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7.xml" ContentType="application/vnd.openxmlformats-officedocument.drawing+xml"/>
  <Override PartName="/xl/charts/chart38.xml" ContentType="application/vnd.openxmlformats-officedocument.drawingml.chart+xml"/>
  <Override PartName="/xl/drawings/drawing1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0.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2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2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23.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25.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2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27.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drawings/drawing28.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2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5" windowWidth="15180" windowHeight="8070" tabRatio="988"/>
  </bookViews>
  <sheets>
    <sheet name="Q100a-geral" sheetId="1" r:id="rId1"/>
    <sheet name="Q100b-totais" sheetId="15" r:id="rId2"/>
    <sheet name="Q100c-fontes" sheetId="14" r:id="rId3"/>
    <sheet name="Q100d-ODS 11" sheetId="64" r:id="rId4"/>
    <sheet name="Q100e-FrotaOnibus" sheetId="57" r:id="rId5"/>
    <sheet name="1.1" sheetId="33" r:id="rId6"/>
    <sheet name="(1.2)" sheetId="54" r:id="rId7"/>
    <sheet name="1.3" sheetId="45" r:id="rId8"/>
    <sheet name="1.5" sheetId="34" r:id="rId9"/>
    <sheet name="2.1" sheetId="38" r:id="rId10"/>
    <sheet name="2.2" sheetId="36" r:id="rId11"/>
    <sheet name="2.3" sheetId="35" r:id="rId12"/>
    <sheet name="x2.4" sheetId="37" r:id="rId13"/>
    <sheet name="(2.5)" sheetId="46" r:id="rId14"/>
    <sheet name="2.6" sheetId="60" r:id="rId15"/>
    <sheet name="3.2.1" sheetId="19" r:id="rId16"/>
    <sheet name="3.2.2" sheetId="39" r:id="rId17"/>
    <sheet name="(3.4)" sheetId="47" r:id="rId18"/>
    <sheet name="3.5" sheetId="24" r:id="rId19"/>
    <sheet name="(4.3)" sheetId="48" r:id="rId20"/>
    <sheet name="4.4" sheetId="55" r:id="rId21"/>
    <sheet name="5.1" sheetId="40" r:id="rId22"/>
    <sheet name="5.2" sheetId="41" r:id="rId23"/>
    <sheet name="6.1" sheetId="62" r:id="rId24"/>
    <sheet name="6.2" sheetId="49" r:id="rId25"/>
    <sheet name="8.2" sheetId="65" r:id="rId26"/>
    <sheet name="8.4" sheetId="42" r:id="rId27"/>
    <sheet name="(8.5)" sheetId="43" r:id="rId28"/>
    <sheet name="8.6" sheetId="44" r:id="rId29"/>
    <sheet name="(8.7)" sheetId="50" r:id="rId30"/>
    <sheet name="(8.8)" sheetId="51" r:id="rId31"/>
    <sheet name="(8.9)" sheetId="52" r:id="rId32"/>
    <sheet name="8.10" sheetId="53" r:id="rId33"/>
    <sheet name="9.1" sheetId="31" r:id="rId34"/>
    <sheet name="9.2" sheetId="27" r:id="rId35"/>
    <sheet name="9.5" sheetId="26" r:id="rId36"/>
    <sheet name="9.6" sheetId="56" r:id="rId37"/>
    <sheet name="para_graficos" sheetId="30" r:id="rId38"/>
    <sheet name="base_bench" sheetId="61" r:id="rId39"/>
    <sheet name="atualiz_assinaturas" sheetId="63" r:id="rId40"/>
    <sheet name="pend" sheetId="59" r:id="rId41"/>
  </sheets>
  <externalReferences>
    <externalReference r:id="rId42"/>
  </externalReferences>
  <definedNames>
    <definedName name="_xlnm._FilterDatabase" localSheetId="37" hidden="1">para_graficos!$A$3:$I$794</definedName>
    <definedName name="_xlnm._FilterDatabase" localSheetId="0" hidden="1">'Q100a-geral'!$A$7:$I$2590</definedName>
    <definedName name="_xlnm.Print_Titles" localSheetId="7">'1.3'!$1:$5</definedName>
    <definedName name="_xlnm.Print_Titles" localSheetId="8">'1.5'!$1:$5</definedName>
    <definedName name="_xlnm.Print_Titles" localSheetId="9">'2.1'!$1:$5</definedName>
    <definedName name="_xlnm.Print_Titles" localSheetId="10">'2.2'!$1:$5</definedName>
    <definedName name="_xlnm.Print_Titles" localSheetId="15">'3.2.1'!$1:$5</definedName>
    <definedName name="_xlnm.Print_Titles" localSheetId="16">'3.2.2'!$1:$5</definedName>
    <definedName name="_xlnm.Print_Titles" localSheetId="18">'3.5'!$1:$5</definedName>
    <definedName name="_xlnm.Print_Titles" localSheetId="20">'4.4'!$1:$5</definedName>
    <definedName name="_xlnm.Print_Titles" localSheetId="21">'5.1'!$1:$5</definedName>
    <definedName name="_xlnm.Print_Titles" localSheetId="22">'5.2'!$1:$5</definedName>
    <definedName name="_xlnm.Print_Titles" localSheetId="23">'6.1'!$1:$5</definedName>
    <definedName name="_xlnm.Print_Titles" localSheetId="24">'6.2'!$1:$5</definedName>
    <definedName name="_xlnm.Print_Titles" localSheetId="32">'8.10'!$1:$5</definedName>
    <definedName name="_xlnm.Print_Titles" localSheetId="26">'8.4'!$1:$5</definedName>
    <definedName name="_xlnm.Print_Titles" localSheetId="28">'8.6'!$1:$5</definedName>
    <definedName name="_xlnm.Print_Titles" localSheetId="33">'9.1'!$1:$5</definedName>
    <definedName name="_xlnm.Print_Titles" localSheetId="34">'9.2'!$1:$5</definedName>
    <definedName name="_xlnm.Print_Titles" localSheetId="35">'9.5'!$1:$5</definedName>
    <definedName name="_xlnm.Print_Titles" localSheetId="36">'9.6'!$1:$5</definedName>
    <definedName name="_xlnm.Print_Titles" localSheetId="3">'Q100d-ODS 11'!$1:$7</definedName>
    <definedName name="_xlnm.Print_Titles" localSheetId="12">x2.4!$1:$5</definedName>
  </definedNames>
  <calcPr calcId="145621"/>
</workbook>
</file>

<file path=xl/calcChain.xml><?xml version="1.0" encoding="utf-8"?>
<calcChain xmlns="http://schemas.openxmlformats.org/spreadsheetml/2006/main">
  <c r="A1152" i="1" l="1"/>
  <c r="B1152" i="1"/>
  <c r="BB1152" i="1" s="1"/>
  <c r="A135" i="1"/>
  <c r="B135" i="1"/>
  <c r="BB135" i="1" s="1"/>
  <c r="A2333" i="1"/>
  <c r="B2333" i="1"/>
  <c r="BB2333" i="1" s="1"/>
  <c r="A1545" i="1"/>
  <c r="B1545" i="1"/>
  <c r="BD1545" i="1" s="1"/>
  <c r="A1496" i="1"/>
  <c r="B1496" i="1"/>
  <c r="BD1496" i="1" s="1"/>
  <c r="A2267" i="1"/>
  <c r="B2267" i="1"/>
  <c r="BB2267" i="1" s="1"/>
  <c r="A500" i="1"/>
  <c r="B500" i="1"/>
  <c r="BC500" i="1" s="1"/>
  <c r="A2477" i="1"/>
  <c r="B2477" i="1"/>
  <c r="BB2477" i="1" s="1"/>
  <c r="B872" i="1"/>
  <c r="BB872" i="1" s="1"/>
  <c r="A872" i="1"/>
  <c r="A1612" i="1"/>
  <c r="B1612" i="1"/>
  <c r="BB1612" i="1" s="1"/>
  <c r="E266" i="61"/>
  <c r="B448" i="61"/>
  <c r="AK383" i="30"/>
  <c r="BB144" i="1"/>
  <c r="BC144" i="1"/>
  <c r="BD144" i="1"/>
  <c r="BB145" i="1"/>
  <c r="BC145" i="1"/>
  <c r="BD145" i="1"/>
  <c r="BB146" i="1"/>
  <c r="BC146" i="1"/>
  <c r="BD146" i="1"/>
  <c r="BB147" i="1"/>
  <c r="BC147" i="1"/>
  <c r="BD147" i="1"/>
  <c r="BB148" i="1"/>
  <c r="BC148" i="1"/>
  <c r="BD148" i="1"/>
  <c r="BB149" i="1"/>
  <c r="BC149" i="1"/>
  <c r="BD149" i="1"/>
  <c r="BB150" i="1"/>
  <c r="BC150" i="1"/>
  <c r="BD150" i="1"/>
  <c r="BB151" i="1"/>
  <c r="BC151" i="1"/>
  <c r="BD151" i="1"/>
  <c r="BB152" i="1"/>
  <c r="BC152" i="1"/>
  <c r="BD152" i="1"/>
  <c r="BB153" i="1"/>
  <c r="BC153" i="1"/>
  <c r="BD153" i="1"/>
  <c r="BB154" i="1"/>
  <c r="BC154" i="1"/>
  <c r="BD154" i="1"/>
  <c r="BB155" i="1"/>
  <c r="BC155" i="1"/>
  <c r="BD155" i="1"/>
  <c r="BB156" i="1"/>
  <c r="BC156" i="1"/>
  <c r="BD156" i="1"/>
  <c r="BB157" i="1"/>
  <c r="BC157" i="1"/>
  <c r="BD157" i="1"/>
  <c r="BB158" i="1"/>
  <c r="BC158" i="1"/>
  <c r="BD158" i="1"/>
  <c r="BB159" i="1"/>
  <c r="BC159" i="1"/>
  <c r="BD159" i="1"/>
  <c r="BB160" i="1"/>
  <c r="BC160" i="1"/>
  <c r="BD160" i="1"/>
  <c r="BB161" i="1"/>
  <c r="BC161" i="1"/>
  <c r="BD161" i="1"/>
  <c r="BB162" i="1"/>
  <c r="BC162" i="1"/>
  <c r="BD162" i="1"/>
  <c r="BB163" i="1"/>
  <c r="BC163" i="1"/>
  <c r="BD163" i="1"/>
  <c r="BB164" i="1"/>
  <c r="BC164" i="1"/>
  <c r="BD164" i="1"/>
  <c r="BB165" i="1"/>
  <c r="BC165" i="1"/>
  <c r="BD165" i="1"/>
  <c r="BB166" i="1"/>
  <c r="BC166" i="1"/>
  <c r="BD166" i="1"/>
  <c r="BB167" i="1"/>
  <c r="BC167" i="1"/>
  <c r="BD167" i="1"/>
  <c r="BB168" i="1"/>
  <c r="BC168" i="1"/>
  <c r="BD168" i="1"/>
  <c r="BB169" i="1"/>
  <c r="BC169" i="1"/>
  <c r="BD169" i="1"/>
  <c r="BB170" i="1"/>
  <c r="BC170" i="1"/>
  <c r="BD170" i="1"/>
  <c r="BB171" i="1"/>
  <c r="BC171" i="1"/>
  <c r="BD171" i="1"/>
  <c r="BB172" i="1"/>
  <c r="BC172" i="1"/>
  <c r="BD172" i="1"/>
  <c r="BB139" i="1"/>
  <c r="BC139" i="1"/>
  <c r="BD139" i="1"/>
  <c r="BB140" i="1"/>
  <c r="BC140" i="1"/>
  <c r="BD140" i="1"/>
  <c r="BB129" i="1"/>
  <c r="BC129" i="1"/>
  <c r="BD129" i="1"/>
  <c r="BB131" i="1"/>
  <c r="BC131" i="1"/>
  <c r="BD131" i="1"/>
  <c r="BB132" i="1"/>
  <c r="BC132" i="1"/>
  <c r="BD132" i="1"/>
  <c r="BB133" i="1"/>
  <c r="BC133" i="1"/>
  <c r="BD133" i="1"/>
  <c r="BB136" i="1"/>
  <c r="BC136" i="1"/>
  <c r="BD136" i="1"/>
  <c r="BB121" i="1"/>
  <c r="BC121" i="1"/>
  <c r="BD121" i="1"/>
  <c r="BB122" i="1"/>
  <c r="BC122" i="1"/>
  <c r="BD122" i="1"/>
  <c r="BB123" i="1"/>
  <c r="BC123" i="1"/>
  <c r="BD123" i="1"/>
  <c r="BB124" i="1"/>
  <c r="BC124" i="1"/>
  <c r="BD124" i="1"/>
  <c r="BB125" i="1"/>
  <c r="BC125" i="1"/>
  <c r="BD125" i="1"/>
  <c r="BB126" i="1"/>
  <c r="BC126" i="1"/>
  <c r="BD126" i="1"/>
  <c r="BB64" i="1"/>
  <c r="BC64" i="1"/>
  <c r="BD64" i="1"/>
  <c r="BB65" i="1"/>
  <c r="BC65" i="1"/>
  <c r="BD65" i="1"/>
  <c r="BB66" i="1"/>
  <c r="BC66" i="1"/>
  <c r="BD66" i="1"/>
  <c r="BB67" i="1"/>
  <c r="BC67" i="1"/>
  <c r="BD67" i="1"/>
  <c r="BB68" i="1"/>
  <c r="BC68" i="1"/>
  <c r="BD68" i="1"/>
  <c r="BB69" i="1"/>
  <c r="BC69" i="1"/>
  <c r="BD69" i="1"/>
  <c r="BB91" i="1"/>
  <c r="BC91" i="1"/>
  <c r="BD91" i="1"/>
  <c r="BB106" i="1"/>
  <c r="BC106" i="1"/>
  <c r="BD106" i="1"/>
  <c r="BB107" i="1"/>
  <c r="BC107" i="1"/>
  <c r="BD107" i="1"/>
  <c r="BB108" i="1"/>
  <c r="BC108" i="1"/>
  <c r="BD108" i="1"/>
  <c r="BB109" i="1"/>
  <c r="BC109" i="1"/>
  <c r="BD109" i="1"/>
  <c r="BB111" i="1"/>
  <c r="BC111" i="1"/>
  <c r="BD111" i="1"/>
  <c r="BB112" i="1"/>
  <c r="BC112" i="1"/>
  <c r="BD112" i="1"/>
  <c r="BB113" i="1"/>
  <c r="BC113" i="1"/>
  <c r="BD113" i="1"/>
  <c r="BB114" i="1"/>
  <c r="BC114" i="1"/>
  <c r="BD114" i="1"/>
  <c r="BB115" i="1"/>
  <c r="BC115" i="1"/>
  <c r="BD115" i="1"/>
  <c r="BB116" i="1"/>
  <c r="BC116" i="1"/>
  <c r="BD116" i="1"/>
  <c r="BB118" i="1"/>
  <c r="BC118" i="1"/>
  <c r="BD118" i="1"/>
  <c r="BB50" i="1"/>
  <c r="BC50" i="1"/>
  <c r="BD50" i="1"/>
  <c r="BB51" i="1"/>
  <c r="BC51" i="1"/>
  <c r="BD51" i="1"/>
  <c r="BB52" i="1"/>
  <c r="BC52" i="1"/>
  <c r="BD52" i="1"/>
  <c r="BB53" i="1"/>
  <c r="BC53" i="1"/>
  <c r="BD53" i="1"/>
  <c r="BB9" i="1"/>
  <c r="BC9" i="1"/>
  <c r="BD9" i="1"/>
  <c r="A1343" i="1"/>
  <c r="B1343" i="1"/>
  <c r="BC1343" i="1" s="1"/>
  <c r="F1343" i="1"/>
  <c r="A2299" i="1"/>
  <c r="F486" i="1"/>
  <c r="A1476" i="1"/>
  <c r="A1481" i="1"/>
  <c r="B1481" i="1"/>
  <c r="B1476" i="1"/>
  <c r="BC1476" i="1" s="1"/>
  <c r="F2261" i="1"/>
  <c r="A2514" i="1"/>
  <c r="B2514" i="1"/>
  <c r="F2514" i="1"/>
  <c r="F2353" i="1"/>
  <c r="A2353" i="1"/>
  <c r="B2353" i="1"/>
  <c r="BB2353" i="1" s="1"/>
  <c r="F2297" i="1"/>
  <c r="F2299" i="1"/>
  <c r="F2301" i="1"/>
  <c r="F2302" i="1"/>
  <c r="F2305" i="1"/>
  <c r="A2305" i="1"/>
  <c r="B2305" i="1"/>
  <c r="BD2305" i="1" s="1"/>
  <c r="A2302" i="1"/>
  <c r="B2302" i="1"/>
  <c r="BD2302" i="1" s="1"/>
  <c r="A2301" i="1"/>
  <c r="B2301" i="1"/>
  <c r="BC2301" i="1" s="1"/>
  <c r="B2299" i="1"/>
  <c r="BB2299" i="1" s="1"/>
  <c r="A2297" i="1"/>
  <c r="B2297" i="1"/>
  <c r="F2251" i="1"/>
  <c r="F2253" i="1"/>
  <c r="F2254" i="1"/>
  <c r="A2254" i="1"/>
  <c r="B2254" i="1"/>
  <c r="BC2254" i="1" s="1"/>
  <c r="A2253" i="1"/>
  <c r="B2253" i="1"/>
  <c r="A2251" i="1"/>
  <c r="B2251" i="1"/>
  <c r="BC2251" i="1" s="1"/>
  <c r="F2207" i="1"/>
  <c r="A2207" i="1"/>
  <c r="B2207" i="1"/>
  <c r="F1928" i="1"/>
  <c r="A1928" i="1"/>
  <c r="B1928" i="1"/>
  <c r="F1719" i="1"/>
  <c r="F1720" i="1"/>
  <c r="A1720" i="1"/>
  <c r="B1720" i="1"/>
  <c r="A1719" i="1"/>
  <c r="B1719" i="1"/>
  <c r="BC1719" i="1" s="1"/>
  <c r="F1578" i="1"/>
  <c r="F1579" i="1"/>
  <c r="A1579" i="1"/>
  <c r="B1579" i="1"/>
  <c r="BD1579" i="1" s="1"/>
  <c r="A1578" i="1"/>
  <c r="B1578" i="1"/>
  <c r="F1577" i="1"/>
  <c r="A1577" i="1"/>
  <c r="B1577" i="1"/>
  <c r="BC1577" i="1" s="1"/>
  <c r="F1504" i="1"/>
  <c r="A1504" i="1"/>
  <c r="B1504" i="1"/>
  <c r="BC1504" i="1" s="1"/>
  <c r="F1495" i="1"/>
  <c r="A1495" i="1"/>
  <c r="B1495" i="1"/>
  <c r="F1490" i="1"/>
  <c r="A1490" i="1"/>
  <c r="B1490" i="1"/>
  <c r="BC1490" i="1" s="1"/>
  <c r="F1481" i="1"/>
  <c r="F1476" i="1"/>
  <c r="F1357" i="1"/>
  <c r="A1357" i="1"/>
  <c r="B1357" i="1"/>
  <c r="BC1152" i="1" l="1"/>
  <c r="BD1152" i="1"/>
  <c r="BC135" i="1"/>
  <c r="BD135" i="1"/>
  <c r="BC2333" i="1"/>
  <c r="BD2333" i="1"/>
  <c r="BB1545" i="1"/>
  <c r="BC1545" i="1"/>
  <c r="BB1496" i="1"/>
  <c r="BC1496" i="1"/>
  <c r="BC2267" i="1"/>
  <c r="BD2267" i="1"/>
  <c r="BB500" i="1"/>
  <c r="BD500" i="1"/>
  <c r="BC872" i="1"/>
  <c r="BD872" i="1"/>
  <c r="BC2477" i="1"/>
  <c r="BD2477" i="1"/>
  <c r="BD1504" i="1"/>
  <c r="BB2251" i="1"/>
  <c r="BD1476" i="1"/>
  <c r="BC1579" i="1"/>
  <c r="BD2251" i="1"/>
  <c r="BB1490" i="1"/>
  <c r="BB1719" i="1"/>
  <c r="BB2254" i="1"/>
  <c r="BB1504" i="1"/>
  <c r="BD1719" i="1"/>
  <c r="BD2254" i="1"/>
  <c r="BC1612" i="1"/>
  <c r="BD1612" i="1"/>
  <c r="BC1578" i="1"/>
  <c r="BB1578" i="1"/>
  <c r="BB2253" i="1"/>
  <c r="BD2253" i="1"/>
  <c r="BB1476" i="1"/>
  <c r="BD1490" i="1"/>
  <c r="BD1357" i="1"/>
  <c r="BB1357" i="1"/>
  <c r="BD1495" i="1"/>
  <c r="BB1495" i="1"/>
  <c r="BD2207" i="1"/>
  <c r="BC2207" i="1"/>
  <c r="BB2207" i="1"/>
  <c r="BD2297" i="1"/>
  <c r="BC2297" i="1"/>
  <c r="BB2297" i="1"/>
  <c r="BC1357" i="1"/>
  <c r="BB1720" i="1"/>
  <c r="BD1720" i="1"/>
  <c r="BC1928" i="1"/>
  <c r="BB1928" i="1"/>
  <c r="BB1577" i="1"/>
  <c r="BD1577" i="1"/>
  <c r="BD2353" i="1"/>
  <c r="BC2353" i="1"/>
  <c r="BB2514" i="1"/>
  <c r="BD2514" i="1"/>
  <c r="BB1481" i="1"/>
  <c r="BD1481" i="1"/>
  <c r="BB1343" i="1"/>
  <c r="BC1495" i="1"/>
  <c r="BD1578" i="1"/>
  <c r="BC1720" i="1"/>
  <c r="BC2253" i="1"/>
  <c r="BC2514" i="1"/>
  <c r="BD1343" i="1"/>
  <c r="BC1481" i="1"/>
  <c r="BD1928" i="1"/>
  <c r="BB1579" i="1"/>
  <c r="BC2299" i="1"/>
  <c r="BD2301" i="1"/>
  <c r="BB2305" i="1"/>
  <c r="BD2299" i="1"/>
  <c r="BB2302" i="1"/>
  <c r="BC2305" i="1"/>
  <c r="BB2301" i="1"/>
  <c r="BC2302" i="1"/>
  <c r="F1127" i="1"/>
  <c r="A1127" i="1"/>
  <c r="B1127" i="1"/>
  <c r="F745" i="1"/>
  <c r="A745" i="1"/>
  <c r="B745" i="1"/>
  <c r="F537" i="1"/>
  <c r="A537" i="1"/>
  <c r="B537" i="1"/>
  <c r="F535" i="1"/>
  <c r="A535" i="1"/>
  <c r="B535" i="1"/>
  <c r="A486" i="1"/>
  <c r="B486" i="1"/>
  <c r="F474" i="1"/>
  <c r="A474" i="1"/>
  <c r="B474" i="1"/>
  <c r="BC474" i="1" l="1"/>
  <c r="BD474" i="1"/>
  <c r="BB474" i="1"/>
  <c r="BD537" i="1"/>
  <c r="BB537" i="1"/>
  <c r="BC537" i="1"/>
  <c r="BC535" i="1"/>
  <c r="BB535" i="1"/>
  <c r="BD535" i="1"/>
  <c r="BB1127" i="1"/>
  <c r="BD1127" i="1"/>
  <c r="BC1127" i="1"/>
  <c r="BB486" i="1"/>
  <c r="BD486" i="1"/>
  <c r="BC486" i="1"/>
  <c r="BC745" i="1"/>
  <c r="BB745" i="1"/>
  <c r="BD745" i="1"/>
  <c r="A466" i="1"/>
  <c r="B466" i="1"/>
  <c r="F466" i="1"/>
  <c r="A319" i="1"/>
  <c r="B319" i="1"/>
  <c r="A318" i="1"/>
  <c r="B318" i="1"/>
  <c r="A317" i="1"/>
  <c r="B317" i="1"/>
  <c r="F320" i="1"/>
  <c r="A320" i="1"/>
  <c r="B320" i="1"/>
  <c r="F295" i="1"/>
  <c r="B295" i="1"/>
  <c r="BB295" i="1" s="1"/>
  <c r="A295" i="1"/>
  <c r="A61" i="1"/>
  <c r="B61" i="1"/>
  <c r="A60" i="1"/>
  <c r="B60" i="1"/>
  <c r="A59" i="1"/>
  <c r="B59" i="1"/>
  <c r="A58" i="1"/>
  <c r="B58" i="1"/>
  <c r="A57" i="1"/>
  <c r="B57" i="1"/>
  <c r="A56" i="1"/>
  <c r="B56" i="1"/>
  <c r="A55" i="1"/>
  <c r="B55" i="1"/>
  <c r="A28" i="1"/>
  <c r="B28" i="1"/>
  <c r="A174" i="1"/>
  <c r="B174" i="1"/>
  <c r="BD174" i="1" s="1"/>
  <c r="A130" i="1"/>
  <c r="B130" i="1"/>
  <c r="A1712" i="1"/>
  <c r="B1712" i="1"/>
  <c r="A1718" i="1"/>
  <c r="B1718" i="1"/>
  <c r="A1717" i="1"/>
  <c r="B1717" i="1"/>
  <c r="A1716" i="1"/>
  <c r="B1716" i="1"/>
  <c r="A1714" i="1"/>
  <c r="B1714" i="1"/>
  <c r="A1713" i="1"/>
  <c r="B1713" i="1"/>
  <c r="BC1713" i="1" s="1"/>
  <c r="K51" i="15"/>
  <c r="BD466" i="1" l="1"/>
  <c r="BB466" i="1"/>
  <c r="BC466" i="1"/>
  <c r="BD57" i="1"/>
  <c r="BB57" i="1"/>
  <c r="BC57" i="1"/>
  <c r="BB59" i="1"/>
  <c r="BC59" i="1"/>
  <c r="BD59" i="1"/>
  <c r="BD61" i="1"/>
  <c r="BB61" i="1"/>
  <c r="BC61" i="1"/>
  <c r="BC320" i="1"/>
  <c r="BD320" i="1"/>
  <c r="BB320" i="1"/>
  <c r="BD130" i="1"/>
  <c r="BB130" i="1"/>
  <c r="BC130" i="1"/>
  <c r="BB28" i="1"/>
  <c r="BC28" i="1"/>
  <c r="BD28" i="1"/>
  <c r="BC56" i="1"/>
  <c r="BD56" i="1"/>
  <c r="BB56" i="1"/>
  <c r="BB58" i="1"/>
  <c r="BC58" i="1"/>
  <c r="BD58" i="1"/>
  <c r="BC60" i="1"/>
  <c r="BD60" i="1"/>
  <c r="BB60" i="1"/>
  <c r="BC295" i="1"/>
  <c r="BD295" i="1"/>
  <c r="BB174" i="1"/>
  <c r="BC174" i="1"/>
  <c r="BD1713" i="1"/>
  <c r="BB1713" i="1"/>
  <c r="A1972" i="1"/>
  <c r="B1972" i="1"/>
  <c r="BC1972" i="1" s="1"/>
  <c r="A1970" i="1"/>
  <c r="B1970" i="1"/>
  <c r="BC1970" i="1" s="1"/>
  <c r="A753" i="1"/>
  <c r="B753" i="1"/>
  <c r="BD753" i="1" s="1"/>
  <c r="BD1970" i="1" l="1"/>
  <c r="BD1972" i="1"/>
  <c r="BB1972" i="1"/>
  <c r="BB1970" i="1"/>
  <c r="BB753" i="1"/>
  <c r="BC753" i="1"/>
  <c r="A1499" i="1"/>
  <c r="B1499" i="1"/>
  <c r="BD1499" i="1" s="1"/>
  <c r="A2490" i="1"/>
  <c r="B2490" i="1"/>
  <c r="BD2490" i="1" s="1"/>
  <c r="A2387" i="1"/>
  <c r="B2387" i="1"/>
  <c r="BC2387" i="1" s="1"/>
  <c r="A2531" i="1"/>
  <c r="B2531" i="1"/>
  <c r="BD2531" i="1" s="1"/>
  <c r="A1926" i="1"/>
  <c r="B1926" i="1"/>
  <c r="BC1926" i="1" s="1"/>
  <c r="B1976" i="1"/>
  <c r="BD1976" i="1" s="1"/>
  <c r="A1976" i="1"/>
  <c r="BD2387" i="1" l="1"/>
  <c r="BB1499" i="1"/>
  <c r="BD1926" i="1"/>
  <c r="BC1499" i="1"/>
  <c r="BB2490" i="1"/>
  <c r="BC2490" i="1"/>
  <c r="BB2387" i="1"/>
  <c r="BB2531" i="1"/>
  <c r="BC2531" i="1"/>
  <c r="BB1926" i="1"/>
  <c r="BB1976" i="1"/>
  <c r="BC1976" i="1"/>
  <c r="A541" i="1"/>
  <c r="B541" i="1"/>
  <c r="A540" i="1"/>
  <c r="B540" i="1"/>
  <c r="A2313" i="1"/>
  <c r="B2313" i="1"/>
  <c r="BC2313" i="1" s="1"/>
  <c r="A736" i="1"/>
  <c r="B736" i="1"/>
  <c r="BD736" i="1" s="1"/>
  <c r="A2374" i="1"/>
  <c r="B2374" i="1"/>
  <c r="BC2374" i="1" s="1"/>
  <c r="A2513" i="1"/>
  <c r="B2513" i="1"/>
  <c r="BD2513" i="1"/>
  <c r="BC2513" i="1"/>
  <c r="BB2513" i="1"/>
  <c r="A2373" i="1"/>
  <c r="B2373" i="1"/>
  <c r="BD2373" i="1" s="1"/>
  <c r="BC2373" i="1" l="1"/>
  <c r="BD2374" i="1"/>
  <c r="BD2313" i="1"/>
  <c r="BB2313" i="1"/>
  <c r="BB2373" i="1"/>
  <c r="BC736" i="1"/>
  <c r="BB736" i="1"/>
  <c r="BB2374" i="1"/>
  <c r="A1616" i="1"/>
  <c r="B1616" i="1"/>
  <c r="BC1616" i="1" s="1"/>
  <c r="A1615" i="1"/>
  <c r="B1615" i="1"/>
  <c r="BC1615" i="1" s="1"/>
  <c r="BD1615" i="1" l="1"/>
  <c r="BD1616" i="1"/>
  <c r="BB1616" i="1"/>
  <c r="BB1615" i="1"/>
  <c r="B375" i="1"/>
  <c r="BD375" i="1" s="1"/>
  <c r="A375" i="1"/>
  <c r="BB375" i="1" l="1"/>
  <c r="BC375" i="1"/>
  <c r="A103" i="1"/>
  <c r="B103" i="1"/>
  <c r="A90" i="1"/>
  <c r="B90" i="1"/>
  <c r="B72" i="1"/>
  <c r="A72" i="1"/>
  <c r="B75" i="1"/>
  <c r="A75" i="1"/>
  <c r="B73" i="1"/>
  <c r="A73" i="1"/>
  <c r="B74" i="1"/>
  <c r="A74" i="1"/>
  <c r="U1063" i="1"/>
  <c r="M1063" i="1"/>
  <c r="N1063" i="1"/>
  <c r="O1063" i="1"/>
  <c r="P1063" i="1"/>
  <c r="Q1063" i="1"/>
  <c r="R1063" i="1"/>
  <c r="AM1063" i="1"/>
  <c r="AK1063" i="1"/>
  <c r="AH1063" i="1"/>
  <c r="AI1063" i="1"/>
  <c r="AJ1063" i="1"/>
  <c r="AG1063" i="1"/>
  <c r="AE1063" i="1"/>
  <c r="AF1063" i="1"/>
  <c r="AB1063" i="1"/>
  <c r="AC1063" i="1"/>
  <c r="AD1063" i="1"/>
  <c r="AA1063" i="1"/>
  <c r="Z1063" i="1"/>
  <c r="Y1063" i="1"/>
  <c r="AM951" i="1"/>
  <c r="AM904" i="1"/>
  <c r="F865" i="1"/>
  <c r="AM865" i="1"/>
  <c r="AM866" i="1" s="1"/>
  <c r="BD72" i="1" l="1"/>
  <c r="BB72" i="1"/>
  <c r="BC72" i="1"/>
  <c r="BB90" i="1"/>
  <c r="BC90" i="1"/>
  <c r="BD90" i="1"/>
  <c r="BB74" i="1"/>
  <c r="BC74" i="1"/>
  <c r="BD74" i="1"/>
  <c r="BC75" i="1"/>
  <c r="BD75" i="1"/>
  <c r="BB75" i="1"/>
  <c r="BC103" i="1"/>
  <c r="BD103" i="1"/>
  <c r="BB103" i="1"/>
  <c r="BB73" i="1"/>
  <c r="BC73" i="1"/>
  <c r="BD73" i="1"/>
  <c r="AM1215" i="1"/>
  <c r="AM1064" i="1"/>
  <c r="AM952" i="1"/>
  <c r="B453" i="61" s="1"/>
  <c r="AM905" i="1"/>
  <c r="AM1016" i="1"/>
  <c r="AM1017" i="1" s="1"/>
  <c r="A725" i="1"/>
  <c r="B725" i="1"/>
  <c r="BB725" i="1" s="1"/>
  <c r="BC725" i="1" l="1"/>
  <c r="BD725" i="1"/>
  <c r="A1935" i="1"/>
  <c r="B1935" i="1"/>
  <c r="A1910" i="1"/>
  <c r="B1910" i="1"/>
  <c r="A1900" i="1"/>
  <c r="B1900" i="1"/>
  <c r="A1786" i="1"/>
  <c r="B1786" i="1"/>
  <c r="A1654" i="1"/>
  <c r="B1654" i="1"/>
  <c r="A1601" i="1"/>
  <c r="B1601" i="1"/>
  <c r="A1600" i="1"/>
  <c r="B1600" i="1"/>
  <c r="A1597" i="1"/>
  <c r="B1597" i="1"/>
  <c r="A1591" i="1"/>
  <c r="B1591" i="1"/>
  <c r="A1590" i="1"/>
  <c r="B1590" i="1"/>
  <c r="A1516" i="1"/>
  <c r="B1516" i="1"/>
  <c r="A1510" i="1"/>
  <c r="B1510" i="1"/>
  <c r="A1205" i="1"/>
  <c r="B1205" i="1"/>
  <c r="A1201" i="1"/>
  <c r="B1201" i="1"/>
  <c r="A1163" i="1"/>
  <c r="B1163" i="1"/>
  <c r="A1158" i="1"/>
  <c r="B1158" i="1"/>
  <c r="A756" i="1"/>
  <c r="B756" i="1"/>
  <c r="A669" i="1"/>
  <c r="B669" i="1"/>
  <c r="A553" i="1"/>
  <c r="B553" i="1"/>
  <c r="A527" i="1"/>
  <c r="B527" i="1"/>
  <c r="A469" i="1"/>
  <c r="B469" i="1"/>
  <c r="A468" i="1"/>
  <c r="B468" i="1"/>
  <c r="A467" i="1"/>
  <c r="B467" i="1"/>
  <c r="A331" i="1"/>
  <c r="B331" i="1"/>
  <c r="A329" i="1"/>
  <c r="B329" i="1"/>
  <c r="A326" i="1"/>
  <c r="B326" i="1"/>
  <c r="A316" i="1"/>
  <c r="B316" i="1"/>
  <c r="A299" i="1"/>
  <c r="B299" i="1"/>
  <c r="A296" i="1"/>
  <c r="B296" i="1"/>
  <c r="A291" i="1"/>
  <c r="B291" i="1"/>
  <c r="A216" i="1"/>
  <c r="B216" i="1"/>
  <c r="A141" i="1"/>
  <c r="B141" i="1"/>
  <c r="A2521" i="1"/>
  <c r="B2521" i="1"/>
  <c r="A2427" i="1"/>
  <c r="B2427" i="1"/>
  <c r="A2376" i="1"/>
  <c r="B2376" i="1"/>
  <c r="A2352" i="1"/>
  <c r="B2352" i="1"/>
  <c r="A2322" i="1"/>
  <c r="B2322" i="1"/>
  <c r="A2318" i="1"/>
  <c r="B2318" i="1"/>
  <c r="A1492" i="1"/>
  <c r="B1492" i="1"/>
  <c r="A2211" i="1"/>
  <c r="B2211" i="1"/>
  <c r="A2303" i="1"/>
  <c r="B2303" i="1"/>
  <c r="A2300" i="1"/>
  <c r="B2300" i="1"/>
  <c r="A2298" i="1"/>
  <c r="B2298" i="1"/>
  <c r="A2213" i="1"/>
  <c r="B2213" i="1"/>
  <c r="A2214" i="1"/>
  <c r="B2214" i="1"/>
  <c r="A2149" i="1"/>
  <c r="B2149" i="1"/>
  <c r="BD2149" i="1" s="1"/>
  <c r="BB141" i="1" l="1"/>
  <c r="BC141" i="1"/>
  <c r="BD141" i="1"/>
  <c r="BB2149" i="1"/>
  <c r="BC2149" i="1"/>
  <c r="A986" i="1"/>
  <c r="B986" i="1"/>
  <c r="BD986" i="1" s="1"/>
  <c r="A988" i="1"/>
  <c r="B988" i="1"/>
  <c r="G1003" i="1"/>
  <c r="B1005" i="1"/>
  <c r="BC1005" i="1" s="1"/>
  <c r="A1005" i="1"/>
  <c r="BB986" i="1" l="1"/>
  <c r="BC986" i="1"/>
  <c r="BB1005" i="1"/>
  <c r="BD1005" i="1"/>
  <c r="A1000" i="1"/>
  <c r="B1000" i="1"/>
  <c r="A1001" i="1"/>
  <c r="B1001" i="1"/>
  <c r="A1002" i="1"/>
  <c r="B1002" i="1"/>
  <c r="A1003" i="1"/>
  <c r="B1003" i="1"/>
  <c r="A1004" i="1"/>
  <c r="B1004" i="1"/>
  <c r="BC1004" i="1" s="1"/>
  <c r="A328" i="1"/>
  <c r="B328" i="1"/>
  <c r="BD328" i="1" s="1"/>
  <c r="BD327" i="1"/>
  <c r="BC327" i="1"/>
  <c r="BB327" i="1"/>
  <c r="B2375" i="1"/>
  <c r="BC2375" i="1" s="1"/>
  <c r="A2375" i="1"/>
  <c r="A1790" i="1"/>
  <c r="B1790" i="1"/>
  <c r="BD1790" i="1" s="1"/>
  <c r="BC1790" i="1" l="1"/>
  <c r="BD1004" i="1"/>
  <c r="BB1004" i="1"/>
  <c r="BD2375" i="1"/>
  <c r="BB328" i="1"/>
  <c r="BC328" i="1"/>
  <c r="BB1790" i="1"/>
  <c r="BB2375" i="1"/>
  <c r="B459" i="61"/>
  <c r="E274" i="61"/>
  <c r="B494" i="61"/>
  <c r="B502" i="61"/>
  <c r="B490" i="61"/>
  <c r="B481" i="61"/>
  <c r="B501" i="61"/>
  <c r="B480" i="61"/>
  <c r="B491" i="61"/>
  <c r="B500" i="61"/>
  <c r="B487" i="61"/>
  <c r="B493" i="61"/>
  <c r="B499" i="61"/>
  <c r="B485" i="61"/>
  <c r="B498" i="61"/>
  <c r="B497" i="61"/>
  <c r="B482" i="61"/>
  <c r="B496" i="61"/>
  <c r="B488" i="61"/>
  <c r="B484" i="61"/>
  <c r="B492" i="61"/>
  <c r="B486" i="61"/>
  <c r="B495" i="61"/>
  <c r="B483" i="61"/>
  <c r="A494" i="61"/>
  <c r="A502" i="61"/>
  <c r="A490" i="61"/>
  <c r="A481" i="61"/>
  <c r="A501" i="61"/>
  <c r="A480" i="61"/>
  <c r="A491" i="61"/>
  <c r="A500" i="61"/>
  <c r="A487" i="61"/>
  <c r="A493" i="61"/>
  <c r="A499" i="61"/>
  <c r="A485" i="61"/>
  <c r="A498" i="61"/>
  <c r="A497" i="61"/>
  <c r="A482" i="61"/>
  <c r="A496" i="61"/>
  <c r="A488" i="61"/>
  <c r="A484" i="61"/>
  <c r="A492" i="61"/>
  <c r="A486" i="61"/>
  <c r="A495" i="61"/>
  <c r="A483" i="61"/>
  <c r="A1105" i="1"/>
  <c r="B1105" i="1"/>
  <c r="A1104" i="1"/>
  <c r="B1104" i="1"/>
  <c r="A1103" i="1"/>
  <c r="B1103" i="1"/>
  <c r="BC1103" i="1" s="1"/>
  <c r="A1102" i="1"/>
  <c r="B1102" i="1"/>
  <c r="A1101" i="1"/>
  <c r="B1101" i="1"/>
  <c r="A1100" i="1"/>
  <c r="B1100" i="1"/>
  <c r="A1099" i="1"/>
  <c r="B1099" i="1"/>
  <c r="A1098" i="1"/>
  <c r="B1098" i="1"/>
  <c r="A1097" i="1"/>
  <c r="B1097" i="1"/>
  <c r="A1096" i="1"/>
  <c r="B1096" i="1"/>
  <c r="A1095" i="1"/>
  <c r="B1095" i="1"/>
  <c r="A1094" i="1"/>
  <c r="B1094" i="1"/>
  <c r="A1093" i="1"/>
  <c r="B1093" i="1"/>
  <c r="A1092" i="1"/>
  <c r="B1092" i="1"/>
  <c r="BD1092" i="1" s="1"/>
  <c r="A1091" i="1"/>
  <c r="B1091" i="1"/>
  <c r="A1090" i="1"/>
  <c r="B1090" i="1"/>
  <c r="BC1090" i="1" s="1"/>
  <c r="A1089" i="1"/>
  <c r="B1089" i="1"/>
  <c r="A1088" i="1"/>
  <c r="B1088" i="1"/>
  <c r="A1087" i="1"/>
  <c r="B1087" i="1"/>
  <c r="A1086" i="1"/>
  <c r="B1086" i="1"/>
  <c r="A1085" i="1"/>
  <c r="B1085" i="1"/>
  <c r="A1084" i="1"/>
  <c r="B1084" i="1"/>
  <c r="BB1103" i="1" l="1"/>
  <c r="BD1103" i="1"/>
  <c r="BB1092" i="1"/>
  <c r="BD1090" i="1"/>
  <c r="BC1092" i="1"/>
  <c r="BB1090" i="1"/>
  <c r="A101" i="1"/>
  <c r="B101" i="1"/>
  <c r="A100" i="1"/>
  <c r="B100" i="1"/>
  <c r="A99" i="1"/>
  <c r="B99" i="1"/>
  <c r="A98" i="1"/>
  <c r="B98" i="1"/>
  <c r="A97" i="1"/>
  <c r="B97" i="1"/>
  <c r="A96" i="1"/>
  <c r="B96" i="1"/>
  <c r="A95" i="1"/>
  <c r="B95" i="1"/>
  <c r="A94" i="1"/>
  <c r="B94" i="1"/>
  <c r="A93" i="1"/>
  <c r="B93" i="1"/>
  <c r="B2359" i="1"/>
  <c r="BD2359" i="1" s="1"/>
  <c r="A2359" i="1"/>
  <c r="B2360" i="1"/>
  <c r="BD2360" i="1" s="1"/>
  <c r="A2360" i="1"/>
  <c r="A987" i="1"/>
  <c r="B987" i="1"/>
  <c r="BC987" i="1" s="1"/>
  <c r="A1133" i="1"/>
  <c r="B1133" i="1"/>
  <c r="BC1133" i="1" s="1"/>
  <c r="A1134" i="1"/>
  <c r="B1134" i="1"/>
  <c r="A1132" i="1"/>
  <c r="B1132" i="1"/>
  <c r="BD1132" i="1" s="1"/>
  <c r="A1131" i="1"/>
  <c r="B1131" i="1"/>
  <c r="A110" i="1"/>
  <c r="B110" i="1"/>
  <c r="BB110" i="1" l="1"/>
  <c r="BC110" i="1"/>
  <c r="BD110" i="1"/>
  <c r="BB98" i="1"/>
  <c r="BC98" i="1"/>
  <c r="BD98" i="1"/>
  <c r="BB93" i="1"/>
  <c r="BC93" i="1"/>
  <c r="BD93" i="1"/>
  <c r="BC95" i="1"/>
  <c r="BD95" i="1"/>
  <c r="BB95" i="1"/>
  <c r="BB97" i="1"/>
  <c r="BC97" i="1"/>
  <c r="BD97" i="1"/>
  <c r="BC99" i="1"/>
  <c r="BD99" i="1"/>
  <c r="BB99" i="1"/>
  <c r="BB101" i="1"/>
  <c r="BC101" i="1"/>
  <c r="BD101" i="1"/>
  <c r="BB94" i="1"/>
  <c r="BC94" i="1"/>
  <c r="BD94" i="1"/>
  <c r="BD96" i="1"/>
  <c r="BB96" i="1"/>
  <c r="BC96" i="1"/>
  <c r="BD100" i="1"/>
  <c r="BB100" i="1"/>
  <c r="BC100" i="1"/>
  <c r="BB2359" i="1"/>
  <c r="BC2359" i="1"/>
  <c r="BB2360" i="1"/>
  <c r="BC2360" i="1"/>
  <c r="BC1132" i="1"/>
  <c r="BD987" i="1"/>
  <c r="BB1132" i="1"/>
  <c r="BB987" i="1"/>
  <c r="BD1133" i="1"/>
  <c r="BB1133" i="1"/>
  <c r="B2201" i="1"/>
  <c r="BB2201" i="1" s="1"/>
  <c r="A2201" i="1"/>
  <c r="A2198" i="1"/>
  <c r="B2198" i="1"/>
  <c r="A2199" i="1"/>
  <c r="B2199" i="1"/>
  <c r="A2200" i="1"/>
  <c r="B2200" i="1"/>
  <c r="A2202" i="1"/>
  <c r="B2202" i="1"/>
  <c r="BB2202" i="1" s="1"/>
  <c r="A2204" i="1"/>
  <c r="B2204" i="1"/>
  <c r="BC2204" i="1" s="1"/>
  <c r="A1980" i="1"/>
  <c r="B1980" i="1"/>
  <c r="BD1980" i="1" s="1"/>
  <c r="A2196" i="1"/>
  <c r="B2196" i="1"/>
  <c r="BC2196" i="1" s="1"/>
  <c r="A2203" i="1"/>
  <c r="B2203" i="1"/>
  <c r="BD2203" i="1" s="1"/>
  <c r="A2205" i="1"/>
  <c r="B2205" i="1"/>
  <c r="BC2205" i="1" s="1"/>
  <c r="A1146" i="1"/>
  <c r="B1146" i="1"/>
  <c r="BB1146" i="1" s="1"/>
  <c r="A76" i="1"/>
  <c r="B76" i="1"/>
  <c r="A77" i="1"/>
  <c r="B77" i="1"/>
  <c r="BD76" i="1" l="1"/>
  <c r="BB76" i="1"/>
  <c r="BC76" i="1"/>
  <c r="BB77" i="1"/>
  <c r="BC77" i="1"/>
  <c r="BD77" i="1"/>
  <c r="BD2202" i="1"/>
  <c r="BC2201" i="1"/>
  <c r="BD2201" i="1"/>
  <c r="BD2204" i="1"/>
  <c r="BD2196" i="1"/>
  <c r="BB2204" i="1"/>
  <c r="BC1980" i="1"/>
  <c r="BC2202" i="1"/>
  <c r="BB1980" i="1"/>
  <c r="BD2205" i="1"/>
  <c r="BB2196" i="1"/>
  <c r="BB2203" i="1"/>
  <c r="BC2203" i="1"/>
  <c r="BB2205" i="1"/>
  <c r="BC1146" i="1"/>
  <c r="BD1146" i="1"/>
  <c r="B2405" i="1"/>
  <c r="BC2405" i="1" s="1"/>
  <c r="A2405" i="1"/>
  <c r="BD2213" i="1"/>
  <c r="BC2213" i="1"/>
  <c r="BB2213" i="1"/>
  <c r="BD2214" i="1"/>
  <c r="BC2214" i="1"/>
  <c r="BB2214" i="1"/>
  <c r="A522" i="1"/>
  <c r="B522" i="1"/>
  <c r="BC522" i="1" s="1"/>
  <c r="BD522" i="1" l="1"/>
  <c r="BB2405" i="1"/>
  <c r="BD2405" i="1"/>
  <c r="BB522" i="1"/>
  <c r="BD1718" i="1"/>
  <c r="BC1718" i="1"/>
  <c r="BB1718" i="1"/>
  <c r="A2330" i="1" l="1"/>
  <c r="B2330" i="1"/>
  <c r="BD2330" i="1" s="1"/>
  <c r="BB2330" i="1" l="1"/>
  <c r="BC2330" i="1"/>
  <c r="AM345" i="1"/>
  <c r="B2148" i="1" l="1"/>
  <c r="BC2148" i="1" s="1"/>
  <c r="A2148" i="1"/>
  <c r="B812" i="1"/>
  <c r="BD812" i="1" s="1"/>
  <c r="A812" i="1"/>
  <c r="A811" i="1"/>
  <c r="B811" i="1"/>
  <c r="BC811" i="1" s="1"/>
  <c r="B464" i="1"/>
  <c r="BD464" i="1" s="1"/>
  <c r="A464" i="1"/>
  <c r="B462" i="1"/>
  <c r="BC462" i="1" s="1"/>
  <c r="A462" i="1"/>
  <c r="B343" i="1"/>
  <c r="BD343" i="1" s="1"/>
  <c r="A343" i="1"/>
  <c r="BB2148" i="1" l="1"/>
  <c r="BB812" i="1"/>
  <c r="BD2148" i="1"/>
  <c r="BD811" i="1"/>
  <c r="BD462" i="1"/>
  <c r="BC812" i="1"/>
  <c r="BB811" i="1"/>
  <c r="BB464" i="1"/>
  <c r="BC464" i="1"/>
  <c r="BB462" i="1"/>
  <c r="BB343" i="1"/>
  <c r="BC343" i="1"/>
  <c r="B1687" i="1"/>
  <c r="BB1687" i="1" s="1"/>
  <c r="A1687" i="1"/>
  <c r="A769" i="1"/>
  <c r="B769" i="1"/>
  <c r="BD769" i="1" s="1"/>
  <c r="BD1717" i="1"/>
  <c r="BC1717" i="1"/>
  <c r="BB1717" i="1"/>
  <c r="BD1687" i="1" l="1"/>
  <c r="BC1687" i="1"/>
  <c r="BB769" i="1"/>
  <c r="BC769" i="1"/>
  <c r="B365" i="1"/>
  <c r="A365" i="1"/>
  <c r="B366" i="1"/>
  <c r="B418" i="1"/>
  <c r="B440" i="1"/>
  <c r="B379" i="1"/>
  <c r="B403" i="1"/>
  <c r="B424" i="1"/>
  <c r="B446" i="1"/>
  <c r="B380" i="1"/>
  <c r="B404" i="1"/>
  <c r="B425" i="1"/>
  <c r="B447" i="1"/>
  <c r="B381" i="1"/>
  <c r="B405" i="1"/>
  <c r="B426" i="1"/>
  <c r="B448" i="1"/>
  <c r="B382" i="1"/>
  <c r="B397" i="1"/>
  <c r="B406" i="1"/>
  <c r="B427" i="1"/>
  <c r="B449" i="1"/>
  <c r="B374" i="1"/>
  <c r="B378" i="1"/>
  <c r="B373" i="1"/>
  <c r="B369" i="1"/>
  <c r="B399" i="1"/>
  <c r="B420" i="1"/>
  <c r="B442" i="1"/>
  <c r="B393" i="1"/>
  <c r="B414" i="1"/>
  <c r="B436" i="1"/>
  <c r="B458" i="1"/>
  <c r="B395" i="1"/>
  <c r="B416" i="1"/>
  <c r="B438" i="1"/>
  <c r="B460" i="1"/>
  <c r="B385" i="1"/>
  <c r="B409" i="1"/>
  <c r="B430" i="1"/>
  <c r="B452" i="1"/>
  <c r="B386" i="1"/>
  <c r="B410" i="1"/>
  <c r="B431" i="1"/>
  <c r="B453" i="1"/>
  <c r="B371" i="1"/>
  <c r="B372" i="1"/>
  <c r="B387" i="1"/>
  <c r="B384" i="1"/>
  <c r="B408" i="1"/>
  <c r="B429" i="1"/>
  <c r="B451" i="1"/>
  <c r="B383" i="1"/>
  <c r="B407" i="1"/>
  <c r="B428" i="1"/>
  <c r="B450" i="1"/>
  <c r="B391" i="1"/>
  <c r="B413" i="1"/>
  <c r="B435" i="1"/>
  <c r="B457" i="1"/>
  <c r="B389" i="1"/>
  <c r="B412" i="1"/>
  <c r="B433" i="1"/>
  <c r="B455" i="1"/>
  <c r="B388" i="1"/>
  <c r="B411" i="1"/>
  <c r="B432" i="1"/>
  <c r="B454" i="1"/>
  <c r="B368" i="1"/>
  <c r="B398" i="1"/>
  <c r="B419" i="1"/>
  <c r="B441" i="1"/>
  <c r="B377" i="1"/>
  <c r="B402" i="1"/>
  <c r="B423" i="1"/>
  <c r="B445" i="1"/>
  <c r="B370" i="1"/>
  <c r="B400" i="1"/>
  <c r="B421" i="1"/>
  <c r="B443" i="1"/>
  <c r="B376" i="1"/>
  <c r="B401" i="1"/>
  <c r="B422" i="1"/>
  <c r="B444" i="1"/>
  <c r="B390" i="1"/>
  <c r="B392" i="1"/>
  <c r="B434" i="1"/>
  <c r="B456" i="1"/>
  <c r="B394" i="1"/>
  <c r="B415" i="1"/>
  <c r="B437" i="1"/>
  <c r="B459" i="1"/>
  <c r="A459" i="1"/>
  <c r="A437" i="1"/>
  <c r="A415" i="1"/>
  <c r="A394" i="1"/>
  <c r="A456" i="1"/>
  <c r="A434" i="1"/>
  <c r="A392" i="1"/>
  <c r="A390" i="1"/>
  <c r="A444" i="1"/>
  <c r="A422" i="1"/>
  <c r="A401" i="1"/>
  <c r="A376" i="1"/>
  <c r="A443" i="1"/>
  <c r="A421" i="1"/>
  <c r="A400" i="1"/>
  <c r="A370" i="1"/>
  <c r="A445" i="1"/>
  <c r="A423" i="1"/>
  <c r="A402" i="1"/>
  <c r="A377" i="1"/>
  <c r="A441" i="1"/>
  <c r="A419" i="1"/>
  <c r="A398" i="1"/>
  <c r="A368" i="1"/>
  <c r="A454" i="1"/>
  <c r="A432" i="1"/>
  <c r="A411" i="1"/>
  <c r="A388" i="1"/>
  <c r="A455" i="1"/>
  <c r="A433" i="1"/>
  <c r="A412" i="1"/>
  <c r="A389" i="1"/>
  <c r="A457" i="1"/>
  <c r="A435" i="1"/>
  <c r="A413" i="1"/>
  <c r="A391" i="1"/>
  <c r="A450" i="1"/>
  <c r="A428" i="1"/>
  <c r="A407" i="1"/>
  <c r="A383" i="1"/>
  <c r="A451" i="1"/>
  <c r="A429" i="1"/>
  <c r="A408" i="1"/>
  <c r="A384" i="1"/>
  <c r="A387" i="1"/>
  <c r="A372" i="1"/>
  <c r="A371" i="1"/>
  <c r="A453" i="1"/>
  <c r="A431" i="1"/>
  <c r="A410" i="1"/>
  <c r="A386" i="1"/>
  <c r="A452" i="1"/>
  <c r="A430" i="1"/>
  <c r="A409" i="1"/>
  <c r="A385" i="1"/>
  <c r="A460" i="1"/>
  <c r="A438" i="1"/>
  <c r="A416" i="1"/>
  <c r="A395" i="1"/>
  <c r="A458" i="1"/>
  <c r="A436" i="1"/>
  <c r="A414" i="1"/>
  <c r="A393" i="1"/>
  <c r="A442" i="1"/>
  <c r="A420" i="1"/>
  <c r="A399" i="1"/>
  <c r="A369" i="1"/>
  <c r="A373" i="1"/>
  <c r="A378" i="1"/>
  <c r="A374" i="1"/>
  <c r="A449" i="1"/>
  <c r="A427" i="1"/>
  <c r="A406" i="1"/>
  <c r="A382" i="1"/>
  <c r="A448" i="1"/>
  <c r="A426" i="1"/>
  <c r="A405" i="1"/>
  <c r="A381" i="1"/>
  <c r="A447" i="1"/>
  <c r="A425" i="1"/>
  <c r="A404" i="1"/>
  <c r="A380" i="1"/>
  <c r="A446" i="1"/>
  <c r="A424" i="1"/>
  <c r="A403" i="1"/>
  <c r="A379" i="1"/>
  <c r="A440" i="1"/>
  <c r="A418" i="1"/>
  <c r="A397" i="1"/>
  <c r="BD459" i="1" l="1"/>
  <c r="BB459" i="1"/>
  <c r="BC459" i="1"/>
  <c r="BB456" i="1"/>
  <c r="BC456" i="1"/>
  <c r="BD456" i="1"/>
  <c r="BB444" i="1"/>
  <c r="BC444" i="1"/>
  <c r="BD444" i="1"/>
  <c r="BD443" i="1"/>
  <c r="BB443" i="1"/>
  <c r="BC443" i="1"/>
  <c r="BB445" i="1"/>
  <c r="BC445" i="1"/>
  <c r="BD445" i="1"/>
  <c r="BB441" i="1"/>
  <c r="BC441" i="1"/>
  <c r="BD441" i="1"/>
  <c r="BC454" i="1"/>
  <c r="BD454" i="1"/>
  <c r="BB454" i="1"/>
  <c r="BD455" i="1"/>
  <c r="BB455" i="1"/>
  <c r="BC455" i="1"/>
  <c r="BB457" i="1"/>
  <c r="BC457" i="1"/>
  <c r="BD457" i="1"/>
  <c r="BC450" i="1"/>
  <c r="BD450" i="1"/>
  <c r="BB450" i="1"/>
  <c r="BD451" i="1"/>
  <c r="BB451" i="1"/>
  <c r="BC451" i="1"/>
  <c r="BB387" i="1"/>
  <c r="BC387" i="1"/>
  <c r="BD387" i="1"/>
  <c r="BC431" i="1"/>
  <c r="BD431" i="1"/>
  <c r="BB431" i="1"/>
  <c r="BB430" i="1"/>
  <c r="BC430" i="1"/>
  <c r="BD430" i="1"/>
  <c r="BB438" i="1"/>
  <c r="BC438" i="1"/>
  <c r="BD438" i="1"/>
  <c r="BD436" i="1"/>
  <c r="BB436" i="1"/>
  <c r="BC436" i="1"/>
  <c r="BD420" i="1"/>
  <c r="BB420" i="1"/>
  <c r="BC420" i="1"/>
  <c r="BB378" i="1"/>
  <c r="BC378" i="1"/>
  <c r="BD378" i="1"/>
  <c r="BD406" i="1"/>
  <c r="BB406" i="1"/>
  <c r="BC406" i="1"/>
  <c r="BB426" i="1"/>
  <c r="BC426" i="1"/>
  <c r="BD426" i="1"/>
  <c r="BB425" i="1"/>
  <c r="BC425" i="1"/>
  <c r="BD425" i="1"/>
  <c r="BD424" i="1"/>
  <c r="BB424" i="1"/>
  <c r="BC424" i="1"/>
  <c r="BC418" i="1"/>
  <c r="BB418" i="1"/>
  <c r="BD418" i="1"/>
  <c r="BB437" i="1"/>
  <c r="BC437" i="1"/>
  <c r="BD437" i="1"/>
  <c r="BB434" i="1"/>
  <c r="BC434" i="1"/>
  <c r="BD434" i="1"/>
  <c r="BB422" i="1"/>
  <c r="BC422" i="1"/>
  <c r="BD422" i="1"/>
  <c r="BB421" i="1"/>
  <c r="BC421" i="1"/>
  <c r="BD421" i="1"/>
  <c r="BC423" i="1"/>
  <c r="BD423" i="1"/>
  <c r="BB423" i="1"/>
  <c r="BC419" i="1"/>
  <c r="BD419" i="1"/>
  <c r="BB419" i="1"/>
  <c r="BD432" i="1"/>
  <c r="BB432" i="1"/>
  <c r="BC432" i="1"/>
  <c r="BB433" i="1"/>
  <c r="BC433" i="1"/>
  <c r="BD433" i="1"/>
  <c r="BC435" i="1"/>
  <c r="BD435" i="1"/>
  <c r="BB435" i="1"/>
  <c r="BD428" i="1"/>
  <c r="BB428" i="1"/>
  <c r="BC428" i="1"/>
  <c r="BB429" i="1"/>
  <c r="BC429" i="1"/>
  <c r="BD429" i="1"/>
  <c r="BD372" i="1"/>
  <c r="BB372" i="1"/>
  <c r="BC372" i="1"/>
  <c r="BD410" i="1"/>
  <c r="BB410" i="1"/>
  <c r="BC410" i="1"/>
  <c r="BC409" i="1"/>
  <c r="BD409" i="1"/>
  <c r="BB409" i="1"/>
  <c r="BB416" i="1"/>
  <c r="BC416" i="1"/>
  <c r="BD416" i="1"/>
  <c r="BD414" i="1"/>
  <c r="BB414" i="1"/>
  <c r="BC414" i="1"/>
  <c r="BB399" i="1"/>
  <c r="BC399" i="1"/>
  <c r="BD399" i="1"/>
  <c r="BB374" i="1"/>
  <c r="BC374" i="1"/>
  <c r="BD374" i="1"/>
  <c r="BC397" i="1"/>
  <c r="BB397" i="1"/>
  <c r="BD397" i="1"/>
  <c r="BC405" i="1"/>
  <c r="BD405" i="1"/>
  <c r="BB405" i="1"/>
  <c r="BB404" i="1"/>
  <c r="BC404" i="1"/>
  <c r="BD404" i="1"/>
  <c r="BB403" i="1"/>
  <c r="BC403" i="1"/>
  <c r="BD403" i="1"/>
  <c r="BB415" i="1"/>
  <c r="BC415" i="1"/>
  <c r="BD415" i="1"/>
  <c r="BC401" i="1"/>
  <c r="BD401" i="1"/>
  <c r="BB401" i="1"/>
  <c r="BB400" i="1"/>
  <c r="BC400" i="1"/>
  <c r="BD400" i="1"/>
  <c r="BD402" i="1"/>
  <c r="BB402" i="1"/>
  <c r="BC402" i="1"/>
  <c r="BD398" i="1"/>
  <c r="BB398" i="1"/>
  <c r="BC398" i="1"/>
  <c r="BB411" i="1"/>
  <c r="BC411" i="1"/>
  <c r="BD411" i="1"/>
  <c r="BB412" i="1"/>
  <c r="BC412" i="1"/>
  <c r="BD412" i="1"/>
  <c r="BC413" i="1"/>
  <c r="BD413" i="1"/>
  <c r="BB413" i="1"/>
  <c r="BB407" i="1"/>
  <c r="BC407" i="1"/>
  <c r="BD407" i="1"/>
  <c r="BB408" i="1"/>
  <c r="BC408" i="1"/>
  <c r="BD408" i="1"/>
  <c r="BC371" i="1"/>
  <c r="BD371" i="1"/>
  <c r="BB371" i="1"/>
  <c r="BB386" i="1"/>
  <c r="BC386" i="1"/>
  <c r="BD386" i="1"/>
  <c r="BD385" i="1"/>
  <c r="BB385" i="1"/>
  <c r="BC385" i="1"/>
  <c r="BB395" i="1"/>
  <c r="BC395" i="1"/>
  <c r="BD395" i="1"/>
  <c r="BD393" i="1"/>
  <c r="BB393" i="1"/>
  <c r="BC393" i="1"/>
  <c r="BB369" i="1"/>
  <c r="BC369" i="1"/>
  <c r="BD369" i="1"/>
  <c r="BB449" i="1"/>
  <c r="BC449" i="1"/>
  <c r="BD449" i="1"/>
  <c r="BB382" i="1"/>
  <c r="BC382" i="1"/>
  <c r="BD382" i="1"/>
  <c r="BD381" i="1"/>
  <c r="BB381" i="1"/>
  <c r="BC381" i="1"/>
  <c r="BC380" i="1"/>
  <c r="BD380" i="1"/>
  <c r="BB380" i="1"/>
  <c r="BB379" i="1"/>
  <c r="BC379" i="1"/>
  <c r="BD379" i="1"/>
  <c r="BC392" i="1"/>
  <c r="BD392" i="1"/>
  <c r="BB392" i="1"/>
  <c r="BB394" i="1"/>
  <c r="BC394" i="1"/>
  <c r="BD394" i="1"/>
  <c r="BB390" i="1"/>
  <c r="BC390" i="1"/>
  <c r="BD390" i="1"/>
  <c r="BC376" i="1"/>
  <c r="BD376" i="1"/>
  <c r="BB376" i="1"/>
  <c r="BB370" i="1"/>
  <c r="BC370" i="1"/>
  <c r="BD370" i="1"/>
  <c r="BD377" i="1"/>
  <c r="BB377" i="1"/>
  <c r="BC377" i="1"/>
  <c r="BD368" i="1"/>
  <c r="BB368" i="1"/>
  <c r="BC368" i="1"/>
  <c r="BC388" i="1"/>
  <c r="BD388" i="1"/>
  <c r="BB388" i="1"/>
  <c r="BD389" i="1"/>
  <c r="BB389" i="1"/>
  <c r="BC389" i="1"/>
  <c r="BB391" i="1"/>
  <c r="BC391" i="1"/>
  <c r="BD391" i="1"/>
  <c r="BB383" i="1"/>
  <c r="BC383" i="1"/>
  <c r="BD383" i="1"/>
  <c r="BC384" i="1"/>
  <c r="BD384" i="1"/>
  <c r="BB384" i="1"/>
  <c r="BB453" i="1"/>
  <c r="BC453" i="1"/>
  <c r="BD453" i="1"/>
  <c r="BB452" i="1"/>
  <c r="BC452" i="1"/>
  <c r="BD452" i="1"/>
  <c r="BB460" i="1"/>
  <c r="BC460" i="1"/>
  <c r="BD460" i="1"/>
  <c r="BC458" i="1"/>
  <c r="BD458" i="1"/>
  <c r="BB458" i="1"/>
  <c r="BC442" i="1"/>
  <c r="BD442" i="1"/>
  <c r="BB442" i="1"/>
  <c r="BB373" i="1"/>
  <c r="BC373" i="1"/>
  <c r="BD373" i="1"/>
  <c r="BC427" i="1"/>
  <c r="BD427" i="1"/>
  <c r="BB427" i="1"/>
  <c r="BB448" i="1"/>
  <c r="BC448" i="1"/>
  <c r="BD448" i="1"/>
  <c r="BD447" i="1"/>
  <c r="BB447" i="1"/>
  <c r="BC447" i="1"/>
  <c r="BC446" i="1"/>
  <c r="BD446" i="1"/>
  <c r="BB446" i="1"/>
  <c r="BD440" i="1"/>
  <c r="BC440" i="1"/>
  <c r="BB440" i="1"/>
  <c r="E815" i="30"/>
  <c r="W815" i="30"/>
  <c r="X815" i="30"/>
  <c r="Y815" i="30"/>
  <c r="Z815" i="30"/>
  <c r="AA815" i="30"/>
  <c r="AB815" i="30"/>
  <c r="C809" i="30" l="1"/>
  <c r="D809" i="30"/>
  <c r="E809" i="30"/>
  <c r="F809" i="30"/>
  <c r="G809" i="30"/>
  <c r="H809" i="30"/>
  <c r="I809" i="30"/>
  <c r="J809" i="30"/>
  <c r="K809" i="30"/>
  <c r="L809" i="30"/>
  <c r="M809" i="30"/>
  <c r="N809" i="30"/>
  <c r="O809" i="30"/>
  <c r="P809" i="30"/>
  <c r="Q809" i="30"/>
  <c r="R809" i="30"/>
  <c r="S809" i="30"/>
  <c r="T809" i="30"/>
  <c r="U809" i="30"/>
  <c r="V809" i="30"/>
  <c r="W809" i="30"/>
  <c r="X809" i="30"/>
  <c r="Y809" i="30"/>
  <c r="Z809" i="30"/>
  <c r="AA809" i="30"/>
  <c r="AB809" i="30"/>
  <c r="AC809" i="30"/>
  <c r="AD809" i="30"/>
  <c r="AE809" i="30"/>
  <c r="AF809" i="30"/>
  <c r="AG809" i="30"/>
  <c r="AH809" i="30"/>
  <c r="AI809" i="30"/>
  <c r="AJ809" i="30"/>
  <c r="AK809" i="30"/>
  <c r="AL809" i="30"/>
  <c r="AM809" i="30"/>
  <c r="AN809" i="30"/>
  <c r="AO809" i="30"/>
  <c r="AP809" i="30"/>
  <c r="AQ809" i="30"/>
  <c r="AR809" i="30"/>
  <c r="AS809" i="30"/>
  <c r="AT809" i="30"/>
  <c r="AU809" i="30"/>
  <c r="AV809" i="30"/>
  <c r="AW809" i="30"/>
  <c r="AX809" i="30"/>
  <c r="AY809" i="30"/>
  <c r="AZ809" i="30"/>
  <c r="BA809" i="30"/>
  <c r="B367" i="1"/>
  <c r="BD367" i="1" s="1"/>
  <c r="BD809" i="30" s="1"/>
  <c r="A367" i="1"/>
  <c r="A809" i="30" s="1"/>
  <c r="C807" i="30"/>
  <c r="D807" i="30"/>
  <c r="E807" i="30"/>
  <c r="F807" i="30"/>
  <c r="G807" i="30"/>
  <c r="H807" i="30"/>
  <c r="I807" i="30"/>
  <c r="J807" i="30"/>
  <c r="K807" i="30"/>
  <c r="L807" i="30"/>
  <c r="M807" i="30"/>
  <c r="N807" i="30"/>
  <c r="O807" i="30"/>
  <c r="P807" i="30"/>
  <c r="Q807" i="30"/>
  <c r="R807" i="30"/>
  <c r="S807" i="30"/>
  <c r="T807" i="30"/>
  <c r="U807" i="30"/>
  <c r="V807" i="30"/>
  <c r="W807" i="30"/>
  <c r="X807" i="30"/>
  <c r="Y807" i="30"/>
  <c r="Z807" i="30"/>
  <c r="AA807" i="30"/>
  <c r="AB807" i="30"/>
  <c r="AC807" i="30"/>
  <c r="AD807" i="30"/>
  <c r="AE807" i="30"/>
  <c r="AF807" i="30"/>
  <c r="AG807" i="30"/>
  <c r="AH807" i="30"/>
  <c r="AI807" i="30"/>
  <c r="AJ807" i="30"/>
  <c r="AK807" i="30"/>
  <c r="AL807" i="30"/>
  <c r="AM807" i="30"/>
  <c r="AN807" i="30"/>
  <c r="AO807" i="30"/>
  <c r="AP807" i="30"/>
  <c r="AQ807" i="30"/>
  <c r="AR807" i="30"/>
  <c r="AS807" i="30"/>
  <c r="AT807" i="30"/>
  <c r="AU807" i="30"/>
  <c r="AV807" i="30"/>
  <c r="AW807" i="30"/>
  <c r="AX807" i="30"/>
  <c r="AY807" i="30"/>
  <c r="AZ807" i="30"/>
  <c r="BA807" i="30"/>
  <c r="C808" i="30"/>
  <c r="E808" i="30"/>
  <c r="F808" i="30"/>
  <c r="G808" i="30"/>
  <c r="H808" i="30"/>
  <c r="I808" i="30"/>
  <c r="J808" i="30"/>
  <c r="K808" i="30"/>
  <c r="L808" i="30"/>
  <c r="M808" i="30"/>
  <c r="N808" i="30"/>
  <c r="O808" i="30"/>
  <c r="P808" i="30"/>
  <c r="Q808" i="30"/>
  <c r="R808" i="30"/>
  <c r="S808" i="30"/>
  <c r="T808" i="30"/>
  <c r="U808" i="30"/>
  <c r="V808" i="30"/>
  <c r="W808" i="30"/>
  <c r="X808" i="30"/>
  <c r="Y808" i="30"/>
  <c r="Z808" i="30"/>
  <c r="AA808" i="30"/>
  <c r="AB808" i="30"/>
  <c r="AC808" i="30"/>
  <c r="AD808" i="30"/>
  <c r="AE808" i="30"/>
  <c r="AF808" i="30"/>
  <c r="AG808" i="30"/>
  <c r="AH808" i="30"/>
  <c r="AI808" i="30"/>
  <c r="AJ808" i="30"/>
  <c r="AK808" i="30"/>
  <c r="AL808" i="30"/>
  <c r="AM808" i="30"/>
  <c r="AN808" i="30"/>
  <c r="AO808" i="30"/>
  <c r="AP808" i="30"/>
  <c r="AQ808" i="30"/>
  <c r="AR808" i="30"/>
  <c r="AS808" i="30"/>
  <c r="AT808" i="30"/>
  <c r="AU808" i="30"/>
  <c r="AV808" i="30"/>
  <c r="AW808" i="30"/>
  <c r="AX808" i="30"/>
  <c r="AY808" i="30"/>
  <c r="AZ808" i="30"/>
  <c r="BA808" i="30"/>
  <c r="A810" i="30"/>
  <c r="B810" i="30"/>
  <c r="C810" i="30"/>
  <c r="E810" i="30"/>
  <c r="F810" i="30"/>
  <c r="G810" i="30"/>
  <c r="H810" i="30"/>
  <c r="I810" i="30"/>
  <c r="J810" i="30"/>
  <c r="K810" i="30"/>
  <c r="L810" i="30"/>
  <c r="M810" i="30"/>
  <c r="N810" i="30"/>
  <c r="O810" i="30"/>
  <c r="P810" i="30"/>
  <c r="Q810" i="30"/>
  <c r="R810" i="30"/>
  <c r="S810" i="30"/>
  <c r="T810" i="30"/>
  <c r="U810" i="30"/>
  <c r="V810" i="30"/>
  <c r="W810" i="30"/>
  <c r="X810" i="30"/>
  <c r="Y810" i="30"/>
  <c r="Z810" i="30"/>
  <c r="AA810" i="30"/>
  <c r="AB810" i="30"/>
  <c r="AC810" i="30"/>
  <c r="AD810" i="30"/>
  <c r="AE810" i="30"/>
  <c r="AF810" i="30"/>
  <c r="AG810" i="30"/>
  <c r="AH810" i="30"/>
  <c r="AI810" i="30"/>
  <c r="AJ810" i="30"/>
  <c r="AK810" i="30"/>
  <c r="AL810" i="30"/>
  <c r="AM810" i="30"/>
  <c r="AN810" i="30"/>
  <c r="AO810" i="30"/>
  <c r="AP810" i="30"/>
  <c r="AQ810" i="30"/>
  <c r="AR810" i="30"/>
  <c r="AS810" i="30"/>
  <c r="AT810" i="30"/>
  <c r="AU810" i="30"/>
  <c r="AV810" i="30"/>
  <c r="AW810" i="30"/>
  <c r="AX810" i="30"/>
  <c r="AY810" i="30"/>
  <c r="AZ810" i="30"/>
  <c r="BA810" i="30"/>
  <c r="BB810" i="30"/>
  <c r="BC810" i="30"/>
  <c r="BD810" i="30"/>
  <c r="A811" i="30"/>
  <c r="B811" i="30"/>
  <c r="C811" i="30"/>
  <c r="E811" i="30"/>
  <c r="F811" i="30"/>
  <c r="G811" i="30"/>
  <c r="H811" i="30"/>
  <c r="I811" i="30"/>
  <c r="J811" i="30"/>
  <c r="K811" i="30"/>
  <c r="L811" i="30"/>
  <c r="M811" i="30"/>
  <c r="N811" i="30"/>
  <c r="O811" i="30"/>
  <c r="P811" i="30"/>
  <c r="Q811" i="30"/>
  <c r="R811" i="30"/>
  <c r="S811" i="30"/>
  <c r="T811" i="30"/>
  <c r="U811" i="30"/>
  <c r="V811" i="30"/>
  <c r="W811" i="30"/>
  <c r="X811" i="30"/>
  <c r="Y811" i="30"/>
  <c r="Z811" i="30"/>
  <c r="AA811" i="30"/>
  <c r="AB811" i="30"/>
  <c r="AC811" i="30"/>
  <c r="AD811" i="30"/>
  <c r="AE811" i="30"/>
  <c r="AF811" i="30"/>
  <c r="AG811" i="30"/>
  <c r="AH811" i="30"/>
  <c r="AI811" i="30"/>
  <c r="AJ811" i="30"/>
  <c r="AK811" i="30"/>
  <c r="AL811" i="30"/>
  <c r="AM811" i="30"/>
  <c r="AN811" i="30"/>
  <c r="AO811" i="30"/>
  <c r="AP811" i="30"/>
  <c r="AQ811" i="30"/>
  <c r="AR811" i="30"/>
  <c r="AS811" i="30"/>
  <c r="AT811" i="30"/>
  <c r="AU811" i="30"/>
  <c r="AV811" i="30"/>
  <c r="AW811" i="30"/>
  <c r="AX811" i="30"/>
  <c r="AY811" i="30"/>
  <c r="AZ811" i="30"/>
  <c r="BA811" i="30"/>
  <c r="BB811" i="30"/>
  <c r="BC811" i="30"/>
  <c r="BD811" i="30"/>
  <c r="A812" i="30"/>
  <c r="B812" i="30"/>
  <c r="C812" i="30"/>
  <c r="E812" i="30"/>
  <c r="F812" i="30"/>
  <c r="G812" i="30"/>
  <c r="H812" i="30"/>
  <c r="I812" i="30"/>
  <c r="J812" i="30"/>
  <c r="K812" i="30"/>
  <c r="L812" i="30"/>
  <c r="M812" i="30"/>
  <c r="N812" i="30"/>
  <c r="O812" i="30"/>
  <c r="P812" i="30"/>
  <c r="Q812" i="30"/>
  <c r="R812" i="30"/>
  <c r="S812" i="30"/>
  <c r="T812" i="30"/>
  <c r="U812" i="30"/>
  <c r="V812" i="30"/>
  <c r="W812" i="30"/>
  <c r="X812" i="30"/>
  <c r="Y812" i="30"/>
  <c r="Z812" i="30"/>
  <c r="AA812" i="30"/>
  <c r="AB812" i="30"/>
  <c r="AC812" i="30"/>
  <c r="AD812" i="30"/>
  <c r="AE812" i="30"/>
  <c r="AF812" i="30"/>
  <c r="AG812" i="30"/>
  <c r="AH812" i="30"/>
  <c r="AI812" i="30"/>
  <c r="AJ812" i="30"/>
  <c r="AK812" i="30"/>
  <c r="AL812" i="30"/>
  <c r="AM812" i="30"/>
  <c r="AN812" i="30"/>
  <c r="AO812" i="30"/>
  <c r="AP812" i="30"/>
  <c r="AQ812" i="30"/>
  <c r="AR812" i="30"/>
  <c r="AS812" i="30"/>
  <c r="AT812" i="30"/>
  <c r="AU812" i="30"/>
  <c r="AV812" i="30"/>
  <c r="AW812" i="30"/>
  <c r="AX812" i="30"/>
  <c r="AY812" i="30"/>
  <c r="AZ812" i="30"/>
  <c r="BA812" i="30"/>
  <c r="BB812" i="30"/>
  <c r="BC812" i="30"/>
  <c r="BD812" i="30"/>
  <c r="A813" i="30"/>
  <c r="B813" i="30"/>
  <c r="C813" i="30"/>
  <c r="E813" i="30"/>
  <c r="F813" i="30"/>
  <c r="G813" i="30"/>
  <c r="H813" i="30"/>
  <c r="I813" i="30"/>
  <c r="J813" i="30"/>
  <c r="K813" i="30"/>
  <c r="L813" i="30"/>
  <c r="M813" i="30"/>
  <c r="N813" i="30"/>
  <c r="O813" i="30"/>
  <c r="P813" i="30"/>
  <c r="Q813" i="30"/>
  <c r="R813" i="30"/>
  <c r="S813" i="30"/>
  <c r="T813" i="30"/>
  <c r="U813" i="30"/>
  <c r="V813" i="30"/>
  <c r="W813" i="30"/>
  <c r="X813" i="30"/>
  <c r="Y813" i="30"/>
  <c r="Z813" i="30"/>
  <c r="AA813" i="30"/>
  <c r="AB813" i="30"/>
  <c r="AC813" i="30"/>
  <c r="AD813" i="30"/>
  <c r="AE813" i="30"/>
  <c r="AF813" i="30"/>
  <c r="AG813" i="30"/>
  <c r="AH813" i="30"/>
  <c r="AI813" i="30"/>
  <c r="AJ813" i="30"/>
  <c r="AK813" i="30"/>
  <c r="AL813" i="30"/>
  <c r="AM813" i="30"/>
  <c r="AN813" i="30"/>
  <c r="AO813" i="30"/>
  <c r="AP813" i="30"/>
  <c r="AQ813" i="30"/>
  <c r="AR813" i="30"/>
  <c r="AS813" i="30"/>
  <c r="AT813" i="30"/>
  <c r="AU813" i="30"/>
  <c r="AV813" i="30"/>
  <c r="AW813" i="30"/>
  <c r="AX813" i="30"/>
  <c r="AY813" i="30"/>
  <c r="AZ813" i="30"/>
  <c r="BA813" i="30"/>
  <c r="BB813" i="30"/>
  <c r="BC813" i="30"/>
  <c r="BD813" i="30"/>
  <c r="A817" i="30"/>
  <c r="B817" i="30"/>
  <c r="C817" i="30"/>
  <c r="D817" i="30"/>
  <c r="E817" i="30"/>
  <c r="F817" i="30"/>
  <c r="G817" i="30"/>
  <c r="H817" i="30"/>
  <c r="I817" i="30"/>
  <c r="J817" i="30"/>
  <c r="K817" i="30"/>
  <c r="L817" i="30"/>
  <c r="M817" i="30"/>
  <c r="N817" i="30"/>
  <c r="O817" i="30"/>
  <c r="P817" i="30"/>
  <c r="Q817" i="30"/>
  <c r="R817" i="30"/>
  <c r="S817" i="30"/>
  <c r="T817" i="30"/>
  <c r="U817" i="30"/>
  <c r="V817" i="30"/>
  <c r="W817" i="30"/>
  <c r="X817" i="30"/>
  <c r="Y817" i="30"/>
  <c r="Z817" i="30"/>
  <c r="AA817" i="30"/>
  <c r="AB817" i="30"/>
  <c r="AC817" i="30"/>
  <c r="AD817" i="30"/>
  <c r="AE817" i="30"/>
  <c r="AF817" i="30"/>
  <c r="AG817" i="30"/>
  <c r="AH817" i="30"/>
  <c r="AI817" i="30"/>
  <c r="AJ817" i="30"/>
  <c r="AK817" i="30"/>
  <c r="AL817" i="30"/>
  <c r="AM817" i="30"/>
  <c r="AN817" i="30"/>
  <c r="AO817" i="30"/>
  <c r="AP817" i="30"/>
  <c r="AQ817" i="30"/>
  <c r="AR817" i="30"/>
  <c r="AS817" i="30"/>
  <c r="AT817" i="30"/>
  <c r="AU817" i="30"/>
  <c r="AV817" i="30"/>
  <c r="AW817" i="30"/>
  <c r="AX817" i="30"/>
  <c r="AY817" i="30"/>
  <c r="AZ817" i="30"/>
  <c r="BA817" i="30"/>
  <c r="BB817" i="30"/>
  <c r="BC817" i="30"/>
  <c r="BD817" i="30"/>
  <c r="A818" i="30"/>
  <c r="B818" i="30"/>
  <c r="C818" i="30"/>
  <c r="D818" i="30"/>
  <c r="E818" i="30"/>
  <c r="F818" i="30"/>
  <c r="G818" i="30"/>
  <c r="H818" i="30"/>
  <c r="I818" i="30"/>
  <c r="J818" i="30"/>
  <c r="K818" i="30"/>
  <c r="L818" i="30"/>
  <c r="M818" i="30"/>
  <c r="N818" i="30"/>
  <c r="O818" i="30"/>
  <c r="P818" i="30"/>
  <c r="Q818" i="30"/>
  <c r="R818" i="30"/>
  <c r="S818" i="30"/>
  <c r="T818" i="30"/>
  <c r="U818" i="30"/>
  <c r="V818" i="30"/>
  <c r="W818" i="30"/>
  <c r="X818" i="30"/>
  <c r="Y818" i="30"/>
  <c r="Z818" i="30"/>
  <c r="AA818" i="30"/>
  <c r="AB818" i="30"/>
  <c r="AC818" i="30"/>
  <c r="AD818" i="30"/>
  <c r="AE818" i="30"/>
  <c r="AF818" i="30"/>
  <c r="AG818" i="30"/>
  <c r="AH818" i="30"/>
  <c r="AI818" i="30"/>
  <c r="AJ818" i="30"/>
  <c r="AK818" i="30"/>
  <c r="AL818" i="30"/>
  <c r="AM818" i="30"/>
  <c r="AN818" i="30"/>
  <c r="AO818" i="30"/>
  <c r="AP818" i="30"/>
  <c r="AQ818" i="30"/>
  <c r="AR818" i="30"/>
  <c r="AS818" i="30"/>
  <c r="AT818" i="30"/>
  <c r="AU818" i="30"/>
  <c r="AV818" i="30"/>
  <c r="AW818" i="30"/>
  <c r="AX818" i="30"/>
  <c r="AY818" i="30"/>
  <c r="AZ818" i="30"/>
  <c r="BA818" i="30"/>
  <c r="BB818" i="30"/>
  <c r="BC818" i="30"/>
  <c r="BD818" i="30"/>
  <c r="A819" i="30"/>
  <c r="B819" i="30"/>
  <c r="C819" i="30"/>
  <c r="D819" i="30"/>
  <c r="E819" i="30"/>
  <c r="F819" i="30"/>
  <c r="G819" i="30"/>
  <c r="H819" i="30"/>
  <c r="I819" i="30"/>
  <c r="J819" i="30"/>
  <c r="K819" i="30"/>
  <c r="L819" i="30"/>
  <c r="M819" i="30"/>
  <c r="N819" i="30"/>
  <c r="O819" i="30"/>
  <c r="P819" i="30"/>
  <c r="Q819" i="30"/>
  <c r="R819" i="30"/>
  <c r="S819" i="30"/>
  <c r="T819" i="30"/>
  <c r="U819" i="30"/>
  <c r="V819" i="30"/>
  <c r="W819" i="30"/>
  <c r="X819" i="30"/>
  <c r="Y819" i="30"/>
  <c r="Z819" i="30"/>
  <c r="AA819" i="30"/>
  <c r="AB819" i="30"/>
  <c r="AC819" i="30"/>
  <c r="AD819" i="30"/>
  <c r="AE819" i="30"/>
  <c r="AF819" i="30"/>
  <c r="AG819" i="30"/>
  <c r="AH819" i="30"/>
  <c r="AI819" i="30"/>
  <c r="AJ819" i="30"/>
  <c r="AK819" i="30"/>
  <c r="AL819" i="30"/>
  <c r="AM819" i="30"/>
  <c r="AN819" i="30"/>
  <c r="AO819" i="30"/>
  <c r="AP819" i="30"/>
  <c r="AQ819" i="30"/>
  <c r="AR819" i="30"/>
  <c r="AS819" i="30"/>
  <c r="AT819" i="30"/>
  <c r="AU819" i="30"/>
  <c r="AV819" i="30"/>
  <c r="AW819" i="30"/>
  <c r="AX819" i="30"/>
  <c r="AY819" i="30"/>
  <c r="AZ819" i="30"/>
  <c r="BA819" i="30"/>
  <c r="BB819" i="30"/>
  <c r="BC819" i="30"/>
  <c r="BD819" i="30"/>
  <c r="A814" i="30"/>
  <c r="B814" i="30"/>
  <c r="C814" i="30"/>
  <c r="E814" i="30"/>
  <c r="F814" i="30"/>
  <c r="G814" i="30"/>
  <c r="H814" i="30"/>
  <c r="I814" i="30"/>
  <c r="J814" i="30"/>
  <c r="K814" i="30"/>
  <c r="L814" i="30"/>
  <c r="M814" i="30"/>
  <c r="N814" i="30"/>
  <c r="O814" i="30"/>
  <c r="P814" i="30"/>
  <c r="Q814" i="30"/>
  <c r="R814" i="30"/>
  <c r="S814" i="30"/>
  <c r="T814" i="30"/>
  <c r="U814" i="30"/>
  <c r="V814" i="30"/>
  <c r="W814" i="30"/>
  <c r="X814" i="30"/>
  <c r="Y814" i="30"/>
  <c r="Z814" i="30"/>
  <c r="AA814" i="30"/>
  <c r="AB814" i="30"/>
  <c r="AC814" i="30"/>
  <c r="AD814" i="30"/>
  <c r="AE814" i="30"/>
  <c r="AF814" i="30"/>
  <c r="AG814" i="30"/>
  <c r="AH814" i="30"/>
  <c r="AI814" i="30"/>
  <c r="AJ814" i="30"/>
  <c r="AK814" i="30"/>
  <c r="AL814" i="30"/>
  <c r="AM814" i="30"/>
  <c r="AN814" i="30"/>
  <c r="AO814" i="30"/>
  <c r="AP814" i="30"/>
  <c r="AQ814" i="30"/>
  <c r="AR814" i="30"/>
  <c r="AS814" i="30"/>
  <c r="AT814" i="30"/>
  <c r="AU814" i="30"/>
  <c r="AV814" i="30"/>
  <c r="AW814" i="30"/>
  <c r="AX814" i="30"/>
  <c r="AY814" i="30"/>
  <c r="AZ814" i="30"/>
  <c r="BA814" i="30"/>
  <c r="BB814" i="30"/>
  <c r="BC814" i="30"/>
  <c r="BD814" i="30"/>
  <c r="A820" i="30"/>
  <c r="B820" i="30"/>
  <c r="C820" i="30"/>
  <c r="D820" i="30"/>
  <c r="E820" i="30"/>
  <c r="F820" i="30"/>
  <c r="G820" i="30"/>
  <c r="H820" i="30"/>
  <c r="I820" i="30"/>
  <c r="J820" i="30"/>
  <c r="K820" i="30"/>
  <c r="L820" i="30"/>
  <c r="M820" i="30"/>
  <c r="N820" i="30"/>
  <c r="O820" i="30"/>
  <c r="P820" i="30"/>
  <c r="Q820" i="30"/>
  <c r="R820" i="30"/>
  <c r="S820" i="30"/>
  <c r="T820" i="30"/>
  <c r="U820" i="30"/>
  <c r="V820" i="30"/>
  <c r="W820" i="30"/>
  <c r="X820" i="30"/>
  <c r="Y820" i="30"/>
  <c r="Z820" i="30"/>
  <c r="AA820" i="30"/>
  <c r="AB820" i="30"/>
  <c r="AC820" i="30"/>
  <c r="AD820" i="30"/>
  <c r="AE820" i="30"/>
  <c r="AF820" i="30"/>
  <c r="AG820" i="30"/>
  <c r="AH820" i="30"/>
  <c r="AI820" i="30"/>
  <c r="AJ820" i="30"/>
  <c r="AK820" i="30"/>
  <c r="AL820" i="30"/>
  <c r="AM820" i="30"/>
  <c r="AN820" i="30"/>
  <c r="AO820" i="30"/>
  <c r="AP820" i="30"/>
  <c r="AQ820" i="30"/>
  <c r="AR820" i="30"/>
  <c r="AS820" i="30"/>
  <c r="AT820" i="30"/>
  <c r="AU820" i="30"/>
  <c r="AV820" i="30"/>
  <c r="AW820" i="30"/>
  <c r="AX820" i="30"/>
  <c r="AY820" i="30"/>
  <c r="AZ820" i="30"/>
  <c r="BA820" i="30"/>
  <c r="BB820" i="30"/>
  <c r="BC820" i="30"/>
  <c r="BD820" i="30"/>
  <c r="A821" i="30"/>
  <c r="B821" i="30"/>
  <c r="C821" i="30"/>
  <c r="D821" i="30"/>
  <c r="E821" i="30"/>
  <c r="F821" i="30"/>
  <c r="G821" i="30"/>
  <c r="H821" i="30"/>
  <c r="I821" i="30"/>
  <c r="J821" i="30"/>
  <c r="K821" i="30"/>
  <c r="L821" i="30"/>
  <c r="M821" i="30"/>
  <c r="N821" i="30"/>
  <c r="O821" i="30"/>
  <c r="P821" i="30"/>
  <c r="Q821" i="30"/>
  <c r="R821" i="30"/>
  <c r="S821" i="30"/>
  <c r="T821" i="30"/>
  <c r="U821" i="30"/>
  <c r="V821" i="30"/>
  <c r="W821" i="30"/>
  <c r="X821" i="30"/>
  <c r="Y821" i="30"/>
  <c r="Z821" i="30"/>
  <c r="AA821" i="30"/>
  <c r="AB821" i="30"/>
  <c r="AC821" i="30"/>
  <c r="AD821" i="30"/>
  <c r="AE821" i="30"/>
  <c r="AF821" i="30"/>
  <c r="AG821" i="30"/>
  <c r="AH821" i="30"/>
  <c r="AI821" i="30"/>
  <c r="AJ821" i="30"/>
  <c r="AK821" i="30"/>
  <c r="AL821" i="30"/>
  <c r="AM821" i="30"/>
  <c r="AN821" i="30"/>
  <c r="AO821" i="30"/>
  <c r="AP821" i="30"/>
  <c r="AQ821" i="30"/>
  <c r="AR821" i="30"/>
  <c r="AS821" i="30"/>
  <c r="AT821" i="30"/>
  <c r="AU821" i="30"/>
  <c r="AV821" i="30"/>
  <c r="AW821" i="30"/>
  <c r="AX821" i="30"/>
  <c r="AY821" i="30"/>
  <c r="AZ821" i="30"/>
  <c r="BA821" i="30"/>
  <c r="BB821" i="30"/>
  <c r="BC821" i="30"/>
  <c r="BD821" i="30"/>
  <c r="A822" i="30"/>
  <c r="B822" i="30"/>
  <c r="C822" i="30"/>
  <c r="D822" i="30"/>
  <c r="E822" i="30"/>
  <c r="F822" i="30"/>
  <c r="G822" i="30"/>
  <c r="H822" i="30"/>
  <c r="I822" i="30"/>
  <c r="J822" i="30"/>
  <c r="K822" i="30"/>
  <c r="L822" i="30"/>
  <c r="M822" i="30"/>
  <c r="N822" i="30"/>
  <c r="O822" i="30"/>
  <c r="P822" i="30"/>
  <c r="Q822" i="30"/>
  <c r="R822" i="30"/>
  <c r="S822" i="30"/>
  <c r="T822" i="30"/>
  <c r="U822" i="30"/>
  <c r="V822" i="30"/>
  <c r="W822" i="30"/>
  <c r="X822" i="30"/>
  <c r="Y822" i="30"/>
  <c r="Z822" i="30"/>
  <c r="AA822" i="30"/>
  <c r="AB822" i="30"/>
  <c r="AC822" i="30"/>
  <c r="AD822" i="30"/>
  <c r="AE822" i="30"/>
  <c r="AF822" i="30"/>
  <c r="AG822" i="30"/>
  <c r="AH822" i="30"/>
  <c r="AI822" i="30"/>
  <c r="AJ822" i="30"/>
  <c r="AK822" i="30"/>
  <c r="AL822" i="30"/>
  <c r="AM822" i="30"/>
  <c r="AN822" i="30"/>
  <c r="AO822" i="30"/>
  <c r="AP822" i="30"/>
  <c r="AQ822" i="30"/>
  <c r="AR822" i="30"/>
  <c r="AS822" i="30"/>
  <c r="AT822" i="30"/>
  <c r="AU822" i="30"/>
  <c r="AV822" i="30"/>
  <c r="AW822" i="30"/>
  <c r="AX822" i="30"/>
  <c r="AY822" i="30"/>
  <c r="AZ822" i="30"/>
  <c r="BA822" i="30"/>
  <c r="BB822" i="30"/>
  <c r="BC822" i="30"/>
  <c r="BD822" i="30"/>
  <c r="A815" i="30"/>
  <c r="B815" i="30"/>
  <c r="C815" i="30"/>
  <c r="F815" i="30"/>
  <c r="G815" i="30"/>
  <c r="H815" i="30"/>
  <c r="I815" i="30"/>
  <c r="J815" i="30"/>
  <c r="K815" i="30"/>
  <c r="L815" i="30"/>
  <c r="M815" i="30"/>
  <c r="N815" i="30"/>
  <c r="O815" i="30"/>
  <c r="P815" i="30"/>
  <c r="Q815" i="30"/>
  <c r="R815" i="30"/>
  <c r="S815" i="30"/>
  <c r="T815" i="30"/>
  <c r="U815" i="30"/>
  <c r="V815" i="30"/>
  <c r="AC815" i="30"/>
  <c r="AD815" i="30"/>
  <c r="AE815" i="30"/>
  <c r="AF815" i="30"/>
  <c r="AG815" i="30"/>
  <c r="AH815" i="30"/>
  <c r="AI815" i="30"/>
  <c r="AJ815" i="30"/>
  <c r="AK815" i="30"/>
  <c r="AL815" i="30"/>
  <c r="AM815" i="30"/>
  <c r="AN815" i="30"/>
  <c r="AO815" i="30"/>
  <c r="AP815" i="30"/>
  <c r="AQ815" i="30"/>
  <c r="AR815" i="30"/>
  <c r="AS815" i="30"/>
  <c r="AT815" i="30"/>
  <c r="AU815" i="30"/>
  <c r="AV815" i="30"/>
  <c r="AW815" i="30"/>
  <c r="AX815" i="30"/>
  <c r="AY815" i="30"/>
  <c r="AZ815" i="30"/>
  <c r="BA815" i="30"/>
  <c r="BB815" i="30"/>
  <c r="BC815" i="30"/>
  <c r="BD815" i="30"/>
  <c r="A823" i="30"/>
  <c r="B823" i="30"/>
  <c r="C823" i="30"/>
  <c r="E823" i="30"/>
  <c r="F823" i="30"/>
  <c r="G823" i="30"/>
  <c r="H823" i="30"/>
  <c r="I823" i="30"/>
  <c r="J823" i="30"/>
  <c r="K823" i="30"/>
  <c r="L823" i="30"/>
  <c r="M823" i="30"/>
  <c r="N823" i="30"/>
  <c r="O823" i="30"/>
  <c r="P823" i="30"/>
  <c r="Q823" i="30"/>
  <c r="R823" i="30"/>
  <c r="S823" i="30"/>
  <c r="T823" i="30"/>
  <c r="U823" i="30"/>
  <c r="V823" i="30"/>
  <c r="W823" i="30"/>
  <c r="X823" i="30"/>
  <c r="Y823" i="30"/>
  <c r="Z823" i="30"/>
  <c r="AA823" i="30"/>
  <c r="AB823" i="30"/>
  <c r="AC823" i="30"/>
  <c r="AD823" i="30"/>
  <c r="AE823" i="30"/>
  <c r="AF823" i="30"/>
  <c r="AG823" i="30"/>
  <c r="AH823" i="30"/>
  <c r="AI823" i="30"/>
  <c r="AJ823" i="30"/>
  <c r="AK823" i="30"/>
  <c r="AL823" i="30"/>
  <c r="AM823" i="30"/>
  <c r="AN823" i="30"/>
  <c r="AO823" i="30"/>
  <c r="AP823" i="30"/>
  <c r="AQ823" i="30"/>
  <c r="AR823" i="30"/>
  <c r="AS823" i="30"/>
  <c r="AT823" i="30"/>
  <c r="AU823" i="30"/>
  <c r="AV823" i="30"/>
  <c r="AW823" i="30"/>
  <c r="AX823" i="30"/>
  <c r="AY823" i="30"/>
  <c r="AZ823" i="30"/>
  <c r="BA823" i="30"/>
  <c r="BB823" i="30"/>
  <c r="BC823" i="30"/>
  <c r="BD823" i="30"/>
  <c r="A824" i="30"/>
  <c r="B824" i="30"/>
  <c r="C824" i="30"/>
  <c r="E824" i="30"/>
  <c r="F824" i="30"/>
  <c r="G824" i="30"/>
  <c r="H824" i="30"/>
  <c r="I824" i="30"/>
  <c r="J824" i="30"/>
  <c r="K824" i="30"/>
  <c r="L824" i="30"/>
  <c r="M824" i="30"/>
  <c r="N824" i="30"/>
  <c r="O824" i="30"/>
  <c r="P824" i="30"/>
  <c r="Q824" i="30"/>
  <c r="R824" i="30"/>
  <c r="S824" i="30"/>
  <c r="T824" i="30"/>
  <c r="U824" i="30"/>
  <c r="V824" i="30"/>
  <c r="W824" i="30"/>
  <c r="X824" i="30"/>
  <c r="Y824" i="30"/>
  <c r="Z824" i="30"/>
  <c r="AA824" i="30"/>
  <c r="AB824" i="30"/>
  <c r="AC824" i="30"/>
  <c r="AD824" i="30"/>
  <c r="AE824" i="30"/>
  <c r="AF824" i="30"/>
  <c r="AG824" i="30"/>
  <c r="AH824" i="30"/>
  <c r="AI824" i="30"/>
  <c r="AJ824" i="30"/>
  <c r="AK824" i="30"/>
  <c r="AL824" i="30"/>
  <c r="AM824" i="30"/>
  <c r="AN824" i="30"/>
  <c r="AO824" i="30"/>
  <c r="AP824" i="30"/>
  <c r="AQ824" i="30"/>
  <c r="AR824" i="30"/>
  <c r="AS824" i="30"/>
  <c r="AT824" i="30"/>
  <c r="AU824" i="30"/>
  <c r="AV824" i="30"/>
  <c r="AW824" i="30"/>
  <c r="AX824" i="30"/>
  <c r="AY824" i="30"/>
  <c r="AZ824" i="30"/>
  <c r="BA824" i="30"/>
  <c r="BB824" i="30"/>
  <c r="BC824" i="30"/>
  <c r="BD824" i="30"/>
  <c r="A825" i="30"/>
  <c r="B825" i="30"/>
  <c r="C825" i="30"/>
  <c r="E825" i="30"/>
  <c r="F825" i="30"/>
  <c r="G825" i="30"/>
  <c r="H825" i="30"/>
  <c r="I825" i="30"/>
  <c r="J825" i="30"/>
  <c r="K825" i="30"/>
  <c r="L825" i="30"/>
  <c r="M825" i="30"/>
  <c r="N825" i="30"/>
  <c r="O825" i="30"/>
  <c r="P825" i="30"/>
  <c r="Q825" i="30"/>
  <c r="R825" i="30"/>
  <c r="S825" i="30"/>
  <c r="T825" i="30"/>
  <c r="U825" i="30"/>
  <c r="V825" i="30"/>
  <c r="W825" i="30"/>
  <c r="X825" i="30"/>
  <c r="Y825" i="30"/>
  <c r="Z825" i="30"/>
  <c r="AA825" i="30"/>
  <c r="AB825" i="30"/>
  <c r="AC825" i="30"/>
  <c r="AD825" i="30"/>
  <c r="AE825" i="30"/>
  <c r="AF825" i="30"/>
  <c r="AG825" i="30"/>
  <c r="AH825" i="30"/>
  <c r="AI825" i="30"/>
  <c r="AJ825" i="30"/>
  <c r="AK825" i="30"/>
  <c r="AL825" i="30"/>
  <c r="AM825" i="30"/>
  <c r="AN825" i="30"/>
  <c r="AO825" i="30"/>
  <c r="AP825" i="30"/>
  <c r="AQ825" i="30"/>
  <c r="AR825" i="30"/>
  <c r="AS825" i="30"/>
  <c r="AT825" i="30"/>
  <c r="AU825" i="30"/>
  <c r="AV825" i="30"/>
  <c r="AW825" i="30"/>
  <c r="AX825" i="30"/>
  <c r="AY825" i="30"/>
  <c r="AZ825" i="30"/>
  <c r="BA825" i="30"/>
  <c r="BB825" i="30"/>
  <c r="BC825" i="30"/>
  <c r="BD825" i="30"/>
  <c r="A816" i="30"/>
  <c r="B816" i="30"/>
  <c r="C816" i="30"/>
  <c r="E816" i="30"/>
  <c r="F816" i="30"/>
  <c r="G816" i="30"/>
  <c r="H816" i="30"/>
  <c r="I816" i="30"/>
  <c r="J816" i="30"/>
  <c r="K816" i="30"/>
  <c r="L816" i="30"/>
  <c r="M816" i="30"/>
  <c r="N816" i="30"/>
  <c r="O816" i="30"/>
  <c r="P816" i="30"/>
  <c r="Q816" i="30"/>
  <c r="R816" i="30"/>
  <c r="S816" i="30"/>
  <c r="T816" i="30"/>
  <c r="U816" i="30"/>
  <c r="V816" i="30"/>
  <c r="W816" i="30"/>
  <c r="X816" i="30"/>
  <c r="Y816" i="30"/>
  <c r="Z816" i="30"/>
  <c r="AA816" i="30"/>
  <c r="AB816" i="30"/>
  <c r="AC816" i="30"/>
  <c r="AD816" i="30"/>
  <c r="AE816" i="30"/>
  <c r="AF816" i="30"/>
  <c r="AG816" i="30"/>
  <c r="AH816" i="30"/>
  <c r="AI816" i="30"/>
  <c r="AJ816" i="30"/>
  <c r="AK816" i="30"/>
  <c r="AL816" i="30"/>
  <c r="AM816" i="30"/>
  <c r="AN816" i="30"/>
  <c r="AO816" i="30"/>
  <c r="AP816" i="30"/>
  <c r="AQ816" i="30"/>
  <c r="AR816" i="30"/>
  <c r="AS816" i="30"/>
  <c r="AT816" i="30"/>
  <c r="AU816" i="30"/>
  <c r="AV816" i="30"/>
  <c r="AW816" i="30"/>
  <c r="AX816" i="30"/>
  <c r="AY816" i="30"/>
  <c r="AZ816" i="30"/>
  <c r="BA816" i="30"/>
  <c r="BB816" i="30"/>
  <c r="BC816" i="30"/>
  <c r="BD816" i="30"/>
  <c r="A826" i="30"/>
  <c r="B826" i="30"/>
  <c r="C826" i="30"/>
  <c r="D826" i="30"/>
  <c r="E826" i="30"/>
  <c r="F826" i="30"/>
  <c r="G826" i="30"/>
  <c r="H826" i="30"/>
  <c r="I826" i="30"/>
  <c r="J826" i="30"/>
  <c r="K826" i="30"/>
  <c r="L826" i="30"/>
  <c r="M826" i="30"/>
  <c r="N826" i="30"/>
  <c r="O826" i="30"/>
  <c r="P826" i="30"/>
  <c r="Q826" i="30"/>
  <c r="R826" i="30"/>
  <c r="S826" i="30"/>
  <c r="T826" i="30"/>
  <c r="U826" i="30"/>
  <c r="V826" i="30"/>
  <c r="W826" i="30"/>
  <c r="X826" i="30"/>
  <c r="Y826" i="30"/>
  <c r="Z826" i="30"/>
  <c r="AA826" i="30"/>
  <c r="AB826" i="30"/>
  <c r="AC826" i="30"/>
  <c r="AD826" i="30"/>
  <c r="AE826" i="30"/>
  <c r="AF826" i="30"/>
  <c r="AG826" i="30"/>
  <c r="AH826" i="30"/>
  <c r="AI826" i="30"/>
  <c r="AJ826" i="30"/>
  <c r="AK826" i="30"/>
  <c r="AL826" i="30"/>
  <c r="AM826" i="30"/>
  <c r="AN826" i="30"/>
  <c r="AO826" i="30"/>
  <c r="AP826" i="30"/>
  <c r="AQ826" i="30"/>
  <c r="AR826" i="30"/>
  <c r="AS826" i="30"/>
  <c r="AT826" i="30"/>
  <c r="AU826" i="30"/>
  <c r="AV826" i="30"/>
  <c r="AW826" i="30"/>
  <c r="AX826" i="30"/>
  <c r="AY826" i="30"/>
  <c r="AZ826" i="30"/>
  <c r="BA826" i="30"/>
  <c r="BB826" i="30"/>
  <c r="BC826" i="30"/>
  <c r="BD826" i="30"/>
  <c r="A827" i="30"/>
  <c r="B827" i="30"/>
  <c r="C827" i="30"/>
  <c r="D827" i="30"/>
  <c r="E827" i="30"/>
  <c r="F827" i="30"/>
  <c r="G827" i="30"/>
  <c r="H827" i="30"/>
  <c r="I827" i="30"/>
  <c r="J827" i="30"/>
  <c r="K827" i="30"/>
  <c r="L827" i="30"/>
  <c r="M827" i="30"/>
  <c r="N827" i="30"/>
  <c r="O827" i="30"/>
  <c r="P827" i="30"/>
  <c r="Q827" i="30"/>
  <c r="R827" i="30"/>
  <c r="S827" i="30"/>
  <c r="T827" i="30"/>
  <c r="U827" i="30"/>
  <c r="V827" i="30"/>
  <c r="W827" i="30"/>
  <c r="X827" i="30"/>
  <c r="Y827" i="30"/>
  <c r="Z827" i="30"/>
  <c r="AA827" i="30"/>
  <c r="AB827" i="30"/>
  <c r="AC827" i="30"/>
  <c r="AD827" i="30"/>
  <c r="AE827" i="30"/>
  <c r="AF827" i="30"/>
  <c r="AG827" i="30"/>
  <c r="AH827" i="30"/>
  <c r="AI827" i="30"/>
  <c r="AJ827" i="30"/>
  <c r="AK827" i="30"/>
  <c r="AL827" i="30"/>
  <c r="AM827" i="30"/>
  <c r="AN827" i="30"/>
  <c r="AO827" i="30"/>
  <c r="AP827" i="30"/>
  <c r="AQ827" i="30"/>
  <c r="AR827" i="30"/>
  <c r="AS827" i="30"/>
  <c r="AT827" i="30"/>
  <c r="AU827" i="30"/>
  <c r="AV827" i="30"/>
  <c r="AW827" i="30"/>
  <c r="AX827" i="30"/>
  <c r="AY827" i="30"/>
  <c r="AZ827" i="30"/>
  <c r="BA827" i="30"/>
  <c r="BB827" i="30"/>
  <c r="BC827" i="30"/>
  <c r="BD827" i="30"/>
  <c r="A828" i="30"/>
  <c r="B828" i="30"/>
  <c r="C828" i="30"/>
  <c r="D828" i="30"/>
  <c r="E828" i="30"/>
  <c r="F828" i="30"/>
  <c r="G828" i="30"/>
  <c r="H828" i="30"/>
  <c r="I828" i="30"/>
  <c r="J828" i="30"/>
  <c r="K828" i="30"/>
  <c r="L828" i="30"/>
  <c r="M828" i="30"/>
  <c r="N828" i="30"/>
  <c r="O828" i="30"/>
  <c r="P828" i="30"/>
  <c r="Q828" i="30"/>
  <c r="R828" i="30"/>
  <c r="S828" i="30"/>
  <c r="T828" i="30"/>
  <c r="U828" i="30"/>
  <c r="V828" i="30"/>
  <c r="W828" i="30"/>
  <c r="X828" i="30"/>
  <c r="Y828" i="30"/>
  <c r="Z828" i="30"/>
  <c r="AA828" i="30"/>
  <c r="AB828" i="30"/>
  <c r="AC828" i="30"/>
  <c r="AD828" i="30"/>
  <c r="AE828" i="30"/>
  <c r="AF828" i="30"/>
  <c r="AG828" i="30"/>
  <c r="AH828" i="30"/>
  <c r="AI828" i="30"/>
  <c r="AJ828" i="30"/>
  <c r="AK828" i="30"/>
  <c r="AL828" i="30"/>
  <c r="AM828" i="30"/>
  <c r="AN828" i="30"/>
  <c r="AO828" i="30"/>
  <c r="AP828" i="30"/>
  <c r="AQ828" i="30"/>
  <c r="AR828" i="30"/>
  <c r="AS828" i="30"/>
  <c r="AT828" i="30"/>
  <c r="AU828" i="30"/>
  <c r="AV828" i="30"/>
  <c r="AW828" i="30"/>
  <c r="AX828" i="30"/>
  <c r="AY828" i="30"/>
  <c r="AZ828" i="30"/>
  <c r="BA828" i="30"/>
  <c r="BB828" i="30"/>
  <c r="BC828" i="30"/>
  <c r="BD828" i="30"/>
  <c r="A829" i="30"/>
  <c r="B829" i="30"/>
  <c r="C829" i="30"/>
  <c r="D829" i="30"/>
  <c r="E829" i="30"/>
  <c r="F829" i="30"/>
  <c r="G829" i="30"/>
  <c r="H829" i="30"/>
  <c r="I829" i="30"/>
  <c r="J829" i="30"/>
  <c r="K829" i="30"/>
  <c r="L829" i="30"/>
  <c r="M829" i="30"/>
  <c r="N829" i="30"/>
  <c r="O829" i="30"/>
  <c r="P829" i="30"/>
  <c r="Q829" i="30"/>
  <c r="R829" i="30"/>
  <c r="S829" i="30"/>
  <c r="T829" i="30"/>
  <c r="U829" i="30"/>
  <c r="V829" i="30"/>
  <c r="W829" i="30"/>
  <c r="X829" i="30"/>
  <c r="Y829" i="30"/>
  <c r="Z829" i="30"/>
  <c r="AA829" i="30"/>
  <c r="AB829" i="30"/>
  <c r="AC829" i="30"/>
  <c r="AD829" i="30"/>
  <c r="AE829" i="30"/>
  <c r="AF829" i="30"/>
  <c r="AG829" i="30"/>
  <c r="AH829" i="30"/>
  <c r="AI829" i="30"/>
  <c r="AJ829" i="30"/>
  <c r="AK829" i="30"/>
  <c r="AL829" i="30"/>
  <c r="AM829" i="30"/>
  <c r="AN829" i="30"/>
  <c r="AO829" i="30"/>
  <c r="AP829" i="30"/>
  <c r="AQ829" i="30"/>
  <c r="AR829" i="30"/>
  <c r="AS829" i="30"/>
  <c r="AT829" i="30"/>
  <c r="AU829" i="30"/>
  <c r="AV829" i="30"/>
  <c r="AW829" i="30"/>
  <c r="AX829" i="30"/>
  <c r="AY829" i="30"/>
  <c r="AZ829" i="30"/>
  <c r="BA829" i="30"/>
  <c r="BB829" i="30"/>
  <c r="BC829" i="30"/>
  <c r="BD829" i="30"/>
  <c r="A830" i="30"/>
  <c r="B830" i="30"/>
  <c r="C830" i="30"/>
  <c r="D830" i="30"/>
  <c r="E830" i="30"/>
  <c r="F830" i="30"/>
  <c r="G830" i="30"/>
  <c r="H830" i="30"/>
  <c r="I830" i="30"/>
  <c r="J830" i="30"/>
  <c r="K830" i="30"/>
  <c r="L830" i="30"/>
  <c r="M830" i="30"/>
  <c r="N830" i="30"/>
  <c r="O830" i="30"/>
  <c r="P830" i="30"/>
  <c r="Q830" i="30"/>
  <c r="R830" i="30"/>
  <c r="S830" i="30"/>
  <c r="T830" i="30"/>
  <c r="U830" i="30"/>
  <c r="V830" i="30"/>
  <c r="W830" i="30"/>
  <c r="X830" i="30"/>
  <c r="Y830" i="30"/>
  <c r="Z830" i="30"/>
  <c r="AA830" i="30"/>
  <c r="AB830" i="30"/>
  <c r="AC830" i="30"/>
  <c r="AD830" i="30"/>
  <c r="AE830" i="30"/>
  <c r="AF830" i="30"/>
  <c r="AG830" i="30"/>
  <c r="AH830" i="30"/>
  <c r="AI830" i="30"/>
  <c r="AJ830" i="30"/>
  <c r="AK830" i="30"/>
  <c r="AL830" i="30"/>
  <c r="AM830" i="30"/>
  <c r="AN830" i="30"/>
  <c r="AO830" i="30"/>
  <c r="AP830" i="30"/>
  <c r="AQ830" i="30"/>
  <c r="AR830" i="30"/>
  <c r="AS830" i="30"/>
  <c r="AT830" i="30"/>
  <c r="AU830" i="30"/>
  <c r="AV830" i="30"/>
  <c r="AW830" i="30"/>
  <c r="AX830" i="30"/>
  <c r="AY830" i="30"/>
  <c r="AZ830" i="30"/>
  <c r="BA830" i="30"/>
  <c r="BB830" i="30"/>
  <c r="BC830" i="30"/>
  <c r="BD830" i="30"/>
  <c r="A831" i="30"/>
  <c r="B831" i="30"/>
  <c r="C831" i="30"/>
  <c r="D831" i="30"/>
  <c r="E831" i="30"/>
  <c r="F831" i="30"/>
  <c r="G831" i="30"/>
  <c r="H831" i="30"/>
  <c r="I831" i="30"/>
  <c r="J831" i="30"/>
  <c r="K831" i="30"/>
  <c r="L831" i="30"/>
  <c r="M831" i="30"/>
  <c r="N831" i="30"/>
  <c r="O831" i="30"/>
  <c r="P831" i="30"/>
  <c r="Q831" i="30"/>
  <c r="R831" i="30"/>
  <c r="S831" i="30"/>
  <c r="T831" i="30"/>
  <c r="U831" i="30"/>
  <c r="V831" i="30"/>
  <c r="W831" i="30"/>
  <c r="X831" i="30"/>
  <c r="Y831" i="30"/>
  <c r="Z831" i="30"/>
  <c r="AA831" i="30"/>
  <c r="AB831" i="30"/>
  <c r="AC831" i="30"/>
  <c r="AD831" i="30"/>
  <c r="AE831" i="30"/>
  <c r="AF831" i="30"/>
  <c r="AG831" i="30"/>
  <c r="AH831" i="30"/>
  <c r="AI831" i="30"/>
  <c r="AJ831" i="30"/>
  <c r="AK831" i="30"/>
  <c r="AL831" i="30"/>
  <c r="AM831" i="30"/>
  <c r="AN831" i="30"/>
  <c r="AO831" i="30"/>
  <c r="AP831" i="30"/>
  <c r="AQ831" i="30"/>
  <c r="AR831" i="30"/>
  <c r="AS831" i="30"/>
  <c r="AT831" i="30"/>
  <c r="AU831" i="30"/>
  <c r="AV831" i="30"/>
  <c r="AW831" i="30"/>
  <c r="AX831" i="30"/>
  <c r="AY831" i="30"/>
  <c r="AZ831" i="30"/>
  <c r="BA831" i="30"/>
  <c r="BB831" i="30"/>
  <c r="BC831" i="30"/>
  <c r="BD831" i="30"/>
  <c r="A832" i="30"/>
  <c r="B832" i="30"/>
  <c r="C832" i="30"/>
  <c r="E832" i="30"/>
  <c r="F832" i="30"/>
  <c r="G832" i="30"/>
  <c r="H832" i="30"/>
  <c r="I832" i="30"/>
  <c r="J832" i="30"/>
  <c r="K832" i="30"/>
  <c r="L832" i="30"/>
  <c r="M832" i="30"/>
  <c r="N832" i="30"/>
  <c r="O832" i="30"/>
  <c r="P832" i="30"/>
  <c r="Q832" i="30"/>
  <c r="R832" i="30"/>
  <c r="S832" i="30"/>
  <c r="T832" i="30"/>
  <c r="U832" i="30"/>
  <c r="V832" i="30"/>
  <c r="W832" i="30"/>
  <c r="X832" i="30"/>
  <c r="Y832" i="30"/>
  <c r="Z832" i="30"/>
  <c r="AA832" i="30"/>
  <c r="AB832" i="30"/>
  <c r="AC832" i="30"/>
  <c r="AD832" i="30"/>
  <c r="AE832" i="30"/>
  <c r="AF832" i="30"/>
  <c r="AG832" i="30"/>
  <c r="AH832" i="30"/>
  <c r="AI832" i="30"/>
  <c r="AJ832" i="30"/>
  <c r="AK832" i="30"/>
  <c r="AL832" i="30"/>
  <c r="AM832" i="30"/>
  <c r="AN832" i="30"/>
  <c r="AO832" i="30"/>
  <c r="AP832" i="30"/>
  <c r="AQ832" i="30"/>
  <c r="AR832" i="30"/>
  <c r="AS832" i="30"/>
  <c r="AT832" i="30"/>
  <c r="AU832" i="30"/>
  <c r="AV832" i="30"/>
  <c r="AW832" i="30"/>
  <c r="AX832" i="30"/>
  <c r="AY832" i="30"/>
  <c r="AZ832" i="30"/>
  <c r="BA832" i="30"/>
  <c r="BB832" i="30"/>
  <c r="BC832" i="30"/>
  <c r="BD832" i="30"/>
  <c r="A848" i="30"/>
  <c r="B848" i="30"/>
  <c r="C848" i="30"/>
  <c r="D848" i="30"/>
  <c r="E848" i="30"/>
  <c r="F848" i="30"/>
  <c r="G848" i="30"/>
  <c r="H848" i="30"/>
  <c r="I848" i="30"/>
  <c r="J848" i="30"/>
  <c r="K848" i="30"/>
  <c r="L848" i="30"/>
  <c r="M848" i="30"/>
  <c r="N848" i="30"/>
  <c r="O848" i="30"/>
  <c r="P848" i="30"/>
  <c r="Q848" i="30"/>
  <c r="R848" i="30"/>
  <c r="S848" i="30"/>
  <c r="T848" i="30"/>
  <c r="U848" i="30"/>
  <c r="V848" i="30"/>
  <c r="W848" i="30"/>
  <c r="X848" i="30"/>
  <c r="Y848" i="30"/>
  <c r="Z848" i="30"/>
  <c r="AA848" i="30"/>
  <c r="AB848" i="30"/>
  <c r="AC848" i="30"/>
  <c r="AD848" i="30"/>
  <c r="AE848" i="30"/>
  <c r="AF848" i="30"/>
  <c r="AG848" i="30"/>
  <c r="AH848" i="30"/>
  <c r="AI848" i="30"/>
  <c r="AJ848" i="30"/>
  <c r="AK848" i="30"/>
  <c r="AL848" i="30"/>
  <c r="AM848" i="30"/>
  <c r="AN848" i="30"/>
  <c r="AO848" i="30"/>
  <c r="AP848" i="30"/>
  <c r="AQ848" i="30"/>
  <c r="AR848" i="30"/>
  <c r="AS848" i="30"/>
  <c r="AT848" i="30"/>
  <c r="AU848" i="30"/>
  <c r="AV848" i="30"/>
  <c r="AW848" i="30"/>
  <c r="AX848" i="30"/>
  <c r="AY848" i="30"/>
  <c r="AZ848" i="30"/>
  <c r="BA848" i="30"/>
  <c r="BB848" i="30"/>
  <c r="BC848" i="30"/>
  <c r="BD848" i="30"/>
  <c r="A849" i="30"/>
  <c r="B849" i="30"/>
  <c r="C849" i="30"/>
  <c r="D849" i="30"/>
  <c r="E849" i="30"/>
  <c r="F849" i="30"/>
  <c r="G849" i="30"/>
  <c r="H849" i="30"/>
  <c r="I849" i="30"/>
  <c r="J849" i="30"/>
  <c r="K849" i="30"/>
  <c r="L849" i="30"/>
  <c r="M849" i="30"/>
  <c r="N849" i="30"/>
  <c r="O849" i="30"/>
  <c r="P849" i="30"/>
  <c r="Q849" i="30"/>
  <c r="R849" i="30"/>
  <c r="S849" i="30"/>
  <c r="T849" i="30"/>
  <c r="U849" i="30"/>
  <c r="V849" i="30"/>
  <c r="W849" i="30"/>
  <c r="X849" i="30"/>
  <c r="Y849" i="30"/>
  <c r="Z849" i="30"/>
  <c r="AA849" i="30"/>
  <c r="AB849" i="30"/>
  <c r="AC849" i="30"/>
  <c r="AD849" i="30"/>
  <c r="AE849" i="30"/>
  <c r="AF849" i="30"/>
  <c r="AG849" i="30"/>
  <c r="AH849" i="30"/>
  <c r="AI849" i="30"/>
  <c r="AJ849" i="30"/>
  <c r="AK849" i="30"/>
  <c r="AL849" i="30"/>
  <c r="AM849" i="30"/>
  <c r="AN849" i="30"/>
  <c r="AO849" i="30"/>
  <c r="AP849" i="30"/>
  <c r="AQ849" i="30"/>
  <c r="AR849" i="30"/>
  <c r="AS849" i="30"/>
  <c r="AT849" i="30"/>
  <c r="AU849" i="30"/>
  <c r="AV849" i="30"/>
  <c r="AW849" i="30"/>
  <c r="AX849" i="30"/>
  <c r="AY849" i="30"/>
  <c r="AZ849" i="30"/>
  <c r="BA849" i="30"/>
  <c r="BB849" i="30"/>
  <c r="BC849" i="30"/>
  <c r="BD849" i="30"/>
  <c r="A850" i="30"/>
  <c r="B850" i="30"/>
  <c r="C850" i="30"/>
  <c r="D850" i="30"/>
  <c r="E850" i="30"/>
  <c r="F850" i="30"/>
  <c r="G850" i="30"/>
  <c r="H850" i="30"/>
  <c r="I850" i="30"/>
  <c r="J850" i="30"/>
  <c r="K850" i="30"/>
  <c r="L850" i="30"/>
  <c r="M850" i="30"/>
  <c r="N850" i="30"/>
  <c r="O850" i="30"/>
  <c r="P850" i="30"/>
  <c r="Q850" i="30"/>
  <c r="R850" i="30"/>
  <c r="S850" i="30"/>
  <c r="T850" i="30"/>
  <c r="U850" i="30"/>
  <c r="V850" i="30"/>
  <c r="W850" i="30"/>
  <c r="X850" i="30"/>
  <c r="Y850" i="30"/>
  <c r="Z850" i="30"/>
  <c r="AA850" i="30"/>
  <c r="AB850" i="30"/>
  <c r="AC850" i="30"/>
  <c r="AD850" i="30"/>
  <c r="AE850" i="30"/>
  <c r="AF850" i="30"/>
  <c r="AG850" i="30"/>
  <c r="AH850" i="30"/>
  <c r="AI850" i="30"/>
  <c r="AJ850" i="30"/>
  <c r="AK850" i="30"/>
  <c r="AL850" i="30"/>
  <c r="AM850" i="30"/>
  <c r="AN850" i="30"/>
  <c r="AO850" i="30"/>
  <c r="AP850" i="30"/>
  <c r="AQ850" i="30"/>
  <c r="AR850" i="30"/>
  <c r="AS850" i="30"/>
  <c r="AT850" i="30"/>
  <c r="AU850" i="30"/>
  <c r="AV850" i="30"/>
  <c r="AW850" i="30"/>
  <c r="AX850" i="30"/>
  <c r="AY850" i="30"/>
  <c r="AZ850" i="30"/>
  <c r="BA850" i="30"/>
  <c r="BB850" i="30"/>
  <c r="BC850" i="30"/>
  <c r="BD850" i="30"/>
  <c r="A833" i="30"/>
  <c r="B833" i="30"/>
  <c r="C833" i="30"/>
  <c r="E833" i="30"/>
  <c r="F833" i="30"/>
  <c r="G833" i="30"/>
  <c r="H833" i="30"/>
  <c r="I833" i="30"/>
  <c r="J833" i="30"/>
  <c r="K833" i="30"/>
  <c r="L833" i="30"/>
  <c r="M833" i="30"/>
  <c r="N833" i="30"/>
  <c r="O833" i="30"/>
  <c r="P833" i="30"/>
  <c r="Q833" i="30"/>
  <c r="R833" i="30"/>
  <c r="S833" i="30"/>
  <c r="T833" i="30"/>
  <c r="U833" i="30"/>
  <c r="V833" i="30"/>
  <c r="W833" i="30"/>
  <c r="X833" i="30"/>
  <c r="Y833" i="30"/>
  <c r="Z833" i="30"/>
  <c r="AA833" i="30"/>
  <c r="AB833" i="30"/>
  <c r="AC833" i="30"/>
  <c r="AD833" i="30"/>
  <c r="AE833" i="30"/>
  <c r="AF833" i="30"/>
  <c r="AG833" i="30"/>
  <c r="AH833" i="30"/>
  <c r="AI833" i="30"/>
  <c r="AJ833" i="30"/>
  <c r="AK833" i="30"/>
  <c r="AL833" i="30"/>
  <c r="AM833" i="30"/>
  <c r="AN833" i="30"/>
  <c r="AO833" i="30"/>
  <c r="AP833" i="30"/>
  <c r="AQ833" i="30"/>
  <c r="AR833" i="30"/>
  <c r="AS833" i="30"/>
  <c r="AT833" i="30"/>
  <c r="AU833" i="30"/>
  <c r="AV833" i="30"/>
  <c r="AW833" i="30"/>
  <c r="AX833" i="30"/>
  <c r="AY833" i="30"/>
  <c r="AZ833" i="30"/>
  <c r="BA833" i="30"/>
  <c r="BB833" i="30"/>
  <c r="BC833" i="30"/>
  <c r="BD833" i="30"/>
  <c r="A851" i="30"/>
  <c r="B851" i="30"/>
  <c r="C851" i="30"/>
  <c r="D851" i="30"/>
  <c r="E851" i="30"/>
  <c r="F851" i="30"/>
  <c r="G851" i="30"/>
  <c r="H851" i="30"/>
  <c r="I851" i="30"/>
  <c r="J851" i="30"/>
  <c r="K851" i="30"/>
  <c r="L851" i="30"/>
  <c r="M851" i="30"/>
  <c r="N851" i="30"/>
  <c r="O851" i="30"/>
  <c r="P851" i="30"/>
  <c r="Q851" i="30"/>
  <c r="R851" i="30"/>
  <c r="S851" i="30"/>
  <c r="T851" i="30"/>
  <c r="U851" i="30"/>
  <c r="V851" i="30"/>
  <c r="W851" i="30"/>
  <c r="X851" i="30"/>
  <c r="Y851" i="30"/>
  <c r="Z851" i="30"/>
  <c r="AA851" i="30"/>
  <c r="AB851" i="30"/>
  <c r="AC851" i="30"/>
  <c r="AD851" i="30"/>
  <c r="AE851" i="30"/>
  <c r="AF851" i="30"/>
  <c r="AG851" i="30"/>
  <c r="AH851" i="30"/>
  <c r="AI851" i="30"/>
  <c r="AJ851" i="30"/>
  <c r="AK851" i="30"/>
  <c r="AL851" i="30"/>
  <c r="AM851" i="30"/>
  <c r="AN851" i="30"/>
  <c r="AO851" i="30"/>
  <c r="AP851" i="30"/>
  <c r="AQ851" i="30"/>
  <c r="AR851" i="30"/>
  <c r="AS851" i="30"/>
  <c r="AT851" i="30"/>
  <c r="AU851" i="30"/>
  <c r="AV851" i="30"/>
  <c r="AW851" i="30"/>
  <c r="AX851" i="30"/>
  <c r="AY851" i="30"/>
  <c r="AZ851" i="30"/>
  <c r="BA851" i="30"/>
  <c r="BB851" i="30"/>
  <c r="BC851" i="30"/>
  <c r="BD851" i="30"/>
  <c r="A852" i="30"/>
  <c r="B852" i="30"/>
  <c r="C852" i="30"/>
  <c r="D852" i="30"/>
  <c r="E852" i="30"/>
  <c r="F852" i="30"/>
  <c r="G852" i="30"/>
  <c r="H852" i="30"/>
  <c r="I852" i="30"/>
  <c r="J852" i="30"/>
  <c r="K852" i="30"/>
  <c r="L852" i="30"/>
  <c r="M852" i="30"/>
  <c r="N852" i="30"/>
  <c r="O852" i="30"/>
  <c r="P852" i="30"/>
  <c r="Q852" i="30"/>
  <c r="R852" i="30"/>
  <c r="S852" i="30"/>
  <c r="T852" i="30"/>
  <c r="U852" i="30"/>
  <c r="V852" i="30"/>
  <c r="W852" i="30"/>
  <c r="X852" i="30"/>
  <c r="Y852" i="30"/>
  <c r="Z852" i="30"/>
  <c r="AA852" i="30"/>
  <c r="AB852" i="30"/>
  <c r="AC852" i="30"/>
  <c r="AD852" i="30"/>
  <c r="AE852" i="30"/>
  <c r="AF852" i="30"/>
  <c r="AG852" i="30"/>
  <c r="AH852" i="30"/>
  <c r="AI852" i="30"/>
  <c r="AJ852" i="30"/>
  <c r="AK852" i="30"/>
  <c r="AL852" i="30"/>
  <c r="AM852" i="30"/>
  <c r="AN852" i="30"/>
  <c r="AO852" i="30"/>
  <c r="AP852" i="30"/>
  <c r="AQ852" i="30"/>
  <c r="AR852" i="30"/>
  <c r="AS852" i="30"/>
  <c r="AT852" i="30"/>
  <c r="AU852" i="30"/>
  <c r="AV852" i="30"/>
  <c r="AW852" i="30"/>
  <c r="AX852" i="30"/>
  <c r="AY852" i="30"/>
  <c r="AZ852" i="30"/>
  <c r="BA852" i="30"/>
  <c r="BB852" i="30"/>
  <c r="BC852" i="30"/>
  <c r="BD852" i="30"/>
  <c r="A853" i="30"/>
  <c r="B853" i="30"/>
  <c r="C853" i="30"/>
  <c r="D853" i="30"/>
  <c r="E853" i="30"/>
  <c r="F853" i="30"/>
  <c r="G853" i="30"/>
  <c r="H853" i="30"/>
  <c r="I853" i="30"/>
  <c r="J853" i="30"/>
  <c r="K853" i="30"/>
  <c r="L853" i="30"/>
  <c r="M853" i="30"/>
  <c r="N853" i="30"/>
  <c r="O853" i="30"/>
  <c r="P853" i="30"/>
  <c r="Q853" i="30"/>
  <c r="R853" i="30"/>
  <c r="S853" i="30"/>
  <c r="T853" i="30"/>
  <c r="U853" i="30"/>
  <c r="V853" i="30"/>
  <c r="W853" i="30"/>
  <c r="X853" i="30"/>
  <c r="Y853" i="30"/>
  <c r="Z853" i="30"/>
  <c r="AA853" i="30"/>
  <c r="AB853" i="30"/>
  <c r="AC853" i="30"/>
  <c r="AD853" i="30"/>
  <c r="AE853" i="30"/>
  <c r="AF853" i="30"/>
  <c r="AG853" i="30"/>
  <c r="AH853" i="30"/>
  <c r="AI853" i="30"/>
  <c r="AJ853" i="30"/>
  <c r="AK853" i="30"/>
  <c r="AL853" i="30"/>
  <c r="AM853" i="30"/>
  <c r="AN853" i="30"/>
  <c r="AO853" i="30"/>
  <c r="AP853" i="30"/>
  <c r="AQ853" i="30"/>
  <c r="AR853" i="30"/>
  <c r="AS853" i="30"/>
  <c r="AT853" i="30"/>
  <c r="AU853" i="30"/>
  <c r="AV853" i="30"/>
  <c r="AW853" i="30"/>
  <c r="AX853" i="30"/>
  <c r="AY853" i="30"/>
  <c r="AZ853" i="30"/>
  <c r="BA853" i="30"/>
  <c r="BB853" i="30"/>
  <c r="BC853" i="30"/>
  <c r="BD853" i="30"/>
  <c r="A834" i="30"/>
  <c r="B834" i="30"/>
  <c r="C834" i="30"/>
  <c r="E834" i="30"/>
  <c r="F834" i="30"/>
  <c r="G834" i="30"/>
  <c r="H834" i="30"/>
  <c r="I834" i="30"/>
  <c r="J834" i="30"/>
  <c r="K834" i="30"/>
  <c r="L834" i="30"/>
  <c r="M834" i="30"/>
  <c r="N834" i="30"/>
  <c r="O834" i="30"/>
  <c r="P834" i="30"/>
  <c r="Q834" i="30"/>
  <c r="R834" i="30"/>
  <c r="S834" i="30"/>
  <c r="T834" i="30"/>
  <c r="U834" i="30"/>
  <c r="V834" i="30"/>
  <c r="W834" i="30"/>
  <c r="X834" i="30"/>
  <c r="Y834" i="30"/>
  <c r="Z834" i="30"/>
  <c r="AA834" i="30"/>
  <c r="AB834" i="30"/>
  <c r="AC834" i="30"/>
  <c r="AD834" i="30"/>
  <c r="AE834" i="30"/>
  <c r="AF834" i="30"/>
  <c r="AG834" i="30"/>
  <c r="AH834" i="30"/>
  <c r="AI834" i="30"/>
  <c r="AJ834" i="30"/>
  <c r="AK834" i="30"/>
  <c r="AL834" i="30"/>
  <c r="AM834" i="30"/>
  <c r="AN834" i="30"/>
  <c r="AO834" i="30"/>
  <c r="AP834" i="30"/>
  <c r="AQ834" i="30"/>
  <c r="AR834" i="30"/>
  <c r="AS834" i="30"/>
  <c r="AT834" i="30"/>
  <c r="AU834" i="30"/>
  <c r="AV834" i="30"/>
  <c r="AW834" i="30"/>
  <c r="AX834" i="30"/>
  <c r="AY834" i="30"/>
  <c r="AZ834" i="30"/>
  <c r="BA834" i="30"/>
  <c r="BB834" i="30"/>
  <c r="BC834" i="30"/>
  <c r="BD834" i="30"/>
  <c r="A854" i="30"/>
  <c r="B854" i="30"/>
  <c r="C854" i="30"/>
  <c r="D854" i="30"/>
  <c r="E854" i="30"/>
  <c r="F854" i="30"/>
  <c r="G854" i="30"/>
  <c r="H854" i="30"/>
  <c r="I854" i="30"/>
  <c r="J854" i="30"/>
  <c r="K854" i="30"/>
  <c r="L854" i="30"/>
  <c r="M854" i="30"/>
  <c r="N854" i="30"/>
  <c r="O854" i="30"/>
  <c r="P854" i="30"/>
  <c r="Q854" i="30"/>
  <c r="R854" i="30"/>
  <c r="S854" i="30"/>
  <c r="T854" i="30"/>
  <c r="U854" i="30"/>
  <c r="V854" i="30"/>
  <c r="W854" i="30"/>
  <c r="X854" i="30"/>
  <c r="Y854" i="30"/>
  <c r="Z854" i="30"/>
  <c r="AA854" i="30"/>
  <c r="AB854" i="30"/>
  <c r="AC854" i="30"/>
  <c r="AD854" i="30"/>
  <c r="AE854" i="30"/>
  <c r="AF854" i="30"/>
  <c r="AG854" i="30"/>
  <c r="AH854" i="30"/>
  <c r="AI854" i="30"/>
  <c r="AJ854" i="30"/>
  <c r="AK854" i="30"/>
  <c r="AL854" i="30"/>
  <c r="AM854" i="30"/>
  <c r="AN854" i="30"/>
  <c r="AO854" i="30"/>
  <c r="AP854" i="30"/>
  <c r="AQ854" i="30"/>
  <c r="AR854" i="30"/>
  <c r="AS854" i="30"/>
  <c r="AT854" i="30"/>
  <c r="AU854" i="30"/>
  <c r="AV854" i="30"/>
  <c r="AW854" i="30"/>
  <c r="AX854" i="30"/>
  <c r="AY854" i="30"/>
  <c r="AZ854" i="30"/>
  <c r="BA854" i="30"/>
  <c r="BB854" i="30"/>
  <c r="BC854" i="30"/>
  <c r="BD854" i="30"/>
  <c r="A855" i="30"/>
  <c r="B855" i="30"/>
  <c r="C855" i="30"/>
  <c r="D855" i="30"/>
  <c r="E855" i="30"/>
  <c r="F855" i="30"/>
  <c r="G855" i="30"/>
  <c r="H855" i="30"/>
  <c r="I855" i="30"/>
  <c r="J855" i="30"/>
  <c r="K855" i="30"/>
  <c r="L855" i="30"/>
  <c r="M855" i="30"/>
  <c r="N855" i="30"/>
  <c r="O855" i="30"/>
  <c r="P855" i="30"/>
  <c r="Q855" i="30"/>
  <c r="R855" i="30"/>
  <c r="S855" i="30"/>
  <c r="T855" i="30"/>
  <c r="U855" i="30"/>
  <c r="V855" i="30"/>
  <c r="W855" i="30"/>
  <c r="X855" i="30"/>
  <c r="Y855" i="30"/>
  <c r="Z855" i="30"/>
  <c r="AA855" i="30"/>
  <c r="AB855" i="30"/>
  <c r="AC855" i="30"/>
  <c r="AD855" i="30"/>
  <c r="AE855" i="30"/>
  <c r="AF855" i="30"/>
  <c r="AG855" i="30"/>
  <c r="AH855" i="30"/>
  <c r="AI855" i="30"/>
  <c r="AJ855" i="30"/>
  <c r="AK855" i="30"/>
  <c r="AL855" i="30"/>
  <c r="AM855" i="30"/>
  <c r="AN855" i="30"/>
  <c r="AO855" i="30"/>
  <c r="AP855" i="30"/>
  <c r="AQ855" i="30"/>
  <c r="AR855" i="30"/>
  <c r="AS855" i="30"/>
  <c r="AT855" i="30"/>
  <c r="AU855" i="30"/>
  <c r="AV855" i="30"/>
  <c r="AW855" i="30"/>
  <c r="AX855" i="30"/>
  <c r="AY855" i="30"/>
  <c r="AZ855" i="30"/>
  <c r="BA855" i="30"/>
  <c r="BB855" i="30"/>
  <c r="BC855" i="30"/>
  <c r="BD855" i="30"/>
  <c r="A856" i="30"/>
  <c r="B856" i="30"/>
  <c r="C856" i="30"/>
  <c r="D856" i="30"/>
  <c r="E856" i="30"/>
  <c r="F856" i="30"/>
  <c r="G856" i="30"/>
  <c r="H856" i="30"/>
  <c r="I856" i="30"/>
  <c r="J856" i="30"/>
  <c r="K856" i="30"/>
  <c r="L856" i="30"/>
  <c r="M856" i="30"/>
  <c r="N856" i="30"/>
  <c r="O856" i="30"/>
  <c r="P856" i="30"/>
  <c r="Q856" i="30"/>
  <c r="R856" i="30"/>
  <c r="S856" i="30"/>
  <c r="T856" i="30"/>
  <c r="U856" i="30"/>
  <c r="V856" i="30"/>
  <c r="W856" i="30"/>
  <c r="X856" i="30"/>
  <c r="Y856" i="30"/>
  <c r="Z856" i="30"/>
  <c r="AA856" i="30"/>
  <c r="AB856" i="30"/>
  <c r="AC856" i="30"/>
  <c r="AD856" i="30"/>
  <c r="AE856" i="30"/>
  <c r="AF856" i="30"/>
  <c r="AG856" i="30"/>
  <c r="AH856" i="30"/>
  <c r="AI856" i="30"/>
  <c r="AJ856" i="30"/>
  <c r="AK856" i="30"/>
  <c r="AL856" i="30"/>
  <c r="AM856" i="30"/>
  <c r="AN856" i="30"/>
  <c r="AO856" i="30"/>
  <c r="AP856" i="30"/>
  <c r="AQ856" i="30"/>
  <c r="AR856" i="30"/>
  <c r="AS856" i="30"/>
  <c r="AT856" i="30"/>
  <c r="AU856" i="30"/>
  <c r="AV856" i="30"/>
  <c r="AW856" i="30"/>
  <c r="AX856" i="30"/>
  <c r="AY856" i="30"/>
  <c r="AZ856" i="30"/>
  <c r="BA856" i="30"/>
  <c r="BB856" i="30"/>
  <c r="BC856" i="30"/>
  <c r="BD856" i="30"/>
  <c r="A835" i="30"/>
  <c r="B835" i="30"/>
  <c r="C835" i="30"/>
  <c r="E835" i="30"/>
  <c r="F835" i="30"/>
  <c r="G835" i="30"/>
  <c r="H835" i="30"/>
  <c r="I835" i="30"/>
  <c r="J835" i="30"/>
  <c r="K835" i="30"/>
  <c r="L835" i="30"/>
  <c r="M835" i="30"/>
  <c r="N835" i="30"/>
  <c r="O835" i="30"/>
  <c r="P835" i="30"/>
  <c r="Q835" i="30"/>
  <c r="R835" i="30"/>
  <c r="S835" i="30"/>
  <c r="T835" i="30"/>
  <c r="U835" i="30"/>
  <c r="V835" i="30"/>
  <c r="W835" i="30"/>
  <c r="X835" i="30"/>
  <c r="Y835" i="30"/>
  <c r="Z835" i="30"/>
  <c r="AA835" i="30"/>
  <c r="AB835" i="30"/>
  <c r="AC835" i="30"/>
  <c r="AD835" i="30"/>
  <c r="AE835" i="30"/>
  <c r="AF835" i="30"/>
  <c r="AG835" i="30"/>
  <c r="AH835" i="30"/>
  <c r="AI835" i="30"/>
  <c r="AJ835" i="30"/>
  <c r="AK835" i="30"/>
  <c r="AL835" i="30"/>
  <c r="AM835" i="30"/>
  <c r="AN835" i="30"/>
  <c r="AO835" i="30"/>
  <c r="AP835" i="30"/>
  <c r="AQ835" i="30"/>
  <c r="AR835" i="30"/>
  <c r="AS835" i="30"/>
  <c r="AT835" i="30"/>
  <c r="AU835" i="30"/>
  <c r="AV835" i="30"/>
  <c r="AW835" i="30"/>
  <c r="AX835" i="30"/>
  <c r="AY835" i="30"/>
  <c r="AZ835" i="30"/>
  <c r="BA835" i="30"/>
  <c r="BB835" i="30"/>
  <c r="BC835" i="30"/>
  <c r="BD835" i="30"/>
  <c r="A857" i="30"/>
  <c r="B857" i="30"/>
  <c r="C857" i="30"/>
  <c r="D857" i="30"/>
  <c r="E857" i="30"/>
  <c r="F857" i="30"/>
  <c r="G857" i="30"/>
  <c r="H857" i="30"/>
  <c r="I857" i="30"/>
  <c r="J857" i="30"/>
  <c r="K857" i="30"/>
  <c r="L857" i="30"/>
  <c r="M857" i="30"/>
  <c r="N857" i="30"/>
  <c r="O857" i="30"/>
  <c r="P857" i="30"/>
  <c r="Q857" i="30"/>
  <c r="R857" i="30"/>
  <c r="S857" i="30"/>
  <c r="T857" i="30"/>
  <c r="U857" i="30"/>
  <c r="V857" i="30"/>
  <c r="W857" i="30"/>
  <c r="X857" i="30"/>
  <c r="Y857" i="30"/>
  <c r="Z857" i="30"/>
  <c r="AA857" i="30"/>
  <c r="AB857" i="30"/>
  <c r="AC857" i="30"/>
  <c r="AD857" i="30"/>
  <c r="AE857" i="30"/>
  <c r="AF857" i="30"/>
  <c r="AG857" i="30"/>
  <c r="AH857" i="30"/>
  <c r="AI857" i="30"/>
  <c r="AJ857" i="30"/>
  <c r="AK857" i="30"/>
  <c r="AL857" i="30"/>
  <c r="AM857" i="30"/>
  <c r="AN857" i="30"/>
  <c r="AO857" i="30"/>
  <c r="AP857" i="30"/>
  <c r="AQ857" i="30"/>
  <c r="AR857" i="30"/>
  <c r="AS857" i="30"/>
  <c r="AT857" i="30"/>
  <c r="AU857" i="30"/>
  <c r="AV857" i="30"/>
  <c r="AW857" i="30"/>
  <c r="AX857" i="30"/>
  <c r="AY857" i="30"/>
  <c r="AZ857" i="30"/>
  <c r="BA857" i="30"/>
  <c r="BB857" i="30"/>
  <c r="BC857" i="30"/>
  <c r="BD857" i="30"/>
  <c r="A858" i="30"/>
  <c r="B858" i="30"/>
  <c r="C858" i="30"/>
  <c r="D858" i="30"/>
  <c r="E858" i="30"/>
  <c r="F858" i="30"/>
  <c r="G858" i="30"/>
  <c r="H858" i="30"/>
  <c r="I858" i="30"/>
  <c r="J858" i="30"/>
  <c r="K858" i="30"/>
  <c r="L858" i="30"/>
  <c r="M858" i="30"/>
  <c r="N858" i="30"/>
  <c r="O858" i="30"/>
  <c r="P858" i="30"/>
  <c r="Q858" i="30"/>
  <c r="R858" i="30"/>
  <c r="S858" i="30"/>
  <c r="T858" i="30"/>
  <c r="U858" i="30"/>
  <c r="V858" i="30"/>
  <c r="W858" i="30"/>
  <c r="X858" i="30"/>
  <c r="Y858" i="30"/>
  <c r="Z858" i="30"/>
  <c r="AA858" i="30"/>
  <c r="AB858" i="30"/>
  <c r="AC858" i="30"/>
  <c r="AD858" i="30"/>
  <c r="AE858" i="30"/>
  <c r="AF858" i="30"/>
  <c r="AG858" i="30"/>
  <c r="AH858" i="30"/>
  <c r="AI858" i="30"/>
  <c r="AJ858" i="30"/>
  <c r="AK858" i="30"/>
  <c r="AL858" i="30"/>
  <c r="AM858" i="30"/>
  <c r="AN858" i="30"/>
  <c r="AO858" i="30"/>
  <c r="AP858" i="30"/>
  <c r="AQ858" i="30"/>
  <c r="AR858" i="30"/>
  <c r="AS858" i="30"/>
  <c r="AT858" i="30"/>
  <c r="AU858" i="30"/>
  <c r="AV858" i="30"/>
  <c r="AW858" i="30"/>
  <c r="AX858" i="30"/>
  <c r="AY858" i="30"/>
  <c r="AZ858" i="30"/>
  <c r="BA858" i="30"/>
  <c r="BB858" i="30"/>
  <c r="BC858" i="30"/>
  <c r="BD858" i="30"/>
  <c r="A859" i="30"/>
  <c r="B859" i="30"/>
  <c r="C859" i="30"/>
  <c r="D859" i="30"/>
  <c r="E859" i="30"/>
  <c r="F859" i="30"/>
  <c r="G859" i="30"/>
  <c r="H859" i="30"/>
  <c r="I859" i="30"/>
  <c r="J859" i="30"/>
  <c r="K859" i="30"/>
  <c r="L859" i="30"/>
  <c r="M859" i="30"/>
  <c r="N859" i="30"/>
  <c r="O859" i="30"/>
  <c r="P859" i="30"/>
  <c r="Q859" i="30"/>
  <c r="R859" i="30"/>
  <c r="S859" i="30"/>
  <c r="T859" i="30"/>
  <c r="U859" i="30"/>
  <c r="V859" i="30"/>
  <c r="W859" i="30"/>
  <c r="X859" i="30"/>
  <c r="Y859" i="30"/>
  <c r="Z859" i="30"/>
  <c r="AA859" i="30"/>
  <c r="AB859" i="30"/>
  <c r="AC859" i="30"/>
  <c r="AD859" i="30"/>
  <c r="AE859" i="30"/>
  <c r="AF859" i="30"/>
  <c r="AG859" i="30"/>
  <c r="AH859" i="30"/>
  <c r="AI859" i="30"/>
  <c r="AJ859" i="30"/>
  <c r="AK859" i="30"/>
  <c r="AL859" i="30"/>
  <c r="AM859" i="30"/>
  <c r="AN859" i="30"/>
  <c r="AO859" i="30"/>
  <c r="AP859" i="30"/>
  <c r="AQ859" i="30"/>
  <c r="AR859" i="30"/>
  <c r="AS859" i="30"/>
  <c r="AT859" i="30"/>
  <c r="AU859" i="30"/>
  <c r="AV859" i="30"/>
  <c r="AW859" i="30"/>
  <c r="AX859" i="30"/>
  <c r="AY859" i="30"/>
  <c r="AZ859" i="30"/>
  <c r="BA859" i="30"/>
  <c r="BB859" i="30"/>
  <c r="BC859" i="30"/>
  <c r="BD859" i="30"/>
  <c r="A836" i="30"/>
  <c r="B836" i="30"/>
  <c r="C836" i="30"/>
  <c r="E836" i="30"/>
  <c r="F836" i="30"/>
  <c r="G836" i="30"/>
  <c r="H836" i="30"/>
  <c r="I836" i="30"/>
  <c r="J836" i="30"/>
  <c r="K836" i="30"/>
  <c r="L836" i="30"/>
  <c r="M836" i="30"/>
  <c r="N836" i="30"/>
  <c r="O836" i="30"/>
  <c r="P836" i="30"/>
  <c r="Q836" i="30"/>
  <c r="R836" i="30"/>
  <c r="S836" i="30"/>
  <c r="T836" i="30"/>
  <c r="U836" i="30"/>
  <c r="V836" i="30"/>
  <c r="W836" i="30"/>
  <c r="X836" i="30"/>
  <c r="Y836" i="30"/>
  <c r="Z836" i="30"/>
  <c r="AA836" i="30"/>
  <c r="AB836" i="30"/>
  <c r="AC836" i="30"/>
  <c r="AD836" i="30"/>
  <c r="AE836" i="30"/>
  <c r="AF836" i="30"/>
  <c r="AG836" i="30"/>
  <c r="AH836" i="30"/>
  <c r="AI836" i="30"/>
  <c r="AJ836" i="30"/>
  <c r="AK836" i="30"/>
  <c r="AL836" i="30"/>
  <c r="AM836" i="30"/>
  <c r="AN836" i="30"/>
  <c r="AO836" i="30"/>
  <c r="AP836" i="30"/>
  <c r="AQ836" i="30"/>
  <c r="AR836" i="30"/>
  <c r="AS836" i="30"/>
  <c r="AT836" i="30"/>
  <c r="AU836" i="30"/>
  <c r="AV836" i="30"/>
  <c r="AW836" i="30"/>
  <c r="AX836" i="30"/>
  <c r="AY836" i="30"/>
  <c r="AZ836" i="30"/>
  <c r="BA836" i="30"/>
  <c r="BB836" i="30"/>
  <c r="BC836" i="30"/>
  <c r="BD836" i="30"/>
  <c r="A860" i="30"/>
  <c r="B860" i="30"/>
  <c r="C860" i="30"/>
  <c r="D860" i="30"/>
  <c r="E860" i="30"/>
  <c r="F860" i="30"/>
  <c r="G860" i="30"/>
  <c r="H860" i="30"/>
  <c r="I860" i="30"/>
  <c r="J860" i="30"/>
  <c r="K860" i="30"/>
  <c r="L860" i="30"/>
  <c r="M860" i="30"/>
  <c r="N860" i="30"/>
  <c r="O860" i="30"/>
  <c r="P860" i="30"/>
  <c r="Q860" i="30"/>
  <c r="R860" i="30"/>
  <c r="S860" i="30"/>
  <c r="T860" i="30"/>
  <c r="U860" i="30"/>
  <c r="V860" i="30"/>
  <c r="W860" i="30"/>
  <c r="X860" i="30"/>
  <c r="Y860" i="30"/>
  <c r="Z860" i="30"/>
  <c r="AA860" i="30"/>
  <c r="AB860" i="30"/>
  <c r="AC860" i="30"/>
  <c r="AD860" i="30"/>
  <c r="AE860" i="30"/>
  <c r="AF860" i="30"/>
  <c r="AG860" i="30"/>
  <c r="AH860" i="30"/>
  <c r="AI860" i="30"/>
  <c r="AJ860" i="30"/>
  <c r="AK860" i="30"/>
  <c r="AL860" i="30"/>
  <c r="AM860" i="30"/>
  <c r="AN860" i="30"/>
  <c r="AO860" i="30"/>
  <c r="AP860" i="30"/>
  <c r="AQ860" i="30"/>
  <c r="AR860" i="30"/>
  <c r="AS860" i="30"/>
  <c r="AT860" i="30"/>
  <c r="AU860" i="30"/>
  <c r="AV860" i="30"/>
  <c r="AW860" i="30"/>
  <c r="AX860" i="30"/>
  <c r="AY860" i="30"/>
  <c r="AZ860" i="30"/>
  <c r="BA860" i="30"/>
  <c r="BB860" i="30"/>
  <c r="BC860" i="30"/>
  <c r="BD860" i="30"/>
  <c r="A861" i="30"/>
  <c r="B861" i="30"/>
  <c r="C861" i="30"/>
  <c r="D861" i="30"/>
  <c r="E861" i="30"/>
  <c r="F861" i="30"/>
  <c r="G861" i="30"/>
  <c r="H861" i="30"/>
  <c r="I861" i="30"/>
  <c r="J861" i="30"/>
  <c r="K861" i="30"/>
  <c r="L861" i="30"/>
  <c r="M861" i="30"/>
  <c r="N861" i="30"/>
  <c r="O861" i="30"/>
  <c r="P861" i="30"/>
  <c r="Q861" i="30"/>
  <c r="R861" i="30"/>
  <c r="S861" i="30"/>
  <c r="T861" i="30"/>
  <c r="U861" i="30"/>
  <c r="V861" i="30"/>
  <c r="W861" i="30"/>
  <c r="X861" i="30"/>
  <c r="Y861" i="30"/>
  <c r="Z861" i="30"/>
  <c r="AA861" i="30"/>
  <c r="AB861" i="30"/>
  <c r="AC861" i="30"/>
  <c r="AD861" i="30"/>
  <c r="AE861" i="30"/>
  <c r="AF861" i="30"/>
  <c r="AG861" i="30"/>
  <c r="AH861" i="30"/>
  <c r="AI861" i="30"/>
  <c r="AJ861" i="30"/>
  <c r="AK861" i="30"/>
  <c r="AL861" i="30"/>
  <c r="AM861" i="30"/>
  <c r="AN861" i="30"/>
  <c r="AO861" i="30"/>
  <c r="AP861" i="30"/>
  <c r="AQ861" i="30"/>
  <c r="AR861" i="30"/>
  <c r="AS861" i="30"/>
  <c r="AT861" i="30"/>
  <c r="AU861" i="30"/>
  <c r="AV861" i="30"/>
  <c r="AW861" i="30"/>
  <c r="AX861" i="30"/>
  <c r="AY861" i="30"/>
  <c r="AZ861" i="30"/>
  <c r="BA861" i="30"/>
  <c r="BB861" i="30"/>
  <c r="BC861" i="30"/>
  <c r="BD861" i="30"/>
  <c r="A862" i="30"/>
  <c r="B862" i="30"/>
  <c r="C862" i="30"/>
  <c r="D862" i="30"/>
  <c r="E862" i="30"/>
  <c r="F862" i="30"/>
  <c r="G862" i="30"/>
  <c r="H862" i="30"/>
  <c r="I862" i="30"/>
  <c r="J862" i="30"/>
  <c r="K862" i="30"/>
  <c r="L862" i="30"/>
  <c r="M862" i="30"/>
  <c r="N862" i="30"/>
  <c r="O862" i="30"/>
  <c r="P862" i="30"/>
  <c r="Q862" i="30"/>
  <c r="R862" i="30"/>
  <c r="S862" i="30"/>
  <c r="T862" i="30"/>
  <c r="U862" i="30"/>
  <c r="V862" i="30"/>
  <c r="W862" i="30"/>
  <c r="X862" i="30"/>
  <c r="Y862" i="30"/>
  <c r="Z862" i="30"/>
  <c r="AA862" i="30"/>
  <c r="AB862" i="30"/>
  <c r="AC862" i="30"/>
  <c r="AD862" i="30"/>
  <c r="AE862" i="30"/>
  <c r="AF862" i="30"/>
  <c r="AG862" i="30"/>
  <c r="AH862" i="30"/>
  <c r="AI862" i="30"/>
  <c r="AJ862" i="30"/>
  <c r="AK862" i="30"/>
  <c r="AL862" i="30"/>
  <c r="AM862" i="30"/>
  <c r="AN862" i="30"/>
  <c r="AO862" i="30"/>
  <c r="AP862" i="30"/>
  <c r="AQ862" i="30"/>
  <c r="AR862" i="30"/>
  <c r="AS862" i="30"/>
  <c r="AT862" i="30"/>
  <c r="AU862" i="30"/>
  <c r="AV862" i="30"/>
  <c r="AW862" i="30"/>
  <c r="AX862" i="30"/>
  <c r="AY862" i="30"/>
  <c r="AZ862" i="30"/>
  <c r="BA862" i="30"/>
  <c r="BB862" i="30"/>
  <c r="BC862" i="30"/>
  <c r="BD862" i="30"/>
  <c r="A863" i="30"/>
  <c r="B863" i="30"/>
  <c r="C863" i="30"/>
  <c r="D863" i="30"/>
  <c r="E863" i="30"/>
  <c r="F863" i="30"/>
  <c r="G863" i="30"/>
  <c r="H863" i="30"/>
  <c r="I863" i="30"/>
  <c r="J863" i="30"/>
  <c r="K863" i="30"/>
  <c r="L863" i="30"/>
  <c r="M863" i="30"/>
  <c r="N863" i="30"/>
  <c r="O863" i="30"/>
  <c r="P863" i="30"/>
  <c r="Q863" i="30"/>
  <c r="R863" i="30"/>
  <c r="S863" i="30"/>
  <c r="T863" i="30"/>
  <c r="U863" i="30"/>
  <c r="V863" i="30"/>
  <c r="W863" i="30"/>
  <c r="X863" i="30"/>
  <c r="Y863" i="30"/>
  <c r="Z863" i="30"/>
  <c r="AA863" i="30"/>
  <c r="AB863" i="30"/>
  <c r="AC863" i="30"/>
  <c r="AD863" i="30"/>
  <c r="AE863" i="30"/>
  <c r="AF863" i="30"/>
  <c r="AG863" i="30"/>
  <c r="AH863" i="30"/>
  <c r="AI863" i="30"/>
  <c r="AJ863" i="30"/>
  <c r="AK863" i="30"/>
  <c r="AL863" i="30"/>
  <c r="AM863" i="30"/>
  <c r="AN863" i="30"/>
  <c r="AO863" i="30"/>
  <c r="AP863" i="30"/>
  <c r="AQ863" i="30"/>
  <c r="AR863" i="30"/>
  <c r="AS863" i="30"/>
  <c r="AT863" i="30"/>
  <c r="AU863" i="30"/>
  <c r="AV863" i="30"/>
  <c r="AW863" i="30"/>
  <c r="AX863" i="30"/>
  <c r="AY863" i="30"/>
  <c r="AZ863" i="30"/>
  <c r="BA863" i="30"/>
  <c r="BB863" i="30"/>
  <c r="BC863" i="30"/>
  <c r="BD863" i="30"/>
  <c r="A864" i="30"/>
  <c r="B864" i="30"/>
  <c r="C864" i="30"/>
  <c r="D864" i="30"/>
  <c r="E864" i="30"/>
  <c r="F864" i="30"/>
  <c r="G864" i="30"/>
  <c r="H864" i="30"/>
  <c r="I864" i="30"/>
  <c r="J864" i="30"/>
  <c r="K864" i="30"/>
  <c r="L864" i="30"/>
  <c r="M864" i="30"/>
  <c r="N864" i="30"/>
  <c r="O864" i="30"/>
  <c r="P864" i="30"/>
  <c r="Q864" i="30"/>
  <c r="R864" i="30"/>
  <c r="S864" i="30"/>
  <c r="T864" i="30"/>
  <c r="U864" i="30"/>
  <c r="V864" i="30"/>
  <c r="W864" i="30"/>
  <c r="X864" i="30"/>
  <c r="Y864" i="30"/>
  <c r="Z864" i="30"/>
  <c r="AA864" i="30"/>
  <c r="AB864" i="30"/>
  <c r="AC864" i="30"/>
  <c r="AD864" i="30"/>
  <c r="AE864" i="30"/>
  <c r="AF864" i="30"/>
  <c r="AG864" i="30"/>
  <c r="AH864" i="30"/>
  <c r="AI864" i="30"/>
  <c r="AJ864" i="30"/>
  <c r="AK864" i="30"/>
  <c r="AL864" i="30"/>
  <c r="AM864" i="30"/>
  <c r="AN864" i="30"/>
  <c r="AO864" i="30"/>
  <c r="AP864" i="30"/>
  <c r="AQ864" i="30"/>
  <c r="AR864" i="30"/>
  <c r="AS864" i="30"/>
  <c r="AT864" i="30"/>
  <c r="AU864" i="30"/>
  <c r="AV864" i="30"/>
  <c r="AW864" i="30"/>
  <c r="AX864" i="30"/>
  <c r="AY864" i="30"/>
  <c r="AZ864" i="30"/>
  <c r="BA864" i="30"/>
  <c r="BB864" i="30"/>
  <c r="BC864" i="30"/>
  <c r="BD864" i="30"/>
  <c r="A865" i="30"/>
  <c r="B865" i="30"/>
  <c r="C865" i="30"/>
  <c r="D865" i="30"/>
  <c r="E865" i="30"/>
  <c r="F865" i="30"/>
  <c r="G865" i="30"/>
  <c r="H865" i="30"/>
  <c r="I865" i="30"/>
  <c r="J865" i="30"/>
  <c r="K865" i="30"/>
  <c r="L865" i="30"/>
  <c r="M865" i="30"/>
  <c r="N865" i="30"/>
  <c r="O865" i="30"/>
  <c r="P865" i="30"/>
  <c r="Q865" i="30"/>
  <c r="R865" i="30"/>
  <c r="S865" i="30"/>
  <c r="T865" i="30"/>
  <c r="U865" i="30"/>
  <c r="V865" i="30"/>
  <c r="W865" i="30"/>
  <c r="X865" i="30"/>
  <c r="Y865" i="30"/>
  <c r="Z865" i="30"/>
  <c r="AA865" i="30"/>
  <c r="AB865" i="30"/>
  <c r="AC865" i="30"/>
  <c r="AD865" i="30"/>
  <c r="AE865" i="30"/>
  <c r="AF865" i="30"/>
  <c r="AG865" i="30"/>
  <c r="AH865" i="30"/>
  <c r="AI865" i="30"/>
  <c r="AJ865" i="30"/>
  <c r="AK865" i="30"/>
  <c r="AL865" i="30"/>
  <c r="AM865" i="30"/>
  <c r="AN865" i="30"/>
  <c r="AO865" i="30"/>
  <c r="AP865" i="30"/>
  <c r="AQ865" i="30"/>
  <c r="AR865" i="30"/>
  <c r="AS865" i="30"/>
  <c r="AT865" i="30"/>
  <c r="AU865" i="30"/>
  <c r="AV865" i="30"/>
  <c r="AW865" i="30"/>
  <c r="AX865" i="30"/>
  <c r="AY865" i="30"/>
  <c r="AZ865" i="30"/>
  <c r="BA865" i="30"/>
  <c r="BB865" i="30"/>
  <c r="BC865" i="30"/>
  <c r="BD865" i="30"/>
  <c r="A837" i="30"/>
  <c r="B837" i="30"/>
  <c r="C837" i="30"/>
  <c r="E837" i="30"/>
  <c r="F837" i="30"/>
  <c r="G837" i="30"/>
  <c r="H837" i="30"/>
  <c r="I837" i="30"/>
  <c r="J837" i="30"/>
  <c r="K837" i="30"/>
  <c r="L837" i="30"/>
  <c r="M837" i="30"/>
  <c r="N837" i="30"/>
  <c r="O837" i="30"/>
  <c r="P837" i="30"/>
  <c r="Q837" i="30"/>
  <c r="R837" i="30"/>
  <c r="S837" i="30"/>
  <c r="T837" i="30"/>
  <c r="U837" i="30"/>
  <c r="V837" i="30"/>
  <c r="W837" i="30"/>
  <c r="X837" i="30"/>
  <c r="Y837" i="30"/>
  <c r="Z837" i="30"/>
  <c r="AA837" i="30"/>
  <c r="AB837" i="30"/>
  <c r="AC837" i="30"/>
  <c r="AD837" i="30"/>
  <c r="AE837" i="30"/>
  <c r="AF837" i="30"/>
  <c r="AG837" i="30"/>
  <c r="AH837" i="30"/>
  <c r="AI837" i="30"/>
  <c r="AJ837" i="30"/>
  <c r="AK837" i="30"/>
  <c r="AL837" i="30"/>
  <c r="AM837" i="30"/>
  <c r="AN837" i="30"/>
  <c r="AO837" i="30"/>
  <c r="AP837" i="30"/>
  <c r="AQ837" i="30"/>
  <c r="AR837" i="30"/>
  <c r="AS837" i="30"/>
  <c r="AT837" i="30"/>
  <c r="AU837" i="30"/>
  <c r="AV837" i="30"/>
  <c r="AW837" i="30"/>
  <c r="AX837" i="30"/>
  <c r="AY837" i="30"/>
  <c r="AZ837" i="30"/>
  <c r="BA837" i="30"/>
  <c r="BB837" i="30"/>
  <c r="BC837" i="30"/>
  <c r="BD837" i="30"/>
  <c r="A866" i="30"/>
  <c r="B866" i="30"/>
  <c r="C866" i="30"/>
  <c r="D866" i="30"/>
  <c r="E866" i="30"/>
  <c r="F866" i="30"/>
  <c r="G866" i="30"/>
  <c r="H866" i="30"/>
  <c r="I866" i="30"/>
  <c r="J866" i="30"/>
  <c r="K866" i="30"/>
  <c r="L866" i="30"/>
  <c r="M866" i="30"/>
  <c r="N866" i="30"/>
  <c r="O866" i="30"/>
  <c r="P866" i="30"/>
  <c r="Q866" i="30"/>
  <c r="R866" i="30"/>
  <c r="S866" i="30"/>
  <c r="T866" i="30"/>
  <c r="U866" i="30"/>
  <c r="V866" i="30"/>
  <c r="W866" i="30"/>
  <c r="X866" i="30"/>
  <c r="Y866" i="30"/>
  <c r="Z866" i="30"/>
  <c r="AA866" i="30"/>
  <c r="AB866" i="30"/>
  <c r="AC866" i="30"/>
  <c r="AD866" i="30"/>
  <c r="AE866" i="30"/>
  <c r="AF866" i="30"/>
  <c r="AG866" i="30"/>
  <c r="AH866" i="30"/>
  <c r="AI866" i="30"/>
  <c r="AJ866" i="30"/>
  <c r="AK866" i="30"/>
  <c r="AL866" i="30"/>
  <c r="AM866" i="30"/>
  <c r="AN866" i="30"/>
  <c r="AO866" i="30"/>
  <c r="AP866" i="30"/>
  <c r="AQ866" i="30"/>
  <c r="AR866" i="30"/>
  <c r="AS866" i="30"/>
  <c r="AT866" i="30"/>
  <c r="AU866" i="30"/>
  <c r="AV866" i="30"/>
  <c r="AW866" i="30"/>
  <c r="AX866" i="30"/>
  <c r="AY866" i="30"/>
  <c r="AZ866" i="30"/>
  <c r="BA866" i="30"/>
  <c r="BB866" i="30"/>
  <c r="BC866" i="30"/>
  <c r="BD866" i="30"/>
  <c r="A867" i="30"/>
  <c r="B867" i="30"/>
  <c r="C867" i="30"/>
  <c r="D867" i="30"/>
  <c r="E867" i="30"/>
  <c r="F867" i="30"/>
  <c r="G867" i="30"/>
  <c r="H867" i="30"/>
  <c r="I867" i="30"/>
  <c r="J867" i="30"/>
  <c r="K867" i="30"/>
  <c r="L867" i="30"/>
  <c r="M867" i="30"/>
  <c r="N867" i="30"/>
  <c r="O867" i="30"/>
  <c r="P867" i="30"/>
  <c r="Q867" i="30"/>
  <c r="R867" i="30"/>
  <c r="S867" i="30"/>
  <c r="T867" i="30"/>
  <c r="U867" i="30"/>
  <c r="V867" i="30"/>
  <c r="W867" i="30"/>
  <c r="X867" i="30"/>
  <c r="Y867" i="30"/>
  <c r="Z867" i="30"/>
  <c r="AA867" i="30"/>
  <c r="AB867" i="30"/>
  <c r="AC867" i="30"/>
  <c r="AD867" i="30"/>
  <c r="AE867" i="30"/>
  <c r="AF867" i="30"/>
  <c r="AG867" i="30"/>
  <c r="AH867" i="30"/>
  <c r="AI867" i="30"/>
  <c r="AJ867" i="30"/>
  <c r="AK867" i="30"/>
  <c r="AL867" i="30"/>
  <c r="AM867" i="30"/>
  <c r="AN867" i="30"/>
  <c r="AO867" i="30"/>
  <c r="AP867" i="30"/>
  <c r="AQ867" i="30"/>
  <c r="AR867" i="30"/>
  <c r="AS867" i="30"/>
  <c r="AT867" i="30"/>
  <c r="AU867" i="30"/>
  <c r="AV867" i="30"/>
  <c r="AW867" i="30"/>
  <c r="AX867" i="30"/>
  <c r="AY867" i="30"/>
  <c r="AZ867" i="30"/>
  <c r="BA867" i="30"/>
  <c r="BB867" i="30"/>
  <c r="BC867" i="30"/>
  <c r="BD867" i="30"/>
  <c r="A868" i="30"/>
  <c r="B868" i="30"/>
  <c r="C868" i="30"/>
  <c r="D868" i="30"/>
  <c r="E868" i="30"/>
  <c r="F868" i="30"/>
  <c r="G868" i="30"/>
  <c r="H868" i="30"/>
  <c r="I868" i="30"/>
  <c r="J868" i="30"/>
  <c r="K868" i="30"/>
  <c r="L868" i="30"/>
  <c r="M868" i="30"/>
  <c r="N868" i="30"/>
  <c r="O868" i="30"/>
  <c r="P868" i="30"/>
  <c r="Q868" i="30"/>
  <c r="R868" i="30"/>
  <c r="S868" i="30"/>
  <c r="T868" i="30"/>
  <c r="U868" i="30"/>
  <c r="V868" i="30"/>
  <c r="W868" i="30"/>
  <c r="X868" i="30"/>
  <c r="Y868" i="30"/>
  <c r="Z868" i="30"/>
  <c r="AA868" i="30"/>
  <c r="AB868" i="30"/>
  <c r="AC868" i="30"/>
  <c r="AD868" i="30"/>
  <c r="AE868" i="30"/>
  <c r="AF868" i="30"/>
  <c r="AG868" i="30"/>
  <c r="AH868" i="30"/>
  <c r="AI868" i="30"/>
  <c r="AJ868" i="30"/>
  <c r="AK868" i="30"/>
  <c r="AL868" i="30"/>
  <c r="AM868" i="30"/>
  <c r="AN868" i="30"/>
  <c r="AO868" i="30"/>
  <c r="AP868" i="30"/>
  <c r="AQ868" i="30"/>
  <c r="AR868" i="30"/>
  <c r="AS868" i="30"/>
  <c r="AT868" i="30"/>
  <c r="AU868" i="30"/>
  <c r="AV868" i="30"/>
  <c r="AW868" i="30"/>
  <c r="AX868" i="30"/>
  <c r="AY868" i="30"/>
  <c r="AZ868" i="30"/>
  <c r="BA868" i="30"/>
  <c r="BB868" i="30"/>
  <c r="BC868" i="30"/>
  <c r="BD868" i="30"/>
  <c r="A838" i="30"/>
  <c r="B838" i="30"/>
  <c r="C838" i="30"/>
  <c r="E838" i="30"/>
  <c r="F838" i="30"/>
  <c r="G838" i="30"/>
  <c r="H838" i="30"/>
  <c r="I838" i="30"/>
  <c r="J838" i="30"/>
  <c r="K838" i="30"/>
  <c r="L838" i="30"/>
  <c r="M838" i="30"/>
  <c r="N838" i="30"/>
  <c r="O838" i="30"/>
  <c r="P838" i="30"/>
  <c r="Q838" i="30"/>
  <c r="R838" i="30"/>
  <c r="S838" i="30"/>
  <c r="T838" i="30"/>
  <c r="U838" i="30"/>
  <c r="V838" i="30"/>
  <c r="W838" i="30"/>
  <c r="X838" i="30"/>
  <c r="Y838" i="30"/>
  <c r="Z838" i="30"/>
  <c r="AA838" i="30"/>
  <c r="AB838" i="30"/>
  <c r="AC838" i="30"/>
  <c r="AD838" i="30"/>
  <c r="AE838" i="30"/>
  <c r="AF838" i="30"/>
  <c r="AG838" i="30"/>
  <c r="AH838" i="30"/>
  <c r="AI838" i="30"/>
  <c r="AJ838" i="30"/>
  <c r="AK838" i="30"/>
  <c r="AL838" i="30"/>
  <c r="AM838" i="30"/>
  <c r="AN838" i="30"/>
  <c r="AO838" i="30"/>
  <c r="AP838" i="30"/>
  <c r="AQ838" i="30"/>
  <c r="AR838" i="30"/>
  <c r="AS838" i="30"/>
  <c r="AT838" i="30"/>
  <c r="AU838" i="30"/>
  <c r="AV838" i="30"/>
  <c r="AW838" i="30"/>
  <c r="AX838" i="30"/>
  <c r="AY838" i="30"/>
  <c r="AZ838" i="30"/>
  <c r="BA838" i="30"/>
  <c r="BB838" i="30"/>
  <c r="BC838" i="30"/>
  <c r="BD838" i="30"/>
  <c r="A869" i="30"/>
  <c r="B869" i="30"/>
  <c r="C869" i="30"/>
  <c r="D869" i="30"/>
  <c r="E869" i="30"/>
  <c r="F869" i="30"/>
  <c r="G869" i="30"/>
  <c r="H869" i="30"/>
  <c r="I869" i="30"/>
  <c r="J869" i="30"/>
  <c r="K869" i="30"/>
  <c r="L869" i="30"/>
  <c r="M869" i="30"/>
  <c r="N869" i="30"/>
  <c r="O869" i="30"/>
  <c r="P869" i="30"/>
  <c r="Q869" i="30"/>
  <c r="R869" i="30"/>
  <c r="S869" i="30"/>
  <c r="T869" i="30"/>
  <c r="U869" i="30"/>
  <c r="V869" i="30"/>
  <c r="W869" i="30"/>
  <c r="X869" i="30"/>
  <c r="Y869" i="30"/>
  <c r="Z869" i="30"/>
  <c r="AA869" i="30"/>
  <c r="AB869" i="30"/>
  <c r="AC869" i="30"/>
  <c r="AD869" i="30"/>
  <c r="AE869" i="30"/>
  <c r="AF869" i="30"/>
  <c r="AG869" i="30"/>
  <c r="AH869" i="30"/>
  <c r="AI869" i="30"/>
  <c r="AJ869" i="30"/>
  <c r="AK869" i="30"/>
  <c r="AL869" i="30"/>
  <c r="AM869" i="30"/>
  <c r="AN869" i="30"/>
  <c r="AO869" i="30"/>
  <c r="AP869" i="30"/>
  <c r="AQ869" i="30"/>
  <c r="AR869" i="30"/>
  <c r="AS869" i="30"/>
  <c r="AT869" i="30"/>
  <c r="AU869" i="30"/>
  <c r="AV869" i="30"/>
  <c r="AW869" i="30"/>
  <c r="AX869" i="30"/>
  <c r="AY869" i="30"/>
  <c r="AZ869" i="30"/>
  <c r="BA869" i="30"/>
  <c r="BB869" i="30"/>
  <c r="BC869" i="30"/>
  <c r="BD869" i="30"/>
  <c r="A870" i="30"/>
  <c r="B870" i="30"/>
  <c r="C870" i="30"/>
  <c r="D870" i="30"/>
  <c r="E870" i="30"/>
  <c r="F870" i="30"/>
  <c r="G870" i="30"/>
  <c r="H870" i="30"/>
  <c r="I870" i="30"/>
  <c r="J870" i="30"/>
  <c r="K870" i="30"/>
  <c r="L870" i="30"/>
  <c r="M870" i="30"/>
  <c r="N870" i="30"/>
  <c r="O870" i="30"/>
  <c r="P870" i="30"/>
  <c r="Q870" i="30"/>
  <c r="R870" i="30"/>
  <c r="S870" i="30"/>
  <c r="T870" i="30"/>
  <c r="U870" i="30"/>
  <c r="V870" i="30"/>
  <c r="W870" i="30"/>
  <c r="X870" i="30"/>
  <c r="Y870" i="30"/>
  <c r="Z870" i="30"/>
  <c r="AA870" i="30"/>
  <c r="AB870" i="30"/>
  <c r="AC870" i="30"/>
  <c r="AD870" i="30"/>
  <c r="AE870" i="30"/>
  <c r="AF870" i="30"/>
  <c r="AG870" i="30"/>
  <c r="AH870" i="30"/>
  <c r="AI870" i="30"/>
  <c r="AJ870" i="30"/>
  <c r="AK870" i="30"/>
  <c r="AL870" i="30"/>
  <c r="AM870" i="30"/>
  <c r="AN870" i="30"/>
  <c r="AO870" i="30"/>
  <c r="AP870" i="30"/>
  <c r="AQ870" i="30"/>
  <c r="AR870" i="30"/>
  <c r="AS870" i="30"/>
  <c r="AT870" i="30"/>
  <c r="AU870" i="30"/>
  <c r="AV870" i="30"/>
  <c r="AW870" i="30"/>
  <c r="AX870" i="30"/>
  <c r="AY870" i="30"/>
  <c r="AZ870" i="30"/>
  <c r="BA870" i="30"/>
  <c r="BB870" i="30"/>
  <c r="BC870" i="30"/>
  <c r="BD870" i="30"/>
  <c r="A871" i="30"/>
  <c r="B871" i="30"/>
  <c r="C871" i="30"/>
  <c r="D871" i="30"/>
  <c r="E871" i="30"/>
  <c r="F871" i="30"/>
  <c r="G871" i="30"/>
  <c r="H871" i="30"/>
  <c r="I871" i="30"/>
  <c r="J871" i="30"/>
  <c r="K871" i="30"/>
  <c r="L871" i="30"/>
  <c r="M871" i="30"/>
  <c r="N871" i="30"/>
  <c r="O871" i="30"/>
  <c r="P871" i="30"/>
  <c r="Q871" i="30"/>
  <c r="R871" i="30"/>
  <c r="S871" i="30"/>
  <c r="T871" i="30"/>
  <c r="U871" i="30"/>
  <c r="V871" i="30"/>
  <c r="W871" i="30"/>
  <c r="X871" i="30"/>
  <c r="Y871" i="30"/>
  <c r="Z871" i="30"/>
  <c r="AA871" i="30"/>
  <c r="AB871" i="30"/>
  <c r="AC871" i="30"/>
  <c r="AD871" i="30"/>
  <c r="AE871" i="30"/>
  <c r="AF871" i="30"/>
  <c r="AG871" i="30"/>
  <c r="AH871" i="30"/>
  <c r="AI871" i="30"/>
  <c r="AJ871" i="30"/>
  <c r="AK871" i="30"/>
  <c r="AL871" i="30"/>
  <c r="AM871" i="30"/>
  <c r="AN871" i="30"/>
  <c r="AO871" i="30"/>
  <c r="AP871" i="30"/>
  <c r="AQ871" i="30"/>
  <c r="AR871" i="30"/>
  <c r="AS871" i="30"/>
  <c r="AT871" i="30"/>
  <c r="AU871" i="30"/>
  <c r="AV871" i="30"/>
  <c r="AW871" i="30"/>
  <c r="AX871" i="30"/>
  <c r="AY871" i="30"/>
  <c r="AZ871" i="30"/>
  <c r="BA871" i="30"/>
  <c r="BB871" i="30"/>
  <c r="BC871" i="30"/>
  <c r="BD871" i="30"/>
  <c r="A839" i="30"/>
  <c r="B839" i="30"/>
  <c r="C839" i="30"/>
  <c r="E839" i="30"/>
  <c r="F839" i="30"/>
  <c r="G839" i="30"/>
  <c r="H839" i="30"/>
  <c r="I839" i="30"/>
  <c r="J839" i="30"/>
  <c r="K839" i="30"/>
  <c r="L839" i="30"/>
  <c r="M839" i="30"/>
  <c r="N839" i="30"/>
  <c r="O839" i="30"/>
  <c r="P839" i="30"/>
  <c r="Q839" i="30"/>
  <c r="R839" i="30"/>
  <c r="S839" i="30"/>
  <c r="T839" i="30"/>
  <c r="U839" i="30"/>
  <c r="V839" i="30"/>
  <c r="W839" i="30"/>
  <c r="X839" i="30"/>
  <c r="Y839" i="30"/>
  <c r="Z839" i="30"/>
  <c r="AA839" i="30"/>
  <c r="AB839" i="30"/>
  <c r="AC839" i="30"/>
  <c r="AD839" i="30"/>
  <c r="AE839" i="30"/>
  <c r="AF839" i="30"/>
  <c r="AG839" i="30"/>
  <c r="AH839" i="30"/>
  <c r="AI839" i="30"/>
  <c r="AJ839" i="30"/>
  <c r="AK839" i="30"/>
  <c r="AL839" i="30"/>
  <c r="AM839" i="30"/>
  <c r="AN839" i="30"/>
  <c r="AO839" i="30"/>
  <c r="AP839" i="30"/>
  <c r="AQ839" i="30"/>
  <c r="AR839" i="30"/>
  <c r="AS839" i="30"/>
  <c r="AT839" i="30"/>
  <c r="AU839" i="30"/>
  <c r="AV839" i="30"/>
  <c r="AW839" i="30"/>
  <c r="AX839" i="30"/>
  <c r="AY839" i="30"/>
  <c r="AZ839" i="30"/>
  <c r="BA839" i="30"/>
  <c r="BB839" i="30"/>
  <c r="BC839" i="30"/>
  <c r="BD839" i="30"/>
  <c r="A872" i="30"/>
  <c r="B872" i="30"/>
  <c r="C872" i="30"/>
  <c r="D872" i="30"/>
  <c r="E872" i="30"/>
  <c r="F872" i="30"/>
  <c r="G872" i="30"/>
  <c r="H872" i="30"/>
  <c r="I872" i="30"/>
  <c r="J872" i="30"/>
  <c r="K872" i="30"/>
  <c r="L872" i="30"/>
  <c r="M872" i="30"/>
  <c r="N872" i="30"/>
  <c r="O872" i="30"/>
  <c r="P872" i="30"/>
  <c r="Q872" i="30"/>
  <c r="R872" i="30"/>
  <c r="S872" i="30"/>
  <c r="T872" i="30"/>
  <c r="U872" i="30"/>
  <c r="V872" i="30"/>
  <c r="W872" i="30"/>
  <c r="X872" i="30"/>
  <c r="Y872" i="30"/>
  <c r="Z872" i="30"/>
  <c r="AA872" i="30"/>
  <c r="AB872" i="30"/>
  <c r="AC872" i="30"/>
  <c r="AD872" i="30"/>
  <c r="AE872" i="30"/>
  <c r="AF872" i="30"/>
  <c r="AG872" i="30"/>
  <c r="AH872" i="30"/>
  <c r="AI872" i="30"/>
  <c r="AJ872" i="30"/>
  <c r="AK872" i="30"/>
  <c r="AL872" i="30"/>
  <c r="AM872" i="30"/>
  <c r="AN872" i="30"/>
  <c r="AO872" i="30"/>
  <c r="AP872" i="30"/>
  <c r="AQ872" i="30"/>
  <c r="AR872" i="30"/>
  <c r="AS872" i="30"/>
  <c r="AT872" i="30"/>
  <c r="AU872" i="30"/>
  <c r="AV872" i="30"/>
  <c r="AW872" i="30"/>
  <c r="AX872" i="30"/>
  <c r="AY872" i="30"/>
  <c r="AZ872" i="30"/>
  <c r="BA872" i="30"/>
  <c r="BB872" i="30"/>
  <c r="BC872" i="30"/>
  <c r="BD872" i="30"/>
  <c r="A873" i="30"/>
  <c r="B873" i="30"/>
  <c r="C873" i="30"/>
  <c r="D873" i="30"/>
  <c r="E873" i="30"/>
  <c r="F873" i="30"/>
  <c r="G873" i="30"/>
  <c r="H873" i="30"/>
  <c r="I873" i="30"/>
  <c r="J873" i="30"/>
  <c r="K873" i="30"/>
  <c r="L873" i="30"/>
  <c r="M873" i="30"/>
  <c r="N873" i="30"/>
  <c r="O873" i="30"/>
  <c r="P873" i="30"/>
  <c r="Q873" i="30"/>
  <c r="R873" i="30"/>
  <c r="S873" i="30"/>
  <c r="T873" i="30"/>
  <c r="U873" i="30"/>
  <c r="V873" i="30"/>
  <c r="W873" i="30"/>
  <c r="X873" i="30"/>
  <c r="Y873" i="30"/>
  <c r="Z873" i="30"/>
  <c r="AA873" i="30"/>
  <c r="AB873" i="30"/>
  <c r="AC873" i="30"/>
  <c r="AD873" i="30"/>
  <c r="AE873" i="30"/>
  <c r="AF873" i="30"/>
  <c r="AG873" i="30"/>
  <c r="AH873" i="30"/>
  <c r="AI873" i="30"/>
  <c r="AJ873" i="30"/>
  <c r="AK873" i="30"/>
  <c r="AL873" i="30"/>
  <c r="AM873" i="30"/>
  <c r="AN873" i="30"/>
  <c r="AO873" i="30"/>
  <c r="AP873" i="30"/>
  <c r="AQ873" i="30"/>
  <c r="AR873" i="30"/>
  <c r="AS873" i="30"/>
  <c r="AT873" i="30"/>
  <c r="AU873" i="30"/>
  <c r="AV873" i="30"/>
  <c r="AW873" i="30"/>
  <c r="AX873" i="30"/>
  <c r="AY873" i="30"/>
  <c r="AZ873" i="30"/>
  <c r="BA873" i="30"/>
  <c r="BB873" i="30"/>
  <c r="BC873" i="30"/>
  <c r="BD873" i="30"/>
  <c r="A874" i="30"/>
  <c r="B874" i="30"/>
  <c r="C874" i="30"/>
  <c r="D874" i="30"/>
  <c r="E874" i="30"/>
  <c r="F874" i="30"/>
  <c r="G874" i="30"/>
  <c r="H874" i="30"/>
  <c r="I874" i="30"/>
  <c r="J874" i="30"/>
  <c r="K874" i="30"/>
  <c r="L874" i="30"/>
  <c r="M874" i="30"/>
  <c r="N874" i="30"/>
  <c r="O874" i="30"/>
  <c r="P874" i="30"/>
  <c r="Q874" i="30"/>
  <c r="R874" i="30"/>
  <c r="S874" i="30"/>
  <c r="T874" i="30"/>
  <c r="U874" i="30"/>
  <c r="V874" i="30"/>
  <c r="W874" i="30"/>
  <c r="X874" i="30"/>
  <c r="Y874" i="30"/>
  <c r="Z874" i="30"/>
  <c r="AA874" i="30"/>
  <c r="AB874" i="30"/>
  <c r="AC874" i="30"/>
  <c r="AD874" i="30"/>
  <c r="AE874" i="30"/>
  <c r="AF874" i="30"/>
  <c r="AG874" i="30"/>
  <c r="AH874" i="30"/>
  <c r="AI874" i="30"/>
  <c r="AJ874" i="30"/>
  <c r="AK874" i="30"/>
  <c r="AL874" i="30"/>
  <c r="AM874" i="30"/>
  <c r="AN874" i="30"/>
  <c r="AO874" i="30"/>
  <c r="AP874" i="30"/>
  <c r="AQ874" i="30"/>
  <c r="AR874" i="30"/>
  <c r="AS874" i="30"/>
  <c r="AT874" i="30"/>
  <c r="AU874" i="30"/>
  <c r="AV874" i="30"/>
  <c r="AW874" i="30"/>
  <c r="AX874" i="30"/>
  <c r="AY874" i="30"/>
  <c r="AZ874" i="30"/>
  <c r="BA874" i="30"/>
  <c r="BB874" i="30"/>
  <c r="BC874" i="30"/>
  <c r="BD874" i="30"/>
  <c r="A840" i="30"/>
  <c r="B840" i="30"/>
  <c r="C840" i="30"/>
  <c r="E840" i="30"/>
  <c r="F840" i="30"/>
  <c r="G840" i="30"/>
  <c r="H840" i="30"/>
  <c r="I840" i="30"/>
  <c r="J840" i="30"/>
  <c r="K840" i="30"/>
  <c r="L840" i="30"/>
  <c r="M840" i="30"/>
  <c r="N840" i="30"/>
  <c r="O840" i="30"/>
  <c r="P840" i="30"/>
  <c r="Q840" i="30"/>
  <c r="R840" i="30"/>
  <c r="S840" i="30"/>
  <c r="T840" i="30"/>
  <c r="U840" i="30"/>
  <c r="V840" i="30"/>
  <c r="W840" i="30"/>
  <c r="X840" i="30"/>
  <c r="Y840" i="30"/>
  <c r="Z840" i="30"/>
  <c r="AA840" i="30"/>
  <c r="AB840" i="30"/>
  <c r="AC840" i="30"/>
  <c r="AD840" i="30"/>
  <c r="AE840" i="30"/>
  <c r="AF840" i="30"/>
  <c r="AG840" i="30"/>
  <c r="AH840" i="30"/>
  <c r="AI840" i="30"/>
  <c r="AJ840" i="30"/>
  <c r="AK840" i="30"/>
  <c r="AL840" i="30"/>
  <c r="AM840" i="30"/>
  <c r="AN840" i="30"/>
  <c r="AO840" i="30"/>
  <c r="AP840" i="30"/>
  <c r="AQ840" i="30"/>
  <c r="AR840" i="30"/>
  <c r="AS840" i="30"/>
  <c r="AT840" i="30"/>
  <c r="AU840" i="30"/>
  <c r="AV840" i="30"/>
  <c r="AW840" i="30"/>
  <c r="AX840" i="30"/>
  <c r="AY840" i="30"/>
  <c r="AZ840" i="30"/>
  <c r="BA840" i="30"/>
  <c r="BB840" i="30"/>
  <c r="BC840" i="30"/>
  <c r="BD840" i="30"/>
  <c r="A875" i="30"/>
  <c r="B875" i="30"/>
  <c r="C875" i="30"/>
  <c r="D875" i="30"/>
  <c r="E875" i="30"/>
  <c r="F875" i="30"/>
  <c r="G875" i="30"/>
  <c r="H875" i="30"/>
  <c r="I875" i="30"/>
  <c r="J875" i="30"/>
  <c r="K875" i="30"/>
  <c r="L875" i="30"/>
  <c r="M875" i="30"/>
  <c r="N875" i="30"/>
  <c r="O875" i="30"/>
  <c r="P875" i="30"/>
  <c r="Q875" i="30"/>
  <c r="R875" i="30"/>
  <c r="S875" i="30"/>
  <c r="T875" i="30"/>
  <c r="U875" i="30"/>
  <c r="V875" i="30"/>
  <c r="W875" i="30"/>
  <c r="X875" i="30"/>
  <c r="Y875" i="30"/>
  <c r="Z875" i="30"/>
  <c r="AA875" i="30"/>
  <c r="AB875" i="30"/>
  <c r="AC875" i="30"/>
  <c r="AD875" i="30"/>
  <c r="AE875" i="30"/>
  <c r="AF875" i="30"/>
  <c r="AG875" i="30"/>
  <c r="AH875" i="30"/>
  <c r="AI875" i="30"/>
  <c r="AJ875" i="30"/>
  <c r="AK875" i="30"/>
  <c r="AL875" i="30"/>
  <c r="AM875" i="30"/>
  <c r="AN875" i="30"/>
  <c r="AO875" i="30"/>
  <c r="AP875" i="30"/>
  <c r="AQ875" i="30"/>
  <c r="AR875" i="30"/>
  <c r="AS875" i="30"/>
  <c r="AT875" i="30"/>
  <c r="AU875" i="30"/>
  <c r="AV875" i="30"/>
  <c r="AW875" i="30"/>
  <c r="AX875" i="30"/>
  <c r="AY875" i="30"/>
  <c r="AZ875" i="30"/>
  <c r="BA875" i="30"/>
  <c r="BB875" i="30"/>
  <c r="BC875" i="30"/>
  <c r="BD875" i="30"/>
  <c r="A876" i="30"/>
  <c r="B876" i="30"/>
  <c r="C876" i="30"/>
  <c r="D876" i="30"/>
  <c r="E876" i="30"/>
  <c r="F876" i="30"/>
  <c r="G876" i="30"/>
  <c r="H876" i="30"/>
  <c r="I876" i="30"/>
  <c r="J876" i="30"/>
  <c r="K876" i="30"/>
  <c r="L876" i="30"/>
  <c r="M876" i="30"/>
  <c r="N876" i="30"/>
  <c r="O876" i="30"/>
  <c r="P876" i="30"/>
  <c r="Q876" i="30"/>
  <c r="R876" i="30"/>
  <c r="S876" i="30"/>
  <c r="T876" i="30"/>
  <c r="U876" i="30"/>
  <c r="V876" i="30"/>
  <c r="W876" i="30"/>
  <c r="X876" i="30"/>
  <c r="Y876" i="30"/>
  <c r="Z876" i="30"/>
  <c r="AA876" i="30"/>
  <c r="AB876" i="30"/>
  <c r="AC876" i="30"/>
  <c r="AD876" i="30"/>
  <c r="AE876" i="30"/>
  <c r="AF876" i="30"/>
  <c r="AG876" i="30"/>
  <c r="AH876" i="30"/>
  <c r="AI876" i="30"/>
  <c r="AJ876" i="30"/>
  <c r="AK876" i="30"/>
  <c r="AL876" i="30"/>
  <c r="AM876" i="30"/>
  <c r="AN876" i="30"/>
  <c r="AO876" i="30"/>
  <c r="AP876" i="30"/>
  <c r="AQ876" i="30"/>
  <c r="AR876" i="30"/>
  <c r="AS876" i="30"/>
  <c r="AT876" i="30"/>
  <c r="AU876" i="30"/>
  <c r="AV876" i="30"/>
  <c r="AW876" i="30"/>
  <c r="AX876" i="30"/>
  <c r="AY876" i="30"/>
  <c r="AZ876" i="30"/>
  <c r="BA876" i="30"/>
  <c r="BB876" i="30"/>
  <c r="BC876" i="30"/>
  <c r="BD876" i="30"/>
  <c r="A877" i="30"/>
  <c r="B877" i="30"/>
  <c r="C877" i="30"/>
  <c r="D877" i="30"/>
  <c r="E877" i="30"/>
  <c r="F877" i="30"/>
  <c r="G877" i="30"/>
  <c r="H877" i="30"/>
  <c r="I877" i="30"/>
  <c r="J877" i="30"/>
  <c r="K877" i="30"/>
  <c r="L877" i="30"/>
  <c r="M877" i="30"/>
  <c r="N877" i="30"/>
  <c r="O877" i="30"/>
  <c r="P877" i="30"/>
  <c r="Q877" i="30"/>
  <c r="R877" i="30"/>
  <c r="S877" i="30"/>
  <c r="T877" i="30"/>
  <c r="U877" i="30"/>
  <c r="V877" i="30"/>
  <c r="W877" i="30"/>
  <c r="X877" i="30"/>
  <c r="Y877" i="30"/>
  <c r="Z877" i="30"/>
  <c r="AA877" i="30"/>
  <c r="AB877" i="30"/>
  <c r="AC877" i="30"/>
  <c r="AD877" i="30"/>
  <c r="AE877" i="30"/>
  <c r="AF877" i="30"/>
  <c r="AG877" i="30"/>
  <c r="AH877" i="30"/>
  <c r="AI877" i="30"/>
  <c r="AJ877" i="30"/>
  <c r="AK877" i="30"/>
  <c r="AL877" i="30"/>
  <c r="AM877" i="30"/>
  <c r="AN877" i="30"/>
  <c r="AO877" i="30"/>
  <c r="AP877" i="30"/>
  <c r="AQ877" i="30"/>
  <c r="AR877" i="30"/>
  <c r="AS877" i="30"/>
  <c r="AT877" i="30"/>
  <c r="AU877" i="30"/>
  <c r="AV877" i="30"/>
  <c r="AW877" i="30"/>
  <c r="AX877" i="30"/>
  <c r="AY877" i="30"/>
  <c r="AZ877" i="30"/>
  <c r="BA877" i="30"/>
  <c r="BB877" i="30"/>
  <c r="BC877" i="30"/>
  <c r="BD877" i="30"/>
  <c r="A841" i="30"/>
  <c r="B841" i="30"/>
  <c r="C841" i="30"/>
  <c r="E841" i="30"/>
  <c r="F841" i="30"/>
  <c r="G841" i="30"/>
  <c r="H841" i="30"/>
  <c r="I841" i="30"/>
  <c r="J841" i="30"/>
  <c r="K841" i="30"/>
  <c r="L841" i="30"/>
  <c r="M841" i="30"/>
  <c r="N841" i="30"/>
  <c r="O841" i="30"/>
  <c r="P841" i="30"/>
  <c r="Q841" i="30"/>
  <c r="R841" i="30"/>
  <c r="S841" i="30"/>
  <c r="T841" i="30"/>
  <c r="U841" i="30"/>
  <c r="V841" i="30"/>
  <c r="W841" i="30"/>
  <c r="X841" i="30"/>
  <c r="Y841" i="30"/>
  <c r="Z841" i="30"/>
  <c r="AA841" i="30"/>
  <c r="AB841" i="30"/>
  <c r="AC841" i="30"/>
  <c r="AD841" i="30"/>
  <c r="AE841" i="30"/>
  <c r="AF841" i="30"/>
  <c r="AG841" i="30"/>
  <c r="AH841" i="30"/>
  <c r="AI841" i="30"/>
  <c r="AJ841" i="30"/>
  <c r="AK841" i="30"/>
  <c r="AL841" i="30"/>
  <c r="AM841" i="30"/>
  <c r="AN841" i="30"/>
  <c r="AO841" i="30"/>
  <c r="AP841" i="30"/>
  <c r="AQ841" i="30"/>
  <c r="AR841" i="30"/>
  <c r="AS841" i="30"/>
  <c r="AT841" i="30"/>
  <c r="AU841" i="30"/>
  <c r="AV841" i="30"/>
  <c r="AW841" i="30"/>
  <c r="AX841" i="30"/>
  <c r="AY841" i="30"/>
  <c r="AZ841" i="30"/>
  <c r="BA841" i="30"/>
  <c r="BB841" i="30"/>
  <c r="BC841" i="30"/>
  <c r="BD841" i="30"/>
  <c r="A878" i="30"/>
  <c r="B878" i="30"/>
  <c r="C878" i="30"/>
  <c r="D878" i="30"/>
  <c r="E878" i="30"/>
  <c r="F878" i="30"/>
  <c r="G878" i="30"/>
  <c r="H878" i="30"/>
  <c r="I878" i="30"/>
  <c r="J878" i="30"/>
  <c r="K878" i="30"/>
  <c r="L878" i="30"/>
  <c r="M878" i="30"/>
  <c r="N878" i="30"/>
  <c r="O878" i="30"/>
  <c r="P878" i="30"/>
  <c r="Q878" i="30"/>
  <c r="R878" i="30"/>
  <c r="S878" i="30"/>
  <c r="T878" i="30"/>
  <c r="U878" i="30"/>
  <c r="V878" i="30"/>
  <c r="W878" i="30"/>
  <c r="X878" i="30"/>
  <c r="Y878" i="30"/>
  <c r="Z878" i="30"/>
  <c r="AA878" i="30"/>
  <c r="AB878" i="30"/>
  <c r="AC878" i="30"/>
  <c r="AD878" i="30"/>
  <c r="AE878" i="30"/>
  <c r="AF878" i="30"/>
  <c r="AG878" i="30"/>
  <c r="AH878" i="30"/>
  <c r="AI878" i="30"/>
  <c r="AJ878" i="30"/>
  <c r="AK878" i="30"/>
  <c r="AL878" i="30"/>
  <c r="AM878" i="30"/>
  <c r="AN878" i="30"/>
  <c r="AO878" i="30"/>
  <c r="AP878" i="30"/>
  <c r="AQ878" i="30"/>
  <c r="AR878" i="30"/>
  <c r="AS878" i="30"/>
  <c r="AT878" i="30"/>
  <c r="AU878" i="30"/>
  <c r="AV878" i="30"/>
  <c r="AW878" i="30"/>
  <c r="AX878" i="30"/>
  <c r="AY878" i="30"/>
  <c r="AZ878" i="30"/>
  <c r="BA878" i="30"/>
  <c r="BB878" i="30"/>
  <c r="BC878" i="30"/>
  <c r="BD878" i="30"/>
  <c r="A879" i="30"/>
  <c r="B879" i="30"/>
  <c r="C879" i="30"/>
  <c r="D879" i="30"/>
  <c r="E879" i="30"/>
  <c r="F879" i="30"/>
  <c r="G879" i="30"/>
  <c r="H879" i="30"/>
  <c r="I879" i="30"/>
  <c r="J879" i="30"/>
  <c r="K879" i="30"/>
  <c r="L879" i="30"/>
  <c r="M879" i="30"/>
  <c r="N879" i="30"/>
  <c r="O879" i="30"/>
  <c r="P879" i="30"/>
  <c r="Q879" i="30"/>
  <c r="R879" i="30"/>
  <c r="S879" i="30"/>
  <c r="T879" i="30"/>
  <c r="U879" i="30"/>
  <c r="V879" i="30"/>
  <c r="W879" i="30"/>
  <c r="X879" i="30"/>
  <c r="Y879" i="30"/>
  <c r="Z879" i="30"/>
  <c r="AA879" i="30"/>
  <c r="AB879" i="30"/>
  <c r="AC879" i="30"/>
  <c r="AD879" i="30"/>
  <c r="AE879" i="30"/>
  <c r="AF879" i="30"/>
  <c r="AG879" i="30"/>
  <c r="AH879" i="30"/>
  <c r="AI879" i="30"/>
  <c r="AJ879" i="30"/>
  <c r="AK879" i="30"/>
  <c r="AL879" i="30"/>
  <c r="AM879" i="30"/>
  <c r="AN879" i="30"/>
  <c r="AO879" i="30"/>
  <c r="AP879" i="30"/>
  <c r="AQ879" i="30"/>
  <c r="AR879" i="30"/>
  <c r="AS879" i="30"/>
  <c r="AT879" i="30"/>
  <c r="AU879" i="30"/>
  <c r="AV879" i="30"/>
  <c r="AW879" i="30"/>
  <c r="AX879" i="30"/>
  <c r="AY879" i="30"/>
  <c r="AZ879" i="30"/>
  <c r="BA879" i="30"/>
  <c r="BB879" i="30"/>
  <c r="BC879" i="30"/>
  <c r="BD879" i="30"/>
  <c r="A880" i="30"/>
  <c r="B880" i="30"/>
  <c r="C880" i="30"/>
  <c r="D880" i="30"/>
  <c r="E880" i="30"/>
  <c r="F880" i="30"/>
  <c r="G880" i="30"/>
  <c r="H880" i="30"/>
  <c r="I880" i="30"/>
  <c r="J880" i="30"/>
  <c r="K880" i="30"/>
  <c r="L880" i="30"/>
  <c r="M880" i="30"/>
  <c r="N880" i="30"/>
  <c r="O880" i="30"/>
  <c r="P880" i="30"/>
  <c r="Q880" i="30"/>
  <c r="R880" i="30"/>
  <c r="S880" i="30"/>
  <c r="T880" i="30"/>
  <c r="U880" i="30"/>
  <c r="V880" i="30"/>
  <c r="W880" i="30"/>
  <c r="X880" i="30"/>
  <c r="Y880" i="30"/>
  <c r="Z880" i="30"/>
  <c r="AA880" i="30"/>
  <c r="AB880" i="30"/>
  <c r="AC880" i="30"/>
  <c r="AD880" i="30"/>
  <c r="AE880" i="30"/>
  <c r="AF880" i="30"/>
  <c r="AG880" i="30"/>
  <c r="AH880" i="30"/>
  <c r="AI880" i="30"/>
  <c r="AJ880" i="30"/>
  <c r="AK880" i="30"/>
  <c r="AL880" i="30"/>
  <c r="AM880" i="30"/>
  <c r="AN880" i="30"/>
  <c r="AO880" i="30"/>
  <c r="AP880" i="30"/>
  <c r="AQ880" i="30"/>
  <c r="AR880" i="30"/>
  <c r="AS880" i="30"/>
  <c r="AT880" i="30"/>
  <c r="AU880" i="30"/>
  <c r="AV880" i="30"/>
  <c r="AW880" i="30"/>
  <c r="AX880" i="30"/>
  <c r="AY880" i="30"/>
  <c r="AZ880" i="30"/>
  <c r="BA880" i="30"/>
  <c r="BB880" i="30"/>
  <c r="BC880" i="30"/>
  <c r="BD880" i="30"/>
  <c r="A842" i="30"/>
  <c r="B842" i="30"/>
  <c r="C842" i="30"/>
  <c r="E842" i="30"/>
  <c r="F842" i="30"/>
  <c r="G842" i="30"/>
  <c r="H842" i="30"/>
  <c r="I842" i="30"/>
  <c r="J842" i="30"/>
  <c r="K842" i="30"/>
  <c r="L842" i="30"/>
  <c r="M842" i="30"/>
  <c r="N842" i="30"/>
  <c r="O842" i="30"/>
  <c r="P842" i="30"/>
  <c r="Q842" i="30"/>
  <c r="R842" i="30"/>
  <c r="S842" i="30"/>
  <c r="T842" i="30"/>
  <c r="U842" i="30"/>
  <c r="V842" i="30"/>
  <c r="W842" i="30"/>
  <c r="X842" i="30"/>
  <c r="Y842" i="30"/>
  <c r="Z842" i="30"/>
  <c r="AA842" i="30"/>
  <c r="AB842" i="30"/>
  <c r="AC842" i="30"/>
  <c r="AD842" i="30"/>
  <c r="AE842" i="30"/>
  <c r="AF842" i="30"/>
  <c r="AG842" i="30"/>
  <c r="AH842" i="30"/>
  <c r="AI842" i="30"/>
  <c r="AJ842" i="30"/>
  <c r="AK842" i="30"/>
  <c r="AL842" i="30"/>
  <c r="AM842" i="30"/>
  <c r="AN842" i="30"/>
  <c r="AO842" i="30"/>
  <c r="AP842" i="30"/>
  <c r="AQ842" i="30"/>
  <c r="AR842" i="30"/>
  <c r="AS842" i="30"/>
  <c r="AT842" i="30"/>
  <c r="AU842" i="30"/>
  <c r="AV842" i="30"/>
  <c r="AW842" i="30"/>
  <c r="AX842" i="30"/>
  <c r="AY842" i="30"/>
  <c r="AZ842" i="30"/>
  <c r="BA842" i="30"/>
  <c r="BB842" i="30"/>
  <c r="BC842" i="30"/>
  <c r="BD842" i="30"/>
  <c r="A881" i="30"/>
  <c r="B881" i="30"/>
  <c r="C881" i="30"/>
  <c r="D881" i="30"/>
  <c r="E881" i="30"/>
  <c r="F881" i="30"/>
  <c r="G881" i="30"/>
  <c r="H881" i="30"/>
  <c r="I881" i="30"/>
  <c r="J881" i="30"/>
  <c r="K881" i="30"/>
  <c r="L881" i="30"/>
  <c r="M881" i="30"/>
  <c r="N881" i="30"/>
  <c r="O881" i="30"/>
  <c r="P881" i="30"/>
  <c r="Q881" i="30"/>
  <c r="R881" i="30"/>
  <c r="S881" i="30"/>
  <c r="T881" i="30"/>
  <c r="U881" i="30"/>
  <c r="V881" i="30"/>
  <c r="W881" i="30"/>
  <c r="X881" i="30"/>
  <c r="Y881" i="30"/>
  <c r="Z881" i="30"/>
  <c r="AA881" i="30"/>
  <c r="AB881" i="30"/>
  <c r="AC881" i="30"/>
  <c r="AD881" i="30"/>
  <c r="AE881" i="30"/>
  <c r="AF881" i="30"/>
  <c r="AG881" i="30"/>
  <c r="AH881" i="30"/>
  <c r="AI881" i="30"/>
  <c r="AJ881" i="30"/>
  <c r="AK881" i="30"/>
  <c r="AL881" i="30"/>
  <c r="AM881" i="30"/>
  <c r="AN881" i="30"/>
  <c r="AO881" i="30"/>
  <c r="AP881" i="30"/>
  <c r="AQ881" i="30"/>
  <c r="AR881" i="30"/>
  <c r="AS881" i="30"/>
  <c r="AT881" i="30"/>
  <c r="AU881" i="30"/>
  <c r="AV881" i="30"/>
  <c r="AW881" i="30"/>
  <c r="AX881" i="30"/>
  <c r="AY881" i="30"/>
  <c r="AZ881" i="30"/>
  <c r="BA881" i="30"/>
  <c r="BB881" i="30"/>
  <c r="BC881" i="30"/>
  <c r="BD881" i="30"/>
  <c r="A882" i="30"/>
  <c r="B882" i="30"/>
  <c r="C882" i="30"/>
  <c r="D882" i="30"/>
  <c r="E882" i="30"/>
  <c r="F882" i="30"/>
  <c r="G882" i="30"/>
  <c r="H882" i="30"/>
  <c r="I882" i="30"/>
  <c r="J882" i="30"/>
  <c r="K882" i="30"/>
  <c r="L882" i="30"/>
  <c r="M882" i="30"/>
  <c r="N882" i="30"/>
  <c r="O882" i="30"/>
  <c r="P882" i="30"/>
  <c r="Q882" i="30"/>
  <c r="R882" i="30"/>
  <c r="S882" i="30"/>
  <c r="T882" i="30"/>
  <c r="U882" i="30"/>
  <c r="V882" i="30"/>
  <c r="W882" i="30"/>
  <c r="X882" i="30"/>
  <c r="Y882" i="30"/>
  <c r="Z882" i="30"/>
  <c r="AA882" i="30"/>
  <c r="AB882" i="30"/>
  <c r="AC882" i="30"/>
  <c r="AD882" i="30"/>
  <c r="AE882" i="30"/>
  <c r="AF882" i="30"/>
  <c r="AG882" i="30"/>
  <c r="AH882" i="30"/>
  <c r="AI882" i="30"/>
  <c r="AJ882" i="30"/>
  <c r="AK882" i="30"/>
  <c r="AL882" i="30"/>
  <c r="AM882" i="30"/>
  <c r="AN882" i="30"/>
  <c r="AO882" i="30"/>
  <c r="AP882" i="30"/>
  <c r="AQ882" i="30"/>
  <c r="AR882" i="30"/>
  <c r="AS882" i="30"/>
  <c r="AT882" i="30"/>
  <c r="AU882" i="30"/>
  <c r="AV882" i="30"/>
  <c r="AW882" i="30"/>
  <c r="AX882" i="30"/>
  <c r="AY882" i="30"/>
  <c r="AZ882" i="30"/>
  <c r="BA882" i="30"/>
  <c r="BB882" i="30"/>
  <c r="BC882" i="30"/>
  <c r="BD882" i="30"/>
  <c r="A883" i="30"/>
  <c r="B883" i="30"/>
  <c r="C883" i="30"/>
  <c r="D883" i="30"/>
  <c r="E883" i="30"/>
  <c r="F883" i="30"/>
  <c r="G883" i="30"/>
  <c r="H883" i="30"/>
  <c r="I883" i="30"/>
  <c r="J883" i="30"/>
  <c r="K883" i="30"/>
  <c r="L883" i="30"/>
  <c r="M883" i="30"/>
  <c r="N883" i="30"/>
  <c r="O883" i="30"/>
  <c r="P883" i="30"/>
  <c r="Q883" i="30"/>
  <c r="R883" i="30"/>
  <c r="S883" i="30"/>
  <c r="T883" i="30"/>
  <c r="U883" i="30"/>
  <c r="V883" i="30"/>
  <c r="W883" i="30"/>
  <c r="X883" i="30"/>
  <c r="Y883" i="30"/>
  <c r="Z883" i="30"/>
  <c r="AA883" i="30"/>
  <c r="AB883" i="30"/>
  <c r="AC883" i="30"/>
  <c r="AD883" i="30"/>
  <c r="AE883" i="30"/>
  <c r="AF883" i="30"/>
  <c r="AG883" i="30"/>
  <c r="AH883" i="30"/>
  <c r="AI883" i="30"/>
  <c r="AJ883" i="30"/>
  <c r="AK883" i="30"/>
  <c r="AL883" i="30"/>
  <c r="AM883" i="30"/>
  <c r="AN883" i="30"/>
  <c r="AO883" i="30"/>
  <c r="AP883" i="30"/>
  <c r="AQ883" i="30"/>
  <c r="AR883" i="30"/>
  <c r="AS883" i="30"/>
  <c r="AT883" i="30"/>
  <c r="AU883" i="30"/>
  <c r="AV883" i="30"/>
  <c r="AW883" i="30"/>
  <c r="AX883" i="30"/>
  <c r="AY883" i="30"/>
  <c r="AZ883" i="30"/>
  <c r="BA883" i="30"/>
  <c r="BB883" i="30"/>
  <c r="BC883" i="30"/>
  <c r="BD883" i="30"/>
  <c r="A843" i="30"/>
  <c r="B843" i="30"/>
  <c r="C843" i="30"/>
  <c r="E843" i="30"/>
  <c r="F843" i="30"/>
  <c r="G843" i="30"/>
  <c r="H843" i="30"/>
  <c r="I843" i="30"/>
  <c r="J843" i="30"/>
  <c r="K843" i="30"/>
  <c r="L843" i="30"/>
  <c r="M843" i="30"/>
  <c r="N843" i="30"/>
  <c r="O843" i="30"/>
  <c r="P843" i="30"/>
  <c r="Q843" i="30"/>
  <c r="R843" i="30"/>
  <c r="S843" i="30"/>
  <c r="T843" i="30"/>
  <c r="U843" i="30"/>
  <c r="V843" i="30"/>
  <c r="W843" i="30"/>
  <c r="X843" i="30"/>
  <c r="Y843" i="30"/>
  <c r="Z843" i="30"/>
  <c r="AA843" i="30"/>
  <c r="AB843" i="30"/>
  <c r="AC843" i="30"/>
  <c r="AD843" i="30"/>
  <c r="AE843" i="30"/>
  <c r="AF843" i="30"/>
  <c r="AG843" i="30"/>
  <c r="AH843" i="30"/>
  <c r="AI843" i="30"/>
  <c r="AJ843" i="30"/>
  <c r="AK843" i="30"/>
  <c r="AL843" i="30"/>
  <c r="AM843" i="30"/>
  <c r="AN843" i="30"/>
  <c r="AO843" i="30"/>
  <c r="AP843" i="30"/>
  <c r="AQ843" i="30"/>
  <c r="AR843" i="30"/>
  <c r="AS843" i="30"/>
  <c r="AT843" i="30"/>
  <c r="AU843" i="30"/>
  <c r="AV843" i="30"/>
  <c r="AW843" i="30"/>
  <c r="AX843" i="30"/>
  <c r="AY843" i="30"/>
  <c r="AZ843" i="30"/>
  <c r="BA843" i="30"/>
  <c r="BB843" i="30"/>
  <c r="BC843" i="30"/>
  <c r="BD843" i="30"/>
  <c r="A884" i="30"/>
  <c r="B884" i="30"/>
  <c r="C884" i="30"/>
  <c r="D884" i="30"/>
  <c r="E884" i="30"/>
  <c r="F884" i="30"/>
  <c r="G884" i="30"/>
  <c r="H884" i="30"/>
  <c r="I884" i="30"/>
  <c r="J884" i="30"/>
  <c r="K884" i="30"/>
  <c r="L884" i="30"/>
  <c r="M884" i="30"/>
  <c r="N884" i="30"/>
  <c r="O884" i="30"/>
  <c r="P884" i="30"/>
  <c r="Q884" i="30"/>
  <c r="R884" i="30"/>
  <c r="S884" i="30"/>
  <c r="T884" i="30"/>
  <c r="U884" i="30"/>
  <c r="V884" i="30"/>
  <c r="W884" i="30"/>
  <c r="X884" i="30"/>
  <c r="Y884" i="30"/>
  <c r="Z884" i="30"/>
  <c r="AA884" i="30"/>
  <c r="AB884" i="30"/>
  <c r="AC884" i="30"/>
  <c r="AD884" i="30"/>
  <c r="AE884" i="30"/>
  <c r="AF884" i="30"/>
  <c r="AG884" i="30"/>
  <c r="AH884" i="30"/>
  <c r="AI884" i="30"/>
  <c r="AJ884" i="30"/>
  <c r="AK884" i="30"/>
  <c r="AL884" i="30"/>
  <c r="AM884" i="30"/>
  <c r="AN884" i="30"/>
  <c r="AO884" i="30"/>
  <c r="AP884" i="30"/>
  <c r="AQ884" i="30"/>
  <c r="AR884" i="30"/>
  <c r="AS884" i="30"/>
  <c r="AT884" i="30"/>
  <c r="AU884" i="30"/>
  <c r="AV884" i="30"/>
  <c r="AW884" i="30"/>
  <c r="AX884" i="30"/>
  <c r="AY884" i="30"/>
  <c r="AZ884" i="30"/>
  <c r="BA884" i="30"/>
  <c r="BB884" i="30"/>
  <c r="BC884" i="30"/>
  <c r="BD884" i="30"/>
  <c r="A885" i="30"/>
  <c r="B885" i="30"/>
  <c r="C885" i="30"/>
  <c r="D885" i="30"/>
  <c r="E885" i="30"/>
  <c r="F885" i="30"/>
  <c r="G885" i="30"/>
  <c r="H885" i="30"/>
  <c r="I885" i="30"/>
  <c r="J885" i="30"/>
  <c r="K885" i="30"/>
  <c r="L885" i="30"/>
  <c r="M885" i="30"/>
  <c r="N885" i="30"/>
  <c r="O885" i="30"/>
  <c r="P885" i="30"/>
  <c r="Q885" i="30"/>
  <c r="R885" i="30"/>
  <c r="S885" i="30"/>
  <c r="T885" i="30"/>
  <c r="U885" i="30"/>
  <c r="V885" i="30"/>
  <c r="W885" i="30"/>
  <c r="X885" i="30"/>
  <c r="Y885" i="30"/>
  <c r="Z885" i="30"/>
  <c r="AA885" i="30"/>
  <c r="AB885" i="30"/>
  <c r="AC885" i="30"/>
  <c r="AD885" i="30"/>
  <c r="AE885" i="30"/>
  <c r="AF885" i="30"/>
  <c r="AG885" i="30"/>
  <c r="AH885" i="30"/>
  <c r="AI885" i="30"/>
  <c r="AJ885" i="30"/>
  <c r="AK885" i="30"/>
  <c r="AL885" i="30"/>
  <c r="AM885" i="30"/>
  <c r="AN885" i="30"/>
  <c r="AO885" i="30"/>
  <c r="AP885" i="30"/>
  <c r="AQ885" i="30"/>
  <c r="AR885" i="30"/>
  <c r="AS885" i="30"/>
  <c r="AT885" i="30"/>
  <c r="AU885" i="30"/>
  <c r="AV885" i="30"/>
  <c r="AW885" i="30"/>
  <c r="AX885" i="30"/>
  <c r="AY885" i="30"/>
  <c r="AZ885" i="30"/>
  <c r="BA885" i="30"/>
  <c r="BB885" i="30"/>
  <c r="BC885" i="30"/>
  <c r="BD885" i="30"/>
  <c r="A886" i="30"/>
  <c r="B886" i="30"/>
  <c r="C886" i="30"/>
  <c r="D886" i="30"/>
  <c r="E886" i="30"/>
  <c r="F886" i="30"/>
  <c r="G886" i="30"/>
  <c r="H886" i="30"/>
  <c r="I886" i="30"/>
  <c r="J886" i="30"/>
  <c r="K886" i="30"/>
  <c r="L886" i="30"/>
  <c r="M886" i="30"/>
  <c r="N886" i="30"/>
  <c r="O886" i="30"/>
  <c r="P886" i="30"/>
  <c r="Q886" i="30"/>
  <c r="R886" i="30"/>
  <c r="S886" i="30"/>
  <c r="T886" i="30"/>
  <c r="U886" i="30"/>
  <c r="V886" i="30"/>
  <c r="W886" i="30"/>
  <c r="X886" i="30"/>
  <c r="Y886" i="30"/>
  <c r="Z886" i="30"/>
  <c r="AA886" i="30"/>
  <c r="AB886" i="30"/>
  <c r="AC886" i="30"/>
  <c r="AD886" i="30"/>
  <c r="AE886" i="30"/>
  <c r="AF886" i="30"/>
  <c r="AG886" i="30"/>
  <c r="AH886" i="30"/>
  <c r="AI886" i="30"/>
  <c r="AJ886" i="30"/>
  <c r="AK886" i="30"/>
  <c r="AL886" i="30"/>
  <c r="AM886" i="30"/>
  <c r="AN886" i="30"/>
  <c r="AO886" i="30"/>
  <c r="AP886" i="30"/>
  <c r="AQ886" i="30"/>
  <c r="AR886" i="30"/>
  <c r="AS886" i="30"/>
  <c r="AT886" i="30"/>
  <c r="AU886" i="30"/>
  <c r="AV886" i="30"/>
  <c r="AW886" i="30"/>
  <c r="AX886" i="30"/>
  <c r="AY886" i="30"/>
  <c r="AZ886" i="30"/>
  <c r="BA886" i="30"/>
  <c r="BB886" i="30"/>
  <c r="BC886" i="30"/>
  <c r="BD886" i="30"/>
  <c r="A844" i="30"/>
  <c r="B844" i="30"/>
  <c r="C844" i="30"/>
  <c r="E844" i="30"/>
  <c r="F844" i="30"/>
  <c r="G844" i="30"/>
  <c r="H844" i="30"/>
  <c r="I844" i="30"/>
  <c r="J844" i="30"/>
  <c r="K844" i="30"/>
  <c r="L844" i="30"/>
  <c r="M844" i="30"/>
  <c r="N844" i="30"/>
  <c r="O844" i="30"/>
  <c r="P844" i="30"/>
  <c r="Q844" i="30"/>
  <c r="R844" i="30"/>
  <c r="S844" i="30"/>
  <c r="T844" i="30"/>
  <c r="U844" i="30"/>
  <c r="V844" i="30"/>
  <c r="W844" i="30"/>
  <c r="X844" i="30"/>
  <c r="Y844" i="30"/>
  <c r="Z844" i="30"/>
  <c r="AA844" i="30"/>
  <c r="AB844" i="30"/>
  <c r="AC844" i="30"/>
  <c r="AD844" i="30"/>
  <c r="AE844" i="30"/>
  <c r="AF844" i="30"/>
  <c r="AG844" i="30"/>
  <c r="AH844" i="30"/>
  <c r="AI844" i="30"/>
  <c r="AJ844" i="30"/>
  <c r="AK844" i="30"/>
  <c r="AL844" i="30"/>
  <c r="AM844" i="30"/>
  <c r="AN844" i="30"/>
  <c r="AO844" i="30"/>
  <c r="AP844" i="30"/>
  <c r="AQ844" i="30"/>
  <c r="AR844" i="30"/>
  <c r="AS844" i="30"/>
  <c r="AT844" i="30"/>
  <c r="AU844" i="30"/>
  <c r="AV844" i="30"/>
  <c r="AW844" i="30"/>
  <c r="AX844" i="30"/>
  <c r="AY844" i="30"/>
  <c r="AZ844" i="30"/>
  <c r="BA844" i="30"/>
  <c r="BB844" i="30"/>
  <c r="BC844" i="30"/>
  <c r="BD844" i="30"/>
  <c r="A887" i="30"/>
  <c r="B887" i="30"/>
  <c r="C887" i="30"/>
  <c r="D887" i="30"/>
  <c r="E887" i="30"/>
  <c r="F887" i="30"/>
  <c r="G887" i="30"/>
  <c r="H887" i="30"/>
  <c r="I887" i="30"/>
  <c r="J887" i="30"/>
  <c r="K887" i="30"/>
  <c r="L887" i="30"/>
  <c r="M887" i="30"/>
  <c r="N887" i="30"/>
  <c r="O887" i="30"/>
  <c r="P887" i="30"/>
  <c r="Q887" i="30"/>
  <c r="R887" i="30"/>
  <c r="S887" i="30"/>
  <c r="T887" i="30"/>
  <c r="U887" i="30"/>
  <c r="V887" i="30"/>
  <c r="W887" i="30"/>
  <c r="X887" i="30"/>
  <c r="Y887" i="30"/>
  <c r="Z887" i="30"/>
  <c r="AA887" i="30"/>
  <c r="AB887" i="30"/>
  <c r="AC887" i="30"/>
  <c r="AD887" i="30"/>
  <c r="AE887" i="30"/>
  <c r="AF887" i="30"/>
  <c r="AG887" i="30"/>
  <c r="AH887" i="30"/>
  <c r="AI887" i="30"/>
  <c r="AJ887" i="30"/>
  <c r="AK887" i="30"/>
  <c r="AL887" i="30"/>
  <c r="AM887" i="30"/>
  <c r="AN887" i="30"/>
  <c r="AO887" i="30"/>
  <c r="AP887" i="30"/>
  <c r="AQ887" i="30"/>
  <c r="AR887" i="30"/>
  <c r="AS887" i="30"/>
  <c r="AT887" i="30"/>
  <c r="AU887" i="30"/>
  <c r="AV887" i="30"/>
  <c r="AW887" i="30"/>
  <c r="AX887" i="30"/>
  <c r="AY887" i="30"/>
  <c r="AZ887" i="30"/>
  <c r="BA887" i="30"/>
  <c r="BB887" i="30"/>
  <c r="BC887" i="30"/>
  <c r="BD887" i="30"/>
  <c r="A888" i="30"/>
  <c r="B888" i="30"/>
  <c r="C888" i="30"/>
  <c r="D888" i="30"/>
  <c r="E888" i="30"/>
  <c r="F888" i="30"/>
  <c r="G888" i="30"/>
  <c r="H888" i="30"/>
  <c r="I888" i="30"/>
  <c r="J888" i="30"/>
  <c r="K888" i="30"/>
  <c r="L888" i="30"/>
  <c r="M888" i="30"/>
  <c r="N888" i="30"/>
  <c r="O888" i="30"/>
  <c r="P888" i="30"/>
  <c r="Q888" i="30"/>
  <c r="R888" i="30"/>
  <c r="S888" i="30"/>
  <c r="T888" i="30"/>
  <c r="U888" i="30"/>
  <c r="V888" i="30"/>
  <c r="W888" i="30"/>
  <c r="X888" i="30"/>
  <c r="Y888" i="30"/>
  <c r="Z888" i="30"/>
  <c r="AA888" i="30"/>
  <c r="AB888" i="30"/>
  <c r="AC888" i="30"/>
  <c r="AD888" i="30"/>
  <c r="AE888" i="30"/>
  <c r="AF888" i="30"/>
  <c r="AG888" i="30"/>
  <c r="AH888" i="30"/>
  <c r="AI888" i="30"/>
  <c r="AJ888" i="30"/>
  <c r="AK888" i="30"/>
  <c r="AL888" i="30"/>
  <c r="AM888" i="30"/>
  <c r="AN888" i="30"/>
  <c r="AO888" i="30"/>
  <c r="AP888" i="30"/>
  <c r="AQ888" i="30"/>
  <c r="AR888" i="30"/>
  <c r="AS888" i="30"/>
  <c r="AT888" i="30"/>
  <c r="AU888" i="30"/>
  <c r="AV888" i="30"/>
  <c r="AW888" i="30"/>
  <c r="AX888" i="30"/>
  <c r="AY888" i="30"/>
  <c r="AZ888" i="30"/>
  <c r="BA888" i="30"/>
  <c r="BB888" i="30"/>
  <c r="BC888" i="30"/>
  <c r="BD888" i="30"/>
  <c r="A889" i="30"/>
  <c r="B889" i="30"/>
  <c r="C889" i="30"/>
  <c r="D889" i="30"/>
  <c r="E889" i="30"/>
  <c r="F889" i="30"/>
  <c r="G889" i="30"/>
  <c r="H889" i="30"/>
  <c r="I889" i="30"/>
  <c r="J889" i="30"/>
  <c r="K889" i="30"/>
  <c r="L889" i="30"/>
  <c r="M889" i="30"/>
  <c r="N889" i="30"/>
  <c r="O889" i="30"/>
  <c r="P889" i="30"/>
  <c r="Q889" i="30"/>
  <c r="R889" i="30"/>
  <c r="S889" i="30"/>
  <c r="T889" i="30"/>
  <c r="U889" i="30"/>
  <c r="V889" i="30"/>
  <c r="W889" i="30"/>
  <c r="X889" i="30"/>
  <c r="Y889" i="30"/>
  <c r="Z889" i="30"/>
  <c r="AA889" i="30"/>
  <c r="AB889" i="30"/>
  <c r="AC889" i="30"/>
  <c r="AD889" i="30"/>
  <c r="AE889" i="30"/>
  <c r="AF889" i="30"/>
  <c r="AG889" i="30"/>
  <c r="AH889" i="30"/>
  <c r="AI889" i="30"/>
  <c r="AJ889" i="30"/>
  <c r="AK889" i="30"/>
  <c r="AL889" i="30"/>
  <c r="AM889" i="30"/>
  <c r="AN889" i="30"/>
  <c r="AO889" i="30"/>
  <c r="AP889" i="30"/>
  <c r="AQ889" i="30"/>
  <c r="AR889" i="30"/>
  <c r="AS889" i="30"/>
  <c r="AT889" i="30"/>
  <c r="AU889" i="30"/>
  <c r="AV889" i="30"/>
  <c r="AW889" i="30"/>
  <c r="AX889" i="30"/>
  <c r="AY889" i="30"/>
  <c r="AZ889" i="30"/>
  <c r="BA889" i="30"/>
  <c r="BB889" i="30"/>
  <c r="BC889" i="30"/>
  <c r="BD889" i="30"/>
  <c r="A845" i="30"/>
  <c r="B845" i="30"/>
  <c r="C845" i="30"/>
  <c r="E845" i="30"/>
  <c r="F845" i="30"/>
  <c r="G845" i="30"/>
  <c r="H845" i="30"/>
  <c r="I845" i="30"/>
  <c r="J845" i="30"/>
  <c r="K845" i="30"/>
  <c r="L845" i="30"/>
  <c r="M845" i="30"/>
  <c r="N845" i="30"/>
  <c r="O845" i="30"/>
  <c r="P845" i="30"/>
  <c r="Q845" i="30"/>
  <c r="R845" i="30"/>
  <c r="S845" i="30"/>
  <c r="T845" i="30"/>
  <c r="U845" i="30"/>
  <c r="V845" i="30"/>
  <c r="W845" i="30"/>
  <c r="X845" i="30"/>
  <c r="Y845" i="30"/>
  <c r="Z845" i="30"/>
  <c r="AA845" i="30"/>
  <c r="AB845" i="30"/>
  <c r="AC845" i="30"/>
  <c r="AD845" i="30"/>
  <c r="AE845" i="30"/>
  <c r="AF845" i="30"/>
  <c r="AG845" i="30"/>
  <c r="AH845" i="30"/>
  <c r="AI845" i="30"/>
  <c r="AJ845" i="30"/>
  <c r="AK845" i="30"/>
  <c r="AL845" i="30"/>
  <c r="AM845" i="30"/>
  <c r="AN845" i="30"/>
  <c r="AO845" i="30"/>
  <c r="AP845" i="30"/>
  <c r="AQ845" i="30"/>
  <c r="AR845" i="30"/>
  <c r="AS845" i="30"/>
  <c r="AT845" i="30"/>
  <c r="AU845" i="30"/>
  <c r="AV845" i="30"/>
  <c r="AW845" i="30"/>
  <c r="AX845" i="30"/>
  <c r="AY845" i="30"/>
  <c r="AZ845" i="30"/>
  <c r="BA845" i="30"/>
  <c r="BB845" i="30"/>
  <c r="BC845" i="30"/>
  <c r="BD845" i="30"/>
  <c r="A890" i="30"/>
  <c r="B890" i="30"/>
  <c r="C890" i="30"/>
  <c r="D890" i="30"/>
  <c r="E890" i="30"/>
  <c r="F890" i="30"/>
  <c r="G890" i="30"/>
  <c r="H890" i="30"/>
  <c r="I890" i="30"/>
  <c r="J890" i="30"/>
  <c r="K890" i="30"/>
  <c r="L890" i="30"/>
  <c r="M890" i="30"/>
  <c r="N890" i="30"/>
  <c r="O890" i="30"/>
  <c r="P890" i="30"/>
  <c r="Q890" i="30"/>
  <c r="R890" i="30"/>
  <c r="S890" i="30"/>
  <c r="T890" i="30"/>
  <c r="U890" i="30"/>
  <c r="V890" i="30"/>
  <c r="W890" i="30"/>
  <c r="X890" i="30"/>
  <c r="Y890" i="30"/>
  <c r="Z890" i="30"/>
  <c r="AA890" i="30"/>
  <c r="AB890" i="30"/>
  <c r="AC890" i="30"/>
  <c r="AD890" i="30"/>
  <c r="AE890" i="30"/>
  <c r="AF890" i="30"/>
  <c r="AG890" i="30"/>
  <c r="AH890" i="30"/>
  <c r="AI890" i="30"/>
  <c r="AJ890" i="30"/>
  <c r="AK890" i="30"/>
  <c r="AL890" i="30"/>
  <c r="AM890" i="30"/>
  <c r="AN890" i="30"/>
  <c r="AO890" i="30"/>
  <c r="AP890" i="30"/>
  <c r="AQ890" i="30"/>
  <c r="AR890" i="30"/>
  <c r="AS890" i="30"/>
  <c r="AT890" i="30"/>
  <c r="AU890" i="30"/>
  <c r="AV890" i="30"/>
  <c r="AW890" i="30"/>
  <c r="AX890" i="30"/>
  <c r="AY890" i="30"/>
  <c r="AZ890" i="30"/>
  <c r="BA890" i="30"/>
  <c r="BB890" i="30"/>
  <c r="BC890" i="30"/>
  <c r="BD890" i="30"/>
  <c r="A891" i="30"/>
  <c r="B891" i="30"/>
  <c r="C891" i="30"/>
  <c r="D891" i="30"/>
  <c r="E891" i="30"/>
  <c r="F891" i="30"/>
  <c r="G891" i="30"/>
  <c r="H891" i="30"/>
  <c r="I891" i="30"/>
  <c r="J891" i="30"/>
  <c r="K891" i="30"/>
  <c r="L891" i="30"/>
  <c r="M891" i="30"/>
  <c r="N891" i="30"/>
  <c r="O891" i="30"/>
  <c r="P891" i="30"/>
  <c r="Q891" i="30"/>
  <c r="R891" i="30"/>
  <c r="S891" i="30"/>
  <c r="T891" i="30"/>
  <c r="U891" i="30"/>
  <c r="V891" i="30"/>
  <c r="W891" i="30"/>
  <c r="X891" i="30"/>
  <c r="Y891" i="30"/>
  <c r="Z891" i="30"/>
  <c r="AA891" i="30"/>
  <c r="AB891" i="30"/>
  <c r="AC891" i="30"/>
  <c r="AD891" i="30"/>
  <c r="AE891" i="30"/>
  <c r="AF891" i="30"/>
  <c r="AG891" i="30"/>
  <c r="AH891" i="30"/>
  <c r="AI891" i="30"/>
  <c r="AJ891" i="30"/>
  <c r="AK891" i="30"/>
  <c r="AL891" i="30"/>
  <c r="AM891" i="30"/>
  <c r="AN891" i="30"/>
  <c r="AO891" i="30"/>
  <c r="AP891" i="30"/>
  <c r="AQ891" i="30"/>
  <c r="AR891" i="30"/>
  <c r="AS891" i="30"/>
  <c r="AT891" i="30"/>
  <c r="AU891" i="30"/>
  <c r="AV891" i="30"/>
  <c r="AW891" i="30"/>
  <c r="AX891" i="30"/>
  <c r="AY891" i="30"/>
  <c r="AZ891" i="30"/>
  <c r="BA891" i="30"/>
  <c r="BB891" i="30"/>
  <c r="BC891" i="30"/>
  <c r="BD891" i="30"/>
  <c r="A892" i="30"/>
  <c r="B892" i="30"/>
  <c r="C892" i="30"/>
  <c r="D892" i="30"/>
  <c r="E892" i="30"/>
  <c r="F892" i="30"/>
  <c r="G892" i="30"/>
  <c r="H892" i="30"/>
  <c r="I892" i="30"/>
  <c r="J892" i="30"/>
  <c r="K892" i="30"/>
  <c r="L892" i="30"/>
  <c r="M892" i="30"/>
  <c r="N892" i="30"/>
  <c r="O892" i="30"/>
  <c r="P892" i="30"/>
  <c r="Q892" i="30"/>
  <c r="R892" i="30"/>
  <c r="S892" i="30"/>
  <c r="T892" i="30"/>
  <c r="U892" i="30"/>
  <c r="V892" i="30"/>
  <c r="W892" i="30"/>
  <c r="X892" i="30"/>
  <c r="Y892" i="30"/>
  <c r="Z892" i="30"/>
  <c r="AA892" i="30"/>
  <c r="AB892" i="30"/>
  <c r="AC892" i="30"/>
  <c r="AD892" i="30"/>
  <c r="AE892" i="30"/>
  <c r="AF892" i="30"/>
  <c r="AG892" i="30"/>
  <c r="AH892" i="30"/>
  <c r="AI892" i="30"/>
  <c r="AJ892" i="30"/>
  <c r="AK892" i="30"/>
  <c r="AL892" i="30"/>
  <c r="AM892" i="30"/>
  <c r="AN892" i="30"/>
  <c r="AO892" i="30"/>
  <c r="AP892" i="30"/>
  <c r="AQ892" i="30"/>
  <c r="AR892" i="30"/>
  <c r="AS892" i="30"/>
  <c r="AT892" i="30"/>
  <c r="AU892" i="30"/>
  <c r="AV892" i="30"/>
  <c r="AW892" i="30"/>
  <c r="AX892" i="30"/>
  <c r="AY892" i="30"/>
  <c r="AZ892" i="30"/>
  <c r="BA892" i="30"/>
  <c r="BB892" i="30"/>
  <c r="BC892" i="30"/>
  <c r="BD892" i="30"/>
  <c r="A893" i="30"/>
  <c r="B893" i="30"/>
  <c r="C893" i="30"/>
  <c r="D893" i="30"/>
  <c r="E893" i="30"/>
  <c r="F893" i="30"/>
  <c r="G893" i="30"/>
  <c r="H893" i="30"/>
  <c r="I893" i="30"/>
  <c r="J893" i="30"/>
  <c r="K893" i="30"/>
  <c r="L893" i="30"/>
  <c r="M893" i="30"/>
  <c r="N893" i="30"/>
  <c r="O893" i="30"/>
  <c r="P893" i="30"/>
  <c r="Q893" i="30"/>
  <c r="R893" i="30"/>
  <c r="S893" i="30"/>
  <c r="T893" i="30"/>
  <c r="U893" i="30"/>
  <c r="V893" i="30"/>
  <c r="W893" i="30"/>
  <c r="X893" i="30"/>
  <c r="Y893" i="30"/>
  <c r="Z893" i="30"/>
  <c r="AA893" i="30"/>
  <c r="AB893" i="30"/>
  <c r="AC893" i="30"/>
  <c r="AD893" i="30"/>
  <c r="AE893" i="30"/>
  <c r="AF893" i="30"/>
  <c r="AG893" i="30"/>
  <c r="AH893" i="30"/>
  <c r="AI893" i="30"/>
  <c r="AJ893" i="30"/>
  <c r="AK893" i="30"/>
  <c r="AL893" i="30"/>
  <c r="AM893" i="30"/>
  <c r="AN893" i="30"/>
  <c r="AO893" i="30"/>
  <c r="AP893" i="30"/>
  <c r="AQ893" i="30"/>
  <c r="AR893" i="30"/>
  <c r="AS893" i="30"/>
  <c r="AT893" i="30"/>
  <c r="AU893" i="30"/>
  <c r="AV893" i="30"/>
  <c r="AW893" i="30"/>
  <c r="AX893" i="30"/>
  <c r="AY893" i="30"/>
  <c r="AZ893" i="30"/>
  <c r="BA893" i="30"/>
  <c r="BB893" i="30"/>
  <c r="BC893" i="30"/>
  <c r="BD893" i="30"/>
  <c r="A846" i="30"/>
  <c r="B846" i="30"/>
  <c r="C846" i="30"/>
  <c r="E846" i="30"/>
  <c r="F846" i="30"/>
  <c r="G846" i="30"/>
  <c r="H846" i="30"/>
  <c r="I846" i="30"/>
  <c r="J846" i="30"/>
  <c r="K846" i="30"/>
  <c r="L846" i="30"/>
  <c r="M846" i="30"/>
  <c r="N846" i="30"/>
  <c r="O846" i="30"/>
  <c r="P846" i="30"/>
  <c r="Q846" i="30"/>
  <c r="R846" i="30"/>
  <c r="S846" i="30"/>
  <c r="T846" i="30"/>
  <c r="U846" i="30"/>
  <c r="V846" i="30"/>
  <c r="W846" i="30"/>
  <c r="X846" i="30"/>
  <c r="Y846" i="30"/>
  <c r="Z846" i="30"/>
  <c r="AA846" i="30"/>
  <c r="AB846" i="30"/>
  <c r="AC846" i="30"/>
  <c r="AD846" i="30"/>
  <c r="AE846" i="30"/>
  <c r="AF846" i="30"/>
  <c r="AG846" i="30"/>
  <c r="AH846" i="30"/>
  <c r="AI846" i="30"/>
  <c r="AJ846" i="30"/>
  <c r="AK846" i="30"/>
  <c r="AL846" i="30"/>
  <c r="AM846" i="30"/>
  <c r="AN846" i="30"/>
  <c r="AO846" i="30"/>
  <c r="AP846" i="30"/>
  <c r="AQ846" i="30"/>
  <c r="AR846" i="30"/>
  <c r="AS846" i="30"/>
  <c r="AT846" i="30"/>
  <c r="AU846" i="30"/>
  <c r="AV846" i="30"/>
  <c r="AW846" i="30"/>
  <c r="AX846" i="30"/>
  <c r="AY846" i="30"/>
  <c r="AZ846" i="30"/>
  <c r="BA846" i="30"/>
  <c r="BB846" i="30"/>
  <c r="BC846" i="30"/>
  <c r="BD846" i="30"/>
  <c r="A894" i="30"/>
  <c r="B894" i="30"/>
  <c r="C894" i="30"/>
  <c r="D894" i="30"/>
  <c r="E894" i="30"/>
  <c r="F894" i="30"/>
  <c r="G894" i="30"/>
  <c r="H894" i="30"/>
  <c r="I894" i="30"/>
  <c r="J894" i="30"/>
  <c r="K894" i="30"/>
  <c r="L894" i="30"/>
  <c r="M894" i="30"/>
  <c r="N894" i="30"/>
  <c r="O894" i="30"/>
  <c r="P894" i="30"/>
  <c r="Q894" i="30"/>
  <c r="R894" i="30"/>
  <c r="S894" i="30"/>
  <c r="T894" i="30"/>
  <c r="U894" i="30"/>
  <c r="V894" i="30"/>
  <c r="W894" i="30"/>
  <c r="X894" i="30"/>
  <c r="Y894" i="30"/>
  <c r="Z894" i="30"/>
  <c r="AA894" i="30"/>
  <c r="AB894" i="30"/>
  <c r="AC894" i="30"/>
  <c r="AD894" i="30"/>
  <c r="AE894" i="30"/>
  <c r="AF894" i="30"/>
  <c r="AG894" i="30"/>
  <c r="AH894" i="30"/>
  <c r="AI894" i="30"/>
  <c r="AJ894" i="30"/>
  <c r="AK894" i="30"/>
  <c r="AL894" i="30"/>
  <c r="AM894" i="30"/>
  <c r="AN894" i="30"/>
  <c r="AO894" i="30"/>
  <c r="AP894" i="30"/>
  <c r="AQ894" i="30"/>
  <c r="AR894" i="30"/>
  <c r="AS894" i="30"/>
  <c r="AT894" i="30"/>
  <c r="AU894" i="30"/>
  <c r="AV894" i="30"/>
  <c r="AW894" i="30"/>
  <c r="AX894" i="30"/>
  <c r="AY894" i="30"/>
  <c r="AZ894" i="30"/>
  <c r="BA894" i="30"/>
  <c r="BB894" i="30"/>
  <c r="BC894" i="30"/>
  <c r="BD894" i="30"/>
  <c r="A895" i="30"/>
  <c r="B895" i="30"/>
  <c r="C895" i="30"/>
  <c r="D895" i="30"/>
  <c r="E895" i="30"/>
  <c r="F895" i="30"/>
  <c r="G895" i="30"/>
  <c r="H895" i="30"/>
  <c r="I895" i="30"/>
  <c r="J895" i="30"/>
  <c r="K895" i="30"/>
  <c r="L895" i="30"/>
  <c r="M895" i="30"/>
  <c r="N895" i="30"/>
  <c r="O895" i="30"/>
  <c r="P895" i="30"/>
  <c r="Q895" i="30"/>
  <c r="R895" i="30"/>
  <c r="S895" i="30"/>
  <c r="T895" i="30"/>
  <c r="U895" i="30"/>
  <c r="V895" i="30"/>
  <c r="W895" i="30"/>
  <c r="X895" i="30"/>
  <c r="Y895" i="30"/>
  <c r="Z895" i="30"/>
  <c r="AA895" i="30"/>
  <c r="AB895" i="30"/>
  <c r="AC895" i="30"/>
  <c r="AD895" i="30"/>
  <c r="AE895" i="30"/>
  <c r="AF895" i="30"/>
  <c r="AG895" i="30"/>
  <c r="AH895" i="30"/>
  <c r="AI895" i="30"/>
  <c r="AJ895" i="30"/>
  <c r="AK895" i="30"/>
  <c r="AL895" i="30"/>
  <c r="AM895" i="30"/>
  <c r="AN895" i="30"/>
  <c r="AO895" i="30"/>
  <c r="AP895" i="30"/>
  <c r="AQ895" i="30"/>
  <c r="AR895" i="30"/>
  <c r="AS895" i="30"/>
  <c r="AT895" i="30"/>
  <c r="AU895" i="30"/>
  <c r="AV895" i="30"/>
  <c r="AW895" i="30"/>
  <c r="AX895" i="30"/>
  <c r="AY895" i="30"/>
  <c r="AZ895" i="30"/>
  <c r="BA895" i="30"/>
  <c r="BB895" i="30"/>
  <c r="BC895" i="30"/>
  <c r="BD895" i="30"/>
  <c r="A847" i="30"/>
  <c r="B847" i="30"/>
  <c r="C847" i="30"/>
  <c r="E847" i="30"/>
  <c r="F847" i="30"/>
  <c r="G847" i="30"/>
  <c r="H847" i="30"/>
  <c r="I847" i="30"/>
  <c r="J847" i="30"/>
  <c r="K847" i="30"/>
  <c r="L847" i="30"/>
  <c r="M847" i="30"/>
  <c r="N847" i="30"/>
  <c r="O847" i="30"/>
  <c r="P847" i="30"/>
  <c r="Q847" i="30"/>
  <c r="R847" i="30"/>
  <c r="S847" i="30"/>
  <c r="T847" i="30"/>
  <c r="U847" i="30"/>
  <c r="V847" i="30"/>
  <c r="W847" i="30"/>
  <c r="X847" i="30"/>
  <c r="Y847" i="30"/>
  <c r="Z847" i="30"/>
  <c r="AA847" i="30"/>
  <c r="AB847" i="30"/>
  <c r="AC847" i="30"/>
  <c r="AD847" i="30"/>
  <c r="AE847" i="30"/>
  <c r="AF847" i="30"/>
  <c r="AG847" i="30"/>
  <c r="AH847" i="30"/>
  <c r="AI847" i="30"/>
  <c r="AJ847" i="30"/>
  <c r="AK847" i="30"/>
  <c r="AL847" i="30"/>
  <c r="AM847" i="30"/>
  <c r="AN847" i="30"/>
  <c r="AO847" i="30"/>
  <c r="AP847" i="30"/>
  <c r="AQ847" i="30"/>
  <c r="AR847" i="30"/>
  <c r="AS847" i="30"/>
  <c r="AT847" i="30"/>
  <c r="AU847" i="30"/>
  <c r="AV847" i="30"/>
  <c r="AW847" i="30"/>
  <c r="AX847" i="30"/>
  <c r="AY847" i="30"/>
  <c r="AZ847" i="30"/>
  <c r="BA847" i="30"/>
  <c r="BB847" i="30"/>
  <c r="BC847" i="30"/>
  <c r="BD847" i="30"/>
  <c r="A896" i="30"/>
  <c r="B896" i="30"/>
  <c r="C896" i="30"/>
  <c r="D896" i="30"/>
  <c r="E896" i="30"/>
  <c r="F896" i="30"/>
  <c r="G896" i="30"/>
  <c r="H896" i="30"/>
  <c r="I896" i="30"/>
  <c r="J896" i="30"/>
  <c r="K896" i="30"/>
  <c r="L896" i="30"/>
  <c r="M896" i="30"/>
  <c r="N896" i="30"/>
  <c r="O896" i="30"/>
  <c r="P896" i="30"/>
  <c r="Q896" i="30"/>
  <c r="R896" i="30"/>
  <c r="S896" i="30"/>
  <c r="T896" i="30"/>
  <c r="U896" i="30"/>
  <c r="V896" i="30"/>
  <c r="W896" i="30"/>
  <c r="X896" i="30"/>
  <c r="Y896" i="30"/>
  <c r="Z896" i="30"/>
  <c r="AA896" i="30"/>
  <c r="AB896" i="30"/>
  <c r="AC896" i="30"/>
  <c r="AD896" i="30"/>
  <c r="AE896" i="30"/>
  <c r="AF896" i="30"/>
  <c r="AG896" i="30"/>
  <c r="AH896" i="30"/>
  <c r="AI896" i="30"/>
  <c r="AJ896" i="30"/>
  <c r="AK896" i="30"/>
  <c r="AL896" i="30"/>
  <c r="AM896" i="30"/>
  <c r="AN896" i="30"/>
  <c r="AO896" i="30"/>
  <c r="AP896" i="30"/>
  <c r="AQ896" i="30"/>
  <c r="AR896" i="30"/>
  <c r="AS896" i="30"/>
  <c r="AT896" i="30"/>
  <c r="AU896" i="30"/>
  <c r="AV896" i="30"/>
  <c r="AW896" i="30"/>
  <c r="AX896" i="30"/>
  <c r="AY896" i="30"/>
  <c r="AZ896" i="30"/>
  <c r="BA896" i="30"/>
  <c r="BB896" i="30"/>
  <c r="BC896" i="30"/>
  <c r="BD896" i="30"/>
  <c r="A897" i="30"/>
  <c r="B897" i="30"/>
  <c r="C897" i="30"/>
  <c r="D897" i="30"/>
  <c r="E897" i="30"/>
  <c r="F897" i="30"/>
  <c r="G897" i="30"/>
  <c r="H897" i="30"/>
  <c r="I897" i="30"/>
  <c r="J897" i="30"/>
  <c r="K897" i="30"/>
  <c r="L897" i="30"/>
  <c r="M897" i="30"/>
  <c r="N897" i="30"/>
  <c r="O897" i="30"/>
  <c r="P897" i="30"/>
  <c r="Q897" i="30"/>
  <c r="R897" i="30"/>
  <c r="S897" i="30"/>
  <c r="T897" i="30"/>
  <c r="U897" i="30"/>
  <c r="V897" i="30"/>
  <c r="W897" i="30"/>
  <c r="X897" i="30"/>
  <c r="Y897" i="30"/>
  <c r="Z897" i="30"/>
  <c r="AA897" i="30"/>
  <c r="AB897" i="30"/>
  <c r="AC897" i="30"/>
  <c r="AD897" i="30"/>
  <c r="AE897" i="30"/>
  <c r="AF897" i="30"/>
  <c r="AG897" i="30"/>
  <c r="AH897" i="30"/>
  <c r="AI897" i="30"/>
  <c r="AJ897" i="30"/>
  <c r="AK897" i="30"/>
  <c r="AL897" i="30"/>
  <c r="AM897" i="30"/>
  <c r="AN897" i="30"/>
  <c r="AO897" i="30"/>
  <c r="AP897" i="30"/>
  <c r="AQ897" i="30"/>
  <c r="AR897" i="30"/>
  <c r="AS897" i="30"/>
  <c r="AT897" i="30"/>
  <c r="AU897" i="30"/>
  <c r="AV897" i="30"/>
  <c r="AW897" i="30"/>
  <c r="AX897" i="30"/>
  <c r="AY897" i="30"/>
  <c r="AZ897" i="30"/>
  <c r="BA897" i="30"/>
  <c r="BB897" i="30"/>
  <c r="BC897" i="30"/>
  <c r="BD897" i="30"/>
  <c r="A898" i="30"/>
  <c r="B898" i="30"/>
  <c r="C898" i="30"/>
  <c r="D898" i="30"/>
  <c r="E898" i="30"/>
  <c r="F898" i="30"/>
  <c r="G898" i="30"/>
  <c r="H898" i="30"/>
  <c r="I898" i="30"/>
  <c r="J898" i="30"/>
  <c r="K898" i="30"/>
  <c r="L898" i="30"/>
  <c r="M898" i="30"/>
  <c r="N898" i="30"/>
  <c r="O898" i="30"/>
  <c r="P898" i="30"/>
  <c r="Q898" i="30"/>
  <c r="R898" i="30"/>
  <c r="S898" i="30"/>
  <c r="T898" i="30"/>
  <c r="U898" i="30"/>
  <c r="V898" i="30"/>
  <c r="W898" i="30"/>
  <c r="X898" i="30"/>
  <c r="Y898" i="30"/>
  <c r="Z898" i="30"/>
  <c r="AA898" i="30"/>
  <c r="AB898" i="30"/>
  <c r="AC898" i="30"/>
  <c r="AD898" i="30"/>
  <c r="AE898" i="30"/>
  <c r="AF898" i="30"/>
  <c r="AG898" i="30"/>
  <c r="AH898" i="30"/>
  <c r="AI898" i="30"/>
  <c r="AJ898" i="30"/>
  <c r="AK898" i="30"/>
  <c r="AL898" i="30"/>
  <c r="AM898" i="30"/>
  <c r="AN898" i="30"/>
  <c r="AO898" i="30"/>
  <c r="AP898" i="30"/>
  <c r="AQ898" i="30"/>
  <c r="AR898" i="30"/>
  <c r="AS898" i="30"/>
  <c r="AT898" i="30"/>
  <c r="AU898" i="30"/>
  <c r="AV898" i="30"/>
  <c r="AW898" i="30"/>
  <c r="AX898" i="30"/>
  <c r="AY898" i="30"/>
  <c r="AZ898" i="30"/>
  <c r="BA898" i="30"/>
  <c r="BB898" i="30"/>
  <c r="BC898" i="30"/>
  <c r="BD898" i="30"/>
  <c r="BD365" i="1"/>
  <c r="BD807" i="30" s="1"/>
  <c r="A807" i="30"/>
  <c r="BB366" i="1"/>
  <c r="BB808" i="30" s="1"/>
  <c r="A366" i="1"/>
  <c r="A808" i="30" s="1"/>
  <c r="BB367" i="1" l="1"/>
  <c r="BB809" i="30" s="1"/>
  <c r="B809" i="30"/>
  <c r="BC367" i="1"/>
  <c r="BC809" i="30" s="1"/>
  <c r="BC365" i="1"/>
  <c r="BC807" i="30" s="1"/>
  <c r="BB365" i="1"/>
  <c r="BB807" i="30" s="1"/>
  <c r="B808" i="30"/>
  <c r="B807" i="30"/>
  <c r="BD366" i="1"/>
  <c r="BD808" i="30" s="1"/>
  <c r="BC366" i="1"/>
  <c r="BC808" i="30" s="1"/>
  <c r="B476" i="1"/>
  <c r="BC476" i="1" s="1"/>
  <c r="A476" i="1"/>
  <c r="BB476" i="1" l="1"/>
  <c r="BD476" i="1"/>
  <c r="F178" i="59"/>
  <c r="A1376" i="1" l="1"/>
  <c r="B1376" i="1"/>
  <c r="BC1376" i="1" s="1"/>
  <c r="A1375" i="1"/>
  <c r="B1375" i="1"/>
  <c r="BB1375" i="1" s="1"/>
  <c r="A1374" i="1"/>
  <c r="B1374" i="1"/>
  <c r="BB1374" i="1" s="1"/>
  <c r="BB1376" i="1" l="1"/>
  <c r="BD1374" i="1"/>
  <c r="BD1375" i="1"/>
  <c r="BC1374" i="1"/>
  <c r="BD1376" i="1"/>
  <c r="BC1375" i="1"/>
  <c r="BB1974" i="1"/>
  <c r="BC1974" i="1"/>
  <c r="BD1974" i="1"/>
  <c r="A1975" i="1"/>
  <c r="B1975" i="1"/>
  <c r="BC1975" i="1" s="1"/>
  <c r="BB1975" i="1" l="1"/>
  <c r="BD1975" i="1"/>
  <c r="BB1410" i="1"/>
  <c r="BC1410" i="1"/>
  <c r="BD1410" i="1"/>
  <c r="BB1411" i="1"/>
  <c r="BC1411" i="1"/>
  <c r="BD1411" i="1"/>
  <c r="BB1412" i="1"/>
  <c r="BC1412" i="1"/>
  <c r="BD1412" i="1"/>
  <c r="BB1413" i="1"/>
  <c r="BC1413" i="1"/>
  <c r="BD1413" i="1"/>
  <c r="A1409" i="1"/>
  <c r="B1409" i="1"/>
  <c r="BB1409" i="1" s="1"/>
  <c r="A1415" i="1"/>
  <c r="B1415" i="1"/>
  <c r="BD1415" i="1" s="1"/>
  <c r="A1414" i="1"/>
  <c r="B1414" i="1"/>
  <c r="BC1414" i="1" s="1"/>
  <c r="A2527" i="1"/>
  <c r="B2527" i="1"/>
  <c r="BD2527" i="1" s="1"/>
  <c r="A1971" i="1"/>
  <c r="B1971" i="1"/>
  <c r="BD1971" i="1" s="1"/>
  <c r="A1637" i="1"/>
  <c r="B1637" i="1"/>
  <c r="BC1637" i="1" s="1"/>
  <c r="A1638" i="1"/>
  <c r="B1638" i="1"/>
  <c r="BD1638" i="1" s="1"/>
  <c r="A1206" i="1"/>
  <c r="B1206" i="1"/>
  <c r="BC1206" i="1" s="1"/>
  <c r="BC1971" i="1" l="1"/>
  <c r="BB1971" i="1"/>
  <c r="BC2527" i="1"/>
  <c r="BC1415" i="1"/>
  <c r="BB1414" i="1"/>
  <c r="BB1415" i="1"/>
  <c r="BD1409" i="1"/>
  <c r="BD1414" i="1"/>
  <c r="BC1409" i="1"/>
  <c r="BB2527" i="1"/>
  <c r="BB1637" i="1"/>
  <c r="BD1637" i="1"/>
  <c r="BC1638" i="1"/>
  <c r="BB1638" i="1"/>
  <c r="BB1206" i="1"/>
  <c r="BD1206" i="1"/>
  <c r="A2372" i="1"/>
  <c r="B2372" i="1"/>
  <c r="BD2372" i="1" s="1"/>
  <c r="A1610" i="1"/>
  <c r="B1610" i="1"/>
  <c r="BB1610" i="1" s="1"/>
  <c r="A2371" i="1"/>
  <c r="B2371" i="1"/>
  <c r="BB2371" i="1" s="1"/>
  <c r="A1609" i="1"/>
  <c r="B1609" i="1"/>
  <c r="BB1609" i="1" s="1"/>
  <c r="BD1600" i="1"/>
  <c r="BC1600" i="1"/>
  <c r="BB1600" i="1"/>
  <c r="BD1610" i="1" l="1"/>
  <c r="BC1610" i="1"/>
  <c r="BB2372" i="1"/>
  <c r="BC2372" i="1"/>
  <c r="BD1609" i="1"/>
  <c r="BC1609" i="1"/>
  <c r="BD2371" i="1"/>
  <c r="BC2371" i="1"/>
  <c r="A2134" i="1" l="1"/>
  <c r="B2134" i="1"/>
  <c r="BB2134" i="1" s="1"/>
  <c r="A2133" i="1"/>
  <c r="B2133" i="1"/>
  <c r="A2132" i="1"/>
  <c r="B2132" i="1"/>
  <c r="BD1344" i="1"/>
  <c r="BC1344" i="1"/>
  <c r="BB1344" i="1"/>
  <c r="BD2134" i="1" l="1"/>
  <c r="BC2134" i="1"/>
  <c r="AK352" i="1"/>
  <c r="AJ352" i="1"/>
  <c r="B347" i="1"/>
  <c r="BC347" i="1" s="1"/>
  <c r="A347" i="1"/>
  <c r="BD1652" i="1"/>
  <c r="BC1652" i="1"/>
  <c r="BB1652" i="1"/>
  <c r="BD1650" i="1"/>
  <c r="BC1650" i="1"/>
  <c r="BB1650" i="1"/>
  <c r="BD1653" i="1"/>
  <c r="BC1653" i="1"/>
  <c r="BB1653" i="1"/>
  <c r="BD363" i="1"/>
  <c r="BC363" i="1"/>
  <c r="BB363" i="1"/>
  <c r="AJ1690" i="1"/>
  <c r="AJ1689" i="1"/>
  <c r="AK1690" i="1"/>
  <c r="AK1689" i="1"/>
  <c r="BD1684" i="1"/>
  <c r="BC1684" i="1"/>
  <c r="BB1684" i="1"/>
  <c r="BD347" i="1" l="1"/>
  <c r="BB347" i="1"/>
  <c r="BB1703" i="1"/>
  <c r="BC1703" i="1"/>
  <c r="BD1703" i="1"/>
  <c r="A1702" i="1"/>
  <c r="B1702" i="1"/>
  <c r="BD1702" i="1" s="1"/>
  <c r="BB1702" i="1" l="1"/>
  <c r="BC1702" i="1"/>
  <c r="A362" i="1"/>
  <c r="B362" i="1"/>
  <c r="BB362" i="1" s="1"/>
  <c r="A356" i="1"/>
  <c r="B356" i="1"/>
  <c r="BB356" i="1" s="1"/>
  <c r="A352" i="1"/>
  <c r="B352" i="1"/>
  <c r="BB352" i="1" s="1"/>
  <c r="A348" i="1"/>
  <c r="B348" i="1"/>
  <c r="BD348" i="1" s="1"/>
  <c r="A361" i="1"/>
  <c r="B361" i="1"/>
  <c r="BC361" i="1" s="1"/>
  <c r="A355" i="1"/>
  <c r="B355" i="1"/>
  <c r="BD355" i="1" s="1"/>
  <c r="A351" i="1"/>
  <c r="B351" i="1"/>
  <c r="BB351" i="1" s="1"/>
  <c r="A346" i="1"/>
  <c r="B346" i="1"/>
  <c r="BD346" i="1" s="1"/>
  <c r="A1691" i="1"/>
  <c r="B1691" i="1"/>
  <c r="BC1691" i="1" s="1"/>
  <c r="A1690" i="1"/>
  <c r="B1690" i="1"/>
  <c r="BB1690" i="1" s="1"/>
  <c r="A1689" i="1"/>
  <c r="B1689" i="1"/>
  <c r="BD1689" i="1" s="1"/>
  <c r="A1688" i="1"/>
  <c r="B1688" i="1"/>
  <c r="BD1688" i="1" s="1"/>
  <c r="AK348" i="1"/>
  <c r="AJ348" i="1"/>
  <c r="AK346" i="1"/>
  <c r="AJ346" i="1"/>
  <c r="AK1688" i="1"/>
  <c r="AJ1688" i="1"/>
  <c r="A360" i="1"/>
  <c r="B360" i="1"/>
  <c r="BD360" i="1" s="1"/>
  <c r="A354" i="1"/>
  <c r="B354" i="1"/>
  <c r="BC354" i="1" s="1"/>
  <c r="A350" i="1"/>
  <c r="B350" i="1"/>
  <c r="BC350" i="1" s="1"/>
  <c r="A345" i="1"/>
  <c r="B345" i="1"/>
  <c r="BB345" i="1" s="1"/>
  <c r="AJ345" i="1"/>
  <c r="BB244" i="1"/>
  <c r="BC244" i="1"/>
  <c r="BD244" i="1"/>
  <c r="BB516" i="1"/>
  <c r="BC516" i="1"/>
  <c r="BD516" i="1"/>
  <c r="AK345" i="1"/>
  <c r="B339" i="1"/>
  <c r="BD339" i="1" s="1"/>
  <c r="A339" i="1"/>
  <c r="BB2327" i="1"/>
  <c r="BC2327" i="1"/>
  <c r="BD2327" i="1"/>
  <c r="BD1644" i="1"/>
  <c r="BC1644" i="1"/>
  <c r="BB1644" i="1"/>
  <c r="BC352" i="1" l="1"/>
  <c r="BD351" i="1"/>
  <c r="BB350" i="1"/>
  <c r="BB1689" i="1"/>
  <c r="BD1690" i="1"/>
  <c r="BC348" i="1"/>
  <c r="BC1690" i="1"/>
  <c r="BB1688" i="1"/>
  <c r="BD352" i="1"/>
  <c r="BB1691" i="1"/>
  <c r="BC351" i="1"/>
  <c r="BB361" i="1"/>
  <c r="BC346" i="1"/>
  <c r="BC1689" i="1"/>
  <c r="BD362" i="1"/>
  <c r="BC362" i="1"/>
  <c r="BD356" i="1"/>
  <c r="BC356" i="1"/>
  <c r="BB348" i="1"/>
  <c r="BD361" i="1"/>
  <c r="BC355" i="1"/>
  <c r="BB355" i="1"/>
  <c r="BB346" i="1"/>
  <c r="BD1691" i="1"/>
  <c r="BC1688" i="1"/>
  <c r="BC360" i="1"/>
  <c r="BB360" i="1"/>
  <c r="BD345" i="1"/>
  <c r="BB354" i="1"/>
  <c r="BD354" i="1"/>
  <c r="BD350" i="1"/>
  <c r="BC345" i="1"/>
  <c r="BC339" i="1"/>
  <c r="BB339" i="1"/>
  <c r="B1965" i="1"/>
  <c r="BD1965" i="1" s="1"/>
  <c r="A1965" i="1"/>
  <c r="B1964" i="1"/>
  <c r="BB1964" i="1" s="1"/>
  <c r="A1964" i="1"/>
  <c r="B1961" i="1"/>
  <c r="BB1961" i="1" s="1"/>
  <c r="A1961" i="1"/>
  <c r="A2393" i="1"/>
  <c r="B2393" i="1"/>
  <c r="BB2393" i="1" s="1"/>
  <c r="BB1965" i="1" l="1"/>
  <c r="BC1965" i="1"/>
  <c r="BD1964" i="1"/>
  <c r="BC1964" i="1"/>
  <c r="BD1961" i="1"/>
  <c r="BC1961" i="1"/>
  <c r="BD2393" i="1"/>
  <c r="BC2393" i="1"/>
  <c r="BB2132" i="1"/>
  <c r="BC2132" i="1"/>
  <c r="BD2132" i="1"/>
  <c r="BB2133" i="1"/>
  <c r="BC2133" i="1"/>
  <c r="BD2133" i="1"/>
  <c r="Y274" i="30" l="1"/>
  <c r="Z274" i="30"/>
  <c r="AA274" i="30"/>
  <c r="AB274" i="30"/>
  <c r="AE274" i="30"/>
  <c r="AF274" i="30"/>
  <c r="AG274" i="30"/>
  <c r="AH274" i="30"/>
  <c r="AI274" i="30"/>
  <c r="AM275" i="30"/>
  <c r="C275" i="30"/>
  <c r="D275" i="30"/>
  <c r="E275" i="30"/>
  <c r="F275" i="30"/>
  <c r="G275" i="30"/>
  <c r="H275" i="30"/>
  <c r="I275" i="30"/>
  <c r="J275" i="30"/>
  <c r="K275" i="30"/>
  <c r="L275" i="30"/>
  <c r="M275" i="30"/>
  <c r="N275" i="30"/>
  <c r="O275" i="30"/>
  <c r="P275" i="30"/>
  <c r="Q275" i="30"/>
  <c r="R275" i="30"/>
  <c r="S275" i="30"/>
  <c r="T275" i="30"/>
  <c r="U275" i="30"/>
  <c r="V275" i="30"/>
  <c r="W275" i="30"/>
  <c r="X275" i="30"/>
  <c r="AG275" i="30"/>
  <c r="AH275" i="30"/>
  <c r="AI275" i="30"/>
  <c r="AJ275" i="30"/>
  <c r="AK275" i="30"/>
  <c r="AL275" i="30"/>
  <c r="AN275" i="30"/>
  <c r="AO275" i="30"/>
  <c r="AP275" i="30"/>
  <c r="AQ275" i="30"/>
  <c r="AR275" i="30"/>
  <c r="AS275" i="30"/>
  <c r="AT275" i="30"/>
  <c r="AU275" i="30"/>
  <c r="AV275" i="30"/>
  <c r="AW275" i="30"/>
  <c r="AX275" i="30"/>
  <c r="AY275" i="30"/>
  <c r="AZ275" i="30"/>
  <c r="BA275" i="30"/>
  <c r="BB2200" i="1"/>
  <c r="BB2199" i="1"/>
  <c r="BC2198" i="1"/>
  <c r="A1988" i="1"/>
  <c r="B1988" i="1"/>
  <c r="BD1988" i="1" s="1"/>
  <c r="A1986" i="1"/>
  <c r="B1986" i="1"/>
  <c r="A1984" i="1"/>
  <c r="B1984" i="1"/>
  <c r="BC1984" i="1" s="1"/>
  <c r="A1983" i="1"/>
  <c r="B1983" i="1"/>
  <c r="BB1983" i="1" s="1"/>
  <c r="A1982" i="1"/>
  <c r="B1982" i="1"/>
  <c r="A1981" i="1"/>
  <c r="B1981" i="1"/>
  <c r="A1979" i="1"/>
  <c r="B1979" i="1"/>
  <c r="A1978" i="1"/>
  <c r="B1978" i="1"/>
  <c r="A1977" i="1"/>
  <c r="B1977" i="1"/>
  <c r="A1048" i="1"/>
  <c r="B1048" i="1"/>
  <c r="BB1048" i="1" s="1"/>
  <c r="A927" i="1"/>
  <c r="B927" i="1"/>
  <c r="BB927" i="1" s="1"/>
  <c r="E927" i="1"/>
  <c r="A936" i="1"/>
  <c r="B936" i="1"/>
  <c r="BB936" i="1" s="1"/>
  <c r="B935" i="1"/>
  <c r="BD935" i="1" s="1"/>
  <c r="A935" i="1"/>
  <c r="A890" i="1"/>
  <c r="B890" i="1"/>
  <c r="BD890" i="1" s="1"/>
  <c r="B895" i="1"/>
  <c r="BD895" i="1" s="1"/>
  <c r="B896" i="1"/>
  <c r="BD896" i="1" s="1"/>
  <c r="A896" i="1"/>
  <c r="A895" i="1"/>
  <c r="A893" i="1"/>
  <c r="B893" i="1"/>
  <c r="B993" i="1"/>
  <c r="BB993" i="1" s="1"/>
  <c r="A993" i="1"/>
  <c r="A975" i="1"/>
  <c r="B975" i="1"/>
  <c r="BC975" i="1" s="1"/>
  <c r="A974" i="1"/>
  <c r="B974" i="1"/>
  <c r="BB974" i="1" s="1"/>
  <c r="A973" i="1"/>
  <c r="B973" i="1"/>
  <c r="BB973" i="1" s="1"/>
  <c r="D975" i="1"/>
  <c r="D974" i="1"/>
  <c r="D973" i="1"/>
  <c r="A972" i="1"/>
  <c r="B972" i="1"/>
  <c r="BB972" i="1" s="1"/>
  <c r="D972" i="1"/>
  <c r="BB988" i="1"/>
  <c r="BB1002" i="1"/>
  <c r="BB1001" i="1"/>
  <c r="BD2199" i="1" l="1"/>
  <c r="BD2200" i="1"/>
  <c r="BC2199" i="1"/>
  <c r="BB2198" i="1"/>
  <c r="BC2200" i="1"/>
  <c r="BD2198" i="1"/>
  <c r="BC1048" i="1"/>
  <c r="BC1988" i="1"/>
  <c r="BB1984" i="1"/>
  <c r="BB1988" i="1"/>
  <c r="BD1983" i="1"/>
  <c r="BD1984" i="1"/>
  <c r="BC1983" i="1"/>
  <c r="BD1048" i="1"/>
  <c r="BD927" i="1"/>
  <c r="BC927" i="1"/>
  <c r="BB935" i="1"/>
  <c r="BC890" i="1"/>
  <c r="BC935" i="1"/>
  <c r="BD936" i="1"/>
  <c r="BC936" i="1"/>
  <c r="BB890" i="1"/>
  <c r="BB896" i="1"/>
  <c r="BC896" i="1"/>
  <c r="BB895" i="1"/>
  <c r="BC895" i="1"/>
  <c r="BD993" i="1"/>
  <c r="BC993" i="1"/>
  <c r="BD974" i="1"/>
  <c r="BC972" i="1"/>
  <c r="BB975" i="1"/>
  <c r="BD973" i="1"/>
  <c r="BC973" i="1"/>
  <c r="BD975" i="1"/>
  <c r="BC974" i="1"/>
  <c r="BC988" i="1"/>
  <c r="BD972" i="1"/>
  <c r="BC1002" i="1"/>
  <c r="BD1002" i="1"/>
  <c r="BD988" i="1"/>
  <c r="BD1001" i="1"/>
  <c r="BC1001" i="1"/>
  <c r="B2504" i="1"/>
  <c r="BB2504" i="1" s="1"/>
  <c r="A2504" i="1"/>
  <c r="A2503" i="1"/>
  <c r="B2503" i="1"/>
  <c r="BB2503" i="1" s="1"/>
  <c r="BD2504" i="1" l="1"/>
  <c r="BC2503" i="1"/>
  <c r="BC2504" i="1"/>
  <c r="BD2503" i="1"/>
  <c r="B479" i="1"/>
  <c r="BD479" i="1" s="1"/>
  <c r="A479" i="1"/>
  <c r="BB754" i="1"/>
  <c r="BC754" i="1"/>
  <c r="BD754" i="1"/>
  <c r="BB755" i="1"/>
  <c r="BC755" i="1"/>
  <c r="BD755" i="1"/>
  <c r="BC479" i="1" l="1"/>
  <c r="BB479" i="1"/>
  <c r="C271" i="30"/>
  <c r="D271" i="30"/>
  <c r="E271" i="30"/>
  <c r="F271" i="30"/>
  <c r="G271" i="30"/>
  <c r="H271" i="30"/>
  <c r="I271" i="30"/>
  <c r="J271" i="30"/>
  <c r="K271" i="30"/>
  <c r="L271" i="30"/>
  <c r="M271" i="30"/>
  <c r="N271" i="30"/>
  <c r="O271" i="30"/>
  <c r="P271" i="30"/>
  <c r="Q271" i="30"/>
  <c r="R271" i="30"/>
  <c r="S271" i="30"/>
  <c r="T271" i="30"/>
  <c r="U271" i="30"/>
  <c r="V271" i="30"/>
  <c r="W271" i="30"/>
  <c r="X271" i="30"/>
  <c r="AL271" i="30"/>
  <c r="AO271" i="30"/>
  <c r="AP271" i="30"/>
  <c r="AQ271" i="30"/>
  <c r="AV271" i="30"/>
  <c r="BA271" i="30"/>
  <c r="B778" i="1"/>
  <c r="A778" i="1"/>
  <c r="A271" i="30" s="1"/>
  <c r="BB778" i="1" l="1"/>
  <c r="BB271" i="30" s="1"/>
  <c r="BC778" i="1"/>
  <c r="BC271" i="30" s="1"/>
  <c r="BD778" i="1"/>
  <c r="BD271" i="30" s="1"/>
  <c r="B271" i="30"/>
  <c r="BD2180" i="1"/>
  <c r="BC2180" i="1"/>
  <c r="BB2180" i="1"/>
  <c r="BB509" i="1"/>
  <c r="BC509" i="1"/>
  <c r="BD509" i="1"/>
  <c r="BB2392" i="1"/>
  <c r="BC2392" i="1"/>
  <c r="BD2392" i="1"/>
  <c r="BB1715" i="1"/>
  <c r="BC1715" i="1"/>
  <c r="BD1715" i="1"/>
  <c r="BB1716" i="1"/>
  <c r="BC1716" i="1"/>
  <c r="BD1716" i="1"/>
  <c r="A1803" i="1"/>
  <c r="B1803" i="1"/>
  <c r="BD1803" i="1" s="1"/>
  <c r="B1966" i="1"/>
  <c r="BD1966" i="1" s="1"/>
  <c r="A1966" i="1"/>
  <c r="B1969" i="1"/>
  <c r="BC1969" i="1" s="1"/>
  <c r="A1969" i="1"/>
  <c r="B1963" i="1"/>
  <c r="BD1963" i="1" s="1"/>
  <c r="A1963" i="1"/>
  <c r="B1943" i="1"/>
  <c r="BD1943" i="1" s="1"/>
  <c r="A1943" i="1"/>
  <c r="A102" i="1"/>
  <c r="B102" i="1"/>
  <c r="BD1463" i="1"/>
  <c r="BC1463" i="1"/>
  <c r="BB1463" i="1"/>
  <c r="BD1462" i="1"/>
  <c r="BC1462" i="1"/>
  <c r="BB1462" i="1"/>
  <c r="BB298" i="1"/>
  <c r="BC298" i="1"/>
  <c r="BD298" i="1"/>
  <c r="BB759" i="1"/>
  <c r="BC759" i="1"/>
  <c r="BD759" i="1"/>
  <c r="BB102" i="1" l="1"/>
  <c r="BC102" i="1"/>
  <c r="BD102" i="1"/>
  <c r="BC1803" i="1"/>
  <c r="BB1803" i="1"/>
  <c r="BC1966" i="1"/>
  <c r="BB1966" i="1"/>
  <c r="BB1969" i="1"/>
  <c r="BC1963" i="1"/>
  <c r="BD1969" i="1"/>
  <c r="BB1943" i="1"/>
  <c r="BB1963" i="1"/>
  <c r="BC1943" i="1"/>
  <c r="BB758" i="1"/>
  <c r="BC758" i="1"/>
  <c r="BD758" i="1"/>
  <c r="BB539" i="1"/>
  <c r="BC539" i="1"/>
  <c r="BD539" i="1"/>
  <c r="B2523" i="1" l="1"/>
  <c r="BC2523" i="1" s="1"/>
  <c r="A2523" i="1"/>
  <c r="BD2264" i="1"/>
  <c r="BC2264" i="1"/>
  <c r="BB2264" i="1"/>
  <c r="BB2291" i="1"/>
  <c r="BC2291" i="1"/>
  <c r="BD2291" i="1"/>
  <c r="BB2135" i="1"/>
  <c r="BC2135" i="1"/>
  <c r="BD2135" i="1"/>
  <c r="BB1370" i="1"/>
  <c r="BC1370" i="1"/>
  <c r="BD1370" i="1"/>
  <c r="BB747" i="1"/>
  <c r="BC747" i="1"/>
  <c r="BD747" i="1"/>
  <c r="BB1369" i="1"/>
  <c r="BC1369" i="1"/>
  <c r="BD1369" i="1"/>
  <c r="BD615" i="1"/>
  <c r="BC615" i="1"/>
  <c r="BB615" i="1"/>
  <c r="BB2523" i="1" l="1"/>
  <c r="BD2523" i="1"/>
  <c r="BB2522" i="1"/>
  <c r="BC2522" i="1"/>
  <c r="BD2522" i="1"/>
  <c r="A2524" i="1"/>
  <c r="B2524" i="1"/>
  <c r="BC2524" i="1" s="1"/>
  <c r="A1911" i="1"/>
  <c r="B1911" i="1"/>
  <c r="BB1911" i="1" s="1"/>
  <c r="BB508" i="1"/>
  <c r="BC508" i="1"/>
  <c r="BD508" i="1"/>
  <c r="A2530" i="1"/>
  <c r="B2530" i="1"/>
  <c r="BB2530" i="1" s="1"/>
  <c r="A2529" i="1"/>
  <c r="B2529" i="1"/>
  <c r="A484" i="1"/>
  <c r="B484" i="1"/>
  <c r="BB484" i="1" s="1"/>
  <c r="B1494" i="1"/>
  <c r="BD1494" i="1" s="1"/>
  <c r="A1494" i="1"/>
  <c r="A1493" i="1"/>
  <c r="B1493" i="1"/>
  <c r="BC1493" i="1" s="1"/>
  <c r="A628" i="1"/>
  <c r="B628" i="1"/>
  <c r="BC628" i="1" s="1"/>
  <c r="A627" i="1"/>
  <c r="B627" i="1"/>
  <c r="BB627" i="1" s="1"/>
  <c r="A1624" i="1"/>
  <c r="B1624" i="1"/>
  <c r="BB1624" i="1" s="1"/>
  <c r="BB2524" i="1" l="1"/>
  <c r="BD2524" i="1"/>
  <c r="BD1911" i="1"/>
  <c r="BC1911" i="1"/>
  <c r="BD2530" i="1"/>
  <c r="BD484" i="1"/>
  <c r="BC484" i="1"/>
  <c r="BC1494" i="1"/>
  <c r="BC2530" i="1"/>
  <c r="BB1494" i="1"/>
  <c r="BB1493" i="1"/>
  <c r="BD1493" i="1"/>
  <c r="BC627" i="1"/>
  <c r="BB628" i="1"/>
  <c r="BD627" i="1"/>
  <c r="BD628" i="1"/>
  <c r="BD1624" i="1"/>
  <c r="BC1624" i="1"/>
  <c r="A2314" i="1"/>
  <c r="B2314" i="1"/>
  <c r="BC2314" i="1" s="1"/>
  <c r="B2197" i="1"/>
  <c r="BC2197" i="1" s="1"/>
  <c r="B2195" i="1"/>
  <c r="BB2195" i="1" s="1"/>
  <c r="A2197" i="1"/>
  <c r="A2195" i="1"/>
  <c r="A1789" i="1"/>
  <c r="B1789" i="1"/>
  <c r="BB1789" i="1" s="1"/>
  <c r="D140" i="1"/>
  <c r="E140" i="1"/>
  <c r="F140" i="1"/>
  <c r="BB2157" i="1"/>
  <c r="BC2157" i="1"/>
  <c r="BD2157" i="1"/>
  <c r="BD2195" i="1" l="1"/>
  <c r="BC2195" i="1"/>
  <c r="BB2314" i="1"/>
  <c r="BD2314" i="1"/>
  <c r="BD2197" i="1"/>
  <c r="BB2197" i="1"/>
  <c r="BD1789" i="1"/>
  <c r="BC1789" i="1"/>
  <c r="B2379" i="1"/>
  <c r="BD2379" i="1" s="1"/>
  <c r="A2379" i="1"/>
  <c r="A487" i="1"/>
  <c r="B487" i="1"/>
  <c r="BB487" i="1" s="1"/>
  <c r="BD487" i="1" l="1"/>
  <c r="BC487" i="1"/>
  <c r="BB2379" i="1"/>
  <c r="BC2379" i="1"/>
  <c r="BB1978" i="1"/>
  <c r="BC1978" i="1"/>
  <c r="BD1978" i="1"/>
  <c r="BB1979" i="1"/>
  <c r="BC1979" i="1"/>
  <c r="BD1979" i="1"/>
  <c r="BB1981" i="1"/>
  <c r="BC1981" i="1"/>
  <c r="BD1981" i="1"/>
  <c r="BB1982" i="1"/>
  <c r="BC1982" i="1"/>
  <c r="BD1982" i="1"/>
  <c r="BB1521" i="1"/>
  <c r="BC1521" i="1"/>
  <c r="BD1521" i="1"/>
  <c r="A533" i="1" l="1"/>
  <c r="A531" i="1"/>
  <c r="B533" i="1"/>
  <c r="BB533" i="1" s="1"/>
  <c r="B531" i="1"/>
  <c r="BB531" i="1" s="1"/>
  <c r="BD533" i="1" l="1"/>
  <c r="BC533" i="1"/>
  <c r="BD531" i="1"/>
  <c r="BC531" i="1"/>
  <c r="F989" i="1"/>
  <c r="BB1986" i="1"/>
  <c r="BD1606" i="1"/>
  <c r="BC1606" i="1"/>
  <c r="BB1606" i="1"/>
  <c r="BD1607" i="1"/>
  <c r="BC1607" i="1"/>
  <c r="BB1607" i="1"/>
  <c r="BD284" i="1"/>
  <c r="BC284" i="1"/>
  <c r="BB284" i="1"/>
  <c r="BB1207" i="1"/>
  <c r="BC1207" i="1"/>
  <c r="BD1207" i="1"/>
  <c r="BB1209" i="1"/>
  <c r="BC1209" i="1"/>
  <c r="BD1209" i="1"/>
  <c r="BB1208" i="1"/>
  <c r="BC1208" i="1"/>
  <c r="BD1208" i="1"/>
  <c r="BB1605" i="1"/>
  <c r="BC1605" i="1"/>
  <c r="BD1605" i="1"/>
  <c r="BB288" i="1"/>
  <c r="BC288" i="1"/>
  <c r="BD288" i="1"/>
  <c r="BB1602" i="1"/>
  <c r="BC1602" i="1"/>
  <c r="BD1602" i="1"/>
  <c r="BB1603" i="1"/>
  <c r="BC1603" i="1"/>
  <c r="BD1603" i="1"/>
  <c r="B1365" i="1"/>
  <c r="BC1365" i="1" s="1"/>
  <c r="A1365" i="1"/>
  <c r="BB1598" i="1"/>
  <c r="BC1598" i="1"/>
  <c r="BD1598" i="1"/>
  <c r="BD1986" i="1" l="1"/>
  <c r="BC1986" i="1"/>
  <c r="BB1365" i="1"/>
  <c r="BD1365" i="1"/>
  <c r="BB2317" i="1"/>
  <c r="BC2317" i="1"/>
  <c r="BD2317" i="1"/>
  <c r="F1798" i="1" l="1"/>
  <c r="BB2344" i="1" l="1"/>
  <c r="BC2344" i="1"/>
  <c r="BD2344" i="1"/>
  <c r="BB542" i="1"/>
  <c r="BC542" i="1"/>
  <c r="BD542" i="1"/>
  <c r="BB1372" i="1"/>
  <c r="BC1372" i="1"/>
  <c r="BD1372" i="1"/>
  <c r="BB1373" i="1"/>
  <c r="BC1373" i="1"/>
  <c r="BD1373" i="1"/>
  <c r="A2510" i="1"/>
  <c r="B2510" i="1"/>
  <c r="BC2510" i="1" s="1"/>
  <c r="A2509" i="1"/>
  <c r="B2509" i="1"/>
  <c r="BB2509" i="1" s="1"/>
  <c r="A1551" i="1"/>
  <c r="B1551" i="1"/>
  <c r="BB1551" i="1" s="1"/>
  <c r="A1550" i="1"/>
  <c r="B1550" i="1"/>
  <c r="BB1550" i="1" s="1"/>
  <c r="A1549" i="1"/>
  <c r="B1549" i="1"/>
  <c r="BC1549" i="1" s="1"/>
  <c r="A2194" i="1"/>
  <c r="B2194" i="1"/>
  <c r="BB2194" i="1" s="1"/>
  <c r="A2208" i="1"/>
  <c r="B2208" i="1"/>
  <c r="BB2208" i="1" s="1"/>
  <c r="A1938" i="1"/>
  <c r="B1938" i="1"/>
  <c r="BD1938" i="1" s="1"/>
  <c r="BB2510" i="1" l="1"/>
  <c r="BD2509" i="1"/>
  <c r="BD2510" i="1"/>
  <c r="BC2509" i="1"/>
  <c r="BD1550" i="1"/>
  <c r="BD1551" i="1"/>
  <c r="BC1550" i="1"/>
  <c r="BB1549" i="1"/>
  <c r="BC1551" i="1"/>
  <c r="BD1549" i="1"/>
  <c r="BD2208" i="1"/>
  <c r="BD2194" i="1"/>
  <c r="BC1938" i="1"/>
  <c r="BC2208" i="1"/>
  <c r="BC2194" i="1"/>
  <c r="BB1938" i="1"/>
  <c r="F1794" i="1"/>
  <c r="A730" i="1"/>
  <c r="B730" i="1"/>
  <c r="BD730" i="1" s="1"/>
  <c r="BC730" i="1" l="1"/>
  <c r="BB730" i="1"/>
  <c r="BB1791" i="1"/>
  <c r="BC1791" i="1"/>
  <c r="BD1791" i="1"/>
  <c r="B530" i="61" l="1"/>
  <c r="B523" i="61"/>
  <c r="B524" i="61"/>
  <c r="B512" i="61"/>
  <c r="B520" i="61"/>
  <c r="B511" i="61"/>
  <c r="B509" i="61"/>
  <c r="B516" i="61"/>
  <c r="B528" i="61"/>
  <c r="B507" i="61"/>
  <c r="B529" i="61"/>
  <c r="B517" i="61"/>
  <c r="B519" i="61"/>
  <c r="B525" i="61"/>
  <c r="B531" i="61"/>
  <c r="B522" i="61"/>
  <c r="B514" i="61"/>
  <c r="B527" i="61"/>
  <c r="B515" i="61"/>
  <c r="B526" i="61"/>
  <c r="B513" i="61"/>
  <c r="B521" i="61"/>
  <c r="B2126" i="1"/>
  <c r="BB2126" i="1" s="1"/>
  <c r="A2126" i="1"/>
  <c r="B2117" i="1"/>
  <c r="BD2117" i="1" s="1"/>
  <c r="A2117" i="1"/>
  <c r="B2111" i="1"/>
  <c r="BD2111" i="1" s="1"/>
  <c r="A2111" i="1"/>
  <c r="B2129" i="1"/>
  <c r="BC2129" i="1" s="1"/>
  <c r="A2129" i="1"/>
  <c r="B2109" i="1"/>
  <c r="BD2109" i="1" s="1"/>
  <c r="A2109" i="1"/>
  <c r="B2125" i="1"/>
  <c r="BD2125" i="1" s="1"/>
  <c r="A2125" i="1"/>
  <c r="B2115" i="1"/>
  <c r="BB2115" i="1" s="1"/>
  <c r="A2115" i="1"/>
  <c r="A2113" i="1"/>
  <c r="B2113" i="1"/>
  <c r="BD2113" i="1" s="1"/>
  <c r="BB2117" i="1" l="1"/>
  <c r="BC2117" i="1"/>
  <c r="BC2126" i="1"/>
  <c r="BD2126" i="1"/>
  <c r="BD2129" i="1"/>
  <c r="BB2129" i="1"/>
  <c r="BB2111" i="1"/>
  <c r="BC2111" i="1"/>
  <c r="BB2125" i="1"/>
  <c r="BC2125" i="1"/>
  <c r="BB2109" i="1"/>
  <c r="BC2109" i="1"/>
  <c r="BC2115" i="1"/>
  <c r="BD2115" i="1"/>
  <c r="BC2113" i="1"/>
  <c r="BB2113" i="1"/>
  <c r="B2112" i="1"/>
  <c r="BD2112" i="1" s="1"/>
  <c r="A2112" i="1"/>
  <c r="B2128" i="1"/>
  <c r="BC2128" i="1" s="1"/>
  <c r="A2128" i="1"/>
  <c r="B2121" i="1"/>
  <c r="BD2121" i="1" s="1"/>
  <c r="A2121" i="1"/>
  <c r="B2116" i="1"/>
  <c r="BB2116" i="1" s="1"/>
  <c r="A2116" i="1"/>
  <c r="B2127" i="1"/>
  <c r="BD2127" i="1" s="1"/>
  <c r="A2127" i="1"/>
  <c r="B2110" i="1"/>
  <c r="BC2110" i="1" s="1"/>
  <c r="A2110" i="1"/>
  <c r="B2124" i="1"/>
  <c r="BD2124" i="1" s="1"/>
  <c r="A2124" i="1"/>
  <c r="BC2116" i="1" l="1"/>
  <c r="BB2121" i="1"/>
  <c r="BB2112" i="1"/>
  <c r="BC2112" i="1"/>
  <c r="BD2128" i="1"/>
  <c r="BD2116" i="1"/>
  <c r="BC2121" i="1"/>
  <c r="BB2128" i="1"/>
  <c r="BD2110" i="1"/>
  <c r="BB2127" i="1"/>
  <c r="BC2127" i="1"/>
  <c r="BB2124" i="1"/>
  <c r="BC2124" i="1"/>
  <c r="BB2110" i="1"/>
  <c r="B2119" i="1"/>
  <c r="BD2119" i="1" s="1"/>
  <c r="A2119" i="1"/>
  <c r="A2123" i="1"/>
  <c r="B2123" i="1"/>
  <c r="BC2123" i="1" s="1"/>
  <c r="A2114" i="1"/>
  <c r="B2114" i="1"/>
  <c r="BC2114" i="1" s="1"/>
  <c r="A2120" i="1"/>
  <c r="B2120" i="1"/>
  <c r="BC2120" i="1" s="1"/>
  <c r="BB2114" i="1" l="1"/>
  <c r="BB2120" i="1"/>
  <c r="BB2119" i="1"/>
  <c r="BC2119" i="1"/>
  <c r="BB2123" i="1"/>
  <c r="BD2123" i="1"/>
  <c r="BD2114" i="1"/>
  <c r="BD2120" i="1"/>
  <c r="F1223" i="1"/>
  <c r="BB1396" i="1" l="1"/>
  <c r="BC1396" i="1"/>
  <c r="BD1396" i="1"/>
  <c r="BB1397" i="1"/>
  <c r="BC1397" i="1"/>
  <c r="BD1397" i="1"/>
  <c r="BB1398" i="1"/>
  <c r="BC1398" i="1"/>
  <c r="BD1398" i="1"/>
  <c r="BB1399" i="1"/>
  <c r="BC1399" i="1"/>
  <c r="BD1399" i="1"/>
  <c r="BB1400" i="1"/>
  <c r="BC1400" i="1"/>
  <c r="BD1400" i="1"/>
  <c r="BB1401" i="1"/>
  <c r="BC1401" i="1"/>
  <c r="BD1401" i="1"/>
  <c r="BB1402" i="1"/>
  <c r="BC1402" i="1"/>
  <c r="BD1402" i="1"/>
  <c r="BB1403" i="1"/>
  <c r="BC1403" i="1"/>
  <c r="BD1403" i="1"/>
  <c r="BB1404" i="1"/>
  <c r="BC1404" i="1"/>
  <c r="BD1404" i="1"/>
  <c r="BB1405" i="1"/>
  <c r="BC1405" i="1"/>
  <c r="BD1405" i="1"/>
  <c r="BB1406" i="1"/>
  <c r="BC1406" i="1"/>
  <c r="BD1406" i="1"/>
  <c r="BB1407" i="1"/>
  <c r="BC1407" i="1"/>
  <c r="BD1407" i="1"/>
  <c r="B510" i="61"/>
  <c r="B506" i="61"/>
  <c r="B518" i="61"/>
  <c r="B508" i="61"/>
  <c r="A2108" i="1"/>
  <c r="B2108" i="1"/>
  <c r="BB2108" i="1" s="1"/>
  <c r="A2118" i="1"/>
  <c r="B2118" i="1"/>
  <c r="BC2118" i="1" s="1"/>
  <c r="A2122" i="1"/>
  <c r="B2122" i="1"/>
  <c r="BD2122" i="1" s="1"/>
  <c r="A2103" i="1"/>
  <c r="B2103" i="1"/>
  <c r="BB2103" i="1" s="1"/>
  <c r="B2106" i="1"/>
  <c r="BB2106" i="1" s="1"/>
  <c r="A2106" i="1"/>
  <c r="A2102" i="1"/>
  <c r="B2102" i="1"/>
  <c r="BB2102" i="1" s="1"/>
  <c r="BC2122" i="1" l="1"/>
  <c r="BB2118" i="1"/>
  <c r="BC2103" i="1"/>
  <c r="BD2118" i="1"/>
  <c r="BB2122" i="1"/>
  <c r="BD2108" i="1"/>
  <c r="BC2108" i="1"/>
  <c r="BD2103" i="1"/>
  <c r="BC2106" i="1"/>
  <c r="BC2102" i="1"/>
  <c r="BD2106" i="1"/>
  <c r="BD2102" i="1"/>
  <c r="R1746" i="1"/>
  <c r="Q1746" i="1"/>
  <c r="P1746" i="1"/>
  <c r="O1746" i="1"/>
  <c r="N1746" i="1"/>
  <c r="M1746" i="1"/>
  <c r="B1746" i="1"/>
  <c r="BB1746" i="1" s="1"/>
  <c r="A1746" i="1"/>
  <c r="BD214" i="1"/>
  <c r="BC214" i="1"/>
  <c r="BB214" i="1"/>
  <c r="AF286" i="1"/>
  <c r="BB287" i="1"/>
  <c r="BC287" i="1"/>
  <c r="BD287" i="1"/>
  <c r="AF287" i="1"/>
  <c r="BD285" i="1"/>
  <c r="BC285" i="1"/>
  <c r="BB285" i="1"/>
  <c r="BD1746" i="1" l="1"/>
  <c r="BC1746" i="1"/>
  <c r="D305" i="61"/>
  <c r="D304" i="61"/>
  <c r="D303" i="61"/>
  <c r="B1993" i="1"/>
  <c r="BB1993" i="1" s="1"/>
  <c r="B1992" i="1"/>
  <c r="BC1992" i="1" s="1"/>
  <c r="A1993" i="1"/>
  <c r="A1992" i="1"/>
  <c r="A1991" i="1"/>
  <c r="B1991" i="1"/>
  <c r="BC1991" i="1" s="1"/>
  <c r="A1776" i="1"/>
  <c r="B1776" i="1"/>
  <c r="BB1776" i="1" s="1"/>
  <c r="BB1780" i="1"/>
  <c r="BC1780" i="1"/>
  <c r="BD1780" i="1"/>
  <c r="BB1781" i="1"/>
  <c r="BC1781" i="1"/>
  <c r="BD1781" i="1"/>
  <c r="BB1782" i="1"/>
  <c r="BC1782" i="1"/>
  <c r="BD1782" i="1"/>
  <c r="BB1777" i="1"/>
  <c r="BC1777" i="1"/>
  <c r="BD1777" i="1"/>
  <c r="BB1778" i="1"/>
  <c r="BC1778" i="1"/>
  <c r="BD1778" i="1"/>
  <c r="BB1779" i="1"/>
  <c r="BC1779" i="1"/>
  <c r="BD1779" i="1"/>
  <c r="BB1770" i="1"/>
  <c r="BC1770" i="1"/>
  <c r="BD1770" i="1"/>
  <c r="BB1771" i="1"/>
  <c r="BC1771" i="1"/>
  <c r="BD1771" i="1"/>
  <c r="BB1772" i="1"/>
  <c r="BC1772" i="1"/>
  <c r="BD1772" i="1"/>
  <c r="BB1773" i="1"/>
  <c r="BC1773" i="1"/>
  <c r="BD1773" i="1"/>
  <c r="BB1774" i="1"/>
  <c r="BC1774" i="1"/>
  <c r="BD1774" i="1"/>
  <c r="BB1775" i="1"/>
  <c r="BC1775" i="1"/>
  <c r="BD1775" i="1"/>
  <c r="A488" i="1"/>
  <c r="B488" i="1"/>
  <c r="BD488" i="1" s="1"/>
  <c r="BC1993" i="1" l="1"/>
  <c r="BD1993" i="1"/>
  <c r="BD1992" i="1"/>
  <c r="BB1992" i="1"/>
  <c r="BB1991" i="1"/>
  <c r="BD1991" i="1"/>
  <c r="BD1776" i="1"/>
  <c r="BC1776" i="1"/>
  <c r="BB488" i="1"/>
  <c r="BC488" i="1"/>
  <c r="A2105" i="1"/>
  <c r="B2105" i="1"/>
  <c r="BB2105" i="1" s="1"/>
  <c r="A2104" i="1"/>
  <c r="B2104" i="1"/>
  <c r="BB2104" i="1" s="1"/>
  <c r="B2101" i="1"/>
  <c r="BD2101" i="1" s="1"/>
  <c r="B2099" i="1"/>
  <c r="A2101" i="1"/>
  <c r="A2099" i="1"/>
  <c r="BC2101" i="1" l="1"/>
  <c r="BD2104" i="1"/>
  <c r="BD2105" i="1"/>
  <c r="BB2101" i="1"/>
  <c r="BC2104" i="1"/>
  <c r="BC2105" i="1"/>
  <c r="BD1627" i="1"/>
  <c r="BC1627" i="1"/>
  <c r="BB1627" i="1"/>
  <c r="BB1636" i="1"/>
  <c r="BC1636" i="1"/>
  <c r="BD1636" i="1"/>
  <c r="BD1635" i="1"/>
  <c r="BC1635" i="1"/>
  <c r="BB1635" i="1"/>
  <c r="BD1629" i="1"/>
  <c r="BC1629" i="1"/>
  <c r="BB1629" i="1"/>
  <c r="BB502" i="1" l="1"/>
  <c r="BC502" i="1"/>
  <c r="BD502" i="1"/>
  <c r="B503" i="1"/>
  <c r="BC503" i="1" s="1"/>
  <c r="B501" i="1"/>
  <c r="BB501" i="1" s="1"/>
  <c r="A503" i="1"/>
  <c r="A501" i="1"/>
  <c r="B790" i="1"/>
  <c r="BB790" i="1" s="1"/>
  <c r="A790" i="1"/>
  <c r="A776" i="1"/>
  <c r="B776" i="1"/>
  <c r="BD776" i="1" s="1"/>
  <c r="A1908" i="1"/>
  <c r="B1908" i="1"/>
  <c r="BB1908" i="1" s="1"/>
  <c r="AH787" i="1"/>
  <c r="AG791" i="1"/>
  <c r="AH791" i="1"/>
  <c r="AI791" i="1"/>
  <c r="B1903" i="1"/>
  <c r="BD1903" i="1" s="1"/>
  <c r="A1903" i="1"/>
  <c r="A1904" i="1"/>
  <c r="B1904" i="1"/>
  <c r="BB1904" i="1" s="1"/>
  <c r="A787" i="1"/>
  <c r="B787" i="1"/>
  <c r="BC790" i="1" l="1"/>
  <c r="BD790" i="1"/>
  <c r="BB503" i="1"/>
  <c r="BD501" i="1"/>
  <c r="BC501" i="1"/>
  <c r="BD503" i="1"/>
  <c r="BC1908" i="1"/>
  <c r="BD1908" i="1"/>
  <c r="BB776" i="1"/>
  <c r="BC776" i="1"/>
  <c r="BC1904" i="1"/>
  <c r="BB1903" i="1"/>
  <c r="BC1903" i="1"/>
  <c r="BD1904" i="1"/>
  <c r="AI787" i="1"/>
  <c r="AJ787" i="1"/>
  <c r="AK787" i="1"/>
  <c r="C274" i="30"/>
  <c r="D274" i="30"/>
  <c r="E274" i="30"/>
  <c r="F274" i="30"/>
  <c r="G274" i="30"/>
  <c r="H274" i="30"/>
  <c r="I274" i="30"/>
  <c r="J274" i="30"/>
  <c r="K274" i="30"/>
  <c r="L274" i="30"/>
  <c r="M274" i="30"/>
  <c r="N274" i="30"/>
  <c r="O274" i="30"/>
  <c r="P274" i="30"/>
  <c r="Q274" i="30"/>
  <c r="R274" i="30"/>
  <c r="S274" i="30"/>
  <c r="T274" i="30"/>
  <c r="U274" i="30"/>
  <c r="V274" i="30"/>
  <c r="W274" i="30"/>
  <c r="X274" i="30"/>
  <c r="AJ274" i="30"/>
  <c r="AK274" i="30"/>
  <c r="AL274" i="30"/>
  <c r="AM274" i="30"/>
  <c r="AN274" i="30"/>
  <c r="AO274" i="30"/>
  <c r="AP274" i="30"/>
  <c r="AQ274" i="30"/>
  <c r="AR274" i="30"/>
  <c r="AS274" i="30"/>
  <c r="AT274" i="30"/>
  <c r="AU274" i="30"/>
  <c r="AV274" i="30"/>
  <c r="AW274" i="30"/>
  <c r="AX274" i="30"/>
  <c r="AY274" i="30"/>
  <c r="AZ274" i="30"/>
  <c r="BA274" i="30"/>
  <c r="AC784" i="1"/>
  <c r="AC274" i="30" s="1"/>
  <c r="AD784" i="1"/>
  <c r="AD274" i="30" s="1"/>
  <c r="Y777" i="1"/>
  <c r="Z777" i="1" s="1"/>
  <c r="AA777" i="1" s="1"/>
  <c r="AB777" i="1" s="1"/>
  <c r="B1927" i="1"/>
  <c r="BC1927" i="1" s="1"/>
  <c r="A1927" i="1"/>
  <c r="B322" i="1"/>
  <c r="BD322" i="1" s="1"/>
  <c r="A322" i="1"/>
  <c r="B323" i="1"/>
  <c r="BD323" i="1" s="1"/>
  <c r="A323" i="1"/>
  <c r="AG1905" i="1"/>
  <c r="AH1905" i="1" s="1"/>
  <c r="AI1905" i="1" s="1"/>
  <c r="AJ1905" i="1" s="1"/>
  <c r="AK1905" i="1" s="1"/>
  <c r="B1905" i="1"/>
  <c r="BB1905" i="1" s="1"/>
  <c r="A1905" i="1"/>
  <c r="A325" i="1"/>
  <c r="B325" i="1"/>
  <c r="BB325" i="1" s="1"/>
  <c r="BD273" i="1"/>
  <c r="BC273" i="1"/>
  <c r="BB273" i="1"/>
  <c r="B1417" i="1"/>
  <c r="BC1417" i="1" s="1"/>
  <c r="A1417" i="1"/>
  <c r="B1912" i="1"/>
  <c r="BD1912" i="1" s="1"/>
  <c r="A1912" i="1"/>
  <c r="B1913" i="1"/>
  <c r="BB1913" i="1" s="1"/>
  <c r="A1913" i="1"/>
  <c r="B477" i="1"/>
  <c r="A477" i="1"/>
  <c r="BD482" i="1"/>
  <c r="BC482" i="1"/>
  <c r="BB482" i="1"/>
  <c r="BB538" i="1"/>
  <c r="BC538" i="1"/>
  <c r="BD538" i="1"/>
  <c r="AC777" i="1" l="1"/>
  <c r="AD777" i="1" s="1"/>
  <c r="AE777" i="1" s="1"/>
  <c r="AF777" i="1" s="1"/>
  <c r="BB322" i="1"/>
  <c r="BC323" i="1"/>
  <c r="BB1927" i="1"/>
  <c r="BD1927" i="1"/>
  <c r="BC322" i="1"/>
  <c r="BB323" i="1"/>
  <c r="BC1905" i="1"/>
  <c r="BD1905" i="1"/>
  <c r="BD325" i="1"/>
  <c r="BC325" i="1"/>
  <c r="BB1912" i="1"/>
  <c r="BB1417" i="1"/>
  <c r="BC1912" i="1"/>
  <c r="BD1417" i="1"/>
  <c r="BD1913" i="1"/>
  <c r="BC1913" i="1"/>
  <c r="F899" i="1"/>
  <c r="AG777" i="1" l="1"/>
  <c r="AH777" i="1" s="1"/>
  <c r="AI777" i="1" s="1"/>
  <c r="AJ777" i="1" s="1"/>
  <c r="AK777" i="1" s="1"/>
  <c r="BB232" i="1"/>
  <c r="BC232" i="1"/>
  <c r="BD232" i="1"/>
  <c r="B2363" i="1"/>
  <c r="BC2363" i="1" s="1"/>
  <c r="A2363" i="1"/>
  <c r="B2362" i="1"/>
  <c r="BB2362" i="1" s="1"/>
  <c r="A2362" i="1"/>
  <c r="B2361" i="1"/>
  <c r="BB2361" i="1" s="1"/>
  <c r="A2361" i="1"/>
  <c r="B2356" i="1"/>
  <c r="BB2356" i="1" s="1"/>
  <c r="A2356" i="1"/>
  <c r="B2355" i="1"/>
  <c r="A2355" i="1"/>
  <c r="B2358" i="1"/>
  <c r="BC2358" i="1" s="1"/>
  <c r="A2358" i="1"/>
  <c r="B2357" i="1"/>
  <c r="BC2357" i="1" s="1"/>
  <c r="A2357" i="1"/>
  <c r="BB521" i="1"/>
  <c r="BC521" i="1"/>
  <c r="BD521" i="1"/>
  <c r="BB624" i="1"/>
  <c r="BC624" i="1"/>
  <c r="BD624" i="1"/>
  <c r="BB248" i="1"/>
  <c r="BC248" i="1"/>
  <c r="BD248" i="1"/>
  <c r="BB625" i="1"/>
  <c r="BC625" i="1"/>
  <c r="BD625" i="1"/>
  <c r="BD246" i="1"/>
  <c r="BC246" i="1"/>
  <c r="BB246" i="1"/>
  <c r="BD120" i="1"/>
  <c r="BC120" i="1"/>
  <c r="BB120" i="1"/>
  <c r="BB729" i="1"/>
  <c r="BC729" i="1"/>
  <c r="BD729" i="1"/>
  <c r="AG271" i="30" l="1"/>
  <c r="BD2363" i="1"/>
  <c r="BB2363" i="1"/>
  <c r="BD2362" i="1"/>
  <c r="BC2362" i="1"/>
  <c r="BD2356" i="1"/>
  <c r="BD2361" i="1"/>
  <c r="BC2356" i="1"/>
  <c r="BC2361" i="1"/>
  <c r="BB2358" i="1"/>
  <c r="BB2357" i="1"/>
  <c r="BD2357" i="1"/>
  <c r="BD2358" i="1"/>
  <c r="BB1620" i="1"/>
  <c r="BC1620" i="1"/>
  <c r="BD1620" i="1"/>
  <c r="BB519" i="1"/>
  <c r="BC519" i="1"/>
  <c r="BD519" i="1"/>
  <c r="BB520" i="1"/>
  <c r="BC520" i="1"/>
  <c r="BD520" i="1"/>
  <c r="BB297" i="1"/>
  <c r="BC297" i="1"/>
  <c r="BD297" i="1"/>
  <c r="BB2370" i="1"/>
  <c r="BC2370" i="1"/>
  <c r="BD2370" i="1"/>
  <c r="B915" i="1"/>
  <c r="BB915" i="1" s="1"/>
  <c r="A915" i="1"/>
  <c r="D915" i="1"/>
  <c r="F915" i="1"/>
  <c r="G915" i="1"/>
  <c r="B913" i="1"/>
  <c r="BB913" i="1" s="1"/>
  <c r="A913" i="1"/>
  <c r="D913" i="1"/>
  <c r="F913" i="1"/>
  <c r="G913" i="1"/>
  <c r="X29" i="57"/>
  <c r="E913" i="1" s="1"/>
  <c r="B911" i="1"/>
  <c r="BD911" i="1" s="1"/>
  <c r="A911" i="1"/>
  <c r="D911" i="1"/>
  <c r="F911" i="1"/>
  <c r="G911" i="1"/>
  <c r="T29" i="57"/>
  <c r="E911" i="1" s="1"/>
  <c r="B909" i="1"/>
  <c r="BB909" i="1" s="1"/>
  <c r="A909" i="1"/>
  <c r="D909" i="1"/>
  <c r="E909" i="1"/>
  <c r="F909" i="1"/>
  <c r="G909" i="1"/>
  <c r="P29" i="57"/>
  <c r="AE26" i="57"/>
  <c r="O26" i="57"/>
  <c r="I26" i="57"/>
  <c r="W26" i="57" s="1"/>
  <c r="AR28" i="57"/>
  <c r="AN28" i="57"/>
  <c r="AJ28" i="57"/>
  <c r="B910" i="1"/>
  <c r="BB910" i="1" s="1"/>
  <c r="B908" i="1"/>
  <c r="A910" i="1"/>
  <c r="A908" i="1"/>
  <c r="E910" i="1"/>
  <c r="F910" i="1"/>
  <c r="G910" i="1"/>
  <c r="S8" i="57"/>
  <c r="D910" i="1" s="1"/>
  <c r="AH271" i="30" l="1"/>
  <c r="AA26" i="57"/>
  <c r="S26" i="57"/>
  <c r="BD913" i="1"/>
  <c r="BC913" i="1"/>
  <c r="BD915" i="1"/>
  <c r="BC915" i="1"/>
  <c r="BC911" i="1"/>
  <c r="BB911" i="1"/>
  <c r="BD910" i="1"/>
  <c r="BD909" i="1"/>
  <c r="BC910" i="1"/>
  <c r="BC909" i="1"/>
  <c r="A784" i="1"/>
  <c r="A274" i="30" s="1"/>
  <c r="D1613" i="1"/>
  <c r="E1613" i="1"/>
  <c r="F1613" i="1"/>
  <c r="E1162" i="1"/>
  <c r="BB1162" i="1"/>
  <c r="BC1162" i="1"/>
  <c r="BD1162" i="1"/>
  <c r="D1162" i="1"/>
  <c r="F1162" i="1"/>
  <c r="BB514" i="1"/>
  <c r="BC514" i="1"/>
  <c r="BD514" i="1"/>
  <c r="AI271" i="30" l="1"/>
  <c r="BB626" i="1"/>
  <c r="BC626" i="1"/>
  <c r="BD626" i="1"/>
  <c r="B1125" i="1"/>
  <c r="BC1125" i="1" s="1"/>
  <c r="A1125" i="1"/>
  <c r="B1126" i="1"/>
  <c r="BC1126" i="1" s="1"/>
  <c r="A1126" i="1"/>
  <c r="AJ271" i="30" l="1"/>
  <c r="BB1125" i="1"/>
  <c r="BB1126" i="1"/>
  <c r="BD1125" i="1"/>
  <c r="BD1126" i="1"/>
  <c r="B534" i="1"/>
  <c r="BB534" i="1" s="1"/>
  <c r="A534" i="1"/>
  <c r="B1593" i="1"/>
  <c r="BB1593" i="1" s="1"/>
  <c r="A1593" i="1"/>
  <c r="AK271" i="30" l="1"/>
  <c r="BD1593" i="1"/>
  <c r="BC1593" i="1"/>
  <c r="BD534" i="1"/>
  <c r="BC534" i="1"/>
  <c r="AK698" i="30"/>
  <c r="AK791" i="1"/>
  <c r="AN271" i="30" l="1"/>
  <c r="AM271" i="30"/>
  <c r="BB2159" i="1"/>
  <c r="BC2159" i="1"/>
  <c r="BD2159" i="1"/>
  <c r="AJ700" i="1"/>
  <c r="AK700" i="1"/>
  <c r="B1364" i="1" l="1"/>
  <c r="A1364" i="1"/>
  <c r="BD1364" i="1" l="1"/>
  <c r="BC1364" i="1"/>
  <c r="BB1364" i="1"/>
  <c r="AH2249" i="1"/>
  <c r="A2224" i="1"/>
  <c r="AH2248" i="1"/>
  <c r="K2246" i="1" l="1"/>
  <c r="L2246" i="1"/>
  <c r="M2246" i="1"/>
  <c r="N2246" i="1"/>
  <c r="O2246" i="1"/>
  <c r="P2246" i="1"/>
  <c r="Q2246" i="1"/>
  <c r="R2246" i="1"/>
  <c r="T2246" i="1"/>
  <c r="U2246" i="1"/>
  <c r="W2246" i="1"/>
  <c r="X2246" i="1"/>
  <c r="Y2246" i="1"/>
  <c r="Z2246" i="1"/>
  <c r="AA2246" i="1"/>
  <c r="A2246" i="1"/>
  <c r="B2246" i="1"/>
  <c r="BD2246" i="1" s="1"/>
  <c r="K2240" i="1"/>
  <c r="L2240" i="1"/>
  <c r="M2240" i="1"/>
  <c r="N2240" i="1"/>
  <c r="O2240" i="1"/>
  <c r="P2240" i="1"/>
  <c r="Q2240" i="1"/>
  <c r="R2240" i="1"/>
  <c r="T2240" i="1"/>
  <c r="U2240" i="1"/>
  <c r="W2240" i="1"/>
  <c r="X2240" i="1"/>
  <c r="Y2240" i="1"/>
  <c r="Z2240" i="1"/>
  <c r="AA2240" i="1"/>
  <c r="A2240" i="1"/>
  <c r="B2240" i="1"/>
  <c r="BD2240" i="1" s="1"/>
  <c r="K2250" i="1"/>
  <c r="L2250" i="1"/>
  <c r="M2250" i="1"/>
  <c r="N2250" i="1"/>
  <c r="O2250" i="1"/>
  <c r="P2250" i="1"/>
  <c r="Q2250" i="1"/>
  <c r="R2250" i="1"/>
  <c r="T2250" i="1"/>
  <c r="U2250" i="1"/>
  <c r="W2250" i="1"/>
  <c r="X2250" i="1"/>
  <c r="Y2250" i="1"/>
  <c r="Z2250" i="1"/>
  <c r="AA2250" i="1"/>
  <c r="B2250" i="1"/>
  <c r="BD2250" i="1" s="1"/>
  <c r="A2250" i="1"/>
  <c r="AI2249" i="1"/>
  <c r="AJ2249" i="1"/>
  <c r="BC2240" i="1" l="1"/>
  <c r="AI2236" i="1"/>
  <c r="AI2248" i="1"/>
  <c r="AI2244" i="1" s="1"/>
  <c r="AI2243" i="1" s="1"/>
  <c r="AI2241" i="1"/>
  <c r="AI2217" i="1" l="1"/>
  <c r="AI2246" i="1" s="1"/>
  <c r="AI2223" i="1" l="1"/>
  <c r="AI2238" i="1"/>
  <c r="AI2240" i="1"/>
  <c r="AI2250" i="1"/>
  <c r="AI2219" i="1"/>
  <c r="AJ2236" i="1"/>
  <c r="AK2236" i="1"/>
  <c r="AJ2244" i="1"/>
  <c r="AJ2243" i="1" s="1"/>
  <c r="AK2249" i="1"/>
  <c r="AJ2241" i="1"/>
  <c r="F709" i="30" l="1"/>
  <c r="BB674" i="1"/>
  <c r="BC674" i="1"/>
  <c r="BD674" i="1"/>
  <c r="C707" i="30"/>
  <c r="E707" i="30"/>
  <c r="F707" i="30"/>
  <c r="G707" i="30"/>
  <c r="H707" i="30"/>
  <c r="I707" i="30"/>
  <c r="J707" i="30"/>
  <c r="K707" i="30"/>
  <c r="L707" i="30"/>
  <c r="M707" i="30"/>
  <c r="N707" i="30"/>
  <c r="O707" i="30"/>
  <c r="P707" i="30"/>
  <c r="Q707" i="30"/>
  <c r="R707" i="30"/>
  <c r="S707" i="30"/>
  <c r="T707" i="30"/>
  <c r="U707" i="30"/>
  <c r="V707" i="30"/>
  <c r="W707" i="30"/>
  <c r="X707" i="30"/>
  <c r="Y707" i="30"/>
  <c r="Z707" i="30"/>
  <c r="AA707" i="30"/>
  <c r="AB707" i="30"/>
  <c r="AC707" i="30"/>
  <c r="AD707" i="30"/>
  <c r="AE707" i="30"/>
  <c r="AF707" i="30"/>
  <c r="AG707" i="30"/>
  <c r="AH707" i="30"/>
  <c r="AI707" i="30"/>
  <c r="AJ707" i="30"/>
  <c r="AK707" i="30"/>
  <c r="AL707" i="30"/>
  <c r="AM707" i="30"/>
  <c r="AN707" i="30"/>
  <c r="AO707" i="30"/>
  <c r="AP707" i="30"/>
  <c r="AQ707" i="30"/>
  <c r="AR707" i="30"/>
  <c r="AS707" i="30"/>
  <c r="AT707" i="30"/>
  <c r="AU707" i="30"/>
  <c r="AV707" i="30"/>
  <c r="AW707" i="30"/>
  <c r="AX707" i="30"/>
  <c r="AY707" i="30"/>
  <c r="AZ707" i="30"/>
  <c r="BA707" i="30"/>
  <c r="C710" i="30"/>
  <c r="E710" i="30"/>
  <c r="F710" i="30"/>
  <c r="G710" i="30"/>
  <c r="H710" i="30"/>
  <c r="I710" i="30"/>
  <c r="J710" i="30"/>
  <c r="K710" i="30"/>
  <c r="L710" i="30"/>
  <c r="M710" i="30"/>
  <c r="N710" i="30"/>
  <c r="O710" i="30"/>
  <c r="P710" i="30"/>
  <c r="Q710" i="30"/>
  <c r="R710" i="30"/>
  <c r="S710" i="30"/>
  <c r="T710" i="30"/>
  <c r="U710" i="30"/>
  <c r="V710" i="30"/>
  <c r="W710" i="30"/>
  <c r="X710" i="30"/>
  <c r="Y710" i="30"/>
  <c r="Z710" i="30"/>
  <c r="AA710" i="30"/>
  <c r="AB710" i="30"/>
  <c r="AC710" i="30"/>
  <c r="AD710" i="30"/>
  <c r="AE710" i="30"/>
  <c r="AF710" i="30"/>
  <c r="AG710" i="30"/>
  <c r="AH710" i="30"/>
  <c r="AI710" i="30"/>
  <c r="AJ710" i="30"/>
  <c r="AL710" i="30"/>
  <c r="AM710" i="30"/>
  <c r="AN710" i="30"/>
  <c r="AO710" i="30"/>
  <c r="AP710" i="30"/>
  <c r="AQ710" i="30"/>
  <c r="AR710" i="30"/>
  <c r="AS710" i="30"/>
  <c r="AT710" i="30"/>
  <c r="AU710" i="30"/>
  <c r="AV710" i="30"/>
  <c r="AW710" i="30"/>
  <c r="AX710" i="30"/>
  <c r="AY710" i="30"/>
  <c r="AZ710" i="30"/>
  <c r="BA710" i="30"/>
  <c r="B2262" i="1" l="1"/>
  <c r="BD2262" i="1" s="1"/>
  <c r="A2262" i="1"/>
  <c r="BB2262" i="1" l="1"/>
  <c r="BC2262" i="1"/>
  <c r="BB1613" i="1"/>
  <c r="BC1613" i="1"/>
  <c r="BD1613" i="1"/>
  <c r="B1759" i="1" l="1"/>
  <c r="BD1759" i="1" s="1"/>
  <c r="A1759" i="1"/>
  <c r="B1764" i="1"/>
  <c r="A1764" i="1"/>
  <c r="B1761" i="1"/>
  <c r="A1761" i="1"/>
  <c r="B1760" i="1"/>
  <c r="BC1760" i="1" s="1"/>
  <c r="A1760" i="1"/>
  <c r="BD2303" i="1"/>
  <c r="BC2303" i="1"/>
  <c r="BB2303" i="1"/>
  <c r="BB2211" i="1"/>
  <c r="BC2211" i="1"/>
  <c r="BD2211" i="1"/>
  <c r="BB1492" i="1"/>
  <c r="BC1492" i="1"/>
  <c r="BD1492" i="1"/>
  <c r="BC1759" i="1" l="1"/>
  <c r="BB1759" i="1"/>
  <c r="BB1760" i="1"/>
  <c r="BD1760" i="1"/>
  <c r="BB2323" i="1"/>
  <c r="BC2323" i="1"/>
  <c r="BD2323" i="1"/>
  <c r="BB2324" i="1"/>
  <c r="BC2324" i="1"/>
  <c r="BD2324" i="1"/>
  <c r="BB2325" i="1"/>
  <c r="BC2325" i="1"/>
  <c r="BD2325" i="1"/>
  <c r="BD515" i="1"/>
  <c r="BC515" i="1"/>
  <c r="BB515" i="1"/>
  <c r="BB1157" i="1" l="1"/>
  <c r="BC1157" i="1"/>
  <c r="BD1157" i="1"/>
  <c r="BB1621" i="1"/>
  <c r="BC1621" i="1"/>
  <c r="BD1621" i="1"/>
  <c r="B752" i="1" l="1"/>
  <c r="BD752" i="1" s="1"/>
  <c r="A752" i="1"/>
  <c r="B750" i="1"/>
  <c r="BB750" i="1" s="1"/>
  <c r="A750" i="1"/>
  <c r="B751" i="1"/>
  <c r="BC751" i="1" s="1"/>
  <c r="A751" i="1"/>
  <c r="B749" i="1"/>
  <c r="BC749" i="1" s="1"/>
  <c r="A749" i="1"/>
  <c r="BC752" i="1" l="1"/>
  <c r="BB751" i="1"/>
  <c r="BB752" i="1"/>
  <c r="BD750" i="1"/>
  <c r="BD749" i="1"/>
  <c r="BD751" i="1"/>
  <c r="BC750" i="1"/>
  <c r="BB749" i="1"/>
  <c r="BD2529" i="1"/>
  <c r="BC2529" i="1"/>
  <c r="BB2529" i="1"/>
  <c r="BB483" i="1"/>
  <c r="BC483" i="1"/>
  <c r="BD483" i="1"/>
  <c r="BB497" i="1"/>
  <c r="BC497" i="1"/>
  <c r="BD497" i="1"/>
  <c r="X554" i="1" l="1"/>
  <c r="BB1767" i="1" l="1"/>
  <c r="BC1767" i="1"/>
  <c r="BD1767" i="1"/>
  <c r="BB1766" i="1"/>
  <c r="BC1766" i="1"/>
  <c r="BD1766" i="1"/>
  <c r="BD1936" i="1" l="1"/>
  <c r="BC1936" i="1"/>
  <c r="BB1936" i="1"/>
  <c r="BB1354" i="1"/>
  <c r="BC1354" i="1"/>
  <c r="BD1354" i="1"/>
  <c r="A2241" i="1"/>
  <c r="B2241" i="1"/>
  <c r="B2239" i="1"/>
  <c r="B707" i="30" s="1"/>
  <c r="A2239" i="1"/>
  <c r="A707" i="30" s="1"/>
  <c r="BB2256" i="1"/>
  <c r="BC2256" i="1"/>
  <c r="BD2256" i="1"/>
  <c r="BB2206" i="1"/>
  <c r="BC2206" i="1"/>
  <c r="BD2206" i="1"/>
  <c r="BB2192" i="1"/>
  <c r="BC2192" i="1"/>
  <c r="BD2192" i="1"/>
  <c r="BB496" i="1"/>
  <c r="BC496" i="1"/>
  <c r="BD496" i="1"/>
  <c r="X2244" i="1"/>
  <c r="X2243" i="1" s="1"/>
  <c r="X2247" i="1" s="1"/>
  <c r="Y2244" i="1"/>
  <c r="Y2243" i="1" s="1"/>
  <c r="Y2247" i="1" s="1"/>
  <c r="Z2244" i="1"/>
  <c r="Z2243" i="1" s="1"/>
  <c r="Z2247" i="1" s="1"/>
  <c r="AA2244" i="1"/>
  <c r="AA2243" i="1" s="1"/>
  <c r="AA2247" i="1" s="1"/>
  <c r="L2244" i="1"/>
  <c r="L2243" i="1" s="1"/>
  <c r="L2247" i="1" s="1"/>
  <c r="M2244" i="1"/>
  <c r="M2243" i="1" s="1"/>
  <c r="M2247" i="1" s="1"/>
  <c r="N2244" i="1"/>
  <c r="N2243" i="1" s="1"/>
  <c r="N2247" i="1" s="1"/>
  <c r="O2244" i="1"/>
  <c r="O2243" i="1" s="1"/>
  <c r="O2247" i="1" s="1"/>
  <c r="P2244" i="1"/>
  <c r="P2243" i="1" s="1"/>
  <c r="P2247" i="1" s="1"/>
  <c r="Q2244" i="1"/>
  <c r="Q2243" i="1" s="1"/>
  <c r="Q2247" i="1" s="1"/>
  <c r="R2244" i="1"/>
  <c r="R2243" i="1" s="1"/>
  <c r="R2247" i="1" s="1"/>
  <c r="K2244" i="1"/>
  <c r="K2243" i="1" s="1"/>
  <c r="K2247" i="1" s="1"/>
  <c r="T2244" i="1"/>
  <c r="T2243" i="1" s="1"/>
  <c r="T2247" i="1" s="1"/>
  <c r="U2244" i="1"/>
  <c r="U2243" i="1" s="1"/>
  <c r="U2247" i="1" s="1"/>
  <c r="W2244" i="1"/>
  <c r="W2243" i="1" s="1"/>
  <c r="W2247" i="1" s="1"/>
  <c r="AB2244" i="1"/>
  <c r="AB2243" i="1" s="1"/>
  <c r="AB2247" i="1" s="1"/>
  <c r="AC2244" i="1"/>
  <c r="AC2243" i="1" s="1"/>
  <c r="AC2247" i="1" s="1"/>
  <c r="AD2244" i="1"/>
  <c r="AD2243" i="1" s="1"/>
  <c r="AD2247" i="1" s="1"/>
  <c r="AE2244" i="1"/>
  <c r="AE2243" i="1" s="1"/>
  <c r="AE2247" i="1" s="1"/>
  <c r="AF2244" i="1"/>
  <c r="AF2243" i="1" s="1"/>
  <c r="AF2247" i="1" s="1"/>
  <c r="AG2244" i="1"/>
  <c r="AG2243" i="1" s="1"/>
  <c r="AG2247" i="1" s="1"/>
  <c r="AH2244" i="1"/>
  <c r="AH2243" i="1" s="1"/>
  <c r="AH2247" i="1" s="1"/>
  <c r="AI2247" i="1"/>
  <c r="AJ2247" i="1"/>
  <c r="B2224" i="1"/>
  <c r="A2244" i="1"/>
  <c r="B2244" i="1"/>
  <c r="A2243" i="1"/>
  <c r="B2243" i="1"/>
  <c r="BD2243" i="1" s="1"/>
  <c r="AK2248" i="1"/>
  <c r="AK2244" i="1" s="1"/>
  <c r="AK2243" i="1" s="1"/>
  <c r="AK2247" i="1" s="1"/>
  <c r="A2248" i="1"/>
  <c r="B2248" i="1"/>
  <c r="BD2248" i="1" s="1"/>
  <c r="BB2191" i="1"/>
  <c r="BC2191" i="1"/>
  <c r="BD2191" i="1"/>
  <c r="A2" i="57" l="1"/>
  <c r="B2258" i="1" l="1"/>
  <c r="A2258" i="1"/>
  <c r="BB2258" i="1" l="1"/>
  <c r="BC2258" i="1"/>
  <c r="BD2258" i="1"/>
  <c r="B1596" i="1"/>
  <c r="BB1596" i="1" s="1"/>
  <c r="A1596" i="1"/>
  <c r="BB2293" i="1"/>
  <c r="BC2293" i="1"/>
  <c r="BD2293" i="1"/>
  <c r="BD1596" i="1" l="1"/>
  <c r="BC1596" i="1"/>
  <c r="AK721" i="30" l="1"/>
  <c r="AK728" i="30"/>
  <c r="AK722" i="30"/>
  <c r="AK723" i="30"/>
  <c r="AK724" i="30"/>
  <c r="AK725" i="30"/>
  <c r="AK256" i="30"/>
  <c r="AK257" i="30"/>
  <c r="B1630" i="1" l="1"/>
  <c r="BD1630" i="1" s="1"/>
  <c r="A1630" i="1"/>
  <c r="BC1630" i="1" l="1"/>
  <c r="BB1630" i="1"/>
  <c r="B78" i="1" l="1"/>
  <c r="A78" i="1"/>
  <c r="BB78" i="1" l="1"/>
  <c r="BC78" i="1"/>
  <c r="BD78" i="1"/>
  <c r="B2178" i="1"/>
  <c r="BB2178" i="1" s="1"/>
  <c r="A2178" i="1"/>
  <c r="F1014" i="1"/>
  <c r="F1795" i="1"/>
  <c r="BB1614" i="1"/>
  <c r="BC1614" i="1"/>
  <c r="BD1614" i="1"/>
  <c r="BB1788" i="1"/>
  <c r="BC1788" i="1"/>
  <c r="BD1788" i="1"/>
  <c r="B2414" i="1"/>
  <c r="A2414" i="1"/>
  <c r="B2415" i="1"/>
  <c r="A2415" i="1"/>
  <c r="BB2420" i="1"/>
  <c r="BC2420" i="1"/>
  <c r="BD2420" i="1"/>
  <c r="BB1952" i="1"/>
  <c r="BC1952" i="1"/>
  <c r="BD1952" i="1"/>
  <c r="A2266" i="1"/>
  <c r="B2266" i="1"/>
  <c r="BB2266" i="1" s="1"/>
  <c r="BD2178" i="1" l="1"/>
  <c r="BC2178" i="1"/>
  <c r="BC2266" i="1"/>
  <c r="BD2266" i="1"/>
  <c r="BB1611" i="1"/>
  <c r="BC1611" i="1"/>
  <c r="BD1611" i="1"/>
  <c r="B822" i="1"/>
  <c r="A822" i="1"/>
  <c r="BB330" i="1" l="1"/>
  <c r="BC330" i="1"/>
  <c r="BD330" i="1"/>
  <c r="BB2521" i="1" l="1"/>
  <c r="BC2521" i="1"/>
  <c r="BD2521" i="1"/>
  <c r="BD2322" i="1"/>
  <c r="BC2322" i="1"/>
  <c r="BB2322" i="1"/>
  <c r="BB2318" i="1"/>
  <c r="BC2318" i="1"/>
  <c r="BD2318" i="1"/>
  <c r="BB1935" i="1"/>
  <c r="BC1935" i="1"/>
  <c r="BD1935" i="1"/>
  <c r="BB1910" i="1"/>
  <c r="BC1910" i="1"/>
  <c r="BD1910" i="1"/>
  <c r="BD1601" i="1"/>
  <c r="BC1601" i="1"/>
  <c r="BB1601" i="1"/>
  <c r="BB1590" i="1"/>
  <c r="BC1590" i="1"/>
  <c r="BD1590" i="1"/>
  <c r="BB1517" i="1"/>
  <c r="BC1517" i="1"/>
  <c r="BD1517" i="1"/>
  <c r="BB467" i="1"/>
  <c r="BC467" i="1"/>
  <c r="BD467" i="1"/>
  <c r="BB329" i="1"/>
  <c r="BC329" i="1"/>
  <c r="BD329" i="1"/>
  <c r="BB314" i="1"/>
  <c r="BC314" i="1"/>
  <c r="BD314" i="1"/>
  <c r="BB315" i="1"/>
  <c r="BC315" i="1"/>
  <c r="BD315" i="1"/>
  <c r="BB1512" i="1"/>
  <c r="BC1512" i="1"/>
  <c r="BD1512" i="1"/>
  <c r="BB1513" i="1"/>
  <c r="BC1513" i="1"/>
  <c r="BD1513" i="1"/>
  <c r="BB1514" i="1"/>
  <c r="BC1514" i="1"/>
  <c r="BD1514" i="1"/>
  <c r="BB1204" i="1"/>
  <c r="BC1204" i="1"/>
  <c r="BD1204" i="1"/>
  <c r="BD618" i="1" l="1"/>
  <c r="BC618" i="1"/>
  <c r="BB618" i="1"/>
  <c r="BD617" i="1"/>
  <c r="BC617" i="1"/>
  <c r="BB617" i="1"/>
  <c r="BB616" i="1"/>
  <c r="BC616" i="1"/>
  <c r="BD616" i="1"/>
  <c r="BB27" i="1"/>
  <c r="BC27" i="1"/>
  <c r="BD27" i="1"/>
  <c r="BB55" i="1"/>
  <c r="BC55" i="1"/>
  <c r="BD55" i="1"/>
  <c r="BB63" i="1"/>
  <c r="BC63" i="1"/>
  <c r="BD63" i="1"/>
  <c r="BB128" i="1"/>
  <c r="BC128" i="1"/>
  <c r="BD128" i="1"/>
  <c r="BB143" i="1"/>
  <c r="BC143" i="1"/>
  <c r="BD143" i="1"/>
  <c r="BB216" i="1"/>
  <c r="BC216" i="1"/>
  <c r="BD216" i="1"/>
  <c r="BB231" i="1"/>
  <c r="BC231" i="1"/>
  <c r="BD231" i="1"/>
  <c r="BB247" i="1"/>
  <c r="BC247" i="1"/>
  <c r="BD247" i="1"/>
  <c r="BB274" i="1"/>
  <c r="BC274" i="1"/>
  <c r="BD274" i="1"/>
  <c r="BB275" i="1"/>
  <c r="BC275" i="1"/>
  <c r="BD275" i="1"/>
  <c r="BB289" i="1"/>
  <c r="BC289" i="1"/>
  <c r="BD289" i="1"/>
  <c r="BB291" i="1"/>
  <c r="BC291" i="1"/>
  <c r="BD291" i="1"/>
  <c r="BB292" i="1"/>
  <c r="BC292" i="1"/>
  <c r="BD292" i="1"/>
  <c r="BB294" i="1"/>
  <c r="BC294" i="1"/>
  <c r="BD294" i="1"/>
  <c r="BB296" i="1"/>
  <c r="BC296" i="1"/>
  <c r="BD296" i="1"/>
  <c r="BB299" i="1"/>
  <c r="BC299" i="1"/>
  <c r="BD299" i="1"/>
  <c r="BB300" i="1"/>
  <c r="BC300" i="1"/>
  <c r="BD300" i="1"/>
  <c r="BB301" i="1"/>
  <c r="BC301" i="1"/>
  <c r="BD301" i="1"/>
  <c r="BB302" i="1"/>
  <c r="BC302" i="1"/>
  <c r="BD302" i="1"/>
  <c r="BB303" i="1"/>
  <c r="BC303" i="1"/>
  <c r="BD303" i="1"/>
  <c r="BB304" i="1"/>
  <c r="BC304" i="1"/>
  <c r="BD304" i="1"/>
  <c r="BB305" i="1"/>
  <c r="BC305" i="1"/>
  <c r="BD305" i="1"/>
  <c r="BB306" i="1"/>
  <c r="BC306" i="1"/>
  <c r="BD306" i="1"/>
  <c r="BB307" i="1"/>
  <c r="BC307" i="1"/>
  <c r="BD307" i="1"/>
  <c r="BB308" i="1"/>
  <c r="BC308" i="1"/>
  <c r="BD308" i="1"/>
  <c r="BB309" i="1"/>
  <c r="BC309" i="1"/>
  <c r="BD309" i="1"/>
  <c r="BB310" i="1"/>
  <c r="BC310" i="1"/>
  <c r="BD310" i="1"/>
  <c r="BB311" i="1"/>
  <c r="BC311" i="1"/>
  <c r="BD311" i="1"/>
  <c r="BB312" i="1"/>
  <c r="BC312" i="1"/>
  <c r="BD312" i="1"/>
  <c r="BB313" i="1"/>
  <c r="BC313" i="1"/>
  <c r="BD313" i="1"/>
  <c r="BB316" i="1"/>
  <c r="BC316" i="1"/>
  <c r="BD316" i="1"/>
  <c r="BB317" i="1"/>
  <c r="BC317" i="1"/>
  <c r="BD317" i="1"/>
  <c r="BB318" i="1"/>
  <c r="BC318" i="1"/>
  <c r="BD318" i="1"/>
  <c r="BB319" i="1"/>
  <c r="BC319" i="1"/>
  <c r="BD319" i="1"/>
  <c r="BB321" i="1"/>
  <c r="BC321" i="1"/>
  <c r="BD321" i="1"/>
  <c r="BB326" i="1"/>
  <c r="BC326" i="1"/>
  <c r="BD326" i="1"/>
  <c r="BB331" i="1"/>
  <c r="BC331" i="1"/>
  <c r="BD331" i="1"/>
  <c r="BB468" i="1"/>
  <c r="BC468" i="1"/>
  <c r="BD468" i="1"/>
  <c r="BB469" i="1"/>
  <c r="BC469" i="1"/>
  <c r="BD469" i="1"/>
  <c r="BB471" i="1"/>
  <c r="BC471" i="1"/>
  <c r="BD471" i="1"/>
  <c r="BB472" i="1"/>
  <c r="BC472" i="1"/>
  <c r="BD472" i="1"/>
  <c r="BB473" i="1"/>
  <c r="BC473" i="1"/>
  <c r="BD473" i="1"/>
  <c r="BB475" i="1"/>
  <c r="BC475" i="1"/>
  <c r="BD475" i="1"/>
  <c r="BB477" i="1"/>
  <c r="BC477" i="1"/>
  <c r="BD477" i="1"/>
  <c r="BB485" i="1"/>
  <c r="BC485" i="1"/>
  <c r="BD485" i="1"/>
  <c r="BB489" i="1"/>
  <c r="BC489" i="1"/>
  <c r="BD489" i="1"/>
  <c r="BB490" i="1"/>
  <c r="BC490" i="1"/>
  <c r="BD490" i="1"/>
  <c r="BB491" i="1"/>
  <c r="BC491" i="1"/>
  <c r="BD491" i="1"/>
  <c r="BB492" i="1"/>
  <c r="BC492" i="1"/>
  <c r="BD492" i="1"/>
  <c r="BB493" i="1"/>
  <c r="BC493" i="1"/>
  <c r="BD493" i="1"/>
  <c r="BB494" i="1"/>
  <c r="BC494" i="1"/>
  <c r="BD494" i="1"/>
  <c r="BB495" i="1"/>
  <c r="BC495" i="1"/>
  <c r="BD495" i="1"/>
  <c r="BB498" i="1"/>
  <c r="BC498" i="1"/>
  <c r="BD498" i="1"/>
  <c r="BB499" i="1"/>
  <c r="BC499" i="1"/>
  <c r="BD499" i="1"/>
  <c r="BB504" i="1"/>
  <c r="BC504" i="1"/>
  <c r="BD504" i="1"/>
  <c r="BB505" i="1"/>
  <c r="BC505" i="1"/>
  <c r="BD505" i="1"/>
  <c r="BB506" i="1"/>
  <c r="BC506" i="1"/>
  <c r="BD506" i="1"/>
  <c r="BB507" i="1"/>
  <c r="BC507" i="1"/>
  <c r="BD507" i="1"/>
  <c r="BB510" i="1"/>
  <c r="BC510" i="1"/>
  <c r="BD510" i="1"/>
  <c r="BB511" i="1"/>
  <c r="BC511" i="1"/>
  <c r="BD511" i="1"/>
  <c r="BB512" i="1"/>
  <c r="BC512" i="1"/>
  <c r="BD512" i="1"/>
  <c r="BB513" i="1"/>
  <c r="BC513" i="1"/>
  <c r="BD513" i="1"/>
  <c r="BB523" i="1"/>
  <c r="BC523" i="1"/>
  <c r="BD523" i="1"/>
  <c r="BB524" i="1"/>
  <c r="BC524" i="1"/>
  <c r="BD524" i="1"/>
  <c r="BB526" i="1"/>
  <c r="BC526" i="1"/>
  <c r="BD526" i="1"/>
  <c r="BB525" i="1"/>
  <c r="BC525" i="1"/>
  <c r="BD525" i="1"/>
  <c r="BB527" i="1"/>
  <c r="BC527" i="1"/>
  <c r="BD527" i="1"/>
  <c r="BB518" i="1"/>
  <c r="BC518" i="1"/>
  <c r="BD518" i="1"/>
  <c r="BB528" i="1"/>
  <c r="BC528" i="1"/>
  <c r="BD528" i="1"/>
  <c r="BB529" i="1"/>
  <c r="BC529" i="1"/>
  <c r="BD529" i="1"/>
  <c r="BB530" i="1"/>
  <c r="BC530" i="1"/>
  <c r="BD530" i="1"/>
  <c r="BB536" i="1"/>
  <c r="BC536" i="1"/>
  <c r="BD536" i="1"/>
  <c r="BB543" i="1"/>
  <c r="BC543" i="1"/>
  <c r="BD543" i="1"/>
  <c r="BB544" i="1"/>
  <c r="BC544" i="1"/>
  <c r="BD544" i="1"/>
  <c r="BB552" i="1"/>
  <c r="BC552" i="1"/>
  <c r="BD552" i="1"/>
  <c r="BB553" i="1"/>
  <c r="BC553" i="1"/>
  <c r="BD553" i="1"/>
  <c r="BB562" i="1"/>
  <c r="BC562" i="1"/>
  <c r="BD562" i="1"/>
  <c r="BB563" i="1"/>
  <c r="BC563" i="1"/>
  <c r="BD563" i="1"/>
  <c r="BB564" i="1"/>
  <c r="BC564" i="1"/>
  <c r="BD564" i="1"/>
  <c r="BB567" i="1"/>
  <c r="BC567" i="1"/>
  <c r="BD567" i="1"/>
  <c r="BB568" i="1"/>
  <c r="BC568" i="1"/>
  <c r="BD568" i="1"/>
  <c r="F1797" i="1"/>
  <c r="BB1714" i="1" l="1"/>
  <c r="BC1714" i="1"/>
  <c r="BD1714" i="1"/>
  <c r="C158" i="30" l="1"/>
  <c r="D158" i="30"/>
  <c r="E158" i="30"/>
  <c r="F158" i="30"/>
  <c r="G158" i="30"/>
  <c r="H158" i="30"/>
  <c r="I158" i="30"/>
  <c r="J158" i="30"/>
  <c r="K158" i="30"/>
  <c r="L158" i="30"/>
  <c r="M158" i="30"/>
  <c r="N158" i="30"/>
  <c r="O158" i="30"/>
  <c r="P158" i="30"/>
  <c r="Q158" i="30"/>
  <c r="R158" i="30"/>
  <c r="S158" i="30"/>
  <c r="T158" i="30"/>
  <c r="U158" i="30"/>
  <c r="V158" i="30"/>
  <c r="W158" i="30"/>
  <c r="AL158" i="30"/>
  <c r="AM158" i="30"/>
  <c r="AN158" i="30"/>
  <c r="AO158" i="30"/>
  <c r="AP158" i="30"/>
  <c r="AQ158" i="30"/>
  <c r="AV158" i="30"/>
  <c r="BA158" i="30"/>
  <c r="AK558" i="1"/>
  <c r="AK162" i="30" s="1"/>
  <c r="AK556" i="1"/>
  <c r="AK160" i="30" s="1"/>
  <c r="AK559" i="1"/>
  <c r="AK163" i="30" s="1"/>
  <c r="AE1042" i="1" l="1"/>
  <c r="AF1042" i="1"/>
  <c r="AG1042" i="1"/>
  <c r="AH1042" i="1"/>
  <c r="AI1042" i="1"/>
  <c r="AJ1042" i="1"/>
  <c r="G1042" i="1"/>
  <c r="F422" i="61"/>
  <c r="F421" i="61"/>
  <c r="W934" i="1"/>
  <c r="X934" i="1"/>
  <c r="Y934" i="1"/>
  <c r="Z934" i="1"/>
  <c r="AA934" i="1"/>
  <c r="AB934" i="1"/>
  <c r="AC934" i="1"/>
  <c r="AD934" i="1"/>
  <c r="AE934" i="1"/>
  <c r="AF934" i="1"/>
  <c r="AG934" i="1"/>
  <c r="AH934" i="1"/>
  <c r="AI934" i="1"/>
  <c r="AJ934" i="1"/>
  <c r="AK934" i="1"/>
  <c r="F420" i="61" s="1"/>
  <c r="B934" i="1"/>
  <c r="BC934" i="1" s="1"/>
  <c r="A934" i="1"/>
  <c r="D934" i="1"/>
  <c r="E934" i="1"/>
  <c r="F934" i="1"/>
  <c r="G934" i="1"/>
  <c r="AK921" i="1"/>
  <c r="F419" i="61" s="1"/>
  <c r="I418" i="61"/>
  <c r="I428" i="61" s="1"/>
  <c r="AK738" i="30"/>
  <c r="AK739" i="30"/>
  <c r="AK740" i="30"/>
  <c r="AK735" i="30"/>
  <c r="AK734" i="30"/>
  <c r="AK733" i="30"/>
  <c r="AK730" i="30"/>
  <c r="AK727" i="30"/>
  <c r="W718" i="30"/>
  <c r="X718" i="30"/>
  <c r="Y718" i="30"/>
  <c r="Z718" i="30"/>
  <c r="AA718" i="30"/>
  <c r="AB718" i="30"/>
  <c r="AC718" i="30"/>
  <c r="AD718" i="30"/>
  <c r="AE718" i="30"/>
  <c r="AF718" i="30"/>
  <c r="AG718" i="30"/>
  <c r="AH718" i="30"/>
  <c r="AI718" i="30"/>
  <c r="AJ718" i="30"/>
  <c r="AK718" i="30"/>
  <c r="AK2257" i="1"/>
  <c r="AK2259" i="1"/>
  <c r="AK712" i="30" s="1"/>
  <c r="AJ2271" i="1"/>
  <c r="AK2271" i="1"/>
  <c r="B2366" i="1"/>
  <c r="BB2366" i="1" s="1"/>
  <c r="A2366" i="1"/>
  <c r="AK2260" i="1" l="1"/>
  <c r="AK713" i="30" s="1"/>
  <c r="BD2366" i="1"/>
  <c r="BD934" i="1"/>
  <c r="AK711" i="30"/>
  <c r="BC2366" i="1"/>
  <c r="B532" i="1"/>
  <c r="A532" i="1"/>
  <c r="BC532" i="1" l="1"/>
  <c r="BD532" i="1"/>
  <c r="BB532" i="1"/>
  <c r="A1216" i="1"/>
  <c r="B1216" i="1"/>
  <c r="BD1216" i="1" s="1"/>
  <c r="AK965" i="1"/>
  <c r="B441" i="61"/>
  <c r="C441" i="61"/>
  <c r="D441" i="61"/>
  <c r="B2396" i="1"/>
  <c r="BC2396" i="1" s="1"/>
  <c r="A2396" i="1"/>
  <c r="BB1799" i="1"/>
  <c r="BC1799" i="1"/>
  <c r="BD1799" i="1"/>
  <c r="D1799" i="1"/>
  <c r="E1799" i="1"/>
  <c r="F1799" i="1"/>
  <c r="BB1798" i="1"/>
  <c r="BC1798" i="1"/>
  <c r="BD1798" i="1"/>
  <c r="D1798" i="1"/>
  <c r="E1798" i="1"/>
  <c r="D1794" i="1"/>
  <c r="E1794" i="1"/>
  <c r="D1795" i="1"/>
  <c r="E1795" i="1"/>
  <c r="D1796" i="1"/>
  <c r="E1796" i="1"/>
  <c r="F1796" i="1"/>
  <c r="D1797" i="1"/>
  <c r="E1797" i="1"/>
  <c r="D1800" i="1"/>
  <c r="E1800" i="1"/>
  <c r="F1800" i="1"/>
  <c r="BC1216" i="1" l="1"/>
  <c r="BB1216" i="1"/>
  <c r="BB2396" i="1"/>
  <c r="BD2396" i="1"/>
  <c r="B2519" i="1"/>
  <c r="BB2519" i="1" s="1"/>
  <c r="A2519" i="1"/>
  <c r="C381" i="30"/>
  <c r="H381" i="30"/>
  <c r="I381" i="30"/>
  <c r="J381" i="30"/>
  <c r="K381" i="30"/>
  <c r="L381" i="30"/>
  <c r="M381" i="30"/>
  <c r="N381" i="30"/>
  <c r="O381" i="30"/>
  <c r="P381" i="30"/>
  <c r="Q381" i="30"/>
  <c r="R381" i="30"/>
  <c r="S381" i="30"/>
  <c r="T381" i="30"/>
  <c r="U381" i="30"/>
  <c r="V381" i="30"/>
  <c r="W381" i="30"/>
  <c r="X381" i="30"/>
  <c r="Y381" i="30"/>
  <c r="Z381" i="30"/>
  <c r="AA381" i="30"/>
  <c r="AB381" i="30"/>
  <c r="AC381" i="30"/>
  <c r="AD381" i="30"/>
  <c r="AL381" i="30"/>
  <c r="AM381" i="30"/>
  <c r="AN381" i="30"/>
  <c r="AO381" i="30"/>
  <c r="AP381" i="30"/>
  <c r="AQ381" i="30"/>
  <c r="AV381" i="30"/>
  <c r="BA381" i="30"/>
  <c r="BB677" i="1"/>
  <c r="BC677" i="1"/>
  <c r="BD677" i="1"/>
  <c r="C346" i="30"/>
  <c r="H346" i="30"/>
  <c r="I346" i="30"/>
  <c r="J346" i="30"/>
  <c r="K346" i="30"/>
  <c r="L346" i="30"/>
  <c r="M346" i="30"/>
  <c r="N346" i="30"/>
  <c r="O346" i="30"/>
  <c r="P346" i="30"/>
  <c r="Q346" i="30"/>
  <c r="R346" i="30"/>
  <c r="S346" i="30"/>
  <c r="T346" i="30"/>
  <c r="U346" i="30"/>
  <c r="V346" i="30"/>
  <c r="AL346" i="30"/>
  <c r="AM346" i="30"/>
  <c r="AN346" i="30"/>
  <c r="AO346" i="30"/>
  <c r="AP346" i="30"/>
  <c r="AQ346" i="30"/>
  <c r="AV346" i="30"/>
  <c r="BA346" i="30"/>
  <c r="C344" i="30"/>
  <c r="H344" i="30"/>
  <c r="I344" i="30"/>
  <c r="J344" i="30"/>
  <c r="K344" i="30"/>
  <c r="L344" i="30"/>
  <c r="S344" i="30"/>
  <c r="V344" i="30"/>
  <c r="AL344" i="30"/>
  <c r="AM344" i="30"/>
  <c r="AN344" i="30"/>
  <c r="AO344" i="30"/>
  <c r="AP344" i="30"/>
  <c r="AQ344" i="30"/>
  <c r="AV344" i="30"/>
  <c r="BA344" i="30"/>
  <c r="G868" i="1"/>
  <c r="G346" i="30" s="1"/>
  <c r="F868" i="1"/>
  <c r="F346" i="30" s="1"/>
  <c r="E868" i="1"/>
  <c r="E346" i="30" s="1"/>
  <c r="D868" i="1"/>
  <c r="D346" i="30" s="1"/>
  <c r="B868" i="1"/>
  <c r="BD868" i="1" s="1"/>
  <c r="BD346" i="30" s="1"/>
  <c r="A868" i="1"/>
  <c r="A346" i="30" s="1"/>
  <c r="W862" i="1"/>
  <c r="W868" i="1" s="1"/>
  <c r="W346" i="30" s="1"/>
  <c r="X862" i="1"/>
  <c r="X868" i="1" s="1"/>
  <c r="X346" i="30" s="1"/>
  <c r="Y862" i="1"/>
  <c r="Y868" i="1" s="1"/>
  <c r="Y346" i="30" s="1"/>
  <c r="Z862" i="1"/>
  <c r="Z866" i="1" s="1"/>
  <c r="Z344" i="30" s="1"/>
  <c r="AA862" i="1"/>
  <c r="AA866" i="1" s="1"/>
  <c r="AA344" i="30" s="1"/>
  <c r="AB862" i="1"/>
  <c r="AB868" i="1" s="1"/>
  <c r="AB346" i="30" s="1"/>
  <c r="AC862" i="1"/>
  <c r="AC866" i="1" s="1"/>
  <c r="AC344" i="30" s="1"/>
  <c r="U862" i="1"/>
  <c r="U866" i="1" s="1"/>
  <c r="U344" i="30" s="1"/>
  <c r="T862" i="1"/>
  <c r="T866" i="1" s="1"/>
  <c r="T344" i="30" s="1"/>
  <c r="Q862" i="1"/>
  <c r="Q866" i="1" s="1"/>
  <c r="Q344" i="30" s="1"/>
  <c r="R862" i="1"/>
  <c r="R866" i="1" s="1"/>
  <c r="R344" i="30" s="1"/>
  <c r="P862" i="1"/>
  <c r="P866" i="1" s="1"/>
  <c r="P344" i="30" s="1"/>
  <c r="A866" i="1"/>
  <c r="A344" i="30" s="1"/>
  <c r="B866" i="1"/>
  <c r="BC866" i="1" s="1"/>
  <c r="BC344" i="30" s="1"/>
  <c r="D866" i="1"/>
  <c r="D344" i="30" s="1"/>
  <c r="E866" i="1"/>
  <c r="E344" i="30" s="1"/>
  <c r="F866" i="1"/>
  <c r="F344" i="30" s="1"/>
  <c r="G866" i="1"/>
  <c r="G344" i="30" s="1"/>
  <c r="J20" i="57"/>
  <c r="O20" i="57" s="1"/>
  <c r="S20" i="57" s="1"/>
  <c r="AU20" i="57"/>
  <c r="BD20" i="57" s="1"/>
  <c r="BH20" i="57" s="1"/>
  <c r="BL20" i="57" s="1"/>
  <c r="BP20" i="57"/>
  <c r="BU20" i="57"/>
  <c r="CC20" i="57"/>
  <c r="AK1755" i="1"/>
  <c r="B1755" i="1"/>
  <c r="A1755" i="1"/>
  <c r="B1754" i="1"/>
  <c r="BD1754" i="1" s="1"/>
  <c r="A1754" i="1"/>
  <c r="Z868" i="1" l="1"/>
  <c r="Z346" i="30" s="1"/>
  <c r="X866" i="1"/>
  <c r="X344" i="30" s="1"/>
  <c r="BD2519" i="1"/>
  <c r="BC2519" i="1"/>
  <c r="AC868" i="1"/>
  <c r="AC346" i="30" s="1"/>
  <c r="Y866" i="1"/>
  <c r="Y344" i="30" s="1"/>
  <c r="W866" i="1"/>
  <c r="W344" i="30" s="1"/>
  <c r="AB866" i="1"/>
  <c r="AB344" i="30" s="1"/>
  <c r="AA868" i="1"/>
  <c r="AA346" i="30" s="1"/>
  <c r="B344" i="30"/>
  <c r="B346" i="30"/>
  <c r="BB868" i="1"/>
  <c r="BB346" i="30" s="1"/>
  <c r="BC868" i="1"/>
  <c r="BC346" i="30" s="1"/>
  <c r="BB866" i="1"/>
  <c r="BB344" i="30" s="1"/>
  <c r="BD866" i="1"/>
  <c r="BD344" i="30" s="1"/>
  <c r="W20" i="57"/>
  <c r="AA20" i="57" s="1"/>
  <c r="AE20" i="57"/>
  <c r="BY20" i="57"/>
  <c r="BB1754" i="1"/>
  <c r="BC1754" i="1"/>
  <c r="B2518" i="1"/>
  <c r="BB2518" i="1" s="1"/>
  <c r="A2518" i="1"/>
  <c r="BD2518" i="1" l="1"/>
  <c r="BC2518" i="1"/>
  <c r="BB1679" i="1"/>
  <c r="BC1679" i="1"/>
  <c r="BD1679" i="1"/>
  <c r="K56" i="30"/>
  <c r="L56" i="30"/>
  <c r="M56" i="30"/>
  <c r="N56" i="30"/>
  <c r="O56" i="30"/>
  <c r="P56" i="30"/>
  <c r="Q56" i="30"/>
  <c r="S56" i="30"/>
  <c r="R56" i="30"/>
  <c r="T56" i="30"/>
  <c r="U56" i="30"/>
  <c r="W56" i="30"/>
  <c r="X56" i="30"/>
  <c r="Y56" i="30"/>
  <c r="Z56" i="30"/>
  <c r="AA56" i="30"/>
  <c r="AB56" i="30"/>
  <c r="AC56" i="30"/>
  <c r="AD56" i="30"/>
  <c r="AE56" i="30"/>
  <c r="AF56" i="30"/>
  <c r="AG56" i="30"/>
  <c r="AH56" i="30"/>
  <c r="AI56" i="30"/>
  <c r="AJ56" i="30"/>
  <c r="AK169" i="1"/>
  <c r="B262" i="61" l="1"/>
  <c r="D262" i="61" s="1"/>
  <c r="B1224" i="1"/>
  <c r="BB1224" i="1" s="1"/>
  <c r="B1223" i="1"/>
  <c r="BB1223" i="1" s="1"/>
  <c r="A1224" i="1"/>
  <c r="A1223" i="1"/>
  <c r="D1223" i="1"/>
  <c r="E1223" i="1"/>
  <c r="G1223" i="1"/>
  <c r="D1224" i="1"/>
  <c r="E1224" i="1"/>
  <c r="F1224" i="1"/>
  <c r="G1224" i="1"/>
  <c r="AK1067" i="1"/>
  <c r="B1072" i="1"/>
  <c r="B1071" i="1"/>
  <c r="B1070" i="1"/>
  <c r="B1069" i="1"/>
  <c r="B1068" i="1"/>
  <c r="B1067" i="1"/>
  <c r="A1072" i="1"/>
  <c r="A1071" i="1"/>
  <c r="A1070" i="1"/>
  <c r="A1069" i="1"/>
  <c r="A1068" i="1"/>
  <c r="A1067" i="1"/>
  <c r="D1070" i="1"/>
  <c r="E1070" i="1"/>
  <c r="F1070" i="1"/>
  <c r="G1070" i="1"/>
  <c r="D1072" i="1"/>
  <c r="E1072" i="1"/>
  <c r="F1072" i="1"/>
  <c r="G1072" i="1"/>
  <c r="F1068" i="1"/>
  <c r="G1068" i="1"/>
  <c r="D1069" i="1"/>
  <c r="E1069" i="1"/>
  <c r="F1069" i="1"/>
  <c r="G1069" i="1"/>
  <c r="D1071" i="1"/>
  <c r="BD1071" i="1" s="1"/>
  <c r="E1071" i="1"/>
  <c r="F1071" i="1"/>
  <c r="G1071" i="1"/>
  <c r="F1067" i="1"/>
  <c r="G1067" i="1"/>
  <c r="B1066" i="1"/>
  <c r="B1065" i="1"/>
  <c r="A1066" i="1"/>
  <c r="A1065" i="1"/>
  <c r="A1064" i="1"/>
  <c r="B1064" i="1"/>
  <c r="B1063" i="1"/>
  <c r="A1063" i="1"/>
  <c r="AK963" i="1"/>
  <c r="B968" i="1"/>
  <c r="BB968" i="1" s="1"/>
  <c r="B966" i="1"/>
  <c r="BB966" i="1" s="1"/>
  <c r="B964" i="1"/>
  <c r="BC964" i="1" s="1"/>
  <c r="B967" i="1"/>
  <c r="BB967" i="1" s="1"/>
  <c r="B965" i="1"/>
  <c r="BD965" i="1" s="1"/>
  <c r="B963" i="1"/>
  <c r="BC963" i="1" s="1"/>
  <c r="A968" i="1"/>
  <c r="A966" i="1"/>
  <c r="A964" i="1"/>
  <c r="A967" i="1"/>
  <c r="A965" i="1"/>
  <c r="A963" i="1"/>
  <c r="D968" i="1"/>
  <c r="E968" i="1"/>
  <c r="F968" i="1"/>
  <c r="G968" i="1"/>
  <c r="D966" i="1"/>
  <c r="E966" i="1"/>
  <c r="F966" i="1"/>
  <c r="G966" i="1"/>
  <c r="D964" i="1"/>
  <c r="E964" i="1"/>
  <c r="F964" i="1"/>
  <c r="G964" i="1"/>
  <c r="D963" i="1"/>
  <c r="E963" i="1"/>
  <c r="F963" i="1"/>
  <c r="G963" i="1"/>
  <c r="D967" i="1"/>
  <c r="E967" i="1"/>
  <c r="F967" i="1"/>
  <c r="G967" i="1"/>
  <c r="D965" i="1"/>
  <c r="E965" i="1"/>
  <c r="F965" i="1"/>
  <c r="G965" i="1"/>
  <c r="AE1034" i="1"/>
  <c r="AE1037" i="1" s="1"/>
  <c r="AF1034" i="1"/>
  <c r="AF1037" i="1" s="1"/>
  <c r="AG1034" i="1"/>
  <c r="AG1037" i="1" s="1"/>
  <c r="AH1034" i="1"/>
  <c r="AH1037" i="1" s="1"/>
  <c r="AI1034" i="1"/>
  <c r="AI1037" i="1" s="1"/>
  <c r="AJ1034" i="1"/>
  <c r="AJ1037" i="1" s="1"/>
  <c r="AE1033" i="1"/>
  <c r="AE1036" i="1" s="1"/>
  <c r="AF1033" i="1"/>
  <c r="AF1036" i="1" s="1"/>
  <c r="AG1033" i="1"/>
  <c r="AG1036" i="1" s="1"/>
  <c r="AH1033" i="1"/>
  <c r="AH1036" i="1" s="1"/>
  <c r="AI1033" i="1"/>
  <c r="AI1036" i="1" s="1"/>
  <c r="AJ1033" i="1"/>
  <c r="AJ1036" i="1" s="1"/>
  <c r="B1037" i="1"/>
  <c r="B1036" i="1"/>
  <c r="A1037" i="1"/>
  <c r="A1036" i="1"/>
  <c r="D1037" i="1"/>
  <c r="E1037" i="1"/>
  <c r="F1037" i="1"/>
  <c r="G1037" i="1"/>
  <c r="D1036" i="1"/>
  <c r="E1036" i="1"/>
  <c r="F1036" i="1"/>
  <c r="G1036" i="1"/>
  <c r="B1034" i="1"/>
  <c r="B1033" i="1"/>
  <c r="BB1033" i="1" s="1"/>
  <c r="A1034" i="1"/>
  <c r="A1033" i="1"/>
  <c r="A1035" i="1"/>
  <c r="B1035" i="1"/>
  <c r="D1034" i="1"/>
  <c r="E1034" i="1"/>
  <c r="F1034" i="1"/>
  <c r="G1034" i="1"/>
  <c r="D1033" i="1"/>
  <c r="E1033" i="1"/>
  <c r="F1033" i="1"/>
  <c r="G1033" i="1"/>
  <c r="BD1101" i="1" l="1"/>
  <c r="BC1101" i="1"/>
  <c r="BB1101" i="1"/>
  <c r="BD1102" i="1"/>
  <c r="BC1102" i="1"/>
  <c r="BB1102" i="1"/>
  <c r="BD1100" i="1"/>
  <c r="BB1100" i="1"/>
  <c r="BC1100" i="1"/>
  <c r="BD1098" i="1"/>
  <c r="BC1098" i="1"/>
  <c r="BB1098" i="1"/>
  <c r="BD1095" i="1"/>
  <c r="BB1095" i="1"/>
  <c r="BC1095" i="1"/>
  <c r="BD1223" i="1"/>
  <c r="BC1223" i="1"/>
  <c r="BD1224" i="1"/>
  <c r="BC1072" i="1"/>
  <c r="BB1070" i="1"/>
  <c r="BC1224" i="1"/>
  <c r="BC1069" i="1"/>
  <c r="BB1072" i="1"/>
  <c r="BD1070" i="1"/>
  <c r="BD1072" i="1"/>
  <c r="BB1069" i="1"/>
  <c r="BC1070" i="1"/>
  <c r="BB1071" i="1"/>
  <c r="BC1071" i="1"/>
  <c r="BD1069" i="1"/>
  <c r="BB964" i="1"/>
  <c r="BD967" i="1"/>
  <c r="BC1033" i="1"/>
  <c r="BC965" i="1"/>
  <c r="BB963" i="1"/>
  <c r="BD966" i="1"/>
  <c r="BD964" i="1"/>
  <c r="BC967" i="1"/>
  <c r="BB965" i="1"/>
  <c r="BD968" i="1"/>
  <c r="BC966" i="1"/>
  <c r="BD963" i="1"/>
  <c r="BC968" i="1"/>
  <c r="BD1033" i="1"/>
  <c r="B885" i="1"/>
  <c r="BB885" i="1" s="1"/>
  <c r="B884" i="1"/>
  <c r="BB884" i="1" s="1"/>
  <c r="A885" i="1"/>
  <c r="A884" i="1"/>
  <c r="D885" i="1"/>
  <c r="E885" i="1"/>
  <c r="F885" i="1"/>
  <c r="G885" i="1"/>
  <c r="D884" i="1"/>
  <c r="E884" i="1"/>
  <c r="F884" i="1"/>
  <c r="G884" i="1"/>
  <c r="AK981" i="1"/>
  <c r="B983" i="1"/>
  <c r="BB983" i="1" s="1"/>
  <c r="B982" i="1"/>
  <c r="BB982" i="1" s="1"/>
  <c r="A983" i="1"/>
  <c r="A982" i="1"/>
  <c r="D983" i="1"/>
  <c r="E983" i="1"/>
  <c r="F983" i="1"/>
  <c r="G983" i="1"/>
  <c r="D982" i="1"/>
  <c r="E982" i="1"/>
  <c r="F982" i="1"/>
  <c r="G982" i="1"/>
  <c r="AK918" i="1"/>
  <c r="AK885" i="1" s="1"/>
  <c r="AK1224" i="1" s="1"/>
  <c r="D393" i="61" s="1"/>
  <c r="AK917" i="1"/>
  <c r="B918" i="1"/>
  <c r="BD918" i="1" s="1"/>
  <c r="B917" i="1"/>
  <c r="BD917" i="1" s="1"/>
  <c r="B916" i="1"/>
  <c r="BC916" i="1" s="1"/>
  <c r="A918" i="1"/>
  <c r="A917" i="1"/>
  <c r="A916" i="1"/>
  <c r="E916" i="1"/>
  <c r="F916" i="1"/>
  <c r="G916" i="1"/>
  <c r="D918" i="1"/>
  <c r="E918" i="1"/>
  <c r="F918" i="1"/>
  <c r="G918" i="1"/>
  <c r="D917" i="1"/>
  <c r="E917" i="1"/>
  <c r="F917" i="1"/>
  <c r="G917" i="1"/>
  <c r="AQ5" i="57"/>
  <c r="D1054" i="1" s="1"/>
  <c r="AQ6" i="57"/>
  <c r="AE6" i="57" s="1"/>
  <c r="AQ8" i="57"/>
  <c r="D916" i="1" s="1"/>
  <c r="AK943" i="1"/>
  <c r="B945" i="1"/>
  <c r="BB945" i="1" s="1"/>
  <c r="B944" i="1"/>
  <c r="BB944" i="1" s="1"/>
  <c r="B943" i="1"/>
  <c r="BB943" i="1" s="1"/>
  <c r="A945" i="1"/>
  <c r="A944" i="1"/>
  <c r="A943" i="1"/>
  <c r="F945" i="1"/>
  <c r="E943" i="1"/>
  <c r="F943" i="1"/>
  <c r="G943" i="1"/>
  <c r="D945" i="1"/>
  <c r="E945" i="1"/>
  <c r="G945" i="1"/>
  <c r="D944" i="1"/>
  <c r="E944" i="1"/>
  <c r="F944" i="1"/>
  <c r="G944" i="1"/>
  <c r="AK929" i="1"/>
  <c r="B931" i="1"/>
  <c r="BD931" i="1" s="1"/>
  <c r="B930" i="1"/>
  <c r="BB930" i="1" s="1"/>
  <c r="B929" i="1"/>
  <c r="BD929" i="1" s="1"/>
  <c r="A931" i="1"/>
  <c r="A930" i="1"/>
  <c r="A929" i="1"/>
  <c r="D931" i="1"/>
  <c r="E931" i="1"/>
  <c r="F931" i="1"/>
  <c r="G931" i="1"/>
  <c r="D930" i="1"/>
  <c r="E930" i="1"/>
  <c r="F930" i="1"/>
  <c r="G930" i="1"/>
  <c r="F929" i="1"/>
  <c r="E929" i="1"/>
  <c r="G929" i="1"/>
  <c r="AK1054" i="1"/>
  <c r="B1056" i="1"/>
  <c r="B1055" i="1"/>
  <c r="BB1055" i="1" s="1"/>
  <c r="B1054" i="1"/>
  <c r="BD1054" i="1" s="1"/>
  <c r="A1056" i="1"/>
  <c r="A1055" i="1"/>
  <c r="A1054" i="1"/>
  <c r="E1054" i="1"/>
  <c r="F1054" i="1"/>
  <c r="G1054" i="1"/>
  <c r="D1056" i="1"/>
  <c r="E1056" i="1"/>
  <c r="F1056" i="1"/>
  <c r="G1056" i="1"/>
  <c r="D1055" i="1"/>
  <c r="E1055" i="1"/>
  <c r="F1055" i="1"/>
  <c r="G1055" i="1"/>
  <c r="AF41" i="57"/>
  <c r="AF43" i="57" s="1"/>
  <c r="AF38" i="57"/>
  <c r="AF37" i="57"/>
  <c r="AF30" i="57"/>
  <c r="AF28" i="57"/>
  <c r="AF34" i="57"/>
  <c r="AF33" i="57"/>
  <c r="AF25" i="57"/>
  <c r="AF24" i="57"/>
  <c r="AF22" i="57"/>
  <c r="AF23" i="57"/>
  <c r="AF29" i="57" s="1"/>
  <c r="E915" i="1" s="1"/>
  <c r="AF18" i="57"/>
  <c r="AF15" i="57"/>
  <c r="AF14" i="57"/>
  <c r="AF13" i="57"/>
  <c r="AF12" i="57"/>
  <c r="AF11" i="57"/>
  <c r="AF10" i="57"/>
  <c r="AF9" i="57"/>
  <c r="AF8" i="57"/>
  <c r="AF7" i="57"/>
  <c r="AF6" i="57"/>
  <c r="AF5" i="57"/>
  <c r="BB2367" i="1"/>
  <c r="BC2367" i="1"/>
  <c r="BD2367" i="1"/>
  <c r="BB2368" i="1"/>
  <c r="BC2368" i="1"/>
  <c r="BD2368" i="1"/>
  <c r="F1041" i="1"/>
  <c r="B2400" i="1"/>
  <c r="A2400" i="1"/>
  <c r="B2402" i="1"/>
  <c r="BD2402" i="1" s="1"/>
  <c r="B2401" i="1"/>
  <c r="BD2401" i="1" s="1"/>
  <c r="A2402" i="1"/>
  <c r="A2401" i="1"/>
  <c r="B2397" i="1"/>
  <c r="BC2397" i="1" s="1"/>
  <c r="A2397" i="1"/>
  <c r="A2395" i="1"/>
  <c r="B2395" i="1"/>
  <c r="BB2395" i="1" s="1"/>
  <c r="BB1056" i="1" l="1"/>
  <c r="AK1034" i="1"/>
  <c r="AK1037" i="1" s="1"/>
  <c r="B413" i="61" s="1"/>
  <c r="AK1072" i="1"/>
  <c r="E268" i="61" s="1"/>
  <c r="BD884" i="1"/>
  <c r="AK916" i="1"/>
  <c r="BD944" i="1"/>
  <c r="BC983" i="1"/>
  <c r="BD885" i="1"/>
  <c r="BC885" i="1"/>
  <c r="BC884" i="1"/>
  <c r="BB917" i="1"/>
  <c r="BD983" i="1"/>
  <c r="AK884" i="1"/>
  <c r="AK1223" i="1" s="1"/>
  <c r="D402" i="61" s="1"/>
  <c r="BD982" i="1"/>
  <c r="BC982" i="1"/>
  <c r="BD943" i="1"/>
  <c r="BC943" i="1"/>
  <c r="BB918" i="1"/>
  <c r="BC944" i="1"/>
  <c r="BB916" i="1"/>
  <c r="BC918" i="1"/>
  <c r="BD945" i="1"/>
  <c r="BD916" i="1"/>
  <c r="BC945" i="1"/>
  <c r="BC917" i="1"/>
  <c r="D929" i="1"/>
  <c r="BC931" i="1"/>
  <c r="BB931" i="1"/>
  <c r="BD930" i="1"/>
  <c r="BC929" i="1"/>
  <c r="BC930" i="1"/>
  <c r="BB929" i="1"/>
  <c r="BD1055" i="1"/>
  <c r="BC1054" i="1"/>
  <c r="BD1056" i="1"/>
  <c r="BC1055" i="1"/>
  <c r="BB1054" i="1"/>
  <c r="BC1056" i="1"/>
  <c r="BC2402" i="1"/>
  <c r="BB2402" i="1"/>
  <c r="BB2401" i="1"/>
  <c r="BD2397" i="1"/>
  <c r="BC2401" i="1"/>
  <c r="BB2397" i="1"/>
  <c r="BD2395" i="1"/>
  <c r="BC2395" i="1"/>
  <c r="BD1086" i="1" l="1"/>
  <c r="BC1086" i="1"/>
  <c r="BB1086" i="1"/>
  <c r="E441" i="61"/>
  <c r="AK966" i="1"/>
  <c r="B460" i="61" s="1"/>
  <c r="AK1070" i="1"/>
  <c r="AK883" i="1"/>
  <c r="AK1222" i="1" s="1"/>
  <c r="D400" i="61" s="1"/>
  <c r="AK1033" i="1"/>
  <c r="AK1036" i="1" s="1"/>
  <c r="B408" i="61" s="1"/>
  <c r="M1745" i="1"/>
  <c r="N1745" i="1"/>
  <c r="O1745" i="1"/>
  <c r="P1745" i="1"/>
  <c r="Q1745" i="1"/>
  <c r="R1745" i="1"/>
  <c r="T1745" i="1"/>
  <c r="T1746" i="1" s="1"/>
  <c r="U1745" i="1"/>
  <c r="U1746" i="1" s="1"/>
  <c r="AK1745" i="1"/>
  <c r="AK1746" i="1" s="1"/>
  <c r="AJ1745" i="1"/>
  <c r="AJ1746" i="1" s="1"/>
  <c r="AI1745" i="1"/>
  <c r="AI1746" i="1" s="1"/>
  <c r="AH1745" i="1"/>
  <c r="AH1746" i="1" s="1"/>
  <c r="AG1745" i="1"/>
  <c r="AG1746" i="1" s="1"/>
  <c r="AF1745" i="1"/>
  <c r="AF1746" i="1" s="1"/>
  <c r="AE1745" i="1"/>
  <c r="AE1746" i="1" s="1"/>
  <c r="AD1745" i="1"/>
  <c r="AD1746" i="1" s="1"/>
  <c r="AC1745" i="1"/>
  <c r="AC1746" i="1" s="1"/>
  <c r="AB1745" i="1"/>
  <c r="AB1746" i="1" s="1"/>
  <c r="AA1745" i="1"/>
  <c r="AA1746" i="1" s="1"/>
  <c r="Z1745" i="1"/>
  <c r="Z1746" i="1" s="1"/>
  <c r="Y1745" i="1"/>
  <c r="Y1746" i="1" s="1"/>
  <c r="X1745" i="1"/>
  <c r="X1746" i="1" s="1"/>
  <c r="W1745" i="1"/>
  <c r="W1746" i="1" s="1"/>
  <c r="B1749" i="1"/>
  <c r="BC1749" i="1" s="1"/>
  <c r="A1749" i="1"/>
  <c r="B1745" i="1"/>
  <c r="BD1745" i="1" s="1"/>
  <c r="A1745" i="1"/>
  <c r="B795" i="1"/>
  <c r="A795" i="1"/>
  <c r="BB1769" i="1"/>
  <c r="BC1769" i="1"/>
  <c r="BD1769" i="1"/>
  <c r="BB2307" i="1"/>
  <c r="BC2307" i="1"/>
  <c r="BD2307" i="1"/>
  <c r="BB1768" i="1"/>
  <c r="BC1768" i="1"/>
  <c r="BD1768" i="1"/>
  <c r="R794" i="1"/>
  <c r="R795" i="1" s="1"/>
  <c r="Q794" i="1"/>
  <c r="Q795" i="1" s="1"/>
  <c r="P794" i="1"/>
  <c r="P795" i="1" s="1"/>
  <c r="O794" i="1"/>
  <c r="O795" i="1" s="1"/>
  <c r="N794" i="1"/>
  <c r="N795" i="1" s="1"/>
  <c r="M794" i="1"/>
  <c r="M795" i="1" s="1"/>
  <c r="L794" i="1"/>
  <c r="L795" i="1" s="1"/>
  <c r="K794" i="1"/>
  <c r="K795" i="1" s="1"/>
  <c r="J794" i="1"/>
  <c r="U794" i="1"/>
  <c r="U795" i="1" s="1"/>
  <c r="T794" i="1"/>
  <c r="T795" i="1" s="1"/>
  <c r="W794" i="1"/>
  <c r="W795" i="1" s="1"/>
  <c r="X794" i="1"/>
  <c r="X795" i="1" s="1"/>
  <c r="Y794" i="1"/>
  <c r="Y795" i="1" s="1"/>
  <c r="Z794" i="1"/>
  <c r="Z795" i="1" s="1"/>
  <c r="AA794" i="1"/>
  <c r="AA795" i="1" s="1"/>
  <c r="AB794" i="1"/>
  <c r="AB795" i="1" s="1"/>
  <c r="AC794" i="1"/>
  <c r="AC795" i="1" s="1"/>
  <c r="AD794" i="1"/>
  <c r="AD795" i="1" s="1"/>
  <c r="AE794" i="1"/>
  <c r="AE795" i="1" s="1"/>
  <c r="AF794" i="1"/>
  <c r="AF795" i="1" s="1"/>
  <c r="B1686" i="1"/>
  <c r="A1686" i="1"/>
  <c r="AH794" i="1"/>
  <c r="AH795" i="1" s="1"/>
  <c r="AI794" i="1"/>
  <c r="AI795" i="1" s="1"/>
  <c r="AJ794" i="1"/>
  <c r="AJ795" i="1" s="1"/>
  <c r="AK794" i="1"/>
  <c r="AK795" i="1" s="1"/>
  <c r="AG794" i="1"/>
  <c r="AG795" i="1" s="1"/>
  <c r="B793" i="1"/>
  <c r="BC793" i="1" s="1"/>
  <c r="A793" i="1"/>
  <c r="B792" i="1"/>
  <c r="BD792" i="1" s="1"/>
  <c r="A792" i="1"/>
  <c r="E275" i="61" l="1"/>
  <c r="B489" i="61"/>
  <c r="BB1686" i="1"/>
  <c r="BC1686" i="1"/>
  <c r="BD1686" i="1"/>
  <c r="AK1068" i="1"/>
  <c r="E273" i="61" s="1"/>
  <c r="AK968" i="1"/>
  <c r="B450" i="61" s="1"/>
  <c r="AK964" i="1"/>
  <c r="B458" i="61" s="1"/>
  <c r="AK1032" i="1"/>
  <c r="AK1035" i="1" s="1"/>
  <c r="B409" i="61" s="1"/>
  <c r="BB1749" i="1"/>
  <c r="BD1749" i="1"/>
  <c r="BC1745" i="1"/>
  <c r="BB1745" i="1"/>
  <c r="BC792" i="1"/>
  <c r="BD793" i="1"/>
  <c r="B794" i="1"/>
  <c r="BB794" i="1" s="1"/>
  <c r="A794" i="1"/>
  <c r="BB2209" i="1"/>
  <c r="BC2209" i="1"/>
  <c r="BD2209" i="1"/>
  <c r="B578" i="1"/>
  <c r="A578" i="1"/>
  <c r="B1805" i="1"/>
  <c r="BB1805" i="1" s="1"/>
  <c r="B1806" i="1"/>
  <c r="B1807" i="1"/>
  <c r="B1808" i="1"/>
  <c r="B1809" i="1"/>
  <c r="B1810" i="1"/>
  <c r="B1811" i="1"/>
  <c r="B1812" i="1"/>
  <c r="B1813" i="1"/>
  <c r="B1814" i="1"/>
  <c r="B1815" i="1"/>
  <c r="B1816" i="1"/>
  <c r="B1817" i="1"/>
  <c r="B1818" i="1"/>
  <c r="B1819" i="1"/>
  <c r="B1820" i="1"/>
  <c r="B1821" i="1"/>
  <c r="B1822" i="1"/>
  <c r="B1823" i="1"/>
  <c r="B1824" i="1"/>
  <c r="B1825" i="1"/>
  <c r="B1826" i="1"/>
  <c r="A1826" i="1"/>
  <c r="A1825" i="1"/>
  <c r="A1824" i="1"/>
  <c r="A1823" i="1"/>
  <c r="A1822" i="1"/>
  <c r="A1821" i="1"/>
  <c r="A1820" i="1"/>
  <c r="A1819" i="1"/>
  <c r="A1818" i="1"/>
  <c r="A1817" i="1"/>
  <c r="A1816" i="1"/>
  <c r="A1815" i="1"/>
  <c r="A1814" i="1"/>
  <c r="A1813" i="1"/>
  <c r="A1812" i="1"/>
  <c r="A1811" i="1"/>
  <c r="A1810" i="1"/>
  <c r="A1809" i="1"/>
  <c r="A1807" i="1"/>
  <c r="A1808" i="1"/>
  <c r="A1806" i="1"/>
  <c r="A1805" i="1"/>
  <c r="BC1805" i="1"/>
  <c r="BB1371" i="1"/>
  <c r="BC1371" i="1"/>
  <c r="BD1371" i="1"/>
  <c r="BB1408" i="1"/>
  <c r="BC1408" i="1"/>
  <c r="BD1408" i="1"/>
  <c r="B1153" i="1"/>
  <c r="BD1153" i="1" s="1"/>
  <c r="A1153" i="1"/>
  <c r="B1920" i="1"/>
  <c r="BB1920" i="1" s="1"/>
  <c r="A1920" i="1"/>
  <c r="B1595" i="1"/>
  <c r="BB1595" i="1" s="1"/>
  <c r="A1595" i="1"/>
  <c r="D162" i="61"/>
  <c r="D152" i="61"/>
  <c r="D172" i="61"/>
  <c r="D170" i="61"/>
  <c r="D167" i="61"/>
  <c r="D169" i="61"/>
  <c r="D166" i="61"/>
  <c r="D168" i="61"/>
  <c r="D171" i="61"/>
  <c r="D173" i="61"/>
  <c r="D161" i="61"/>
  <c r="D163" i="61"/>
  <c r="D157" i="61"/>
  <c r="D160" i="61"/>
  <c r="D159" i="61"/>
  <c r="D158" i="61"/>
  <c r="D164" i="61"/>
  <c r="D127" i="61"/>
  <c r="D145" i="61"/>
  <c r="D132" i="61"/>
  <c r="D143" i="61"/>
  <c r="D126" i="61"/>
  <c r="D134" i="61"/>
  <c r="D147" i="61"/>
  <c r="D119" i="61"/>
  <c r="D140" i="61"/>
  <c r="D133" i="61"/>
  <c r="D130" i="61"/>
  <c r="D146" i="61"/>
  <c r="D144" i="61"/>
  <c r="D120" i="61"/>
  <c r="D124" i="61"/>
  <c r="D136" i="61"/>
  <c r="D123" i="61"/>
  <c r="D122" i="61"/>
  <c r="D135" i="61"/>
  <c r="D150" i="61"/>
  <c r="D131" i="61"/>
  <c r="D148" i="61"/>
  <c r="D151" i="61"/>
  <c r="D129" i="61"/>
  <c r="D142" i="61"/>
  <c r="D128" i="61"/>
  <c r="D138" i="61"/>
  <c r="D137" i="61"/>
  <c r="D121" i="61"/>
  <c r="D141" i="61"/>
  <c r="D149" i="61"/>
  <c r="D125" i="61"/>
  <c r="D139" i="61"/>
  <c r="C669" i="30"/>
  <c r="D669" i="30"/>
  <c r="E669" i="30"/>
  <c r="F669" i="30"/>
  <c r="G669" i="30"/>
  <c r="H669" i="30"/>
  <c r="I669" i="30"/>
  <c r="J669" i="30"/>
  <c r="K669" i="30"/>
  <c r="L669" i="30"/>
  <c r="M669" i="30"/>
  <c r="N669" i="30"/>
  <c r="O669" i="30"/>
  <c r="P669" i="30"/>
  <c r="Q669" i="30"/>
  <c r="R669" i="30"/>
  <c r="S669" i="30"/>
  <c r="T669" i="30"/>
  <c r="U669" i="30"/>
  <c r="V669" i="30"/>
  <c r="W669" i="30"/>
  <c r="X669" i="30"/>
  <c r="Y669" i="30"/>
  <c r="Z669" i="30"/>
  <c r="AA669" i="30"/>
  <c r="AB669" i="30"/>
  <c r="AC669" i="30"/>
  <c r="AD669" i="30"/>
  <c r="AE669" i="30"/>
  <c r="AF669" i="30"/>
  <c r="AG669" i="30"/>
  <c r="AH669" i="30"/>
  <c r="AI669" i="30"/>
  <c r="AJ669" i="30"/>
  <c r="AK669" i="30"/>
  <c r="AL669" i="30"/>
  <c r="AM669" i="30"/>
  <c r="AN669" i="30"/>
  <c r="AO669" i="30"/>
  <c r="AP669" i="30"/>
  <c r="AQ669" i="30"/>
  <c r="AR669" i="30"/>
  <c r="AS669" i="30"/>
  <c r="AT669" i="30"/>
  <c r="AU669" i="30"/>
  <c r="AV669" i="30"/>
  <c r="AW669" i="30"/>
  <c r="AX669" i="30"/>
  <c r="AY669" i="30"/>
  <c r="AZ669" i="30"/>
  <c r="BA669" i="30"/>
  <c r="C668" i="30"/>
  <c r="D668" i="30"/>
  <c r="E668" i="30"/>
  <c r="F668" i="30"/>
  <c r="G668" i="30"/>
  <c r="H668" i="30"/>
  <c r="I668" i="30"/>
  <c r="J668" i="30"/>
  <c r="K668" i="30"/>
  <c r="L668" i="30"/>
  <c r="M668" i="30"/>
  <c r="N668" i="30"/>
  <c r="O668" i="30"/>
  <c r="P668" i="30"/>
  <c r="Q668" i="30"/>
  <c r="R668" i="30"/>
  <c r="S668" i="30"/>
  <c r="T668" i="30"/>
  <c r="U668" i="30"/>
  <c r="V668" i="30"/>
  <c r="W668" i="30"/>
  <c r="X668" i="30"/>
  <c r="Y668" i="30"/>
  <c r="Z668" i="30"/>
  <c r="AA668" i="30"/>
  <c r="AB668" i="30"/>
  <c r="AC668" i="30"/>
  <c r="AD668" i="30"/>
  <c r="AE668" i="30"/>
  <c r="AF668" i="30"/>
  <c r="AG668" i="30"/>
  <c r="AH668" i="30"/>
  <c r="AI668" i="30"/>
  <c r="AJ668" i="30"/>
  <c r="AK668" i="30"/>
  <c r="AL668" i="30"/>
  <c r="AM668" i="30"/>
  <c r="AN668" i="30"/>
  <c r="AO668" i="30"/>
  <c r="AP668" i="30"/>
  <c r="AQ668" i="30"/>
  <c r="AR668" i="30"/>
  <c r="AS668" i="30"/>
  <c r="AT668" i="30"/>
  <c r="AU668" i="30"/>
  <c r="AV668" i="30"/>
  <c r="AW668" i="30"/>
  <c r="AX668" i="30"/>
  <c r="AY668" i="30"/>
  <c r="AZ668" i="30"/>
  <c r="BA668" i="30"/>
  <c r="B2091" i="1"/>
  <c r="BD2091" i="1" s="1"/>
  <c r="A2091" i="1"/>
  <c r="B2090" i="1"/>
  <c r="BB2090" i="1" s="1"/>
  <c r="A2090" i="1"/>
  <c r="B2089" i="1"/>
  <c r="BB2089" i="1" s="1"/>
  <c r="A2089" i="1"/>
  <c r="B2088" i="1"/>
  <c r="BC2088" i="1" s="1"/>
  <c r="A2088" i="1"/>
  <c r="B2087" i="1"/>
  <c r="BB2087" i="1" s="1"/>
  <c r="A2087" i="1"/>
  <c r="B2086" i="1"/>
  <c r="BB2086" i="1" s="1"/>
  <c r="A2086" i="1"/>
  <c r="B2085" i="1"/>
  <c r="BB2085" i="1" s="1"/>
  <c r="A2085" i="1"/>
  <c r="B2084" i="1"/>
  <c r="BC2084" i="1" s="1"/>
  <c r="A2084" i="1"/>
  <c r="B2083" i="1"/>
  <c r="BD2083" i="1" s="1"/>
  <c r="A2083" i="1"/>
  <c r="B2082" i="1"/>
  <c r="BB2082" i="1" s="1"/>
  <c r="A2082" i="1"/>
  <c r="B2081" i="1"/>
  <c r="BB2081" i="1" s="1"/>
  <c r="A2081" i="1"/>
  <c r="B2080" i="1"/>
  <c r="BC2080" i="1" s="1"/>
  <c r="A2080" i="1"/>
  <c r="B2079" i="1"/>
  <c r="BC2079" i="1" s="1"/>
  <c r="A2079" i="1"/>
  <c r="B2078" i="1"/>
  <c r="BC2078" i="1" s="1"/>
  <c r="A2078" i="1"/>
  <c r="B2077" i="1"/>
  <c r="BB2077" i="1" s="1"/>
  <c r="A2077" i="1"/>
  <c r="B2076" i="1"/>
  <c r="BB2076" i="1" s="1"/>
  <c r="A2076" i="1"/>
  <c r="B2075" i="1"/>
  <c r="BC2075" i="1" s="1"/>
  <c r="A2075" i="1"/>
  <c r="B2074" i="1"/>
  <c r="BC2074" i="1" s="1"/>
  <c r="A2074" i="1"/>
  <c r="B2073" i="1"/>
  <c r="BB2073" i="1" s="1"/>
  <c r="A2073" i="1"/>
  <c r="B2072" i="1"/>
  <c r="BB2072" i="1" s="1"/>
  <c r="A2072" i="1"/>
  <c r="B2071" i="1"/>
  <c r="BD2071" i="1" s="1"/>
  <c r="A2071" i="1"/>
  <c r="B2070" i="1"/>
  <c r="BB2070" i="1" s="1"/>
  <c r="A2070" i="1"/>
  <c r="B2069" i="1"/>
  <c r="BB2069" i="1" s="1"/>
  <c r="A2069" i="1"/>
  <c r="B2068" i="1"/>
  <c r="BB2068" i="1" s="1"/>
  <c r="A2068" i="1"/>
  <c r="B2067" i="1"/>
  <c r="BD2067" i="1" s="1"/>
  <c r="A2067" i="1"/>
  <c r="B2066" i="1"/>
  <c r="BB2066" i="1" s="1"/>
  <c r="A2066" i="1"/>
  <c r="B2065" i="1"/>
  <c r="BB2065" i="1" s="1"/>
  <c r="A2065" i="1"/>
  <c r="B2064" i="1"/>
  <c r="BB2064" i="1" s="1"/>
  <c r="A2064" i="1"/>
  <c r="B2063" i="1"/>
  <c r="BD2063" i="1" s="1"/>
  <c r="A2063" i="1"/>
  <c r="B2062" i="1"/>
  <c r="BC2062" i="1" s="1"/>
  <c r="A2062" i="1"/>
  <c r="B2061" i="1"/>
  <c r="BB2061" i="1" s="1"/>
  <c r="A2061" i="1"/>
  <c r="B2060" i="1"/>
  <c r="BB2060" i="1" s="1"/>
  <c r="A2060" i="1"/>
  <c r="B2059" i="1"/>
  <c r="BC2059" i="1" s="1"/>
  <c r="A2059" i="1"/>
  <c r="B2058" i="1"/>
  <c r="BC2058" i="1" s="1"/>
  <c r="A2058" i="1"/>
  <c r="B2057" i="1"/>
  <c r="BB2057" i="1" s="1"/>
  <c r="A2057" i="1"/>
  <c r="B2056" i="1"/>
  <c r="BB2056" i="1" s="1"/>
  <c r="A2056" i="1"/>
  <c r="B2055" i="1"/>
  <c r="BD2055" i="1" s="1"/>
  <c r="A2055" i="1"/>
  <c r="B1999" i="1"/>
  <c r="BD1999" i="1" s="1"/>
  <c r="A1999" i="1"/>
  <c r="BB578" i="1" l="1"/>
  <c r="BC578" i="1"/>
  <c r="BD578" i="1"/>
  <c r="BD794" i="1"/>
  <c r="BC794" i="1"/>
  <c r="BD1805" i="1"/>
  <c r="BC1153" i="1"/>
  <c r="BB1153" i="1"/>
  <c r="BD1920" i="1"/>
  <c r="BD1595" i="1"/>
  <c r="BC1595" i="1"/>
  <c r="BC1920" i="1"/>
  <c r="BD2090" i="1"/>
  <c r="BB2080" i="1"/>
  <c r="BC2086" i="1"/>
  <c r="BC2090" i="1"/>
  <c r="BB2084" i="1"/>
  <c r="BD2078" i="1"/>
  <c r="BB2088" i="1"/>
  <c r="BD2082" i="1"/>
  <c r="BD2086" i="1"/>
  <c r="BC2082" i="1"/>
  <c r="BB2091" i="1"/>
  <c r="BD2087" i="1"/>
  <c r="BC2091" i="1"/>
  <c r="BD2088" i="1"/>
  <c r="BC2087" i="1"/>
  <c r="BD2084" i="1"/>
  <c r="BC2083" i="1"/>
  <c r="BD2080" i="1"/>
  <c r="BB2078" i="1"/>
  <c r="BD2076" i="1"/>
  <c r="BB2074" i="1"/>
  <c r="BD2072" i="1"/>
  <c r="BC2071" i="1"/>
  <c r="BD2068" i="1"/>
  <c r="BC2067" i="1"/>
  <c r="BD2064" i="1"/>
  <c r="BC2063" i="1"/>
  <c r="BB2062" i="1"/>
  <c r="BD2060" i="1"/>
  <c r="BB2058" i="1"/>
  <c r="BD2056" i="1"/>
  <c r="BC2055" i="1"/>
  <c r="BD2089" i="1"/>
  <c r="BD2085" i="1"/>
  <c r="BB2083" i="1"/>
  <c r="BD2081" i="1"/>
  <c r="BB2079" i="1"/>
  <c r="BD2077" i="1"/>
  <c r="BC2076" i="1"/>
  <c r="BB2075" i="1"/>
  <c r="BD2073" i="1"/>
  <c r="BC2072" i="1"/>
  <c r="BB2071" i="1"/>
  <c r="BD2069" i="1"/>
  <c r="BC2068" i="1"/>
  <c r="BB2067" i="1"/>
  <c r="BD2065" i="1"/>
  <c r="BC2064" i="1"/>
  <c r="BB2063" i="1"/>
  <c r="BD2061" i="1"/>
  <c r="BC2060" i="1"/>
  <c r="BB2059" i="1"/>
  <c r="BD2057" i="1"/>
  <c r="BC2056" i="1"/>
  <c r="BB2055" i="1"/>
  <c r="BC2089" i="1"/>
  <c r="BC2085" i="1"/>
  <c r="BC2081" i="1"/>
  <c r="BC2077" i="1"/>
  <c r="BD2074" i="1"/>
  <c r="BC2073" i="1"/>
  <c r="BD2070" i="1"/>
  <c r="BC2069" i="1"/>
  <c r="BD2066" i="1"/>
  <c r="BC2065" i="1"/>
  <c r="BD2062" i="1"/>
  <c r="BC2061" i="1"/>
  <c r="BD2058" i="1"/>
  <c r="BC2057" i="1"/>
  <c r="BD2079" i="1"/>
  <c r="BD2075" i="1"/>
  <c r="BC2070" i="1"/>
  <c r="BC2066" i="1"/>
  <c r="BD2059" i="1"/>
  <c r="BB1999" i="1"/>
  <c r="BC1999" i="1"/>
  <c r="B2054" i="1"/>
  <c r="A2054" i="1"/>
  <c r="B2094" i="1"/>
  <c r="A2094" i="1"/>
  <c r="A669" i="30" s="1"/>
  <c r="B2093" i="1"/>
  <c r="A2093" i="1"/>
  <c r="A668" i="30" s="1"/>
  <c r="B2227" i="1"/>
  <c r="BD2227" i="1" s="1"/>
  <c r="A2227" i="1"/>
  <c r="B666" i="1"/>
  <c r="BD666" i="1" s="1"/>
  <c r="A666" i="1"/>
  <c r="BB1378" i="1"/>
  <c r="BC1378" i="1"/>
  <c r="BD1378" i="1"/>
  <c r="BB1379" i="1"/>
  <c r="BC1379" i="1"/>
  <c r="BD1379" i="1"/>
  <c r="BB1380" i="1"/>
  <c r="BC1380" i="1"/>
  <c r="BD1380" i="1"/>
  <c r="BB1381" i="1"/>
  <c r="BC1381" i="1"/>
  <c r="BD1381" i="1"/>
  <c r="BB1382" i="1"/>
  <c r="BC1382" i="1"/>
  <c r="BD1382" i="1"/>
  <c r="BB1383" i="1"/>
  <c r="BC1383" i="1"/>
  <c r="BD1383" i="1"/>
  <c r="BB1384" i="1"/>
  <c r="BC1384" i="1"/>
  <c r="BD1384" i="1"/>
  <c r="BB1385" i="1"/>
  <c r="BC1385" i="1"/>
  <c r="BD1385" i="1"/>
  <c r="BB1386" i="1"/>
  <c r="BC1386" i="1"/>
  <c r="BD1386" i="1"/>
  <c r="BB1387" i="1"/>
  <c r="BC1387" i="1"/>
  <c r="BD1387" i="1"/>
  <c r="BB1388" i="1"/>
  <c r="BC1388" i="1"/>
  <c r="BD1388" i="1"/>
  <c r="BB1389" i="1"/>
  <c r="BC1389" i="1"/>
  <c r="BD1389" i="1"/>
  <c r="BB1390" i="1"/>
  <c r="BC1390" i="1"/>
  <c r="BD1390" i="1"/>
  <c r="BB1391" i="1"/>
  <c r="BC1391" i="1"/>
  <c r="BD1391" i="1"/>
  <c r="BB1392" i="1"/>
  <c r="BC1392" i="1"/>
  <c r="BD1392" i="1"/>
  <c r="BB1393" i="1"/>
  <c r="BC1393" i="1"/>
  <c r="BD1393" i="1"/>
  <c r="BB1394" i="1"/>
  <c r="BC1394" i="1"/>
  <c r="BD1394" i="1"/>
  <c r="BB1395" i="1"/>
  <c r="BC1395" i="1"/>
  <c r="BD1395" i="1"/>
  <c r="BB2054" i="1" l="1"/>
  <c r="BC2054" i="1"/>
  <c r="BD2054" i="1"/>
  <c r="BD2094" i="1"/>
  <c r="BD669" i="30" s="1"/>
  <c r="B669" i="30"/>
  <c r="BD2093" i="1"/>
  <c r="BD668" i="30" s="1"/>
  <c r="B668" i="30"/>
  <c r="BB2094" i="1"/>
  <c r="BB669" i="30" s="1"/>
  <c r="BC2093" i="1"/>
  <c r="BC668" i="30" s="1"/>
  <c r="BC2094" i="1"/>
  <c r="BC669" i="30" s="1"/>
  <c r="BB2093" i="1"/>
  <c r="BB668" i="30" s="1"/>
  <c r="BB2227" i="1"/>
  <c r="BC2227" i="1"/>
  <c r="BB666" i="1"/>
  <c r="BC666" i="1"/>
  <c r="BB1377" i="1"/>
  <c r="BC1377" i="1"/>
  <c r="BD1377" i="1"/>
  <c r="BB1161" i="1"/>
  <c r="BC1161" i="1"/>
  <c r="BD1161" i="1"/>
  <c r="BB1156" i="1"/>
  <c r="BC1156" i="1"/>
  <c r="BD1156" i="1"/>
  <c r="BB2339" i="1" l="1"/>
  <c r="BC2339" i="1"/>
  <c r="BD2339" i="1"/>
  <c r="C703" i="30"/>
  <c r="D703" i="30"/>
  <c r="E703" i="30"/>
  <c r="F703" i="30"/>
  <c r="G703" i="30"/>
  <c r="H703" i="30"/>
  <c r="I703" i="30"/>
  <c r="J703" i="30"/>
  <c r="K703" i="30"/>
  <c r="L703" i="30"/>
  <c r="M703" i="30"/>
  <c r="N703" i="30"/>
  <c r="O703" i="30"/>
  <c r="P703" i="30"/>
  <c r="Q703" i="30"/>
  <c r="R703" i="30"/>
  <c r="S703" i="30"/>
  <c r="T703" i="30"/>
  <c r="U703" i="30"/>
  <c r="V703" i="30"/>
  <c r="W703" i="30"/>
  <c r="X703" i="30"/>
  <c r="Y703" i="30"/>
  <c r="Z703" i="30"/>
  <c r="AA703" i="30"/>
  <c r="AB703" i="30"/>
  <c r="AC703" i="30"/>
  <c r="AD703" i="30"/>
  <c r="AE703" i="30"/>
  <c r="AF703" i="30"/>
  <c r="AG703" i="30"/>
  <c r="AH703" i="30"/>
  <c r="AI703" i="30"/>
  <c r="AJ703" i="30"/>
  <c r="AK703" i="30"/>
  <c r="AL703" i="30"/>
  <c r="AM703" i="30"/>
  <c r="AN703" i="30"/>
  <c r="AO703" i="30"/>
  <c r="AP703" i="30"/>
  <c r="AQ703" i="30"/>
  <c r="AV703" i="30"/>
  <c r="BA703" i="30"/>
  <c r="C702" i="30"/>
  <c r="D702" i="30"/>
  <c r="E702" i="30"/>
  <c r="F702" i="30"/>
  <c r="G702" i="30"/>
  <c r="H702" i="30"/>
  <c r="I702" i="30"/>
  <c r="J702" i="30"/>
  <c r="K702" i="30"/>
  <c r="L702" i="30"/>
  <c r="M702" i="30"/>
  <c r="N702" i="30"/>
  <c r="O702" i="30"/>
  <c r="P702" i="30"/>
  <c r="Q702" i="30"/>
  <c r="R702" i="30"/>
  <c r="S702" i="30"/>
  <c r="T702" i="30"/>
  <c r="U702" i="30"/>
  <c r="V702" i="30"/>
  <c r="W702" i="30"/>
  <c r="X702" i="30"/>
  <c r="Y702" i="30"/>
  <c r="Z702" i="30"/>
  <c r="AA702" i="30"/>
  <c r="AB702" i="30"/>
  <c r="AC702" i="30"/>
  <c r="AD702" i="30"/>
  <c r="AE702" i="30"/>
  <c r="AF702" i="30"/>
  <c r="AG702" i="30"/>
  <c r="AH702" i="30"/>
  <c r="AI702" i="30"/>
  <c r="AJ702" i="30"/>
  <c r="AK702" i="30"/>
  <c r="AL702" i="30"/>
  <c r="AM702" i="30"/>
  <c r="AN702" i="30"/>
  <c r="AO702" i="30"/>
  <c r="AP702" i="30"/>
  <c r="AQ702" i="30"/>
  <c r="AV702" i="30"/>
  <c r="BA702" i="30"/>
  <c r="C697" i="30"/>
  <c r="D697" i="30"/>
  <c r="E697" i="30"/>
  <c r="F697" i="30"/>
  <c r="G697" i="30"/>
  <c r="H697" i="30"/>
  <c r="I697" i="30"/>
  <c r="J697" i="30"/>
  <c r="K697" i="30"/>
  <c r="L697" i="30"/>
  <c r="M697" i="30"/>
  <c r="N697" i="30"/>
  <c r="O697" i="30"/>
  <c r="P697" i="30"/>
  <c r="Q697" i="30"/>
  <c r="R697" i="30"/>
  <c r="S697" i="30"/>
  <c r="T697" i="30"/>
  <c r="U697" i="30"/>
  <c r="V697" i="30"/>
  <c r="W697" i="30"/>
  <c r="X697" i="30"/>
  <c r="Y697" i="30"/>
  <c r="Z697" i="30"/>
  <c r="AA697" i="30"/>
  <c r="AB697" i="30"/>
  <c r="AC697" i="30"/>
  <c r="AD697" i="30"/>
  <c r="AE697" i="30"/>
  <c r="AF697" i="30"/>
  <c r="AG697" i="30"/>
  <c r="AH697" i="30"/>
  <c r="AI697" i="30"/>
  <c r="AJ697" i="30"/>
  <c r="AK697" i="30"/>
  <c r="AL697" i="30"/>
  <c r="AM697" i="30"/>
  <c r="AN697" i="30"/>
  <c r="AO697" i="30"/>
  <c r="AP697" i="30"/>
  <c r="AQ697" i="30"/>
  <c r="AV697" i="30"/>
  <c r="BA697" i="30"/>
  <c r="BB697" i="30"/>
  <c r="BC697" i="30"/>
  <c r="BD697" i="30"/>
  <c r="C698" i="30"/>
  <c r="D698" i="30"/>
  <c r="E698" i="30"/>
  <c r="F698" i="30"/>
  <c r="G698" i="30"/>
  <c r="H698" i="30"/>
  <c r="I698" i="30"/>
  <c r="J698" i="30"/>
  <c r="K698" i="30"/>
  <c r="L698" i="30"/>
  <c r="M698" i="30"/>
  <c r="N698" i="30"/>
  <c r="O698" i="30"/>
  <c r="P698" i="30"/>
  <c r="Q698" i="30"/>
  <c r="R698" i="30"/>
  <c r="S698" i="30"/>
  <c r="T698" i="30"/>
  <c r="U698" i="30"/>
  <c r="V698" i="30"/>
  <c r="W698" i="30"/>
  <c r="X698" i="30"/>
  <c r="Y698" i="30"/>
  <c r="Z698" i="30"/>
  <c r="AA698" i="30"/>
  <c r="AB698" i="30"/>
  <c r="AC698" i="30"/>
  <c r="AD698" i="30"/>
  <c r="AE698" i="30"/>
  <c r="AF698" i="30"/>
  <c r="AG698" i="30"/>
  <c r="AH698" i="30"/>
  <c r="AI698" i="30"/>
  <c r="AJ698" i="30"/>
  <c r="AL698" i="30"/>
  <c r="AM698" i="30"/>
  <c r="AN698" i="30"/>
  <c r="AO698" i="30"/>
  <c r="AP698" i="30"/>
  <c r="AQ698" i="30"/>
  <c r="AV698" i="30"/>
  <c r="BA698" i="30"/>
  <c r="C699" i="30"/>
  <c r="D699" i="30"/>
  <c r="E699" i="30"/>
  <c r="F699" i="30"/>
  <c r="G699" i="30"/>
  <c r="H699" i="30"/>
  <c r="I699" i="30"/>
  <c r="J699" i="30"/>
  <c r="K699" i="30"/>
  <c r="L699" i="30"/>
  <c r="M699" i="30"/>
  <c r="N699" i="30"/>
  <c r="O699" i="30"/>
  <c r="P699" i="30"/>
  <c r="Q699" i="30"/>
  <c r="R699" i="30"/>
  <c r="S699" i="30"/>
  <c r="T699" i="30"/>
  <c r="U699" i="30"/>
  <c r="V699" i="30"/>
  <c r="W699" i="30"/>
  <c r="X699" i="30"/>
  <c r="Y699" i="30"/>
  <c r="Z699" i="30"/>
  <c r="AA699" i="30"/>
  <c r="AB699" i="30"/>
  <c r="AC699" i="30"/>
  <c r="AD699" i="30"/>
  <c r="AE699" i="30"/>
  <c r="AF699" i="30"/>
  <c r="AG699" i="30"/>
  <c r="AH699" i="30"/>
  <c r="AI699" i="30"/>
  <c r="AJ699" i="30"/>
  <c r="AK699" i="30"/>
  <c r="AL699" i="30"/>
  <c r="AM699" i="30"/>
  <c r="AN699" i="30"/>
  <c r="AO699" i="30"/>
  <c r="AP699" i="30"/>
  <c r="AQ699" i="30"/>
  <c r="AV699" i="30"/>
  <c r="BA699" i="30"/>
  <c r="C700" i="30"/>
  <c r="D700" i="30"/>
  <c r="E700" i="30"/>
  <c r="F700" i="30"/>
  <c r="G700" i="30"/>
  <c r="H700" i="30"/>
  <c r="I700" i="30"/>
  <c r="J700" i="30"/>
  <c r="K700" i="30"/>
  <c r="L700" i="30"/>
  <c r="M700" i="30"/>
  <c r="N700" i="30"/>
  <c r="O700" i="30"/>
  <c r="P700" i="30"/>
  <c r="Q700" i="30"/>
  <c r="R700" i="30"/>
  <c r="S700" i="30"/>
  <c r="T700" i="30"/>
  <c r="U700" i="30"/>
  <c r="V700" i="30"/>
  <c r="W700" i="30"/>
  <c r="X700" i="30"/>
  <c r="Y700" i="30"/>
  <c r="Z700" i="30"/>
  <c r="AA700" i="30"/>
  <c r="AB700" i="30"/>
  <c r="AC700" i="30"/>
  <c r="AD700" i="30"/>
  <c r="AE700" i="30"/>
  <c r="AF700" i="30"/>
  <c r="AG700" i="30"/>
  <c r="AH700" i="30"/>
  <c r="AI700" i="30"/>
  <c r="AJ700" i="30"/>
  <c r="AK700" i="30"/>
  <c r="AL700" i="30"/>
  <c r="AM700" i="30"/>
  <c r="AN700" i="30"/>
  <c r="AO700" i="30"/>
  <c r="AP700" i="30"/>
  <c r="AQ700" i="30"/>
  <c r="AV700" i="30"/>
  <c r="BA700" i="30"/>
  <c r="C701" i="30"/>
  <c r="D701" i="30"/>
  <c r="E701" i="30"/>
  <c r="F701" i="30"/>
  <c r="G701" i="30"/>
  <c r="H701" i="30"/>
  <c r="I701" i="30"/>
  <c r="J701" i="30"/>
  <c r="K701" i="30"/>
  <c r="L701" i="30"/>
  <c r="M701" i="30"/>
  <c r="N701" i="30"/>
  <c r="O701" i="30"/>
  <c r="P701" i="30"/>
  <c r="Q701" i="30"/>
  <c r="R701" i="30"/>
  <c r="S701" i="30"/>
  <c r="T701" i="30"/>
  <c r="U701" i="30"/>
  <c r="V701" i="30"/>
  <c r="W701" i="30"/>
  <c r="X701" i="30"/>
  <c r="Y701" i="30"/>
  <c r="Z701" i="30"/>
  <c r="AA701" i="30"/>
  <c r="AB701" i="30"/>
  <c r="AC701" i="30"/>
  <c r="AD701" i="30"/>
  <c r="AE701" i="30"/>
  <c r="AF701" i="30"/>
  <c r="AG701" i="30"/>
  <c r="AH701" i="30"/>
  <c r="AI701" i="30"/>
  <c r="AJ701" i="30"/>
  <c r="AK701" i="30"/>
  <c r="AL701" i="30"/>
  <c r="AM701" i="30"/>
  <c r="AN701" i="30"/>
  <c r="AO701" i="30"/>
  <c r="AP701" i="30"/>
  <c r="AQ701" i="30"/>
  <c r="AV701" i="30"/>
  <c r="BA701" i="30"/>
  <c r="B2235" i="1"/>
  <c r="BC2235" i="1" s="1"/>
  <c r="BC703" i="30" s="1"/>
  <c r="A2235" i="1"/>
  <c r="A703" i="30" s="1"/>
  <c r="B2232" i="1"/>
  <c r="BD2232" i="1" s="1"/>
  <c r="BD700" i="30" s="1"/>
  <c r="A2232" i="1"/>
  <c r="A700" i="30" s="1"/>
  <c r="B2234" i="1"/>
  <c r="BC2234" i="1" s="1"/>
  <c r="BC702" i="30" s="1"/>
  <c r="A2234" i="1"/>
  <c r="A702" i="30" s="1"/>
  <c r="B2233" i="1"/>
  <c r="BC2233" i="1" s="1"/>
  <c r="BC701" i="30" s="1"/>
  <c r="A2233" i="1"/>
  <c r="A701" i="30" s="1"/>
  <c r="B2226" i="1"/>
  <c r="B697" i="30" s="1"/>
  <c r="A2226" i="1"/>
  <c r="A697" i="30" s="1"/>
  <c r="B2231" i="1"/>
  <c r="BB2231" i="1" s="1"/>
  <c r="BB699" i="30" s="1"/>
  <c r="A2231" i="1"/>
  <c r="A699" i="30" s="1"/>
  <c r="B2228" i="1"/>
  <c r="BD2228" i="1" s="1"/>
  <c r="BD698" i="30" s="1"/>
  <c r="A2228" i="1"/>
  <c r="A698" i="30" s="1"/>
  <c r="B480" i="1"/>
  <c r="A480" i="1"/>
  <c r="B2416" i="1"/>
  <c r="BC2416" i="1" s="1"/>
  <c r="A2416" i="1"/>
  <c r="B2399" i="1"/>
  <c r="BB2399" i="1" s="1"/>
  <c r="A2399" i="1"/>
  <c r="B2342" i="1"/>
  <c r="BD2342" i="1" s="1"/>
  <c r="A2342" i="1"/>
  <c r="B2403" i="1"/>
  <c r="BB2403" i="1" s="1"/>
  <c r="A2403" i="1"/>
  <c r="V323" i="30"/>
  <c r="C323" i="30"/>
  <c r="D323" i="30"/>
  <c r="E323" i="30"/>
  <c r="F323" i="30"/>
  <c r="G323" i="30"/>
  <c r="H323" i="30"/>
  <c r="I323" i="30"/>
  <c r="J323" i="30"/>
  <c r="K323" i="30"/>
  <c r="L323" i="30"/>
  <c r="M323" i="30"/>
  <c r="N323" i="30"/>
  <c r="O323" i="30"/>
  <c r="P323" i="30"/>
  <c r="Q323" i="30"/>
  <c r="R323" i="30"/>
  <c r="S323" i="30"/>
  <c r="T323" i="30"/>
  <c r="AL323" i="30"/>
  <c r="AM323" i="30"/>
  <c r="AN323" i="30"/>
  <c r="AO323" i="30"/>
  <c r="AP323" i="30"/>
  <c r="AQ323" i="30"/>
  <c r="AV323" i="30"/>
  <c r="BA323" i="30"/>
  <c r="B844" i="1"/>
  <c r="B323" i="30" s="1"/>
  <c r="A844" i="1"/>
  <c r="A323" i="30" s="1"/>
  <c r="C302" i="30"/>
  <c r="D302" i="30"/>
  <c r="E302" i="30"/>
  <c r="F302" i="30"/>
  <c r="G302" i="30"/>
  <c r="H302" i="30"/>
  <c r="I302" i="30"/>
  <c r="J302" i="30"/>
  <c r="K302" i="30"/>
  <c r="L302" i="30"/>
  <c r="M302" i="30"/>
  <c r="N302" i="30"/>
  <c r="O302" i="30"/>
  <c r="P302" i="30"/>
  <c r="Q302" i="30"/>
  <c r="R302" i="30"/>
  <c r="S302" i="30"/>
  <c r="T302" i="30"/>
  <c r="V302" i="30"/>
  <c r="AL302" i="30"/>
  <c r="AM302" i="30"/>
  <c r="AN302" i="30"/>
  <c r="AO302" i="30"/>
  <c r="AP302" i="30"/>
  <c r="AQ302" i="30"/>
  <c r="AV302" i="30"/>
  <c r="BA302" i="30"/>
  <c r="BD822" i="1"/>
  <c r="BD302" i="30" s="1"/>
  <c r="A302" i="30"/>
  <c r="C293" i="30"/>
  <c r="D293" i="30"/>
  <c r="E293" i="30"/>
  <c r="F293" i="30"/>
  <c r="G293" i="30"/>
  <c r="H293" i="30"/>
  <c r="I293" i="30"/>
  <c r="J293" i="30"/>
  <c r="K293" i="30"/>
  <c r="S293" i="30"/>
  <c r="V293" i="30"/>
  <c r="AL293" i="30"/>
  <c r="AM293" i="30"/>
  <c r="AN293" i="30"/>
  <c r="AO293" i="30"/>
  <c r="AP293" i="30"/>
  <c r="AQ293" i="30"/>
  <c r="AV293" i="30"/>
  <c r="BA293" i="30"/>
  <c r="M815" i="1"/>
  <c r="M293" i="30" s="1"/>
  <c r="N815" i="1"/>
  <c r="N293" i="30" s="1"/>
  <c r="O815" i="1"/>
  <c r="O293" i="30" s="1"/>
  <c r="P815" i="1"/>
  <c r="P293" i="30" s="1"/>
  <c r="Q815" i="1"/>
  <c r="Q293" i="30" s="1"/>
  <c r="R815" i="1"/>
  <c r="R293" i="30" s="1"/>
  <c r="L815" i="1"/>
  <c r="L293" i="30" s="1"/>
  <c r="B815" i="1"/>
  <c r="BB815" i="1" s="1"/>
  <c r="BB293" i="30" s="1"/>
  <c r="A815" i="1"/>
  <c r="A293" i="30" s="1"/>
  <c r="AL303" i="30"/>
  <c r="S303" i="30"/>
  <c r="V303" i="30"/>
  <c r="S324" i="30"/>
  <c r="S298" i="30"/>
  <c r="K297" i="30"/>
  <c r="L297" i="30"/>
  <c r="M297" i="30"/>
  <c r="N297" i="30"/>
  <c r="O297" i="30"/>
  <c r="P297" i="30"/>
  <c r="Q297" i="30"/>
  <c r="R297" i="30"/>
  <c r="AL324" i="30"/>
  <c r="V324" i="30"/>
  <c r="AL294" i="30"/>
  <c r="V294" i="30"/>
  <c r="S294" i="30"/>
  <c r="AL329" i="30"/>
  <c r="V329" i="30"/>
  <c r="S329" i="30"/>
  <c r="V298" i="30"/>
  <c r="BB480" i="1" l="1"/>
  <c r="BC480" i="1"/>
  <c r="BD480" i="1"/>
  <c r="BB2235" i="1"/>
  <c r="BB703" i="30" s="1"/>
  <c r="BD2235" i="1"/>
  <c r="BD703" i="30" s="1"/>
  <c r="B701" i="30"/>
  <c r="B700" i="30"/>
  <c r="B699" i="30"/>
  <c r="B698" i="30"/>
  <c r="B702" i="30"/>
  <c r="B703" i="30"/>
  <c r="BB2232" i="1"/>
  <c r="BB700" i="30" s="1"/>
  <c r="BC2232" i="1"/>
  <c r="BC700" i="30" s="1"/>
  <c r="BB2234" i="1"/>
  <c r="BB702" i="30" s="1"/>
  <c r="BD2233" i="1"/>
  <c r="BD701" i="30" s="1"/>
  <c r="BD2234" i="1"/>
  <c r="BD702" i="30" s="1"/>
  <c r="BB2233" i="1"/>
  <c r="BB701" i="30" s="1"/>
  <c r="BD2231" i="1"/>
  <c r="BD699" i="30" s="1"/>
  <c r="BC2231" i="1"/>
  <c r="BC699" i="30" s="1"/>
  <c r="BC2228" i="1"/>
  <c r="BC698" i="30" s="1"/>
  <c r="BB2228" i="1"/>
  <c r="BB698" i="30" s="1"/>
  <c r="BB2416" i="1"/>
  <c r="BD2416" i="1"/>
  <c r="BD2399" i="1"/>
  <c r="BC2399" i="1"/>
  <c r="BC2342" i="1"/>
  <c r="BB2342" i="1"/>
  <c r="BB844" i="1"/>
  <c r="BB323" i="30" s="1"/>
  <c r="BB822" i="1"/>
  <c r="BB302" i="30" s="1"/>
  <c r="BC844" i="1"/>
  <c r="BC323" i="30" s="1"/>
  <c r="BD2403" i="1"/>
  <c r="BC2403" i="1"/>
  <c r="BC822" i="1"/>
  <c r="BC302" i="30" s="1"/>
  <c r="B302" i="30"/>
  <c r="BD844" i="1"/>
  <c r="BD323" i="30" s="1"/>
  <c r="BD815" i="1"/>
  <c r="BD293" i="30" s="1"/>
  <c r="B293" i="30"/>
  <c r="BC815" i="1"/>
  <c r="BC293" i="30" s="1"/>
  <c r="AK820" i="1" l="1"/>
  <c r="AK843" i="1"/>
  <c r="AK814" i="1"/>
  <c r="AK819" i="1" s="1"/>
  <c r="AK817" i="1" l="1"/>
  <c r="AK845" i="1"/>
  <c r="AK846" i="1"/>
  <c r="A1326" i="1"/>
  <c r="A1327" i="1"/>
  <c r="A1328" i="1"/>
  <c r="A1329" i="1"/>
  <c r="A1330" i="1"/>
  <c r="A1331" i="1"/>
  <c r="A1332" i="1"/>
  <c r="A1334" i="1"/>
  <c r="A1335" i="1"/>
  <c r="A1336" i="1"/>
  <c r="A1337" i="1"/>
  <c r="A1338" i="1"/>
  <c r="A1339" i="1"/>
  <c r="A1340" i="1"/>
  <c r="A1341" i="1"/>
  <c r="B1341" i="1"/>
  <c r="B1340" i="1"/>
  <c r="B1339" i="1"/>
  <c r="B1338" i="1"/>
  <c r="B1337" i="1"/>
  <c r="B1336" i="1"/>
  <c r="B1335" i="1"/>
  <c r="B1334" i="1"/>
  <c r="B1332" i="1"/>
  <c r="B1331" i="1"/>
  <c r="B1330" i="1"/>
  <c r="B1329" i="1"/>
  <c r="B1328" i="1"/>
  <c r="B1327" i="1"/>
  <c r="B1326" i="1"/>
  <c r="B1324" i="1"/>
  <c r="A1324"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88" i="1"/>
  <c r="B1288" i="1"/>
  <c r="BB1288" i="1" s="1"/>
  <c r="A1286" i="1"/>
  <c r="BB2261" i="1"/>
  <c r="BC2261" i="1"/>
  <c r="BD2261" i="1"/>
  <c r="BB2252" i="1"/>
  <c r="BC2252" i="1"/>
  <c r="BD2252" i="1"/>
  <c r="B159" i="61"/>
  <c r="B133" i="61"/>
  <c r="B142" i="61"/>
  <c r="B131" i="61"/>
  <c r="B136" i="61"/>
  <c r="B129" i="61"/>
  <c r="B144" i="61"/>
  <c r="B151" i="61"/>
  <c r="B130" i="61"/>
  <c r="B123" i="61"/>
  <c r="B146" i="61"/>
  <c r="B120" i="61"/>
  <c r="B135" i="61"/>
  <c r="B152" i="61"/>
  <c r="B150" i="61"/>
  <c r="B143" i="61"/>
  <c r="B140" i="61"/>
  <c r="B137" i="61"/>
  <c r="B126" i="61"/>
  <c r="B147" i="61"/>
  <c r="B145" i="61"/>
  <c r="B132" i="61"/>
  <c r="B141" i="61"/>
  <c r="B138" i="61"/>
  <c r="B124" i="61"/>
  <c r="B119" i="61"/>
  <c r="B128" i="61"/>
  <c r="B148" i="61"/>
  <c r="B127" i="61"/>
  <c r="B122" i="61"/>
  <c r="B139" i="61"/>
  <c r="B134" i="61"/>
  <c r="B121" i="61"/>
  <c r="B149" i="61"/>
  <c r="B125" i="61"/>
  <c r="B1286" i="1"/>
  <c r="BC1286" i="1" s="1"/>
  <c r="B1285" i="1"/>
  <c r="BC1285" i="1" s="1"/>
  <c r="B1284" i="1"/>
  <c r="BC1284" i="1" s="1"/>
  <c r="B1283" i="1"/>
  <c r="BD1283" i="1" s="1"/>
  <c r="B1282" i="1"/>
  <c r="BB1282" i="1" s="1"/>
  <c r="B1281" i="1"/>
  <c r="BC1281" i="1" s="1"/>
  <c r="B1280" i="1"/>
  <c r="BC1280" i="1" s="1"/>
  <c r="B1279" i="1"/>
  <c r="BC1279" i="1" s="1"/>
  <c r="A1285" i="1"/>
  <c r="A1284" i="1"/>
  <c r="A1283" i="1"/>
  <c r="A1282" i="1"/>
  <c r="A1281" i="1"/>
  <c r="A1280" i="1"/>
  <c r="A1279" i="1"/>
  <c r="B160" i="61"/>
  <c r="B163" i="61"/>
  <c r="B161" i="61"/>
  <c r="B164" i="61"/>
  <c r="B162" i="61"/>
  <c r="B158" i="61"/>
  <c r="B157" i="61"/>
  <c r="B168" i="61"/>
  <c r="B171" i="61"/>
  <c r="B173" i="61"/>
  <c r="B172" i="61"/>
  <c r="B170" i="61"/>
  <c r="B169" i="61"/>
  <c r="B167" i="61"/>
  <c r="B166" i="61"/>
  <c r="B1271" i="1"/>
  <c r="BB1271" i="1" s="1"/>
  <c r="B1272" i="1"/>
  <c r="BC1272" i="1" s="1"/>
  <c r="B1273" i="1"/>
  <c r="BD1273" i="1" s="1"/>
  <c r="B1274" i="1"/>
  <c r="BB1274" i="1" s="1"/>
  <c r="B1275" i="1"/>
  <c r="BB1275" i="1" s="1"/>
  <c r="B1276" i="1"/>
  <c r="BC1276" i="1" s="1"/>
  <c r="B1277" i="1"/>
  <c r="BB1277" i="1" s="1"/>
  <c r="A1277" i="1"/>
  <c r="A1276" i="1"/>
  <c r="A1275" i="1"/>
  <c r="A1274" i="1"/>
  <c r="A1273" i="1"/>
  <c r="A1272" i="1"/>
  <c r="A1271" i="1"/>
  <c r="A1269" i="1"/>
  <c r="B1120" i="1"/>
  <c r="BD1120" i="1" s="1"/>
  <c r="B1118" i="1"/>
  <c r="BB1118" i="1" s="1"/>
  <c r="A1120" i="1"/>
  <c r="A1118" i="1"/>
  <c r="E283" i="61"/>
  <c r="E261" i="61"/>
  <c r="E281" i="61"/>
  <c r="E260" i="61"/>
  <c r="E282" i="61"/>
  <c r="E259" i="61"/>
  <c r="E278" i="61"/>
  <c r="E258" i="61"/>
  <c r="E272" i="61"/>
  <c r="E256" i="61"/>
  <c r="E279" i="61"/>
  <c r="E254" i="61"/>
  <c r="E285" i="61"/>
  <c r="E253" i="61"/>
  <c r="E277" i="61"/>
  <c r="E251" i="61"/>
  <c r="E280" i="61"/>
  <c r="E250" i="61"/>
  <c r="E276" i="61"/>
  <c r="E249" i="61"/>
  <c r="E284" i="61"/>
  <c r="E248" i="61"/>
  <c r="E265" i="61"/>
  <c r="E247" i="61"/>
  <c r="B255" i="61"/>
  <c r="B221" i="61"/>
  <c r="C221" i="61" s="1"/>
  <c r="B252" i="61"/>
  <c r="B220" i="61"/>
  <c r="B247" i="61"/>
  <c r="B212" i="61"/>
  <c r="C212" i="61" s="1"/>
  <c r="B246" i="61"/>
  <c r="B216" i="61"/>
  <c r="A264" i="61"/>
  <c r="B264" i="61"/>
  <c r="C264" i="61"/>
  <c r="D264" i="61"/>
  <c r="E264" i="61"/>
  <c r="B282" i="61"/>
  <c r="B285" i="61"/>
  <c r="C265" i="61"/>
  <c r="C438" i="61" s="1"/>
  <c r="B235" i="61"/>
  <c r="C235" i="61" s="1"/>
  <c r="B237" i="61"/>
  <c r="C237" i="61" s="1"/>
  <c r="B240" i="61"/>
  <c r="C240" i="61" s="1"/>
  <c r="B232" i="61"/>
  <c r="C232" i="61" s="1"/>
  <c r="B242" i="61"/>
  <c r="C242" i="61" s="1"/>
  <c r="B231" i="61"/>
  <c r="C231" i="61" s="1"/>
  <c r="B234" i="61"/>
  <c r="C234" i="61" s="1"/>
  <c r="B230" i="61"/>
  <c r="C230" i="61" s="1"/>
  <c r="B238" i="61"/>
  <c r="C238" i="61" s="1"/>
  <c r="B229" i="61"/>
  <c r="C229" i="61" s="1"/>
  <c r="B233" i="61"/>
  <c r="C233" i="61" s="1"/>
  <c r="B239" i="61"/>
  <c r="C239" i="61" s="1"/>
  <c r="B228" i="61"/>
  <c r="C228" i="61" s="1"/>
  <c r="B236" i="61"/>
  <c r="C236" i="61" s="1"/>
  <c r="B241" i="61"/>
  <c r="C241" i="61" s="1"/>
  <c r="B209" i="61"/>
  <c r="C209" i="61" s="1"/>
  <c r="B195" i="61"/>
  <c r="C195" i="61" s="1"/>
  <c r="B193" i="61"/>
  <c r="C193" i="61" s="1"/>
  <c r="B196" i="61"/>
  <c r="C196" i="61" s="1"/>
  <c r="B180" i="61"/>
  <c r="C180" i="61" s="1"/>
  <c r="B206" i="61"/>
  <c r="C206" i="61" s="1"/>
  <c r="B207" i="61"/>
  <c r="C207" i="61" s="1"/>
  <c r="C75" i="61"/>
  <c r="B186" i="61"/>
  <c r="C186" i="61" s="1"/>
  <c r="B183" i="61"/>
  <c r="C183" i="61" s="1"/>
  <c r="B204" i="61"/>
  <c r="C204" i="61" s="1"/>
  <c r="B184" i="61"/>
  <c r="C184" i="61" s="1"/>
  <c r="B208" i="61"/>
  <c r="C208" i="61" s="1"/>
  <c r="B200" i="61"/>
  <c r="C200" i="61" s="1"/>
  <c r="B189" i="61"/>
  <c r="C189" i="61" s="1"/>
  <c r="B188" i="61"/>
  <c r="C188" i="61" s="1"/>
  <c r="B192" i="61"/>
  <c r="C192" i="61" s="1"/>
  <c r="B194" i="61"/>
  <c r="C194" i="61" s="1"/>
  <c r="B202" i="61"/>
  <c r="C202" i="61" s="1"/>
  <c r="B190" i="61"/>
  <c r="C190" i="61" s="1"/>
  <c r="B197" i="61"/>
  <c r="C197" i="61" s="1"/>
  <c r="B198" i="61"/>
  <c r="C198" i="61" s="1"/>
  <c r="B205" i="61"/>
  <c r="C205" i="61" s="1"/>
  <c r="B182" i="61"/>
  <c r="C182" i="61" s="1"/>
  <c r="B203" i="61"/>
  <c r="C203" i="61" s="1"/>
  <c r="B191" i="61"/>
  <c r="C191" i="61" s="1"/>
  <c r="B210" i="61"/>
  <c r="C210" i="61" s="1"/>
  <c r="B187" i="61"/>
  <c r="C187" i="61" s="1"/>
  <c r="B181" i="61"/>
  <c r="C181" i="61" s="1"/>
  <c r="B211" i="61"/>
  <c r="C211" i="61" s="1"/>
  <c r="B199" i="61"/>
  <c r="C199" i="61" s="1"/>
  <c r="B201" i="61"/>
  <c r="C201" i="61" s="1"/>
  <c r="B213" i="61"/>
  <c r="C213" i="61" s="1"/>
  <c r="B185" i="61"/>
  <c r="C185" i="61" s="1"/>
  <c r="C47" i="61"/>
  <c r="C44" i="61"/>
  <c r="C83" i="61"/>
  <c r="C222" i="61"/>
  <c r="E438" i="61" l="1"/>
  <c r="B469" i="61"/>
  <c r="B465" i="61"/>
  <c r="B470" i="61"/>
  <c r="B456" i="61"/>
  <c r="B467" i="61"/>
  <c r="B468" i="61"/>
  <c r="B461" i="61"/>
  <c r="B462" i="61"/>
  <c r="B464" i="61"/>
  <c r="B463" i="61"/>
  <c r="B466" i="61"/>
  <c r="B276" i="61"/>
  <c r="D252" i="61"/>
  <c r="BD1323" i="1"/>
  <c r="BB1323" i="1"/>
  <c r="BC1323" i="1"/>
  <c r="BB1319" i="1"/>
  <c r="BC1319" i="1"/>
  <c r="BD1319" i="1"/>
  <c r="BB1315" i="1"/>
  <c r="BC1315" i="1"/>
  <c r="BD1315" i="1"/>
  <c r="BD1311" i="1"/>
  <c r="BB1311" i="1"/>
  <c r="BC1311" i="1"/>
  <c r="BB1307" i="1"/>
  <c r="BC1307" i="1"/>
  <c r="BD1307" i="1"/>
  <c r="BB1303" i="1"/>
  <c r="BC1303" i="1"/>
  <c r="BD1303" i="1"/>
  <c r="BD1299" i="1"/>
  <c r="BB1299" i="1"/>
  <c r="BC1299" i="1"/>
  <c r="BD1295" i="1"/>
  <c r="BB1295" i="1"/>
  <c r="BC1295" i="1"/>
  <c r="BD1291" i="1"/>
  <c r="BB1291" i="1"/>
  <c r="BC1291" i="1"/>
  <c r="BD1327" i="1"/>
  <c r="BB1327" i="1"/>
  <c r="BC1327" i="1"/>
  <c r="BD1331" i="1"/>
  <c r="BB1331" i="1"/>
  <c r="BC1331" i="1"/>
  <c r="BC1336" i="1"/>
  <c r="BD1336" i="1"/>
  <c r="BB1336" i="1"/>
  <c r="BC1340" i="1"/>
  <c r="BD1340" i="1"/>
  <c r="BB1340" i="1"/>
  <c r="BD1322" i="1"/>
  <c r="BB1322" i="1"/>
  <c r="BC1322" i="1"/>
  <c r="BD1318" i="1"/>
  <c r="BB1318" i="1"/>
  <c r="BC1318" i="1"/>
  <c r="BD1314" i="1"/>
  <c r="BB1314" i="1"/>
  <c r="BC1314" i="1"/>
  <c r="BD1310" i="1"/>
  <c r="BB1310" i="1"/>
  <c r="BC1310" i="1"/>
  <c r="BC1306" i="1"/>
  <c r="BD1306" i="1"/>
  <c r="BB1306" i="1"/>
  <c r="BC1302" i="1"/>
  <c r="BD1302" i="1"/>
  <c r="BB1302" i="1"/>
  <c r="BC1298" i="1"/>
  <c r="BD1298" i="1"/>
  <c r="BB1298" i="1"/>
  <c r="BC1294" i="1"/>
  <c r="BD1294" i="1"/>
  <c r="BB1294" i="1"/>
  <c r="BB1328" i="1"/>
  <c r="BC1328" i="1"/>
  <c r="BD1328" i="1"/>
  <c r="BD1332" i="1"/>
  <c r="BB1332" i="1"/>
  <c r="BC1332" i="1"/>
  <c r="BD1337" i="1"/>
  <c r="BB1337" i="1"/>
  <c r="BC1337" i="1"/>
  <c r="BD1341" i="1"/>
  <c r="BB1341" i="1"/>
  <c r="BC1341" i="1"/>
  <c r="BC1321" i="1"/>
  <c r="BD1321" i="1"/>
  <c r="BB1321" i="1"/>
  <c r="BB1317" i="1"/>
  <c r="BC1317" i="1"/>
  <c r="BD1317" i="1"/>
  <c r="BC1313" i="1"/>
  <c r="BD1313" i="1"/>
  <c r="BB1313" i="1"/>
  <c r="BC1309" i="1"/>
  <c r="BD1309" i="1"/>
  <c r="BB1309" i="1"/>
  <c r="BC1305" i="1"/>
  <c r="BD1305" i="1"/>
  <c r="BB1305" i="1"/>
  <c r="BC1301" i="1"/>
  <c r="BD1301" i="1"/>
  <c r="BB1301" i="1"/>
  <c r="BC1297" i="1"/>
  <c r="BD1297" i="1"/>
  <c r="BB1297" i="1"/>
  <c r="BB1293" i="1"/>
  <c r="BC1293" i="1"/>
  <c r="BD1293" i="1"/>
  <c r="BB1324" i="1"/>
  <c r="BC1324" i="1"/>
  <c r="BD1324" i="1"/>
  <c r="BB1329" i="1"/>
  <c r="BC1329" i="1"/>
  <c r="BD1329" i="1"/>
  <c r="BB1334" i="1"/>
  <c r="BD1334" i="1"/>
  <c r="BC1334" i="1"/>
  <c r="BB1338" i="1"/>
  <c r="BC1338" i="1"/>
  <c r="BD1338" i="1"/>
  <c r="BB1320" i="1"/>
  <c r="BC1320" i="1"/>
  <c r="BD1320" i="1"/>
  <c r="BB1316" i="1"/>
  <c r="BC1316" i="1"/>
  <c r="BD1316" i="1"/>
  <c r="BB1312" i="1"/>
  <c r="BC1312" i="1"/>
  <c r="BD1312" i="1"/>
  <c r="BB1308" i="1"/>
  <c r="BC1308" i="1"/>
  <c r="BD1308" i="1"/>
  <c r="BB1304" i="1"/>
  <c r="BC1304" i="1"/>
  <c r="BD1304" i="1"/>
  <c r="BB1300" i="1"/>
  <c r="BC1300" i="1"/>
  <c r="BD1300" i="1"/>
  <c r="BB1296" i="1"/>
  <c r="BC1296" i="1"/>
  <c r="BD1296" i="1"/>
  <c r="BB1292" i="1"/>
  <c r="BC1292" i="1"/>
  <c r="BD1292" i="1"/>
  <c r="BC1326" i="1"/>
  <c r="BD1326" i="1"/>
  <c r="BB1326" i="1"/>
  <c r="BC1330" i="1"/>
  <c r="BD1330" i="1"/>
  <c r="BB1330" i="1"/>
  <c r="BB1335" i="1"/>
  <c r="BC1335" i="1"/>
  <c r="BD1335" i="1"/>
  <c r="BB1339" i="1"/>
  <c r="BC1339" i="1"/>
  <c r="BD1339" i="1"/>
  <c r="BD1286" i="1"/>
  <c r="BD1288" i="1"/>
  <c r="BC1288" i="1"/>
  <c r="BB1285" i="1"/>
  <c r="BD1279" i="1"/>
  <c r="BD1280" i="1"/>
  <c r="BB1281" i="1"/>
  <c r="BD1282" i="1"/>
  <c r="BB1286" i="1"/>
  <c r="BB1279" i="1"/>
  <c r="BC1282" i="1"/>
  <c r="BC1271" i="1"/>
  <c r="BD1275" i="1"/>
  <c r="BD1271" i="1"/>
  <c r="BD1276" i="1"/>
  <c r="BD1272" i="1"/>
  <c r="BC1275" i="1"/>
  <c r="BB1273" i="1"/>
  <c r="BC1274" i="1"/>
  <c r="BB1272" i="1"/>
  <c r="BC1273" i="1"/>
  <c r="BD1274" i="1"/>
  <c r="BB1276" i="1"/>
  <c r="BC1277" i="1"/>
  <c r="BB1280" i="1"/>
  <c r="BD1281" i="1"/>
  <c r="BD1277" i="1"/>
  <c r="BD1285" i="1"/>
  <c r="BD1284" i="1"/>
  <c r="BB1284" i="1"/>
  <c r="BB1283" i="1"/>
  <c r="BC1283" i="1"/>
  <c r="BC1120" i="1"/>
  <c r="BB1120" i="1"/>
  <c r="BD1118" i="1"/>
  <c r="BC1118" i="1"/>
  <c r="B266" i="61"/>
  <c r="B442" i="61" s="1"/>
  <c r="B284" i="61"/>
  <c r="B2511" i="1"/>
  <c r="BC2511" i="1" s="1"/>
  <c r="B1119" i="1"/>
  <c r="B1117" i="1"/>
  <c r="BD1117" i="1" s="1"/>
  <c r="A2511" i="1"/>
  <c r="A1119" i="1"/>
  <c r="A1117" i="1"/>
  <c r="BD2512" i="1"/>
  <c r="BC2512" i="1"/>
  <c r="BB2512" i="1"/>
  <c r="BC1119" i="1" l="1"/>
  <c r="BD1119" i="1"/>
  <c r="BB1119" i="1"/>
  <c r="B279" i="61"/>
  <c r="D255" i="61"/>
  <c r="D247" i="61"/>
  <c r="B272" i="61"/>
  <c r="BB1117" i="1"/>
  <c r="BC1117" i="1"/>
  <c r="BD2511" i="1"/>
  <c r="BB2511" i="1"/>
  <c r="A2169" i="1"/>
  <c r="A2170" i="1"/>
  <c r="AH2175" i="1" l="1"/>
  <c r="AH2174" i="1"/>
  <c r="B2512" i="1"/>
  <c r="A2512" i="1"/>
  <c r="AJ821" i="1"/>
  <c r="AK821" i="1"/>
  <c r="AK825" i="1" l="1"/>
  <c r="AK306" i="30" s="1"/>
  <c r="AK822" i="1"/>
  <c r="AK302" i="30" s="1"/>
  <c r="AK301" i="30"/>
  <c r="AK303" i="30" s="1"/>
  <c r="AK823" i="1"/>
  <c r="AK824" i="1"/>
  <c r="B1235" i="1"/>
  <c r="BC1235" i="1" s="1"/>
  <c r="B1236" i="1"/>
  <c r="BC1236" i="1" s="1"/>
  <c r="B1238" i="1"/>
  <c r="BD1238" i="1" s="1"/>
  <c r="B1237" i="1"/>
  <c r="BB1237" i="1" s="1"/>
  <c r="B1239" i="1"/>
  <c r="BB1239" i="1" s="1"/>
  <c r="B1240" i="1"/>
  <c r="BC1240" i="1" s="1"/>
  <c r="B1241" i="1"/>
  <c r="BD1241" i="1" s="1"/>
  <c r="B1242" i="1"/>
  <c r="BB1242" i="1" s="1"/>
  <c r="B1243" i="1"/>
  <c r="BB1243" i="1" s="1"/>
  <c r="B1244" i="1"/>
  <c r="BC1244" i="1" s="1"/>
  <c r="B1245" i="1"/>
  <c r="BD1245" i="1" s="1"/>
  <c r="B1246" i="1"/>
  <c r="BB1246" i="1" s="1"/>
  <c r="B1247" i="1"/>
  <c r="BB1247" i="1" s="1"/>
  <c r="B1248" i="1"/>
  <c r="BC1248" i="1" s="1"/>
  <c r="B1249" i="1"/>
  <c r="BD1249" i="1" s="1"/>
  <c r="B1250" i="1"/>
  <c r="BB1250" i="1" s="1"/>
  <c r="B1251" i="1"/>
  <c r="BB1251" i="1" s="1"/>
  <c r="B1252" i="1"/>
  <c r="BC1252" i="1" s="1"/>
  <c r="B1253" i="1"/>
  <c r="BD1253" i="1" s="1"/>
  <c r="B1254" i="1"/>
  <c r="BB1254" i="1" s="1"/>
  <c r="B1255" i="1"/>
  <c r="BB1255" i="1" s="1"/>
  <c r="B1256" i="1"/>
  <c r="BC1256" i="1" s="1"/>
  <c r="B1257" i="1"/>
  <c r="BD1257" i="1" s="1"/>
  <c r="B1258" i="1"/>
  <c r="BB1258" i="1" s="1"/>
  <c r="B1259" i="1"/>
  <c r="BB1259" i="1" s="1"/>
  <c r="B1260" i="1"/>
  <c r="BC1260" i="1" s="1"/>
  <c r="B1261" i="1"/>
  <c r="BD1261" i="1" s="1"/>
  <c r="B1262" i="1"/>
  <c r="BB1262" i="1" s="1"/>
  <c r="B1263" i="1"/>
  <c r="BB1263" i="1" s="1"/>
  <c r="B1264" i="1"/>
  <c r="BC1264" i="1" s="1"/>
  <c r="B1265" i="1"/>
  <c r="BD1265" i="1" s="1"/>
  <c r="B1266" i="1"/>
  <c r="BB1266" i="1" s="1"/>
  <c r="B1267" i="1"/>
  <c r="BB1267" i="1" s="1"/>
  <c r="B1268" i="1"/>
  <c r="BC1268" i="1" s="1"/>
  <c r="B1269" i="1"/>
  <c r="BD1269" i="1" s="1"/>
  <c r="A1268" i="1"/>
  <c r="A1267" i="1"/>
  <c r="A1266" i="1"/>
  <c r="A1265" i="1"/>
  <c r="A1263" i="1"/>
  <c r="A1264" i="1"/>
  <c r="A1262" i="1"/>
  <c r="A1261" i="1"/>
  <c r="A1260" i="1"/>
  <c r="A1259" i="1"/>
  <c r="A1258" i="1"/>
  <c r="A1257" i="1"/>
  <c r="A1256" i="1"/>
  <c r="A1255" i="1"/>
  <c r="A1254" i="1"/>
  <c r="A1252" i="1"/>
  <c r="A1253" i="1"/>
  <c r="A1251" i="1"/>
  <c r="A1250" i="1"/>
  <c r="A1249" i="1"/>
  <c r="A1248" i="1"/>
  <c r="A1247" i="1"/>
  <c r="A1246" i="1"/>
  <c r="A1245" i="1"/>
  <c r="A1244" i="1"/>
  <c r="A1243" i="1"/>
  <c r="A1242" i="1"/>
  <c r="A1241" i="1"/>
  <c r="A1240" i="1"/>
  <c r="A1239" i="1"/>
  <c r="A1237" i="1"/>
  <c r="A1238" i="1"/>
  <c r="A1236" i="1"/>
  <c r="B1290" i="1"/>
  <c r="BB1290" i="1" s="1"/>
  <c r="B1289" i="1"/>
  <c r="BC1289" i="1" s="1"/>
  <c r="A1290" i="1"/>
  <c r="A1289" i="1"/>
  <c r="A1235" i="1"/>
  <c r="BD1234" i="1"/>
  <c r="BC1234" i="1"/>
  <c r="BB1234" i="1"/>
  <c r="BC1269" i="1" l="1"/>
  <c r="BB1268" i="1"/>
  <c r="BD1266" i="1"/>
  <c r="BC1265" i="1"/>
  <c r="BB1264" i="1"/>
  <c r="BD1262" i="1"/>
  <c r="BC1261" i="1"/>
  <c r="BB1260" i="1"/>
  <c r="BD1258" i="1"/>
  <c r="BC1257" i="1"/>
  <c r="BB1256" i="1"/>
  <c r="BD1254" i="1"/>
  <c r="BC1253" i="1"/>
  <c r="BB1252" i="1"/>
  <c r="BD1250" i="1"/>
  <c r="BC1249" i="1"/>
  <c r="BB1248" i="1"/>
  <c r="BD1246" i="1"/>
  <c r="BC1245" i="1"/>
  <c r="BB1244" i="1"/>
  <c r="BD1242" i="1"/>
  <c r="BC1241" i="1"/>
  <c r="BB1240" i="1"/>
  <c r="BD1237" i="1"/>
  <c r="BC1238" i="1"/>
  <c r="BB1236" i="1"/>
  <c r="BB1269" i="1"/>
  <c r="BD1267" i="1"/>
  <c r="BC1266" i="1"/>
  <c r="BB1265" i="1"/>
  <c r="BD1263" i="1"/>
  <c r="BC1262" i="1"/>
  <c r="BB1261" i="1"/>
  <c r="BD1259" i="1"/>
  <c r="BC1258" i="1"/>
  <c r="BB1257" i="1"/>
  <c r="BD1255" i="1"/>
  <c r="BC1254" i="1"/>
  <c r="BB1253" i="1"/>
  <c r="BD1251" i="1"/>
  <c r="BC1250" i="1"/>
  <c r="BB1249" i="1"/>
  <c r="BD1247" i="1"/>
  <c r="BC1246" i="1"/>
  <c r="BB1245" i="1"/>
  <c r="BD1243" i="1"/>
  <c r="BC1242" i="1"/>
  <c r="BB1241" i="1"/>
  <c r="BD1239" i="1"/>
  <c r="BC1237" i="1"/>
  <c r="BB1238" i="1"/>
  <c r="BD1268" i="1"/>
  <c r="BC1267" i="1"/>
  <c r="BD1264" i="1"/>
  <c r="BC1263" i="1"/>
  <c r="BD1260" i="1"/>
  <c r="BC1259" i="1"/>
  <c r="BD1256" i="1"/>
  <c r="BC1255" i="1"/>
  <c r="BD1252" i="1"/>
  <c r="BC1251" i="1"/>
  <c r="BD1248" i="1"/>
  <c r="BC1247" i="1"/>
  <c r="BD1244" i="1"/>
  <c r="BC1243" i="1"/>
  <c r="BD1240" i="1"/>
  <c r="BC1239" i="1"/>
  <c r="BD1236" i="1"/>
  <c r="BD1290" i="1"/>
  <c r="BC1290" i="1"/>
  <c r="BD1289" i="1"/>
  <c r="BB1289" i="1"/>
  <c r="BD1235" i="1"/>
  <c r="BB1235" i="1"/>
  <c r="AM1732" i="1"/>
  <c r="AI1732" i="1"/>
  <c r="B1732" i="1"/>
  <c r="BB1732" i="1" s="1"/>
  <c r="A1732" i="1"/>
  <c r="B1731" i="1"/>
  <c r="BD1731" i="1" s="1"/>
  <c r="A1731" i="1"/>
  <c r="F73" i="61"/>
  <c r="F74" i="61"/>
  <c r="C108" i="30"/>
  <c r="D108" i="30"/>
  <c r="E108" i="30"/>
  <c r="F108" i="30"/>
  <c r="G108" i="30"/>
  <c r="H108" i="30"/>
  <c r="I108" i="30"/>
  <c r="J108" i="30"/>
  <c r="K108" i="30"/>
  <c r="L108" i="30"/>
  <c r="M108" i="30"/>
  <c r="N108" i="30"/>
  <c r="O108" i="30"/>
  <c r="P108" i="30"/>
  <c r="Q108" i="30"/>
  <c r="R108" i="30"/>
  <c r="S108" i="30"/>
  <c r="T108" i="30"/>
  <c r="U108" i="30"/>
  <c r="V108" i="30"/>
  <c r="W108" i="30"/>
  <c r="X108" i="30"/>
  <c r="Y108" i="30"/>
  <c r="Z108" i="30"/>
  <c r="AA108" i="30"/>
  <c r="AB108" i="30"/>
  <c r="AC108" i="30"/>
  <c r="AD108" i="30"/>
  <c r="AE108" i="30"/>
  <c r="AG108" i="30"/>
  <c r="AH108" i="30"/>
  <c r="AI108" i="30"/>
  <c r="AJ108" i="30"/>
  <c r="AK108" i="30"/>
  <c r="AL108" i="30"/>
  <c r="AM108" i="30"/>
  <c r="AN108" i="30"/>
  <c r="AO108" i="30"/>
  <c r="AP108" i="30"/>
  <c r="AQ108" i="30"/>
  <c r="AV108" i="30"/>
  <c r="BA108" i="30"/>
  <c r="B204" i="1"/>
  <c r="A204" i="1"/>
  <c r="A108" i="30" s="1"/>
  <c r="C614" i="30"/>
  <c r="D614" i="30"/>
  <c r="E614" i="30"/>
  <c r="F614" i="30"/>
  <c r="G614" i="30"/>
  <c r="H614" i="30"/>
  <c r="I614" i="30"/>
  <c r="J614" i="30"/>
  <c r="K614" i="30"/>
  <c r="L614" i="30"/>
  <c r="M614" i="30"/>
  <c r="N614" i="30"/>
  <c r="O614" i="30"/>
  <c r="P614" i="30"/>
  <c r="Q614" i="30"/>
  <c r="R614" i="30"/>
  <c r="S614" i="30"/>
  <c r="T614" i="30"/>
  <c r="U614" i="30"/>
  <c r="V614" i="30"/>
  <c r="W614" i="30"/>
  <c r="X614" i="30"/>
  <c r="Y614" i="30"/>
  <c r="Z614" i="30"/>
  <c r="AA614" i="30"/>
  <c r="AB614" i="30"/>
  <c r="AC614" i="30"/>
  <c r="AD614" i="30"/>
  <c r="AE614" i="30"/>
  <c r="AG614" i="30"/>
  <c r="AH614" i="30"/>
  <c r="AI614" i="30"/>
  <c r="AJ614" i="30"/>
  <c r="AK614" i="30"/>
  <c r="AL614" i="30"/>
  <c r="AM614" i="30"/>
  <c r="AN614" i="30"/>
  <c r="AO614" i="30"/>
  <c r="AP614" i="30"/>
  <c r="AQ614" i="30"/>
  <c r="AV614" i="30"/>
  <c r="BA614" i="30"/>
  <c r="B1882" i="1"/>
  <c r="BB1882" i="1" s="1"/>
  <c r="BB614" i="30" s="1"/>
  <c r="A1882" i="1"/>
  <c r="A614" i="30" s="1"/>
  <c r="C612" i="30"/>
  <c r="D612" i="30"/>
  <c r="E612" i="30"/>
  <c r="F612" i="30"/>
  <c r="G612" i="30"/>
  <c r="H612" i="30"/>
  <c r="I612" i="30"/>
  <c r="J612" i="30"/>
  <c r="K612" i="30"/>
  <c r="L612" i="30"/>
  <c r="M612" i="30"/>
  <c r="N612" i="30"/>
  <c r="O612" i="30"/>
  <c r="P612" i="30"/>
  <c r="Q612" i="30"/>
  <c r="R612" i="30"/>
  <c r="S612" i="30"/>
  <c r="T612" i="30"/>
  <c r="U612" i="30"/>
  <c r="V612" i="30"/>
  <c r="W612" i="30"/>
  <c r="X612" i="30"/>
  <c r="Y612" i="30"/>
  <c r="Z612" i="30"/>
  <c r="AA612" i="30"/>
  <c r="AB612" i="30"/>
  <c r="AC612" i="30"/>
  <c r="AD612" i="30"/>
  <c r="AE612" i="30"/>
  <c r="AF612" i="30"/>
  <c r="AG612" i="30"/>
  <c r="AH612" i="30"/>
  <c r="AI612" i="30"/>
  <c r="AJ612" i="30"/>
  <c r="AK612" i="30"/>
  <c r="AL612" i="30"/>
  <c r="AM612" i="30"/>
  <c r="AN612" i="30"/>
  <c r="AO612" i="30"/>
  <c r="AP612" i="30"/>
  <c r="AQ612" i="30"/>
  <c r="AV612" i="30"/>
  <c r="BA612" i="30"/>
  <c r="B1955" i="1"/>
  <c r="A1955" i="1"/>
  <c r="B1954" i="1"/>
  <c r="A1954" i="1"/>
  <c r="B1973" i="1"/>
  <c r="BB1973" i="1" s="1"/>
  <c r="A1973" i="1"/>
  <c r="B1968" i="1"/>
  <c r="BB1968" i="1" s="1"/>
  <c r="B1967" i="1"/>
  <c r="A1968" i="1"/>
  <c r="A1967" i="1"/>
  <c r="BB204" i="1" l="1"/>
  <c r="BB108" i="30" s="1"/>
  <c r="BC204" i="1"/>
  <c r="BC108" i="30" s="1"/>
  <c r="BD204" i="1"/>
  <c r="BD108" i="30" s="1"/>
  <c r="BC1954" i="1"/>
  <c r="BB1954" i="1"/>
  <c r="BD1954" i="1"/>
  <c r="BD1955" i="1"/>
  <c r="BC1955" i="1"/>
  <c r="BB1955" i="1"/>
  <c r="BC1731" i="1"/>
  <c r="BB1731" i="1"/>
  <c r="BD1732" i="1"/>
  <c r="BC1732" i="1"/>
  <c r="BD1882" i="1"/>
  <c r="BD614" i="30" s="1"/>
  <c r="B108" i="30"/>
  <c r="BC1882" i="1"/>
  <c r="BC614" i="30" s="1"/>
  <c r="B614" i="30"/>
  <c r="BD1973" i="1"/>
  <c r="BC1973" i="1"/>
  <c r="BD1968" i="1"/>
  <c r="BC1968" i="1"/>
  <c r="B1958" i="1"/>
  <c r="BB1958" i="1" s="1"/>
  <c r="A1958" i="1"/>
  <c r="B1962" i="1"/>
  <c r="B1960" i="1"/>
  <c r="B1959" i="1"/>
  <c r="BC1959" i="1" s="1"/>
  <c r="B1956" i="1"/>
  <c r="B1957" i="1"/>
  <c r="A1962" i="1"/>
  <c r="A1960" i="1"/>
  <c r="A1959" i="1"/>
  <c r="A1956" i="1"/>
  <c r="A1957" i="1"/>
  <c r="BB1959" i="1" l="1"/>
  <c r="BD1958" i="1"/>
  <c r="BD1959" i="1"/>
  <c r="BC1958" i="1"/>
  <c r="A1646" i="1"/>
  <c r="B1646" i="1"/>
  <c r="BC1646" i="1" s="1"/>
  <c r="B1645" i="1"/>
  <c r="BB1645" i="1" s="1"/>
  <c r="A1645" i="1"/>
  <c r="J2455" i="1"/>
  <c r="K2455" i="1"/>
  <c r="L2455" i="1"/>
  <c r="M2455" i="1"/>
  <c r="N2455" i="1"/>
  <c r="O2455" i="1"/>
  <c r="P2455" i="1"/>
  <c r="Q2455" i="1"/>
  <c r="R2455" i="1"/>
  <c r="T2455" i="1"/>
  <c r="U2455" i="1"/>
  <c r="W2455" i="1"/>
  <c r="X2455" i="1"/>
  <c r="Y2455" i="1"/>
  <c r="Z2455" i="1"/>
  <c r="AA2455" i="1"/>
  <c r="AB2455" i="1"/>
  <c r="AC2455" i="1"/>
  <c r="AD2455" i="1"/>
  <c r="AE2455" i="1"/>
  <c r="AF2455" i="1"/>
  <c r="AG2455" i="1"/>
  <c r="AH2455" i="1"/>
  <c r="AI2455" i="1"/>
  <c r="AJ2455" i="1"/>
  <c r="AK2455" i="1"/>
  <c r="BD2456" i="1"/>
  <c r="BC2456" i="1"/>
  <c r="BB2456" i="1"/>
  <c r="BD2455" i="1"/>
  <c r="BC2455" i="1"/>
  <c r="BB2455" i="1"/>
  <c r="B2459" i="1"/>
  <c r="BC2459" i="1" s="1"/>
  <c r="A2459" i="1"/>
  <c r="BB1915" i="1"/>
  <c r="BC1915" i="1"/>
  <c r="BD1915" i="1"/>
  <c r="BB1511" i="1"/>
  <c r="BC1511" i="1"/>
  <c r="BD1511" i="1"/>
  <c r="BB761" i="1"/>
  <c r="BC761" i="1"/>
  <c r="BD761" i="1"/>
  <c r="BB2329" i="1"/>
  <c r="BC2329" i="1"/>
  <c r="BD2329" i="1"/>
  <c r="B1947" i="1"/>
  <c r="BD1947" i="1" s="1"/>
  <c r="A1947" i="1"/>
  <c r="B1989" i="1"/>
  <c r="BD1989" i="1" s="1"/>
  <c r="A1989" i="1"/>
  <c r="H53" i="61"/>
  <c r="H23" i="61"/>
  <c r="H26" i="61"/>
  <c r="H29" i="61"/>
  <c r="H30" i="61"/>
  <c r="H31" i="61"/>
  <c r="H32" i="61"/>
  <c r="H33" i="61"/>
  <c r="H35" i="61"/>
  <c r="H36" i="61"/>
  <c r="H37" i="61"/>
  <c r="H39" i="61"/>
  <c r="H40" i="61"/>
  <c r="H41" i="61"/>
  <c r="C253" i="61"/>
  <c r="G4" i="61"/>
  <c r="G5" i="61"/>
  <c r="G6" i="61"/>
  <c r="G7" i="61"/>
  <c r="G8" i="61"/>
  <c r="G9" i="61"/>
  <c r="G10" i="61"/>
  <c r="G11" i="61"/>
  <c r="G12" i="61"/>
  <c r="G13" i="61"/>
  <c r="G14" i="61"/>
  <c r="G15" i="61"/>
  <c r="G16" i="61"/>
  <c r="G17" i="61"/>
  <c r="G18" i="61"/>
  <c r="G19" i="61"/>
  <c r="G20" i="61"/>
  <c r="G21" i="61"/>
  <c r="G22" i="61"/>
  <c r="G23" i="61"/>
  <c r="G24" i="61"/>
  <c r="G25" i="61"/>
  <c r="G26" i="61"/>
  <c r="G27" i="61"/>
  <c r="G28" i="61"/>
  <c r="G29" i="61"/>
  <c r="G30" i="61"/>
  <c r="G31" i="61"/>
  <c r="G32" i="61"/>
  <c r="G33" i="61"/>
  <c r="G34" i="61"/>
  <c r="G35" i="61"/>
  <c r="G36" i="61"/>
  <c r="G37" i="61"/>
  <c r="G38" i="61"/>
  <c r="G39" i="61"/>
  <c r="G40" i="61"/>
  <c r="G41" i="61"/>
  <c r="G42" i="61"/>
  <c r="H83" i="61"/>
  <c r="D253" i="61" l="1"/>
  <c r="BB1646" i="1"/>
  <c r="BD1645" i="1"/>
  <c r="BD1646" i="1"/>
  <c r="BC1645" i="1"/>
  <c r="BB2459" i="1"/>
  <c r="BD2459" i="1"/>
  <c r="BB1989" i="1"/>
  <c r="BC1947" i="1"/>
  <c r="BB1947" i="1"/>
  <c r="BC1989" i="1"/>
  <c r="D86" i="61"/>
  <c r="H89" i="61"/>
  <c r="H90" i="61"/>
  <c r="H92" i="61"/>
  <c r="H93" i="61"/>
  <c r="H94" i="61"/>
  <c r="H96" i="61"/>
  <c r="H97" i="61"/>
  <c r="H98" i="61"/>
  <c r="H100" i="61"/>
  <c r="B217" i="61"/>
  <c r="F901" i="1"/>
  <c r="B478" i="1"/>
  <c r="A478" i="1"/>
  <c r="B1921" i="1"/>
  <c r="BB1921" i="1" s="1"/>
  <c r="A1921" i="1"/>
  <c r="BD478" i="1" l="1"/>
  <c r="BB478" i="1"/>
  <c r="BC478" i="1"/>
  <c r="C216" i="61"/>
  <c r="B265" i="61"/>
  <c r="B438" i="61" s="1"/>
  <c r="C217" i="61"/>
  <c r="BD1921" i="1"/>
  <c r="BC1921" i="1"/>
  <c r="B224" i="61"/>
  <c r="C224" i="61" s="1"/>
  <c r="B1852" i="1"/>
  <c r="BB1852" i="1" s="1"/>
  <c r="B1850" i="1"/>
  <c r="B1849" i="1"/>
  <c r="BB1849" i="1" s="1"/>
  <c r="B1847" i="1"/>
  <c r="B1846" i="1"/>
  <c r="BD1846" i="1" s="1"/>
  <c r="A1852" i="1"/>
  <c r="A1850" i="1"/>
  <c r="A1849" i="1"/>
  <c r="A1847" i="1"/>
  <c r="A1846" i="1"/>
  <c r="B219" i="61"/>
  <c r="C219" i="61" s="1"/>
  <c r="G44" i="61"/>
  <c r="F53" i="61"/>
  <c r="F3" i="61"/>
  <c r="F4" i="61"/>
  <c r="F5" i="61"/>
  <c r="F6" i="61"/>
  <c r="F7"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4" i="61"/>
  <c r="F55" i="61"/>
  <c r="F56" i="61"/>
  <c r="F57" i="61"/>
  <c r="F58" i="61"/>
  <c r="F59" i="61"/>
  <c r="F60" i="61"/>
  <c r="F61" i="61"/>
  <c r="F62" i="61"/>
  <c r="F63" i="61"/>
  <c r="F64" i="61"/>
  <c r="F65" i="61"/>
  <c r="F66" i="61"/>
  <c r="F67" i="61"/>
  <c r="F68" i="61"/>
  <c r="F69" i="61"/>
  <c r="F70" i="61"/>
  <c r="F71" i="61"/>
  <c r="F72" i="61"/>
  <c r="F75" i="61"/>
  <c r="F76" i="61"/>
  <c r="F77" i="61"/>
  <c r="F78" i="61"/>
  <c r="F79" i="61"/>
  <c r="F80" i="61"/>
  <c r="F81" i="61"/>
  <c r="F82" i="61"/>
  <c r="F86" i="61"/>
  <c r="F87" i="61"/>
  <c r="F88" i="61"/>
  <c r="F89" i="61"/>
  <c r="F90" i="61"/>
  <c r="F91" i="61"/>
  <c r="F92" i="61"/>
  <c r="F93" i="61"/>
  <c r="F94" i="61"/>
  <c r="F95" i="61"/>
  <c r="F96" i="61"/>
  <c r="F97" i="61"/>
  <c r="F98" i="61"/>
  <c r="F99" i="61"/>
  <c r="F100" i="61"/>
  <c r="BB1806" i="1"/>
  <c r="BC1806" i="1"/>
  <c r="BD1806" i="1"/>
  <c r="BB1807" i="1"/>
  <c r="BC1807" i="1"/>
  <c r="BD1807" i="1"/>
  <c r="BB1808" i="1"/>
  <c r="BC1808" i="1"/>
  <c r="BD1808" i="1"/>
  <c r="BB1826" i="1"/>
  <c r="BC1826" i="1"/>
  <c r="BD1826" i="1"/>
  <c r="C248" i="61"/>
  <c r="BB1824" i="1"/>
  <c r="BC1824" i="1"/>
  <c r="BD1824" i="1"/>
  <c r="BB1823" i="1"/>
  <c r="BC1823" i="1"/>
  <c r="BD1823" i="1"/>
  <c r="C261" i="61"/>
  <c r="D261" i="61" s="1"/>
  <c r="C259" i="61"/>
  <c r="BB1820" i="1"/>
  <c r="BC1820" i="1"/>
  <c r="BD1820" i="1"/>
  <c r="C260" i="61"/>
  <c r="C249" i="61"/>
  <c r="AK855" i="1"/>
  <c r="AK853" i="1" s="1"/>
  <c r="BB1813" i="1"/>
  <c r="BC1813" i="1"/>
  <c r="BD1813" i="1"/>
  <c r="BB1814" i="1"/>
  <c r="BC1814" i="1"/>
  <c r="BD1814" i="1"/>
  <c r="BB1818" i="1"/>
  <c r="BC1818" i="1"/>
  <c r="BD1818" i="1"/>
  <c r="BB1819" i="1"/>
  <c r="BC1819" i="1"/>
  <c r="BD1819" i="1"/>
  <c r="C256" i="61"/>
  <c r="C254" i="61"/>
  <c r="C258" i="61"/>
  <c r="C251" i="61"/>
  <c r="C277" i="61" s="1"/>
  <c r="C250" i="61"/>
  <c r="D250" i="61" s="1"/>
  <c r="BB1812" i="1"/>
  <c r="BC1812" i="1"/>
  <c r="BD1812" i="1"/>
  <c r="BB1810" i="1"/>
  <c r="BC1810" i="1"/>
  <c r="BD1810" i="1"/>
  <c r="B864" i="1"/>
  <c r="BD864" i="1" s="1"/>
  <c r="B863" i="1"/>
  <c r="BB863" i="1" s="1"/>
  <c r="A864" i="1"/>
  <c r="A863" i="1"/>
  <c r="BB2150" i="1"/>
  <c r="BC2150" i="1"/>
  <c r="BD2150" i="1"/>
  <c r="B855" i="1"/>
  <c r="BC855" i="1" s="1"/>
  <c r="B853" i="1"/>
  <c r="BD853" i="1" s="1"/>
  <c r="A855" i="1"/>
  <c r="A853" i="1"/>
  <c r="B854" i="1"/>
  <c r="BD854" i="1" s="1"/>
  <c r="A854" i="1"/>
  <c r="BB2319" i="1"/>
  <c r="BC2319" i="1"/>
  <c r="BD2319" i="1"/>
  <c r="B1942" i="1"/>
  <c r="BC1942" i="1" s="1"/>
  <c r="A1942" i="1"/>
  <c r="B336" i="1"/>
  <c r="A336" i="1"/>
  <c r="B335" i="1"/>
  <c r="A335" i="1"/>
  <c r="B334" i="1"/>
  <c r="A334" i="1"/>
  <c r="BB2315" i="1"/>
  <c r="BC2315" i="1"/>
  <c r="BD2315" i="1"/>
  <c r="BY38" i="57"/>
  <c r="BZ37" i="57"/>
  <c r="BY37" i="57"/>
  <c r="BV37" i="57"/>
  <c r="BB335" i="1" l="1"/>
  <c r="BC335" i="1"/>
  <c r="BD335" i="1"/>
  <c r="BD334" i="1"/>
  <c r="BC334" i="1"/>
  <c r="BB334" i="1"/>
  <c r="BB336" i="1"/>
  <c r="BC336" i="1"/>
  <c r="BD336" i="1"/>
  <c r="C269" i="61"/>
  <c r="C266" i="61"/>
  <c r="C442" i="61" s="1"/>
  <c r="C271" i="61"/>
  <c r="C272" i="61"/>
  <c r="C285" i="61"/>
  <c r="H42" i="61"/>
  <c r="C281" i="61"/>
  <c r="C267" i="61"/>
  <c r="C440" i="61" s="1"/>
  <c r="C279" i="61"/>
  <c r="C283" i="61"/>
  <c r="H17" i="61"/>
  <c r="H4" i="61"/>
  <c r="C278" i="61"/>
  <c r="C276" i="61"/>
  <c r="C280" i="61"/>
  <c r="C282" i="61"/>
  <c r="C284" i="61"/>
  <c r="H13" i="61"/>
  <c r="H19" i="61"/>
  <c r="H16" i="61"/>
  <c r="H22" i="61"/>
  <c r="D246" i="61"/>
  <c r="D265" i="61" s="1"/>
  <c r="D438" i="61" s="1"/>
  <c r="H18" i="61"/>
  <c r="H6" i="61"/>
  <c r="H12" i="61"/>
  <c r="H25" i="61"/>
  <c r="H21" i="61"/>
  <c r="H11" i="61"/>
  <c r="H14" i="61"/>
  <c r="D254" i="61"/>
  <c r="H27" i="61"/>
  <c r="D260" i="61"/>
  <c r="H28" i="61"/>
  <c r="D259" i="61"/>
  <c r="H38" i="61"/>
  <c r="D248" i="61"/>
  <c r="H7" i="61"/>
  <c r="D258" i="61"/>
  <c r="H15" i="61"/>
  <c r="D256" i="61"/>
  <c r="H34" i="61"/>
  <c r="H9" i="61"/>
  <c r="H10" i="61"/>
  <c r="H8" i="61"/>
  <c r="H20" i="61"/>
  <c r="H24" i="61"/>
  <c r="D249" i="61"/>
  <c r="H5" i="61"/>
  <c r="D251" i="61"/>
  <c r="BD1852" i="1"/>
  <c r="BC1852" i="1"/>
  <c r="BC1846" i="1"/>
  <c r="BB1846" i="1"/>
  <c r="BD1849" i="1"/>
  <c r="BC1849" i="1"/>
  <c r="BD863" i="1"/>
  <c r="BC863" i="1"/>
  <c r="BD855" i="1"/>
  <c r="BB855" i="1"/>
  <c r="BC864" i="1"/>
  <c r="BB864" i="1"/>
  <c r="BC853" i="1"/>
  <c r="BB853" i="1"/>
  <c r="BB854" i="1"/>
  <c r="BC854" i="1"/>
  <c r="BB1942" i="1"/>
  <c r="BD1942" i="1"/>
  <c r="G47" i="61"/>
  <c r="C48" i="61"/>
  <c r="G48" i="61" s="1"/>
  <c r="C87" i="61"/>
  <c r="C49" i="61"/>
  <c r="G49" i="61" s="1"/>
  <c r="C50" i="61"/>
  <c r="G50" i="61" s="1"/>
  <c r="C51" i="61"/>
  <c r="G51" i="61" s="1"/>
  <c r="C52" i="61"/>
  <c r="G52" i="61" s="1"/>
  <c r="C53" i="61"/>
  <c r="G53" i="61" s="1"/>
  <c r="C54" i="61"/>
  <c r="G54" i="61" s="1"/>
  <c r="C55" i="61"/>
  <c r="G55" i="61" s="1"/>
  <c r="C56" i="61"/>
  <c r="G56" i="61" s="1"/>
  <c r="C57" i="61"/>
  <c r="G57" i="61" s="1"/>
  <c r="C58" i="61"/>
  <c r="G58" i="61" s="1"/>
  <c r="C59" i="61"/>
  <c r="G59" i="61" s="1"/>
  <c r="C60" i="61"/>
  <c r="G60" i="61" s="1"/>
  <c r="C61" i="61"/>
  <c r="G61" i="61" s="1"/>
  <c r="C62" i="61"/>
  <c r="G62" i="61" s="1"/>
  <c r="C63" i="61"/>
  <c r="G63" i="61" s="1"/>
  <c r="C64" i="61"/>
  <c r="G64" i="61" s="1"/>
  <c r="C65" i="61"/>
  <c r="G65" i="61" s="1"/>
  <c r="C66" i="61"/>
  <c r="G66" i="61" s="1"/>
  <c r="C67" i="61"/>
  <c r="G67" i="61" s="1"/>
  <c r="C68" i="61"/>
  <c r="G68" i="61" s="1"/>
  <c r="C69" i="61"/>
  <c r="G69" i="61" s="1"/>
  <c r="C70" i="61"/>
  <c r="G70" i="61" s="1"/>
  <c r="C71" i="61"/>
  <c r="G71" i="61" s="1"/>
  <c r="C72" i="61"/>
  <c r="G72" i="61" s="1"/>
  <c r="G75" i="61"/>
  <c r="C76" i="61"/>
  <c r="G76" i="61" s="1"/>
  <c r="C77" i="61"/>
  <c r="G77" i="61" s="1"/>
  <c r="C78" i="61"/>
  <c r="G78" i="61" s="1"/>
  <c r="C79" i="61"/>
  <c r="G79" i="61" s="1"/>
  <c r="C80" i="61"/>
  <c r="G80" i="61" s="1"/>
  <c r="C81" i="61"/>
  <c r="G81" i="61" s="1"/>
  <c r="H86" i="61"/>
  <c r="D103" i="61"/>
  <c r="H103" i="61" s="1"/>
  <c r="D104" i="61"/>
  <c r="H104" i="61" s="1"/>
  <c r="D105" i="61"/>
  <c r="H105" i="61" s="1"/>
  <c r="D91" i="61"/>
  <c r="H91" i="61" s="1"/>
  <c r="D106" i="61"/>
  <c r="H106" i="61" s="1"/>
  <c r="D107" i="61"/>
  <c r="H107" i="61" s="1"/>
  <c r="D108" i="61"/>
  <c r="H108" i="61" s="1"/>
  <c r="D109" i="61"/>
  <c r="H109" i="61" s="1"/>
  <c r="D95" i="61"/>
  <c r="H95" i="61" s="1"/>
  <c r="D110" i="61"/>
  <c r="H110" i="61" s="1"/>
  <c r="D111" i="61"/>
  <c r="H111" i="61" s="1"/>
  <c r="D112" i="61"/>
  <c r="H112" i="61" s="1"/>
  <c r="D99" i="61"/>
  <c r="H99" i="61" s="1"/>
  <c r="B223" i="61"/>
  <c r="C223" i="61" s="1"/>
  <c r="B218" i="61"/>
  <c r="C218" i="61" s="1"/>
  <c r="B225" i="61"/>
  <c r="C225" i="61" s="1"/>
  <c r="B278" i="61"/>
  <c r="B250" i="61"/>
  <c r="B271" i="61" s="1"/>
  <c r="B283" i="61"/>
  <c r="D271" i="61" l="1"/>
  <c r="D285" i="61"/>
  <c r="D267" i="61"/>
  <c r="D440" i="61" s="1"/>
  <c r="D266" i="61"/>
  <c r="D442" i="61" s="1"/>
  <c r="C220" i="61"/>
  <c r="B267" i="61"/>
  <c r="B440" i="61" s="1"/>
  <c r="D278" i="61"/>
  <c r="B277" i="61"/>
  <c r="D283" i="61"/>
  <c r="D280" i="61"/>
  <c r="D282" i="61"/>
  <c r="D279" i="61"/>
  <c r="D277" i="61"/>
  <c r="D272" i="61"/>
  <c r="D284" i="61"/>
  <c r="B280" i="61"/>
  <c r="J1081" i="1"/>
  <c r="K1081" i="1"/>
  <c r="L1081" i="1"/>
  <c r="J1079" i="1"/>
  <c r="K1079" i="1"/>
  <c r="L1079" i="1"/>
  <c r="M1079" i="1"/>
  <c r="N1079" i="1"/>
  <c r="O1079" i="1"/>
  <c r="P1079" i="1"/>
  <c r="Q1079" i="1"/>
  <c r="R1079" i="1"/>
  <c r="S1079" i="1"/>
  <c r="T1079" i="1"/>
  <c r="U1079" i="1"/>
  <c r="V1079" i="1"/>
  <c r="W1079" i="1"/>
  <c r="X1079" i="1"/>
  <c r="Y1079" i="1"/>
  <c r="Z1079" i="1"/>
  <c r="AA1079" i="1"/>
  <c r="AB1079" i="1"/>
  <c r="AC1079" i="1"/>
  <c r="AD1079" i="1"/>
  <c r="AE1079" i="1"/>
  <c r="AF1079" i="1"/>
  <c r="AG1079" i="1"/>
  <c r="AH1079" i="1"/>
  <c r="AI1079" i="1"/>
  <c r="AJ1079" i="1"/>
  <c r="M1081" i="1"/>
  <c r="N1081" i="1"/>
  <c r="O1081" i="1"/>
  <c r="P1081" i="1"/>
  <c r="Q1081" i="1"/>
  <c r="R1081" i="1"/>
  <c r="S1081" i="1"/>
  <c r="T1081" i="1"/>
  <c r="U1081" i="1"/>
  <c r="V1081" i="1"/>
  <c r="W1081" i="1"/>
  <c r="X1081" i="1"/>
  <c r="Y1081" i="1"/>
  <c r="Z1081" i="1"/>
  <c r="AA1081" i="1"/>
  <c r="AB1081" i="1"/>
  <c r="AC1081" i="1"/>
  <c r="AD1081" i="1"/>
  <c r="AE1081" i="1"/>
  <c r="AF1081" i="1"/>
  <c r="AG1081" i="1"/>
  <c r="AH1081" i="1"/>
  <c r="AI1081" i="1"/>
  <c r="AK1081" i="1"/>
  <c r="AK1082" i="1" s="1"/>
  <c r="AJ1081" i="1"/>
  <c r="AJ1082" i="1" s="1"/>
  <c r="AK1079" i="1"/>
  <c r="AK1061" i="1"/>
  <c r="AJ1061" i="1"/>
  <c r="AI1061" i="1"/>
  <c r="AH1061" i="1"/>
  <c r="AG1061" i="1"/>
  <c r="AF1061" i="1"/>
  <c r="AE1061" i="1"/>
  <c r="AD1061" i="1"/>
  <c r="AC1061" i="1"/>
  <c r="AC1062" i="1" s="1"/>
  <c r="AB1061" i="1"/>
  <c r="AB1062" i="1" s="1"/>
  <c r="AA1061" i="1"/>
  <c r="AA1062" i="1" s="1"/>
  <c r="Z1061" i="1"/>
  <c r="Z1062" i="1" s="1"/>
  <c r="Y1061" i="1"/>
  <c r="Y1062" i="1" s="1"/>
  <c r="N1061" i="1"/>
  <c r="O1061" i="1"/>
  <c r="P1061" i="1"/>
  <c r="Q1061" i="1"/>
  <c r="R1061" i="1"/>
  <c r="W1066" i="1"/>
  <c r="X1066" i="1"/>
  <c r="Y1066" i="1"/>
  <c r="Z1066" i="1"/>
  <c r="AA1066" i="1"/>
  <c r="AB1066" i="1"/>
  <c r="AC1066" i="1"/>
  <c r="AD1066" i="1"/>
  <c r="AE1066" i="1"/>
  <c r="AF1066" i="1"/>
  <c r="AG1066" i="1"/>
  <c r="AH1066" i="1"/>
  <c r="AI1066" i="1"/>
  <c r="N1064" i="1"/>
  <c r="O1064" i="1"/>
  <c r="P1064" i="1"/>
  <c r="Q1064" i="1"/>
  <c r="R1064" i="1"/>
  <c r="Y1064" i="1"/>
  <c r="Z1064" i="1"/>
  <c r="AA1064" i="1"/>
  <c r="AB1064" i="1"/>
  <c r="AC1064" i="1"/>
  <c r="AD1064" i="1"/>
  <c r="M1061" i="1"/>
  <c r="X1063" i="1"/>
  <c r="X1061" i="1" s="1"/>
  <c r="X1062" i="1" s="1"/>
  <c r="W1063" i="1"/>
  <c r="W1061" i="1" s="1"/>
  <c r="W1062" i="1" s="1"/>
  <c r="U1061" i="1"/>
  <c r="T1063" i="1"/>
  <c r="T1061" i="1" s="1"/>
  <c r="G1074" i="1"/>
  <c r="B1074" i="1"/>
  <c r="B1075" i="1"/>
  <c r="B1079" i="1"/>
  <c r="B1080" i="1"/>
  <c r="B1081" i="1"/>
  <c r="B1082" i="1"/>
  <c r="B1076" i="1"/>
  <c r="B1077" i="1"/>
  <c r="B1061" i="1"/>
  <c r="B1062" i="1"/>
  <c r="A1062" i="1"/>
  <c r="A1061" i="1"/>
  <c r="A1077" i="1"/>
  <c r="A1076" i="1"/>
  <c r="A1082" i="1"/>
  <c r="A1081" i="1"/>
  <c r="A1080" i="1"/>
  <c r="A1079" i="1"/>
  <c r="A1075" i="1"/>
  <c r="A1074" i="1"/>
  <c r="BR6" i="57"/>
  <c r="BR7" i="57" s="1"/>
  <c r="BR8" i="57" s="1"/>
  <c r="BR38" i="57"/>
  <c r="BR37" i="57" s="1"/>
  <c r="E1061" i="1"/>
  <c r="F1061" i="1"/>
  <c r="G1061" i="1"/>
  <c r="E1062" i="1"/>
  <c r="F1062" i="1"/>
  <c r="G1062" i="1"/>
  <c r="D1065" i="1"/>
  <c r="BD1065" i="1" s="1"/>
  <c r="E1065" i="1"/>
  <c r="F1065" i="1"/>
  <c r="G1065" i="1"/>
  <c r="D1066" i="1"/>
  <c r="E1066" i="1"/>
  <c r="F1066" i="1"/>
  <c r="G1066" i="1"/>
  <c r="BL38" i="57"/>
  <c r="D1062" i="1" s="1"/>
  <c r="BL37" i="57"/>
  <c r="D1061" i="1" s="1"/>
  <c r="D1063" i="1"/>
  <c r="BD1063" i="1" s="1"/>
  <c r="E1063" i="1"/>
  <c r="F1063" i="1"/>
  <c r="G1063" i="1"/>
  <c r="D1064" i="1"/>
  <c r="E1064" i="1"/>
  <c r="F1064" i="1"/>
  <c r="G1064" i="1"/>
  <c r="E1076" i="1"/>
  <c r="AA37" i="57"/>
  <c r="AE37" i="57" s="1"/>
  <c r="W37" i="57"/>
  <c r="D1081" i="1" s="1"/>
  <c r="BD1081" i="1" s="1"/>
  <c r="X37" i="57"/>
  <c r="E1081" i="1" s="1"/>
  <c r="S37" i="57"/>
  <c r="D1079" i="1" s="1"/>
  <c r="F1076" i="1"/>
  <c r="G1076" i="1"/>
  <c r="F1081" i="1"/>
  <c r="G1081" i="1"/>
  <c r="E1079" i="1"/>
  <c r="F1079" i="1"/>
  <c r="G1079" i="1"/>
  <c r="E1074" i="1"/>
  <c r="F1074" i="1"/>
  <c r="B1058" i="1"/>
  <c r="BD1058" i="1" s="1"/>
  <c r="A1058" i="1"/>
  <c r="A1059" i="1"/>
  <c r="E1058" i="1"/>
  <c r="F1058" i="1"/>
  <c r="O37" i="57"/>
  <c r="D1074" i="1" s="1"/>
  <c r="BD1074" i="1" s="1"/>
  <c r="D37" i="57"/>
  <c r="D1058" i="1" s="1"/>
  <c r="AV38" i="57"/>
  <c r="AR38" i="57"/>
  <c r="E1068" i="1" s="1"/>
  <c r="E1077" i="1"/>
  <c r="F1077" i="1"/>
  <c r="G1077" i="1"/>
  <c r="AA38" i="57"/>
  <c r="AE38" i="57" s="1"/>
  <c r="F1082" i="1"/>
  <c r="G1082" i="1"/>
  <c r="X38" i="57"/>
  <c r="E1082" i="1" s="1"/>
  <c r="W38" i="57"/>
  <c r="D1082" i="1" s="1"/>
  <c r="E1080" i="1"/>
  <c r="F1080" i="1"/>
  <c r="G1080" i="1"/>
  <c r="S38" i="57"/>
  <c r="D1080" i="1" s="1"/>
  <c r="E1075" i="1"/>
  <c r="F1075" i="1"/>
  <c r="G1075" i="1"/>
  <c r="O38" i="57"/>
  <c r="D1075" i="1" s="1"/>
  <c r="D38" i="57"/>
  <c r="D1059" i="1" s="1"/>
  <c r="B1059" i="1"/>
  <c r="E1059" i="1"/>
  <c r="F1059" i="1"/>
  <c r="CC35" i="57"/>
  <c r="BY35" i="57"/>
  <c r="BU35" i="57"/>
  <c r="BL35" i="57"/>
  <c r="BH35" i="57"/>
  <c r="BD35" i="57"/>
  <c r="AY35" i="57"/>
  <c r="AU35" i="57"/>
  <c r="AE35" i="57"/>
  <c r="AA35" i="57"/>
  <c r="W35" i="57"/>
  <c r="S35" i="57"/>
  <c r="J35" i="57"/>
  <c r="O35" i="57" s="1"/>
  <c r="BP35" i="57"/>
  <c r="BD1520" i="1"/>
  <c r="BC1520" i="1"/>
  <c r="BB1520" i="1"/>
  <c r="B1946" i="1"/>
  <c r="BC1946" i="1" s="1"/>
  <c r="A1946" i="1"/>
  <c r="BD1519" i="1"/>
  <c r="BC1519" i="1"/>
  <c r="BB1519" i="1"/>
  <c r="BB2309" i="1"/>
  <c r="BC2309" i="1"/>
  <c r="BD2309" i="1"/>
  <c r="BB2310" i="1"/>
  <c r="BC2310" i="1"/>
  <c r="BD2310" i="1"/>
  <c r="E270" i="61" l="1"/>
  <c r="B477" i="61"/>
  <c r="BD1105" i="1"/>
  <c r="BB1105" i="1"/>
  <c r="BC1105" i="1"/>
  <c r="BC1087" i="1"/>
  <c r="D1076" i="1"/>
  <c r="BB1076" i="1" s="1"/>
  <c r="AQ37" i="57"/>
  <c r="D1067" i="1" s="1"/>
  <c r="AQ38" i="57"/>
  <c r="D1077" i="1"/>
  <c r="BC1077" i="1" s="1"/>
  <c r="AR37" i="57"/>
  <c r="E1067" i="1" s="1"/>
  <c r="E271" i="61"/>
  <c r="E246" i="61"/>
  <c r="B269" i="61"/>
  <c r="D276" i="61"/>
  <c r="BB1075" i="1"/>
  <c r="M1064" i="1"/>
  <c r="BB1079" i="1"/>
  <c r="BC1080" i="1"/>
  <c r="BB1066" i="1"/>
  <c r="BC1062" i="1"/>
  <c r="BB1061" i="1"/>
  <c r="BB1082" i="1"/>
  <c r="BB1064" i="1"/>
  <c r="T1064" i="1"/>
  <c r="W1064" i="1"/>
  <c r="BD1064" i="1"/>
  <c r="BD1082" i="1"/>
  <c r="BC1081" i="1"/>
  <c r="BB1080" i="1"/>
  <c r="BD1075" i="1"/>
  <c r="BC1074" i="1"/>
  <c r="BB1062" i="1"/>
  <c r="BD1066" i="1"/>
  <c r="BC1065" i="1"/>
  <c r="BB1063" i="1"/>
  <c r="U1064" i="1"/>
  <c r="BC1064" i="1"/>
  <c r="BC1082" i="1"/>
  <c r="BB1081" i="1"/>
  <c r="BD1079" i="1"/>
  <c r="BC1075" i="1"/>
  <c r="BB1074" i="1"/>
  <c r="BD1061" i="1"/>
  <c r="BC1066" i="1"/>
  <c r="BB1065" i="1"/>
  <c r="BC1063" i="1"/>
  <c r="BD1080" i="1"/>
  <c r="BC1079" i="1"/>
  <c r="BD1062" i="1"/>
  <c r="BC1061" i="1"/>
  <c r="X1064" i="1"/>
  <c r="BB1058" i="1"/>
  <c r="BC1058" i="1"/>
  <c r="BB1059" i="1"/>
  <c r="BC1059" i="1"/>
  <c r="BD1059" i="1"/>
  <c r="BD1096" i="1"/>
  <c r="BC1093" i="1"/>
  <c r="BD1085" i="1"/>
  <c r="BC1099" i="1"/>
  <c r="BC1084" i="1"/>
  <c r="BC1091" i="1"/>
  <c r="BD1097" i="1"/>
  <c r="BB1087" i="1"/>
  <c r="BD1087" i="1"/>
  <c r="BD1946" i="1"/>
  <c r="BB1946" i="1"/>
  <c r="BB1712" i="1"/>
  <c r="BC1712" i="1"/>
  <c r="BD1712" i="1"/>
  <c r="BB2328" i="1"/>
  <c r="BC2328" i="1"/>
  <c r="BD2328" i="1"/>
  <c r="B341" i="1"/>
  <c r="A341" i="1"/>
  <c r="B358" i="1"/>
  <c r="A358" i="1"/>
  <c r="B342" i="1"/>
  <c r="B340" i="1"/>
  <c r="A342" i="1"/>
  <c r="A340" i="1"/>
  <c r="BD1089" i="1" l="1"/>
  <c r="BC1089" i="1"/>
  <c r="BB1089" i="1"/>
  <c r="BB340" i="1"/>
  <c r="BC340" i="1"/>
  <c r="BD340" i="1"/>
  <c r="BD358" i="1"/>
  <c r="BB358" i="1"/>
  <c r="BC358" i="1"/>
  <c r="BC342" i="1"/>
  <c r="BD342" i="1"/>
  <c r="BB342" i="1"/>
  <c r="BB341" i="1"/>
  <c r="BC341" i="1"/>
  <c r="BD341" i="1"/>
  <c r="BD1077" i="1"/>
  <c r="BB1077" i="1"/>
  <c r="BD1076" i="1"/>
  <c r="BC1076" i="1"/>
  <c r="D1068" i="1"/>
  <c r="AU38" i="57"/>
  <c r="BD1067" i="1"/>
  <c r="BC1067" i="1"/>
  <c r="BB1067" i="1"/>
  <c r="D269" i="61"/>
  <c r="BB1085" i="1"/>
  <c r="BC1085" i="1"/>
  <c r="BB1084" i="1"/>
  <c r="BC1096" i="1"/>
  <c r="BD1084" i="1"/>
  <c r="BB1093" i="1"/>
  <c r="BD1093" i="1"/>
  <c r="BB1096" i="1"/>
  <c r="BB1099" i="1"/>
  <c r="BD1099" i="1"/>
  <c r="BB1091" i="1"/>
  <c r="BD1091" i="1"/>
  <c r="BB1088" i="1"/>
  <c r="BC1088" i="1"/>
  <c r="BD1088" i="1"/>
  <c r="BC1097" i="1"/>
  <c r="BB1097" i="1"/>
  <c r="BC1094" i="1"/>
  <c r="BD1094" i="1"/>
  <c r="BB1094" i="1"/>
  <c r="BD1104" i="1"/>
  <c r="BB1104" i="1"/>
  <c r="BC1104" i="1"/>
  <c r="B1594" i="1"/>
  <c r="BD1594" i="1" s="1"/>
  <c r="A1594" i="1"/>
  <c r="BB1960" i="1"/>
  <c r="BC1960" i="1"/>
  <c r="BD1960" i="1"/>
  <c r="BD1068" i="1" l="1"/>
  <c r="BB1068" i="1"/>
  <c r="BC1068" i="1"/>
  <c r="BB1594" i="1"/>
  <c r="BC1594" i="1"/>
  <c r="BD2193" i="1" l="1"/>
  <c r="BC2193" i="1"/>
  <c r="BB2193" i="1"/>
  <c r="K2236" i="1" l="1"/>
  <c r="R2241" i="1"/>
  <c r="Q2241" i="1"/>
  <c r="P2241" i="1"/>
  <c r="O2241" i="1"/>
  <c r="N2241" i="1"/>
  <c r="M2241" i="1"/>
  <c r="L2241" i="1"/>
  <c r="K2241" i="1"/>
  <c r="U2241" i="1"/>
  <c r="T2241" i="1"/>
  <c r="W2241" i="1"/>
  <c r="X2241" i="1"/>
  <c r="Y2241" i="1"/>
  <c r="Z2241" i="1"/>
  <c r="AA2241" i="1"/>
  <c r="AK2230" i="1"/>
  <c r="AK704" i="30" s="1"/>
  <c r="AJ2217" i="1"/>
  <c r="AJ2246" i="1" l="1"/>
  <c r="AJ2240" i="1"/>
  <c r="AJ2219" i="1"/>
  <c r="AJ2250" i="1"/>
  <c r="B2249" i="1"/>
  <c r="A2249" i="1"/>
  <c r="A710" i="30" s="1"/>
  <c r="BD2239" i="1"/>
  <c r="BD707" i="30" s="1"/>
  <c r="BD2347" i="1"/>
  <c r="BC2347" i="1"/>
  <c r="BB2347" i="1"/>
  <c r="BD2249" i="1" l="1"/>
  <c r="BD710" i="30" s="1"/>
  <c r="B710" i="30"/>
  <c r="AK2241" i="1"/>
  <c r="AK2217" i="1" s="1"/>
  <c r="AK689" i="30" s="1"/>
  <c r="AK710" i="30"/>
  <c r="BB2249" i="1"/>
  <c r="BB710" i="30" s="1"/>
  <c r="BC2249" i="1"/>
  <c r="BC710" i="30" s="1"/>
  <c r="BB2239" i="1"/>
  <c r="BB707" i="30" s="1"/>
  <c r="BC2239" i="1"/>
  <c r="BC707" i="30" s="1"/>
  <c r="BD1977" i="1"/>
  <c r="BC1977" i="1"/>
  <c r="BB1977" i="1"/>
  <c r="BD2139" i="1"/>
  <c r="BC2139" i="1"/>
  <c r="BB2139" i="1"/>
  <c r="BB621" i="1"/>
  <c r="BC621" i="1"/>
  <c r="BD621" i="1"/>
  <c r="AK2246" i="1" l="1"/>
  <c r="AK2240" i="1"/>
  <c r="AK2219" i="1"/>
  <c r="AK691" i="30" s="1"/>
  <c r="AK2250" i="1"/>
  <c r="AK2218" i="1"/>
  <c r="AK690" i="30" s="1"/>
  <c r="B1985" i="1"/>
  <c r="BB1985" i="1" s="1"/>
  <c r="B1987" i="1"/>
  <c r="BC1987" i="1" s="1"/>
  <c r="A1987" i="1"/>
  <c r="A1985" i="1"/>
  <c r="BB1987" i="1" l="1"/>
  <c r="BD1985" i="1"/>
  <c r="BD1987" i="1"/>
  <c r="BC1985" i="1"/>
  <c r="B1501" i="1"/>
  <c r="BD1501" i="1" s="1"/>
  <c r="A1501" i="1"/>
  <c r="BB2099" i="1"/>
  <c r="BC2099" i="1" l="1"/>
  <c r="BB1501" i="1"/>
  <c r="BD2099" i="1"/>
  <c r="BC1501" i="1"/>
  <c r="B1944" i="1"/>
  <c r="B1945" i="1"/>
  <c r="B1948" i="1"/>
  <c r="BB1948" i="1" s="1"/>
  <c r="B1949" i="1"/>
  <c r="BC1949" i="1" s="1"/>
  <c r="B1950" i="1"/>
  <c r="BC1950" i="1" s="1"/>
  <c r="B1951" i="1"/>
  <c r="BD1951" i="1" s="1"/>
  <c r="A1951" i="1"/>
  <c r="A1950" i="1"/>
  <c r="A1949" i="1"/>
  <c r="A1948" i="1"/>
  <c r="A1945" i="1"/>
  <c r="A1944" i="1"/>
  <c r="BD1949" i="1" l="1"/>
  <c r="BB1949" i="1"/>
  <c r="BC1951" i="1"/>
  <c r="BB1951" i="1"/>
  <c r="BD1950" i="1"/>
  <c r="BB1950" i="1"/>
  <c r="BD1948" i="1"/>
  <c r="BC1948" i="1"/>
  <c r="B1844" i="1"/>
  <c r="BB1844" i="1" s="1"/>
  <c r="B1845" i="1"/>
  <c r="BC1845" i="1" s="1"/>
  <c r="B1848" i="1"/>
  <c r="BD1848" i="1" s="1"/>
  <c r="B1851" i="1"/>
  <c r="A1851" i="1"/>
  <c r="A1848" i="1"/>
  <c r="A1845" i="1"/>
  <c r="A1844" i="1"/>
  <c r="BB1817" i="1"/>
  <c r="BC1817" i="1"/>
  <c r="BD1817" i="1"/>
  <c r="BB1811" i="1"/>
  <c r="BC1811" i="1"/>
  <c r="BD1811" i="1"/>
  <c r="BB1821" i="1"/>
  <c r="BC1821" i="1"/>
  <c r="BD1821" i="1"/>
  <c r="BB1822" i="1"/>
  <c r="BC1822" i="1"/>
  <c r="BD1822" i="1"/>
  <c r="BB1825" i="1"/>
  <c r="BC1825" i="1"/>
  <c r="BD1825" i="1"/>
  <c r="BB1809" i="1"/>
  <c r="BC1809" i="1"/>
  <c r="BD1809" i="1"/>
  <c r="BD1815" i="1"/>
  <c r="BC1815" i="1"/>
  <c r="BB1815" i="1"/>
  <c r="BB1851" i="1" l="1"/>
  <c r="BC1851" i="1"/>
  <c r="BD1851" i="1"/>
  <c r="BC1848" i="1"/>
  <c r="BB1845" i="1"/>
  <c r="BB1848" i="1"/>
  <c r="BD1844" i="1"/>
  <c r="BD1845" i="1"/>
  <c r="BC1844" i="1"/>
  <c r="AK169" i="30"/>
  <c r="C165" i="30"/>
  <c r="D165" i="30"/>
  <c r="E165" i="30"/>
  <c r="F165" i="30"/>
  <c r="G165" i="30"/>
  <c r="H165" i="30"/>
  <c r="I165" i="30"/>
  <c r="J165" i="30"/>
  <c r="K165" i="30"/>
  <c r="L165" i="30"/>
  <c r="M165" i="30"/>
  <c r="N165" i="30"/>
  <c r="O165" i="30"/>
  <c r="P165" i="30"/>
  <c r="Q165" i="30"/>
  <c r="R165" i="30"/>
  <c r="S165" i="30"/>
  <c r="T165" i="30"/>
  <c r="U165" i="30"/>
  <c r="V165" i="30"/>
  <c r="W165" i="30"/>
  <c r="X165" i="30"/>
  <c r="Y165" i="30"/>
  <c r="Z165" i="30"/>
  <c r="AA165" i="30"/>
  <c r="AB165" i="30"/>
  <c r="AC165" i="30"/>
  <c r="AD165" i="30"/>
  <c r="AE165" i="30"/>
  <c r="AF165" i="30"/>
  <c r="AG165" i="30"/>
  <c r="AH165" i="30"/>
  <c r="AI165" i="30"/>
  <c r="AJ165" i="30"/>
  <c r="AK165" i="30"/>
  <c r="AL165" i="30"/>
  <c r="AM165" i="30"/>
  <c r="AN165" i="30"/>
  <c r="AO165" i="30"/>
  <c r="AP165" i="30"/>
  <c r="AQ165" i="30"/>
  <c r="AV165" i="30"/>
  <c r="BA165" i="30"/>
  <c r="C166" i="30"/>
  <c r="D166" i="30"/>
  <c r="E166" i="30"/>
  <c r="F166" i="30"/>
  <c r="G166" i="30"/>
  <c r="H166" i="30"/>
  <c r="I166" i="30"/>
  <c r="J166" i="30"/>
  <c r="K166" i="30"/>
  <c r="L166" i="30"/>
  <c r="M166" i="30"/>
  <c r="N166" i="30"/>
  <c r="O166" i="30"/>
  <c r="P166" i="30"/>
  <c r="Q166" i="30"/>
  <c r="R166" i="30"/>
  <c r="S166" i="30"/>
  <c r="T166" i="30"/>
  <c r="U166" i="30"/>
  <c r="V166" i="30"/>
  <c r="W166" i="30"/>
  <c r="X166" i="30"/>
  <c r="Y166" i="30"/>
  <c r="Z166" i="30"/>
  <c r="AA166" i="30"/>
  <c r="AB166" i="30"/>
  <c r="AC166" i="30"/>
  <c r="AD166" i="30"/>
  <c r="AE166" i="30"/>
  <c r="AF166" i="30"/>
  <c r="AG166" i="30"/>
  <c r="AH166" i="30"/>
  <c r="AI166" i="30"/>
  <c r="AJ166" i="30"/>
  <c r="AK166" i="30"/>
  <c r="AL166" i="30"/>
  <c r="AM166" i="30"/>
  <c r="AN166" i="30"/>
  <c r="AO166" i="30"/>
  <c r="AP166" i="30"/>
  <c r="AQ166" i="30"/>
  <c r="AV166" i="30"/>
  <c r="BA166" i="30"/>
  <c r="C167" i="30"/>
  <c r="D167" i="30"/>
  <c r="E167" i="30"/>
  <c r="F167" i="30"/>
  <c r="G167" i="30"/>
  <c r="H167" i="30"/>
  <c r="I167" i="30"/>
  <c r="J167" i="30"/>
  <c r="K167" i="30"/>
  <c r="L167" i="30"/>
  <c r="M167" i="30"/>
  <c r="N167" i="30"/>
  <c r="O167" i="30"/>
  <c r="P167" i="30"/>
  <c r="Q167" i="30"/>
  <c r="R167" i="30"/>
  <c r="S167" i="30"/>
  <c r="T167" i="30"/>
  <c r="U167" i="30"/>
  <c r="V167" i="30"/>
  <c r="W167" i="30"/>
  <c r="X167" i="30"/>
  <c r="Y167" i="30"/>
  <c r="Z167" i="30"/>
  <c r="AA167" i="30"/>
  <c r="AB167" i="30"/>
  <c r="AC167" i="30"/>
  <c r="AD167" i="30"/>
  <c r="AE167" i="30"/>
  <c r="AF167" i="30"/>
  <c r="AG167" i="30"/>
  <c r="AH167" i="30"/>
  <c r="AI167" i="30"/>
  <c r="AJ167" i="30"/>
  <c r="AK167" i="30"/>
  <c r="AL167" i="30"/>
  <c r="AM167" i="30"/>
  <c r="AN167" i="30"/>
  <c r="AO167" i="30"/>
  <c r="AP167" i="30"/>
  <c r="AQ167" i="30"/>
  <c r="AV167" i="30"/>
  <c r="BA167" i="30"/>
  <c r="C168" i="30"/>
  <c r="D168" i="30"/>
  <c r="E168" i="30"/>
  <c r="F168" i="30"/>
  <c r="G168" i="30"/>
  <c r="H168" i="30"/>
  <c r="I168" i="30"/>
  <c r="J168" i="30"/>
  <c r="K168" i="30"/>
  <c r="L168" i="30"/>
  <c r="M168" i="30"/>
  <c r="N168" i="30"/>
  <c r="O168" i="30"/>
  <c r="P168" i="30"/>
  <c r="Q168" i="30"/>
  <c r="R168" i="30"/>
  <c r="S168" i="30"/>
  <c r="T168" i="30"/>
  <c r="U168" i="30"/>
  <c r="V168" i="30"/>
  <c r="W168" i="30"/>
  <c r="X168" i="30"/>
  <c r="Y168" i="30"/>
  <c r="Z168" i="30"/>
  <c r="AA168" i="30"/>
  <c r="AB168" i="30"/>
  <c r="AC168" i="30"/>
  <c r="AD168" i="30"/>
  <c r="AE168" i="30"/>
  <c r="AF168" i="30"/>
  <c r="AG168" i="30"/>
  <c r="AH168" i="30"/>
  <c r="AI168" i="30"/>
  <c r="AJ168" i="30"/>
  <c r="AK168" i="30"/>
  <c r="AL168" i="30"/>
  <c r="AM168" i="30"/>
  <c r="AN168" i="30"/>
  <c r="AO168" i="30"/>
  <c r="AP168" i="30"/>
  <c r="AQ168" i="30"/>
  <c r="AV168" i="30"/>
  <c r="BA168" i="30"/>
  <c r="C169" i="30"/>
  <c r="D169" i="30"/>
  <c r="E169" i="30"/>
  <c r="F169" i="30"/>
  <c r="G169" i="30"/>
  <c r="H169" i="30"/>
  <c r="I169" i="30"/>
  <c r="J169" i="30"/>
  <c r="K169" i="30"/>
  <c r="L169" i="30"/>
  <c r="M169" i="30"/>
  <c r="N169" i="30"/>
  <c r="O169" i="30"/>
  <c r="P169" i="30"/>
  <c r="Q169" i="30"/>
  <c r="R169" i="30"/>
  <c r="S169" i="30"/>
  <c r="T169" i="30"/>
  <c r="U169" i="30"/>
  <c r="V169" i="30"/>
  <c r="W169" i="30"/>
  <c r="X169" i="30"/>
  <c r="Y169" i="30"/>
  <c r="Z169" i="30"/>
  <c r="AA169" i="30"/>
  <c r="AB169" i="30"/>
  <c r="AC169" i="30"/>
  <c r="AD169" i="30"/>
  <c r="AE169" i="30"/>
  <c r="AF169" i="30"/>
  <c r="AG169" i="30"/>
  <c r="AH169" i="30"/>
  <c r="AI169" i="30"/>
  <c r="AL169" i="30"/>
  <c r="AM169" i="30"/>
  <c r="AN169" i="30"/>
  <c r="AO169" i="30"/>
  <c r="AP169" i="30"/>
  <c r="AQ169" i="30"/>
  <c r="AV169" i="30"/>
  <c r="BA169" i="30"/>
  <c r="AK151" i="1"/>
  <c r="AK157" i="1"/>
  <c r="AK163" i="1"/>
  <c r="AK144" i="1"/>
  <c r="AK146" i="1"/>
  <c r="AK147" i="1"/>
  <c r="AK148" i="1"/>
  <c r="S17" i="30"/>
  <c r="AK145" i="1" l="1"/>
  <c r="AK2046" i="1"/>
  <c r="AJ2046" i="1"/>
  <c r="AI2046" i="1"/>
  <c r="AM2046" i="1"/>
  <c r="AH2046" i="1"/>
  <c r="C680" i="30" l="1"/>
  <c r="D680" i="30"/>
  <c r="E680" i="30"/>
  <c r="F680" i="30"/>
  <c r="G680" i="30"/>
  <c r="H680" i="30"/>
  <c r="I680" i="30"/>
  <c r="J680" i="30"/>
  <c r="K680" i="30"/>
  <c r="L680" i="30"/>
  <c r="M680" i="30"/>
  <c r="N680" i="30"/>
  <c r="O680" i="30"/>
  <c r="P680" i="30"/>
  <c r="Q680" i="30"/>
  <c r="R680" i="30"/>
  <c r="S680" i="30"/>
  <c r="T680" i="30"/>
  <c r="U680" i="30"/>
  <c r="V680" i="30"/>
  <c r="AL680" i="30"/>
  <c r="AM680" i="30"/>
  <c r="AN680" i="30"/>
  <c r="AO680" i="30"/>
  <c r="AP680" i="30"/>
  <c r="AQ680" i="30"/>
  <c r="AV680" i="30"/>
  <c r="BA680" i="30"/>
  <c r="U624" i="30" l="1"/>
  <c r="W624" i="30"/>
  <c r="X624" i="30"/>
  <c r="Y624" i="30"/>
  <c r="Z624" i="30"/>
  <c r="AA624" i="30"/>
  <c r="AB624" i="30"/>
  <c r="AC624" i="30"/>
  <c r="AD624" i="30"/>
  <c r="AE624" i="30"/>
  <c r="AF624" i="30"/>
  <c r="AG624" i="30"/>
  <c r="AH624" i="30"/>
  <c r="AI624" i="30"/>
  <c r="AJ624" i="30"/>
  <c r="AK623" i="30"/>
  <c r="AJ623" i="30"/>
  <c r="AI623" i="30"/>
  <c r="AH623" i="30"/>
  <c r="AG623" i="30"/>
  <c r="AF623" i="30"/>
  <c r="AE623" i="30"/>
  <c r="AD623" i="30"/>
  <c r="AC623" i="30"/>
  <c r="AB623" i="30"/>
  <c r="AA623" i="30"/>
  <c r="Z623" i="30"/>
  <c r="Y623" i="30"/>
  <c r="X623" i="30"/>
  <c r="W623" i="30"/>
  <c r="U623" i="30"/>
  <c r="AH1994" i="1"/>
  <c r="D302" i="61" s="1"/>
  <c r="AI1994" i="1"/>
  <c r="AJ1994" i="1"/>
  <c r="AK1994" i="1"/>
  <c r="C681" i="30"/>
  <c r="D681" i="30"/>
  <c r="E681" i="30"/>
  <c r="F681" i="30"/>
  <c r="G681" i="30"/>
  <c r="H681" i="30"/>
  <c r="I681" i="30"/>
  <c r="J681" i="30"/>
  <c r="K681" i="30"/>
  <c r="L681" i="30"/>
  <c r="M681" i="30"/>
  <c r="N681" i="30"/>
  <c r="O681" i="30"/>
  <c r="P681" i="30"/>
  <c r="Q681" i="30"/>
  <c r="R681" i="30"/>
  <c r="S681" i="30"/>
  <c r="T681" i="30"/>
  <c r="U681" i="30"/>
  <c r="V681" i="30"/>
  <c r="AL681" i="30"/>
  <c r="AM681" i="30"/>
  <c r="AN681" i="30"/>
  <c r="AO681" i="30"/>
  <c r="AP681" i="30"/>
  <c r="AQ681" i="30"/>
  <c r="AV681" i="30"/>
  <c r="BA681" i="30"/>
  <c r="AI2175" i="1"/>
  <c r="AJ2175" i="1"/>
  <c r="AK2175" i="1"/>
  <c r="AI2174" i="1"/>
  <c r="AJ2174" i="1"/>
  <c r="AK2174" i="1"/>
  <c r="AG2174" i="1"/>
  <c r="AH2172" i="1"/>
  <c r="AM2172" i="1"/>
  <c r="AI2172" i="1"/>
  <c r="AJ2172" i="1"/>
  <c r="AK2172" i="1"/>
  <c r="AM2171" i="1"/>
  <c r="AK2171" i="1"/>
  <c r="AJ2171" i="1"/>
  <c r="AI2171" i="1"/>
  <c r="AH2171" i="1"/>
  <c r="AI2169" i="1"/>
  <c r="AJ2169" i="1"/>
  <c r="AK2169" i="1"/>
  <c r="AH2169" i="1"/>
  <c r="AH680" i="30" s="1"/>
  <c r="B2170" i="1"/>
  <c r="BB2170" i="1" s="1"/>
  <c r="BB681" i="30" s="1"/>
  <c r="A681" i="30"/>
  <c r="AI549" i="1"/>
  <c r="AJ549" i="1"/>
  <c r="AK549" i="1"/>
  <c r="AH549" i="1"/>
  <c r="BC2170" i="1" l="1"/>
  <c r="BC681" i="30" s="1"/>
  <c r="BD2170" i="1"/>
  <c r="BD681" i="30" s="1"/>
  <c r="B681" i="30"/>
  <c r="BB760" i="1" l="1"/>
  <c r="BC760" i="1"/>
  <c r="BD760" i="1"/>
  <c r="BD1591" i="1" l="1"/>
  <c r="BC1591" i="1"/>
  <c r="BB1591" i="1"/>
  <c r="BD669" i="1"/>
  <c r="BC669" i="1"/>
  <c r="BB669" i="1"/>
  <c r="BD2140" i="1"/>
  <c r="BC2140" i="1"/>
  <c r="BB2140" i="1"/>
  <c r="BD1201" i="1"/>
  <c r="BC1201" i="1"/>
  <c r="BB1201" i="1"/>
  <c r="BD1163" i="1"/>
  <c r="BC1163" i="1"/>
  <c r="BB1163" i="1"/>
  <c r="BD2352" i="1"/>
  <c r="BC2352" i="1"/>
  <c r="BB2352" i="1"/>
  <c r="BD1158" i="1"/>
  <c r="BC1158" i="1"/>
  <c r="BB1158" i="1"/>
  <c r="BD1900" i="1"/>
  <c r="BC1900" i="1"/>
  <c r="BB1900" i="1"/>
  <c r="BD756" i="1"/>
  <c r="BC756" i="1"/>
  <c r="BB756" i="1"/>
  <c r="BD1654" i="1"/>
  <c r="BC1654" i="1"/>
  <c r="BB1654" i="1"/>
  <c r="BD1516" i="1"/>
  <c r="BC1516" i="1"/>
  <c r="BB1516" i="1"/>
  <c r="BD1510" i="1"/>
  <c r="BC1510" i="1"/>
  <c r="BB1510" i="1"/>
  <c r="BD1205" i="1"/>
  <c r="BC1205" i="1"/>
  <c r="BB1205" i="1"/>
  <c r="BD2427" i="1"/>
  <c r="BC2427" i="1"/>
  <c r="BB2427" i="1"/>
  <c r="BD1786" i="1"/>
  <c r="BC1786" i="1"/>
  <c r="BB1786" i="1"/>
  <c r="BD2376" i="1"/>
  <c r="BC2376" i="1"/>
  <c r="BB2376" i="1"/>
  <c r="BD2300" i="1"/>
  <c r="BC2300" i="1"/>
  <c r="BB2300" i="1"/>
  <c r="BD1597" i="1"/>
  <c r="BC1597" i="1"/>
  <c r="BB1597" i="1"/>
  <c r="BD2298" i="1"/>
  <c r="BC2298" i="1"/>
  <c r="BB2298" i="1"/>
  <c r="B1466" i="1" l="1"/>
  <c r="BB1466" i="1" s="1"/>
  <c r="A1466" i="1"/>
  <c r="AK2281" i="1"/>
  <c r="AK726" i="30" s="1"/>
  <c r="AK2284" i="1"/>
  <c r="AK729" i="30" s="1"/>
  <c r="AK2286" i="1"/>
  <c r="AK728" i="1"/>
  <c r="AK258" i="30" s="1"/>
  <c r="AK560" i="1"/>
  <c r="AK164" i="30" s="1"/>
  <c r="AK554" i="1"/>
  <c r="AK555" i="1" s="1"/>
  <c r="AK159" i="30" s="1"/>
  <c r="AK557" i="1" l="1"/>
  <c r="AK161" i="30" s="1"/>
  <c r="AK158" i="30"/>
  <c r="AK2287" i="1"/>
  <c r="AK732" i="30" s="1"/>
  <c r="AK731" i="30"/>
  <c r="BD1466" i="1"/>
  <c r="BC1466" i="1"/>
  <c r="B779" i="1"/>
  <c r="B780" i="1"/>
  <c r="B781" i="1"/>
  <c r="A781" i="1"/>
  <c r="A780" i="1"/>
  <c r="A779" i="1"/>
  <c r="B571" i="1"/>
  <c r="B572" i="1"/>
  <c r="B573" i="1"/>
  <c r="B574" i="1"/>
  <c r="B575" i="1"/>
  <c r="B576" i="1"/>
  <c r="B1685" i="1"/>
  <c r="BB1685" i="1" s="1"/>
  <c r="B212" i="1"/>
  <c r="A212" i="1"/>
  <c r="A1685" i="1"/>
  <c r="A576" i="1"/>
  <c r="A169" i="30" s="1"/>
  <c r="A575" i="1"/>
  <c r="A574" i="1"/>
  <c r="A168" i="30" s="1"/>
  <c r="A573" i="1"/>
  <c r="A167" i="30" s="1"/>
  <c r="A572" i="1"/>
  <c r="A166" i="30" s="1"/>
  <c r="A571" i="1"/>
  <c r="A165" i="30" s="1"/>
  <c r="BD575" i="1" l="1"/>
  <c r="BB575" i="1"/>
  <c r="BC575" i="1"/>
  <c r="BB212" i="1"/>
  <c r="BC212" i="1"/>
  <c r="BD212" i="1"/>
  <c r="BC574" i="1"/>
  <c r="BC168" i="30" s="1"/>
  <c r="BD574" i="1"/>
  <c r="BD168" i="30" s="1"/>
  <c r="BB574" i="1"/>
  <c r="BB168" i="30" s="1"/>
  <c r="BB573" i="1"/>
  <c r="BB167" i="30" s="1"/>
  <c r="BC573" i="1"/>
  <c r="BC167" i="30" s="1"/>
  <c r="BD573" i="1"/>
  <c r="BD167" i="30" s="1"/>
  <c r="BB576" i="1"/>
  <c r="BB169" i="30" s="1"/>
  <c r="BC576" i="1"/>
  <c r="BC169" i="30" s="1"/>
  <c r="BD576" i="1"/>
  <c r="BD169" i="30" s="1"/>
  <c r="BB572" i="1"/>
  <c r="BB166" i="30" s="1"/>
  <c r="BC572" i="1"/>
  <c r="BC166" i="30" s="1"/>
  <c r="BD572" i="1"/>
  <c r="BD166" i="30" s="1"/>
  <c r="BD571" i="1"/>
  <c r="BD165" i="30" s="1"/>
  <c r="BB571" i="1"/>
  <c r="BB165" i="30" s="1"/>
  <c r="BC571" i="1"/>
  <c r="BC165" i="30" s="1"/>
  <c r="B167" i="30"/>
  <c r="B169" i="30"/>
  <c r="B166" i="30"/>
  <c r="B165" i="30"/>
  <c r="B168" i="30"/>
  <c r="BB780" i="1"/>
  <c r="BC780" i="1"/>
  <c r="BD780" i="1"/>
  <c r="BC781" i="1"/>
  <c r="BD781" i="1"/>
  <c r="BB781" i="1"/>
  <c r="BB779" i="1"/>
  <c r="BC779" i="1"/>
  <c r="BD779" i="1"/>
  <c r="BD1685" i="1"/>
  <c r="BC1685" i="1"/>
  <c r="B570" i="1"/>
  <c r="A570" i="1"/>
  <c r="BB570" i="1" l="1"/>
  <c r="BC570" i="1"/>
  <c r="BD570" i="1"/>
  <c r="AK1909" i="1"/>
  <c r="AK788" i="1"/>
  <c r="AJ2230" i="1"/>
  <c r="AK2221" i="1"/>
  <c r="AK693" i="30" s="1"/>
  <c r="L2221" i="1"/>
  <c r="M2221" i="1"/>
  <c r="N2221" i="1"/>
  <c r="O2221" i="1"/>
  <c r="P2221" i="1"/>
  <c r="Q2221" i="1"/>
  <c r="R2221" i="1"/>
  <c r="K2221" i="1"/>
  <c r="C590" i="30"/>
  <c r="D590" i="30"/>
  <c r="E590" i="30"/>
  <c r="F590" i="30"/>
  <c r="G590" i="30"/>
  <c r="H590" i="30"/>
  <c r="I590" i="30"/>
  <c r="J590" i="30"/>
  <c r="K590" i="30"/>
  <c r="L590" i="30"/>
  <c r="M590" i="30"/>
  <c r="N590" i="30"/>
  <c r="O590" i="30"/>
  <c r="P590" i="30"/>
  <c r="Q590" i="30"/>
  <c r="R590" i="30"/>
  <c r="S590" i="30"/>
  <c r="T590" i="30"/>
  <c r="U590" i="30"/>
  <c r="V590" i="30"/>
  <c r="W590" i="30"/>
  <c r="X590" i="30"/>
  <c r="Y590" i="30"/>
  <c r="Z590" i="30"/>
  <c r="AA590" i="30"/>
  <c r="AB590" i="30"/>
  <c r="AC590" i="30"/>
  <c r="AD590" i="30"/>
  <c r="AE590" i="30"/>
  <c r="AF590" i="30"/>
  <c r="AG590" i="30"/>
  <c r="AH590" i="30"/>
  <c r="AI590" i="30"/>
  <c r="AJ590" i="30"/>
  <c r="AK590" i="30"/>
  <c r="AL590" i="30"/>
  <c r="AM590" i="30"/>
  <c r="AN590" i="30"/>
  <c r="AO590" i="30"/>
  <c r="AP590" i="30"/>
  <c r="AQ590" i="30"/>
  <c r="AR590" i="30"/>
  <c r="AS590" i="30"/>
  <c r="AT590" i="30"/>
  <c r="AU590" i="30"/>
  <c r="AV590" i="30"/>
  <c r="AW590" i="30"/>
  <c r="AX590" i="30"/>
  <c r="AY590" i="30"/>
  <c r="AZ590" i="30"/>
  <c r="BA590" i="30"/>
  <c r="B1735" i="1"/>
  <c r="B590" i="30" s="1"/>
  <c r="A1735" i="1"/>
  <c r="A590" i="30" s="1"/>
  <c r="BC1735" i="1" l="1"/>
  <c r="BC590" i="30" s="1"/>
  <c r="BD1735" i="1"/>
  <c r="BD590" i="30" s="1"/>
  <c r="BB1735" i="1"/>
  <c r="BB590" i="30" s="1"/>
  <c r="AK2238" i="1"/>
  <c r="AK2242" i="1"/>
  <c r="AJ2242" i="1"/>
  <c r="AI2242" i="1"/>
  <c r="AJ2238" i="1"/>
  <c r="AJ2223" i="1"/>
  <c r="AK2223" i="1"/>
  <c r="AK695" i="30" s="1"/>
  <c r="C762" i="30"/>
  <c r="D762" i="30"/>
  <c r="E762" i="30"/>
  <c r="F762" i="30"/>
  <c r="G762" i="30"/>
  <c r="H762" i="30"/>
  <c r="I762" i="30"/>
  <c r="J762" i="30"/>
  <c r="K762" i="30"/>
  <c r="L762" i="30"/>
  <c r="M762" i="30"/>
  <c r="N762" i="30"/>
  <c r="O762" i="30"/>
  <c r="P762" i="30"/>
  <c r="Q762" i="30"/>
  <c r="R762" i="30"/>
  <c r="S762" i="30"/>
  <c r="T762" i="30"/>
  <c r="U762" i="30"/>
  <c r="V762" i="30"/>
  <c r="W762" i="30"/>
  <c r="X762" i="30"/>
  <c r="Y762" i="30"/>
  <c r="Z762" i="30"/>
  <c r="AA762" i="30"/>
  <c r="AB762" i="30"/>
  <c r="AC762" i="30"/>
  <c r="AD762" i="30"/>
  <c r="AE762" i="30"/>
  <c r="AF762" i="30"/>
  <c r="AG762" i="30"/>
  <c r="AH762" i="30"/>
  <c r="AI762" i="30"/>
  <c r="AJ762" i="30"/>
  <c r="AK762" i="30"/>
  <c r="AL762" i="30"/>
  <c r="AM762" i="30"/>
  <c r="AN762" i="30"/>
  <c r="AO762" i="30"/>
  <c r="AP762" i="30"/>
  <c r="AQ762" i="30"/>
  <c r="AV762" i="30"/>
  <c r="BA762" i="30"/>
  <c r="C763" i="30"/>
  <c r="D763" i="30"/>
  <c r="E763" i="30"/>
  <c r="F763" i="30"/>
  <c r="G763" i="30"/>
  <c r="H763" i="30"/>
  <c r="I763" i="30"/>
  <c r="J763" i="30"/>
  <c r="K763" i="30"/>
  <c r="L763" i="30"/>
  <c r="M763" i="30"/>
  <c r="N763" i="30"/>
  <c r="O763" i="30"/>
  <c r="P763" i="30"/>
  <c r="Q763" i="30"/>
  <c r="R763" i="30"/>
  <c r="S763" i="30"/>
  <c r="T763" i="30"/>
  <c r="U763" i="30"/>
  <c r="V763" i="30"/>
  <c r="W763" i="30"/>
  <c r="X763" i="30"/>
  <c r="Y763" i="30"/>
  <c r="Z763" i="30"/>
  <c r="AA763" i="30"/>
  <c r="AB763" i="30"/>
  <c r="AC763" i="30"/>
  <c r="AD763" i="30"/>
  <c r="AE763" i="30"/>
  <c r="AF763" i="30"/>
  <c r="AG763" i="30"/>
  <c r="AH763" i="30"/>
  <c r="AI763" i="30"/>
  <c r="AJ763" i="30"/>
  <c r="AK763" i="30"/>
  <c r="AL763" i="30"/>
  <c r="AM763" i="30"/>
  <c r="AN763" i="30"/>
  <c r="AO763" i="30"/>
  <c r="AP763" i="30"/>
  <c r="AQ763" i="30"/>
  <c r="AV763" i="30"/>
  <c r="BA763" i="30"/>
  <c r="C764" i="30"/>
  <c r="D764" i="30"/>
  <c r="E764" i="30"/>
  <c r="F764" i="30"/>
  <c r="G764" i="30"/>
  <c r="H764" i="30"/>
  <c r="I764" i="30"/>
  <c r="J764" i="30"/>
  <c r="K764" i="30"/>
  <c r="L764" i="30"/>
  <c r="M764" i="30"/>
  <c r="N764" i="30"/>
  <c r="O764" i="30"/>
  <c r="P764" i="30"/>
  <c r="Q764" i="30"/>
  <c r="R764" i="30"/>
  <c r="S764" i="30"/>
  <c r="T764" i="30"/>
  <c r="U764" i="30"/>
  <c r="V764" i="30"/>
  <c r="W764" i="30"/>
  <c r="X764" i="30"/>
  <c r="Y764" i="30"/>
  <c r="Z764" i="30"/>
  <c r="AA764" i="30"/>
  <c r="AB764" i="30"/>
  <c r="AC764" i="30"/>
  <c r="AD764" i="30"/>
  <c r="AE764" i="30"/>
  <c r="AF764" i="30"/>
  <c r="AG764" i="30"/>
  <c r="AH764" i="30"/>
  <c r="AI764" i="30"/>
  <c r="AJ764" i="30"/>
  <c r="AK764" i="30"/>
  <c r="AL764" i="30"/>
  <c r="AM764" i="30"/>
  <c r="AN764" i="30"/>
  <c r="AO764" i="30"/>
  <c r="AP764" i="30"/>
  <c r="AQ764" i="30"/>
  <c r="AV764" i="30"/>
  <c r="BA764" i="30"/>
  <c r="C765" i="30"/>
  <c r="D765" i="30"/>
  <c r="E765" i="30"/>
  <c r="F765" i="30"/>
  <c r="G765" i="30"/>
  <c r="H765" i="30"/>
  <c r="I765" i="30"/>
  <c r="J765" i="30"/>
  <c r="K765" i="30"/>
  <c r="L765" i="30"/>
  <c r="M765" i="30"/>
  <c r="N765" i="30"/>
  <c r="O765" i="30"/>
  <c r="P765" i="30"/>
  <c r="Q765" i="30"/>
  <c r="R765" i="30"/>
  <c r="S765" i="30"/>
  <c r="T765" i="30"/>
  <c r="U765" i="30"/>
  <c r="V765" i="30"/>
  <c r="W765" i="30"/>
  <c r="X765" i="30"/>
  <c r="Y765" i="30"/>
  <c r="Z765" i="30"/>
  <c r="AA765" i="30"/>
  <c r="AB765" i="30"/>
  <c r="AC765" i="30"/>
  <c r="AD765" i="30"/>
  <c r="AE765" i="30"/>
  <c r="AF765" i="30"/>
  <c r="AG765" i="30"/>
  <c r="AH765" i="30"/>
  <c r="AI765" i="30"/>
  <c r="AJ765" i="30"/>
  <c r="AK765" i="30"/>
  <c r="AL765" i="30"/>
  <c r="AM765" i="30"/>
  <c r="AN765" i="30"/>
  <c r="AO765" i="30"/>
  <c r="AP765" i="30"/>
  <c r="AQ765" i="30"/>
  <c r="AV765" i="30"/>
  <c r="BA765" i="30"/>
  <c r="C766" i="30"/>
  <c r="D766" i="30"/>
  <c r="E766" i="30"/>
  <c r="F766" i="30"/>
  <c r="G766" i="30"/>
  <c r="H766" i="30"/>
  <c r="I766" i="30"/>
  <c r="J766" i="30"/>
  <c r="K766" i="30"/>
  <c r="L766" i="30"/>
  <c r="M766" i="30"/>
  <c r="N766" i="30"/>
  <c r="O766" i="30"/>
  <c r="P766" i="30"/>
  <c r="Q766" i="30"/>
  <c r="R766" i="30"/>
  <c r="S766" i="30"/>
  <c r="T766" i="30"/>
  <c r="U766" i="30"/>
  <c r="V766" i="30"/>
  <c r="W766" i="30"/>
  <c r="X766" i="30"/>
  <c r="Y766" i="30"/>
  <c r="Z766" i="30"/>
  <c r="AA766" i="30"/>
  <c r="AB766" i="30"/>
  <c r="AC766" i="30"/>
  <c r="AD766" i="30"/>
  <c r="AE766" i="30"/>
  <c r="AF766" i="30"/>
  <c r="AG766" i="30"/>
  <c r="AH766" i="30"/>
  <c r="AI766" i="30"/>
  <c r="AJ766" i="30"/>
  <c r="AK766" i="30"/>
  <c r="AL766" i="30"/>
  <c r="AM766" i="30"/>
  <c r="AN766" i="30"/>
  <c r="AO766" i="30"/>
  <c r="AP766" i="30"/>
  <c r="AQ766" i="30"/>
  <c r="AV766" i="30"/>
  <c r="BA766" i="30"/>
  <c r="C767" i="30"/>
  <c r="D767" i="30"/>
  <c r="E767" i="30"/>
  <c r="F767" i="30"/>
  <c r="G767" i="30"/>
  <c r="H767" i="30"/>
  <c r="I767" i="30"/>
  <c r="J767" i="30"/>
  <c r="K767" i="30"/>
  <c r="L767" i="30"/>
  <c r="M767" i="30"/>
  <c r="N767" i="30"/>
  <c r="O767" i="30"/>
  <c r="P767" i="30"/>
  <c r="Q767" i="30"/>
  <c r="R767" i="30"/>
  <c r="S767" i="30"/>
  <c r="T767" i="30"/>
  <c r="U767" i="30"/>
  <c r="V767" i="30"/>
  <c r="W767" i="30"/>
  <c r="X767" i="30"/>
  <c r="Y767" i="30"/>
  <c r="Z767" i="30"/>
  <c r="AA767" i="30"/>
  <c r="AB767" i="30"/>
  <c r="AC767" i="30"/>
  <c r="AD767" i="30"/>
  <c r="AE767" i="30"/>
  <c r="AF767" i="30"/>
  <c r="AG767" i="30"/>
  <c r="AH767" i="30"/>
  <c r="AI767" i="30"/>
  <c r="AJ767" i="30"/>
  <c r="AK767" i="30"/>
  <c r="AL767" i="30"/>
  <c r="AM767" i="30"/>
  <c r="AN767" i="30"/>
  <c r="AO767" i="30"/>
  <c r="AP767" i="30"/>
  <c r="AQ767" i="30"/>
  <c r="AV767" i="30"/>
  <c r="BA767" i="30"/>
  <c r="B2463" i="1"/>
  <c r="B2464" i="1"/>
  <c r="B762" i="30" s="1"/>
  <c r="B2465" i="1"/>
  <c r="B763" i="30" s="1"/>
  <c r="B2466" i="1"/>
  <c r="B764" i="30" s="1"/>
  <c r="B2467" i="1"/>
  <c r="B765" i="30" s="1"/>
  <c r="B2468" i="1"/>
  <c r="B766" i="30" s="1"/>
  <c r="B2469" i="1"/>
  <c r="B767" i="30" s="1"/>
  <c r="A2469" i="1"/>
  <c r="A767" i="30" s="1"/>
  <c r="A2468" i="1"/>
  <c r="A766" i="30" s="1"/>
  <c r="A2467" i="1"/>
  <c r="A765" i="30" s="1"/>
  <c r="A2466" i="1"/>
  <c r="A764" i="30" s="1"/>
  <c r="A2465" i="1"/>
  <c r="A763" i="30" s="1"/>
  <c r="A2464" i="1"/>
  <c r="A762" i="30" s="1"/>
  <c r="A2463" i="1"/>
  <c r="C772" i="30"/>
  <c r="D772" i="30"/>
  <c r="E772" i="30"/>
  <c r="F772" i="30"/>
  <c r="G772" i="30"/>
  <c r="H772" i="30"/>
  <c r="I772" i="30"/>
  <c r="S772" i="30"/>
  <c r="V772" i="30"/>
  <c r="AL772" i="30"/>
  <c r="AM772" i="30"/>
  <c r="AN772" i="30"/>
  <c r="AO772" i="30"/>
  <c r="AP772" i="30"/>
  <c r="AQ772" i="30"/>
  <c r="AR772" i="30"/>
  <c r="AS772" i="30"/>
  <c r="AT772" i="30"/>
  <c r="AU772" i="30"/>
  <c r="AV772" i="30"/>
  <c r="AW772" i="30"/>
  <c r="AX772" i="30"/>
  <c r="AY772" i="30"/>
  <c r="AZ772" i="30"/>
  <c r="BA772" i="30"/>
  <c r="A2455" i="1"/>
  <c r="J2450" i="1"/>
  <c r="K2450" i="1"/>
  <c r="L2450" i="1"/>
  <c r="M2450" i="1"/>
  <c r="N2450" i="1"/>
  <c r="O2450" i="1"/>
  <c r="P2450" i="1"/>
  <c r="Q2450" i="1"/>
  <c r="R2450" i="1"/>
  <c r="T2450" i="1"/>
  <c r="U2450" i="1"/>
  <c r="W2450" i="1"/>
  <c r="X2450" i="1"/>
  <c r="Y2450" i="1"/>
  <c r="Z2450" i="1"/>
  <c r="AA2450" i="1"/>
  <c r="AB2450" i="1"/>
  <c r="AC2450" i="1"/>
  <c r="AD2450" i="1"/>
  <c r="AE2450" i="1"/>
  <c r="AF2450" i="1"/>
  <c r="AG2450" i="1"/>
  <c r="AH2450" i="1"/>
  <c r="AI2450" i="1"/>
  <c r="B2450" i="1"/>
  <c r="A2450" i="1"/>
  <c r="BB2468" i="1" l="1"/>
  <c r="BB766" i="30" s="1"/>
  <c r="BD2466" i="1"/>
  <c r="BD764" i="30" s="1"/>
  <c r="BB2464" i="1"/>
  <c r="BB762" i="30" s="1"/>
  <c r="BC2469" i="1"/>
  <c r="BC767" i="30" s="1"/>
  <c r="BC2465" i="1"/>
  <c r="BC763" i="30" s="1"/>
  <c r="BB2469" i="1"/>
  <c r="BB767" i="30" s="1"/>
  <c r="BD2467" i="1"/>
  <c r="BD765" i="30" s="1"/>
  <c r="BC2466" i="1"/>
  <c r="BC764" i="30" s="1"/>
  <c r="BB2465" i="1"/>
  <c r="BB763" i="30" s="1"/>
  <c r="BD2468" i="1"/>
  <c r="BD766" i="30" s="1"/>
  <c r="BC2467" i="1"/>
  <c r="BC765" i="30" s="1"/>
  <c r="BB2466" i="1"/>
  <c r="BB764" i="30" s="1"/>
  <c r="BD2464" i="1"/>
  <c r="BD762" i="30" s="1"/>
  <c r="BD2469" i="1"/>
  <c r="BD767" i="30" s="1"/>
  <c r="BC2468" i="1"/>
  <c r="BC766" i="30" s="1"/>
  <c r="BB2467" i="1"/>
  <c r="BB765" i="30" s="1"/>
  <c r="BD2465" i="1"/>
  <c r="BD763" i="30" s="1"/>
  <c r="BC2464" i="1"/>
  <c r="BC762" i="30" s="1"/>
  <c r="B665" i="1"/>
  <c r="BB665" i="1" s="1"/>
  <c r="A665" i="1"/>
  <c r="BD665" i="1" l="1"/>
  <c r="BC665" i="1"/>
  <c r="AR245" i="30"/>
  <c r="AS245" i="30"/>
  <c r="AT245" i="30"/>
  <c r="AU245" i="30"/>
  <c r="AV245" i="30"/>
  <c r="AW245" i="30"/>
  <c r="AX245" i="30"/>
  <c r="AY245" i="30"/>
  <c r="AZ245" i="30"/>
  <c r="AR246" i="30"/>
  <c r="AS246" i="30"/>
  <c r="AT246" i="30"/>
  <c r="AU246" i="30"/>
  <c r="AV246" i="30"/>
  <c r="AW246" i="30"/>
  <c r="AX246" i="30"/>
  <c r="AY246" i="30"/>
  <c r="AZ246" i="30"/>
  <c r="AR247" i="30"/>
  <c r="AS247" i="30"/>
  <c r="AT247" i="30"/>
  <c r="AU247" i="30"/>
  <c r="AV247" i="30"/>
  <c r="AW247" i="30"/>
  <c r="AX247" i="30"/>
  <c r="AY247" i="30"/>
  <c r="AZ247" i="30"/>
  <c r="AR248" i="30"/>
  <c r="AS248" i="30"/>
  <c r="AT248" i="30"/>
  <c r="AU248" i="30"/>
  <c r="AV248" i="30"/>
  <c r="AW248" i="30"/>
  <c r="AX248" i="30"/>
  <c r="AY248" i="30"/>
  <c r="AZ248" i="30"/>
  <c r="AR249" i="30"/>
  <c r="AS249" i="30"/>
  <c r="AT249" i="30"/>
  <c r="AU249" i="30"/>
  <c r="AV249" i="30"/>
  <c r="AW249" i="30"/>
  <c r="AX249" i="30"/>
  <c r="AY249" i="30"/>
  <c r="AZ249" i="30"/>
  <c r="AR250" i="30"/>
  <c r="AS250" i="30"/>
  <c r="AT250" i="30"/>
  <c r="AU250" i="30"/>
  <c r="AV250" i="30"/>
  <c r="AW250" i="30"/>
  <c r="AX250" i="30"/>
  <c r="AY250" i="30"/>
  <c r="AZ250" i="30"/>
  <c r="AR251" i="30"/>
  <c r="AS251" i="30"/>
  <c r="AT251" i="30"/>
  <c r="AU251" i="30"/>
  <c r="AV251" i="30"/>
  <c r="AW251" i="30"/>
  <c r="AX251" i="30"/>
  <c r="AY251" i="30"/>
  <c r="AZ251" i="30"/>
  <c r="AR252" i="30"/>
  <c r="AS252" i="30"/>
  <c r="AT252" i="30"/>
  <c r="AU252" i="30"/>
  <c r="AV252" i="30"/>
  <c r="AW252" i="30"/>
  <c r="AX252" i="30"/>
  <c r="AY252" i="30"/>
  <c r="AZ252" i="30"/>
  <c r="AR253" i="30"/>
  <c r="AS253" i="30"/>
  <c r="AT253" i="30"/>
  <c r="AU253" i="30"/>
  <c r="AV253" i="30"/>
  <c r="AW253" i="30"/>
  <c r="AX253" i="30"/>
  <c r="AY253" i="30"/>
  <c r="AZ253" i="30"/>
  <c r="AR254" i="30"/>
  <c r="AS254" i="30"/>
  <c r="AT254" i="30"/>
  <c r="AU254" i="30"/>
  <c r="AV254" i="30"/>
  <c r="AW254" i="30"/>
  <c r="AX254" i="30"/>
  <c r="AY254" i="30"/>
  <c r="AZ254" i="30"/>
  <c r="A717" i="1"/>
  <c r="U717" i="1"/>
  <c r="W717" i="1"/>
  <c r="X717" i="1"/>
  <c r="Y717" i="1"/>
  <c r="Z717" i="1"/>
  <c r="AA717" i="1"/>
  <c r="AB717" i="1"/>
  <c r="AC717" i="1"/>
  <c r="AD717" i="1"/>
  <c r="AE717" i="1"/>
  <c r="AF717" i="1"/>
  <c r="AG717" i="1"/>
  <c r="AH717" i="1"/>
  <c r="AI717" i="1"/>
  <c r="BB717" i="1"/>
  <c r="BC717" i="1"/>
  <c r="BD717" i="1"/>
  <c r="B690" i="1"/>
  <c r="BB690" i="1" s="1"/>
  <c r="B689" i="1"/>
  <c r="BC689" i="1" s="1"/>
  <c r="A690" i="1"/>
  <c r="A689" i="1"/>
  <c r="C239" i="30"/>
  <c r="D239" i="30"/>
  <c r="E239" i="30"/>
  <c r="F239" i="30"/>
  <c r="G239" i="30"/>
  <c r="H239" i="30"/>
  <c r="I239" i="30"/>
  <c r="J239" i="30"/>
  <c r="K239" i="30"/>
  <c r="L239" i="30"/>
  <c r="M239" i="30"/>
  <c r="N239" i="30"/>
  <c r="O239" i="30"/>
  <c r="P239" i="30"/>
  <c r="Q239" i="30"/>
  <c r="R239" i="30"/>
  <c r="S239" i="30"/>
  <c r="T239" i="30"/>
  <c r="V239" i="30"/>
  <c r="AL239" i="30"/>
  <c r="BB689" i="1" l="1"/>
  <c r="BC690" i="1"/>
  <c r="B692" i="1"/>
  <c r="A692" i="1"/>
  <c r="A239" i="30" s="1"/>
  <c r="C238" i="30"/>
  <c r="D238" i="30"/>
  <c r="E238" i="30"/>
  <c r="F238" i="30"/>
  <c r="G238" i="30"/>
  <c r="H238" i="30"/>
  <c r="I238" i="30"/>
  <c r="J238" i="30"/>
  <c r="K238" i="30"/>
  <c r="L238" i="30"/>
  <c r="M238" i="30"/>
  <c r="N238" i="30"/>
  <c r="O238" i="30"/>
  <c r="P238" i="30"/>
  <c r="Q238" i="30"/>
  <c r="R238" i="30"/>
  <c r="S238" i="30"/>
  <c r="T238" i="30"/>
  <c r="V238" i="30"/>
  <c r="AL238" i="30"/>
  <c r="B687" i="1"/>
  <c r="A687" i="1"/>
  <c r="C240" i="30"/>
  <c r="D240" i="30"/>
  <c r="E240" i="30"/>
  <c r="F240" i="30"/>
  <c r="G240" i="30"/>
  <c r="H240" i="30"/>
  <c r="I240" i="30"/>
  <c r="J240" i="30"/>
  <c r="K240" i="30"/>
  <c r="L240" i="30"/>
  <c r="M240" i="30"/>
  <c r="N240" i="30"/>
  <c r="O240" i="30"/>
  <c r="P240" i="30"/>
  <c r="Q240" i="30"/>
  <c r="R240" i="30"/>
  <c r="S240" i="30"/>
  <c r="T240" i="30"/>
  <c r="U240" i="30"/>
  <c r="V240" i="30"/>
  <c r="W240" i="30"/>
  <c r="X240" i="30"/>
  <c r="Y240" i="30"/>
  <c r="Z240" i="30"/>
  <c r="AA240" i="30"/>
  <c r="AB240" i="30"/>
  <c r="AC240" i="30"/>
  <c r="AL240" i="30"/>
  <c r="B693" i="1"/>
  <c r="A693" i="1"/>
  <c r="A240" i="30" s="1"/>
  <c r="BA691" i="1"/>
  <c r="AZ691" i="1"/>
  <c r="AZ693" i="1" s="1"/>
  <c r="AZ240" i="30" s="1"/>
  <c r="AY691" i="1"/>
  <c r="AY693" i="1" s="1"/>
  <c r="AY240" i="30" s="1"/>
  <c r="AX691" i="1"/>
  <c r="AW691" i="1"/>
  <c r="AV691" i="1"/>
  <c r="AV693" i="1" s="1"/>
  <c r="AV240" i="30" s="1"/>
  <c r="AU691" i="1"/>
  <c r="AT691" i="1"/>
  <c r="AS691" i="1"/>
  <c r="AR691" i="1"/>
  <c r="AR693" i="1" s="1"/>
  <c r="AR240" i="30" s="1"/>
  <c r="AQ691" i="1"/>
  <c r="AQ692" i="1" s="1"/>
  <c r="AQ239" i="30" s="1"/>
  <c r="AP691" i="1"/>
  <c r="AP692" i="1" s="1"/>
  <c r="AP239" i="30" s="1"/>
  <c r="AO691" i="1"/>
  <c r="AO692" i="1" s="1"/>
  <c r="AO239" i="30" s="1"/>
  <c r="AN691" i="1"/>
  <c r="AN692" i="1" s="1"/>
  <c r="AN239" i="30" s="1"/>
  <c r="AM691" i="1"/>
  <c r="AM692" i="1" s="1"/>
  <c r="AM239" i="30" s="1"/>
  <c r="AK691" i="1"/>
  <c r="AK692" i="1" s="1"/>
  <c r="AK239" i="30" s="1"/>
  <c r="AJ691" i="1"/>
  <c r="AJ692" i="1" s="1"/>
  <c r="AJ239" i="30" s="1"/>
  <c r="AI691" i="1"/>
  <c r="AI692" i="1" s="1"/>
  <c r="AH691" i="1"/>
  <c r="AH692" i="1" s="1"/>
  <c r="AG691" i="1"/>
  <c r="AG692" i="1" s="1"/>
  <c r="AF691" i="1"/>
  <c r="AF692" i="1" s="1"/>
  <c r="AE691" i="1"/>
  <c r="AE692" i="1" s="1"/>
  <c r="AD691" i="1"/>
  <c r="AD692" i="1" s="1"/>
  <c r="AN693" i="1" l="1"/>
  <c r="AN240" i="30" s="1"/>
  <c r="AS692" i="1"/>
  <c r="AS239" i="30" s="1"/>
  <c r="AW692" i="1"/>
  <c r="AW239" i="30" s="1"/>
  <c r="BA692" i="1"/>
  <c r="BA239" i="30" s="1"/>
  <c r="AT692" i="1"/>
  <c r="AT239" i="30" s="1"/>
  <c r="AX692" i="1"/>
  <c r="AX239" i="30" s="1"/>
  <c r="AK693" i="1"/>
  <c r="AK240" i="30" s="1"/>
  <c r="AO693" i="1"/>
  <c r="AO240" i="30" s="1"/>
  <c r="AU692" i="1"/>
  <c r="AU239" i="30" s="1"/>
  <c r="B240" i="30"/>
  <c r="BC693" i="1"/>
  <c r="BC240" i="30" s="1"/>
  <c r="BD693" i="1"/>
  <c r="BD240" i="30" s="1"/>
  <c r="BB693" i="1"/>
  <c r="BB240" i="30" s="1"/>
  <c r="AJ693" i="1"/>
  <c r="AJ240" i="30" s="1"/>
  <c r="AP693" i="1"/>
  <c r="AP240" i="30" s="1"/>
  <c r="AT693" i="1"/>
  <c r="AT240" i="30" s="1"/>
  <c r="AR692" i="1"/>
  <c r="AR239" i="30" s="1"/>
  <c r="AV692" i="1"/>
  <c r="AV239" i="30" s="1"/>
  <c r="AZ692" i="1"/>
  <c r="AZ239" i="30" s="1"/>
  <c r="AM693" i="1"/>
  <c r="AM240" i="30" s="1"/>
  <c r="AQ693" i="1"/>
  <c r="AQ240" i="30" s="1"/>
  <c r="AU693" i="1"/>
  <c r="AU240" i="30" s="1"/>
  <c r="BB692" i="1"/>
  <c r="BB239" i="30" s="1"/>
  <c r="BC692" i="1"/>
  <c r="BC239" i="30" s="1"/>
  <c r="BD692" i="1"/>
  <c r="BD239" i="30" s="1"/>
  <c r="B239" i="30"/>
  <c r="AS693" i="1"/>
  <c r="AS240" i="30" s="1"/>
  <c r="AW693" i="1"/>
  <c r="AW240" i="30" s="1"/>
  <c r="BA693" i="1"/>
  <c r="BA240" i="30" s="1"/>
  <c r="AY692" i="1"/>
  <c r="AY239" i="30" s="1"/>
  <c r="AX693" i="1"/>
  <c r="AX240" i="30" s="1"/>
  <c r="B691" i="1"/>
  <c r="A691" i="1"/>
  <c r="BB1962" i="1"/>
  <c r="BC1962" i="1" l="1"/>
  <c r="BD1962" i="1"/>
  <c r="BB691" i="1"/>
  <c r="BC691" i="1"/>
  <c r="BD691" i="1"/>
  <c r="B701" i="1"/>
  <c r="A701" i="1"/>
  <c r="B688" i="1"/>
  <c r="B238" i="30" s="1"/>
  <c r="A688" i="1"/>
  <c r="A238" i="30" s="1"/>
  <c r="B686" i="1"/>
  <c r="D249" i="30" l="1"/>
  <c r="E249" i="30"/>
  <c r="D250" i="30"/>
  <c r="E250" i="30"/>
  <c r="D251" i="30"/>
  <c r="E251" i="30"/>
  <c r="D252" i="30"/>
  <c r="E252" i="30"/>
  <c r="X244" i="30"/>
  <c r="Y244" i="30"/>
  <c r="Z244" i="30"/>
  <c r="AA244" i="30"/>
  <c r="AB244" i="30"/>
  <c r="AC244" i="30"/>
  <c r="U244" i="30"/>
  <c r="V244" i="30"/>
  <c r="W244" i="30"/>
  <c r="C244" i="30"/>
  <c r="D244" i="30"/>
  <c r="E244" i="30"/>
  <c r="F244" i="30"/>
  <c r="G244" i="30"/>
  <c r="H244" i="30"/>
  <c r="I244" i="30"/>
  <c r="J244" i="30"/>
  <c r="K244" i="30"/>
  <c r="L244" i="30"/>
  <c r="M244" i="30"/>
  <c r="N244" i="30"/>
  <c r="O244" i="30"/>
  <c r="P244" i="30"/>
  <c r="Q244" i="30"/>
  <c r="R244" i="30"/>
  <c r="S244" i="30"/>
  <c r="T244" i="30"/>
  <c r="AL244" i="30"/>
  <c r="BA704" i="1" l="1"/>
  <c r="BA244" i="30" s="1"/>
  <c r="AZ704" i="1"/>
  <c r="AZ244" i="30" s="1"/>
  <c r="AY704" i="1"/>
  <c r="AY244" i="30" s="1"/>
  <c r="AX704" i="1"/>
  <c r="AX244" i="30" s="1"/>
  <c r="AW704" i="1"/>
  <c r="AW244" i="30" s="1"/>
  <c r="AV704" i="1"/>
  <c r="AV244" i="30" s="1"/>
  <c r="AU704" i="1"/>
  <c r="AU244" i="30" s="1"/>
  <c r="AT704" i="1"/>
  <c r="AT244" i="30" s="1"/>
  <c r="AS704" i="1"/>
  <c r="AS244" i="30" s="1"/>
  <c r="AR704" i="1"/>
  <c r="AR244" i="30" s="1"/>
  <c r="AQ704" i="1"/>
  <c r="AQ244" i="30" s="1"/>
  <c r="AP704" i="1"/>
  <c r="AP244" i="30" s="1"/>
  <c r="AO704" i="1"/>
  <c r="AO244" i="30" s="1"/>
  <c r="AN704" i="1"/>
  <c r="AN244" i="30" s="1"/>
  <c r="AM704" i="1"/>
  <c r="AM244" i="30" s="1"/>
  <c r="AJ704" i="1"/>
  <c r="AJ244" i="30" s="1"/>
  <c r="AK704" i="1"/>
  <c r="AK244" i="30" s="1"/>
  <c r="B704" i="1"/>
  <c r="B244" i="30" s="1"/>
  <c r="A704" i="1"/>
  <c r="A244" i="30" s="1"/>
  <c r="F242" i="30"/>
  <c r="AW243" i="30"/>
  <c r="AX243" i="30"/>
  <c r="AY243" i="30"/>
  <c r="AZ243" i="30"/>
  <c r="AR243" i="30"/>
  <c r="AS243" i="30"/>
  <c r="AT243" i="30"/>
  <c r="AU243" i="30"/>
  <c r="AM243" i="30"/>
  <c r="AN243" i="30"/>
  <c r="AO243" i="30"/>
  <c r="AP243" i="30"/>
  <c r="AJ243" i="30"/>
  <c r="AK243" i="30"/>
  <c r="BC704" i="1" l="1"/>
  <c r="BC244" i="30" s="1"/>
  <c r="BD704" i="1"/>
  <c r="BD244" i="30" s="1"/>
  <c r="BB704" i="1"/>
  <c r="BB244" i="30" s="1"/>
  <c r="AR154" i="30"/>
  <c r="AS154" i="30"/>
  <c r="AT154" i="30"/>
  <c r="AU154" i="30"/>
  <c r="AU157" i="30"/>
  <c r="AT157" i="30"/>
  <c r="AS157" i="30"/>
  <c r="AR157" i="30"/>
  <c r="AU155" i="30"/>
  <c r="AT155" i="30"/>
  <c r="AS155" i="30"/>
  <c r="AR155" i="30"/>
  <c r="AU121" i="30"/>
  <c r="AT121" i="30"/>
  <c r="AS121" i="30"/>
  <c r="AR121" i="30"/>
  <c r="AU11" i="30"/>
  <c r="AT11" i="30"/>
  <c r="AS11" i="30"/>
  <c r="AR11" i="30"/>
  <c r="AT3" i="30"/>
  <c r="AQ4" i="30"/>
  <c r="AQ5" i="30"/>
  <c r="AQ6" i="30"/>
  <c r="AS3" i="30"/>
  <c r="AQ243" i="30"/>
  <c r="AV243" i="30"/>
  <c r="B1418" i="1" l="1"/>
  <c r="AC1450" i="1" l="1"/>
  <c r="AC1449" i="1"/>
  <c r="AC1448" i="1"/>
  <c r="AC1447" i="1"/>
  <c r="AC1446" i="1"/>
  <c r="AC1445" i="1"/>
  <c r="AC1444" i="1"/>
  <c r="AC1443" i="1"/>
  <c r="AC1442" i="1"/>
  <c r="AC1441" i="1"/>
  <c r="AC1440" i="1"/>
  <c r="AC1439" i="1"/>
  <c r="AC1438" i="1"/>
  <c r="AC1437" i="1"/>
  <c r="AC1436" i="1"/>
  <c r="AC446" i="30" s="1"/>
  <c r="B1419" i="1"/>
  <c r="BC1419" i="1" s="1"/>
  <c r="B1420" i="1"/>
  <c r="BD1420" i="1" s="1"/>
  <c r="B1421" i="1"/>
  <c r="BB1421" i="1" s="1"/>
  <c r="B1422" i="1"/>
  <c r="BB1422" i="1" s="1"/>
  <c r="B1423" i="1"/>
  <c r="BC1423" i="1" s="1"/>
  <c r="B1424" i="1"/>
  <c r="BD1424" i="1" s="1"/>
  <c r="B1425" i="1"/>
  <c r="BB1425" i="1" s="1"/>
  <c r="B1426" i="1"/>
  <c r="BB1426" i="1" s="1"/>
  <c r="B1427" i="1"/>
  <c r="BC1427" i="1" s="1"/>
  <c r="B1428" i="1"/>
  <c r="BD1428" i="1" s="1"/>
  <c r="B1429" i="1"/>
  <c r="BB1429" i="1" s="1"/>
  <c r="B1430" i="1"/>
  <c r="BB1430" i="1" s="1"/>
  <c r="B1431" i="1"/>
  <c r="BC1431" i="1" s="1"/>
  <c r="B1432" i="1"/>
  <c r="BD1432" i="1" s="1"/>
  <c r="B1433" i="1"/>
  <c r="BD1433" i="1" s="1"/>
  <c r="B1434" i="1"/>
  <c r="BB1434" i="1" s="1"/>
  <c r="A1434" i="1"/>
  <c r="A1433" i="1"/>
  <c r="A1432" i="1"/>
  <c r="A1431" i="1"/>
  <c r="A1430" i="1"/>
  <c r="A1429" i="1"/>
  <c r="A1428" i="1"/>
  <c r="A1427" i="1"/>
  <c r="A1426" i="1"/>
  <c r="A1425" i="1"/>
  <c r="A1424" i="1"/>
  <c r="A1423" i="1"/>
  <c r="A1422" i="1"/>
  <c r="A1421" i="1"/>
  <c r="A1420" i="1"/>
  <c r="A1419" i="1"/>
  <c r="B1842" i="1"/>
  <c r="BC1842" i="1" s="1"/>
  <c r="B1841" i="1"/>
  <c r="BD1841" i="1" s="1"/>
  <c r="B1840" i="1"/>
  <c r="BB1840" i="1" s="1"/>
  <c r="B1839" i="1"/>
  <c r="BB1839" i="1" s="1"/>
  <c r="B1838" i="1"/>
  <c r="BD1838" i="1" s="1"/>
  <c r="B1837" i="1"/>
  <c r="BD1837" i="1" s="1"/>
  <c r="B1836" i="1"/>
  <c r="BB1836" i="1" s="1"/>
  <c r="B1835" i="1"/>
  <c r="BB1835" i="1" s="1"/>
  <c r="B1834" i="1"/>
  <c r="BB1834" i="1" s="1"/>
  <c r="B1833" i="1"/>
  <c r="BD1833" i="1" s="1"/>
  <c r="B1832" i="1"/>
  <c r="BB1832" i="1" s="1"/>
  <c r="B1831" i="1"/>
  <c r="BB1831" i="1" s="1"/>
  <c r="B1830" i="1"/>
  <c r="BB1830" i="1" s="1"/>
  <c r="B1829" i="1"/>
  <c r="BC1829" i="1" s="1"/>
  <c r="B1828" i="1"/>
  <c r="BB1828" i="1" s="1"/>
  <c r="A1842" i="1"/>
  <c r="A1841" i="1"/>
  <c r="A1840" i="1"/>
  <c r="A1839" i="1"/>
  <c r="A1838" i="1"/>
  <c r="A1837" i="1"/>
  <c r="A1836" i="1"/>
  <c r="A1835" i="1"/>
  <c r="A1834" i="1"/>
  <c r="A1833" i="1"/>
  <c r="A1832" i="1"/>
  <c r="A1831" i="1"/>
  <c r="A1830" i="1"/>
  <c r="A1829" i="1"/>
  <c r="A1828" i="1"/>
  <c r="AB446" i="30"/>
  <c r="BD1425" i="1" l="1"/>
  <c r="BB1420" i="1"/>
  <c r="BB1432" i="1"/>
  <c r="BC1428" i="1"/>
  <c r="BC1424" i="1"/>
  <c r="BB1428" i="1"/>
  <c r="BB1423" i="1"/>
  <c r="BD1421" i="1"/>
  <c r="BB1431" i="1"/>
  <c r="BB1424" i="1"/>
  <c r="BC1420" i="1"/>
  <c r="BC1432" i="1"/>
  <c r="BD1429" i="1"/>
  <c r="BB1427" i="1"/>
  <c r="BD1431" i="1"/>
  <c r="BD1423" i="1"/>
  <c r="BD1419" i="1"/>
  <c r="BB1419" i="1"/>
  <c r="BD1427" i="1"/>
  <c r="BC1425" i="1"/>
  <c r="BD1422" i="1"/>
  <c r="BC1421" i="1"/>
  <c r="BD1434" i="1"/>
  <c r="BC1433" i="1"/>
  <c r="BD1430" i="1"/>
  <c r="BC1429" i="1"/>
  <c r="BD1426" i="1"/>
  <c r="BC1422" i="1"/>
  <c r="BC1434" i="1"/>
  <c r="BB1433" i="1"/>
  <c r="BC1430" i="1"/>
  <c r="BC1426" i="1"/>
  <c r="BB1842" i="1"/>
  <c r="BC1838" i="1"/>
  <c r="BD1834" i="1"/>
  <c r="BB1833" i="1"/>
  <c r="BC1841" i="1"/>
  <c r="BB1838" i="1"/>
  <c r="BC1834" i="1"/>
  <c r="BD1830" i="1"/>
  <c r="BD1842" i="1"/>
  <c r="BB1841" i="1"/>
  <c r="BC1837" i="1"/>
  <c r="BC1830" i="1"/>
  <c r="BB1837" i="1"/>
  <c r="BC1833" i="1"/>
  <c r="BB1829" i="1"/>
  <c r="BD1832" i="1"/>
  <c r="BD1839" i="1"/>
  <c r="BD1835" i="1"/>
  <c r="BD1831" i="1"/>
  <c r="BD1840" i="1"/>
  <c r="BC1839" i="1"/>
  <c r="BD1836" i="1"/>
  <c r="BC1835" i="1"/>
  <c r="BC1831" i="1"/>
  <c r="BD1828" i="1"/>
  <c r="BC1840" i="1"/>
  <c r="BC1836" i="1"/>
  <c r="BC1832" i="1"/>
  <c r="BD1829" i="1"/>
  <c r="BC1828" i="1"/>
  <c r="B243" i="30" l="1"/>
  <c r="C243" i="30"/>
  <c r="D243" i="30"/>
  <c r="E243" i="30"/>
  <c r="F243" i="30"/>
  <c r="G243" i="30"/>
  <c r="H243" i="30"/>
  <c r="I243" i="30"/>
  <c r="J243" i="30"/>
  <c r="K243" i="30"/>
  <c r="L243" i="30"/>
  <c r="M243" i="30"/>
  <c r="N243" i="30"/>
  <c r="O243" i="30"/>
  <c r="P243" i="30"/>
  <c r="Q243" i="30"/>
  <c r="R243" i="30"/>
  <c r="S243" i="30"/>
  <c r="T243" i="30"/>
  <c r="V243" i="30"/>
  <c r="AL243" i="30"/>
  <c r="BA243" i="30"/>
  <c r="BB703" i="1"/>
  <c r="BB243" i="30" s="1"/>
  <c r="BC703" i="1"/>
  <c r="BC243" i="30" s="1"/>
  <c r="BD703" i="1"/>
  <c r="BD243" i="30" s="1"/>
  <c r="A703" i="1" l="1"/>
  <c r="A243" i="30" s="1"/>
  <c r="E502" i="30"/>
  <c r="E478" i="30"/>
  <c r="E467" i="30"/>
  <c r="E466" i="30"/>
  <c r="E465" i="30"/>
  <c r="E464" i="30"/>
  <c r="E463" i="30"/>
  <c r="E462" i="30"/>
  <c r="E460" i="30"/>
  <c r="E459" i="30"/>
  <c r="E458" i="30"/>
  <c r="E457" i="30"/>
  <c r="E456" i="30"/>
  <c r="E455" i="30"/>
  <c r="E454" i="30"/>
  <c r="E453" i="30"/>
  <c r="E452" i="30"/>
  <c r="E451" i="30"/>
  <c r="E450" i="30"/>
  <c r="E449" i="30"/>
  <c r="E448" i="30"/>
  <c r="E447" i="30"/>
  <c r="E446" i="30"/>
  <c r="D446" i="30"/>
  <c r="D463" i="30" l="1"/>
  <c r="D464" i="30"/>
  <c r="D465" i="30"/>
  <c r="D466" i="30"/>
  <c r="D467" i="30"/>
  <c r="D462" i="30"/>
  <c r="D460" i="30"/>
  <c r="D459" i="30"/>
  <c r="D458" i="30"/>
  <c r="D457" i="30"/>
  <c r="D456" i="30"/>
  <c r="D455" i="30"/>
  <c r="D454" i="30"/>
  <c r="D453" i="30"/>
  <c r="D452" i="30"/>
  <c r="D451" i="30"/>
  <c r="D450" i="30"/>
  <c r="D449" i="30"/>
  <c r="D448" i="30"/>
  <c r="D447" i="30"/>
  <c r="BB2155" i="1"/>
  <c r="BC2155" i="1"/>
  <c r="BD2155" i="1"/>
  <c r="BB2156" i="1"/>
  <c r="BC2156" i="1"/>
  <c r="BD2156" i="1"/>
  <c r="BD2158" i="1"/>
  <c r="BC2158" i="1"/>
  <c r="BB2158" i="1"/>
  <c r="BD748" i="1"/>
  <c r="BB748" i="1"/>
  <c r="BC748" i="1"/>
  <c r="B290" i="1" l="1"/>
  <c r="B10" i="1"/>
  <c r="F438" i="30"/>
  <c r="AK438" i="30"/>
  <c r="AK439" i="30"/>
  <c r="AK440" i="30"/>
  <c r="AK313" i="30"/>
  <c r="AK260" i="30"/>
  <c r="AK261" i="30"/>
  <c r="AK262" i="30"/>
  <c r="AK319" i="30"/>
  <c r="AK320" i="30"/>
  <c r="AK321" i="30"/>
  <c r="AK314" i="30"/>
  <c r="AK317" i="30"/>
  <c r="AK316" i="30"/>
  <c r="AK315" i="30"/>
  <c r="AK318" i="30"/>
  <c r="BD10" i="1" l="1"/>
  <c r="BB10" i="1"/>
  <c r="BC10" i="1"/>
  <c r="BC290" i="1"/>
  <c r="BB290" i="1"/>
  <c r="BD290" i="1"/>
  <c r="BB1651" i="1"/>
  <c r="BC1651" i="1"/>
  <c r="BD1651" i="1"/>
  <c r="J2456" i="1" l="1"/>
  <c r="K2456" i="1"/>
  <c r="L2456" i="1"/>
  <c r="M2456" i="1"/>
  <c r="N2456" i="1"/>
  <c r="O2456" i="1"/>
  <c r="P2456" i="1"/>
  <c r="Q2456" i="1"/>
  <c r="R2456" i="1"/>
  <c r="T2456" i="1"/>
  <c r="U2456" i="1"/>
  <c r="W2456" i="1"/>
  <c r="X2456" i="1"/>
  <c r="Y2456" i="1"/>
  <c r="Z2456" i="1"/>
  <c r="AA2456" i="1"/>
  <c r="AB2456" i="1"/>
  <c r="AC2456" i="1"/>
  <c r="AD2456" i="1"/>
  <c r="AE2456" i="1"/>
  <c r="AF2456" i="1"/>
  <c r="AG2456" i="1"/>
  <c r="AH2456" i="1"/>
  <c r="AI2456" i="1"/>
  <c r="AK2456" i="1"/>
  <c r="BB2462" i="1"/>
  <c r="BC2462" i="1"/>
  <c r="BD2462" i="1"/>
  <c r="BB2463" i="1"/>
  <c r="BC2463" i="1"/>
  <c r="BD2463" i="1"/>
  <c r="A2462" i="1"/>
  <c r="J2443" i="1"/>
  <c r="K2443" i="1"/>
  <c r="L2443" i="1"/>
  <c r="M2443" i="1"/>
  <c r="N2443" i="1"/>
  <c r="O2443" i="1"/>
  <c r="P2443" i="1"/>
  <c r="Q2443" i="1"/>
  <c r="R2443" i="1"/>
  <c r="T2443" i="1"/>
  <c r="U2443" i="1"/>
  <c r="W2443" i="1"/>
  <c r="X2443" i="1"/>
  <c r="Y2443" i="1"/>
  <c r="Z2443" i="1"/>
  <c r="AA2443" i="1"/>
  <c r="J2441" i="1"/>
  <c r="J772" i="30" s="1"/>
  <c r="K2441" i="1"/>
  <c r="K772" i="30" s="1"/>
  <c r="L2441" i="1"/>
  <c r="L772" i="30" s="1"/>
  <c r="M2441" i="1"/>
  <c r="M772" i="30" s="1"/>
  <c r="N2441" i="1"/>
  <c r="N772" i="30" s="1"/>
  <c r="O2441" i="1"/>
  <c r="O772" i="30" s="1"/>
  <c r="P2441" i="1"/>
  <c r="P772" i="30" s="1"/>
  <c r="Q2441" i="1"/>
  <c r="Q772" i="30" s="1"/>
  <c r="R2441" i="1"/>
  <c r="R772" i="30" s="1"/>
  <c r="U2441" i="1"/>
  <c r="U772" i="30" s="1"/>
  <c r="T2441" i="1"/>
  <c r="T772" i="30" s="1"/>
  <c r="W2441" i="1"/>
  <c r="W772" i="30" s="1"/>
  <c r="X2441" i="1"/>
  <c r="X772" i="30" s="1"/>
  <c r="Y2441" i="1"/>
  <c r="Y772" i="30" s="1"/>
  <c r="Z2441" i="1"/>
  <c r="Z772" i="30" s="1"/>
  <c r="AA2441" i="1"/>
  <c r="AA772" i="30" s="1"/>
  <c r="AB2441" i="1"/>
  <c r="AB772" i="30" s="1"/>
  <c r="AC2441" i="1"/>
  <c r="AC772" i="30" s="1"/>
  <c r="AD2441" i="1"/>
  <c r="AD772" i="30" s="1"/>
  <c r="AE2441" i="1"/>
  <c r="AE772" i="30" s="1"/>
  <c r="AF2441" i="1"/>
  <c r="AF772" i="30" s="1"/>
  <c r="AG2441" i="1"/>
  <c r="AG772" i="30" s="1"/>
  <c r="AH2441" i="1"/>
  <c r="AH772" i="30" s="1"/>
  <c r="AI2441" i="1"/>
  <c r="AI772" i="30" s="1"/>
  <c r="AJ2441" i="1"/>
  <c r="AJ772" i="30" s="1"/>
  <c r="AK2441" i="1"/>
  <c r="AK772" i="30" s="1"/>
  <c r="B2441" i="1"/>
  <c r="B2440" i="1"/>
  <c r="B2439" i="1"/>
  <c r="B2438" i="1"/>
  <c r="B2437" i="1"/>
  <c r="B2436" i="1"/>
  <c r="A2441" i="1"/>
  <c r="A772" i="30" s="1"/>
  <c r="B2443" i="1"/>
  <c r="A2443" i="1"/>
  <c r="B1202" i="1"/>
  <c r="BB1202" i="1" s="1"/>
  <c r="A1202" i="1"/>
  <c r="B1941" i="1"/>
  <c r="A1941" i="1"/>
  <c r="B2442" i="1"/>
  <c r="A2442" i="1"/>
  <c r="R2440" i="1"/>
  <c r="Q2440" i="1"/>
  <c r="P2440" i="1"/>
  <c r="O2440" i="1"/>
  <c r="N2440" i="1"/>
  <c r="M2440" i="1"/>
  <c r="L2440" i="1"/>
  <c r="K2440" i="1"/>
  <c r="J2440" i="1"/>
  <c r="U2440" i="1"/>
  <c r="T2440" i="1"/>
  <c r="W2440" i="1"/>
  <c r="X2440" i="1"/>
  <c r="Y2440" i="1"/>
  <c r="Z2440" i="1"/>
  <c r="AA2440" i="1"/>
  <c r="AB2440" i="1"/>
  <c r="AB2442" i="1" s="1"/>
  <c r="AB2443" i="1" s="1"/>
  <c r="AC2440" i="1"/>
  <c r="AC2442" i="1" s="1"/>
  <c r="AC2443" i="1" s="1"/>
  <c r="AD2440" i="1"/>
  <c r="AD2442" i="1" s="1"/>
  <c r="AD2443" i="1" s="1"/>
  <c r="AE2440" i="1"/>
  <c r="AE2442" i="1" s="1"/>
  <c r="AE2443" i="1" s="1"/>
  <c r="AF2440" i="1"/>
  <c r="AF2442" i="1" s="1"/>
  <c r="AF2443" i="1" s="1"/>
  <c r="AG2440" i="1"/>
  <c r="AG2442" i="1" s="1"/>
  <c r="AG2443" i="1" s="1"/>
  <c r="AH2440" i="1"/>
  <c r="AH2442" i="1" s="1"/>
  <c r="AH2443" i="1" s="1"/>
  <c r="AI2440" i="1"/>
  <c r="AI2442" i="1" s="1"/>
  <c r="AI2443" i="1" s="1"/>
  <c r="B1160" i="1"/>
  <c r="A1160" i="1"/>
  <c r="B2154" i="1"/>
  <c r="A2154" i="1"/>
  <c r="BC2441" i="1" l="1"/>
  <c r="BC772" i="30" s="1"/>
  <c r="B772" i="30"/>
  <c r="BD1202" i="1"/>
  <c r="BB2441" i="1"/>
  <c r="BB772" i="30" s="1"/>
  <c r="BD2441" i="1"/>
  <c r="BD772" i="30" s="1"/>
  <c r="BC1202" i="1"/>
  <c r="AK2447" i="1"/>
  <c r="AK2451" i="1"/>
  <c r="AK2450" i="1" s="1"/>
  <c r="AK2446" i="1"/>
  <c r="AK2440" i="1"/>
  <c r="AK2432" i="1"/>
  <c r="AK2429" i="1"/>
  <c r="F923" i="1"/>
  <c r="AK832" i="1"/>
  <c r="AK906" i="1"/>
  <c r="AK867" i="1"/>
  <c r="AK736" i="30" s="1"/>
  <c r="AK940" i="1"/>
  <c r="AK1051" i="1"/>
  <c r="B430" i="61" s="1"/>
  <c r="BB2311" i="1"/>
  <c r="BC2311" i="1"/>
  <c r="BD2311" i="1"/>
  <c r="BB2312" i="1"/>
  <c r="BC2312" i="1"/>
  <c r="BD2312" i="1"/>
  <c r="B463" i="1"/>
  <c r="B338" i="1"/>
  <c r="A463" i="1"/>
  <c r="A338" i="1"/>
  <c r="BD619" i="1"/>
  <c r="BC619" i="1"/>
  <c r="BB619" i="1"/>
  <c r="BD1793" i="1"/>
  <c r="BC1793" i="1"/>
  <c r="BB1793" i="1"/>
  <c r="BD1792" i="1"/>
  <c r="BC1792" i="1"/>
  <c r="BB1792" i="1"/>
  <c r="BD1794" i="1"/>
  <c r="BC1794" i="1"/>
  <c r="BB1794" i="1"/>
  <c r="BD1797" i="1"/>
  <c r="BC1797" i="1"/>
  <c r="BB1797" i="1"/>
  <c r="BD1796" i="1"/>
  <c r="BC1796" i="1"/>
  <c r="BB1796" i="1"/>
  <c r="BD1800" i="1"/>
  <c r="BC1800" i="1"/>
  <c r="BB1800" i="1"/>
  <c r="BD1655" i="1"/>
  <c r="BC1655" i="1"/>
  <c r="BB1655" i="1"/>
  <c r="BD1649" i="1"/>
  <c r="BC1649" i="1"/>
  <c r="BB1649" i="1"/>
  <c r="B431" i="61" l="1"/>
  <c r="B435" i="61" s="1"/>
  <c r="AK910" i="1"/>
  <c r="BD338" i="1"/>
  <c r="BB338" i="1"/>
  <c r="BC338" i="1"/>
  <c r="BB463" i="1"/>
  <c r="BC463" i="1"/>
  <c r="BD463" i="1"/>
  <c r="AK1020" i="1"/>
  <c r="AK381" i="30" s="1"/>
  <c r="AK737" i="30"/>
  <c r="AK1066" i="1"/>
  <c r="B478" i="61" s="1"/>
  <c r="AK1358" i="1"/>
  <c r="AK437" i="30" s="1"/>
  <c r="AK312" i="30"/>
  <c r="AK2461" i="1"/>
  <c r="AK2435" i="1"/>
  <c r="AK2452" i="1"/>
  <c r="AK1021" i="1"/>
  <c r="AK954" i="1"/>
  <c r="AK907" i="1"/>
  <c r="BD737" i="1"/>
  <c r="BC737" i="1"/>
  <c r="BB737" i="1"/>
  <c r="BD735" i="1"/>
  <c r="BC735" i="1"/>
  <c r="BB735" i="1"/>
  <c r="BB1124" i="1"/>
  <c r="BC1124" i="1"/>
  <c r="BD1124" i="1"/>
  <c r="E439" i="61" l="1"/>
  <c r="AK382" i="30"/>
  <c r="B415" i="61"/>
  <c r="AK2442" i="1"/>
  <c r="AK2457" i="1"/>
  <c r="AK2443" i="1" s="1"/>
  <c r="AK530" i="1"/>
  <c r="AJ384" i="30"/>
  <c r="BB1123" i="1" l="1"/>
  <c r="BC1123" i="1"/>
  <c r="BD1123" i="1"/>
  <c r="B875" i="1" l="1"/>
  <c r="BB875" i="1" s="1"/>
  <c r="B873" i="1"/>
  <c r="BC873" i="1" s="1"/>
  <c r="B871" i="1"/>
  <c r="BB871" i="1" s="1"/>
  <c r="A875" i="1"/>
  <c r="A873" i="1"/>
  <c r="A871" i="1"/>
  <c r="P1043" i="1"/>
  <c r="Q1043" i="1"/>
  <c r="R1043" i="1"/>
  <c r="T1043" i="1"/>
  <c r="U1043" i="1"/>
  <c r="W1043" i="1"/>
  <c r="X1043" i="1"/>
  <c r="Z1043" i="1"/>
  <c r="AA1043" i="1"/>
  <c r="AB1043" i="1"/>
  <c r="AC1043" i="1"/>
  <c r="AD1043" i="1"/>
  <c r="Y1043" i="1"/>
  <c r="Y1215" i="1" l="1"/>
  <c r="Y1214" i="1" s="1"/>
  <c r="Y428" i="30" s="1"/>
  <c r="Y1042" i="1"/>
  <c r="AA1215" i="1"/>
  <c r="AA1042" i="1"/>
  <c r="U1215" i="1"/>
  <c r="U1042" i="1"/>
  <c r="P1215" i="1"/>
  <c r="P1042" i="1"/>
  <c r="AD1215" i="1"/>
  <c r="AD1042" i="1"/>
  <c r="Z1215" i="1"/>
  <c r="Z1042" i="1"/>
  <c r="T1215" i="1"/>
  <c r="T1216" i="1" s="1"/>
  <c r="T1042" i="1"/>
  <c r="AC1215" i="1"/>
  <c r="AC1042" i="1"/>
  <c r="X1215" i="1"/>
  <c r="Y1216" i="1" s="1"/>
  <c r="X1042" i="1"/>
  <c r="R1215" i="1"/>
  <c r="R1042" i="1"/>
  <c r="AB1215" i="1"/>
  <c r="AB1042" i="1"/>
  <c r="W1215" i="1"/>
  <c r="W1216" i="1" s="1"/>
  <c r="W1042" i="1"/>
  <c r="Q1215" i="1"/>
  <c r="Q1042" i="1"/>
  <c r="BD873" i="1"/>
  <c r="BB873" i="1"/>
  <c r="BD871" i="1"/>
  <c r="BC871" i="1"/>
  <c r="BD875" i="1"/>
  <c r="BC875" i="1"/>
  <c r="Y429" i="30"/>
  <c r="Y906" i="1"/>
  <c r="W906" i="1"/>
  <c r="X906" i="1"/>
  <c r="Z906" i="1"/>
  <c r="AA906" i="1"/>
  <c r="AB906" i="1"/>
  <c r="AC906" i="1"/>
  <c r="AD906" i="1"/>
  <c r="AE906" i="1"/>
  <c r="AF906" i="1"/>
  <c r="AG906" i="1"/>
  <c r="AH906" i="1"/>
  <c r="AI906" i="1"/>
  <c r="Y373" i="30"/>
  <c r="Y921" i="1"/>
  <c r="C386" i="30"/>
  <c r="H386" i="30"/>
  <c r="I386" i="30"/>
  <c r="J386" i="30"/>
  <c r="K386" i="30"/>
  <c r="L386" i="30"/>
  <c r="M386" i="30"/>
  <c r="N386" i="30"/>
  <c r="O386" i="30"/>
  <c r="P386" i="30"/>
  <c r="Q386" i="30"/>
  <c r="R386" i="30"/>
  <c r="S386" i="30"/>
  <c r="T386" i="30"/>
  <c r="U386" i="30"/>
  <c r="V386" i="30"/>
  <c r="AL386" i="30"/>
  <c r="AM386" i="30"/>
  <c r="AN386" i="30"/>
  <c r="AO386" i="30"/>
  <c r="AP386" i="30"/>
  <c r="AQ386" i="30"/>
  <c r="AV386" i="30"/>
  <c r="BA386" i="30"/>
  <c r="W1029" i="1"/>
  <c r="W386" i="30" s="1"/>
  <c r="X1029" i="1"/>
  <c r="X386" i="30" s="1"/>
  <c r="Y1029" i="1"/>
  <c r="Y386" i="30" s="1"/>
  <c r="Z1029" i="1"/>
  <c r="Z386" i="30" s="1"/>
  <c r="AA1029" i="1"/>
  <c r="AA386" i="30" s="1"/>
  <c r="AB1029" i="1"/>
  <c r="AB386" i="30" s="1"/>
  <c r="AC1029" i="1"/>
  <c r="AC386" i="30" s="1"/>
  <c r="AD1029" i="1"/>
  <c r="AD386" i="30" s="1"/>
  <c r="AE1029" i="1"/>
  <c r="AE386" i="30" s="1"/>
  <c r="AF1029" i="1"/>
  <c r="AF386" i="30" s="1"/>
  <c r="AG1029" i="1"/>
  <c r="AG386" i="30" s="1"/>
  <c r="AH1029" i="1"/>
  <c r="AH386" i="30" s="1"/>
  <c r="AI1029" i="1"/>
  <c r="AI386" i="30" s="1"/>
  <c r="AJ1029" i="1"/>
  <c r="AJ386" i="30" s="1"/>
  <c r="AK1029" i="1"/>
  <c r="B1029" i="1"/>
  <c r="BB1029" i="1" s="1"/>
  <c r="BB386" i="30" s="1"/>
  <c r="B1028" i="1"/>
  <c r="BD1028" i="1" s="1"/>
  <c r="A1029" i="1"/>
  <c r="A386" i="30" s="1"/>
  <c r="A1028" i="1"/>
  <c r="F1028" i="1"/>
  <c r="G1028" i="1"/>
  <c r="F1029" i="1"/>
  <c r="F386" i="30" s="1"/>
  <c r="G1029" i="1"/>
  <c r="G386" i="30" s="1"/>
  <c r="AB24" i="57"/>
  <c r="E1029" i="1" s="1"/>
  <c r="E386" i="30" s="1"/>
  <c r="AB23" i="57"/>
  <c r="AB29" i="57" s="1"/>
  <c r="AB15" i="57"/>
  <c r="AB14" i="57"/>
  <c r="AB13" i="57"/>
  <c r="AB12" i="57"/>
  <c r="AB11" i="57"/>
  <c r="AB10" i="57"/>
  <c r="AB9" i="57"/>
  <c r="AB8" i="57"/>
  <c r="AB7" i="57"/>
  <c r="AB6" i="57"/>
  <c r="AB5" i="57"/>
  <c r="AA23" i="57"/>
  <c r="D1028" i="1" s="1"/>
  <c r="B881" i="1"/>
  <c r="BD881" i="1" s="1"/>
  <c r="A881" i="1"/>
  <c r="E881" i="1"/>
  <c r="F881" i="1"/>
  <c r="G881" i="1"/>
  <c r="B877" i="1"/>
  <c r="BB877" i="1" s="1"/>
  <c r="A877" i="1"/>
  <c r="E877" i="1"/>
  <c r="F877" i="1"/>
  <c r="D18" i="57"/>
  <c r="D877" i="1" s="1"/>
  <c r="B1013" i="1"/>
  <c r="BC1013" i="1" s="1"/>
  <c r="B1012" i="1"/>
  <c r="BB1012" i="1" s="1"/>
  <c r="A1013" i="1"/>
  <c r="A1012" i="1"/>
  <c r="B1009" i="1"/>
  <c r="BD1009" i="1" s="1"/>
  <c r="A1009" i="1"/>
  <c r="B1011" i="1"/>
  <c r="BB1011" i="1" s="1"/>
  <c r="A1011" i="1"/>
  <c r="B1232" i="1"/>
  <c r="BB1232" i="1" s="1"/>
  <c r="A1232" i="1"/>
  <c r="B1010" i="1"/>
  <c r="BD1010" i="1" s="1"/>
  <c r="A1010" i="1"/>
  <c r="BB1901" i="1"/>
  <c r="BC1901" i="1"/>
  <c r="BD1901" i="1"/>
  <c r="BB1761" i="1"/>
  <c r="BC1761" i="1"/>
  <c r="BD1761" i="1"/>
  <c r="BB2326" i="1"/>
  <c r="BC2326" i="1"/>
  <c r="BD2326" i="1"/>
  <c r="Z1216" i="1" l="1"/>
  <c r="AA1216" i="1"/>
  <c r="Q1216" i="1"/>
  <c r="AB1216" i="1"/>
  <c r="AC1216" i="1"/>
  <c r="R1216" i="1"/>
  <c r="AD1216" i="1"/>
  <c r="U1216" i="1"/>
  <c r="X1216" i="1"/>
  <c r="E1028" i="1"/>
  <c r="AB38" i="57"/>
  <c r="AB37" i="57" s="1"/>
  <c r="AK386" i="30"/>
  <c r="B405" i="61"/>
  <c r="BC1029" i="1"/>
  <c r="BC386" i="30" s="1"/>
  <c r="BD1029" i="1"/>
  <c r="BD386" i="30" s="1"/>
  <c r="BC1028" i="1"/>
  <c r="BB1028" i="1"/>
  <c r="B386" i="30"/>
  <c r="BC881" i="1"/>
  <c r="BB881" i="1"/>
  <c r="BC877" i="1"/>
  <c r="BD877" i="1"/>
  <c r="BB1013" i="1"/>
  <c r="BD1012" i="1"/>
  <c r="BD1013" i="1"/>
  <c r="BC1012" i="1"/>
  <c r="BC1011" i="1"/>
  <c r="BD1011" i="1"/>
  <c r="BC1009" i="1"/>
  <c r="BB1009" i="1"/>
  <c r="BC1010" i="1"/>
  <c r="BC1232" i="1"/>
  <c r="BB1010" i="1"/>
  <c r="BD1232" i="1"/>
  <c r="B2212" i="1"/>
  <c r="BB2212" i="1" s="1"/>
  <c r="A2212" i="1"/>
  <c r="B2398" i="1"/>
  <c r="BB2398" i="1" s="1"/>
  <c r="A2398" i="1"/>
  <c r="C350" i="30"/>
  <c r="H350" i="30"/>
  <c r="I350" i="30"/>
  <c r="J350" i="30"/>
  <c r="K350" i="30"/>
  <c r="L350" i="30"/>
  <c r="M350" i="30"/>
  <c r="N350" i="30"/>
  <c r="O350" i="30"/>
  <c r="P350" i="30"/>
  <c r="Q350" i="30"/>
  <c r="R350" i="30"/>
  <c r="S350" i="30"/>
  <c r="T350" i="30"/>
  <c r="U350" i="30"/>
  <c r="V350" i="30"/>
  <c r="W350" i="30"/>
  <c r="X350" i="30"/>
  <c r="Y350" i="30"/>
  <c r="Z350" i="30"/>
  <c r="AA350" i="30"/>
  <c r="AB350" i="30"/>
  <c r="AC350" i="30"/>
  <c r="AD350" i="30"/>
  <c r="AE350" i="30"/>
  <c r="AF350" i="30"/>
  <c r="AG350" i="30"/>
  <c r="AH350" i="30"/>
  <c r="AI350" i="30"/>
  <c r="AL350" i="30"/>
  <c r="AM350" i="30"/>
  <c r="AN350" i="30"/>
  <c r="AO350" i="30"/>
  <c r="AP350" i="30"/>
  <c r="AQ350" i="30"/>
  <c r="AV350" i="30"/>
  <c r="BA350" i="30"/>
  <c r="C349" i="30"/>
  <c r="H349" i="30"/>
  <c r="I349" i="30"/>
  <c r="J349" i="30"/>
  <c r="K349" i="30"/>
  <c r="L349" i="30"/>
  <c r="M349" i="30"/>
  <c r="N349" i="30"/>
  <c r="O349" i="30"/>
  <c r="P349" i="30"/>
  <c r="Q349" i="30"/>
  <c r="R349" i="30"/>
  <c r="S349" i="30"/>
  <c r="T349" i="30"/>
  <c r="U349" i="30"/>
  <c r="V349" i="30"/>
  <c r="W349" i="30"/>
  <c r="X349" i="30"/>
  <c r="Y349" i="30"/>
  <c r="Z349" i="30"/>
  <c r="AA349" i="30"/>
  <c r="AB349" i="30"/>
  <c r="AC349" i="30"/>
  <c r="AD349" i="30"/>
  <c r="AE349" i="30"/>
  <c r="AF349" i="30"/>
  <c r="AG349" i="30"/>
  <c r="AH349" i="30"/>
  <c r="AI349" i="30"/>
  <c r="AJ349" i="30"/>
  <c r="BF349" i="30" s="1"/>
  <c r="AK349" i="30"/>
  <c r="AL349" i="30"/>
  <c r="AM349" i="30"/>
  <c r="AN349" i="30"/>
  <c r="AO349" i="30"/>
  <c r="AP349" i="30"/>
  <c r="AQ349" i="30"/>
  <c r="AV349" i="30"/>
  <c r="BA349" i="30"/>
  <c r="C348" i="30"/>
  <c r="H348" i="30"/>
  <c r="I348" i="30"/>
  <c r="J348" i="30"/>
  <c r="K348" i="30"/>
  <c r="L348" i="30"/>
  <c r="M348" i="30"/>
  <c r="N348" i="30"/>
  <c r="O348" i="30"/>
  <c r="P348" i="30"/>
  <c r="Q348" i="30"/>
  <c r="R348" i="30"/>
  <c r="S348" i="30"/>
  <c r="T348" i="30"/>
  <c r="U348" i="30"/>
  <c r="V348" i="30"/>
  <c r="W348" i="30"/>
  <c r="X348" i="30"/>
  <c r="Y348" i="30"/>
  <c r="Z348" i="30"/>
  <c r="AA348" i="30"/>
  <c r="AB348" i="30"/>
  <c r="AC348" i="30"/>
  <c r="AD348" i="30"/>
  <c r="AE348" i="30"/>
  <c r="AF348" i="30"/>
  <c r="AG348" i="30"/>
  <c r="AH348" i="30"/>
  <c r="AI348" i="30"/>
  <c r="AJ348" i="30"/>
  <c r="BF348" i="30" s="1"/>
  <c r="AK348" i="30"/>
  <c r="AL348" i="30"/>
  <c r="AM348" i="30"/>
  <c r="AN348" i="30"/>
  <c r="AO348" i="30"/>
  <c r="AP348" i="30"/>
  <c r="AQ348" i="30"/>
  <c r="AV348" i="30"/>
  <c r="BA348" i="30"/>
  <c r="AE361" i="30"/>
  <c r="AF361" i="30"/>
  <c r="AG361" i="30"/>
  <c r="AH361" i="30"/>
  <c r="AI361" i="30"/>
  <c r="AJ361" i="30"/>
  <c r="AK361" i="30"/>
  <c r="AE362" i="30"/>
  <c r="AF362" i="30"/>
  <c r="AG362" i="30"/>
  <c r="AH362" i="30"/>
  <c r="AI362" i="30"/>
  <c r="AJ362" i="30"/>
  <c r="AK362" i="30"/>
  <c r="AE363" i="30"/>
  <c r="AF363" i="30"/>
  <c r="AG363" i="30"/>
  <c r="AH363" i="30"/>
  <c r="AI363" i="30"/>
  <c r="AJ363" i="30"/>
  <c r="AK363" i="30"/>
  <c r="AE364" i="30"/>
  <c r="AF364" i="30"/>
  <c r="AG364" i="30"/>
  <c r="AH364" i="30"/>
  <c r="AI364" i="30"/>
  <c r="AJ364" i="30"/>
  <c r="AK364" i="30"/>
  <c r="AE367" i="30"/>
  <c r="AF367" i="30"/>
  <c r="AG367" i="30"/>
  <c r="AH367" i="30"/>
  <c r="AI367" i="30"/>
  <c r="AJ367" i="30"/>
  <c r="AK367" i="30"/>
  <c r="X370" i="30"/>
  <c r="Y370" i="30"/>
  <c r="Z370" i="30"/>
  <c r="AA370" i="30"/>
  <c r="AB370" i="30"/>
  <c r="AC370" i="30"/>
  <c r="AD370" i="30"/>
  <c r="AE370" i="30"/>
  <c r="AF370" i="30"/>
  <c r="AG370" i="30"/>
  <c r="AH370" i="30"/>
  <c r="AI370" i="30"/>
  <c r="AJ370" i="30"/>
  <c r="AK370" i="30"/>
  <c r="S370" i="30"/>
  <c r="T370" i="30"/>
  <c r="U370" i="30"/>
  <c r="V370" i="30"/>
  <c r="W370" i="30"/>
  <c r="M370" i="30"/>
  <c r="N370" i="30"/>
  <c r="O370" i="30"/>
  <c r="P370" i="30"/>
  <c r="Q370" i="30"/>
  <c r="R370" i="30"/>
  <c r="AE368" i="30"/>
  <c r="AF368" i="30"/>
  <c r="AG368" i="30"/>
  <c r="AH368" i="30"/>
  <c r="AI368" i="30"/>
  <c r="AJ368" i="30"/>
  <c r="AK368" i="30"/>
  <c r="AE369" i="30"/>
  <c r="AF369" i="30"/>
  <c r="AG369" i="30"/>
  <c r="AH369" i="30"/>
  <c r="AI369" i="30"/>
  <c r="AJ369" i="30"/>
  <c r="AK369" i="30"/>
  <c r="AE365" i="30"/>
  <c r="AF365" i="30"/>
  <c r="AG365" i="30"/>
  <c r="AH365" i="30"/>
  <c r="AI365" i="30"/>
  <c r="AJ365" i="30"/>
  <c r="AK365" i="30"/>
  <c r="AE366" i="30"/>
  <c r="AF366" i="30"/>
  <c r="AG366" i="30"/>
  <c r="AH366" i="30"/>
  <c r="AI366" i="30"/>
  <c r="AJ366" i="30"/>
  <c r="AK366" i="30"/>
  <c r="W366" i="30"/>
  <c r="X366" i="30"/>
  <c r="Y366" i="30"/>
  <c r="Z366" i="30"/>
  <c r="AA366" i="30"/>
  <c r="AB366" i="30"/>
  <c r="AC366" i="30"/>
  <c r="AD366" i="30"/>
  <c r="C45" i="30"/>
  <c r="G45" i="30"/>
  <c r="H45" i="30"/>
  <c r="I45" i="30"/>
  <c r="J45" i="30"/>
  <c r="K45" i="30"/>
  <c r="L45" i="30"/>
  <c r="S45" i="30"/>
  <c r="V45" i="30"/>
  <c r="AL45" i="30"/>
  <c r="AN45" i="30"/>
  <c r="AO45" i="30"/>
  <c r="AP45" i="30"/>
  <c r="AQ45" i="30"/>
  <c r="AV45" i="30"/>
  <c r="BA45" i="30"/>
  <c r="M46" i="30"/>
  <c r="M35" i="30"/>
  <c r="C35" i="30"/>
  <c r="D35" i="30"/>
  <c r="E35" i="30"/>
  <c r="F35" i="30"/>
  <c r="G35" i="30"/>
  <c r="H35" i="30"/>
  <c r="I35" i="30"/>
  <c r="J35" i="30"/>
  <c r="K35" i="30"/>
  <c r="L35" i="30"/>
  <c r="N35" i="30"/>
  <c r="O35" i="30"/>
  <c r="P35" i="30"/>
  <c r="Q35" i="30"/>
  <c r="R35" i="30"/>
  <c r="S35" i="30"/>
  <c r="T35" i="30"/>
  <c r="U35" i="30"/>
  <c r="V35" i="30"/>
  <c r="W35" i="30"/>
  <c r="X35" i="30"/>
  <c r="Y35" i="30"/>
  <c r="Z35" i="30"/>
  <c r="AA35" i="30"/>
  <c r="AB35" i="30"/>
  <c r="AC35" i="30"/>
  <c r="AD35" i="30"/>
  <c r="AE35" i="30"/>
  <c r="AF35" i="30"/>
  <c r="AG35" i="30"/>
  <c r="AH35" i="30"/>
  <c r="AI35" i="30"/>
  <c r="AJ35" i="30"/>
  <c r="AK35" i="30"/>
  <c r="AL35" i="30"/>
  <c r="AM35" i="30"/>
  <c r="AN35" i="30"/>
  <c r="AO35" i="30"/>
  <c r="AP35" i="30"/>
  <c r="AQ35" i="30"/>
  <c r="AV35" i="30"/>
  <c r="BA35" i="30"/>
  <c r="C36" i="30"/>
  <c r="G36" i="30"/>
  <c r="H36" i="30"/>
  <c r="I36" i="30"/>
  <c r="J36" i="30"/>
  <c r="K36" i="30"/>
  <c r="L36" i="30"/>
  <c r="S36" i="30"/>
  <c r="V36" i="30"/>
  <c r="AL36" i="30"/>
  <c r="AM36" i="30"/>
  <c r="AN36" i="30"/>
  <c r="AO36" i="30"/>
  <c r="AP36" i="30"/>
  <c r="AQ36" i="30"/>
  <c r="AV36" i="30"/>
  <c r="BA36" i="30"/>
  <c r="C37" i="30"/>
  <c r="G37" i="30"/>
  <c r="H37" i="30"/>
  <c r="I37" i="30"/>
  <c r="J37" i="30"/>
  <c r="K37" i="30"/>
  <c r="L37" i="30"/>
  <c r="S37" i="30"/>
  <c r="V37" i="30"/>
  <c r="AL37" i="30"/>
  <c r="AM37" i="30"/>
  <c r="AN37" i="30"/>
  <c r="AO37" i="30"/>
  <c r="AP37" i="30"/>
  <c r="AQ37" i="30"/>
  <c r="AV37" i="30"/>
  <c r="BA37" i="30"/>
  <c r="C38" i="30"/>
  <c r="G38" i="30"/>
  <c r="H38" i="30"/>
  <c r="I38" i="30"/>
  <c r="J38" i="30"/>
  <c r="K38" i="30"/>
  <c r="L38" i="30"/>
  <c r="S38" i="30"/>
  <c r="V38" i="30"/>
  <c r="AL38" i="30"/>
  <c r="AM38" i="30"/>
  <c r="AN38" i="30"/>
  <c r="AO38" i="30"/>
  <c r="AP38" i="30"/>
  <c r="AQ38" i="30"/>
  <c r="AV38" i="30"/>
  <c r="BA38" i="30"/>
  <c r="C39" i="30"/>
  <c r="G39" i="30"/>
  <c r="H39" i="30"/>
  <c r="I39" i="30"/>
  <c r="J39" i="30"/>
  <c r="K39" i="30"/>
  <c r="L39" i="30"/>
  <c r="S39" i="30"/>
  <c r="V39" i="30"/>
  <c r="AL39" i="30"/>
  <c r="AM39" i="30"/>
  <c r="AN39" i="30"/>
  <c r="AO39" i="30"/>
  <c r="AP39" i="30"/>
  <c r="AQ39" i="30"/>
  <c r="AV39" i="30"/>
  <c r="BA39" i="30"/>
  <c r="C40" i="30"/>
  <c r="G40" i="30"/>
  <c r="H40" i="30"/>
  <c r="I40" i="30"/>
  <c r="J40" i="30"/>
  <c r="K40" i="30"/>
  <c r="L40" i="30"/>
  <c r="S40" i="30"/>
  <c r="V40" i="30"/>
  <c r="AL40" i="30"/>
  <c r="AM40" i="30"/>
  <c r="AN40" i="30"/>
  <c r="AO40" i="30"/>
  <c r="AP40" i="30"/>
  <c r="AQ40" i="30"/>
  <c r="AV40" i="30"/>
  <c r="BA40" i="30"/>
  <c r="C41" i="30"/>
  <c r="G41" i="30"/>
  <c r="H41" i="30"/>
  <c r="I41" i="30"/>
  <c r="J41" i="30"/>
  <c r="K41" i="30"/>
  <c r="L41" i="30"/>
  <c r="S41" i="30"/>
  <c r="V41" i="30"/>
  <c r="AL41" i="30"/>
  <c r="AN41" i="30"/>
  <c r="AO41" i="30"/>
  <c r="AP41" i="30"/>
  <c r="AQ41" i="30"/>
  <c r="AV41" i="30"/>
  <c r="BA41" i="30"/>
  <c r="C42" i="30"/>
  <c r="G42" i="30"/>
  <c r="H42" i="30"/>
  <c r="I42" i="30"/>
  <c r="J42" i="30"/>
  <c r="K42" i="30"/>
  <c r="L42" i="30"/>
  <c r="S42" i="30"/>
  <c r="V42" i="30"/>
  <c r="AL42" i="30"/>
  <c r="AM42" i="30"/>
  <c r="AN42" i="30"/>
  <c r="AO42" i="30"/>
  <c r="AP42" i="30"/>
  <c r="AQ42" i="30"/>
  <c r="AV42" i="30"/>
  <c r="BA42" i="30"/>
  <c r="C43" i="30"/>
  <c r="G43" i="30"/>
  <c r="H43" i="30"/>
  <c r="I43" i="30"/>
  <c r="J43" i="30"/>
  <c r="K43" i="30"/>
  <c r="L43" i="30"/>
  <c r="S43" i="30"/>
  <c r="V43" i="30"/>
  <c r="AL43" i="30"/>
  <c r="AM43" i="30"/>
  <c r="AN43" i="30"/>
  <c r="AO43" i="30"/>
  <c r="AP43" i="30"/>
  <c r="AQ43" i="30"/>
  <c r="AV43" i="30"/>
  <c r="BA43" i="30"/>
  <c r="C44" i="30"/>
  <c r="G44" i="30"/>
  <c r="H44" i="30"/>
  <c r="I44" i="30"/>
  <c r="J44" i="30"/>
  <c r="K44" i="30"/>
  <c r="L44" i="30"/>
  <c r="S44" i="30"/>
  <c r="V44" i="30"/>
  <c r="AL44" i="30"/>
  <c r="AM44" i="30"/>
  <c r="AN44" i="30"/>
  <c r="AO44" i="30"/>
  <c r="AP44" i="30"/>
  <c r="AQ44" i="30"/>
  <c r="AV44" i="30"/>
  <c r="BA44" i="30"/>
  <c r="BD2212" i="1" l="1"/>
  <c r="BC2212" i="1"/>
  <c r="BD2398" i="1"/>
  <c r="BC2398" i="1"/>
  <c r="BB1956" i="1"/>
  <c r="BC1956" i="1"/>
  <c r="BD1956" i="1"/>
  <c r="AK1043" i="1" l="1"/>
  <c r="B1047" i="1"/>
  <c r="BB1047" i="1" s="1"/>
  <c r="B1046" i="1"/>
  <c r="BB1046" i="1" s="1"/>
  <c r="B1045" i="1"/>
  <c r="BD1045" i="1" s="1"/>
  <c r="B1044" i="1"/>
  <c r="BB1044" i="1" s="1"/>
  <c r="A1047" i="1"/>
  <c r="A1046" i="1"/>
  <c r="A1045" i="1"/>
  <c r="A1044" i="1"/>
  <c r="AK1042" i="1" l="1"/>
  <c r="F430" i="61" s="1"/>
  <c r="AK865" i="1"/>
  <c r="BD1046" i="1"/>
  <c r="BD1047" i="1"/>
  <c r="BC1046" i="1"/>
  <c r="BB1045" i="1"/>
  <c r="BC1045" i="1"/>
  <c r="BC1047" i="1"/>
  <c r="BD1044" i="1"/>
  <c r="BC1044" i="1"/>
  <c r="BD2320" i="1"/>
  <c r="BC2320" i="1"/>
  <c r="BB2320" i="1"/>
  <c r="BB1623" i="1"/>
  <c r="BC1623" i="1"/>
  <c r="BD1623" i="1"/>
  <c r="BB1937" i="1"/>
  <c r="BC1937" i="1"/>
  <c r="BD1937" i="1"/>
  <c r="B2412" i="1"/>
  <c r="BD2412" i="1" s="1"/>
  <c r="A2412" i="1"/>
  <c r="B481" i="1"/>
  <c r="A481" i="1"/>
  <c r="BB2304" i="1"/>
  <c r="BC2304" i="1"/>
  <c r="BD2304" i="1"/>
  <c r="BB1625" i="1"/>
  <c r="BC1625" i="1"/>
  <c r="BD1625" i="1"/>
  <c r="BB2292" i="1"/>
  <c r="BC2292" i="1"/>
  <c r="BD2292" i="1"/>
  <c r="BB1622" i="1"/>
  <c r="BC1622" i="1"/>
  <c r="BD1622" i="1"/>
  <c r="BB481" i="1" l="1"/>
  <c r="BC481" i="1"/>
  <c r="BD481" i="1"/>
  <c r="BC2412" i="1"/>
  <c r="BB2412" i="1"/>
  <c r="B48" i="1"/>
  <c r="A48" i="1"/>
  <c r="B49" i="1"/>
  <c r="A49" i="1"/>
  <c r="F1018" i="1"/>
  <c r="BB49" i="1" l="1"/>
  <c r="BC49" i="1"/>
  <c r="BD49" i="1"/>
  <c r="BB48" i="1"/>
  <c r="BC48" i="1"/>
  <c r="BD48" i="1"/>
  <c r="B1018" i="1"/>
  <c r="A1018" i="1"/>
  <c r="E1018" i="1"/>
  <c r="G1018" i="1"/>
  <c r="AD1016" i="1"/>
  <c r="AC1016" i="1"/>
  <c r="AB1016" i="1"/>
  <c r="AA1016" i="1"/>
  <c r="Z1016" i="1"/>
  <c r="Y1016" i="1"/>
  <c r="X1016" i="1"/>
  <c r="W1016" i="1"/>
  <c r="U1016" i="1"/>
  <c r="T1016" i="1"/>
  <c r="R1016" i="1"/>
  <c r="C351" i="30"/>
  <c r="H351" i="30"/>
  <c r="I351" i="30"/>
  <c r="J351" i="30"/>
  <c r="K351" i="30"/>
  <c r="L351" i="30"/>
  <c r="S351" i="30"/>
  <c r="V351" i="30"/>
  <c r="AL351" i="30"/>
  <c r="AM351" i="30"/>
  <c r="AN351" i="30"/>
  <c r="AO351" i="30"/>
  <c r="AP351" i="30"/>
  <c r="AQ351" i="30"/>
  <c r="AV351" i="30"/>
  <c r="BA351" i="30"/>
  <c r="C352" i="30"/>
  <c r="H352" i="30"/>
  <c r="I352" i="30"/>
  <c r="J352" i="30"/>
  <c r="K352" i="30"/>
  <c r="L352" i="30"/>
  <c r="S352" i="30"/>
  <c r="V352" i="30"/>
  <c r="AL352" i="30"/>
  <c r="AM352" i="30"/>
  <c r="AN352" i="30"/>
  <c r="AO352" i="30"/>
  <c r="AP352" i="30"/>
  <c r="AQ352" i="30"/>
  <c r="AV352" i="30"/>
  <c r="BA352" i="30"/>
  <c r="BC1018" i="1" l="1"/>
  <c r="BD1018" i="1"/>
  <c r="BB1018" i="1"/>
  <c r="AK904" i="1" l="1"/>
  <c r="AK351" i="30" s="1"/>
  <c r="W907" i="1"/>
  <c r="X907" i="1"/>
  <c r="Y907" i="1"/>
  <c r="Z907" i="1"/>
  <c r="AA907" i="1"/>
  <c r="AB907" i="1"/>
  <c r="AC907" i="1"/>
  <c r="AD907" i="1"/>
  <c r="AE907" i="1"/>
  <c r="AF907" i="1"/>
  <c r="AG907" i="1"/>
  <c r="AH907" i="1"/>
  <c r="AI907" i="1"/>
  <c r="B907" i="1"/>
  <c r="BD907" i="1" s="1"/>
  <c r="A907" i="1"/>
  <c r="D907" i="1"/>
  <c r="E907" i="1"/>
  <c r="F907" i="1"/>
  <c r="G907" i="1"/>
  <c r="B903" i="1"/>
  <c r="A903" i="1"/>
  <c r="D903" i="1"/>
  <c r="E903" i="1"/>
  <c r="F903" i="1"/>
  <c r="G903" i="1"/>
  <c r="B905" i="1"/>
  <c r="A905" i="1"/>
  <c r="A352" i="30" s="1"/>
  <c r="D905" i="1"/>
  <c r="D352" i="30" s="1"/>
  <c r="E905" i="1"/>
  <c r="E352" i="30" s="1"/>
  <c r="F905" i="1"/>
  <c r="F352" i="30" s="1"/>
  <c r="G905" i="1"/>
  <c r="G352" i="30" s="1"/>
  <c r="B901" i="1"/>
  <c r="BD901" i="1" s="1"/>
  <c r="B900" i="1"/>
  <c r="BD900" i="1" s="1"/>
  <c r="A901" i="1"/>
  <c r="A900" i="1"/>
  <c r="E900" i="1"/>
  <c r="F900" i="1"/>
  <c r="E901" i="1"/>
  <c r="E893" i="1"/>
  <c r="F893" i="1"/>
  <c r="B899" i="1"/>
  <c r="BC899" i="1" s="1"/>
  <c r="A899" i="1"/>
  <c r="E899" i="1"/>
  <c r="D29" i="57"/>
  <c r="D900" i="1" s="1"/>
  <c r="D30" i="57"/>
  <c r="D901" i="1" s="1"/>
  <c r="D8" i="57"/>
  <c r="D899" i="1" s="1"/>
  <c r="BP26" i="57"/>
  <c r="BB1902" i="1"/>
  <c r="BC1902" i="1"/>
  <c r="BD1902" i="1"/>
  <c r="B332" i="1"/>
  <c r="A332" i="1"/>
  <c r="B324" i="1"/>
  <c r="A324" i="1"/>
  <c r="BC332" i="1" l="1"/>
  <c r="BB332" i="1"/>
  <c r="BD332" i="1"/>
  <c r="BD324" i="1"/>
  <c r="BB324" i="1"/>
  <c r="BC324" i="1"/>
  <c r="BC901" i="1"/>
  <c r="AK902" i="1"/>
  <c r="BC907" i="1"/>
  <c r="BD903" i="1"/>
  <c r="BB903" i="1"/>
  <c r="BC903" i="1"/>
  <c r="BB907" i="1"/>
  <c r="B352" i="30"/>
  <c r="BC905" i="1"/>
  <c r="BC352" i="30" s="1"/>
  <c r="BD905" i="1"/>
  <c r="BD352" i="30" s="1"/>
  <c r="BB905" i="1"/>
  <c r="BB352" i="30" s="1"/>
  <c r="BB901" i="1"/>
  <c r="BB899" i="1"/>
  <c r="BB900" i="1"/>
  <c r="BC900" i="1"/>
  <c r="BD899" i="1"/>
  <c r="C358" i="30"/>
  <c r="H358" i="30"/>
  <c r="I358" i="30"/>
  <c r="J358" i="30"/>
  <c r="K358" i="30"/>
  <c r="L358" i="30"/>
  <c r="M358" i="30"/>
  <c r="N358" i="30"/>
  <c r="O358" i="30"/>
  <c r="P358" i="30"/>
  <c r="Q358" i="30"/>
  <c r="R358" i="30"/>
  <c r="S358" i="30"/>
  <c r="T358" i="30"/>
  <c r="U358" i="30"/>
  <c r="V358" i="30"/>
  <c r="W358" i="30"/>
  <c r="X358" i="30"/>
  <c r="Y358" i="30"/>
  <c r="Z358" i="30"/>
  <c r="AA358" i="30"/>
  <c r="AB358" i="30"/>
  <c r="AC358" i="30"/>
  <c r="AD358" i="30"/>
  <c r="AE358" i="30"/>
  <c r="AF358" i="30"/>
  <c r="AG358" i="30"/>
  <c r="AH358" i="30"/>
  <c r="AI358" i="30"/>
  <c r="AJ358" i="30"/>
  <c r="AL358" i="30"/>
  <c r="AM358" i="30"/>
  <c r="AN358" i="30"/>
  <c r="AO358" i="30"/>
  <c r="AP358" i="30"/>
  <c r="AQ358" i="30"/>
  <c r="AV358" i="30"/>
  <c r="BA358" i="30"/>
  <c r="D957" i="1"/>
  <c r="E957" i="1"/>
  <c r="F957" i="1"/>
  <c r="G957" i="1"/>
  <c r="D958" i="1"/>
  <c r="D358" i="30" s="1"/>
  <c r="E958" i="1"/>
  <c r="E358" i="30" s="1"/>
  <c r="F958" i="1"/>
  <c r="F358" i="30" s="1"/>
  <c r="G958" i="1"/>
  <c r="G358" i="30" s="1"/>
  <c r="B958" i="1"/>
  <c r="BB958" i="1" s="1"/>
  <c r="BB358" i="30" s="1"/>
  <c r="B957" i="1"/>
  <c r="BD957" i="1" s="1"/>
  <c r="A958" i="1"/>
  <c r="A358" i="30" s="1"/>
  <c r="A957" i="1"/>
  <c r="B517" i="1"/>
  <c r="A517" i="1"/>
  <c r="BB517" i="1" l="1"/>
  <c r="BC517" i="1"/>
  <c r="BD517" i="1"/>
  <c r="BC957" i="1"/>
  <c r="BC958" i="1"/>
  <c r="BC358" i="30" s="1"/>
  <c r="BD958" i="1"/>
  <c r="BD358" i="30" s="1"/>
  <c r="BB957" i="1"/>
  <c r="B358" i="30"/>
  <c r="B2147" i="1"/>
  <c r="BD2147" i="1" s="1"/>
  <c r="A2147" i="1"/>
  <c r="B2491" i="1"/>
  <c r="BD2491" i="1" s="1"/>
  <c r="A2491" i="1"/>
  <c r="BB1957" i="1"/>
  <c r="BC1957" i="1"/>
  <c r="BD1957" i="1"/>
  <c r="BB1967" i="1"/>
  <c r="BC1967" i="1"/>
  <c r="BD1967" i="1"/>
  <c r="B1626" i="1"/>
  <c r="BB1626" i="1" s="1"/>
  <c r="A1626" i="1"/>
  <c r="BB2147" i="1" l="1"/>
  <c r="BC2491" i="1"/>
  <c r="BB2491" i="1"/>
  <c r="BC2147" i="1"/>
  <c r="BD1626" i="1"/>
  <c r="BC1626" i="1"/>
  <c r="N1043" i="1"/>
  <c r="O1043" i="1"/>
  <c r="P1016" i="1"/>
  <c r="Q1016" i="1"/>
  <c r="M1043" i="1"/>
  <c r="F922" i="1"/>
  <c r="N373" i="30"/>
  <c r="O373" i="30"/>
  <c r="P373" i="30"/>
  <c r="Q373" i="30"/>
  <c r="M373" i="30"/>
  <c r="J374" i="30"/>
  <c r="K374" i="30"/>
  <c r="L374" i="30"/>
  <c r="Q374" i="30"/>
  <c r="P374" i="30"/>
  <c r="O374" i="30"/>
  <c r="N374" i="30"/>
  <c r="M374" i="30"/>
  <c r="R374" i="30"/>
  <c r="U374" i="30"/>
  <c r="T374" i="30"/>
  <c r="W374" i="30"/>
  <c r="X374" i="30"/>
  <c r="Y374" i="30"/>
  <c r="Z374" i="30"/>
  <c r="AA374" i="30"/>
  <c r="AB374" i="30"/>
  <c r="AC374" i="30"/>
  <c r="AD374" i="30"/>
  <c r="M376" i="30"/>
  <c r="N376" i="30"/>
  <c r="O376" i="30"/>
  <c r="P376" i="30"/>
  <c r="Q376" i="30"/>
  <c r="R376" i="30"/>
  <c r="AK356" i="30"/>
  <c r="M949" i="1"/>
  <c r="N949" i="1"/>
  <c r="O949" i="1"/>
  <c r="P949" i="1"/>
  <c r="Q949" i="1"/>
  <c r="M950" i="1"/>
  <c r="M354" i="30" s="1"/>
  <c r="N950" i="1"/>
  <c r="N354" i="30" s="1"/>
  <c r="O950" i="1"/>
  <c r="O354" i="30" s="1"/>
  <c r="P950" i="1"/>
  <c r="P354" i="30" s="1"/>
  <c r="Q950" i="1"/>
  <c r="Q354" i="30" s="1"/>
  <c r="R950" i="1"/>
  <c r="R354" i="30" s="1"/>
  <c r="R949" i="1"/>
  <c r="C360" i="30"/>
  <c r="H360" i="30"/>
  <c r="I360" i="30"/>
  <c r="J360" i="30"/>
  <c r="K360" i="30"/>
  <c r="L360" i="30"/>
  <c r="M360" i="30"/>
  <c r="N360" i="30"/>
  <c r="O360" i="30"/>
  <c r="P360" i="30"/>
  <c r="Q360" i="30"/>
  <c r="R360" i="30"/>
  <c r="S360" i="30"/>
  <c r="T360" i="30"/>
  <c r="U360" i="30"/>
  <c r="V360" i="30"/>
  <c r="W360" i="30"/>
  <c r="X360" i="30"/>
  <c r="Y360" i="30"/>
  <c r="Z360" i="30"/>
  <c r="AA360" i="30"/>
  <c r="AB360" i="30"/>
  <c r="AC360" i="30"/>
  <c r="AD360" i="30"/>
  <c r="AE360" i="30"/>
  <c r="AF360" i="30"/>
  <c r="AG360" i="30"/>
  <c r="AH360" i="30"/>
  <c r="AI360" i="30"/>
  <c r="AJ360" i="30"/>
  <c r="AL360" i="30"/>
  <c r="AM360" i="30"/>
  <c r="AN360" i="30"/>
  <c r="AO360" i="30"/>
  <c r="AP360" i="30"/>
  <c r="AQ360" i="30"/>
  <c r="AV360" i="30"/>
  <c r="BA360" i="30"/>
  <c r="C359" i="30"/>
  <c r="H359" i="30"/>
  <c r="I359" i="30"/>
  <c r="J359" i="30"/>
  <c r="K359" i="30"/>
  <c r="L359" i="30"/>
  <c r="M359" i="30"/>
  <c r="N359" i="30"/>
  <c r="O359" i="30"/>
  <c r="P359" i="30"/>
  <c r="Q359" i="30"/>
  <c r="R359" i="30"/>
  <c r="S359" i="30"/>
  <c r="T359" i="30"/>
  <c r="U359" i="30"/>
  <c r="V359" i="30"/>
  <c r="W359" i="30"/>
  <c r="X359" i="30"/>
  <c r="Y359" i="30"/>
  <c r="Z359" i="30"/>
  <c r="AA359" i="30"/>
  <c r="AB359" i="30"/>
  <c r="AC359" i="30"/>
  <c r="AD359" i="30"/>
  <c r="AE359" i="30"/>
  <c r="AF359" i="30"/>
  <c r="AG359" i="30"/>
  <c r="AH359" i="30"/>
  <c r="AI359" i="30"/>
  <c r="AK359" i="30"/>
  <c r="AL359" i="30"/>
  <c r="AM359" i="30"/>
  <c r="AN359" i="30"/>
  <c r="AO359" i="30"/>
  <c r="AP359" i="30"/>
  <c r="AQ359" i="30"/>
  <c r="AV359" i="30"/>
  <c r="BA359" i="30"/>
  <c r="C357" i="30"/>
  <c r="H357" i="30"/>
  <c r="I357" i="30"/>
  <c r="S357" i="30"/>
  <c r="V357" i="30"/>
  <c r="AL357" i="30"/>
  <c r="AM357" i="30"/>
  <c r="AN357" i="30"/>
  <c r="AO357" i="30"/>
  <c r="AP357" i="30"/>
  <c r="AQ357" i="30"/>
  <c r="AV357" i="30"/>
  <c r="BA357" i="30"/>
  <c r="C356" i="30"/>
  <c r="H356" i="30"/>
  <c r="I356" i="30"/>
  <c r="J356" i="30"/>
  <c r="K356" i="30"/>
  <c r="L356" i="30"/>
  <c r="M356" i="30"/>
  <c r="N356" i="30"/>
  <c r="O356" i="30"/>
  <c r="P356" i="30"/>
  <c r="Q356" i="30"/>
  <c r="R356" i="30"/>
  <c r="S356" i="30"/>
  <c r="T356" i="30"/>
  <c r="U356" i="30"/>
  <c r="V356" i="30"/>
  <c r="AL356" i="30"/>
  <c r="AM356" i="30"/>
  <c r="AN356" i="30"/>
  <c r="AO356" i="30"/>
  <c r="AP356" i="30"/>
  <c r="AQ356" i="30"/>
  <c r="AV356" i="30"/>
  <c r="BA356" i="30"/>
  <c r="C355" i="30"/>
  <c r="H355" i="30"/>
  <c r="I355" i="30"/>
  <c r="J355" i="30"/>
  <c r="K355" i="30"/>
  <c r="L355" i="30"/>
  <c r="M355" i="30"/>
  <c r="N355" i="30"/>
  <c r="O355" i="30"/>
  <c r="P355" i="30"/>
  <c r="Q355" i="30"/>
  <c r="R355" i="30"/>
  <c r="S355" i="30"/>
  <c r="V355" i="30"/>
  <c r="AL355" i="30"/>
  <c r="AM355" i="30"/>
  <c r="AN355" i="30"/>
  <c r="AO355" i="30"/>
  <c r="AP355" i="30"/>
  <c r="AQ355" i="30"/>
  <c r="AV355" i="30"/>
  <c r="BA355" i="30"/>
  <c r="A354" i="30"/>
  <c r="B354" i="30"/>
  <c r="C354" i="30"/>
  <c r="H354" i="30"/>
  <c r="I354" i="30"/>
  <c r="J354" i="30"/>
  <c r="K354" i="30"/>
  <c r="L354" i="30"/>
  <c r="S354" i="30"/>
  <c r="V354" i="30"/>
  <c r="AL354" i="30"/>
  <c r="AM354" i="30"/>
  <c r="AN354" i="30"/>
  <c r="AO354" i="30"/>
  <c r="AP354" i="30"/>
  <c r="AQ354" i="30"/>
  <c r="AV354" i="30"/>
  <c r="BA354" i="30"/>
  <c r="AK961" i="1"/>
  <c r="B962" i="1"/>
  <c r="B360" i="30" s="1"/>
  <c r="B961" i="1"/>
  <c r="BC961" i="1" s="1"/>
  <c r="A962" i="1"/>
  <c r="A360" i="30" s="1"/>
  <c r="A961" i="1"/>
  <c r="E961" i="1"/>
  <c r="F961" i="1"/>
  <c r="G961" i="1"/>
  <c r="E962" i="1"/>
  <c r="E360" i="30" s="1"/>
  <c r="F962" i="1"/>
  <c r="F360" i="30" s="1"/>
  <c r="G962" i="1"/>
  <c r="G360" i="30" s="1"/>
  <c r="B960" i="1"/>
  <c r="B359" i="30" s="1"/>
  <c r="B959" i="1"/>
  <c r="BB959" i="1" s="1"/>
  <c r="A960" i="1"/>
  <c r="A359" i="30" s="1"/>
  <c r="A959" i="1"/>
  <c r="AJ959" i="1"/>
  <c r="AJ960" i="1" s="1"/>
  <c r="D959" i="1"/>
  <c r="E959" i="1"/>
  <c r="F959" i="1"/>
  <c r="G959" i="1"/>
  <c r="D960" i="1"/>
  <c r="D359" i="30" s="1"/>
  <c r="E960" i="1"/>
  <c r="E359" i="30" s="1"/>
  <c r="F960" i="1"/>
  <c r="F359" i="30" s="1"/>
  <c r="G960" i="1"/>
  <c r="G359" i="30" s="1"/>
  <c r="J956" i="1"/>
  <c r="J357" i="30" s="1"/>
  <c r="K956" i="1"/>
  <c r="K357" i="30" s="1"/>
  <c r="L956" i="1"/>
  <c r="L357" i="30" s="1"/>
  <c r="AK951" i="1"/>
  <c r="AK949" i="1" s="1"/>
  <c r="AJ951" i="1"/>
  <c r="O1215" i="1" l="1"/>
  <c r="P1216" i="1" s="1"/>
  <c r="O1042" i="1"/>
  <c r="M1215" i="1"/>
  <c r="M1214" i="1" s="1"/>
  <c r="M1042" i="1"/>
  <c r="N1215" i="1"/>
  <c r="N1214" i="1" s="1"/>
  <c r="N1042" i="1"/>
  <c r="AJ359" i="30"/>
  <c r="B455" i="61"/>
  <c r="O372" i="30"/>
  <c r="O1016" i="1"/>
  <c r="M372" i="30"/>
  <c r="M1016" i="1"/>
  <c r="N372" i="30"/>
  <c r="N1016" i="1"/>
  <c r="BD959" i="1"/>
  <c r="BC959" i="1"/>
  <c r="BD961" i="1"/>
  <c r="BB961" i="1"/>
  <c r="BC962" i="1"/>
  <c r="BC360" i="30" s="1"/>
  <c r="BB962" i="1"/>
  <c r="BB360" i="30" s="1"/>
  <c r="BD960" i="1"/>
  <c r="BD359" i="30" s="1"/>
  <c r="BC960" i="1"/>
  <c r="BC359" i="30" s="1"/>
  <c r="BD962" i="1"/>
  <c r="BD360" i="30" s="1"/>
  <c r="BB960" i="1"/>
  <c r="BB359" i="30" s="1"/>
  <c r="C387" i="30"/>
  <c r="H387" i="30"/>
  <c r="I387" i="30"/>
  <c r="J387" i="30"/>
  <c r="K387" i="30"/>
  <c r="L387" i="30"/>
  <c r="M387" i="30"/>
  <c r="N387" i="30"/>
  <c r="O387" i="30"/>
  <c r="P387" i="30"/>
  <c r="Q387" i="30"/>
  <c r="R387" i="30"/>
  <c r="S387" i="30"/>
  <c r="T387" i="30"/>
  <c r="U387" i="30"/>
  <c r="V387" i="30"/>
  <c r="W387" i="30"/>
  <c r="X387" i="30"/>
  <c r="Y387" i="30"/>
  <c r="Z387" i="30"/>
  <c r="AA387" i="30"/>
  <c r="AB387" i="30"/>
  <c r="AC387" i="30"/>
  <c r="AD387" i="30"/>
  <c r="AE387" i="30"/>
  <c r="AF387" i="30"/>
  <c r="AG387" i="30"/>
  <c r="AH387" i="30"/>
  <c r="AI387" i="30"/>
  <c r="AJ387" i="30"/>
  <c r="AL387" i="30"/>
  <c r="AM387" i="30"/>
  <c r="AN387" i="30"/>
  <c r="AO387" i="30"/>
  <c r="AP387" i="30"/>
  <c r="AQ387" i="30"/>
  <c r="AV387" i="30"/>
  <c r="BA387" i="30"/>
  <c r="B1027" i="1"/>
  <c r="B1026" i="1"/>
  <c r="A1038" i="1"/>
  <c r="A1032" i="1"/>
  <c r="B1038" i="1"/>
  <c r="B1032" i="1"/>
  <c r="B1031" i="1"/>
  <c r="BB1031" i="1" s="1"/>
  <c r="BB387" i="30" s="1"/>
  <c r="B1030" i="1"/>
  <c r="BB1030" i="1" s="1"/>
  <c r="A1027" i="1"/>
  <c r="A1026" i="1"/>
  <c r="A1031" i="1"/>
  <c r="A387" i="30" s="1"/>
  <c r="A1030" i="1"/>
  <c r="E1030" i="1"/>
  <c r="F1030" i="1"/>
  <c r="G1030" i="1"/>
  <c r="E1031" i="1"/>
  <c r="E387" i="30" s="1"/>
  <c r="F1031" i="1"/>
  <c r="F387" i="30" s="1"/>
  <c r="G1031" i="1"/>
  <c r="G387" i="30" s="1"/>
  <c r="AE25" i="57"/>
  <c r="AE24" i="57"/>
  <c r="D1031" i="1" s="1"/>
  <c r="D387" i="30" s="1"/>
  <c r="AE23" i="57"/>
  <c r="D1030" i="1" s="1"/>
  <c r="AE34" i="57"/>
  <c r="D962" i="1" s="1"/>
  <c r="D360" i="30" s="1"/>
  <c r="AE33" i="57"/>
  <c r="D961" i="1" s="1"/>
  <c r="AE41" i="57"/>
  <c r="AZ24" i="57"/>
  <c r="AZ18" i="57"/>
  <c r="AZ15" i="57"/>
  <c r="AZ14" i="57"/>
  <c r="AZ13" i="57"/>
  <c r="AZ12" i="57"/>
  <c r="AZ11" i="57"/>
  <c r="AZ10" i="57"/>
  <c r="AZ9" i="57"/>
  <c r="AZ8" i="57"/>
  <c r="AZ7" i="57"/>
  <c r="AZ6" i="57"/>
  <c r="AZ5" i="57"/>
  <c r="AK882" i="1"/>
  <c r="C434" i="30"/>
  <c r="H434" i="30"/>
  <c r="I434" i="30"/>
  <c r="J434" i="30"/>
  <c r="K434" i="30"/>
  <c r="L434" i="30"/>
  <c r="M434" i="30"/>
  <c r="N434" i="30"/>
  <c r="O434" i="30"/>
  <c r="P434" i="30"/>
  <c r="Q434" i="30"/>
  <c r="R434" i="30"/>
  <c r="S434" i="30"/>
  <c r="T434" i="30"/>
  <c r="U434" i="30"/>
  <c r="V434" i="30"/>
  <c r="W434" i="30"/>
  <c r="X434" i="30"/>
  <c r="Y434" i="30"/>
  <c r="Z434" i="30"/>
  <c r="AA434" i="30"/>
  <c r="AB434" i="30"/>
  <c r="AC434" i="30"/>
  <c r="AD434" i="30"/>
  <c r="AJ434" i="30"/>
  <c r="AL434" i="30"/>
  <c r="AM434" i="30"/>
  <c r="AN434" i="30"/>
  <c r="AO434" i="30"/>
  <c r="AP434" i="30"/>
  <c r="AQ434" i="30"/>
  <c r="AV434" i="30"/>
  <c r="BA434" i="30"/>
  <c r="B1222" i="1"/>
  <c r="B1220" i="1"/>
  <c r="B1219" i="1"/>
  <c r="B1218" i="1"/>
  <c r="B1217" i="1"/>
  <c r="A1222" i="1"/>
  <c r="A1220" i="1"/>
  <c r="A1219" i="1"/>
  <c r="A1218" i="1"/>
  <c r="A1217" i="1"/>
  <c r="B1221" i="1"/>
  <c r="A1221" i="1"/>
  <c r="A434" i="30" s="1"/>
  <c r="D1221" i="1"/>
  <c r="D434" i="30" s="1"/>
  <c r="E1221" i="1"/>
  <c r="E434" i="30" s="1"/>
  <c r="F1221" i="1"/>
  <c r="F434" i="30" s="1"/>
  <c r="G1221" i="1"/>
  <c r="G434" i="30" s="1"/>
  <c r="BP49" i="57"/>
  <c r="B883" i="1"/>
  <c r="B882" i="1"/>
  <c r="BD882" i="1" s="1"/>
  <c r="B880" i="1"/>
  <c r="B878" i="1"/>
  <c r="A878" i="1"/>
  <c r="A883" i="1"/>
  <c r="A880" i="1"/>
  <c r="A882" i="1"/>
  <c r="E882" i="1"/>
  <c r="F882" i="1"/>
  <c r="G882" i="1"/>
  <c r="B980" i="1"/>
  <c r="BB980" i="1" s="1"/>
  <c r="A980" i="1"/>
  <c r="E980" i="1"/>
  <c r="F980" i="1"/>
  <c r="G980" i="1"/>
  <c r="B894" i="1"/>
  <c r="BB894" i="1" s="1"/>
  <c r="A894" i="1"/>
  <c r="E894" i="1"/>
  <c r="F894" i="1"/>
  <c r="G894" i="1"/>
  <c r="B891" i="1"/>
  <c r="BC891" i="1" s="1"/>
  <c r="A891" i="1"/>
  <c r="E891" i="1"/>
  <c r="F891" i="1"/>
  <c r="G891" i="1"/>
  <c r="AK914" i="1"/>
  <c r="B914" i="1"/>
  <c r="BB914" i="1" s="1"/>
  <c r="A914" i="1"/>
  <c r="E914" i="1"/>
  <c r="F914" i="1"/>
  <c r="G914" i="1"/>
  <c r="B942" i="1"/>
  <c r="BD942" i="1" s="1"/>
  <c r="A942" i="1"/>
  <c r="E942" i="1"/>
  <c r="F942" i="1"/>
  <c r="G942" i="1"/>
  <c r="B926" i="1"/>
  <c r="B348" i="30" s="1"/>
  <c r="A926" i="1"/>
  <c r="A348" i="30" s="1"/>
  <c r="B928" i="1"/>
  <c r="BD928" i="1" s="1"/>
  <c r="A928" i="1"/>
  <c r="E928" i="1"/>
  <c r="F928" i="1"/>
  <c r="G928" i="1"/>
  <c r="B1053" i="1"/>
  <c r="BB1053" i="1" s="1"/>
  <c r="A1053" i="1"/>
  <c r="E1053" i="1"/>
  <c r="F1053" i="1"/>
  <c r="G1053" i="1"/>
  <c r="AK915" i="1" l="1"/>
  <c r="O1214" i="1"/>
  <c r="N1216" i="1"/>
  <c r="O1216" i="1"/>
  <c r="BC1222" i="1"/>
  <c r="BD1222" i="1"/>
  <c r="BB1222" i="1"/>
  <c r="BB1221" i="1"/>
  <c r="BB434" i="30" s="1"/>
  <c r="BC1221" i="1"/>
  <c r="BC434" i="30" s="1"/>
  <c r="BD1221" i="1"/>
  <c r="BD434" i="30" s="1"/>
  <c r="AK962" i="1"/>
  <c r="AK1077" i="1"/>
  <c r="AK1221" i="1"/>
  <c r="AK434" i="30" s="1"/>
  <c r="D394" i="61" s="1"/>
  <c r="AK1030" i="1"/>
  <c r="AK1031" i="1" s="1"/>
  <c r="BD894" i="1"/>
  <c r="BB891" i="1"/>
  <c r="BC894" i="1"/>
  <c r="BD1030" i="1"/>
  <c r="BD1031" i="1"/>
  <c r="BD387" i="30" s="1"/>
  <c r="BC1030" i="1"/>
  <c r="B387" i="30"/>
  <c r="BC1031" i="1"/>
  <c r="BC387" i="30" s="1"/>
  <c r="BC882" i="1"/>
  <c r="B434" i="30"/>
  <c r="BB882" i="1"/>
  <c r="BD980" i="1"/>
  <c r="BC980" i="1"/>
  <c r="BD891" i="1"/>
  <c r="BB942" i="1"/>
  <c r="BD914" i="1"/>
  <c r="BC914" i="1"/>
  <c r="BC942" i="1"/>
  <c r="BC928" i="1"/>
  <c r="BB928" i="1"/>
  <c r="BD1053" i="1"/>
  <c r="BC1053" i="1"/>
  <c r="BB2520" i="1"/>
  <c r="BC2520" i="1"/>
  <c r="BD2520" i="1"/>
  <c r="AK360" i="30" l="1"/>
  <c r="B452" i="61"/>
  <c r="AK387" i="30"/>
  <c r="B406" i="61"/>
  <c r="E257" i="61"/>
  <c r="E267" i="61"/>
  <c r="B870" i="1"/>
  <c r="BD870" i="1" s="1"/>
  <c r="A870" i="1"/>
  <c r="AY33" i="57"/>
  <c r="AJ1052" i="1"/>
  <c r="B941" i="1"/>
  <c r="BC941" i="1" s="1"/>
  <c r="A941" i="1"/>
  <c r="E941" i="1"/>
  <c r="F941" i="1"/>
  <c r="G941" i="1"/>
  <c r="E440" i="61" l="1"/>
  <c r="AJ1220" i="1"/>
  <c r="AJ350" i="30"/>
  <c r="BF350" i="30" s="1"/>
  <c r="BG348" i="30" s="1"/>
  <c r="AK1220" i="1"/>
  <c r="AK350" i="30"/>
  <c r="BC870" i="1"/>
  <c r="BB870" i="1"/>
  <c r="BB941" i="1"/>
  <c r="BD941" i="1"/>
  <c r="E1052" i="1"/>
  <c r="E350" i="30" s="1"/>
  <c r="F1052" i="1"/>
  <c r="F350" i="30" s="1"/>
  <c r="G1052" i="1"/>
  <c r="G350" i="30" s="1"/>
  <c r="B1052" i="1"/>
  <c r="A1052" i="1"/>
  <c r="A350" i="30" s="1"/>
  <c r="G880" i="1"/>
  <c r="B229" i="1"/>
  <c r="A229" i="1"/>
  <c r="A227" i="1"/>
  <c r="B227" i="1"/>
  <c r="A225" i="1"/>
  <c r="B225" i="1"/>
  <c r="B221" i="1"/>
  <c r="A221" i="1"/>
  <c r="B219" i="1"/>
  <c r="A219" i="1"/>
  <c r="BB219" i="1" l="1"/>
  <c r="BC219" i="1"/>
  <c r="BD219" i="1"/>
  <c r="BC227" i="1"/>
  <c r="BB227" i="1"/>
  <c r="BD227" i="1"/>
  <c r="BC221" i="1"/>
  <c r="BB221" i="1"/>
  <c r="BD221" i="1"/>
  <c r="BC225" i="1"/>
  <c r="BD225" i="1"/>
  <c r="BB225" i="1"/>
  <c r="BC229" i="1"/>
  <c r="BB229" i="1"/>
  <c r="BD229" i="1"/>
  <c r="BC1052" i="1"/>
  <c r="BC350" i="30" s="1"/>
  <c r="B350" i="30"/>
  <c r="BD1052" i="1"/>
  <c r="BD350" i="30" s="1"/>
  <c r="BB1052" i="1"/>
  <c r="BB350" i="30" s="1"/>
  <c r="I2480" i="1"/>
  <c r="B2481" i="1"/>
  <c r="BB2481" i="1" s="1"/>
  <c r="A2481" i="1"/>
  <c r="B2435" i="1"/>
  <c r="BB2435" i="1" s="1"/>
  <c r="BD2481" i="1" l="1"/>
  <c r="BC2481" i="1"/>
  <c r="BD2435" i="1"/>
  <c r="BC2435" i="1"/>
  <c r="B228" i="1"/>
  <c r="B226" i="1"/>
  <c r="B224" i="1"/>
  <c r="B222" i="1"/>
  <c r="B220" i="1"/>
  <c r="B218" i="1"/>
  <c r="A228" i="1"/>
  <c r="A226" i="1"/>
  <c r="A224" i="1"/>
  <c r="A220" i="1"/>
  <c r="A218" i="1"/>
  <c r="A222" i="1"/>
  <c r="B223" i="1"/>
  <c r="A223" i="1"/>
  <c r="B105" i="1"/>
  <c r="A105" i="1"/>
  <c r="B117" i="1"/>
  <c r="B104" i="1"/>
  <c r="A104" i="1"/>
  <c r="A117" i="1"/>
  <c r="BB105" i="1" l="1"/>
  <c r="BC105" i="1"/>
  <c r="BD105" i="1"/>
  <c r="BD104" i="1"/>
  <c r="BB104" i="1"/>
  <c r="BC104" i="1"/>
  <c r="BB117" i="1"/>
  <c r="BC117" i="1"/>
  <c r="BD117" i="1"/>
  <c r="BD218" i="1"/>
  <c r="BC218" i="1"/>
  <c r="BB218" i="1"/>
  <c r="BD226" i="1"/>
  <c r="BB226" i="1"/>
  <c r="BC226" i="1"/>
  <c r="BB220" i="1"/>
  <c r="BC220" i="1"/>
  <c r="BD220" i="1"/>
  <c r="BB228" i="1"/>
  <c r="BC228" i="1"/>
  <c r="BD228" i="1"/>
  <c r="BD222" i="1"/>
  <c r="BB222" i="1"/>
  <c r="BC222" i="1"/>
  <c r="BB224" i="1"/>
  <c r="BC224" i="1"/>
  <c r="BD224" i="1"/>
  <c r="BD223" i="1"/>
  <c r="BC223" i="1"/>
  <c r="BB223" i="1"/>
  <c r="E1038" i="1"/>
  <c r="C272" i="30"/>
  <c r="D272" i="30"/>
  <c r="E272" i="30"/>
  <c r="F272" i="30"/>
  <c r="G272" i="30"/>
  <c r="H272" i="30"/>
  <c r="I272" i="30"/>
  <c r="J272" i="30"/>
  <c r="K272" i="30"/>
  <c r="L272" i="30"/>
  <c r="M272" i="30"/>
  <c r="N272" i="30"/>
  <c r="O272" i="30"/>
  <c r="P272" i="30"/>
  <c r="Q272" i="30"/>
  <c r="R272" i="30"/>
  <c r="S272" i="30"/>
  <c r="T272" i="30"/>
  <c r="U272" i="30"/>
  <c r="V272" i="30"/>
  <c r="W272" i="30"/>
  <c r="X272" i="30"/>
  <c r="Y272" i="30"/>
  <c r="Z272" i="30"/>
  <c r="AA272" i="30"/>
  <c r="AB272" i="30"/>
  <c r="AC272" i="30"/>
  <c r="AD272" i="30"/>
  <c r="AE272" i="30"/>
  <c r="AL272" i="30"/>
  <c r="AM272" i="30"/>
  <c r="AN272" i="30"/>
  <c r="AO272" i="30"/>
  <c r="AP272" i="30"/>
  <c r="AQ272" i="30"/>
  <c r="AV272" i="30"/>
  <c r="BA272" i="30"/>
  <c r="B783" i="1"/>
  <c r="BD783" i="1" s="1"/>
  <c r="BD272" i="30" s="1"/>
  <c r="A783" i="1"/>
  <c r="A272" i="30" s="1"/>
  <c r="C273" i="30"/>
  <c r="D273" i="30"/>
  <c r="E273" i="30"/>
  <c r="F273" i="30"/>
  <c r="G273" i="30"/>
  <c r="H273" i="30"/>
  <c r="I273" i="30"/>
  <c r="J273" i="30"/>
  <c r="K273" i="30"/>
  <c r="L273" i="30"/>
  <c r="M273" i="30"/>
  <c r="N273" i="30"/>
  <c r="O273" i="30"/>
  <c r="P273" i="30"/>
  <c r="Q273" i="30"/>
  <c r="R273" i="30"/>
  <c r="S273" i="30"/>
  <c r="T273" i="30"/>
  <c r="U273" i="30"/>
  <c r="V273" i="30"/>
  <c r="W273" i="30"/>
  <c r="X273" i="30"/>
  <c r="Y273" i="30"/>
  <c r="Z273" i="30"/>
  <c r="AA273" i="30"/>
  <c r="AB273" i="30"/>
  <c r="AC273" i="30"/>
  <c r="AD273" i="30"/>
  <c r="AE273" i="30"/>
  <c r="AF273" i="30"/>
  <c r="AG273" i="30"/>
  <c r="AH273" i="30"/>
  <c r="AI273" i="30"/>
  <c r="AJ273" i="30"/>
  <c r="AK273" i="30"/>
  <c r="AL273" i="30"/>
  <c r="AM273" i="30"/>
  <c r="AN273" i="30"/>
  <c r="AO273" i="30"/>
  <c r="AP273" i="30"/>
  <c r="AQ273" i="30"/>
  <c r="AV273" i="30"/>
  <c r="BA273" i="30"/>
  <c r="B782" i="1"/>
  <c r="BB782" i="1" s="1"/>
  <c r="BB273" i="30" s="1"/>
  <c r="A782" i="1"/>
  <c r="A273" i="30" s="1"/>
  <c r="F270" i="30"/>
  <c r="A378" i="30"/>
  <c r="B378" i="30"/>
  <c r="C378" i="30"/>
  <c r="H378" i="30"/>
  <c r="I378" i="30"/>
  <c r="J378" i="30"/>
  <c r="K378" i="30"/>
  <c r="L378" i="30"/>
  <c r="S378" i="30"/>
  <c r="V378" i="30"/>
  <c r="AL378" i="30"/>
  <c r="AM378" i="30"/>
  <c r="AN378" i="30"/>
  <c r="AO378" i="30"/>
  <c r="AP378" i="30"/>
  <c r="AQ378" i="30"/>
  <c r="AV378" i="30"/>
  <c r="BA378" i="30"/>
  <c r="A388" i="30"/>
  <c r="B388" i="30"/>
  <c r="C388" i="30"/>
  <c r="H388" i="30"/>
  <c r="I388" i="30"/>
  <c r="J388" i="30"/>
  <c r="K388" i="30"/>
  <c r="L388" i="30"/>
  <c r="M388" i="30"/>
  <c r="N388" i="30"/>
  <c r="O388" i="30"/>
  <c r="P388" i="30"/>
  <c r="Q388" i="30"/>
  <c r="R388" i="30"/>
  <c r="S388" i="30"/>
  <c r="T388" i="30"/>
  <c r="U388" i="30"/>
  <c r="V388" i="30"/>
  <c r="W388" i="30"/>
  <c r="X388" i="30"/>
  <c r="Y388" i="30"/>
  <c r="Z388" i="30"/>
  <c r="AA388" i="30"/>
  <c r="AB388" i="30"/>
  <c r="AC388" i="30"/>
  <c r="AD388" i="30"/>
  <c r="AL388" i="30"/>
  <c r="AM388" i="30"/>
  <c r="AN388" i="30"/>
  <c r="AO388" i="30"/>
  <c r="AP388" i="30"/>
  <c r="AQ388" i="30"/>
  <c r="AV388" i="30"/>
  <c r="BA388" i="30"/>
  <c r="A385" i="30"/>
  <c r="B385" i="30"/>
  <c r="C385" i="30"/>
  <c r="H385" i="30"/>
  <c r="I385" i="30"/>
  <c r="J385" i="30"/>
  <c r="K385" i="30"/>
  <c r="L385" i="30"/>
  <c r="M385" i="30"/>
  <c r="N385" i="30"/>
  <c r="O385" i="30"/>
  <c r="P385" i="30"/>
  <c r="Q385" i="30"/>
  <c r="R385" i="30"/>
  <c r="S385" i="30"/>
  <c r="T385" i="30"/>
  <c r="U385" i="30"/>
  <c r="V385" i="30"/>
  <c r="W385" i="30"/>
  <c r="X385" i="30"/>
  <c r="Y385" i="30"/>
  <c r="Z385" i="30"/>
  <c r="AA385" i="30"/>
  <c r="AB385" i="30"/>
  <c r="AC385" i="30"/>
  <c r="AD385" i="30"/>
  <c r="AE385" i="30"/>
  <c r="AF385" i="30"/>
  <c r="AG385" i="30"/>
  <c r="AL385" i="30"/>
  <c r="AM385" i="30"/>
  <c r="AN385" i="30"/>
  <c r="AO385" i="30"/>
  <c r="AP385" i="30"/>
  <c r="AQ385" i="30"/>
  <c r="AV385" i="30"/>
  <c r="BA385" i="30"/>
  <c r="C384" i="30"/>
  <c r="H384" i="30"/>
  <c r="I384" i="30"/>
  <c r="J384" i="30"/>
  <c r="K384" i="30"/>
  <c r="L384" i="30"/>
  <c r="M384" i="30"/>
  <c r="N384" i="30"/>
  <c r="O384" i="30"/>
  <c r="P384" i="30"/>
  <c r="Q384" i="30"/>
  <c r="R384" i="30"/>
  <c r="S384" i="30"/>
  <c r="T384" i="30"/>
  <c r="U384" i="30"/>
  <c r="V384" i="30"/>
  <c r="W384" i="30"/>
  <c r="X384" i="30"/>
  <c r="Y384" i="30"/>
  <c r="Z384" i="30"/>
  <c r="AA384" i="30"/>
  <c r="AB384" i="30"/>
  <c r="AC384" i="30"/>
  <c r="AD384" i="30"/>
  <c r="AE384" i="30"/>
  <c r="AF384" i="30"/>
  <c r="AG384" i="30"/>
  <c r="AH384" i="30"/>
  <c r="AI384" i="30"/>
  <c r="AL384" i="30"/>
  <c r="AM384" i="30"/>
  <c r="AN384" i="30"/>
  <c r="AO384" i="30"/>
  <c r="AP384" i="30"/>
  <c r="AQ384" i="30"/>
  <c r="AV384" i="30"/>
  <c r="BA384" i="30"/>
  <c r="C383" i="30"/>
  <c r="H383" i="30"/>
  <c r="I383" i="30"/>
  <c r="J383" i="30"/>
  <c r="K383" i="30"/>
  <c r="L383" i="30"/>
  <c r="M383" i="30"/>
  <c r="N383" i="30"/>
  <c r="O383" i="30"/>
  <c r="P383" i="30"/>
  <c r="Q383" i="30"/>
  <c r="R383" i="30"/>
  <c r="S383" i="30"/>
  <c r="T383" i="30"/>
  <c r="U383" i="30"/>
  <c r="V383" i="30"/>
  <c r="W383" i="30"/>
  <c r="X383" i="30"/>
  <c r="Y383" i="30"/>
  <c r="Z383" i="30"/>
  <c r="AA383" i="30"/>
  <c r="AB383" i="30"/>
  <c r="AC383" i="30"/>
  <c r="AD383" i="30"/>
  <c r="AE383" i="30"/>
  <c r="AF383" i="30"/>
  <c r="AG383" i="30"/>
  <c r="AH383" i="30"/>
  <c r="AI383" i="30"/>
  <c r="AL383" i="30"/>
  <c r="AM383" i="30"/>
  <c r="AN383" i="30"/>
  <c r="AO383" i="30"/>
  <c r="AP383" i="30"/>
  <c r="AQ383" i="30"/>
  <c r="AV383" i="30"/>
  <c r="BA383" i="30"/>
  <c r="C382" i="30"/>
  <c r="H382" i="30"/>
  <c r="I382" i="30"/>
  <c r="J382" i="30"/>
  <c r="K382" i="30"/>
  <c r="L382" i="30"/>
  <c r="M382" i="30"/>
  <c r="N382" i="30"/>
  <c r="O382" i="30"/>
  <c r="P382" i="30"/>
  <c r="Q382" i="30"/>
  <c r="R382" i="30"/>
  <c r="S382" i="30"/>
  <c r="T382" i="30"/>
  <c r="U382" i="30"/>
  <c r="V382" i="30"/>
  <c r="W382" i="30"/>
  <c r="X382" i="30"/>
  <c r="Y382" i="30"/>
  <c r="Z382" i="30"/>
  <c r="AA382" i="30"/>
  <c r="AB382" i="30"/>
  <c r="AC382" i="30"/>
  <c r="AD382" i="30"/>
  <c r="AL382" i="30"/>
  <c r="AM382" i="30"/>
  <c r="AN382" i="30"/>
  <c r="AO382" i="30"/>
  <c r="AP382" i="30"/>
  <c r="AQ382" i="30"/>
  <c r="AV382" i="30"/>
  <c r="BA382" i="30"/>
  <c r="BC783" i="1" l="1"/>
  <c r="BC272" i="30" s="1"/>
  <c r="B272" i="30"/>
  <c r="BB783" i="1"/>
  <c r="BB272" i="30" s="1"/>
  <c r="BD782" i="1"/>
  <c r="BD273" i="30" s="1"/>
  <c r="BC782" i="1"/>
  <c r="BC273" i="30" s="1"/>
  <c r="B273" i="30"/>
  <c r="E81" i="1"/>
  <c r="E37" i="30" s="1"/>
  <c r="E82" i="1"/>
  <c r="E38" i="30" s="1"/>
  <c r="E83" i="1"/>
  <c r="E39" i="30" s="1"/>
  <c r="E84" i="1"/>
  <c r="E40" i="30" s="1"/>
  <c r="E85" i="1"/>
  <c r="E41" i="30" s="1"/>
  <c r="E86" i="1"/>
  <c r="E42" i="30" s="1"/>
  <c r="E87" i="1"/>
  <c r="E43" i="30" s="1"/>
  <c r="E88" i="1"/>
  <c r="E44" i="30" s="1"/>
  <c r="E89" i="1"/>
  <c r="E45" i="30" s="1"/>
  <c r="E80" i="1"/>
  <c r="E36" i="30" s="1"/>
  <c r="F1008" i="1" l="1"/>
  <c r="B1019" i="1" l="1"/>
  <c r="A1019" i="1"/>
  <c r="F1007" i="1"/>
  <c r="BB1019" i="1" l="1"/>
  <c r="BC1019" i="1"/>
  <c r="BD1019" i="1"/>
  <c r="C380" i="30"/>
  <c r="H380" i="30"/>
  <c r="I380" i="30"/>
  <c r="J380" i="30"/>
  <c r="K380" i="30"/>
  <c r="L380" i="30"/>
  <c r="S380" i="30"/>
  <c r="V380" i="30"/>
  <c r="AL380" i="30"/>
  <c r="AM380" i="30"/>
  <c r="AN380" i="30"/>
  <c r="AO380" i="30"/>
  <c r="AP380" i="30"/>
  <c r="AQ380" i="30"/>
  <c r="AV380" i="30"/>
  <c r="BA380" i="30"/>
  <c r="B977" i="1" l="1"/>
  <c r="BC977" i="1" s="1"/>
  <c r="A977" i="1"/>
  <c r="F977" i="1"/>
  <c r="G977" i="1"/>
  <c r="BD977" i="1" l="1"/>
  <c r="BB977" i="1"/>
  <c r="AK1217" i="1"/>
  <c r="AK430" i="30" s="1"/>
  <c r="D397" i="61" s="1"/>
  <c r="AJ939" i="1"/>
  <c r="B981" i="1"/>
  <c r="BB981" i="1" s="1"/>
  <c r="A981" i="1"/>
  <c r="E981" i="1"/>
  <c r="F981" i="1"/>
  <c r="G981" i="1"/>
  <c r="BY9" i="57"/>
  <c r="B997" i="1"/>
  <c r="BD997" i="1" s="1"/>
  <c r="A997" i="1"/>
  <c r="E997" i="1"/>
  <c r="F997" i="1"/>
  <c r="G997" i="1"/>
  <c r="B979" i="1"/>
  <c r="BB979" i="1" s="1"/>
  <c r="A979" i="1"/>
  <c r="E979" i="1"/>
  <c r="F979" i="1"/>
  <c r="G979" i="1"/>
  <c r="BC981" i="1" l="1"/>
  <c r="BD981" i="1"/>
  <c r="BC979" i="1"/>
  <c r="BD979" i="1"/>
  <c r="BB997" i="1"/>
  <c r="BC997" i="1"/>
  <c r="B1707" i="1"/>
  <c r="BC1707" i="1" s="1"/>
  <c r="A1707" i="1"/>
  <c r="BD1707" i="1" l="1"/>
  <c r="BB1707" i="1"/>
  <c r="C379" i="30"/>
  <c r="H379" i="30"/>
  <c r="I379" i="30"/>
  <c r="J379" i="30"/>
  <c r="K379" i="30"/>
  <c r="L379" i="30"/>
  <c r="S379" i="30"/>
  <c r="V379" i="30"/>
  <c r="AL379" i="30"/>
  <c r="AM379" i="30"/>
  <c r="AN379" i="30"/>
  <c r="AO379" i="30"/>
  <c r="AP379" i="30"/>
  <c r="AQ379" i="30"/>
  <c r="AV379" i="30"/>
  <c r="BA379" i="30"/>
  <c r="C372" i="30"/>
  <c r="H372" i="30"/>
  <c r="I372" i="30"/>
  <c r="J372" i="30"/>
  <c r="K372" i="30"/>
  <c r="L372" i="30"/>
  <c r="S372" i="30"/>
  <c r="V372" i="30"/>
  <c r="AE372" i="30"/>
  <c r="AF372" i="30"/>
  <c r="AG372" i="30"/>
  <c r="AH372" i="30"/>
  <c r="AI372" i="30"/>
  <c r="AJ372" i="30"/>
  <c r="AK372" i="30"/>
  <c r="AL372" i="30"/>
  <c r="AM372" i="30"/>
  <c r="BF372" i="30" s="1"/>
  <c r="AN372" i="30"/>
  <c r="AO372" i="30"/>
  <c r="AP372" i="30"/>
  <c r="AQ372" i="30"/>
  <c r="AV372" i="30"/>
  <c r="BA372" i="30"/>
  <c r="G1043" i="1"/>
  <c r="G372" i="30" s="1"/>
  <c r="BB2483" i="1" l="1"/>
  <c r="BC2483" i="1"/>
  <c r="BD2483" i="1"/>
  <c r="A432" i="30" l="1"/>
  <c r="B432" i="30"/>
  <c r="C432" i="30"/>
  <c r="H432" i="30"/>
  <c r="I432" i="30"/>
  <c r="J432" i="30"/>
  <c r="K432" i="30"/>
  <c r="L432" i="30"/>
  <c r="M432" i="30"/>
  <c r="N432" i="30"/>
  <c r="O432" i="30"/>
  <c r="P432" i="30"/>
  <c r="Q432" i="30"/>
  <c r="R432" i="30"/>
  <c r="S432" i="30"/>
  <c r="T432" i="30"/>
  <c r="U432" i="30"/>
  <c r="V432" i="30"/>
  <c r="W432" i="30"/>
  <c r="X432" i="30"/>
  <c r="Y432" i="30"/>
  <c r="Z432" i="30"/>
  <c r="AA432" i="30"/>
  <c r="AB432" i="30"/>
  <c r="AC432" i="30"/>
  <c r="AD432" i="30"/>
  <c r="AL432" i="30"/>
  <c r="AM432" i="30"/>
  <c r="AN432" i="30"/>
  <c r="AO432" i="30"/>
  <c r="AP432" i="30"/>
  <c r="AQ432" i="30"/>
  <c r="AV432" i="30"/>
  <c r="BA432" i="30"/>
  <c r="G1219" i="1"/>
  <c r="G432" i="30" s="1"/>
  <c r="G1220" i="1"/>
  <c r="B1051" i="1"/>
  <c r="BC1051" i="1" s="1"/>
  <c r="A1051" i="1"/>
  <c r="E1051" i="1"/>
  <c r="F1051" i="1"/>
  <c r="G1051" i="1"/>
  <c r="B940" i="1"/>
  <c r="BD940" i="1" s="1"/>
  <c r="A940" i="1"/>
  <c r="E940" i="1"/>
  <c r="F940" i="1"/>
  <c r="G940" i="1"/>
  <c r="AK956" i="1"/>
  <c r="B925" i="1"/>
  <c r="BC925" i="1" s="1"/>
  <c r="A925" i="1"/>
  <c r="E925" i="1"/>
  <c r="F925" i="1"/>
  <c r="G925" i="1"/>
  <c r="G976" i="1"/>
  <c r="B976" i="1"/>
  <c r="BB976" i="1" s="1"/>
  <c r="A976" i="1"/>
  <c r="E976" i="1"/>
  <c r="F976" i="1"/>
  <c r="AK1000" i="1"/>
  <c r="AK879" i="1" s="1"/>
  <c r="AK911" i="1" s="1"/>
  <c r="AK357" i="30" l="1"/>
  <c r="B449" i="61"/>
  <c r="AK1024" i="1"/>
  <c r="AK1025" i="1" s="1"/>
  <c r="AK1080" i="1"/>
  <c r="AK957" i="1"/>
  <c r="BB1051" i="1"/>
  <c r="BC940" i="1"/>
  <c r="BD1051" i="1"/>
  <c r="BB940" i="1"/>
  <c r="BD925" i="1"/>
  <c r="BB925" i="1"/>
  <c r="BD976" i="1"/>
  <c r="BC976" i="1"/>
  <c r="R904" i="1"/>
  <c r="Q904" i="1"/>
  <c r="P904" i="1"/>
  <c r="O904" i="1"/>
  <c r="N904" i="1"/>
  <c r="M904" i="1"/>
  <c r="U904" i="1"/>
  <c r="T904" i="1"/>
  <c r="W904" i="1"/>
  <c r="X904" i="1"/>
  <c r="Y904" i="1"/>
  <c r="Y351" i="30" s="1"/>
  <c r="Z904" i="1"/>
  <c r="AA904" i="1"/>
  <c r="AB904" i="1"/>
  <c r="AC904" i="1"/>
  <c r="AD904" i="1"/>
  <c r="AK384" i="30" l="1"/>
  <c r="B414" i="61"/>
  <c r="E269" i="61"/>
  <c r="E252" i="61"/>
  <c r="Y905" i="1"/>
  <c r="Y352" i="30" s="1"/>
  <c r="Y902" i="1"/>
  <c r="Y903" i="1" s="1"/>
  <c r="AA905" i="1"/>
  <c r="AA902" i="1"/>
  <c r="AA903" i="1" s="1"/>
  <c r="AD905" i="1"/>
  <c r="AD902" i="1"/>
  <c r="Z905" i="1"/>
  <c r="Z902" i="1"/>
  <c r="Z903" i="1" s="1"/>
  <c r="T902" i="1"/>
  <c r="T905" i="1"/>
  <c r="O351" i="30"/>
  <c r="O905" i="1"/>
  <c r="O352" i="30" s="1"/>
  <c r="O902" i="1"/>
  <c r="U905" i="1"/>
  <c r="U902" i="1"/>
  <c r="P351" i="30"/>
  <c r="P905" i="1"/>
  <c r="P902" i="1"/>
  <c r="AC905" i="1"/>
  <c r="AC902" i="1"/>
  <c r="AC903" i="1" s="1"/>
  <c r="AB902" i="1"/>
  <c r="AB903" i="1" s="1"/>
  <c r="AB905" i="1"/>
  <c r="X902" i="1"/>
  <c r="X903" i="1" s="1"/>
  <c r="X905" i="1"/>
  <c r="M351" i="30"/>
  <c r="M902" i="1"/>
  <c r="M905" i="1"/>
  <c r="M352" i="30" s="1"/>
  <c r="Q351" i="30"/>
  <c r="Q905" i="1"/>
  <c r="Q902" i="1"/>
  <c r="W902" i="1"/>
  <c r="W903" i="1" s="1"/>
  <c r="W905" i="1"/>
  <c r="N351" i="30"/>
  <c r="N902" i="1"/>
  <c r="N905" i="1"/>
  <c r="N352" i="30" s="1"/>
  <c r="R902" i="1"/>
  <c r="R905" i="1"/>
  <c r="C377" i="30"/>
  <c r="H377" i="30"/>
  <c r="I377" i="30"/>
  <c r="J377" i="30"/>
  <c r="K377" i="30"/>
  <c r="L377" i="30"/>
  <c r="S377" i="30"/>
  <c r="V377" i="30"/>
  <c r="AJ377" i="30"/>
  <c r="AK377" i="30"/>
  <c r="AL377" i="30"/>
  <c r="AM377" i="30"/>
  <c r="BF377" i="30" s="1"/>
  <c r="AN377" i="30"/>
  <c r="AO377" i="30"/>
  <c r="AP377" i="30"/>
  <c r="AQ377" i="30"/>
  <c r="AV377" i="30"/>
  <c r="BA377" i="30"/>
  <c r="S374" i="30"/>
  <c r="V374" i="30"/>
  <c r="C373" i="30"/>
  <c r="H373" i="30"/>
  <c r="I373" i="30"/>
  <c r="J373" i="30"/>
  <c r="K373" i="30"/>
  <c r="L373" i="30"/>
  <c r="S373" i="30"/>
  <c r="V373" i="30"/>
  <c r="AE373" i="30"/>
  <c r="AF373" i="30"/>
  <c r="AG373" i="30"/>
  <c r="AH373" i="30"/>
  <c r="AI373" i="30"/>
  <c r="AJ373" i="30"/>
  <c r="AK373" i="30"/>
  <c r="AL373" i="30"/>
  <c r="AM373" i="30"/>
  <c r="BF373" i="30" s="1"/>
  <c r="AN373" i="30"/>
  <c r="AO373" i="30"/>
  <c r="AP373" i="30"/>
  <c r="AQ373" i="30"/>
  <c r="AV373" i="30"/>
  <c r="BA373" i="30"/>
  <c r="R1214" i="1"/>
  <c r="Q1214" i="1"/>
  <c r="P1214" i="1"/>
  <c r="O429" i="30"/>
  <c r="N429" i="30"/>
  <c r="M429" i="30"/>
  <c r="U1214" i="1"/>
  <c r="T1214" i="1"/>
  <c r="W1214" i="1"/>
  <c r="W428" i="30" s="1"/>
  <c r="X1214" i="1"/>
  <c r="X428" i="30" s="1"/>
  <c r="Z1214" i="1"/>
  <c r="Z428" i="30" s="1"/>
  <c r="AA1214" i="1"/>
  <c r="AA428" i="30" s="1"/>
  <c r="AB1214" i="1"/>
  <c r="AB428" i="30" s="1"/>
  <c r="AC1214" i="1"/>
  <c r="AC428" i="30" s="1"/>
  <c r="C371" i="30"/>
  <c r="H371" i="30"/>
  <c r="I371" i="30"/>
  <c r="J371" i="30"/>
  <c r="K371" i="30"/>
  <c r="L371" i="30"/>
  <c r="M371" i="30"/>
  <c r="N371" i="30"/>
  <c r="O371" i="30"/>
  <c r="S371" i="30"/>
  <c r="T371" i="30"/>
  <c r="U371" i="30"/>
  <c r="V371" i="30"/>
  <c r="W371" i="30"/>
  <c r="X371" i="30"/>
  <c r="Y371" i="30"/>
  <c r="Z371" i="30"/>
  <c r="AA371" i="30"/>
  <c r="AB371" i="30"/>
  <c r="AC371" i="30"/>
  <c r="AD371" i="30"/>
  <c r="AL371" i="30"/>
  <c r="AM371" i="30"/>
  <c r="AN371" i="30"/>
  <c r="AO371" i="30"/>
  <c r="AP371" i="30"/>
  <c r="AQ371" i="30"/>
  <c r="AV371" i="30"/>
  <c r="BA371" i="30"/>
  <c r="T951" i="1"/>
  <c r="U951" i="1"/>
  <c r="W951" i="1"/>
  <c r="X951" i="1"/>
  <c r="Y951" i="1"/>
  <c r="Z951" i="1"/>
  <c r="AA951" i="1"/>
  <c r="AB951" i="1"/>
  <c r="AC951" i="1"/>
  <c r="AD951" i="1"/>
  <c r="AE951" i="1"/>
  <c r="AE949" i="1" s="1"/>
  <c r="AF951" i="1"/>
  <c r="AF949" i="1" s="1"/>
  <c r="AG951" i="1"/>
  <c r="AG949" i="1" s="1"/>
  <c r="AH951" i="1"/>
  <c r="AH949" i="1" s="1"/>
  <c r="AI951" i="1"/>
  <c r="AI949" i="1" s="1"/>
  <c r="AE865" i="1"/>
  <c r="AF865" i="1"/>
  <c r="AG865" i="1"/>
  <c r="AH865" i="1"/>
  <c r="AI865" i="1"/>
  <c r="F971" i="1"/>
  <c r="F377" i="30" s="1"/>
  <c r="W954" i="1"/>
  <c r="W356" i="30" s="1"/>
  <c r="X954" i="1"/>
  <c r="X356" i="30" s="1"/>
  <c r="Y954" i="1"/>
  <c r="Y356" i="30" s="1"/>
  <c r="Z954" i="1"/>
  <c r="Z356" i="30" s="1"/>
  <c r="AA954" i="1"/>
  <c r="AA356" i="30" s="1"/>
  <c r="AF1215" i="1" l="1"/>
  <c r="AF1064" i="1"/>
  <c r="AI1215" i="1"/>
  <c r="AI1064" i="1"/>
  <c r="AE1215" i="1"/>
  <c r="AE1064" i="1"/>
  <c r="AH1215" i="1"/>
  <c r="AH1064" i="1"/>
  <c r="AG1215" i="1"/>
  <c r="AG1064" i="1"/>
  <c r="AH1016" i="1"/>
  <c r="AG371" i="30"/>
  <c r="AG1016" i="1"/>
  <c r="AI371" i="30"/>
  <c r="AI1016" i="1"/>
  <c r="AE371" i="30"/>
  <c r="AE1016" i="1"/>
  <c r="AF1016" i="1"/>
  <c r="Y952" i="1"/>
  <c r="Y949" i="1"/>
  <c r="Y950" i="1" s="1"/>
  <c r="T952" i="1"/>
  <c r="T949" i="1"/>
  <c r="AB952" i="1"/>
  <c r="B454" i="61" s="1"/>
  <c r="AB949" i="1"/>
  <c r="AB950" i="1" s="1"/>
  <c r="AC952" i="1"/>
  <c r="AC949" i="1"/>
  <c r="AC950" i="1" s="1"/>
  <c r="X952" i="1"/>
  <c r="X949" i="1"/>
  <c r="X950" i="1" s="1"/>
  <c r="AA952" i="1"/>
  <c r="AA949" i="1"/>
  <c r="AA950" i="1" s="1"/>
  <c r="W952" i="1"/>
  <c r="W949" i="1"/>
  <c r="W950" i="1" s="1"/>
  <c r="AD1017" i="1"/>
  <c r="AD1019" i="1" s="1"/>
  <c r="AD949" i="1"/>
  <c r="Z1017" i="1"/>
  <c r="Z1019" i="1" s="1"/>
  <c r="Z949" i="1"/>
  <c r="Z950" i="1" s="1"/>
  <c r="U952" i="1"/>
  <c r="U949" i="1"/>
  <c r="AF371" i="30"/>
  <c r="Z1014" i="1"/>
  <c r="Z1015" i="1" s="1"/>
  <c r="Z378" i="30" s="1"/>
  <c r="Z952" i="1"/>
  <c r="AD952" i="1"/>
  <c r="AH371" i="30"/>
  <c r="C374" i="30"/>
  <c r="H374" i="30"/>
  <c r="I374" i="30"/>
  <c r="AE374" i="30"/>
  <c r="AF374" i="30"/>
  <c r="AG374" i="30"/>
  <c r="AH374" i="30"/>
  <c r="AI374" i="30"/>
  <c r="AJ374" i="30"/>
  <c r="AK374" i="30"/>
  <c r="AL374" i="30"/>
  <c r="AM374" i="30"/>
  <c r="BF374" i="30" s="1"/>
  <c r="AN374" i="30"/>
  <c r="AO374" i="30"/>
  <c r="AP374" i="30"/>
  <c r="AQ374" i="30"/>
  <c r="AV374" i="30"/>
  <c r="BA374" i="30"/>
  <c r="Q379" i="30"/>
  <c r="P379" i="30"/>
  <c r="O379" i="30"/>
  <c r="N379" i="30"/>
  <c r="M379" i="30"/>
  <c r="C375" i="30"/>
  <c r="H375" i="30"/>
  <c r="I375" i="30"/>
  <c r="J375" i="30"/>
  <c r="K375" i="30"/>
  <c r="L375" i="30"/>
  <c r="S375" i="30"/>
  <c r="V375" i="30"/>
  <c r="AJ375" i="30"/>
  <c r="AK375" i="30"/>
  <c r="AL375" i="30"/>
  <c r="AM375" i="30"/>
  <c r="BF375" i="30" s="1"/>
  <c r="AN375" i="30"/>
  <c r="AO375" i="30"/>
  <c r="AP375" i="30"/>
  <c r="AQ375" i="30"/>
  <c r="AV375" i="30"/>
  <c r="BA375" i="30"/>
  <c r="C376" i="30"/>
  <c r="H376" i="30"/>
  <c r="I376" i="30"/>
  <c r="J376" i="30"/>
  <c r="K376" i="30"/>
  <c r="L376" i="30"/>
  <c r="S376" i="30"/>
  <c r="T376" i="30"/>
  <c r="V376" i="30"/>
  <c r="W376" i="30"/>
  <c r="X376" i="30"/>
  <c r="Y376" i="30"/>
  <c r="Z376" i="30"/>
  <c r="AA376" i="30"/>
  <c r="AB376" i="30"/>
  <c r="AC376" i="30"/>
  <c r="AD376" i="30"/>
  <c r="AE376" i="30"/>
  <c r="AF376" i="30"/>
  <c r="AG376" i="30"/>
  <c r="AH376" i="30"/>
  <c r="AI376" i="30"/>
  <c r="AJ376" i="30"/>
  <c r="AK376" i="30"/>
  <c r="AL376" i="30"/>
  <c r="AM376" i="30"/>
  <c r="BF376" i="30" s="1"/>
  <c r="AN376" i="30"/>
  <c r="AO376" i="30"/>
  <c r="AP376" i="30"/>
  <c r="AQ376" i="30"/>
  <c r="AV376" i="30"/>
  <c r="BA376" i="30"/>
  <c r="U366" i="30"/>
  <c r="T366" i="30"/>
  <c r="F371" i="30"/>
  <c r="AH429" i="30" l="1"/>
  <c r="AH1216" i="1"/>
  <c r="AI429" i="30"/>
  <c r="AI1216" i="1"/>
  <c r="AG429" i="30"/>
  <c r="AG1216" i="1"/>
  <c r="AE429" i="30"/>
  <c r="AE1216" i="1"/>
  <c r="AF429" i="30"/>
  <c r="AF1216" i="1"/>
  <c r="BG372" i="30"/>
  <c r="AD355" i="30"/>
  <c r="AD1014" i="1"/>
  <c r="U950" i="1"/>
  <c r="U354" i="30" s="1"/>
  <c r="U355" i="30"/>
  <c r="AA355" i="30"/>
  <c r="AA354" i="30"/>
  <c r="AC354" i="30"/>
  <c r="AC355" i="30"/>
  <c r="T355" i="30"/>
  <c r="T950" i="1"/>
  <c r="T354" i="30" s="1"/>
  <c r="Z354" i="30"/>
  <c r="Z355" i="30"/>
  <c r="W355" i="30"/>
  <c r="W354" i="30"/>
  <c r="X355" i="30"/>
  <c r="X354" i="30"/>
  <c r="AB355" i="30"/>
  <c r="AB354" i="30"/>
  <c r="Y354" i="30"/>
  <c r="Y355" i="30"/>
  <c r="AA1017" i="1"/>
  <c r="AA1019" i="1" s="1"/>
  <c r="AA1014" i="1"/>
  <c r="AA1015" i="1" s="1"/>
  <c r="AA378" i="30" s="1"/>
  <c r="T1017" i="1"/>
  <c r="T1019" i="1" s="1"/>
  <c r="T1014" i="1"/>
  <c r="U1017" i="1"/>
  <c r="U1019" i="1" s="1"/>
  <c r="U1014" i="1"/>
  <c r="P1017" i="1"/>
  <c r="P1019" i="1" s="1"/>
  <c r="P1014" i="1"/>
  <c r="M1017" i="1"/>
  <c r="M1019" i="1" s="1"/>
  <c r="M1014" i="1"/>
  <c r="Q1017" i="1"/>
  <c r="Q1019" i="1" s="1"/>
  <c r="Q1014" i="1"/>
  <c r="N1017" i="1"/>
  <c r="N1019" i="1" s="1"/>
  <c r="N1014" i="1"/>
  <c r="R1017" i="1"/>
  <c r="R1019" i="1" s="1"/>
  <c r="R1014" i="1"/>
  <c r="AB1017" i="1"/>
  <c r="AB1019" i="1" s="1"/>
  <c r="AB1014" i="1"/>
  <c r="AB1015" i="1" s="1"/>
  <c r="AB378" i="30" s="1"/>
  <c r="X1017" i="1"/>
  <c r="X1019" i="1" s="1"/>
  <c r="X1014" i="1"/>
  <c r="X1015" i="1" s="1"/>
  <c r="X378" i="30" s="1"/>
  <c r="Y1017" i="1"/>
  <c r="Y1019" i="1" s="1"/>
  <c r="Y1014" i="1"/>
  <c r="Y1015" i="1" s="1"/>
  <c r="Y378" i="30" s="1"/>
  <c r="O1017" i="1"/>
  <c r="O1019" i="1" s="1"/>
  <c r="O1014" i="1"/>
  <c r="W1017" i="1"/>
  <c r="W1019" i="1" s="1"/>
  <c r="W1014" i="1"/>
  <c r="W1015" i="1" s="1"/>
  <c r="W378" i="30" s="1"/>
  <c r="AC1017" i="1"/>
  <c r="AC1019" i="1" s="1"/>
  <c r="AC1014" i="1"/>
  <c r="AC1015" i="1" s="1"/>
  <c r="AC378" i="30" s="1"/>
  <c r="C367" i="30" l="1"/>
  <c r="H367" i="30"/>
  <c r="I367" i="30"/>
  <c r="J367" i="30"/>
  <c r="K367" i="30"/>
  <c r="L367" i="30"/>
  <c r="M367" i="30"/>
  <c r="N367" i="30"/>
  <c r="O367" i="30"/>
  <c r="P367" i="30"/>
  <c r="Q367" i="30"/>
  <c r="R367" i="30"/>
  <c r="S367" i="30"/>
  <c r="T367" i="30"/>
  <c r="U367" i="30"/>
  <c r="V367" i="30"/>
  <c r="W367" i="30"/>
  <c r="X367" i="30"/>
  <c r="Y367" i="30"/>
  <c r="Z367" i="30"/>
  <c r="AA367" i="30"/>
  <c r="AB367" i="30"/>
  <c r="AC367" i="30"/>
  <c r="AD367" i="30"/>
  <c r="AL367" i="30"/>
  <c r="AM367" i="30"/>
  <c r="AN367" i="30"/>
  <c r="AO367" i="30"/>
  <c r="AP367" i="30"/>
  <c r="AQ367" i="30"/>
  <c r="AV367" i="30"/>
  <c r="BA367" i="30"/>
  <c r="G367" i="30"/>
  <c r="B996" i="1"/>
  <c r="B367" i="30" s="1"/>
  <c r="A996" i="1"/>
  <c r="A367" i="30" s="1"/>
  <c r="E996" i="1"/>
  <c r="E367" i="30" s="1"/>
  <c r="F996" i="1"/>
  <c r="F367" i="30" s="1"/>
  <c r="D12" i="57"/>
  <c r="D996" i="1" s="1"/>
  <c r="D367" i="30" s="1"/>
  <c r="C365" i="30"/>
  <c r="E365" i="30"/>
  <c r="F365" i="30"/>
  <c r="G365" i="30"/>
  <c r="H365" i="30"/>
  <c r="I365" i="30"/>
  <c r="J365" i="30"/>
  <c r="K365" i="30"/>
  <c r="L365" i="30"/>
  <c r="M365" i="30"/>
  <c r="N365" i="30"/>
  <c r="O365" i="30"/>
  <c r="P365" i="30"/>
  <c r="Q365" i="30"/>
  <c r="R365" i="30"/>
  <c r="S365" i="30"/>
  <c r="T365" i="30"/>
  <c r="U365" i="30"/>
  <c r="V365" i="30"/>
  <c r="W365" i="30"/>
  <c r="X365" i="30"/>
  <c r="Y365" i="30"/>
  <c r="Z365" i="30"/>
  <c r="AA365" i="30"/>
  <c r="AB365" i="30"/>
  <c r="AC365" i="30"/>
  <c r="AD365" i="30"/>
  <c r="AL365" i="30"/>
  <c r="AM365" i="30"/>
  <c r="AN365" i="30"/>
  <c r="AO365" i="30"/>
  <c r="AP365" i="30"/>
  <c r="AQ365" i="30"/>
  <c r="AV365" i="30"/>
  <c r="BA365" i="30"/>
  <c r="D10" i="57"/>
  <c r="D893" i="1" s="1"/>
  <c r="D365" i="30" s="1"/>
  <c r="BD893" i="1"/>
  <c r="BD365" i="30" s="1"/>
  <c r="A365" i="30"/>
  <c r="C361" i="30"/>
  <c r="H361" i="30"/>
  <c r="I361" i="30"/>
  <c r="J361" i="30"/>
  <c r="K361" i="30"/>
  <c r="L361" i="30"/>
  <c r="M361" i="30"/>
  <c r="N361" i="30"/>
  <c r="O361" i="30"/>
  <c r="P361" i="30"/>
  <c r="Q361" i="30"/>
  <c r="R361" i="30"/>
  <c r="S361" i="30"/>
  <c r="T361" i="30"/>
  <c r="U361" i="30"/>
  <c r="V361" i="30"/>
  <c r="W361" i="30"/>
  <c r="X361" i="30"/>
  <c r="Y361" i="30"/>
  <c r="Z361" i="30"/>
  <c r="AA361" i="30"/>
  <c r="AB361" i="30"/>
  <c r="AC361" i="30"/>
  <c r="AD361" i="30"/>
  <c r="AL361" i="30"/>
  <c r="AM361" i="30"/>
  <c r="AN361" i="30"/>
  <c r="AO361" i="30"/>
  <c r="AP361" i="30"/>
  <c r="AQ361" i="30"/>
  <c r="AV361" i="30"/>
  <c r="BA361" i="30"/>
  <c r="C370" i="30"/>
  <c r="H370" i="30"/>
  <c r="I370" i="30"/>
  <c r="J370" i="30"/>
  <c r="K370" i="30"/>
  <c r="L370" i="30"/>
  <c r="AL370" i="30"/>
  <c r="AM370" i="30"/>
  <c r="AN370" i="30"/>
  <c r="AO370" i="30"/>
  <c r="AP370" i="30"/>
  <c r="AQ370" i="30"/>
  <c r="AV370" i="30"/>
  <c r="BA370" i="30"/>
  <c r="C366" i="30"/>
  <c r="H366" i="30"/>
  <c r="I366" i="30"/>
  <c r="J366" i="30"/>
  <c r="K366" i="30"/>
  <c r="L366" i="30"/>
  <c r="M366" i="30"/>
  <c r="N366" i="30"/>
  <c r="O366" i="30"/>
  <c r="P366" i="30"/>
  <c r="Q366" i="30"/>
  <c r="R366" i="30"/>
  <c r="S366" i="30"/>
  <c r="V366" i="30"/>
  <c r="AL366" i="30"/>
  <c r="AM366" i="30"/>
  <c r="AN366" i="30"/>
  <c r="AO366" i="30"/>
  <c r="AP366" i="30"/>
  <c r="AQ366" i="30"/>
  <c r="AV366" i="30"/>
  <c r="BA366" i="30"/>
  <c r="C369" i="30"/>
  <c r="H369" i="30"/>
  <c r="I369" i="30"/>
  <c r="J369" i="30"/>
  <c r="K369" i="30"/>
  <c r="L369" i="30"/>
  <c r="M369" i="30"/>
  <c r="N369" i="30"/>
  <c r="O369" i="30"/>
  <c r="P369" i="30"/>
  <c r="Q369" i="30"/>
  <c r="R369" i="30"/>
  <c r="S369" i="30"/>
  <c r="T369" i="30"/>
  <c r="U369" i="30"/>
  <c r="V369" i="30"/>
  <c r="W369" i="30"/>
  <c r="X369" i="30"/>
  <c r="Y369" i="30"/>
  <c r="Z369" i="30"/>
  <c r="AA369" i="30"/>
  <c r="AB369" i="30"/>
  <c r="AC369" i="30"/>
  <c r="AD369" i="30"/>
  <c r="AL369" i="30"/>
  <c r="AM369" i="30"/>
  <c r="AN369" i="30"/>
  <c r="AO369" i="30"/>
  <c r="AP369" i="30"/>
  <c r="AQ369" i="30"/>
  <c r="AV369" i="30"/>
  <c r="BA369" i="30"/>
  <c r="C368" i="30"/>
  <c r="H368" i="30"/>
  <c r="I368" i="30"/>
  <c r="J368" i="30"/>
  <c r="K368" i="30"/>
  <c r="L368" i="30"/>
  <c r="M368" i="30"/>
  <c r="N368" i="30"/>
  <c r="O368" i="30"/>
  <c r="P368" i="30"/>
  <c r="Q368" i="30"/>
  <c r="R368" i="30"/>
  <c r="S368" i="30"/>
  <c r="T368" i="30"/>
  <c r="U368" i="30"/>
  <c r="V368" i="30"/>
  <c r="W368" i="30"/>
  <c r="X368" i="30"/>
  <c r="Y368" i="30"/>
  <c r="Z368" i="30"/>
  <c r="AA368" i="30"/>
  <c r="AB368" i="30"/>
  <c r="AC368" i="30"/>
  <c r="AD368" i="30"/>
  <c r="AL368" i="30"/>
  <c r="AM368" i="30"/>
  <c r="AN368" i="30"/>
  <c r="AO368" i="30"/>
  <c r="AP368" i="30"/>
  <c r="AQ368" i="30"/>
  <c r="AV368" i="30"/>
  <c r="BA368" i="30"/>
  <c r="C363" i="30"/>
  <c r="H363" i="30"/>
  <c r="I363" i="30"/>
  <c r="J363" i="30"/>
  <c r="K363" i="30"/>
  <c r="L363" i="30"/>
  <c r="M363" i="30"/>
  <c r="N363" i="30"/>
  <c r="O363" i="30"/>
  <c r="P363" i="30"/>
  <c r="Q363" i="30"/>
  <c r="R363" i="30"/>
  <c r="S363" i="30"/>
  <c r="T363" i="30"/>
  <c r="U363" i="30"/>
  <c r="V363" i="30"/>
  <c r="W363" i="30"/>
  <c r="X363" i="30"/>
  <c r="Y363" i="30"/>
  <c r="Z363" i="30"/>
  <c r="AA363" i="30"/>
  <c r="AB363" i="30"/>
  <c r="AC363" i="30"/>
  <c r="AD363" i="30"/>
  <c r="AL363" i="30"/>
  <c r="AM363" i="30"/>
  <c r="AN363" i="30"/>
  <c r="AO363" i="30"/>
  <c r="AP363" i="30"/>
  <c r="AQ363" i="30"/>
  <c r="AV363" i="30"/>
  <c r="BA363" i="30"/>
  <c r="C362" i="30"/>
  <c r="H362" i="30"/>
  <c r="I362" i="30"/>
  <c r="J362" i="30"/>
  <c r="K362" i="30"/>
  <c r="L362" i="30"/>
  <c r="M362" i="30"/>
  <c r="N362" i="30"/>
  <c r="O362" i="30"/>
  <c r="P362" i="30"/>
  <c r="Q362" i="30"/>
  <c r="R362" i="30"/>
  <c r="S362" i="30"/>
  <c r="T362" i="30"/>
  <c r="U362" i="30"/>
  <c r="V362" i="30"/>
  <c r="W362" i="30"/>
  <c r="X362" i="30"/>
  <c r="Y362" i="30"/>
  <c r="Z362" i="30"/>
  <c r="AA362" i="30"/>
  <c r="AB362" i="30"/>
  <c r="AC362" i="30"/>
  <c r="AD362" i="30"/>
  <c r="AL362" i="30"/>
  <c r="AM362" i="30"/>
  <c r="AN362" i="30"/>
  <c r="AO362" i="30"/>
  <c r="AP362" i="30"/>
  <c r="AQ362" i="30"/>
  <c r="AV362" i="30"/>
  <c r="BA362" i="30"/>
  <c r="C364" i="30"/>
  <c r="H364" i="30"/>
  <c r="I364" i="30"/>
  <c r="J364" i="30"/>
  <c r="K364" i="30"/>
  <c r="L364" i="30"/>
  <c r="M364" i="30"/>
  <c r="N364" i="30"/>
  <c r="O364" i="30"/>
  <c r="P364" i="30"/>
  <c r="Q364" i="30"/>
  <c r="R364" i="30"/>
  <c r="S364" i="30"/>
  <c r="T364" i="30"/>
  <c r="U364" i="30"/>
  <c r="V364" i="30"/>
  <c r="W364" i="30"/>
  <c r="X364" i="30"/>
  <c r="Y364" i="30"/>
  <c r="Z364" i="30"/>
  <c r="AA364" i="30"/>
  <c r="AB364" i="30"/>
  <c r="AC364" i="30"/>
  <c r="AD364" i="30"/>
  <c r="AL364" i="30"/>
  <c r="AM364" i="30"/>
  <c r="AN364" i="30"/>
  <c r="AO364" i="30"/>
  <c r="AP364" i="30"/>
  <c r="AQ364" i="30"/>
  <c r="AV364" i="30"/>
  <c r="BA364" i="30"/>
  <c r="BH364" i="30"/>
  <c r="BI364" i="30"/>
  <c r="BJ364" i="30"/>
  <c r="BK364" i="30"/>
  <c r="BL364" i="30"/>
  <c r="BM364" i="30"/>
  <c r="BN364" i="30"/>
  <c r="BO364" i="30"/>
  <c r="BP364" i="30"/>
  <c r="BQ364" i="30"/>
  <c r="BR364" i="30"/>
  <c r="BS364" i="30"/>
  <c r="BT364" i="30"/>
  <c r="BU364" i="30"/>
  <c r="BV364" i="30"/>
  <c r="BW364" i="30"/>
  <c r="BX364" i="30"/>
  <c r="BY364" i="30"/>
  <c r="BZ364" i="30"/>
  <c r="CA364" i="30"/>
  <c r="CB364" i="30"/>
  <c r="CC364" i="30"/>
  <c r="CD364" i="30"/>
  <c r="CE364" i="30"/>
  <c r="CF364" i="30"/>
  <c r="CG364" i="30"/>
  <c r="CH364" i="30"/>
  <c r="CI364" i="30"/>
  <c r="CJ364" i="30"/>
  <c r="CK364" i="30"/>
  <c r="CL364" i="30"/>
  <c r="CM364" i="30"/>
  <c r="CN364" i="30"/>
  <c r="CO364" i="30"/>
  <c r="CP364" i="30"/>
  <c r="CQ364" i="30"/>
  <c r="CR364" i="30"/>
  <c r="CS364" i="30"/>
  <c r="CT364" i="30"/>
  <c r="CU364" i="30"/>
  <c r="CV364" i="30"/>
  <c r="CW364" i="30"/>
  <c r="CX364" i="30"/>
  <c r="CY364" i="30"/>
  <c r="CZ364" i="30"/>
  <c r="DA364" i="30"/>
  <c r="DB364" i="30"/>
  <c r="DC364" i="30"/>
  <c r="DD364" i="30"/>
  <c r="DE364" i="30"/>
  <c r="DF364" i="30"/>
  <c r="DG364" i="30"/>
  <c r="DH364" i="30"/>
  <c r="DI364" i="30"/>
  <c r="DJ364" i="30"/>
  <c r="DK364" i="30"/>
  <c r="DL364" i="30"/>
  <c r="DM364" i="30"/>
  <c r="DN364" i="30"/>
  <c r="DO364" i="30"/>
  <c r="DP364" i="30"/>
  <c r="DQ364" i="30"/>
  <c r="DR364" i="30"/>
  <c r="DS364" i="30"/>
  <c r="DT364" i="30"/>
  <c r="DU364" i="30"/>
  <c r="DV364" i="30"/>
  <c r="DW364" i="30"/>
  <c r="DX364" i="30"/>
  <c r="DY364" i="30"/>
  <c r="DZ364" i="30"/>
  <c r="EA364" i="30"/>
  <c r="EB364" i="30"/>
  <c r="EC364" i="30"/>
  <c r="ED364" i="30"/>
  <c r="EE364" i="30"/>
  <c r="EF364" i="30"/>
  <c r="EG364" i="30"/>
  <c r="EH364" i="30"/>
  <c r="EI364" i="30"/>
  <c r="EJ364" i="30"/>
  <c r="EK364" i="30"/>
  <c r="EL364" i="30"/>
  <c r="EM364" i="30"/>
  <c r="EN364" i="30"/>
  <c r="EO364" i="30"/>
  <c r="EP364" i="30"/>
  <c r="EQ364" i="30"/>
  <c r="ER364" i="30"/>
  <c r="ES364" i="30"/>
  <c r="ET364" i="30"/>
  <c r="EU364" i="30"/>
  <c r="EV364" i="30"/>
  <c r="EW364" i="30"/>
  <c r="EX364" i="30"/>
  <c r="EY364" i="30"/>
  <c r="EZ364" i="30"/>
  <c r="FA364" i="30"/>
  <c r="FB364" i="30"/>
  <c r="FC364" i="30"/>
  <c r="FD364" i="30"/>
  <c r="FE364" i="30"/>
  <c r="FF364" i="30"/>
  <c r="FG364" i="30"/>
  <c r="FH364" i="30"/>
  <c r="FI364" i="30"/>
  <c r="FJ364" i="30"/>
  <c r="FK364" i="30"/>
  <c r="FL364" i="30"/>
  <c r="FM364" i="30"/>
  <c r="FN364" i="30"/>
  <c r="FO364" i="30"/>
  <c r="FP364" i="30"/>
  <c r="FQ364" i="30"/>
  <c r="FR364" i="30"/>
  <c r="FS364" i="30"/>
  <c r="FT364" i="30"/>
  <c r="FU364" i="30"/>
  <c r="FV364" i="30"/>
  <c r="FW364" i="30"/>
  <c r="FX364" i="30"/>
  <c r="FY364" i="30"/>
  <c r="FZ364" i="30"/>
  <c r="GA364" i="30"/>
  <c r="GB364" i="30"/>
  <c r="GC364" i="30"/>
  <c r="GD364" i="30"/>
  <c r="GE364" i="30"/>
  <c r="GF364" i="30"/>
  <c r="GG364" i="30"/>
  <c r="GH364" i="30"/>
  <c r="GI364" i="30"/>
  <c r="GJ364" i="30"/>
  <c r="GK364" i="30"/>
  <c r="GL364" i="30"/>
  <c r="GM364" i="30"/>
  <c r="GN364" i="30"/>
  <c r="GO364" i="30"/>
  <c r="GP364" i="30"/>
  <c r="GQ364" i="30"/>
  <c r="GR364" i="30"/>
  <c r="GS364" i="30"/>
  <c r="GT364" i="30"/>
  <c r="GU364" i="30"/>
  <c r="GV364" i="30"/>
  <c r="GW364" i="30"/>
  <c r="GX364" i="30"/>
  <c r="GY364" i="30"/>
  <c r="GZ364" i="30"/>
  <c r="HA364" i="30"/>
  <c r="HB364" i="30"/>
  <c r="HC364" i="30"/>
  <c r="HD364" i="30"/>
  <c r="HE364" i="30"/>
  <c r="HF364" i="30"/>
  <c r="HG364" i="30"/>
  <c r="HH364" i="30"/>
  <c r="HI364" i="30"/>
  <c r="HJ364" i="30"/>
  <c r="HK364" i="30"/>
  <c r="HL364" i="30"/>
  <c r="HM364" i="30"/>
  <c r="HN364" i="30"/>
  <c r="HO364" i="30"/>
  <c r="HP364" i="30"/>
  <c r="HQ364" i="30"/>
  <c r="HR364" i="30"/>
  <c r="HS364" i="30"/>
  <c r="HT364" i="30"/>
  <c r="HU364" i="30"/>
  <c r="HV364" i="30"/>
  <c r="HW364" i="30"/>
  <c r="HX364" i="30"/>
  <c r="HY364" i="30"/>
  <c r="HZ364" i="30"/>
  <c r="IA364" i="30"/>
  <c r="IB364" i="30"/>
  <c r="IC364" i="30"/>
  <c r="ID364" i="30"/>
  <c r="IE364" i="30"/>
  <c r="IF364" i="30"/>
  <c r="IG364" i="30"/>
  <c r="IH364" i="30"/>
  <c r="II364" i="30"/>
  <c r="IJ364" i="30"/>
  <c r="IK364" i="30"/>
  <c r="IL364" i="30"/>
  <c r="IM364" i="30"/>
  <c r="IN364" i="30"/>
  <c r="IO364" i="30"/>
  <c r="IP364" i="30"/>
  <c r="IQ364" i="30"/>
  <c r="IR364" i="30"/>
  <c r="IS364" i="30"/>
  <c r="IT364" i="30"/>
  <c r="IU364" i="30"/>
  <c r="IV364" i="30"/>
  <c r="IW364" i="30"/>
  <c r="IX364" i="30"/>
  <c r="IY364" i="30"/>
  <c r="IZ364" i="30"/>
  <c r="JA364" i="30"/>
  <c r="JB364" i="30"/>
  <c r="JC364" i="30"/>
  <c r="JD364" i="30"/>
  <c r="JE364" i="30"/>
  <c r="JF364" i="30"/>
  <c r="JG364" i="30"/>
  <c r="JH364" i="30"/>
  <c r="JI364" i="30"/>
  <c r="JJ364" i="30"/>
  <c r="JK364" i="30"/>
  <c r="JL364" i="30"/>
  <c r="JM364" i="30"/>
  <c r="JN364" i="30"/>
  <c r="JO364" i="30"/>
  <c r="JP364" i="30"/>
  <c r="JQ364" i="30"/>
  <c r="JR364" i="30"/>
  <c r="JS364" i="30"/>
  <c r="JT364" i="30"/>
  <c r="JU364" i="30"/>
  <c r="JV364" i="30"/>
  <c r="JW364" i="30"/>
  <c r="JX364" i="30"/>
  <c r="JY364" i="30"/>
  <c r="JZ364" i="30"/>
  <c r="KA364" i="30"/>
  <c r="KB364" i="30"/>
  <c r="KC364" i="30"/>
  <c r="KD364" i="30"/>
  <c r="KE364" i="30"/>
  <c r="KF364" i="30"/>
  <c r="KG364" i="30"/>
  <c r="KH364" i="30"/>
  <c r="KI364" i="30"/>
  <c r="KJ364" i="30"/>
  <c r="KK364" i="30"/>
  <c r="KL364" i="30"/>
  <c r="KM364" i="30"/>
  <c r="KN364" i="30"/>
  <c r="KO364" i="30"/>
  <c r="KP364" i="30"/>
  <c r="KQ364" i="30"/>
  <c r="KR364" i="30"/>
  <c r="KS364" i="30"/>
  <c r="KT364" i="30"/>
  <c r="KU364" i="30"/>
  <c r="KV364" i="30"/>
  <c r="KW364" i="30"/>
  <c r="KX364" i="30"/>
  <c r="KY364" i="30"/>
  <c r="KZ364" i="30"/>
  <c r="LA364" i="30"/>
  <c r="LB364" i="30"/>
  <c r="LC364" i="30"/>
  <c r="LD364" i="30"/>
  <c r="LE364" i="30"/>
  <c r="LF364" i="30"/>
  <c r="LG364" i="30"/>
  <c r="LH364" i="30"/>
  <c r="LI364" i="30"/>
  <c r="LJ364" i="30"/>
  <c r="LK364" i="30"/>
  <c r="LL364" i="30"/>
  <c r="LM364" i="30"/>
  <c r="LN364" i="30"/>
  <c r="LO364" i="30"/>
  <c r="LP364" i="30"/>
  <c r="LQ364" i="30"/>
  <c r="LR364" i="30"/>
  <c r="LS364" i="30"/>
  <c r="LT364" i="30"/>
  <c r="LU364" i="30"/>
  <c r="LV364" i="30"/>
  <c r="LW364" i="30"/>
  <c r="LX364" i="30"/>
  <c r="LY364" i="30"/>
  <c r="LZ364" i="30"/>
  <c r="MA364" i="30"/>
  <c r="MB364" i="30"/>
  <c r="MC364" i="30"/>
  <c r="MD364" i="30"/>
  <c r="ME364" i="30"/>
  <c r="MF364" i="30"/>
  <c r="MG364" i="30"/>
  <c r="MH364" i="30"/>
  <c r="MI364" i="30"/>
  <c r="MJ364" i="30"/>
  <c r="MK364" i="30"/>
  <c r="ML364" i="30"/>
  <c r="MM364" i="30"/>
  <c r="MN364" i="30"/>
  <c r="MO364" i="30"/>
  <c r="MP364" i="30"/>
  <c r="MQ364" i="30"/>
  <c r="MR364" i="30"/>
  <c r="MS364" i="30"/>
  <c r="MT364" i="30"/>
  <c r="MU364" i="30"/>
  <c r="MV364" i="30"/>
  <c r="MW364" i="30"/>
  <c r="MX364" i="30"/>
  <c r="MY364" i="30"/>
  <c r="MZ364" i="30"/>
  <c r="NA364" i="30"/>
  <c r="NB364" i="30"/>
  <c r="NC364" i="30"/>
  <c r="ND364" i="30"/>
  <c r="NE364" i="30"/>
  <c r="NF364" i="30"/>
  <c r="NG364" i="30"/>
  <c r="NH364" i="30"/>
  <c r="NI364" i="30"/>
  <c r="NJ364" i="30"/>
  <c r="NK364" i="30"/>
  <c r="NL364" i="30"/>
  <c r="NM364" i="30"/>
  <c r="NN364" i="30"/>
  <c r="NO364" i="30"/>
  <c r="NP364" i="30"/>
  <c r="NQ364" i="30"/>
  <c r="NR364" i="30"/>
  <c r="NS364" i="30"/>
  <c r="NT364" i="30"/>
  <c r="NU364" i="30"/>
  <c r="NV364" i="30"/>
  <c r="NW364" i="30"/>
  <c r="NX364" i="30"/>
  <c r="NY364" i="30"/>
  <c r="NZ364" i="30"/>
  <c r="OA364" i="30"/>
  <c r="OB364" i="30"/>
  <c r="OC364" i="30"/>
  <c r="OD364" i="30"/>
  <c r="OE364" i="30"/>
  <c r="OF364" i="30"/>
  <c r="OG364" i="30"/>
  <c r="OH364" i="30"/>
  <c r="OI364" i="30"/>
  <c r="OJ364" i="30"/>
  <c r="OK364" i="30"/>
  <c r="OL364" i="30"/>
  <c r="OM364" i="30"/>
  <c r="ON364" i="30"/>
  <c r="OO364" i="30"/>
  <c r="OP364" i="30"/>
  <c r="OQ364" i="30"/>
  <c r="OR364" i="30"/>
  <c r="OS364" i="30"/>
  <c r="OT364" i="30"/>
  <c r="OU364" i="30"/>
  <c r="OV364" i="30"/>
  <c r="OW364" i="30"/>
  <c r="OX364" i="30"/>
  <c r="OY364" i="30"/>
  <c r="OZ364" i="30"/>
  <c r="PA364" i="30"/>
  <c r="PB364" i="30"/>
  <c r="PC364" i="30"/>
  <c r="PD364" i="30"/>
  <c r="PE364" i="30"/>
  <c r="PF364" i="30"/>
  <c r="PG364" i="30"/>
  <c r="PH364" i="30"/>
  <c r="PI364" i="30"/>
  <c r="PJ364" i="30"/>
  <c r="PK364" i="30"/>
  <c r="PL364" i="30"/>
  <c r="PM364" i="30"/>
  <c r="PN364" i="30"/>
  <c r="PO364" i="30"/>
  <c r="PP364" i="30"/>
  <c r="PQ364" i="30"/>
  <c r="PR364" i="30"/>
  <c r="PS364" i="30"/>
  <c r="PT364" i="30"/>
  <c r="PU364" i="30"/>
  <c r="PV364" i="30"/>
  <c r="PW364" i="30"/>
  <c r="PX364" i="30"/>
  <c r="PY364" i="30"/>
  <c r="PZ364" i="30"/>
  <c r="QA364" i="30"/>
  <c r="QB364" i="30"/>
  <c r="QC364" i="30"/>
  <c r="QD364" i="30"/>
  <c r="QE364" i="30"/>
  <c r="QF364" i="30"/>
  <c r="QG364" i="30"/>
  <c r="QH364" i="30"/>
  <c r="QI364" i="30"/>
  <c r="QJ364" i="30"/>
  <c r="QK364" i="30"/>
  <c r="QL364" i="30"/>
  <c r="QM364" i="30"/>
  <c r="QN364" i="30"/>
  <c r="QO364" i="30"/>
  <c r="QP364" i="30"/>
  <c r="QQ364" i="30"/>
  <c r="QR364" i="30"/>
  <c r="QS364" i="30"/>
  <c r="QT364" i="30"/>
  <c r="QU364" i="30"/>
  <c r="QV364" i="30"/>
  <c r="QW364" i="30"/>
  <c r="QX364" i="30"/>
  <c r="QY364" i="30"/>
  <c r="QZ364" i="30"/>
  <c r="RA364" i="30"/>
  <c r="RB364" i="30"/>
  <c r="RC364" i="30"/>
  <c r="RD364" i="30"/>
  <c r="RE364" i="30"/>
  <c r="RF364" i="30"/>
  <c r="RG364" i="30"/>
  <c r="RH364" i="30"/>
  <c r="RI364" i="30"/>
  <c r="RJ364" i="30"/>
  <c r="RK364" i="30"/>
  <c r="RL364" i="30"/>
  <c r="RM364" i="30"/>
  <c r="RN364" i="30"/>
  <c r="RO364" i="30"/>
  <c r="RP364" i="30"/>
  <c r="RQ364" i="30"/>
  <c r="RR364" i="30"/>
  <c r="RS364" i="30"/>
  <c r="RT364" i="30"/>
  <c r="RU364" i="30"/>
  <c r="RV364" i="30"/>
  <c r="RW364" i="30"/>
  <c r="RX364" i="30"/>
  <c r="RY364" i="30"/>
  <c r="RZ364" i="30"/>
  <c r="SA364" i="30"/>
  <c r="SB364" i="30"/>
  <c r="SC364" i="30"/>
  <c r="SD364" i="30"/>
  <c r="SE364" i="30"/>
  <c r="SF364" i="30"/>
  <c r="SG364" i="30"/>
  <c r="SH364" i="30"/>
  <c r="SI364" i="30"/>
  <c r="SJ364" i="30"/>
  <c r="SK364" i="30"/>
  <c r="SL364" i="30"/>
  <c r="SM364" i="30"/>
  <c r="SN364" i="30"/>
  <c r="SO364" i="30"/>
  <c r="SP364" i="30"/>
  <c r="SQ364" i="30"/>
  <c r="SR364" i="30"/>
  <c r="SS364" i="30"/>
  <c r="ST364" i="30"/>
  <c r="SU364" i="30"/>
  <c r="SV364" i="30"/>
  <c r="SW364" i="30"/>
  <c r="SX364" i="30"/>
  <c r="SY364" i="30"/>
  <c r="SZ364" i="30"/>
  <c r="TA364" i="30"/>
  <c r="TB364" i="30"/>
  <c r="TC364" i="30"/>
  <c r="TD364" i="30"/>
  <c r="TE364" i="30"/>
  <c r="TF364" i="30"/>
  <c r="TG364" i="30"/>
  <c r="TH364" i="30"/>
  <c r="TI364" i="30"/>
  <c r="TJ364" i="30"/>
  <c r="TK364" i="30"/>
  <c r="TL364" i="30"/>
  <c r="TM364" i="30"/>
  <c r="TN364" i="30"/>
  <c r="TO364" i="30"/>
  <c r="TP364" i="30"/>
  <c r="TQ364" i="30"/>
  <c r="TR364" i="30"/>
  <c r="TS364" i="30"/>
  <c r="TT364" i="30"/>
  <c r="TU364" i="30"/>
  <c r="TV364" i="30"/>
  <c r="TW364" i="30"/>
  <c r="TX364" i="30"/>
  <c r="TY364" i="30"/>
  <c r="TZ364" i="30"/>
  <c r="UA364" i="30"/>
  <c r="UB364" i="30"/>
  <c r="UC364" i="30"/>
  <c r="UD364" i="30"/>
  <c r="UE364" i="30"/>
  <c r="UF364" i="30"/>
  <c r="UG364" i="30"/>
  <c r="UH364" i="30"/>
  <c r="UI364" i="30"/>
  <c r="UJ364" i="30"/>
  <c r="UK364" i="30"/>
  <c r="UL364" i="30"/>
  <c r="UM364" i="30"/>
  <c r="UN364" i="30"/>
  <c r="UO364" i="30"/>
  <c r="UP364" i="30"/>
  <c r="UQ364" i="30"/>
  <c r="UR364" i="30"/>
  <c r="US364" i="30"/>
  <c r="UT364" i="30"/>
  <c r="UU364" i="30"/>
  <c r="UV364" i="30"/>
  <c r="UW364" i="30"/>
  <c r="UX364" i="30"/>
  <c r="UY364" i="30"/>
  <c r="UZ364" i="30"/>
  <c r="VA364" i="30"/>
  <c r="VB364" i="30"/>
  <c r="VC364" i="30"/>
  <c r="VD364" i="30"/>
  <c r="VE364" i="30"/>
  <c r="VF364" i="30"/>
  <c r="VG364" i="30"/>
  <c r="VH364" i="30"/>
  <c r="VI364" i="30"/>
  <c r="VJ364" i="30"/>
  <c r="VK364" i="30"/>
  <c r="VL364" i="30"/>
  <c r="VM364" i="30"/>
  <c r="VN364" i="30"/>
  <c r="VO364" i="30"/>
  <c r="VP364" i="30"/>
  <c r="VQ364" i="30"/>
  <c r="VR364" i="30"/>
  <c r="VS364" i="30"/>
  <c r="VT364" i="30"/>
  <c r="VU364" i="30"/>
  <c r="VV364" i="30"/>
  <c r="VW364" i="30"/>
  <c r="VX364" i="30"/>
  <c r="VY364" i="30"/>
  <c r="VZ364" i="30"/>
  <c r="WA364" i="30"/>
  <c r="WB364" i="30"/>
  <c r="WC364" i="30"/>
  <c r="WD364" i="30"/>
  <c r="WE364" i="30"/>
  <c r="WF364" i="30"/>
  <c r="WG364" i="30"/>
  <c r="WH364" i="30"/>
  <c r="WI364" i="30"/>
  <c r="WJ364" i="30"/>
  <c r="WK364" i="30"/>
  <c r="WL364" i="30"/>
  <c r="WM364" i="30"/>
  <c r="WN364" i="30"/>
  <c r="WO364" i="30"/>
  <c r="WP364" i="30"/>
  <c r="WQ364" i="30"/>
  <c r="WR364" i="30"/>
  <c r="WS364" i="30"/>
  <c r="WT364" i="30"/>
  <c r="WU364" i="30"/>
  <c r="WV364" i="30"/>
  <c r="WW364" i="30"/>
  <c r="WX364" i="30"/>
  <c r="WY364" i="30"/>
  <c r="WZ364" i="30"/>
  <c r="XA364" i="30"/>
  <c r="XB364" i="30"/>
  <c r="XC364" i="30"/>
  <c r="XD364" i="30"/>
  <c r="XE364" i="30"/>
  <c r="XF364" i="30"/>
  <c r="XG364" i="30"/>
  <c r="XH364" i="30"/>
  <c r="XI364" i="30"/>
  <c r="XJ364" i="30"/>
  <c r="XK364" i="30"/>
  <c r="XL364" i="30"/>
  <c r="XM364" i="30"/>
  <c r="XN364" i="30"/>
  <c r="XO364" i="30"/>
  <c r="XP364" i="30"/>
  <c r="XQ364" i="30"/>
  <c r="XR364" i="30"/>
  <c r="XS364" i="30"/>
  <c r="XT364" i="30"/>
  <c r="XU364" i="30"/>
  <c r="XV364" i="30"/>
  <c r="XW364" i="30"/>
  <c r="XX364" i="30"/>
  <c r="XY364" i="30"/>
  <c r="XZ364" i="30"/>
  <c r="YA364" i="30"/>
  <c r="YB364" i="30"/>
  <c r="YC364" i="30"/>
  <c r="YD364" i="30"/>
  <c r="YE364" i="30"/>
  <c r="YF364" i="30"/>
  <c r="YG364" i="30"/>
  <c r="YH364" i="30"/>
  <c r="YI364" i="30"/>
  <c r="YJ364" i="30"/>
  <c r="YK364" i="30"/>
  <c r="YL364" i="30"/>
  <c r="YM364" i="30"/>
  <c r="YN364" i="30"/>
  <c r="YO364" i="30"/>
  <c r="YP364" i="30"/>
  <c r="YQ364" i="30"/>
  <c r="YR364" i="30"/>
  <c r="YS364" i="30"/>
  <c r="YT364" i="30"/>
  <c r="YU364" i="30"/>
  <c r="YV364" i="30"/>
  <c r="YW364" i="30"/>
  <c r="YX364" i="30"/>
  <c r="YY364" i="30"/>
  <c r="YZ364" i="30"/>
  <c r="ZA364" i="30"/>
  <c r="ZB364" i="30"/>
  <c r="ZC364" i="30"/>
  <c r="ZD364" i="30"/>
  <c r="ZE364" i="30"/>
  <c r="ZF364" i="30"/>
  <c r="ZG364" i="30"/>
  <c r="ZH364" i="30"/>
  <c r="ZI364" i="30"/>
  <c r="ZJ364" i="30"/>
  <c r="ZK364" i="30"/>
  <c r="ZL364" i="30"/>
  <c r="ZM364" i="30"/>
  <c r="ZN364" i="30"/>
  <c r="ZO364" i="30"/>
  <c r="ZP364" i="30"/>
  <c r="ZQ364" i="30"/>
  <c r="ZR364" i="30"/>
  <c r="ZS364" i="30"/>
  <c r="ZT364" i="30"/>
  <c r="ZU364" i="30"/>
  <c r="ZV364" i="30"/>
  <c r="ZW364" i="30"/>
  <c r="ZX364" i="30"/>
  <c r="ZY364" i="30"/>
  <c r="ZZ364" i="30"/>
  <c r="AAA364" i="30"/>
  <c r="AAB364" i="30"/>
  <c r="AAC364" i="30"/>
  <c r="AAD364" i="30"/>
  <c r="AAE364" i="30"/>
  <c r="AAF364" i="30"/>
  <c r="AAG364" i="30"/>
  <c r="AAH364" i="30"/>
  <c r="AAI364" i="30"/>
  <c r="AAJ364" i="30"/>
  <c r="AAK364" i="30"/>
  <c r="AAL364" i="30"/>
  <c r="AAM364" i="30"/>
  <c r="AAN364" i="30"/>
  <c r="AAO364" i="30"/>
  <c r="AAP364" i="30"/>
  <c r="AAQ364" i="30"/>
  <c r="AAR364" i="30"/>
  <c r="AAS364" i="30"/>
  <c r="AAT364" i="30"/>
  <c r="AAU364" i="30"/>
  <c r="AAV364" i="30"/>
  <c r="AAW364" i="30"/>
  <c r="AAX364" i="30"/>
  <c r="AAY364" i="30"/>
  <c r="AAZ364" i="30"/>
  <c r="ABA364" i="30"/>
  <c r="ABB364" i="30"/>
  <c r="ABC364" i="30"/>
  <c r="ABD364" i="30"/>
  <c r="ABE364" i="30"/>
  <c r="ABF364" i="30"/>
  <c r="ABG364" i="30"/>
  <c r="ABH364" i="30"/>
  <c r="ABI364" i="30"/>
  <c r="ABJ364" i="30"/>
  <c r="ABK364" i="30"/>
  <c r="ABL364" i="30"/>
  <c r="ABM364" i="30"/>
  <c r="ABN364" i="30"/>
  <c r="ABO364" i="30"/>
  <c r="ABP364" i="30"/>
  <c r="ABQ364" i="30"/>
  <c r="ABR364" i="30"/>
  <c r="ABS364" i="30"/>
  <c r="ABT364" i="30"/>
  <c r="ABU364" i="30"/>
  <c r="ABV364" i="30"/>
  <c r="ABW364" i="30"/>
  <c r="ABX364" i="30"/>
  <c r="ABY364" i="30"/>
  <c r="ABZ364" i="30"/>
  <c r="ACA364" i="30"/>
  <c r="ACB364" i="30"/>
  <c r="ACC364" i="30"/>
  <c r="ACD364" i="30"/>
  <c r="ACE364" i="30"/>
  <c r="ACF364" i="30"/>
  <c r="ACG364" i="30"/>
  <c r="ACH364" i="30"/>
  <c r="ACI364" i="30"/>
  <c r="ACJ364" i="30"/>
  <c r="ACK364" i="30"/>
  <c r="ACL364" i="30"/>
  <c r="ACM364" i="30"/>
  <c r="ACN364" i="30"/>
  <c r="ACO364" i="30"/>
  <c r="ACP364" i="30"/>
  <c r="ACQ364" i="30"/>
  <c r="ACR364" i="30"/>
  <c r="ACS364" i="30"/>
  <c r="ACT364" i="30"/>
  <c r="ACU364" i="30"/>
  <c r="ACV364" i="30"/>
  <c r="ACW364" i="30"/>
  <c r="ACX364" i="30"/>
  <c r="ACY364" i="30"/>
  <c r="ACZ364" i="30"/>
  <c r="ADA364" i="30"/>
  <c r="ADB364" i="30"/>
  <c r="ADC364" i="30"/>
  <c r="ADD364" i="30"/>
  <c r="ADE364" i="30"/>
  <c r="ADF364" i="30"/>
  <c r="ADG364" i="30"/>
  <c r="ADH364" i="30"/>
  <c r="ADI364" i="30"/>
  <c r="ADJ364" i="30"/>
  <c r="ADK364" i="30"/>
  <c r="ADL364" i="30"/>
  <c r="ADM364" i="30"/>
  <c r="ADN364" i="30"/>
  <c r="ADO364" i="30"/>
  <c r="ADP364" i="30"/>
  <c r="ADQ364" i="30"/>
  <c r="ADR364" i="30"/>
  <c r="ADS364" i="30"/>
  <c r="ADT364" i="30"/>
  <c r="ADU364" i="30"/>
  <c r="ADV364" i="30"/>
  <c r="ADW364" i="30"/>
  <c r="ADX364" i="30"/>
  <c r="ADY364" i="30"/>
  <c r="ADZ364" i="30"/>
  <c r="AEA364" i="30"/>
  <c r="AEB364" i="30"/>
  <c r="AEC364" i="30"/>
  <c r="AED364" i="30"/>
  <c r="AEE364" i="30"/>
  <c r="AEF364" i="30"/>
  <c r="AEG364" i="30"/>
  <c r="AEH364" i="30"/>
  <c r="AEI364" i="30"/>
  <c r="AEJ364" i="30"/>
  <c r="AEK364" i="30"/>
  <c r="AEL364" i="30"/>
  <c r="AEM364" i="30"/>
  <c r="AEN364" i="30"/>
  <c r="AEO364" i="30"/>
  <c r="AEP364" i="30"/>
  <c r="AEQ364" i="30"/>
  <c r="AER364" i="30"/>
  <c r="AES364" i="30"/>
  <c r="AET364" i="30"/>
  <c r="AEU364" i="30"/>
  <c r="AEV364" i="30"/>
  <c r="AEW364" i="30"/>
  <c r="AEX364" i="30"/>
  <c r="AEY364" i="30"/>
  <c r="AEZ364" i="30"/>
  <c r="AFA364" i="30"/>
  <c r="AFB364" i="30"/>
  <c r="AFC364" i="30"/>
  <c r="AFD364" i="30"/>
  <c r="AFE364" i="30"/>
  <c r="AFF364" i="30"/>
  <c r="AFG364" i="30"/>
  <c r="AFH364" i="30"/>
  <c r="AFI364" i="30"/>
  <c r="AFJ364" i="30"/>
  <c r="AFK364" i="30"/>
  <c r="AFL364" i="30"/>
  <c r="AFM364" i="30"/>
  <c r="AFN364" i="30"/>
  <c r="AFO364" i="30"/>
  <c r="AFP364" i="30"/>
  <c r="AFQ364" i="30"/>
  <c r="AFR364" i="30"/>
  <c r="AFS364" i="30"/>
  <c r="AFT364" i="30"/>
  <c r="AFU364" i="30"/>
  <c r="AFV364" i="30"/>
  <c r="AFW364" i="30"/>
  <c r="AFX364" i="30"/>
  <c r="AFY364" i="30"/>
  <c r="AFZ364" i="30"/>
  <c r="AGA364" i="30"/>
  <c r="AGB364" i="30"/>
  <c r="AGC364" i="30"/>
  <c r="AGD364" i="30"/>
  <c r="AGE364" i="30"/>
  <c r="AGF364" i="30"/>
  <c r="AGG364" i="30"/>
  <c r="AGH364" i="30"/>
  <c r="AGI364" i="30"/>
  <c r="AGJ364" i="30"/>
  <c r="AGK364" i="30"/>
  <c r="AGL364" i="30"/>
  <c r="AGM364" i="30"/>
  <c r="AGN364" i="30"/>
  <c r="AGO364" i="30"/>
  <c r="AGP364" i="30"/>
  <c r="AGQ364" i="30"/>
  <c r="AGR364" i="30"/>
  <c r="AGS364" i="30"/>
  <c r="AGT364" i="30"/>
  <c r="AGU364" i="30"/>
  <c r="AGV364" i="30"/>
  <c r="AGW364" i="30"/>
  <c r="AGX364" i="30"/>
  <c r="AGY364" i="30"/>
  <c r="AGZ364" i="30"/>
  <c r="AHA364" i="30"/>
  <c r="AHB364" i="30"/>
  <c r="AHC364" i="30"/>
  <c r="AHD364" i="30"/>
  <c r="AHE364" i="30"/>
  <c r="AHF364" i="30"/>
  <c r="AHG364" i="30"/>
  <c r="AHH364" i="30"/>
  <c r="AHI364" i="30"/>
  <c r="AHJ364" i="30"/>
  <c r="AHK364" i="30"/>
  <c r="AHL364" i="30"/>
  <c r="AHM364" i="30"/>
  <c r="AHN364" i="30"/>
  <c r="AHO364" i="30"/>
  <c r="AHP364" i="30"/>
  <c r="AHQ364" i="30"/>
  <c r="AHR364" i="30"/>
  <c r="AHS364" i="30"/>
  <c r="AHT364" i="30"/>
  <c r="AHU364" i="30"/>
  <c r="AHV364" i="30"/>
  <c r="AHW364" i="30"/>
  <c r="AHX364" i="30"/>
  <c r="AHY364" i="30"/>
  <c r="AHZ364" i="30"/>
  <c r="AIA364" i="30"/>
  <c r="AIB364" i="30"/>
  <c r="AIC364" i="30"/>
  <c r="AID364" i="30"/>
  <c r="AIE364" i="30"/>
  <c r="AIF364" i="30"/>
  <c r="AIG364" i="30"/>
  <c r="AIH364" i="30"/>
  <c r="AII364" i="30"/>
  <c r="AIJ364" i="30"/>
  <c r="AIK364" i="30"/>
  <c r="AIL364" i="30"/>
  <c r="AIM364" i="30"/>
  <c r="AIN364" i="30"/>
  <c r="AIO364" i="30"/>
  <c r="AIP364" i="30"/>
  <c r="AIQ364" i="30"/>
  <c r="AIR364" i="30"/>
  <c r="AIS364" i="30"/>
  <c r="AIT364" i="30"/>
  <c r="AIU364" i="30"/>
  <c r="AIV364" i="30"/>
  <c r="AIW364" i="30"/>
  <c r="AIX364" i="30"/>
  <c r="AIY364" i="30"/>
  <c r="AIZ364" i="30"/>
  <c r="AJA364" i="30"/>
  <c r="AJB364" i="30"/>
  <c r="AJC364" i="30"/>
  <c r="AJD364" i="30"/>
  <c r="AJE364" i="30"/>
  <c r="AJF364" i="30"/>
  <c r="AJG364" i="30"/>
  <c r="AJH364" i="30"/>
  <c r="AJI364" i="30"/>
  <c r="AJJ364" i="30"/>
  <c r="AJK364" i="30"/>
  <c r="AJL364" i="30"/>
  <c r="AJM364" i="30"/>
  <c r="AJN364" i="30"/>
  <c r="AJO364" i="30"/>
  <c r="AJP364" i="30"/>
  <c r="AJQ364" i="30"/>
  <c r="AJR364" i="30"/>
  <c r="AJS364" i="30"/>
  <c r="AJT364" i="30"/>
  <c r="AJU364" i="30"/>
  <c r="AJV364" i="30"/>
  <c r="AJW364" i="30"/>
  <c r="AJX364" i="30"/>
  <c r="AJY364" i="30"/>
  <c r="AJZ364" i="30"/>
  <c r="AKA364" i="30"/>
  <c r="AKB364" i="30"/>
  <c r="AKC364" i="30"/>
  <c r="AKD364" i="30"/>
  <c r="AKE364" i="30"/>
  <c r="AKF364" i="30"/>
  <c r="AKG364" i="30"/>
  <c r="AKH364" i="30"/>
  <c r="AKI364" i="30"/>
  <c r="AKJ364" i="30"/>
  <c r="AKK364" i="30"/>
  <c r="AKL364" i="30"/>
  <c r="AKM364" i="30"/>
  <c r="AKN364" i="30"/>
  <c r="AKO364" i="30"/>
  <c r="AKP364" i="30"/>
  <c r="AKQ364" i="30"/>
  <c r="AKR364" i="30"/>
  <c r="AKS364" i="30"/>
  <c r="AKT364" i="30"/>
  <c r="AKU364" i="30"/>
  <c r="AKV364" i="30"/>
  <c r="AKW364" i="30"/>
  <c r="AKX364" i="30"/>
  <c r="AKY364" i="30"/>
  <c r="AKZ364" i="30"/>
  <c r="ALA364" i="30"/>
  <c r="ALB364" i="30"/>
  <c r="ALC364" i="30"/>
  <c r="ALD364" i="30"/>
  <c r="ALE364" i="30"/>
  <c r="ALF364" i="30"/>
  <c r="ALG364" i="30"/>
  <c r="ALH364" i="30"/>
  <c r="ALI364" i="30"/>
  <c r="ALJ364" i="30"/>
  <c r="ALK364" i="30"/>
  <c r="ALL364" i="30"/>
  <c r="ALM364" i="30"/>
  <c r="ALN364" i="30"/>
  <c r="ALO364" i="30"/>
  <c r="ALP364" i="30"/>
  <c r="ALQ364" i="30"/>
  <c r="ALR364" i="30"/>
  <c r="ALS364" i="30"/>
  <c r="ALT364" i="30"/>
  <c r="ALU364" i="30"/>
  <c r="ALV364" i="30"/>
  <c r="ALW364" i="30"/>
  <c r="ALX364" i="30"/>
  <c r="ALY364" i="30"/>
  <c r="ALZ364" i="30"/>
  <c r="AMA364" i="30"/>
  <c r="AMB364" i="30"/>
  <c r="AMC364" i="30"/>
  <c r="AMD364" i="30"/>
  <c r="AME364" i="30"/>
  <c r="AMF364" i="30"/>
  <c r="AMG364" i="30"/>
  <c r="AMH364" i="30"/>
  <c r="AMI364" i="30"/>
  <c r="AMJ364" i="30"/>
  <c r="AMK364" i="30"/>
  <c r="AML364" i="30"/>
  <c r="AMM364" i="30"/>
  <c r="AMN364" i="30"/>
  <c r="AMO364" i="30"/>
  <c r="AMP364" i="30"/>
  <c r="AMQ364" i="30"/>
  <c r="AMR364" i="30"/>
  <c r="AMS364" i="30"/>
  <c r="AMT364" i="30"/>
  <c r="AMU364" i="30"/>
  <c r="AMV364" i="30"/>
  <c r="AMW364" i="30"/>
  <c r="AMX364" i="30"/>
  <c r="AMY364" i="30"/>
  <c r="AMZ364" i="30"/>
  <c r="ANA364" i="30"/>
  <c r="ANB364" i="30"/>
  <c r="ANC364" i="30"/>
  <c r="AND364" i="30"/>
  <c r="ANE364" i="30"/>
  <c r="ANF364" i="30"/>
  <c r="ANG364" i="30"/>
  <c r="ANH364" i="30"/>
  <c r="ANI364" i="30"/>
  <c r="ANJ364" i="30"/>
  <c r="ANK364" i="30"/>
  <c r="ANL364" i="30"/>
  <c r="ANM364" i="30"/>
  <c r="ANN364" i="30"/>
  <c r="ANO364" i="30"/>
  <c r="ANP364" i="30"/>
  <c r="ANQ364" i="30"/>
  <c r="ANR364" i="30"/>
  <c r="ANS364" i="30"/>
  <c r="ANT364" i="30"/>
  <c r="ANU364" i="30"/>
  <c r="ANV364" i="30"/>
  <c r="ANW364" i="30"/>
  <c r="ANX364" i="30"/>
  <c r="ANY364" i="30"/>
  <c r="ANZ364" i="30"/>
  <c r="AOA364" i="30"/>
  <c r="AOB364" i="30"/>
  <c r="AOC364" i="30"/>
  <c r="AOD364" i="30"/>
  <c r="AOE364" i="30"/>
  <c r="AOF364" i="30"/>
  <c r="AOG364" i="30"/>
  <c r="AOH364" i="30"/>
  <c r="AOI364" i="30"/>
  <c r="AOJ364" i="30"/>
  <c r="AOK364" i="30"/>
  <c r="AOL364" i="30"/>
  <c r="AOM364" i="30"/>
  <c r="AON364" i="30"/>
  <c r="AOO364" i="30"/>
  <c r="AOP364" i="30"/>
  <c r="AOQ364" i="30"/>
  <c r="AOR364" i="30"/>
  <c r="AOS364" i="30"/>
  <c r="AOT364" i="30"/>
  <c r="AOU364" i="30"/>
  <c r="AOV364" i="30"/>
  <c r="AOW364" i="30"/>
  <c r="AOX364" i="30"/>
  <c r="AOY364" i="30"/>
  <c r="AOZ364" i="30"/>
  <c r="APA364" i="30"/>
  <c r="APB364" i="30"/>
  <c r="APC364" i="30"/>
  <c r="APD364" i="30"/>
  <c r="APE364" i="30"/>
  <c r="APF364" i="30"/>
  <c r="APG364" i="30"/>
  <c r="APH364" i="30"/>
  <c r="API364" i="30"/>
  <c r="APJ364" i="30"/>
  <c r="APK364" i="30"/>
  <c r="APL364" i="30"/>
  <c r="APM364" i="30"/>
  <c r="APN364" i="30"/>
  <c r="APO364" i="30"/>
  <c r="APP364" i="30"/>
  <c r="APQ364" i="30"/>
  <c r="APR364" i="30"/>
  <c r="APS364" i="30"/>
  <c r="APT364" i="30"/>
  <c r="APU364" i="30"/>
  <c r="APV364" i="30"/>
  <c r="APW364" i="30"/>
  <c r="APX364" i="30"/>
  <c r="APY364" i="30"/>
  <c r="APZ364" i="30"/>
  <c r="AQA364" i="30"/>
  <c r="AQB364" i="30"/>
  <c r="AQC364" i="30"/>
  <c r="AQD364" i="30"/>
  <c r="AQE364" i="30"/>
  <c r="AQF364" i="30"/>
  <c r="AQG364" i="30"/>
  <c r="AQH364" i="30"/>
  <c r="AQI364" i="30"/>
  <c r="AQJ364" i="30"/>
  <c r="AQK364" i="30"/>
  <c r="AQL364" i="30"/>
  <c r="AQM364" i="30"/>
  <c r="AQN364" i="30"/>
  <c r="AQO364" i="30"/>
  <c r="AQP364" i="30"/>
  <c r="AQQ364" i="30"/>
  <c r="AQR364" i="30"/>
  <c r="AQS364" i="30"/>
  <c r="AQT364" i="30"/>
  <c r="AQU364" i="30"/>
  <c r="AQV364" i="30"/>
  <c r="AQW364" i="30"/>
  <c r="AQX364" i="30"/>
  <c r="AQY364" i="30"/>
  <c r="AQZ364" i="30"/>
  <c r="ARA364" i="30"/>
  <c r="ARB364" i="30"/>
  <c r="ARC364" i="30"/>
  <c r="ARD364" i="30"/>
  <c r="ARE364" i="30"/>
  <c r="ARF364" i="30"/>
  <c r="ARG364" i="30"/>
  <c r="ARH364" i="30"/>
  <c r="ARI364" i="30"/>
  <c r="ARJ364" i="30"/>
  <c r="ARK364" i="30"/>
  <c r="ARL364" i="30"/>
  <c r="ARM364" i="30"/>
  <c r="ARN364" i="30"/>
  <c r="ARO364" i="30"/>
  <c r="ARP364" i="30"/>
  <c r="ARQ364" i="30"/>
  <c r="ARR364" i="30"/>
  <c r="ARS364" i="30"/>
  <c r="ART364" i="30"/>
  <c r="ARU364" i="30"/>
  <c r="ARV364" i="30"/>
  <c r="ARW364" i="30"/>
  <c r="ARX364" i="30"/>
  <c r="ARY364" i="30"/>
  <c r="ARZ364" i="30"/>
  <c r="ASA364" i="30"/>
  <c r="ASB364" i="30"/>
  <c r="ASC364" i="30"/>
  <c r="ASD364" i="30"/>
  <c r="ASE364" i="30"/>
  <c r="ASF364" i="30"/>
  <c r="ASG364" i="30"/>
  <c r="ASH364" i="30"/>
  <c r="ASI364" i="30"/>
  <c r="ASJ364" i="30"/>
  <c r="ASK364" i="30"/>
  <c r="ASL364" i="30"/>
  <c r="ASM364" i="30"/>
  <c r="ASN364" i="30"/>
  <c r="ASO364" i="30"/>
  <c r="ASP364" i="30"/>
  <c r="ASQ364" i="30"/>
  <c r="ASR364" i="30"/>
  <c r="ASS364" i="30"/>
  <c r="AST364" i="30"/>
  <c r="ASU364" i="30"/>
  <c r="ASV364" i="30"/>
  <c r="ASW364" i="30"/>
  <c r="ASX364" i="30"/>
  <c r="ASY364" i="30"/>
  <c r="ASZ364" i="30"/>
  <c r="ATA364" i="30"/>
  <c r="ATB364" i="30"/>
  <c r="ATC364" i="30"/>
  <c r="ATD364" i="30"/>
  <c r="ATE364" i="30"/>
  <c r="ATF364" i="30"/>
  <c r="ATG364" i="30"/>
  <c r="ATH364" i="30"/>
  <c r="ATI364" i="30"/>
  <c r="ATJ364" i="30"/>
  <c r="ATK364" i="30"/>
  <c r="ATL364" i="30"/>
  <c r="ATM364" i="30"/>
  <c r="ATN364" i="30"/>
  <c r="ATO364" i="30"/>
  <c r="ATP364" i="30"/>
  <c r="ATQ364" i="30"/>
  <c r="ATR364" i="30"/>
  <c r="ATS364" i="30"/>
  <c r="ATT364" i="30"/>
  <c r="ATU364" i="30"/>
  <c r="ATV364" i="30"/>
  <c r="ATW364" i="30"/>
  <c r="ATX364" i="30"/>
  <c r="ATY364" i="30"/>
  <c r="ATZ364" i="30"/>
  <c r="AUA364" i="30"/>
  <c r="AUB364" i="30"/>
  <c r="AUC364" i="30"/>
  <c r="AUD364" i="30"/>
  <c r="AUE364" i="30"/>
  <c r="AUF364" i="30"/>
  <c r="AUG364" i="30"/>
  <c r="AUH364" i="30"/>
  <c r="AUI364" i="30"/>
  <c r="AUJ364" i="30"/>
  <c r="AUK364" i="30"/>
  <c r="AUL364" i="30"/>
  <c r="AUM364" i="30"/>
  <c r="AUN364" i="30"/>
  <c r="AUO364" i="30"/>
  <c r="AUP364" i="30"/>
  <c r="AUQ364" i="30"/>
  <c r="AUR364" i="30"/>
  <c r="AUS364" i="30"/>
  <c r="AUT364" i="30"/>
  <c r="AUU364" i="30"/>
  <c r="AUV364" i="30"/>
  <c r="AUW364" i="30"/>
  <c r="AUX364" i="30"/>
  <c r="AUY364" i="30"/>
  <c r="AUZ364" i="30"/>
  <c r="AVA364" i="30"/>
  <c r="AVB364" i="30"/>
  <c r="AVC364" i="30"/>
  <c r="AVD364" i="30"/>
  <c r="AVE364" i="30"/>
  <c r="AVF364" i="30"/>
  <c r="AVG364" i="30"/>
  <c r="AVH364" i="30"/>
  <c r="AVI364" i="30"/>
  <c r="AVJ364" i="30"/>
  <c r="AVK364" i="30"/>
  <c r="AVL364" i="30"/>
  <c r="AVM364" i="30"/>
  <c r="AVN364" i="30"/>
  <c r="AVO364" i="30"/>
  <c r="AVP364" i="30"/>
  <c r="AVQ364" i="30"/>
  <c r="AVR364" i="30"/>
  <c r="AVS364" i="30"/>
  <c r="AVT364" i="30"/>
  <c r="AVU364" i="30"/>
  <c r="AVV364" i="30"/>
  <c r="AVW364" i="30"/>
  <c r="AVX364" i="30"/>
  <c r="AVY364" i="30"/>
  <c r="AVZ364" i="30"/>
  <c r="AWA364" i="30"/>
  <c r="AWB364" i="30"/>
  <c r="AWC364" i="30"/>
  <c r="AWD364" i="30"/>
  <c r="AWE364" i="30"/>
  <c r="AWF364" i="30"/>
  <c r="AWG364" i="30"/>
  <c r="AWH364" i="30"/>
  <c r="AWI364" i="30"/>
  <c r="AWJ364" i="30"/>
  <c r="AWK364" i="30"/>
  <c r="AWL364" i="30"/>
  <c r="AWM364" i="30"/>
  <c r="AWN364" i="30"/>
  <c r="AWO364" i="30"/>
  <c r="AWP364" i="30"/>
  <c r="AWQ364" i="30"/>
  <c r="AWR364" i="30"/>
  <c r="AWS364" i="30"/>
  <c r="AWT364" i="30"/>
  <c r="AWU364" i="30"/>
  <c r="AWV364" i="30"/>
  <c r="AWW364" i="30"/>
  <c r="AWX364" i="30"/>
  <c r="AWY364" i="30"/>
  <c r="AWZ364" i="30"/>
  <c r="AXA364" i="30"/>
  <c r="AXB364" i="30"/>
  <c r="AXC364" i="30"/>
  <c r="AXD364" i="30"/>
  <c r="AXE364" i="30"/>
  <c r="AXF364" i="30"/>
  <c r="AXG364" i="30"/>
  <c r="AXH364" i="30"/>
  <c r="AXI364" i="30"/>
  <c r="AXJ364" i="30"/>
  <c r="AXK364" i="30"/>
  <c r="AXL364" i="30"/>
  <c r="AXM364" i="30"/>
  <c r="AXN364" i="30"/>
  <c r="AXO364" i="30"/>
  <c r="AXP364" i="30"/>
  <c r="AXQ364" i="30"/>
  <c r="AXR364" i="30"/>
  <c r="AXS364" i="30"/>
  <c r="AXT364" i="30"/>
  <c r="AXU364" i="30"/>
  <c r="AXV364" i="30"/>
  <c r="AXW364" i="30"/>
  <c r="AXX364" i="30"/>
  <c r="AXY364" i="30"/>
  <c r="AXZ364" i="30"/>
  <c r="AYA364" i="30"/>
  <c r="AYB364" i="30"/>
  <c r="AYC364" i="30"/>
  <c r="AYD364" i="30"/>
  <c r="AYE364" i="30"/>
  <c r="AYF364" i="30"/>
  <c r="AYG364" i="30"/>
  <c r="AYH364" i="30"/>
  <c r="AYI364" i="30"/>
  <c r="AYJ364" i="30"/>
  <c r="AYK364" i="30"/>
  <c r="AYL364" i="30"/>
  <c r="AYM364" i="30"/>
  <c r="AYN364" i="30"/>
  <c r="AYO364" i="30"/>
  <c r="AYP364" i="30"/>
  <c r="AYQ364" i="30"/>
  <c r="AYR364" i="30"/>
  <c r="AYS364" i="30"/>
  <c r="AYT364" i="30"/>
  <c r="AYU364" i="30"/>
  <c r="AYV364" i="30"/>
  <c r="AYW364" i="30"/>
  <c r="AYX364" i="30"/>
  <c r="AYY364" i="30"/>
  <c r="AYZ364" i="30"/>
  <c r="AZA364" i="30"/>
  <c r="AZB364" i="30"/>
  <c r="AZC364" i="30"/>
  <c r="AZD364" i="30"/>
  <c r="AZE364" i="30"/>
  <c r="AZF364" i="30"/>
  <c r="AZG364" i="30"/>
  <c r="AZH364" i="30"/>
  <c r="AZI364" i="30"/>
  <c r="AZJ364" i="30"/>
  <c r="AZK364" i="30"/>
  <c r="AZL364" i="30"/>
  <c r="AZM364" i="30"/>
  <c r="AZN364" i="30"/>
  <c r="AZO364" i="30"/>
  <c r="AZP364" i="30"/>
  <c r="AZQ364" i="30"/>
  <c r="AZR364" i="30"/>
  <c r="AZS364" i="30"/>
  <c r="AZT364" i="30"/>
  <c r="AZU364" i="30"/>
  <c r="AZV364" i="30"/>
  <c r="AZW364" i="30"/>
  <c r="AZX364" i="30"/>
  <c r="AZY364" i="30"/>
  <c r="AZZ364" i="30"/>
  <c r="BAA364" i="30"/>
  <c r="BAB364" i="30"/>
  <c r="BAC364" i="30"/>
  <c r="BAD364" i="30"/>
  <c r="BAE364" i="30"/>
  <c r="BAF364" i="30"/>
  <c r="BAG364" i="30"/>
  <c r="BAH364" i="30"/>
  <c r="BAI364" i="30"/>
  <c r="BAJ364" i="30"/>
  <c r="BAK364" i="30"/>
  <c r="BAL364" i="30"/>
  <c r="BAM364" i="30"/>
  <c r="BAN364" i="30"/>
  <c r="BAO364" i="30"/>
  <c r="BAP364" i="30"/>
  <c r="BAQ364" i="30"/>
  <c r="BAR364" i="30"/>
  <c r="BAS364" i="30"/>
  <c r="BAT364" i="30"/>
  <c r="BAU364" i="30"/>
  <c r="BAV364" i="30"/>
  <c r="BAW364" i="30"/>
  <c r="BAX364" i="30"/>
  <c r="BAY364" i="30"/>
  <c r="BAZ364" i="30"/>
  <c r="BBA364" i="30"/>
  <c r="BBB364" i="30"/>
  <c r="BBC364" i="30"/>
  <c r="BBD364" i="30"/>
  <c r="BBE364" i="30"/>
  <c r="BBF364" i="30"/>
  <c r="BBG364" i="30"/>
  <c r="BBH364" i="30"/>
  <c r="BBI364" i="30"/>
  <c r="BBJ364" i="30"/>
  <c r="BBK364" i="30"/>
  <c r="BBL364" i="30"/>
  <c r="BBM364" i="30"/>
  <c r="BBN364" i="30"/>
  <c r="BBO364" i="30"/>
  <c r="BBP364" i="30"/>
  <c r="BBQ364" i="30"/>
  <c r="BBR364" i="30"/>
  <c r="BBS364" i="30"/>
  <c r="BBT364" i="30"/>
  <c r="BBU364" i="30"/>
  <c r="BBV364" i="30"/>
  <c r="BBW364" i="30"/>
  <c r="BBX364" i="30"/>
  <c r="BBY364" i="30"/>
  <c r="BBZ364" i="30"/>
  <c r="BCA364" i="30"/>
  <c r="BCB364" i="30"/>
  <c r="BCC364" i="30"/>
  <c r="BCD364" i="30"/>
  <c r="BCE364" i="30"/>
  <c r="BCF364" i="30"/>
  <c r="BCG364" i="30"/>
  <c r="BCH364" i="30"/>
  <c r="BCI364" i="30"/>
  <c r="BCJ364" i="30"/>
  <c r="BCK364" i="30"/>
  <c r="BCL364" i="30"/>
  <c r="BCM364" i="30"/>
  <c r="BCN364" i="30"/>
  <c r="BCO364" i="30"/>
  <c r="BCP364" i="30"/>
  <c r="BCQ364" i="30"/>
  <c r="BCR364" i="30"/>
  <c r="BCS364" i="30"/>
  <c r="BCT364" i="30"/>
  <c r="BCU364" i="30"/>
  <c r="BCV364" i="30"/>
  <c r="BCW364" i="30"/>
  <c r="BCX364" i="30"/>
  <c r="BCY364" i="30"/>
  <c r="BCZ364" i="30"/>
  <c r="BDA364" i="30"/>
  <c r="BDB364" i="30"/>
  <c r="BDC364" i="30"/>
  <c r="BDD364" i="30"/>
  <c r="BDE364" i="30"/>
  <c r="BDF364" i="30"/>
  <c r="BDG364" i="30"/>
  <c r="BDH364" i="30"/>
  <c r="BDI364" i="30"/>
  <c r="BDJ364" i="30"/>
  <c r="BDK364" i="30"/>
  <c r="BDL364" i="30"/>
  <c r="BDM364" i="30"/>
  <c r="BDN364" i="30"/>
  <c r="BDO364" i="30"/>
  <c r="BDP364" i="30"/>
  <c r="BDQ364" i="30"/>
  <c r="BDR364" i="30"/>
  <c r="BDS364" i="30"/>
  <c r="BDT364" i="30"/>
  <c r="BDU364" i="30"/>
  <c r="BDV364" i="30"/>
  <c r="BDW364" i="30"/>
  <c r="BDX364" i="30"/>
  <c r="BDY364" i="30"/>
  <c r="BDZ364" i="30"/>
  <c r="BEA364" i="30"/>
  <c r="BEB364" i="30"/>
  <c r="BEC364" i="30"/>
  <c r="BED364" i="30"/>
  <c r="BEE364" i="30"/>
  <c r="BEF364" i="30"/>
  <c r="BEG364" i="30"/>
  <c r="BEH364" i="30"/>
  <c r="BEI364" i="30"/>
  <c r="BEJ364" i="30"/>
  <c r="BEK364" i="30"/>
  <c r="BEL364" i="30"/>
  <c r="BEM364" i="30"/>
  <c r="BEN364" i="30"/>
  <c r="BEO364" i="30"/>
  <c r="BEP364" i="30"/>
  <c r="BEQ364" i="30"/>
  <c r="BER364" i="30"/>
  <c r="BES364" i="30"/>
  <c r="BET364" i="30"/>
  <c r="BEU364" i="30"/>
  <c r="BEV364" i="30"/>
  <c r="BEW364" i="30"/>
  <c r="BEX364" i="30"/>
  <c r="BEY364" i="30"/>
  <c r="BEZ364" i="30"/>
  <c r="BFA364" i="30"/>
  <c r="BFB364" i="30"/>
  <c r="BFC364" i="30"/>
  <c r="BFD364" i="30"/>
  <c r="BFE364" i="30"/>
  <c r="BFF364" i="30"/>
  <c r="BFG364" i="30"/>
  <c r="BFH364" i="30"/>
  <c r="BFI364" i="30"/>
  <c r="BFJ364" i="30"/>
  <c r="BFK364" i="30"/>
  <c r="BFL364" i="30"/>
  <c r="BFM364" i="30"/>
  <c r="BFN364" i="30"/>
  <c r="BFO364" i="30"/>
  <c r="BFP364" i="30"/>
  <c r="BFQ364" i="30"/>
  <c r="BFR364" i="30"/>
  <c r="BFS364" i="30"/>
  <c r="BFT364" i="30"/>
  <c r="BFU364" i="30"/>
  <c r="BFV364" i="30"/>
  <c r="BFW364" i="30"/>
  <c r="BFX364" i="30"/>
  <c r="BFY364" i="30"/>
  <c r="BFZ364" i="30"/>
  <c r="BGA364" i="30"/>
  <c r="BGB364" i="30"/>
  <c r="BGC364" i="30"/>
  <c r="BGD364" i="30"/>
  <c r="BGE364" i="30"/>
  <c r="BGF364" i="30"/>
  <c r="BGG364" i="30"/>
  <c r="BGH364" i="30"/>
  <c r="BGI364" i="30"/>
  <c r="BGJ364" i="30"/>
  <c r="BGK364" i="30"/>
  <c r="BGL364" i="30"/>
  <c r="BGM364" i="30"/>
  <c r="BGN364" i="30"/>
  <c r="BGO364" i="30"/>
  <c r="BGP364" i="30"/>
  <c r="BGQ364" i="30"/>
  <c r="BGR364" i="30"/>
  <c r="BGS364" i="30"/>
  <c r="BGT364" i="30"/>
  <c r="BGU364" i="30"/>
  <c r="BGV364" i="30"/>
  <c r="BGW364" i="30"/>
  <c r="BGX364" i="30"/>
  <c r="BGY364" i="30"/>
  <c r="BGZ364" i="30"/>
  <c r="BHA364" i="30"/>
  <c r="BHB364" i="30"/>
  <c r="BHC364" i="30"/>
  <c r="BHD364" i="30"/>
  <c r="BHE364" i="30"/>
  <c r="BHF364" i="30"/>
  <c r="BHG364" i="30"/>
  <c r="BHH364" i="30"/>
  <c r="BHI364" i="30"/>
  <c r="BHJ364" i="30"/>
  <c r="BHK364" i="30"/>
  <c r="BHL364" i="30"/>
  <c r="BHM364" i="30"/>
  <c r="BHN364" i="30"/>
  <c r="BHO364" i="30"/>
  <c r="BHP364" i="30"/>
  <c r="BHQ364" i="30"/>
  <c r="BHR364" i="30"/>
  <c r="BHS364" i="30"/>
  <c r="BHT364" i="30"/>
  <c r="BHU364" i="30"/>
  <c r="BHV364" i="30"/>
  <c r="BHW364" i="30"/>
  <c r="BHX364" i="30"/>
  <c r="BHY364" i="30"/>
  <c r="BHZ364" i="30"/>
  <c r="BIA364" i="30"/>
  <c r="BIB364" i="30"/>
  <c r="BIC364" i="30"/>
  <c r="BID364" i="30"/>
  <c r="BIE364" i="30"/>
  <c r="BIF364" i="30"/>
  <c r="BIG364" i="30"/>
  <c r="BIH364" i="30"/>
  <c r="BII364" i="30"/>
  <c r="BIJ364" i="30"/>
  <c r="BIK364" i="30"/>
  <c r="BIL364" i="30"/>
  <c r="BIM364" i="30"/>
  <c r="BIN364" i="30"/>
  <c r="BIO364" i="30"/>
  <c r="BIP364" i="30"/>
  <c r="BIQ364" i="30"/>
  <c r="BIR364" i="30"/>
  <c r="BIS364" i="30"/>
  <c r="BIT364" i="30"/>
  <c r="BIU364" i="30"/>
  <c r="BIV364" i="30"/>
  <c r="BIW364" i="30"/>
  <c r="BIX364" i="30"/>
  <c r="BIY364" i="30"/>
  <c r="BIZ364" i="30"/>
  <c r="BJA364" i="30"/>
  <c r="BJB364" i="30"/>
  <c r="BJC364" i="30"/>
  <c r="BJD364" i="30"/>
  <c r="BJE364" i="30"/>
  <c r="BJF364" i="30"/>
  <c r="BJG364" i="30"/>
  <c r="BJH364" i="30"/>
  <c r="BJI364" i="30"/>
  <c r="BJJ364" i="30"/>
  <c r="BJK364" i="30"/>
  <c r="BJL364" i="30"/>
  <c r="BJM364" i="30"/>
  <c r="BJN364" i="30"/>
  <c r="BJO364" i="30"/>
  <c r="BJP364" i="30"/>
  <c r="BJQ364" i="30"/>
  <c r="BJR364" i="30"/>
  <c r="BJS364" i="30"/>
  <c r="BJT364" i="30"/>
  <c r="BJU364" i="30"/>
  <c r="BJV364" i="30"/>
  <c r="BJW364" i="30"/>
  <c r="BJX364" i="30"/>
  <c r="BJY364" i="30"/>
  <c r="BJZ364" i="30"/>
  <c r="BKA364" i="30"/>
  <c r="BKB364" i="30"/>
  <c r="BKC364" i="30"/>
  <c r="BKD364" i="30"/>
  <c r="BKE364" i="30"/>
  <c r="BKF364" i="30"/>
  <c r="BKG364" i="30"/>
  <c r="BKH364" i="30"/>
  <c r="BKI364" i="30"/>
  <c r="BKJ364" i="30"/>
  <c r="BKK364" i="30"/>
  <c r="BKL364" i="30"/>
  <c r="BKM364" i="30"/>
  <c r="BKN364" i="30"/>
  <c r="BKO364" i="30"/>
  <c r="BKP364" i="30"/>
  <c r="BKQ364" i="30"/>
  <c r="BKR364" i="30"/>
  <c r="BKS364" i="30"/>
  <c r="BKT364" i="30"/>
  <c r="BKU364" i="30"/>
  <c r="BKV364" i="30"/>
  <c r="BKW364" i="30"/>
  <c r="BKX364" i="30"/>
  <c r="BKY364" i="30"/>
  <c r="BKZ364" i="30"/>
  <c r="BLA364" i="30"/>
  <c r="BLB364" i="30"/>
  <c r="BLC364" i="30"/>
  <c r="BLD364" i="30"/>
  <c r="BLE364" i="30"/>
  <c r="BLF364" i="30"/>
  <c r="BLG364" i="30"/>
  <c r="BLH364" i="30"/>
  <c r="BLI364" i="30"/>
  <c r="BLJ364" i="30"/>
  <c r="BLK364" i="30"/>
  <c r="BLL364" i="30"/>
  <c r="BLM364" i="30"/>
  <c r="BLN364" i="30"/>
  <c r="BLO364" i="30"/>
  <c r="BLP364" i="30"/>
  <c r="BLQ364" i="30"/>
  <c r="BLR364" i="30"/>
  <c r="BLS364" i="30"/>
  <c r="BLT364" i="30"/>
  <c r="BLU364" i="30"/>
  <c r="BLV364" i="30"/>
  <c r="BLW364" i="30"/>
  <c r="BLX364" i="30"/>
  <c r="BLY364" i="30"/>
  <c r="BLZ364" i="30"/>
  <c r="BMA364" i="30"/>
  <c r="BMB364" i="30"/>
  <c r="BMC364" i="30"/>
  <c r="BMD364" i="30"/>
  <c r="BME364" i="30"/>
  <c r="BMF364" i="30"/>
  <c r="BMG364" i="30"/>
  <c r="BMH364" i="30"/>
  <c r="BMI364" i="30"/>
  <c r="BMJ364" i="30"/>
  <c r="BMK364" i="30"/>
  <c r="BML364" i="30"/>
  <c r="BMM364" i="30"/>
  <c r="BMN364" i="30"/>
  <c r="BMO364" i="30"/>
  <c r="BMP364" i="30"/>
  <c r="BMQ364" i="30"/>
  <c r="BMR364" i="30"/>
  <c r="BMS364" i="30"/>
  <c r="BMT364" i="30"/>
  <c r="BMU364" i="30"/>
  <c r="BMV364" i="30"/>
  <c r="BMW364" i="30"/>
  <c r="BMX364" i="30"/>
  <c r="BMY364" i="30"/>
  <c r="BMZ364" i="30"/>
  <c r="BNA364" i="30"/>
  <c r="BNB364" i="30"/>
  <c r="BNC364" i="30"/>
  <c r="BND364" i="30"/>
  <c r="BNE364" i="30"/>
  <c r="BNF364" i="30"/>
  <c r="BNG364" i="30"/>
  <c r="BNH364" i="30"/>
  <c r="BNI364" i="30"/>
  <c r="BNJ364" i="30"/>
  <c r="BNK364" i="30"/>
  <c r="BNL364" i="30"/>
  <c r="BNM364" i="30"/>
  <c r="BNN364" i="30"/>
  <c r="BNO364" i="30"/>
  <c r="BNP364" i="30"/>
  <c r="BNQ364" i="30"/>
  <c r="BNR364" i="30"/>
  <c r="BNS364" i="30"/>
  <c r="BNT364" i="30"/>
  <c r="BNU364" i="30"/>
  <c r="BNV364" i="30"/>
  <c r="BNW364" i="30"/>
  <c r="BNX364" i="30"/>
  <c r="BNY364" i="30"/>
  <c r="BNZ364" i="30"/>
  <c r="BOA364" i="30"/>
  <c r="BOB364" i="30"/>
  <c r="BOC364" i="30"/>
  <c r="BOD364" i="30"/>
  <c r="BOE364" i="30"/>
  <c r="BOF364" i="30"/>
  <c r="BOG364" i="30"/>
  <c r="BOH364" i="30"/>
  <c r="BOI364" i="30"/>
  <c r="BOJ364" i="30"/>
  <c r="BOK364" i="30"/>
  <c r="BOL364" i="30"/>
  <c r="BOM364" i="30"/>
  <c r="BON364" i="30"/>
  <c r="BOO364" i="30"/>
  <c r="BOP364" i="30"/>
  <c r="BOQ364" i="30"/>
  <c r="BOR364" i="30"/>
  <c r="BOS364" i="30"/>
  <c r="BOT364" i="30"/>
  <c r="BOU364" i="30"/>
  <c r="BOV364" i="30"/>
  <c r="BOW364" i="30"/>
  <c r="BOX364" i="30"/>
  <c r="BOY364" i="30"/>
  <c r="BOZ364" i="30"/>
  <c r="BPA364" i="30"/>
  <c r="BPB364" i="30"/>
  <c r="BPC364" i="30"/>
  <c r="BPD364" i="30"/>
  <c r="BPE364" i="30"/>
  <c r="BPF364" i="30"/>
  <c r="BPG364" i="30"/>
  <c r="BPH364" i="30"/>
  <c r="BPI364" i="30"/>
  <c r="BPJ364" i="30"/>
  <c r="BPK364" i="30"/>
  <c r="BPL364" i="30"/>
  <c r="BPM364" i="30"/>
  <c r="BPN364" i="30"/>
  <c r="BPO364" i="30"/>
  <c r="BPP364" i="30"/>
  <c r="BPQ364" i="30"/>
  <c r="BPR364" i="30"/>
  <c r="BPS364" i="30"/>
  <c r="BPT364" i="30"/>
  <c r="BPU364" i="30"/>
  <c r="BPV364" i="30"/>
  <c r="BPW364" i="30"/>
  <c r="BPX364" i="30"/>
  <c r="BPY364" i="30"/>
  <c r="BPZ364" i="30"/>
  <c r="BQA364" i="30"/>
  <c r="BQB364" i="30"/>
  <c r="BQC364" i="30"/>
  <c r="BQD364" i="30"/>
  <c r="BQE364" i="30"/>
  <c r="BQF364" i="30"/>
  <c r="BQG364" i="30"/>
  <c r="BQH364" i="30"/>
  <c r="BQI364" i="30"/>
  <c r="BQJ364" i="30"/>
  <c r="BQK364" i="30"/>
  <c r="BQL364" i="30"/>
  <c r="BQM364" i="30"/>
  <c r="BQN364" i="30"/>
  <c r="BQO364" i="30"/>
  <c r="BQP364" i="30"/>
  <c r="BQQ364" i="30"/>
  <c r="BQR364" i="30"/>
  <c r="BQS364" i="30"/>
  <c r="BQT364" i="30"/>
  <c r="BQU364" i="30"/>
  <c r="BQV364" i="30"/>
  <c r="BQW364" i="30"/>
  <c r="BQX364" i="30"/>
  <c r="BQY364" i="30"/>
  <c r="BQZ364" i="30"/>
  <c r="BRA364" i="30"/>
  <c r="BRB364" i="30"/>
  <c r="BRC364" i="30"/>
  <c r="BRD364" i="30"/>
  <c r="BRE364" i="30"/>
  <c r="BRF364" i="30"/>
  <c r="BRG364" i="30"/>
  <c r="BRH364" i="30"/>
  <c r="BRI364" i="30"/>
  <c r="BRJ364" i="30"/>
  <c r="BRK364" i="30"/>
  <c r="BRL364" i="30"/>
  <c r="BRM364" i="30"/>
  <c r="BRN364" i="30"/>
  <c r="BRO364" i="30"/>
  <c r="BRP364" i="30"/>
  <c r="BRQ364" i="30"/>
  <c r="BRR364" i="30"/>
  <c r="BRS364" i="30"/>
  <c r="BRT364" i="30"/>
  <c r="BRU364" i="30"/>
  <c r="BRV364" i="30"/>
  <c r="BRW364" i="30"/>
  <c r="BRX364" i="30"/>
  <c r="BRY364" i="30"/>
  <c r="BRZ364" i="30"/>
  <c r="BSA364" i="30"/>
  <c r="BSB364" i="30"/>
  <c r="BSC364" i="30"/>
  <c r="BSD364" i="30"/>
  <c r="BSE364" i="30"/>
  <c r="BSF364" i="30"/>
  <c r="BSG364" i="30"/>
  <c r="BSH364" i="30"/>
  <c r="BSI364" i="30"/>
  <c r="BSJ364" i="30"/>
  <c r="BSK364" i="30"/>
  <c r="BSL364" i="30"/>
  <c r="BSM364" i="30"/>
  <c r="BSN364" i="30"/>
  <c r="BSO364" i="30"/>
  <c r="BSP364" i="30"/>
  <c r="BSQ364" i="30"/>
  <c r="BSR364" i="30"/>
  <c r="BSS364" i="30"/>
  <c r="BST364" i="30"/>
  <c r="BSU364" i="30"/>
  <c r="BSV364" i="30"/>
  <c r="BSW364" i="30"/>
  <c r="BSX364" i="30"/>
  <c r="BSY364" i="30"/>
  <c r="BSZ364" i="30"/>
  <c r="BTA364" i="30"/>
  <c r="BTB364" i="30"/>
  <c r="BTC364" i="30"/>
  <c r="BTD364" i="30"/>
  <c r="BTE364" i="30"/>
  <c r="BTF364" i="30"/>
  <c r="BTG364" i="30"/>
  <c r="BTH364" i="30"/>
  <c r="BTI364" i="30"/>
  <c r="BTJ364" i="30"/>
  <c r="BTK364" i="30"/>
  <c r="BTL364" i="30"/>
  <c r="BTM364" i="30"/>
  <c r="BTN364" i="30"/>
  <c r="BTO364" i="30"/>
  <c r="BTP364" i="30"/>
  <c r="BTQ364" i="30"/>
  <c r="BTR364" i="30"/>
  <c r="BTS364" i="30"/>
  <c r="BTT364" i="30"/>
  <c r="BTU364" i="30"/>
  <c r="BTV364" i="30"/>
  <c r="BTW364" i="30"/>
  <c r="BTX364" i="30"/>
  <c r="BTY364" i="30"/>
  <c r="BTZ364" i="30"/>
  <c r="BUA364" i="30"/>
  <c r="BUB364" i="30"/>
  <c r="BUC364" i="30"/>
  <c r="BUD364" i="30"/>
  <c r="BUE364" i="30"/>
  <c r="BUF364" i="30"/>
  <c r="BUG364" i="30"/>
  <c r="BUH364" i="30"/>
  <c r="BUI364" i="30"/>
  <c r="BUJ364" i="30"/>
  <c r="BUK364" i="30"/>
  <c r="BUL364" i="30"/>
  <c r="BUM364" i="30"/>
  <c r="BUN364" i="30"/>
  <c r="BUO364" i="30"/>
  <c r="BUP364" i="30"/>
  <c r="BUQ364" i="30"/>
  <c r="BUR364" i="30"/>
  <c r="BUS364" i="30"/>
  <c r="BUT364" i="30"/>
  <c r="BUU364" i="30"/>
  <c r="BUV364" i="30"/>
  <c r="BUW364" i="30"/>
  <c r="BUX364" i="30"/>
  <c r="BUY364" i="30"/>
  <c r="BUZ364" i="30"/>
  <c r="BVA364" i="30"/>
  <c r="BVB364" i="30"/>
  <c r="BVC364" i="30"/>
  <c r="BVD364" i="30"/>
  <c r="BVE364" i="30"/>
  <c r="BVF364" i="30"/>
  <c r="BVG364" i="30"/>
  <c r="BVH364" i="30"/>
  <c r="BVI364" i="30"/>
  <c r="BVJ364" i="30"/>
  <c r="BVK364" i="30"/>
  <c r="BVL364" i="30"/>
  <c r="BVM364" i="30"/>
  <c r="BVN364" i="30"/>
  <c r="BVO364" i="30"/>
  <c r="BVP364" i="30"/>
  <c r="BVQ364" i="30"/>
  <c r="BVR364" i="30"/>
  <c r="BVS364" i="30"/>
  <c r="BVT364" i="30"/>
  <c r="BVU364" i="30"/>
  <c r="BVV364" i="30"/>
  <c r="BVW364" i="30"/>
  <c r="BVX364" i="30"/>
  <c r="BVY364" i="30"/>
  <c r="BVZ364" i="30"/>
  <c r="BWA364" i="30"/>
  <c r="BWB364" i="30"/>
  <c r="BWC364" i="30"/>
  <c r="BWD364" i="30"/>
  <c r="BWE364" i="30"/>
  <c r="BWF364" i="30"/>
  <c r="BWG364" i="30"/>
  <c r="BWH364" i="30"/>
  <c r="BWI364" i="30"/>
  <c r="BWJ364" i="30"/>
  <c r="BWK364" i="30"/>
  <c r="BWL364" i="30"/>
  <c r="BWM364" i="30"/>
  <c r="BWN364" i="30"/>
  <c r="BWO364" i="30"/>
  <c r="BWP364" i="30"/>
  <c r="BWQ364" i="30"/>
  <c r="BWR364" i="30"/>
  <c r="BWS364" i="30"/>
  <c r="BWT364" i="30"/>
  <c r="BWU364" i="30"/>
  <c r="BWV364" i="30"/>
  <c r="BWW364" i="30"/>
  <c r="BWX364" i="30"/>
  <c r="BWY364" i="30"/>
  <c r="BWZ364" i="30"/>
  <c r="BXA364" i="30"/>
  <c r="BXB364" i="30"/>
  <c r="BXC364" i="30"/>
  <c r="BXD364" i="30"/>
  <c r="BXE364" i="30"/>
  <c r="BXF364" i="30"/>
  <c r="BXG364" i="30"/>
  <c r="BXH364" i="30"/>
  <c r="BXI364" i="30"/>
  <c r="BXJ364" i="30"/>
  <c r="BXK364" i="30"/>
  <c r="BXL364" i="30"/>
  <c r="BXM364" i="30"/>
  <c r="BXN364" i="30"/>
  <c r="BXO364" i="30"/>
  <c r="BXP364" i="30"/>
  <c r="BXQ364" i="30"/>
  <c r="BXR364" i="30"/>
  <c r="BXS364" i="30"/>
  <c r="BXT364" i="30"/>
  <c r="BXU364" i="30"/>
  <c r="BXV364" i="30"/>
  <c r="BXW364" i="30"/>
  <c r="BXX364" i="30"/>
  <c r="BXY364" i="30"/>
  <c r="BXZ364" i="30"/>
  <c r="BYA364" i="30"/>
  <c r="BYB364" i="30"/>
  <c r="BYC364" i="30"/>
  <c r="BYD364" i="30"/>
  <c r="BYE364" i="30"/>
  <c r="BYF364" i="30"/>
  <c r="BYG364" i="30"/>
  <c r="BYH364" i="30"/>
  <c r="BYI364" i="30"/>
  <c r="BYJ364" i="30"/>
  <c r="BYK364" i="30"/>
  <c r="BYL364" i="30"/>
  <c r="BYM364" i="30"/>
  <c r="BYN364" i="30"/>
  <c r="BYO364" i="30"/>
  <c r="BYP364" i="30"/>
  <c r="BYQ364" i="30"/>
  <c r="BYR364" i="30"/>
  <c r="BYS364" i="30"/>
  <c r="BYT364" i="30"/>
  <c r="BYU364" i="30"/>
  <c r="BYV364" i="30"/>
  <c r="BYW364" i="30"/>
  <c r="BYX364" i="30"/>
  <c r="BYY364" i="30"/>
  <c r="BYZ364" i="30"/>
  <c r="BZA364" i="30"/>
  <c r="BZB364" i="30"/>
  <c r="BZC364" i="30"/>
  <c r="BZD364" i="30"/>
  <c r="BZE364" i="30"/>
  <c r="BZF364" i="30"/>
  <c r="BZG364" i="30"/>
  <c r="BZH364" i="30"/>
  <c r="BZI364" i="30"/>
  <c r="BZJ364" i="30"/>
  <c r="BZK364" i="30"/>
  <c r="BZL364" i="30"/>
  <c r="BZM364" i="30"/>
  <c r="BZN364" i="30"/>
  <c r="BZO364" i="30"/>
  <c r="BZP364" i="30"/>
  <c r="BZQ364" i="30"/>
  <c r="BZR364" i="30"/>
  <c r="BZS364" i="30"/>
  <c r="BZT364" i="30"/>
  <c r="BZU364" i="30"/>
  <c r="BZV364" i="30"/>
  <c r="BZW364" i="30"/>
  <c r="BZX364" i="30"/>
  <c r="BZY364" i="30"/>
  <c r="BZZ364" i="30"/>
  <c r="CAA364" i="30"/>
  <c r="CAB364" i="30"/>
  <c r="CAC364" i="30"/>
  <c r="CAD364" i="30"/>
  <c r="CAE364" i="30"/>
  <c r="CAF364" i="30"/>
  <c r="CAG364" i="30"/>
  <c r="CAH364" i="30"/>
  <c r="CAI364" i="30"/>
  <c r="CAJ364" i="30"/>
  <c r="CAK364" i="30"/>
  <c r="CAL364" i="30"/>
  <c r="CAM364" i="30"/>
  <c r="CAN364" i="30"/>
  <c r="CAO364" i="30"/>
  <c r="CAP364" i="30"/>
  <c r="CAQ364" i="30"/>
  <c r="CAR364" i="30"/>
  <c r="CAS364" i="30"/>
  <c r="CAT364" i="30"/>
  <c r="CAU364" i="30"/>
  <c r="CAV364" i="30"/>
  <c r="CAW364" i="30"/>
  <c r="CAX364" i="30"/>
  <c r="CAY364" i="30"/>
  <c r="CAZ364" i="30"/>
  <c r="CBA364" i="30"/>
  <c r="CBB364" i="30"/>
  <c r="CBC364" i="30"/>
  <c r="CBD364" i="30"/>
  <c r="CBE364" i="30"/>
  <c r="CBF364" i="30"/>
  <c r="CBG364" i="30"/>
  <c r="CBH364" i="30"/>
  <c r="CBI364" i="30"/>
  <c r="CBJ364" i="30"/>
  <c r="CBK364" i="30"/>
  <c r="CBL364" i="30"/>
  <c r="CBM364" i="30"/>
  <c r="CBN364" i="30"/>
  <c r="CBO364" i="30"/>
  <c r="CBP364" i="30"/>
  <c r="CBQ364" i="30"/>
  <c r="CBR364" i="30"/>
  <c r="CBS364" i="30"/>
  <c r="CBT364" i="30"/>
  <c r="CBU364" i="30"/>
  <c r="CBV364" i="30"/>
  <c r="CBW364" i="30"/>
  <c r="CBX364" i="30"/>
  <c r="CBY364" i="30"/>
  <c r="CBZ364" i="30"/>
  <c r="CCA364" i="30"/>
  <c r="CCB364" i="30"/>
  <c r="CCC364" i="30"/>
  <c r="CCD364" i="30"/>
  <c r="CCE364" i="30"/>
  <c r="CCF364" i="30"/>
  <c r="CCG364" i="30"/>
  <c r="CCH364" i="30"/>
  <c r="CCI364" i="30"/>
  <c r="CCJ364" i="30"/>
  <c r="CCK364" i="30"/>
  <c r="CCL364" i="30"/>
  <c r="CCM364" i="30"/>
  <c r="CCN364" i="30"/>
  <c r="CCO364" i="30"/>
  <c r="CCP364" i="30"/>
  <c r="CCQ364" i="30"/>
  <c r="CCR364" i="30"/>
  <c r="CCS364" i="30"/>
  <c r="CCT364" i="30"/>
  <c r="CCU364" i="30"/>
  <c r="CCV364" i="30"/>
  <c r="CCW364" i="30"/>
  <c r="CCX364" i="30"/>
  <c r="CCY364" i="30"/>
  <c r="CCZ364" i="30"/>
  <c r="CDA364" i="30"/>
  <c r="CDB364" i="30"/>
  <c r="CDC364" i="30"/>
  <c r="CDD364" i="30"/>
  <c r="CDE364" i="30"/>
  <c r="CDF364" i="30"/>
  <c r="CDG364" i="30"/>
  <c r="CDH364" i="30"/>
  <c r="CDI364" i="30"/>
  <c r="CDJ364" i="30"/>
  <c r="CDK364" i="30"/>
  <c r="CDL364" i="30"/>
  <c r="CDM364" i="30"/>
  <c r="CDN364" i="30"/>
  <c r="CDO364" i="30"/>
  <c r="CDP364" i="30"/>
  <c r="CDQ364" i="30"/>
  <c r="CDR364" i="30"/>
  <c r="CDS364" i="30"/>
  <c r="CDT364" i="30"/>
  <c r="CDU364" i="30"/>
  <c r="CDV364" i="30"/>
  <c r="CDW364" i="30"/>
  <c r="CDX364" i="30"/>
  <c r="CDY364" i="30"/>
  <c r="CDZ364" i="30"/>
  <c r="CEA364" i="30"/>
  <c r="CEB364" i="30"/>
  <c r="CEC364" i="30"/>
  <c r="CED364" i="30"/>
  <c r="CEE364" i="30"/>
  <c r="CEF364" i="30"/>
  <c r="CEG364" i="30"/>
  <c r="CEH364" i="30"/>
  <c r="CEI364" i="30"/>
  <c r="CEJ364" i="30"/>
  <c r="CEK364" i="30"/>
  <c r="CEL364" i="30"/>
  <c r="CEM364" i="30"/>
  <c r="CEN364" i="30"/>
  <c r="CEO364" i="30"/>
  <c r="CEP364" i="30"/>
  <c r="CEQ364" i="30"/>
  <c r="CER364" i="30"/>
  <c r="CES364" i="30"/>
  <c r="CET364" i="30"/>
  <c r="CEU364" i="30"/>
  <c r="CEV364" i="30"/>
  <c r="CEW364" i="30"/>
  <c r="CEX364" i="30"/>
  <c r="CEY364" i="30"/>
  <c r="CEZ364" i="30"/>
  <c r="CFA364" i="30"/>
  <c r="CFB364" i="30"/>
  <c r="CFC364" i="30"/>
  <c r="CFD364" i="30"/>
  <c r="CFE364" i="30"/>
  <c r="CFF364" i="30"/>
  <c r="CFG364" i="30"/>
  <c r="CFH364" i="30"/>
  <c r="CFI364" i="30"/>
  <c r="CFJ364" i="30"/>
  <c r="CFK364" i="30"/>
  <c r="CFL364" i="30"/>
  <c r="CFM364" i="30"/>
  <c r="CFN364" i="30"/>
  <c r="CFO364" i="30"/>
  <c r="CFP364" i="30"/>
  <c r="CFQ364" i="30"/>
  <c r="CFR364" i="30"/>
  <c r="CFS364" i="30"/>
  <c r="CFT364" i="30"/>
  <c r="CFU364" i="30"/>
  <c r="CFV364" i="30"/>
  <c r="CFW364" i="30"/>
  <c r="CFX364" i="30"/>
  <c r="CFY364" i="30"/>
  <c r="CFZ364" i="30"/>
  <c r="CGA364" i="30"/>
  <c r="CGB364" i="30"/>
  <c r="CGC364" i="30"/>
  <c r="CGD364" i="30"/>
  <c r="CGE364" i="30"/>
  <c r="CGF364" i="30"/>
  <c r="CGG364" i="30"/>
  <c r="CGH364" i="30"/>
  <c r="CGI364" i="30"/>
  <c r="CGJ364" i="30"/>
  <c r="CGK364" i="30"/>
  <c r="CGL364" i="30"/>
  <c r="CGM364" i="30"/>
  <c r="CGN364" i="30"/>
  <c r="CGO364" i="30"/>
  <c r="CGP364" i="30"/>
  <c r="CGQ364" i="30"/>
  <c r="CGR364" i="30"/>
  <c r="CGS364" i="30"/>
  <c r="CGT364" i="30"/>
  <c r="CGU364" i="30"/>
  <c r="CGV364" i="30"/>
  <c r="CGW364" i="30"/>
  <c r="CGX364" i="30"/>
  <c r="CGY364" i="30"/>
  <c r="CGZ364" i="30"/>
  <c r="CHA364" i="30"/>
  <c r="CHB364" i="30"/>
  <c r="CHC364" i="30"/>
  <c r="CHD364" i="30"/>
  <c r="CHE364" i="30"/>
  <c r="CHF364" i="30"/>
  <c r="CHG364" i="30"/>
  <c r="CHH364" i="30"/>
  <c r="CHI364" i="30"/>
  <c r="CHJ364" i="30"/>
  <c r="CHK364" i="30"/>
  <c r="CHL364" i="30"/>
  <c r="CHM364" i="30"/>
  <c r="CHN364" i="30"/>
  <c r="CHO364" i="30"/>
  <c r="CHP364" i="30"/>
  <c r="CHQ364" i="30"/>
  <c r="CHR364" i="30"/>
  <c r="CHS364" i="30"/>
  <c r="CHT364" i="30"/>
  <c r="CHU364" i="30"/>
  <c r="CHV364" i="30"/>
  <c r="CHW364" i="30"/>
  <c r="CHX364" i="30"/>
  <c r="CHY364" i="30"/>
  <c r="CHZ364" i="30"/>
  <c r="CIA364" i="30"/>
  <c r="CIB364" i="30"/>
  <c r="CIC364" i="30"/>
  <c r="CID364" i="30"/>
  <c r="CIE364" i="30"/>
  <c r="CIF364" i="30"/>
  <c r="CIG364" i="30"/>
  <c r="CIH364" i="30"/>
  <c r="CII364" i="30"/>
  <c r="CIJ364" i="30"/>
  <c r="CIK364" i="30"/>
  <c r="CIL364" i="30"/>
  <c r="CIM364" i="30"/>
  <c r="CIN364" i="30"/>
  <c r="CIO364" i="30"/>
  <c r="CIP364" i="30"/>
  <c r="CIQ364" i="30"/>
  <c r="CIR364" i="30"/>
  <c r="CIS364" i="30"/>
  <c r="CIT364" i="30"/>
  <c r="CIU364" i="30"/>
  <c r="CIV364" i="30"/>
  <c r="CIW364" i="30"/>
  <c r="CIX364" i="30"/>
  <c r="CIY364" i="30"/>
  <c r="CIZ364" i="30"/>
  <c r="CJA364" i="30"/>
  <c r="CJB364" i="30"/>
  <c r="CJC364" i="30"/>
  <c r="CJD364" i="30"/>
  <c r="CJE364" i="30"/>
  <c r="CJF364" i="30"/>
  <c r="CJG364" i="30"/>
  <c r="CJH364" i="30"/>
  <c r="CJI364" i="30"/>
  <c r="CJJ364" i="30"/>
  <c r="CJK364" i="30"/>
  <c r="CJL364" i="30"/>
  <c r="CJM364" i="30"/>
  <c r="CJN364" i="30"/>
  <c r="CJO364" i="30"/>
  <c r="CJP364" i="30"/>
  <c r="CJQ364" i="30"/>
  <c r="CJR364" i="30"/>
  <c r="CJS364" i="30"/>
  <c r="CJT364" i="30"/>
  <c r="CJU364" i="30"/>
  <c r="CJV364" i="30"/>
  <c r="CJW364" i="30"/>
  <c r="CJX364" i="30"/>
  <c r="CJY364" i="30"/>
  <c r="CJZ364" i="30"/>
  <c r="CKA364" i="30"/>
  <c r="CKB364" i="30"/>
  <c r="CKC364" i="30"/>
  <c r="CKD364" i="30"/>
  <c r="CKE364" i="30"/>
  <c r="CKF364" i="30"/>
  <c r="CKG364" i="30"/>
  <c r="CKH364" i="30"/>
  <c r="CKI364" i="30"/>
  <c r="CKJ364" i="30"/>
  <c r="CKK364" i="30"/>
  <c r="CKL364" i="30"/>
  <c r="CKM364" i="30"/>
  <c r="CKN364" i="30"/>
  <c r="CKO364" i="30"/>
  <c r="CKP364" i="30"/>
  <c r="CKQ364" i="30"/>
  <c r="CKR364" i="30"/>
  <c r="CKS364" i="30"/>
  <c r="CKT364" i="30"/>
  <c r="CKU364" i="30"/>
  <c r="CKV364" i="30"/>
  <c r="CKW364" i="30"/>
  <c r="CKX364" i="30"/>
  <c r="CKY364" i="30"/>
  <c r="CKZ364" i="30"/>
  <c r="CLA364" i="30"/>
  <c r="CLB364" i="30"/>
  <c r="CLC364" i="30"/>
  <c r="CLD364" i="30"/>
  <c r="CLE364" i="30"/>
  <c r="CLF364" i="30"/>
  <c r="CLG364" i="30"/>
  <c r="CLH364" i="30"/>
  <c r="CLI364" i="30"/>
  <c r="CLJ364" i="30"/>
  <c r="CLK364" i="30"/>
  <c r="CLL364" i="30"/>
  <c r="CLM364" i="30"/>
  <c r="CLN364" i="30"/>
  <c r="CLO364" i="30"/>
  <c r="CLP364" i="30"/>
  <c r="CLQ364" i="30"/>
  <c r="CLR364" i="30"/>
  <c r="CLS364" i="30"/>
  <c r="CLT364" i="30"/>
  <c r="CLU364" i="30"/>
  <c r="CLV364" i="30"/>
  <c r="CLW364" i="30"/>
  <c r="CLX364" i="30"/>
  <c r="CLY364" i="30"/>
  <c r="CLZ364" i="30"/>
  <c r="CMA364" i="30"/>
  <c r="CMB364" i="30"/>
  <c r="CMC364" i="30"/>
  <c r="CMD364" i="30"/>
  <c r="CME364" i="30"/>
  <c r="CMF364" i="30"/>
  <c r="CMG364" i="30"/>
  <c r="CMH364" i="30"/>
  <c r="CMI364" i="30"/>
  <c r="CMJ364" i="30"/>
  <c r="CMK364" i="30"/>
  <c r="CML364" i="30"/>
  <c r="CMM364" i="30"/>
  <c r="CMN364" i="30"/>
  <c r="CMO364" i="30"/>
  <c r="CMP364" i="30"/>
  <c r="CMQ364" i="30"/>
  <c r="CMR364" i="30"/>
  <c r="CMS364" i="30"/>
  <c r="CMT364" i="30"/>
  <c r="CMU364" i="30"/>
  <c r="CMV364" i="30"/>
  <c r="CMW364" i="30"/>
  <c r="CMX364" i="30"/>
  <c r="CMY364" i="30"/>
  <c r="CMZ364" i="30"/>
  <c r="CNA364" i="30"/>
  <c r="CNB364" i="30"/>
  <c r="CNC364" i="30"/>
  <c r="CND364" i="30"/>
  <c r="CNE364" i="30"/>
  <c r="CNF364" i="30"/>
  <c r="CNG364" i="30"/>
  <c r="CNH364" i="30"/>
  <c r="CNI364" i="30"/>
  <c r="CNJ364" i="30"/>
  <c r="CNK364" i="30"/>
  <c r="CNL364" i="30"/>
  <c r="CNM364" i="30"/>
  <c r="CNN364" i="30"/>
  <c r="CNO364" i="30"/>
  <c r="CNP364" i="30"/>
  <c r="CNQ364" i="30"/>
  <c r="CNR364" i="30"/>
  <c r="CNS364" i="30"/>
  <c r="CNT364" i="30"/>
  <c r="CNU364" i="30"/>
  <c r="CNV364" i="30"/>
  <c r="CNW364" i="30"/>
  <c r="CNX364" i="30"/>
  <c r="CNY364" i="30"/>
  <c r="CNZ364" i="30"/>
  <c r="COA364" i="30"/>
  <c r="COB364" i="30"/>
  <c r="COC364" i="30"/>
  <c r="COD364" i="30"/>
  <c r="COE364" i="30"/>
  <c r="COF364" i="30"/>
  <c r="COG364" i="30"/>
  <c r="COH364" i="30"/>
  <c r="COI364" i="30"/>
  <c r="COJ364" i="30"/>
  <c r="COK364" i="30"/>
  <c r="COL364" i="30"/>
  <c r="COM364" i="30"/>
  <c r="CON364" i="30"/>
  <c r="COO364" i="30"/>
  <c r="COP364" i="30"/>
  <c r="COQ364" i="30"/>
  <c r="COR364" i="30"/>
  <c r="COS364" i="30"/>
  <c r="COT364" i="30"/>
  <c r="COU364" i="30"/>
  <c r="COV364" i="30"/>
  <c r="COW364" i="30"/>
  <c r="COX364" i="30"/>
  <c r="COY364" i="30"/>
  <c r="COZ364" i="30"/>
  <c r="CPA364" i="30"/>
  <c r="CPB364" i="30"/>
  <c r="CPC364" i="30"/>
  <c r="CPD364" i="30"/>
  <c r="CPE364" i="30"/>
  <c r="CPF364" i="30"/>
  <c r="CPG364" i="30"/>
  <c r="CPH364" i="30"/>
  <c r="CPI364" i="30"/>
  <c r="CPJ364" i="30"/>
  <c r="CPK364" i="30"/>
  <c r="CPL364" i="30"/>
  <c r="CPM364" i="30"/>
  <c r="CPN364" i="30"/>
  <c r="CPO364" i="30"/>
  <c r="CPP364" i="30"/>
  <c r="CPQ364" i="30"/>
  <c r="CPR364" i="30"/>
  <c r="CPS364" i="30"/>
  <c r="CPT364" i="30"/>
  <c r="CPU364" i="30"/>
  <c r="CPV364" i="30"/>
  <c r="CPW364" i="30"/>
  <c r="CPX364" i="30"/>
  <c r="CPY364" i="30"/>
  <c r="CPZ364" i="30"/>
  <c r="CQA364" i="30"/>
  <c r="CQB364" i="30"/>
  <c r="CQC364" i="30"/>
  <c r="CQD364" i="30"/>
  <c r="CQE364" i="30"/>
  <c r="CQF364" i="30"/>
  <c r="CQG364" i="30"/>
  <c r="CQH364" i="30"/>
  <c r="CQI364" i="30"/>
  <c r="CQJ364" i="30"/>
  <c r="CQK364" i="30"/>
  <c r="CQL364" i="30"/>
  <c r="CQM364" i="30"/>
  <c r="CQN364" i="30"/>
  <c r="CQO364" i="30"/>
  <c r="CQP364" i="30"/>
  <c r="CQQ364" i="30"/>
  <c r="CQR364" i="30"/>
  <c r="CQS364" i="30"/>
  <c r="CQT364" i="30"/>
  <c r="CQU364" i="30"/>
  <c r="CQV364" i="30"/>
  <c r="CQW364" i="30"/>
  <c r="CQX364" i="30"/>
  <c r="CQY364" i="30"/>
  <c r="CQZ364" i="30"/>
  <c r="CRA364" i="30"/>
  <c r="CRB364" i="30"/>
  <c r="CRC364" i="30"/>
  <c r="CRD364" i="30"/>
  <c r="CRE364" i="30"/>
  <c r="CRF364" i="30"/>
  <c r="CRG364" i="30"/>
  <c r="CRH364" i="30"/>
  <c r="CRI364" i="30"/>
  <c r="CRJ364" i="30"/>
  <c r="CRK364" i="30"/>
  <c r="CRL364" i="30"/>
  <c r="CRM364" i="30"/>
  <c r="CRN364" i="30"/>
  <c r="CRO364" i="30"/>
  <c r="CRP364" i="30"/>
  <c r="CRQ364" i="30"/>
  <c r="CRR364" i="30"/>
  <c r="CRS364" i="30"/>
  <c r="CRT364" i="30"/>
  <c r="CRU364" i="30"/>
  <c r="CRV364" i="30"/>
  <c r="CRW364" i="30"/>
  <c r="CRX364" i="30"/>
  <c r="CRY364" i="30"/>
  <c r="CRZ364" i="30"/>
  <c r="CSA364" i="30"/>
  <c r="CSB364" i="30"/>
  <c r="CSC364" i="30"/>
  <c r="CSD364" i="30"/>
  <c r="CSE364" i="30"/>
  <c r="CSF364" i="30"/>
  <c r="CSG364" i="30"/>
  <c r="CSH364" i="30"/>
  <c r="CSI364" i="30"/>
  <c r="CSJ364" i="30"/>
  <c r="CSK364" i="30"/>
  <c r="CSL364" i="30"/>
  <c r="CSM364" i="30"/>
  <c r="CSN364" i="30"/>
  <c r="CSO364" i="30"/>
  <c r="CSP364" i="30"/>
  <c r="CSQ364" i="30"/>
  <c r="CSR364" i="30"/>
  <c r="CSS364" i="30"/>
  <c r="CST364" i="30"/>
  <c r="CSU364" i="30"/>
  <c r="CSV364" i="30"/>
  <c r="CSW364" i="30"/>
  <c r="CSX364" i="30"/>
  <c r="CSY364" i="30"/>
  <c r="CSZ364" i="30"/>
  <c r="CTA364" i="30"/>
  <c r="CTB364" i="30"/>
  <c r="CTC364" i="30"/>
  <c r="CTD364" i="30"/>
  <c r="CTE364" i="30"/>
  <c r="CTF364" i="30"/>
  <c r="CTG364" i="30"/>
  <c r="CTH364" i="30"/>
  <c r="CTI364" i="30"/>
  <c r="CTJ364" i="30"/>
  <c r="CTK364" i="30"/>
  <c r="CTL364" i="30"/>
  <c r="CTM364" i="30"/>
  <c r="CTN364" i="30"/>
  <c r="CTO364" i="30"/>
  <c r="CTP364" i="30"/>
  <c r="CTQ364" i="30"/>
  <c r="CTR364" i="30"/>
  <c r="CTS364" i="30"/>
  <c r="CTT364" i="30"/>
  <c r="CTU364" i="30"/>
  <c r="CTV364" i="30"/>
  <c r="CTW364" i="30"/>
  <c r="CTX364" i="30"/>
  <c r="CTY364" i="30"/>
  <c r="CTZ364" i="30"/>
  <c r="CUA364" i="30"/>
  <c r="CUB364" i="30"/>
  <c r="CUC364" i="30"/>
  <c r="CUD364" i="30"/>
  <c r="CUE364" i="30"/>
  <c r="CUF364" i="30"/>
  <c r="CUG364" i="30"/>
  <c r="CUH364" i="30"/>
  <c r="CUI364" i="30"/>
  <c r="CUJ364" i="30"/>
  <c r="CUK364" i="30"/>
  <c r="CUL364" i="30"/>
  <c r="CUM364" i="30"/>
  <c r="CUN364" i="30"/>
  <c r="CUO364" i="30"/>
  <c r="CUP364" i="30"/>
  <c r="CUQ364" i="30"/>
  <c r="CUR364" i="30"/>
  <c r="CUS364" i="30"/>
  <c r="CUT364" i="30"/>
  <c r="CUU364" i="30"/>
  <c r="CUV364" i="30"/>
  <c r="CUW364" i="30"/>
  <c r="CUX364" i="30"/>
  <c r="CUY364" i="30"/>
  <c r="CUZ364" i="30"/>
  <c r="CVA364" i="30"/>
  <c r="CVB364" i="30"/>
  <c r="CVC364" i="30"/>
  <c r="CVD364" i="30"/>
  <c r="CVE364" i="30"/>
  <c r="CVF364" i="30"/>
  <c r="CVG364" i="30"/>
  <c r="CVH364" i="30"/>
  <c r="CVI364" i="30"/>
  <c r="CVJ364" i="30"/>
  <c r="CVK364" i="30"/>
  <c r="CVL364" i="30"/>
  <c r="CVM364" i="30"/>
  <c r="CVN364" i="30"/>
  <c r="CVO364" i="30"/>
  <c r="CVP364" i="30"/>
  <c r="CVQ364" i="30"/>
  <c r="CVR364" i="30"/>
  <c r="CVS364" i="30"/>
  <c r="CVT364" i="30"/>
  <c r="CVU364" i="30"/>
  <c r="CVV364" i="30"/>
  <c r="CVW364" i="30"/>
  <c r="CVX364" i="30"/>
  <c r="CVY364" i="30"/>
  <c r="CVZ364" i="30"/>
  <c r="CWA364" i="30"/>
  <c r="CWB364" i="30"/>
  <c r="CWC364" i="30"/>
  <c r="CWD364" i="30"/>
  <c r="CWE364" i="30"/>
  <c r="CWF364" i="30"/>
  <c r="CWG364" i="30"/>
  <c r="CWH364" i="30"/>
  <c r="CWI364" i="30"/>
  <c r="CWJ364" i="30"/>
  <c r="CWK364" i="30"/>
  <c r="CWL364" i="30"/>
  <c r="CWM364" i="30"/>
  <c r="CWN364" i="30"/>
  <c r="CWO364" i="30"/>
  <c r="CWP364" i="30"/>
  <c r="CWQ364" i="30"/>
  <c r="CWR364" i="30"/>
  <c r="CWS364" i="30"/>
  <c r="CWT364" i="30"/>
  <c r="CWU364" i="30"/>
  <c r="CWV364" i="30"/>
  <c r="CWW364" i="30"/>
  <c r="CWX364" i="30"/>
  <c r="CWY364" i="30"/>
  <c r="CWZ364" i="30"/>
  <c r="CXA364" i="30"/>
  <c r="CXB364" i="30"/>
  <c r="CXC364" i="30"/>
  <c r="CXD364" i="30"/>
  <c r="CXE364" i="30"/>
  <c r="CXF364" i="30"/>
  <c r="CXG364" i="30"/>
  <c r="CXH364" i="30"/>
  <c r="CXI364" i="30"/>
  <c r="CXJ364" i="30"/>
  <c r="CXK364" i="30"/>
  <c r="CXL364" i="30"/>
  <c r="CXM364" i="30"/>
  <c r="CXN364" i="30"/>
  <c r="CXO364" i="30"/>
  <c r="CXP364" i="30"/>
  <c r="CXQ364" i="30"/>
  <c r="CXR364" i="30"/>
  <c r="CXS364" i="30"/>
  <c r="CXT364" i="30"/>
  <c r="CXU364" i="30"/>
  <c r="CXV364" i="30"/>
  <c r="CXW364" i="30"/>
  <c r="CXX364" i="30"/>
  <c r="CXY364" i="30"/>
  <c r="CXZ364" i="30"/>
  <c r="CYA364" i="30"/>
  <c r="CYB364" i="30"/>
  <c r="CYC364" i="30"/>
  <c r="CYD364" i="30"/>
  <c r="CYE364" i="30"/>
  <c r="CYF364" i="30"/>
  <c r="CYG364" i="30"/>
  <c r="CYH364" i="30"/>
  <c r="CYI364" i="30"/>
  <c r="CYJ364" i="30"/>
  <c r="CYK364" i="30"/>
  <c r="CYL364" i="30"/>
  <c r="CYM364" i="30"/>
  <c r="CYN364" i="30"/>
  <c r="CYO364" i="30"/>
  <c r="CYP364" i="30"/>
  <c r="CYQ364" i="30"/>
  <c r="CYR364" i="30"/>
  <c r="CYS364" i="30"/>
  <c r="CYT364" i="30"/>
  <c r="CYU364" i="30"/>
  <c r="CYV364" i="30"/>
  <c r="CYW364" i="30"/>
  <c r="CYX364" i="30"/>
  <c r="CYY364" i="30"/>
  <c r="CYZ364" i="30"/>
  <c r="CZA364" i="30"/>
  <c r="CZB364" i="30"/>
  <c r="CZC364" i="30"/>
  <c r="CZD364" i="30"/>
  <c r="CZE364" i="30"/>
  <c r="CZF364" i="30"/>
  <c r="CZG364" i="30"/>
  <c r="CZH364" i="30"/>
  <c r="CZI364" i="30"/>
  <c r="CZJ364" i="30"/>
  <c r="CZK364" i="30"/>
  <c r="CZL364" i="30"/>
  <c r="CZM364" i="30"/>
  <c r="CZN364" i="30"/>
  <c r="CZO364" i="30"/>
  <c r="CZP364" i="30"/>
  <c r="CZQ364" i="30"/>
  <c r="CZR364" i="30"/>
  <c r="CZS364" i="30"/>
  <c r="CZT364" i="30"/>
  <c r="CZU364" i="30"/>
  <c r="CZV364" i="30"/>
  <c r="CZW364" i="30"/>
  <c r="CZX364" i="30"/>
  <c r="CZY364" i="30"/>
  <c r="CZZ364" i="30"/>
  <c r="DAA364" i="30"/>
  <c r="DAB364" i="30"/>
  <c r="DAC364" i="30"/>
  <c r="DAD364" i="30"/>
  <c r="DAE364" i="30"/>
  <c r="DAF364" i="30"/>
  <c r="DAG364" i="30"/>
  <c r="DAH364" i="30"/>
  <c r="DAI364" i="30"/>
  <c r="DAJ364" i="30"/>
  <c r="DAK364" i="30"/>
  <c r="DAL364" i="30"/>
  <c r="DAM364" i="30"/>
  <c r="DAN364" i="30"/>
  <c r="DAO364" i="30"/>
  <c r="DAP364" i="30"/>
  <c r="DAQ364" i="30"/>
  <c r="DAR364" i="30"/>
  <c r="DAS364" i="30"/>
  <c r="DAT364" i="30"/>
  <c r="DAU364" i="30"/>
  <c r="DAV364" i="30"/>
  <c r="DAW364" i="30"/>
  <c r="DAX364" i="30"/>
  <c r="DAY364" i="30"/>
  <c r="DAZ364" i="30"/>
  <c r="DBA364" i="30"/>
  <c r="DBB364" i="30"/>
  <c r="DBC364" i="30"/>
  <c r="DBD364" i="30"/>
  <c r="DBE364" i="30"/>
  <c r="DBF364" i="30"/>
  <c r="DBG364" i="30"/>
  <c r="DBH364" i="30"/>
  <c r="DBI364" i="30"/>
  <c r="DBJ364" i="30"/>
  <c r="DBK364" i="30"/>
  <c r="DBL364" i="30"/>
  <c r="DBM364" i="30"/>
  <c r="DBN364" i="30"/>
  <c r="DBO364" i="30"/>
  <c r="DBP364" i="30"/>
  <c r="DBQ364" i="30"/>
  <c r="DBR364" i="30"/>
  <c r="DBS364" i="30"/>
  <c r="DBT364" i="30"/>
  <c r="DBU364" i="30"/>
  <c r="DBV364" i="30"/>
  <c r="DBW364" i="30"/>
  <c r="DBX364" i="30"/>
  <c r="DBY364" i="30"/>
  <c r="DBZ364" i="30"/>
  <c r="DCA364" i="30"/>
  <c r="DCB364" i="30"/>
  <c r="DCC364" i="30"/>
  <c r="DCD364" i="30"/>
  <c r="DCE364" i="30"/>
  <c r="DCF364" i="30"/>
  <c r="DCG364" i="30"/>
  <c r="DCH364" i="30"/>
  <c r="DCI364" i="30"/>
  <c r="DCJ364" i="30"/>
  <c r="DCK364" i="30"/>
  <c r="DCL364" i="30"/>
  <c r="DCM364" i="30"/>
  <c r="DCN364" i="30"/>
  <c r="DCO364" i="30"/>
  <c r="DCP364" i="30"/>
  <c r="DCQ364" i="30"/>
  <c r="DCR364" i="30"/>
  <c r="DCS364" i="30"/>
  <c r="DCT364" i="30"/>
  <c r="DCU364" i="30"/>
  <c r="DCV364" i="30"/>
  <c r="DCW364" i="30"/>
  <c r="DCX364" i="30"/>
  <c r="DCY364" i="30"/>
  <c r="DCZ364" i="30"/>
  <c r="DDA364" i="30"/>
  <c r="DDB364" i="30"/>
  <c r="DDC364" i="30"/>
  <c r="DDD364" i="30"/>
  <c r="DDE364" i="30"/>
  <c r="DDF364" i="30"/>
  <c r="DDG364" i="30"/>
  <c r="DDH364" i="30"/>
  <c r="DDI364" i="30"/>
  <c r="DDJ364" i="30"/>
  <c r="DDK364" i="30"/>
  <c r="DDL364" i="30"/>
  <c r="DDM364" i="30"/>
  <c r="DDN364" i="30"/>
  <c r="DDO364" i="30"/>
  <c r="DDP364" i="30"/>
  <c r="DDQ364" i="30"/>
  <c r="DDR364" i="30"/>
  <c r="DDS364" i="30"/>
  <c r="DDT364" i="30"/>
  <c r="DDU364" i="30"/>
  <c r="DDV364" i="30"/>
  <c r="DDW364" i="30"/>
  <c r="DDX364" i="30"/>
  <c r="DDY364" i="30"/>
  <c r="DDZ364" i="30"/>
  <c r="DEA364" i="30"/>
  <c r="DEB364" i="30"/>
  <c r="DEC364" i="30"/>
  <c r="DED364" i="30"/>
  <c r="DEE364" i="30"/>
  <c r="DEF364" i="30"/>
  <c r="DEG364" i="30"/>
  <c r="DEH364" i="30"/>
  <c r="DEI364" i="30"/>
  <c r="DEJ364" i="30"/>
  <c r="DEK364" i="30"/>
  <c r="DEL364" i="30"/>
  <c r="DEM364" i="30"/>
  <c r="DEN364" i="30"/>
  <c r="DEO364" i="30"/>
  <c r="DEP364" i="30"/>
  <c r="DEQ364" i="30"/>
  <c r="DER364" i="30"/>
  <c r="DES364" i="30"/>
  <c r="DET364" i="30"/>
  <c r="DEU364" i="30"/>
  <c r="DEV364" i="30"/>
  <c r="DEW364" i="30"/>
  <c r="DEX364" i="30"/>
  <c r="DEY364" i="30"/>
  <c r="DEZ364" i="30"/>
  <c r="DFA364" i="30"/>
  <c r="DFB364" i="30"/>
  <c r="DFC364" i="30"/>
  <c r="DFD364" i="30"/>
  <c r="DFE364" i="30"/>
  <c r="DFF364" i="30"/>
  <c r="DFG364" i="30"/>
  <c r="DFH364" i="30"/>
  <c r="DFI364" i="30"/>
  <c r="DFJ364" i="30"/>
  <c r="DFK364" i="30"/>
  <c r="DFL364" i="30"/>
  <c r="DFM364" i="30"/>
  <c r="DFN364" i="30"/>
  <c r="DFO364" i="30"/>
  <c r="DFP364" i="30"/>
  <c r="DFQ364" i="30"/>
  <c r="DFR364" i="30"/>
  <c r="DFS364" i="30"/>
  <c r="DFT364" i="30"/>
  <c r="DFU364" i="30"/>
  <c r="DFV364" i="30"/>
  <c r="DFW364" i="30"/>
  <c r="DFX364" i="30"/>
  <c r="DFY364" i="30"/>
  <c r="DFZ364" i="30"/>
  <c r="DGA364" i="30"/>
  <c r="DGB364" i="30"/>
  <c r="DGC364" i="30"/>
  <c r="DGD364" i="30"/>
  <c r="DGE364" i="30"/>
  <c r="DGF364" i="30"/>
  <c r="DGG364" i="30"/>
  <c r="DGH364" i="30"/>
  <c r="DGI364" i="30"/>
  <c r="DGJ364" i="30"/>
  <c r="DGK364" i="30"/>
  <c r="DGL364" i="30"/>
  <c r="DGM364" i="30"/>
  <c r="DGN364" i="30"/>
  <c r="DGO364" i="30"/>
  <c r="DGP364" i="30"/>
  <c r="DGQ364" i="30"/>
  <c r="DGR364" i="30"/>
  <c r="DGS364" i="30"/>
  <c r="DGT364" i="30"/>
  <c r="DGU364" i="30"/>
  <c r="DGV364" i="30"/>
  <c r="DGW364" i="30"/>
  <c r="DGX364" i="30"/>
  <c r="DGY364" i="30"/>
  <c r="DGZ364" i="30"/>
  <c r="DHA364" i="30"/>
  <c r="DHB364" i="30"/>
  <c r="DHC364" i="30"/>
  <c r="DHD364" i="30"/>
  <c r="DHE364" i="30"/>
  <c r="DHF364" i="30"/>
  <c r="DHG364" i="30"/>
  <c r="DHH364" i="30"/>
  <c r="DHI364" i="30"/>
  <c r="DHJ364" i="30"/>
  <c r="DHK364" i="30"/>
  <c r="DHL364" i="30"/>
  <c r="DHM364" i="30"/>
  <c r="DHN364" i="30"/>
  <c r="DHO364" i="30"/>
  <c r="DHP364" i="30"/>
  <c r="DHQ364" i="30"/>
  <c r="DHR364" i="30"/>
  <c r="DHS364" i="30"/>
  <c r="DHT364" i="30"/>
  <c r="DHU364" i="30"/>
  <c r="DHV364" i="30"/>
  <c r="DHW364" i="30"/>
  <c r="DHX364" i="30"/>
  <c r="DHY364" i="30"/>
  <c r="DHZ364" i="30"/>
  <c r="DIA364" i="30"/>
  <c r="DIB364" i="30"/>
  <c r="DIC364" i="30"/>
  <c r="DID364" i="30"/>
  <c r="DIE364" i="30"/>
  <c r="DIF364" i="30"/>
  <c r="DIG364" i="30"/>
  <c r="DIH364" i="30"/>
  <c r="DII364" i="30"/>
  <c r="DIJ364" i="30"/>
  <c r="DIK364" i="30"/>
  <c r="DIL364" i="30"/>
  <c r="DIM364" i="30"/>
  <c r="DIN364" i="30"/>
  <c r="DIO364" i="30"/>
  <c r="DIP364" i="30"/>
  <c r="DIQ364" i="30"/>
  <c r="DIR364" i="30"/>
  <c r="DIS364" i="30"/>
  <c r="DIT364" i="30"/>
  <c r="DIU364" i="30"/>
  <c r="DIV364" i="30"/>
  <c r="DIW364" i="30"/>
  <c r="DIX364" i="30"/>
  <c r="DIY364" i="30"/>
  <c r="DIZ364" i="30"/>
  <c r="DJA364" i="30"/>
  <c r="DJB364" i="30"/>
  <c r="DJC364" i="30"/>
  <c r="DJD364" i="30"/>
  <c r="DJE364" i="30"/>
  <c r="DJF364" i="30"/>
  <c r="DJG364" i="30"/>
  <c r="DJH364" i="30"/>
  <c r="DJI364" i="30"/>
  <c r="DJJ364" i="30"/>
  <c r="DJK364" i="30"/>
  <c r="DJL364" i="30"/>
  <c r="DJM364" i="30"/>
  <c r="DJN364" i="30"/>
  <c r="DJO364" i="30"/>
  <c r="DJP364" i="30"/>
  <c r="DJQ364" i="30"/>
  <c r="DJR364" i="30"/>
  <c r="DJS364" i="30"/>
  <c r="DJT364" i="30"/>
  <c r="DJU364" i="30"/>
  <c r="DJV364" i="30"/>
  <c r="DJW364" i="30"/>
  <c r="DJX364" i="30"/>
  <c r="DJY364" i="30"/>
  <c r="DJZ364" i="30"/>
  <c r="DKA364" i="30"/>
  <c r="DKB364" i="30"/>
  <c r="DKC364" i="30"/>
  <c r="DKD364" i="30"/>
  <c r="DKE364" i="30"/>
  <c r="DKF364" i="30"/>
  <c r="DKG364" i="30"/>
  <c r="DKH364" i="30"/>
  <c r="DKI364" i="30"/>
  <c r="DKJ364" i="30"/>
  <c r="DKK364" i="30"/>
  <c r="DKL364" i="30"/>
  <c r="DKM364" i="30"/>
  <c r="DKN364" i="30"/>
  <c r="DKO364" i="30"/>
  <c r="DKP364" i="30"/>
  <c r="DKQ364" i="30"/>
  <c r="DKR364" i="30"/>
  <c r="DKS364" i="30"/>
  <c r="DKT364" i="30"/>
  <c r="DKU364" i="30"/>
  <c r="DKV364" i="30"/>
  <c r="DKW364" i="30"/>
  <c r="DKX364" i="30"/>
  <c r="DKY364" i="30"/>
  <c r="DKZ364" i="30"/>
  <c r="DLA364" i="30"/>
  <c r="DLB364" i="30"/>
  <c r="DLC364" i="30"/>
  <c r="DLD364" i="30"/>
  <c r="DLE364" i="30"/>
  <c r="DLF364" i="30"/>
  <c r="DLG364" i="30"/>
  <c r="DLH364" i="30"/>
  <c r="DLI364" i="30"/>
  <c r="DLJ364" i="30"/>
  <c r="DLK364" i="30"/>
  <c r="DLL364" i="30"/>
  <c r="DLM364" i="30"/>
  <c r="DLN364" i="30"/>
  <c r="DLO364" i="30"/>
  <c r="DLP364" i="30"/>
  <c r="DLQ364" i="30"/>
  <c r="DLR364" i="30"/>
  <c r="DLS364" i="30"/>
  <c r="DLT364" i="30"/>
  <c r="DLU364" i="30"/>
  <c r="DLV364" i="30"/>
  <c r="DLW364" i="30"/>
  <c r="DLX364" i="30"/>
  <c r="DLY364" i="30"/>
  <c r="DLZ364" i="30"/>
  <c r="DMA364" i="30"/>
  <c r="DMB364" i="30"/>
  <c r="DMC364" i="30"/>
  <c r="DMD364" i="30"/>
  <c r="DME364" i="30"/>
  <c r="DMF364" i="30"/>
  <c r="DMG364" i="30"/>
  <c r="DMH364" i="30"/>
  <c r="DMI364" i="30"/>
  <c r="DMJ364" i="30"/>
  <c r="DMK364" i="30"/>
  <c r="DML364" i="30"/>
  <c r="DMM364" i="30"/>
  <c r="DMN364" i="30"/>
  <c r="DMO364" i="30"/>
  <c r="DMP364" i="30"/>
  <c r="DMQ364" i="30"/>
  <c r="DMR364" i="30"/>
  <c r="DMS364" i="30"/>
  <c r="DMT364" i="30"/>
  <c r="DMU364" i="30"/>
  <c r="DMV364" i="30"/>
  <c r="DMW364" i="30"/>
  <c r="DMX364" i="30"/>
  <c r="DMY364" i="30"/>
  <c r="DMZ364" i="30"/>
  <c r="DNA364" i="30"/>
  <c r="DNB364" i="30"/>
  <c r="DNC364" i="30"/>
  <c r="DND364" i="30"/>
  <c r="DNE364" i="30"/>
  <c r="DNF364" i="30"/>
  <c r="DNG364" i="30"/>
  <c r="DNH364" i="30"/>
  <c r="DNI364" i="30"/>
  <c r="DNJ364" i="30"/>
  <c r="DNK364" i="30"/>
  <c r="DNL364" i="30"/>
  <c r="DNM364" i="30"/>
  <c r="DNN364" i="30"/>
  <c r="DNO364" i="30"/>
  <c r="DNP364" i="30"/>
  <c r="DNQ364" i="30"/>
  <c r="DNR364" i="30"/>
  <c r="DNS364" i="30"/>
  <c r="DNT364" i="30"/>
  <c r="DNU364" i="30"/>
  <c r="DNV364" i="30"/>
  <c r="DNW364" i="30"/>
  <c r="DNX364" i="30"/>
  <c r="DNY364" i="30"/>
  <c r="DNZ364" i="30"/>
  <c r="DOA364" i="30"/>
  <c r="DOB364" i="30"/>
  <c r="DOC364" i="30"/>
  <c r="DOD364" i="30"/>
  <c r="DOE364" i="30"/>
  <c r="DOF364" i="30"/>
  <c r="DOG364" i="30"/>
  <c r="DOH364" i="30"/>
  <c r="DOI364" i="30"/>
  <c r="DOJ364" i="30"/>
  <c r="DOK364" i="30"/>
  <c r="DOL364" i="30"/>
  <c r="DOM364" i="30"/>
  <c r="DON364" i="30"/>
  <c r="DOO364" i="30"/>
  <c r="DOP364" i="30"/>
  <c r="DOQ364" i="30"/>
  <c r="DOR364" i="30"/>
  <c r="DOS364" i="30"/>
  <c r="DOT364" i="30"/>
  <c r="DOU364" i="30"/>
  <c r="DOV364" i="30"/>
  <c r="DOW364" i="30"/>
  <c r="DOX364" i="30"/>
  <c r="DOY364" i="30"/>
  <c r="DOZ364" i="30"/>
  <c r="DPA364" i="30"/>
  <c r="DPB364" i="30"/>
  <c r="DPC364" i="30"/>
  <c r="DPD364" i="30"/>
  <c r="DPE364" i="30"/>
  <c r="DPF364" i="30"/>
  <c r="DPG364" i="30"/>
  <c r="DPH364" i="30"/>
  <c r="DPI364" i="30"/>
  <c r="DPJ364" i="30"/>
  <c r="DPK364" i="30"/>
  <c r="DPL364" i="30"/>
  <c r="DPM364" i="30"/>
  <c r="DPN364" i="30"/>
  <c r="DPO364" i="30"/>
  <c r="DPP364" i="30"/>
  <c r="DPQ364" i="30"/>
  <c r="DPR364" i="30"/>
  <c r="DPS364" i="30"/>
  <c r="DPT364" i="30"/>
  <c r="DPU364" i="30"/>
  <c r="DPV364" i="30"/>
  <c r="DPW364" i="30"/>
  <c r="DPX364" i="30"/>
  <c r="DPY364" i="30"/>
  <c r="DPZ364" i="30"/>
  <c r="DQA364" i="30"/>
  <c r="DQB364" i="30"/>
  <c r="DQC364" i="30"/>
  <c r="DQD364" i="30"/>
  <c r="DQE364" i="30"/>
  <c r="DQF364" i="30"/>
  <c r="DQG364" i="30"/>
  <c r="DQH364" i="30"/>
  <c r="DQI364" i="30"/>
  <c r="DQJ364" i="30"/>
  <c r="DQK364" i="30"/>
  <c r="DQL364" i="30"/>
  <c r="DQM364" i="30"/>
  <c r="DQN364" i="30"/>
  <c r="DQO364" i="30"/>
  <c r="DQP364" i="30"/>
  <c r="DQQ364" i="30"/>
  <c r="DQR364" i="30"/>
  <c r="DQS364" i="30"/>
  <c r="DQT364" i="30"/>
  <c r="DQU364" i="30"/>
  <c r="DQV364" i="30"/>
  <c r="DQW364" i="30"/>
  <c r="DQX364" i="30"/>
  <c r="DQY364" i="30"/>
  <c r="DQZ364" i="30"/>
  <c r="DRA364" i="30"/>
  <c r="DRB364" i="30"/>
  <c r="DRC364" i="30"/>
  <c r="DRD364" i="30"/>
  <c r="DRE364" i="30"/>
  <c r="DRF364" i="30"/>
  <c r="DRG364" i="30"/>
  <c r="DRH364" i="30"/>
  <c r="DRI364" i="30"/>
  <c r="DRJ364" i="30"/>
  <c r="DRK364" i="30"/>
  <c r="DRL364" i="30"/>
  <c r="DRM364" i="30"/>
  <c r="DRN364" i="30"/>
  <c r="DRO364" i="30"/>
  <c r="DRP364" i="30"/>
  <c r="DRQ364" i="30"/>
  <c r="DRR364" i="30"/>
  <c r="DRS364" i="30"/>
  <c r="DRT364" i="30"/>
  <c r="DRU364" i="30"/>
  <c r="DRV364" i="30"/>
  <c r="DRW364" i="30"/>
  <c r="DRX364" i="30"/>
  <c r="DRY364" i="30"/>
  <c r="DRZ364" i="30"/>
  <c r="DSA364" i="30"/>
  <c r="DSB364" i="30"/>
  <c r="DSC364" i="30"/>
  <c r="DSD364" i="30"/>
  <c r="DSE364" i="30"/>
  <c r="DSF364" i="30"/>
  <c r="DSG364" i="30"/>
  <c r="DSH364" i="30"/>
  <c r="DSI364" i="30"/>
  <c r="DSJ364" i="30"/>
  <c r="DSK364" i="30"/>
  <c r="DSL364" i="30"/>
  <c r="DSM364" i="30"/>
  <c r="DSN364" i="30"/>
  <c r="DSO364" i="30"/>
  <c r="DSP364" i="30"/>
  <c r="DSQ364" i="30"/>
  <c r="DSR364" i="30"/>
  <c r="DSS364" i="30"/>
  <c r="DST364" i="30"/>
  <c r="DSU364" i="30"/>
  <c r="DSV364" i="30"/>
  <c r="DSW364" i="30"/>
  <c r="DSX364" i="30"/>
  <c r="DSY364" i="30"/>
  <c r="DSZ364" i="30"/>
  <c r="DTA364" i="30"/>
  <c r="DTB364" i="30"/>
  <c r="DTC364" i="30"/>
  <c r="DTD364" i="30"/>
  <c r="DTE364" i="30"/>
  <c r="DTF364" i="30"/>
  <c r="DTG364" i="30"/>
  <c r="DTH364" i="30"/>
  <c r="DTI364" i="30"/>
  <c r="DTJ364" i="30"/>
  <c r="DTK364" i="30"/>
  <c r="DTL364" i="30"/>
  <c r="DTM364" i="30"/>
  <c r="DTN364" i="30"/>
  <c r="DTO364" i="30"/>
  <c r="DTP364" i="30"/>
  <c r="DTQ364" i="30"/>
  <c r="DTR364" i="30"/>
  <c r="DTS364" i="30"/>
  <c r="DTT364" i="30"/>
  <c r="DTU364" i="30"/>
  <c r="DTV364" i="30"/>
  <c r="DTW364" i="30"/>
  <c r="DTX364" i="30"/>
  <c r="DTY364" i="30"/>
  <c r="DTZ364" i="30"/>
  <c r="DUA364" i="30"/>
  <c r="DUB364" i="30"/>
  <c r="DUC364" i="30"/>
  <c r="DUD364" i="30"/>
  <c r="DUE364" i="30"/>
  <c r="DUF364" i="30"/>
  <c r="DUG364" i="30"/>
  <c r="DUH364" i="30"/>
  <c r="DUI364" i="30"/>
  <c r="DUJ364" i="30"/>
  <c r="DUK364" i="30"/>
  <c r="DUL364" i="30"/>
  <c r="DUM364" i="30"/>
  <c r="DUN364" i="30"/>
  <c r="DUO364" i="30"/>
  <c r="DUP364" i="30"/>
  <c r="DUQ364" i="30"/>
  <c r="DUR364" i="30"/>
  <c r="DUS364" i="30"/>
  <c r="DUT364" i="30"/>
  <c r="DUU364" i="30"/>
  <c r="DUV364" i="30"/>
  <c r="DUW364" i="30"/>
  <c r="DUX364" i="30"/>
  <c r="DUY364" i="30"/>
  <c r="DUZ364" i="30"/>
  <c r="DVA364" i="30"/>
  <c r="DVB364" i="30"/>
  <c r="DVC364" i="30"/>
  <c r="DVD364" i="30"/>
  <c r="DVE364" i="30"/>
  <c r="DVF364" i="30"/>
  <c r="DVG364" i="30"/>
  <c r="DVH364" i="30"/>
  <c r="DVI364" i="30"/>
  <c r="DVJ364" i="30"/>
  <c r="DVK364" i="30"/>
  <c r="DVL364" i="30"/>
  <c r="DVM364" i="30"/>
  <c r="DVN364" i="30"/>
  <c r="DVO364" i="30"/>
  <c r="DVP364" i="30"/>
  <c r="DVQ364" i="30"/>
  <c r="DVR364" i="30"/>
  <c r="DVS364" i="30"/>
  <c r="DVT364" i="30"/>
  <c r="DVU364" i="30"/>
  <c r="DVV364" i="30"/>
  <c r="DVW364" i="30"/>
  <c r="DVX364" i="30"/>
  <c r="DVY364" i="30"/>
  <c r="DVZ364" i="30"/>
  <c r="DWA364" i="30"/>
  <c r="DWB364" i="30"/>
  <c r="DWC364" i="30"/>
  <c r="DWD364" i="30"/>
  <c r="DWE364" i="30"/>
  <c r="DWF364" i="30"/>
  <c r="DWG364" i="30"/>
  <c r="DWH364" i="30"/>
  <c r="DWI364" i="30"/>
  <c r="DWJ364" i="30"/>
  <c r="DWK364" i="30"/>
  <c r="DWL364" i="30"/>
  <c r="DWM364" i="30"/>
  <c r="DWN364" i="30"/>
  <c r="DWO364" i="30"/>
  <c r="DWP364" i="30"/>
  <c r="DWQ364" i="30"/>
  <c r="DWR364" i="30"/>
  <c r="DWS364" i="30"/>
  <c r="DWT364" i="30"/>
  <c r="DWU364" i="30"/>
  <c r="DWV364" i="30"/>
  <c r="DWW364" i="30"/>
  <c r="DWX364" i="30"/>
  <c r="DWY364" i="30"/>
  <c r="DWZ364" i="30"/>
  <c r="DXA364" i="30"/>
  <c r="DXB364" i="30"/>
  <c r="DXC364" i="30"/>
  <c r="DXD364" i="30"/>
  <c r="DXE364" i="30"/>
  <c r="DXF364" i="30"/>
  <c r="DXG364" i="30"/>
  <c r="DXH364" i="30"/>
  <c r="DXI364" i="30"/>
  <c r="DXJ364" i="30"/>
  <c r="DXK364" i="30"/>
  <c r="DXL364" i="30"/>
  <c r="DXM364" i="30"/>
  <c r="DXN364" i="30"/>
  <c r="DXO364" i="30"/>
  <c r="DXP364" i="30"/>
  <c r="DXQ364" i="30"/>
  <c r="DXR364" i="30"/>
  <c r="DXS364" i="30"/>
  <c r="DXT364" i="30"/>
  <c r="DXU364" i="30"/>
  <c r="DXV364" i="30"/>
  <c r="DXW364" i="30"/>
  <c r="DXX364" i="30"/>
  <c r="DXY364" i="30"/>
  <c r="DXZ364" i="30"/>
  <c r="DYA364" i="30"/>
  <c r="DYB364" i="30"/>
  <c r="DYC364" i="30"/>
  <c r="DYD364" i="30"/>
  <c r="DYE364" i="30"/>
  <c r="DYF364" i="30"/>
  <c r="DYG364" i="30"/>
  <c r="DYH364" i="30"/>
  <c r="DYI364" i="30"/>
  <c r="DYJ364" i="30"/>
  <c r="DYK364" i="30"/>
  <c r="DYL364" i="30"/>
  <c r="DYM364" i="30"/>
  <c r="DYN364" i="30"/>
  <c r="DYO364" i="30"/>
  <c r="DYP364" i="30"/>
  <c r="DYQ364" i="30"/>
  <c r="DYR364" i="30"/>
  <c r="DYS364" i="30"/>
  <c r="DYT364" i="30"/>
  <c r="DYU364" i="30"/>
  <c r="DYV364" i="30"/>
  <c r="DYW364" i="30"/>
  <c r="DYX364" i="30"/>
  <c r="DYY364" i="30"/>
  <c r="DYZ364" i="30"/>
  <c r="DZA364" i="30"/>
  <c r="DZB364" i="30"/>
  <c r="DZC364" i="30"/>
  <c r="DZD364" i="30"/>
  <c r="DZE364" i="30"/>
  <c r="DZF364" i="30"/>
  <c r="DZG364" i="30"/>
  <c r="DZH364" i="30"/>
  <c r="DZI364" i="30"/>
  <c r="DZJ364" i="30"/>
  <c r="DZK364" i="30"/>
  <c r="DZL364" i="30"/>
  <c r="DZM364" i="30"/>
  <c r="DZN364" i="30"/>
  <c r="DZO364" i="30"/>
  <c r="DZP364" i="30"/>
  <c r="DZQ364" i="30"/>
  <c r="DZR364" i="30"/>
  <c r="DZS364" i="30"/>
  <c r="DZT364" i="30"/>
  <c r="DZU364" i="30"/>
  <c r="DZV364" i="30"/>
  <c r="DZW364" i="30"/>
  <c r="DZX364" i="30"/>
  <c r="DZY364" i="30"/>
  <c r="DZZ364" i="30"/>
  <c r="EAA364" i="30"/>
  <c r="EAB364" i="30"/>
  <c r="EAC364" i="30"/>
  <c r="EAD364" i="30"/>
  <c r="EAE364" i="30"/>
  <c r="EAF364" i="30"/>
  <c r="EAG364" i="30"/>
  <c r="EAH364" i="30"/>
  <c r="EAI364" i="30"/>
  <c r="EAJ364" i="30"/>
  <c r="EAK364" i="30"/>
  <c r="EAL364" i="30"/>
  <c r="EAM364" i="30"/>
  <c r="EAN364" i="30"/>
  <c r="EAO364" i="30"/>
  <c r="EAP364" i="30"/>
  <c r="EAQ364" i="30"/>
  <c r="EAR364" i="30"/>
  <c r="EAS364" i="30"/>
  <c r="EAT364" i="30"/>
  <c r="EAU364" i="30"/>
  <c r="EAV364" i="30"/>
  <c r="EAW364" i="30"/>
  <c r="EAX364" i="30"/>
  <c r="EAY364" i="30"/>
  <c r="EAZ364" i="30"/>
  <c r="EBA364" i="30"/>
  <c r="EBB364" i="30"/>
  <c r="EBC364" i="30"/>
  <c r="EBD364" i="30"/>
  <c r="EBE364" i="30"/>
  <c r="EBF364" i="30"/>
  <c r="EBG364" i="30"/>
  <c r="EBH364" i="30"/>
  <c r="EBI364" i="30"/>
  <c r="EBJ364" i="30"/>
  <c r="EBK364" i="30"/>
  <c r="EBL364" i="30"/>
  <c r="EBM364" i="30"/>
  <c r="EBN364" i="30"/>
  <c r="EBO364" i="30"/>
  <c r="EBP364" i="30"/>
  <c r="EBQ364" i="30"/>
  <c r="EBR364" i="30"/>
  <c r="EBS364" i="30"/>
  <c r="EBT364" i="30"/>
  <c r="EBU364" i="30"/>
  <c r="EBV364" i="30"/>
  <c r="EBW364" i="30"/>
  <c r="EBX364" i="30"/>
  <c r="EBY364" i="30"/>
  <c r="EBZ364" i="30"/>
  <c r="ECA364" i="30"/>
  <c r="ECB364" i="30"/>
  <c r="ECC364" i="30"/>
  <c r="ECD364" i="30"/>
  <c r="ECE364" i="30"/>
  <c r="ECF364" i="30"/>
  <c r="ECG364" i="30"/>
  <c r="ECH364" i="30"/>
  <c r="ECI364" i="30"/>
  <c r="ECJ364" i="30"/>
  <c r="ECK364" i="30"/>
  <c r="ECL364" i="30"/>
  <c r="ECM364" i="30"/>
  <c r="ECN364" i="30"/>
  <c r="ECO364" i="30"/>
  <c r="ECP364" i="30"/>
  <c r="ECQ364" i="30"/>
  <c r="ECR364" i="30"/>
  <c r="ECS364" i="30"/>
  <c r="ECT364" i="30"/>
  <c r="ECU364" i="30"/>
  <c r="ECV364" i="30"/>
  <c r="ECW364" i="30"/>
  <c r="ECX364" i="30"/>
  <c r="ECY364" i="30"/>
  <c r="ECZ364" i="30"/>
  <c r="EDA364" i="30"/>
  <c r="EDB364" i="30"/>
  <c r="EDC364" i="30"/>
  <c r="EDD364" i="30"/>
  <c r="EDE364" i="30"/>
  <c r="EDF364" i="30"/>
  <c r="EDG364" i="30"/>
  <c r="EDH364" i="30"/>
  <c r="EDI364" i="30"/>
  <c r="EDJ364" i="30"/>
  <c r="EDK364" i="30"/>
  <c r="EDL364" i="30"/>
  <c r="EDM364" i="30"/>
  <c r="EDN364" i="30"/>
  <c r="EDO364" i="30"/>
  <c r="EDP364" i="30"/>
  <c r="EDQ364" i="30"/>
  <c r="EDR364" i="30"/>
  <c r="EDS364" i="30"/>
  <c r="EDT364" i="30"/>
  <c r="EDU364" i="30"/>
  <c r="EDV364" i="30"/>
  <c r="EDW364" i="30"/>
  <c r="EDX364" i="30"/>
  <c r="EDY364" i="30"/>
  <c r="EDZ364" i="30"/>
  <c r="EEA364" i="30"/>
  <c r="EEB364" i="30"/>
  <c r="EEC364" i="30"/>
  <c r="EED364" i="30"/>
  <c r="EEE364" i="30"/>
  <c r="EEF364" i="30"/>
  <c r="EEG364" i="30"/>
  <c r="EEH364" i="30"/>
  <c r="EEI364" i="30"/>
  <c r="EEJ364" i="30"/>
  <c r="EEK364" i="30"/>
  <c r="EEL364" i="30"/>
  <c r="EEM364" i="30"/>
  <c r="EEN364" i="30"/>
  <c r="EEO364" i="30"/>
  <c r="EEP364" i="30"/>
  <c r="EEQ364" i="30"/>
  <c r="EER364" i="30"/>
  <c r="EES364" i="30"/>
  <c r="EET364" i="30"/>
  <c r="EEU364" i="30"/>
  <c r="EEV364" i="30"/>
  <c r="EEW364" i="30"/>
  <c r="EEX364" i="30"/>
  <c r="EEY364" i="30"/>
  <c r="EEZ364" i="30"/>
  <c r="EFA364" i="30"/>
  <c r="EFB364" i="30"/>
  <c r="EFC364" i="30"/>
  <c r="EFD364" i="30"/>
  <c r="EFE364" i="30"/>
  <c r="EFF364" i="30"/>
  <c r="EFG364" i="30"/>
  <c r="EFH364" i="30"/>
  <c r="EFI364" i="30"/>
  <c r="EFJ364" i="30"/>
  <c r="EFK364" i="30"/>
  <c r="EFL364" i="30"/>
  <c r="EFM364" i="30"/>
  <c r="EFN364" i="30"/>
  <c r="EFO364" i="30"/>
  <c r="EFP364" i="30"/>
  <c r="EFQ364" i="30"/>
  <c r="EFR364" i="30"/>
  <c r="EFS364" i="30"/>
  <c r="EFT364" i="30"/>
  <c r="EFU364" i="30"/>
  <c r="EFV364" i="30"/>
  <c r="EFW364" i="30"/>
  <c r="EFX364" i="30"/>
  <c r="EFY364" i="30"/>
  <c r="EFZ364" i="30"/>
  <c r="EGA364" i="30"/>
  <c r="EGB364" i="30"/>
  <c r="EGC364" i="30"/>
  <c r="EGD364" i="30"/>
  <c r="EGE364" i="30"/>
  <c r="EGF364" i="30"/>
  <c r="EGG364" i="30"/>
  <c r="EGH364" i="30"/>
  <c r="EGI364" i="30"/>
  <c r="EGJ364" i="30"/>
  <c r="EGK364" i="30"/>
  <c r="EGL364" i="30"/>
  <c r="EGM364" i="30"/>
  <c r="EGN364" i="30"/>
  <c r="EGO364" i="30"/>
  <c r="EGP364" i="30"/>
  <c r="EGQ364" i="30"/>
  <c r="EGR364" i="30"/>
  <c r="EGS364" i="30"/>
  <c r="EGT364" i="30"/>
  <c r="EGU364" i="30"/>
  <c r="EGV364" i="30"/>
  <c r="EGW364" i="30"/>
  <c r="EGX364" i="30"/>
  <c r="EGY364" i="30"/>
  <c r="EGZ364" i="30"/>
  <c r="EHA364" i="30"/>
  <c r="EHB364" i="30"/>
  <c r="EHC364" i="30"/>
  <c r="EHD364" i="30"/>
  <c r="EHE364" i="30"/>
  <c r="EHF364" i="30"/>
  <c r="EHG364" i="30"/>
  <c r="EHH364" i="30"/>
  <c r="EHI364" i="30"/>
  <c r="EHJ364" i="30"/>
  <c r="EHK364" i="30"/>
  <c r="EHL364" i="30"/>
  <c r="EHM364" i="30"/>
  <c r="EHN364" i="30"/>
  <c r="EHO364" i="30"/>
  <c r="EHP364" i="30"/>
  <c r="EHQ364" i="30"/>
  <c r="EHR364" i="30"/>
  <c r="EHS364" i="30"/>
  <c r="EHT364" i="30"/>
  <c r="EHU364" i="30"/>
  <c r="EHV364" i="30"/>
  <c r="EHW364" i="30"/>
  <c r="EHX364" i="30"/>
  <c r="EHY364" i="30"/>
  <c r="EHZ364" i="30"/>
  <c r="EIA364" i="30"/>
  <c r="EIB364" i="30"/>
  <c r="EIC364" i="30"/>
  <c r="EID364" i="30"/>
  <c r="EIE364" i="30"/>
  <c r="EIF364" i="30"/>
  <c r="EIG364" i="30"/>
  <c r="EIH364" i="30"/>
  <c r="EII364" i="30"/>
  <c r="EIJ364" i="30"/>
  <c r="EIK364" i="30"/>
  <c r="EIL364" i="30"/>
  <c r="EIM364" i="30"/>
  <c r="EIN364" i="30"/>
  <c r="EIO364" i="30"/>
  <c r="EIP364" i="30"/>
  <c r="EIQ364" i="30"/>
  <c r="EIR364" i="30"/>
  <c r="EIS364" i="30"/>
  <c r="EIT364" i="30"/>
  <c r="EIU364" i="30"/>
  <c r="EIV364" i="30"/>
  <c r="EIW364" i="30"/>
  <c r="EIX364" i="30"/>
  <c r="EIY364" i="30"/>
  <c r="EIZ364" i="30"/>
  <c r="EJA364" i="30"/>
  <c r="EJB364" i="30"/>
  <c r="EJC364" i="30"/>
  <c r="EJD364" i="30"/>
  <c r="EJE364" i="30"/>
  <c r="EJF364" i="30"/>
  <c r="EJG364" i="30"/>
  <c r="EJH364" i="30"/>
  <c r="EJI364" i="30"/>
  <c r="EJJ364" i="30"/>
  <c r="EJK364" i="30"/>
  <c r="EJL364" i="30"/>
  <c r="EJM364" i="30"/>
  <c r="EJN364" i="30"/>
  <c r="EJO364" i="30"/>
  <c r="EJP364" i="30"/>
  <c r="EJQ364" i="30"/>
  <c r="EJR364" i="30"/>
  <c r="EJS364" i="30"/>
  <c r="EJT364" i="30"/>
  <c r="EJU364" i="30"/>
  <c r="EJV364" i="30"/>
  <c r="EJW364" i="30"/>
  <c r="EJX364" i="30"/>
  <c r="EJY364" i="30"/>
  <c r="EJZ364" i="30"/>
  <c r="EKA364" i="30"/>
  <c r="EKB364" i="30"/>
  <c r="EKC364" i="30"/>
  <c r="EKD364" i="30"/>
  <c r="EKE364" i="30"/>
  <c r="EKF364" i="30"/>
  <c r="EKG364" i="30"/>
  <c r="EKH364" i="30"/>
  <c r="EKI364" i="30"/>
  <c r="EKJ364" i="30"/>
  <c r="EKK364" i="30"/>
  <c r="EKL364" i="30"/>
  <c r="EKM364" i="30"/>
  <c r="EKN364" i="30"/>
  <c r="EKO364" i="30"/>
  <c r="EKP364" i="30"/>
  <c r="EKQ364" i="30"/>
  <c r="EKR364" i="30"/>
  <c r="EKS364" i="30"/>
  <c r="EKT364" i="30"/>
  <c r="EKU364" i="30"/>
  <c r="EKV364" i="30"/>
  <c r="EKW364" i="30"/>
  <c r="EKX364" i="30"/>
  <c r="EKY364" i="30"/>
  <c r="EKZ364" i="30"/>
  <c r="ELA364" i="30"/>
  <c r="ELB364" i="30"/>
  <c r="ELC364" i="30"/>
  <c r="ELD364" i="30"/>
  <c r="ELE364" i="30"/>
  <c r="ELF364" i="30"/>
  <c r="ELG364" i="30"/>
  <c r="ELH364" i="30"/>
  <c r="ELI364" i="30"/>
  <c r="ELJ364" i="30"/>
  <c r="ELK364" i="30"/>
  <c r="ELL364" i="30"/>
  <c r="ELM364" i="30"/>
  <c r="ELN364" i="30"/>
  <c r="ELO364" i="30"/>
  <c r="ELP364" i="30"/>
  <c r="ELQ364" i="30"/>
  <c r="ELR364" i="30"/>
  <c r="ELS364" i="30"/>
  <c r="ELT364" i="30"/>
  <c r="ELU364" i="30"/>
  <c r="ELV364" i="30"/>
  <c r="ELW364" i="30"/>
  <c r="ELX364" i="30"/>
  <c r="ELY364" i="30"/>
  <c r="ELZ364" i="30"/>
  <c r="EMA364" i="30"/>
  <c r="EMB364" i="30"/>
  <c r="EMC364" i="30"/>
  <c r="EMD364" i="30"/>
  <c r="EME364" i="30"/>
  <c r="EMF364" i="30"/>
  <c r="EMG364" i="30"/>
  <c r="EMH364" i="30"/>
  <c r="EMI364" i="30"/>
  <c r="EMJ364" i="30"/>
  <c r="EMK364" i="30"/>
  <c r="EML364" i="30"/>
  <c r="EMM364" i="30"/>
  <c r="EMN364" i="30"/>
  <c r="EMO364" i="30"/>
  <c r="EMP364" i="30"/>
  <c r="EMQ364" i="30"/>
  <c r="EMR364" i="30"/>
  <c r="EMS364" i="30"/>
  <c r="EMT364" i="30"/>
  <c r="EMU364" i="30"/>
  <c r="EMV364" i="30"/>
  <c r="EMW364" i="30"/>
  <c r="EMX364" i="30"/>
  <c r="EMY364" i="30"/>
  <c r="EMZ364" i="30"/>
  <c r="ENA364" i="30"/>
  <c r="ENB364" i="30"/>
  <c r="ENC364" i="30"/>
  <c r="END364" i="30"/>
  <c r="ENE364" i="30"/>
  <c r="ENF364" i="30"/>
  <c r="ENG364" i="30"/>
  <c r="ENH364" i="30"/>
  <c r="ENI364" i="30"/>
  <c r="ENJ364" i="30"/>
  <c r="ENK364" i="30"/>
  <c r="ENL364" i="30"/>
  <c r="ENM364" i="30"/>
  <c r="ENN364" i="30"/>
  <c r="ENO364" i="30"/>
  <c r="ENP364" i="30"/>
  <c r="ENQ364" i="30"/>
  <c r="ENR364" i="30"/>
  <c r="ENS364" i="30"/>
  <c r="ENT364" i="30"/>
  <c r="ENU364" i="30"/>
  <c r="ENV364" i="30"/>
  <c r="ENW364" i="30"/>
  <c r="ENX364" i="30"/>
  <c r="ENY364" i="30"/>
  <c r="ENZ364" i="30"/>
  <c r="EOA364" i="30"/>
  <c r="EOB364" i="30"/>
  <c r="EOC364" i="30"/>
  <c r="EOD364" i="30"/>
  <c r="EOE364" i="30"/>
  <c r="EOF364" i="30"/>
  <c r="EOG364" i="30"/>
  <c r="EOH364" i="30"/>
  <c r="EOI364" i="30"/>
  <c r="EOJ364" i="30"/>
  <c r="EOK364" i="30"/>
  <c r="EOL364" i="30"/>
  <c r="EOM364" i="30"/>
  <c r="EON364" i="30"/>
  <c r="EOO364" i="30"/>
  <c r="EOP364" i="30"/>
  <c r="EOQ364" i="30"/>
  <c r="EOR364" i="30"/>
  <c r="EOS364" i="30"/>
  <c r="EOT364" i="30"/>
  <c r="EOU364" i="30"/>
  <c r="EOV364" i="30"/>
  <c r="EOW364" i="30"/>
  <c r="EOX364" i="30"/>
  <c r="EOY364" i="30"/>
  <c r="EOZ364" i="30"/>
  <c r="EPA364" i="30"/>
  <c r="EPB364" i="30"/>
  <c r="EPC364" i="30"/>
  <c r="EPD364" i="30"/>
  <c r="EPE364" i="30"/>
  <c r="EPF364" i="30"/>
  <c r="EPG364" i="30"/>
  <c r="EPH364" i="30"/>
  <c r="EPI364" i="30"/>
  <c r="EPJ364" i="30"/>
  <c r="EPK364" i="30"/>
  <c r="EPL364" i="30"/>
  <c r="EPM364" i="30"/>
  <c r="EPN364" i="30"/>
  <c r="EPO364" i="30"/>
  <c r="EPP364" i="30"/>
  <c r="EPQ364" i="30"/>
  <c r="EPR364" i="30"/>
  <c r="EPS364" i="30"/>
  <c r="EPT364" i="30"/>
  <c r="EPU364" i="30"/>
  <c r="EPV364" i="30"/>
  <c r="EPW364" i="30"/>
  <c r="EPX364" i="30"/>
  <c r="EPY364" i="30"/>
  <c r="EPZ364" i="30"/>
  <c r="EQA364" i="30"/>
  <c r="EQB364" i="30"/>
  <c r="EQC364" i="30"/>
  <c r="EQD364" i="30"/>
  <c r="EQE364" i="30"/>
  <c r="EQF364" i="30"/>
  <c r="EQG364" i="30"/>
  <c r="EQH364" i="30"/>
  <c r="EQI364" i="30"/>
  <c r="EQJ364" i="30"/>
  <c r="EQK364" i="30"/>
  <c r="EQL364" i="30"/>
  <c r="EQM364" i="30"/>
  <c r="EQN364" i="30"/>
  <c r="EQO364" i="30"/>
  <c r="EQP364" i="30"/>
  <c r="EQQ364" i="30"/>
  <c r="EQR364" i="30"/>
  <c r="EQS364" i="30"/>
  <c r="EQT364" i="30"/>
  <c r="EQU364" i="30"/>
  <c r="EQV364" i="30"/>
  <c r="EQW364" i="30"/>
  <c r="EQX364" i="30"/>
  <c r="EQY364" i="30"/>
  <c r="EQZ364" i="30"/>
  <c r="ERA364" i="30"/>
  <c r="ERB364" i="30"/>
  <c r="ERC364" i="30"/>
  <c r="ERD364" i="30"/>
  <c r="ERE364" i="30"/>
  <c r="ERF364" i="30"/>
  <c r="ERG364" i="30"/>
  <c r="ERH364" i="30"/>
  <c r="ERI364" i="30"/>
  <c r="ERJ364" i="30"/>
  <c r="ERK364" i="30"/>
  <c r="ERL364" i="30"/>
  <c r="ERM364" i="30"/>
  <c r="ERN364" i="30"/>
  <c r="ERO364" i="30"/>
  <c r="ERP364" i="30"/>
  <c r="ERQ364" i="30"/>
  <c r="ERR364" i="30"/>
  <c r="ERS364" i="30"/>
  <c r="ERT364" i="30"/>
  <c r="ERU364" i="30"/>
  <c r="ERV364" i="30"/>
  <c r="ERW364" i="30"/>
  <c r="ERX364" i="30"/>
  <c r="ERY364" i="30"/>
  <c r="ERZ364" i="30"/>
  <c r="ESA364" i="30"/>
  <c r="ESB364" i="30"/>
  <c r="ESC364" i="30"/>
  <c r="ESD364" i="30"/>
  <c r="ESE364" i="30"/>
  <c r="ESF364" i="30"/>
  <c r="ESG364" i="30"/>
  <c r="ESH364" i="30"/>
  <c r="ESI364" i="30"/>
  <c r="ESJ364" i="30"/>
  <c r="ESK364" i="30"/>
  <c r="ESL364" i="30"/>
  <c r="ESM364" i="30"/>
  <c r="ESN364" i="30"/>
  <c r="ESO364" i="30"/>
  <c r="ESP364" i="30"/>
  <c r="ESQ364" i="30"/>
  <c r="ESR364" i="30"/>
  <c r="ESS364" i="30"/>
  <c r="EST364" i="30"/>
  <c r="ESU364" i="30"/>
  <c r="ESV364" i="30"/>
  <c r="ESW364" i="30"/>
  <c r="ESX364" i="30"/>
  <c r="ESY364" i="30"/>
  <c r="ESZ364" i="30"/>
  <c r="ETA364" i="30"/>
  <c r="ETB364" i="30"/>
  <c r="ETC364" i="30"/>
  <c r="ETD364" i="30"/>
  <c r="ETE364" i="30"/>
  <c r="ETF364" i="30"/>
  <c r="ETG364" i="30"/>
  <c r="ETH364" i="30"/>
  <c r="ETI364" i="30"/>
  <c r="ETJ364" i="30"/>
  <c r="ETK364" i="30"/>
  <c r="ETL364" i="30"/>
  <c r="ETM364" i="30"/>
  <c r="ETN364" i="30"/>
  <c r="ETO364" i="30"/>
  <c r="ETP364" i="30"/>
  <c r="ETQ364" i="30"/>
  <c r="ETR364" i="30"/>
  <c r="ETS364" i="30"/>
  <c r="ETT364" i="30"/>
  <c r="ETU364" i="30"/>
  <c r="ETV364" i="30"/>
  <c r="ETW364" i="30"/>
  <c r="ETX364" i="30"/>
  <c r="ETY364" i="30"/>
  <c r="ETZ364" i="30"/>
  <c r="EUA364" i="30"/>
  <c r="EUB364" i="30"/>
  <c r="EUC364" i="30"/>
  <c r="EUD364" i="30"/>
  <c r="EUE364" i="30"/>
  <c r="EUF364" i="30"/>
  <c r="EUG364" i="30"/>
  <c r="EUH364" i="30"/>
  <c r="EUI364" i="30"/>
  <c r="EUJ364" i="30"/>
  <c r="EUK364" i="30"/>
  <c r="EUL364" i="30"/>
  <c r="EUM364" i="30"/>
  <c r="EUN364" i="30"/>
  <c r="EUO364" i="30"/>
  <c r="EUP364" i="30"/>
  <c r="EUQ364" i="30"/>
  <c r="EUR364" i="30"/>
  <c r="EUS364" i="30"/>
  <c r="EUT364" i="30"/>
  <c r="EUU364" i="30"/>
  <c r="EUV364" i="30"/>
  <c r="EUW364" i="30"/>
  <c r="EUX364" i="30"/>
  <c r="EUY364" i="30"/>
  <c r="EUZ364" i="30"/>
  <c r="EVA364" i="30"/>
  <c r="EVB364" i="30"/>
  <c r="EVC364" i="30"/>
  <c r="EVD364" i="30"/>
  <c r="EVE364" i="30"/>
  <c r="EVF364" i="30"/>
  <c r="EVG364" i="30"/>
  <c r="EVH364" i="30"/>
  <c r="EVI364" i="30"/>
  <c r="EVJ364" i="30"/>
  <c r="EVK364" i="30"/>
  <c r="EVL364" i="30"/>
  <c r="EVM364" i="30"/>
  <c r="EVN364" i="30"/>
  <c r="EVO364" i="30"/>
  <c r="EVP364" i="30"/>
  <c r="EVQ364" i="30"/>
  <c r="EVR364" i="30"/>
  <c r="EVS364" i="30"/>
  <c r="EVT364" i="30"/>
  <c r="EVU364" i="30"/>
  <c r="EVV364" i="30"/>
  <c r="EVW364" i="30"/>
  <c r="EVX364" i="30"/>
  <c r="EVY364" i="30"/>
  <c r="EVZ364" i="30"/>
  <c r="EWA364" i="30"/>
  <c r="EWB364" i="30"/>
  <c r="EWC364" i="30"/>
  <c r="EWD364" i="30"/>
  <c r="EWE364" i="30"/>
  <c r="EWF364" i="30"/>
  <c r="EWG364" i="30"/>
  <c r="EWH364" i="30"/>
  <c r="EWI364" i="30"/>
  <c r="EWJ364" i="30"/>
  <c r="EWK364" i="30"/>
  <c r="EWL364" i="30"/>
  <c r="EWM364" i="30"/>
  <c r="EWN364" i="30"/>
  <c r="EWO364" i="30"/>
  <c r="EWP364" i="30"/>
  <c r="EWQ364" i="30"/>
  <c r="EWR364" i="30"/>
  <c r="EWS364" i="30"/>
  <c r="EWT364" i="30"/>
  <c r="EWU364" i="30"/>
  <c r="EWV364" i="30"/>
  <c r="EWW364" i="30"/>
  <c r="EWX364" i="30"/>
  <c r="EWY364" i="30"/>
  <c r="EWZ364" i="30"/>
  <c r="EXA364" i="30"/>
  <c r="EXB364" i="30"/>
  <c r="EXC364" i="30"/>
  <c r="EXD364" i="30"/>
  <c r="EXE364" i="30"/>
  <c r="EXF364" i="30"/>
  <c r="EXG364" i="30"/>
  <c r="EXH364" i="30"/>
  <c r="EXI364" i="30"/>
  <c r="EXJ364" i="30"/>
  <c r="EXK364" i="30"/>
  <c r="EXL364" i="30"/>
  <c r="EXM364" i="30"/>
  <c r="EXN364" i="30"/>
  <c r="EXO364" i="30"/>
  <c r="EXP364" i="30"/>
  <c r="EXQ364" i="30"/>
  <c r="EXR364" i="30"/>
  <c r="EXS364" i="30"/>
  <c r="EXT364" i="30"/>
  <c r="EXU364" i="30"/>
  <c r="EXV364" i="30"/>
  <c r="EXW364" i="30"/>
  <c r="EXX364" i="30"/>
  <c r="EXY364" i="30"/>
  <c r="EXZ364" i="30"/>
  <c r="EYA364" i="30"/>
  <c r="EYB364" i="30"/>
  <c r="EYC364" i="30"/>
  <c r="EYD364" i="30"/>
  <c r="EYE364" i="30"/>
  <c r="EYF364" i="30"/>
  <c r="EYG364" i="30"/>
  <c r="EYH364" i="30"/>
  <c r="EYI364" i="30"/>
  <c r="EYJ364" i="30"/>
  <c r="EYK364" i="30"/>
  <c r="EYL364" i="30"/>
  <c r="EYM364" i="30"/>
  <c r="EYN364" i="30"/>
  <c r="EYO364" i="30"/>
  <c r="EYP364" i="30"/>
  <c r="EYQ364" i="30"/>
  <c r="EYR364" i="30"/>
  <c r="EYS364" i="30"/>
  <c r="EYT364" i="30"/>
  <c r="EYU364" i="30"/>
  <c r="EYV364" i="30"/>
  <c r="EYW364" i="30"/>
  <c r="EYX364" i="30"/>
  <c r="EYY364" i="30"/>
  <c r="EYZ364" i="30"/>
  <c r="EZA364" i="30"/>
  <c r="EZB364" i="30"/>
  <c r="EZC364" i="30"/>
  <c r="EZD364" i="30"/>
  <c r="EZE364" i="30"/>
  <c r="EZF364" i="30"/>
  <c r="EZG364" i="30"/>
  <c r="EZH364" i="30"/>
  <c r="EZI364" i="30"/>
  <c r="EZJ364" i="30"/>
  <c r="EZK364" i="30"/>
  <c r="EZL364" i="30"/>
  <c r="EZM364" i="30"/>
  <c r="EZN364" i="30"/>
  <c r="EZO364" i="30"/>
  <c r="EZP364" i="30"/>
  <c r="EZQ364" i="30"/>
  <c r="EZR364" i="30"/>
  <c r="EZS364" i="30"/>
  <c r="EZT364" i="30"/>
  <c r="EZU364" i="30"/>
  <c r="EZV364" i="30"/>
  <c r="EZW364" i="30"/>
  <c r="EZX364" i="30"/>
  <c r="EZY364" i="30"/>
  <c r="EZZ364" i="30"/>
  <c r="FAA364" i="30"/>
  <c r="FAB364" i="30"/>
  <c r="FAC364" i="30"/>
  <c r="FAD364" i="30"/>
  <c r="FAE364" i="30"/>
  <c r="FAF364" i="30"/>
  <c r="FAG364" i="30"/>
  <c r="FAH364" i="30"/>
  <c r="FAI364" i="30"/>
  <c r="FAJ364" i="30"/>
  <c r="FAK364" i="30"/>
  <c r="FAL364" i="30"/>
  <c r="FAM364" i="30"/>
  <c r="FAN364" i="30"/>
  <c r="FAO364" i="30"/>
  <c r="FAP364" i="30"/>
  <c r="FAQ364" i="30"/>
  <c r="FAR364" i="30"/>
  <c r="FAS364" i="30"/>
  <c r="FAT364" i="30"/>
  <c r="FAU364" i="30"/>
  <c r="FAV364" i="30"/>
  <c r="FAW364" i="30"/>
  <c r="FAX364" i="30"/>
  <c r="FAY364" i="30"/>
  <c r="FAZ364" i="30"/>
  <c r="FBA364" i="30"/>
  <c r="FBB364" i="30"/>
  <c r="FBC364" i="30"/>
  <c r="FBD364" i="30"/>
  <c r="FBE364" i="30"/>
  <c r="FBF364" i="30"/>
  <c r="FBG364" i="30"/>
  <c r="FBH364" i="30"/>
  <c r="FBI364" i="30"/>
  <c r="FBJ364" i="30"/>
  <c r="FBK364" i="30"/>
  <c r="FBL364" i="30"/>
  <c r="FBM364" i="30"/>
  <c r="FBN364" i="30"/>
  <c r="FBO364" i="30"/>
  <c r="FBP364" i="30"/>
  <c r="FBQ364" i="30"/>
  <c r="FBR364" i="30"/>
  <c r="FBS364" i="30"/>
  <c r="FBT364" i="30"/>
  <c r="FBU364" i="30"/>
  <c r="FBV364" i="30"/>
  <c r="FBW364" i="30"/>
  <c r="FBX364" i="30"/>
  <c r="FBY364" i="30"/>
  <c r="FBZ364" i="30"/>
  <c r="FCA364" i="30"/>
  <c r="FCB364" i="30"/>
  <c r="FCC364" i="30"/>
  <c r="FCD364" i="30"/>
  <c r="FCE364" i="30"/>
  <c r="FCF364" i="30"/>
  <c r="FCG364" i="30"/>
  <c r="FCH364" i="30"/>
  <c r="FCI364" i="30"/>
  <c r="FCJ364" i="30"/>
  <c r="FCK364" i="30"/>
  <c r="FCL364" i="30"/>
  <c r="FCM364" i="30"/>
  <c r="FCN364" i="30"/>
  <c r="FCO364" i="30"/>
  <c r="FCP364" i="30"/>
  <c r="FCQ364" i="30"/>
  <c r="FCR364" i="30"/>
  <c r="FCS364" i="30"/>
  <c r="FCT364" i="30"/>
  <c r="FCU364" i="30"/>
  <c r="FCV364" i="30"/>
  <c r="FCW364" i="30"/>
  <c r="FCX364" i="30"/>
  <c r="FCY364" i="30"/>
  <c r="FCZ364" i="30"/>
  <c r="FDA364" i="30"/>
  <c r="FDB364" i="30"/>
  <c r="FDC364" i="30"/>
  <c r="FDD364" i="30"/>
  <c r="FDE364" i="30"/>
  <c r="FDF364" i="30"/>
  <c r="FDG364" i="30"/>
  <c r="FDH364" i="30"/>
  <c r="FDI364" i="30"/>
  <c r="FDJ364" i="30"/>
  <c r="FDK364" i="30"/>
  <c r="FDL364" i="30"/>
  <c r="FDM364" i="30"/>
  <c r="FDN364" i="30"/>
  <c r="FDO364" i="30"/>
  <c r="FDP364" i="30"/>
  <c r="FDQ364" i="30"/>
  <c r="FDR364" i="30"/>
  <c r="FDS364" i="30"/>
  <c r="FDT364" i="30"/>
  <c r="FDU364" i="30"/>
  <c r="FDV364" i="30"/>
  <c r="FDW364" i="30"/>
  <c r="FDX364" i="30"/>
  <c r="FDY364" i="30"/>
  <c r="FDZ364" i="30"/>
  <c r="FEA364" i="30"/>
  <c r="FEB364" i="30"/>
  <c r="FEC364" i="30"/>
  <c r="FED364" i="30"/>
  <c r="FEE364" i="30"/>
  <c r="FEF364" i="30"/>
  <c r="FEG364" i="30"/>
  <c r="FEH364" i="30"/>
  <c r="FEI364" i="30"/>
  <c r="FEJ364" i="30"/>
  <c r="FEK364" i="30"/>
  <c r="FEL364" i="30"/>
  <c r="FEM364" i="30"/>
  <c r="FEN364" i="30"/>
  <c r="FEO364" i="30"/>
  <c r="FEP364" i="30"/>
  <c r="FEQ364" i="30"/>
  <c r="FER364" i="30"/>
  <c r="FES364" i="30"/>
  <c r="FET364" i="30"/>
  <c r="FEU364" i="30"/>
  <c r="FEV364" i="30"/>
  <c r="FEW364" i="30"/>
  <c r="FEX364" i="30"/>
  <c r="FEY364" i="30"/>
  <c r="FEZ364" i="30"/>
  <c r="FFA364" i="30"/>
  <c r="FFB364" i="30"/>
  <c r="FFC364" i="30"/>
  <c r="FFD364" i="30"/>
  <c r="FFE364" i="30"/>
  <c r="FFF364" i="30"/>
  <c r="FFG364" i="30"/>
  <c r="FFH364" i="30"/>
  <c r="FFI364" i="30"/>
  <c r="FFJ364" i="30"/>
  <c r="FFK364" i="30"/>
  <c r="FFL364" i="30"/>
  <c r="FFM364" i="30"/>
  <c r="FFN364" i="30"/>
  <c r="FFO364" i="30"/>
  <c r="FFP364" i="30"/>
  <c r="FFQ364" i="30"/>
  <c r="FFR364" i="30"/>
  <c r="FFS364" i="30"/>
  <c r="FFT364" i="30"/>
  <c r="FFU364" i="30"/>
  <c r="FFV364" i="30"/>
  <c r="FFW364" i="30"/>
  <c r="FFX364" i="30"/>
  <c r="FFY364" i="30"/>
  <c r="FFZ364" i="30"/>
  <c r="FGA364" i="30"/>
  <c r="FGB364" i="30"/>
  <c r="FGC364" i="30"/>
  <c r="FGD364" i="30"/>
  <c r="FGE364" i="30"/>
  <c r="FGF364" i="30"/>
  <c r="FGG364" i="30"/>
  <c r="FGH364" i="30"/>
  <c r="FGI364" i="30"/>
  <c r="FGJ364" i="30"/>
  <c r="FGK364" i="30"/>
  <c r="FGL364" i="30"/>
  <c r="FGM364" i="30"/>
  <c r="FGN364" i="30"/>
  <c r="FGO364" i="30"/>
  <c r="FGP364" i="30"/>
  <c r="FGQ364" i="30"/>
  <c r="FGR364" i="30"/>
  <c r="FGS364" i="30"/>
  <c r="FGT364" i="30"/>
  <c r="FGU364" i="30"/>
  <c r="FGV364" i="30"/>
  <c r="FGW364" i="30"/>
  <c r="FGX364" i="30"/>
  <c r="FGY364" i="30"/>
  <c r="FGZ364" i="30"/>
  <c r="FHA364" i="30"/>
  <c r="FHB364" i="30"/>
  <c r="FHC364" i="30"/>
  <c r="FHD364" i="30"/>
  <c r="FHE364" i="30"/>
  <c r="FHF364" i="30"/>
  <c r="FHG364" i="30"/>
  <c r="FHH364" i="30"/>
  <c r="FHI364" i="30"/>
  <c r="FHJ364" i="30"/>
  <c r="FHK364" i="30"/>
  <c r="FHL364" i="30"/>
  <c r="FHM364" i="30"/>
  <c r="FHN364" i="30"/>
  <c r="FHO364" i="30"/>
  <c r="FHP364" i="30"/>
  <c r="FHQ364" i="30"/>
  <c r="FHR364" i="30"/>
  <c r="FHS364" i="30"/>
  <c r="FHT364" i="30"/>
  <c r="FHU364" i="30"/>
  <c r="FHV364" i="30"/>
  <c r="FHW364" i="30"/>
  <c r="FHX364" i="30"/>
  <c r="FHY364" i="30"/>
  <c r="FHZ364" i="30"/>
  <c r="FIA364" i="30"/>
  <c r="FIB364" i="30"/>
  <c r="FIC364" i="30"/>
  <c r="FID364" i="30"/>
  <c r="FIE364" i="30"/>
  <c r="FIF364" i="30"/>
  <c r="FIG364" i="30"/>
  <c r="FIH364" i="30"/>
  <c r="FII364" i="30"/>
  <c r="FIJ364" i="30"/>
  <c r="FIK364" i="30"/>
  <c r="FIL364" i="30"/>
  <c r="FIM364" i="30"/>
  <c r="FIN364" i="30"/>
  <c r="FIO364" i="30"/>
  <c r="FIP364" i="30"/>
  <c r="FIQ364" i="30"/>
  <c r="FIR364" i="30"/>
  <c r="FIS364" i="30"/>
  <c r="FIT364" i="30"/>
  <c r="FIU364" i="30"/>
  <c r="FIV364" i="30"/>
  <c r="FIW364" i="30"/>
  <c r="FIX364" i="30"/>
  <c r="FIY364" i="30"/>
  <c r="FIZ364" i="30"/>
  <c r="FJA364" i="30"/>
  <c r="FJB364" i="30"/>
  <c r="FJC364" i="30"/>
  <c r="FJD364" i="30"/>
  <c r="FJE364" i="30"/>
  <c r="FJF364" i="30"/>
  <c r="FJG364" i="30"/>
  <c r="FJH364" i="30"/>
  <c r="FJI364" i="30"/>
  <c r="FJJ364" i="30"/>
  <c r="FJK364" i="30"/>
  <c r="FJL364" i="30"/>
  <c r="FJM364" i="30"/>
  <c r="FJN364" i="30"/>
  <c r="FJO364" i="30"/>
  <c r="FJP364" i="30"/>
  <c r="FJQ364" i="30"/>
  <c r="FJR364" i="30"/>
  <c r="FJS364" i="30"/>
  <c r="FJT364" i="30"/>
  <c r="FJU364" i="30"/>
  <c r="FJV364" i="30"/>
  <c r="FJW364" i="30"/>
  <c r="FJX364" i="30"/>
  <c r="FJY364" i="30"/>
  <c r="FJZ364" i="30"/>
  <c r="FKA364" i="30"/>
  <c r="FKB364" i="30"/>
  <c r="FKC364" i="30"/>
  <c r="FKD364" i="30"/>
  <c r="FKE364" i="30"/>
  <c r="FKF364" i="30"/>
  <c r="FKG364" i="30"/>
  <c r="FKH364" i="30"/>
  <c r="FKI364" i="30"/>
  <c r="FKJ364" i="30"/>
  <c r="FKK364" i="30"/>
  <c r="FKL364" i="30"/>
  <c r="FKM364" i="30"/>
  <c r="FKN364" i="30"/>
  <c r="FKO364" i="30"/>
  <c r="FKP364" i="30"/>
  <c r="FKQ364" i="30"/>
  <c r="FKR364" i="30"/>
  <c r="FKS364" i="30"/>
  <c r="FKT364" i="30"/>
  <c r="FKU364" i="30"/>
  <c r="FKV364" i="30"/>
  <c r="FKW364" i="30"/>
  <c r="FKX364" i="30"/>
  <c r="FKY364" i="30"/>
  <c r="FKZ364" i="30"/>
  <c r="FLA364" i="30"/>
  <c r="FLB364" i="30"/>
  <c r="FLC364" i="30"/>
  <c r="FLD364" i="30"/>
  <c r="FLE364" i="30"/>
  <c r="FLF364" i="30"/>
  <c r="FLG364" i="30"/>
  <c r="FLH364" i="30"/>
  <c r="FLI364" i="30"/>
  <c r="FLJ364" i="30"/>
  <c r="FLK364" i="30"/>
  <c r="FLL364" i="30"/>
  <c r="FLM364" i="30"/>
  <c r="FLN364" i="30"/>
  <c r="FLO364" i="30"/>
  <c r="FLP364" i="30"/>
  <c r="FLQ364" i="30"/>
  <c r="FLR364" i="30"/>
  <c r="FLS364" i="30"/>
  <c r="FLT364" i="30"/>
  <c r="FLU364" i="30"/>
  <c r="FLV364" i="30"/>
  <c r="FLW364" i="30"/>
  <c r="FLX364" i="30"/>
  <c r="FLY364" i="30"/>
  <c r="FLZ364" i="30"/>
  <c r="FMA364" i="30"/>
  <c r="FMB364" i="30"/>
  <c r="FMC364" i="30"/>
  <c r="FMD364" i="30"/>
  <c r="FME364" i="30"/>
  <c r="FMF364" i="30"/>
  <c r="FMG364" i="30"/>
  <c r="FMH364" i="30"/>
  <c r="FMI364" i="30"/>
  <c r="FMJ364" i="30"/>
  <c r="FMK364" i="30"/>
  <c r="FML364" i="30"/>
  <c r="FMM364" i="30"/>
  <c r="FMN364" i="30"/>
  <c r="FMO364" i="30"/>
  <c r="FMP364" i="30"/>
  <c r="FMQ364" i="30"/>
  <c r="FMR364" i="30"/>
  <c r="FMS364" i="30"/>
  <c r="FMT364" i="30"/>
  <c r="FMU364" i="30"/>
  <c r="FMV364" i="30"/>
  <c r="FMW364" i="30"/>
  <c r="FMX364" i="30"/>
  <c r="FMY364" i="30"/>
  <c r="FMZ364" i="30"/>
  <c r="FNA364" i="30"/>
  <c r="FNB364" i="30"/>
  <c r="FNC364" i="30"/>
  <c r="FND364" i="30"/>
  <c r="FNE364" i="30"/>
  <c r="FNF364" i="30"/>
  <c r="FNG364" i="30"/>
  <c r="FNH364" i="30"/>
  <c r="FNI364" i="30"/>
  <c r="FNJ364" i="30"/>
  <c r="FNK364" i="30"/>
  <c r="FNL364" i="30"/>
  <c r="FNM364" i="30"/>
  <c r="FNN364" i="30"/>
  <c r="FNO364" i="30"/>
  <c r="FNP364" i="30"/>
  <c r="FNQ364" i="30"/>
  <c r="FNR364" i="30"/>
  <c r="FNS364" i="30"/>
  <c r="FNT364" i="30"/>
  <c r="FNU364" i="30"/>
  <c r="FNV364" i="30"/>
  <c r="FNW364" i="30"/>
  <c r="FNX364" i="30"/>
  <c r="FNY364" i="30"/>
  <c r="FNZ364" i="30"/>
  <c r="FOA364" i="30"/>
  <c r="FOB364" i="30"/>
  <c r="FOC364" i="30"/>
  <c r="FOD364" i="30"/>
  <c r="FOE364" i="30"/>
  <c r="FOF364" i="30"/>
  <c r="FOG364" i="30"/>
  <c r="FOH364" i="30"/>
  <c r="FOI364" i="30"/>
  <c r="FOJ364" i="30"/>
  <c r="FOK364" i="30"/>
  <c r="FOL364" i="30"/>
  <c r="FOM364" i="30"/>
  <c r="FON364" i="30"/>
  <c r="FOO364" i="30"/>
  <c r="FOP364" i="30"/>
  <c r="FOQ364" i="30"/>
  <c r="FOR364" i="30"/>
  <c r="FOS364" i="30"/>
  <c r="FOT364" i="30"/>
  <c r="FOU364" i="30"/>
  <c r="FOV364" i="30"/>
  <c r="FOW364" i="30"/>
  <c r="FOX364" i="30"/>
  <c r="FOY364" i="30"/>
  <c r="FOZ364" i="30"/>
  <c r="FPA364" i="30"/>
  <c r="FPB364" i="30"/>
  <c r="FPC364" i="30"/>
  <c r="FPD364" i="30"/>
  <c r="FPE364" i="30"/>
  <c r="FPF364" i="30"/>
  <c r="FPG364" i="30"/>
  <c r="FPH364" i="30"/>
  <c r="FPI364" i="30"/>
  <c r="FPJ364" i="30"/>
  <c r="FPK364" i="30"/>
  <c r="FPL364" i="30"/>
  <c r="FPM364" i="30"/>
  <c r="FPN364" i="30"/>
  <c r="FPO364" i="30"/>
  <c r="FPP364" i="30"/>
  <c r="FPQ364" i="30"/>
  <c r="FPR364" i="30"/>
  <c r="FPS364" i="30"/>
  <c r="FPT364" i="30"/>
  <c r="FPU364" i="30"/>
  <c r="FPV364" i="30"/>
  <c r="FPW364" i="30"/>
  <c r="FPX364" i="30"/>
  <c r="FPY364" i="30"/>
  <c r="FPZ364" i="30"/>
  <c r="FQA364" i="30"/>
  <c r="FQB364" i="30"/>
  <c r="FQC364" i="30"/>
  <c r="FQD364" i="30"/>
  <c r="FQE364" i="30"/>
  <c r="FQF364" i="30"/>
  <c r="FQG364" i="30"/>
  <c r="FQH364" i="30"/>
  <c r="FQI364" i="30"/>
  <c r="FQJ364" i="30"/>
  <c r="FQK364" i="30"/>
  <c r="FQL364" i="30"/>
  <c r="FQM364" i="30"/>
  <c r="FQN364" i="30"/>
  <c r="FQO364" i="30"/>
  <c r="FQP364" i="30"/>
  <c r="FQQ364" i="30"/>
  <c r="FQR364" i="30"/>
  <c r="FQS364" i="30"/>
  <c r="FQT364" i="30"/>
  <c r="FQU364" i="30"/>
  <c r="FQV364" i="30"/>
  <c r="FQW364" i="30"/>
  <c r="FQX364" i="30"/>
  <c r="FQY364" i="30"/>
  <c r="FQZ364" i="30"/>
  <c r="FRA364" i="30"/>
  <c r="FRB364" i="30"/>
  <c r="FRC364" i="30"/>
  <c r="FRD364" i="30"/>
  <c r="FRE364" i="30"/>
  <c r="FRF364" i="30"/>
  <c r="FRG364" i="30"/>
  <c r="FRH364" i="30"/>
  <c r="FRI364" i="30"/>
  <c r="FRJ364" i="30"/>
  <c r="FRK364" i="30"/>
  <c r="FRL364" i="30"/>
  <c r="FRM364" i="30"/>
  <c r="FRN364" i="30"/>
  <c r="FRO364" i="30"/>
  <c r="FRP364" i="30"/>
  <c r="FRQ364" i="30"/>
  <c r="FRR364" i="30"/>
  <c r="FRS364" i="30"/>
  <c r="FRT364" i="30"/>
  <c r="FRU364" i="30"/>
  <c r="FRV364" i="30"/>
  <c r="FRW364" i="30"/>
  <c r="FRX364" i="30"/>
  <c r="FRY364" i="30"/>
  <c r="FRZ364" i="30"/>
  <c r="FSA364" i="30"/>
  <c r="FSB364" i="30"/>
  <c r="FSC364" i="30"/>
  <c r="FSD364" i="30"/>
  <c r="FSE364" i="30"/>
  <c r="FSF364" i="30"/>
  <c r="FSG364" i="30"/>
  <c r="FSH364" i="30"/>
  <c r="FSI364" i="30"/>
  <c r="FSJ364" i="30"/>
  <c r="FSK364" i="30"/>
  <c r="FSL364" i="30"/>
  <c r="FSM364" i="30"/>
  <c r="FSN364" i="30"/>
  <c r="FSO364" i="30"/>
  <c r="FSP364" i="30"/>
  <c r="FSQ364" i="30"/>
  <c r="FSR364" i="30"/>
  <c r="FSS364" i="30"/>
  <c r="FST364" i="30"/>
  <c r="FSU364" i="30"/>
  <c r="FSV364" i="30"/>
  <c r="FSW364" i="30"/>
  <c r="FSX364" i="30"/>
  <c r="FSY364" i="30"/>
  <c r="FSZ364" i="30"/>
  <c r="FTA364" i="30"/>
  <c r="FTB364" i="30"/>
  <c r="FTC364" i="30"/>
  <c r="FTD364" i="30"/>
  <c r="FTE364" i="30"/>
  <c r="FTF364" i="30"/>
  <c r="FTG364" i="30"/>
  <c r="FTH364" i="30"/>
  <c r="FTI364" i="30"/>
  <c r="FTJ364" i="30"/>
  <c r="FTK364" i="30"/>
  <c r="FTL364" i="30"/>
  <c r="FTM364" i="30"/>
  <c r="FTN364" i="30"/>
  <c r="FTO364" i="30"/>
  <c r="FTP364" i="30"/>
  <c r="FTQ364" i="30"/>
  <c r="FTR364" i="30"/>
  <c r="FTS364" i="30"/>
  <c r="FTT364" i="30"/>
  <c r="FTU364" i="30"/>
  <c r="FTV364" i="30"/>
  <c r="FTW364" i="30"/>
  <c r="FTX364" i="30"/>
  <c r="FTY364" i="30"/>
  <c r="FTZ364" i="30"/>
  <c r="FUA364" i="30"/>
  <c r="FUB364" i="30"/>
  <c r="FUC364" i="30"/>
  <c r="FUD364" i="30"/>
  <c r="FUE364" i="30"/>
  <c r="FUF364" i="30"/>
  <c r="FUG364" i="30"/>
  <c r="FUH364" i="30"/>
  <c r="FUI364" i="30"/>
  <c r="FUJ364" i="30"/>
  <c r="FUK364" i="30"/>
  <c r="FUL364" i="30"/>
  <c r="FUM364" i="30"/>
  <c r="FUN364" i="30"/>
  <c r="FUO364" i="30"/>
  <c r="FUP364" i="30"/>
  <c r="FUQ364" i="30"/>
  <c r="FUR364" i="30"/>
  <c r="FUS364" i="30"/>
  <c r="FUT364" i="30"/>
  <c r="FUU364" i="30"/>
  <c r="FUV364" i="30"/>
  <c r="FUW364" i="30"/>
  <c r="FUX364" i="30"/>
  <c r="FUY364" i="30"/>
  <c r="FUZ364" i="30"/>
  <c r="FVA364" i="30"/>
  <c r="FVB364" i="30"/>
  <c r="FVC364" i="30"/>
  <c r="FVD364" i="30"/>
  <c r="FVE364" i="30"/>
  <c r="FVF364" i="30"/>
  <c r="FVG364" i="30"/>
  <c r="FVH364" i="30"/>
  <c r="FVI364" i="30"/>
  <c r="FVJ364" i="30"/>
  <c r="FVK364" i="30"/>
  <c r="FVL364" i="30"/>
  <c r="FVM364" i="30"/>
  <c r="FVN364" i="30"/>
  <c r="FVO364" i="30"/>
  <c r="FVP364" i="30"/>
  <c r="FVQ364" i="30"/>
  <c r="FVR364" i="30"/>
  <c r="FVS364" i="30"/>
  <c r="FVT364" i="30"/>
  <c r="FVU364" i="30"/>
  <c r="FVV364" i="30"/>
  <c r="FVW364" i="30"/>
  <c r="FVX364" i="30"/>
  <c r="FVY364" i="30"/>
  <c r="FVZ364" i="30"/>
  <c r="FWA364" i="30"/>
  <c r="FWB364" i="30"/>
  <c r="FWC364" i="30"/>
  <c r="FWD364" i="30"/>
  <c r="FWE364" i="30"/>
  <c r="FWF364" i="30"/>
  <c r="FWG364" i="30"/>
  <c r="FWH364" i="30"/>
  <c r="FWI364" i="30"/>
  <c r="FWJ364" i="30"/>
  <c r="FWK364" i="30"/>
  <c r="FWL364" i="30"/>
  <c r="FWM364" i="30"/>
  <c r="FWN364" i="30"/>
  <c r="FWO364" i="30"/>
  <c r="FWP364" i="30"/>
  <c r="FWQ364" i="30"/>
  <c r="FWR364" i="30"/>
  <c r="FWS364" i="30"/>
  <c r="FWT364" i="30"/>
  <c r="FWU364" i="30"/>
  <c r="FWV364" i="30"/>
  <c r="FWW364" i="30"/>
  <c r="FWX364" i="30"/>
  <c r="FWY364" i="30"/>
  <c r="FWZ364" i="30"/>
  <c r="FXA364" i="30"/>
  <c r="FXB364" i="30"/>
  <c r="FXC364" i="30"/>
  <c r="FXD364" i="30"/>
  <c r="FXE364" i="30"/>
  <c r="FXF364" i="30"/>
  <c r="FXG364" i="30"/>
  <c r="FXH364" i="30"/>
  <c r="FXI364" i="30"/>
  <c r="FXJ364" i="30"/>
  <c r="FXK364" i="30"/>
  <c r="FXL364" i="30"/>
  <c r="FXM364" i="30"/>
  <c r="FXN364" i="30"/>
  <c r="FXO364" i="30"/>
  <c r="FXP364" i="30"/>
  <c r="FXQ364" i="30"/>
  <c r="FXR364" i="30"/>
  <c r="FXS364" i="30"/>
  <c r="FXT364" i="30"/>
  <c r="FXU364" i="30"/>
  <c r="FXV364" i="30"/>
  <c r="FXW364" i="30"/>
  <c r="FXX364" i="30"/>
  <c r="FXY364" i="30"/>
  <c r="FXZ364" i="30"/>
  <c r="FYA364" i="30"/>
  <c r="FYB364" i="30"/>
  <c r="FYC364" i="30"/>
  <c r="FYD364" i="30"/>
  <c r="FYE364" i="30"/>
  <c r="FYF364" i="30"/>
  <c r="FYG364" i="30"/>
  <c r="FYH364" i="30"/>
  <c r="FYI364" i="30"/>
  <c r="FYJ364" i="30"/>
  <c r="FYK364" i="30"/>
  <c r="FYL364" i="30"/>
  <c r="FYM364" i="30"/>
  <c r="FYN364" i="30"/>
  <c r="FYO364" i="30"/>
  <c r="FYP364" i="30"/>
  <c r="FYQ364" i="30"/>
  <c r="FYR364" i="30"/>
  <c r="FYS364" i="30"/>
  <c r="FYT364" i="30"/>
  <c r="FYU364" i="30"/>
  <c r="FYV364" i="30"/>
  <c r="FYW364" i="30"/>
  <c r="FYX364" i="30"/>
  <c r="FYY364" i="30"/>
  <c r="FYZ364" i="30"/>
  <c r="FZA364" i="30"/>
  <c r="FZB364" i="30"/>
  <c r="FZC364" i="30"/>
  <c r="FZD364" i="30"/>
  <c r="FZE364" i="30"/>
  <c r="FZF364" i="30"/>
  <c r="FZG364" i="30"/>
  <c r="FZH364" i="30"/>
  <c r="FZI364" i="30"/>
  <c r="FZJ364" i="30"/>
  <c r="FZK364" i="30"/>
  <c r="FZL364" i="30"/>
  <c r="FZM364" i="30"/>
  <c r="FZN364" i="30"/>
  <c r="FZO364" i="30"/>
  <c r="FZP364" i="30"/>
  <c r="FZQ364" i="30"/>
  <c r="FZR364" i="30"/>
  <c r="FZS364" i="30"/>
  <c r="FZT364" i="30"/>
  <c r="FZU364" i="30"/>
  <c r="FZV364" i="30"/>
  <c r="FZW364" i="30"/>
  <c r="FZX364" i="30"/>
  <c r="FZY364" i="30"/>
  <c r="FZZ364" i="30"/>
  <c r="GAA364" i="30"/>
  <c r="GAB364" i="30"/>
  <c r="GAC364" i="30"/>
  <c r="GAD364" i="30"/>
  <c r="GAE364" i="30"/>
  <c r="GAF364" i="30"/>
  <c r="GAG364" i="30"/>
  <c r="GAH364" i="30"/>
  <c r="GAI364" i="30"/>
  <c r="GAJ364" i="30"/>
  <c r="GAK364" i="30"/>
  <c r="GAL364" i="30"/>
  <c r="GAM364" i="30"/>
  <c r="GAN364" i="30"/>
  <c r="GAO364" i="30"/>
  <c r="GAP364" i="30"/>
  <c r="GAQ364" i="30"/>
  <c r="GAR364" i="30"/>
  <c r="GAS364" i="30"/>
  <c r="GAT364" i="30"/>
  <c r="GAU364" i="30"/>
  <c r="GAV364" i="30"/>
  <c r="GAW364" i="30"/>
  <c r="GAX364" i="30"/>
  <c r="GAY364" i="30"/>
  <c r="GAZ364" i="30"/>
  <c r="GBA364" i="30"/>
  <c r="GBB364" i="30"/>
  <c r="GBC364" i="30"/>
  <c r="GBD364" i="30"/>
  <c r="GBE364" i="30"/>
  <c r="GBF364" i="30"/>
  <c r="GBG364" i="30"/>
  <c r="GBH364" i="30"/>
  <c r="GBI364" i="30"/>
  <c r="GBJ364" i="30"/>
  <c r="GBK364" i="30"/>
  <c r="GBL364" i="30"/>
  <c r="GBM364" i="30"/>
  <c r="GBN364" i="30"/>
  <c r="GBO364" i="30"/>
  <c r="GBP364" i="30"/>
  <c r="GBQ364" i="30"/>
  <c r="GBR364" i="30"/>
  <c r="GBS364" i="30"/>
  <c r="GBT364" i="30"/>
  <c r="GBU364" i="30"/>
  <c r="GBV364" i="30"/>
  <c r="GBW364" i="30"/>
  <c r="GBX364" i="30"/>
  <c r="GBY364" i="30"/>
  <c r="GBZ364" i="30"/>
  <c r="GCA364" i="30"/>
  <c r="GCB364" i="30"/>
  <c r="GCC364" i="30"/>
  <c r="GCD364" i="30"/>
  <c r="GCE364" i="30"/>
  <c r="GCF364" i="30"/>
  <c r="GCG364" i="30"/>
  <c r="GCH364" i="30"/>
  <c r="GCI364" i="30"/>
  <c r="GCJ364" i="30"/>
  <c r="GCK364" i="30"/>
  <c r="GCL364" i="30"/>
  <c r="GCM364" i="30"/>
  <c r="GCN364" i="30"/>
  <c r="GCO364" i="30"/>
  <c r="GCP364" i="30"/>
  <c r="GCQ364" i="30"/>
  <c r="GCR364" i="30"/>
  <c r="GCS364" i="30"/>
  <c r="GCT364" i="30"/>
  <c r="GCU364" i="30"/>
  <c r="GCV364" i="30"/>
  <c r="GCW364" i="30"/>
  <c r="GCX364" i="30"/>
  <c r="GCY364" i="30"/>
  <c r="GCZ364" i="30"/>
  <c r="GDA364" i="30"/>
  <c r="GDB364" i="30"/>
  <c r="GDC364" i="30"/>
  <c r="GDD364" i="30"/>
  <c r="GDE364" i="30"/>
  <c r="GDF364" i="30"/>
  <c r="GDG364" i="30"/>
  <c r="GDH364" i="30"/>
  <c r="GDI364" i="30"/>
  <c r="GDJ364" i="30"/>
  <c r="GDK364" i="30"/>
  <c r="GDL364" i="30"/>
  <c r="GDM364" i="30"/>
  <c r="GDN364" i="30"/>
  <c r="GDO364" i="30"/>
  <c r="GDP364" i="30"/>
  <c r="GDQ364" i="30"/>
  <c r="GDR364" i="30"/>
  <c r="GDS364" i="30"/>
  <c r="GDT364" i="30"/>
  <c r="GDU364" i="30"/>
  <c r="GDV364" i="30"/>
  <c r="GDW364" i="30"/>
  <c r="GDX364" i="30"/>
  <c r="GDY364" i="30"/>
  <c r="GDZ364" i="30"/>
  <c r="GEA364" i="30"/>
  <c r="GEB364" i="30"/>
  <c r="GEC364" i="30"/>
  <c r="GED364" i="30"/>
  <c r="GEE364" i="30"/>
  <c r="GEF364" i="30"/>
  <c r="GEG364" i="30"/>
  <c r="GEH364" i="30"/>
  <c r="GEI364" i="30"/>
  <c r="GEJ364" i="30"/>
  <c r="GEK364" i="30"/>
  <c r="GEL364" i="30"/>
  <c r="GEM364" i="30"/>
  <c r="GEN364" i="30"/>
  <c r="GEO364" i="30"/>
  <c r="GEP364" i="30"/>
  <c r="GEQ364" i="30"/>
  <c r="GER364" i="30"/>
  <c r="GES364" i="30"/>
  <c r="GET364" i="30"/>
  <c r="GEU364" i="30"/>
  <c r="GEV364" i="30"/>
  <c r="GEW364" i="30"/>
  <c r="GEX364" i="30"/>
  <c r="GEY364" i="30"/>
  <c r="GEZ364" i="30"/>
  <c r="GFA364" i="30"/>
  <c r="GFB364" i="30"/>
  <c r="GFC364" i="30"/>
  <c r="GFD364" i="30"/>
  <c r="GFE364" i="30"/>
  <c r="GFF364" i="30"/>
  <c r="GFG364" i="30"/>
  <c r="GFH364" i="30"/>
  <c r="GFI364" i="30"/>
  <c r="GFJ364" i="30"/>
  <c r="GFK364" i="30"/>
  <c r="GFL364" i="30"/>
  <c r="GFM364" i="30"/>
  <c r="GFN364" i="30"/>
  <c r="GFO364" i="30"/>
  <c r="GFP364" i="30"/>
  <c r="GFQ364" i="30"/>
  <c r="GFR364" i="30"/>
  <c r="GFS364" i="30"/>
  <c r="GFT364" i="30"/>
  <c r="GFU364" i="30"/>
  <c r="GFV364" i="30"/>
  <c r="GFW364" i="30"/>
  <c r="GFX364" i="30"/>
  <c r="GFY364" i="30"/>
  <c r="GFZ364" i="30"/>
  <c r="GGA364" i="30"/>
  <c r="GGB364" i="30"/>
  <c r="GGC364" i="30"/>
  <c r="GGD364" i="30"/>
  <c r="GGE364" i="30"/>
  <c r="GGF364" i="30"/>
  <c r="GGG364" i="30"/>
  <c r="GGH364" i="30"/>
  <c r="GGI364" i="30"/>
  <c r="GGJ364" i="30"/>
  <c r="GGK364" i="30"/>
  <c r="GGL364" i="30"/>
  <c r="GGM364" i="30"/>
  <c r="GGN364" i="30"/>
  <c r="GGO364" i="30"/>
  <c r="GGP364" i="30"/>
  <c r="GGQ364" i="30"/>
  <c r="GGR364" i="30"/>
  <c r="GGS364" i="30"/>
  <c r="GGT364" i="30"/>
  <c r="GGU364" i="30"/>
  <c r="GGV364" i="30"/>
  <c r="GGW364" i="30"/>
  <c r="GGX364" i="30"/>
  <c r="GGY364" i="30"/>
  <c r="GGZ364" i="30"/>
  <c r="GHA364" i="30"/>
  <c r="GHB364" i="30"/>
  <c r="GHC364" i="30"/>
  <c r="GHD364" i="30"/>
  <c r="GHE364" i="30"/>
  <c r="GHF364" i="30"/>
  <c r="GHG364" i="30"/>
  <c r="GHH364" i="30"/>
  <c r="GHI364" i="30"/>
  <c r="GHJ364" i="30"/>
  <c r="GHK364" i="30"/>
  <c r="GHL364" i="30"/>
  <c r="GHM364" i="30"/>
  <c r="GHN364" i="30"/>
  <c r="GHO364" i="30"/>
  <c r="GHP364" i="30"/>
  <c r="GHQ364" i="30"/>
  <c r="GHR364" i="30"/>
  <c r="GHS364" i="30"/>
  <c r="GHT364" i="30"/>
  <c r="GHU364" i="30"/>
  <c r="GHV364" i="30"/>
  <c r="GHW364" i="30"/>
  <c r="GHX364" i="30"/>
  <c r="GHY364" i="30"/>
  <c r="GHZ364" i="30"/>
  <c r="GIA364" i="30"/>
  <c r="GIB364" i="30"/>
  <c r="GIC364" i="30"/>
  <c r="GID364" i="30"/>
  <c r="GIE364" i="30"/>
  <c r="GIF364" i="30"/>
  <c r="GIG364" i="30"/>
  <c r="GIH364" i="30"/>
  <c r="GII364" i="30"/>
  <c r="GIJ364" i="30"/>
  <c r="GIK364" i="30"/>
  <c r="GIL364" i="30"/>
  <c r="GIM364" i="30"/>
  <c r="GIN364" i="30"/>
  <c r="GIO364" i="30"/>
  <c r="GIP364" i="30"/>
  <c r="GIQ364" i="30"/>
  <c r="GIR364" i="30"/>
  <c r="GIS364" i="30"/>
  <c r="GIT364" i="30"/>
  <c r="GIU364" i="30"/>
  <c r="GIV364" i="30"/>
  <c r="GIW364" i="30"/>
  <c r="GIX364" i="30"/>
  <c r="GIY364" i="30"/>
  <c r="GIZ364" i="30"/>
  <c r="GJA364" i="30"/>
  <c r="GJB364" i="30"/>
  <c r="GJC364" i="30"/>
  <c r="GJD364" i="30"/>
  <c r="GJE364" i="30"/>
  <c r="GJF364" i="30"/>
  <c r="GJG364" i="30"/>
  <c r="GJH364" i="30"/>
  <c r="GJI364" i="30"/>
  <c r="GJJ364" i="30"/>
  <c r="GJK364" i="30"/>
  <c r="GJL364" i="30"/>
  <c r="GJM364" i="30"/>
  <c r="GJN364" i="30"/>
  <c r="GJO364" i="30"/>
  <c r="GJP364" i="30"/>
  <c r="GJQ364" i="30"/>
  <c r="GJR364" i="30"/>
  <c r="GJS364" i="30"/>
  <c r="GJT364" i="30"/>
  <c r="GJU364" i="30"/>
  <c r="GJV364" i="30"/>
  <c r="GJW364" i="30"/>
  <c r="GJX364" i="30"/>
  <c r="GJY364" i="30"/>
  <c r="GJZ364" i="30"/>
  <c r="GKA364" i="30"/>
  <c r="GKB364" i="30"/>
  <c r="GKC364" i="30"/>
  <c r="GKD364" i="30"/>
  <c r="GKE364" i="30"/>
  <c r="GKF364" i="30"/>
  <c r="GKG364" i="30"/>
  <c r="GKH364" i="30"/>
  <c r="GKI364" i="30"/>
  <c r="GKJ364" i="30"/>
  <c r="GKK364" i="30"/>
  <c r="GKL364" i="30"/>
  <c r="GKM364" i="30"/>
  <c r="GKN364" i="30"/>
  <c r="GKO364" i="30"/>
  <c r="GKP364" i="30"/>
  <c r="GKQ364" i="30"/>
  <c r="GKR364" i="30"/>
  <c r="GKS364" i="30"/>
  <c r="GKT364" i="30"/>
  <c r="GKU364" i="30"/>
  <c r="GKV364" i="30"/>
  <c r="GKW364" i="30"/>
  <c r="GKX364" i="30"/>
  <c r="GKY364" i="30"/>
  <c r="GKZ364" i="30"/>
  <c r="GLA364" i="30"/>
  <c r="GLB364" i="30"/>
  <c r="GLC364" i="30"/>
  <c r="GLD364" i="30"/>
  <c r="GLE364" i="30"/>
  <c r="GLF364" i="30"/>
  <c r="GLG364" i="30"/>
  <c r="GLH364" i="30"/>
  <c r="GLI364" i="30"/>
  <c r="GLJ364" i="30"/>
  <c r="GLK364" i="30"/>
  <c r="GLL364" i="30"/>
  <c r="GLM364" i="30"/>
  <c r="GLN364" i="30"/>
  <c r="GLO364" i="30"/>
  <c r="GLP364" i="30"/>
  <c r="GLQ364" i="30"/>
  <c r="GLR364" i="30"/>
  <c r="GLS364" i="30"/>
  <c r="GLT364" i="30"/>
  <c r="GLU364" i="30"/>
  <c r="GLV364" i="30"/>
  <c r="GLW364" i="30"/>
  <c r="GLX364" i="30"/>
  <c r="GLY364" i="30"/>
  <c r="GLZ364" i="30"/>
  <c r="GMA364" i="30"/>
  <c r="GMB364" i="30"/>
  <c r="GMC364" i="30"/>
  <c r="GMD364" i="30"/>
  <c r="GME364" i="30"/>
  <c r="GMF364" i="30"/>
  <c r="GMG364" i="30"/>
  <c r="GMH364" i="30"/>
  <c r="GMI364" i="30"/>
  <c r="GMJ364" i="30"/>
  <c r="GMK364" i="30"/>
  <c r="GML364" i="30"/>
  <c r="GMM364" i="30"/>
  <c r="GMN364" i="30"/>
  <c r="GMO364" i="30"/>
  <c r="GMP364" i="30"/>
  <c r="GMQ364" i="30"/>
  <c r="GMR364" i="30"/>
  <c r="GMS364" i="30"/>
  <c r="GMT364" i="30"/>
  <c r="GMU364" i="30"/>
  <c r="GMV364" i="30"/>
  <c r="GMW364" i="30"/>
  <c r="GMX364" i="30"/>
  <c r="GMY364" i="30"/>
  <c r="GMZ364" i="30"/>
  <c r="GNA364" i="30"/>
  <c r="GNB364" i="30"/>
  <c r="GNC364" i="30"/>
  <c r="GND364" i="30"/>
  <c r="GNE364" i="30"/>
  <c r="GNF364" i="30"/>
  <c r="GNG364" i="30"/>
  <c r="GNH364" i="30"/>
  <c r="GNI364" i="30"/>
  <c r="GNJ364" i="30"/>
  <c r="GNK364" i="30"/>
  <c r="GNL364" i="30"/>
  <c r="GNM364" i="30"/>
  <c r="GNN364" i="30"/>
  <c r="GNO364" i="30"/>
  <c r="GNP364" i="30"/>
  <c r="GNQ364" i="30"/>
  <c r="GNR364" i="30"/>
  <c r="GNS364" i="30"/>
  <c r="GNT364" i="30"/>
  <c r="GNU364" i="30"/>
  <c r="GNV364" i="30"/>
  <c r="GNW364" i="30"/>
  <c r="GNX364" i="30"/>
  <c r="GNY364" i="30"/>
  <c r="GNZ364" i="30"/>
  <c r="GOA364" i="30"/>
  <c r="GOB364" i="30"/>
  <c r="GOC364" i="30"/>
  <c r="GOD364" i="30"/>
  <c r="GOE364" i="30"/>
  <c r="GOF364" i="30"/>
  <c r="GOG364" i="30"/>
  <c r="GOH364" i="30"/>
  <c r="GOI364" i="30"/>
  <c r="GOJ364" i="30"/>
  <c r="GOK364" i="30"/>
  <c r="GOL364" i="30"/>
  <c r="GOM364" i="30"/>
  <c r="GON364" i="30"/>
  <c r="GOO364" i="30"/>
  <c r="GOP364" i="30"/>
  <c r="GOQ364" i="30"/>
  <c r="GOR364" i="30"/>
  <c r="GOS364" i="30"/>
  <c r="GOT364" i="30"/>
  <c r="GOU364" i="30"/>
  <c r="GOV364" i="30"/>
  <c r="GOW364" i="30"/>
  <c r="GOX364" i="30"/>
  <c r="GOY364" i="30"/>
  <c r="GOZ364" i="30"/>
  <c r="GPA364" i="30"/>
  <c r="GPB364" i="30"/>
  <c r="GPC364" i="30"/>
  <c r="GPD364" i="30"/>
  <c r="GPE364" i="30"/>
  <c r="GPF364" i="30"/>
  <c r="GPG364" i="30"/>
  <c r="GPH364" i="30"/>
  <c r="GPI364" i="30"/>
  <c r="GPJ364" i="30"/>
  <c r="GPK364" i="30"/>
  <c r="GPL364" i="30"/>
  <c r="GPM364" i="30"/>
  <c r="GPN364" i="30"/>
  <c r="GPO364" i="30"/>
  <c r="GPP364" i="30"/>
  <c r="GPQ364" i="30"/>
  <c r="GPR364" i="30"/>
  <c r="GPS364" i="30"/>
  <c r="GPT364" i="30"/>
  <c r="GPU364" i="30"/>
  <c r="GPV364" i="30"/>
  <c r="GPW364" i="30"/>
  <c r="GPX364" i="30"/>
  <c r="GPY364" i="30"/>
  <c r="GPZ364" i="30"/>
  <c r="GQA364" i="30"/>
  <c r="GQB364" i="30"/>
  <c r="GQC364" i="30"/>
  <c r="GQD364" i="30"/>
  <c r="GQE364" i="30"/>
  <c r="GQF364" i="30"/>
  <c r="GQG364" i="30"/>
  <c r="GQH364" i="30"/>
  <c r="GQI364" i="30"/>
  <c r="GQJ364" i="30"/>
  <c r="GQK364" i="30"/>
  <c r="GQL364" i="30"/>
  <c r="GQM364" i="30"/>
  <c r="GQN364" i="30"/>
  <c r="GQO364" i="30"/>
  <c r="GQP364" i="30"/>
  <c r="GQQ364" i="30"/>
  <c r="GQR364" i="30"/>
  <c r="GQS364" i="30"/>
  <c r="GQT364" i="30"/>
  <c r="GQU364" i="30"/>
  <c r="GQV364" i="30"/>
  <c r="GQW364" i="30"/>
  <c r="GQX364" i="30"/>
  <c r="GQY364" i="30"/>
  <c r="GQZ364" i="30"/>
  <c r="GRA364" i="30"/>
  <c r="GRB364" i="30"/>
  <c r="GRC364" i="30"/>
  <c r="GRD364" i="30"/>
  <c r="GRE364" i="30"/>
  <c r="GRF364" i="30"/>
  <c r="GRG364" i="30"/>
  <c r="GRH364" i="30"/>
  <c r="GRI364" i="30"/>
  <c r="GRJ364" i="30"/>
  <c r="GRK364" i="30"/>
  <c r="GRL364" i="30"/>
  <c r="GRM364" i="30"/>
  <c r="GRN364" i="30"/>
  <c r="GRO364" i="30"/>
  <c r="GRP364" i="30"/>
  <c r="GRQ364" i="30"/>
  <c r="GRR364" i="30"/>
  <c r="GRS364" i="30"/>
  <c r="GRT364" i="30"/>
  <c r="GRU364" i="30"/>
  <c r="GRV364" i="30"/>
  <c r="GRW364" i="30"/>
  <c r="GRX364" i="30"/>
  <c r="GRY364" i="30"/>
  <c r="GRZ364" i="30"/>
  <c r="GSA364" i="30"/>
  <c r="GSB364" i="30"/>
  <c r="GSC364" i="30"/>
  <c r="GSD364" i="30"/>
  <c r="GSE364" i="30"/>
  <c r="GSF364" i="30"/>
  <c r="GSG364" i="30"/>
  <c r="GSH364" i="30"/>
  <c r="GSI364" i="30"/>
  <c r="GSJ364" i="30"/>
  <c r="GSK364" i="30"/>
  <c r="GSL364" i="30"/>
  <c r="GSM364" i="30"/>
  <c r="GSN364" i="30"/>
  <c r="GSO364" i="30"/>
  <c r="GSP364" i="30"/>
  <c r="GSQ364" i="30"/>
  <c r="GSR364" i="30"/>
  <c r="GSS364" i="30"/>
  <c r="GST364" i="30"/>
  <c r="GSU364" i="30"/>
  <c r="GSV364" i="30"/>
  <c r="GSW364" i="30"/>
  <c r="GSX364" i="30"/>
  <c r="GSY364" i="30"/>
  <c r="GSZ364" i="30"/>
  <c r="GTA364" i="30"/>
  <c r="GTB364" i="30"/>
  <c r="GTC364" i="30"/>
  <c r="GTD364" i="30"/>
  <c r="GTE364" i="30"/>
  <c r="GTF364" i="30"/>
  <c r="GTG364" i="30"/>
  <c r="GTH364" i="30"/>
  <c r="GTI364" i="30"/>
  <c r="GTJ364" i="30"/>
  <c r="GTK364" i="30"/>
  <c r="GTL364" i="30"/>
  <c r="GTM364" i="30"/>
  <c r="GTN364" i="30"/>
  <c r="GTO364" i="30"/>
  <c r="GTP364" i="30"/>
  <c r="GTQ364" i="30"/>
  <c r="GTR364" i="30"/>
  <c r="GTS364" i="30"/>
  <c r="GTT364" i="30"/>
  <c r="GTU364" i="30"/>
  <c r="GTV364" i="30"/>
  <c r="GTW364" i="30"/>
  <c r="GTX364" i="30"/>
  <c r="GTY364" i="30"/>
  <c r="GTZ364" i="30"/>
  <c r="GUA364" i="30"/>
  <c r="GUB364" i="30"/>
  <c r="GUC364" i="30"/>
  <c r="GUD364" i="30"/>
  <c r="GUE364" i="30"/>
  <c r="GUF364" i="30"/>
  <c r="GUG364" i="30"/>
  <c r="GUH364" i="30"/>
  <c r="GUI364" i="30"/>
  <c r="GUJ364" i="30"/>
  <c r="GUK364" i="30"/>
  <c r="GUL364" i="30"/>
  <c r="GUM364" i="30"/>
  <c r="GUN364" i="30"/>
  <c r="GUO364" i="30"/>
  <c r="GUP364" i="30"/>
  <c r="GUQ364" i="30"/>
  <c r="GUR364" i="30"/>
  <c r="GUS364" i="30"/>
  <c r="GUT364" i="30"/>
  <c r="GUU364" i="30"/>
  <c r="GUV364" i="30"/>
  <c r="GUW364" i="30"/>
  <c r="GUX364" i="30"/>
  <c r="GUY364" i="30"/>
  <c r="GUZ364" i="30"/>
  <c r="GVA364" i="30"/>
  <c r="GVB364" i="30"/>
  <c r="GVC364" i="30"/>
  <c r="GVD364" i="30"/>
  <c r="GVE364" i="30"/>
  <c r="GVF364" i="30"/>
  <c r="GVG364" i="30"/>
  <c r="GVH364" i="30"/>
  <c r="GVI364" i="30"/>
  <c r="GVJ364" i="30"/>
  <c r="GVK364" i="30"/>
  <c r="GVL364" i="30"/>
  <c r="GVM364" i="30"/>
  <c r="GVN364" i="30"/>
  <c r="GVO364" i="30"/>
  <c r="GVP364" i="30"/>
  <c r="GVQ364" i="30"/>
  <c r="GVR364" i="30"/>
  <c r="GVS364" i="30"/>
  <c r="GVT364" i="30"/>
  <c r="GVU364" i="30"/>
  <c r="GVV364" i="30"/>
  <c r="GVW364" i="30"/>
  <c r="GVX364" i="30"/>
  <c r="GVY364" i="30"/>
  <c r="GVZ364" i="30"/>
  <c r="GWA364" i="30"/>
  <c r="GWB364" i="30"/>
  <c r="GWC364" i="30"/>
  <c r="GWD364" i="30"/>
  <c r="GWE364" i="30"/>
  <c r="GWF364" i="30"/>
  <c r="GWG364" i="30"/>
  <c r="GWH364" i="30"/>
  <c r="GWI364" i="30"/>
  <c r="GWJ364" i="30"/>
  <c r="GWK364" i="30"/>
  <c r="GWL364" i="30"/>
  <c r="GWM364" i="30"/>
  <c r="GWN364" i="30"/>
  <c r="GWO364" i="30"/>
  <c r="GWP364" i="30"/>
  <c r="GWQ364" i="30"/>
  <c r="GWR364" i="30"/>
  <c r="GWS364" i="30"/>
  <c r="GWT364" i="30"/>
  <c r="GWU364" i="30"/>
  <c r="GWV364" i="30"/>
  <c r="GWW364" i="30"/>
  <c r="GWX364" i="30"/>
  <c r="GWY364" i="30"/>
  <c r="GWZ364" i="30"/>
  <c r="GXA364" i="30"/>
  <c r="GXB364" i="30"/>
  <c r="GXC364" i="30"/>
  <c r="GXD364" i="30"/>
  <c r="GXE364" i="30"/>
  <c r="GXF364" i="30"/>
  <c r="GXG364" i="30"/>
  <c r="GXH364" i="30"/>
  <c r="GXI364" i="30"/>
  <c r="GXJ364" i="30"/>
  <c r="GXK364" i="30"/>
  <c r="GXL364" i="30"/>
  <c r="GXM364" i="30"/>
  <c r="GXN364" i="30"/>
  <c r="GXO364" i="30"/>
  <c r="GXP364" i="30"/>
  <c r="GXQ364" i="30"/>
  <c r="GXR364" i="30"/>
  <c r="GXS364" i="30"/>
  <c r="GXT364" i="30"/>
  <c r="GXU364" i="30"/>
  <c r="GXV364" i="30"/>
  <c r="GXW364" i="30"/>
  <c r="GXX364" i="30"/>
  <c r="GXY364" i="30"/>
  <c r="GXZ364" i="30"/>
  <c r="GYA364" i="30"/>
  <c r="GYB364" i="30"/>
  <c r="GYC364" i="30"/>
  <c r="GYD364" i="30"/>
  <c r="GYE364" i="30"/>
  <c r="GYF364" i="30"/>
  <c r="GYG364" i="30"/>
  <c r="GYH364" i="30"/>
  <c r="GYI364" i="30"/>
  <c r="GYJ364" i="30"/>
  <c r="GYK364" i="30"/>
  <c r="GYL364" i="30"/>
  <c r="GYM364" i="30"/>
  <c r="GYN364" i="30"/>
  <c r="GYO364" i="30"/>
  <c r="GYP364" i="30"/>
  <c r="GYQ364" i="30"/>
  <c r="GYR364" i="30"/>
  <c r="GYS364" i="30"/>
  <c r="GYT364" i="30"/>
  <c r="GYU364" i="30"/>
  <c r="GYV364" i="30"/>
  <c r="GYW364" i="30"/>
  <c r="GYX364" i="30"/>
  <c r="GYY364" i="30"/>
  <c r="GYZ364" i="30"/>
  <c r="GZA364" i="30"/>
  <c r="GZB364" i="30"/>
  <c r="GZC364" i="30"/>
  <c r="GZD364" i="30"/>
  <c r="GZE364" i="30"/>
  <c r="GZF364" i="30"/>
  <c r="GZG364" i="30"/>
  <c r="GZH364" i="30"/>
  <c r="GZI364" i="30"/>
  <c r="GZJ364" i="30"/>
  <c r="GZK364" i="30"/>
  <c r="GZL364" i="30"/>
  <c r="GZM364" i="30"/>
  <c r="GZN364" i="30"/>
  <c r="GZO364" i="30"/>
  <c r="GZP364" i="30"/>
  <c r="GZQ364" i="30"/>
  <c r="GZR364" i="30"/>
  <c r="GZS364" i="30"/>
  <c r="GZT364" i="30"/>
  <c r="GZU364" i="30"/>
  <c r="GZV364" i="30"/>
  <c r="GZW364" i="30"/>
  <c r="GZX364" i="30"/>
  <c r="GZY364" i="30"/>
  <c r="GZZ364" i="30"/>
  <c r="HAA364" i="30"/>
  <c r="HAB364" i="30"/>
  <c r="HAC364" i="30"/>
  <c r="HAD364" i="30"/>
  <c r="HAE364" i="30"/>
  <c r="HAF364" i="30"/>
  <c r="HAG364" i="30"/>
  <c r="HAH364" i="30"/>
  <c r="HAI364" i="30"/>
  <c r="HAJ364" i="30"/>
  <c r="HAK364" i="30"/>
  <c r="HAL364" i="30"/>
  <c r="HAM364" i="30"/>
  <c r="HAN364" i="30"/>
  <c r="HAO364" i="30"/>
  <c r="HAP364" i="30"/>
  <c r="HAQ364" i="30"/>
  <c r="HAR364" i="30"/>
  <c r="HAS364" i="30"/>
  <c r="HAT364" i="30"/>
  <c r="HAU364" i="30"/>
  <c r="HAV364" i="30"/>
  <c r="HAW364" i="30"/>
  <c r="HAX364" i="30"/>
  <c r="HAY364" i="30"/>
  <c r="HAZ364" i="30"/>
  <c r="HBA364" i="30"/>
  <c r="HBB364" i="30"/>
  <c r="HBC364" i="30"/>
  <c r="HBD364" i="30"/>
  <c r="HBE364" i="30"/>
  <c r="HBF364" i="30"/>
  <c r="HBG364" i="30"/>
  <c r="HBH364" i="30"/>
  <c r="HBI364" i="30"/>
  <c r="HBJ364" i="30"/>
  <c r="HBK364" i="30"/>
  <c r="HBL364" i="30"/>
  <c r="HBM364" i="30"/>
  <c r="HBN364" i="30"/>
  <c r="HBO364" i="30"/>
  <c r="HBP364" i="30"/>
  <c r="HBQ364" i="30"/>
  <c r="HBR364" i="30"/>
  <c r="HBS364" i="30"/>
  <c r="HBT364" i="30"/>
  <c r="HBU364" i="30"/>
  <c r="HBV364" i="30"/>
  <c r="HBW364" i="30"/>
  <c r="HBX364" i="30"/>
  <c r="HBY364" i="30"/>
  <c r="HBZ364" i="30"/>
  <c r="HCA364" i="30"/>
  <c r="HCB364" i="30"/>
  <c r="HCC364" i="30"/>
  <c r="HCD364" i="30"/>
  <c r="HCE364" i="30"/>
  <c r="HCF364" i="30"/>
  <c r="HCG364" i="30"/>
  <c r="HCH364" i="30"/>
  <c r="HCI364" i="30"/>
  <c r="HCJ364" i="30"/>
  <c r="HCK364" i="30"/>
  <c r="HCL364" i="30"/>
  <c r="HCM364" i="30"/>
  <c r="HCN364" i="30"/>
  <c r="HCO364" i="30"/>
  <c r="HCP364" i="30"/>
  <c r="HCQ364" i="30"/>
  <c r="HCR364" i="30"/>
  <c r="HCS364" i="30"/>
  <c r="HCT364" i="30"/>
  <c r="HCU364" i="30"/>
  <c r="HCV364" i="30"/>
  <c r="HCW364" i="30"/>
  <c r="HCX364" i="30"/>
  <c r="HCY364" i="30"/>
  <c r="HCZ364" i="30"/>
  <c r="HDA364" i="30"/>
  <c r="HDB364" i="30"/>
  <c r="HDC364" i="30"/>
  <c r="HDD364" i="30"/>
  <c r="HDE364" i="30"/>
  <c r="HDF364" i="30"/>
  <c r="HDG364" i="30"/>
  <c r="HDH364" i="30"/>
  <c r="HDI364" i="30"/>
  <c r="HDJ364" i="30"/>
  <c r="HDK364" i="30"/>
  <c r="HDL364" i="30"/>
  <c r="HDM364" i="30"/>
  <c r="HDN364" i="30"/>
  <c r="HDO364" i="30"/>
  <c r="HDP364" i="30"/>
  <c r="HDQ364" i="30"/>
  <c r="HDR364" i="30"/>
  <c r="HDS364" i="30"/>
  <c r="HDT364" i="30"/>
  <c r="HDU364" i="30"/>
  <c r="HDV364" i="30"/>
  <c r="HDW364" i="30"/>
  <c r="HDX364" i="30"/>
  <c r="HDY364" i="30"/>
  <c r="HDZ364" i="30"/>
  <c r="HEA364" i="30"/>
  <c r="HEB364" i="30"/>
  <c r="HEC364" i="30"/>
  <c r="HED364" i="30"/>
  <c r="HEE364" i="30"/>
  <c r="HEF364" i="30"/>
  <c r="HEG364" i="30"/>
  <c r="HEH364" i="30"/>
  <c r="HEI364" i="30"/>
  <c r="HEJ364" i="30"/>
  <c r="HEK364" i="30"/>
  <c r="HEL364" i="30"/>
  <c r="HEM364" i="30"/>
  <c r="HEN364" i="30"/>
  <c r="HEO364" i="30"/>
  <c r="HEP364" i="30"/>
  <c r="HEQ364" i="30"/>
  <c r="HER364" i="30"/>
  <c r="HES364" i="30"/>
  <c r="HET364" i="30"/>
  <c r="HEU364" i="30"/>
  <c r="HEV364" i="30"/>
  <c r="HEW364" i="30"/>
  <c r="HEX364" i="30"/>
  <c r="HEY364" i="30"/>
  <c r="HEZ364" i="30"/>
  <c r="HFA364" i="30"/>
  <c r="HFB364" i="30"/>
  <c r="HFC364" i="30"/>
  <c r="HFD364" i="30"/>
  <c r="HFE364" i="30"/>
  <c r="HFF364" i="30"/>
  <c r="HFG364" i="30"/>
  <c r="HFH364" i="30"/>
  <c r="HFI364" i="30"/>
  <c r="HFJ364" i="30"/>
  <c r="HFK364" i="30"/>
  <c r="HFL364" i="30"/>
  <c r="HFM364" i="30"/>
  <c r="HFN364" i="30"/>
  <c r="HFO364" i="30"/>
  <c r="HFP364" i="30"/>
  <c r="HFQ364" i="30"/>
  <c r="HFR364" i="30"/>
  <c r="HFS364" i="30"/>
  <c r="HFT364" i="30"/>
  <c r="HFU364" i="30"/>
  <c r="HFV364" i="30"/>
  <c r="HFW364" i="30"/>
  <c r="HFX364" i="30"/>
  <c r="HFY364" i="30"/>
  <c r="HFZ364" i="30"/>
  <c r="HGA364" i="30"/>
  <c r="HGB364" i="30"/>
  <c r="HGC364" i="30"/>
  <c r="HGD364" i="30"/>
  <c r="HGE364" i="30"/>
  <c r="HGF364" i="30"/>
  <c r="HGG364" i="30"/>
  <c r="HGH364" i="30"/>
  <c r="HGI364" i="30"/>
  <c r="HGJ364" i="30"/>
  <c r="HGK364" i="30"/>
  <c r="HGL364" i="30"/>
  <c r="HGM364" i="30"/>
  <c r="HGN364" i="30"/>
  <c r="HGO364" i="30"/>
  <c r="HGP364" i="30"/>
  <c r="HGQ364" i="30"/>
  <c r="HGR364" i="30"/>
  <c r="HGS364" i="30"/>
  <c r="HGT364" i="30"/>
  <c r="HGU364" i="30"/>
  <c r="HGV364" i="30"/>
  <c r="HGW364" i="30"/>
  <c r="HGX364" i="30"/>
  <c r="HGY364" i="30"/>
  <c r="HGZ364" i="30"/>
  <c r="HHA364" i="30"/>
  <c r="HHB364" i="30"/>
  <c r="HHC364" i="30"/>
  <c r="HHD364" i="30"/>
  <c r="HHE364" i="30"/>
  <c r="HHF364" i="30"/>
  <c r="HHG364" i="30"/>
  <c r="HHH364" i="30"/>
  <c r="HHI364" i="30"/>
  <c r="HHJ364" i="30"/>
  <c r="HHK364" i="30"/>
  <c r="HHL364" i="30"/>
  <c r="HHM364" i="30"/>
  <c r="HHN364" i="30"/>
  <c r="HHO364" i="30"/>
  <c r="HHP364" i="30"/>
  <c r="HHQ364" i="30"/>
  <c r="HHR364" i="30"/>
  <c r="HHS364" i="30"/>
  <c r="HHT364" i="30"/>
  <c r="HHU364" i="30"/>
  <c r="HHV364" i="30"/>
  <c r="HHW364" i="30"/>
  <c r="HHX364" i="30"/>
  <c r="HHY364" i="30"/>
  <c r="HHZ364" i="30"/>
  <c r="HIA364" i="30"/>
  <c r="HIB364" i="30"/>
  <c r="HIC364" i="30"/>
  <c r="HID364" i="30"/>
  <c r="HIE364" i="30"/>
  <c r="HIF364" i="30"/>
  <c r="HIG364" i="30"/>
  <c r="HIH364" i="30"/>
  <c r="HII364" i="30"/>
  <c r="HIJ364" i="30"/>
  <c r="HIK364" i="30"/>
  <c r="HIL364" i="30"/>
  <c r="HIM364" i="30"/>
  <c r="HIN364" i="30"/>
  <c r="HIO364" i="30"/>
  <c r="HIP364" i="30"/>
  <c r="HIQ364" i="30"/>
  <c r="HIR364" i="30"/>
  <c r="HIS364" i="30"/>
  <c r="HIT364" i="30"/>
  <c r="HIU364" i="30"/>
  <c r="HIV364" i="30"/>
  <c r="HIW364" i="30"/>
  <c r="HIX364" i="30"/>
  <c r="HIY364" i="30"/>
  <c r="HIZ364" i="30"/>
  <c r="HJA364" i="30"/>
  <c r="HJB364" i="30"/>
  <c r="HJC364" i="30"/>
  <c r="HJD364" i="30"/>
  <c r="HJE364" i="30"/>
  <c r="HJF364" i="30"/>
  <c r="HJG364" i="30"/>
  <c r="HJH364" i="30"/>
  <c r="HJI364" i="30"/>
  <c r="HJJ364" i="30"/>
  <c r="HJK364" i="30"/>
  <c r="HJL364" i="30"/>
  <c r="HJM364" i="30"/>
  <c r="HJN364" i="30"/>
  <c r="HJO364" i="30"/>
  <c r="HJP364" i="30"/>
  <c r="HJQ364" i="30"/>
  <c r="HJR364" i="30"/>
  <c r="HJS364" i="30"/>
  <c r="HJT364" i="30"/>
  <c r="HJU364" i="30"/>
  <c r="HJV364" i="30"/>
  <c r="HJW364" i="30"/>
  <c r="HJX364" i="30"/>
  <c r="HJY364" i="30"/>
  <c r="HJZ364" i="30"/>
  <c r="HKA364" i="30"/>
  <c r="HKB364" i="30"/>
  <c r="HKC364" i="30"/>
  <c r="HKD364" i="30"/>
  <c r="HKE364" i="30"/>
  <c r="HKF364" i="30"/>
  <c r="HKG364" i="30"/>
  <c r="HKH364" i="30"/>
  <c r="HKI364" i="30"/>
  <c r="HKJ364" i="30"/>
  <c r="HKK364" i="30"/>
  <c r="HKL364" i="30"/>
  <c r="HKM364" i="30"/>
  <c r="HKN364" i="30"/>
  <c r="HKO364" i="30"/>
  <c r="HKP364" i="30"/>
  <c r="HKQ364" i="30"/>
  <c r="HKR364" i="30"/>
  <c r="HKS364" i="30"/>
  <c r="HKT364" i="30"/>
  <c r="HKU364" i="30"/>
  <c r="HKV364" i="30"/>
  <c r="HKW364" i="30"/>
  <c r="HKX364" i="30"/>
  <c r="HKY364" i="30"/>
  <c r="HKZ364" i="30"/>
  <c r="HLA364" i="30"/>
  <c r="HLB364" i="30"/>
  <c r="HLC364" i="30"/>
  <c r="HLD364" i="30"/>
  <c r="HLE364" i="30"/>
  <c r="HLF364" i="30"/>
  <c r="HLG364" i="30"/>
  <c r="HLH364" i="30"/>
  <c r="HLI364" i="30"/>
  <c r="HLJ364" i="30"/>
  <c r="HLK364" i="30"/>
  <c r="HLL364" i="30"/>
  <c r="HLM364" i="30"/>
  <c r="HLN364" i="30"/>
  <c r="HLO364" i="30"/>
  <c r="HLP364" i="30"/>
  <c r="HLQ364" i="30"/>
  <c r="HLR364" i="30"/>
  <c r="HLS364" i="30"/>
  <c r="HLT364" i="30"/>
  <c r="HLU364" i="30"/>
  <c r="HLV364" i="30"/>
  <c r="HLW364" i="30"/>
  <c r="HLX364" i="30"/>
  <c r="HLY364" i="30"/>
  <c r="HLZ364" i="30"/>
  <c r="HMA364" i="30"/>
  <c r="HMB364" i="30"/>
  <c r="HMC364" i="30"/>
  <c r="HMD364" i="30"/>
  <c r="HME364" i="30"/>
  <c r="HMF364" i="30"/>
  <c r="HMG364" i="30"/>
  <c r="HMH364" i="30"/>
  <c r="HMI364" i="30"/>
  <c r="HMJ364" i="30"/>
  <c r="HMK364" i="30"/>
  <c r="HML364" i="30"/>
  <c r="HMM364" i="30"/>
  <c r="HMN364" i="30"/>
  <c r="HMO364" i="30"/>
  <c r="HMP364" i="30"/>
  <c r="HMQ364" i="30"/>
  <c r="HMR364" i="30"/>
  <c r="HMS364" i="30"/>
  <c r="HMT364" i="30"/>
  <c r="HMU364" i="30"/>
  <c r="HMV364" i="30"/>
  <c r="HMW364" i="30"/>
  <c r="HMX364" i="30"/>
  <c r="HMY364" i="30"/>
  <c r="HMZ364" i="30"/>
  <c r="HNA364" i="30"/>
  <c r="HNB364" i="30"/>
  <c r="HNC364" i="30"/>
  <c r="HND364" i="30"/>
  <c r="HNE364" i="30"/>
  <c r="HNF364" i="30"/>
  <c r="HNG364" i="30"/>
  <c r="HNH364" i="30"/>
  <c r="HNI364" i="30"/>
  <c r="HNJ364" i="30"/>
  <c r="HNK364" i="30"/>
  <c r="HNL364" i="30"/>
  <c r="HNM364" i="30"/>
  <c r="HNN364" i="30"/>
  <c r="HNO364" i="30"/>
  <c r="HNP364" i="30"/>
  <c r="HNQ364" i="30"/>
  <c r="HNR364" i="30"/>
  <c r="HNS364" i="30"/>
  <c r="HNT364" i="30"/>
  <c r="HNU364" i="30"/>
  <c r="HNV364" i="30"/>
  <c r="HNW364" i="30"/>
  <c r="HNX364" i="30"/>
  <c r="HNY364" i="30"/>
  <c r="HNZ364" i="30"/>
  <c r="HOA364" i="30"/>
  <c r="HOB364" i="30"/>
  <c r="HOC364" i="30"/>
  <c r="HOD364" i="30"/>
  <c r="HOE364" i="30"/>
  <c r="HOF364" i="30"/>
  <c r="HOG364" i="30"/>
  <c r="HOH364" i="30"/>
  <c r="HOI364" i="30"/>
  <c r="HOJ364" i="30"/>
  <c r="HOK364" i="30"/>
  <c r="HOL364" i="30"/>
  <c r="HOM364" i="30"/>
  <c r="HON364" i="30"/>
  <c r="HOO364" i="30"/>
  <c r="HOP364" i="30"/>
  <c r="HOQ364" i="30"/>
  <c r="HOR364" i="30"/>
  <c r="HOS364" i="30"/>
  <c r="HOT364" i="30"/>
  <c r="HOU364" i="30"/>
  <c r="HOV364" i="30"/>
  <c r="HOW364" i="30"/>
  <c r="HOX364" i="30"/>
  <c r="HOY364" i="30"/>
  <c r="HOZ364" i="30"/>
  <c r="HPA364" i="30"/>
  <c r="HPB364" i="30"/>
  <c r="HPC364" i="30"/>
  <c r="HPD364" i="30"/>
  <c r="HPE364" i="30"/>
  <c r="HPF364" i="30"/>
  <c r="HPG364" i="30"/>
  <c r="HPH364" i="30"/>
  <c r="HPI364" i="30"/>
  <c r="HPJ364" i="30"/>
  <c r="HPK364" i="30"/>
  <c r="HPL364" i="30"/>
  <c r="HPM364" i="30"/>
  <c r="HPN364" i="30"/>
  <c r="HPO364" i="30"/>
  <c r="HPP364" i="30"/>
  <c r="HPQ364" i="30"/>
  <c r="HPR364" i="30"/>
  <c r="HPS364" i="30"/>
  <c r="HPT364" i="30"/>
  <c r="HPU364" i="30"/>
  <c r="HPV364" i="30"/>
  <c r="HPW364" i="30"/>
  <c r="HPX364" i="30"/>
  <c r="HPY364" i="30"/>
  <c r="HPZ364" i="30"/>
  <c r="HQA364" i="30"/>
  <c r="HQB364" i="30"/>
  <c r="HQC364" i="30"/>
  <c r="HQD364" i="30"/>
  <c r="HQE364" i="30"/>
  <c r="HQF364" i="30"/>
  <c r="HQG364" i="30"/>
  <c r="HQH364" i="30"/>
  <c r="HQI364" i="30"/>
  <c r="HQJ364" i="30"/>
  <c r="HQK364" i="30"/>
  <c r="HQL364" i="30"/>
  <c r="HQM364" i="30"/>
  <c r="HQN364" i="30"/>
  <c r="HQO364" i="30"/>
  <c r="HQP364" i="30"/>
  <c r="HQQ364" i="30"/>
  <c r="HQR364" i="30"/>
  <c r="HQS364" i="30"/>
  <c r="HQT364" i="30"/>
  <c r="HQU364" i="30"/>
  <c r="HQV364" i="30"/>
  <c r="HQW364" i="30"/>
  <c r="HQX364" i="30"/>
  <c r="HQY364" i="30"/>
  <c r="HQZ364" i="30"/>
  <c r="HRA364" i="30"/>
  <c r="HRB364" i="30"/>
  <c r="HRC364" i="30"/>
  <c r="HRD364" i="30"/>
  <c r="HRE364" i="30"/>
  <c r="HRF364" i="30"/>
  <c r="HRG364" i="30"/>
  <c r="HRH364" i="30"/>
  <c r="HRI364" i="30"/>
  <c r="HRJ364" i="30"/>
  <c r="HRK364" i="30"/>
  <c r="HRL364" i="30"/>
  <c r="HRM364" i="30"/>
  <c r="HRN364" i="30"/>
  <c r="HRO364" i="30"/>
  <c r="HRP364" i="30"/>
  <c r="HRQ364" i="30"/>
  <c r="HRR364" i="30"/>
  <c r="HRS364" i="30"/>
  <c r="HRT364" i="30"/>
  <c r="HRU364" i="30"/>
  <c r="HRV364" i="30"/>
  <c r="HRW364" i="30"/>
  <c r="HRX364" i="30"/>
  <c r="HRY364" i="30"/>
  <c r="HRZ364" i="30"/>
  <c r="HSA364" i="30"/>
  <c r="HSB364" i="30"/>
  <c r="HSC364" i="30"/>
  <c r="HSD364" i="30"/>
  <c r="HSE364" i="30"/>
  <c r="HSF364" i="30"/>
  <c r="HSG364" i="30"/>
  <c r="HSH364" i="30"/>
  <c r="HSI364" i="30"/>
  <c r="HSJ364" i="30"/>
  <c r="HSK364" i="30"/>
  <c r="HSL364" i="30"/>
  <c r="HSM364" i="30"/>
  <c r="HSN364" i="30"/>
  <c r="HSO364" i="30"/>
  <c r="HSP364" i="30"/>
  <c r="HSQ364" i="30"/>
  <c r="HSR364" i="30"/>
  <c r="HSS364" i="30"/>
  <c r="HST364" i="30"/>
  <c r="HSU364" i="30"/>
  <c r="HSV364" i="30"/>
  <c r="HSW364" i="30"/>
  <c r="HSX364" i="30"/>
  <c r="HSY364" i="30"/>
  <c r="HSZ364" i="30"/>
  <c r="HTA364" i="30"/>
  <c r="HTB364" i="30"/>
  <c r="HTC364" i="30"/>
  <c r="HTD364" i="30"/>
  <c r="HTE364" i="30"/>
  <c r="HTF364" i="30"/>
  <c r="HTG364" i="30"/>
  <c r="HTH364" i="30"/>
  <c r="HTI364" i="30"/>
  <c r="HTJ364" i="30"/>
  <c r="HTK364" i="30"/>
  <c r="HTL364" i="30"/>
  <c r="HTM364" i="30"/>
  <c r="HTN364" i="30"/>
  <c r="HTO364" i="30"/>
  <c r="HTP364" i="30"/>
  <c r="HTQ364" i="30"/>
  <c r="HTR364" i="30"/>
  <c r="HTS364" i="30"/>
  <c r="HTT364" i="30"/>
  <c r="HTU364" i="30"/>
  <c r="HTV364" i="30"/>
  <c r="HTW364" i="30"/>
  <c r="HTX364" i="30"/>
  <c r="HTY364" i="30"/>
  <c r="HTZ364" i="30"/>
  <c r="HUA364" i="30"/>
  <c r="HUB364" i="30"/>
  <c r="HUC364" i="30"/>
  <c r="HUD364" i="30"/>
  <c r="HUE364" i="30"/>
  <c r="HUF364" i="30"/>
  <c r="HUG364" i="30"/>
  <c r="HUH364" i="30"/>
  <c r="HUI364" i="30"/>
  <c r="HUJ364" i="30"/>
  <c r="HUK364" i="30"/>
  <c r="HUL364" i="30"/>
  <c r="HUM364" i="30"/>
  <c r="HUN364" i="30"/>
  <c r="HUO364" i="30"/>
  <c r="HUP364" i="30"/>
  <c r="HUQ364" i="30"/>
  <c r="HUR364" i="30"/>
  <c r="HUS364" i="30"/>
  <c r="HUT364" i="30"/>
  <c r="HUU364" i="30"/>
  <c r="HUV364" i="30"/>
  <c r="HUW364" i="30"/>
  <c r="HUX364" i="30"/>
  <c r="HUY364" i="30"/>
  <c r="HUZ364" i="30"/>
  <c r="HVA364" i="30"/>
  <c r="HVB364" i="30"/>
  <c r="HVC364" i="30"/>
  <c r="HVD364" i="30"/>
  <c r="HVE364" i="30"/>
  <c r="HVF364" i="30"/>
  <c r="HVG364" i="30"/>
  <c r="HVH364" i="30"/>
  <c r="HVI364" i="30"/>
  <c r="HVJ364" i="30"/>
  <c r="HVK364" i="30"/>
  <c r="HVL364" i="30"/>
  <c r="HVM364" i="30"/>
  <c r="HVN364" i="30"/>
  <c r="HVO364" i="30"/>
  <c r="HVP364" i="30"/>
  <c r="HVQ364" i="30"/>
  <c r="HVR364" i="30"/>
  <c r="HVS364" i="30"/>
  <c r="HVT364" i="30"/>
  <c r="HVU364" i="30"/>
  <c r="HVV364" i="30"/>
  <c r="HVW364" i="30"/>
  <c r="HVX364" i="30"/>
  <c r="HVY364" i="30"/>
  <c r="HVZ364" i="30"/>
  <c r="HWA364" i="30"/>
  <c r="HWB364" i="30"/>
  <c r="HWC364" i="30"/>
  <c r="HWD364" i="30"/>
  <c r="HWE364" i="30"/>
  <c r="HWF364" i="30"/>
  <c r="HWG364" i="30"/>
  <c r="HWH364" i="30"/>
  <c r="HWI364" i="30"/>
  <c r="HWJ364" i="30"/>
  <c r="HWK364" i="30"/>
  <c r="HWL364" i="30"/>
  <c r="HWM364" i="30"/>
  <c r="HWN364" i="30"/>
  <c r="HWO364" i="30"/>
  <c r="HWP364" i="30"/>
  <c r="HWQ364" i="30"/>
  <c r="HWR364" i="30"/>
  <c r="HWS364" i="30"/>
  <c r="HWT364" i="30"/>
  <c r="HWU364" i="30"/>
  <c r="HWV364" i="30"/>
  <c r="HWW364" i="30"/>
  <c r="HWX364" i="30"/>
  <c r="HWY364" i="30"/>
  <c r="HWZ364" i="30"/>
  <c r="HXA364" i="30"/>
  <c r="HXB364" i="30"/>
  <c r="HXC364" i="30"/>
  <c r="HXD364" i="30"/>
  <c r="HXE364" i="30"/>
  <c r="HXF364" i="30"/>
  <c r="HXG364" i="30"/>
  <c r="HXH364" i="30"/>
  <c r="HXI364" i="30"/>
  <c r="HXJ364" i="30"/>
  <c r="HXK364" i="30"/>
  <c r="HXL364" i="30"/>
  <c r="HXM364" i="30"/>
  <c r="HXN364" i="30"/>
  <c r="HXO364" i="30"/>
  <c r="HXP364" i="30"/>
  <c r="HXQ364" i="30"/>
  <c r="HXR364" i="30"/>
  <c r="HXS364" i="30"/>
  <c r="HXT364" i="30"/>
  <c r="HXU364" i="30"/>
  <c r="HXV364" i="30"/>
  <c r="HXW364" i="30"/>
  <c r="HXX364" i="30"/>
  <c r="HXY364" i="30"/>
  <c r="HXZ364" i="30"/>
  <c r="HYA364" i="30"/>
  <c r="HYB364" i="30"/>
  <c r="HYC364" i="30"/>
  <c r="HYD364" i="30"/>
  <c r="HYE364" i="30"/>
  <c r="HYF364" i="30"/>
  <c r="HYG364" i="30"/>
  <c r="HYH364" i="30"/>
  <c r="HYI364" i="30"/>
  <c r="HYJ364" i="30"/>
  <c r="HYK364" i="30"/>
  <c r="HYL364" i="30"/>
  <c r="HYM364" i="30"/>
  <c r="HYN364" i="30"/>
  <c r="HYO364" i="30"/>
  <c r="HYP364" i="30"/>
  <c r="HYQ364" i="30"/>
  <c r="HYR364" i="30"/>
  <c r="HYS364" i="30"/>
  <c r="HYT364" i="30"/>
  <c r="HYU364" i="30"/>
  <c r="HYV364" i="30"/>
  <c r="HYW364" i="30"/>
  <c r="HYX364" i="30"/>
  <c r="HYY364" i="30"/>
  <c r="HYZ364" i="30"/>
  <c r="HZA364" i="30"/>
  <c r="HZB364" i="30"/>
  <c r="HZC364" i="30"/>
  <c r="HZD364" i="30"/>
  <c r="HZE364" i="30"/>
  <c r="HZF364" i="30"/>
  <c r="HZG364" i="30"/>
  <c r="HZH364" i="30"/>
  <c r="HZI364" i="30"/>
  <c r="HZJ364" i="30"/>
  <c r="HZK364" i="30"/>
  <c r="HZL364" i="30"/>
  <c r="HZM364" i="30"/>
  <c r="HZN364" i="30"/>
  <c r="HZO364" i="30"/>
  <c r="HZP364" i="30"/>
  <c r="HZQ364" i="30"/>
  <c r="HZR364" i="30"/>
  <c r="HZS364" i="30"/>
  <c r="HZT364" i="30"/>
  <c r="HZU364" i="30"/>
  <c r="HZV364" i="30"/>
  <c r="HZW364" i="30"/>
  <c r="HZX364" i="30"/>
  <c r="HZY364" i="30"/>
  <c r="HZZ364" i="30"/>
  <c r="IAA364" i="30"/>
  <c r="IAB364" i="30"/>
  <c r="IAC364" i="30"/>
  <c r="IAD364" i="30"/>
  <c r="IAE364" i="30"/>
  <c r="IAF364" i="30"/>
  <c r="IAG364" i="30"/>
  <c r="IAH364" i="30"/>
  <c r="IAI364" i="30"/>
  <c r="IAJ364" i="30"/>
  <c r="IAK364" i="30"/>
  <c r="IAL364" i="30"/>
  <c r="IAM364" i="30"/>
  <c r="IAN364" i="30"/>
  <c r="IAO364" i="30"/>
  <c r="IAP364" i="30"/>
  <c r="IAQ364" i="30"/>
  <c r="IAR364" i="30"/>
  <c r="IAS364" i="30"/>
  <c r="IAT364" i="30"/>
  <c r="IAU364" i="30"/>
  <c r="IAV364" i="30"/>
  <c r="IAW364" i="30"/>
  <c r="IAX364" i="30"/>
  <c r="IAY364" i="30"/>
  <c r="IAZ364" i="30"/>
  <c r="IBA364" i="30"/>
  <c r="IBB364" i="30"/>
  <c r="IBC364" i="30"/>
  <c r="IBD364" i="30"/>
  <c r="IBE364" i="30"/>
  <c r="IBF364" i="30"/>
  <c r="IBG364" i="30"/>
  <c r="IBH364" i="30"/>
  <c r="IBI364" i="30"/>
  <c r="IBJ364" i="30"/>
  <c r="IBK364" i="30"/>
  <c r="IBL364" i="30"/>
  <c r="IBM364" i="30"/>
  <c r="IBN364" i="30"/>
  <c r="IBO364" i="30"/>
  <c r="IBP364" i="30"/>
  <c r="IBQ364" i="30"/>
  <c r="IBR364" i="30"/>
  <c r="IBS364" i="30"/>
  <c r="IBT364" i="30"/>
  <c r="IBU364" i="30"/>
  <c r="IBV364" i="30"/>
  <c r="IBW364" i="30"/>
  <c r="IBX364" i="30"/>
  <c r="IBY364" i="30"/>
  <c r="IBZ364" i="30"/>
  <c r="ICA364" i="30"/>
  <c r="ICB364" i="30"/>
  <c r="ICC364" i="30"/>
  <c r="ICD364" i="30"/>
  <c r="ICE364" i="30"/>
  <c r="ICF364" i="30"/>
  <c r="ICG364" i="30"/>
  <c r="ICH364" i="30"/>
  <c r="ICI364" i="30"/>
  <c r="ICJ364" i="30"/>
  <c r="ICK364" i="30"/>
  <c r="ICL364" i="30"/>
  <c r="ICM364" i="30"/>
  <c r="ICN364" i="30"/>
  <c r="ICO364" i="30"/>
  <c r="ICP364" i="30"/>
  <c r="ICQ364" i="30"/>
  <c r="ICR364" i="30"/>
  <c r="ICS364" i="30"/>
  <c r="ICT364" i="30"/>
  <c r="ICU364" i="30"/>
  <c r="ICV364" i="30"/>
  <c r="ICW364" i="30"/>
  <c r="ICX364" i="30"/>
  <c r="ICY364" i="30"/>
  <c r="ICZ364" i="30"/>
  <c r="IDA364" i="30"/>
  <c r="IDB364" i="30"/>
  <c r="IDC364" i="30"/>
  <c r="IDD364" i="30"/>
  <c r="IDE364" i="30"/>
  <c r="IDF364" i="30"/>
  <c r="IDG364" i="30"/>
  <c r="IDH364" i="30"/>
  <c r="IDI364" i="30"/>
  <c r="IDJ364" i="30"/>
  <c r="IDK364" i="30"/>
  <c r="IDL364" i="30"/>
  <c r="IDM364" i="30"/>
  <c r="IDN364" i="30"/>
  <c r="IDO364" i="30"/>
  <c r="IDP364" i="30"/>
  <c r="IDQ364" i="30"/>
  <c r="IDR364" i="30"/>
  <c r="IDS364" i="30"/>
  <c r="IDT364" i="30"/>
  <c r="IDU364" i="30"/>
  <c r="IDV364" i="30"/>
  <c r="IDW364" i="30"/>
  <c r="IDX364" i="30"/>
  <c r="IDY364" i="30"/>
  <c r="IDZ364" i="30"/>
  <c r="IEA364" i="30"/>
  <c r="IEB364" i="30"/>
  <c r="IEC364" i="30"/>
  <c r="IED364" i="30"/>
  <c r="IEE364" i="30"/>
  <c r="IEF364" i="30"/>
  <c r="IEG364" i="30"/>
  <c r="IEH364" i="30"/>
  <c r="IEI364" i="30"/>
  <c r="IEJ364" i="30"/>
  <c r="IEK364" i="30"/>
  <c r="IEL364" i="30"/>
  <c r="IEM364" i="30"/>
  <c r="IEN364" i="30"/>
  <c r="IEO364" i="30"/>
  <c r="IEP364" i="30"/>
  <c r="IEQ364" i="30"/>
  <c r="IER364" i="30"/>
  <c r="IES364" i="30"/>
  <c r="IET364" i="30"/>
  <c r="IEU364" i="30"/>
  <c r="IEV364" i="30"/>
  <c r="IEW364" i="30"/>
  <c r="IEX364" i="30"/>
  <c r="IEY364" i="30"/>
  <c r="IEZ364" i="30"/>
  <c r="IFA364" i="30"/>
  <c r="IFB364" i="30"/>
  <c r="IFC364" i="30"/>
  <c r="IFD364" i="30"/>
  <c r="IFE364" i="30"/>
  <c r="IFF364" i="30"/>
  <c r="IFG364" i="30"/>
  <c r="IFH364" i="30"/>
  <c r="IFI364" i="30"/>
  <c r="IFJ364" i="30"/>
  <c r="IFK364" i="30"/>
  <c r="IFL364" i="30"/>
  <c r="IFM364" i="30"/>
  <c r="IFN364" i="30"/>
  <c r="IFO364" i="30"/>
  <c r="IFP364" i="30"/>
  <c r="IFQ364" i="30"/>
  <c r="IFR364" i="30"/>
  <c r="IFS364" i="30"/>
  <c r="IFT364" i="30"/>
  <c r="IFU364" i="30"/>
  <c r="IFV364" i="30"/>
  <c r="IFW364" i="30"/>
  <c r="IFX364" i="30"/>
  <c r="IFY364" i="30"/>
  <c r="IFZ364" i="30"/>
  <c r="IGA364" i="30"/>
  <c r="IGB364" i="30"/>
  <c r="IGC364" i="30"/>
  <c r="IGD364" i="30"/>
  <c r="IGE364" i="30"/>
  <c r="IGF364" i="30"/>
  <c r="IGG364" i="30"/>
  <c r="IGH364" i="30"/>
  <c r="IGI364" i="30"/>
  <c r="IGJ364" i="30"/>
  <c r="IGK364" i="30"/>
  <c r="IGL364" i="30"/>
  <c r="IGM364" i="30"/>
  <c r="IGN364" i="30"/>
  <c r="IGO364" i="30"/>
  <c r="IGP364" i="30"/>
  <c r="IGQ364" i="30"/>
  <c r="IGR364" i="30"/>
  <c r="IGS364" i="30"/>
  <c r="IGT364" i="30"/>
  <c r="IGU364" i="30"/>
  <c r="IGV364" i="30"/>
  <c r="IGW364" i="30"/>
  <c r="IGX364" i="30"/>
  <c r="IGY364" i="30"/>
  <c r="IGZ364" i="30"/>
  <c r="IHA364" i="30"/>
  <c r="IHB364" i="30"/>
  <c r="IHC364" i="30"/>
  <c r="IHD364" i="30"/>
  <c r="IHE364" i="30"/>
  <c r="IHF364" i="30"/>
  <c r="IHG364" i="30"/>
  <c r="IHH364" i="30"/>
  <c r="IHI364" i="30"/>
  <c r="IHJ364" i="30"/>
  <c r="IHK364" i="30"/>
  <c r="IHL364" i="30"/>
  <c r="IHM364" i="30"/>
  <c r="IHN364" i="30"/>
  <c r="IHO364" i="30"/>
  <c r="IHP364" i="30"/>
  <c r="IHQ364" i="30"/>
  <c r="IHR364" i="30"/>
  <c r="IHS364" i="30"/>
  <c r="IHT364" i="30"/>
  <c r="IHU364" i="30"/>
  <c r="IHV364" i="30"/>
  <c r="IHW364" i="30"/>
  <c r="IHX364" i="30"/>
  <c r="IHY364" i="30"/>
  <c r="IHZ364" i="30"/>
  <c r="IIA364" i="30"/>
  <c r="IIB364" i="30"/>
  <c r="IIC364" i="30"/>
  <c r="IID364" i="30"/>
  <c r="IIE364" i="30"/>
  <c r="IIF364" i="30"/>
  <c r="IIG364" i="30"/>
  <c r="IIH364" i="30"/>
  <c r="III364" i="30"/>
  <c r="IIJ364" i="30"/>
  <c r="IIK364" i="30"/>
  <c r="IIL364" i="30"/>
  <c r="IIM364" i="30"/>
  <c r="IIN364" i="30"/>
  <c r="IIO364" i="30"/>
  <c r="IIP364" i="30"/>
  <c r="IIQ364" i="30"/>
  <c r="IIR364" i="30"/>
  <c r="IIS364" i="30"/>
  <c r="IIT364" i="30"/>
  <c r="IIU364" i="30"/>
  <c r="IIV364" i="30"/>
  <c r="IIW364" i="30"/>
  <c r="IIX364" i="30"/>
  <c r="IIY364" i="30"/>
  <c r="IIZ364" i="30"/>
  <c r="IJA364" i="30"/>
  <c r="IJB364" i="30"/>
  <c r="IJC364" i="30"/>
  <c r="IJD364" i="30"/>
  <c r="IJE364" i="30"/>
  <c r="IJF364" i="30"/>
  <c r="IJG364" i="30"/>
  <c r="IJH364" i="30"/>
  <c r="IJI364" i="30"/>
  <c r="IJJ364" i="30"/>
  <c r="IJK364" i="30"/>
  <c r="IJL364" i="30"/>
  <c r="IJM364" i="30"/>
  <c r="IJN364" i="30"/>
  <c r="IJO364" i="30"/>
  <c r="IJP364" i="30"/>
  <c r="IJQ364" i="30"/>
  <c r="IJR364" i="30"/>
  <c r="IJS364" i="30"/>
  <c r="IJT364" i="30"/>
  <c r="IJU364" i="30"/>
  <c r="IJV364" i="30"/>
  <c r="IJW364" i="30"/>
  <c r="IJX364" i="30"/>
  <c r="IJY364" i="30"/>
  <c r="IJZ364" i="30"/>
  <c r="IKA364" i="30"/>
  <c r="IKB364" i="30"/>
  <c r="IKC364" i="30"/>
  <c r="IKD364" i="30"/>
  <c r="IKE364" i="30"/>
  <c r="IKF364" i="30"/>
  <c r="IKG364" i="30"/>
  <c r="IKH364" i="30"/>
  <c r="IKI364" i="30"/>
  <c r="IKJ364" i="30"/>
  <c r="IKK364" i="30"/>
  <c r="IKL364" i="30"/>
  <c r="IKM364" i="30"/>
  <c r="IKN364" i="30"/>
  <c r="IKO364" i="30"/>
  <c r="IKP364" i="30"/>
  <c r="IKQ364" i="30"/>
  <c r="IKR364" i="30"/>
  <c r="IKS364" i="30"/>
  <c r="IKT364" i="30"/>
  <c r="IKU364" i="30"/>
  <c r="IKV364" i="30"/>
  <c r="IKW364" i="30"/>
  <c r="IKX364" i="30"/>
  <c r="IKY364" i="30"/>
  <c r="IKZ364" i="30"/>
  <c r="ILA364" i="30"/>
  <c r="ILB364" i="30"/>
  <c r="ILC364" i="30"/>
  <c r="ILD364" i="30"/>
  <c r="ILE364" i="30"/>
  <c r="ILF364" i="30"/>
  <c r="ILG364" i="30"/>
  <c r="ILH364" i="30"/>
  <c r="ILI364" i="30"/>
  <c r="ILJ364" i="30"/>
  <c r="ILK364" i="30"/>
  <c r="ILL364" i="30"/>
  <c r="ILM364" i="30"/>
  <c r="ILN364" i="30"/>
  <c r="ILO364" i="30"/>
  <c r="ILP364" i="30"/>
  <c r="ILQ364" i="30"/>
  <c r="ILR364" i="30"/>
  <c r="ILS364" i="30"/>
  <c r="ILT364" i="30"/>
  <c r="ILU364" i="30"/>
  <c r="ILV364" i="30"/>
  <c r="ILW364" i="30"/>
  <c r="ILX364" i="30"/>
  <c r="ILY364" i="30"/>
  <c r="ILZ364" i="30"/>
  <c r="IMA364" i="30"/>
  <c r="IMB364" i="30"/>
  <c r="IMC364" i="30"/>
  <c r="IMD364" i="30"/>
  <c r="IME364" i="30"/>
  <c r="IMF364" i="30"/>
  <c r="IMG364" i="30"/>
  <c r="IMH364" i="30"/>
  <c r="IMI364" i="30"/>
  <c r="IMJ364" i="30"/>
  <c r="IMK364" i="30"/>
  <c r="IML364" i="30"/>
  <c r="IMM364" i="30"/>
  <c r="IMN364" i="30"/>
  <c r="IMO364" i="30"/>
  <c r="IMP364" i="30"/>
  <c r="IMQ364" i="30"/>
  <c r="IMR364" i="30"/>
  <c r="IMS364" i="30"/>
  <c r="IMT364" i="30"/>
  <c r="IMU364" i="30"/>
  <c r="IMV364" i="30"/>
  <c r="IMW364" i="30"/>
  <c r="IMX364" i="30"/>
  <c r="IMY364" i="30"/>
  <c r="IMZ364" i="30"/>
  <c r="INA364" i="30"/>
  <c r="INB364" i="30"/>
  <c r="INC364" i="30"/>
  <c r="IND364" i="30"/>
  <c r="INE364" i="30"/>
  <c r="INF364" i="30"/>
  <c r="ING364" i="30"/>
  <c r="INH364" i="30"/>
  <c r="INI364" i="30"/>
  <c r="INJ364" i="30"/>
  <c r="INK364" i="30"/>
  <c r="INL364" i="30"/>
  <c r="INM364" i="30"/>
  <c r="INN364" i="30"/>
  <c r="INO364" i="30"/>
  <c r="INP364" i="30"/>
  <c r="INQ364" i="30"/>
  <c r="INR364" i="30"/>
  <c r="INS364" i="30"/>
  <c r="INT364" i="30"/>
  <c r="INU364" i="30"/>
  <c r="INV364" i="30"/>
  <c r="INW364" i="30"/>
  <c r="INX364" i="30"/>
  <c r="INY364" i="30"/>
  <c r="INZ364" i="30"/>
  <c r="IOA364" i="30"/>
  <c r="IOB364" i="30"/>
  <c r="IOC364" i="30"/>
  <c r="IOD364" i="30"/>
  <c r="IOE364" i="30"/>
  <c r="IOF364" i="30"/>
  <c r="IOG364" i="30"/>
  <c r="IOH364" i="30"/>
  <c r="IOI364" i="30"/>
  <c r="IOJ364" i="30"/>
  <c r="IOK364" i="30"/>
  <c r="IOL364" i="30"/>
  <c r="IOM364" i="30"/>
  <c r="ION364" i="30"/>
  <c r="IOO364" i="30"/>
  <c r="IOP364" i="30"/>
  <c r="IOQ364" i="30"/>
  <c r="IOR364" i="30"/>
  <c r="IOS364" i="30"/>
  <c r="IOT364" i="30"/>
  <c r="IOU364" i="30"/>
  <c r="IOV364" i="30"/>
  <c r="IOW364" i="30"/>
  <c r="IOX364" i="30"/>
  <c r="IOY364" i="30"/>
  <c r="IOZ364" i="30"/>
  <c r="IPA364" i="30"/>
  <c r="IPB364" i="30"/>
  <c r="IPC364" i="30"/>
  <c r="IPD364" i="30"/>
  <c r="IPE364" i="30"/>
  <c r="IPF364" i="30"/>
  <c r="IPG364" i="30"/>
  <c r="IPH364" i="30"/>
  <c r="IPI364" i="30"/>
  <c r="IPJ364" i="30"/>
  <c r="IPK364" i="30"/>
  <c r="IPL364" i="30"/>
  <c r="IPM364" i="30"/>
  <c r="IPN364" i="30"/>
  <c r="IPO364" i="30"/>
  <c r="IPP364" i="30"/>
  <c r="IPQ364" i="30"/>
  <c r="IPR364" i="30"/>
  <c r="IPS364" i="30"/>
  <c r="IPT364" i="30"/>
  <c r="IPU364" i="30"/>
  <c r="IPV364" i="30"/>
  <c r="IPW364" i="30"/>
  <c r="IPX364" i="30"/>
  <c r="IPY364" i="30"/>
  <c r="IPZ364" i="30"/>
  <c r="IQA364" i="30"/>
  <c r="IQB364" i="30"/>
  <c r="IQC364" i="30"/>
  <c r="IQD364" i="30"/>
  <c r="IQE364" i="30"/>
  <c r="IQF364" i="30"/>
  <c r="IQG364" i="30"/>
  <c r="IQH364" i="30"/>
  <c r="IQI364" i="30"/>
  <c r="IQJ364" i="30"/>
  <c r="IQK364" i="30"/>
  <c r="IQL364" i="30"/>
  <c r="IQM364" i="30"/>
  <c r="IQN364" i="30"/>
  <c r="IQO364" i="30"/>
  <c r="IQP364" i="30"/>
  <c r="IQQ364" i="30"/>
  <c r="IQR364" i="30"/>
  <c r="IQS364" i="30"/>
  <c r="IQT364" i="30"/>
  <c r="IQU364" i="30"/>
  <c r="IQV364" i="30"/>
  <c r="IQW364" i="30"/>
  <c r="IQX364" i="30"/>
  <c r="IQY364" i="30"/>
  <c r="IQZ364" i="30"/>
  <c r="IRA364" i="30"/>
  <c r="IRB364" i="30"/>
  <c r="IRC364" i="30"/>
  <c r="IRD364" i="30"/>
  <c r="IRE364" i="30"/>
  <c r="IRF364" i="30"/>
  <c r="IRG364" i="30"/>
  <c r="IRH364" i="30"/>
  <c r="IRI364" i="30"/>
  <c r="IRJ364" i="30"/>
  <c r="IRK364" i="30"/>
  <c r="IRL364" i="30"/>
  <c r="IRM364" i="30"/>
  <c r="IRN364" i="30"/>
  <c r="IRO364" i="30"/>
  <c r="IRP364" i="30"/>
  <c r="IRQ364" i="30"/>
  <c r="IRR364" i="30"/>
  <c r="IRS364" i="30"/>
  <c r="IRT364" i="30"/>
  <c r="IRU364" i="30"/>
  <c r="IRV364" i="30"/>
  <c r="IRW364" i="30"/>
  <c r="IRX364" i="30"/>
  <c r="IRY364" i="30"/>
  <c r="IRZ364" i="30"/>
  <c r="ISA364" i="30"/>
  <c r="ISB364" i="30"/>
  <c r="ISC364" i="30"/>
  <c r="ISD364" i="30"/>
  <c r="ISE364" i="30"/>
  <c r="ISF364" i="30"/>
  <c r="ISG364" i="30"/>
  <c r="ISH364" i="30"/>
  <c r="ISI364" i="30"/>
  <c r="ISJ364" i="30"/>
  <c r="ISK364" i="30"/>
  <c r="ISL364" i="30"/>
  <c r="ISM364" i="30"/>
  <c r="ISN364" i="30"/>
  <c r="ISO364" i="30"/>
  <c r="ISP364" i="30"/>
  <c r="ISQ364" i="30"/>
  <c r="ISR364" i="30"/>
  <c r="ISS364" i="30"/>
  <c r="IST364" i="30"/>
  <c r="ISU364" i="30"/>
  <c r="ISV364" i="30"/>
  <c r="ISW364" i="30"/>
  <c r="ISX364" i="30"/>
  <c r="ISY364" i="30"/>
  <c r="ISZ364" i="30"/>
  <c r="ITA364" i="30"/>
  <c r="ITB364" i="30"/>
  <c r="ITC364" i="30"/>
  <c r="ITD364" i="30"/>
  <c r="ITE364" i="30"/>
  <c r="ITF364" i="30"/>
  <c r="ITG364" i="30"/>
  <c r="ITH364" i="30"/>
  <c r="ITI364" i="30"/>
  <c r="ITJ364" i="30"/>
  <c r="ITK364" i="30"/>
  <c r="ITL364" i="30"/>
  <c r="ITM364" i="30"/>
  <c r="ITN364" i="30"/>
  <c r="ITO364" i="30"/>
  <c r="ITP364" i="30"/>
  <c r="ITQ364" i="30"/>
  <c r="ITR364" i="30"/>
  <c r="ITS364" i="30"/>
  <c r="ITT364" i="30"/>
  <c r="ITU364" i="30"/>
  <c r="ITV364" i="30"/>
  <c r="ITW364" i="30"/>
  <c r="ITX364" i="30"/>
  <c r="ITY364" i="30"/>
  <c r="ITZ364" i="30"/>
  <c r="IUA364" i="30"/>
  <c r="IUB364" i="30"/>
  <c r="IUC364" i="30"/>
  <c r="IUD364" i="30"/>
  <c r="IUE364" i="30"/>
  <c r="IUF364" i="30"/>
  <c r="IUG364" i="30"/>
  <c r="IUH364" i="30"/>
  <c r="IUI364" i="30"/>
  <c r="IUJ364" i="30"/>
  <c r="IUK364" i="30"/>
  <c r="IUL364" i="30"/>
  <c r="IUM364" i="30"/>
  <c r="IUN364" i="30"/>
  <c r="IUO364" i="30"/>
  <c r="IUP364" i="30"/>
  <c r="IUQ364" i="30"/>
  <c r="IUR364" i="30"/>
  <c r="IUS364" i="30"/>
  <c r="IUT364" i="30"/>
  <c r="IUU364" i="30"/>
  <c r="IUV364" i="30"/>
  <c r="IUW364" i="30"/>
  <c r="IUX364" i="30"/>
  <c r="IUY364" i="30"/>
  <c r="IUZ364" i="30"/>
  <c r="IVA364" i="30"/>
  <c r="IVB364" i="30"/>
  <c r="IVC364" i="30"/>
  <c r="IVD364" i="30"/>
  <c r="IVE364" i="30"/>
  <c r="IVF364" i="30"/>
  <c r="IVG364" i="30"/>
  <c r="IVH364" i="30"/>
  <c r="IVI364" i="30"/>
  <c r="IVJ364" i="30"/>
  <c r="IVK364" i="30"/>
  <c r="IVL364" i="30"/>
  <c r="IVM364" i="30"/>
  <c r="IVN364" i="30"/>
  <c r="IVO364" i="30"/>
  <c r="IVP364" i="30"/>
  <c r="IVQ364" i="30"/>
  <c r="IVR364" i="30"/>
  <c r="IVS364" i="30"/>
  <c r="IVT364" i="30"/>
  <c r="IVU364" i="30"/>
  <c r="IVV364" i="30"/>
  <c r="IVW364" i="30"/>
  <c r="IVX364" i="30"/>
  <c r="IVY364" i="30"/>
  <c r="IVZ364" i="30"/>
  <c r="IWA364" i="30"/>
  <c r="IWB364" i="30"/>
  <c r="IWC364" i="30"/>
  <c r="IWD364" i="30"/>
  <c r="IWE364" i="30"/>
  <c r="IWF364" i="30"/>
  <c r="IWG364" i="30"/>
  <c r="IWH364" i="30"/>
  <c r="IWI364" i="30"/>
  <c r="IWJ364" i="30"/>
  <c r="IWK364" i="30"/>
  <c r="IWL364" i="30"/>
  <c r="IWM364" i="30"/>
  <c r="IWN364" i="30"/>
  <c r="IWO364" i="30"/>
  <c r="IWP364" i="30"/>
  <c r="IWQ364" i="30"/>
  <c r="IWR364" i="30"/>
  <c r="IWS364" i="30"/>
  <c r="IWT364" i="30"/>
  <c r="IWU364" i="30"/>
  <c r="IWV364" i="30"/>
  <c r="IWW364" i="30"/>
  <c r="IWX364" i="30"/>
  <c r="IWY364" i="30"/>
  <c r="IWZ364" i="30"/>
  <c r="IXA364" i="30"/>
  <c r="IXB364" i="30"/>
  <c r="IXC364" i="30"/>
  <c r="IXD364" i="30"/>
  <c r="IXE364" i="30"/>
  <c r="IXF364" i="30"/>
  <c r="IXG364" i="30"/>
  <c r="IXH364" i="30"/>
  <c r="IXI364" i="30"/>
  <c r="IXJ364" i="30"/>
  <c r="IXK364" i="30"/>
  <c r="IXL364" i="30"/>
  <c r="IXM364" i="30"/>
  <c r="IXN364" i="30"/>
  <c r="IXO364" i="30"/>
  <c r="IXP364" i="30"/>
  <c r="IXQ364" i="30"/>
  <c r="IXR364" i="30"/>
  <c r="IXS364" i="30"/>
  <c r="IXT364" i="30"/>
  <c r="IXU364" i="30"/>
  <c r="IXV364" i="30"/>
  <c r="IXW364" i="30"/>
  <c r="IXX364" i="30"/>
  <c r="IXY364" i="30"/>
  <c r="IXZ364" i="30"/>
  <c r="IYA364" i="30"/>
  <c r="IYB364" i="30"/>
  <c r="IYC364" i="30"/>
  <c r="IYD364" i="30"/>
  <c r="IYE364" i="30"/>
  <c r="IYF364" i="30"/>
  <c r="IYG364" i="30"/>
  <c r="IYH364" i="30"/>
  <c r="IYI364" i="30"/>
  <c r="IYJ364" i="30"/>
  <c r="IYK364" i="30"/>
  <c r="IYL364" i="30"/>
  <c r="IYM364" i="30"/>
  <c r="IYN364" i="30"/>
  <c r="IYO364" i="30"/>
  <c r="IYP364" i="30"/>
  <c r="IYQ364" i="30"/>
  <c r="IYR364" i="30"/>
  <c r="IYS364" i="30"/>
  <c r="IYT364" i="30"/>
  <c r="IYU364" i="30"/>
  <c r="IYV364" i="30"/>
  <c r="IYW364" i="30"/>
  <c r="IYX364" i="30"/>
  <c r="IYY364" i="30"/>
  <c r="IYZ364" i="30"/>
  <c r="IZA364" i="30"/>
  <c r="IZB364" i="30"/>
  <c r="IZC364" i="30"/>
  <c r="IZD364" i="30"/>
  <c r="IZE364" i="30"/>
  <c r="IZF364" i="30"/>
  <c r="IZG364" i="30"/>
  <c r="IZH364" i="30"/>
  <c r="IZI364" i="30"/>
  <c r="IZJ364" i="30"/>
  <c r="IZK364" i="30"/>
  <c r="IZL364" i="30"/>
  <c r="IZM364" i="30"/>
  <c r="IZN364" i="30"/>
  <c r="IZO364" i="30"/>
  <c r="IZP364" i="30"/>
  <c r="IZQ364" i="30"/>
  <c r="IZR364" i="30"/>
  <c r="IZS364" i="30"/>
  <c r="IZT364" i="30"/>
  <c r="IZU364" i="30"/>
  <c r="IZV364" i="30"/>
  <c r="IZW364" i="30"/>
  <c r="IZX364" i="30"/>
  <c r="IZY364" i="30"/>
  <c r="IZZ364" i="30"/>
  <c r="JAA364" i="30"/>
  <c r="JAB364" i="30"/>
  <c r="JAC364" i="30"/>
  <c r="JAD364" i="30"/>
  <c r="JAE364" i="30"/>
  <c r="JAF364" i="30"/>
  <c r="JAG364" i="30"/>
  <c r="JAH364" i="30"/>
  <c r="JAI364" i="30"/>
  <c r="JAJ364" i="30"/>
  <c r="JAK364" i="30"/>
  <c r="JAL364" i="30"/>
  <c r="JAM364" i="30"/>
  <c r="JAN364" i="30"/>
  <c r="JAO364" i="30"/>
  <c r="JAP364" i="30"/>
  <c r="JAQ364" i="30"/>
  <c r="JAR364" i="30"/>
  <c r="JAS364" i="30"/>
  <c r="JAT364" i="30"/>
  <c r="JAU364" i="30"/>
  <c r="JAV364" i="30"/>
  <c r="JAW364" i="30"/>
  <c r="JAX364" i="30"/>
  <c r="JAY364" i="30"/>
  <c r="JAZ364" i="30"/>
  <c r="JBA364" i="30"/>
  <c r="JBB364" i="30"/>
  <c r="JBC364" i="30"/>
  <c r="JBD364" i="30"/>
  <c r="JBE364" i="30"/>
  <c r="JBF364" i="30"/>
  <c r="JBG364" i="30"/>
  <c r="JBH364" i="30"/>
  <c r="JBI364" i="30"/>
  <c r="JBJ364" i="30"/>
  <c r="JBK364" i="30"/>
  <c r="JBL364" i="30"/>
  <c r="JBM364" i="30"/>
  <c r="JBN364" i="30"/>
  <c r="JBO364" i="30"/>
  <c r="JBP364" i="30"/>
  <c r="JBQ364" i="30"/>
  <c r="JBR364" i="30"/>
  <c r="JBS364" i="30"/>
  <c r="JBT364" i="30"/>
  <c r="JBU364" i="30"/>
  <c r="JBV364" i="30"/>
  <c r="JBW364" i="30"/>
  <c r="JBX364" i="30"/>
  <c r="JBY364" i="30"/>
  <c r="JBZ364" i="30"/>
  <c r="JCA364" i="30"/>
  <c r="JCB364" i="30"/>
  <c r="JCC364" i="30"/>
  <c r="JCD364" i="30"/>
  <c r="JCE364" i="30"/>
  <c r="JCF364" i="30"/>
  <c r="JCG364" i="30"/>
  <c r="JCH364" i="30"/>
  <c r="JCI364" i="30"/>
  <c r="JCJ364" i="30"/>
  <c r="JCK364" i="30"/>
  <c r="JCL364" i="30"/>
  <c r="JCM364" i="30"/>
  <c r="JCN364" i="30"/>
  <c r="JCO364" i="30"/>
  <c r="JCP364" i="30"/>
  <c r="JCQ364" i="30"/>
  <c r="JCR364" i="30"/>
  <c r="JCS364" i="30"/>
  <c r="JCT364" i="30"/>
  <c r="JCU364" i="30"/>
  <c r="JCV364" i="30"/>
  <c r="JCW364" i="30"/>
  <c r="JCX364" i="30"/>
  <c r="JCY364" i="30"/>
  <c r="JCZ364" i="30"/>
  <c r="JDA364" i="30"/>
  <c r="JDB364" i="30"/>
  <c r="JDC364" i="30"/>
  <c r="JDD364" i="30"/>
  <c r="JDE364" i="30"/>
  <c r="JDF364" i="30"/>
  <c r="JDG364" i="30"/>
  <c r="JDH364" i="30"/>
  <c r="JDI364" i="30"/>
  <c r="JDJ364" i="30"/>
  <c r="JDK364" i="30"/>
  <c r="JDL364" i="30"/>
  <c r="JDM364" i="30"/>
  <c r="JDN364" i="30"/>
  <c r="JDO364" i="30"/>
  <c r="JDP364" i="30"/>
  <c r="JDQ364" i="30"/>
  <c r="JDR364" i="30"/>
  <c r="JDS364" i="30"/>
  <c r="JDT364" i="30"/>
  <c r="JDU364" i="30"/>
  <c r="JDV364" i="30"/>
  <c r="JDW364" i="30"/>
  <c r="JDX364" i="30"/>
  <c r="JDY364" i="30"/>
  <c r="JDZ364" i="30"/>
  <c r="JEA364" i="30"/>
  <c r="JEB364" i="30"/>
  <c r="JEC364" i="30"/>
  <c r="JED364" i="30"/>
  <c r="JEE364" i="30"/>
  <c r="JEF364" i="30"/>
  <c r="JEG364" i="30"/>
  <c r="JEH364" i="30"/>
  <c r="JEI364" i="30"/>
  <c r="JEJ364" i="30"/>
  <c r="JEK364" i="30"/>
  <c r="JEL364" i="30"/>
  <c r="JEM364" i="30"/>
  <c r="JEN364" i="30"/>
  <c r="JEO364" i="30"/>
  <c r="JEP364" i="30"/>
  <c r="JEQ364" i="30"/>
  <c r="JER364" i="30"/>
  <c r="JES364" i="30"/>
  <c r="JET364" i="30"/>
  <c r="JEU364" i="30"/>
  <c r="JEV364" i="30"/>
  <c r="JEW364" i="30"/>
  <c r="JEX364" i="30"/>
  <c r="JEY364" i="30"/>
  <c r="JEZ364" i="30"/>
  <c r="JFA364" i="30"/>
  <c r="JFB364" i="30"/>
  <c r="JFC364" i="30"/>
  <c r="JFD364" i="30"/>
  <c r="JFE364" i="30"/>
  <c r="JFF364" i="30"/>
  <c r="JFG364" i="30"/>
  <c r="JFH364" i="30"/>
  <c r="JFI364" i="30"/>
  <c r="JFJ364" i="30"/>
  <c r="JFK364" i="30"/>
  <c r="JFL364" i="30"/>
  <c r="JFM364" i="30"/>
  <c r="JFN364" i="30"/>
  <c r="JFO364" i="30"/>
  <c r="JFP364" i="30"/>
  <c r="JFQ364" i="30"/>
  <c r="JFR364" i="30"/>
  <c r="JFS364" i="30"/>
  <c r="JFT364" i="30"/>
  <c r="JFU364" i="30"/>
  <c r="JFV364" i="30"/>
  <c r="JFW364" i="30"/>
  <c r="JFX364" i="30"/>
  <c r="JFY364" i="30"/>
  <c r="JFZ364" i="30"/>
  <c r="JGA364" i="30"/>
  <c r="JGB364" i="30"/>
  <c r="JGC364" i="30"/>
  <c r="JGD364" i="30"/>
  <c r="JGE364" i="30"/>
  <c r="JGF364" i="30"/>
  <c r="JGG364" i="30"/>
  <c r="JGH364" i="30"/>
  <c r="JGI364" i="30"/>
  <c r="JGJ364" i="30"/>
  <c r="JGK364" i="30"/>
  <c r="JGL364" i="30"/>
  <c r="JGM364" i="30"/>
  <c r="JGN364" i="30"/>
  <c r="JGO364" i="30"/>
  <c r="JGP364" i="30"/>
  <c r="JGQ364" i="30"/>
  <c r="JGR364" i="30"/>
  <c r="JGS364" i="30"/>
  <c r="JGT364" i="30"/>
  <c r="JGU364" i="30"/>
  <c r="JGV364" i="30"/>
  <c r="JGW364" i="30"/>
  <c r="JGX364" i="30"/>
  <c r="JGY364" i="30"/>
  <c r="JGZ364" i="30"/>
  <c r="JHA364" i="30"/>
  <c r="JHB364" i="30"/>
  <c r="JHC364" i="30"/>
  <c r="JHD364" i="30"/>
  <c r="JHE364" i="30"/>
  <c r="JHF364" i="30"/>
  <c r="JHG364" i="30"/>
  <c r="JHH364" i="30"/>
  <c r="JHI364" i="30"/>
  <c r="JHJ364" i="30"/>
  <c r="JHK364" i="30"/>
  <c r="JHL364" i="30"/>
  <c r="JHM364" i="30"/>
  <c r="JHN364" i="30"/>
  <c r="JHO364" i="30"/>
  <c r="JHP364" i="30"/>
  <c r="JHQ364" i="30"/>
  <c r="JHR364" i="30"/>
  <c r="JHS364" i="30"/>
  <c r="JHT364" i="30"/>
  <c r="JHU364" i="30"/>
  <c r="JHV364" i="30"/>
  <c r="JHW364" i="30"/>
  <c r="JHX364" i="30"/>
  <c r="JHY364" i="30"/>
  <c r="JHZ364" i="30"/>
  <c r="JIA364" i="30"/>
  <c r="JIB364" i="30"/>
  <c r="JIC364" i="30"/>
  <c r="JID364" i="30"/>
  <c r="JIE364" i="30"/>
  <c r="JIF364" i="30"/>
  <c r="JIG364" i="30"/>
  <c r="JIH364" i="30"/>
  <c r="JII364" i="30"/>
  <c r="JIJ364" i="30"/>
  <c r="JIK364" i="30"/>
  <c r="JIL364" i="30"/>
  <c r="JIM364" i="30"/>
  <c r="JIN364" i="30"/>
  <c r="JIO364" i="30"/>
  <c r="JIP364" i="30"/>
  <c r="JIQ364" i="30"/>
  <c r="JIR364" i="30"/>
  <c r="JIS364" i="30"/>
  <c r="JIT364" i="30"/>
  <c r="JIU364" i="30"/>
  <c r="JIV364" i="30"/>
  <c r="JIW364" i="30"/>
  <c r="JIX364" i="30"/>
  <c r="JIY364" i="30"/>
  <c r="JIZ364" i="30"/>
  <c r="JJA364" i="30"/>
  <c r="JJB364" i="30"/>
  <c r="JJC364" i="30"/>
  <c r="JJD364" i="30"/>
  <c r="JJE364" i="30"/>
  <c r="JJF364" i="30"/>
  <c r="JJG364" i="30"/>
  <c r="JJH364" i="30"/>
  <c r="JJI364" i="30"/>
  <c r="JJJ364" i="30"/>
  <c r="JJK364" i="30"/>
  <c r="JJL364" i="30"/>
  <c r="JJM364" i="30"/>
  <c r="JJN364" i="30"/>
  <c r="JJO364" i="30"/>
  <c r="JJP364" i="30"/>
  <c r="JJQ364" i="30"/>
  <c r="JJR364" i="30"/>
  <c r="JJS364" i="30"/>
  <c r="JJT364" i="30"/>
  <c r="JJU364" i="30"/>
  <c r="JJV364" i="30"/>
  <c r="JJW364" i="30"/>
  <c r="JJX364" i="30"/>
  <c r="JJY364" i="30"/>
  <c r="JJZ364" i="30"/>
  <c r="JKA364" i="30"/>
  <c r="JKB364" i="30"/>
  <c r="JKC364" i="30"/>
  <c r="JKD364" i="30"/>
  <c r="JKE364" i="30"/>
  <c r="JKF364" i="30"/>
  <c r="JKG364" i="30"/>
  <c r="JKH364" i="30"/>
  <c r="JKI364" i="30"/>
  <c r="JKJ364" i="30"/>
  <c r="JKK364" i="30"/>
  <c r="JKL364" i="30"/>
  <c r="JKM364" i="30"/>
  <c r="JKN364" i="30"/>
  <c r="JKO364" i="30"/>
  <c r="JKP364" i="30"/>
  <c r="JKQ364" i="30"/>
  <c r="JKR364" i="30"/>
  <c r="JKS364" i="30"/>
  <c r="JKT364" i="30"/>
  <c r="JKU364" i="30"/>
  <c r="JKV364" i="30"/>
  <c r="JKW364" i="30"/>
  <c r="JKX364" i="30"/>
  <c r="JKY364" i="30"/>
  <c r="JKZ364" i="30"/>
  <c r="JLA364" i="30"/>
  <c r="JLB364" i="30"/>
  <c r="JLC364" i="30"/>
  <c r="JLD364" i="30"/>
  <c r="JLE364" i="30"/>
  <c r="JLF364" i="30"/>
  <c r="JLG364" i="30"/>
  <c r="JLH364" i="30"/>
  <c r="JLI364" i="30"/>
  <c r="JLJ364" i="30"/>
  <c r="JLK364" i="30"/>
  <c r="JLL364" i="30"/>
  <c r="JLM364" i="30"/>
  <c r="JLN364" i="30"/>
  <c r="JLO364" i="30"/>
  <c r="JLP364" i="30"/>
  <c r="JLQ364" i="30"/>
  <c r="JLR364" i="30"/>
  <c r="JLS364" i="30"/>
  <c r="JLT364" i="30"/>
  <c r="JLU364" i="30"/>
  <c r="JLV364" i="30"/>
  <c r="JLW364" i="30"/>
  <c r="JLX364" i="30"/>
  <c r="JLY364" i="30"/>
  <c r="JLZ364" i="30"/>
  <c r="JMA364" i="30"/>
  <c r="JMB364" i="30"/>
  <c r="JMC364" i="30"/>
  <c r="JMD364" i="30"/>
  <c r="JME364" i="30"/>
  <c r="JMF364" i="30"/>
  <c r="JMG364" i="30"/>
  <c r="JMH364" i="30"/>
  <c r="JMI364" i="30"/>
  <c r="JMJ364" i="30"/>
  <c r="JMK364" i="30"/>
  <c r="JML364" i="30"/>
  <c r="JMM364" i="30"/>
  <c r="JMN364" i="30"/>
  <c r="JMO364" i="30"/>
  <c r="JMP364" i="30"/>
  <c r="JMQ364" i="30"/>
  <c r="JMR364" i="30"/>
  <c r="JMS364" i="30"/>
  <c r="JMT364" i="30"/>
  <c r="JMU364" i="30"/>
  <c r="JMV364" i="30"/>
  <c r="JMW364" i="30"/>
  <c r="JMX364" i="30"/>
  <c r="JMY364" i="30"/>
  <c r="JMZ364" i="30"/>
  <c r="JNA364" i="30"/>
  <c r="JNB364" i="30"/>
  <c r="JNC364" i="30"/>
  <c r="JND364" i="30"/>
  <c r="JNE364" i="30"/>
  <c r="JNF364" i="30"/>
  <c r="JNG364" i="30"/>
  <c r="JNH364" i="30"/>
  <c r="JNI364" i="30"/>
  <c r="JNJ364" i="30"/>
  <c r="JNK364" i="30"/>
  <c r="JNL364" i="30"/>
  <c r="JNM364" i="30"/>
  <c r="JNN364" i="30"/>
  <c r="JNO364" i="30"/>
  <c r="JNP364" i="30"/>
  <c r="JNQ364" i="30"/>
  <c r="JNR364" i="30"/>
  <c r="JNS364" i="30"/>
  <c r="JNT364" i="30"/>
  <c r="JNU364" i="30"/>
  <c r="JNV364" i="30"/>
  <c r="JNW364" i="30"/>
  <c r="JNX364" i="30"/>
  <c r="JNY364" i="30"/>
  <c r="JNZ364" i="30"/>
  <c r="JOA364" i="30"/>
  <c r="JOB364" i="30"/>
  <c r="JOC364" i="30"/>
  <c r="JOD364" i="30"/>
  <c r="JOE364" i="30"/>
  <c r="JOF364" i="30"/>
  <c r="JOG364" i="30"/>
  <c r="JOH364" i="30"/>
  <c r="JOI364" i="30"/>
  <c r="JOJ364" i="30"/>
  <c r="JOK364" i="30"/>
  <c r="JOL364" i="30"/>
  <c r="JOM364" i="30"/>
  <c r="JON364" i="30"/>
  <c r="JOO364" i="30"/>
  <c r="JOP364" i="30"/>
  <c r="JOQ364" i="30"/>
  <c r="JOR364" i="30"/>
  <c r="JOS364" i="30"/>
  <c r="JOT364" i="30"/>
  <c r="JOU364" i="30"/>
  <c r="JOV364" i="30"/>
  <c r="JOW364" i="30"/>
  <c r="JOX364" i="30"/>
  <c r="JOY364" i="30"/>
  <c r="JOZ364" i="30"/>
  <c r="JPA364" i="30"/>
  <c r="JPB364" i="30"/>
  <c r="JPC364" i="30"/>
  <c r="JPD364" i="30"/>
  <c r="JPE364" i="30"/>
  <c r="JPF364" i="30"/>
  <c r="JPG364" i="30"/>
  <c r="JPH364" i="30"/>
  <c r="JPI364" i="30"/>
  <c r="JPJ364" i="30"/>
  <c r="JPK364" i="30"/>
  <c r="JPL364" i="30"/>
  <c r="JPM364" i="30"/>
  <c r="JPN364" i="30"/>
  <c r="JPO364" i="30"/>
  <c r="JPP364" i="30"/>
  <c r="JPQ364" i="30"/>
  <c r="JPR364" i="30"/>
  <c r="JPS364" i="30"/>
  <c r="JPT364" i="30"/>
  <c r="JPU364" i="30"/>
  <c r="JPV364" i="30"/>
  <c r="JPW364" i="30"/>
  <c r="JPX364" i="30"/>
  <c r="JPY364" i="30"/>
  <c r="JPZ364" i="30"/>
  <c r="JQA364" i="30"/>
  <c r="JQB364" i="30"/>
  <c r="JQC364" i="30"/>
  <c r="JQD364" i="30"/>
  <c r="JQE364" i="30"/>
  <c r="JQF364" i="30"/>
  <c r="JQG364" i="30"/>
  <c r="JQH364" i="30"/>
  <c r="JQI364" i="30"/>
  <c r="JQJ364" i="30"/>
  <c r="JQK364" i="30"/>
  <c r="JQL364" i="30"/>
  <c r="JQM364" i="30"/>
  <c r="JQN364" i="30"/>
  <c r="JQO364" i="30"/>
  <c r="JQP364" i="30"/>
  <c r="JQQ364" i="30"/>
  <c r="JQR364" i="30"/>
  <c r="JQS364" i="30"/>
  <c r="JQT364" i="30"/>
  <c r="JQU364" i="30"/>
  <c r="JQV364" i="30"/>
  <c r="JQW364" i="30"/>
  <c r="JQX364" i="30"/>
  <c r="JQY364" i="30"/>
  <c r="JQZ364" i="30"/>
  <c r="JRA364" i="30"/>
  <c r="JRB364" i="30"/>
  <c r="JRC364" i="30"/>
  <c r="JRD364" i="30"/>
  <c r="JRE364" i="30"/>
  <c r="JRF364" i="30"/>
  <c r="JRG364" i="30"/>
  <c r="JRH364" i="30"/>
  <c r="JRI364" i="30"/>
  <c r="JRJ364" i="30"/>
  <c r="JRK364" i="30"/>
  <c r="JRL364" i="30"/>
  <c r="JRM364" i="30"/>
  <c r="JRN364" i="30"/>
  <c r="JRO364" i="30"/>
  <c r="JRP364" i="30"/>
  <c r="JRQ364" i="30"/>
  <c r="JRR364" i="30"/>
  <c r="JRS364" i="30"/>
  <c r="JRT364" i="30"/>
  <c r="JRU364" i="30"/>
  <c r="JRV364" i="30"/>
  <c r="JRW364" i="30"/>
  <c r="JRX364" i="30"/>
  <c r="JRY364" i="30"/>
  <c r="JRZ364" i="30"/>
  <c r="JSA364" i="30"/>
  <c r="JSB364" i="30"/>
  <c r="JSC364" i="30"/>
  <c r="JSD364" i="30"/>
  <c r="JSE364" i="30"/>
  <c r="JSF364" i="30"/>
  <c r="JSG364" i="30"/>
  <c r="JSH364" i="30"/>
  <c r="JSI364" i="30"/>
  <c r="JSJ364" i="30"/>
  <c r="JSK364" i="30"/>
  <c r="JSL364" i="30"/>
  <c r="JSM364" i="30"/>
  <c r="JSN364" i="30"/>
  <c r="JSO364" i="30"/>
  <c r="JSP364" i="30"/>
  <c r="JSQ364" i="30"/>
  <c r="JSR364" i="30"/>
  <c r="JSS364" i="30"/>
  <c r="JST364" i="30"/>
  <c r="JSU364" i="30"/>
  <c r="JSV364" i="30"/>
  <c r="JSW364" i="30"/>
  <c r="JSX364" i="30"/>
  <c r="JSY364" i="30"/>
  <c r="JSZ364" i="30"/>
  <c r="JTA364" i="30"/>
  <c r="JTB364" i="30"/>
  <c r="JTC364" i="30"/>
  <c r="JTD364" i="30"/>
  <c r="JTE364" i="30"/>
  <c r="JTF364" i="30"/>
  <c r="JTG364" i="30"/>
  <c r="JTH364" i="30"/>
  <c r="JTI364" i="30"/>
  <c r="JTJ364" i="30"/>
  <c r="JTK364" i="30"/>
  <c r="JTL364" i="30"/>
  <c r="JTM364" i="30"/>
  <c r="JTN364" i="30"/>
  <c r="JTO364" i="30"/>
  <c r="JTP364" i="30"/>
  <c r="JTQ364" i="30"/>
  <c r="JTR364" i="30"/>
  <c r="JTS364" i="30"/>
  <c r="JTT364" i="30"/>
  <c r="JTU364" i="30"/>
  <c r="JTV364" i="30"/>
  <c r="JTW364" i="30"/>
  <c r="JTX364" i="30"/>
  <c r="JTY364" i="30"/>
  <c r="JTZ364" i="30"/>
  <c r="JUA364" i="30"/>
  <c r="JUB364" i="30"/>
  <c r="JUC364" i="30"/>
  <c r="JUD364" i="30"/>
  <c r="JUE364" i="30"/>
  <c r="JUF364" i="30"/>
  <c r="JUG364" i="30"/>
  <c r="JUH364" i="30"/>
  <c r="JUI364" i="30"/>
  <c r="JUJ364" i="30"/>
  <c r="JUK364" i="30"/>
  <c r="JUL364" i="30"/>
  <c r="JUM364" i="30"/>
  <c r="JUN364" i="30"/>
  <c r="JUO364" i="30"/>
  <c r="JUP364" i="30"/>
  <c r="JUQ364" i="30"/>
  <c r="JUR364" i="30"/>
  <c r="JUS364" i="30"/>
  <c r="JUT364" i="30"/>
  <c r="JUU364" i="30"/>
  <c r="JUV364" i="30"/>
  <c r="JUW364" i="30"/>
  <c r="JUX364" i="30"/>
  <c r="JUY364" i="30"/>
  <c r="JUZ364" i="30"/>
  <c r="JVA364" i="30"/>
  <c r="JVB364" i="30"/>
  <c r="JVC364" i="30"/>
  <c r="JVD364" i="30"/>
  <c r="JVE364" i="30"/>
  <c r="JVF364" i="30"/>
  <c r="JVG364" i="30"/>
  <c r="JVH364" i="30"/>
  <c r="JVI364" i="30"/>
  <c r="JVJ364" i="30"/>
  <c r="JVK364" i="30"/>
  <c r="JVL364" i="30"/>
  <c r="JVM364" i="30"/>
  <c r="JVN364" i="30"/>
  <c r="JVO364" i="30"/>
  <c r="JVP364" i="30"/>
  <c r="JVQ364" i="30"/>
  <c r="JVR364" i="30"/>
  <c r="JVS364" i="30"/>
  <c r="JVT364" i="30"/>
  <c r="JVU364" i="30"/>
  <c r="JVV364" i="30"/>
  <c r="JVW364" i="30"/>
  <c r="JVX364" i="30"/>
  <c r="JVY364" i="30"/>
  <c r="JVZ364" i="30"/>
  <c r="JWA364" i="30"/>
  <c r="JWB364" i="30"/>
  <c r="JWC364" i="30"/>
  <c r="JWD364" i="30"/>
  <c r="JWE364" i="30"/>
  <c r="JWF364" i="30"/>
  <c r="JWG364" i="30"/>
  <c r="JWH364" i="30"/>
  <c r="JWI364" i="30"/>
  <c r="JWJ364" i="30"/>
  <c r="JWK364" i="30"/>
  <c r="JWL364" i="30"/>
  <c r="JWM364" i="30"/>
  <c r="JWN364" i="30"/>
  <c r="JWO364" i="30"/>
  <c r="JWP364" i="30"/>
  <c r="JWQ364" i="30"/>
  <c r="JWR364" i="30"/>
  <c r="JWS364" i="30"/>
  <c r="JWT364" i="30"/>
  <c r="JWU364" i="30"/>
  <c r="JWV364" i="30"/>
  <c r="JWW364" i="30"/>
  <c r="JWX364" i="30"/>
  <c r="JWY364" i="30"/>
  <c r="JWZ364" i="30"/>
  <c r="JXA364" i="30"/>
  <c r="JXB364" i="30"/>
  <c r="JXC364" i="30"/>
  <c r="JXD364" i="30"/>
  <c r="JXE364" i="30"/>
  <c r="JXF364" i="30"/>
  <c r="JXG364" i="30"/>
  <c r="JXH364" i="30"/>
  <c r="JXI364" i="30"/>
  <c r="JXJ364" i="30"/>
  <c r="JXK364" i="30"/>
  <c r="JXL364" i="30"/>
  <c r="JXM364" i="30"/>
  <c r="JXN364" i="30"/>
  <c r="JXO364" i="30"/>
  <c r="JXP364" i="30"/>
  <c r="JXQ364" i="30"/>
  <c r="JXR364" i="30"/>
  <c r="JXS364" i="30"/>
  <c r="JXT364" i="30"/>
  <c r="JXU364" i="30"/>
  <c r="JXV364" i="30"/>
  <c r="JXW364" i="30"/>
  <c r="JXX364" i="30"/>
  <c r="JXY364" i="30"/>
  <c r="JXZ364" i="30"/>
  <c r="JYA364" i="30"/>
  <c r="JYB364" i="30"/>
  <c r="JYC364" i="30"/>
  <c r="JYD364" i="30"/>
  <c r="JYE364" i="30"/>
  <c r="JYF364" i="30"/>
  <c r="JYG364" i="30"/>
  <c r="JYH364" i="30"/>
  <c r="JYI364" i="30"/>
  <c r="JYJ364" i="30"/>
  <c r="JYK364" i="30"/>
  <c r="JYL364" i="30"/>
  <c r="JYM364" i="30"/>
  <c r="JYN364" i="30"/>
  <c r="JYO364" i="30"/>
  <c r="JYP364" i="30"/>
  <c r="JYQ364" i="30"/>
  <c r="JYR364" i="30"/>
  <c r="JYS364" i="30"/>
  <c r="JYT364" i="30"/>
  <c r="JYU364" i="30"/>
  <c r="JYV364" i="30"/>
  <c r="JYW364" i="30"/>
  <c r="JYX364" i="30"/>
  <c r="JYY364" i="30"/>
  <c r="JYZ364" i="30"/>
  <c r="JZA364" i="30"/>
  <c r="JZB364" i="30"/>
  <c r="JZC364" i="30"/>
  <c r="JZD364" i="30"/>
  <c r="JZE364" i="30"/>
  <c r="JZF364" i="30"/>
  <c r="JZG364" i="30"/>
  <c r="JZH364" i="30"/>
  <c r="JZI364" i="30"/>
  <c r="JZJ364" i="30"/>
  <c r="JZK364" i="30"/>
  <c r="JZL364" i="30"/>
  <c r="JZM364" i="30"/>
  <c r="JZN364" i="30"/>
  <c r="JZO364" i="30"/>
  <c r="JZP364" i="30"/>
  <c r="JZQ364" i="30"/>
  <c r="JZR364" i="30"/>
  <c r="JZS364" i="30"/>
  <c r="JZT364" i="30"/>
  <c r="JZU364" i="30"/>
  <c r="JZV364" i="30"/>
  <c r="JZW364" i="30"/>
  <c r="JZX364" i="30"/>
  <c r="JZY364" i="30"/>
  <c r="JZZ364" i="30"/>
  <c r="KAA364" i="30"/>
  <c r="KAB364" i="30"/>
  <c r="KAC364" i="30"/>
  <c r="KAD364" i="30"/>
  <c r="KAE364" i="30"/>
  <c r="KAF364" i="30"/>
  <c r="KAG364" i="30"/>
  <c r="KAH364" i="30"/>
  <c r="KAI364" i="30"/>
  <c r="KAJ364" i="30"/>
  <c r="KAK364" i="30"/>
  <c r="KAL364" i="30"/>
  <c r="KAM364" i="30"/>
  <c r="KAN364" i="30"/>
  <c r="KAO364" i="30"/>
  <c r="KAP364" i="30"/>
  <c r="KAQ364" i="30"/>
  <c r="KAR364" i="30"/>
  <c r="KAS364" i="30"/>
  <c r="KAT364" i="30"/>
  <c r="KAU364" i="30"/>
  <c r="KAV364" i="30"/>
  <c r="KAW364" i="30"/>
  <c r="KAX364" i="30"/>
  <c r="KAY364" i="30"/>
  <c r="KAZ364" i="30"/>
  <c r="KBA364" i="30"/>
  <c r="KBB364" i="30"/>
  <c r="KBC364" i="30"/>
  <c r="KBD364" i="30"/>
  <c r="KBE364" i="30"/>
  <c r="KBF364" i="30"/>
  <c r="KBG364" i="30"/>
  <c r="KBH364" i="30"/>
  <c r="KBI364" i="30"/>
  <c r="KBJ364" i="30"/>
  <c r="KBK364" i="30"/>
  <c r="KBL364" i="30"/>
  <c r="KBM364" i="30"/>
  <c r="KBN364" i="30"/>
  <c r="KBO364" i="30"/>
  <c r="KBP364" i="30"/>
  <c r="KBQ364" i="30"/>
  <c r="KBR364" i="30"/>
  <c r="KBS364" i="30"/>
  <c r="KBT364" i="30"/>
  <c r="KBU364" i="30"/>
  <c r="KBV364" i="30"/>
  <c r="KBW364" i="30"/>
  <c r="KBX364" i="30"/>
  <c r="KBY364" i="30"/>
  <c r="KBZ364" i="30"/>
  <c r="KCA364" i="30"/>
  <c r="KCB364" i="30"/>
  <c r="KCC364" i="30"/>
  <c r="KCD364" i="30"/>
  <c r="KCE364" i="30"/>
  <c r="KCF364" i="30"/>
  <c r="KCG364" i="30"/>
  <c r="KCH364" i="30"/>
  <c r="KCI364" i="30"/>
  <c r="KCJ364" i="30"/>
  <c r="KCK364" i="30"/>
  <c r="KCL364" i="30"/>
  <c r="KCM364" i="30"/>
  <c r="KCN364" i="30"/>
  <c r="KCO364" i="30"/>
  <c r="KCP364" i="30"/>
  <c r="KCQ364" i="30"/>
  <c r="KCR364" i="30"/>
  <c r="KCS364" i="30"/>
  <c r="KCT364" i="30"/>
  <c r="KCU364" i="30"/>
  <c r="KCV364" i="30"/>
  <c r="KCW364" i="30"/>
  <c r="KCX364" i="30"/>
  <c r="KCY364" i="30"/>
  <c r="KCZ364" i="30"/>
  <c r="KDA364" i="30"/>
  <c r="KDB364" i="30"/>
  <c r="KDC364" i="30"/>
  <c r="KDD364" i="30"/>
  <c r="KDE364" i="30"/>
  <c r="KDF364" i="30"/>
  <c r="KDG364" i="30"/>
  <c r="KDH364" i="30"/>
  <c r="KDI364" i="30"/>
  <c r="KDJ364" i="30"/>
  <c r="KDK364" i="30"/>
  <c r="KDL364" i="30"/>
  <c r="KDM364" i="30"/>
  <c r="KDN364" i="30"/>
  <c r="KDO364" i="30"/>
  <c r="KDP364" i="30"/>
  <c r="KDQ364" i="30"/>
  <c r="KDR364" i="30"/>
  <c r="KDS364" i="30"/>
  <c r="KDT364" i="30"/>
  <c r="KDU364" i="30"/>
  <c r="KDV364" i="30"/>
  <c r="KDW364" i="30"/>
  <c r="KDX364" i="30"/>
  <c r="KDY364" i="30"/>
  <c r="KDZ364" i="30"/>
  <c r="KEA364" i="30"/>
  <c r="KEB364" i="30"/>
  <c r="KEC364" i="30"/>
  <c r="KED364" i="30"/>
  <c r="KEE364" i="30"/>
  <c r="KEF364" i="30"/>
  <c r="KEG364" i="30"/>
  <c r="KEH364" i="30"/>
  <c r="KEI364" i="30"/>
  <c r="KEJ364" i="30"/>
  <c r="KEK364" i="30"/>
  <c r="KEL364" i="30"/>
  <c r="KEM364" i="30"/>
  <c r="KEN364" i="30"/>
  <c r="KEO364" i="30"/>
  <c r="KEP364" i="30"/>
  <c r="KEQ364" i="30"/>
  <c r="KER364" i="30"/>
  <c r="KES364" i="30"/>
  <c r="KET364" i="30"/>
  <c r="KEU364" i="30"/>
  <c r="KEV364" i="30"/>
  <c r="KEW364" i="30"/>
  <c r="KEX364" i="30"/>
  <c r="KEY364" i="30"/>
  <c r="KEZ364" i="30"/>
  <c r="KFA364" i="30"/>
  <c r="KFB364" i="30"/>
  <c r="KFC364" i="30"/>
  <c r="KFD364" i="30"/>
  <c r="KFE364" i="30"/>
  <c r="KFF364" i="30"/>
  <c r="KFG364" i="30"/>
  <c r="KFH364" i="30"/>
  <c r="KFI364" i="30"/>
  <c r="KFJ364" i="30"/>
  <c r="KFK364" i="30"/>
  <c r="KFL364" i="30"/>
  <c r="KFM364" i="30"/>
  <c r="KFN364" i="30"/>
  <c r="KFO364" i="30"/>
  <c r="KFP364" i="30"/>
  <c r="KFQ364" i="30"/>
  <c r="KFR364" i="30"/>
  <c r="KFS364" i="30"/>
  <c r="KFT364" i="30"/>
  <c r="KFU364" i="30"/>
  <c r="KFV364" i="30"/>
  <c r="KFW364" i="30"/>
  <c r="KFX364" i="30"/>
  <c r="KFY364" i="30"/>
  <c r="KFZ364" i="30"/>
  <c r="KGA364" i="30"/>
  <c r="KGB364" i="30"/>
  <c r="KGC364" i="30"/>
  <c r="KGD364" i="30"/>
  <c r="KGE364" i="30"/>
  <c r="KGF364" i="30"/>
  <c r="KGG364" i="30"/>
  <c r="KGH364" i="30"/>
  <c r="KGI364" i="30"/>
  <c r="KGJ364" i="30"/>
  <c r="KGK364" i="30"/>
  <c r="KGL364" i="30"/>
  <c r="KGM364" i="30"/>
  <c r="KGN364" i="30"/>
  <c r="KGO364" i="30"/>
  <c r="KGP364" i="30"/>
  <c r="KGQ364" i="30"/>
  <c r="KGR364" i="30"/>
  <c r="KGS364" i="30"/>
  <c r="KGT364" i="30"/>
  <c r="KGU364" i="30"/>
  <c r="KGV364" i="30"/>
  <c r="KGW364" i="30"/>
  <c r="KGX364" i="30"/>
  <c r="KGY364" i="30"/>
  <c r="KGZ364" i="30"/>
  <c r="KHA364" i="30"/>
  <c r="KHB364" i="30"/>
  <c r="KHC364" i="30"/>
  <c r="KHD364" i="30"/>
  <c r="KHE364" i="30"/>
  <c r="KHF364" i="30"/>
  <c r="KHG364" i="30"/>
  <c r="KHH364" i="30"/>
  <c r="KHI364" i="30"/>
  <c r="KHJ364" i="30"/>
  <c r="KHK364" i="30"/>
  <c r="KHL364" i="30"/>
  <c r="KHM364" i="30"/>
  <c r="KHN364" i="30"/>
  <c r="KHO364" i="30"/>
  <c r="KHP364" i="30"/>
  <c r="KHQ364" i="30"/>
  <c r="KHR364" i="30"/>
  <c r="KHS364" i="30"/>
  <c r="KHT364" i="30"/>
  <c r="KHU364" i="30"/>
  <c r="KHV364" i="30"/>
  <c r="KHW364" i="30"/>
  <c r="KHX364" i="30"/>
  <c r="KHY364" i="30"/>
  <c r="KHZ364" i="30"/>
  <c r="KIA364" i="30"/>
  <c r="KIB364" i="30"/>
  <c r="KIC364" i="30"/>
  <c r="KID364" i="30"/>
  <c r="KIE364" i="30"/>
  <c r="KIF364" i="30"/>
  <c r="KIG364" i="30"/>
  <c r="KIH364" i="30"/>
  <c r="KII364" i="30"/>
  <c r="KIJ364" i="30"/>
  <c r="KIK364" i="30"/>
  <c r="KIL364" i="30"/>
  <c r="KIM364" i="30"/>
  <c r="KIN364" i="30"/>
  <c r="KIO364" i="30"/>
  <c r="KIP364" i="30"/>
  <c r="KIQ364" i="30"/>
  <c r="KIR364" i="30"/>
  <c r="KIS364" i="30"/>
  <c r="KIT364" i="30"/>
  <c r="KIU364" i="30"/>
  <c r="KIV364" i="30"/>
  <c r="KIW364" i="30"/>
  <c r="KIX364" i="30"/>
  <c r="KIY364" i="30"/>
  <c r="KIZ364" i="30"/>
  <c r="KJA364" i="30"/>
  <c r="KJB364" i="30"/>
  <c r="KJC364" i="30"/>
  <c r="KJD364" i="30"/>
  <c r="KJE364" i="30"/>
  <c r="KJF364" i="30"/>
  <c r="KJG364" i="30"/>
  <c r="KJH364" i="30"/>
  <c r="KJI364" i="30"/>
  <c r="KJJ364" i="30"/>
  <c r="KJK364" i="30"/>
  <c r="KJL364" i="30"/>
  <c r="KJM364" i="30"/>
  <c r="KJN364" i="30"/>
  <c r="KJO364" i="30"/>
  <c r="KJP364" i="30"/>
  <c r="KJQ364" i="30"/>
  <c r="KJR364" i="30"/>
  <c r="KJS364" i="30"/>
  <c r="KJT364" i="30"/>
  <c r="KJU364" i="30"/>
  <c r="KJV364" i="30"/>
  <c r="KJW364" i="30"/>
  <c r="KJX364" i="30"/>
  <c r="KJY364" i="30"/>
  <c r="KJZ364" i="30"/>
  <c r="KKA364" i="30"/>
  <c r="KKB364" i="30"/>
  <c r="KKC364" i="30"/>
  <c r="KKD364" i="30"/>
  <c r="KKE364" i="30"/>
  <c r="KKF364" i="30"/>
  <c r="KKG364" i="30"/>
  <c r="KKH364" i="30"/>
  <c r="KKI364" i="30"/>
  <c r="KKJ364" i="30"/>
  <c r="KKK364" i="30"/>
  <c r="KKL364" i="30"/>
  <c r="KKM364" i="30"/>
  <c r="KKN364" i="30"/>
  <c r="KKO364" i="30"/>
  <c r="KKP364" i="30"/>
  <c r="KKQ364" i="30"/>
  <c r="KKR364" i="30"/>
  <c r="KKS364" i="30"/>
  <c r="KKT364" i="30"/>
  <c r="KKU364" i="30"/>
  <c r="KKV364" i="30"/>
  <c r="KKW364" i="30"/>
  <c r="KKX364" i="30"/>
  <c r="KKY364" i="30"/>
  <c r="KKZ364" i="30"/>
  <c r="KLA364" i="30"/>
  <c r="KLB364" i="30"/>
  <c r="KLC364" i="30"/>
  <c r="KLD364" i="30"/>
  <c r="KLE364" i="30"/>
  <c r="KLF364" i="30"/>
  <c r="KLG364" i="30"/>
  <c r="KLH364" i="30"/>
  <c r="KLI364" i="30"/>
  <c r="KLJ364" i="30"/>
  <c r="KLK364" i="30"/>
  <c r="KLL364" i="30"/>
  <c r="KLM364" i="30"/>
  <c r="KLN364" i="30"/>
  <c r="KLO364" i="30"/>
  <c r="KLP364" i="30"/>
  <c r="KLQ364" i="30"/>
  <c r="KLR364" i="30"/>
  <c r="KLS364" i="30"/>
  <c r="KLT364" i="30"/>
  <c r="KLU364" i="30"/>
  <c r="KLV364" i="30"/>
  <c r="KLW364" i="30"/>
  <c r="KLX364" i="30"/>
  <c r="KLY364" i="30"/>
  <c r="KLZ364" i="30"/>
  <c r="KMA364" i="30"/>
  <c r="KMB364" i="30"/>
  <c r="KMC364" i="30"/>
  <c r="KMD364" i="30"/>
  <c r="KME364" i="30"/>
  <c r="KMF364" i="30"/>
  <c r="KMG364" i="30"/>
  <c r="KMH364" i="30"/>
  <c r="KMI364" i="30"/>
  <c r="KMJ364" i="30"/>
  <c r="KMK364" i="30"/>
  <c r="KML364" i="30"/>
  <c r="KMM364" i="30"/>
  <c r="KMN364" i="30"/>
  <c r="KMO364" i="30"/>
  <c r="KMP364" i="30"/>
  <c r="KMQ364" i="30"/>
  <c r="KMR364" i="30"/>
  <c r="KMS364" i="30"/>
  <c r="KMT364" i="30"/>
  <c r="KMU364" i="30"/>
  <c r="KMV364" i="30"/>
  <c r="KMW364" i="30"/>
  <c r="KMX364" i="30"/>
  <c r="KMY364" i="30"/>
  <c r="KMZ364" i="30"/>
  <c r="KNA364" i="30"/>
  <c r="KNB364" i="30"/>
  <c r="KNC364" i="30"/>
  <c r="KND364" i="30"/>
  <c r="KNE364" i="30"/>
  <c r="KNF364" i="30"/>
  <c r="KNG364" i="30"/>
  <c r="KNH364" i="30"/>
  <c r="KNI364" i="30"/>
  <c r="KNJ364" i="30"/>
  <c r="KNK364" i="30"/>
  <c r="KNL364" i="30"/>
  <c r="KNM364" i="30"/>
  <c r="KNN364" i="30"/>
  <c r="KNO364" i="30"/>
  <c r="KNP364" i="30"/>
  <c r="KNQ364" i="30"/>
  <c r="KNR364" i="30"/>
  <c r="KNS364" i="30"/>
  <c r="KNT364" i="30"/>
  <c r="KNU364" i="30"/>
  <c r="KNV364" i="30"/>
  <c r="KNW364" i="30"/>
  <c r="KNX364" i="30"/>
  <c r="KNY364" i="30"/>
  <c r="KNZ364" i="30"/>
  <c r="KOA364" i="30"/>
  <c r="KOB364" i="30"/>
  <c r="KOC364" i="30"/>
  <c r="KOD364" i="30"/>
  <c r="KOE364" i="30"/>
  <c r="KOF364" i="30"/>
  <c r="KOG364" i="30"/>
  <c r="KOH364" i="30"/>
  <c r="KOI364" i="30"/>
  <c r="KOJ364" i="30"/>
  <c r="KOK364" i="30"/>
  <c r="KOL364" i="30"/>
  <c r="KOM364" i="30"/>
  <c r="KON364" i="30"/>
  <c r="KOO364" i="30"/>
  <c r="KOP364" i="30"/>
  <c r="KOQ364" i="30"/>
  <c r="KOR364" i="30"/>
  <c r="KOS364" i="30"/>
  <c r="KOT364" i="30"/>
  <c r="KOU364" i="30"/>
  <c r="KOV364" i="30"/>
  <c r="KOW364" i="30"/>
  <c r="KOX364" i="30"/>
  <c r="KOY364" i="30"/>
  <c r="KOZ364" i="30"/>
  <c r="KPA364" i="30"/>
  <c r="KPB364" i="30"/>
  <c r="KPC364" i="30"/>
  <c r="KPD364" i="30"/>
  <c r="KPE364" i="30"/>
  <c r="KPF364" i="30"/>
  <c r="KPG364" i="30"/>
  <c r="KPH364" i="30"/>
  <c r="KPI364" i="30"/>
  <c r="KPJ364" i="30"/>
  <c r="KPK364" i="30"/>
  <c r="KPL364" i="30"/>
  <c r="KPM364" i="30"/>
  <c r="KPN364" i="30"/>
  <c r="KPO364" i="30"/>
  <c r="KPP364" i="30"/>
  <c r="KPQ364" i="30"/>
  <c r="KPR364" i="30"/>
  <c r="KPS364" i="30"/>
  <c r="KPT364" i="30"/>
  <c r="KPU364" i="30"/>
  <c r="KPV364" i="30"/>
  <c r="KPW364" i="30"/>
  <c r="KPX364" i="30"/>
  <c r="KPY364" i="30"/>
  <c r="KPZ364" i="30"/>
  <c r="KQA364" i="30"/>
  <c r="KQB364" i="30"/>
  <c r="KQC364" i="30"/>
  <c r="KQD364" i="30"/>
  <c r="KQE364" i="30"/>
  <c r="KQF364" i="30"/>
  <c r="KQG364" i="30"/>
  <c r="KQH364" i="30"/>
  <c r="KQI364" i="30"/>
  <c r="KQJ364" i="30"/>
  <c r="KQK364" i="30"/>
  <c r="KQL364" i="30"/>
  <c r="KQM364" i="30"/>
  <c r="KQN364" i="30"/>
  <c r="KQO364" i="30"/>
  <c r="KQP364" i="30"/>
  <c r="KQQ364" i="30"/>
  <c r="KQR364" i="30"/>
  <c r="KQS364" i="30"/>
  <c r="KQT364" i="30"/>
  <c r="KQU364" i="30"/>
  <c r="KQV364" i="30"/>
  <c r="KQW364" i="30"/>
  <c r="KQX364" i="30"/>
  <c r="KQY364" i="30"/>
  <c r="KQZ364" i="30"/>
  <c r="KRA364" i="30"/>
  <c r="KRB364" i="30"/>
  <c r="KRC364" i="30"/>
  <c r="KRD364" i="30"/>
  <c r="KRE364" i="30"/>
  <c r="KRF364" i="30"/>
  <c r="KRG364" i="30"/>
  <c r="KRH364" i="30"/>
  <c r="KRI364" i="30"/>
  <c r="KRJ364" i="30"/>
  <c r="KRK364" i="30"/>
  <c r="KRL364" i="30"/>
  <c r="KRM364" i="30"/>
  <c r="KRN364" i="30"/>
  <c r="KRO364" i="30"/>
  <c r="KRP364" i="30"/>
  <c r="KRQ364" i="30"/>
  <c r="KRR364" i="30"/>
  <c r="KRS364" i="30"/>
  <c r="KRT364" i="30"/>
  <c r="KRU364" i="30"/>
  <c r="KRV364" i="30"/>
  <c r="KRW364" i="30"/>
  <c r="KRX364" i="30"/>
  <c r="KRY364" i="30"/>
  <c r="KRZ364" i="30"/>
  <c r="KSA364" i="30"/>
  <c r="KSB364" i="30"/>
  <c r="KSC364" i="30"/>
  <c r="KSD364" i="30"/>
  <c r="KSE364" i="30"/>
  <c r="KSF364" i="30"/>
  <c r="KSG364" i="30"/>
  <c r="KSH364" i="30"/>
  <c r="KSI364" i="30"/>
  <c r="KSJ364" i="30"/>
  <c r="KSK364" i="30"/>
  <c r="KSL364" i="30"/>
  <c r="KSM364" i="30"/>
  <c r="KSN364" i="30"/>
  <c r="KSO364" i="30"/>
  <c r="KSP364" i="30"/>
  <c r="KSQ364" i="30"/>
  <c r="KSR364" i="30"/>
  <c r="KSS364" i="30"/>
  <c r="KST364" i="30"/>
  <c r="KSU364" i="30"/>
  <c r="KSV364" i="30"/>
  <c r="KSW364" i="30"/>
  <c r="KSX364" i="30"/>
  <c r="KSY364" i="30"/>
  <c r="KSZ364" i="30"/>
  <c r="KTA364" i="30"/>
  <c r="KTB364" i="30"/>
  <c r="KTC364" i="30"/>
  <c r="KTD364" i="30"/>
  <c r="KTE364" i="30"/>
  <c r="KTF364" i="30"/>
  <c r="KTG364" i="30"/>
  <c r="KTH364" i="30"/>
  <c r="KTI364" i="30"/>
  <c r="KTJ364" i="30"/>
  <c r="KTK364" i="30"/>
  <c r="KTL364" i="30"/>
  <c r="KTM364" i="30"/>
  <c r="KTN364" i="30"/>
  <c r="KTO364" i="30"/>
  <c r="KTP364" i="30"/>
  <c r="KTQ364" i="30"/>
  <c r="KTR364" i="30"/>
  <c r="KTS364" i="30"/>
  <c r="KTT364" i="30"/>
  <c r="KTU364" i="30"/>
  <c r="KTV364" i="30"/>
  <c r="KTW364" i="30"/>
  <c r="KTX364" i="30"/>
  <c r="KTY364" i="30"/>
  <c r="KTZ364" i="30"/>
  <c r="KUA364" i="30"/>
  <c r="KUB364" i="30"/>
  <c r="KUC364" i="30"/>
  <c r="KUD364" i="30"/>
  <c r="KUE364" i="30"/>
  <c r="KUF364" i="30"/>
  <c r="KUG364" i="30"/>
  <c r="KUH364" i="30"/>
  <c r="KUI364" i="30"/>
  <c r="KUJ364" i="30"/>
  <c r="KUK364" i="30"/>
  <c r="KUL364" i="30"/>
  <c r="KUM364" i="30"/>
  <c r="KUN364" i="30"/>
  <c r="KUO364" i="30"/>
  <c r="KUP364" i="30"/>
  <c r="KUQ364" i="30"/>
  <c r="KUR364" i="30"/>
  <c r="KUS364" i="30"/>
  <c r="KUT364" i="30"/>
  <c r="KUU364" i="30"/>
  <c r="KUV364" i="30"/>
  <c r="KUW364" i="30"/>
  <c r="KUX364" i="30"/>
  <c r="KUY364" i="30"/>
  <c r="KUZ364" i="30"/>
  <c r="KVA364" i="30"/>
  <c r="KVB364" i="30"/>
  <c r="KVC364" i="30"/>
  <c r="KVD364" i="30"/>
  <c r="KVE364" i="30"/>
  <c r="KVF364" i="30"/>
  <c r="KVG364" i="30"/>
  <c r="KVH364" i="30"/>
  <c r="KVI364" i="30"/>
  <c r="KVJ364" i="30"/>
  <c r="KVK364" i="30"/>
  <c r="KVL364" i="30"/>
  <c r="KVM364" i="30"/>
  <c r="KVN364" i="30"/>
  <c r="KVO364" i="30"/>
  <c r="KVP364" i="30"/>
  <c r="KVQ364" i="30"/>
  <c r="KVR364" i="30"/>
  <c r="KVS364" i="30"/>
  <c r="KVT364" i="30"/>
  <c r="KVU364" i="30"/>
  <c r="KVV364" i="30"/>
  <c r="KVW364" i="30"/>
  <c r="KVX364" i="30"/>
  <c r="KVY364" i="30"/>
  <c r="KVZ364" i="30"/>
  <c r="KWA364" i="30"/>
  <c r="KWB364" i="30"/>
  <c r="KWC364" i="30"/>
  <c r="KWD364" i="30"/>
  <c r="KWE364" i="30"/>
  <c r="KWF364" i="30"/>
  <c r="KWG364" i="30"/>
  <c r="KWH364" i="30"/>
  <c r="KWI364" i="30"/>
  <c r="KWJ364" i="30"/>
  <c r="KWK364" i="30"/>
  <c r="KWL364" i="30"/>
  <c r="KWM364" i="30"/>
  <c r="KWN364" i="30"/>
  <c r="KWO364" i="30"/>
  <c r="KWP364" i="30"/>
  <c r="KWQ364" i="30"/>
  <c r="KWR364" i="30"/>
  <c r="KWS364" i="30"/>
  <c r="KWT364" i="30"/>
  <c r="KWU364" i="30"/>
  <c r="KWV364" i="30"/>
  <c r="KWW364" i="30"/>
  <c r="KWX364" i="30"/>
  <c r="KWY364" i="30"/>
  <c r="KWZ364" i="30"/>
  <c r="KXA364" i="30"/>
  <c r="KXB364" i="30"/>
  <c r="KXC364" i="30"/>
  <c r="KXD364" i="30"/>
  <c r="KXE364" i="30"/>
  <c r="KXF364" i="30"/>
  <c r="KXG364" i="30"/>
  <c r="KXH364" i="30"/>
  <c r="KXI364" i="30"/>
  <c r="KXJ364" i="30"/>
  <c r="KXK364" i="30"/>
  <c r="KXL364" i="30"/>
  <c r="KXM364" i="30"/>
  <c r="KXN364" i="30"/>
  <c r="KXO364" i="30"/>
  <c r="KXP364" i="30"/>
  <c r="KXQ364" i="30"/>
  <c r="KXR364" i="30"/>
  <c r="KXS364" i="30"/>
  <c r="KXT364" i="30"/>
  <c r="KXU364" i="30"/>
  <c r="KXV364" i="30"/>
  <c r="KXW364" i="30"/>
  <c r="KXX364" i="30"/>
  <c r="KXY364" i="30"/>
  <c r="KXZ364" i="30"/>
  <c r="KYA364" i="30"/>
  <c r="KYB364" i="30"/>
  <c r="KYC364" i="30"/>
  <c r="KYD364" i="30"/>
  <c r="KYE364" i="30"/>
  <c r="KYF364" i="30"/>
  <c r="KYG364" i="30"/>
  <c r="KYH364" i="30"/>
  <c r="KYI364" i="30"/>
  <c r="KYJ364" i="30"/>
  <c r="KYK364" i="30"/>
  <c r="KYL364" i="30"/>
  <c r="KYM364" i="30"/>
  <c r="KYN364" i="30"/>
  <c r="KYO364" i="30"/>
  <c r="KYP364" i="30"/>
  <c r="KYQ364" i="30"/>
  <c r="KYR364" i="30"/>
  <c r="KYS364" i="30"/>
  <c r="KYT364" i="30"/>
  <c r="KYU364" i="30"/>
  <c r="KYV364" i="30"/>
  <c r="KYW364" i="30"/>
  <c r="KYX364" i="30"/>
  <c r="KYY364" i="30"/>
  <c r="KYZ364" i="30"/>
  <c r="KZA364" i="30"/>
  <c r="KZB364" i="30"/>
  <c r="KZC364" i="30"/>
  <c r="KZD364" i="30"/>
  <c r="KZE364" i="30"/>
  <c r="KZF364" i="30"/>
  <c r="KZG364" i="30"/>
  <c r="KZH364" i="30"/>
  <c r="KZI364" i="30"/>
  <c r="KZJ364" i="30"/>
  <c r="KZK364" i="30"/>
  <c r="KZL364" i="30"/>
  <c r="KZM364" i="30"/>
  <c r="KZN364" i="30"/>
  <c r="KZO364" i="30"/>
  <c r="KZP364" i="30"/>
  <c r="KZQ364" i="30"/>
  <c r="KZR364" i="30"/>
  <c r="KZS364" i="30"/>
  <c r="KZT364" i="30"/>
  <c r="KZU364" i="30"/>
  <c r="KZV364" i="30"/>
  <c r="KZW364" i="30"/>
  <c r="KZX364" i="30"/>
  <c r="KZY364" i="30"/>
  <c r="KZZ364" i="30"/>
  <c r="LAA364" i="30"/>
  <c r="LAB364" i="30"/>
  <c r="LAC364" i="30"/>
  <c r="LAD364" i="30"/>
  <c r="LAE364" i="30"/>
  <c r="LAF364" i="30"/>
  <c r="LAG364" i="30"/>
  <c r="LAH364" i="30"/>
  <c r="LAI364" i="30"/>
  <c r="LAJ364" i="30"/>
  <c r="LAK364" i="30"/>
  <c r="LAL364" i="30"/>
  <c r="LAM364" i="30"/>
  <c r="LAN364" i="30"/>
  <c r="LAO364" i="30"/>
  <c r="LAP364" i="30"/>
  <c r="LAQ364" i="30"/>
  <c r="LAR364" i="30"/>
  <c r="LAS364" i="30"/>
  <c r="LAT364" i="30"/>
  <c r="LAU364" i="30"/>
  <c r="LAV364" i="30"/>
  <c r="LAW364" i="30"/>
  <c r="LAX364" i="30"/>
  <c r="LAY364" i="30"/>
  <c r="LAZ364" i="30"/>
  <c r="LBA364" i="30"/>
  <c r="LBB364" i="30"/>
  <c r="LBC364" i="30"/>
  <c r="LBD364" i="30"/>
  <c r="LBE364" i="30"/>
  <c r="LBF364" i="30"/>
  <c r="LBG364" i="30"/>
  <c r="LBH364" i="30"/>
  <c r="LBI364" i="30"/>
  <c r="LBJ364" i="30"/>
  <c r="LBK364" i="30"/>
  <c r="LBL364" i="30"/>
  <c r="LBM364" i="30"/>
  <c r="LBN364" i="30"/>
  <c r="LBO364" i="30"/>
  <c r="LBP364" i="30"/>
  <c r="LBQ364" i="30"/>
  <c r="LBR364" i="30"/>
  <c r="LBS364" i="30"/>
  <c r="LBT364" i="30"/>
  <c r="LBU364" i="30"/>
  <c r="LBV364" i="30"/>
  <c r="LBW364" i="30"/>
  <c r="LBX364" i="30"/>
  <c r="LBY364" i="30"/>
  <c r="LBZ364" i="30"/>
  <c r="LCA364" i="30"/>
  <c r="LCB364" i="30"/>
  <c r="LCC364" i="30"/>
  <c r="LCD364" i="30"/>
  <c r="LCE364" i="30"/>
  <c r="LCF364" i="30"/>
  <c r="LCG364" i="30"/>
  <c r="LCH364" i="30"/>
  <c r="LCI364" i="30"/>
  <c r="LCJ364" i="30"/>
  <c r="LCK364" i="30"/>
  <c r="LCL364" i="30"/>
  <c r="LCM364" i="30"/>
  <c r="LCN364" i="30"/>
  <c r="LCO364" i="30"/>
  <c r="LCP364" i="30"/>
  <c r="LCQ364" i="30"/>
  <c r="LCR364" i="30"/>
  <c r="LCS364" i="30"/>
  <c r="LCT364" i="30"/>
  <c r="LCU364" i="30"/>
  <c r="LCV364" i="30"/>
  <c r="LCW364" i="30"/>
  <c r="LCX364" i="30"/>
  <c r="LCY364" i="30"/>
  <c r="LCZ364" i="30"/>
  <c r="LDA364" i="30"/>
  <c r="LDB364" i="30"/>
  <c r="LDC364" i="30"/>
  <c r="LDD364" i="30"/>
  <c r="LDE364" i="30"/>
  <c r="LDF364" i="30"/>
  <c r="LDG364" i="30"/>
  <c r="LDH364" i="30"/>
  <c r="LDI364" i="30"/>
  <c r="LDJ364" i="30"/>
  <c r="LDK364" i="30"/>
  <c r="LDL364" i="30"/>
  <c r="LDM364" i="30"/>
  <c r="LDN364" i="30"/>
  <c r="LDO364" i="30"/>
  <c r="LDP364" i="30"/>
  <c r="LDQ364" i="30"/>
  <c r="LDR364" i="30"/>
  <c r="LDS364" i="30"/>
  <c r="LDT364" i="30"/>
  <c r="LDU364" i="30"/>
  <c r="LDV364" i="30"/>
  <c r="LDW364" i="30"/>
  <c r="LDX364" i="30"/>
  <c r="LDY364" i="30"/>
  <c r="LDZ364" i="30"/>
  <c r="LEA364" i="30"/>
  <c r="LEB364" i="30"/>
  <c r="LEC364" i="30"/>
  <c r="LED364" i="30"/>
  <c r="LEE364" i="30"/>
  <c r="LEF364" i="30"/>
  <c r="LEG364" i="30"/>
  <c r="LEH364" i="30"/>
  <c r="LEI364" i="30"/>
  <c r="LEJ364" i="30"/>
  <c r="LEK364" i="30"/>
  <c r="LEL364" i="30"/>
  <c r="LEM364" i="30"/>
  <c r="LEN364" i="30"/>
  <c r="LEO364" i="30"/>
  <c r="LEP364" i="30"/>
  <c r="LEQ364" i="30"/>
  <c r="LER364" i="30"/>
  <c r="LES364" i="30"/>
  <c r="LET364" i="30"/>
  <c r="LEU364" i="30"/>
  <c r="LEV364" i="30"/>
  <c r="LEW364" i="30"/>
  <c r="LEX364" i="30"/>
  <c r="LEY364" i="30"/>
  <c r="LEZ364" i="30"/>
  <c r="LFA364" i="30"/>
  <c r="LFB364" i="30"/>
  <c r="LFC364" i="30"/>
  <c r="LFD364" i="30"/>
  <c r="LFE364" i="30"/>
  <c r="LFF364" i="30"/>
  <c r="LFG364" i="30"/>
  <c r="LFH364" i="30"/>
  <c r="LFI364" i="30"/>
  <c r="LFJ364" i="30"/>
  <c r="LFK364" i="30"/>
  <c r="LFL364" i="30"/>
  <c r="LFM364" i="30"/>
  <c r="LFN364" i="30"/>
  <c r="LFO364" i="30"/>
  <c r="LFP364" i="30"/>
  <c r="LFQ364" i="30"/>
  <c r="LFR364" i="30"/>
  <c r="LFS364" i="30"/>
  <c r="LFT364" i="30"/>
  <c r="LFU364" i="30"/>
  <c r="LFV364" i="30"/>
  <c r="LFW364" i="30"/>
  <c r="LFX364" i="30"/>
  <c r="LFY364" i="30"/>
  <c r="LFZ364" i="30"/>
  <c r="LGA364" i="30"/>
  <c r="LGB364" i="30"/>
  <c r="LGC364" i="30"/>
  <c r="LGD364" i="30"/>
  <c r="LGE364" i="30"/>
  <c r="LGF364" i="30"/>
  <c r="LGG364" i="30"/>
  <c r="LGH364" i="30"/>
  <c r="LGI364" i="30"/>
  <c r="LGJ364" i="30"/>
  <c r="LGK364" i="30"/>
  <c r="LGL364" i="30"/>
  <c r="LGM364" i="30"/>
  <c r="LGN364" i="30"/>
  <c r="LGO364" i="30"/>
  <c r="LGP364" i="30"/>
  <c r="LGQ364" i="30"/>
  <c r="LGR364" i="30"/>
  <c r="LGS364" i="30"/>
  <c r="LGT364" i="30"/>
  <c r="LGU364" i="30"/>
  <c r="LGV364" i="30"/>
  <c r="LGW364" i="30"/>
  <c r="LGX364" i="30"/>
  <c r="LGY364" i="30"/>
  <c r="LGZ364" i="30"/>
  <c r="LHA364" i="30"/>
  <c r="LHB364" i="30"/>
  <c r="LHC364" i="30"/>
  <c r="LHD364" i="30"/>
  <c r="LHE364" i="30"/>
  <c r="LHF364" i="30"/>
  <c r="LHG364" i="30"/>
  <c r="LHH364" i="30"/>
  <c r="LHI364" i="30"/>
  <c r="LHJ364" i="30"/>
  <c r="LHK364" i="30"/>
  <c r="LHL364" i="30"/>
  <c r="LHM364" i="30"/>
  <c r="LHN364" i="30"/>
  <c r="LHO364" i="30"/>
  <c r="LHP364" i="30"/>
  <c r="LHQ364" i="30"/>
  <c r="LHR364" i="30"/>
  <c r="LHS364" i="30"/>
  <c r="LHT364" i="30"/>
  <c r="LHU364" i="30"/>
  <c r="LHV364" i="30"/>
  <c r="LHW364" i="30"/>
  <c r="LHX364" i="30"/>
  <c r="LHY364" i="30"/>
  <c r="LHZ364" i="30"/>
  <c r="LIA364" i="30"/>
  <c r="LIB364" i="30"/>
  <c r="LIC364" i="30"/>
  <c r="LID364" i="30"/>
  <c r="LIE364" i="30"/>
  <c r="LIF364" i="30"/>
  <c r="LIG364" i="30"/>
  <c r="LIH364" i="30"/>
  <c r="LII364" i="30"/>
  <c r="LIJ364" i="30"/>
  <c r="LIK364" i="30"/>
  <c r="LIL364" i="30"/>
  <c r="LIM364" i="30"/>
  <c r="LIN364" i="30"/>
  <c r="LIO364" i="30"/>
  <c r="LIP364" i="30"/>
  <c r="LIQ364" i="30"/>
  <c r="LIR364" i="30"/>
  <c r="LIS364" i="30"/>
  <c r="LIT364" i="30"/>
  <c r="LIU364" i="30"/>
  <c r="LIV364" i="30"/>
  <c r="LIW364" i="30"/>
  <c r="LIX364" i="30"/>
  <c r="LIY364" i="30"/>
  <c r="LIZ364" i="30"/>
  <c r="LJA364" i="30"/>
  <c r="LJB364" i="30"/>
  <c r="LJC364" i="30"/>
  <c r="LJD364" i="30"/>
  <c r="LJE364" i="30"/>
  <c r="LJF364" i="30"/>
  <c r="LJG364" i="30"/>
  <c r="LJH364" i="30"/>
  <c r="LJI364" i="30"/>
  <c r="LJJ364" i="30"/>
  <c r="LJK364" i="30"/>
  <c r="LJL364" i="30"/>
  <c r="LJM364" i="30"/>
  <c r="LJN364" i="30"/>
  <c r="LJO364" i="30"/>
  <c r="LJP364" i="30"/>
  <c r="LJQ364" i="30"/>
  <c r="LJR364" i="30"/>
  <c r="LJS364" i="30"/>
  <c r="LJT364" i="30"/>
  <c r="LJU364" i="30"/>
  <c r="LJV364" i="30"/>
  <c r="LJW364" i="30"/>
  <c r="LJX364" i="30"/>
  <c r="LJY364" i="30"/>
  <c r="LJZ364" i="30"/>
  <c r="LKA364" i="30"/>
  <c r="LKB364" i="30"/>
  <c r="LKC364" i="30"/>
  <c r="LKD364" i="30"/>
  <c r="LKE364" i="30"/>
  <c r="LKF364" i="30"/>
  <c r="LKG364" i="30"/>
  <c r="LKH364" i="30"/>
  <c r="LKI364" i="30"/>
  <c r="LKJ364" i="30"/>
  <c r="LKK364" i="30"/>
  <c r="LKL364" i="30"/>
  <c r="LKM364" i="30"/>
  <c r="LKN364" i="30"/>
  <c r="LKO364" i="30"/>
  <c r="LKP364" i="30"/>
  <c r="LKQ364" i="30"/>
  <c r="LKR364" i="30"/>
  <c r="LKS364" i="30"/>
  <c r="LKT364" i="30"/>
  <c r="LKU364" i="30"/>
  <c r="LKV364" i="30"/>
  <c r="LKW364" i="30"/>
  <c r="LKX364" i="30"/>
  <c r="LKY364" i="30"/>
  <c r="LKZ364" i="30"/>
  <c r="LLA364" i="30"/>
  <c r="LLB364" i="30"/>
  <c r="LLC364" i="30"/>
  <c r="LLD364" i="30"/>
  <c r="LLE364" i="30"/>
  <c r="LLF364" i="30"/>
  <c r="LLG364" i="30"/>
  <c r="LLH364" i="30"/>
  <c r="LLI364" i="30"/>
  <c r="LLJ364" i="30"/>
  <c r="LLK364" i="30"/>
  <c r="LLL364" i="30"/>
  <c r="LLM364" i="30"/>
  <c r="LLN364" i="30"/>
  <c r="LLO364" i="30"/>
  <c r="LLP364" i="30"/>
  <c r="LLQ364" i="30"/>
  <c r="LLR364" i="30"/>
  <c r="LLS364" i="30"/>
  <c r="LLT364" i="30"/>
  <c r="LLU364" i="30"/>
  <c r="LLV364" i="30"/>
  <c r="LLW364" i="30"/>
  <c r="LLX364" i="30"/>
  <c r="LLY364" i="30"/>
  <c r="LLZ364" i="30"/>
  <c r="LMA364" i="30"/>
  <c r="LMB364" i="30"/>
  <c r="LMC364" i="30"/>
  <c r="LMD364" i="30"/>
  <c r="LME364" i="30"/>
  <c r="LMF364" i="30"/>
  <c r="LMG364" i="30"/>
  <c r="LMH364" i="30"/>
  <c r="LMI364" i="30"/>
  <c r="LMJ364" i="30"/>
  <c r="LMK364" i="30"/>
  <c r="LML364" i="30"/>
  <c r="LMM364" i="30"/>
  <c r="LMN364" i="30"/>
  <c r="LMO364" i="30"/>
  <c r="LMP364" i="30"/>
  <c r="LMQ364" i="30"/>
  <c r="LMR364" i="30"/>
  <c r="LMS364" i="30"/>
  <c r="LMT364" i="30"/>
  <c r="LMU364" i="30"/>
  <c r="LMV364" i="30"/>
  <c r="LMW364" i="30"/>
  <c r="LMX364" i="30"/>
  <c r="LMY364" i="30"/>
  <c r="LMZ364" i="30"/>
  <c r="LNA364" i="30"/>
  <c r="LNB364" i="30"/>
  <c r="LNC364" i="30"/>
  <c r="LND364" i="30"/>
  <c r="LNE364" i="30"/>
  <c r="LNF364" i="30"/>
  <c r="LNG364" i="30"/>
  <c r="LNH364" i="30"/>
  <c r="LNI364" i="30"/>
  <c r="LNJ364" i="30"/>
  <c r="LNK364" i="30"/>
  <c r="LNL364" i="30"/>
  <c r="LNM364" i="30"/>
  <c r="LNN364" i="30"/>
  <c r="LNO364" i="30"/>
  <c r="LNP364" i="30"/>
  <c r="LNQ364" i="30"/>
  <c r="LNR364" i="30"/>
  <c r="LNS364" i="30"/>
  <c r="LNT364" i="30"/>
  <c r="LNU364" i="30"/>
  <c r="LNV364" i="30"/>
  <c r="LNW364" i="30"/>
  <c r="LNX364" i="30"/>
  <c r="LNY364" i="30"/>
  <c r="LNZ364" i="30"/>
  <c r="LOA364" i="30"/>
  <c r="LOB364" i="30"/>
  <c r="LOC364" i="30"/>
  <c r="LOD364" i="30"/>
  <c r="LOE364" i="30"/>
  <c r="LOF364" i="30"/>
  <c r="LOG364" i="30"/>
  <c r="LOH364" i="30"/>
  <c r="LOI364" i="30"/>
  <c r="LOJ364" i="30"/>
  <c r="LOK364" i="30"/>
  <c r="LOL364" i="30"/>
  <c r="LOM364" i="30"/>
  <c r="LON364" i="30"/>
  <c r="LOO364" i="30"/>
  <c r="LOP364" i="30"/>
  <c r="LOQ364" i="30"/>
  <c r="LOR364" i="30"/>
  <c r="LOS364" i="30"/>
  <c r="LOT364" i="30"/>
  <c r="LOU364" i="30"/>
  <c r="LOV364" i="30"/>
  <c r="LOW364" i="30"/>
  <c r="LOX364" i="30"/>
  <c r="LOY364" i="30"/>
  <c r="LOZ364" i="30"/>
  <c r="LPA364" i="30"/>
  <c r="LPB364" i="30"/>
  <c r="LPC364" i="30"/>
  <c r="LPD364" i="30"/>
  <c r="LPE364" i="30"/>
  <c r="LPF364" i="30"/>
  <c r="LPG364" i="30"/>
  <c r="LPH364" i="30"/>
  <c r="LPI364" i="30"/>
  <c r="LPJ364" i="30"/>
  <c r="LPK364" i="30"/>
  <c r="LPL364" i="30"/>
  <c r="LPM364" i="30"/>
  <c r="LPN364" i="30"/>
  <c r="LPO364" i="30"/>
  <c r="LPP364" i="30"/>
  <c r="LPQ364" i="30"/>
  <c r="LPR364" i="30"/>
  <c r="LPS364" i="30"/>
  <c r="LPT364" i="30"/>
  <c r="LPU364" i="30"/>
  <c r="LPV364" i="30"/>
  <c r="LPW364" i="30"/>
  <c r="LPX364" i="30"/>
  <c r="LPY364" i="30"/>
  <c r="LPZ364" i="30"/>
  <c r="LQA364" i="30"/>
  <c r="LQB364" i="30"/>
  <c r="LQC364" i="30"/>
  <c r="LQD364" i="30"/>
  <c r="LQE364" i="30"/>
  <c r="LQF364" i="30"/>
  <c r="LQG364" i="30"/>
  <c r="LQH364" i="30"/>
  <c r="LQI364" i="30"/>
  <c r="LQJ364" i="30"/>
  <c r="LQK364" i="30"/>
  <c r="LQL364" i="30"/>
  <c r="LQM364" i="30"/>
  <c r="LQN364" i="30"/>
  <c r="LQO364" i="30"/>
  <c r="LQP364" i="30"/>
  <c r="LQQ364" i="30"/>
  <c r="LQR364" i="30"/>
  <c r="LQS364" i="30"/>
  <c r="LQT364" i="30"/>
  <c r="LQU364" i="30"/>
  <c r="LQV364" i="30"/>
  <c r="LQW364" i="30"/>
  <c r="LQX364" i="30"/>
  <c r="LQY364" i="30"/>
  <c r="LQZ364" i="30"/>
  <c r="LRA364" i="30"/>
  <c r="LRB364" i="30"/>
  <c r="LRC364" i="30"/>
  <c r="LRD364" i="30"/>
  <c r="LRE364" i="30"/>
  <c r="LRF364" i="30"/>
  <c r="LRG364" i="30"/>
  <c r="LRH364" i="30"/>
  <c r="LRI364" i="30"/>
  <c r="LRJ364" i="30"/>
  <c r="LRK364" i="30"/>
  <c r="LRL364" i="30"/>
  <c r="LRM364" i="30"/>
  <c r="LRN364" i="30"/>
  <c r="LRO364" i="30"/>
  <c r="LRP364" i="30"/>
  <c r="LRQ364" i="30"/>
  <c r="LRR364" i="30"/>
  <c r="LRS364" i="30"/>
  <c r="LRT364" i="30"/>
  <c r="LRU364" i="30"/>
  <c r="LRV364" i="30"/>
  <c r="LRW364" i="30"/>
  <c r="LRX364" i="30"/>
  <c r="LRY364" i="30"/>
  <c r="LRZ364" i="30"/>
  <c r="LSA364" i="30"/>
  <c r="LSB364" i="30"/>
  <c r="LSC364" i="30"/>
  <c r="LSD364" i="30"/>
  <c r="LSE364" i="30"/>
  <c r="LSF364" i="30"/>
  <c r="LSG364" i="30"/>
  <c r="LSH364" i="30"/>
  <c r="LSI364" i="30"/>
  <c r="LSJ364" i="30"/>
  <c r="LSK364" i="30"/>
  <c r="LSL364" i="30"/>
  <c r="LSM364" i="30"/>
  <c r="LSN364" i="30"/>
  <c r="LSO364" i="30"/>
  <c r="LSP364" i="30"/>
  <c r="LSQ364" i="30"/>
  <c r="LSR364" i="30"/>
  <c r="LSS364" i="30"/>
  <c r="LST364" i="30"/>
  <c r="LSU364" i="30"/>
  <c r="LSV364" i="30"/>
  <c r="LSW364" i="30"/>
  <c r="LSX364" i="30"/>
  <c r="LSY364" i="30"/>
  <c r="LSZ364" i="30"/>
  <c r="LTA364" i="30"/>
  <c r="LTB364" i="30"/>
  <c r="LTC364" i="30"/>
  <c r="LTD364" i="30"/>
  <c r="LTE364" i="30"/>
  <c r="LTF364" i="30"/>
  <c r="LTG364" i="30"/>
  <c r="LTH364" i="30"/>
  <c r="LTI364" i="30"/>
  <c r="LTJ364" i="30"/>
  <c r="LTK364" i="30"/>
  <c r="LTL364" i="30"/>
  <c r="LTM364" i="30"/>
  <c r="LTN364" i="30"/>
  <c r="LTO364" i="30"/>
  <c r="LTP364" i="30"/>
  <c r="LTQ364" i="30"/>
  <c r="LTR364" i="30"/>
  <c r="LTS364" i="30"/>
  <c r="LTT364" i="30"/>
  <c r="LTU364" i="30"/>
  <c r="LTV364" i="30"/>
  <c r="LTW364" i="30"/>
  <c r="LTX364" i="30"/>
  <c r="LTY364" i="30"/>
  <c r="LTZ364" i="30"/>
  <c r="LUA364" i="30"/>
  <c r="LUB364" i="30"/>
  <c r="LUC364" i="30"/>
  <c r="LUD364" i="30"/>
  <c r="LUE364" i="30"/>
  <c r="LUF364" i="30"/>
  <c r="LUG364" i="30"/>
  <c r="LUH364" i="30"/>
  <c r="LUI364" i="30"/>
  <c r="LUJ364" i="30"/>
  <c r="LUK364" i="30"/>
  <c r="LUL364" i="30"/>
  <c r="LUM364" i="30"/>
  <c r="LUN364" i="30"/>
  <c r="LUO364" i="30"/>
  <c r="LUP364" i="30"/>
  <c r="LUQ364" i="30"/>
  <c r="LUR364" i="30"/>
  <c r="LUS364" i="30"/>
  <c r="LUT364" i="30"/>
  <c r="LUU364" i="30"/>
  <c r="LUV364" i="30"/>
  <c r="LUW364" i="30"/>
  <c r="LUX364" i="30"/>
  <c r="LUY364" i="30"/>
  <c r="LUZ364" i="30"/>
  <c r="LVA364" i="30"/>
  <c r="LVB364" i="30"/>
  <c r="LVC364" i="30"/>
  <c r="LVD364" i="30"/>
  <c r="LVE364" i="30"/>
  <c r="LVF364" i="30"/>
  <c r="LVG364" i="30"/>
  <c r="LVH364" i="30"/>
  <c r="LVI364" i="30"/>
  <c r="LVJ364" i="30"/>
  <c r="LVK364" i="30"/>
  <c r="LVL364" i="30"/>
  <c r="LVM364" i="30"/>
  <c r="LVN364" i="30"/>
  <c r="LVO364" i="30"/>
  <c r="LVP364" i="30"/>
  <c r="LVQ364" i="30"/>
  <c r="LVR364" i="30"/>
  <c r="LVS364" i="30"/>
  <c r="LVT364" i="30"/>
  <c r="LVU364" i="30"/>
  <c r="LVV364" i="30"/>
  <c r="LVW364" i="30"/>
  <c r="LVX364" i="30"/>
  <c r="LVY364" i="30"/>
  <c r="LVZ364" i="30"/>
  <c r="LWA364" i="30"/>
  <c r="LWB364" i="30"/>
  <c r="LWC364" i="30"/>
  <c r="LWD364" i="30"/>
  <c r="LWE364" i="30"/>
  <c r="LWF364" i="30"/>
  <c r="LWG364" i="30"/>
  <c r="LWH364" i="30"/>
  <c r="LWI364" i="30"/>
  <c r="LWJ364" i="30"/>
  <c r="LWK364" i="30"/>
  <c r="LWL364" i="30"/>
  <c r="LWM364" i="30"/>
  <c r="LWN364" i="30"/>
  <c r="LWO364" i="30"/>
  <c r="LWP364" i="30"/>
  <c r="LWQ364" i="30"/>
  <c r="LWR364" i="30"/>
  <c r="LWS364" i="30"/>
  <c r="LWT364" i="30"/>
  <c r="LWU364" i="30"/>
  <c r="LWV364" i="30"/>
  <c r="LWW364" i="30"/>
  <c r="LWX364" i="30"/>
  <c r="LWY364" i="30"/>
  <c r="LWZ364" i="30"/>
  <c r="LXA364" i="30"/>
  <c r="LXB364" i="30"/>
  <c r="LXC364" i="30"/>
  <c r="LXD364" i="30"/>
  <c r="LXE364" i="30"/>
  <c r="LXF364" i="30"/>
  <c r="LXG364" i="30"/>
  <c r="LXH364" i="30"/>
  <c r="LXI364" i="30"/>
  <c r="LXJ364" i="30"/>
  <c r="LXK364" i="30"/>
  <c r="LXL364" i="30"/>
  <c r="LXM364" i="30"/>
  <c r="LXN364" i="30"/>
  <c r="LXO364" i="30"/>
  <c r="LXP364" i="30"/>
  <c r="LXQ364" i="30"/>
  <c r="LXR364" i="30"/>
  <c r="LXS364" i="30"/>
  <c r="LXT364" i="30"/>
  <c r="LXU364" i="30"/>
  <c r="LXV364" i="30"/>
  <c r="LXW364" i="30"/>
  <c r="LXX364" i="30"/>
  <c r="LXY364" i="30"/>
  <c r="LXZ364" i="30"/>
  <c r="LYA364" i="30"/>
  <c r="LYB364" i="30"/>
  <c r="LYC364" i="30"/>
  <c r="LYD364" i="30"/>
  <c r="LYE364" i="30"/>
  <c r="LYF364" i="30"/>
  <c r="LYG364" i="30"/>
  <c r="LYH364" i="30"/>
  <c r="LYI364" i="30"/>
  <c r="LYJ364" i="30"/>
  <c r="LYK364" i="30"/>
  <c r="LYL364" i="30"/>
  <c r="LYM364" i="30"/>
  <c r="LYN364" i="30"/>
  <c r="LYO364" i="30"/>
  <c r="LYP364" i="30"/>
  <c r="LYQ364" i="30"/>
  <c r="LYR364" i="30"/>
  <c r="LYS364" i="30"/>
  <c r="LYT364" i="30"/>
  <c r="LYU364" i="30"/>
  <c r="LYV364" i="30"/>
  <c r="LYW364" i="30"/>
  <c r="LYX364" i="30"/>
  <c r="LYY364" i="30"/>
  <c r="LYZ364" i="30"/>
  <c r="LZA364" i="30"/>
  <c r="LZB364" i="30"/>
  <c r="LZC364" i="30"/>
  <c r="LZD364" i="30"/>
  <c r="LZE364" i="30"/>
  <c r="LZF364" i="30"/>
  <c r="LZG364" i="30"/>
  <c r="LZH364" i="30"/>
  <c r="LZI364" i="30"/>
  <c r="LZJ364" i="30"/>
  <c r="LZK364" i="30"/>
  <c r="LZL364" i="30"/>
  <c r="LZM364" i="30"/>
  <c r="LZN364" i="30"/>
  <c r="LZO364" i="30"/>
  <c r="LZP364" i="30"/>
  <c r="LZQ364" i="30"/>
  <c r="LZR364" i="30"/>
  <c r="LZS364" i="30"/>
  <c r="LZT364" i="30"/>
  <c r="LZU364" i="30"/>
  <c r="LZV364" i="30"/>
  <c r="LZW364" i="30"/>
  <c r="LZX364" i="30"/>
  <c r="LZY364" i="30"/>
  <c r="LZZ364" i="30"/>
  <c r="MAA364" i="30"/>
  <c r="MAB364" i="30"/>
  <c r="MAC364" i="30"/>
  <c r="MAD364" i="30"/>
  <c r="MAE364" i="30"/>
  <c r="MAF364" i="30"/>
  <c r="MAG364" i="30"/>
  <c r="MAH364" i="30"/>
  <c r="MAI364" i="30"/>
  <c r="MAJ364" i="30"/>
  <c r="MAK364" i="30"/>
  <c r="MAL364" i="30"/>
  <c r="MAM364" i="30"/>
  <c r="MAN364" i="30"/>
  <c r="MAO364" i="30"/>
  <c r="MAP364" i="30"/>
  <c r="MAQ364" i="30"/>
  <c r="MAR364" i="30"/>
  <c r="MAS364" i="30"/>
  <c r="MAT364" i="30"/>
  <c r="MAU364" i="30"/>
  <c r="MAV364" i="30"/>
  <c r="MAW364" i="30"/>
  <c r="MAX364" i="30"/>
  <c r="MAY364" i="30"/>
  <c r="MAZ364" i="30"/>
  <c r="MBA364" i="30"/>
  <c r="MBB364" i="30"/>
  <c r="MBC364" i="30"/>
  <c r="MBD364" i="30"/>
  <c r="MBE364" i="30"/>
  <c r="MBF364" i="30"/>
  <c r="MBG364" i="30"/>
  <c r="MBH364" i="30"/>
  <c r="MBI364" i="30"/>
  <c r="MBJ364" i="30"/>
  <c r="MBK364" i="30"/>
  <c r="MBL364" i="30"/>
  <c r="MBM364" i="30"/>
  <c r="MBN364" i="30"/>
  <c r="MBO364" i="30"/>
  <c r="MBP364" i="30"/>
  <c r="MBQ364" i="30"/>
  <c r="MBR364" i="30"/>
  <c r="MBS364" i="30"/>
  <c r="MBT364" i="30"/>
  <c r="MBU364" i="30"/>
  <c r="MBV364" i="30"/>
  <c r="MBW364" i="30"/>
  <c r="MBX364" i="30"/>
  <c r="MBY364" i="30"/>
  <c r="MBZ364" i="30"/>
  <c r="MCA364" i="30"/>
  <c r="MCB364" i="30"/>
  <c r="MCC364" i="30"/>
  <c r="MCD364" i="30"/>
  <c r="MCE364" i="30"/>
  <c r="MCF364" i="30"/>
  <c r="MCG364" i="30"/>
  <c r="MCH364" i="30"/>
  <c r="MCI364" i="30"/>
  <c r="MCJ364" i="30"/>
  <c r="MCK364" i="30"/>
  <c r="MCL364" i="30"/>
  <c r="MCM364" i="30"/>
  <c r="MCN364" i="30"/>
  <c r="MCO364" i="30"/>
  <c r="MCP364" i="30"/>
  <c r="MCQ364" i="30"/>
  <c r="MCR364" i="30"/>
  <c r="MCS364" i="30"/>
  <c r="MCT364" i="30"/>
  <c r="MCU364" i="30"/>
  <c r="MCV364" i="30"/>
  <c r="MCW364" i="30"/>
  <c r="MCX364" i="30"/>
  <c r="MCY364" i="30"/>
  <c r="MCZ364" i="30"/>
  <c r="MDA364" i="30"/>
  <c r="MDB364" i="30"/>
  <c r="MDC364" i="30"/>
  <c r="MDD364" i="30"/>
  <c r="MDE364" i="30"/>
  <c r="MDF364" i="30"/>
  <c r="MDG364" i="30"/>
  <c r="MDH364" i="30"/>
  <c r="MDI364" i="30"/>
  <c r="MDJ364" i="30"/>
  <c r="MDK364" i="30"/>
  <c r="MDL364" i="30"/>
  <c r="MDM364" i="30"/>
  <c r="MDN364" i="30"/>
  <c r="MDO364" i="30"/>
  <c r="MDP364" i="30"/>
  <c r="MDQ364" i="30"/>
  <c r="MDR364" i="30"/>
  <c r="MDS364" i="30"/>
  <c r="MDT364" i="30"/>
  <c r="MDU364" i="30"/>
  <c r="MDV364" i="30"/>
  <c r="MDW364" i="30"/>
  <c r="MDX364" i="30"/>
  <c r="MDY364" i="30"/>
  <c r="MDZ364" i="30"/>
  <c r="MEA364" i="30"/>
  <c r="MEB364" i="30"/>
  <c r="MEC364" i="30"/>
  <c r="MED364" i="30"/>
  <c r="MEE364" i="30"/>
  <c r="MEF364" i="30"/>
  <c r="MEG364" i="30"/>
  <c r="MEH364" i="30"/>
  <c r="MEI364" i="30"/>
  <c r="MEJ364" i="30"/>
  <c r="MEK364" i="30"/>
  <c r="MEL364" i="30"/>
  <c r="MEM364" i="30"/>
  <c r="MEN364" i="30"/>
  <c r="MEO364" i="30"/>
  <c r="MEP364" i="30"/>
  <c r="MEQ364" i="30"/>
  <c r="MER364" i="30"/>
  <c r="MES364" i="30"/>
  <c r="MET364" i="30"/>
  <c r="MEU364" i="30"/>
  <c r="MEV364" i="30"/>
  <c r="MEW364" i="30"/>
  <c r="MEX364" i="30"/>
  <c r="MEY364" i="30"/>
  <c r="MEZ364" i="30"/>
  <c r="MFA364" i="30"/>
  <c r="MFB364" i="30"/>
  <c r="MFC364" i="30"/>
  <c r="MFD364" i="30"/>
  <c r="MFE364" i="30"/>
  <c r="MFF364" i="30"/>
  <c r="MFG364" i="30"/>
  <c r="MFH364" i="30"/>
  <c r="MFI364" i="30"/>
  <c r="MFJ364" i="30"/>
  <c r="MFK364" i="30"/>
  <c r="MFL364" i="30"/>
  <c r="MFM364" i="30"/>
  <c r="MFN364" i="30"/>
  <c r="MFO364" i="30"/>
  <c r="MFP364" i="30"/>
  <c r="MFQ364" i="30"/>
  <c r="MFR364" i="30"/>
  <c r="MFS364" i="30"/>
  <c r="MFT364" i="30"/>
  <c r="MFU364" i="30"/>
  <c r="MFV364" i="30"/>
  <c r="MFW364" i="30"/>
  <c r="MFX364" i="30"/>
  <c r="MFY364" i="30"/>
  <c r="MFZ364" i="30"/>
  <c r="MGA364" i="30"/>
  <c r="MGB364" i="30"/>
  <c r="MGC364" i="30"/>
  <c r="MGD364" i="30"/>
  <c r="MGE364" i="30"/>
  <c r="MGF364" i="30"/>
  <c r="MGG364" i="30"/>
  <c r="MGH364" i="30"/>
  <c r="MGI364" i="30"/>
  <c r="MGJ364" i="30"/>
  <c r="MGK364" i="30"/>
  <c r="MGL364" i="30"/>
  <c r="MGM364" i="30"/>
  <c r="MGN364" i="30"/>
  <c r="MGO364" i="30"/>
  <c r="MGP364" i="30"/>
  <c r="MGQ364" i="30"/>
  <c r="MGR364" i="30"/>
  <c r="MGS364" i="30"/>
  <c r="MGT364" i="30"/>
  <c r="MGU364" i="30"/>
  <c r="MGV364" i="30"/>
  <c r="MGW364" i="30"/>
  <c r="MGX364" i="30"/>
  <c r="MGY364" i="30"/>
  <c r="MGZ364" i="30"/>
  <c r="MHA364" i="30"/>
  <c r="MHB364" i="30"/>
  <c r="MHC364" i="30"/>
  <c r="MHD364" i="30"/>
  <c r="MHE364" i="30"/>
  <c r="MHF364" i="30"/>
  <c r="MHG364" i="30"/>
  <c r="MHH364" i="30"/>
  <c r="MHI364" i="30"/>
  <c r="MHJ364" i="30"/>
  <c r="MHK364" i="30"/>
  <c r="MHL364" i="30"/>
  <c r="MHM364" i="30"/>
  <c r="MHN364" i="30"/>
  <c r="MHO364" i="30"/>
  <c r="MHP364" i="30"/>
  <c r="MHQ364" i="30"/>
  <c r="MHR364" i="30"/>
  <c r="MHS364" i="30"/>
  <c r="MHT364" i="30"/>
  <c r="MHU364" i="30"/>
  <c r="MHV364" i="30"/>
  <c r="MHW364" i="30"/>
  <c r="MHX364" i="30"/>
  <c r="MHY364" i="30"/>
  <c r="MHZ364" i="30"/>
  <c r="MIA364" i="30"/>
  <c r="MIB364" i="30"/>
  <c r="MIC364" i="30"/>
  <c r="MID364" i="30"/>
  <c r="MIE364" i="30"/>
  <c r="MIF364" i="30"/>
  <c r="MIG364" i="30"/>
  <c r="MIH364" i="30"/>
  <c r="MII364" i="30"/>
  <c r="MIJ364" i="30"/>
  <c r="MIK364" i="30"/>
  <c r="MIL364" i="30"/>
  <c r="MIM364" i="30"/>
  <c r="MIN364" i="30"/>
  <c r="MIO364" i="30"/>
  <c r="MIP364" i="30"/>
  <c r="MIQ364" i="30"/>
  <c r="MIR364" i="30"/>
  <c r="MIS364" i="30"/>
  <c r="MIT364" i="30"/>
  <c r="MIU364" i="30"/>
  <c r="MIV364" i="30"/>
  <c r="MIW364" i="30"/>
  <c r="MIX364" i="30"/>
  <c r="MIY364" i="30"/>
  <c r="MIZ364" i="30"/>
  <c r="MJA364" i="30"/>
  <c r="MJB364" i="30"/>
  <c r="MJC364" i="30"/>
  <c r="MJD364" i="30"/>
  <c r="MJE364" i="30"/>
  <c r="MJF364" i="30"/>
  <c r="MJG364" i="30"/>
  <c r="MJH364" i="30"/>
  <c r="MJI364" i="30"/>
  <c r="MJJ364" i="30"/>
  <c r="MJK364" i="30"/>
  <c r="MJL364" i="30"/>
  <c r="MJM364" i="30"/>
  <c r="MJN364" i="30"/>
  <c r="MJO364" i="30"/>
  <c r="MJP364" i="30"/>
  <c r="MJQ364" i="30"/>
  <c r="MJR364" i="30"/>
  <c r="MJS364" i="30"/>
  <c r="MJT364" i="30"/>
  <c r="MJU364" i="30"/>
  <c r="MJV364" i="30"/>
  <c r="MJW364" i="30"/>
  <c r="MJX364" i="30"/>
  <c r="MJY364" i="30"/>
  <c r="MJZ364" i="30"/>
  <c r="MKA364" i="30"/>
  <c r="MKB364" i="30"/>
  <c r="MKC364" i="30"/>
  <c r="MKD364" i="30"/>
  <c r="MKE364" i="30"/>
  <c r="MKF364" i="30"/>
  <c r="MKG364" i="30"/>
  <c r="MKH364" i="30"/>
  <c r="MKI364" i="30"/>
  <c r="MKJ364" i="30"/>
  <c r="MKK364" i="30"/>
  <c r="MKL364" i="30"/>
  <c r="MKM364" i="30"/>
  <c r="MKN364" i="30"/>
  <c r="MKO364" i="30"/>
  <c r="MKP364" i="30"/>
  <c r="MKQ364" i="30"/>
  <c r="MKR364" i="30"/>
  <c r="MKS364" i="30"/>
  <c r="MKT364" i="30"/>
  <c r="MKU364" i="30"/>
  <c r="MKV364" i="30"/>
  <c r="MKW364" i="30"/>
  <c r="MKX364" i="30"/>
  <c r="MKY364" i="30"/>
  <c r="MKZ364" i="30"/>
  <c r="MLA364" i="30"/>
  <c r="MLB364" i="30"/>
  <c r="MLC364" i="30"/>
  <c r="MLD364" i="30"/>
  <c r="MLE364" i="30"/>
  <c r="MLF364" i="30"/>
  <c r="MLG364" i="30"/>
  <c r="MLH364" i="30"/>
  <c r="MLI364" i="30"/>
  <c r="MLJ364" i="30"/>
  <c r="MLK364" i="30"/>
  <c r="MLL364" i="30"/>
  <c r="MLM364" i="30"/>
  <c r="MLN364" i="30"/>
  <c r="MLO364" i="30"/>
  <c r="MLP364" i="30"/>
  <c r="MLQ364" i="30"/>
  <c r="MLR364" i="30"/>
  <c r="MLS364" i="30"/>
  <c r="MLT364" i="30"/>
  <c r="MLU364" i="30"/>
  <c r="MLV364" i="30"/>
  <c r="MLW364" i="30"/>
  <c r="MLX364" i="30"/>
  <c r="MLY364" i="30"/>
  <c r="MLZ364" i="30"/>
  <c r="MMA364" i="30"/>
  <c r="MMB364" i="30"/>
  <c r="MMC364" i="30"/>
  <c r="MMD364" i="30"/>
  <c r="MME364" i="30"/>
  <c r="MMF364" i="30"/>
  <c r="MMG364" i="30"/>
  <c r="MMH364" i="30"/>
  <c r="MMI364" i="30"/>
  <c r="MMJ364" i="30"/>
  <c r="MMK364" i="30"/>
  <c r="MML364" i="30"/>
  <c r="MMM364" i="30"/>
  <c r="MMN364" i="30"/>
  <c r="MMO364" i="30"/>
  <c r="MMP364" i="30"/>
  <c r="MMQ364" i="30"/>
  <c r="MMR364" i="30"/>
  <c r="MMS364" i="30"/>
  <c r="MMT364" i="30"/>
  <c r="MMU364" i="30"/>
  <c r="MMV364" i="30"/>
  <c r="MMW364" i="30"/>
  <c r="MMX364" i="30"/>
  <c r="MMY364" i="30"/>
  <c r="MMZ364" i="30"/>
  <c r="MNA364" i="30"/>
  <c r="MNB364" i="30"/>
  <c r="MNC364" i="30"/>
  <c r="MND364" i="30"/>
  <c r="MNE364" i="30"/>
  <c r="MNF364" i="30"/>
  <c r="MNG364" i="30"/>
  <c r="MNH364" i="30"/>
  <c r="MNI364" i="30"/>
  <c r="MNJ364" i="30"/>
  <c r="MNK364" i="30"/>
  <c r="MNL364" i="30"/>
  <c r="MNM364" i="30"/>
  <c r="MNN364" i="30"/>
  <c r="MNO364" i="30"/>
  <c r="MNP364" i="30"/>
  <c r="MNQ364" i="30"/>
  <c r="MNR364" i="30"/>
  <c r="MNS364" i="30"/>
  <c r="MNT364" i="30"/>
  <c r="MNU364" i="30"/>
  <c r="MNV364" i="30"/>
  <c r="MNW364" i="30"/>
  <c r="MNX364" i="30"/>
  <c r="MNY364" i="30"/>
  <c r="MNZ364" i="30"/>
  <c r="MOA364" i="30"/>
  <c r="MOB364" i="30"/>
  <c r="MOC364" i="30"/>
  <c r="MOD364" i="30"/>
  <c r="MOE364" i="30"/>
  <c r="MOF364" i="30"/>
  <c r="MOG364" i="30"/>
  <c r="MOH364" i="30"/>
  <c r="MOI364" i="30"/>
  <c r="MOJ364" i="30"/>
  <c r="MOK364" i="30"/>
  <c r="MOL364" i="30"/>
  <c r="MOM364" i="30"/>
  <c r="MON364" i="30"/>
  <c r="MOO364" i="30"/>
  <c r="MOP364" i="30"/>
  <c r="MOQ364" i="30"/>
  <c r="MOR364" i="30"/>
  <c r="MOS364" i="30"/>
  <c r="MOT364" i="30"/>
  <c r="MOU364" i="30"/>
  <c r="MOV364" i="30"/>
  <c r="MOW364" i="30"/>
  <c r="MOX364" i="30"/>
  <c r="MOY364" i="30"/>
  <c r="MOZ364" i="30"/>
  <c r="MPA364" i="30"/>
  <c r="MPB364" i="30"/>
  <c r="MPC364" i="30"/>
  <c r="MPD364" i="30"/>
  <c r="MPE364" i="30"/>
  <c r="MPF364" i="30"/>
  <c r="MPG364" i="30"/>
  <c r="MPH364" i="30"/>
  <c r="MPI364" i="30"/>
  <c r="MPJ364" i="30"/>
  <c r="MPK364" i="30"/>
  <c r="MPL364" i="30"/>
  <c r="MPM364" i="30"/>
  <c r="MPN364" i="30"/>
  <c r="MPO364" i="30"/>
  <c r="MPP364" i="30"/>
  <c r="MPQ364" i="30"/>
  <c r="MPR364" i="30"/>
  <c r="MPS364" i="30"/>
  <c r="MPT364" i="30"/>
  <c r="MPU364" i="30"/>
  <c r="MPV364" i="30"/>
  <c r="MPW364" i="30"/>
  <c r="MPX364" i="30"/>
  <c r="MPY364" i="30"/>
  <c r="MPZ364" i="30"/>
  <c r="MQA364" i="30"/>
  <c r="MQB364" i="30"/>
  <c r="MQC364" i="30"/>
  <c r="MQD364" i="30"/>
  <c r="MQE364" i="30"/>
  <c r="MQF364" i="30"/>
  <c r="MQG364" i="30"/>
  <c r="MQH364" i="30"/>
  <c r="MQI364" i="30"/>
  <c r="MQJ364" i="30"/>
  <c r="MQK364" i="30"/>
  <c r="MQL364" i="30"/>
  <c r="MQM364" i="30"/>
  <c r="MQN364" i="30"/>
  <c r="MQO364" i="30"/>
  <c r="MQP364" i="30"/>
  <c r="MQQ364" i="30"/>
  <c r="MQR364" i="30"/>
  <c r="MQS364" i="30"/>
  <c r="MQT364" i="30"/>
  <c r="MQU364" i="30"/>
  <c r="MQV364" i="30"/>
  <c r="MQW364" i="30"/>
  <c r="MQX364" i="30"/>
  <c r="MQY364" i="30"/>
  <c r="MQZ364" i="30"/>
  <c r="MRA364" i="30"/>
  <c r="MRB364" i="30"/>
  <c r="MRC364" i="30"/>
  <c r="MRD364" i="30"/>
  <c r="MRE364" i="30"/>
  <c r="MRF364" i="30"/>
  <c r="MRG364" i="30"/>
  <c r="MRH364" i="30"/>
  <c r="MRI364" i="30"/>
  <c r="MRJ364" i="30"/>
  <c r="MRK364" i="30"/>
  <c r="MRL364" i="30"/>
  <c r="MRM364" i="30"/>
  <c r="MRN364" i="30"/>
  <c r="MRO364" i="30"/>
  <c r="MRP364" i="30"/>
  <c r="MRQ364" i="30"/>
  <c r="MRR364" i="30"/>
  <c r="MRS364" i="30"/>
  <c r="MRT364" i="30"/>
  <c r="MRU364" i="30"/>
  <c r="MRV364" i="30"/>
  <c r="MRW364" i="30"/>
  <c r="MRX364" i="30"/>
  <c r="MRY364" i="30"/>
  <c r="MRZ364" i="30"/>
  <c r="MSA364" i="30"/>
  <c r="MSB364" i="30"/>
  <c r="MSC364" i="30"/>
  <c r="MSD364" i="30"/>
  <c r="MSE364" i="30"/>
  <c r="MSF364" i="30"/>
  <c r="MSG364" i="30"/>
  <c r="MSH364" i="30"/>
  <c r="MSI364" i="30"/>
  <c r="MSJ364" i="30"/>
  <c r="MSK364" i="30"/>
  <c r="MSL364" i="30"/>
  <c r="MSM364" i="30"/>
  <c r="MSN364" i="30"/>
  <c r="MSO364" i="30"/>
  <c r="MSP364" i="30"/>
  <c r="MSQ364" i="30"/>
  <c r="MSR364" i="30"/>
  <c r="MSS364" i="30"/>
  <c r="MST364" i="30"/>
  <c r="MSU364" i="30"/>
  <c r="MSV364" i="30"/>
  <c r="MSW364" i="30"/>
  <c r="MSX364" i="30"/>
  <c r="MSY364" i="30"/>
  <c r="MSZ364" i="30"/>
  <c r="MTA364" i="30"/>
  <c r="MTB364" i="30"/>
  <c r="MTC364" i="30"/>
  <c r="MTD364" i="30"/>
  <c r="MTE364" i="30"/>
  <c r="MTF364" i="30"/>
  <c r="MTG364" i="30"/>
  <c r="MTH364" i="30"/>
  <c r="MTI364" i="30"/>
  <c r="MTJ364" i="30"/>
  <c r="MTK364" i="30"/>
  <c r="MTL364" i="30"/>
  <c r="MTM364" i="30"/>
  <c r="MTN364" i="30"/>
  <c r="MTO364" i="30"/>
  <c r="MTP364" i="30"/>
  <c r="MTQ364" i="30"/>
  <c r="MTR364" i="30"/>
  <c r="MTS364" i="30"/>
  <c r="MTT364" i="30"/>
  <c r="MTU364" i="30"/>
  <c r="MTV364" i="30"/>
  <c r="MTW364" i="30"/>
  <c r="MTX364" i="30"/>
  <c r="MTY364" i="30"/>
  <c r="MTZ364" i="30"/>
  <c r="MUA364" i="30"/>
  <c r="MUB364" i="30"/>
  <c r="MUC364" i="30"/>
  <c r="MUD364" i="30"/>
  <c r="MUE364" i="30"/>
  <c r="MUF364" i="30"/>
  <c r="MUG364" i="30"/>
  <c r="MUH364" i="30"/>
  <c r="MUI364" i="30"/>
  <c r="MUJ364" i="30"/>
  <c r="MUK364" i="30"/>
  <c r="MUL364" i="30"/>
  <c r="MUM364" i="30"/>
  <c r="MUN364" i="30"/>
  <c r="MUO364" i="30"/>
  <c r="MUP364" i="30"/>
  <c r="MUQ364" i="30"/>
  <c r="MUR364" i="30"/>
  <c r="MUS364" i="30"/>
  <c r="MUT364" i="30"/>
  <c r="MUU364" i="30"/>
  <c r="MUV364" i="30"/>
  <c r="MUW364" i="30"/>
  <c r="MUX364" i="30"/>
  <c r="MUY364" i="30"/>
  <c r="MUZ364" i="30"/>
  <c r="MVA364" i="30"/>
  <c r="MVB364" i="30"/>
  <c r="MVC364" i="30"/>
  <c r="MVD364" i="30"/>
  <c r="MVE364" i="30"/>
  <c r="MVF364" i="30"/>
  <c r="MVG364" i="30"/>
  <c r="MVH364" i="30"/>
  <c r="MVI364" i="30"/>
  <c r="MVJ364" i="30"/>
  <c r="MVK364" i="30"/>
  <c r="MVL364" i="30"/>
  <c r="MVM364" i="30"/>
  <c r="MVN364" i="30"/>
  <c r="MVO364" i="30"/>
  <c r="MVP364" i="30"/>
  <c r="MVQ364" i="30"/>
  <c r="MVR364" i="30"/>
  <c r="MVS364" i="30"/>
  <c r="MVT364" i="30"/>
  <c r="MVU364" i="30"/>
  <c r="MVV364" i="30"/>
  <c r="MVW364" i="30"/>
  <c r="MVX364" i="30"/>
  <c r="MVY364" i="30"/>
  <c r="MVZ364" i="30"/>
  <c r="MWA364" i="30"/>
  <c r="MWB364" i="30"/>
  <c r="MWC364" i="30"/>
  <c r="MWD364" i="30"/>
  <c r="MWE364" i="30"/>
  <c r="MWF364" i="30"/>
  <c r="MWG364" i="30"/>
  <c r="MWH364" i="30"/>
  <c r="MWI364" i="30"/>
  <c r="MWJ364" i="30"/>
  <c r="MWK364" i="30"/>
  <c r="MWL364" i="30"/>
  <c r="MWM364" i="30"/>
  <c r="MWN364" i="30"/>
  <c r="MWO364" i="30"/>
  <c r="MWP364" i="30"/>
  <c r="MWQ364" i="30"/>
  <c r="MWR364" i="30"/>
  <c r="MWS364" i="30"/>
  <c r="MWT364" i="30"/>
  <c r="MWU364" i="30"/>
  <c r="MWV364" i="30"/>
  <c r="MWW364" i="30"/>
  <c r="MWX364" i="30"/>
  <c r="MWY364" i="30"/>
  <c r="MWZ364" i="30"/>
  <c r="MXA364" i="30"/>
  <c r="MXB364" i="30"/>
  <c r="MXC364" i="30"/>
  <c r="MXD364" i="30"/>
  <c r="MXE364" i="30"/>
  <c r="MXF364" i="30"/>
  <c r="MXG364" i="30"/>
  <c r="MXH364" i="30"/>
  <c r="MXI364" i="30"/>
  <c r="MXJ364" i="30"/>
  <c r="MXK364" i="30"/>
  <c r="MXL364" i="30"/>
  <c r="MXM364" i="30"/>
  <c r="MXN364" i="30"/>
  <c r="MXO364" i="30"/>
  <c r="MXP364" i="30"/>
  <c r="MXQ364" i="30"/>
  <c r="MXR364" i="30"/>
  <c r="MXS364" i="30"/>
  <c r="MXT364" i="30"/>
  <c r="MXU364" i="30"/>
  <c r="MXV364" i="30"/>
  <c r="MXW364" i="30"/>
  <c r="MXX364" i="30"/>
  <c r="MXY364" i="30"/>
  <c r="MXZ364" i="30"/>
  <c r="MYA364" i="30"/>
  <c r="MYB364" i="30"/>
  <c r="MYC364" i="30"/>
  <c r="MYD364" i="30"/>
  <c r="MYE364" i="30"/>
  <c r="MYF364" i="30"/>
  <c r="MYG364" i="30"/>
  <c r="MYH364" i="30"/>
  <c r="MYI364" i="30"/>
  <c r="MYJ364" i="30"/>
  <c r="MYK364" i="30"/>
  <c r="MYL364" i="30"/>
  <c r="MYM364" i="30"/>
  <c r="MYN364" i="30"/>
  <c r="MYO364" i="30"/>
  <c r="MYP364" i="30"/>
  <c r="MYQ364" i="30"/>
  <c r="MYR364" i="30"/>
  <c r="MYS364" i="30"/>
  <c r="MYT364" i="30"/>
  <c r="MYU364" i="30"/>
  <c r="MYV364" i="30"/>
  <c r="MYW364" i="30"/>
  <c r="MYX364" i="30"/>
  <c r="MYY364" i="30"/>
  <c r="MYZ364" i="30"/>
  <c r="MZA364" i="30"/>
  <c r="MZB364" i="30"/>
  <c r="MZC364" i="30"/>
  <c r="MZD364" i="30"/>
  <c r="MZE364" i="30"/>
  <c r="MZF364" i="30"/>
  <c r="MZG364" i="30"/>
  <c r="MZH364" i="30"/>
  <c r="MZI364" i="30"/>
  <c r="MZJ364" i="30"/>
  <c r="MZK364" i="30"/>
  <c r="MZL364" i="30"/>
  <c r="MZM364" i="30"/>
  <c r="MZN364" i="30"/>
  <c r="MZO364" i="30"/>
  <c r="MZP364" i="30"/>
  <c r="MZQ364" i="30"/>
  <c r="MZR364" i="30"/>
  <c r="MZS364" i="30"/>
  <c r="MZT364" i="30"/>
  <c r="MZU364" i="30"/>
  <c r="MZV364" i="30"/>
  <c r="MZW364" i="30"/>
  <c r="MZX364" i="30"/>
  <c r="MZY364" i="30"/>
  <c r="MZZ364" i="30"/>
  <c r="NAA364" i="30"/>
  <c r="NAB364" i="30"/>
  <c r="NAC364" i="30"/>
  <c r="NAD364" i="30"/>
  <c r="NAE364" i="30"/>
  <c r="NAF364" i="30"/>
  <c r="NAG364" i="30"/>
  <c r="NAH364" i="30"/>
  <c r="NAI364" i="30"/>
  <c r="NAJ364" i="30"/>
  <c r="NAK364" i="30"/>
  <c r="NAL364" i="30"/>
  <c r="NAM364" i="30"/>
  <c r="NAN364" i="30"/>
  <c r="NAO364" i="30"/>
  <c r="NAP364" i="30"/>
  <c r="NAQ364" i="30"/>
  <c r="NAR364" i="30"/>
  <c r="NAS364" i="30"/>
  <c r="NAT364" i="30"/>
  <c r="NAU364" i="30"/>
  <c r="NAV364" i="30"/>
  <c r="NAW364" i="30"/>
  <c r="NAX364" i="30"/>
  <c r="NAY364" i="30"/>
  <c r="NAZ364" i="30"/>
  <c r="NBA364" i="30"/>
  <c r="NBB364" i="30"/>
  <c r="NBC364" i="30"/>
  <c r="NBD364" i="30"/>
  <c r="NBE364" i="30"/>
  <c r="NBF364" i="30"/>
  <c r="NBG364" i="30"/>
  <c r="NBH364" i="30"/>
  <c r="NBI364" i="30"/>
  <c r="NBJ364" i="30"/>
  <c r="NBK364" i="30"/>
  <c r="NBL364" i="30"/>
  <c r="NBM364" i="30"/>
  <c r="NBN364" i="30"/>
  <c r="NBO364" i="30"/>
  <c r="NBP364" i="30"/>
  <c r="NBQ364" i="30"/>
  <c r="NBR364" i="30"/>
  <c r="NBS364" i="30"/>
  <c r="NBT364" i="30"/>
  <c r="NBU364" i="30"/>
  <c r="NBV364" i="30"/>
  <c r="NBW364" i="30"/>
  <c r="NBX364" i="30"/>
  <c r="NBY364" i="30"/>
  <c r="NBZ364" i="30"/>
  <c r="NCA364" i="30"/>
  <c r="NCB364" i="30"/>
  <c r="NCC364" i="30"/>
  <c r="NCD364" i="30"/>
  <c r="NCE364" i="30"/>
  <c r="NCF364" i="30"/>
  <c r="NCG364" i="30"/>
  <c r="NCH364" i="30"/>
  <c r="NCI364" i="30"/>
  <c r="NCJ364" i="30"/>
  <c r="NCK364" i="30"/>
  <c r="NCL364" i="30"/>
  <c r="NCM364" i="30"/>
  <c r="NCN364" i="30"/>
  <c r="NCO364" i="30"/>
  <c r="NCP364" i="30"/>
  <c r="NCQ364" i="30"/>
  <c r="NCR364" i="30"/>
  <c r="NCS364" i="30"/>
  <c r="NCT364" i="30"/>
  <c r="NCU364" i="30"/>
  <c r="NCV364" i="30"/>
  <c r="NCW364" i="30"/>
  <c r="NCX364" i="30"/>
  <c r="NCY364" i="30"/>
  <c r="NCZ364" i="30"/>
  <c r="NDA364" i="30"/>
  <c r="NDB364" i="30"/>
  <c r="NDC364" i="30"/>
  <c r="NDD364" i="30"/>
  <c r="NDE364" i="30"/>
  <c r="NDF364" i="30"/>
  <c r="NDG364" i="30"/>
  <c r="NDH364" i="30"/>
  <c r="NDI364" i="30"/>
  <c r="NDJ364" i="30"/>
  <c r="NDK364" i="30"/>
  <c r="NDL364" i="30"/>
  <c r="NDM364" i="30"/>
  <c r="NDN364" i="30"/>
  <c r="NDO364" i="30"/>
  <c r="NDP364" i="30"/>
  <c r="NDQ364" i="30"/>
  <c r="NDR364" i="30"/>
  <c r="NDS364" i="30"/>
  <c r="NDT364" i="30"/>
  <c r="NDU364" i="30"/>
  <c r="NDV364" i="30"/>
  <c r="NDW364" i="30"/>
  <c r="NDX364" i="30"/>
  <c r="NDY364" i="30"/>
  <c r="NDZ364" i="30"/>
  <c r="NEA364" i="30"/>
  <c r="NEB364" i="30"/>
  <c r="NEC364" i="30"/>
  <c r="NED364" i="30"/>
  <c r="NEE364" i="30"/>
  <c r="NEF364" i="30"/>
  <c r="NEG364" i="30"/>
  <c r="NEH364" i="30"/>
  <c r="NEI364" i="30"/>
  <c r="NEJ364" i="30"/>
  <c r="NEK364" i="30"/>
  <c r="NEL364" i="30"/>
  <c r="NEM364" i="30"/>
  <c r="NEN364" i="30"/>
  <c r="NEO364" i="30"/>
  <c r="NEP364" i="30"/>
  <c r="NEQ364" i="30"/>
  <c r="NER364" i="30"/>
  <c r="NES364" i="30"/>
  <c r="NET364" i="30"/>
  <c r="NEU364" i="30"/>
  <c r="NEV364" i="30"/>
  <c r="NEW364" i="30"/>
  <c r="NEX364" i="30"/>
  <c r="NEY364" i="30"/>
  <c r="NEZ364" i="30"/>
  <c r="NFA364" i="30"/>
  <c r="NFB364" i="30"/>
  <c r="NFC364" i="30"/>
  <c r="NFD364" i="30"/>
  <c r="NFE364" i="30"/>
  <c r="NFF364" i="30"/>
  <c r="NFG364" i="30"/>
  <c r="NFH364" i="30"/>
  <c r="NFI364" i="30"/>
  <c r="NFJ364" i="30"/>
  <c r="NFK364" i="30"/>
  <c r="NFL364" i="30"/>
  <c r="NFM364" i="30"/>
  <c r="NFN364" i="30"/>
  <c r="NFO364" i="30"/>
  <c r="NFP364" i="30"/>
  <c r="NFQ364" i="30"/>
  <c r="NFR364" i="30"/>
  <c r="NFS364" i="30"/>
  <c r="NFT364" i="30"/>
  <c r="NFU364" i="30"/>
  <c r="NFV364" i="30"/>
  <c r="NFW364" i="30"/>
  <c r="NFX364" i="30"/>
  <c r="NFY364" i="30"/>
  <c r="NFZ364" i="30"/>
  <c r="NGA364" i="30"/>
  <c r="NGB364" i="30"/>
  <c r="NGC364" i="30"/>
  <c r="NGD364" i="30"/>
  <c r="NGE364" i="30"/>
  <c r="NGF364" i="30"/>
  <c r="NGG364" i="30"/>
  <c r="NGH364" i="30"/>
  <c r="NGI364" i="30"/>
  <c r="NGJ364" i="30"/>
  <c r="NGK364" i="30"/>
  <c r="NGL364" i="30"/>
  <c r="NGM364" i="30"/>
  <c r="NGN364" i="30"/>
  <c r="NGO364" i="30"/>
  <c r="NGP364" i="30"/>
  <c r="NGQ364" i="30"/>
  <c r="NGR364" i="30"/>
  <c r="NGS364" i="30"/>
  <c r="NGT364" i="30"/>
  <c r="NGU364" i="30"/>
  <c r="NGV364" i="30"/>
  <c r="NGW364" i="30"/>
  <c r="NGX364" i="30"/>
  <c r="NGY364" i="30"/>
  <c r="NGZ364" i="30"/>
  <c r="NHA364" i="30"/>
  <c r="NHB364" i="30"/>
  <c r="NHC364" i="30"/>
  <c r="NHD364" i="30"/>
  <c r="NHE364" i="30"/>
  <c r="NHF364" i="30"/>
  <c r="NHG364" i="30"/>
  <c r="NHH364" i="30"/>
  <c r="NHI364" i="30"/>
  <c r="NHJ364" i="30"/>
  <c r="NHK364" i="30"/>
  <c r="NHL364" i="30"/>
  <c r="NHM364" i="30"/>
  <c r="NHN364" i="30"/>
  <c r="NHO364" i="30"/>
  <c r="NHP364" i="30"/>
  <c r="NHQ364" i="30"/>
  <c r="NHR364" i="30"/>
  <c r="NHS364" i="30"/>
  <c r="NHT364" i="30"/>
  <c r="NHU364" i="30"/>
  <c r="NHV364" i="30"/>
  <c r="NHW364" i="30"/>
  <c r="NHX364" i="30"/>
  <c r="NHY364" i="30"/>
  <c r="NHZ364" i="30"/>
  <c r="NIA364" i="30"/>
  <c r="NIB364" i="30"/>
  <c r="NIC364" i="30"/>
  <c r="NID364" i="30"/>
  <c r="NIE364" i="30"/>
  <c r="NIF364" i="30"/>
  <c r="NIG364" i="30"/>
  <c r="NIH364" i="30"/>
  <c r="NII364" i="30"/>
  <c r="NIJ364" i="30"/>
  <c r="NIK364" i="30"/>
  <c r="NIL364" i="30"/>
  <c r="NIM364" i="30"/>
  <c r="NIN364" i="30"/>
  <c r="NIO364" i="30"/>
  <c r="NIP364" i="30"/>
  <c r="NIQ364" i="30"/>
  <c r="NIR364" i="30"/>
  <c r="NIS364" i="30"/>
  <c r="NIT364" i="30"/>
  <c r="NIU364" i="30"/>
  <c r="NIV364" i="30"/>
  <c r="NIW364" i="30"/>
  <c r="NIX364" i="30"/>
  <c r="NIY364" i="30"/>
  <c r="NIZ364" i="30"/>
  <c r="NJA364" i="30"/>
  <c r="NJB364" i="30"/>
  <c r="NJC364" i="30"/>
  <c r="NJD364" i="30"/>
  <c r="NJE364" i="30"/>
  <c r="NJF364" i="30"/>
  <c r="NJG364" i="30"/>
  <c r="NJH364" i="30"/>
  <c r="NJI364" i="30"/>
  <c r="NJJ364" i="30"/>
  <c r="NJK364" i="30"/>
  <c r="NJL364" i="30"/>
  <c r="NJM364" i="30"/>
  <c r="NJN364" i="30"/>
  <c r="NJO364" i="30"/>
  <c r="NJP364" i="30"/>
  <c r="NJQ364" i="30"/>
  <c r="NJR364" i="30"/>
  <c r="NJS364" i="30"/>
  <c r="NJT364" i="30"/>
  <c r="NJU364" i="30"/>
  <c r="NJV364" i="30"/>
  <c r="NJW364" i="30"/>
  <c r="NJX364" i="30"/>
  <c r="NJY364" i="30"/>
  <c r="NJZ364" i="30"/>
  <c r="NKA364" i="30"/>
  <c r="NKB364" i="30"/>
  <c r="NKC364" i="30"/>
  <c r="NKD364" i="30"/>
  <c r="NKE364" i="30"/>
  <c r="NKF364" i="30"/>
  <c r="NKG364" i="30"/>
  <c r="NKH364" i="30"/>
  <c r="NKI364" i="30"/>
  <c r="NKJ364" i="30"/>
  <c r="NKK364" i="30"/>
  <c r="NKL364" i="30"/>
  <c r="NKM364" i="30"/>
  <c r="NKN364" i="30"/>
  <c r="NKO364" i="30"/>
  <c r="NKP364" i="30"/>
  <c r="NKQ364" i="30"/>
  <c r="NKR364" i="30"/>
  <c r="NKS364" i="30"/>
  <c r="NKT364" i="30"/>
  <c r="NKU364" i="30"/>
  <c r="NKV364" i="30"/>
  <c r="NKW364" i="30"/>
  <c r="NKX364" i="30"/>
  <c r="NKY364" i="30"/>
  <c r="NKZ364" i="30"/>
  <c r="NLA364" i="30"/>
  <c r="NLB364" i="30"/>
  <c r="NLC364" i="30"/>
  <c r="NLD364" i="30"/>
  <c r="NLE364" i="30"/>
  <c r="NLF364" i="30"/>
  <c r="NLG364" i="30"/>
  <c r="NLH364" i="30"/>
  <c r="NLI364" i="30"/>
  <c r="NLJ364" i="30"/>
  <c r="NLK364" i="30"/>
  <c r="NLL364" i="30"/>
  <c r="NLM364" i="30"/>
  <c r="NLN364" i="30"/>
  <c r="NLO364" i="30"/>
  <c r="NLP364" i="30"/>
  <c r="NLQ364" i="30"/>
  <c r="NLR364" i="30"/>
  <c r="NLS364" i="30"/>
  <c r="NLT364" i="30"/>
  <c r="NLU364" i="30"/>
  <c r="NLV364" i="30"/>
  <c r="NLW364" i="30"/>
  <c r="NLX364" i="30"/>
  <c r="NLY364" i="30"/>
  <c r="NLZ364" i="30"/>
  <c r="NMA364" i="30"/>
  <c r="NMB364" i="30"/>
  <c r="NMC364" i="30"/>
  <c r="NMD364" i="30"/>
  <c r="NME364" i="30"/>
  <c r="NMF364" i="30"/>
  <c r="NMG364" i="30"/>
  <c r="NMH364" i="30"/>
  <c r="NMI364" i="30"/>
  <c r="NMJ364" i="30"/>
  <c r="NMK364" i="30"/>
  <c r="NML364" i="30"/>
  <c r="NMM364" i="30"/>
  <c r="NMN364" i="30"/>
  <c r="NMO364" i="30"/>
  <c r="NMP364" i="30"/>
  <c r="NMQ364" i="30"/>
  <c r="NMR364" i="30"/>
  <c r="NMS364" i="30"/>
  <c r="NMT364" i="30"/>
  <c r="NMU364" i="30"/>
  <c r="NMV364" i="30"/>
  <c r="NMW364" i="30"/>
  <c r="NMX364" i="30"/>
  <c r="NMY364" i="30"/>
  <c r="NMZ364" i="30"/>
  <c r="NNA364" i="30"/>
  <c r="NNB364" i="30"/>
  <c r="NNC364" i="30"/>
  <c r="NND364" i="30"/>
  <c r="NNE364" i="30"/>
  <c r="NNF364" i="30"/>
  <c r="NNG364" i="30"/>
  <c r="NNH364" i="30"/>
  <c r="NNI364" i="30"/>
  <c r="NNJ364" i="30"/>
  <c r="NNK364" i="30"/>
  <c r="NNL364" i="30"/>
  <c r="NNM364" i="30"/>
  <c r="NNN364" i="30"/>
  <c r="NNO364" i="30"/>
  <c r="NNP364" i="30"/>
  <c r="NNQ364" i="30"/>
  <c r="NNR364" i="30"/>
  <c r="NNS364" i="30"/>
  <c r="NNT364" i="30"/>
  <c r="NNU364" i="30"/>
  <c r="NNV364" i="30"/>
  <c r="NNW364" i="30"/>
  <c r="NNX364" i="30"/>
  <c r="NNY364" i="30"/>
  <c r="NNZ364" i="30"/>
  <c r="NOA364" i="30"/>
  <c r="NOB364" i="30"/>
  <c r="NOC364" i="30"/>
  <c r="NOD364" i="30"/>
  <c r="NOE364" i="30"/>
  <c r="NOF364" i="30"/>
  <c r="NOG364" i="30"/>
  <c r="NOH364" i="30"/>
  <c r="NOI364" i="30"/>
  <c r="NOJ364" i="30"/>
  <c r="NOK364" i="30"/>
  <c r="NOL364" i="30"/>
  <c r="NOM364" i="30"/>
  <c r="NON364" i="30"/>
  <c r="NOO364" i="30"/>
  <c r="NOP364" i="30"/>
  <c r="NOQ364" i="30"/>
  <c r="NOR364" i="30"/>
  <c r="NOS364" i="30"/>
  <c r="NOT364" i="30"/>
  <c r="NOU364" i="30"/>
  <c r="NOV364" i="30"/>
  <c r="NOW364" i="30"/>
  <c r="NOX364" i="30"/>
  <c r="NOY364" i="30"/>
  <c r="NOZ364" i="30"/>
  <c r="NPA364" i="30"/>
  <c r="NPB364" i="30"/>
  <c r="NPC364" i="30"/>
  <c r="NPD364" i="30"/>
  <c r="NPE364" i="30"/>
  <c r="NPF364" i="30"/>
  <c r="NPG364" i="30"/>
  <c r="NPH364" i="30"/>
  <c r="NPI364" i="30"/>
  <c r="NPJ364" i="30"/>
  <c r="NPK364" i="30"/>
  <c r="NPL364" i="30"/>
  <c r="NPM364" i="30"/>
  <c r="NPN364" i="30"/>
  <c r="NPO364" i="30"/>
  <c r="NPP364" i="30"/>
  <c r="NPQ364" i="30"/>
  <c r="NPR364" i="30"/>
  <c r="NPS364" i="30"/>
  <c r="NPT364" i="30"/>
  <c r="NPU364" i="30"/>
  <c r="NPV364" i="30"/>
  <c r="NPW364" i="30"/>
  <c r="NPX364" i="30"/>
  <c r="NPY364" i="30"/>
  <c r="NPZ364" i="30"/>
  <c r="NQA364" i="30"/>
  <c r="NQB364" i="30"/>
  <c r="NQC364" i="30"/>
  <c r="NQD364" i="30"/>
  <c r="NQE364" i="30"/>
  <c r="NQF364" i="30"/>
  <c r="NQG364" i="30"/>
  <c r="NQH364" i="30"/>
  <c r="NQI364" i="30"/>
  <c r="NQJ364" i="30"/>
  <c r="NQK364" i="30"/>
  <c r="NQL364" i="30"/>
  <c r="NQM364" i="30"/>
  <c r="NQN364" i="30"/>
  <c r="NQO364" i="30"/>
  <c r="NQP364" i="30"/>
  <c r="NQQ364" i="30"/>
  <c r="NQR364" i="30"/>
  <c r="NQS364" i="30"/>
  <c r="NQT364" i="30"/>
  <c r="NQU364" i="30"/>
  <c r="NQV364" i="30"/>
  <c r="NQW364" i="30"/>
  <c r="NQX364" i="30"/>
  <c r="NQY364" i="30"/>
  <c r="NQZ364" i="30"/>
  <c r="NRA364" i="30"/>
  <c r="NRB364" i="30"/>
  <c r="NRC364" i="30"/>
  <c r="NRD364" i="30"/>
  <c r="NRE364" i="30"/>
  <c r="NRF364" i="30"/>
  <c r="NRG364" i="30"/>
  <c r="NRH364" i="30"/>
  <c r="NRI364" i="30"/>
  <c r="NRJ364" i="30"/>
  <c r="NRK364" i="30"/>
  <c r="NRL364" i="30"/>
  <c r="NRM364" i="30"/>
  <c r="NRN364" i="30"/>
  <c r="NRO364" i="30"/>
  <c r="NRP364" i="30"/>
  <c r="NRQ364" i="30"/>
  <c r="NRR364" i="30"/>
  <c r="NRS364" i="30"/>
  <c r="NRT364" i="30"/>
  <c r="NRU364" i="30"/>
  <c r="NRV364" i="30"/>
  <c r="NRW364" i="30"/>
  <c r="NRX364" i="30"/>
  <c r="NRY364" i="30"/>
  <c r="NRZ364" i="30"/>
  <c r="NSA364" i="30"/>
  <c r="NSB364" i="30"/>
  <c r="NSC364" i="30"/>
  <c r="NSD364" i="30"/>
  <c r="NSE364" i="30"/>
  <c r="NSF364" i="30"/>
  <c r="NSG364" i="30"/>
  <c r="NSH364" i="30"/>
  <c r="NSI364" i="30"/>
  <c r="NSJ364" i="30"/>
  <c r="NSK364" i="30"/>
  <c r="NSL364" i="30"/>
  <c r="NSM364" i="30"/>
  <c r="NSN364" i="30"/>
  <c r="NSO364" i="30"/>
  <c r="NSP364" i="30"/>
  <c r="NSQ364" i="30"/>
  <c r="NSR364" i="30"/>
  <c r="NSS364" i="30"/>
  <c r="NST364" i="30"/>
  <c r="NSU364" i="30"/>
  <c r="NSV364" i="30"/>
  <c r="NSW364" i="30"/>
  <c r="NSX364" i="30"/>
  <c r="NSY364" i="30"/>
  <c r="NSZ364" i="30"/>
  <c r="NTA364" i="30"/>
  <c r="NTB364" i="30"/>
  <c r="NTC364" i="30"/>
  <c r="NTD364" i="30"/>
  <c r="NTE364" i="30"/>
  <c r="NTF364" i="30"/>
  <c r="NTG364" i="30"/>
  <c r="NTH364" i="30"/>
  <c r="NTI364" i="30"/>
  <c r="NTJ364" i="30"/>
  <c r="NTK364" i="30"/>
  <c r="NTL364" i="30"/>
  <c r="NTM364" i="30"/>
  <c r="NTN364" i="30"/>
  <c r="NTO364" i="30"/>
  <c r="NTP364" i="30"/>
  <c r="NTQ364" i="30"/>
  <c r="NTR364" i="30"/>
  <c r="NTS364" i="30"/>
  <c r="NTT364" i="30"/>
  <c r="NTU364" i="30"/>
  <c r="NTV364" i="30"/>
  <c r="NTW364" i="30"/>
  <c r="NTX364" i="30"/>
  <c r="NTY364" i="30"/>
  <c r="NTZ364" i="30"/>
  <c r="NUA364" i="30"/>
  <c r="NUB364" i="30"/>
  <c r="NUC364" i="30"/>
  <c r="NUD364" i="30"/>
  <c r="NUE364" i="30"/>
  <c r="NUF364" i="30"/>
  <c r="NUG364" i="30"/>
  <c r="NUH364" i="30"/>
  <c r="NUI364" i="30"/>
  <c r="NUJ364" i="30"/>
  <c r="NUK364" i="30"/>
  <c r="NUL364" i="30"/>
  <c r="NUM364" i="30"/>
  <c r="NUN364" i="30"/>
  <c r="NUO364" i="30"/>
  <c r="NUP364" i="30"/>
  <c r="NUQ364" i="30"/>
  <c r="NUR364" i="30"/>
  <c r="NUS364" i="30"/>
  <c r="NUT364" i="30"/>
  <c r="NUU364" i="30"/>
  <c r="NUV364" i="30"/>
  <c r="NUW364" i="30"/>
  <c r="NUX364" i="30"/>
  <c r="NUY364" i="30"/>
  <c r="NUZ364" i="30"/>
  <c r="NVA364" i="30"/>
  <c r="NVB364" i="30"/>
  <c r="NVC364" i="30"/>
  <c r="NVD364" i="30"/>
  <c r="NVE364" i="30"/>
  <c r="NVF364" i="30"/>
  <c r="NVG364" i="30"/>
  <c r="NVH364" i="30"/>
  <c r="NVI364" i="30"/>
  <c r="NVJ364" i="30"/>
  <c r="NVK364" i="30"/>
  <c r="NVL364" i="30"/>
  <c r="NVM364" i="30"/>
  <c r="NVN364" i="30"/>
  <c r="NVO364" i="30"/>
  <c r="NVP364" i="30"/>
  <c r="NVQ364" i="30"/>
  <c r="NVR364" i="30"/>
  <c r="NVS364" i="30"/>
  <c r="NVT364" i="30"/>
  <c r="NVU364" i="30"/>
  <c r="NVV364" i="30"/>
  <c r="NVW364" i="30"/>
  <c r="NVX364" i="30"/>
  <c r="NVY364" i="30"/>
  <c r="NVZ364" i="30"/>
  <c r="NWA364" i="30"/>
  <c r="NWB364" i="30"/>
  <c r="NWC364" i="30"/>
  <c r="NWD364" i="30"/>
  <c r="NWE364" i="30"/>
  <c r="NWF364" i="30"/>
  <c r="NWG364" i="30"/>
  <c r="NWH364" i="30"/>
  <c r="NWI364" i="30"/>
  <c r="NWJ364" i="30"/>
  <c r="NWK364" i="30"/>
  <c r="NWL364" i="30"/>
  <c r="NWM364" i="30"/>
  <c r="NWN364" i="30"/>
  <c r="NWO364" i="30"/>
  <c r="NWP364" i="30"/>
  <c r="NWQ364" i="30"/>
  <c r="NWR364" i="30"/>
  <c r="NWS364" i="30"/>
  <c r="NWT364" i="30"/>
  <c r="NWU364" i="30"/>
  <c r="NWV364" i="30"/>
  <c r="NWW364" i="30"/>
  <c r="NWX364" i="30"/>
  <c r="NWY364" i="30"/>
  <c r="NWZ364" i="30"/>
  <c r="NXA364" i="30"/>
  <c r="NXB364" i="30"/>
  <c r="NXC364" i="30"/>
  <c r="NXD364" i="30"/>
  <c r="NXE364" i="30"/>
  <c r="NXF364" i="30"/>
  <c r="NXG364" i="30"/>
  <c r="NXH364" i="30"/>
  <c r="NXI364" i="30"/>
  <c r="NXJ364" i="30"/>
  <c r="NXK364" i="30"/>
  <c r="NXL364" i="30"/>
  <c r="NXM364" i="30"/>
  <c r="NXN364" i="30"/>
  <c r="NXO364" i="30"/>
  <c r="NXP364" i="30"/>
  <c r="NXQ364" i="30"/>
  <c r="NXR364" i="30"/>
  <c r="NXS364" i="30"/>
  <c r="NXT364" i="30"/>
  <c r="NXU364" i="30"/>
  <c r="NXV364" i="30"/>
  <c r="NXW364" i="30"/>
  <c r="NXX364" i="30"/>
  <c r="NXY364" i="30"/>
  <c r="NXZ364" i="30"/>
  <c r="NYA364" i="30"/>
  <c r="NYB364" i="30"/>
  <c r="NYC364" i="30"/>
  <c r="NYD364" i="30"/>
  <c r="NYE364" i="30"/>
  <c r="NYF364" i="30"/>
  <c r="NYG364" i="30"/>
  <c r="NYH364" i="30"/>
  <c r="NYI364" i="30"/>
  <c r="NYJ364" i="30"/>
  <c r="NYK364" i="30"/>
  <c r="NYL364" i="30"/>
  <c r="NYM364" i="30"/>
  <c r="NYN364" i="30"/>
  <c r="NYO364" i="30"/>
  <c r="NYP364" i="30"/>
  <c r="NYQ364" i="30"/>
  <c r="NYR364" i="30"/>
  <c r="NYS364" i="30"/>
  <c r="NYT364" i="30"/>
  <c r="NYU364" i="30"/>
  <c r="NYV364" i="30"/>
  <c r="NYW364" i="30"/>
  <c r="NYX364" i="30"/>
  <c r="NYY364" i="30"/>
  <c r="NYZ364" i="30"/>
  <c r="NZA364" i="30"/>
  <c r="NZB364" i="30"/>
  <c r="NZC364" i="30"/>
  <c r="NZD364" i="30"/>
  <c r="NZE364" i="30"/>
  <c r="NZF364" i="30"/>
  <c r="NZG364" i="30"/>
  <c r="NZH364" i="30"/>
  <c r="NZI364" i="30"/>
  <c r="NZJ364" i="30"/>
  <c r="NZK364" i="30"/>
  <c r="NZL364" i="30"/>
  <c r="NZM364" i="30"/>
  <c r="NZN364" i="30"/>
  <c r="NZO364" i="30"/>
  <c r="NZP364" i="30"/>
  <c r="NZQ364" i="30"/>
  <c r="NZR364" i="30"/>
  <c r="NZS364" i="30"/>
  <c r="NZT364" i="30"/>
  <c r="NZU364" i="30"/>
  <c r="NZV364" i="30"/>
  <c r="NZW364" i="30"/>
  <c r="NZX364" i="30"/>
  <c r="NZY364" i="30"/>
  <c r="NZZ364" i="30"/>
  <c r="OAA364" i="30"/>
  <c r="OAB364" i="30"/>
  <c r="OAC364" i="30"/>
  <c r="OAD364" i="30"/>
  <c r="OAE364" i="30"/>
  <c r="OAF364" i="30"/>
  <c r="OAG364" i="30"/>
  <c r="OAH364" i="30"/>
  <c r="OAI364" i="30"/>
  <c r="OAJ364" i="30"/>
  <c r="OAK364" i="30"/>
  <c r="OAL364" i="30"/>
  <c r="OAM364" i="30"/>
  <c r="OAN364" i="30"/>
  <c r="OAO364" i="30"/>
  <c r="OAP364" i="30"/>
  <c r="OAQ364" i="30"/>
  <c r="OAR364" i="30"/>
  <c r="OAS364" i="30"/>
  <c r="OAT364" i="30"/>
  <c r="OAU364" i="30"/>
  <c r="OAV364" i="30"/>
  <c r="OAW364" i="30"/>
  <c r="OAX364" i="30"/>
  <c r="OAY364" i="30"/>
  <c r="OAZ364" i="30"/>
  <c r="OBA364" i="30"/>
  <c r="OBB364" i="30"/>
  <c r="OBC364" i="30"/>
  <c r="OBD364" i="30"/>
  <c r="OBE364" i="30"/>
  <c r="OBF364" i="30"/>
  <c r="OBG364" i="30"/>
  <c r="OBH364" i="30"/>
  <c r="OBI364" i="30"/>
  <c r="OBJ364" i="30"/>
  <c r="OBK364" i="30"/>
  <c r="OBL364" i="30"/>
  <c r="OBM364" i="30"/>
  <c r="OBN364" i="30"/>
  <c r="OBO364" i="30"/>
  <c r="OBP364" i="30"/>
  <c r="OBQ364" i="30"/>
  <c r="OBR364" i="30"/>
  <c r="OBS364" i="30"/>
  <c r="OBT364" i="30"/>
  <c r="OBU364" i="30"/>
  <c r="OBV364" i="30"/>
  <c r="OBW364" i="30"/>
  <c r="OBX364" i="30"/>
  <c r="OBY364" i="30"/>
  <c r="OBZ364" i="30"/>
  <c r="OCA364" i="30"/>
  <c r="OCB364" i="30"/>
  <c r="OCC364" i="30"/>
  <c r="OCD364" i="30"/>
  <c r="OCE364" i="30"/>
  <c r="OCF364" i="30"/>
  <c r="OCG364" i="30"/>
  <c r="OCH364" i="30"/>
  <c r="OCI364" i="30"/>
  <c r="OCJ364" i="30"/>
  <c r="OCK364" i="30"/>
  <c r="OCL364" i="30"/>
  <c r="OCM364" i="30"/>
  <c r="OCN364" i="30"/>
  <c r="OCO364" i="30"/>
  <c r="OCP364" i="30"/>
  <c r="OCQ364" i="30"/>
  <c r="OCR364" i="30"/>
  <c r="OCS364" i="30"/>
  <c r="OCT364" i="30"/>
  <c r="OCU364" i="30"/>
  <c r="OCV364" i="30"/>
  <c r="OCW364" i="30"/>
  <c r="OCX364" i="30"/>
  <c r="OCY364" i="30"/>
  <c r="OCZ364" i="30"/>
  <c r="ODA364" i="30"/>
  <c r="ODB364" i="30"/>
  <c r="ODC364" i="30"/>
  <c r="ODD364" i="30"/>
  <c r="ODE364" i="30"/>
  <c r="ODF364" i="30"/>
  <c r="ODG364" i="30"/>
  <c r="ODH364" i="30"/>
  <c r="ODI364" i="30"/>
  <c r="ODJ364" i="30"/>
  <c r="ODK364" i="30"/>
  <c r="ODL364" i="30"/>
  <c r="ODM364" i="30"/>
  <c r="ODN364" i="30"/>
  <c r="ODO364" i="30"/>
  <c r="ODP364" i="30"/>
  <c r="ODQ364" i="30"/>
  <c r="ODR364" i="30"/>
  <c r="ODS364" i="30"/>
  <c r="ODT364" i="30"/>
  <c r="ODU364" i="30"/>
  <c r="ODV364" i="30"/>
  <c r="ODW364" i="30"/>
  <c r="ODX364" i="30"/>
  <c r="ODY364" i="30"/>
  <c r="ODZ364" i="30"/>
  <c r="OEA364" i="30"/>
  <c r="OEB364" i="30"/>
  <c r="OEC364" i="30"/>
  <c r="OED364" i="30"/>
  <c r="OEE364" i="30"/>
  <c r="OEF364" i="30"/>
  <c r="OEG364" i="30"/>
  <c r="OEH364" i="30"/>
  <c r="OEI364" i="30"/>
  <c r="OEJ364" i="30"/>
  <c r="OEK364" i="30"/>
  <c r="OEL364" i="30"/>
  <c r="OEM364" i="30"/>
  <c r="OEN364" i="30"/>
  <c r="OEO364" i="30"/>
  <c r="OEP364" i="30"/>
  <c r="OEQ364" i="30"/>
  <c r="OER364" i="30"/>
  <c r="OES364" i="30"/>
  <c r="OET364" i="30"/>
  <c r="OEU364" i="30"/>
  <c r="OEV364" i="30"/>
  <c r="OEW364" i="30"/>
  <c r="OEX364" i="30"/>
  <c r="OEY364" i="30"/>
  <c r="OEZ364" i="30"/>
  <c r="OFA364" i="30"/>
  <c r="OFB364" i="30"/>
  <c r="OFC364" i="30"/>
  <c r="OFD364" i="30"/>
  <c r="OFE364" i="30"/>
  <c r="OFF364" i="30"/>
  <c r="OFG364" i="30"/>
  <c r="OFH364" i="30"/>
  <c r="OFI364" i="30"/>
  <c r="OFJ364" i="30"/>
  <c r="OFK364" i="30"/>
  <c r="OFL364" i="30"/>
  <c r="OFM364" i="30"/>
  <c r="OFN364" i="30"/>
  <c r="OFO364" i="30"/>
  <c r="OFP364" i="30"/>
  <c r="OFQ364" i="30"/>
  <c r="OFR364" i="30"/>
  <c r="OFS364" i="30"/>
  <c r="OFT364" i="30"/>
  <c r="OFU364" i="30"/>
  <c r="OFV364" i="30"/>
  <c r="OFW364" i="30"/>
  <c r="OFX364" i="30"/>
  <c r="OFY364" i="30"/>
  <c r="OFZ364" i="30"/>
  <c r="OGA364" i="30"/>
  <c r="OGB364" i="30"/>
  <c r="OGC364" i="30"/>
  <c r="OGD364" i="30"/>
  <c r="OGE364" i="30"/>
  <c r="OGF364" i="30"/>
  <c r="OGG364" i="30"/>
  <c r="OGH364" i="30"/>
  <c r="OGI364" i="30"/>
  <c r="OGJ364" i="30"/>
  <c r="OGK364" i="30"/>
  <c r="OGL364" i="30"/>
  <c r="OGM364" i="30"/>
  <c r="OGN364" i="30"/>
  <c r="OGO364" i="30"/>
  <c r="OGP364" i="30"/>
  <c r="OGQ364" i="30"/>
  <c r="OGR364" i="30"/>
  <c r="OGS364" i="30"/>
  <c r="OGT364" i="30"/>
  <c r="OGU364" i="30"/>
  <c r="OGV364" i="30"/>
  <c r="OGW364" i="30"/>
  <c r="OGX364" i="30"/>
  <c r="OGY364" i="30"/>
  <c r="OGZ364" i="30"/>
  <c r="OHA364" i="30"/>
  <c r="OHB364" i="30"/>
  <c r="OHC364" i="30"/>
  <c r="OHD364" i="30"/>
  <c r="OHE364" i="30"/>
  <c r="OHF364" i="30"/>
  <c r="OHG364" i="30"/>
  <c r="OHH364" i="30"/>
  <c r="OHI364" i="30"/>
  <c r="OHJ364" i="30"/>
  <c r="OHK364" i="30"/>
  <c r="OHL364" i="30"/>
  <c r="OHM364" i="30"/>
  <c r="OHN364" i="30"/>
  <c r="OHO364" i="30"/>
  <c r="OHP364" i="30"/>
  <c r="OHQ364" i="30"/>
  <c r="OHR364" i="30"/>
  <c r="OHS364" i="30"/>
  <c r="OHT364" i="30"/>
  <c r="OHU364" i="30"/>
  <c r="OHV364" i="30"/>
  <c r="OHW364" i="30"/>
  <c r="OHX364" i="30"/>
  <c r="OHY364" i="30"/>
  <c r="OHZ364" i="30"/>
  <c r="OIA364" i="30"/>
  <c r="OIB364" i="30"/>
  <c r="OIC364" i="30"/>
  <c r="OID364" i="30"/>
  <c r="OIE364" i="30"/>
  <c r="OIF364" i="30"/>
  <c r="OIG364" i="30"/>
  <c r="OIH364" i="30"/>
  <c r="OII364" i="30"/>
  <c r="OIJ364" i="30"/>
  <c r="OIK364" i="30"/>
  <c r="OIL364" i="30"/>
  <c r="OIM364" i="30"/>
  <c r="OIN364" i="30"/>
  <c r="OIO364" i="30"/>
  <c r="OIP364" i="30"/>
  <c r="OIQ364" i="30"/>
  <c r="OIR364" i="30"/>
  <c r="OIS364" i="30"/>
  <c r="OIT364" i="30"/>
  <c r="OIU364" i="30"/>
  <c r="OIV364" i="30"/>
  <c r="OIW364" i="30"/>
  <c r="OIX364" i="30"/>
  <c r="OIY364" i="30"/>
  <c r="OIZ364" i="30"/>
  <c r="OJA364" i="30"/>
  <c r="OJB364" i="30"/>
  <c r="OJC364" i="30"/>
  <c r="OJD364" i="30"/>
  <c r="OJE364" i="30"/>
  <c r="OJF364" i="30"/>
  <c r="OJG364" i="30"/>
  <c r="OJH364" i="30"/>
  <c r="OJI364" i="30"/>
  <c r="OJJ364" i="30"/>
  <c r="OJK364" i="30"/>
  <c r="OJL364" i="30"/>
  <c r="OJM364" i="30"/>
  <c r="OJN364" i="30"/>
  <c r="OJO364" i="30"/>
  <c r="OJP364" i="30"/>
  <c r="OJQ364" i="30"/>
  <c r="OJR364" i="30"/>
  <c r="OJS364" i="30"/>
  <c r="OJT364" i="30"/>
  <c r="OJU364" i="30"/>
  <c r="OJV364" i="30"/>
  <c r="OJW364" i="30"/>
  <c r="OJX364" i="30"/>
  <c r="OJY364" i="30"/>
  <c r="OJZ364" i="30"/>
  <c r="OKA364" i="30"/>
  <c r="OKB364" i="30"/>
  <c r="OKC364" i="30"/>
  <c r="OKD364" i="30"/>
  <c r="OKE364" i="30"/>
  <c r="OKF364" i="30"/>
  <c r="OKG364" i="30"/>
  <c r="OKH364" i="30"/>
  <c r="OKI364" i="30"/>
  <c r="OKJ364" i="30"/>
  <c r="OKK364" i="30"/>
  <c r="OKL364" i="30"/>
  <c r="OKM364" i="30"/>
  <c r="OKN364" i="30"/>
  <c r="OKO364" i="30"/>
  <c r="OKP364" i="30"/>
  <c r="OKQ364" i="30"/>
  <c r="OKR364" i="30"/>
  <c r="OKS364" i="30"/>
  <c r="OKT364" i="30"/>
  <c r="OKU364" i="30"/>
  <c r="OKV364" i="30"/>
  <c r="OKW364" i="30"/>
  <c r="OKX364" i="30"/>
  <c r="OKY364" i="30"/>
  <c r="OKZ364" i="30"/>
  <c r="OLA364" i="30"/>
  <c r="OLB364" i="30"/>
  <c r="OLC364" i="30"/>
  <c r="OLD364" i="30"/>
  <c r="OLE364" i="30"/>
  <c r="OLF364" i="30"/>
  <c r="OLG364" i="30"/>
  <c r="OLH364" i="30"/>
  <c r="OLI364" i="30"/>
  <c r="OLJ364" i="30"/>
  <c r="OLK364" i="30"/>
  <c r="OLL364" i="30"/>
  <c r="OLM364" i="30"/>
  <c r="OLN364" i="30"/>
  <c r="OLO364" i="30"/>
  <c r="OLP364" i="30"/>
  <c r="OLQ364" i="30"/>
  <c r="OLR364" i="30"/>
  <c r="OLS364" i="30"/>
  <c r="OLT364" i="30"/>
  <c r="OLU364" i="30"/>
  <c r="OLV364" i="30"/>
  <c r="OLW364" i="30"/>
  <c r="OLX364" i="30"/>
  <c r="OLY364" i="30"/>
  <c r="OLZ364" i="30"/>
  <c r="OMA364" i="30"/>
  <c r="OMB364" i="30"/>
  <c r="OMC364" i="30"/>
  <c r="OMD364" i="30"/>
  <c r="OME364" i="30"/>
  <c r="OMF364" i="30"/>
  <c r="OMG364" i="30"/>
  <c r="OMH364" i="30"/>
  <c r="OMI364" i="30"/>
  <c r="OMJ364" i="30"/>
  <c r="OMK364" i="30"/>
  <c r="OML364" i="30"/>
  <c r="OMM364" i="30"/>
  <c r="OMN364" i="30"/>
  <c r="OMO364" i="30"/>
  <c r="OMP364" i="30"/>
  <c r="OMQ364" i="30"/>
  <c r="OMR364" i="30"/>
  <c r="OMS364" i="30"/>
  <c r="OMT364" i="30"/>
  <c r="OMU364" i="30"/>
  <c r="OMV364" i="30"/>
  <c r="OMW364" i="30"/>
  <c r="OMX364" i="30"/>
  <c r="OMY364" i="30"/>
  <c r="OMZ364" i="30"/>
  <c r="ONA364" i="30"/>
  <c r="ONB364" i="30"/>
  <c r="ONC364" i="30"/>
  <c r="OND364" i="30"/>
  <c r="ONE364" i="30"/>
  <c r="ONF364" i="30"/>
  <c r="ONG364" i="30"/>
  <c r="ONH364" i="30"/>
  <c r="ONI364" i="30"/>
  <c r="ONJ364" i="30"/>
  <c r="ONK364" i="30"/>
  <c r="ONL364" i="30"/>
  <c r="ONM364" i="30"/>
  <c r="ONN364" i="30"/>
  <c r="ONO364" i="30"/>
  <c r="ONP364" i="30"/>
  <c r="ONQ364" i="30"/>
  <c r="ONR364" i="30"/>
  <c r="ONS364" i="30"/>
  <c r="ONT364" i="30"/>
  <c r="ONU364" i="30"/>
  <c r="ONV364" i="30"/>
  <c r="ONW364" i="30"/>
  <c r="ONX364" i="30"/>
  <c r="ONY364" i="30"/>
  <c r="ONZ364" i="30"/>
  <c r="OOA364" i="30"/>
  <c r="OOB364" i="30"/>
  <c r="OOC364" i="30"/>
  <c r="OOD364" i="30"/>
  <c r="OOE364" i="30"/>
  <c r="OOF364" i="30"/>
  <c r="OOG364" i="30"/>
  <c r="OOH364" i="30"/>
  <c r="OOI364" i="30"/>
  <c r="OOJ364" i="30"/>
  <c r="OOK364" i="30"/>
  <c r="OOL364" i="30"/>
  <c r="OOM364" i="30"/>
  <c r="OON364" i="30"/>
  <c r="OOO364" i="30"/>
  <c r="OOP364" i="30"/>
  <c r="OOQ364" i="30"/>
  <c r="OOR364" i="30"/>
  <c r="OOS364" i="30"/>
  <c r="OOT364" i="30"/>
  <c r="OOU364" i="30"/>
  <c r="OOV364" i="30"/>
  <c r="OOW364" i="30"/>
  <c r="OOX364" i="30"/>
  <c r="OOY364" i="30"/>
  <c r="OOZ364" i="30"/>
  <c r="OPA364" i="30"/>
  <c r="OPB364" i="30"/>
  <c r="OPC364" i="30"/>
  <c r="OPD364" i="30"/>
  <c r="OPE364" i="30"/>
  <c r="OPF364" i="30"/>
  <c r="OPG364" i="30"/>
  <c r="OPH364" i="30"/>
  <c r="OPI364" i="30"/>
  <c r="OPJ364" i="30"/>
  <c r="OPK364" i="30"/>
  <c r="OPL364" i="30"/>
  <c r="OPM364" i="30"/>
  <c r="OPN364" i="30"/>
  <c r="OPO364" i="30"/>
  <c r="OPP364" i="30"/>
  <c r="OPQ364" i="30"/>
  <c r="OPR364" i="30"/>
  <c r="OPS364" i="30"/>
  <c r="OPT364" i="30"/>
  <c r="OPU364" i="30"/>
  <c r="OPV364" i="30"/>
  <c r="OPW364" i="30"/>
  <c r="OPX364" i="30"/>
  <c r="OPY364" i="30"/>
  <c r="OPZ364" i="30"/>
  <c r="OQA364" i="30"/>
  <c r="OQB364" i="30"/>
  <c r="OQC364" i="30"/>
  <c r="OQD364" i="30"/>
  <c r="OQE364" i="30"/>
  <c r="OQF364" i="30"/>
  <c r="OQG364" i="30"/>
  <c r="OQH364" i="30"/>
  <c r="OQI364" i="30"/>
  <c r="OQJ364" i="30"/>
  <c r="OQK364" i="30"/>
  <c r="OQL364" i="30"/>
  <c r="OQM364" i="30"/>
  <c r="OQN364" i="30"/>
  <c r="OQO364" i="30"/>
  <c r="OQP364" i="30"/>
  <c r="OQQ364" i="30"/>
  <c r="OQR364" i="30"/>
  <c r="OQS364" i="30"/>
  <c r="OQT364" i="30"/>
  <c r="OQU364" i="30"/>
  <c r="OQV364" i="30"/>
  <c r="OQW364" i="30"/>
  <c r="OQX364" i="30"/>
  <c r="OQY364" i="30"/>
  <c r="OQZ364" i="30"/>
  <c r="ORA364" i="30"/>
  <c r="ORB364" i="30"/>
  <c r="ORC364" i="30"/>
  <c r="ORD364" i="30"/>
  <c r="ORE364" i="30"/>
  <c r="ORF364" i="30"/>
  <c r="ORG364" i="30"/>
  <c r="ORH364" i="30"/>
  <c r="ORI364" i="30"/>
  <c r="ORJ364" i="30"/>
  <c r="ORK364" i="30"/>
  <c r="ORL364" i="30"/>
  <c r="ORM364" i="30"/>
  <c r="ORN364" i="30"/>
  <c r="ORO364" i="30"/>
  <c r="ORP364" i="30"/>
  <c r="ORQ364" i="30"/>
  <c r="ORR364" i="30"/>
  <c r="ORS364" i="30"/>
  <c r="ORT364" i="30"/>
  <c r="ORU364" i="30"/>
  <c r="ORV364" i="30"/>
  <c r="ORW364" i="30"/>
  <c r="ORX364" i="30"/>
  <c r="ORY364" i="30"/>
  <c r="ORZ364" i="30"/>
  <c r="OSA364" i="30"/>
  <c r="OSB364" i="30"/>
  <c r="OSC364" i="30"/>
  <c r="OSD364" i="30"/>
  <c r="OSE364" i="30"/>
  <c r="OSF364" i="30"/>
  <c r="OSG364" i="30"/>
  <c r="OSH364" i="30"/>
  <c r="OSI364" i="30"/>
  <c r="OSJ364" i="30"/>
  <c r="OSK364" i="30"/>
  <c r="OSL364" i="30"/>
  <c r="OSM364" i="30"/>
  <c r="OSN364" i="30"/>
  <c r="OSO364" i="30"/>
  <c r="OSP364" i="30"/>
  <c r="OSQ364" i="30"/>
  <c r="OSR364" i="30"/>
  <c r="OSS364" i="30"/>
  <c r="OST364" i="30"/>
  <c r="OSU364" i="30"/>
  <c r="OSV364" i="30"/>
  <c r="OSW364" i="30"/>
  <c r="OSX364" i="30"/>
  <c r="OSY364" i="30"/>
  <c r="OSZ364" i="30"/>
  <c r="OTA364" i="30"/>
  <c r="OTB364" i="30"/>
  <c r="OTC364" i="30"/>
  <c r="OTD364" i="30"/>
  <c r="OTE364" i="30"/>
  <c r="OTF364" i="30"/>
  <c r="OTG364" i="30"/>
  <c r="OTH364" i="30"/>
  <c r="OTI364" i="30"/>
  <c r="OTJ364" i="30"/>
  <c r="OTK364" i="30"/>
  <c r="OTL364" i="30"/>
  <c r="OTM364" i="30"/>
  <c r="OTN364" i="30"/>
  <c r="OTO364" i="30"/>
  <c r="OTP364" i="30"/>
  <c r="OTQ364" i="30"/>
  <c r="OTR364" i="30"/>
  <c r="OTS364" i="30"/>
  <c r="OTT364" i="30"/>
  <c r="OTU364" i="30"/>
  <c r="OTV364" i="30"/>
  <c r="OTW364" i="30"/>
  <c r="OTX364" i="30"/>
  <c r="OTY364" i="30"/>
  <c r="OTZ364" i="30"/>
  <c r="OUA364" i="30"/>
  <c r="OUB364" i="30"/>
  <c r="OUC364" i="30"/>
  <c r="OUD364" i="30"/>
  <c r="OUE364" i="30"/>
  <c r="OUF364" i="30"/>
  <c r="OUG364" i="30"/>
  <c r="OUH364" i="30"/>
  <c r="OUI364" i="30"/>
  <c r="OUJ364" i="30"/>
  <c r="OUK364" i="30"/>
  <c r="OUL364" i="30"/>
  <c r="OUM364" i="30"/>
  <c r="OUN364" i="30"/>
  <c r="OUO364" i="30"/>
  <c r="OUP364" i="30"/>
  <c r="OUQ364" i="30"/>
  <c r="OUR364" i="30"/>
  <c r="OUS364" i="30"/>
  <c r="OUT364" i="30"/>
  <c r="OUU364" i="30"/>
  <c r="OUV364" i="30"/>
  <c r="OUW364" i="30"/>
  <c r="OUX364" i="30"/>
  <c r="OUY364" i="30"/>
  <c r="OUZ364" i="30"/>
  <c r="OVA364" i="30"/>
  <c r="OVB364" i="30"/>
  <c r="OVC364" i="30"/>
  <c r="OVD364" i="30"/>
  <c r="OVE364" i="30"/>
  <c r="OVF364" i="30"/>
  <c r="OVG364" i="30"/>
  <c r="OVH364" i="30"/>
  <c r="OVI364" i="30"/>
  <c r="OVJ364" i="30"/>
  <c r="OVK364" i="30"/>
  <c r="OVL364" i="30"/>
  <c r="OVM364" i="30"/>
  <c r="OVN364" i="30"/>
  <c r="OVO364" i="30"/>
  <c r="OVP364" i="30"/>
  <c r="OVQ364" i="30"/>
  <c r="OVR364" i="30"/>
  <c r="OVS364" i="30"/>
  <c r="OVT364" i="30"/>
  <c r="OVU364" i="30"/>
  <c r="OVV364" i="30"/>
  <c r="OVW364" i="30"/>
  <c r="OVX364" i="30"/>
  <c r="OVY364" i="30"/>
  <c r="OVZ364" i="30"/>
  <c r="OWA364" i="30"/>
  <c r="OWB364" i="30"/>
  <c r="OWC364" i="30"/>
  <c r="OWD364" i="30"/>
  <c r="OWE364" i="30"/>
  <c r="OWF364" i="30"/>
  <c r="OWG364" i="30"/>
  <c r="OWH364" i="30"/>
  <c r="OWI364" i="30"/>
  <c r="OWJ364" i="30"/>
  <c r="OWK364" i="30"/>
  <c r="OWL364" i="30"/>
  <c r="OWM364" i="30"/>
  <c r="OWN364" i="30"/>
  <c r="OWO364" i="30"/>
  <c r="OWP364" i="30"/>
  <c r="OWQ364" i="30"/>
  <c r="OWR364" i="30"/>
  <c r="OWS364" i="30"/>
  <c r="OWT364" i="30"/>
  <c r="OWU364" i="30"/>
  <c r="OWV364" i="30"/>
  <c r="OWW364" i="30"/>
  <c r="OWX364" i="30"/>
  <c r="OWY364" i="30"/>
  <c r="OWZ364" i="30"/>
  <c r="OXA364" i="30"/>
  <c r="OXB364" i="30"/>
  <c r="OXC364" i="30"/>
  <c r="OXD364" i="30"/>
  <c r="OXE364" i="30"/>
  <c r="OXF364" i="30"/>
  <c r="OXG364" i="30"/>
  <c r="OXH364" i="30"/>
  <c r="OXI364" i="30"/>
  <c r="OXJ364" i="30"/>
  <c r="OXK364" i="30"/>
  <c r="OXL364" i="30"/>
  <c r="OXM364" i="30"/>
  <c r="OXN364" i="30"/>
  <c r="OXO364" i="30"/>
  <c r="OXP364" i="30"/>
  <c r="OXQ364" i="30"/>
  <c r="OXR364" i="30"/>
  <c r="OXS364" i="30"/>
  <c r="OXT364" i="30"/>
  <c r="OXU364" i="30"/>
  <c r="OXV364" i="30"/>
  <c r="OXW364" i="30"/>
  <c r="OXX364" i="30"/>
  <c r="OXY364" i="30"/>
  <c r="OXZ364" i="30"/>
  <c r="OYA364" i="30"/>
  <c r="OYB364" i="30"/>
  <c r="OYC364" i="30"/>
  <c r="OYD364" i="30"/>
  <c r="OYE364" i="30"/>
  <c r="OYF364" i="30"/>
  <c r="OYG364" i="30"/>
  <c r="OYH364" i="30"/>
  <c r="OYI364" i="30"/>
  <c r="OYJ364" i="30"/>
  <c r="OYK364" i="30"/>
  <c r="OYL364" i="30"/>
  <c r="OYM364" i="30"/>
  <c r="OYN364" i="30"/>
  <c r="OYO364" i="30"/>
  <c r="OYP364" i="30"/>
  <c r="OYQ364" i="30"/>
  <c r="OYR364" i="30"/>
  <c r="OYS364" i="30"/>
  <c r="OYT364" i="30"/>
  <c r="OYU364" i="30"/>
  <c r="OYV364" i="30"/>
  <c r="OYW364" i="30"/>
  <c r="OYX364" i="30"/>
  <c r="OYY364" i="30"/>
  <c r="OYZ364" i="30"/>
  <c r="OZA364" i="30"/>
  <c r="OZB364" i="30"/>
  <c r="OZC364" i="30"/>
  <c r="OZD364" i="30"/>
  <c r="OZE364" i="30"/>
  <c r="OZF364" i="30"/>
  <c r="OZG364" i="30"/>
  <c r="OZH364" i="30"/>
  <c r="OZI364" i="30"/>
  <c r="OZJ364" i="30"/>
  <c r="OZK364" i="30"/>
  <c r="OZL364" i="30"/>
  <c r="OZM364" i="30"/>
  <c r="OZN364" i="30"/>
  <c r="OZO364" i="30"/>
  <c r="OZP364" i="30"/>
  <c r="OZQ364" i="30"/>
  <c r="OZR364" i="30"/>
  <c r="OZS364" i="30"/>
  <c r="OZT364" i="30"/>
  <c r="OZU364" i="30"/>
  <c r="OZV364" i="30"/>
  <c r="OZW364" i="30"/>
  <c r="OZX364" i="30"/>
  <c r="OZY364" i="30"/>
  <c r="OZZ364" i="30"/>
  <c r="PAA364" i="30"/>
  <c r="PAB364" i="30"/>
  <c r="PAC364" i="30"/>
  <c r="PAD364" i="30"/>
  <c r="PAE364" i="30"/>
  <c r="PAF364" i="30"/>
  <c r="PAG364" i="30"/>
  <c r="PAH364" i="30"/>
  <c r="PAI364" i="30"/>
  <c r="PAJ364" i="30"/>
  <c r="PAK364" i="30"/>
  <c r="PAL364" i="30"/>
  <c r="PAM364" i="30"/>
  <c r="PAN364" i="30"/>
  <c r="PAO364" i="30"/>
  <c r="PAP364" i="30"/>
  <c r="PAQ364" i="30"/>
  <c r="PAR364" i="30"/>
  <c r="PAS364" i="30"/>
  <c r="PAT364" i="30"/>
  <c r="PAU364" i="30"/>
  <c r="PAV364" i="30"/>
  <c r="PAW364" i="30"/>
  <c r="PAX364" i="30"/>
  <c r="PAY364" i="30"/>
  <c r="PAZ364" i="30"/>
  <c r="PBA364" i="30"/>
  <c r="PBB364" i="30"/>
  <c r="PBC364" i="30"/>
  <c r="PBD364" i="30"/>
  <c r="PBE364" i="30"/>
  <c r="PBF364" i="30"/>
  <c r="PBG364" i="30"/>
  <c r="PBH364" i="30"/>
  <c r="PBI364" i="30"/>
  <c r="PBJ364" i="30"/>
  <c r="PBK364" i="30"/>
  <c r="PBL364" i="30"/>
  <c r="PBM364" i="30"/>
  <c r="PBN364" i="30"/>
  <c r="PBO364" i="30"/>
  <c r="PBP364" i="30"/>
  <c r="PBQ364" i="30"/>
  <c r="PBR364" i="30"/>
  <c r="PBS364" i="30"/>
  <c r="PBT364" i="30"/>
  <c r="PBU364" i="30"/>
  <c r="PBV364" i="30"/>
  <c r="PBW364" i="30"/>
  <c r="PBX364" i="30"/>
  <c r="PBY364" i="30"/>
  <c r="PBZ364" i="30"/>
  <c r="PCA364" i="30"/>
  <c r="PCB364" i="30"/>
  <c r="PCC364" i="30"/>
  <c r="PCD364" i="30"/>
  <c r="PCE364" i="30"/>
  <c r="PCF364" i="30"/>
  <c r="PCG364" i="30"/>
  <c r="PCH364" i="30"/>
  <c r="PCI364" i="30"/>
  <c r="PCJ364" i="30"/>
  <c r="PCK364" i="30"/>
  <c r="PCL364" i="30"/>
  <c r="PCM364" i="30"/>
  <c r="PCN364" i="30"/>
  <c r="PCO364" i="30"/>
  <c r="PCP364" i="30"/>
  <c r="PCQ364" i="30"/>
  <c r="PCR364" i="30"/>
  <c r="PCS364" i="30"/>
  <c r="PCT364" i="30"/>
  <c r="PCU364" i="30"/>
  <c r="PCV364" i="30"/>
  <c r="PCW364" i="30"/>
  <c r="PCX364" i="30"/>
  <c r="PCY364" i="30"/>
  <c r="PCZ364" i="30"/>
  <c r="PDA364" i="30"/>
  <c r="PDB364" i="30"/>
  <c r="PDC364" i="30"/>
  <c r="PDD364" i="30"/>
  <c r="PDE364" i="30"/>
  <c r="PDF364" i="30"/>
  <c r="PDG364" i="30"/>
  <c r="PDH364" i="30"/>
  <c r="PDI364" i="30"/>
  <c r="PDJ364" i="30"/>
  <c r="PDK364" i="30"/>
  <c r="PDL364" i="30"/>
  <c r="PDM364" i="30"/>
  <c r="PDN364" i="30"/>
  <c r="PDO364" i="30"/>
  <c r="PDP364" i="30"/>
  <c r="PDQ364" i="30"/>
  <c r="PDR364" i="30"/>
  <c r="PDS364" i="30"/>
  <c r="PDT364" i="30"/>
  <c r="PDU364" i="30"/>
  <c r="PDV364" i="30"/>
  <c r="PDW364" i="30"/>
  <c r="PDX364" i="30"/>
  <c r="PDY364" i="30"/>
  <c r="PDZ364" i="30"/>
  <c r="PEA364" i="30"/>
  <c r="PEB364" i="30"/>
  <c r="PEC364" i="30"/>
  <c r="PED364" i="30"/>
  <c r="PEE364" i="30"/>
  <c r="PEF364" i="30"/>
  <c r="PEG364" i="30"/>
  <c r="PEH364" i="30"/>
  <c r="PEI364" i="30"/>
  <c r="PEJ364" i="30"/>
  <c r="PEK364" i="30"/>
  <c r="PEL364" i="30"/>
  <c r="PEM364" i="30"/>
  <c r="PEN364" i="30"/>
  <c r="PEO364" i="30"/>
  <c r="PEP364" i="30"/>
  <c r="PEQ364" i="30"/>
  <c r="PER364" i="30"/>
  <c r="PES364" i="30"/>
  <c r="PET364" i="30"/>
  <c r="PEU364" i="30"/>
  <c r="PEV364" i="30"/>
  <c r="PEW364" i="30"/>
  <c r="PEX364" i="30"/>
  <c r="PEY364" i="30"/>
  <c r="PEZ364" i="30"/>
  <c r="PFA364" i="30"/>
  <c r="PFB364" i="30"/>
  <c r="PFC364" i="30"/>
  <c r="PFD364" i="30"/>
  <c r="PFE364" i="30"/>
  <c r="PFF364" i="30"/>
  <c r="PFG364" i="30"/>
  <c r="PFH364" i="30"/>
  <c r="PFI364" i="30"/>
  <c r="PFJ364" i="30"/>
  <c r="PFK364" i="30"/>
  <c r="PFL364" i="30"/>
  <c r="PFM364" i="30"/>
  <c r="PFN364" i="30"/>
  <c r="PFO364" i="30"/>
  <c r="PFP364" i="30"/>
  <c r="PFQ364" i="30"/>
  <c r="PFR364" i="30"/>
  <c r="PFS364" i="30"/>
  <c r="PFT364" i="30"/>
  <c r="PFU364" i="30"/>
  <c r="PFV364" i="30"/>
  <c r="PFW364" i="30"/>
  <c r="PFX364" i="30"/>
  <c r="PFY364" i="30"/>
  <c r="PFZ364" i="30"/>
  <c r="PGA364" i="30"/>
  <c r="PGB364" i="30"/>
  <c r="PGC364" i="30"/>
  <c r="PGD364" i="30"/>
  <c r="PGE364" i="30"/>
  <c r="PGF364" i="30"/>
  <c r="PGG364" i="30"/>
  <c r="PGH364" i="30"/>
  <c r="PGI364" i="30"/>
  <c r="PGJ364" i="30"/>
  <c r="PGK364" i="30"/>
  <c r="PGL364" i="30"/>
  <c r="PGM364" i="30"/>
  <c r="PGN364" i="30"/>
  <c r="PGO364" i="30"/>
  <c r="PGP364" i="30"/>
  <c r="PGQ364" i="30"/>
  <c r="PGR364" i="30"/>
  <c r="PGS364" i="30"/>
  <c r="PGT364" i="30"/>
  <c r="PGU364" i="30"/>
  <c r="PGV364" i="30"/>
  <c r="PGW364" i="30"/>
  <c r="PGX364" i="30"/>
  <c r="PGY364" i="30"/>
  <c r="PGZ364" i="30"/>
  <c r="PHA364" i="30"/>
  <c r="PHB364" i="30"/>
  <c r="PHC364" i="30"/>
  <c r="PHD364" i="30"/>
  <c r="PHE364" i="30"/>
  <c r="PHF364" i="30"/>
  <c r="PHG364" i="30"/>
  <c r="PHH364" i="30"/>
  <c r="PHI364" i="30"/>
  <c r="PHJ364" i="30"/>
  <c r="PHK364" i="30"/>
  <c r="PHL364" i="30"/>
  <c r="PHM364" i="30"/>
  <c r="PHN364" i="30"/>
  <c r="PHO364" i="30"/>
  <c r="PHP364" i="30"/>
  <c r="PHQ364" i="30"/>
  <c r="PHR364" i="30"/>
  <c r="PHS364" i="30"/>
  <c r="PHT364" i="30"/>
  <c r="PHU364" i="30"/>
  <c r="PHV364" i="30"/>
  <c r="PHW364" i="30"/>
  <c r="PHX364" i="30"/>
  <c r="PHY364" i="30"/>
  <c r="PHZ364" i="30"/>
  <c r="PIA364" i="30"/>
  <c r="PIB364" i="30"/>
  <c r="PIC364" i="30"/>
  <c r="PID364" i="30"/>
  <c r="PIE364" i="30"/>
  <c r="PIF364" i="30"/>
  <c r="PIG364" i="30"/>
  <c r="PIH364" i="30"/>
  <c r="PII364" i="30"/>
  <c r="PIJ364" i="30"/>
  <c r="PIK364" i="30"/>
  <c r="PIL364" i="30"/>
  <c r="PIM364" i="30"/>
  <c r="PIN364" i="30"/>
  <c r="PIO364" i="30"/>
  <c r="PIP364" i="30"/>
  <c r="PIQ364" i="30"/>
  <c r="PIR364" i="30"/>
  <c r="PIS364" i="30"/>
  <c r="PIT364" i="30"/>
  <c r="PIU364" i="30"/>
  <c r="PIV364" i="30"/>
  <c r="PIW364" i="30"/>
  <c r="PIX364" i="30"/>
  <c r="PIY364" i="30"/>
  <c r="PIZ364" i="30"/>
  <c r="PJA364" i="30"/>
  <c r="PJB364" i="30"/>
  <c r="PJC364" i="30"/>
  <c r="PJD364" i="30"/>
  <c r="PJE364" i="30"/>
  <c r="PJF364" i="30"/>
  <c r="PJG364" i="30"/>
  <c r="PJH364" i="30"/>
  <c r="PJI364" i="30"/>
  <c r="PJJ364" i="30"/>
  <c r="PJK364" i="30"/>
  <c r="PJL364" i="30"/>
  <c r="PJM364" i="30"/>
  <c r="PJN364" i="30"/>
  <c r="PJO364" i="30"/>
  <c r="PJP364" i="30"/>
  <c r="PJQ364" i="30"/>
  <c r="PJR364" i="30"/>
  <c r="PJS364" i="30"/>
  <c r="PJT364" i="30"/>
  <c r="PJU364" i="30"/>
  <c r="PJV364" i="30"/>
  <c r="PJW364" i="30"/>
  <c r="PJX364" i="30"/>
  <c r="PJY364" i="30"/>
  <c r="PJZ364" i="30"/>
  <c r="PKA364" i="30"/>
  <c r="PKB364" i="30"/>
  <c r="PKC364" i="30"/>
  <c r="PKD364" i="30"/>
  <c r="PKE364" i="30"/>
  <c r="PKF364" i="30"/>
  <c r="PKG364" i="30"/>
  <c r="PKH364" i="30"/>
  <c r="PKI364" i="30"/>
  <c r="PKJ364" i="30"/>
  <c r="PKK364" i="30"/>
  <c r="PKL364" i="30"/>
  <c r="PKM364" i="30"/>
  <c r="PKN364" i="30"/>
  <c r="PKO364" i="30"/>
  <c r="PKP364" i="30"/>
  <c r="PKQ364" i="30"/>
  <c r="PKR364" i="30"/>
  <c r="PKS364" i="30"/>
  <c r="PKT364" i="30"/>
  <c r="PKU364" i="30"/>
  <c r="PKV364" i="30"/>
  <c r="PKW364" i="30"/>
  <c r="PKX364" i="30"/>
  <c r="PKY364" i="30"/>
  <c r="PKZ364" i="30"/>
  <c r="PLA364" i="30"/>
  <c r="PLB364" i="30"/>
  <c r="PLC364" i="30"/>
  <c r="PLD364" i="30"/>
  <c r="PLE364" i="30"/>
  <c r="PLF364" i="30"/>
  <c r="PLG364" i="30"/>
  <c r="PLH364" i="30"/>
  <c r="PLI364" i="30"/>
  <c r="PLJ364" i="30"/>
  <c r="PLK364" i="30"/>
  <c r="PLL364" i="30"/>
  <c r="PLM364" i="30"/>
  <c r="PLN364" i="30"/>
  <c r="PLO364" i="30"/>
  <c r="PLP364" i="30"/>
  <c r="PLQ364" i="30"/>
  <c r="PLR364" i="30"/>
  <c r="PLS364" i="30"/>
  <c r="PLT364" i="30"/>
  <c r="PLU364" i="30"/>
  <c r="PLV364" i="30"/>
  <c r="PLW364" i="30"/>
  <c r="PLX364" i="30"/>
  <c r="PLY364" i="30"/>
  <c r="PLZ364" i="30"/>
  <c r="PMA364" i="30"/>
  <c r="PMB364" i="30"/>
  <c r="PMC364" i="30"/>
  <c r="PMD364" i="30"/>
  <c r="PME364" i="30"/>
  <c r="PMF364" i="30"/>
  <c r="PMG364" i="30"/>
  <c r="PMH364" i="30"/>
  <c r="PMI364" i="30"/>
  <c r="PMJ364" i="30"/>
  <c r="PMK364" i="30"/>
  <c r="PML364" i="30"/>
  <c r="PMM364" i="30"/>
  <c r="PMN364" i="30"/>
  <c r="PMO364" i="30"/>
  <c r="PMP364" i="30"/>
  <c r="PMQ364" i="30"/>
  <c r="PMR364" i="30"/>
  <c r="PMS364" i="30"/>
  <c r="PMT364" i="30"/>
  <c r="PMU364" i="30"/>
  <c r="PMV364" i="30"/>
  <c r="PMW364" i="30"/>
  <c r="PMX364" i="30"/>
  <c r="PMY364" i="30"/>
  <c r="PMZ364" i="30"/>
  <c r="PNA364" i="30"/>
  <c r="PNB364" i="30"/>
  <c r="PNC364" i="30"/>
  <c r="PND364" i="30"/>
  <c r="PNE364" i="30"/>
  <c r="PNF364" i="30"/>
  <c r="PNG364" i="30"/>
  <c r="PNH364" i="30"/>
  <c r="PNI364" i="30"/>
  <c r="PNJ364" i="30"/>
  <c r="PNK364" i="30"/>
  <c r="PNL364" i="30"/>
  <c r="PNM364" i="30"/>
  <c r="PNN364" i="30"/>
  <c r="PNO364" i="30"/>
  <c r="PNP364" i="30"/>
  <c r="PNQ364" i="30"/>
  <c r="PNR364" i="30"/>
  <c r="PNS364" i="30"/>
  <c r="PNT364" i="30"/>
  <c r="PNU364" i="30"/>
  <c r="PNV364" i="30"/>
  <c r="PNW364" i="30"/>
  <c r="PNX364" i="30"/>
  <c r="PNY364" i="30"/>
  <c r="PNZ364" i="30"/>
  <c r="POA364" i="30"/>
  <c r="POB364" i="30"/>
  <c r="POC364" i="30"/>
  <c r="POD364" i="30"/>
  <c r="POE364" i="30"/>
  <c r="POF364" i="30"/>
  <c r="POG364" i="30"/>
  <c r="POH364" i="30"/>
  <c r="POI364" i="30"/>
  <c r="POJ364" i="30"/>
  <c r="POK364" i="30"/>
  <c r="POL364" i="30"/>
  <c r="POM364" i="30"/>
  <c r="PON364" i="30"/>
  <c r="POO364" i="30"/>
  <c r="POP364" i="30"/>
  <c r="POQ364" i="30"/>
  <c r="POR364" i="30"/>
  <c r="POS364" i="30"/>
  <c r="POT364" i="30"/>
  <c r="POU364" i="30"/>
  <c r="POV364" i="30"/>
  <c r="POW364" i="30"/>
  <c r="POX364" i="30"/>
  <c r="POY364" i="30"/>
  <c r="POZ364" i="30"/>
  <c r="PPA364" i="30"/>
  <c r="PPB364" i="30"/>
  <c r="PPC364" i="30"/>
  <c r="PPD364" i="30"/>
  <c r="PPE364" i="30"/>
  <c r="PPF364" i="30"/>
  <c r="PPG364" i="30"/>
  <c r="PPH364" i="30"/>
  <c r="PPI364" i="30"/>
  <c r="PPJ364" i="30"/>
  <c r="PPK364" i="30"/>
  <c r="PPL364" i="30"/>
  <c r="PPM364" i="30"/>
  <c r="PPN364" i="30"/>
  <c r="PPO364" i="30"/>
  <c r="PPP364" i="30"/>
  <c r="PPQ364" i="30"/>
  <c r="PPR364" i="30"/>
  <c r="PPS364" i="30"/>
  <c r="PPT364" i="30"/>
  <c r="PPU364" i="30"/>
  <c r="PPV364" i="30"/>
  <c r="PPW364" i="30"/>
  <c r="PPX364" i="30"/>
  <c r="PPY364" i="30"/>
  <c r="PPZ364" i="30"/>
  <c r="PQA364" i="30"/>
  <c r="PQB364" i="30"/>
  <c r="PQC364" i="30"/>
  <c r="PQD364" i="30"/>
  <c r="PQE364" i="30"/>
  <c r="PQF364" i="30"/>
  <c r="PQG364" i="30"/>
  <c r="PQH364" i="30"/>
  <c r="PQI364" i="30"/>
  <c r="PQJ364" i="30"/>
  <c r="PQK364" i="30"/>
  <c r="PQL364" i="30"/>
  <c r="PQM364" i="30"/>
  <c r="PQN364" i="30"/>
  <c r="PQO364" i="30"/>
  <c r="PQP364" i="30"/>
  <c r="PQQ364" i="30"/>
  <c r="PQR364" i="30"/>
  <c r="PQS364" i="30"/>
  <c r="PQT364" i="30"/>
  <c r="PQU364" i="30"/>
  <c r="PQV364" i="30"/>
  <c r="PQW364" i="30"/>
  <c r="PQX364" i="30"/>
  <c r="PQY364" i="30"/>
  <c r="PQZ364" i="30"/>
  <c r="PRA364" i="30"/>
  <c r="PRB364" i="30"/>
  <c r="PRC364" i="30"/>
  <c r="PRD364" i="30"/>
  <c r="PRE364" i="30"/>
  <c r="PRF364" i="30"/>
  <c r="PRG364" i="30"/>
  <c r="PRH364" i="30"/>
  <c r="PRI364" i="30"/>
  <c r="PRJ364" i="30"/>
  <c r="PRK364" i="30"/>
  <c r="PRL364" i="30"/>
  <c r="PRM364" i="30"/>
  <c r="PRN364" i="30"/>
  <c r="PRO364" i="30"/>
  <c r="PRP364" i="30"/>
  <c r="PRQ364" i="30"/>
  <c r="PRR364" i="30"/>
  <c r="PRS364" i="30"/>
  <c r="PRT364" i="30"/>
  <c r="PRU364" i="30"/>
  <c r="PRV364" i="30"/>
  <c r="PRW364" i="30"/>
  <c r="PRX364" i="30"/>
  <c r="PRY364" i="30"/>
  <c r="PRZ364" i="30"/>
  <c r="PSA364" i="30"/>
  <c r="PSB364" i="30"/>
  <c r="PSC364" i="30"/>
  <c r="PSD364" i="30"/>
  <c r="PSE364" i="30"/>
  <c r="PSF364" i="30"/>
  <c r="PSG364" i="30"/>
  <c r="PSH364" i="30"/>
  <c r="PSI364" i="30"/>
  <c r="PSJ364" i="30"/>
  <c r="PSK364" i="30"/>
  <c r="PSL364" i="30"/>
  <c r="PSM364" i="30"/>
  <c r="PSN364" i="30"/>
  <c r="PSO364" i="30"/>
  <c r="PSP364" i="30"/>
  <c r="PSQ364" i="30"/>
  <c r="PSR364" i="30"/>
  <c r="PSS364" i="30"/>
  <c r="PST364" i="30"/>
  <c r="PSU364" i="30"/>
  <c r="PSV364" i="30"/>
  <c r="PSW364" i="30"/>
  <c r="PSX364" i="30"/>
  <c r="PSY364" i="30"/>
  <c r="PSZ364" i="30"/>
  <c r="PTA364" i="30"/>
  <c r="PTB364" i="30"/>
  <c r="PTC364" i="30"/>
  <c r="PTD364" i="30"/>
  <c r="PTE364" i="30"/>
  <c r="PTF364" i="30"/>
  <c r="PTG364" i="30"/>
  <c r="PTH364" i="30"/>
  <c r="PTI364" i="30"/>
  <c r="PTJ364" i="30"/>
  <c r="PTK364" i="30"/>
  <c r="PTL364" i="30"/>
  <c r="PTM364" i="30"/>
  <c r="PTN364" i="30"/>
  <c r="PTO364" i="30"/>
  <c r="PTP364" i="30"/>
  <c r="PTQ364" i="30"/>
  <c r="PTR364" i="30"/>
  <c r="PTS364" i="30"/>
  <c r="PTT364" i="30"/>
  <c r="PTU364" i="30"/>
  <c r="PTV364" i="30"/>
  <c r="PTW364" i="30"/>
  <c r="PTX364" i="30"/>
  <c r="PTY364" i="30"/>
  <c r="PTZ364" i="30"/>
  <c r="PUA364" i="30"/>
  <c r="PUB364" i="30"/>
  <c r="PUC364" i="30"/>
  <c r="PUD364" i="30"/>
  <c r="PUE364" i="30"/>
  <c r="PUF364" i="30"/>
  <c r="PUG364" i="30"/>
  <c r="PUH364" i="30"/>
  <c r="PUI364" i="30"/>
  <c r="PUJ364" i="30"/>
  <c r="PUK364" i="30"/>
  <c r="PUL364" i="30"/>
  <c r="PUM364" i="30"/>
  <c r="PUN364" i="30"/>
  <c r="PUO364" i="30"/>
  <c r="PUP364" i="30"/>
  <c r="PUQ364" i="30"/>
  <c r="PUR364" i="30"/>
  <c r="PUS364" i="30"/>
  <c r="PUT364" i="30"/>
  <c r="PUU364" i="30"/>
  <c r="PUV364" i="30"/>
  <c r="PUW364" i="30"/>
  <c r="PUX364" i="30"/>
  <c r="PUY364" i="30"/>
  <c r="PUZ364" i="30"/>
  <c r="PVA364" i="30"/>
  <c r="PVB364" i="30"/>
  <c r="PVC364" i="30"/>
  <c r="PVD364" i="30"/>
  <c r="PVE364" i="30"/>
  <c r="PVF364" i="30"/>
  <c r="PVG364" i="30"/>
  <c r="PVH364" i="30"/>
  <c r="PVI364" i="30"/>
  <c r="PVJ364" i="30"/>
  <c r="PVK364" i="30"/>
  <c r="PVL364" i="30"/>
  <c r="PVM364" i="30"/>
  <c r="PVN364" i="30"/>
  <c r="PVO364" i="30"/>
  <c r="PVP364" i="30"/>
  <c r="PVQ364" i="30"/>
  <c r="PVR364" i="30"/>
  <c r="PVS364" i="30"/>
  <c r="PVT364" i="30"/>
  <c r="PVU364" i="30"/>
  <c r="PVV364" i="30"/>
  <c r="PVW364" i="30"/>
  <c r="PVX364" i="30"/>
  <c r="PVY364" i="30"/>
  <c r="PVZ364" i="30"/>
  <c r="PWA364" i="30"/>
  <c r="PWB364" i="30"/>
  <c r="PWC364" i="30"/>
  <c r="PWD364" i="30"/>
  <c r="PWE364" i="30"/>
  <c r="PWF364" i="30"/>
  <c r="PWG364" i="30"/>
  <c r="PWH364" i="30"/>
  <c r="PWI364" i="30"/>
  <c r="PWJ364" i="30"/>
  <c r="PWK364" i="30"/>
  <c r="PWL364" i="30"/>
  <c r="PWM364" i="30"/>
  <c r="PWN364" i="30"/>
  <c r="PWO364" i="30"/>
  <c r="PWP364" i="30"/>
  <c r="PWQ364" i="30"/>
  <c r="PWR364" i="30"/>
  <c r="PWS364" i="30"/>
  <c r="PWT364" i="30"/>
  <c r="PWU364" i="30"/>
  <c r="PWV364" i="30"/>
  <c r="PWW364" i="30"/>
  <c r="PWX364" i="30"/>
  <c r="PWY364" i="30"/>
  <c r="PWZ364" i="30"/>
  <c r="PXA364" i="30"/>
  <c r="PXB364" i="30"/>
  <c r="PXC364" i="30"/>
  <c r="PXD364" i="30"/>
  <c r="PXE364" i="30"/>
  <c r="PXF364" i="30"/>
  <c r="PXG364" i="30"/>
  <c r="PXH364" i="30"/>
  <c r="PXI364" i="30"/>
  <c r="PXJ364" i="30"/>
  <c r="PXK364" i="30"/>
  <c r="PXL364" i="30"/>
  <c r="PXM364" i="30"/>
  <c r="PXN364" i="30"/>
  <c r="PXO364" i="30"/>
  <c r="PXP364" i="30"/>
  <c r="PXQ364" i="30"/>
  <c r="PXR364" i="30"/>
  <c r="PXS364" i="30"/>
  <c r="PXT364" i="30"/>
  <c r="PXU364" i="30"/>
  <c r="PXV364" i="30"/>
  <c r="PXW364" i="30"/>
  <c r="PXX364" i="30"/>
  <c r="PXY364" i="30"/>
  <c r="PXZ364" i="30"/>
  <c r="PYA364" i="30"/>
  <c r="PYB364" i="30"/>
  <c r="PYC364" i="30"/>
  <c r="PYD364" i="30"/>
  <c r="PYE364" i="30"/>
  <c r="PYF364" i="30"/>
  <c r="PYG364" i="30"/>
  <c r="PYH364" i="30"/>
  <c r="PYI364" i="30"/>
  <c r="PYJ364" i="30"/>
  <c r="PYK364" i="30"/>
  <c r="PYL364" i="30"/>
  <c r="PYM364" i="30"/>
  <c r="PYN364" i="30"/>
  <c r="PYO364" i="30"/>
  <c r="PYP364" i="30"/>
  <c r="PYQ364" i="30"/>
  <c r="PYR364" i="30"/>
  <c r="PYS364" i="30"/>
  <c r="PYT364" i="30"/>
  <c r="PYU364" i="30"/>
  <c r="PYV364" i="30"/>
  <c r="PYW364" i="30"/>
  <c r="PYX364" i="30"/>
  <c r="PYY364" i="30"/>
  <c r="PYZ364" i="30"/>
  <c r="PZA364" i="30"/>
  <c r="PZB364" i="30"/>
  <c r="PZC364" i="30"/>
  <c r="PZD364" i="30"/>
  <c r="PZE364" i="30"/>
  <c r="PZF364" i="30"/>
  <c r="PZG364" i="30"/>
  <c r="PZH364" i="30"/>
  <c r="PZI364" i="30"/>
  <c r="PZJ364" i="30"/>
  <c r="PZK364" i="30"/>
  <c r="PZL364" i="30"/>
  <c r="PZM364" i="30"/>
  <c r="PZN364" i="30"/>
  <c r="PZO364" i="30"/>
  <c r="PZP364" i="30"/>
  <c r="PZQ364" i="30"/>
  <c r="PZR364" i="30"/>
  <c r="PZS364" i="30"/>
  <c r="PZT364" i="30"/>
  <c r="PZU364" i="30"/>
  <c r="PZV364" i="30"/>
  <c r="PZW364" i="30"/>
  <c r="PZX364" i="30"/>
  <c r="PZY364" i="30"/>
  <c r="PZZ364" i="30"/>
  <c r="QAA364" i="30"/>
  <c r="QAB364" i="30"/>
  <c r="QAC364" i="30"/>
  <c r="QAD364" i="30"/>
  <c r="QAE364" i="30"/>
  <c r="QAF364" i="30"/>
  <c r="QAG364" i="30"/>
  <c r="QAH364" i="30"/>
  <c r="QAI364" i="30"/>
  <c r="QAJ364" i="30"/>
  <c r="QAK364" i="30"/>
  <c r="QAL364" i="30"/>
  <c r="QAM364" i="30"/>
  <c r="QAN364" i="30"/>
  <c r="QAO364" i="30"/>
  <c r="QAP364" i="30"/>
  <c r="QAQ364" i="30"/>
  <c r="QAR364" i="30"/>
  <c r="QAS364" i="30"/>
  <c r="QAT364" i="30"/>
  <c r="QAU364" i="30"/>
  <c r="QAV364" i="30"/>
  <c r="QAW364" i="30"/>
  <c r="QAX364" i="30"/>
  <c r="QAY364" i="30"/>
  <c r="QAZ364" i="30"/>
  <c r="QBA364" i="30"/>
  <c r="QBB364" i="30"/>
  <c r="QBC364" i="30"/>
  <c r="QBD364" i="30"/>
  <c r="QBE364" i="30"/>
  <c r="QBF364" i="30"/>
  <c r="QBG364" i="30"/>
  <c r="QBH364" i="30"/>
  <c r="QBI364" i="30"/>
  <c r="QBJ364" i="30"/>
  <c r="QBK364" i="30"/>
  <c r="QBL364" i="30"/>
  <c r="QBM364" i="30"/>
  <c r="QBN364" i="30"/>
  <c r="QBO364" i="30"/>
  <c r="QBP364" i="30"/>
  <c r="QBQ364" i="30"/>
  <c r="QBR364" i="30"/>
  <c r="QBS364" i="30"/>
  <c r="QBT364" i="30"/>
  <c r="QBU364" i="30"/>
  <c r="QBV364" i="30"/>
  <c r="QBW364" i="30"/>
  <c r="QBX364" i="30"/>
  <c r="QBY364" i="30"/>
  <c r="QBZ364" i="30"/>
  <c r="QCA364" i="30"/>
  <c r="QCB364" i="30"/>
  <c r="QCC364" i="30"/>
  <c r="QCD364" i="30"/>
  <c r="QCE364" i="30"/>
  <c r="QCF364" i="30"/>
  <c r="QCG364" i="30"/>
  <c r="QCH364" i="30"/>
  <c r="QCI364" i="30"/>
  <c r="QCJ364" i="30"/>
  <c r="QCK364" i="30"/>
  <c r="QCL364" i="30"/>
  <c r="QCM364" i="30"/>
  <c r="QCN364" i="30"/>
  <c r="QCO364" i="30"/>
  <c r="QCP364" i="30"/>
  <c r="QCQ364" i="30"/>
  <c r="QCR364" i="30"/>
  <c r="QCS364" i="30"/>
  <c r="QCT364" i="30"/>
  <c r="QCU364" i="30"/>
  <c r="QCV364" i="30"/>
  <c r="QCW364" i="30"/>
  <c r="QCX364" i="30"/>
  <c r="QCY364" i="30"/>
  <c r="QCZ364" i="30"/>
  <c r="QDA364" i="30"/>
  <c r="QDB364" i="30"/>
  <c r="QDC364" i="30"/>
  <c r="QDD364" i="30"/>
  <c r="QDE364" i="30"/>
  <c r="QDF364" i="30"/>
  <c r="QDG364" i="30"/>
  <c r="QDH364" i="30"/>
  <c r="QDI364" i="30"/>
  <c r="QDJ364" i="30"/>
  <c r="QDK364" i="30"/>
  <c r="QDL364" i="30"/>
  <c r="QDM364" i="30"/>
  <c r="QDN364" i="30"/>
  <c r="QDO364" i="30"/>
  <c r="QDP364" i="30"/>
  <c r="QDQ364" i="30"/>
  <c r="QDR364" i="30"/>
  <c r="QDS364" i="30"/>
  <c r="QDT364" i="30"/>
  <c r="QDU364" i="30"/>
  <c r="QDV364" i="30"/>
  <c r="QDW364" i="30"/>
  <c r="QDX364" i="30"/>
  <c r="QDY364" i="30"/>
  <c r="QDZ364" i="30"/>
  <c r="QEA364" i="30"/>
  <c r="QEB364" i="30"/>
  <c r="QEC364" i="30"/>
  <c r="QED364" i="30"/>
  <c r="QEE364" i="30"/>
  <c r="QEF364" i="30"/>
  <c r="QEG364" i="30"/>
  <c r="QEH364" i="30"/>
  <c r="QEI364" i="30"/>
  <c r="QEJ364" i="30"/>
  <c r="QEK364" i="30"/>
  <c r="QEL364" i="30"/>
  <c r="QEM364" i="30"/>
  <c r="QEN364" i="30"/>
  <c r="QEO364" i="30"/>
  <c r="QEP364" i="30"/>
  <c r="QEQ364" i="30"/>
  <c r="QER364" i="30"/>
  <c r="QES364" i="30"/>
  <c r="QET364" i="30"/>
  <c r="QEU364" i="30"/>
  <c r="QEV364" i="30"/>
  <c r="QEW364" i="30"/>
  <c r="QEX364" i="30"/>
  <c r="QEY364" i="30"/>
  <c r="QEZ364" i="30"/>
  <c r="QFA364" i="30"/>
  <c r="QFB364" i="30"/>
  <c r="QFC364" i="30"/>
  <c r="QFD364" i="30"/>
  <c r="QFE364" i="30"/>
  <c r="QFF364" i="30"/>
  <c r="QFG364" i="30"/>
  <c r="QFH364" i="30"/>
  <c r="QFI364" i="30"/>
  <c r="QFJ364" i="30"/>
  <c r="QFK364" i="30"/>
  <c r="QFL364" i="30"/>
  <c r="QFM364" i="30"/>
  <c r="QFN364" i="30"/>
  <c r="QFO364" i="30"/>
  <c r="QFP364" i="30"/>
  <c r="QFQ364" i="30"/>
  <c r="QFR364" i="30"/>
  <c r="QFS364" i="30"/>
  <c r="QFT364" i="30"/>
  <c r="QFU364" i="30"/>
  <c r="QFV364" i="30"/>
  <c r="QFW364" i="30"/>
  <c r="QFX364" i="30"/>
  <c r="QFY364" i="30"/>
  <c r="QFZ364" i="30"/>
  <c r="QGA364" i="30"/>
  <c r="QGB364" i="30"/>
  <c r="QGC364" i="30"/>
  <c r="QGD364" i="30"/>
  <c r="QGE364" i="30"/>
  <c r="QGF364" i="30"/>
  <c r="QGG364" i="30"/>
  <c r="QGH364" i="30"/>
  <c r="QGI364" i="30"/>
  <c r="QGJ364" i="30"/>
  <c r="QGK364" i="30"/>
  <c r="QGL364" i="30"/>
  <c r="QGM364" i="30"/>
  <c r="QGN364" i="30"/>
  <c r="QGO364" i="30"/>
  <c r="QGP364" i="30"/>
  <c r="QGQ364" i="30"/>
  <c r="QGR364" i="30"/>
  <c r="QGS364" i="30"/>
  <c r="QGT364" i="30"/>
  <c r="QGU364" i="30"/>
  <c r="QGV364" i="30"/>
  <c r="QGW364" i="30"/>
  <c r="QGX364" i="30"/>
  <c r="QGY364" i="30"/>
  <c r="QGZ364" i="30"/>
  <c r="QHA364" i="30"/>
  <c r="QHB364" i="30"/>
  <c r="QHC364" i="30"/>
  <c r="QHD364" i="30"/>
  <c r="QHE364" i="30"/>
  <c r="QHF364" i="30"/>
  <c r="QHG364" i="30"/>
  <c r="QHH364" i="30"/>
  <c r="QHI364" i="30"/>
  <c r="QHJ364" i="30"/>
  <c r="QHK364" i="30"/>
  <c r="QHL364" i="30"/>
  <c r="QHM364" i="30"/>
  <c r="QHN364" i="30"/>
  <c r="QHO364" i="30"/>
  <c r="QHP364" i="30"/>
  <c r="QHQ364" i="30"/>
  <c r="QHR364" i="30"/>
  <c r="QHS364" i="30"/>
  <c r="QHT364" i="30"/>
  <c r="QHU364" i="30"/>
  <c r="QHV364" i="30"/>
  <c r="QHW364" i="30"/>
  <c r="QHX364" i="30"/>
  <c r="QHY364" i="30"/>
  <c r="QHZ364" i="30"/>
  <c r="QIA364" i="30"/>
  <c r="QIB364" i="30"/>
  <c r="QIC364" i="30"/>
  <c r="QID364" i="30"/>
  <c r="QIE364" i="30"/>
  <c r="QIF364" i="30"/>
  <c r="QIG364" i="30"/>
  <c r="QIH364" i="30"/>
  <c r="QII364" i="30"/>
  <c r="QIJ364" i="30"/>
  <c r="QIK364" i="30"/>
  <c r="QIL364" i="30"/>
  <c r="QIM364" i="30"/>
  <c r="QIN364" i="30"/>
  <c r="QIO364" i="30"/>
  <c r="QIP364" i="30"/>
  <c r="QIQ364" i="30"/>
  <c r="QIR364" i="30"/>
  <c r="QIS364" i="30"/>
  <c r="QIT364" i="30"/>
  <c r="QIU364" i="30"/>
  <c r="QIV364" i="30"/>
  <c r="QIW364" i="30"/>
  <c r="QIX364" i="30"/>
  <c r="QIY364" i="30"/>
  <c r="QIZ364" i="30"/>
  <c r="QJA364" i="30"/>
  <c r="QJB364" i="30"/>
  <c r="QJC364" i="30"/>
  <c r="QJD364" i="30"/>
  <c r="QJE364" i="30"/>
  <c r="QJF364" i="30"/>
  <c r="QJG364" i="30"/>
  <c r="QJH364" i="30"/>
  <c r="QJI364" i="30"/>
  <c r="QJJ364" i="30"/>
  <c r="QJK364" i="30"/>
  <c r="QJL364" i="30"/>
  <c r="QJM364" i="30"/>
  <c r="QJN364" i="30"/>
  <c r="QJO364" i="30"/>
  <c r="QJP364" i="30"/>
  <c r="QJQ364" i="30"/>
  <c r="QJR364" i="30"/>
  <c r="QJS364" i="30"/>
  <c r="QJT364" i="30"/>
  <c r="QJU364" i="30"/>
  <c r="QJV364" i="30"/>
  <c r="QJW364" i="30"/>
  <c r="QJX364" i="30"/>
  <c r="QJY364" i="30"/>
  <c r="QJZ364" i="30"/>
  <c r="QKA364" i="30"/>
  <c r="QKB364" i="30"/>
  <c r="QKC364" i="30"/>
  <c r="QKD364" i="30"/>
  <c r="QKE364" i="30"/>
  <c r="QKF364" i="30"/>
  <c r="QKG364" i="30"/>
  <c r="QKH364" i="30"/>
  <c r="QKI364" i="30"/>
  <c r="QKJ364" i="30"/>
  <c r="QKK364" i="30"/>
  <c r="QKL364" i="30"/>
  <c r="QKM364" i="30"/>
  <c r="QKN364" i="30"/>
  <c r="QKO364" i="30"/>
  <c r="QKP364" i="30"/>
  <c r="QKQ364" i="30"/>
  <c r="QKR364" i="30"/>
  <c r="QKS364" i="30"/>
  <c r="QKT364" i="30"/>
  <c r="QKU364" i="30"/>
  <c r="QKV364" i="30"/>
  <c r="QKW364" i="30"/>
  <c r="QKX364" i="30"/>
  <c r="QKY364" i="30"/>
  <c r="QKZ364" i="30"/>
  <c r="QLA364" i="30"/>
  <c r="QLB364" i="30"/>
  <c r="QLC364" i="30"/>
  <c r="QLD364" i="30"/>
  <c r="QLE364" i="30"/>
  <c r="QLF364" i="30"/>
  <c r="QLG364" i="30"/>
  <c r="QLH364" i="30"/>
  <c r="QLI364" i="30"/>
  <c r="QLJ364" i="30"/>
  <c r="QLK364" i="30"/>
  <c r="QLL364" i="30"/>
  <c r="QLM364" i="30"/>
  <c r="QLN364" i="30"/>
  <c r="QLO364" i="30"/>
  <c r="QLP364" i="30"/>
  <c r="QLQ364" i="30"/>
  <c r="QLR364" i="30"/>
  <c r="QLS364" i="30"/>
  <c r="QLT364" i="30"/>
  <c r="QLU364" i="30"/>
  <c r="QLV364" i="30"/>
  <c r="QLW364" i="30"/>
  <c r="QLX364" i="30"/>
  <c r="QLY364" i="30"/>
  <c r="QLZ364" i="30"/>
  <c r="QMA364" i="30"/>
  <c r="QMB364" i="30"/>
  <c r="QMC364" i="30"/>
  <c r="QMD364" i="30"/>
  <c r="QME364" i="30"/>
  <c r="QMF364" i="30"/>
  <c r="QMG364" i="30"/>
  <c r="QMH364" i="30"/>
  <c r="QMI364" i="30"/>
  <c r="QMJ364" i="30"/>
  <c r="QMK364" i="30"/>
  <c r="QML364" i="30"/>
  <c r="QMM364" i="30"/>
  <c r="QMN364" i="30"/>
  <c r="QMO364" i="30"/>
  <c r="QMP364" i="30"/>
  <c r="QMQ364" i="30"/>
  <c r="QMR364" i="30"/>
  <c r="QMS364" i="30"/>
  <c r="QMT364" i="30"/>
  <c r="QMU364" i="30"/>
  <c r="QMV364" i="30"/>
  <c r="QMW364" i="30"/>
  <c r="QMX364" i="30"/>
  <c r="QMY364" i="30"/>
  <c r="QMZ364" i="30"/>
  <c r="QNA364" i="30"/>
  <c r="QNB364" i="30"/>
  <c r="QNC364" i="30"/>
  <c r="QND364" i="30"/>
  <c r="QNE364" i="30"/>
  <c r="QNF364" i="30"/>
  <c r="QNG364" i="30"/>
  <c r="QNH364" i="30"/>
  <c r="QNI364" i="30"/>
  <c r="QNJ364" i="30"/>
  <c r="QNK364" i="30"/>
  <c r="QNL364" i="30"/>
  <c r="QNM364" i="30"/>
  <c r="QNN364" i="30"/>
  <c r="QNO364" i="30"/>
  <c r="QNP364" i="30"/>
  <c r="QNQ364" i="30"/>
  <c r="QNR364" i="30"/>
  <c r="QNS364" i="30"/>
  <c r="QNT364" i="30"/>
  <c r="QNU364" i="30"/>
  <c r="QNV364" i="30"/>
  <c r="QNW364" i="30"/>
  <c r="QNX364" i="30"/>
  <c r="QNY364" i="30"/>
  <c r="QNZ364" i="30"/>
  <c r="QOA364" i="30"/>
  <c r="QOB364" i="30"/>
  <c r="QOC364" i="30"/>
  <c r="QOD364" i="30"/>
  <c r="QOE364" i="30"/>
  <c r="QOF364" i="30"/>
  <c r="QOG364" i="30"/>
  <c r="QOH364" i="30"/>
  <c r="QOI364" i="30"/>
  <c r="QOJ364" i="30"/>
  <c r="QOK364" i="30"/>
  <c r="QOL364" i="30"/>
  <c r="QOM364" i="30"/>
  <c r="QON364" i="30"/>
  <c r="QOO364" i="30"/>
  <c r="QOP364" i="30"/>
  <c r="QOQ364" i="30"/>
  <c r="QOR364" i="30"/>
  <c r="QOS364" i="30"/>
  <c r="QOT364" i="30"/>
  <c r="QOU364" i="30"/>
  <c r="QOV364" i="30"/>
  <c r="QOW364" i="30"/>
  <c r="QOX364" i="30"/>
  <c r="QOY364" i="30"/>
  <c r="QOZ364" i="30"/>
  <c r="QPA364" i="30"/>
  <c r="QPB364" i="30"/>
  <c r="QPC364" i="30"/>
  <c r="QPD364" i="30"/>
  <c r="QPE364" i="30"/>
  <c r="QPF364" i="30"/>
  <c r="QPG364" i="30"/>
  <c r="QPH364" i="30"/>
  <c r="QPI364" i="30"/>
  <c r="QPJ364" i="30"/>
  <c r="QPK364" i="30"/>
  <c r="QPL364" i="30"/>
  <c r="QPM364" i="30"/>
  <c r="QPN364" i="30"/>
  <c r="QPO364" i="30"/>
  <c r="QPP364" i="30"/>
  <c r="QPQ364" i="30"/>
  <c r="QPR364" i="30"/>
  <c r="QPS364" i="30"/>
  <c r="QPT364" i="30"/>
  <c r="QPU364" i="30"/>
  <c r="QPV364" i="30"/>
  <c r="QPW364" i="30"/>
  <c r="QPX364" i="30"/>
  <c r="QPY364" i="30"/>
  <c r="QPZ364" i="30"/>
  <c r="QQA364" i="30"/>
  <c r="QQB364" i="30"/>
  <c r="QQC364" i="30"/>
  <c r="QQD364" i="30"/>
  <c r="QQE364" i="30"/>
  <c r="QQF364" i="30"/>
  <c r="QQG364" i="30"/>
  <c r="QQH364" i="30"/>
  <c r="QQI364" i="30"/>
  <c r="QQJ364" i="30"/>
  <c r="QQK364" i="30"/>
  <c r="QQL364" i="30"/>
  <c r="QQM364" i="30"/>
  <c r="QQN364" i="30"/>
  <c r="QQO364" i="30"/>
  <c r="QQP364" i="30"/>
  <c r="QQQ364" i="30"/>
  <c r="QQR364" i="30"/>
  <c r="QQS364" i="30"/>
  <c r="QQT364" i="30"/>
  <c r="QQU364" i="30"/>
  <c r="QQV364" i="30"/>
  <c r="QQW364" i="30"/>
  <c r="QQX364" i="30"/>
  <c r="QQY364" i="30"/>
  <c r="QQZ364" i="30"/>
  <c r="QRA364" i="30"/>
  <c r="QRB364" i="30"/>
  <c r="QRC364" i="30"/>
  <c r="QRD364" i="30"/>
  <c r="QRE364" i="30"/>
  <c r="QRF364" i="30"/>
  <c r="QRG364" i="30"/>
  <c r="QRH364" i="30"/>
  <c r="QRI364" i="30"/>
  <c r="QRJ364" i="30"/>
  <c r="QRK364" i="30"/>
  <c r="QRL364" i="30"/>
  <c r="QRM364" i="30"/>
  <c r="QRN364" i="30"/>
  <c r="QRO364" i="30"/>
  <c r="QRP364" i="30"/>
  <c r="QRQ364" i="30"/>
  <c r="QRR364" i="30"/>
  <c r="QRS364" i="30"/>
  <c r="QRT364" i="30"/>
  <c r="QRU364" i="30"/>
  <c r="QRV364" i="30"/>
  <c r="QRW364" i="30"/>
  <c r="QRX364" i="30"/>
  <c r="QRY364" i="30"/>
  <c r="QRZ364" i="30"/>
  <c r="QSA364" i="30"/>
  <c r="QSB364" i="30"/>
  <c r="QSC364" i="30"/>
  <c r="QSD364" i="30"/>
  <c r="QSE364" i="30"/>
  <c r="QSF364" i="30"/>
  <c r="QSG364" i="30"/>
  <c r="QSH364" i="30"/>
  <c r="QSI364" i="30"/>
  <c r="QSJ364" i="30"/>
  <c r="QSK364" i="30"/>
  <c r="QSL364" i="30"/>
  <c r="QSM364" i="30"/>
  <c r="QSN364" i="30"/>
  <c r="QSO364" i="30"/>
  <c r="QSP364" i="30"/>
  <c r="QSQ364" i="30"/>
  <c r="QSR364" i="30"/>
  <c r="QSS364" i="30"/>
  <c r="QST364" i="30"/>
  <c r="QSU364" i="30"/>
  <c r="QSV364" i="30"/>
  <c r="QSW364" i="30"/>
  <c r="QSX364" i="30"/>
  <c r="QSY364" i="30"/>
  <c r="QSZ364" i="30"/>
  <c r="QTA364" i="30"/>
  <c r="QTB364" i="30"/>
  <c r="QTC364" i="30"/>
  <c r="QTD364" i="30"/>
  <c r="QTE364" i="30"/>
  <c r="QTF364" i="30"/>
  <c r="QTG364" i="30"/>
  <c r="QTH364" i="30"/>
  <c r="QTI364" i="30"/>
  <c r="QTJ364" i="30"/>
  <c r="QTK364" i="30"/>
  <c r="QTL364" i="30"/>
  <c r="QTM364" i="30"/>
  <c r="QTN364" i="30"/>
  <c r="QTO364" i="30"/>
  <c r="QTP364" i="30"/>
  <c r="QTQ364" i="30"/>
  <c r="QTR364" i="30"/>
  <c r="QTS364" i="30"/>
  <c r="QTT364" i="30"/>
  <c r="QTU364" i="30"/>
  <c r="QTV364" i="30"/>
  <c r="QTW364" i="30"/>
  <c r="QTX364" i="30"/>
  <c r="QTY364" i="30"/>
  <c r="QTZ364" i="30"/>
  <c r="QUA364" i="30"/>
  <c r="QUB364" i="30"/>
  <c r="QUC364" i="30"/>
  <c r="QUD364" i="30"/>
  <c r="QUE364" i="30"/>
  <c r="QUF364" i="30"/>
  <c r="QUG364" i="30"/>
  <c r="QUH364" i="30"/>
  <c r="QUI364" i="30"/>
  <c r="QUJ364" i="30"/>
  <c r="QUK364" i="30"/>
  <c r="QUL364" i="30"/>
  <c r="QUM364" i="30"/>
  <c r="QUN364" i="30"/>
  <c r="QUO364" i="30"/>
  <c r="QUP364" i="30"/>
  <c r="QUQ364" i="30"/>
  <c r="QUR364" i="30"/>
  <c r="QUS364" i="30"/>
  <c r="QUT364" i="30"/>
  <c r="QUU364" i="30"/>
  <c r="QUV364" i="30"/>
  <c r="QUW364" i="30"/>
  <c r="QUX364" i="30"/>
  <c r="QUY364" i="30"/>
  <c r="QUZ364" i="30"/>
  <c r="QVA364" i="30"/>
  <c r="QVB364" i="30"/>
  <c r="QVC364" i="30"/>
  <c r="QVD364" i="30"/>
  <c r="QVE364" i="30"/>
  <c r="QVF364" i="30"/>
  <c r="QVG364" i="30"/>
  <c r="QVH364" i="30"/>
  <c r="QVI364" i="30"/>
  <c r="QVJ364" i="30"/>
  <c r="QVK364" i="30"/>
  <c r="QVL364" i="30"/>
  <c r="QVM364" i="30"/>
  <c r="QVN364" i="30"/>
  <c r="QVO364" i="30"/>
  <c r="QVP364" i="30"/>
  <c r="QVQ364" i="30"/>
  <c r="QVR364" i="30"/>
  <c r="QVS364" i="30"/>
  <c r="QVT364" i="30"/>
  <c r="QVU364" i="30"/>
  <c r="QVV364" i="30"/>
  <c r="QVW364" i="30"/>
  <c r="QVX364" i="30"/>
  <c r="QVY364" i="30"/>
  <c r="QVZ364" i="30"/>
  <c r="QWA364" i="30"/>
  <c r="QWB364" i="30"/>
  <c r="QWC364" i="30"/>
  <c r="QWD364" i="30"/>
  <c r="QWE364" i="30"/>
  <c r="QWF364" i="30"/>
  <c r="QWG364" i="30"/>
  <c r="QWH364" i="30"/>
  <c r="QWI364" i="30"/>
  <c r="QWJ364" i="30"/>
  <c r="QWK364" i="30"/>
  <c r="QWL364" i="30"/>
  <c r="QWM364" i="30"/>
  <c r="QWN364" i="30"/>
  <c r="QWO364" i="30"/>
  <c r="QWP364" i="30"/>
  <c r="QWQ364" i="30"/>
  <c r="QWR364" i="30"/>
  <c r="QWS364" i="30"/>
  <c r="QWT364" i="30"/>
  <c r="QWU364" i="30"/>
  <c r="QWV364" i="30"/>
  <c r="QWW364" i="30"/>
  <c r="QWX364" i="30"/>
  <c r="QWY364" i="30"/>
  <c r="QWZ364" i="30"/>
  <c r="QXA364" i="30"/>
  <c r="QXB364" i="30"/>
  <c r="QXC364" i="30"/>
  <c r="QXD364" i="30"/>
  <c r="QXE364" i="30"/>
  <c r="QXF364" i="30"/>
  <c r="QXG364" i="30"/>
  <c r="QXH364" i="30"/>
  <c r="QXI364" i="30"/>
  <c r="QXJ364" i="30"/>
  <c r="QXK364" i="30"/>
  <c r="QXL364" i="30"/>
  <c r="QXM364" i="30"/>
  <c r="QXN364" i="30"/>
  <c r="QXO364" i="30"/>
  <c r="QXP364" i="30"/>
  <c r="QXQ364" i="30"/>
  <c r="QXR364" i="30"/>
  <c r="QXS364" i="30"/>
  <c r="QXT364" i="30"/>
  <c r="QXU364" i="30"/>
  <c r="QXV364" i="30"/>
  <c r="QXW364" i="30"/>
  <c r="QXX364" i="30"/>
  <c r="QXY364" i="30"/>
  <c r="QXZ364" i="30"/>
  <c r="QYA364" i="30"/>
  <c r="QYB364" i="30"/>
  <c r="QYC364" i="30"/>
  <c r="QYD364" i="30"/>
  <c r="QYE364" i="30"/>
  <c r="QYF364" i="30"/>
  <c r="QYG364" i="30"/>
  <c r="QYH364" i="30"/>
  <c r="QYI364" i="30"/>
  <c r="QYJ364" i="30"/>
  <c r="QYK364" i="30"/>
  <c r="QYL364" i="30"/>
  <c r="QYM364" i="30"/>
  <c r="QYN364" i="30"/>
  <c r="QYO364" i="30"/>
  <c r="QYP364" i="30"/>
  <c r="QYQ364" i="30"/>
  <c r="QYR364" i="30"/>
  <c r="QYS364" i="30"/>
  <c r="QYT364" i="30"/>
  <c r="QYU364" i="30"/>
  <c r="QYV364" i="30"/>
  <c r="QYW364" i="30"/>
  <c r="QYX364" i="30"/>
  <c r="QYY364" i="30"/>
  <c r="QYZ364" i="30"/>
  <c r="QZA364" i="30"/>
  <c r="QZB364" i="30"/>
  <c r="QZC364" i="30"/>
  <c r="QZD364" i="30"/>
  <c r="QZE364" i="30"/>
  <c r="QZF364" i="30"/>
  <c r="QZG364" i="30"/>
  <c r="QZH364" i="30"/>
  <c r="QZI364" i="30"/>
  <c r="QZJ364" i="30"/>
  <c r="QZK364" i="30"/>
  <c r="QZL364" i="30"/>
  <c r="QZM364" i="30"/>
  <c r="QZN364" i="30"/>
  <c r="QZO364" i="30"/>
  <c r="QZP364" i="30"/>
  <c r="QZQ364" i="30"/>
  <c r="QZR364" i="30"/>
  <c r="QZS364" i="30"/>
  <c r="QZT364" i="30"/>
  <c r="QZU364" i="30"/>
  <c r="QZV364" i="30"/>
  <c r="QZW364" i="30"/>
  <c r="QZX364" i="30"/>
  <c r="QZY364" i="30"/>
  <c r="QZZ364" i="30"/>
  <c r="RAA364" i="30"/>
  <c r="RAB364" i="30"/>
  <c r="RAC364" i="30"/>
  <c r="RAD364" i="30"/>
  <c r="RAE364" i="30"/>
  <c r="RAF364" i="30"/>
  <c r="RAG364" i="30"/>
  <c r="RAH364" i="30"/>
  <c r="RAI364" i="30"/>
  <c r="RAJ364" i="30"/>
  <c r="RAK364" i="30"/>
  <c r="RAL364" i="30"/>
  <c r="RAM364" i="30"/>
  <c r="RAN364" i="30"/>
  <c r="RAO364" i="30"/>
  <c r="RAP364" i="30"/>
  <c r="RAQ364" i="30"/>
  <c r="RAR364" i="30"/>
  <c r="RAS364" i="30"/>
  <c r="RAT364" i="30"/>
  <c r="RAU364" i="30"/>
  <c r="RAV364" i="30"/>
  <c r="RAW364" i="30"/>
  <c r="RAX364" i="30"/>
  <c r="RAY364" i="30"/>
  <c r="RAZ364" i="30"/>
  <c r="RBA364" i="30"/>
  <c r="RBB364" i="30"/>
  <c r="RBC364" i="30"/>
  <c r="RBD364" i="30"/>
  <c r="RBE364" i="30"/>
  <c r="RBF364" i="30"/>
  <c r="RBG364" i="30"/>
  <c r="RBH364" i="30"/>
  <c r="RBI364" i="30"/>
  <c r="RBJ364" i="30"/>
  <c r="RBK364" i="30"/>
  <c r="RBL364" i="30"/>
  <c r="RBM364" i="30"/>
  <c r="RBN364" i="30"/>
  <c r="RBO364" i="30"/>
  <c r="RBP364" i="30"/>
  <c r="RBQ364" i="30"/>
  <c r="RBR364" i="30"/>
  <c r="RBS364" i="30"/>
  <c r="RBT364" i="30"/>
  <c r="RBU364" i="30"/>
  <c r="RBV364" i="30"/>
  <c r="RBW364" i="30"/>
  <c r="RBX364" i="30"/>
  <c r="RBY364" i="30"/>
  <c r="RBZ364" i="30"/>
  <c r="RCA364" i="30"/>
  <c r="RCB364" i="30"/>
  <c r="RCC364" i="30"/>
  <c r="RCD364" i="30"/>
  <c r="RCE364" i="30"/>
  <c r="RCF364" i="30"/>
  <c r="RCG364" i="30"/>
  <c r="RCH364" i="30"/>
  <c r="RCI364" i="30"/>
  <c r="RCJ364" i="30"/>
  <c r="RCK364" i="30"/>
  <c r="RCL364" i="30"/>
  <c r="RCM364" i="30"/>
  <c r="RCN364" i="30"/>
  <c r="RCO364" i="30"/>
  <c r="RCP364" i="30"/>
  <c r="RCQ364" i="30"/>
  <c r="RCR364" i="30"/>
  <c r="RCS364" i="30"/>
  <c r="RCT364" i="30"/>
  <c r="RCU364" i="30"/>
  <c r="RCV364" i="30"/>
  <c r="RCW364" i="30"/>
  <c r="RCX364" i="30"/>
  <c r="RCY364" i="30"/>
  <c r="RCZ364" i="30"/>
  <c r="RDA364" i="30"/>
  <c r="RDB364" i="30"/>
  <c r="RDC364" i="30"/>
  <c r="RDD364" i="30"/>
  <c r="RDE364" i="30"/>
  <c r="RDF364" i="30"/>
  <c r="RDG364" i="30"/>
  <c r="RDH364" i="30"/>
  <c r="RDI364" i="30"/>
  <c r="RDJ364" i="30"/>
  <c r="RDK364" i="30"/>
  <c r="RDL364" i="30"/>
  <c r="RDM364" i="30"/>
  <c r="RDN364" i="30"/>
  <c r="RDO364" i="30"/>
  <c r="RDP364" i="30"/>
  <c r="RDQ364" i="30"/>
  <c r="RDR364" i="30"/>
  <c r="RDS364" i="30"/>
  <c r="RDT364" i="30"/>
  <c r="RDU364" i="30"/>
  <c r="RDV364" i="30"/>
  <c r="RDW364" i="30"/>
  <c r="RDX364" i="30"/>
  <c r="RDY364" i="30"/>
  <c r="RDZ364" i="30"/>
  <c r="REA364" i="30"/>
  <c r="REB364" i="30"/>
  <c r="REC364" i="30"/>
  <c r="RED364" i="30"/>
  <c r="REE364" i="30"/>
  <c r="REF364" i="30"/>
  <c r="REG364" i="30"/>
  <c r="REH364" i="30"/>
  <c r="REI364" i="30"/>
  <c r="REJ364" i="30"/>
  <c r="REK364" i="30"/>
  <c r="REL364" i="30"/>
  <c r="REM364" i="30"/>
  <c r="REN364" i="30"/>
  <c r="REO364" i="30"/>
  <c r="REP364" i="30"/>
  <c r="REQ364" i="30"/>
  <c r="RER364" i="30"/>
  <c r="RES364" i="30"/>
  <c r="RET364" i="30"/>
  <c r="REU364" i="30"/>
  <c r="REV364" i="30"/>
  <c r="REW364" i="30"/>
  <c r="REX364" i="30"/>
  <c r="REY364" i="30"/>
  <c r="REZ364" i="30"/>
  <c r="RFA364" i="30"/>
  <c r="RFB364" i="30"/>
  <c r="RFC364" i="30"/>
  <c r="RFD364" i="30"/>
  <c r="RFE364" i="30"/>
  <c r="RFF364" i="30"/>
  <c r="RFG364" i="30"/>
  <c r="RFH364" i="30"/>
  <c r="RFI364" i="30"/>
  <c r="RFJ364" i="30"/>
  <c r="RFK364" i="30"/>
  <c r="RFL364" i="30"/>
  <c r="RFM364" i="30"/>
  <c r="RFN364" i="30"/>
  <c r="RFO364" i="30"/>
  <c r="RFP364" i="30"/>
  <c r="RFQ364" i="30"/>
  <c r="RFR364" i="30"/>
  <c r="RFS364" i="30"/>
  <c r="RFT364" i="30"/>
  <c r="RFU364" i="30"/>
  <c r="RFV364" i="30"/>
  <c r="RFW364" i="30"/>
  <c r="RFX364" i="30"/>
  <c r="RFY364" i="30"/>
  <c r="RFZ364" i="30"/>
  <c r="RGA364" i="30"/>
  <c r="RGB364" i="30"/>
  <c r="RGC364" i="30"/>
  <c r="RGD364" i="30"/>
  <c r="RGE364" i="30"/>
  <c r="RGF364" i="30"/>
  <c r="RGG364" i="30"/>
  <c r="RGH364" i="30"/>
  <c r="RGI364" i="30"/>
  <c r="RGJ364" i="30"/>
  <c r="RGK364" i="30"/>
  <c r="RGL364" i="30"/>
  <c r="RGM364" i="30"/>
  <c r="RGN364" i="30"/>
  <c r="RGO364" i="30"/>
  <c r="RGP364" i="30"/>
  <c r="RGQ364" i="30"/>
  <c r="RGR364" i="30"/>
  <c r="RGS364" i="30"/>
  <c r="RGT364" i="30"/>
  <c r="RGU364" i="30"/>
  <c r="RGV364" i="30"/>
  <c r="RGW364" i="30"/>
  <c r="RGX364" i="30"/>
  <c r="RGY364" i="30"/>
  <c r="RGZ364" i="30"/>
  <c r="RHA364" i="30"/>
  <c r="RHB364" i="30"/>
  <c r="RHC364" i="30"/>
  <c r="RHD364" i="30"/>
  <c r="RHE364" i="30"/>
  <c r="RHF364" i="30"/>
  <c r="RHG364" i="30"/>
  <c r="RHH364" i="30"/>
  <c r="RHI364" i="30"/>
  <c r="RHJ364" i="30"/>
  <c r="RHK364" i="30"/>
  <c r="RHL364" i="30"/>
  <c r="RHM364" i="30"/>
  <c r="RHN364" i="30"/>
  <c r="RHO364" i="30"/>
  <c r="RHP364" i="30"/>
  <c r="RHQ364" i="30"/>
  <c r="RHR364" i="30"/>
  <c r="RHS364" i="30"/>
  <c r="RHT364" i="30"/>
  <c r="RHU364" i="30"/>
  <c r="RHV364" i="30"/>
  <c r="RHW364" i="30"/>
  <c r="RHX364" i="30"/>
  <c r="RHY364" i="30"/>
  <c r="RHZ364" i="30"/>
  <c r="RIA364" i="30"/>
  <c r="RIB364" i="30"/>
  <c r="RIC364" i="30"/>
  <c r="RID364" i="30"/>
  <c r="RIE364" i="30"/>
  <c r="RIF364" i="30"/>
  <c r="RIG364" i="30"/>
  <c r="RIH364" i="30"/>
  <c r="RII364" i="30"/>
  <c r="RIJ364" i="30"/>
  <c r="RIK364" i="30"/>
  <c r="RIL364" i="30"/>
  <c r="RIM364" i="30"/>
  <c r="RIN364" i="30"/>
  <c r="RIO364" i="30"/>
  <c r="RIP364" i="30"/>
  <c r="RIQ364" i="30"/>
  <c r="RIR364" i="30"/>
  <c r="RIS364" i="30"/>
  <c r="RIT364" i="30"/>
  <c r="RIU364" i="30"/>
  <c r="RIV364" i="30"/>
  <c r="RIW364" i="30"/>
  <c r="RIX364" i="30"/>
  <c r="RIY364" i="30"/>
  <c r="RIZ364" i="30"/>
  <c r="RJA364" i="30"/>
  <c r="RJB364" i="30"/>
  <c r="RJC364" i="30"/>
  <c r="RJD364" i="30"/>
  <c r="RJE364" i="30"/>
  <c r="RJF364" i="30"/>
  <c r="RJG364" i="30"/>
  <c r="RJH364" i="30"/>
  <c r="RJI364" i="30"/>
  <c r="RJJ364" i="30"/>
  <c r="RJK364" i="30"/>
  <c r="RJL364" i="30"/>
  <c r="RJM364" i="30"/>
  <c r="RJN364" i="30"/>
  <c r="RJO364" i="30"/>
  <c r="RJP364" i="30"/>
  <c r="RJQ364" i="30"/>
  <c r="RJR364" i="30"/>
  <c r="RJS364" i="30"/>
  <c r="RJT364" i="30"/>
  <c r="RJU364" i="30"/>
  <c r="RJV364" i="30"/>
  <c r="RJW364" i="30"/>
  <c r="RJX364" i="30"/>
  <c r="RJY364" i="30"/>
  <c r="RJZ364" i="30"/>
  <c r="RKA364" i="30"/>
  <c r="RKB364" i="30"/>
  <c r="RKC364" i="30"/>
  <c r="RKD364" i="30"/>
  <c r="RKE364" i="30"/>
  <c r="RKF364" i="30"/>
  <c r="RKG364" i="30"/>
  <c r="RKH364" i="30"/>
  <c r="RKI364" i="30"/>
  <c r="RKJ364" i="30"/>
  <c r="RKK364" i="30"/>
  <c r="RKL364" i="30"/>
  <c r="RKM364" i="30"/>
  <c r="RKN364" i="30"/>
  <c r="RKO364" i="30"/>
  <c r="RKP364" i="30"/>
  <c r="RKQ364" i="30"/>
  <c r="RKR364" i="30"/>
  <c r="RKS364" i="30"/>
  <c r="RKT364" i="30"/>
  <c r="RKU364" i="30"/>
  <c r="RKV364" i="30"/>
  <c r="RKW364" i="30"/>
  <c r="RKX364" i="30"/>
  <c r="RKY364" i="30"/>
  <c r="RKZ364" i="30"/>
  <c r="RLA364" i="30"/>
  <c r="RLB364" i="30"/>
  <c r="RLC364" i="30"/>
  <c r="RLD364" i="30"/>
  <c r="RLE364" i="30"/>
  <c r="RLF364" i="30"/>
  <c r="RLG364" i="30"/>
  <c r="RLH364" i="30"/>
  <c r="RLI364" i="30"/>
  <c r="RLJ364" i="30"/>
  <c r="RLK364" i="30"/>
  <c r="RLL364" i="30"/>
  <c r="RLM364" i="30"/>
  <c r="RLN364" i="30"/>
  <c r="RLO364" i="30"/>
  <c r="RLP364" i="30"/>
  <c r="RLQ364" i="30"/>
  <c r="RLR364" i="30"/>
  <c r="RLS364" i="30"/>
  <c r="RLT364" i="30"/>
  <c r="RLU364" i="30"/>
  <c r="RLV364" i="30"/>
  <c r="RLW364" i="30"/>
  <c r="RLX364" i="30"/>
  <c r="RLY364" i="30"/>
  <c r="RLZ364" i="30"/>
  <c r="RMA364" i="30"/>
  <c r="RMB364" i="30"/>
  <c r="RMC364" i="30"/>
  <c r="RMD364" i="30"/>
  <c r="RME364" i="30"/>
  <c r="RMF364" i="30"/>
  <c r="RMG364" i="30"/>
  <c r="RMH364" i="30"/>
  <c r="RMI364" i="30"/>
  <c r="RMJ364" i="30"/>
  <c r="RMK364" i="30"/>
  <c r="RML364" i="30"/>
  <c r="RMM364" i="30"/>
  <c r="RMN364" i="30"/>
  <c r="RMO364" i="30"/>
  <c r="RMP364" i="30"/>
  <c r="RMQ364" i="30"/>
  <c r="RMR364" i="30"/>
  <c r="RMS364" i="30"/>
  <c r="RMT364" i="30"/>
  <c r="RMU364" i="30"/>
  <c r="RMV364" i="30"/>
  <c r="RMW364" i="30"/>
  <c r="RMX364" i="30"/>
  <c r="RMY364" i="30"/>
  <c r="RMZ364" i="30"/>
  <c r="RNA364" i="30"/>
  <c r="RNB364" i="30"/>
  <c r="RNC364" i="30"/>
  <c r="RND364" i="30"/>
  <c r="RNE364" i="30"/>
  <c r="RNF364" i="30"/>
  <c r="RNG364" i="30"/>
  <c r="RNH364" i="30"/>
  <c r="RNI364" i="30"/>
  <c r="RNJ364" i="30"/>
  <c r="RNK364" i="30"/>
  <c r="RNL364" i="30"/>
  <c r="RNM364" i="30"/>
  <c r="RNN364" i="30"/>
  <c r="RNO364" i="30"/>
  <c r="RNP364" i="30"/>
  <c r="RNQ364" i="30"/>
  <c r="RNR364" i="30"/>
  <c r="RNS364" i="30"/>
  <c r="RNT364" i="30"/>
  <c r="RNU364" i="30"/>
  <c r="RNV364" i="30"/>
  <c r="RNW364" i="30"/>
  <c r="RNX364" i="30"/>
  <c r="RNY364" i="30"/>
  <c r="RNZ364" i="30"/>
  <c r="ROA364" i="30"/>
  <c r="ROB364" i="30"/>
  <c r="ROC364" i="30"/>
  <c r="ROD364" i="30"/>
  <c r="ROE364" i="30"/>
  <c r="ROF364" i="30"/>
  <c r="ROG364" i="30"/>
  <c r="ROH364" i="30"/>
  <c r="ROI364" i="30"/>
  <c r="ROJ364" i="30"/>
  <c r="ROK364" i="30"/>
  <c r="ROL364" i="30"/>
  <c r="ROM364" i="30"/>
  <c r="RON364" i="30"/>
  <c r="ROO364" i="30"/>
  <c r="ROP364" i="30"/>
  <c r="ROQ364" i="30"/>
  <c r="ROR364" i="30"/>
  <c r="ROS364" i="30"/>
  <c r="ROT364" i="30"/>
  <c r="ROU364" i="30"/>
  <c r="ROV364" i="30"/>
  <c r="ROW364" i="30"/>
  <c r="ROX364" i="30"/>
  <c r="ROY364" i="30"/>
  <c r="ROZ364" i="30"/>
  <c r="RPA364" i="30"/>
  <c r="RPB364" i="30"/>
  <c r="RPC364" i="30"/>
  <c r="RPD364" i="30"/>
  <c r="RPE364" i="30"/>
  <c r="RPF364" i="30"/>
  <c r="RPG364" i="30"/>
  <c r="RPH364" i="30"/>
  <c r="RPI364" i="30"/>
  <c r="RPJ364" i="30"/>
  <c r="RPK364" i="30"/>
  <c r="RPL364" i="30"/>
  <c r="RPM364" i="30"/>
  <c r="RPN364" i="30"/>
  <c r="RPO364" i="30"/>
  <c r="RPP364" i="30"/>
  <c r="RPQ364" i="30"/>
  <c r="RPR364" i="30"/>
  <c r="RPS364" i="30"/>
  <c r="RPT364" i="30"/>
  <c r="RPU364" i="30"/>
  <c r="RPV364" i="30"/>
  <c r="RPW364" i="30"/>
  <c r="RPX364" i="30"/>
  <c r="RPY364" i="30"/>
  <c r="RPZ364" i="30"/>
  <c r="RQA364" i="30"/>
  <c r="RQB364" i="30"/>
  <c r="RQC364" i="30"/>
  <c r="RQD364" i="30"/>
  <c r="RQE364" i="30"/>
  <c r="RQF364" i="30"/>
  <c r="RQG364" i="30"/>
  <c r="RQH364" i="30"/>
  <c r="RQI364" i="30"/>
  <c r="RQJ364" i="30"/>
  <c r="RQK364" i="30"/>
  <c r="RQL364" i="30"/>
  <c r="RQM364" i="30"/>
  <c r="RQN364" i="30"/>
  <c r="RQO364" i="30"/>
  <c r="RQP364" i="30"/>
  <c r="RQQ364" i="30"/>
  <c r="RQR364" i="30"/>
  <c r="RQS364" i="30"/>
  <c r="RQT364" i="30"/>
  <c r="RQU364" i="30"/>
  <c r="RQV364" i="30"/>
  <c r="RQW364" i="30"/>
  <c r="RQX364" i="30"/>
  <c r="RQY364" i="30"/>
  <c r="RQZ364" i="30"/>
  <c r="RRA364" i="30"/>
  <c r="RRB364" i="30"/>
  <c r="RRC364" i="30"/>
  <c r="RRD364" i="30"/>
  <c r="RRE364" i="30"/>
  <c r="RRF364" i="30"/>
  <c r="RRG364" i="30"/>
  <c r="RRH364" i="30"/>
  <c r="RRI364" i="30"/>
  <c r="RRJ364" i="30"/>
  <c r="RRK364" i="30"/>
  <c r="RRL364" i="30"/>
  <c r="RRM364" i="30"/>
  <c r="RRN364" i="30"/>
  <c r="RRO364" i="30"/>
  <c r="RRP364" i="30"/>
  <c r="RRQ364" i="30"/>
  <c r="RRR364" i="30"/>
  <c r="RRS364" i="30"/>
  <c r="RRT364" i="30"/>
  <c r="RRU364" i="30"/>
  <c r="RRV364" i="30"/>
  <c r="RRW364" i="30"/>
  <c r="RRX364" i="30"/>
  <c r="RRY364" i="30"/>
  <c r="RRZ364" i="30"/>
  <c r="RSA364" i="30"/>
  <c r="RSB364" i="30"/>
  <c r="RSC364" i="30"/>
  <c r="RSD364" i="30"/>
  <c r="RSE364" i="30"/>
  <c r="RSF364" i="30"/>
  <c r="RSG364" i="30"/>
  <c r="RSH364" i="30"/>
  <c r="RSI364" i="30"/>
  <c r="RSJ364" i="30"/>
  <c r="RSK364" i="30"/>
  <c r="RSL364" i="30"/>
  <c r="RSM364" i="30"/>
  <c r="RSN364" i="30"/>
  <c r="RSO364" i="30"/>
  <c r="RSP364" i="30"/>
  <c r="RSQ364" i="30"/>
  <c r="RSR364" i="30"/>
  <c r="RSS364" i="30"/>
  <c r="RST364" i="30"/>
  <c r="RSU364" i="30"/>
  <c r="RSV364" i="30"/>
  <c r="RSW364" i="30"/>
  <c r="RSX364" i="30"/>
  <c r="RSY364" i="30"/>
  <c r="RSZ364" i="30"/>
  <c r="RTA364" i="30"/>
  <c r="RTB364" i="30"/>
  <c r="RTC364" i="30"/>
  <c r="RTD364" i="30"/>
  <c r="RTE364" i="30"/>
  <c r="RTF364" i="30"/>
  <c r="RTG364" i="30"/>
  <c r="RTH364" i="30"/>
  <c r="RTI364" i="30"/>
  <c r="RTJ364" i="30"/>
  <c r="RTK364" i="30"/>
  <c r="RTL364" i="30"/>
  <c r="RTM364" i="30"/>
  <c r="RTN364" i="30"/>
  <c r="RTO364" i="30"/>
  <c r="RTP364" i="30"/>
  <c r="RTQ364" i="30"/>
  <c r="RTR364" i="30"/>
  <c r="RTS364" i="30"/>
  <c r="RTT364" i="30"/>
  <c r="RTU364" i="30"/>
  <c r="RTV364" i="30"/>
  <c r="RTW364" i="30"/>
  <c r="RTX364" i="30"/>
  <c r="RTY364" i="30"/>
  <c r="RTZ364" i="30"/>
  <c r="RUA364" i="30"/>
  <c r="RUB364" i="30"/>
  <c r="RUC364" i="30"/>
  <c r="RUD364" i="30"/>
  <c r="RUE364" i="30"/>
  <c r="RUF364" i="30"/>
  <c r="RUG364" i="30"/>
  <c r="RUH364" i="30"/>
  <c r="RUI364" i="30"/>
  <c r="RUJ364" i="30"/>
  <c r="RUK364" i="30"/>
  <c r="RUL364" i="30"/>
  <c r="RUM364" i="30"/>
  <c r="RUN364" i="30"/>
  <c r="RUO364" i="30"/>
  <c r="RUP364" i="30"/>
  <c r="RUQ364" i="30"/>
  <c r="RUR364" i="30"/>
  <c r="RUS364" i="30"/>
  <c r="RUT364" i="30"/>
  <c r="RUU364" i="30"/>
  <c r="RUV364" i="30"/>
  <c r="RUW364" i="30"/>
  <c r="RUX364" i="30"/>
  <c r="RUY364" i="30"/>
  <c r="RUZ364" i="30"/>
  <c r="RVA364" i="30"/>
  <c r="RVB364" i="30"/>
  <c r="RVC364" i="30"/>
  <c r="RVD364" i="30"/>
  <c r="RVE364" i="30"/>
  <c r="RVF364" i="30"/>
  <c r="RVG364" i="30"/>
  <c r="RVH364" i="30"/>
  <c r="RVI364" i="30"/>
  <c r="RVJ364" i="30"/>
  <c r="RVK364" i="30"/>
  <c r="RVL364" i="30"/>
  <c r="RVM364" i="30"/>
  <c r="RVN364" i="30"/>
  <c r="RVO364" i="30"/>
  <c r="RVP364" i="30"/>
  <c r="RVQ364" i="30"/>
  <c r="RVR364" i="30"/>
  <c r="RVS364" i="30"/>
  <c r="RVT364" i="30"/>
  <c r="RVU364" i="30"/>
  <c r="RVV364" i="30"/>
  <c r="RVW364" i="30"/>
  <c r="RVX364" i="30"/>
  <c r="RVY364" i="30"/>
  <c r="RVZ364" i="30"/>
  <c r="RWA364" i="30"/>
  <c r="RWB364" i="30"/>
  <c r="RWC364" i="30"/>
  <c r="RWD364" i="30"/>
  <c r="RWE364" i="30"/>
  <c r="RWF364" i="30"/>
  <c r="RWG364" i="30"/>
  <c r="RWH364" i="30"/>
  <c r="RWI364" i="30"/>
  <c r="RWJ364" i="30"/>
  <c r="RWK364" i="30"/>
  <c r="RWL364" i="30"/>
  <c r="RWM364" i="30"/>
  <c r="RWN364" i="30"/>
  <c r="RWO364" i="30"/>
  <c r="RWP364" i="30"/>
  <c r="RWQ364" i="30"/>
  <c r="RWR364" i="30"/>
  <c r="RWS364" i="30"/>
  <c r="RWT364" i="30"/>
  <c r="RWU364" i="30"/>
  <c r="RWV364" i="30"/>
  <c r="RWW364" i="30"/>
  <c r="RWX364" i="30"/>
  <c r="RWY364" i="30"/>
  <c r="RWZ364" i="30"/>
  <c r="RXA364" i="30"/>
  <c r="RXB364" i="30"/>
  <c r="RXC364" i="30"/>
  <c r="RXD364" i="30"/>
  <c r="RXE364" i="30"/>
  <c r="RXF364" i="30"/>
  <c r="RXG364" i="30"/>
  <c r="RXH364" i="30"/>
  <c r="RXI364" i="30"/>
  <c r="RXJ364" i="30"/>
  <c r="RXK364" i="30"/>
  <c r="RXL364" i="30"/>
  <c r="RXM364" i="30"/>
  <c r="RXN364" i="30"/>
  <c r="RXO364" i="30"/>
  <c r="RXP364" i="30"/>
  <c r="RXQ364" i="30"/>
  <c r="RXR364" i="30"/>
  <c r="RXS364" i="30"/>
  <c r="RXT364" i="30"/>
  <c r="RXU364" i="30"/>
  <c r="RXV364" i="30"/>
  <c r="RXW364" i="30"/>
  <c r="RXX364" i="30"/>
  <c r="RXY364" i="30"/>
  <c r="RXZ364" i="30"/>
  <c r="RYA364" i="30"/>
  <c r="RYB364" i="30"/>
  <c r="RYC364" i="30"/>
  <c r="RYD364" i="30"/>
  <c r="RYE364" i="30"/>
  <c r="RYF364" i="30"/>
  <c r="RYG364" i="30"/>
  <c r="RYH364" i="30"/>
  <c r="RYI364" i="30"/>
  <c r="RYJ364" i="30"/>
  <c r="RYK364" i="30"/>
  <c r="RYL364" i="30"/>
  <c r="RYM364" i="30"/>
  <c r="RYN364" i="30"/>
  <c r="RYO364" i="30"/>
  <c r="RYP364" i="30"/>
  <c r="RYQ364" i="30"/>
  <c r="RYR364" i="30"/>
  <c r="RYS364" i="30"/>
  <c r="RYT364" i="30"/>
  <c r="RYU364" i="30"/>
  <c r="RYV364" i="30"/>
  <c r="RYW364" i="30"/>
  <c r="RYX364" i="30"/>
  <c r="RYY364" i="30"/>
  <c r="RYZ364" i="30"/>
  <c r="RZA364" i="30"/>
  <c r="RZB364" i="30"/>
  <c r="RZC364" i="30"/>
  <c r="RZD364" i="30"/>
  <c r="RZE364" i="30"/>
  <c r="RZF364" i="30"/>
  <c r="RZG364" i="30"/>
  <c r="RZH364" i="30"/>
  <c r="RZI364" i="30"/>
  <c r="RZJ364" i="30"/>
  <c r="RZK364" i="30"/>
  <c r="RZL364" i="30"/>
  <c r="RZM364" i="30"/>
  <c r="RZN364" i="30"/>
  <c r="RZO364" i="30"/>
  <c r="RZP364" i="30"/>
  <c r="RZQ364" i="30"/>
  <c r="RZR364" i="30"/>
  <c r="RZS364" i="30"/>
  <c r="RZT364" i="30"/>
  <c r="RZU364" i="30"/>
  <c r="RZV364" i="30"/>
  <c r="RZW364" i="30"/>
  <c r="RZX364" i="30"/>
  <c r="RZY364" i="30"/>
  <c r="RZZ364" i="30"/>
  <c r="SAA364" i="30"/>
  <c r="SAB364" i="30"/>
  <c r="SAC364" i="30"/>
  <c r="SAD364" i="30"/>
  <c r="SAE364" i="30"/>
  <c r="SAF364" i="30"/>
  <c r="SAG364" i="30"/>
  <c r="SAH364" i="30"/>
  <c r="SAI364" i="30"/>
  <c r="SAJ364" i="30"/>
  <c r="SAK364" i="30"/>
  <c r="SAL364" i="30"/>
  <c r="SAM364" i="30"/>
  <c r="SAN364" i="30"/>
  <c r="SAO364" i="30"/>
  <c r="SAP364" i="30"/>
  <c r="SAQ364" i="30"/>
  <c r="SAR364" i="30"/>
  <c r="SAS364" i="30"/>
  <c r="SAT364" i="30"/>
  <c r="SAU364" i="30"/>
  <c r="SAV364" i="30"/>
  <c r="SAW364" i="30"/>
  <c r="SAX364" i="30"/>
  <c r="SAY364" i="30"/>
  <c r="SAZ364" i="30"/>
  <c r="SBA364" i="30"/>
  <c r="SBB364" i="30"/>
  <c r="SBC364" i="30"/>
  <c r="SBD364" i="30"/>
  <c r="SBE364" i="30"/>
  <c r="SBF364" i="30"/>
  <c r="SBG364" i="30"/>
  <c r="SBH364" i="30"/>
  <c r="SBI364" i="30"/>
  <c r="SBJ364" i="30"/>
  <c r="SBK364" i="30"/>
  <c r="SBL364" i="30"/>
  <c r="SBM364" i="30"/>
  <c r="SBN364" i="30"/>
  <c r="SBO364" i="30"/>
  <c r="SBP364" i="30"/>
  <c r="SBQ364" i="30"/>
  <c r="SBR364" i="30"/>
  <c r="SBS364" i="30"/>
  <c r="SBT364" i="30"/>
  <c r="SBU364" i="30"/>
  <c r="SBV364" i="30"/>
  <c r="SBW364" i="30"/>
  <c r="SBX364" i="30"/>
  <c r="SBY364" i="30"/>
  <c r="SBZ364" i="30"/>
  <c r="SCA364" i="30"/>
  <c r="SCB364" i="30"/>
  <c r="SCC364" i="30"/>
  <c r="SCD364" i="30"/>
  <c r="SCE364" i="30"/>
  <c r="SCF364" i="30"/>
  <c r="SCG364" i="30"/>
  <c r="SCH364" i="30"/>
  <c r="SCI364" i="30"/>
  <c r="SCJ364" i="30"/>
  <c r="SCK364" i="30"/>
  <c r="SCL364" i="30"/>
  <c r="SCM364" i="30"/>
  <c r="SCN364" i="30"/>
  <c r="SCO364" i="30"/>
  <c r="SCP364" i="30"/>
  <c r="SCQ364" i="30"/>
  <c r="SCR364" i="30"/>
  <c r="SCS364" i="30"/>
  <c r="SCT364" i="30"/>
  <c r="SCU364" i="30"/>
  <c r="SCV364" i="30"/>
  <c r="SCW364" i="30"/>
  <c r="SCX364" i="30"/>
  <c r="SCY364" i="30"/>
  <c r="SCZ364" i="30"/>
  <c r="SDA364" i="30"/>
  <c r="SDB364" i="30"/>
  <c r="SDC364" i="30"/>
  <c r="SDD364" i="30"/>
  <c r="SDE364" i="30"/>
  <c r="SDF364" i="30"/>
  <c r="SDG364" i="30"/>
  <c r="SDH364" i="30"/>
  <c r="SDI364" i="30"/>
  <c r="SDJ364" i="30"/>
  <c r="SDK364" i="30"/>
  <c r="SDL364" i="30"/>
  <c r="SDM364" i="30"/>
  <c r="SDN364" i="30"/>
  <c r="SDO364" i="30"/>
  <c r="SDP364" i="30"/>
  <c r="SDQ364" i="30"/>
  <c r="SDR364" i="30"/>
  <c r="SDS364" i="30"/>
  <c r="SDT364" i="30"/>
  <c r="SDU364" i="30"/>
  <c r="SDV364" i="30"/>
  <c r="SDW364" i="30"/>
  <c r="SDX364" i="30"/>
  <c r="SDY364" i="30"/>
  <c r="SDZ364" i="30"/>
  <c r="SEA364" i="30"/>
  <c r="SEB364" i="30"/>
  <c r="SEC364" i="30"/>
  <c r="SED364" i="30"/>
  <c r="SEE364" i="30"/>
  <c r="SEF364" i="30"/>
  <c r="SEG364" i="30"/>
  <c r="SEH364" i="30"/>
  <c r="SEI364" i="30"/>
  <c r="SEJ364" i="30"/>
  <c r="SEK364" i="30"/>
  <c r="SEL364" i="30"/>
  <c r="SEM364" i="30"/>
  <c r="SEN364" i="30"/>
  <c r="SEO364" i="30"/>
  <c r="SEP364" i="30"/>
  <c r="SEQ364" i="30"/>
  <c r="SER364" i="30"/>
  <c r="SES364" i="30"/>
  <c r="SET364" i="30"/>
  <c r="SEU364" i="30"/>
  <c r="SEV364" i="30"/>
  <c r="SEW364" i="30"/>
  <c r="SEX364" i="30"/>
  <c r="SEY364" i="30"/>
  <c r="SEZ364" i="30"/>
  <c r="SFA364" i="30"/>
  <c r="SFB364" i="30"/>
  <c r="SFC364" i="30"/>
  <c r="SFD364" i="30"/>
  <c r="SFE364" i="30"/>
  <c r="SFF364" i="30"/>
  <c r="SFG364" i="30"/>
  <c r="SFH364" i="30"/>
  <c r="SFI364" i="30"/>
  <c r="SFJ364" i="30"/>
  <c r="SFK364" i="30"/>
  <c r="SFL364" i="30"/>
  <c r="SFM364" i="30"/>
  <c r="SFN364" i="30"/>
  <c r="SFO364" i="30"/>
  <c r="SFP364" i="30"/>
  <c r="SFQ364" i="30"/>
  <c r="SFR364" i="30"/>
  <c r="SFS364" i="30"/>
  <c r="SFT364" i="30"/>
  <c r="SFU364" i="30"/>
  <c r="SFV364" i="30"/>
  <c r="SFW364" i="30"/>
  <c r="SFX364" i="30"/>
  <c r="SFY364" i="30"/>
  <c r="SFZ364" i="30"/>
  <c r="SGA364" i="30"/>
  <c r="SGB364" i="30"/>
  <c r="SGC364" i="30"/>
  <c r="SGD364" i="30"/>
  <c r="SGE364" i="30"/>
  <c r="SGF364" i="30"/>
  <c r="SGG364" i="30"/>
  <c r="SGH364" i="30"/>
  <c r="SGI364" i="30"/>
  <c r="SGJ364" i="30"/>
  <c r="SGK364" i="30"/>
  <c r="SGL364" i="30"/>
  <c r="SGM364" i="30"/>
  <c r="SGN364" i="30"/>
  <c r="SGO364" i="30"/>
  <c r="SGP364" i="30"/>
  <c r="SGQ364" i="30"/>
  <c r="SGR364" i="30"/>
  <c r="SGS364" i="30"/>
  <c r="SGT364" i="30"/>
  <c r="SGU364" i="30"/>
  <c r="SGV364" i="30"/>
  <c r="SGW364" i="30"/>
  <c r="SGX364" i="30"/>
  <c r="SGY364" i="30"/>
  <c r="SGZ364" i="30"/>
  <c r="SHA364" i="30"/>
  <c r="SHB364" i="30"/>
  <c r="SHC364" i="30"/>
  <c r="SHD364" i="30"/>
  <c r="SHE364" i="30"/>
  <c r="SHF364" i="30"/>
  <c r="SHG364" i="30"/>
  <c r="SHH364" i="30"/>
  <c r="SHI364" i="30"/>
  <c r="SHJ364" i="30"/>
  <c r="SHK364" i="30"/>
  <c r="SHL364" i="30"/>
  <c r="SHM364" i="30"/>
  <c r="SHN364" i="30"/>
  <c r="SHO364" i="30"/>
  <c r="SHP364" i="30"/>
  <c r="SHQ364" i="30"/>
  <c r="SHR364" i="30"/>
  <c r="SHS364" i="30"/>
  <c r="SHT364" i="30"/>
  <c r="SHU364" i="30"/>
  <c r="SHV364" i="30"/>
  <c r="SHW364" i="30"/>
  <c r="SHX364" i="30"/>
  <c r="SHY364" i="30"/>
  <c r="SHZ364" i="30"/>
  <c r="SIA364" i="30"/>
  <c r="SIB364" i="30"/>
  <c r="SIC364" i="30"/>
  <c r="SID364" i="30"/>
  <c r="SIE364" i="30"/>
  <c r="SIF364" i="30"/>
  <c r="SIG364" i="30"/>
  <c r="SIH364" i="30"/>
  <c r="SII364" i="30"/>
  <c r="SIJ364" i="30"/>
  <c r="SIK364" i="30"/>
  <c r="SIL364" i="30"/>
  <c r="SIM364" i="30"/>
  <c r="SIN364" i="30"/>
  <c r="SIO364" i="30"/>
  <c r="SIP364" i="30"/>
  <c r="SIQ364" i="30"/>
  <c r="SIR364" i="30"/>
  <c r="SIS364" i="30"/>
  <c r="SIT364" i="30"/>
  <c r="SIU364" i="30"/>
  <c r="SIV364" i="30"/>
  <c r="SIW364" i="30"/>
  <c r="SIX364" i="30"/>
  <c r="SIY364" i="30"/>
  <c r="SIZ364" i="30"/>
  <c r="SJA364" i="30"/>
  <c r="SJB364" i="30"/>
  <c r="SJC364" i="30"/>
  <c r="SJD364" i="30"/>
  <c r="SJE364" i="30"/>
  <c r="SJF364" i="30"/>
  <c r="SJG364" i="30"/>
  <c r="SJH364" i="30"/>
  <c r="SJI364" i="30"/>
  <c r="SJJ364" i="30"/>
  <c r="SJK364" i="30"/>
  <c r="SJL364" i="30"/>
  <c r="SJM364" i="30"/>
  <c r="SJN364" i="30"/>
  <c r="SJO364" i="30"/>
  <c r="SJP364" i="30"/>
  <c r="SJQ364" i="30"/>
  <c r="SJR364" i="30"/>
  <c r="SJS364" i="30"/>
  <c r="SJT364" i="30"/>
  <c r="SJU364" i="30"/>
  <c r="SJV364" i="30"/>
  <c r="SJW364" i="30"/>
  <c r="SJX364" i="30"/>
  <c r="SJY364" i="30"/>
  <c r="SJZ364" i="30"/>
  <c r="SKA364" i="30"/>
  <c r="SKB364" i="30"/>
  <c r="SKC364" i="30"/>
  <c r="SKD364" i="30"/>
  <c r="SKE364" i="30"/>
  <c r="SKF364" i="30"/>
  <c r="SKG364" i="30"/>
  <c r="SKH364" i="30"/>
  <c r="SKI364" i="30"/>
  <c r="SKJ364" i="30"/>
  <c r="SKK364" i="30"/>
  <c r="SKL364" i="30"/>
  <c r="SKM364" i="30"/>
  <c r="SKN364" i="30"/>
  <c r="SKO364" i="30"/>
  <c r="SKP364" i="30"/>
  <c r="SKQ364" i="30"/>
  <c r="SKR364" i="30"/>
  <c r="SKS364" i="30"/>
  <c r="SKT364" i="30"/>
  <c r="SKU364" i="30"/>
  <c r="SKV364" i="30"/>
  <c r="SKW364" i="30"/>
  <c r="SKX364" i="30"/>
  <c r="SKY364" i="30"/>
  <c r="SKZ364" i="30"/>
  <c r="SLA364" i="30"/>
  <c r="SLB364" i="30"/>
  <c r="SLC364" i="30"/>
  <c r="SLD364" i="30"/>
  <c r="SLE364" i="30"/>
  <c r="SLF364" i="30"/>
  <c r="SLG364" i="30"/>
  <c r="SLH364" i="30"/>
  <c r="SLI364" i="30"/>
  <c r="SLJ364" i="30"/>
  <c r="SLK364" i="30"/>
  <c r="SLL364" i="30"/>
  <c r="SLM364" i="30"/>
  <c r="SLN364" i="30"/>
  <c r="SLO364" i="30"/>
  <c r="SLP364" i="30"/>
  <c r="SLQ364" i="30"/>
  <c r="SLR364" i="30"/>
  <c r="SLS364" i="30"/>
  <c r="SLT364" i="30"/>
  <c r="SLU364" i="30"/>
  <c r="SLV364" i="30"/>
  <c r="SLW364" i="30"/>
  <c r="SLX364" i="30"/>
  <c r="SLY364" i="30"/>
  <c r="SLZ364" i="30"/>
  <c r="SMA364" i="30"/>
  <c r="SMB364" i="30"/>
  <c r="SMC364" i="30"/>
  <c r="SMD364" i="30"/>
  <c r="SME364" i="30"/>
  <c r="SMF364" i="30"/>
  <c r="SMG364" i="30"/>
  <c r="SMH364" i="30"/>
  <c r="SMI364" i="30"/>
  <c r="SMJ364" i="30"/>
  <c r="SMK364" i="30"/>
  <c r="SML364" i="30"/>
  <c r="SMM364" i="30"/>
  <c r="SMN364" i="30"/>
  <c r="SMO364" i="30"/>
  <c r="SMP364" i="30"/>
  <c r="SMQ364" i="30"/>
  <c r="SMR364" i="30"/>
  <c r="SMS364" i="30"/>
  <c r="SMT364" i="30"/>
  <c r="SMU364" i="30"/>
  <c r="SMV364" i="30"/>
  <c r="SMW364" i="30"/>
  <c r="SMX364" i="30"/>
  <c r="SMY364" i="30"/>
  <c r="SMZ364" i="30"/>
  <c r="SNA364" i="30"/>
  <c r="SNB364" i="30"/>
  <c r="SNC364" i="30"/>
  <c r="SND364" i="30"/>
  <c r="SNE364" i="30"/>
  <c r="SNF364" i="30"/>
  <c r="SNG364" i="30"/>
  <c r="SNH364" i="30"/>
  <c r="SNI364" i="30"/>
  <c r="SNJ364" i="30"/>
  <c r="SNK364" i="30"/>
  <c r="SNL364" i="30"/>
  <c r="SNM364" i="30"/>
  <c r="SNN364" i="30"/>
  <c r="SNO364" i="30"/>
  <c r="SNP364" i="30"/>
  <c r="SNQ364" i="30"/>
  <c r="SNR364" i="30"/>
  <c r="SNS364" i="30"/>
  <c r="SNT364" i="30"/>
  <c r="SNU364" i="30"/>
  <c r="SNV364" i="30"/>
  <c r="SNW364" i="30"/>
  <c r="SNX364" i="30"/>
  <c r="SNY364" i="30"/>
  <c r="SNZ364" i="30"/>
  <c r="SOA364" i="30"/>
  <c r="SOB364" i="30"/>
  <c r="SOC364" i="30"/>
  <c r="SOD364" i="30"/>
  <c r="SOE364" i="30"/>
  <c r="SOF364" i="30"/>
  <c r="SOG364" i="30"/>
  <c r="SOH364" i="30"/>
  <c r="SOI364" i="30"/>
  <c r="SOJ364" i="30"/>
  <c r="SOK364" i="30"/>
  <c r="SOL364" i="30"/>
  <c r="SOM364" i="30"/>
  <c r="SON364" i="30"/>
  <c r="SOO364" i="30"/>
  <c r="SOP364" i="30"/>
  <c r="SOQ364" i="30"/>
  <c r="SOR364" i="30"/>
  <c r="SOS364" i="30"/>
  <c r="SOT364" i="30"/>
  <c r="SOU364" i="30"/>
  <c r="SOV364" i="30"/>
  <c r="SOW364" i="30"/>
  <c r="SOX364" i="30"/>
  <c r="SOY364" i="30"/>
  <c r="SOZ364" i="30"/>
  <c r="SPA364" i="30"/>
  <c r="SPB364" i="30"/>
  <c r="SPC364" i="30"/>
  <c r="SPD364" i="30"/>
  <c r="SPE364" i="30"/>
  <c r="SPF364" i="30"/>
  <c r="SPG364" i="30"/>
  <c r="SPH364" i="30"/>
  <c r="SPI364" i="30"/>
  <c r="SPJ364" i="30"/>
  <c r="SPK364" i="30"/>
  <c r="SPL364" i="30"/>
  <c r="SPM364" i="30"/>
  <c r="SPN364" i="30"/>
  <c r="SPO364" i="30"/>
  <c r="SPP364" i="30"/>
  <c r="SPQ364" i="30"/>
  <c r="SPR364" i="30"/>
  <c r="SPS364" i="30"/>
  <c r="SPT364" i="30"/>
  <c r="SPU364" i="30"/>
  <c r="SPV364" i="30"/>
  <c r="SPW364" i="30"/>
  <c r="SPX364" i="30"/>
  <c r="SPY364" i="30"/>
  <c r="SPZ364" i="30"/>
  <c r="SQA364" i="30"/>
  <c r="SQB364" i="30"/>
  <c r="SQC364" i="30"/>
  <c r="SQD364" i="30"/>
  <c r="SQE364" i="30"/>
  <c r="SQF364" i="30"/>
  <c r="SQG364" i="30"/>
  <c r="SQH364" i="30"/>
  <c r="SQI364" i="30"/>
  <c r="SQJ364" i="30"/>
  <c r="SQK364" i="30"/>
  <c r="SQL364" i="30"/>
  <c r="SQM364" i="30"/>
  <c r="SQN364" i="30"/>
  <c r="SQO364" i="30"/>
  <c r="SQP364" i="30"/>
  <c r="SQQ364" i="30"/>
  <c r="SQR364" i="30"/>
  <c r="SQS364" i="30"/>
  <c r="SQT364" i="30"/>
  <c r="SQU364" i="30"/>
  <c r="SQV364" i="30"/>
  <c r="SQW364" i="30"/>
  <c r="SQX364" i="30"/>
  <c r="SQY364" i="30"/>
  <c r="SQZ364" i="30"/>
  <c r="SRA364" i="30"/>
  <c r="SRB364" i="30"/>
  <c r="SRC364" i="30"/>
  <c r="SRD364" i="30"/>
  <c r="SRE364" i="30"/>
  <c r="SRF364" i="30"/>
  <c r="SRG364" i="30"/>
  <c r="SRH364" i="30"/>
  <c r="SRI364" i="30"/>
  <c r="SRJ364" i="30"/>
  <c r="SRK364" i="30"/>
  <c r="SRL364" i="30"/>
  <c r="SRM364" i="30"/>
  <c r="SRN364" i="30"/>
  <c r="SRO364" i="30"/>
  <c r="SRP364" i="30"/>
  <c r="SRQ364" i="30"/>
  <c r="SRR364" i="30"/>
  <c r="SRS364" i="30"/>
  <c r="SRT364" i="30"/>
  <c r="SRU364" i="30"/>
  <c r="SRV364" i="30"/>
  <c r="SRW364" i="30"/>
  <c r="SRX364" i="30"/>
  <c r="SRY364" i="30"/>
  <c r="SRZ364" i="30"/>
  <c r="SSA364" i="30"/>
  <c r="SSB364" i="30"/>
  <c r="SSC364" i="30"/>
  <c r="SSD364" i="30"/>
  <c r="SSE364" i="30"/>
  <c r="SSF364" i="30"/>
  <c r="SSG364" i="30"/>
  <c r="SSH364" i="30"/>
  <c r="SSI364" i="30"/>
  <c r="SSJ364" i="30"/>
  <c r="SSK364" i="30"/>
  <c r="SSL364" i="30"/>
  <c r="SSM364" i="30"/>
  <c r="SSN364" i="30"/>
  <c r="SSO364" i="30"/>
  <c r="SSP364" i="30"/>
  <c r="SSQ364" i="30"/>
  <c r="SSR364" i="30"/>
  <c r="SSS364" i="30"/>
  <c r="SST364" i="30"/>
  <c r="SSU364" i="30"/>
  <c r="SSV364" i="30"/>
  <c r="SSW364" i="30"/>
  <c r="SSX364" i="30"/>
  <c r="SSY364" i="30"/>
  <c r="SSZ364" i="30"/>
  <c r="STA364" i="30"/>
  <c r="STB364" i="30"/>
  <c r="STC364" i="30"/>
  <c r="STD364" i="30"/>
  <c r="STE364" i="30"/>
  <c r="STF364" i="30"/>
  <c r="STG364" i="30"/>
  <c r="STH364" i="30"/>
  <c r="STI364" i="30"/>
  <c r="STJ364" i="30"/>
  <c r="STK364" i="30"/>
  <c r="STL364" i="30"/>
  <c r="STM364" i="30"/>
  <c r="STN364" i="30"/>
  <c r="STO364" i="30"/>
  <c r="STP364" i="30"/>
  <c r="STQ364" i="30"/>
  <c r="STR364" i="30"/>
  <c r="STS364" i="30"/>
  <c r="STT364" i="30"/>
  <c r="STU364" i="30"/>
  <c r="STV364" i="30"/>
  <c r="STW364" i="30"/>
  <c r="STX364" i="30"/>
  <c r="STY364" i="30"/>
  <c r="STZ364" i="30"/>
  <c r="SUA364" i="30"/>
  <c r="SUB364" i="30"/>
  <c r="SUC364" i="30"/>
  <c r="SUD364" i="30"/>
  <c r="SUE364" i="30"/>
  <c r="SUF364" i="30"/>
  <c r="SUG364" i="30"/>
  <c r="SUH364" i="30"/>
  <c r="SUI364" i="30"/>
  <c r="SUJ364" i="30"/>
  <c r="SUK364" i="30"/>
  <c r="SUL364" i="30"/>
  <c r="SUM364" i="30"/>
  <c r="SUN364" i="30"/>
  <c r="SUO364" i="30"/>
  <c r="SUP364" i="30"/>
  <c r="SUQ364" i="30"/>
  <c r="SUR364" i="30"/>
  <c r="SUS364" i="30"/>
  <c r="SUT364" i="30"/>
  <c r="SUU364" i="30"/>
  <c r="SUV364" i="30"/>
  <c r="SUW364" i="30"/>
  <c r="SUX364" i="30"/>
  <c r="SUY364" i="30"/>
  <c r="SUZ364" i="30"/>
  <c r="SVA364" i="30"/>
  <c r="SVB364" i="30"/>
  <c r="SVC364" i="30"/>
  <c r="SVD364" i="30"/>
  <c r="SVE364" i="30"/>
  <c r="SVF364" i="30"/>
  <c r="SVG364" i="30"/>
  <c r="SVH364" i="30"/>
  <c r="SVI364" i="30"/>
  <c r="SVJ364" i="30"/>
  <c r="SVK364" i="30"/>
  <c r="SVL364" i="30"/>
  <c r="SVM364" i="30"/>
  <c r="SVN364" i="30"/>
  <c r="SVO364" i="30"/>
  <c r="SVP364" i="30"/>
  <c r="SVQ364" i="30"/>
  <c r="SVR364" i="30"/>
  <c r="SVS364" i="30"/>
  <c r="SVT364" i="30"/>
  <c r="SVU364" i="30"/>
  <c r="SVV364" i="30"/>
  <c r="SVW364" i="30"/>
  <c r="SVX364" i="30"/>
  <c r="SVY364" i="30"/>
  <c r="SVZ364" i="30"/>
  <c r="SWA364" i="30"/>
  <c r="SWB364" i="30"/>
  <c r="SWC364" i="30"/>
  <c r="SWD364" i="30"/>
  <c r="SWE364" i="30"/>
  <c r="SWF364" i="30"/>
  <c r="SWG364" i="30"/>
  <c r="SWH364" i="30"/>
  <c r="SWI364" i="30"/>
  <c r="SWJ364" i="30"/>
  <c r="SWK364" i="30"/>
  <c r="SWL364" i="30"/>
  <c r="SWM364" i="30"/>
  <c r="SWN364" i="30"/>
  <c r="SWO364" i="30"/>
  <c r="SWP364" i="30"/>
  <c r="SWQ364" i="30"/>
  <c r="SWR364" i="30"/>
  <c r="SWS364" i="30"/>
  <c r="SWT364" i="30"/>
  <c r="SWU364" i="30"/>
  <c r="SWV364" i="30"/>
  <c r="SWW364" i="30"/>
  <c r="SWX364" i="30"/>
  <c r="SWY364" i="30"/>
  <c r="SWZ364" i="30"/>
  <c r="SXA364" i="30"/>
  <c r="SXB364" i="30"/>
  <c r="SXC364" i="30"/>
  <c r="SXD364" i="30"/>
  <c r="SXE364" i="30"/>
  <c r="SXF364" i="30"/>
  <c r="SXG364" i="30"/>
  <c r="SXH364" i="30"/>
  <c r="SXI364" i="30"/>
  <c r="SXJ364" i="30"/>
  <c r="SXK364" i="30"/>
  <c r="SXL364" i="30"/>
  <c r="SXM364" i="30"/>
  <c r="SXN364" i="30"/>
  <c r="SXO364" i="30"/>
  <c r="SXP364" i="30"/>
  <c r="SXQ364" i="30"/>
  <c r="SXR364" i="30"/>
  <c r="SXS364" i="30"/>
  <c r="SXT364" i="30"/>
  <c r="SXU364" i="30"/>
  <c r="SXV364" i="30"/>
  <c r="SXW364" i="30"/>
  <c r="SXX364" i="30"/>
  <c r="SXY364" i="30"/>
  <c r="SXZ364" i="30"/>
  <c r="SYA364" i="30"/>
  <c r="SYB364" i="30"/>
  <c r="SYC364" i="30"/>
  <c r="SYD364" i="30"/>
  <c r="SYE364" i="30"/>
  <c r="SYF364" i="30"/>
  <c r="SYG364" i="30"/>
  <c r="SYH364" i="30"/>
  <c r="SYI364" i="30"/>
  <c r="SYJ364" i="30"/>
  <c r="SYK364" i="30"/>
  <c r="SYL364" i="30"/>
  <c r="SYM364" i="30"/>
  <c r="SYN364" i="30"/>
  <c r="SYO364" i="30"/>
  <c r="SYP364" i="30"/>
  <c r="SYQ364" i="30"/>
  <c r="SYR364" i="30"/>
  <c r="SYS364" i="30"/>
  <c r="SYT364" i="30"/>
  <c r="SYU364" i="30"/>
  <c r="SYV364" i="30"/>
  <c r="SYW364" i="30"/>
  <c r="SYX364" i="30"/>
  <c r="SYY364" i="30"/>
  <c r="SYZ364" i="30"/>
  <c r="SZA364" i="30"/>
  <c r="SZB364" i="30"/>
  <c r="SZC364" i="30"/>
  <c r="SZD364" i="30"/>
  <c r="SZE364" i="30"/>
  <c r="SZF364" i="30"/>
  <c r="SZG364" i="30"/>
  <c r="SZH364" i="30"/>
  <c r="SZI364" i="30"/>
  <c r="SZJ364" i="30"/>
  <c r="SZK364" i="30"/>
  <c r="SZL364" i="30"/>
  <c r="SZM364" i="30"/>
  <c r="SZN364" i="30"/>
  <c r="SZO364" i="30"/>
  <c r="SZP364" i="30"/>
  <c r="SZQ364" i="30"/>
  <c r="SZR364" i="30"/>
  <c r="SZS364" i="30"/>
  <c r="SZT364" i="30"/>
  <c r="SZU364" i="30"/>
  <c r="SZV364" i="30"/>
  <c r="SZW364" i="30"/>
  <c r="SZX364" i="30"/>
  <c r="SZY364" i="30"/>
  <c r="SZZ364" i="30"/>
  <c r="TAA364" i="30"/>
  <c r="TAB364" i="30"/>
  <c r="TAC364" i="30"/>
  <c r="TAD364" i="30"/>
  <c r="TAE364" i="30"/>
  <c r="TAF364" i="30"/>
  <c r="TAG364" i="30"/>
  <c r="TAH364" i="30"/>
  <c r="TAI364" i="30"/>
  <c r="TAJ364" i="30"/>
  <c r="TAK364" i="30"/>
  <c r="TAL364" i="30"/>
  <c r="TAM364" i="30"/>
  <c r="TAN364" i="30"/>
  <c r="TAO364" i="30"/>
  <c r="TAP364" i="30"/>
  <c r="TAQ364" i="30"/>
  <c r="TAR364" i="30"/>
  <c r="TAS364" i="30"/>
  <c r="TAT364" i="30"/>
  <c r="TAU364" i="30"/>
  <c r="TAV364" i="30"/>
  <c r="TAW364" i="30"/>
  <c r="TAX364" i="30"/>
  <c r="TAY364" i="30"/>
  <c r="TAZ364" i="30"/>
  <c r="TBA364" i="30"/>
  <c r="TBB364" i="30"/>
  <c r="TBC364" i="30"/>
  <c r="TBD364" i="30"/>
  <c r="TBE364" i="30"/>
  <c r="TBF364" i="30"/>
  <c r="TBG364" i="30"/>
  <c r="TBH364" i="30"/>
  <c r="TBI364" i="30"/>
  <c r="TBJ364" i="30"/>
  <c r="TBK364" i="30"/>
  <c r="TBL364" i="30"/>
  <c r="TBM364" i="30"/>
  <c r="TBN364" i="30"/>
  <c r="TBO364" i="30"/>
  <c r="TBP364" i="30"/>
  <c r="TBQ364" i="30"/>
  <c r="TBR364" i="30"/>
  <c r="TBS364" i="30"/>
  <c r="TBT364" i="30"/>
  <c r="TBU364" i="30"/>
  <c r="TBV364" i="30"/>
  <c r="TBW364" i="30"/>
  <c r="TBX364" i="30"/>
  <c r="TBY364" i="30"/>
  <c r="TBZ364" i="30"/>
  <c r="TCA364" i="30"/>
  <c r="TCB364" i="30"/>
  <c r="TCC364" i="30"/>
  <c r="TCD364" i="30"/>
  <c r="TCE364" i="30"/>
  <c r="TCF364" i="30"/>
  <c r="TCG364" i="30"/>
  <c r="TCH364" i="30"/>
  <c r="TCI364" i="30"/>
  <c r="TCJ364" i="30"/>
  <c r="TCK364" i="30"/>
  <c r="TCL364" i="30"/>
  <c r="TCM364" i="30"/>
  <c r="TCN364" i="30"/>
  <c r="TCO364" i="30"/>
  <c r="TCP364" i="30"/>
  <c r="TCQ364" i="30"/>
  <c r="TCR364" i="30"/>
  <c r="TCS364" i="30"/>
  <c r="TCT364" i="30"/>
  <c r="TCU364" i="30"/>
  <c r="TCV364" i="30"/>
  <c r="TCW364" i="30"/>
  <c r="TCX364" i="30"/>
  <c r="TCY364" i="30"/>
  <c r="TCZ364" i="30"/>
  <c r="TDA364" i="30"/>
  <c r="TDB364" i="30"/>
  <c r="TDC364" i="30"/>
  <c r="TDD364" i="30"/>
  <c r="TDE364" i="30"/>
  <c r="TDF364" i="30"/>
  <c r="TDG364" i="30"/>
  <c r="TDH364" i="30"/>
  <c r="TDI364" i="30"/>
  <c r="TDJ364" i="30"/>
  <c r="TDK364" i="30"/>
  <c r="TDL364" i="30"/>
  <c r="TDM364" i="30"/>
  <c r="TDN364" i="30"/>
  <c r="TDO364" i="30"/>
  <c r="TDP364" i="30"/>
  <c r="TDQ364" i="30"/>
  <c r="TDR364" i="30"/>
  <c r="TDS364" i="30"/>
  <c r="TDT364" i="30"/>
  <c r="TDU364" i="30"/>
  <c r="TDV364" i="30"/>
  <c r="TDW364" i="30"/>
  <c r="TDX364" i="30"/>
  <c r="TDY364" i="30"/>
  <c r="TDZ364" i="30"/>
  <c r="TEA364" i="30"/>
  <c r="TEB364" i="30"/>
  <c r="TEC364" i="30"/>
  <c r="TED364" i="30"/>
  <c r="TEE364" i="30"/>
  <c r="TEF364" i="30"/>
  <c r="TEG364" i="30"/>
  <c r="TEH364" i="30"/>
  <c r="TEI364" i="30"/>
  <c r="TEJ364" i="30"/>
  <c r="TEK364" i="30"/>
  <c r="TEL364" i="30"/>
  <c r="TEM364" i="30"/>
  <c r="TEN364" i="30"/>
  <c r="TEO364" i="30"/>
  <c r="TEP364" i="30"/>
  <c r="TEQ364" i="30"/>
  <c r="TER364" i="30"/>
  <c r="TES364" i="30"/>
  <c r="TET364" i="30"/>
  <c r="TEU364" i="30"/>
  <c r="TEV364" i="30"/>
  <c r="TEW364" i="30"/>
  <c r="TEX364" i="30"/>
  <c r="TEY364" i="30"/>
  <c r="TEZ364" i="30"/>
  <c r="TFA364" i="30"/>
  <c r="TFB364" i="30"/>
  <c r="TFC364" i="30"/>
  <c r="TFD364" i="30"/>
  <c r="TFE364" i="30"/>
  <c r="TFF364" i="30"/>
  <c r="TFG364" i="30"/>
  <c r="TFH364" i="30"/>
  <c r="TFI364" i="30"/>
  <c r="TFJ364" i="30"/>
  <c r="TFK364" i="30"/>
  <c r="TFL364" i="30"/>
  <c r="TFM364" i="30"/>
  <c r="TFN364" i="30"/>
  <c r="TFO364" i="30"/>
  <c r="TFP364" i="30"/>
  <c r="TFQ364" i="30"/>
  <c r="TFR364" i="30"/>
  <c r="TFS364" i="30"/>
  <c r="TFT364" i="30"/>
  <c r="TFU364" i="30"/>
  <c r="TFV364" i="30"/>
  <c r="TFW364" i="30"/>
  <c r="TFX364" i="30"/>
  <c r="TFY364" i="30"/>
  <c r="TFZ364" i="30"/>
  <c r="TGA364" i="30"/>
  <c r="TGB364" i="30"/>
  <c r="TGC364" i="30"/>
  <c r="TGD364" i="30"/>
  <c r="TGE364" i="30"/>
  <c r="TGF364" i="30"/>
  <c r="TGG364" i="30"/>
  <c r="TGH364" i="30"/>
  <c r="TGI364" i="30"/>
  <c r="TGJ364" i="30"/>
  <c r="TGK364" i="30"/>
  <c r="TGL364" i="30"/>
  <c r="TGM364" i="30"/>
  <c r="TGN364" i="30"/>
  <c r="TGO364" i="30"/>
  <c r="TGP364" i="30"/>
  <c r="TGQ364" i="30"/>
  <c r="TGR364" i="30"/>
  <c r="TGS364" i="30"/>
  <c r="TGT364" i="30"/>
  <c r="TGU364" i="30"/>
  <c r="TGV364" i="30"/>
  <c r="TGW364" i="30"/>
  <c r="TGX364" i="30"/>
  <c r="TGY364" i="30"/>
  <c r="TGZ364" i="30"/>
  <c r="THA364" i="30"/>
  <c r="THB364" i="30"/>
  <c r="THC364" i="30"/>
  <c r="THD364" i="30"/>
  <c r="THE364" i="30"/>
  <c r="THF364" i="30"/>
  <c r="THG364" i="30"/>
  <c r="THH364" i="30"/>
  <c r="THI364" i="30"/>
  <c r="THJ364" i="30"/>
  <c r="THK364" i="30"/>
  <c r="THL364" i="30"/>
  <c r="THM364" i="30"/>
  <c r="THN364" i="30"/>
  <c r="THO364" i="30"/>
  <c r="THP364" i="30"/>
  <c r="THQ364" i="30"/>
  <c r="THR364" i="30"/>
  <c r="THS364" i="30"/>
  <c r="THT364" i="30"/>
  <c r="THU364" i="30"/>
  <c r="THV364" i="30"/>
  <c r="THW364" i="30"/>
  <c r="THX364" i="30"/>
  <c r="THY364" i="30"/>
  <c r="THZ364" i="30"/>
  <c r="TIA364" i="30"/>
  <c r="TIB364" i="30"/>
  <c r="TIC364" i="30"/>
  <c r="TID364" i="30"/>
  <c r="TIE364" i="30"/>
  <c r="TIF364" i="30"/>
  <c r="TIG364" i="30"/>
  <c r="TIH364" i="30"/>
  <c r="TII364" i="30"/>
  <c r="TIJ364" i="30"/>
  <c r="TIK364" i="30"/>
  <c r="TIL364" i="30"/>
  <c r="TIM364" i="30"/>
  <c r="TIN364" i="30"/>
  <c r="TIO364" i="30"/>
  <c r="TIP364" i="30"/>
  <c r="TIQ364" i="30"/>
  <c r="TIR364" i="30"/>
  <c r="TIS364" i="30"/>
  <c r="TIT364" i="30"/>
  <c r="TIU364" i="30"/>
  <c r="TIV364" i="30"/>
  <c r="TIW364" i="30"/>
  <c r="TIX364" i="30"/>
  <c r="TIY364" i="30"/>
  <c r="TIZ364" i="30"/>
  <c r="TJA364" i="30"/>
  <c r="TJB364" i="30"/>
  <c r="TJC364" i="30"/>
  <c r="TJD364" i="30"/>
  <c r="TJE364" i="30"/>
  <c r="TJF364" i="30"/>
  <c r="TJG364" i="30"/>
  <c r="TJH364" i="30"/>
  <c r="TJI364" i="30"/>
  <c r="TJJ364" i="30"/>
  <c r="TJK364" i="30"/>
  <c r="TJL364" i="30"/>
  <c r="TJM364" i="30"/>
  <c r="TJN364" i="30"/>
  <c r="TJO364" i="30"/>
  <c r="TJP364" i="30"/>
  <c r="TJQ364" i="30"/>
  <c r="TJR364" i="30"/>
  <c r="TJS364" i="30"/>
  <c r="TJT364" i="30"/>
  <c r="TJU364" i="30"/>
  <c r="TJV364" i="30"/>
  <c r="TJW364" i="30"/>
  <c r="TJX364" i="30"/>
  <c r="TJY364" i="30"/>
  <c r="TJZ364" i="30"/>
  <c r="TKA364" i="30"/>
  <c r="TKB364" i="30"/>
  <c r="TKC364" i="30"/>
  <c r="TKD364" i="30"/>
  <c r="TKE364" i="30"/>
  <c r="TKF364" i="30"/>
  <c r="TKG364" i="30"/>
  <c r="TKH364" i="30"/>
  <c r="TKI364" i="30"/>
  <c r="TKJ364" i="30"/>
  <c r="TKK364" i="30"/>
  <c r="TKL364" i="30"/>
  <c r="TKM364" i="30"/>
  <c r="TKN364" i="30"/>
  <c r="TKO364" i="30"/>
  <c r="TKP364" i="30"/>
  <c r="TKQ364" i="30"/>
  <c r="TKR364" i="30"/>
  <c r="TKS364" i="30"/>
  <c r="TKT364" i="30"/>
  <c r="TKU364" i="30"/>
  <c r="TKV364" i="30"/>
  <c r="TKW364" i="30"/>
  <c r="TKX364" i="30"/>
  <c r="TKY364" i="30"/>
  <c r="TKZ364" i="30"/>
  <c r="TLA364" i="30"/>
  <c r="TLB364" i="30"/>
  <c r="TLC364" i="30"/>
  <c r="TLD364" i="30"/>
  <c r="TLE364" i="30"/>
  <c r="TLF364" i="30"/>
  <c r="TLG364" i="30"/>
  <c r="TLH364" i="30"/>
  <c r="TLI364" i="30"/>
  <c r="TLJ364" i="30"/>
  <c r="TLK364" i="30"/>
  <c r="TLL364" i="30"/>
  <c r="TLM364" i="30"/>
  <c r="TLN364" i="30"/>
  <c r="TLO364" i="30"/>
  <c r="TLP364" i="30"/>
  <c r="TLQ364" i="30"/>
  <c r="TLR364" i="30"/>
  <c r="TLS364" i="30"/>
  <c r="TLT364" i="30"/>
  <c r="TLU364" i="30"/>
  <c r="TLV364" i="30"/>
  <c r="TLW364" i="30"/>
  <c r="TLX364" i="30"/>
  <c r="TLY364" i="30"/>
  <c r="TLZ364" i="30"/>
  <c r="TMA364" i="30"/>
  <c r="TMB364" i="30"/>
  <c r="TMC364" i="30"/>
  <c r="TMD364" i="30"/>
  <c r="TME364" i="30"/>
  <c r="TMF364" i="30"/>
  <c r="TMG364" i="30"/>
  <c r="TMH364" i="30"/>
  <c r="TMI364" i="30"/>
  <c r="TMJ364" i="30"/>
  <c r="TMK364" i="30"/>
  <c r="TML364" i="30"/>
  <c r="TMM364" i="30"/>
  <c r="TMN364" i="30"/>
  <c r="TMO364" i="30"/>
  <c r="TMP364" i="30"/>
  <c r="TMQ364" i="30"/>
  <c r="TMR364" i="30"/>
  <c r="TMS364" i="30"/>
  <c r="TMT364" i="30"/>
  <c r="TMU364" i="30"/>
  <c r="TMV364" i="30"/>
  <c r="TMW364" i="30"/>
  <c r="TMX364" i="30"/>
  <c r="TMY364" i="30"/>
  <c r="TMZ364" i="30"/>
  <c r="TNA364" i="30"/>
  <c r="TNB364" i="30"/>
  <c r="TNC364" i="30"/>
  <c r="TND364" i="30"/>
  <c r="TNE364" i="30"/>
  <c r="TNF364" i="30"/>
  <c r="TNG364" i="30"/>
  <c r="TNH364" i="30"/>
  <c r="TNI364" i="30"/>
  <c r="TNJ364" i="30"/>
  <c r="TNK364" i="30"/>
  <c r="TNL364" i="30"/>
  <c r="TNM364" i="30"/>
  <c r="TNN364" i="30"/>
  <c r="TNO364" i="30"/>
  <c r="TNP364" i="30"/>
  <c r="TNQ364" i="30"/>
  <c r="TNR364" i="30"/>
  <c r="TNS364" i="30"/>
  <c r="TNT364" i="30"/>
  <c r="TNU364" i="30"/>
  <c r="TNV364" i="30"/>
  <c r="TNW364" i="30"/>
  <c r="TNX364" i="30"/>
  <c r="TNY364" i="30"/>
  <c r="TNZ364" i="30"/>
  <c r="TOA364" i="30"/>
  <c r="TOB364" i="30"/>
  <c r="TOC364" i="30"/>
  <c r="TOD364" i="30"/>
  <c r="TOE364" i="30"/>
  <c r="TOF364" i="30"/>
  <c r="TOG364" i="30"/>
  <c r="TOH364" i="30"/>
  <c r="TOI364" i="30"/>
  <c r="TOJ364" i="30"/>
  <c r="TOK364" i="30"/>
  <c r="TOL364" i="30"/>
  <c r="TOM364" i="30"/>
  <c r="TON364" i="30"/>
  <c r="TOO364" i="30"/>
  <c r="TOP364" i="30"/>
  <c r="TOQ364" i="30"/>
  <c r="TOR364" i="30"/>
  <c r="TOS364" i="30"/>
  <c r="TOT364" i="30"/>
  <c r="TOU364" i="30"/>
  <c r="TOV364" i="30"/>
  <c r="TOW364" i="30"/>
  <c r="TOX364" i="30"/>
  <c r="TOY364" i="30"/>
  <c r="TOZ364" i="30"/>
  <c r="TPA364" i="30"/>
  <c r="TPB364" i="30"/>
  <c r="TPC364" i="30"/>
  <c r="TPD364" i="30"/>
  <c r="TPE364" i="30"/>
  <c r="TPF364" i="30"/>
  <c r="TPG364" i="30"/>
  <c r="TPH364" i="30"/>
  <c r="TPI364" i="30"/>
  <c r="TPJ364" i="30"/>
  <c r="TPK364" i="30"/>
  <c r="TPL364" i="30"/>
  <c r="TPM364" i="30"/>
  <c r="TPN364" i="30"/>
  <c r="TPO364" i="30"/>
  <c r="TPP364" i="30"/>
  <c r="TPQ364" i="30"/>
  <c r="TPR364" i="30"/>
  <c r="TPS364" i="30"/>
  <c r="TPT364" i="30"/>
  <c r="TPU364" i="30"/>
  <c r="TPV364" i="30"/>
  <c r="TPW364" i="30"/>
  <c r="TPX364" i="30"/>
  <c r="TPY364" i="30"/>
  <c r="TPZ364" i="30"/>
  <c r="TQA364" i="30"/>
  <c r="TQB364" i="30"/>
  <c r="TQC364" i="30"/>
  <c r="TQD364" i="30"/>
  <c r="TQE364" i="30"/>
  <c r="TQF364" i="30"/>
  <c r="TQG364" i="30"/>
  <c r="TQH364" i="30"/>
  <c r="TQI364" i="30"/>
  <c r="TQJ364" i="30"/>
  <c r="TQK364" i="30"/>
  <c r="TQL364" i="30"/>
  <c r="TQM364" i="30"/>
  <c r="TQN364" i="30"/>
  <c r="TQO364" i="30"/>
  <c r="TQP364" i="30"/>
  <c r="TQQ364" i="30"/>
  <c r="TQR364" i="30"/>
  <c r="TQS364" i="30"/>
  <c r="TQT364" i="30"/>
  <c r="TQU364" i="30"/>
  <c r="TQV364" i="30"/>
  <c r="TQW364" i="30"/>
  <c r="TQX364" i="30"/>
  <c r="TQY364" i="30"/>
  <c r="TQZ364" i="30"/>
  <c r="TRA364" i="30"/>
  <c r="TRB364" i="30"/>
  <c r="TRC364" i="30"/>
  <c r="TRD364" i="30"/>
  <c r="TRE364" i="30"/>
  <c r="TRF364" i="30"/>
  <c r="TRG364" i="30"/>
  <c r="TRH364" i="30"/>
  <c r="TRI364" i="30"/>
  <c r="TRJ364" i="30"/>
  <c r="TRK364" i="30"/>
  <c r="TRL364" i="30"/>
  <c r="TRM364" i="30"/>
  <c r="TRN364" i="30"/>
  <c r="TRO364" i="30"/>
  <c r="TRP364" i="30"/>
  <c r="TRQ364" i="30"/>
  <c r="TRR364" i="30"/>
  <c r="TRS364" i="30"/>
  <c r="TRT364" i="30"/>
  <c r="TRU364" i="30"/>
  <c r="TRV364" i="30"/>
  <c r="TRW364" i="30"/>
  <c r="TRX364" i="30"/>
  <c r="TRY364" i="30"/>
  <c r="TRZ364" i="30"/>
  <c r="TSA364" i="30"/>
  <c r="TSB364" i="30"/>
  <c r="TSC364" i="30"/>
  <c r="TSD364" i="30"/>
  <c r="TSE364" i="30"/>
  <c r="TSF364" i="30"/>
  <c r="TSG364" i="30"/>
  <c r="TSH364" i="30"/>
  <c r="TSI364" i="30"/>
  <c r="TSJ364" i="30"/>
  <c r="TSK364" i="30"/>
  <c r="TSL364" i="30"/>
  <c r="TSM364" i="30"/>
  <c r="TSN364" i="30"/>
  <c r="TSO364" i="30"/>
  <c r="TSP364" i="30"/>
  <c r="TSQ364" i="30"/>
  <c r="TSR364" i="30"/>
  <c r="TSS364" i="30"/>
  <c r="TST364" i="30"/>
  <c r="TSU364" i="30"/>
  <c r="TSV364" i="30"/>
  <c r="TSW364" i="30"/>
  <c r="TSX364" i="30"/>
  <c r="TSY364" i="30"/>
  <c r="TSZ364" i="30"/>
  <c r="TTA364" i="30"/>
  <c r="TTB364" i="30"/>
  <c r="TTC364" i="30"/>
  <c r="TTD364" i="30"/>
  <c r="TTE364" i="30"/>
  <c r="TTF364" i="30"/>
  <c r="TTG364" i="30"/>
  <c r="TTH364" i="30"/>
  <c r="TTI364" i="30"/>
  <c r="TTJ364" i="30"/>
  <c r="TTK364" i="30"/>
  <c r="TTL364" i="30"/>
  <c r="TTM364" i="30"/>
  <c r="TTN364" i="30"/>
  <c r="TTO364" i="30"/>
  <c r="TTP364" i="30"/>
  <c r="TTQ364" i="30"/>
  <c r="TTR364" i="30"/>
  <c r="TTS364" i="30"/>
  <c r="TTT364" i="30"/>
  <c r="TTU364" i="30"/>
  <c r="TTV364" i="30"/>
  <c r="TTW364" i="30"/>
  <c r="TTX364" i="30"/>
  <c r="TTY364" i="30"/>
  <c r="TTZ364" i="30"/>
  <c r="TUA364" i="30"/>
  <c r="TUB364" i="30"/>
  <c r="TUC364" i="30"/>
  <c r="TUD364" i="30"/>
  <c r="TUE364" i="30"/>
  <c r="TUF364" i="30"/>
  <c r="TUG364" i="30"/>
  <c r="TUH364" i="30"/>
  <c r="TUI364" i="30"/>
  <c r="TUJ364" i="30"/>
  <c r="TUK364" i="30"/>
  <c r="TUL364" i="30"/>
  <c r="TUM364" i="30"/>
  <c r="TUN364" i="30"/>
  <c r="TUO364" i="30"/>
  <c r="TUP364" i="30"/>
  <c r="TUQ364" i="30"/>
  <c r="TUR364" i="30"/>
  <c r="TUS364" i="30"/>
  <c r="TUT364" i="30"/>
  <c r="TUU364" i="30"/>
  <c r="TUV364" i="30"/>
  <c r="TUW364" i="30"/>
  <c r="TUX364" i="30"/>
  <c r="TUY364" i="30"/>
  <c r="TUZ364" i="30"/>
  <c r="TVA364" i="30"/>
  <c r="TVB364" i="30"/>
  <c r="TVC364" i="30"/>
  <c r="TVD364" i="30"/>
  <c r="TVE364" i="30"/>
  <c r="TVF364" i="30"/>
  <c r="TVG364" i="30"/>
  <c r="TVH364" i="30"/>
  <c r="TVI364" i="30"/>
  <c r="TVJ364" i="30"/>
  <c r="TVK364" i="30"/>
  <c r="TVL364" i="30"/>
  <c r="TVM364" i="30"/>
  <c r="TVN364" i="30"/>
  <c r="TVO364" i="30"/>
  <c r="TVP364" i="30"/>
  <c r="TVQ364" i="30"/>
  <c r="TVR364" i="30"/>
  <c r="TVS364" i="30"/>
  <c r="TVT364" i="30"/>
  <c r="TVU364" i="30"/>
  <c r="TVV364" i="30"/>
  <c r="TVW364" i="30"/>
  <c r="TVX364" i="30"/>
  <c r="TVY364" i="30"/>
  <c r="TVZ364" i="30"/>
  <c r="TWA364" i="30"/>
  <c r="TWB364" i="30"/>
  <c r="TWC364" i="30"/>
  <c r="TWD364" i="30"/>
  <c r="TWE364" i="30"/>
  <c r="TWF364" i="30"/>
  <c r="TWG364" i="30"/>
  <c r="TWH364" i="30"/>
  <c r="TWI364" i="30"/>
  <c r="TWJ364" i="30"/>
  <c r="TWK364" i="30"/>
  <c r="TWL364" i="30"/>
  <c r="TWM364" i="30"/>
  <c r="TWN364" i="30"/>
  <c r="TWO364" i="30"/>
  <c r="TWP364" i="30"/>
  <c r="TWQ364" i="30"/>
  <c r="TWR364" i="30"/>
  <c r="TWS364" i="30"/>
  <c r="TWT364" i="30"/>
  <c r="TWU364" i="30"/>
  <c r="TWV364" i="30"/>
  <c r="TWW364" i="30"/>
  <c r="TWX364" i="30"/>
  <c r="TWY364" i="30"/>
  <c r="TWZ364" i="30"/>
  <c r="TXA364" i="30"/>
  <c r="TXB364" i="30"/>
  <c r="TXC364" i="30"/>
  <c r="TXD364" i="30"/>
  <c r="TXE364" i="30"/>
  <c r="TXF364" i="30"/>
  <c r="TXG364" i="30"/>
  <c r="TXH364" i="30"/>
  <c r="TXI364" i="30"/>
  <c r="TXJ364" i="30"/>
  <c r="TXK364" i="30"/>
  <c r="TXL364" i="30"/>
  <c r="TXM364" i="30"/>
  <c r="TXN364" i="30"/>
  <c r="TXO364" i="30"/>
  <c r="TXP364" i="30"/>
  <c r="TXQ364" i="30"/>
  <c r="TXR364" i="30"/>
  <c r="TXS364" i="30"/>
  <c r="TXT364" i="30"/>
  <c r="TXU364" i="30"/>
  <c r="TXV364" i="30"/>
  <c r="TXW364" i="30"/>
  <c r="TXX364" i="30"/>
  <c r="TXY364" i="30"/>
  <c r="TXZ364" i="30"/>
  <c r="TYA364" i="30"/>
  <c r="TYB364" i="30"/>
  <c r="TYC364" i="30"/>
  <c r="TYD364" i="30"/>
  <c r="TYE364" i="30"/>
  <c r="TYF364" i="30"/>
  <c r="TYG364" i="30"/>
  <c r="TYH364" i="30"/>
  <c r="TYI364" i="30"/>
  <c r="TYJ364" i="30"/>
  <c r="TYK364" i="30"/>
  <c r="TYL364" i="30"/>
  <c r="TYM364" i="30"/>
  <c r="TYN364" i="30"/>
  <c r="TYO364" i="30"/>
  <c r="TYP364" i="30"/>
  <c r="TYQ364" i="30"/>
  <c r="TYR364" i="30"/>
  <c r="TYS364" i="30"/>
  <c r="TYT364" i="30"/>
  <c r="TYU364" i="30"/>
  <c r="TYV364" i="30"/>
  <c r="TYW364" i="30"/>
  <c r="TYX364" i="30"/>
  <c r="TYY364" i="30"/>
  <c r="TYZ364" i="30"/>
  <c r="TZA364" i="30"/>
  <c r="TZB364" i="30"/>
  <c r="TZC364" i="30"/>
  <c r="TZD364" i="30"/>
  <c r="TZE364" i="30"/>
  <c r="TZF364" i="30"/>
  <c r="TZG364" i="30"/>
  <c r="TZH364" i="30"/>
  <c r="TZI364" i="30"/>
  <c r="TZJ364" i="30"/>
  <c r="TZK364" i="30"/>
  <c r="TZL364" i="30"/>
  <c r="TZM364" i="30"/>
  <c r="TZN364" i="30"/>
  <c r="TZO364" i="30"/>
  <c r="TZP364" i="30"/>
  <c r="TZQ364" i="30"/>
  <c r="TZR364" i="30"/>
  <c r="TZS364" i="30"/>
  <c r="TZT364" i="30"/>
  <c r="TZU364" i="30"/>
  <c r="TZV364" i="30"/>
  <c r="TZW364" i="30"/>
  <c r="TZX364" i="30"/>
  <c r="TZY364" i="30"/>
  <c r="TZZ364" i="30"/>
  <c r="UAA364" i="30"/>
  <c r="UAB364" i="30"/>
  <c r="UAC364" i="30"/>
  <c r="UAD364" i="30"/>
  <c r="UAE364" i="30"/>
  <c r="UAF364" i="30"/>
  <c r="UAG364" i="30"/>
  <c r="UAH364" i="30"/>
  <c r="UAI364" i="30"/>
  <c r="UAJ364" i="30"/>
  <c r="UAK364" i="30"/>
  <c r="UAL364" i="30"/>
  <c r="UAM364" i="30"/>
  <c r="UAN364" i="30"/>
  <c r="UAO364" i="30"/>
  <c r="UAP364" i="30"/>
  <c r="UAQ364" i="30"/>
  <c r="UAR364" i="30"/>
  <c r="UAS364" i="30"/>
  <c r="UAT364" i="30"/>
  <c r="UAU364" i="30"/>
  <c r="UAV364" i="30"/>
  <c r="UAW364" i="30"/>
  <c r="UAX364" i="30"/>
  <c r="UAY364" i="30"/>
  <c r="UAZ364" i="30"/>
  <c r="UBA364" i="30"/>
  <c r="UBB364" i="30"/>
  <c r="UBC364" i="30"/>
  <c r="UBD364" i="30"/>
  <c r="UBE364" i="30"/>
  <c r="UBF364" i="30"/>
  <c r="UBG364" i="30"/>
  <c r="UBH364" i="30"/>
  <c r="UBI364" i="30"/>
  <c r="UBJ364" i="30"/>
  <c r="UBK364" i="30"/>
  <c r="UBL364" i="30"/>
  <c r="UBM364" i="30"/>
  <c r="UBN364" i="30"/>
  <c r="UBO364" i="30"/>
  <c r="UBP364" i="30"/>
  <c r="UBQ364" i="30"/>
  <c r="UBR364" i="30"/>
  <c r="UBS364" i="30"/>
  <c r="UBT364" i="30"/>
  <c r="UBU364" i="30"/>
  <c r="UBV364" i="30"/>
  <c r="UBW364" i="30"/>
  <c r="UBX364" i="30"/>
  <c r="UBY364" i="30"/>
  <c r="UBZ364" i="30"/>
  <c r="UCA364" i="30"/>
  <c r="UCB364" i="30"/>
  <c r="UCC364" i="30"/>
  <c r="UCD364" i="30"/>
  <c r="UCE364" i="30"/>
  <c r="UCF364" i="30"/>
  <c r="UCG364" i="30"/>
  <c r="UCH364" i="30"/>
  <c r="UCI364" i="30"/>
  <c r="UCJ364" i="30"/>
  <c r="UCK364" i="30"/>
  <c r="UCL364" i="30"/>
  <c r="UCM364" i="30"/>
  <c r="UCN364" i="30"/>
  <c r="UCO364" i="30"/>
  <c r="UCP364" i="30"/>
  <c r="UCQ364" i="30"/>
  <c r="UCR364" i="30"/>
  <c r="UCS364" i="30"/>
  <c r="UCT364" i="30"/>
  <c r="UCU364" i="30"/>
  <c r="UCV364" i="30"/>
  <c r="UCW364" i="30"/>
  <c r="UCX364" i="30"/>
  <c r="UCY364" i="30"/>
  <c r="UCZ364" i="30"/>
  <c r="UDA364" i="30"/>
  <c r="UDB364" i="30"/>
  <c r="UDC364" i="30"/>
  <c r="UDD364" i="30"/>
  <c r="UDE364" i="30"/>
  <c r="UDF364" i="30"/>
  <c r="UDG364" i="30"/>
  <c r="UDH364" i="30"/>
  <c r="UDI364" i="30"/>
  <c r="UDJ364" i="30"/>
  <c r="UDK364" i="30"/>
  <c r="UDL364" i="30"/>
  <c r="UDM364" i="30"/>
  <c r="UDN364" i="30"/>
  <c r="UDO364" i="30"/>
  <c r="UDP364" i="30"/>
  <c r="UDQ364" i="30"/>
  <c r="UDR364" i="30"/>
  <c r="UDS364" i="30"/>
  <c r="UDT364" i="30"/>
  <c r="UDU364" i="30"/>
  <c r="UDV364" i="30"/>
  <c r="UDW364" i="30"/>
  <c r="UDX364" i="30"/>
  <c r="UDY364" i="30"/>
  <c r="UDZ364" i="30"/>
  <c r="UEA364" i="30"/>
  <c r="UEB364" i="30"/>
  <c r="UEC364" i="30"/>
  <c r="UED364" i="30"/>
  <c r="UEE364" i="30"/>
  <c r="UEF364" i="30"/>
  <c r="UEG364" i="30"/>
  <c r="UEH364" i="30"/>
  <c r="UEI364" i="30"/>
  <c r="UEJ364" i="30"/>
  <c r="UEK364" i="30"/>
  <c r="UEL364" i="30"/>
  <c r="UEM364" i="30"/>
  <c r="UEN364" i="30"/>
  <c r="UEO364" i="30"/>
  <c r="UEP364" i="30"/>
  <c r="UEQ364" i="30"/>
  <c r="UER364" i="30"/>
  <c r="UES364" i="30"/>
  <c r="UET364" i="30"/>
  <c r="UEU364" i="30"/>
  <c r="UEV364" i="30"/>
  <c r="UEW364" i="30"/>
  <c r="UEX364" i="30"/>
  <c r="UEY364" i="30"/>
  <c r="UEZ364" i="30"/>
  <c r="UFA364" i="30"/>
  <c r="UFB364" i="30"/>
  <c r="UFC364" i="30"/>
  <c r="UFD364" i="30"/>
  <c r="UFE364" i="30"/>
  <c r="UFF364" i="30"/>
  <c r="UFG364" i="30"/>
  <c r="UFH364" i="30"/>
  <c r="UFI364" i="30"/>
  <c r="UFJ364" i="30"/>
  <c r="UFK364" i="30"/>
  <c r="UFL364" i="30"/>
  <c r="UFM364" i="30"/>
  <c r="UFN364" i="30"/>
  <c r="UFO364" i="30"/>
  <c r="UFP364" i="30"/>
  <c r="UFQ364" i="30"/>
  <c r="UFR364" i="30"/>
  <c r="UFS364" i="30"/>
  <c r="UFT364" i="30"/>
  <c r="UFU364" i="30"/>
  <c r="UFV364" i="30"/>
  <c r="UFW364" i="30"/>
  <c r="UFX364" i="30"/>
  <c r="UFY364" i="30"/>
  <c r="UFZ364" i="30"/>
  <c r="UGA364" i="30"/>
  <c r="UGB364" i="30"/>
  <c r="UGC364" i="30"/>
  <c r="UGD364" i="30"/>
  <c r="UGE364" i="30"/>
  <c r="UGF364" i="30"/>
  <c r="UGG364" i="30"/>
  <c r="UGH364" i="30"/>
  <c r="UGI364" i="30"/>
  <c r="UGJ364" i="30"/>
  <c r="UGK364" i="30"/>
  <c r="UGL364" i="30"/>
  <c r="UGM364" i="30"/>
  <c r="UGN364" i="30"/>
  <c r="UGO364" i="30"/>
  <c r="UGP364" i="30"/>
  <c r="UGQ364" i="30"/>
  <c r="UGR364" i="30"/>
  <c r="UGS364" i="30"/>
  <c r="UGT364" i="30"/>
  <c r="UGU364" i="30"/>
  <c r="UGV364" i="30"/>
  <c r="UGW364" i="30"/>
  <c r="UGX364" i="30"/>
  <c r="UGY364" i="30"/>
  <c r="UGZ364" i="30"/>
  <c r="UHA364" i="30"/>
  <c r="UHB364" i="30"/>
  <c r="UHC364" i="30"/>
  <c r="UHD364" i="30"/>
  <c r="UHE364" i="30"/>
  <c r="UHF364" i="30"/>
  <c r="UHG364" i="30"/>
  <c r="UHH364" i="30"/>
  <c r="UHI364" i="30"/>
  <c r="UHJ364" i="30"/>
  <c r="UHK364" i="30"/>
  <c r="UHL364" i="30"/>
  <c r="UHM364" i="30"/>
  <c r="UHN364" i="30"/>
  <c r="UHO364" i="30"/>
  <c r="UHP364" i="30"/>
  <c r="UHQ364" i="30"/>
  <c r="UHR364" i="30"/>
  <c r="UHS364" i="30"/>
  <c r="UHT364" i="30"/>
  <c r="UHU364" i="30"/>
  <c r="UHV364" i="30"/>
  <c r="UHW364" i="30"/>
  <c r="UHX364" i="30"/>
  <c r="UHY364" i="30"/>
  <c r="UHZ364" i="30"/>
  <c r="UIA364" i="30"/>
  <c r="UIB364" i="30"/>
  <c r="UIC364" i="30"/>
  <c r="UID364" i="30"/>
  <c r="UIE364" i="30"/>
  <c r="UIF364" i="30"/>
  <c r="UIG364" i="30"/>
  <c r="UIH364" i="30"/>
  <c r="UII364" i="30"/>
  <c r="UIJ364" i="30"/>
  <c r="UIK364" i="30"/>
  <c r="UIL364" i="30"/>
  <c r="UIM364" i="30"/>
  <c r="UIN364" i="30"/>
  <c r="UIO364" i="30"/>
  <c r="UIP364" i="30"/>
  <c r="UIQ364" i="30"/>
  <c r="UIR364" i="30"/>
  <c r="UIS364" i="30"/>
  <c r="UIT364" i="30"/>
  <c r="UIU364" i="30"/>
  <c r="UIV364" i="30"/>
  <c r="UIW364" i="30"/>
  <c r="UIX364" i="30"/>
  <c r="UIY364" i="30"/>
  <c r="UIZ364" i="30"/>
  <c r="UJA364" i="30"/>
  <c r="UJB364" i="30"/>
  <c r="UJC364" i="30"/>
  <c r="UJD364" i="30"/>
  <c r="UJE364" i="30"/>
  <c r="UJF364" i="30"/>
  <c r="UJG364" i="30"/>
  <c r="UJH364" i="30"/>
  <c r="UJI364" i="30"/>
  <c r="UJJ364" i="30"/>
  <c r="UJK364" i="30"/>
  <c r="UJL364" i="30"/>
  <c r="UJM364" i="30"/>
  <c r="UJN364" i="30"/>
  <c r="UJO364" i="30"/>
  <c r="UJP364" i="30"/>
  <c r="UJQ364" i="30"/>
  <c r="UJR364" i="30"/>
  <c r="UJS364" i="30"/>
  <c r="UJT364" i="30"/>
  <c r="UJU364" i="30"/>
  <c r="UJV364" i="30"/>
  <c r="UJW364" i="30"/>
  <c r="UJX364" i="30"/>
  <c r="UJY364" i="30"/>
  <c r="UJZ364" i="30"/>
  <c r="UKA364" i="30"/>
  <c r="UKB364" i="30"/>
  <c r="UKC364" i="30"/>
  <c r="UKD364" i="30"/>
  <c r="UKE364" i="30"/>
  <c r="UKF364" i="30"/>
  <c r="UKG364" i="30"/>
  <c r="UKH364" i="30"/>
  <c r="UKI364" i="30"/>
  <c r="UKJ364" i="30"/>
  <c r="UKK364" i="30"/>
  <c r="UKL364" i="30"/>
  <c r="UKM364" i="30"/>
  <c r="UKN364" i="30"/>
  <c r="UKO364" i="30"/>
  <c r="UKP364" i="30"/>
  <c r="UKQ364" i="30"/>
  <c r="UKR364" i="30"/>
  <c r="UKS364" i="30"/>
  <c r="UKT364" i="30"/>
  <c r="UKU364" i="30"/>
  <c r="UKV364" i="30"/>
  <c r="UKW364" i="30"/>
  <c r="UKX364" i="30"/>
  <c r="UKY364" i="30"/>
  <c r="UKZ364" i="30"/>
  <c r="ULA364" i="30"/>
  <c r="ULB364" i="30"/>
  <c r="ULC364" i="30"/>
  <c r="ULD364" i="30"/>
  <c r="ULE364" i="30"/>
  <c r="ULF364" i="30"/>
  <c r="ULG364" i="30"/>
  <c r="ULH364" i="30"/>
  <c r="ULI364" i="30"/>
  <c r="ULJ364" i="30"/>
  <c r="ULK364" i="30"/>
  <c r="ULL364" i="30"/>
  <c r="ULM364" i="30"/>
  <c r="ULN364" i="30"/>
  <c r="ULO364" i="30"/>
  <c r="ULP364" i="30"/>
  <c r="ULQ364" i="30"/>
  <c r="ULR364" i="30"/>
  <c r="ULS364" i="30"/>
  <c r="ULT364" i="30"/>
  <c r="ULU364" i="30"/>
  <c r="ULV364" i="30"/>
  <c r="ULW364" i="30"/>
  <c r="ULX364" i="30"/>
  <c r="ULY364" i="30"/>
  <c r="ULZ364" i="30"/>
  <c r="UMA364" i="30"/>
  <c r="UMB364" i="30"/>
  <c r="UMC364" i="30"/>
  <c r="UMD364" i="30"/>
  <c r="UME364" i="30"/>
  <c r="UMF364" i="30"/>
  <c r="UMG364" i="30"/>
  <c r="UMH364" i="30"/>
  <c r="UMI364" i="30"/>
  <c r="UMJ364" i="30"/>
  <c r="UMK364" i="30"/>
  <c r="UML364" i="30"/>
  <c r="UMM364" i="30"/>
  <c r="UMN364" i="30"/>
  <c r="UMO364" i="30"/>
  <c r="UMP364" i="30"/>
  <c r="UMQ364" i="30"/>
  <c r="UMR364" i="30"/>
  <c r="UMS364" i="30"/>
  <c r="UMT364" i="30"/>
  <c r="UMU364" i="30"/>
  <c r="UMV364" i="30"/>
  <c r="UMW364" i="30"/>
  <c r="UMX364" i="30"/>
  <c r="UMY364" i="30"/>
  <c r="UMZ364" i="30"/>
  <c r="UNA364" i="30"/>
  <c r="UNB364" i="30"/>
  <c r="UNC364" i="30"/>
  <c r="UND364" i="30"/>
  <c r="UNE364" i="30"/>
  <c r="UNF364" i="30"/>
  <c r="UNG364" i="30"/>
  <c r="UNH364" i="30"/>
  <c r="UNI364" i="30"/>
  <c r="UNJ364" i="30"/>
  <c r="UNK364" i="30"/>
  <c r="UNL364" i="30"/>
  <c r="UNM364" i="30"/>
  <c r="UNN364" i="30"/>
  <c r="UNO364" i="30"/>
  <c r="UNP364" i="30"/>
  <c r="UNQ364" i="30"/>
  <c r="UNR364" i="30"/>
  <c r="UNS364" i="30"/>
  <c r="UNT364" i="30"/>
  <c r="UNU364" i="30"/>
  <c r="UNV364" i="30"/>
  <c r="UNW364" i="30"/>
  <c r="UNX364" i="30"/>
  <c r="UNY364" i="30"/>
  <c r="UNZ364" i="30"/>
  <c r="UOA364" i="30"/>
  <c r="UOB364" i="30"/>
  <c r="UOC364" i="30"/>
  <c r="UOD364" i="30"/>
  <c r="UOE364" i="30"/>
  <c r="UOF364" i="30"/>
  <c r="UOG364" i="30"/>
  <c r="UOH364" i="30"/>
  <c r="UOI364" i="30"/>
  <c r="UOJ364" i="30"/>
  <c r="UOK364" i="30"/>
  <c r="UOL364" i="30"/>
  <c r="UOM364" i="30"/>
  <c r="UON364" i="30"/>
  <c r="UOO364" i="30"/>
  <c r="UOP364" i="30"/>
  <c r="UOQ364" i="30"/>
  <c r="UOR364" i="30"/>
  <c r="UOS364" i="30"/>
  <c r="UOT364" i="30"/>
  <c r="UOU364" i="30"/>
  <c r="UOV364" i="30"/>
  <c r="UOW364" i="30"/>
  <c r="UOX364" i="30"/>
  <c r="UOY364" i="30"/>
  <c r="UOZ364" i="30"/>
  <c r="UPA364" i="30"/>
  <c r="UPB364" i="30"/>
  <c r="UPC364" i="30"/>
  <c r="UPD364" i="30"/>
  <c r="UPE364" i="30"/>
  <c r="UPF364" i="30"/>
  <c r="UPG364" i="30"/>
  <c r="UPH364" i="30"/>
  <c r="UPI364" i="30"/>
  <c r="UPJ364" i="30"/>
  <c r="UPK364" i="30"/>
  <c r="UPL364" i="30"/>
  <c r="UPM364" i="30"/>
  <c r="UPN364" i="30"/>
  <c r="UPO364" i="30"/>
  <c r="UPP364" i="30"/>
  <c r="UPQ364" i="30"/>
  <c r="UPR364" i="30"/>
  <c r="UPS364" i="30"/>
  <c r="UPT364" i="30"/>
  <c r="UPU364" i="30"/>
  <c r="UPV364" i="30"/>
  <c r="UPW364" i="30"/>
  <c r="UPX364" i="30"/>
  <c r="UPY364" i="30"/>
  <c r="UPZ364" i="30"/>
  <c r="UQA364" i="30"/>
  <c r="UQB364" i="30"/>
  <c r="UQC364" i="30"/>
  <c r="UQD364" i="30"/>
  <c r="UQE364" i="30"/>
  <c r="UQF364" i="30"/>
  <c r="UQG364" i="30"/>
  <c r="UQH364" i="30"/>
  <c r="UQI364" i="30"/>
  <c r="UQJ364" i="30"/>
  <c r="UQK364" i="30"/>
  <c r="UQL364" i="30"/>
  <c r="UQM364" i="30"/>
  <c r="UQN364" i="30"/>
  <c r="UQO364" i="30"/>
  <c r="UQP364" i="30"/>
  <c r="UQQ364" i="30"/>
  <c r="UQR364" i="30"/>
  <c r="UQS364" i="30"/>
  <c r="UQT364" i="30"/>
  <c r="UQU364" i="30"/>
  <c r="UQV364" i="30"/>
  <c r="UQW364" i="30"/>
  <c r="UQX364" i="30"/>
  <c r="UQY364" i="30"/>
  <c r="UQZ364" i="30"/>
  <c r="URA364" i="30"/>
  <c r="URB364" i="30"/>
  <c r="URC364" i="30"/>
  <c r="URD364" i="30"/>
  <c r="URE364" i="30"/>
  <c r="URF364" i="30"/>
  <c r="URG364" i="30"/>
  <c r="URH364" i="30"/>
  <c r="URI364" i="30"/>
  <c r="URJ364" i="30"/>
  <c r="URK364" i="30"/>
  <c r="URL364" i="30"/>
  <c r="URM364" i="30"/>
  <c r="URN364" i="30"/>
  <c r="URO364" i="30"/>
  <c r="URP364" i="30"/>
  <c r="URQ364" i="30"/>
  <c r="URR364" i="30"/>
  <c r="URS364" i="30"/>
  <c r="URT364" i="30"/>
  <c r="URU364" i="30"/>
  <c r="URV364" i="30"/>
  <c r="URW364" i="30"/>
  <c r="URX364" i="30"/>
  <c r="URY364" i="30"/>
  <c r="URZ364" i="30"/>
  <c r="USA364" i="30"/>
  <c r="USB364" i="30"/>
  <c r="USC364" i="30"/>
  <c r="USD364" i="30"/>
  <c r="USE364" i="30"/>
  <c r="USF364" i="30"/>
  <c r="USG364" i="30"/>
  <c r="USH364" i="30"/>
  <c r="USI364" i="30"/>
  <c r="USJ364" i="30"/>
  <c r="USK364" i="30"/>
  <c r="USL364" i="30"/>
  <c r="USM364" i="30"/>
  <c r="USN364" i="30"/>
  <c r="USO364" i="30"/>
  <c r="USP364" i="30"/>
  <c r="USQ364" i="30"/>
  <c r="USR364" i="30"/>
  <c r="USS364" i="30"/>
  <c r="UST364" i="30"/>
  <c r="USU364" i="30"/>
  <c r="USV364" i="30"/>
  <c r="USW364" i="30"/>
  <c r="USX364" i="30"/>
  <c r="USY364" i="30"/>
  <c r="USZ364" i="30"/>
  <c r="UTA364" i="30"/>
  <c r="UTB364" i="30"/>
  <c r="UTC364" i="30"/>
  <c r="UTD364" i="30"/>
  <c r="UTE364" i="30"/>
  <c r="UTF364" i="30"/>
  <c r="UTG364" i="30"/>
  <c r="UTH364" i="30"/>
  <c r="UTI364" i="30"/>
  <c r="UTJ364" i="30"/>
  <c r="UTK364" i="30"/>
  <c r="UTL364" i="30"/>
  <c r="UTM364" i="30"/>
  <c r="UTN364" i="30"/>
  <c r="UTO364" i="30"/>
  <c r="UTP364" i="30"/>
  <c r="UTQ364" i="30"/>
  <c r="UTR364" i="30"/>
  <c r="UTS364" i="30"/>
  <c r="UTT364" i="30"/>
  <c r="UTU364" i="30"/>
  <c r="UTV364" i="30"/>
  <c r="UTW364" i="30"/>
  <c r="UTX364" i="30"/>
  <c r="UTY364" i="30"/>
  <c r="UTZ364" i="30"/>
  <c r="UUA364" i="30"/>
  <c r="UUB364" i="30"/>
  <c r="UUC364" i="30"/>
  <c r="UUD364" i="30"/>
  <c r="UUE364" i="30"/>
  <c r="UUF364" i="30"/>
  <c r="UUG364" i="30"/>
  <c r="UUH364" i="30"/>
  <c r="UUI364" i="30"/>
  <c r="UUJ364" i="30"/>
  <c r="UUK364" i="30"/>
  <c r="UUL364" i="30"/>
  <c r="UUM364" i="30"/>
  <c r="UUN364" i="30"/>
  <c r="UUO364" i="30"/>
  <c r="UUP364" i="30"/>
  <c r="UUQ364" i="30"/>
  <c r="UUR364" i="30"/>
  <c r="UUS364" i="30"/>
  <c r="UUT364" i="30"/>
  <c r="UUU364" i="30"/>
  <c r="UUV364" i="30"/>
  <c r="UUW364" i="30"/>
  <c r="UUX364" i="30"/>
  <c r="UUY364" i="30"/>
  <c r="UUZ364" i="30"/>
  <c r="UVA364" i="30"/>
  <c r="UVB364" i="30"/>
  <c r="UVC364" i="30"/>
  <c r="UVD364" i="30"/>
  <c r="UVE364" i="30"/>
  <c r="UVF364" i="30"/>
  <c r="UVG364" i="30"/>
  <c r="UVH364" i="30"/>
  <c r="UVI364" i="30"/>
  <c r="UVJ364" i="30"/>
  <c r="UVK364" i="30"/>
  <c r="UVL364" i="30"/>
  <c r="UVM364" i="30"/>
  <c r="UVN364" i="30"/>
  <c r="UVO364" i="30"/>
  <c r="UVP364" i="30"/>
  <c r="UVQ364" i="30"/>
  <c r="UVR364" i="30"/>
  <c r="UVS364" i="30"/>
  <c r="UVT364" i="30"/>
  <c r="UVU364" i="30"/>
  <c r="UVV364" i="30"/>
  <c r="UVW364" i="30"/>
  <c r="UVX364" i="30"/>
  <c r="UVY364" i="30"/>
  <c r="UVZ364" i="30"/>
  <c r="UWA364" i="30"/>
  <c r="UWB364" i="30"/>
  <c r="UWC364" i="30"/>
  <c r="UWD364" i="30"/>
  <c r="UWE364" i="30"/>
  <c r="UWF364" i="30"/>
  <c r="UWG364" i="30"/>
  <c r="UWH364" i="30"/>
  <c r="UWI364" i="30"/>
  <c r="UWJ364" i="30"/>
  <c r="UWK364" i="30"/>
  <c r="UWL364" i="30"/>
  <c r="UWM364" i="30"/>
  <c r="UWN364" i="30"/>
  <c r="UWO364" i="30"/>
  <c r="UWP364" i="30"/>
  <c r="UWQ364" i="30"/>
  <c r="UWR364" i="30"/>
  <c r="UWS364" i="30"/>
  <c r="UWT364" i="30"/>
  <c r="UWU364" i="30"/>
  <c r="UWV364" i="30"/>
  <c r="UWW364" i="30"/>
  <c r="UWX364" i="30"/>
  <c r="UWY364" i="30"/>
  <c r="UWZ364" i="30"/>
  <c r="UXA364" i="30"/>
  <c r="UXB364" i="30"/>
  <c r="UXC364" i="30"/>
  <c r="UXD364" i="30"/>
  <c r="UXE364" i="30"/>
  <c r="UXF364" i="30"/>
  <c r="UXG364" i="30"/>
  <c r="UXH364" i="30"/>
  <c r="UXI364" i="30"/>
  <c r="UXJ364" i="30"/>
  <c r="UXK364" i="30"/>
  <c r="UXL364" i="30"/>
  <c r="UXM364" i="30"/>
  <c r="UXN364" i="30"/>
  <c r="UXO364" i="30"/>
  <c r="UXP364" i="30"/>
  <c r="UXQ364" i="30"/>
  <c r="UXR364" i="30"/>
  <c r="UXS364" i="30"/>
  <c r="UXT364" i="30"/>
  <c r="UXU364" i="30"/>
  <c r="UXV364" i="30"/>
  <c r="UXW364" i="30"/>
  <c r="UXX364" i="30"/>
  <c r="UXY364" i="30"/>
  <c r="UXZ364" i="30"/>
  <c r="UYA364" i="30"/>
  <c r="UYB364" i="30"/>
  <c r="UYC364" i="30"/>
  <c r="UYD364" i="30"/>
  <c r="UYE364" i="30"/>
  <c r="UYF364" i="30"/>
  <c r="UYG364" i="30"/>
  <c r="UYH364" i="30"/>
  <c r="UYI364" i="30"/>
  <c r="UYJ364" i="30"/>
  <c r="UYK364" i="30"/>
  <c r="UYL364" i="30"/>
  <c r="UYM364" i="30"/>
  <c r="UYN364" i="30"/>
  <c r="UYO364" i="30"/>
  <c r="UYP364" i="30"/>
  <c r="UYQ364" i="30"/>
  <c r="UYR364" i="30"/>
  <c r="UYS364" i="30"/>
  <c r="UYT364" i="30"/>
  <c r="UYU364" i="30"/>
  <c r="UYV364" i="30"/>
  <c r="UYW364" i="30"/>
  <c r="UYX364" i="30"/>
  <c r="UYY364" i="30"/>
  <c r="UYZ364" i="30"/>
  <c r="UZA364" i="30"/>
  <c r="UZB364" i="30"/>
  <c r="UZC364" i="30"/>
  <c r="UZD364" i="30"/>
  <c r="UZE364" i="30"/>
  <c r="UZF364" i="30"/>
  <c r="UZG364" i="30"/>
  <c r="UZH364" i="30"/>
  <c r="UZI364" i="30"/>
  <c r="UZJ364" i="30"/>
  <c r="UZK364" i="30"/>
  <c r="UZL364" i="30"/>
  <c r="UZM364" i="30"/>
  <c r="UZN364" i="30"/>
  <c r="UZO364" i="30"/>
  <c r="UZP364" i="30"/>
  <c r="UZQ364" i="30"/>
  <c r="UZR364" i="30"/>
  <c r="UZS364" i="30"/>
  <c r="UZT364" i="30"/>
  <c r="UZU364" i="30"/>
  <c r="UZV364" i="30"/>
  <c r="UZW364" i="30"/>
  <c r="UZX364" i="30"/>
  <c r="UZY364" i="30"/>
  <c r="UZZ364" i="30"/>
  <c r="VAA364" i="30"/>
  <c r="VAB364" i="30"/>
  <c r="VAC364" i="30"/>
  <c r="VAD364" i="30"/>
  <c r="VAE364" i="30"/>
  <c r="VAF364" i="30"/>
  <c r="VAG364" i="30"/>
  <c r="VAH364" i="30"/>
  <c r="VAI364" i="30"/>
  <c r="VAJ364" i="30"/>
  <c r="VAK364" i="30"/>
  <c r="VAL364" i="30"/>
  <c r="VAM364" i="30"/>
  <c r="VAN364" i="30"/>
  <c r="VAO364" i="30"/>
  <c r="VAP364" i="30"/>
  <c r="VAQ364" i="30"/>
  <c r="VAR364" i="30"/>
  <c r="VAS364" i="30"/>
  <c r="VAT364" i="30"/>
  <c r="VAU364" i="30"/>
  <c r="VAV364" i="30"/>
  <c r="VAW364" i="30"/>
  <c r="VAX364" i="30"/>
  <c r="VAY364" i="30"/>
  <c r="VAZ364" i="30"/>
  <c r="VBA364" i="30"/>
  <c r="VBB364" i="30"/>
  <c r="VBC364" i="30"/>
  <c r="VBD364" i="30"/>
  <c r="VBE364" i="30"/>
  <c r="VBF364" i="30"/>
  <c r="VBG364" i="30"/>
  <c r="VBH364" i="30"/>
  <c r="VBI364" i="30"/>
  <c r="VBJ364" i="30"/>
  <c r="VBK364" i="30"/>
  <c r="VBL364" i="30"/>
  <c r="VBM364" i="30"/>
  <c r="VBN364" i="30"/>
  <c r="VBO364" i="30"/>
  <c r="VBP364" i="30"/>
  <c r="VBQ364" i="30"/>
  <c r="VBR364" i="30"/>
  <c r="VBS364" i="30"/>
  <c r="VBT364" i="30"/>
  <c r="VBU364" i="30"/>
  <c r="VBV364" i="30"/>
  <c r="VBW364" i="30"/>
  <c r="VBX364" i="30"/>
  <c r="VBY364" i="30"/>
  <c r="VBZ364" i="30"/>
  <c r="VCA364" i="30"/>
  <c r="VCB364" i="30"/>
  <c r="VCC364" i="30"/>
  <c r="VCD364" i="30"/>
  <c r="VCE364" i="30"/>
  <c r="VCF364" i="30"/>
  <c r="VCG364" i="30"/>
  <c r="VCH364" i="30"/>
  <c r="VCI364" i="30"/>
  <c r="VCJ364" i="30"/>
  <c r="VCK364" i="30"/>
  <c r="VCL364" i="30"/>
  <c r="VCM364" i="30"/>
  <c r="VCN364" i="30"/>
  <c r="VCO364" i="30"/>
  <c r="VCP364" i="30"/>
  <c r="VCQ364" i="30"/>
  <c r="VCR364" i="30"/>
  <c r="VCS364" i="30"/>
  <c r="VCT364" i="30"/>
  <c r="VCU364" i="30"/>
  <c r="VCV364" i="30"/>
  <c r="VCW364" i="30"/>
  <c r="VCX364" i="30"/>
  <c r="VCY364" i="30"/>
  <c r="VCZ364" i="30"/>
  <c r="VDA364" i="30"/>
  <c r="VDB364" i="30"/>
  <c r="VDC364" i="30"/>
  <c r="VDD364" i="30"/>
  <c r="VDE364" i="30"/>
  <c r="VDF364" i="30"/>
  <c r="VDG364" i="30"/>
  <c r="VDH364" i="30"/>
  <c r="VDI364" i="30"/>
  <c r="VDJ364" i="30"/>
  <c r="VDK364" i="30"/>
  <c r="VDL364" i="30"/>
  <c r="VDM364" i="30"/>
  <c r="VDN364" i="30"/>
  <c r="VDO364" i="30"/>
  <c r="VDP364" i="30"/>
  <c r="VDQ364" i="30"/>
  <c r="VDR364" i="30"/>
  <c r="VDS364" i="30"/>
  <c r="VDT364" i="30"/>
  <c r="VDU364" i="30"/>
  <c r="VDV364" i="30"/>
  <c r="VDW364" i="30"/>
  <c r="VDX364" i="30"/>
  <c r="VDY364" i="30"/>
  <c r="VDZ364" i="30"/>
  <c r="VEA364" i="30"/>
  <c r="VEB364" i="30"/>
  <c r="VEC364" i="30"/>
  <c r="VED364" i="30"/>
  <c r="VEE364" i="30"/>
  <c r="VEF364" i="30"/>
  <c r="VEG364" i="30"/>
  <c r="VEH364" i="30"/>
  <c r="VEI364" i="30"/>
  <c r="VEJ364" i="30"/>
  <c r="VEK364" i="30"/>
  <c r="VEL364" i="30"/>
  <c r="VEM364" i="30"/>
  <c r="VEN364" i="30"/>
  <c r="VEO364" i="30"/>
  <c r="VEP364" i="30"/>
  <c r="VEQ364" i="30"/>
  <c r="VER364" i="30"/>
  <c r="VES364" i="30"/>
  <c r="VET364" i="30"/>
  <c r="VEU364" i="30"/>
  <c r="VEV364" i="30"/>
  <c r="VEW364" i="30"/>
  <c r="VEX364" i="30"/>
  <c r="VEY364" i="30"/>
  <c r="VEZ364" i="30"/>
  <c r="VFA364" i="30"/>
  <c r="VFB364" i="30"/>
  <c r="VFC364" i="30"/>
  <c r="VFD364" i="30"/>
  <c r="VFE364" i="30"/>
  <c r="VFF364" i="30"/>
  <c r="VFG364" i="30"/>
  <c r="VFH364" i="30"/>
  <c r="VFI364" i="30"/>
  <c r="VFJ364" i="30"/>
  <c r="VFK364" i="30"/>
  <c r="VFL364" i="30"/>
  <c r="VFM364" i="30"/>
  <c r="VFN364" i="30"/>
  <c r="VFO364" i="30"/>
  <c r="VFP364" i="30"/>
  <c r="VFQ364" i="30"/>
  <c r="VFR364" i="30"/>
  <c r="VFS364" i="30"/>
  <c r="VFT364" i="30"/>
  <c r="VFU364" i="30"/>
  <c r="VFV364" i="30"/>
  <c r="VFW364" i="30"/>
  <c r="VFX364" i="30"/>
  <c r="VFY364" i="30"/>
  <c r="VFZ364" i="30"/>
  <c r="VGA364" i="30"/>
  <c r="VGB364" i="30"/>
  <c r="VGC364" i="30"/>
  <c r="VGD364" i="30"/>
  <c r="VGE364" i="30"/>
  <c r="VGF364" i="30"/>
  <c r="VGG364" i="30"/>
  <c r="VGH364" i="30"/>
  <c r="VGI364" i="30"/>
  <c r="VGJ364" i="30"/>
  <c r="VGK364" i="30"/>
  <c r="VGL364" i="30"/>
  <c r="VGM364" i="30"/>
  <c r="VGN364" i="30"/>
  <c r="VGO364" i="30"/>
  <c r="VGP364" i="30"/>
  <c r="VGQ364" i="30"/>
  <c r="VGR364" i="30"/>
  <c r="VGS364" i="30"/>
  <c r="VGT364" i="30"/>
  <c r="VGU364" i="30"/>
  <c r="VGV364" i="30"/>
  <c r="VGW364" i="30"/>
  <c r="VGX364" i="30"/>
  <c r="VGY364" i="30"/>
  <c r="VGZ364" i="30"/>
  <c r="VHA364" i="30"/>
  <c r="VHB364" i="30"/>
  <c r="VHC364" i="30"/>
  <c r="VHD364" i="30"/>
  <c r="VHE364" i="30"/>
  <c r="VHF364" i="30"/>
  <c r="VHG364" i="30"/>
  <c r="VHH364" i="30"/>
  <c r="VHI364" i="30"/>
  <c r="VHJ364" i="30"/>
  <c r="VHK364" i="30"/>
  <c r="VHL364" i="30"/>
  <c r="VHM364" i="30"/>
  <c r="VHN364" i="30"/>
  <c r="VHO364" i="30"/>
  <c r="VHP364" i="30"/>
  <c r="VHQ364" i="30"/>
  <c r="VHR364" i="30"/>
  <c r="VHS364" i="30"/>
  <c r="VHT364" i="30"/>
  <c r="VHU364" i="30"/>
  <c r="VHV364" i="30"/>
  <c r="VHW364" i="30"/>
  <c r="VHX364" i="30"/>
  <c r="VHY364" i="30"/>
  <c r="VHZ364" i="30"/>
  <c r="VIA364" i="30"/>
  <c r="VIB364" i="30"/>
  <c r="VIC364" i="30"/>
  <c r="VID364" i="30"/>
  <c r="VIE364" i="30"/>
  <c r="VIF364" i="30"/>
  <c r="VIG364" i="30"/>
  <c r="VIH364" i="30"/>
  <c r="VII364" i="30"/>
  <c r="VIJ364" i="30"/>
  <c r="VIK364" i="30"/>
  <c r="VIL364" i="30"/>
  <c r="VIM364" i="30"/>
  <c r="VIN364" i="30"/>
  <c r="VIO364" i="30"/>
  <c r="VIP364" i="30"/>
  <c r="VIQ364" i="30"/>
  <c r="VIR364" i="30"/>
  <c r="VIS364" i="30"/>
  <c r="VIT364" i="30"/>
  <c r="VIU364" i="30"/>
  <c r="VIV364" i="30"/>
  <c r="VIW364" i="30"/>
  <c r="VIX364" i="30"/>
  <c r="VIY364" i="30"/>
  <c r="VIZ364" i="30"/>
  <c r="VJA364" i="30"/>
  <c r="VJB364" i="30"/>
  <c r="VJC364" i="30"/>
  <c r="VJD364" i="30"/>
  <c r="VJE364" i="30"/>
  <c r="VJF364" i="30"/>
  <c r="VJG364" i="30"/>
  <c r="VJH364" i="30"/>
  <c r="VJI364" i="30"/>
  <c r="VJJ364" i="30"/>
  <c r="VJK364" i="30"/>
  <c r="VJL364" i="30"/>
  <c r="VJM364" i="30"/>
  <c r="VJN364" i="30"/>
  <c r="VJO364" i="30"/>
  <c r="VJP364" i="30"/>
  <c r="VJQ364" i="30"/>
  <c r="VJR364" i="30"/>
  <c r="VJS364" i="30"/>
  <c r="VJT364" i="30"/>
  <c r="VJU364" i="30"/>
  <c r="VJV364" i="30"/>
  <c r="VJW364" i="30"/>
  <c r="VJX364" i="30"/>
  <c r="VJY364" i="30"/>
  <c r="VJZ364" i="30"/>
  <c r="VKA364" i="30"/>
  <c r="VKB364" i="30"/>
  <c r="VKC364" i="30"/>
  <c r="VKD364" i="30"/>
  <c r="VKE364" i="30"/>
  <c r="VKF364" i="30"/>
  <c r="VKG364" i="30"/>
  <c r="VKH364" i="30"/>
  <c r="VKI364" i="30"/>
  <c r="VKJ364" i="30"/>
  <c r="VKK364" i="30"/>
  <c r="VKL364" i="30"/>
  <c r="VKM364" i="30"/>
  <c r="VKN364" i="30"/>
  <c r="VKO364" i="30"/>
  <c r="VKP364" i="30"/>
  <c r="VKQ364" i="30"/>
  <c r="VKR364" i="30"/>
  <c r="VKS364" i="30"/>
  <c r="VKT364" i="30"/>
  <c r="VKU364" i="30"/>
  <c r="VKV364" i="30"/>
  <c r="VKW364" i="30"/>
  <c r="VKX364" i="30"/>
  <c r="VKY364" i="30"/>
  <c r="VKZ364" i="30"/>
  <c r="VLA364" i="30"/>
  <c r="VLB364" i="30"/>
  <c r="VLC364" i="30"/>
  <c r="VLD364" i="30"/>
  <c r="VLE364" i="30"/>
  <c r="VLF364" i="30"/>
  <c r="VLG364" i="30"/>
  <c r="VLH364" i="30"/>
  <c r="VLI364" i="30"/>
  <c r="VLJ364" i="30"/>
  <c r="VLK364" i="30"/>
  <c r="VLL364" i="30"/>
  <c r="VLM364" i="30"/>
  <c r="VLN364" i="30"/>
  <c r="VLO364" i="30"/>
  <c r="VLP364" i="30"/>
  <c r="VLQ364" i="30"/>
  <c r="VLR364" i="30"/>
  <c r="VLS364" i="30"/>
  <c r="VLT364" i="30"/>
  <c r="VLU364" i="30"/>
  <c r="VLV364" i="30"/>
  <c r="VLW364" i="30"/>
  <c r="VLX364" i="30"/>
  <c r="VLY364" i="30"/>
  <c r="VLZ364" i="30"/>
  <c r="VMA364" i="30"/>
  <c r="VMB364" i="30"/>
  <c r="VMC364" i="30"/>
  <c r="VMD364" i="30"/>
  <c r="VME364" i="30"/>
  <c r="VMF364" i="30"/>
  <c r="VMG364" i="30"/>
  <c r="VMH364" i="30"/>
  <c r="VMI364" i="30"/>
  <c r="VMJ364" i="30"/>
  <c r="VMK364" i="30"/>
  <c r="VML364" i="30"/>
  <c r="VMM364" i="30"/>
  <c r="VMN364" i="30"/>
  <c r="VMO364" i="30"/>
  <c r="VMP364" i="30"/>
  <c r="VMQ364" i="30"/>
  <c r="VMR364" i="30"/>
  <c r="VMS364" i="30"/>
  <c r="VMT364" i="30"/>
  <c r="VMU364" i="30"/>
  <c r="VMV364" i="30"/>
  <c r="VMW364" i="30"/>
  <c r="VMX364" i="30"/>
  <c r="VMY364" i="30"/>
  <c r="VMZ364" i="30"/>
  <c r="VNA364" i="30"/>
  <c r="VNB364" i="30"/>
  <c r="VNC364" i="30"/>
  <c r="VND364" i="30"/>
  <c r="VNE364" i="30"/>
  <c r="VNF364" i="30"/>
  <c r="VNG364" i="30"/>
  <c r="VNH364" i="30"/>
  <c r="VNI364" i="30"/>
  <c r="VNJ364" i="30"/>
  <c r="VNK364" i="30"/>
  <c r="VNL364" i="30"/>
  <c r="VNM364" i="30"/>
  <c r="VNN364" i="30"/>
  <c r="VNO364" i="30"/>
  <c r="VNP364" i="30"/>
  <c r="VNQ364" i="30"/>
  <c r="VNR364" i="30"/>
  <c r="VNS364" i="30"/>
  <c r="VNT364" i="30"/>
  <c r="VNU364" i="30"/>
  <c r="VNV364" i="30"/>
  <c r="VNW364" i="30"/>
  <c r="VNX364" i="30"/>
  <c r="VNY364" i="30"/>
  <c r="VNZ364" i="30"/>
  <c r="VOA364" i="30"/>
  <c r="VOB364" i="30"/>
  <c r="VOC364" i="30"/>
  <c r="VOD364" i="30"/>
  <c r="VOE364" i="30"/>
  <c r="VOF364" i="30"/>
  <c r="VOG364" i="30"/>
  <c r="VOH364" i="30"/>
  <c r="VOI364" i="30"/>
  <c r="VOJ364" i="30"/>
  <c r="VOK364" i="30"/>
  <c r="VOL364" i="30"/>
  <c r="VOM364" i="30"/>
  <c r="VON364" i="30"/>
  <c r="VOO364" i="30"/>
  <c r="VOP364" i="30"/>
  <c r="VOQ364" i="30"/>
  <c r="VOR364" i="30"/>
  <c r="VOS364" i="30"/>
  <c r="VOT364" i="30"/>
  <c r="VOU364" i="30"/>
  <c r="VOV364" i="30"/>
  <c r="VOW364" i="30"/>
  <c r="VOX364" i="30"/>
  <c r="VOY364" i="30"/>
  <c r="VOZ364" i="30"/>
  <c r="VPA364" i="30"/>
  <c r="VPB364" i="30"/>
  <c r="VPC364" i="30"/>
  <c r="VPD364" i="30"/>
  <c r="VPE364" i="30"/>
  <c r="VPF364" i="30"/>
  <c r="VPG364" i="30"/>
  <c r="VPH364" i="30"/>
  <c r="VPI364" i="30"/>
  <c r="VPJ364" i="30"/>
  <c r="VPK364" i="30"/>
  <c r="VPL364" i="30"/>
  <c r="VPM364" i="30"/>
  <c r="VPN364" i="30"/>
  <c r="VPO364" i="30"/>
  <c r="VPP364" i="30"/>
  <c r="VPQ364" i="30"/>
  <c r="VPR364" i="30"/>
  <c r="VPS364" i="30"/>
  <c r="VPT364" i="30"/>
  <c r="VPU364" i="30"/>
  <c r="VPV364" i="30"/>
  <c r="VPW364" i="30"/>
  <c r="VPX364" i="30"/>
  <c r="VPY364" i="30"/>
  <c r="VPZ364" i="30"/>
  <c r="VQA364" i="30"/>
  <c r="VQB364" i="30"/>
  <c r="VQC364" i="30"/>
  <c r="VQD364" i="30"/>
  <c r="VQE364" i="30"/>
  <c r="VQF364" i="30"/>
  <c r="VQG364" i="30"/>
  <c r="VQH364" i="30"/>
  <c r="VQI364" i="30"/>
  <c r="VQJ364" i="30"/>
  <c r="VQK364" i="30"/>
  <c r="VQL364" i="30"/>
  <c r="VQM364" i="30"/>
  <c r="VQN364" i="30"/>
  <c r="VQO364" i="30"/>
  <c r="VQP364" i="30"/>
  <c r="VQQ364" i="30"/>
  <c r="VQR364" i="30"/>
  <c r="VQS364" i="30"/>
  <c r="VQT364" i="30"/>
  <c r="VQU364" i="30"/>
  <c r="VQV364" i="30"/>
  <c r="VQW364" i="30"/>
  <c r="VQX364" i="30"/>
  <c r="VQY364" i="30"/>
  <c r="VQZ364" i="30"/>
  <c r="VRA364" i="30"/>
  <c r="VRB364" i="30"/>
  <c r="VRC364" i="30"/>
  <c r="VRD364" i="30"/>
  <c r="VRE364" i="30"/>
  <c r="VRF364" i="30"/>
  <c r="VRG364" i="30"/>
  <c r="VRH364" i="30"/>
  <c r="VRI364" i="30"/>
  <c r="VRJ364" i="30"/>
  <c r="VRK364" i="30"/>
  <c r="VRL364" i="30"/>
  <c r="VRM364" i="30"/>
  <c r="VRN364" i="30"/>
  <c r="VRO364" i="30"/>
  <c r="VRP364" i="30"/>
  <c r="VRQ364" i="30"/>
  <c r="VRR364" i="30"/>
  <c r="VRS364" i="30"/>
  <c r="VRT364" i="30"/>
  <c r="VRU364" i="30"/>
  <c r="VRV364" i="30"/>
  <c r="VRW364" i="30"/>
  <c r="VRX364" i="30"/>
  <c r="VRY364" i="30"/>
  <c r="VRZ364" i="30"/>
  <c r="VSA364" i="30"/>
  <c r="VSB364" i="30"/>
  <c r="VSC364" i="30"/>
  <c r="VSD364" i="30"/>
  <c r="VSE364" i="30"/>
  <c r="VSF364" i="30"/>
  <c r="VSG364" i="30"/>
  <c r="VSH364" i="30"/>
  <c r="VSI364" i="30"/>
  <c r="VSJ364" i="30"/>
  <c r="VSK364" i="30"/>
  <c r="VSL364" i="30"/>
  <c r="VSM364" i="30"/>
  <c r="VSN364" i="30"/>
  <c r="VSO364" i="30"/>
  <c r="VSP364" i="30"/>
  <c r="VSQ364" i="30"/>
  <c r="VSR364" i="30"/>
  <c r="VSS364" i="30"/>
  <c r="VST364" i="30"/>
  <c r="VSU364" i="30"/>
  <c r="VSV364" i="30"/>
  <c r="VSW364" i="30"/>
  <c r="VSX364" i="30"/>
  <c r="VSY364" i="30"/>
  <c r="VSZ364" i="30"/>
  <c r="VTA364" i="30"/>
  <c r="VTB364" i="30"/>
  <c r="VTC364" i="30"/>
  <c r="VTD364" i="30"/>
  <c r="VTE364" i="30"/>
  <c r="VTF364" i="30"/>
  <c r="VTG364" i="30"/>
  <c r="VTH364" i="30"/>
  <c r="VTI364" i="30"/>
  <c r="VTJ364" i="30"/>
  <c r="VTK364" i="30"/>
  <c r="VTL364" i="30"/>
  <c r="VTM364" i="30"/>
  <c r="VTN364" i="30"/>
  <c r="VTO364" i="30"/>
  <c r="VTP364" i="30"/>
  <c r="VTQ364" i="30"/>
  <c r="VTR364" i="30"/>
  <c r="VTS364" i="30"/>
  <c r="VTT364" i="30"/>
  <c r="VTU364" i="30"/>
  <c r="VTV364" i="30"/>
  <c r="VTW364" i="30"/>
  <c r="VTX364" i="30"/>
  <c r="VTY364" i="30"/>
  <c r="VTZ364" i="30"/>
  <c r="VUA364" i="30"/>
  <c r="VUB364" i="30"/>
  <c r="VUC364" i="30"/>
  <c r="VUD364" i="30"/>
  <c r="VUE364" i="30"/>
  <c r="VUF364" i="30"/>
  <c r="VUG364" i="30"/>
  <c r="VUH364" i="30"/>
  <c r="VUI364" i="30"/>
  <c r="VUJ364" i="30"/>
  <c r="VUK364" i="30"/>
  <c r="VUL364" i="30"/>
  <c r="VUM364" i="30"/>
  <c r="VUN364" i="30"/>
  <c r="VUO364" i="30"/>
  <c r="VUP364" i="30"/>
  <c r="VUQ364" i="30"/>
  <c r="VUR364" i="30"/>
  <c r="VUS364" i="30"/>
  <c r="VUT364" i="30"/>
  <c r="VUU364" i="30"/>
  <c r="VUV364" i="30"/>
  <c r="VUW364" i="30"/>
  <c r="VUX364" i="30"/>
  <c r="VUY364" i="30"/>
  <c r="VUZ364" i="30"/>
  <c r="VVA364" i="30"/>
  <c r="VVB364" i="30"/>
  <c r="VVC364" i="30"/>
  <c r="VVD364" i="30"/>
  <c r="VVE364" i="30"/>
  <c r="VVF364" i="30"/>
  <c r="VVG364" i="30"/>
  <c r="VVH364" i="30"/>
  <c r="VVI364" i="30"/>
  <c r="VVJ364" i="30"/>
  <c r="VVK364" i="30"/>
  <c r="VVL364" i="30"/>
  <c r="VVM364" i="30"/>
  <c r="VVN364" i="30"/>
  <c r="VVO364" i="30"/>
  <c r="VVP364" i="30"/>
  <c r="VVQ364" i="30"/>
  <c r="VVR364" i="30"/>
  <c r="VVS364" i="30"/>
  <c r="VVT364" i="30"/>
  <c r="VVU364" i="30"/>
  <c r="VVV364" i="30"/>
  <c r="VVW364" i="30"/>
  <c r="VVX364" i="30"/>
  <c r="VVY364" i="30"/>
  <c r="VVZ364" i="30"/>
  <c r="VWA364" i="30"/>
  <c r="VWB364" i="30"/>
  <c r="VWC364" i="30"/>
  <c r="VWD364" i="30"/>
  <c r="VWE364" i="30"/>
  <c r="VWF364" i="30"/>
  <c r="VWG364" i="30"/>
  <c r="VWH364" i="30"/>
  <c r="VWI364" i="30"/>
  <c r="VWJ364" i="30"/>
  <c r="VWK364" i="30"/>
  <c r="VWL364" i="30"/>
  <c r="VWM364" i="30"/>
  <c r="VWN364" i="30"/>
  <c r="VWO364" i="30"/>
  <c r="VWP364" i="30"/>
  <c r="VWQ364" i="30"/>
  <c r="VWR364" i="30"/>
  <c r="VWS364" i="30"/>
  <c r="VWT364" i="30"/>
  <c r="VWU364" i="30"/>
  <c r="VWV364" i="30"/>
  <c r="VWW364" i="30"/>
  <c r="VWX364" i="30"/>
  <c r="VWY364" i="30"/>
  <c r="VWZ364" i="30"/>
  <c r="VXA364" i="30"/>
  <c r="VXB364" i="30"/>
  <c r="VXC364" i="30"/>
  <c r="VXD364" i="30"/>
  <c r="VXE364" i="30"/>
  <c r="VXF364" i="30"/>
  <c r="VXG364" i="30"/>
  <c r="VXH364" i="30"/>
  <c r="VXI364" i="30"/>
  <c r="VXJ364" i="30"/>
  <c r="VXK364" i="30"/>
  <c r="VXL364" i="30"/>
  <c r="VXM364" i="30"/>
  <c r="VXN364" i="30"/>
  <c r="VXO364" i="30"/>
  <c r="VXP364" i="30"/>
  <c r="VXQ364" i="30"/>
  <c r="VXR364" i="30"/>
  <c r="VXS364" i="30"/>
  <c r="VXT364" i="30"/>
  <c r="VXU364" i="30"/>
  <c r="VXV364" i="30"/>
  <c r="VXW364" i="30"/>
  <c r="VXX364" i="30"/>
  <c r="VXY364" i="30"/>
  <c r="VXZ364" i="30"/>
  <c r="VYA364" i="30"/>
  <c r="VYB364" i="30"/>
  <c r="VYC364" i="30"/>
  <c r="VYD364" i="30"/>
  <c r="VYE364" i="30"/>
  <c r="VYF364" i="30"/>
  <c r="VYG364" i="30"/>
  <c r="VYH364" i="30"/>
  <c r="VYI364" i="30"/>
  <c r="VYJ364" i="30"/>
  <c r="VYK364" i="30"/>
  <c r="VYL364" i="30"/>
  <c r="VYM364" i="30"/>
  <c r="VYN364" i="30"/>
  <c r="VYO364" i="30"/>
  <c r="VYP364" i="30"/>
  <c r="VYQ364" i="30"/>
  <c r="VYR364" i="30"/>
  <c r="VYS364" i="30"/>
  <c r="VYT364" i="30"/>
  <c r="VYU364" i="30"/>
  <c r="VYV364" i="30"/>
  <c r="VYW364" i="30"/>
  <c r="VYX364" i="30"/>
  <c r="VYY364" i="30"/>
  <c r="VYZ364" i="30"/>
  <c r="VZA364" i="30"/>
  <c r="VZB364" i="30"/>
  <c r="VZC364" i="30"/>
  <c r="VZD364" i="30"/>
  <c r="VZE364" i="30"/>
  <c r="VZF364" i="30"/>
  <c r="VZG364" i="30"/>
  <c r="VZH364" i="30"/>
  <c r="VZI364" i="30"/>
  <c r="VZJ364" i="30"/>
  <c r="VZK364" i="30"/>
  <c r="VZL364" i="30"/>
  <c r="VZM364" i="30"/>
  <c r="VZN364" i="30"/>
  <c r="VZO364" i="30"/>
  <c r="VZP364" i="30"/>
  <c r="VZQ364" i="30"/>
  <c r="VZR364" i="30"/>
  <c r="VZS364" i="30"/>
  <c r="VZT364" i="30"/>
  <c r="VZU364" i="30"/>
  <c r="VZV364" i="30"/>
  <c r="VZW364" i="30"/>
  <c r="VZX364" i="30"/>
  <c r="VZY364" i="30"/>
  <c r="VZZ364" i="30"/>
  <c r="WAA364" i="30"/>
  <c r="WAB364" i="30"/>
  <c r="WAC364" i="30"/>
  <c r="WAD364" i="30"/>
  <c r="WAE364" i="30"/>
  <c r="WAF364" i="30"/>
  <c r="WAG364" i="30"/>
  <c r="WAH364" i="30"/>
  <c r="WAI364" i="30"/>
  <c r="WAJ364" i="30"/>
  <c r="WAK364" i="30"/>
  <c r="WAL364" i="30"/>
  <c r="WAM364" i="30"/>
  <c r="WAN364" i="30"/>
  <c r="WAO364" i="30"/>
  <c r="WAP364" i="30"/>
  <c r="WAQ364" i="30"/>
  <c r="WAR364" i="30"/>
  <c r="WAS364" i="30"/>
  <c r="WAT364" i="30"/>
  <c r="WAU364" i="30"/>
  <c r="WAV364" i="30"/>
  <c r="WAW364" i="30"/>
  <c r="WAX364" i="30"/>
  <c r="WAY364" i="30"/>
  <c r="WAZ364" i="30"/>
  <c r="WBA364" i="30"/>
  <c r="WBB364" i="30"/>
  <c r="WBC364" i="30"/>
  <c r="WBD364" i="30"/>
  <c r="WBE364" i="30"/>
  <c r="WBF364" i="30"/>
  <c r="WBG364" i="30"/>
  <c r="WBH364" i="30"/>
  <c r="WBI364" i="30"/>
  <c r="WBJ364" i="30"/>
  <c r="WBK364" i="30"/>
  <c r="WBL364" i="30"/>
  <c r="WBM364" i="30"/>
  <c r="WBN364" i="30"/>
  <c r="WBO364" i="30"/>
  <c r="WBP364" i="30"/>
  <c r="WBQ364" i="30"/>
  <c r="WBR364" i="30"/>
  <c r="WBS364" i="30"/>
  <c r="WBT364" i="30"/>
  <c r="WBU364" i="30"/>
  <c r="WBV364" i="30"/>
  <c r="WBW364" i="30"/>
  <c r="WBX364" i="30"/>
  <c r="WBY364" i="30"/>
  <c r="WBZ364" i="30"/>
  <c r="WCA364" i="30"/>
  <c r="WCB364" i="30"/>
  <c r="WCC364" i="30"/>
  <c r="WCD364" i="30"/>
  <c r="WCE364" i="30"/>
  <c r="WCF364" i="30"/>
  <c r="WCG364" i="30"/>
  <c r="WCH364" i="30"/>
  <c r="WCI364" i="30"/>
  <c r="WCJ364" i="30"/>
  <c r="WCK364" i="30"/>
  <c r="WCL364" i="30"/>
  <c r="WCM364" i="30"/>
  <c r="WCN364" i="30"/>
  <c r="WCO364" i="30"/>
  <c r="WCP364" i="30"/>
  <c r="WCQ364" i="30"/>
  <c r="WCR364" i="30"/>
  <c r="WCS364" i="30"/>
  <c r="WCT364" i="30"/>
  <c r="WCU364" i="30"/>
  <c r="WCV364" i="30"/>
  <c r="WCW364" i="30"/>
  <c r="WCX364" i="30"/>
  <c r="WCY364" i="30"/>
  <c r="WCZ364" i="30"/>
  <c r="WDA364" i="30"/>
  <c r="WDB364" i="30"/>
  <c r="WDC364" i="30"/>
  <c r="WDD364" i="30"/>
  <c r="WDE364" i="30"/>
  <c r="WDF364" i="30"/>
  <c r="WDG364" i="30"/>
  <c r="WDH364" i="30"/>
  <c r="WDI364" i="30"/>
  <c r="WDJ364" i="30"/>
  <c r="WDK364" i="30"/>
  <c r="WDL364" i="30"/>
  <c r="WDM364" i="30"/>
  <c r="WDN364" i="30"/>
  <c r="WDO364" i="30"/>
  <c r="WDP364" i="30"/>
  <c r="WDQ364" i="30"/>
  <c r="WDR364" i="30"/>
  <c r="WDS364" i="30"/>
  <c r="WDT364" i="30"/>
  <c r="WDU364" i="30"/>
  <c r="WDV364" i="30"/>
  <c r="WDW364" i="30"/>
  <c r="WDX364" i="30"/>
  <c r="WDY364" i="30"/>
  <c r="WDZ364" i="30"/>
  <c r="WEA364" i="30"/>
  <c r="WEB364" i="30"/>
  <c r="WEC364" i="30"/>
  <c r="WED364" i="30"/>
  <c r="WEE364" i="30"/>
  <c r="WEF364" i="30"/>
  <c r="WEG364" i="30"/>
  <c r="WEH364" i="30"/>
  <c r="WEI364" i="30"/>
  <c r="WEJ364" i="30"/>
  <c r="WEK364" i="30"/>
  <c r="WEL364" i="30"/>
  <c r="WEM364" i="30"/>
  <c r="WEN364" i="30"/>
  <c r="WEO364" i="30"/>
  <c r="WEP364" i="30"/>
  <c r="WEQ364" i="30"/>
  <c r="WER364" i="30"/>
  <c r="WES364" i="30"/>
  <c r="WET364" i="30"/>
  <c r="WEU364" i="30"/>
  <c r="WEV364" i="30"/>
  <c r="WEW364" i="30"/>
  <c r="WEX364" i="30"/>
  <c r="WEY364" i="30"/>
  <c r="WEZ364" i="30"/>
  <c r="WFA364" i="30"/>
  <c r="WFB364" i="30"/>
  <c r="WFC364" i="30"/>
  <c r="WFD364" i="30"/>
  <c r="WFE364" i="30"/>
  <c r="WFF364" i="30"/>
  <c r="WFG364" i="30"/>
  <c r="WFH364" i="30"/>
  <c r="WFI364" i="30"/>
  <c r="WFJ364" i="30"/>
  <c r="WFK364" i="30"/>
  <c r="WFL364" i="30"/>
  <c r="WFM364" i="30"/>
  <c r="WFN364" i="30"/>
  <c r="WFO364" i="30"/>
  <c r="WFP364" i="30"/>
  <c r="WFQ364" i="30"/>
  <c r="WFR364" i="30"/>
  <c r="WFS364" i="30"/>
  <c r="WFT364" i="30"/>
  <c r="WFU364" i="30"/>
  <c r="WFV364" i="30"/>
  <c r="WFW364" i="30"/>
  <c r="WFX364" i="30"/>
  <c r="WFY364" i="30"/>
  <c r="WFZ364" i="30"/>
  <c r="WGA364" i="30"/>
  <c r="WGB364" i="30"/>
  <c r="WGC364" i="30"/>
  <c r="WGD364" i="30"/>
  <c r="WGE364" i="30"/>
  <c r="WGF364" i="30"/>
  <c r="WGG364" i="30"/>
  <c r="WGH364" i="30"/>
  <c r="WGI364" i="30"/>
  <c r="WGJ364" i="30"/>
  <c r="WGK364" i="30"/>
  <c r="WGL364" i="30"/>
  <c r="WGM364" i="30"/>
  <c r="WGN364" i="30"/>
  <c r="WGO364" i="30"/>
  <c r="WGP364" i="30"/>
  <c r="WGQ364" i="30"/>
  <c r="WGR364" i="30"/>
  <c r="WGS364" i="30"/>
  <c r="WGT364" i="30"/>
  <c r="WGU364" i="30"/>
  <c r="WGV364" i="30"/>
  <c r="WGW364" i="30"/>
  <c r="WGX364" i="30"/>
  <c r="WGY364" i="30"/>
  <c r="WGZ364" i="30"/>
  <c r="WHA364" i="30"/>
  <c r="WHB364" i="30"/>
  <c r="WHC364" i="30"/>
  <c r="WHD364" i="30"/>
  <c r="WHE364" i="30"/>
  <c r="WHF364" i="30"/>
  <c r="WHG364" i="30"/>
  <c r="WHH364" i="30"/>
  <c r="WHI364" i="30"/>
  <c r="WHJ364" i="30"/>
  <c r="WHK364" i="30"/>
  <c r="WHL364" i="30"/>
  <c r="WHM364" i="30"/>
  <c r="WHN364" i="30"/>
  <c r="WHO364" i="30"/>
  <c r="WHP364" i="30"/>
  <c r="WHQ364" i="30"/>
  <c r="WHR364" i="30"/>
  <c r="WHS364" i="30"/>
  <c r="WHT364" i="30"/>
  <c r="WHU364" i="30"/>
  <c r="WHV364" i="30"/>
  <c r="WHW364" i="30"/>
  <c r="WHX364" i="30"/>
  <c r="WHY364" i="30"/>
  <c r="WHZ364" i="30"/>
  <c r="WIA364" i="30"/>
  <c r="WIB364" i="30"/>
  <c r="WIC364" i="30"/>
  <c r="WID364" i="30"/>
  <c r="WIE364" i="30"/>
  <c r="WIF364" i="30"/>
  <c r="WIG364" i="30"/>
  <c r="WIH364" i="30"/>
  <c r="WII364" i="30"/>
  <c r="WIJ364" i="30"/>
  <c r="WIK364" i="30"/>
  <c r="WIL364" i="30"/>
  <c r="WIM364" i="30"/>
  <c r="WIN364" i="30"/>
  <c r="WIO364" i="30"/>
  <c r="WIP364" i="30"/>
  <c r="WIQ364" i="30"/>
  <c r="WIR364" i="30"/>
  <c r="WIS364" i="30"/>
  <c r="WIT364" i="30"/>
  <c r="WIU364" i="30"/>
  <c r="WIV364" i="30"/>
  <c r="WIW364" i="30"/>
  <c r="WIX364" i="30"/>
  <c r="WIY364" i="30"/>
  <c r="WIZ364" i="30"/>
  <c r="WJA364" i="30"/>
  <c r="WJB364" i="30"/>
  <c r="WJC364" i="30"/>
  <c r="WJD364" i="30"/>
  <c r="WJE364" i="30"/>
  <c r="WJF364" i="30"/>
  <c r="WJG364" i="30"/>
  <c r="WJH364" i="30"/>
  <c r="WJI364" i="30"/>
  <c r="WJJ364" i="30"/>
  <c r="WJK364" i="30"/>
  <c r="WJL364" i="30"/>
  <c r="WJM364" i="30"/>
  <c r="WJN364" i="30"/>
  <c r="WJO364" i="30"/>
  <c r="WJP364" i="30"/>
  <c r="WJQ364" i="30"/>
  <c r="WJR364" i="30"/>
  <c r="WJS364" i="30"/>
  <c r="WJT364" i="30"/>
  <c r="WJU364" i="30"/>
  <c r="WJV364" i="30"/>
  <c r="WJW364" i="30"/>
  <c r="WJX364" i="30"/>
  <c r="WJY364" i="30"/>
  <c r="WJZ364" i="30"/>
  <c r="WKA364" i="30"/>
  <c r="WKB364" i="30"/>
  <c r="WKC364" i="30"/>
  <c r="WKD364" i="30"/>
  <c r="WKE364" i="30"/>
  <c r="WKF364" i="30"/>
  <c r="WKG364" i="30"/>
  <c r="WKH364" i="30"/>
  <c r="WKI364" i="30"/>
  <c r="WKJ364" i="30"/>
  <c r="WKK364" i="30"/>
  <c r="WKL364" i="30"/>
  <c r="WKM364" i="30"/>
  <c r="WKN364" i="30"/>
  <c r="WKO364" i="30"/>
  <c r="WKP364" i="30"/>
  <c r="WKQ364" i="30"/>
  <c r="WKR364" i="30"/>
  <c r="WKS364" i="30"/>
  <c r="WKT364" i="30"/>
  <c r="WKU364" i="30"/>
  <c r="WKV364" i="30"/>
  <c r="WKW364" i="30"/>
  <c r="WKX364" i="30"/>
  <c r="WKY364" i="30"/>
  <c r="WKZ364" i="30"/>
  <c r="WLA364" i="30"/>
  <c r="WLB364" i="30"/>
  <c r="WLC364" i="30"/>
  <c r="WLD364" i="30"/>
  <c r="WLE364" i="30"/>
  <c r="WLF364" i="30"/>
  <c r="WLG364" i="30"/>
  <c r="WLH364" i="30"/>
  <c r="WLI364" i="30"/>
  <c r="WLJ364" i="30"/>
  <c r="WLK364" i="30"/>
  <c r="WLL364" i="30"/>
  <c r="WLM364" i="30"/>
  <c r="WLN364" i="30"/>
  <c r="WLO364" i="30"/>
  <c r="WLP364" i="30"/>
  <c r="WLQ364" i="30"/>
  <c r="WLR364" i="30"/>
  <c r="WLS364" i="30"/>
  <c r="WLT364" i="30"/>
  <c r="WLU364" i="30"/>
  <c r="WLV364" i="30"/>
  <c r="WLW364" i="30"/>
  <c r="WLX364" i="30"/>
  <c r="WLY364" i="30"/>
  <c r="WLZ364" i="30"/>
  <c r="WMA364" i="30"/>
  <c r="WMB364" i="30"/>
  <c r="WMC364" i="30"/>
  <c r="WMD364" i="30"/>
  <c r="WME364" i="30"/>
  <c r="WMF364" i="30"/>
  <c r="WMG364" i="30"/>
  <c r="WMH364" i="30"/>
  <c r="WMI364" i="30"/>
  <c r="WMJ364" i="30"/>
  <c r="WMK364" i="30"/>
  <c r="WML364" i="30"/>
  <c r="WMM364" i="30"/>
  <c r="WMN364" i="30"/>
  <c r="WMO364" i="30"/>
  <c r="WMP364" i="30"/>
  <c r="WMQ364" i="30"/>
  <c r="WMR364" i="30"/>
  <c r="WMS364" i="30"/>
  <c r="WMT364" i="30"/>
  <c r="WMU364" i="30"/>
  <c r="WMV364" i="30"/>
  <c r="WMW364" i="30"/>
  <c r="WMX364" i="30"/>
  <c r="WMY364" i="30"/>
  <c r="WMZ364" i="30"/>
  <c r="WNA364" i="30"/>
  <c r="WNB364" i="30"/>
  <c r="WNC364" i="30"/>
  <c r="WND364" i="30"/>
  <c r="WNE364" i="30"/>
  <c r="WNF364" i="30"/>
  <c r="WNG364" i="30"/>
  <c r="WNH364" i="30"/>
  <c r="WNI364" i="30"/>
  <c r="WNJ364" i="30"/>
  <c r="WNK364" i="30"/>
  <c r="WNL364" i="30"/>
  <c r="WNM364" i="30"/>
  <c r="WNN364" i="30"/>
  <c r="WNO364" i="30"/>
  <c r="WNP364" i="30"/>
  <c r="WNQ364" i="30"/>
  <c r="WNR364" i="30"/>
  <c r="WNS364" i="30"/>
  <c r="WNT364" i="30"/>
  <c r="WNU364" i="30"/>
  <c r="WNV364" i="30"/>
  <c r="WNW364" i="30"/>
  <c r="WNX364" i="30"/>
  <c r="WNY364" i="30"/>
  <c r="WNZ364" i="30"/>
  <c r="WOA364" i="30"/>
  <c r="WOB364" i="30"/>
  <c r="WOC364" i="30"/>
  <c r="WOD364" i="30"/>
  <c r="WOE364" i="30"/>
  <c r="WOF364" i="30"/>
  <c r="WOG364" i="30"/>
  <c r="WOH364" i="30"/>
  <c r="WOI364" i="30"/>
  <c r="WOJ364" i="30"/>
  <c r="WOK364" i="30"/>
  <c r="WOL364" i="30"/>
  <c r="WOM364" i="30"/>
  <c r="WON364" i="30"/>
  <c r="WOO364" i="30"/>
  <c r="WOP364" i="30"/>
  <c r="WOQ364" i="30"/>
  <c r="WOR364" i="30"/>
  <c r="WOS364" i="30"/>
  <c r="WOT364" i="30"/>
  <c r="WOU364" i="30"/>
  <c r="WOV364" i="30"/>
  <c r="WOW364" i="30"/>
  <c r="WOX364" i="30"/>
  <c r="WOY364" i="30"/>
  <c r="WOZ364" i="30"/>
  <c r="WPA364" i="30"/>
  <c r="WPB364" i="30"/>
  <c r="WPC364" i="30"/>
  <c r="WPD364" i="30"/>
  <c r="WPE364" i="30"/>
  <c r="WPF364" i="30"/>
  <c r="WPG364" i="30"/>
  <c r="WPH364" i="30"/>
  <c r="WPI364" i="30"/>
  <c r="WPJ364" i="30"/>
  <c r="WPK364" i="30"/>
  <c r="WPL364" i="30"/>
  <c r="WPM364" i="30"/>
  <c r="WPN364" i="30"/>
  <c r="WPO364" i="30"/>
  <c r="WPP364" i="30"/>
  <c r="WPQ364" i="30"/>
  <c r="WPR364" i="30"/>
  <c r="WPS364" i="30"/>
  <c r="WPT364" i="30"/>
  <c r="WPU364" i="30"/>
  <c r="WPV364" i="30"/>
  <c r="WPW364" i="30"/>
  <c r="WPX364" i="30"/>
  <c r="WPY364" i="30"/>
  <c r="WPZ364" i="30"/>
  <c r="WQA364" i="30"/>
  <c r="WQB364" i="30"/>
  <c r="WQC364" i="30"/>
  <c r="WQD364" i="30"/>
  <c r="WQE364" i="30"/>
  <c r="WQF364" i="30"/>
  <c r="WQG364" i="30"/>
  <c r="WQH364" i="30"/>
  <c r="WQI364" i="30"/>
  <c r="WQJ364" i="30"/>
  <c r="WQK364" i="30"/>
  <c r="WQL364" i="30"/>
  <c r="WQM364" i="30"/>
  <c r="WQN364" i="30"/>
  <c r="WQO364" i="30"/>
  <c r="WQP364" i="30"/>
  <c r="WQQ364" i="30"/>
  <c r="WQR364" i="30"/>
  <c r="WQS364" i="30"/>
  <c r="WQT364" i="30"/>
  <c r="WQU364" i="30"/>
  <c r="WQV364" i="30"/>
  <c r="WQW364" i="30"/>
  <c r="WQX364" i="30"/>
  <c r="WQY364" i="30"/>
  <c r="WQZ364" i="30"/>
  <c r="WRA364" i="30"/>
  <c r="WRB364" i="30"/>
  <c r="WRC364" i="30"/>
  <c r="WRD364" i="30"/>
  <c r="WRE364" i="30"/>
  <c r="WRF364" i="30"/>
  <c r="WRG364" i="30"/>
  <c r="WRH364" i="30"/>
  <c r="WRI364" i="30"/>
  <c r="WRJ364" i="30"/>
  <c r="WRK364" i="30"/>
  <c r="WRL364" i="30"/>
  <c r="WRM364" i="30"/>
  <c r="WRN364" i="30"/>
  <c r="WRO364" i="30"/>
  <c r="WRP364" i="30"/>
  <c r="WRQ364" i="30"/>
  <c r="WRR364" i="30"/>
  <c r="WRS364" i="30"/>
  <c r="WRT364" i="30"/>
  <c r="WRU364" i="30"/>
  <c r="WRV364" i="30"/>
  <c r="WRW364" i="30"/>
  <c r="WRX364" i="30"/>
  <c r="WRY364" i="30"/>
  <c r="WRZ364" i="30"/>
  <c r="WSA364" i="30"/>
  <c r="WSB364" i="30"/>
  <c r="WSC364" i="30"/>
  <c r="WSD364" i="30"/>
  <c r="WSE364" i="30"/>
  <c r="WSF364" i="30"/>
  <c r="WSG364" i="30"/>
  <c r="WSH364" i="30"/>
  <c r="WSI364" i="30"/>
  <c r="WSJ364" i="30"/>
  <c r="WSK364" i="30"/>
  <c r="WSL364" i="30"/>
  <c r="WSM364" i="30"/>
  <c r="WSN364" i="30"/>
  <c r="WSO364" i="30"/>
  <c r="WSP364" i="30"/>
  <c r="WSQ364" i="30"/>
  <c r="WSR364" i="30"/>
  <c r="WSS364" i="30"/>
  <c r="WST364" i="30"/>
  <c r="WSU364" i="30"/>
  <c r="WSV364" i="30"/>
  <c r="WSW364" i="30"/>
  <c r="WSX364" i="30"/>
  <c r="WSY364" i="30"/>
  <c r="WSZ364" i="30"/>
  <c r="WTA364" i="30"/>
  <c r="WTB364" i="30"/>
  <c r="WTC364" i="30"/>
  <c r="WTD364" i="30"/>
  <c r="WTE364" i="30"/>
  <c r="WTF364" i="30"/>
  <c r="WTG364" i="30"/>
  <c r="WTH364" i="30"/>
  <c r="WTI364" i="30"/>
  <c r="WTJ364" i="30"/>
  <c r="WTK364" i="30"/>
  <c r="WTL364" i="30"/>
  <c r="WTM364" i="30"/>
  <c r="WTN364" i="30"/>
  <c r="WTO364" i="30"/>
  <c r="WTP364" i="30"/>
  <c r="WTQ364" i="30"/>
  <c r="WTR364" i="30"/>
  <c r="WTS364" i="30"/>
  <c r="WTT364" i="30"/>
  <c r="WTU364" i="30"/>
  <c r="WTV364" i="30"/>
  <c r="WTW364" i="30"/>
  <c r="WTX364" i="30"/>
  <c r="WTY364" i="30"/>
  <c r="WTZ364" i="30"/>
  <c r="WUA364" i="30"/>
  <c r="WUB364" i="30"/>
  <c r="WUC364" i="30"/>
  <c r="WUD364" i="30"/>
  <c r="WUE364" i="30"/>
  <c r="WUF364" i="30"/>
  <c r="WUG364" i="30"/>
  <c r="WUH364" i="30"/>
  <c r="WUI364" i="30"/>
  <c r="WUJ364" i="30"/>
  <c r="WUK364" i="30"/>
  <c r="WUL364" i="30"/>
  <c r="WUM364" i="30"/>
  <c r="WUN364" i="30"/>
  <c r="WUO364" i="30"/>
  <c r="WUP364" i="30"/>
  <c r="WUQ364" i="30"/>
  <c r="WUR364" i="30"/>
  <c r="WUS364" i="30"/>
  <c r="WUT364" i="30"/>
  <c r="WUU364" i="30"/>
  <c r="WUV364" i="30"/>
  <c r="WUW364" i="30"/>
  <c r="WUX364" i="30"/>
  <c r="WUY364" i="30"/>
  <c r="WUZ364" i="30"/>
  <c r="WVA364" i="30"/>
  <c r="WVB364" i="30"/>
  <c r="WVC364" i="30"/>
  <c r="WVD364" i="30"/>
  <c r="WVE364" i="30"/>
  <c r="WVF364" i="30"/>
  <c r="WVG364" i="30"/>
  <c r="WVH364" i="30"/>
  <c r="WVI364" i="30"/>
  <c r="WVJ364" i="30"/>
  <c r="WVK364" i="30"/>
  <c r="WVL364" i="30"/>
  <c r="WVM364" i="30"/>
  <c r="WVN364" i="30"/>
  <c r="WVO364" i="30"/>
  <c r="WVP364" i="30"/>
  <c r="WVQ364" i="30"/>
  <c r="WVR364" i="30"/>
  <c r="WVS364" i="30"/>
  <c r="WVT364" i="30"/>
  <c r="WVU364" i="30"/>
  <c r="WVV364" i="30"/>
  <c r="WVW364" i="30"/>
  <c r="WVX364" i="30"/>
  <c r="WVY364" i="30"/>
  <c r="WVZ364" i="30"/>
  <c r="WWA364" i="30"/>
  <c r="WWB364" i="30"/>
  <c r="WWC364" i="30"/>
  <c r="WWD364" i="30"/>
  <c r="WWE364" i="30"/>
  <c r="WWF364" i="30"/>
  <c r="WWG364" i="30"/>
  <c r="WWH364" i="30"/>
  <c r="WWI364" i="30"/>
  <c r="WWJ364" i="30"/>
  <c r="WWK364" i="30"/>
  <c r="WWL364" i="30"/>
  <c r="WWM364" i="30"/>
  <c r="WWN364" i="30"/>
  <c r="WWO364" i="30"/>
  <c r="WWP364" i="30"/>
  <c r="WWQ364" i="30"/>
  <c r="WWR364" i="30"/>
  <c r="WWS364" i="30"/>
  <c r="WWT364" i="30"/>
  <c r="WWU364" i="30"/>
  <c r="WWV364" i="30"/>
  <c r="WWW364" i="30"/>
  <c r="WWX364" i="30"/>
  <c r="WWY364" i="30"/>
  <c r="WWZ364" i="30"/>
  <c r="WXA364" i="30"/>
  <c r="WXB364" i="30"/>
  <c r="WXC364" i="30"/>
  <c r="WXD364" i="30"/>
  <c r="WXE364" i="30"/>
  <c r="WXF364" i="30"/>
  <c r="WXG364" i="30"/>
  <c r="WXH364" i="30"/>
  <c r="WXI364" i="30"/>
  <c r="WXJ364" i="30"/>
  <c r="WXK364" i="30"/>
  <c r="WXL364" i="30"/>
  <c r="WXM364" i="30"/>
  <c r="WXN364" i="30"/>
  <c r="WXO364" i="30"/>
  <c r="WXP364" i="30"/>
  <c r="WXQ364" i="30"/>
  <c r="WXR364" i="30"/>
  <c r="WXS364" i="30"/>
  <c r="WXT364" i="30"/>
  <c r="WXU364" i="30"/>
  <c r="WXV364" i="30"/>
  <c r="WXW364" i="30"/>
  <c r="WXX364" i="30"/>
  <c r="WXY364" i="30"/>
  <c r="WXZ364" i="30"/>
  <c r="WYA364" i="30"/>
  <c r="WYB364" i="30"/>
  <c r="WYC364" i="30"/>
  <c r="WYD364" i="30"/>
  <c r="WYE364" i="30"/>
  <c r="WYF364" i="30"/>
  <c r="WYG364" i="30"/>
  <c r="WYH364" i="30"/>
  <c r="WYI364" i="30"/>
  <c r="WYJ364" i="30"/>
  <c r="WYK364" i="30"/>
  <c r="WYL364" i="30"/>
  <c r="WYM364" i="30"/>
  <c r="WYN364" i="30"/>
  <c r="WYO364" i="30"/>
  <c r="WYP364" i="30"/>
  <c r="WYQ364" i="30"/>
  <c r="WYR364" i="30"/>
  <c r="WYS364" i="30"/>
  <c r="WYT364" i="30"/>
  <c r="WYU364" i="30"/>
  <c r="WYV364" i="30"/>
  <c r="WYW364" i="30"/>
  <c r="WYX364" i="30"/>
  <c r="WYY364" i="30"/>
  <c r="WYZ364" i="30"/>
  <c r="WZA364" i="30"/>
  <c r="WZB364" i="30"/>
  <c r="WZC364" i="30"/>
  <c r="WZD364" i="30"/>
  <c r="WZE364" i="30"/>
  <c r="WZF364" i="30"/>
  <c r="WZG364" i="30"/>
  <c r="WZH364" i="30"/>
  <c r="WZI364" i="30"/>
  <c r="WZJ364" i="30"/>
  <c r="WZK364" i="30"/>
  <c r="WZL364" i="30"/>
  <c r="WZM364" i="30"/>
  <c r="WZN364" i="30"/>
  <c r="WZO364" i="30"/>
  <c r="WZP364" i="30"/>
  <c r="WZQ364" i="30"/>
  <c r="WZR364" i="30"/>
  <c r="WZS364" i="30"/>
  <c r="WZT364" i="30"/>
  <c r="WZU364" i="30"/>
  <c r="WZV364" i="30"/>
  <c r="WZW364" i="30"/>
  <c r="WZX364" i="30"/>
  <c r="WZY364" i="30"/>
  <c r="WZZ364" i="30"/>
  <c r="XAA364" i="30"/>
  <c r="XAB364" i="30"/>
  <c r="XAC364" i="30"/>
  <c r="XAD364" i="30"/>
  <c r="XAE364" i="30"/>
  <c r="XAF364" i="30"/>
  <c r="XAG364" i="30"/>
  <c r="XAH364" i="30"/>
  <c r="XAI364" i="30"/>
  <c r="XAJ364" i="30"/>
  <c r="XAK364" i="30"/>
  <c r="XAL364" i="30"/>
  <c r="XAM364" i="30"/>
  <c r="XAN364" i="30"/>
  <c r="XAO364" i="30"/>
  <c r="XAP364" i="30"/>
  <c r="XAQ364" i="30"/>
  <c r="XAR364" i="30"/>
  <c r="XAS364" i="30"/>
  <c r="XAT364" i="30"/>
  <c r="XAU364" i="30"/>
  <c r="XAV364" i="30"/>
  <c r="XAW364" i="30"/>
  <c r="XAX364" i="30"/>
  <c r="XAY364" i="30"/>
  <c r="XAZ364" i="30"/>
  <c r="XBA364" i="30"/>
  <c r="XBB364" i="30"/>
  <c r="XBC364" i="30"/>
  <c r="XBD364" i="30"/>
  <c r="XBE364" i="30"/>
  <c r="XBF364" i="30"/>
  <c r="XBG364" i="30"/>
  <c r="XBH364" i="30"/>
  <c r="XBI364" i="30"/>
  <c r="XBJ364" i="30"/>
  <c r="XBK364" i="30"/>
  <c r="XBL364" i="30"/>
  <c r="XBM364" i="30"/>
  <c r="XBN364" i="30"/>
  <c r="XBO364" i="30"/>
  <c r="XBP364" i="30"/>
  <c r="XBQ364" i="30"/>
  <c r="XBR364" i="30"/>
  <c r="XBS364" i="30"/>
  <c r="XBT364" i="30"/>
  <c r="XBU364" i="30"/>
  <c r="XBV364" i="30"/>
  <c r="XBW364" i="30"/>
  <c r="XBX364" i="30"/>
  <c r="XBY364" i="30"/>
  <c r="XBZ364" i="30"/>
  <c r="XCA364" i="30"/>
  <c r="XCB364" i="30"/>
  <c r="XCC364" i="30"/>
  <c r="XCD364" i="30"/>
  <c r="XCE364" i="30"/>
  <c r="XCF364" i="30"/>
  <c r="XCG364" i="30"/>
  <c r="XCH364" i="30"/>
  <c r="XCI364" i="30"/>
  <c r="XCJ364" i="30"/>
  <c r="XCK364" i="30"/>
  <c r="XCL364" i="30"/>
  <c r="XCM364" i="30"/>
  <c r="XCN364" i="30"/>
  <c r="XCO364" i="30"/>
  <c r="XCP364" i="30"/>
  <c r="XCQ364" i="30"/>
  <c r="XCR364" i="30"/>
  <c r="XCS364" i="30"/>
  <c r="XCT364" i="30"/>
  <c r="XCU364" i="30"/>
  <c r="XCV364" i="30"/>
  <c r="XCW364" i="30"/>
  <c r="XCX364" i="30"/>
  <c r="XCY364" i="30"/>
  <c r="XCZ364" i="30"/>
  <c r="XDA364" i="30"/>
  <c r="XDB364" i="30"/>
  <c r="XDC364" i="30"/>
  <c r="XDD364" i="30"/>
  <c r="XDE364" i="30"/>
  <c r="XDF364" i="30"/>
  <c r="XDG364" i="30"/>
  <c r="XDH364" i="30"/>
  <c r="XDI364" i="30"/>
  <c r="XDJ364" i="30"/>
  <c r="XDK364" i="30"/>
  <c r="XDL364" i="30"/>
  <c r="XDM364" i="30"/>
  <c r="XDN364" i="30"/>
  <c r="XDO364" i="30"/>
  <c r="XDP364" i="30"/>
  <c r="XDQ364" i="30"/>
  <c r="XDR364" i="30"/>
  <c r="XDS364" i="30"/>
  <c r="XDT364" i="30"/>
  <c r="XDU364" i="30"/>
  <c r="XDV364" i="30"/>
  <c r="XDW364" i="30"/>
  <c r="XDX364" i="30"/>
  <c r="XDY364" i="30"/>
  <c r="XDZ364" i="30"/>
  <c r="XEA364" i="30"/>
  <c r="XEB364" i="30"/>
  <c r="XEC364" i="30"/>
  <c r="XED364" i="30"/>
  <c r="XEE364" i="30"/>
  <c r="XEF364" i="30"/>
  <c r="XEG364" i="30"/>
  <c r="XEH364" i="30"/>
  <c r="XEI364" i="30"/>
  <c r="XEJ364" i="30"/>
  <c r="XEK364" i="30"/>
  <c r="XEL364" i="30"/>
  <c r="XEM364" i="30"/>
  <c r="XEN364" i="30"/>
  <c r="XEO364" i="30"/>
  <c r="XEP364" i="30"/>
  <c r="XEQ364" i="30"/>
  <c r="XER364" i="30"/>
  <c r="XES364" i="30"/>
  <c r="XET364" i="30"/>
  <c r="XEU364" i="30"/>
  <c r="BB996" i="1" l="1"/>
  <c r="BB367" i="30" s="1"/>
  <c r="BC996" i="1"/>
  <c r="BC367" i="30" s="1"/>
  <c r="BB893" i="1"/>
  <c r="BB365" i="30" s="1"/>
  <c r="BD996" i="1"/>
  <c r="BD367" i="30" s="1"/>
  <c r="B365" i="30"/>
  <c r="BC893" i="1"/>
  <c r="BC365" i="30" s="1"/>
  <c r="A700" i="1" l="1"/>
  <c r="A699" i="1"/>
  <c r="B699" i="1"/>
  <c r="BB699" i="1" s="1"/>
  <c r="BD686" i="1"/>
  <c r="A686" i="1"/>
  <c r="BD699" i="1" l="1"/>
  <c r="BC699" i="1"/>
  <c r="BB686" i="1"/>
  <c r="BC686" i="1"/>
  <c r="B2354" i="1"/>
  <c r="A2354" i="1"/>
  <c r="BB2354" i="1" l="1"/>
  <c r="BC2354" i="1"/>
  <c r="BD2354" i="1"/>
  <c r="BD1640" i="1"/>
  <c r="BC1640" i="1"/>
  <c r="BB1640" i="1"/>
  <c r="BD2131" i="1"/>
  <c r="BC2131" i="1"/>
  <c r="BB2131" i="1"/>
  <c r="BD2097" i="1"/>
  <c r="BC2097" i="1"/>
  <c r="BB2097" i="1"/>
  <c r="BB1918" i="1"/>
  <c r="BC1918" i="1"/>
  <c r="BD1918" i="1"/>
  <c r="BB1925" i="1"/>
  <c r="BC1925" i="1"/>
  <c r="BD1925" i="1"/>
  <c r="E1107" i="1" l="1"/>
  <c r="F1107" i="1"/>
  <c r="D41" i="57"/>
  <c r="D1107" i="1" s="1"/>
  <c r="E1041" i="1"/>
  <c r="E361" i="30" s="1"/>
  <c r="F361" i="30"/>
  <c r="G361" i="30"/>
  <c r="D5" i="57"/>
  <c r="D1041" i="1" s="1"/>
  <c r="D361" i="30" s="1"/>
  <c r="B1041" i="1"/>
  <c r="A1041" i="1"/>
  <c r="A361" i="30" s="1"/>
  <c r="D15" i="57"/>
  <c r="D999" i="1" s="1"/>
  <c r="D370" i="30" s="1"/>
  <c r="B999" i="1"/>
  <c r="A999" i="1"/>
  <c r="A370" i="30" s="1"/>
  <c r="G370" i="30"/>
  <c r="F999" i="1"/>
  <c r="F370" i="30" s="1"/>
  <c r="E999" i="1"/>
  <c r="E370" i="30" s="1"/>
  <c r="E991" i="1"/>
  <c r="E366" i="30" s="1"/>
  <c r="F991" i="1"/>
  <c r="F366" i="30" s="1"/>
  <c r="G366" i="30"/>
  <c r="D11" i="57"/>
  <c r="D991" i="1" s="1"/>
  <c r="D366" i="30" s="1"/>
  <c r="B991" i="1"/>
  <c r="A991" i="1"/>
  <c r="A366" i="30" s="1"/>
  <c r="E985" i="1"/>
  <c r="E369" i="30" s="1"/>
  <c r="F985" i="1"/>
  <c r="F369" i="30" s="1"/>
  <c r="G369" i="30"/>
  <c r="B985" i="1"/>
  <c r="A985" i="1"/>
  <c r="A369" i="30" s="1"/>
  <c r="D14" i="57"/>
  <c r="D985" i="1" s="1"/>
  <c r="D369" i="30" s="1"/>
  <c r="E970" i="1"/>
  <c r="E368" i="30" s="1"/>
  <c r="F970" i="1"/>
  <c r="F368" i="30" s="1"/>
  <c r="G368" i="30"/>
  <c r="D13" i="57"/>
  <c r="D970" i="1" s="1"/>
  <c r="D368" i="30" s="1"/>
  <c r="B970" i="1"/>
  <c r="A970" i="1"/>
  <c r="A368" i="30" s="1"/>
  <c r="D34" i="57"/>
  <c r="D33" i="57"/>
  <c r="E933" i="1"/>
  <c r="E363" i="30" s="1"/>
  <c r="F933" i="1"/>
  <c r="F363" i="30" s="1"/>
  <c r="G363" i="30"/>
  <c r="D7" i="57"/>
  <c r="D933" i="1" s="1"/>
  <c r="D363" i="30" s="1"/>
  <c r="B933" i="1"/>
  <c r="A933" i="1"/>
  <c r="A363" i="30" s="1"/>
  <c r="G362" i="30"/>
  <c r="B920" i="1"/>
  <c r="A920" i="1"/>
  <c r="A362" i="30" s="1"/>
  <c r="E920" i="1"/>
  <c r="E362" i="30" s="1"/>
  <c r="F920" i="1"/>
  <c r="F362" i="30" s="1"/>
  <c r="D6" i="57"/>
  <c r="D920" i="1" s="1"/>
  <c r="D362" i="30" s="1"/>
  <c r="E887" i="1"/>
  <c r="E364" i="30" s="1"/>
  <c r="F887" i="1"/>
  <c r="F364" i="30" s="1"/>
  <c r="G364" i="30"/>
  <c r="D9" i="57"/>
  <c r="D887" i="1" s="1"/>
  <c r="D364" i="30" s="1"/>
  <c r="B887" i="1"/>
  <c r="A887" i="1"/>
  <c r="A364" i="30" s="1"/>
  <c r="AJ867" i="1"/>
  <c r="AJ1066" i="1" l="1"/>
  <c r="BC991" i="1"/>
  <c r="BC366" i="30" s="1"/>
  <c r="B366" i="30"/>
  <c r="BC933" i="1"/>
  <c r="BC363" i="30" s="1"/>
  <c r="B363" i="30"/>
  <c r="BD1041" i="1"/>
  <c r="BD361" i="30" s="1"/>
  <c r="B361" i="30"/>
  <c r="BC970" i="1"/>
  <c r="BC368" i="30" s="1"/>
  <c r="B368" i="30"/>
  <c r="BC985" i="1"/>
  <c r="BC369" i="30" s="1"/>
  <c r="B369" i="30"/>
  <c r="BC999" i="1"/>
  <c r="BC370" i="30" s="1"/>
  <c r="B370" i="30"/>
  <c r="BB920" i="1"/>
  <c r="BB362" i="30" s="1"/>
  <c r="B362" i="30"/>
  <c r="BD887" i="1"/>
  <c r="BD364" i="30" s="1"/>
  <c r="B364" i="30"/>
  <c r="BB1041" i="1"/>
  <c r="BB361" i="30" s="1"/>
  <c r="BC1041" i="1"/>
  <c r="BC361" i="30" s="1"/>
  <c r="BB999" i="1"/>
  <c r="BB370" i="30" s="1"/>
  <c r="BD999" i="1"/>
  <c r="BD370" i="30" s="1"/>
  <c r="BD985" i="1"/>
  <c r="BD369" i="30" s="1"/>
  <c r="BD991" i="1"/>
  <c r="BD366" i="30" s="1"/>
  <c r="BB991" i="1"/>
  <c r="BB366" i="30" s="1"/>
  <c r="BB985" i="1"/>
  <c r="BB369" i="30" s="1"/>
  <c r="BB970" i="1"/>
  <c r="BB368" i="30" s="1"/>
  <c r="BB933" i="1"/>
  <c r="BB363" i="30" s="1"/>
  <c r="BD970" i="1"/>
  <c r="BD368" i="30" s="1"/>
  <c r="BD933" i="1"/>
  <c r="BD363" i="30" s="1"/>
  <c r="BD920" i="1"/>
  <c r="BD362" i="30" s="1"/>
  <c r="BC920" i="1"/>
  <c r="BC362" i="30" s="1"/>
  <c r="BB887" i="1"/>
  <c r="BB364" i="30" s="1"/>
  <c r="BC887" i="1"/>
  <c r="BC364" i="30" s="1"/>
  <c r="G888" i="1"/>
  <c r="E888" i="1"/>
  <c r="F888" i="1"/>
  <c r="B888" i="1"/>
  <c r="BD888" i="1" s="1"/>
  <c r="A888" i="1"/>
  <c r="BQ9" i="57"/>
  <c r="D888" i="1" s="1"/>
  <c r="B989" i="1"/>
  <c r="BC989" i="1" s="1"/>
  <c r="A989" i="1"/>
  <c r="E989" i="1"/>
  <c r="G989" i="1"/>
  <c r="B889" i="1"/>
  <c r="BD889" i="1" s="1"/>
  <c r="A889" i="1"/>
  <c r="E889" i="1"/>
  <c r="F889" i="1"/>
  <c r="BD989" i="1" l="1"/>
  <c r="BB888" i="1"/>
  <c r="BC888" i="1"/>
  <c r="BB989" i="1"/>
  <c r="BC889" i="1"/>
  <c r="BB889" i="1"/>
  <c r="E921" i="1"/>
  <c r="E992" i="1"/>
  <c r="F992" i="1"/>
  <c r="G992" i="1"/>
  <c r="AK2152" i="1"/>
  <c r="AJ2152" i="1"/>
  <c r="AI2152" i="1"/>
  <c r="AJ1748" i="1"/>
  <c r="AK1748" i="1"/>
  <c r="AI1748" i="1"/>
  <c r="AG1744" i="1"/>
  <c r="AH1744" i="1"/>
  <c r="AI1744" i="1"/>
  <c r="AJ1744" i="1"/>
  <c r="AK1744" i="1"/>
  <c r="AG1743" i="1"/>
  <c r="AH1743" i="1"/>
  <c r="AI1743" i="1"/>
  <c r="AJ1743" i="1"/>
  <c r="AK1743" i="1"/>
  <c r="AK1741" i="1"/>
  <c r="AJ1741" i="1"/>
  <c r="AI1741" i="1"/>
  <c r="AK1739" i="1"/>
  <c r="AJ1739" i="1"/>
  <c r="AI1739" i="1"/>
  <c r="AH1739" i="1"/>
  <c r="AG1739" i="1"/>
  <c r="AK1725" i="1"/>
  <c r="AJ1725" i="1"/>
  <c r="AI1725" i="1"/>
  <c r="AK1730" i="1"/>
  <c r="AJ1730" i="1"/>
  <c r="AI1730" i="1"/>
  <c r="AI1458" i="1" l="1"/>
  <c r="AJ1458" i="1"/>
  <c r="AK1458" i="1"/>
  <c r="G865" i="1"/>
  <c r="G371" i="30" s="1"/>
  <c r="AK1064" i="1" l="1"/>
  <c r="AK1215" i="1"/>
  <c r="AK862" i="1"/>
  <c r="AK950" i="1" s="1"/>
  <c r="AK1016" i="1"/>
  <c r="AK1014" i="1" s="1"/>
  <c r="AK905" i="1"/>
  <c r="AK352" i="30" s="1"/>
  <c r="AK371" i="30"/>
  <c r="AK952" i="1"/>
  <c r="N862" i="1"/>
  <c r="N866" i="1" s="1"/>
  <c r="N344" i="30" s="1"/>
  <c r="O862" i="1"/>
  <c r="O866" i="1" s="1"/>
  <c r="O344" i="30" s="1"/>
  <c r="C345" i="30"/>
  <c r="H345" i="30"/>
  <c r="I345" i="30"/>
  <c r="J345" i="30"/>
  <c r="K345" i="30"/>
  <c r="L345" i="30"/>
  <c r="M345" i="30"/>
  <c r="N345" i="30"/>
  <c r="O345" i="30"/>
  <c r="P345" i="30"/>
  <c r="Q345" i="30"/>
  <c r="R345" i="30"/>
  <c r="S345" i="30"/>
  <c r="T345" i="30"/>
  <c r="U345" i="30"/>
  <c r="V345" i="30"/>
  <c r="W345" i="30"/>
  <c r="X345" i="30"/>
  <c r="Y345" i="30"/>
  <c r="Z345" i="30"/>
  <c r="AA345" i="30"/>
  <c r="AB345" i="30"/>
  <c r="AC345" i="30"/>
  <c r="AD345" i="30"/>
  <c r="AE345" i="30"/>
  <c r="AF345" i="30"/>
  <c r="AG345" i="30"/>
  <c r="AH345" i="30"/>
  <c r="AI345" i="30"/>
  <c r="AK345" i="30"/>
  <c r="AM345" i="30"/>
  <c r="AN345" i="30"/>
  <c r="AO345" i="30"/>
  <c r="AP345" i="30"/>
  <c r="AQ345" i="30"/>
  <c r="AV345" i="30"/>
  <c r="BA345" i="30"/>
  <c r="C342" i="30"/>
  <c r="H342" i="30"/>
  <c r="I342" i="30"/>
  <c r="J342" i="30"/>
  <c r="K342" i="30"/>
  <c r="L342" i="30"/>
  <c r="S342" i="30"/>
  <c r="V342" i="30"/>
  <c r="W342" i="30"/>
  <c r="X342" i="30"/>
  <c r="Y342" i="30"/>
  <c r="Z342" i="30"/>
  <c r="AA342" i="30"/>
  <c r="AB342" i="30"/>
  <c r="AC342" i="30"/>
  <c r="AL342" i="30"/>
  <c r="AM342" i="30"/>
  <c r="AN342" i="30"/>
  <c r="AO342" i="30"/>
  <c r="AP342" i="30"/>
  <c r="AQ342" i="30"/>
  <c r="AV342" i="30"/>
  <c r="BA342" i="30"/>
  <c r="AJ921" i="1"/>
  <c r="D921" i="1"/>
  <c r="F921" i="1"/>
  <c r="G921" i="1"/>
  <c r="B921" i="1"/>
  <c r="BD921" i="1" s="1"/>
  <c r="A921" i="1"/>
  <c r="AB954" i="1"/>
  <c r="AB356" i="30" s="1"/>
  <c r="AC954" i="1"/>
  <c r="AC356" i="30" s="1"/>
  <c r="AD954" i="1"/>
  <c r="AD356" i="30" s="1"/>
  <c r="AE954" i="1"/>
  <c r="AE356" i="30" s="1"/>
  <c r="AF954" i="1"/>
  <c r="AF356" i="30" s="1"/>
  <c r="AG954" i="1"/>
  <c r="AG356" i="30" s="1"/>
  <c r="AH954" i="1"/>
  <c r="AH356" i="30" s="1"/>
  <c r="AI954" i="1"/>
  <c r="AI356" i="30" s="1"/>
  <c r="B953" i="1"/>
  <c r="A953" i="1"/>
  <c r="D953" i="1"/>
  <c r="E953" i="1"/>
  <c r="F953" i="1"/>
  <c r="G953" i="1"/>
  <c r="BD1945" i="1"/>
  <c r="BC1945" i="1"/>
  <c r="BB1945" i="1"/>
  <c r="BD1944" i="1"/>
  <c r="BC1944" i="1"/>
  <c r="BB1944" i="1"/>
  <c r="N956" i="1"/>
  <c r="N357" i="30" s="1"/>
  <c r="O956" i="1"/>
  <c r="O357" i="30" s="1"/>
  <c r="P956" i="1"/>
  <c r="P357" i="30" s="1"/>
  <c r="Q956" i="1"/>
  <c r="Q357" i="30" s="1"/>
  <c r="R956" i="1"/>
  <c r="R357" i="30" s="1"/>
  <c r="T956" i="1"/>
  <c r="T357" i="30" s="1"/>
  <c r="U956" i="1"/>
  <c r="U357" i="30" s="1"/>
  <c r="W956" i="1"/>
  <c r="W357" i="30" s="1"/>
  <c r="X956" i="1"/>
  <c r="X357" i="30" s="1"/>
  <c r="Y956" i="1"/>
  <c r="Y357" i="30" s="1"/>
  <c r="Z956" i="1"/>
  <c r="Z357" i="30" s="1"/>
  <c r="AA956" i="1"/>
  <c r="AA357" i="30" s="1"/>
  <c r="AB956" i="1"/>
  <c r="AB357" i="30" s="1"/>
  <c r="AC956" i="1"/>
  <c r="AC357" i="30" s="1"/>
  <c r="AD956" i="1"/>
  <c r="AD357" i="30" s="1"/>
  <c r="AE956" i="1"/>
  <c r="AE357" i="30" s="1"/>
  <c r="AF956" i="1"/>
  <c r="AF357" i="30" s="1"/>
  <c r="AG956" i="1"/>
  <c r="AG357" i="30" s="1"/>
  <c r="AH956" i="1"/>
  <c r="AH357" i="30" s="1"/>
  <c r="AI956" i="1"/>
  <c r="AI357" i="30" s="1"/>
  <c r="AJ956" i="1"/>
  <c r="AJ357" i="30" s="1"/>
  <c r="M956" i="1"/>
  <c r="M357" i="30" s="1"/>
  <c r="B956" i="1"/>
  <c r="B357" i="30" s="1"/>
  <c r="B955" i="1"/>
  <c r="A956" i="1"/>
  <c r="A357" i="30" s="1"/>
  <c r="A955" i="1"/>
  <c r="D955" i="1"/>
  <c r="E955" i="1"/>
  <c r="F955" i="1"/>
  <c r="G955" i="1"/>
  <c r="B948" i="1"/>
  <c r="BD948" i="1" s="1"/>
  <c r="B947" i="1"/>
  <c r="BC947" i="1" s="1"/>
  <c r="A948" i="1"/>
  <c r="A947" i="1"/>
  <c r="D947" i="1"/>
  <c r="E947" i="1"/>
  <c r="F947" i="1"/>
  <c r="D948" i="1"/>
  <c r="E948" i="1"/>
  <c r="F948" i="1"/>
  <c r="B1020" i="1"/>
  <c r="A1020" i="1"/>
  <c r="A381" i="30" s="1"/>
  <c r="F1020" i="1"/>
  <c r="F381" i="30" s="1"/>
  <c r="D1020" i="1"/>
  <c r="D381" i="30" s="1"/>
  <c r="E1020" i="1"/>
  <c r="E381" i="30" s="1"/>
  <c r="G1020" i="1"/>
  <c r="G381" i="30" s="1"/>
  <c r="A1023" i="1"/>
  <c r="A383" i="30" s="1"/>
  <c r="B1023" i="1"/>
  <c r="B383" i="30" s="1"/>
  <c r="B1024" i="1"/>
  <c r="BB1024" i="1" s="1"/>
  <c r="A1024" i="1"/>
  <c r="E1024" i="1"/>
  <c r="F1024" i="1"/>
  <c r="G1024" i="1"/>
  <c r="B1022" i="1"/>
  <c r="A1022" i="1"/>
  <c r="D1022" i="1"/>
  <c r="E1022" i="1"/>
  <c r="F1022" i="1"/>
  <c r="G1022" i="1"/>
  <c r="B1008" i="1"/>
  <c r="B1007" i="1"/>
  <c r="BD1007" i="1" s="1"/>
  <c r="A1008" i="1"/>
  <c r="A1007" i="1"/>
  <c r="D1007" i="1"/>
  <c r="E1007" i="1"/>
  <c r="D1008" i="1"/>
  <c r="E1008" i="1"/>
  <c r="BD12" i="57"/>
  <c r="BH12" i="57" s="1"/>
  <c r="BL12" i="57" s="1"/>
  <c r="E1003" i="1"/>
  <c r="F1003" i="1"/>
  <c r="BC1003" i="1"/>
  <c r="E1000" i="1"/>
  <c r="F1000" i="1"/>
  <c r="G1000" i="1"/>
  <c r="BD1000" i="1"/>
  <c r="CC6" i="57"/>
  <c r="CC7" i="57"/>
  <c r="CC8" i="57"/>
  <c r="CC9" i="57"/>
  <c r="D889" i="1" s="1"/>
  <c r="CC10" i="57"/>
  <c r="CC11" i="57"/>
  <c r="CC12" i="57"/>
  <c r="BY12" i="57" s="1"/>
  <c r="D997" i="1" s="1"/>
  <c r="CC13" i="57"/>
  <c r="CC14" i="57"/>
  <c r="CC15" i="57"/>
  <c r="D1003" i="1" s="1"/>
  <c r="CC5" i="57"/>
  <c r="B978" i="1"/>
  <c r="B349" i="30" s="1"/>
  <c r="A978" i="1"/>
  <c r="A349" i="30" s="1"/>
  <c r="B992" i="1"/>
  <c r="BB992" i="1" s="1"/>
  <c r="A992" i="1"/>
  <c r="BU7" i="57"/>
  <c r="BU8" i="57"/>
  <c r="BU9" i="57"/>
  <c r="BU10" i="57"/>
  <c r="BU11" i="57"/>
  <c r="D992" i="1" s="1"/>
  <c r="BU12" i="57"/>
  <c r="BU13" i="57"/>
  <c r="BU14" i="57"/>
  <c r="BU15" i="57"/>
  <c r="BU6" i="57"/>
  <c r="BU5" i="57"/>
  <c r="BP18" i="57"/>
  <c r="BP31" i="57"/>
  <c r="BP43" i="57"/>
  <c r="BP44" i="57"/>
  <c r="BP45" i="57"/>
  <c r="BP46" i="57"/>
  <c r="BP47" i="57"/>
  <c r="BP48" i="57"/>
  <c r="BP50" i="57"/>
  <c r="E255" i="61" l="1"/>
  <c r="B479" i="61"/>
  <c r="AK342" i="30"/>
  <c r="E443" i="61"/>
  <c r="E442" i="61"/>
  <c r="B451" i="61"/>
  <c r="AK866" i="1"/>
  <c r="AK344" i="30" s="1"/>
  <c r="AK868" i="1"/>
  <c r="AK346" i="30" s="1"/>
  <c r="BC1020" i="1"/>
  <c r="BC381" i="30" s="1"/>
  <c r="B381" i="30"/>
  <c r="Q903" i="1"/>
  <c r="Q1062" i="1"/>
  <c r="T903" i="1"/>
  <c r="T1062" i="1"/>
  <c r="P903" i="1"/>
  <c r="P1062" i="1"/>
  <c r="U903" i="1"/>
  <c r="U1062" i="1"/>
  <c r="O903" i="1"/>
  <c r="O1062" i="1"/>
  <c r="AK903" i="1"/>
  <c r="AK1062" i="1"/>
  <c r="R903" i="1"/>
  <c r="R1062" i="1"/>
  <c r="N903" i="1"/>
  <c r="N1062" i="1"/>
  <c r="AK1015" i="1"/>
  <c r="AK1214" i="1"/>
  <c r="AK428" i="30" s="1"/>
  <c r="D398" i="61" s="1"/>
  <c r="AK355" i="30"/>
  <c r="AK354" i="30"/>
  <c r="BC1022" i="1"/>
  <c r="BD1022" i="1"/>
  <c r="BB1022" i="1"/>
  <c r="O342" i="30"/>
  <c r="O1015" i="1"/>
  <c r="O378" i="30" s="1"/>
  <c r="R342" i="30"/>
  <c r="R1015" i="1"/>
  <c r="R378" i="30" s="1"/>
  <c r="N342" i="30"/>
  <c r="N1015" i="1"/>
  <c r="N378" i="30" s="1"/>
  <c r="Q342" i="30"/>
  <c r="Q1015" i="1"/>
  <c r="Q378" i="30" s="1"/>
  <c r="T342" i="30"/>
  <c r="T1015" i="1"/>
  <c r="T378" i="30" s="1"/>
  <c r="P342" i="30"/>
  <c r="P1015" i="1"/>
  <c r="P378" i="30" s="1"/>
  <c r="U342" i="30"/>
  <c r="U1015" i="1"/>
  <c r="U378" i="30" s="1"/>
  <c r="BD1008" i="1"/>
  <c r="AK1017" i="1"/>
  <c r="AK1019" i="1" s="1"/>
  <c r="AK379" i="30"/>
  <c r="BB953" i="1"/>
  <c r="BC953" i="1"/>
  <c r="BD953" i="1"/>
  <c r="BD955" i="1"/>
  <c r="BB955" i="1"/>
  <c r="BC955" i="1"/>
  <c r="BC921" i="1"/>
  <c r="BB921" i="1"/>
  <c r="BD947" i="1"/>
  <c r="BB948" i="1"/>
  <c r="BB947" i="1"/>
  <c r="BC948" i="1"/>
  <c r="BD1024" i="1"/>
  <c r="BB1020" i="1"/>
  <c r="BB381" i="30" s="1"/>
  <c r="BC1024" i="1"/>
  <c r="BD1020" i="1"/>
  <c r="BD381" i="30" s="1"/>
  <c r="BB1003" i="1"/>
  <c r="BB1007" i="1"/>
  <c r="BC1007" i="1"/>
  <c r="BB1008" i="1"/>
  <c r="BC1008" i="1"/>
  <c r="BB1000" i="1"/>
  <c r="BD1003" i="1"/>
  <c r="BC1000" i="1"/>
  <c r="BC992" i="1"/>
  <c r="BD992" i="1"/>
  <c r="BY5" i="57"/>
  <c r="BY6" i="57"/>
  <c r="BY7" i="57"/>
  <c r="BY8" i="57"/>
  <c r="BY10" i="57"/>
  <c r="BY11" i="57"/>
  <c r="BY13" i="57"/>
  <c r="D979" i="1" s="1"/>
  <c r="BY14" i="57"/>
  <c r="D989" i="1" s="1"/>
  <c r="BY15" i="57"/>
  <c r="AU5" i="57"/>
  <c r="AU6" i="57"/>
  <c r="AU7" i="57"/>
  <c r="AU8" i="57"/>
  <c r="AY8" i="57" s="1"/>
  <c r="AU9" i="57"/>
  <c r="AU10" i="57"/>
  <c r="AU11" i="57"/>
  <c r="AU12" i="57"/>
  <c r="AU13" i="57"/>
  <c r="AY13" i="57" s="1"/>
  <c r="D977" i="1" s="1"/>
  <c r="AU14" i="57"/>
  <c r="AU15" i="57"/>
  <c r="AE5" i="57"/>
  <c r="D1053" i="1" s="1"/>
  <c r="D928" i="1"/>
  <c r="AQ7" i="57"/>
  <c r="AE8" i="57"/>
  <c r="D914" i="1" s="1"/>
  <c r="AQ9" i="57"/>
  <c r="AE9" i="57" s="1"/>
  <c r="D891" i="1" s="1"/>
  <c r="AQ10" i="57"/>
  <c r="AE10" i="57" s="1"/>
  <c r="D894" i="1" s="1"/>
  <c r="AQ11" i="57"/>
  <c r="AQ12" i="57"/>
  <c r="AQ13" i="57"/>
  <c r="AQ14" i="57"/>
  <c r="AQ15" i="57"/>
  <c r="W5" i="57"/>
  <c r="D1052" i="1" s="1"/>
  <c r="D350" i="30" s="1"/>
  <c r="W6" i="57"/>
  <c r="W7" i="57"/>
  <c r="D941" i="1" s="1"/>
  <c r="W8" i="57"/>
  <c r="W9" i="57"/>
  <c r="W10" i="57"/>
  <c r="W11" i="57"/>
  <c r="W12" i="57"/>
  <c r="W13" i="57"/>
  <c r="W14" i="57"/>
  <c r="W15" i="57"/>
  <c r="S5" i="57"/>
  <c r="D1051" i="1" s="1"/>
  <c r="S6" i="57"/>
  <c r="D925" i="1" s="1"/>
  <c r="S7" i="57"/>
  <c r="D940" i="1" s="1"/>
  <c r="S9" i="57"/>
  <c r="S10" i="57"/>
  <c r="S11" i="57"/>
  <c r="S12" i="57"/>
  <c r="S13" i="57"/>
  <c r="D976" i="1" s="1"/>
  <c r="S14" i="57"/>
  <c r="S15" i="57"/>
  <c r="D1000" i="1" s="1"/>
  <c r="O5" i="57"/>
  <c r="O6" i="57"/>
  <c r="O7" i="57"/>
  <c r="O8" i="57"/>
  <c r="O9" i="57"/>
  <c r="O10" i="57"/>
  <c r="O11" i="57"/>
  <c r="O12" i="57"/>
  <c r="O13" i="57"/>
  <c r="O14" i="57"/>
  <c r="O15" i="57"/>
  <c r="B1109" i="1"/>
  <c r="A1109" i="1"/>
  <c r="BB2137" i="1"/>
  <c r="BC2137" i="1"/>
  <c r="BD2137" i="1"/>
  <c r="B1039" i="1"/>
  <c r="A1039" i="1"/>
  <c r="B1107" i="1"/>
  <c r="BB1107" i="1" s="1"/>
  <c r="A1107" i="1"/>
  <c r="G1110" i="1"/>
  <c r="BL25" i="57"/>
  <c r="BH25" i="57"/>
  <c r="BD25" i="57"/>
  <c r="D1018" i="1" s="1"/>
  <c r="BP16" i="57"/>
  <c r="AE7" i="57" l="1"/>
  <c r="D942" i="1" s="1"/>
  <c r="D943" i="1"/>
  <c r="B411" i="61"/>
  <c r="AK378" i="30"/>
  <c r="B412" i="61"/>
  <c r="D981" i="1"/>
  <c r="AE13" i="57"/>
  <c r="D980" i="1" s="1"/>
  <c r="AK380" i="30"/>
  <c r="BC1107" i="1"/>
  <c r="BD1107" i="1"/>
  <c r="W24" i="57"/>
  <c r="AA24" i="57" s="1"/>
  <c r="D1029" i="1" s="1"/>
  <c r="D386" i="30" s="1"/>
  <c r="AU25" i="57"/>
  <c r="AQ25" i="57"/>
  <c r="W25" i="57"/>
  <c r="S25" i="57"/>
  <c r="AU24" i="57"/>
  <c r="AU23" i="57"/>
  <c r="BL18" i="57"/>
  <c r="AU18" i="57"/>
  <c r="AY18" i="57" s="1"/>
  <c r="AQ18" i="57"/>
  <c r="AE18" i="57" s="1"/>
  <c r="W18" i="57"/>
  <c r="S18" i="57"/>
  <c r="O18" i="57"/>
  <c r="BB675" i="1"/>
  <c r="BC675" i="1"/>
  <c r="BD675" i="1"/>
  <c r="BB676" i="1"/>
  <c r="BC676" i="1"/>
  <c r="BD676" i="1"/>
  <c r="BP4" i="57"/>
  <c r="BP39" i="57"/>
  <c r="BP42" i="57"/>
  <c r="D882" i="1" l="1"/>
  <c r="AA18" i="57"/>
  <c r="D881" i="1" s="1"/>
  <c r="BC33" i="57"/>
  <c r="BP33" i="57" s="1"/>
  <c r="BC41" i="57"/>
  <c r="BP41" i="57" s="1"/>
  <c r="BC34" i="57"/>
  <c r="BP34" i="57" s="1"/>
  <c r="BC22" i="57"/>
  <c r="BP22" i="57" s="1"/>
  <c r="BC23" i="57"/>
  <c r="BP23" i="57" s="1"/>
  <c r="BC24" i="57"/>
  <c r="BP24" i="57" s="1"/>
  <c r="BC25" i="57"/>
  <c r="BP25" i="57" s="1"/>
  <c r="BC5" i="57"/>
  <c r="BP5" i="57" s="1"/>
  <c r="BC6" i="57"/>
  <c r="BP6" i="57" s="1"/>
  <c r="BC7" i="57"/>
  <c r="BP7" i="57" s="1"/>
  <c r="BC8" i="57"/>
  <c r="BP8" i="57" s="1"/>
  <c r="BC9" i="57"/>
  <c r="BP9" i="57" s="1"/>
  <c r="BC10" i="57"/>
  <c r="BP10" i="57" s="1"/>
  <c r="BC11" i="57"/>
  <c r="BP11" i="57" s="1"/>
  <c r="BC12" i="57"/>
  <c r="BP12" i="57" s="1"/>
  <c r="BC13" i="57"/>
  <c r="BP13" i="57" s="1"/>
  <c r="BC14" i="57"/>
  <c r="BP14" i="57" s="1"/>
  <c r="BC15" i="57"/>
  <c r="BP15" i="57" s="1"/>
  <c r="S41" i="57"/>
  <c r="D1108" i="1"/>
  <c r="D862" i="1"/>
  <c r="D342" i="30" s="1"/>
  <c r="E862" i="1"/>
  <c r="E342" i="30" s="1"/>
  <c r="F862" i="1"/>
  <c r="F342" i="30" s="1"/>
  <c r="G862" i="1"/>
  <c r="G342" i="30" s="1"/>
  <c r="D902" i="1"/>
  <c r="E902" i="1"/>
  <c r="F902" i="1"/>
  <c r="G902" i="1"/>
  <c r="D949" i="1"/>
  <c r="E949" i="1"/>
  <c r="F949" i="1"/>
  <c r="G949" i="1"/>
  <c r="D950" i="1"/>
  <c r="D354" i="30" s="1"/>
  <c r="E950" i="1"/>
  <c r="E354" i="30" s="1"/>
  <c r="F950" i="1"/>
  <c r="F354" i="30" s="1"/>
  <c r="G950" i="1"/>
  <c r="G354" i="30" s="1"/>
  <c r="D1014" i="1"/>
  <c r="E1014" i="1"/>
  <c r="G1014" i="1"/>
  <c r="D1015" i="1"/>
  <c r="D378" i="30" s="1"/>
  <c r="E1015" i="1"/>
  <c r="E378" i="30" s="1"/>
  <c r="F1015" i="1"/>
  <c r="F378" i="30" s="1"/>
  <c r="G1015" i="1"/>
  <c r="G378" i="30" s="1"/>
  <c r="E1042" i="1"/>
  <c r="F1042" i="1"/>
  <c r="D867" i="1"/>
  <c r="D345" i="30" s="1"/>
  <c r="E867" i="1"/>
  <c r="E345" i="30" s="1"/>
  <c r="F867" i="1"/>
  <c r="F345" i="30" s="1"/>
  <c r="G867" i="1"/>
  <c r="G345" i="30" s="1"/>
  <c r="D923" i="1"/>
  <c r="E923" i="1"/>
  <c r="G923" i="1"/>
  <c r="D938" i="1"/>
  <c r="E938" i="1"/>
  <c r="F938" i="1"/>
  <c r="G938" i="1"/>
  <c r="D906" i="1"/>
  <c r="E906" i="1"/>
  <c r="F906" i="1"/>
  <c r="G906" i="1"/>
  <c r="D954" i="1"/>
  <c r="D356" i="30" s="1"/>
  <c r="E954" i="1"/>
  <c r="E356" i="30" s="1"/>
  <c r="F954" i="1"/>
  <c r="F356" i="30" s="1"/>
  <c r="G954" i="1"/>
  <c r="G356" i="30" s="1"/>
  <c r="D1021" i="1"/>
  <c r="D382" i="30" s="1"/>
  <c r="E1021" i="1"/>
  <c r="E382" i="30" s="1"/>
  <c r="F1021" i="1"/>
  <c r="F382" i="30" s="1"/>
  <c r="E1049" i="1"/>
  <c r="F1049" i="1"/>
  <c r="G1049" i="1"/>
  <c r="E1108" i="1"/>
  <c r="F1108" i="1"/>
  <c r="G1108" i="1"/>
  <c r="G1021" i="1"/>
  <c r="G382" i="30" s="1"/>
  <c r="D865" i="1"/>
  <c r="D371" i="30" s="1"/>
  <c r="E865" i="1"/>
  <c r="E371" i="30" s="1"/>
  <c r="D897" i="1"/>
  <c r="D375" i="30" s="1"/>
  <c r="E897" i="1"/>
  <c r="E375" i="30" s="1"/>
  <c r="F897" i="1"/>
  <c r="F375" i="30" s="1"/>
  <c r="G897" i="1"/>
  <c r="G375" i="30" s="1"/>
  <c r="D904" i="1"/>
  <c r="D351" i="30" s="1"/>
  <c r="E904" i="1"/>
  <c r="E351" i="30" s="1"/>
  <c r="F904" i="1"/>
  <c r="F351" i="30" s="1"/>
  <c r="G904" i="1"/>
  <c r="G351" i="30" s="1"/>
  <c r="D922" i="1"/>
  <c r="D373" i="30" s="1"/>
  <c r="E922" i="1"/>
  <c r="E373" i="30" s="1"/>
  <c r="F373" i="30"/>
  <c r="G922" i="1"/>
  <c r="G373" i="30" s="1"/>
  <c r="D937" i="1"/>
  <c r="D374" i="30" s="1"/>
  <c r="E937" i="1"/>
  <c r="E374" i="30" s="1"/>
  <c r="F937" i="1"/>
  <c r="F374" i="30" s="1"/>
  <c r="G937" i="1"/>
  <c r="G374" i="30" s="1"/>
  <c r="D951" i="1"/>
  <c r="E951" i="1"/>
  <c r="F951" i="1"/>
  <c r="G951" i="1"/>
  <c r="D952" i="1"/>
  <c r="D355" i="30" s="1"/>
  <c r="E952" i="1"/>
  <c r="E355" i="30" s="1"/>
  <c r="F952" i="1"/>
  <c r="F355" i="30" s="1"/>
  <c r="G952" i="1"/>
  <c r="G355" i="30" s="1"/>
  <c r="D971" i="1"/>
  <c r="D377" i="30" s="1"/>
  <c r="E971" i="1"/>
  <c r="E377" i="30" s="1"/>
  <c r="G971" i="1"/>
  <c r="G377" i="30" s="1"/>
  <c r="D1016" i="1"/>
  <c r="D379" i="30" s="1"/>
  <c r="E1016" i="1"/>
  <c r="E379" i="30" s="1"/>
  <c r="F1016" i="1"/>
  <c r="F379" i="30" s="1"/>
  <c r="G1016" i="1"/>
  <c r="G379" i="30" s="1"/>
  <c r="D1017" i="1"/>
  <c r="D380" i="30" s="1"/>
  <c r="E1017" i="1"/>
  <c r="E380" i="30" s="1"/>
  <c r="F1017" i="1"/>
  <c r="F380" i="30" s="1"/>
  <c r="G1017" i="1"/>
  <c r="G380" i="30" s="1"/>
  <c r="D994" i="1"/>
  <c r="D376" i="30" s="1"/>
  <c r="E994" i="1"/>
  <c r="E376" i="30" s="1"/>
  <c r="F994" i="1"/>
  <c r="F376" i="30" s="1"/>
  <c r="G994" i="1"/>
  <c r="G376" i="30" s="1"/>
  <c r="E1043" i="1"/>
  <c r="E372" i="30" s="1"/>
  <c r="F1043" i="1"/>
  <c r="F372" i="30" s="1"/>
  <c r="S23" i="57"/>
  <c r="D1024" i="1" s="1"/>
  <c r="S24" i="57"/>
  <c r="D879" i="1" l="1"/>
  <c r="E879" i="1"/>
  <c r="F879" i="1"/>
  <c r="D1025" i="1"/>
  <c r="D384" i="30" s="1"/>
  <c r="E1025" i="1"/>
  <c r="E384" i="30" s="1"/>
  <c r="F1025" i="1"/>
  <c r="F384" i="30" s="1"/>
  <c r="G1025" i="1"/>
  <c r="G384" i="30" s="1"/>
  <c r="D1110" i="1"/>
  <c r="E1110" i="1"/>
  <c r="F1110" i="1"/>
  <c r="D1038" i="1"/>
  <c r="F1038" i="1"/>
  <c r="G1038" i="1"/>
  <c r="D1039" i="1"/>
  <c r="E1039" i="1"/>
  <c r="F1039" i="1"/>
  <c r="G1039" i="1"/>
  <c r="AQ24" i="57"/>
  <c r="D1035" i="1" s="1"/>
  <c r="D388" i="30" s="1"/>
  <c r="AQ23" i="57"/>
  <c r="D1032" i="1" s="1"/>
  <c r="D883" i="1"/>
  <c r="E883" i="1"/>
  <c r="F883" i="1"/>
  <c r="G883" i="1"/>
  <c r="E1032" i="1"/>
  <c r="F1032" i="1"/>
  <c r="G1032" i="1"/>
  <c r="E1035" i="1"/>
  <c r="E388" i="30" s="1"/>
  <c r="F1035" i="1"/>
  <c r="F388" i="30" s="1"/>
  <c r="G1035" i="1"/>
  <c r="G388" i="30" s="1"/>
  <c r="AK912" i="1"/>
  <c r="AK913" i="1" s="1"/>
  <c r="AJ912" i="1"/>
  <c r="AJ913" i="1" s="1"/>
  <c r="AI912" i="1"/>
  <c r="AI913" i="1" s="1"/>
  <c r="AH912" i="1"/>
  <c r="AH913" i="1" s="1"/>
  <c r="B912" i="1"/>
  <c r="BB912" i="1" s="1"/>
  <c r="A912" i="1"/>
  <c r="E912" i="1"/>
  <c r="F912" i="1"/>
  <c r="G912" i="1"/>
  <c r="D912" i="1"/>
  <c r="O2" i="57"/>
  <c r="W2" i="57" s="1"/>
  <c r="AQ2" i="57" l="1"/>
  <c r="AU2" i="57" s="1"/>
  <c r="BQ2" i="57"/>
  <c r="BD912" i="1"/>
  <c r="BC912" i="1"/>
  <c r="D1043" i="1"/>
  <c r="D372" i="30" s="1"/>
  <c r="BY2" i="57" l="1"/>
  <c r="CC2" i="57" s="1"/>
  <c r="AY2" i="57"/>
  <c r="BU2" i="57"/>
  <c r="BD2" i="57"/>
  <c r="BH2" i="57"/>
  <c r="BL2" i="57"/>
  <c r="D1042" i="1"/>
  <c r="D1049" i="1"/>
  <c r="D878" i="1"/>
  <c r="E878" i="1"/>
  <c r="F878" i="1"/>
  <c r="G878" i="1"/>
  <c r="D924" i="1"/>
  <c r="E924" i="1"/>
  <c r="F924" i="1"/>
  <c r="G924" i="1"/>
  <c r="D939" i="1"/>
  <c r="E939" i="1"/>
  <c r="F939" i="1"/>
  <c r="G939" i="1"/>
  <c r="D1050" i="1"/>
  <c r="E1050" i="1"/>
  <c r="F1050" i="1"/>
  <c r="G1050" i="1"/>
  <c r="D908" i="1"/>
  <c r="E908" i="1"/>
  <c r="F908" i="1"/>
  <c r="G908" i="1"/>
  <c r="D956" i="1"/>
  <c r="D357" i="30" s="1"/>
  <c r="E956" i="1"/>
  <c r="E357" i="30" s="1"/>
  <c r="F956" i="1"/>
  <c r="F357" i="30" s="1"/>
  <c r="G956" i="1"/>
  <c r="G357" i="30" s="1"/>
  <c r="D1023" i="1"/>
  <c r="D383" i="30" s="1"/>
  <c r="E1023" i="1"/>
  <c r="E383" i="30" s="1"/>
  <c r="F1023" i="1"/>
  <c r="F383" i="30" s="1"/>
  <c r="D1109" i="1"/>
  <c r="E1109" i="1"/>
  <c r="F1109" i="1"/>
  <c r="G1109" i="1"/>
  <c r="G1023" i="1"/>
  <c r="G383" i="30" s="1"/>
  <c r="A433" i="30"/>
  <c r="B433" i="30"/>
  <c r="C433" i="30"/>
  <c r="H433" i="30"/>
  <c r="I433" i="30"/>
  <c r="J433" i="30"/>
  <c r="K433" i="30"/>
  <c r="L433" i="30"/>
  <c r="M433" i="30"/>
  <c r="N433" i="30"/>
  <c r="O433" i="30"/>
  <c r="P433" i="30"/>
  <c r="Q433" i="30"/>
  <c r="R433" i="30"/>
  <c r="S433" i="30"/>
  <c r="T433" i="30"/>
  <c r="U433" i="30"/>
  <c r="V433" i="30"/>
  <c r="W433" i="30"/>
  <c r="X433" i="30"/>
  <c r="Y433" i="30"/>
  <c r="Z433" i="30"/>
  <c r="AA433" i="30"/>
  <c r="AB433" i="30"/>
  <c r="AC433" i="30"/>
  <c r="AD433" i="30"/>
  <c r="AL433" i="30"/>
  <c r="AM433" i="30"/>
  <c r="AN433" i="30"/>
  <c r="AO433" i="30"/>
  <c r="AP433" i="30"/>
  <c r="AQ433" i="30"/>
  <c r="AV433" i="30"/>
  <c r="BA433" i="30"/>
  <c r="AJ433" i="30"/>
  <c r="D395" i="61" s="1"/>
  <c r="D1219" i="1"/>
  <c r="D432" i="30" s="1"/>
  <c r="E1219" i="1"/>
  <c r="E432" i="30" s="1"/>
  <c r="F1219" i="1"/>
  <c r="F432" i="30" s="1"/>
  <c r="D1220" i="1"/>
  <c r="D433" i="30" s="1"/>
  <c r="E1220" i="1"/>
  <c r="E433" i="30" s="1"/>
  <c r="F1220" i="1"/>
  <c r="F433" i="30" s="1"/>
  <c r="G433" i="30"/>
  <c r="D1222" i="1"/>
  <c r="E1222" i="1"/>
  <c r="F1222" i="1"/>
  <c r="G1222" i="1"/>
  <c r="D880" i="1"/>
  <c r="E880" i="1"/>
  <c r="F880" i="1"/>
  <c r="D926" i="1"/>
  <c r="D348" i="30" s="1"/>
  <c r="E926" i="1"/>
  <c r="E348" i="30" s="1"/>
  <c r="F926" i="1"/>
  <c r="F348" i="30" s="1"/>
  <c r="G926" i="1"/>
  <c r="G348" i="30" s="1"/>
  <c r="D1026" i="1"/>
  <c r="E1026" i="1"/>
  <c r="F1026" i="1"/>
  <c r="G1026" i="1"/>
  <c r="D1027" i="1"/>
  <c r="D385" i="30" s="1"/>
  <c r="E1027" i="1"/>
  <c r="E385" i="30" s="1"/>
  <c r="F1027" i="1"/>
  <c r="F385" i="30" s="1"/>
  <c r="G1027" i="1"/>
  <c r="G385" i="30" s="1"/>
  <c r="D978" i="1"/>
  <c r="D349" i="30" s="1"/>
  <c r="E978" i="1"/>
  <c r="E349" i="30" s="1"/>
  <c r="F978" i="1"/>
  <c r="F349" i="30" s="1"/>
  <c r="G978" i="1"/>
  <c r="G349" i="30" s="1"/>
  <c r="D1111" i="1"/>
  <c r="E1111" i="1"/>
  <c r="F1111" i="1"/>
  <c r="G1111" i="1"/>
  <c r="G1214" i="1" l="1"/>
  <c r="G1215" i="1"/>
  <c r="G1217" i="1"/>
  <c r="G1218" i="1"/>
  <c r="D1214" i="1"/>
  <c r="E1214" i="1"/>
  <c r="F1214" i="1"/>
  <c r="D1215" i="1"/>
  <c r="E1215" i="1"/>
  <c r="F1215" i="1"/>
  <c r="D1217" i="1"/>
  <c r="E1217" i="1"/>
  <c r="F1217" i="1"/>
  <c r="D1218" i="1"/>
  <c r="E1218" i="1"/>
  <c r="F1218" i="1"/>
  <c r="D80" i="1" l="1"/>
  <c r="D36" i="30" s="1"/>
  <c r="F80" i="1"/>
  <c r="F36" i="30" s="1"/>
  <c r="D81" i="1"/>
  <c r="D37" i="30" s="1"/>
  <c r="F81" i="1"/>
  <c r="F37" i="30" s="1"/>
  <c r="D82" i="1"/>
  <c r="D38" i="30" s="1"/>
  <c r="F82" i="1"/>
  <c r="F38" i="30" s="1"/>
  <c r="D83" i="1"/>
  <c r="D39" i="30" s="1"/>
  <c r="F83" i="1"/>
  <c r="F39" i="30" s="1"/>
  <c r="D84" i="1"/>
  <c r="D40" i="30" s="1"/>
  <c r="F84" i="1"/>
  <c r="F40" i="30" s="1"/>
  <c r="D85" i="1"/>
  <c r="D41" i="30" s="1"/>
  <c r="F85" i="1"/>
  <c r="F41" i="30" s="1"/>
  <c r="D86" i="1"/>
  <c r="D42" i="30" s="1"/>
  <c r="F86" i="1"/>
  <c r="F42" i="30" s="1"/>
  <c r="D87" i="1"/>
  <c r="D43" i="30" s="1"/>
  <c r="F87" i="1"/>
  <c r="F43" i="30" s="1"/>
  <c r="D88" i="1"/>
  <c r="D44" i="30" s="1"/>
  <c r="F88" i="1"/>
  <c r="F44" i="30" s="1"/>
  <c r="D89" i="1"/>
  <c r="D45" i="30" s="1"/>
  <c r="F89" i="1"/>
  <c r="F45" i="30" s="1"/>
  <c r="B2407" i="1" l="1"/>
  <c r="BB2407" i="1" s="1"/>
  <c r="A2407" i="1"/>
  <c r="B2331" i="1"/>
  <c r="BB2331" i="1" s="1"/>
  <c r="A2331" i="1"/>
  <c r="B2332" i="1"/>
  <c r="BD2332" i="1" s="1"/>
  <c r="A2332" i="1"/>
  <c r="B2255" i="1"/>
  <c r="BD2255" i="1" s="1"/>
  <c r="A2255" i="1"/>
  <c r="B879" i="1"/>
  <c r="A879" i="1"/>
  <c r="A1025" i="1"/>
  <c r="A384" i="30" s="1"/>
  <c r="B1025" i="1"/>
  <c r="B384" i="30" s="1"/>
  <c r="B1110" i="1"/>
  <c r="BD1110" i="1" s="1"/>
  <c r="A1110" i="1"/>
  <c r="B1108" i="1"/>
  <c r="BB1108" i="1" s="1"/>
  <c r="A1108" i="1"/>
  <c r="B2408" i="1"/>
  <c r="BD2408" i="1" s="1"/>
  <c r="A2408" i="1"/>
  <c r="BB1109" i="1"/>
  <c r="AI1026" i="1"/>
  <c r="AK1026" i="1"/>
  <c r="AJ1026" i="1"/>
  <c r="AH1026" i="1"/>
  <c r="BB2377" i="1"/>
  <c r="BC2377" i="1"/>
  <c r="BD2377" i="1"/>
  <c r="BB1110" i="1" l="1"/>
  <c r="BC2331" i="1"/>
  <c r="BC1109" i="1"/>
  <c r="BB2332" i="1"/>
  <c r="BD2407" i="1"/>
  <c r="BC2332" i="1"/>
  <c r="BD2331" i="1"/>
  <c r="BC2407" i="1"/>
  <c r="BB2255" i="1"/>
  <c r="BC1108" i="1"/>
  <c r="BC2255" i="1"/>
  <c r="BC2408" i="1"/>
  <c r="BB2408" i="1"/>
  <c r="BC1110" i="1"/>
  <c r="BD1108" i="1"/>
  <c r="BD1109" i="1"/>
  <c r="B80" i="1"/>
  <c r="B81" i="1"/>
  <c r="B82" i="1"/>
  <c r="B83" i="1"/>
  <c r="B84" i="1"/>
  <c r="B85" i="1"/>
  <c r="B86" i="1"/>
  <c r="B87" i="1"/>
  <c r="B88" i="1"/>
  <c r="B89" i="1"/>
  <c r="A89" i="1"/>
  <c r="A45" i="30" s="1"/>
  <c r="A88" i="1"/>
  <c r="A44" i="30" s="1"/>
  <c r="A87" i="1"/>
  <c r="A43" i="30" s="1"/>
  <c r="A86" i="1"/>
  <c r="A42" i="30" s="1"/>
  <c r="A85" i="1"/>
  <c r="A41" i="30" s="1"/>
  <c r="A84" i="1"/>
  <c r="A40" i="30" s="1"/>
  <c r="A83" i="1"/>
  <c r="A39" i="30" s="1"/>
  <c r="A82" i="1"/>
  <c r="A38" i="30" s="1"/>
  <c r="A81" i="1"/>
  <c r="A37" i="30" s="1"/>
  <c r="A80" i="1"/>
  <c r="A36" i="30" s="1"/>
  <c r="BB82" i="1" l="1"/>
  <c r="BC82" i="1"/>
  <c r="BC38" i="30" s="1"/>
  <c r="BD82" i="1"/>
  <c r="BD38" i="30" s="1"/>
  <c r="BB89" i="1"/>
  <c r="BB45" i="30" s="1"/>
  <c r="BC89" i="1"/>
  <c r="BD89" i="1"/>
  <c r="BD45" i="30" s="1"/>
  <c r="BB85" i="1"/>
  <c r="BB41" i="30" s="1"/>
  <c r="BC85" i="1"/>
  <c r="BC41" i="30" s="1"/>
  <c r="BD85" i="1"/>
  <c r="BD88" i="1"/>
  <c r="BD44" i="30" s="1"/>
  <c r="BB88" i="1"/>
  <c r="BB44" i="30" s="1"/>
  <c r="BC88" i="1"/>
  <c r="BC44" i="30" s="1"/>
  <c r="BD84" i="1"/>
  <c r="BB84" i="1"/>
  <c r="BB40" i="30" s="1"/>
  <c r="BC84" i="1"/>
  <c r="BC40" i="30" s="1"/>
  <c r="BD80" i="1"/>
  <c r="BD36" i="30" s="1"/>
  <c r="BB80" i="1"/>
  <c r="BC80" i="1"/>
  <c r="BC36" i="30" s="1"/>
  <c r="BC87" i="1"/>
  <c r="BC43" i="30" s="1"/>
  <c r="BD87" i="1"/>
  <c r="BD43" i="30" s="1"/>
  <c r="BB87" i="1"/>
  <c r="BB43" i="30" s="1"/>
  <c r="BC83" i="1"/>
  <c r="BC39" i="30" s="1"/>
  <c r="BD83" i="1"/>
  <c r="BD39" i="30" s="1"/>
  <c r="BB83" i="1"/>
  <c r="BB39" i="30" s="1"/>
  <c r="BB81" i="1"/>
  <c r="BB37" i="30" s="1"/>
  <c r="BC81" i="1"/>
  <c r="BC37" i="30" s="1"/>
  <c r="BD81" i="1"/>
  <c r="BD37" i="30" s="1"/>
  <c r="BB86" i="1"/>
  <c r="BB42" i="30" s="1"/>
  <c r="BC86" i="1"/>
  <c r="BC42" i="30" s="1"/>
  <c r="BD86" i="1"/>
  <c r="B38" i="30"/>
  <c r="BB38" i="30"/>
  <c r="B45" i="30"/>
  <c r="BC45" i="30"/>
  <c r="B41" i="30"/>
  <c r="B44" i="30"/>
  <c r="B40" i="30"/>
  <c r="BD40" i="30"/>
  <c r="B43" i="30"/>
  <c r="B39" i="30"/>
  <c r="B42" i="30"/>
  <c r="B37" i="30"/>
  <c r="B36" i="30"/>
  <c r="BB36" i="30"/>
  <c r="BD2394" i="1"/>
  <c r="BC2394" i="1"/>
  <c r="BB2394" i="1"/>
  <c r="BD42" i="30" l="1"/>
  <c r="BD41" i="30"/>
  <c r="B1193" i="1"/>
  <c r="BB1193" i="1" s="1"/>
  <c r="BC1193" i="1" l="1"/>
  <c r="BD1193" i="1"/>
  <c r="BD1220" i="1"/>
  <c r="BD433" i="30" s="1"/>
  <c r="BC1220" i="1"/>
  <c r="BC433" i="30" s="1"/>
  <c r="BB1220" i="1"/>
  <c r="BB433" i="30" s="1"/>
  <c r="A1111" i="1" l="1"/>
  <c r="BB1026" i="1"/>
  <c r="BC1026" i="1"/>
  <c r="BD1026" i="1"/>
  <c r="BB1027" i="1"/>
  <c r="BB385" i="30" s="1"/>
  <c r="BC1027" i="1"/>
  <c r="BC385" i="30" s="1"/>
  <c r="BD1027" i="1"/>
  <c r="BD385" i="30" s="1"/>
  <c r="BD926" i="1"/>
  <c r="BD348" i="30" s="1"/>
  <c r="AI1027" i="1"/>
  <c r="AI385" i="30" s="1"/>
  <c r="AJ1027" i="1"/>
  <c r="AJ385" i="30" s="1"/>
  <c r="AK1027" i="1"/>
  <c r="AH1027" i="1"/>
  <c r="AH385" i="30" s="1"/>
  <c r="BD880" i="1"/>
  <c r="BC880" i="1"/>
  <c r="BB880" i="1"/>
  <c r="AK385" i="30" l="1"/>
  <c r="B407" i="61"/>
  <c r="BD978" i="1"/>
  <c r="BD349" i="30" s="1"/>
  <c r="B1111" i="1"/>
  <c r="BB978" i="1"/>
  <c r="BB349" i="30" s="1"/>
  <c r="BC978" i="1"/>
  <c r="BC349" i="30" s="1"/>
  <c r="BB926" i="1"/>
  <c r="BB348" i="30" s="1"/>
  <c r="BC926" i="1"/>
  <c r="BC348" i="30" s="1"/>
  <c r="B2404" i="1"/>
  <c r="BC2404" i="1" s="1"/>
  <c r="A2404" i="1"/>
  <c r="B2418" i="1"/>
  <c r="BB2418" i="1" s="1"/>
  <c r="A2418" i="1"/>
  <c r="B862" i="1"/>
  <c r="A862" i="1"/>
  <c r="BB949" i="1"/>
  <c r="BC949" i="1"/>
  <c r="BD949" i="1"/>
  <c r="A1042" i="1" l="1"/>
  <c r="A342" i="30"/>
  <c r="B1042" i="1"/>
  <c r="BD1042" i="1" s="1"/>
  <c r="B342" i="30"/>
  <c r="BC1111" i="1"/>
  <c r="BB1111" i="1"/>
  <c r="BD1111" i="1"/>
  <c r="BD2404" i="1"/>
  <c r="BB2404" i="1"/>
  <c r="BD2418" i="1"/>
  <c r="BC2418" i="1"/>
  <c r="B1194" i="1"/>
  <c r="BC1194" i="1" s="1"/>
  <c r="BC1042" i="1" l="1"/>
  <c r="BB1042" i="1"/>
  <c r="BB1194" i="1"/>
  <c r="BD1194" i="1"/>
  <c r="A92" i="1"/>
  <c r="B92" i="1"/>
  <c r="A70" i="1"/>
  <c r="B70" i="1"/>
  <c r="BB70" i="1" l="1"/>
  <c r="BC70" i="1"/>
  <c r="BD70" i="1"/>
  <c r="BD92" i="1"/>
  <c r="BB92" i="1"/>
  <c r="BC92" i="1"/>
  <c r="BD1039" i="1"/>
  <c r="BC1039" i="1"/>
  <c r="BB1039" i="1"/>
  <c r="B2138" i="1" l="1"/>
  <c r="BC2138" i="1" s="1"/>
  <c r="A2138" i="1"/>
  <c r="BB2505" i="1"/>
  <c r="BC2505" i="1"/>
  <c r="BD2505" i="1"/>
  <c r="B1229" i="1"/>
  <c r="BD1229" i="1" s="1"/>
  <c r="A1229" i="1"/>
  <c r="A1230" i="1" s="1"/>
  <c r="BB1134" i="1"/>
  <c r="BC1134" i="1"/>
  <c r="BD1134" i="1"/>
  <c r="B1136" i="1"/>
  <c r="BD1136" i="1" s="1"/>
  <c r="B1135" i="1"/>
  <c r="A1136" i="1"/>
  <c r="A1140" i="1" s="1"/>
  <c r="A1143" i="1" s="1"/>
  <c r="A1135" i="1"/>
  <c r="A1141" i="1" l="1"/>
  <c r="A1139" i="1"/>
  <c r="BC1135" i="1"/>
  <c r="B1139" i="1"/>
  <c r="B1137" i="1"/>
  <c r="B1138" i="1" s="1"/>
  <c r="A1137" i="1"/>
  <c r="A1138" i="1" s="1"/>
  <c r="BD2138" i="1"/>
  <c r="BB2138" i="1"/>
  <c r="B1230" i="1"/>
  <c r="BD1230" i="1" s="1"/>
  <c r="BB1229" i="1"/>
  <c r="BC1229" i="1"/>
  <c r="B1141" i="1"/>
  <c r="A1142" i="1"/>
  <c r="B1142" i="1"/>
  <c r="B1140" i="1"/>
  <c r="BB1136" i="1"/>
  <c r="BC1136" i="1"/>
  <c r="BB1135" i="1"/>
  <c r="BD1135" i="1"/>
  <c r="B2482" i="1"/>
  <c r="BB2482" i="1" s="1"/>
  <c r="A2482" i="1"/>
  <c r="B1583" i="1"/>
  <c r="BB1583" i="1" s="1"/>
  <c r="A1583" i="1"/>
  <c r="B631" i="1"/>
  <c r="BB631" i="1" s="1"/>
  <c r="A631" i="1"/>
  <c r="B732" i="1"/>
  <c r="BD732" i="1" s="1"/>
  <c r="A732" i="1"/>
  <c r="B1145" i="1" l="1"/>
  <c r="BD1145" i="1" s="1"/>
  <c r="B1144" i="1"/>
  <c r="A1145" i="1"/>
  <c r="A1144" i="1"/>
  <c r="BB1139" i="1"/>
  <c r="BD1139" i="1"/>
  <c r="BC1139" i="1"/>
  <c r="BB1138" i="1"/>
  <c r="BC1138" i="1"/>
  <c r="BD1138" i="1"/>
  <c r="BB1137" i="1"/>
  <c r="BC1137" i="1"/>
  <c r="BD1137" i="1"/>
  <c r="BB1230" i="1"/>
  <c r="BC1230" i="1"/>
  <c r="BB1142" i="1"/>
  <c r="BD1142" i="1"/>
  <c r="BC1142" i="1"/>
  <c r="BD1141" i="1"/>
  <c r="BC1141" i="1"/>
  <c r="BB1141" i="1"/>
  <c r="BD1140" i="1"/>
  <c r="B1143" i="1"/>
  <c r="BC1140" i="1"/>
  <c r="BB1140" i="1"/>
  <c r="BC1583" i="1"/>
  <c r="BD1583" i="1"/>
  <c r="BD2482" i="1"/>
  <c r="BC2482" i="1"/>
  <c r="BC732" i="1"/>
  <c r="BB732" i="1"/>
  <c r="BD631" i="1"/>
  <c r="BC631" i="1"/>
  <c r="B1212" i="1"/>
  <c r="BB1212" i="1" s="1"/>
  <c r="A1212" i="1"/>
  <c r="B1228" i="1"/>
  <c r="BD1228" i="1" s="1"/>
  <c r="A1228" i="1"/>
  <c r="BB1155" i="1"/>
  <c r="BC1155" i="1"/>
  <c r="BD1155" i="1"/>
  <c r="BB1131" i="1"/>
  <c r="BC1131" i="1"/>
  <c r="BD1131" i="1"/>
  <c r="B1214" i="1"/>
  <c r="B79" i="1"/>
  <c r="B71" i="1"/>
  <c r="A1214" i="1"/>
  <c r="A79" i="1"/>
  <c r="A35" i="30" s="1"/>
  <c r="A71" i="1"/>
  <c r="B1231" i="1"/>
  <c r="BD1231" i="1" s="1"/>
  <c r="A1231" i="1"/>
  <c r="B1227" i="1"/>
  <c r="BD1227" i="1" s="1"/>
  <c r="A1227" i="1"/>
  <c r="BC71" i="1" l="1"/>
  <c r="BD71" i="1"/>
  <c r="BB71" i="1"/>
  <c r="BC79" i="1"/>
  <c r="BD79" i="1"/>
  <c r="BB79" i="1"/>
  <c r="BB1145" i="1"/>
  <c r="BC1145" i="1"/>
  <c r="BB1144" i="1"/>
  <c r="BD1144" i="1"/>
  <c r="BC1144" i="1"/>
  <c r="B35" i="30"/>
  <c r="BC1143" i="1"/>
  <c r="BB1143" i="1"/>
  <c r="BD1143" i="1"/>
  <c r="BC1228" i="1"/>
  <c r="BB1228" i="1"/>
  <c r="BD1212" i="1"/>
  <c r="BC1212" i="1"/>
  <c r="BC1231" i="1"/>
  <c r="BB1231" i="1"/>
  <c r="BC1227" i="1"/>
  <c r="BB1227" i="1"/>
  <c r="AK523" i="30"/>
  <c r="AM523" i="30"/>
  <c r="AN523" i="30"/>
  <c r="AO523" i="30"/>
  <c r="AP523" i="30"/>
  <c r="AQ523" i="30"/>
  <c r="AV523" i="30"/>
  <c r="BA523" i="30"/>
  <c r="K524" i="30"/>
  <c r="L524" i="30"/>
  <c r="M524" i="30"/>
  <c r="N524" i="30"/>
  <c r="O524" i="30"/>
  <c r="P524" i="30"/>
  <c r="Q524" i="30"/>
  <c r="R524" i="30"/>
  <c r="T524" i="30"/>
  <c r="U524" i="30"/>
  <c r="W524" i="30"/>
  <c r="X524" i="30"/>
  <c r="Y524" i="30"/>
  <c r="Z524" i="30"/>
  <c r="AA524" i="30"/>
  <c r="AB524" i="30"/>
  <c r="AC524" i="30"/>
  <c r="AD524" i="30"/>
  <c r="AE524" i="30"/>
  <c r="AF524" i="30"/>
  <c r="C524" i="30"/>
  <c r="D524" i="30"/>
  <c r="E524" i="30"/>
  <c r="F524" i="30"/>
  <c r="G524" i="30"/>
  <c r="H524" i="30"/>
  <c r="I524" i="30"/>
  <c r="J524" i="30"/>
  <c r="S524" i="30"/>
  <c r="V524" i="30"/>
  <c r="AL524" i="30"/>
  <c r="AG1554" i="1"/>
  <c r="AH1554" i="1" s="1"/>
  <c r="AI1554" i="1" s="1"/>
  <c r="AJ1554" i="1" s="1"/>
  <c r="AK1554" i="1" s="1"/>
  <c r="AM1554" i="1" s="1"/>
  <c r="AN1554" i="1" s="1"/>
  <c r="AO1554" i="1" s="1"/>
  <c r="AP1554" i="1" s="1"/>
  <c r="AQ1554" i="1" s="1"/>
  <c r="AV1554" i="1" s="1"/>
  <c r="BA1554" i="1" s="1"/>
  <c r="BA524" i="30" s="1"/>
  <c r="B1554" i="1"/>
  <c r="BB1554" i="1" s="1"/>
  <c r="BB524" i="30" s="1"/>
  <c r="A1554" i="1"/>
  <c r="A524" i="30" s="1"/>
  <c r="AK524" i="30" l="1"/>
  <c r="AP524" i="30"/>
  <c r="AH524" i="30"/>
  <c r="AO524" i="30"/>
  <c r="AG524" i="30"/>
  <c r="BD1554" i="1"/>
  <c r="BD524" i="30" s="1"/>
  <c r="BC1554" i="1"/>
  <c r="BC524" i="30" s="1"/>
  <c r="B524" i="30"/>
  <c r="AV524" i="30"/>
  <c r="AN524" i="30"/>
  <c r="AJ524" i="30"/>
  <c r="AQ524" i="30"/>
  <c r="AM524" i="30"/>
  <c r="AI524" i="30"/>
  <c r="AH557" i="30"/>
  <c r="AI557" i="30"/>
  <c r="AJ557" i="30"/>
  <c r="W563" i="30"/>
  <c r="X563" i="30"/>
  <c r="Y563" i="30"/>
  <c r="Z563" i="30"/>
  <c r="AA563" i="30"/>
  <c r="AB563" i="30"/>
  <c r="AC563" i="30"/>
  <c r="AD563" i="30"/>
  <c r="AE563" i="30"/>
  <c r="AF563" i="30"/>
  <c r="AG563" i="30"/>
  <c r="AH563" i="30"/>
  <c r="C556" i="30"/>
  <c r="D556" i="30"/>
  <c r="E556" i="30"/>
  <c r="F556" i="30"/>
  <c r="G556" i="30"/>
  <c r="H556" i="30"/>
  <c r="I556" i="30"/>
  <c r="J556" i="30"/>
  <c r="K556" i="30"/>
  <c r="L556" i="30"/>
  <c r="M556" i="30"/>
  <c r="N556" i="30"/>
  <c r="O556" i="30"/>
  <c r="P556" i="30"/>
  <c r="Q556" i="30"/>
  <c r="R556" i="30"/>
  <c r="S556" i="30"/>
  <c r="T556" i="30"/>
  <c r="U556" i="30"/>
  <c r="V556" i="30"/>
  <c r="W556" i="30"/>
  <c r="X556" i="30"/>
  <c r="Y556" i="30"/>
  <c r="Z556" i="30"/>
  <c r="AA556" i="30"/>
  <c r="AB556" i="30"/>
  <c r="AC556" i="30"/>
  <c r="AD556" i="30"/>
  <c r="AE556" i="30"/>
  <c r="AF556" i="30"/>
  <c r="AG556" i="30"/>
  <c r="AH556" i="30"/>
  <c r="AI556" i="30"/>
  <c r="AJ556" i="30"/>
  <c r="AK556" i="30"/>
  <c r="AL556" i="30"/>
  <c r="AM556" i="30"/>
  <c r="AN556" i="30"/>
  <c r="AO556" i="30"/>
  <c r="AP556" i="30"/>
  <c r="AQ556" i="30"/>
  <c r="AV556" i="30"/>
  <c r="BA556" i="30"/>
  <c r="C557" i="30"/>
  <c r="D557" i="30"/>
  <c r="E557" i="30"/>
  <c r="F557" i="30"/>
  <c r="G557" i="30"/>
  <c r="H557" i="30"/>
  <c r="I557" i="30"/>
  <c r="J557" i="30"/>
  <c r="K557" i="30"/>
  <c r="L557" i="30"/>
  <c r="M557" i="30"/>
  <c r="N557" i="30"/>
  <c r="O557" i="30"/>
  <c r="P557" i="30"/>
  <c r="Q557" i="30"/>
  <c r="R557" i="30"/>
  <c r="S557" i="30"/>
  <c r="T557" i="30"/>
  <c r="U557" i="30"/>
  <c r="V557" i="30"/>
  <c r="AK557" i="30"/>
  <c r="AL557" i="30"/>
  <c r="AM557" i="30"/>
  <c r="AN557" i="30"/>
  <c r="AO557" i="30"/>
  <c r="AP557" i="30"/>
  <c r="AQ557" i="30"/>
  <c r="AV557" i="30"/>
  <c r="BA557" i="30"/>
  <c r="C558" i="30"/>
  <c r="D558" i="30"/>
  <c r="E558" i="30"/>
  <c r="F558" i="30"/>
  <c r="G558" i="30"/>
  <c r="H558" i="30"/>
  <c r="I558" i="30"/>
  <c r="J558" i="30"/>
  <c r="K558" i="30"/>
  <c r="L558" i="30"/>
  <c r="M558" i="30"/>
  <c r="N558" i="30"/>
  <c r="O558" i="30"/>
  <c r="P558" i="30"/>
  <c r="Q558" i="30"/>
  <c r="R558" i="30"/>
  <c r="S558" i="30"/>
  <c r="T558" i="30"/>
  <c r="U558" i="30"/>
  <c r="V558" i="30"/>
  <c r="W558" i="30"/>
  <c r="X558" i="30"/>
  <c r="Y558" i="30"/>
  <c r="Z558" i="30"/>
  <c r="AA558" i="30"/>
  <c r="AB558" i="30"/>
  <c r="AC558" i="30"/>
  <c r="AD558" i="30"/>
  <c r="AE558" i="30"/>
  <c r="AF558" i="30"/>
  <c r="AG558" i="30"/>
  <c r="AK558" i="30"/>
  <c r="AL558" i="30"/>
  <c r="AM558" i="30"/>
  <c r="AN558" i="30"/>
  <c r="AO558" i="30"/>
  <c r="AP558" i="30"/>
  <c r="AQ558" i="30"/>
  <c r="AV558" i="30"/>
  <c r="BA558" i="30"/>
  <c r="C559" i="30"/>
  <c r="D559" i="30"/>
  <c r="E559" i="30"/>
  <c r="F559" i="30"/>
  <c r="G559" i="30"/>
  <c r="H559" i="30"/>
  <c r="I559" i="30"/>
  <c r="J559" i="30"/>
  <c r="K559" i="30"/>
  <c r="L559" i="30"/>
  <c r="M559" i="30"/>
  <c r="N559" i="30"/>
  <c r="O559" i="30"/>
  <c r="P559" i="30"/>
  <c r="Q559" i="30"/>
  <c r="R559" i="30"/>
  <c r="S559" i="30"/>
  <c r="T559" i="30"/>
  <c r="U559" i="30"/>
  <c r="V559" i="30"/>
  <c r="W559" i="30"/>
  <c r="X559" i="30"/>
  <c r="Y559" i="30"/>
  <c r="Z559" i="30"/>
  <c r="AA559" i="30"/>
  <c r="AB559" i="30"/>
  <c r="AC559" i="30"/>
  <c r="AD559" i="30"/>
  <c r="AE559" i="30"/>
  <c r="AF559" i="30"/>
  <c r="AG559" i="30"/>
  <c r="AH559" i="30"/>
  <c r="AI559" i="30"/>
  <c r="AJ559" i="30"/>
  <c r="AK559" i="30"/>
  <c r="AL559" i="30"/>
  <c r="AM559" i="30"/>
  <c r="AN559" i="30"/>
  <c r="AO559" i="30"/>
  <c r="AP559" i="30"/>
  <c r="AQ559" i="30"/>
  <c r="AV559" i="30"/>
  <c r="BA559" i="30"/>
  <c r="C560" i="30"/>
  <c r="D560" i="30"/>
  <c r="E560" i="30"/>
  <c r="F560" i="30"/>
  <c r="G560" i="30"/>
  <c r="H560" i="30"/>
  <c r="I560" i="30"/>
  <c r="J560" i="30"/>
  <c r="K560" i="30"/>
  <c r="L560" i="30"/>
  <c r="M560" i="30"/>
  <c r="N560" i="30"/>
  <c r="O560" i="30"/>
  <c r="P560" i="30"/>
  <c r="Q560" i="30"/>
  <c r="R560" i="30"/>
  <c r="S560" i="30"/>
  <c r="T560" i="30"/>
  <c r="U560" i="30"/>
  <c r="V560" i="30"/>
  <c r="W560" i="30"/>
  <c r="X560" i="30"/>
  <c r="Y560" i="30"/>
  <c r="Z560" i="30"/>
  <c r="AA560" i="30"/>
  <c r="AB560" i="30"/>
  <c r="AC560" i="30"/>
  <c r="AD560" i="30"/>
  <c r="AE560" i="30"/>
  <c r="AF560" i="30"/>
  <c r="AG560" i="30"/>
  <c r="AH560" i="30"/>
  <c r="AI560" i="30"/>
  <c r="AJ560" i="30"/>
  <c r="AK560" i="30"/>
  <c r="AL560" i="30"/>
  <c r="AM560" i="30"/>
  <c r="AN560" i="30"/>
  <c r="AO560" i="30"/>
  <c r="AP560" i="30"/>
  <c r="AQ560" i="30"/>
  <c r="AV560" i="30"/>
  <c r="BA560" i="30"/>
  <c r="C561" i="30"/>
  <c r="D561" i="30"/>
  <c r="E561" i="30"/>
  <c r="F561" i="30"/>
  <c r="G561" i="30"/>
  <c r="H561" i="30"/>
  <c r="I561" i="30"/>
  <c r="J561" i="30"/>
  <c r="K561" i="30"/>
  <c r="L561" i="30"/>
  <c r="M561" i="30"/>
  <c r="N561" i="30"/>
  <c r="O561" i="30"/>
  <c r="P561" i="30"/>
  <c r="Q561" i="30"/>
  <c r="R561" i="30"/>
  <c r="S561" i="30"/>
  <c r="T561" i="30"/>
  <c r="U561" i="30"/>
  <c r="V561" i="30"/>
  <c r="W561" i="30"/>
  <c r="X561" i="30"/>
  <c r="Y561" i="30"/>
  <c r="Z561" i="30"/>
  <c r="AA561" i="30"/>
  <c r="AB561" i="30"/>
  <c r="AC561" i="30"/>
  <c r="AD561" i="30"/>
  <c r="AE561" i="30"/>
  <c r="AF561" i="30"/>
  <c r="AG561" i="30"/>
  <c r="AH561" i="30"/>
  <c r="AI561" i="30"/>
  <c r="AJ561" i="30"/>
  <c r="AK561" i="30"/>
  <c r="AL561" i="30"/>
  <c r="AM561" i="30"/>
  <c r="AN561" i="30"/>
  <c r="AO561" i="30"/>
  <c r="AP561" i="30"/>
  <c r="AQ561" i="30"/>
  <c r="AV561" i="30"/>
  <c r="BA561" i="30"/>
  <c r="C562" i="30"/>
  <c r="D562" i="30"/>
  <c r="E562" i="30"/>
  <c r="F562" i="30"/>
  <c r="G562" i="30"/>
  <c r="H562" i="30"/>
  <c r="I562" i="30"/>
  <c r="J562" i="30"/>
  <c r="K562" i="30"/>
  <c r="L562" i="30"/>
  <c r="M562" i="30"/>
  <c r="N562" i="30"/>
  <c r="O562" i="30"/>
  <c r="P562" i="30"/>
  <c r="Q562" i="30"/>
  <c r="R562" i="30"/>
  <c r="S562" i="30"/>
  <c r="T562" i="30"/>
  <c r="U562" i="30"/>
  <c r="V562" i="30"/>
  <c r="W562" i="30"/>
  <c r="X562" i="30"/>
  <c r="Y562" i="30"/>
  <c r="Z562" i="30"/>
  <c r="AA562" i="30"/>
  <c r="AB562" i="30"/>
  <c r="AC562" i="30"/>
  <c r="AD562" i="30"/>
  <c r="AE562" i="30"/>
  <c r="AF562" i="30"/>
  <c r="AG562" i="30"/>
  <c r="AH562" i="30"/>
  <c r="AI562" i="30"/>
  <c r="AJ562" i="30"/>
  <c r="AK562" i="30"/>
  <c r="AL562" i="30"/>
  <c r="AM562" i="30"/>
  <c r="AN562" i="30"/>
  <c r="AO562" i="30"/>
  <c r="AP562" i="30"/>
  <c r="AQ562" i="30"/>
  <c r="AV562" i="30"/>
  <c r="BA562" i="30"/>
  <c r="C563" i="30"/>
  <c r="D563" i="30"/>
  <c r="E563" i="30"/>
  <c r="F563" i="30"/>
  <c r="G563" i="30"/>
  <c r="H563" i="30"/>
  <c r="I563" i="30"/>
  <c r="J563" i="30"/>
  <c r="K563" i="30"/>
  <c r="L563" i="30"/>
  <c r="M563" i="30"/>
  <c r="N563" i="30"/>
  <c r="O563" i="30"/>
  <c r="P563" i="30"/>
  <c r="Q563" i="30"/>
  <c r="R563" i="30"/>
  <c r="S563" i="30"/>
  <c r="T563" i="30"/>
  <c r="U563" i="30"/>
  <c r="V563" i="30"/>
  <c r="AK563" i="30"/>
  <c r="AL563" i="30"/>
  <c r="AM563" i="30"/>
  <c r="AN563" i="30"/>
  <c r="AO563" i="30"/>
  <c r="AP563" i="30"/>
  <c r="AQ563" i="30"/>
  <c r="AV563" i="30"/>
  <c r="BA563" i="30"/>
  <c r="C564" i="30"/>
  <c r="D564" i="30"/>
  <c r="E564" i="30"/>
  <c r="F564" i="30"/>
  <c r="G564" i="30"/>
  <c r="H564" i="30"/>
  <c r="I564" i="30"/>
  <c r="J564" i="30"/>
  <c r="K564" i="30"/>
  <c r="L564" i="30"/>
  <c r="M564" i="30"/>
  <c r="N564" i="30"/>
  <c r="O564" i="30"/>
  <c r="P564" i="30"/>
  <c r="Q564" i="30"/>
  <c r="R564" i="30"/>
  <c r="S564" i="30"/>
  <c r="T564" i="30"/>
  <c r="U564" i="30"/>
  <c r="V564" i="30"/>
  <c r="AI564" i="30"/>
  <c r="AJ564" i="30"/>
  <c r="AK564" i="30"/>
  <c r="AL564" i="30"/>
  <c r="AM564" i="30"/>
  <c r="AN564" i="30"/>
  <c r="AO564" i="30"/>
  <c r="AP564" i="30"/>
  <c r="AQ564" i="30"/>
  <c r="AV564" i="30"/>
  <c r="BA564" i="30"/>
  <c r="C565" i="30"/>
  <c r="D565" i="30"/>
  <c r="E565" i="30"/>
  <c r="F565" i="30"/>
  <c r="G565" i="30"/>
  <c r="H565" i="30"/>
  <c r="I565" i="30"/>
  <c r="J565" i="30"/>
  <c r="K565" i="30"/>
  <c r="L565" i="30"/>
  <c r="M565" i="30"/>
  <c r="N565" i="30"/>
  <c r="O565" i="30"/>
  <c r="P565" i="30"/>
  <c r="Q565" i="30"/>
  <c r="R565" i="30"/>
  <c r="S565" i="30"/>
  <c r="T565" i="30"/>
  <c r="U565" i="30"/>
  <c r="V565" i="30"/>
  <c r="W565" i="30"/>
  <c r="X565" i="30"/>
  <c r="Y565" i="30"/>
  <c r="Z565" i="30"/>
  <c r="AA565" i="30"/>
  <c r="AB565" i="30"/>
  <c r="AC565" i="30"/>
  <c r="AD565" i="30"/>
  <c r="AE565" i="30"/>
  <c r="AF565" i="30"/>
  <c r="AG565" i="30"/>
  <c r="AH565" i="30"/>
  <c r="AI565" i="30"/>
  <c r="AJ565" i="30"/>
  <c r="AK565" i="30"/>
  <c r="AL565" i="30"/>
  <c r="AM565" i="30"/>
  <c r="AN565" i="30"/>
  <c r="AO565" i="30"/>
  <c r="AP565" i="30"/>
  <c r="AQ565" i="30"/>
  <c r="AV565" i="30"/>
  <c r="BA565" i="30"/>
  <c r="C566" i="30"/>
  <c r="D566" i="30"/>
  <c r="E566" i="30"/>
  <c r="F566" i="30"/>
  <c r="G566" i="30"/>
  <c r="H566" i="30"/>
  <c r="I566" i="30"/>
  <c r="J566" i="30"/>
  <c r="K566" i="30"/>
  <c r="L566" i="30"/>
  <c r="M566" i="30"/>
  <c r="N566" i="30"/>
  <c r="O566" i="30"/>
  <c r="P566" i="30"/>
  <c r="Q566" i="30"/>
  <c r="R566" i="30"/>
  <c r="S566" i="30"/>
  <c r="T566" i="30"/>
  <c r="U566" i="30"/>
  <c r="V566" i="30"/>
  <c r="W566" i="30"/>
  <c r="X566" i="30"/>
  <c r="Y566" i="30"/>
  <c r="Z566" i="30"/>
  <c r="AA566" i="30"/>
  <c r="AB566" i="30"/>
  <c r="AC566" i="30"/>
  <c r="AD566" i="30"/>
  <c r="AE566" i="30"/>
  <c r="AF566" i="30"/>
  <c r="AG566" i="30"/>
  <c r="AH566" i="30"/>
  <c r="AI566" i="30"/>
  <c r="AJ566" i="30"/>
  <c r="AK566" i="30"/>
  <c r="AL566" i="30"/>
  <c r="AM566" i="30"/>
  <c r="AN566" i="30"/>
  <c r="AO566" i="30"/>
  <c r="AP566" i="30"/>
  <c r="AQ566" i="30"/>
  <c r="AV566" i="30"/>
  <c r="BA566" i="30"/>
  <c r="C567" i="30"/>
  <c r="D567" i="30"/>
  <c r="E567" i="30"/>
  <c r="F567" i="30"/>
  <c r="G567" i="30"/>
  <c r="H567" i="30"/>
  <c r="I567" i="30"/>
  <c r="J567" i="30"/>
  <c r="K567" i="30"/>
  <c r="L567" i="30"/>
  <c r="M567" i="30"/>
  <c r="N567" i="30"/>
  <c r="O567" i="30"/>
  <c r="P567" i="30"/>
  <c r="Q567" i="30"/>
  <c r="R567" i="30"/>
  <c r="S567" i="30"/>
  <c r="T567" i="30"/>
  <c r="U567" i="30"/>
  <c r="V567" i="30"/>
  <c r="W567" i="30"/>
  <c r="X567" i="30"/>
  <c r="Y567" i="30"/>
  <c r="Z567" i="30"/>
  <c r="AA567" i="30"/>
  <c r="AB567" i="30"/>
  <c r="AC567" i="30"/>
  <c r="AD567" i="30"/>
  <c r="AE567" i="30"/>
  <c r="AF567" i="30"/>
  <c r="AG567" i="30"/>
  <c r="AH567" i="30"/>
  <c r="AI567" i="30"/>
  <c r="AJ567" i="30"/>
  <c r="AK567" i="30"/>
  <c r="AL567" i="30"/>
  <c r="AM567" i="30"/>
  <c r="AN567" i="30"/>
  <c r="AO567" i="30"/>
  <c r="AP567" i="30"/>
  <c r="AQ567" i="30"/>
  <c r="AV567" i="30"/>
  <c r="BA567" i="30"/>
  <c r="C568" i="30"/>
  <c r="D568" i="30"/>
  <c r="E568" i="30"/>
  <c r="F568" i="30"/>
  <c r="G568" i="30"/>
  <c r="H568" i="30"/>
  <c r="I568" i="30"/>
  <c r="J568" i="30"/>
  <c r="K568" i="30"/>
  <c r="L568" i="30"/>
  <c r="M568" i="30"/>
  <c r="N568" i="30"/>
  <c r="O568" i="30"/>
  <c r="P568" i="30"/>
  <c r="Q568" i="30"/>
  <c r="R568" i="30"/>
  <c r="S568" i="30"/>
  <c r="T568" i="30"/>
  <c r="U568" i="30"/>
  <c r="V568" i="30"/>
  <c r="W568" i="30"/>
  <c r="X568" i="30"/>
  <c r="Y568" i="30"/>
  <c r="Z568" i="30"/>
  <c r="AA568" i="30"/>
  <c r="AB568" i="30"/>
  <c r="AC568" i="30"/>
  <c r="AD568" i="30"/>
  <c r="AE568" i="30"/>
  <c r="AF568" i="30"/>
  <c r="AG568" i="30"/>
  <c r="AH568" i="30"/>
  <c r="AI568" i="30"/>
  <c r="AJ568" i="30"/>
  <c r="AK568" i="30"/>
  <c r="AL568" i="30"/>
  <c r="AM568" i="30"/>
  <c r="AN568" i="30"/>
  <c r="AO568" i="30"/>
  <c r="AP568" i="30"/>
  <c r="AQ568" i="30"/>
  <c r="AV568" i="30"/>
  <c r="BA568" i="30"/>
  <c r="BD2500" i="1"/>
  <c r="BC2500" i="1"/>
  <c r="BB2500" i="1"/>
  <c r="BD2498" i="1"/>
  <c r="BC2498" i="1"/>
  <c r="BB2498" i="1"/>
  <c r="BD2496" i="1"/>
  <c r="BC2496" i="1"/>
  <c r="BB2496" i="1"/>
  <c r="BD2494" i="1"/>
  <c r="BC2494" i="1"/>
  <c r="BB2494" i="1"/>
  <c r="AJ1666" i="1"/>
  <c r="AJ563" i="30" s="1"/>
  <c r="AI1666" i="1"/>
  <c r="AI563" i="30" s="1"/>
  <c r="B1666" i="1"/>
  <c r="BD1666" i="1" s="1"/>
  <c r="BD563" i="30" s="1"/>
  <c r="A1666" i="1"/>
  <c r="A563" i="30" s="1"/>
  <c r="B1660" i="1"/>
  <c r="BC1660" i="1" s="1"/>
  <c r="BC557" i="30" s="1"/>
  <c r="A1660" i="1"/>
  <c r="A557" i="30" s="1"/>
  <c r="BD2526" i="1"/>
  <c r="BC2526" i="1"/>
  <c r="BB2526" i="1"/>
  <c r="X1660" i="1"/>
  <c r="X557" i="30" s="1"/>
  <c r="Y1660" i="1"/>
  <c r="Y557" i="30" s="1"/>
  <c r="Z1660" i="1"/>
  <c r="Z557" i="30" s="1"/>
  <c r="AA1660" i="1"/>
  <c r="AA557" i="30" s="1"/>
  <c r="AB1660" i="1"/>
  <c r="AB557" i="30" s="1"/>
  <c r="AC1660" i="1"/>
  <c r="AC557" i="30" s="1"/>
  <c r="AD1660" i="1"/>
  <c r="AD557" i="30" s="1"/>
  <c r="AE1660" i="1"/>
  <c r="AE557" i="30" s="1"/>
  <c r="AF1660" i="1"/>
  <c r="AF557" i="30" s="1"/>
  <c r="AG1660" i="1"/>
  <c r="AG557" i="30" s="1"/>
  <c r="W1660" i="1"/>
  <c r="W557" i="30" s="1"/>
  <c r="B1667" i="1"/>
  <c r="BD1667" i="1" s="1"/>
  <c r="BD564" i="30" s="1"/>
  <c r="A1667" i="1"/>
  <c r="A564" i="30" s="1"/>
  <c r="BD2493" i="1"/>
  <c r="BC2493" i="1"/>
  <c r="BB2493" i="1"/>
  <c r="BB1643" i="1"/>
  <c r="BC1643" i="1"/>
  <c r="BD1643" i="1"/>
  <c r="B1665" i="1"/>
  <c r="BD1665" i="1" s="1"/>
  <c r="BD562" i="30" s="1"/>
  <c r="A1665" i="1"/>
  <c r="A562" i="30" s="1"/>
  <c r="B1664" i="1"/>
  <c r="BC1664" i="1" s="1"/>
  <c r="BC561" i="30" s="1"/>
  <c r="A1664" i="1"/>
  <c r="A561" i="30" s="1"/>
  <c r="B1663" i="1"/>
  <c r="BB1663" i="1" s="1"/>
  <c r="BB560" i="30" s="1"/>
  <c r="A1663" i="1"/>
  <c r="A560" i="30" s="1"/>
  <c r="B1662" i="1"/>
  <c r="BB1662" i="1" s="1"/>
  <c r="BB559" i="30" s="1"/>
  <c r="A1662" i="1"/>
  <c r="A559" i="30" s="1"/>
  <c r="B1661" i="1"/>
  <c r="BD1661" i="1" s="1"/>
  <c r="BD558" i="30" s="1"/>
  <c r="A1661" i="1"/>
  <c r="A558" i="30" s="1"/>
  <c r="B561" i="30" l="1"/>
  <c r="B558" i="30"/>
  <c r="B564" i="30"/>
  <c r="B560" i="30"/>
  <c r="B563" i="30"/>
  <c r="B559" i="30"/>
  <c r="B557" i="30"/>
  <c r="B562" i="30"/>
  <c r="BB1666" i="1"/>
  <c r="BB563" i="30" s="1"/>
  <c r="BC1666" i="1"/>
  <c r="BC563" i="30" s="1"/>
  <c r="BC1665" i="1"/>
  <c r="BC562" i="30" s="1"/>
  <c r="BB1664" i="1"/>
  <c r="BB561" i="30" s="1"/>
  <c r="BD1662" i="1"/>
  <c r="BD559" i="30" s="1"/>
  <c r="BC1661" i="1"/>
  <c r="BC558" i="30" s="1"/>
  <c r="BB1660" i="1"/>
  <c r="BB557" i="30" s="1"/>
  <c r="BB1665" i="1"/>
  <c r="BB562" i="30" s="1"/>
  <c r="BD1663" i="1"/>
  <c r="BD560" i="30" s="1"/>
  <c r="BC1662" i="1"/>
  <c r="BC559" i="30" s="1"/>
  <c r="BB1661" i="1"/>
  <c r="BB558" i="30" s="1"/>
  <c r="BD1664" i="1"/>
  <c r="BD561" i="30" s="1"/>
  <c r="BC1663" i="1"/>
  <c r="BC560" i="30" s="1"/>
  <c r="BD1660" i="1"/>
  <c r="BD557" i="30" s="1"/>
  <c r="BB1667" i="1"/>
  <c r="BB564" i="30" s="1"/>
  <c r="BC1667" i="1"/>
  <c r="BC564" i="30" s="1"/>
  <c r="AD1581" i="1"/>
  <c r="AD1582" i="1"/>
  <c r="BB2495" i="1"/>
  <c r="BC2495" i="1"/>
  <c r="BD2495" i="1"/>
  <c r="BB2497" i="1"/>
  <c r="BC2497" i="1"/>
  <c r="BD2497" i="1"/>
  <c r="BB2499" i="1"/>
  <c r="BC2499" i="1"/>
  <c r="BD2499" i="1"/>
  <c r="BB2501" i="1"/>
  <c r="BC2501" i="1"/>
  <c r="BD2501" i="1"/>
  <c r="B1671" i="1"/>
  <c r="A1671" i="1"/>
  <c r="A568" i="30" s="1"/>
  <c r="B1670" i="1"/>
  <c r="A1670" i="1"/>
  <c r="A567" i="30" s="1"/>
  <c r="B1669" i="1"/>
  <c r="A1669" i="1"/>
  <c r="A566" i="30" s="1"/>
  <c r="B1668" i="1"/>
  <c r="A1668" i="1"/>
  <c r="A565" i="30" s="1"/>
  <c r="B1659" i="1"/>
  <c r="B556" i="30" s="1"/>
  <c r="A1659" i="1"/>
  <c r="A556" i="30" s="1"/>
  <c r="BB1669" i="1" l="1"/>
  <c r="BB566" i="30" s="1"/>
  <c r="B566" i="30"/>
  <c r="BC1671" i="1"/>
  <c r="BC568" i="30" s="1"/>
  <c r="B568" i="30"/>
  <c r="BB1668" i="1"/>
  <c r="BB565" i="30" s="1"/>
  <c r="B565" i="30"/>
  <c r="BD1670" i="1"/>
  <c r="BD567" i="30" s="1"/>
  <c r="B567" i="30"/>
  <c r="BB1659" i="1"/>
  <c r="BB556" i="30" s="1"/>
  <c r="BC1659" i="1"/>
  <c r="BC556" i="30" s="1"/>
  <c r="BD1659" i="1"/>
  <c r="BD556" i="30" s="1"/>
  <c r="BD1669" i="1"/>
  <c r="BD566" i="30" s="1"/>
  <c r="BC1669" i="1"/>
  <c r="BC566" i="30" s="1"/>
  <c r="BD1671" i="1"/>
  <c r="BD568" i="30" s="1"/>
  <c r="BC1668" i="1"/>
  <c r="BC565" i="30" s="1"/>
  <c r="BB1671" i="1"/>
  <c r="BB568" i="30" s="1"/>
  <c r="BD1668" i="1"/>
  <c r="BD565" i="30" s="1"/>
  <c r="BC1670" i="1"/>
  <c r="BC567" i="30" s="1"/>
  <c r="BB1670" i="1"/>
  <c r="BB567" i="30" s="1"/>
  <c r="D128" i="30"/>
  <c r="D129" i="30"/>
  <c r="D130" i="30"/>
  <c r="C128" i="30"/>
  <c r="E128" i="30"/>
  <c r="F128" i="30"/>
  <c r="G128" i="30"/>
  <c r="H128" i="30"/>
  <c r="I128" i="30"/>
  <c r="J128" i="30"/>
  <c r="K128" i="30"/>
  <c r="L128" i="30"/>
  <c r="M128" i="30"/>
  <c r="N128" i="30"/>
  <c r="O128" i="30"/>
  <c r="P128" i="30"/>
  <c r="Q128" i="30"/>
  <c r="R128" i="30"/>
  <c r="S128" i="30"/>
  <c r="T128" i="30"/>
  <c r="U128" i="30"/>
  <c r="V128" i="30"/>
  <c r="W128" i="30"/>
  <c r="X128" i="30"/>
  <c r="Y128" i="30"/>
  <c r="Z128" i="30"/>
  <c r="AA128" i="30"/>
  <c r="AB128" i="30"/>
  <c r="AC128" i="30"/>
  <c r="AD128" i="30"/>
  <c r="AE128" i="30"/>
  <c r="AF128" i="30"/>
  <c r="AG128" i="30"/>
  <c r="AH128" i="30"/>
  <c r="AI128" i="30"/>
  <c r="AJ128" i="30"/>
  <c r="AK128" i="30"/>
  <c r="AL128" i="30"/>
  <c r="AM128" i="30"/>
  <c r="AN128" i="30"/>
  <c r="AO128" i="30"/>
  <c r="AP128" i="30"/>
  <c r="AQ128" i="30"/>
  <c r="AV128" i="30"/>
  <c r="BA128" i="30"/>
  <c r="C129" i="30"/>
  <c r="E129" i="30"/>
  <c r="F129" i="30"/>
  <c r="G129" i="30"/>
  <c r="H129" i="30"/>
  <c r="I129" i="30"/>
  <c r="J129" i="30"/>
  <c r="K129" i="30"/>
  <c r="L129" i="30"/>
  <c r="M129" i="30"/>
  <c r="N129" i="30"/>
  <c r="O129" i="30"/>
  <c r="P129" i="30"/>
  <c r="Q129" i="30"/>
  <c r="R129" i="30"/>
  <c r="S129" i="30"/>
  <c r="T129" i="30"/>
  <c r="U129" i="30"/>
  <c r="V129" i="30"/>
  <c r="W129" i="30"/>
  <c r="X129" i="30"/>
  <c r="Y129" i="30"/>
  <c r="Z129" i="30"/>
  <c r="AA129" i="30"/>
  <c r="AB129" i="30"/>
  <c r="AC129" i="30"/>
  <c r="AD129" i="30"/>
  <c r="AE129" i="30"/>
  <c r="AF129" i="30"/>
  <c r="AG129" i="30"/>
  <c r="AH129" i="30"/>
  <c r="AI129" i="30"/>
  <c r="AJ129" i="30"/>
  <c r="AK129" i="30"/>
  <c r="AL129" i="30"/>
  <c r="AM129" i="30"/>
  <c r="AN129" i="30"/>
  <c r="AO129" i="30"/>
  <c r="AP129" i="30"/>
  <c r="AQ129" i="30"/>
  <c r="AV129" i="30"/>
  <c r="BA129" i="30"/>
  <c r="C130" i="30"/>
  <c r="E130" i="30"/>
  <c r="F130" i="30"/>
  <c r="G130" i="30"/>
  <c r="H130" i="30"/>
  <c r="I130" i="30"/>
  <c r="J130" i="30"/>
  <c r="K130" i="30"/>
  <c r="L130" i="30"/>
  <c r="M130" i="30"/>
  <c r="N130" i="30"/>
  <c r="O130" i="30"/>
  <c r="P130" i="30"/>
  <c r="Q130" i="30"/>
  <c r="R130" i="30"/>
  <c r="S130" i="30"/>
  <c r="T130" i="30"/>
  <c r="U130" i="30"/>
  <c r="V130" i="30"/>
  <c r="W130" i="30"/>
  <c r="X130" i="30"/>
  <c r="Y130" i="30"/>
  <c r="Z130" i="30"/>
  <c r="AA130" i="30"/>
  <c r="AB130" i="30"/>
  <c r="AC130" i="30"/>
  <c r="AD130" i="30"/>
  <c r="AE130" i="30"/>
  <c r="AF130" i="30"/>
  <c r="AG130" i="30"/>
  <c r="AH130" i="30"/>
  <c r="AI130" i="30"/>
  <c r="AJ130" i="30"/>
  <c r="AK130" i="30"/>
  <c r="AL130" i="30"/>
  <c r="AM130" i="30"/>
  <c r="AN130" i="30"/>
  <c r="AO130" i="30"/>
  <c r="AP130" i="30"/>
  <c r="AQ130" i="30"/>
  <c r="AV130" i="30"/>
  <c r="BA130" i="30"/>
  <c r="B256" i="1"/>
  <c r="B255" i="1" l="1"/>
  <c r="BB255" i="1" s="1"/>
  <c r="BB130" i="30" s="1"/>
  <c r="BD256" i="1"/>
  <c r="BC256" i="1"/>
  <c r="BC131" i="30" s="1"/>
  <c r="BB256" i="1"/>
  <c r="B253" i="1"/>
  <c r="B254" i="1"/>
  <c r="C136" i="30"/>
  <c r="D136" i="30"/>
  <c r="E136" i="30"/>
  <c r="F136" i="30"/>
  <c r="G136" i="30"/>
  <c r="H136" i="30"/>
  <c r="I136" i="30"/>
  <c r="J136" i="30"/>
  <c r="K136" i="30"/>
  <c r="L136" i="30"/>
  <c r="M136" i="30"/>
  <c r="N136" i="30"/>
  <c r="O136" i="30"/>
  <c r="P136" i="30"/>
  <c r="Q136" i="30"/>
  <c r="R136" i="30"/>
  <c r="S136" i="30"/>
  <c r="T136" i="30"/>
  <c r="U136" i="30"/>
  <c r="V136" i="30"/>
  <c r="W136" i="30"/>
  <c r="X136" i="30"/>
  <c r="Y136" i="30"/>
  <c r="Z136" i="30"/>
  <c r="AA136" i="30"/>
  <c r="AB136" i="30"/>
  <c r="AC136" i="30"/>
  <c r="AD136" i="30"/>
  <c r="AE136" i="30"/>
  <c r="AF136" i="30"/>
  <c r="AG136" i="30"/>
  <c r="AH136" i="30"/>
  <c r="AI136" i="30"/>
  <c r="AJ136" i="30"/>
  <c r="AK136" i="30"/>
  <c r="AL136" i="30"/>
  <c r="AM136" i="30"/>
  <c r="AN136" i="30"/>
  <c r="AO136" i="30"/>
  <c r="AP136" i="30"/>
  <c r="AQ136" i="30"/>
  <c r="AV136" i="30"/>
  <c r="BA136" i="30"/>
  <c r="C131" i="30"/>
  <c r="E131" i="30"/>
  <c r="F131" i="30"/>
  <c r="G131" i="30"/>
  <c r="H131" i="30"/>
  <c r="I131" i="30"/>
  <c r="J131" i="30"/>
  <c r="K131" i="30"/>
  <c r="L131" i="30"/>
  <c r="M131" i="30"/>
  <c r="N131" i="30"/>
  <c r="O131" i="30"/>
  <c r="P131" i="30"/>
  <c r="Q131" i="30"/>
  <c r="R131" i="30"/>
  <c r="S131" i="30"/>
  <c r="T131" i="30"/>
  <c r="U131" i="30"/>
  <c r="V131" i="30"/>
  <c r="W131" i="30"/>
  <c r="X131" i="30"/>
  <c r="Y131" i="30"/>
  <c r="Z131" i="30"/>
  <c r="AA131" i="30"/>
  <c r="AB131" i="30"/>
  <c r="AC131" i="30"/>
  <c r="AD131" i="30"/>
  <c r="AE131" i="30"/>
  <c r="AF131" i="30"/>
  <c r="AG131" i="30"/>
  <c r="AH131" i="30"/>
  <c r="AI131" i="30"/>
  <c r="AJ131" i="30"/>
  <c r="AK131" i="30"/>
  <c r="AL131" i="30"/>
  <c r="AM131" i="30"/>
  <c r="AN131" i="30"/>
  <c r="AO131" i="30"/>
  <c r="AP131" i="30"/>
  <c r="AQ131" i="30"/>
  <c r="AV131" i="30"/>
  <c r="BA131" i="30"/>
  <c r="C132" i="30"/>
  <c r="E132" i="30"/>
  <c r="F132" i="30"/>
  <c r="G132" i="30"/>
  <c r="H132" i="30"/>
  <c r="I132" i="30"/>
  <c r="J132" i="30"/>
  <c r="K132" i="30"/>
  <c r="L132" i="30"/>
  <c r="M132" i="30"/>
  <c r="N132" i="30"/>
  <c r="O132" i="30"/>
  <c r="P132" i="30"/>
  <c r="Q132" i="30"/>
  <c r="R132" i="30"/>
  <c r="S132" i="30"/>
  <c r="T132" i="30"/>
  <c r="U132" i="30"/>
  <c r="V132" i="30"/>
  <c r="W132" i="30"/>
  <c r="X132" i="30"/>
  <c r="Y132" i="30"/>
  <c r="Z132" i="30"/>
  <c r="AA132" i="30"/>
  <c r="AB132" i="30"/>
  <c r="AC132" i="30"/>
  <c r="AD132" i="30"/>
  <c r="AE132" i="30"/>
  <c r="AF132" i="30"/>
  <c r="AG132" i="30"/>
  <c r="AH132" i="30"/>
  <c r="AI132" i="30"/>
  <c r="AJ132" i="30"/>
  <c r="AK132" i="30"/>
  <c r="AL132" i="30"/>
  <c r="AM132" i="30"/>
  <c r="AN132" i="30"/>
  <c r="AO132" i="30"/>
  <c r="AP132" i="30"/>
  <c r="AQ132" i="30"/>
  <c r="AV132" i="30"/>
  <c r="BA132" i="30"/>
  <c r="C133" i="30"/>
  <c r="E133" i="30"/>
  <c r="F133" i="30"/>
  <c r="G133" i="30"/>
  <c r="H133" i="30"/>
  <c r="I133" i="30"/>
  <c r="J133" i="30"/>
  <c r="K133" i="30"/>
  <c r="L133" i="30"/>
  <c r="M133" i="30"/>
  <c r="N133" i="30"/>
  <c r="O133" i="30"/>
  <c r="P133" i="30"/>
  <c r="Q133" i="30"/>
  <c r="R133" i="30"/>
  <c r="S133" i="30"/>
  <c r="T133" i="30"/>
  <c r="U133" i="30"/>
  <c r="V133" i="30"/>
  <c r="W133" i="30"/>
  <c r="X133" i="30"/>
  <c r="Y133" i="30"/>
  <c r="Z133" i="30"/>
  <c r="AA133" i="30"/>
  <c r="AB133" i="30"/>
  <c r="AC133" i="30"/>
  <c r="AD133" i="30"/>
  <c r="AE133" i="30"/>
  <c r="AF133" i="30"/>
  <c r="AG133" i="30"/>
  <c r="AH133" i="30"/>
  <c r="AI133" i="30"/>
  <c r="AJ133" i="30"/>
  <c r="AK133" i="30"/>
  <c r="AL133" i="30"/>
  <c r="AM133" i="30"/>
  <c r="AN133" i="30"/>
  <c r="AO133" i="30"/>
  <c r="AP133" i="30"/>
  <c r="AQ133" i="30"/>
  <c r="AV133" i="30"/>
  <c r="BA133" i="30"/>
  <c r="C134" i="30"/>
  <c r="D134" i="30"/>
  <c r="E134" i="30"/>
  <c r="F134" i="30"/>
  <c r="G134" i="30"/>
  <c r="H134" i="30"/>
  <c r="I134" i="30"/>
  <c r="J134" i="30"/>
  <c r="K134" i="30"/>
  <c r="L134" i="30"/>
  <c r="M134" i="30"/>
  <c r="N134" i="30"/>
  <c r="O134" i="30"/>
  <c r="P134" i="30"/>
  <c r="Q134" i="30"/>
  <c r="R134" i="30"/>
  <c r="S134" i="30"/>
  <c r="T134" i="30"/>
  <c r="U134" i="30"/>
  <c r="V134" i="30"/>
  <c r="W134" i="30"/>
  <c r="X134" i="30"/>
  <c r="Y134" i="30"/>
  <c r="Z134" i="30"/>
  <c r="AA134" i="30"/>
  <c r="AB134" i="30"/>
  <c r="AC134" i="30"/>
  <c r="AD134" i="30"/>
  <c r="AE134" i="30"/>
  <c r="AF134" i="30"/>
  <c r="AG134" i="30"/>
  <c r="AH134" i="30"/>
  <c r="AI134" i="30"/>
  <c r="AJ134" i="30"/>
  <c r="AK134" i="30"/>
  <c r="AL134" i="30"/>
  <c r="AM134" i="30"/>
  <c r="AN134" i="30"/>
  <c r="AO134" i="30"/>
  <c r="AP134" i="30"/>
  <c r="AQ134" i="30"/>
  <c r="AV134" i="30"/>
  <c r="BA134" i="30"/>
  <c r="C135" i="30"/>
  <c r="D135" i="30"/>
  <c r="E135" i="30"/>
  <c r="F135" i="30"/>
  <c r="G135" i="30"/>
  <c r="H135" i="30"/>
  <c r="I135" i="30"/>
  <c r="J135" i="30"/>
  <c r="K135" i="30"/>
  <c r="L135" i="30"/>
  <c r="M135" i="30"/>
  <c r="N135" i="30"/>
  <c r="O135" i="30"/>
  <c r="P135" i="30"/>
  <c r="Q135" i="30"/>
  <c r="R135" i="30"/>
  <c r="S135" i="30"/>
  <c r="T135" i="30"/>
  <c r="U135" i="30"/>
  <c r="V135" i="30"/>
  <c r="W135" i="30"/>
  <c r="X135" i="30"/>
  <c r="Y135" i="30"/>
  <c r="Z135" i="30"/>
  <c r="AA135" i="30"/>
  <c r="AB135" i="30"/>
  <c r="AC135" i="30"/>
  <c r="AD135" i="30"/>
  <c r="AE135" i="30"/>
  <c r="AF135" i="30"/>
  <c r="AG135" i="30"/>
  <c r="AH135" i="30"/>
  <c r="AI135" i="30"/>
  <c r="AJ135" i="30"/>
  <c r="AK135" i="30"/>
  <c r="AL135" i="30"/>
  <c r="AM135" i="30"/>
  <c r="AN135" i="30"/>
  <c r="AO135" i="30"/>
  <c r="AP135" i="30"/>
  <c r="AQ135" i="30"/>
  <c r="AV135" i="30"/>
  <c r="BA135" i="30"/>
  <c r="A256" i="1"/>
  <c r="K126" i="30"/>
  <c r="L126" i="30"/>
  <c r="M126" i="30"/>
  <c r="N126" i="30"/>
  <c r="K127" i="30"/>
  <c r="L127" i="30"/>
  <c r="M127" i="30"/>
  <c r="N127" i="30"/>
  <c r="O127" i="30"/>
  <c r="P127" i="30"/>
  <c r="Q127" i="30"/>
  <c r="R127" i="30"/>
  <c r="S127" i="30"/>
  <c r="T127" i="30"/>
  <c r="U127" i="30"/>
  <c r="V127" i="30"/>
  <c r="W127" i="30"/>
  <c r="X127" i="30"/>
  <c r="Y127" i="30"/>
  <c r="Z127" i="30"/>
  <c r="AA127" i="30"/>
  <c r="AB127" i="30"/>
  <c r="AC127" i="30"/>
  <c r="AD127" i="30"/>
  <c r="AE127" i="30"/>
  <c r="AI127" i="30"/>
  <c r="AJ127" i="30"/>
  <c r="AK127" i="30"/>
  <c r="AF127" i="30"/>
  <c r="C126" i="30"/>
  <c r="D126" i="30"/>
  <c r="E126" i="30"/>
  <c r="F126" i="30"/>
  <c r="G126" i="30"/>
  <c r="H126" i="30"/>
  <c r="I126" i="30"/>
  <c r="J126" i="30"/>
  <c r="AL126" i="30"/>
  <c r="C127" i="30"/>
  <c r="D127" i="30"/>
  <c r="E127" i="30"/>
  <c r="F127" i="30"/>
  <c r="G127" i="30"/>
  <c r="H127" i="30"/>
  <c r="I127" i="30"/>
  <c r="J127" i="30"/>
  <c r="AG127" i="30"/>
  <c r="AH127" i="30"/>
  <c r="AL127" i="30"/>
  <c r="AM127" i="30"/>
  <c r="AN127" i="30"/>
  <c r="AO127" i="30"/>
  <c r="AP127" i="30"/>
  <c r="AQ127" i="30"/>
  <c r="AV127" i="30"/>
  <c r="BA127" i="30"/>
  <c r="A251" i="1"/>
  <c r="A127" i="30" s="1"/>
  <c r="B251" i="1"/>
  <c r="B250" i="1"/>
  <c r="A250" i="1"/>
  <c r="A126" i="30" s="1"/>
  <c r="AK767" i="1"/>
  <c r="BD766" i="1"/>
  <c r="BC766" i="1"/>
  <c r="BB766" i="1"/>
  <c r="BD255" i="1" l="1"/>
  <c r="BD130" i="30" s="1"/>
  <c r="BC255" i="1"/>
  <c r="BC130" i="30" s="1"/>
  <c r="B130" i="30"/>
  <c r="BB250" i="1"/>
  <c r="BB126" i="30" s="1"/>
  <c r="BD250" i="1"/>
  <c r="BD126" i="30" s="1"/>
  <c r="BC250" i="1"/>
  <c r="BC126" i="30" s="1"/>
  <c r="BC251" i="1"/>
  <c r="BC127" i="30" s="1"/>
  <c r="BB251" i="1"/>
  <c r="BB127" i="30" s="1"/>
  <c r="BD251" i="1"/>
  <c r="BD127" i="30" s="1"/>
  <c r="BC254" i="1"/>
  <c r="BC129" i="30" s="1"/>
  <c r="BD254" i="1"/>
  <c r="BD129" i="30" s="1"/>
  <c r="BB254" i="1"/>
  <c r="BB129" i="30" s="1"/>
  <c r="BB253" i="1"/>
  <c r="BC253" i="1"/>
  <c r="BC128" i="30" s="1"/>
  <c r="BD253" i="1"/>
  <c r="B128" i="30"/>
  <c r="B129" i="30"/>
  <c r="A258" i="1"/>
  <c r="A133" i="30" s="1"/>
  <c r="A253" i="1"/>
  <c r="A128" i="30" s="1"/>
  <c r="A255" i="1"/>
  <c r="A130" i="30" s="1"/>
  <c r="A254" i="1"/>
  <c r="A129" i="30" s="1"/>
  <c r="B131" i="30"/>
  <c r="A131" i="30"/>
  <c r="A259" i="1"/>
  <c r="A134" i="30" s="1"/>
  <c r="B257" i="1"/>
  <c r="A260" i="1"/>
  <c r="A135" i="30" s="1"/>
  <c r="B258" i="1"/>
  <c r="A257" i="1"/>
  <c r="A132" i="30" s="1"/>
  <c r="A261" i="1"/>
  <c r="A136" i="30" s="1"/>
  <c r="B259" i="1"/>
  <c r="B261" i="1"/>
  <c r="B260" i="1"/>
  <c r="BB131" i="30"/>
  <c r="BD131" i="30"/>
  <c r="B127" i="30"/>
  <c r="B126" i="30"/>
  <c r="E3" i="30"/>
  <c r="E4" i="30"/>
  <c r="E5" i="30"/>
  <c r="E6" i="30"/>
  <c r="E7" i="30"/>
  <c r="E8" i="30"/>
  <c r="E9" i="30"/>
  <c r="E10" i="30"/>
  <c r="E11" i="30"/>
  <c r="E12" i="30"/>
  <c r="E13" i="30"/>
  <c r="E14" i="30"/>
  <c r="E15" i="30"/>
  <c r="E16" i="30"/>
  <c r="E17" i="30"/>
  <c r="E18" i="30"/>
  <c r="E19" i="30"/>
  <c r="E20" i="30"/>
  <c r="E21" i="30"/>
  <c r="E22" i="30"/>
  <c r="E23" i="30"/>
  <c r="E24" i="30"/>
  <c r="E25" i="30"/>
  <c r="E26" i="30"/>
  <c r="E27" i="30"/>
  <c r="E28" i="30"/>
  <c r="E29" i="30"/>
  <c r="E30" i="30"/>
  <c r="E31" i="30"/>
  <c r="E32" i="30"/>
  <c r="E33" i="30"/>
  <c r="E34" i="30"/>
  <c r="E428" i="30"/>
  <c r="E429" i="30"/>
  <c r="E430" i="30"/>
  <c r="E431" i="30"/>
  <c r="E46" i="30"/>
  <c r="E47" i="30"/>
  <c r="E48" i="30"/>
  <c r="E49" i="30"/>
  <c r="E50" i="30"/>
  <c r="E51" i="30"/>
  <c r="E52" i="30"/>
  <c r="E53" i="30"/>
  <c r="E54" i="30"/>
  <c r="E55" i="30"/>
  <c r="E56" i="30"/>
  <c r="E57" i="30"/>
  <c r="E58" i="30"/>
  <c r="E59" i="30"/>
  <c r="E60" i="30"/>
  <c r="E61" i="30"/>
  <c r="E62" i="30"/>
  <c r="E63" i="30"/>
  <c r="E64" i="30"/>
  <c r="E65" i="30"/>
  <c r="E66" i="30"/>
  <c r="E67" i="30"/>
  <c r="E68" i="30"/>
  <c r="E69" i="30"/>
  <c r="E70" i="30"/>
  <c r="E71" i="30"/>
  <c r="E72" i="30"/>
  <c r="E73" i="30"/>
  <c r="E74" i="30"/>
  <c r="E75" i="30"/>
  <c r="E76" i="30"/>
  <c r="E77" i="30"/>
  <c r="E78" i="30"/>
  <c r="E79" i="30"/>
  <c r="E80" i="30"/>
  <c r="E81" i="30"/>
  <c r="E82" i="30"/>
  <c r="E83" i="30"/>
  <c r="E84" i="30"/>
  <c r="E85" i="30"/>
  <c r="E86" i="30"/>
  <c r="E87" i="30"/>
  <c r="E88" i="30"/>
  <c r="E89" i="30"/>
  <c r="E90" i="30"/>
  <c r="E91" i="30"/>
  <c r="E92" i="30"/>
  <c r="E93" i="30"/>
  <c r="E94" i="30"/>
  <c r="E95" i="30"/>
  <c r="E96" i="30"/>
  <c r="E97" i="30"/>
  <c r="E98" i="30"/>
  <c r="E99" i="30"/>
  <c r="E100" i="30"/>
  <c r="E101" i="30"/>
  <c r="E102" i="30"/>
  <c r="E103" i="30"/>
  <c r="E104" i="30"/>
  <c r="E105" i="30"/>
  <c r="E106" i="30"/>
  <c r="E107" i="30"/>
  <c r="E109" i="30"/>
  <c r="E110" i="30"/>
  <c r="E111" i="30"/>
  <c r="E112" i="30"/>
  <c r="E113" i="30"/>
  <c r="E114" i="30"/>
  <c r="E115" i="30"/>
  <c r="E116" i="30"/>
  <c r="E117" i="30"/>
  <c r="E118" i="30"/>
  <c r="E119" i="30"/>
  <c r="E120" i="30"/>
  <c r="E121" i="30"/>
  <c r="E122" i="30"/>
  <c r="E123" i="30"/>
  <c r="E124" i="30"/>
  <c r="E125" i="30"/>
  <c r="E137" i="30"/>
  <c r="E138" i="30"/>
  <c r="E139" i="30"/>
  <c r="E140" i="30"/>
  <c r="E141" i="30"/>
  <c r="E142" i="30"/>
  <c r="E143" i="30"/>
  <c r="E144" i="30"/>
  <c r="E145" i="30"/>
  <c r="E146" i="30"/>
  <c r="E147" i="30"/>
  <c r="E148" i="30"/>
  <c r="E149" i="30"/>
  <c r="E150" i="30"/>
  <c r="E151" i="30"/>
  <c r="E152" i="30"/>
  <c r="E153" i="30"/>
  <c r="E154" i="30"/>
  <c r="E155" i="30"/>
  <c r="E156" i="30"/>
  <c r="E157" i="30"/>
  <c r="E159" i="30"/>
  <c r="E160" i="30"/>
  <c r="E161" i="30"/>
  <c r="E162" i="30"/>
  <c r="E163" i="30"/>
  <c r="E164" i="30"/>
  <c r="E170" i="30"/>
  <c r="E171" i="30"/>
  <c r="E172" i="30"/>
  <c r="E173" i="30"/>
  <c r="E174" i="30"/>
  <c r="E175" i="30"/>
  <c r="E176" i="30"/>
  <c r="E177" i="30"/>
  <c r="E178" i="30"/>
  <c r="E179" i="30"/>
  <c r="E180" i="30"/>
  <c r="E181" i="30"/>
  <c r="E182" i="30"/>
  <c r="E183" i="30"/>
  <c r="E184" i="30"/>
  <c r="E185" i="30"/>
  <c r="E186" i="30"/>
  <c r="E187" i="30"/>
  <c r="E188" i="30"/>
  <c r="E189" i="30"/>
  <c r="E190" i="30"/>
  <c r="E191" i="30"/>
  <c r="E192" i="30"/>
  <c r="E193" i="30"/>
  <c r="E194" i="30"/>
  <c r="E195" i="30"/>
  <c r="E196" i="30"/>
  <c r="E197" i="30"/>
  <c r="E198" i="30"/>
  <c r="E199" i="30"/>
  <c r="E200" i="30"/>
  <c r="E201" i="30"/>
  <c r="E202" i="30"/>
  <c r="E203" i="30"/>
  <c r="E204" i="30"/>
  <c r="E205" i="30"/>
  <c r="E206" i="30"/>
  <c r="E207" i="30"/>
  <c r="E208" i="30"/>
  <c r="E209" i="30"/>
  <c r="E210" i="30"/>
  <c r="E211" i="30"/>
  <c r="E212" i="30"/>
  <c r="E213" i="30"/>
  <c r="E214" i="30"/>
  <c r="E215" i="30"/>
  <c r="E216" i="30"/>
  <c r="E217" i="30"/>
  <c r="E218" i="30"/>
  <c r="E219" i="30"/>
  <c r="E220" i="30"/>
  <c r="E221" i="30"/>
  <c r="E222" i="30"/>
  <c r="E223" i="30"/>
  <c r="E224" i="30"/>
  <c r="E225" i="30"/>
  <c r="E226" i="30"/>
  <c r="E227" i="30"/>
  <c r="E228" i="30"/>
  <c r="E229" i="30"/>
  <c r="E230" i="30"/>
  <c r="E231" i="30"/>
  <c r="E232" i="30"/>
  <c r="E233" i="30"/>
  <c r="E234" i="30"/>
  <c r="E235" i="30"/>
  <c r="E236" i="30"/>
  <c r="E237" i="30"/>
  <c r="E241" i="30"/>
  <c r="E242" i="30"/>
  <c r="E245" i="30"/>
  <c r="E246" i="30"/>
  <c r="E247" i="30"/>
  <c r="E248" i="30"/>
  <c r="E253" i="30"/>
  <c r="E254" i="30"/>
  <c r="E255" i="30"/>
  <c r="E256" i="30"/>
  <c r="E257" i="30"/>
  <c r="E258" i="30"/>
  <c r="E259" i="30"/>
  <c r="E260" i="30"/>
  <c r="E261" i="30"/>
  <c r="E262" i="30"/>
  <c r="E263" i="30"/>
  <c r="E264" i="30"/>
  <c r="E265" i="30"/>
  <c r="E266" i="30"/>
  <c r="E267" i="30"/>
  <c r="E268" i="30"/>
  <c r="E269" i="30"/>
  <c r="E270" i="30"/>
  <c r="E276" i="30"/>
  <c r="E277" i="30"/>
  <c r="E278" i="30"/>
  <c r="E279" i="30"/>
  <c r="E280" i="30"/>
  <c r="E281" i="30"/>
  <c r="E282" i="30"/>
  <c r="E283" i="30"/>
  <c r="E284" i="30"/>
  <c r="E285" i="30"/>
  <c r="E286" i="30"/>
  <c r="E287" i="30"/>
  <c r="E288" i="30"/>
  <c r="E289" i="30"/>
  <c r="E290" i="30"/>
  <c r="E291" i="30"/>
  <c r="E292" i="30"/>
  <c r="E295" i="30"/>
  <c r="E296" i="30"/>
  <c r="E297" i="30"/>
  <c r="E299" i="30"/>
  <c r="E300" i="30"/>
  <c r="E301" i="30"/>
  <c r="E304" i="30"/>
  <c r="E305" i="30"/>
  <c r="E306" i="30"/>
  <c r="E307" i="30"/>
  <c r="E308" i="30"/>
  <c r="E309" i="30"/>
  <c r="E310" i="30"/>
  <c r="E311" i="30"/>
  <c r="E312" i="30"/>
  <c r="E313" i="30"/>
  <c r="E314" i="30"/>
  <c r="E315" i="30"/>
  <c r="E316" i="30"/>
  <c r="E317" i="30"/>
  <c r="E318" i="30"/>
  <c r="E319" i="30"/>
  <c r="E320" i="30"/>
  <c r="E321" i="30"/>
  <c r="E322" i="30"/>
  <c r="E325" i="30"/>
  <c r="E326" i="30"/>
  <c r="E327" i="30"/>
  <c r="E328" i="30"/>
  <c r="E330" i="30"/>
  <c r="E331" i="30"/>
  <c r="E332" i="30"/>
  <c r="E333" i="30"/>
  <c r="E334" i="30"/>
  <c r="E335" i="30"/>
  <c r="E336" i="30"/>
  <c r="E337" i="30"/>
  <c r="E338" i="30"/>
  <c r="E339" i="30"/>
  <c r="E340" i="30"/>
  <c r="E341" i="30"/>
  <c r="E343" i="30"/>
  <c r="E347" i="30"/>
  <c r="E389" i="30"/>
  <c r="E390" i="30"/>
  <c r="E391" i="30"/>
  <c r="E392" i="30"/>
  <c r="E393" i="30"/>
  <c r="E394" i="30"/>
  <c r="E395" i="30"/>
  <c r="E396" i="30"/>
  <c r="E397" i="30"/>
  <c r="E398" i="30"/>
  <c r="E399" i="30"/>
  <c r="E400" i="30"/>
  <c r="E401" i="30"/>
  <c r="E402" i="30"/>
  <c r="E403" i="30"/>
  <c r="E404" i="30"/>
  <c r="E405" i="30"/>
  <c r="E406" i="30"/>
  <c r="E407" i="30"/>
  <c r="E408" i="30"/>
  <c r="E409" i="30"/>
  <c r="E410" i="30"/>
  <c r="E411" i="30"/>
  <c r="E412" i="30"/>
  <c r="E413" i="30"/>
  <c r="E414" i="30"/>
  <c r="E415" i="30"/>
  <c r="E416" i="30"/>
  <c r="E417" i="30"/>
  <c r="E418" i="30"/>
  <c r="E419" i="30"/>
  <c r="E420" i="30"/>
  <c r="E421" i="30"/>
  <c r="E422" i="30"/>
  <c r="E423" i="30"/>
  <c r="E424" i="30"/>
  <c r="E425" i="30"/>
  <c r="E426" i="30"/>
  <c r="E427" i="30"/>
  <c r="E435" i="30"/>
  <c r="E436" i="30"/>
  <c r="E437" i="30"/>
  <c r="E438" i="30"/>
  <c r="E439" i="30"/>
  <c r="E440" i="30"/>
  <c r="E441" i="30"/>
  <c r="E442" i="30"/>
  <c r="E443" i="30"/>
  <c r="E444" i="30"/>
  <c r="E445" i="30"/>
  <c r="BE461" i="30"/>
  <c r="E468" i="30"/>
  <c r="E469" i="30"/>
  <c r="E470" i="30"/>
  <c r="E471" i="30"/>
  <c r="E472" i="30"/>
  <c r="E473" i="30"/>
  <c r="E474" i="30"/>
  <c r="E475" i="30"/>
  <c r="E476" i="30"/>
  <c r="E477" i="30"/>
  <c r="E503" i="30"/>
  <c r="E504" i="30"/>
  <c r="E505" i="30"/>
  <c r="E506" i="30"/>
  <c r="E507" i="30"/>
  <c r="E508" i="30"/>
  <c r="E509" i="30"/>
  <c r="E510" i="30"/>
  <c r="E511" i="30"/>
  <c r="E512" i="30"/>
  <c r="E513" i="30"/>
  <c r="E514" i="30"/>
  <c r="E515" i="30"/>
  <c r="E516" i="30"/>
  <c r="E517" i="30"/>
  <c r="E518" i="30"/>
  <c r="E519" i="30"/>
  <c r="E520" i="30"/>
  <c r="E521" i="30"/>
  <c r="E522" i="30"/>
  <c r="E523" i="30"/>
  <c r="E525" i="30"/>
  <c r="E526" i="30"/>
  <c r="E527" i="30"/>
  <c r="E528" i="30"/>
  <c r="E529" i="30"/>
  <c r="E540" i="30"/>
  <c r="E541" i="30"/>
  <c r="E542" i="30"/>
  <c r="E543" i="30"/>
  <c r="E544" i="30"/>
  <c r="E545" i="30"/>
  <c r="E546" i="30"/>
  <c r="E547" i="30"/>
  <c r="E548" i="30"/>
  <c r="E549" i="30"/>
  <c r="E550" i="30"/>
  <c r="E551" i="30"/>
  <c r="E552" i="30"/>
  <c r="E553" i="30"/>
  <c r="E554" i="30"/>
  <c r="E555" i="30"/>
  <c r="E569" i="30"/>
  <c r="E570" i="30"/>
  <c r="E571" i="30"/>
  <c r="E572" i="30"/>
  <c r="E573" i="30"/>
  <c r="E574" i="30"/>
  <c r="E575" i="30"/>
  <c r="E576" i="30"/>
  <c r="E577" i="30"/>
  <c r="E578" i="30"/>
  <c r="E579" i="30"/>
  <c r="E580" i="30"/>
  <c r="E581" i="30"/>
  <c r="E582" i="30"/>
  <c r="E583" i="30"/>
  <c r="E584" i="30"/>
  <c r="E585" i="30"/>
  <c r="E586" i="30"/>
  <c r="E587" i="30"/>
  <c r="E588" i="30"/>
  <c r="E589" i="30"/>
  <c r="E591" i="30"/>
  <c r="E592" i="30"/>
  <c r="E593" i="30"/>
  <c r="E594" i="30"/>
  <c r="E595" i="30"/>
  <c r="E596" i="30"/>
  <c r="E597" i="30"/>
  <c r="E598" i="30"/>
  <c r="E599" i="30"/>
  <c r="E600" i="30"/>
  <c r="E601" i="30"/>
  <c r="E602" i="30"/>
  <c r="E603" i="30"/>
  <c r="E604" i="30"/>
  <c r="E605" i="30"/>
  <c r="E606" i="30"/>
  <c r="E607" i="30"/>
  <c r="E608" i="30"/>
  <c r="E609" i="30"/>
  <c r="E610" i="30"/>
  <c r="E611" i="30"/>
  <c r="E613" i="30"/>
  <c r="E615" i="30"/>
  <c r="E616" i="30"/>
  <c r="E617" i="30"/>
  <c r="E618" i="30"/>
  <c r="E619" i="30"/>
  <c r="E620" i="30"/>
  <c r="E621" i="30"/>
  <c r="E622" i="30"/>
  <c r="E623" i="30"/>
  <c r="E624" i="30"/>
  <c r="E625" i="30"/>
  <c r="E626" i="30"/>
  <c r="E627" i="30"/>
  <c r="E628" i="30"/>
  <c r="E629" i="30"/>
  <c r="E630" i="30"/>
  <c r="E631" i="30"/>
  <c r="E632" i="30"/>
  <c r="E633" i="30"/>
  <c r="E634" i="30"/>
  <c r="E635" i="30"/>
  <c r="E636" i="30"/>
  <c r="E637" i="30"/>
  <c r="E638" i="30"/>
  <c r="E639" i="30"/>
  <c r="E640" i="30"/>
  <c r="E641" i="30"/>
  <c r="E642" i="30"/>
  <c r="E643" i="30"/>
  <c r="E644" i="30"/>
  <c r="E645" i="30"/>
  <c r="E646" i="30"/>
  <c r="E647" i="30"/>
  <c r="E648" i="30"/>
  <c r="E649" i="30"/>
  <c r="E650" i="30"/>
  <c r="E651" i="30"/>
  <c r="E652" i="30"/>
  <c r="E653" i="30"/>
  <c r="E654" i="30"/>
  <c r="E655" i="30"/>
  <c r="E656" i="30"/>
  <c r="E657" i="30"/>
  <c r="E658" i="30"/>
  <c r="E659" i="30"/>
  <c r="E660" i="30"/>
  <c r="E661" i="30"/>
  <c r="E662" i="30"/>
  <c r="E663" i="30"/>
  <c r="E664" i="30"/>
  <c r="E665" i="30"/>
  <c r="E666" i="30"/>
  <c r="E667" i="30"/>
  <c r="E670" i="30"/>
  <c r="E671" i="30"/>
  <c r="E672" i="30"/>
  <c r="E673" i="30"/>
  <c r="E674" i="30"/>
  <c r="E675" i="30"/>
  <c r="E676" i="30"/>
  <c r="E677" i="30"/>
  <c r="E678" i="30"/>
  <c r="E679" i="30"/>
  <c r="E682" i="30"/>
  <c r="E683" i="30"/>
  <c r="E684" i="30"/>
  <c r="E685" i="30"/>
  <c r="E686" i="30"/>
  <c r="E687" i="30"/>
  <c r="E688" i="30"/>
  <c r="E689" i="30"/>
  <c r="E690" i="30"/>
  <c r="E691" i="30"/>
  <c r="E692" i="30"/>
  <c r="E693" i="30"/>
  <c r="E694" i="30"/>
  <c r="E695" i="30"/>
  <c r="E696" i="30"/>
  <c r="E704" i="30"/>
  <c r="E705" i="30"/>
  <c r="E706" i="30"/>
  <c r="E709" i="30"/>
  <c r="E708" i="30"/>
  <c r="E711" i="30"/>
  <c r="E712" i="30"/>
  <c r="E713" i="30"/>
  <c r="E714" i="30"/>
  <c r="E715" i="30"/>
  <c r="E716" i="30"/>
  <c r="E717" i="30"/>
  <c r="E718" i="30"/>
  <c r="E719" i="30"/>
  <c r="E720" i="30"/>
  <c r="E721" i="30"/>
  <c r="E722" i="30"/>
  <c r="E723" i="30"/>
  <c r="E724" i="30"/>
  <c r="E725" i="30"/>
  <c r="E726" i="30"/>
  <c r="E727" i="30"/>
  <c r="E728" i="30"/>
  <c r="E729" i="30"/>
  <c r="E730" i="30"/>
  <c r="E731" i="30"/>
  <c r="E732" i="30"/>
  <c r="E733" i="30"/>
  <c r="E734" i="30"/>
  <c r="E735" i="30"/>
  <c r="E736" i="30"/>
  <c r="E737" i="30"/>
  <c r="E738" i="30"/>
  <c r="E739" i="30"/>
  <c r="E740" i="30"/>
  <c r="E741" i="30"/>
  <c r="E742" i="30"/>
  <c r="E743" i="30"/>
  <c r="E744" i="30"/>
  <c r="E745" i="30"/>
  <c r="E746" i="30"/>
  <c r="E747" i="30"/>
  <c r="E748" i="30"/>
  <c r="E749" i="30"/>
  <c r="E750" i="30"/>
  <c r="E751" i="30"/>
  <c r="E752" i="30"/>
  <c r="E753" i="30"/>
  <c r="E754" i="30"/>
  <c r="E755" i="30"/>
  <c r="E756" i="30"/>
  <c r="E757" i="30"/>
  <c r="E758" i="30"/>
  <c r="E759" i="30"/>
  <c r="E760" i="30"/>
  <c r="E761" i="30"/>
  <c r="E768" i="30"/>
  <c r="E769" i="30"/>
  <c r="E770" i="30"/>
  <c r="E771" i="30"/>
  <c r="E773" i="30"/>
  <c r="E774" i="30"/>
  <c r="E775" i="30"/>
  <c r="E776" i="30"/>
  <c r="E777" i="30"/>
  <c r="E778" i="30"/>
  <c r="E779" i="30"/>
  <c r="E780" i="30"/>
  <c r="E781" i="30"/>
  <c r="E782" i="30"/>
  <c r="E783" i="30"/>
  <c r="E784" i="30"/>
  <c r="E785" i="30"/>
  <c r="E786" i="30"/>
  <c r="E787" i="30"/>
  <c r="E788" i="30"/>
  <c r="E789" i="30"/>
  <c r="E790" i="30"/>
  <c r="E791" i="30"/>
  <c r="E792" i="30"/>
  <c r="BB257" i="1" l="1"/>
  <c r="BB132" i="30" s="1"/>
  <c r="BC257" i="1"/>
  <c r="BC132" i="30" s="1"/>
  <c r="BD257" i="1"/>
  <c r="BD132" i="30" s="1"/>
  <c r="BB260" i="1"/>
  <c r="BB135" i="30" s="1"/>
  <c r="BC260" i="1"/>
  <c r="BC135" i="30" s="1"/>
  <c r="BD260" i="1"/>
  <c r="BD135" i="30" s="1"/>
  <c r="BB261" i="1"/>
  <c r="BB136" i="30" s="1"/>
  <c r="BC261" i="1"/>
  <c r="BC136" i="30" s="1"/>
  <c r="BD261" i="1"/>
  <c r="BD136" i="30" s="1"/>
  <c r="BC258" i="1"/>
  <c r="BC133" i="30" s="1"/>
  <c r="BD258" i="1"/>
  <c r="BD133" i="30" s="1"/>
  <c r="BB258" i="1"/>
  <c r="BB133" i="30" s="1"/>
  <c r="BD259" i="1"/>
  <c r="BD134" i="30" s="1"/>
  <c r="BB259" i="1"/>
  <c r="BB134" i="30" s="1"/>
  <c r="BC259" i="1"/>
  <c r="BC134" i="30" s="1"/>
  <c r="BD128" i="30"/>
  <c r="BB128" i="30"/>
  <c r="B135" i="30"/>
  <c r="B132" i="30"/>
  <c r="B136" i="30"/>
  <c r="B133" i="30"/>
  <c r="B134" i="30"/>
  <c r="C529" i="30"/>
  <c r="D529" i="30"/>
  <c r="F529" i="30"/>
  <c r="G529" i="30"/>
  <c r="H529" i="30"/>
  <c r="I529" i="30"/>
  <c r="J529" i="30"/>
  <c r="S529" i="30"/>
  <c r="U529" i="30"/>
  <c r="V529" i="30"/>
  <c r="W529" i="30"/>
  <c r="X529" i="30"/>
  <c r="Y529" i="30"/>
  <c r="Z529" i="30"/>
  <c r="AA529" i="30"/>
  <c r="AB529" i="30"/>
  <c r="AC529" i="30"/>
  <c r="AH529" i="30"/>
  <c r="AK529" i="30"/>
  <c r="AL529" i="30"/>
  <c r="AM529" i="30"/>
  <c r="AN529" i="30"/>
  <c r="AO529" i="30"/>
  <c r="AP529" i="30"/>
  <c r="AQ529" i="30"/>
  <c r="AV529" i="30"/>
  <c r="BA529" i="30"/>
  <c r="U1561" i="1"/>
  <c r="W1561" i="1"/>
  <c r="X1561" i="1"/>
  <c r="Y1561" i="1"/>
  <c r="Z1561" i="1"/>
  <c r="AA1561" i="1"/>
  <c r="AB1561" i="1"/>
  <c r="AC1561" i="1"/>
  <c r="AH1561" i="1"/>
  <c r="A1560" i="1"/>
  <c r="A529" i="30" s="1"/>
  <c r="B1560" i="1"/>
  <c r="BC1560" i="1" s="1"/>
  <c r="BC529" i="30" s="1"/>
  <c r="BB1560" i="1" l="1"/>
  <c r="BB529" i="30" s="1"/>
  <c r="B529" i="30"/>
  <c r="BD1560" i="1"/>
  <c r="BD529" i="30" s="1"/>
  <c r="C530" i="30"/>
  <c r="F537" i="30"/>
  <c r="G537" i="30"/>
  <c r="H537" i="30"/>
  <c r="I537" i="30"/>
  <c r="J537" i="30"/>
  <c r="K537" i="30"/>
  <c r="L537" i="30"/>
  <c r="M537" i="30"/>
  <c r="N537" i="30"/>
  <c r="O537" i="30"/>
  <c r="P537" i="30"/>
  <c r="Q537" i="30"/>
  <c r="R537" i="30"/>
  <c r="S537" i="30"/>
  <c r="T537" i="30"/>
  <c r="U537" i="30"/>
  <c r="V537" i="30"/>
  <c r="W537" i="30"/>
  <c r="X537" i="30"/>
  <c r="Y537" i="30"/>
  <c r="Z537" i="30"/>
  <c r="AA537" i="30"/>
  <c r="AB537" i="30"/>
  <c r="AC537" i="30"/>
  <c r="AH537" i="30"/>
  <c r="AI530" i="30"/>
  <c r="AJ530" i="30"/>
  <c r="AK530" i="30"/>
  <c r="AL530" i="30"/>
  <c r="AM530" i="30"/>
  <c r="AN530" i="30"/>
  <c r="AO530" i="30"/>
  <c r="AP530" i="30"/>
  <c r="AQ530" i="30"/>
  <c r="AV530" i="30"/>
  <c r="BA530" i="30"/>
  <c r="C531" i="30"/>
  <c r="F536" i="30"/>
  <c r="G536" i="30"/>
  <c r="H536" i="30"/>
  <c r="I536" i="30"/>
  <c r="J536" i="30"/>
  <c r="K536" i="30"/>
  <c r="L536" i="30"/>
  <c r="M536" i="30"/>
  <c r="N536" i="30"/>
  <c r="O536" i="30"/>
  <c r="P536" i="30"/>
  <c r="Q536" i="30"/>
  <c r="R536" i="30"/>
  <c r="S536" i="30"/>
  <c r="T536" i="30"/>
  <c r="U536" i="30"/>
  <c r="V536" i="30"/>
  <c r="W536" i="30"/>
  <c r="X536" i="30"/>
  <c r="Y536" i="30"/>
  <c r="Z536" i="30"/>
  <c r="AA536" i="30"/>
  <c r="AB536" i="30"/>
  <c r="AC536" i="30"/>
  <c r="AD536" i="30"/>
  <c r="AE536" i="30"/>
  <c r="AF536" i="30"/>
  <c r="AG536" i="30"/>
  <c r="AH536" i="30"/>
  <c r="AI531" i="30"/>
  <c r="AJ531" i="30"/>
  <c r="AK531" i="30"/>
  <c r="AL531" i="30"/>
  <c r="AM531" i="30"/>
  <c r="AN531" i="30"/>
  <c r="AO531" i="30"/>
  <c r="AP531" i="30"/>
  <c r="AQ531" i="30"/>
  <c r="AV531" i="30"/>
  <c r="BA531" i="30"/>
  <c r="C532" i="30"/>
  <c r="F535" i="30"/>
  <c r="G535" i="30"/>
  <c r="H535" i="30"/>
  <c r="I535" i="30"/>
  <c r="J535" i="30"/>
  <c r="K535" i="30"/>
  <c r="L535" i="30"/>
  <c r="M535" i="30"/>
  <c r="N535" i="30"/>
  <c r="O535" i="30"/>
  <c r="P535" i="30"/>
  <c r="Q535" i="30"/>
  <c r="R535" i="30"/>
  <c r="S535" i="30"/>
  <c r="T535" i="30"/>
  <c r="U535" i="30"/>
  <c r="V535" i="30"/>
  <c r="W535" i="30"/>
  <c r="X535" i="30"/>
  <c r="Y535" i="30"/>
  <c r="Z535" i="30"/>
  <c r="AA535" i="30"/>
  <c r="AB535" i="30"/>
  <c r="AC535" i="30"/>
  <c r="AD535" i="30"/>
  <c r="AE535" i="30"/>
  <c r="AF535" i="30"/>
  <c r="AG535" i="30"/>
  <c r="AH535" i="30"/>
  <c r="AI532" i="30"/>
  <c r="AJ532" i="30"/>
  <c r="AK532" i="30"/>
  <c r="AL532" i="30"/>
  <c r="AM532" i="30"/>
  <c r="AN532" i="30"/>
  <c r="AO532" i="30"/>
  <c r="AP532" i="30"/>
  <c r="AQ532" i="30"/>
  <c r="AV532" i="30"/>
  <c r="BA532" i="30"/>
  <c r="C533" i="30"/>
  <c r="F538" i="30"/>
  <c r="G538" i="30"/>
  <c r="H538" i="30"/>
  <c r="I538" i="30"/>
  <c r="J538" i="30"/>
  <c r="K538" i="30"/>
  <c r="L538" i="30"/>
  <c r="M538" i="30"/>
  <c r="N538" i="30"/>
  <c r="O538" i="30"/>
  <c r="P538" i="30"/>
  <c r="Q538" i="30"/>
  <c r="R538" i="30"/>
  <c r="S538" i="30"/>
  <c r="T538" i="30"/>
  <c r="U538" i="30"/>
  <c r="V538" i="30"/>
  <c r="W538" i="30"/>
  <c r="X538" i="30"/>
  <c r="Y538" i="30"/>
  <c r="Z538" i="30"/>
  <c r="AA538" i="30"/>
  <c r="AB538" i="30"/>
  <c r="AC538" i="30"/>
  <c r="AD538" i="30"/>
  <c r="AE538" i="30"/>
  <c r="AF538" i="30"/>
  <c r="AG538" i="30"/>
  <c r="AH538" i="30"/>
  <c r="AI533" i="30"/>
  <c r="AJ533" i="30"/>
  <c r="AK533" i="30"/>
  <c r="AL533" i="30"/>
  <c r="AM533" i="30"/>
  <c r="AN533" i="30"/>
  <c r="AO533" i="30"/>
  <c r="AP533" i="30"/>
  <c r="AQ533" i="30"/>
  <c r="AV533" i="30"/>
  <c r="BA533" i="30"/>
  <c r="C534" i="30"/>
  <c r="F534" i="30"/>
  <c r="G534" i="30"/>
  <c r="H534" i="30"/>
  <c r="I534" i="30"/>
  <c r="J534" i="30"/>
  <c r="K534" i="30"/>
  <c r="L534" i="30"/>
  <c r="M534" i="30"/>
  <c r="N534" i="30"/>
  <c r="O534" i="30"/>
  <c r="P534" i="30"/>
  <c r="Q534" i="30"/>
  <c r="R534" i="30"/>
  <c r="S534" i="30"/>
  <c r="T534" i="30"/>
  <c r="U534" i="30"/>
  <c r="V534" i="30"/>
  <c r="W534" i="30"/>
  <c r="X534" i="30"/>
  <c r="Y534" i="30"/>
  <c r="Z534" i="30"/>
  <c r="AA534" i="30"/>
  <c r="AB534" i="30"/>
  <c r="AC534" i="30"/>
  <c r="AD534" i="30"/>
  <c r="AE534" i="30"/>
  <c r="AF534" i="30"/>
  <c r="AG534" i="30"/>
  <c r="AH534" i="30"/>
  <c r="AI534" i="30"/>
  <c r="AJ534" i="30"/>
  <c r="AK534" i="30"/>
  <c r="AL534" i="30"/>
  <c r="AM534" i="30"/>
  <c r="AN534" i="30"/>
  <c r="AO534" i="30"/>
  <c r="AP534" i="30"/>
  <c r="AQ534" i="30"/>
  <c r="AV534" i="30"/>
  <c r="BA534" i="30"/>
  <c r="C535" i="30"/>
  <c r="F530" i="30"/>
  <c r="G530" i="30"/>
  <c r="H530" i="30"/>
  <c r="I530" i="30"/>
  <c r="J530" i="30"/>
  <c r="K530" i="30"/>
  <c r="L530" i="30"/>
  <c r="M530" i="30"/>
  <c r="N530" i="30"/>
  <c r="O530" i="30"/>
  <c r="P530" i="30"/>
  <c r="Q530" i="30"/>
  <c r="R530" i="30"/>
  <c r="S530" i="30"/>
  <c r="T530" i="30"/>
  <c r="U530" i="30"/>
  <c r="V530" i="30"/>
  <c r="W530" i="30"/>
  <c r="X530" i="30"/>
  <c r="Y530" i="30"/>
  <c r="Z530" i="30"/>
  <c r="AA530" i="30"/>
  <c r="AB530" i="30"/>
  <c r="AC530" i="30"/>
  <c r="AD530" i="30"/>
  <c r="AE530" i="30"/>
  <c r="AF530" i="30"/>
  <c r="AG530" i="30"/>
  <c r="AH530" i="30"/>
  <c r="AI535" i="30"/>
  <c r="AJ535" i="30"/>
  <c r="AK535" i="30"/>
  <c r="AL535" i="30"/>
  <c r="AM535" i="30"/>
  <c r="AN535" i="30"/>
  <c r="AO535" i="30"/>
  <c r="AP535" i="30"/>
  <c r="AQ535" i="30"/>
  <c r="AV535" i="30"/>
  <c r="BA535" i="30"/>
  <c r="C536" i="30"/>
  <c r="F539" i="30"/>
  <c r="G539" i="30"/>
  <c r="H539" i="30"/>
  <c r="I539" i="30"/>
  <c r="J539" i="30"/>
  <c r="K539" i="30"/>
  <c r="L539" i="30"/>
  <c r="M539" i="30"/>
  <c r="N539" i="30"/>
  <c r="O539" i="30"/>
  <c r="P539" i="30"/>
  <c r="Q539" i="30"/>
  <c r="R539" i="30"/>
  <c r="S539" i="30"/>
  <c r="T539" i="30"/>
  <c r="U539" i="30"/>
  <c r="V539" i="30"/>
  <c r="W539" i="30"/>
  <c r="X539" i="30"/>
  <c r="Y539" i="30"/>
  <c r="Z539" i="30"/>
  <c r="AA539" i="30"/>
  <c r="AB539" i="30"/>
  <c r="AC539" i="30"/>
  <c r="AD539" i="30"/>
  <c r="AE539" i="30"/>
  <c r="AF539" i="30"/>
  <c r="AG539" i="30"/>
  <c r="AH539" i="30"/>
  <c r="AI536" i="30"/>
  <c r="AJ536" i="30"/>
  <c r="AK536" i="30"/>
  <c r="AL536" i="30"/>
  <c r="AM536" i="30"/>
  <c r="AN536" i="30"/>
  <c r="AO536" i="30"/>
  <c r="AP536" i="30"/>
  <c r="AQ536" i="30"/>
  <c r="AV536" i="30"/>
  <c r="BA536" i="30"/>
  <c r="C537" i="30"/>
  <c r="F533" i="30"/>
  <c r="G533" i="30"/>
  <c r="H533" i="30"/>
  <c r="I533" i="30"/>
  <c r="J533" i="30"/>
  <c r="K533" i="30"/>
  <c r="L533" i="30"/>
  <c r="M533" i="30"/>
  <c r="N533" i="30"/>
  <c r="O533" i="30"/>
  <c r="P533" i="30"/>
  <c r="Q533" i="30"/>
  <c r="R533" i="30"/>
  <c r="S533" i="30"/>
  <c r="T533" i="30"/>
  <c r="U533" i="30"/>
  <c r="V533" i="30"/>
  <c r="W533" i="30"/>
  <c r="X533" i="30"/>
  <c r="Y533" i="30"/>
  <c r="Z533" i="30"/>
  <c r="AA533" i="30"/>
  <c r="AB533" i="30"/>
  <c r="AC533" i="30"/>
  <c r="AD533" i="30"/>
  <c r="AE533" i="30"/>
  <c r="AF533" i="30"/>
  <c r="AG533" i="30"/>
  <c r="AH533" i="30"/>
  <c r="AI537" i="30"/>
  <c r="AJ537" i="30"/>
  <c r="AK537" i="30"/>
  <c r="AL537" i="30"/>
  <c r="AM537" i="30"/>
  <c r="AN537" i="30"/>
  <c r="AO537" i="30"/>
  <c r="AP537" i="30"/>
  <c r="AQ537" i="30"/>
  <c r="AV537" i="30"/>
  <c r="BA537" i="30"/>
  <c r="C538" i="30"/>
  <c r="F532" i="30"/>
  <c r="G532" i="30"/>
  <c r="H532" i="30"/>
  <c r="I532" i="30"/>
  <c r="J532" i="30"/>
  <c r="K532" i="30"/>
  <c r="L532" i="30"/>
  <c r="M532" i="30"/>
  <c r="N532" i="30"/>
  <c r="O532" i="30"/>
  <c r="P532" i="30"/>
  <c r="Q532" i="30"/>
  <c r="R532" i="30"/>
  <c r="S532" i="30"/>
  <c r="T532" i="30"/>
  <c r="U532" i="30"/>
  <c r="V532" i="30"/>
  <c r="W532" i="30"/>
  <c r="X532" i="30"/>
  <c r="Y532" i="30"/>
  <c r="Z532" i="30"/>
  <c r="AA532" i="30"/>
  <c r="AB532" i="30"/>
  <c r="AC532" i="30"/>
  <c r="AD532" i="30"/>
  <c r="AE532" i="30"/>
  <c r="AF532" i="30"/>
  <c r="AG532" i="30"/>
  <c r="AH532" i="30"/>
  <c r="AI538" i="30"/>
  <c r="AJ538" i="30"/>
  <c r="AK538" i="30"/>
  <c r="AL538" i="30"/>
  <c r="AM538" i="30"/>
  <c r="AN538" i="30"/>
  <c r="AO538" i="30"/>
  <c r="AP538" i="30"/>
  <c r="AQ538" i="30"/>
  <c r="AV538" i="30"/>
  <c r="BA538" i="30"/>
  <c r="C539" i="30"/>
  <c r="F531" i="30"/>
  <c r="G531" i="30"/>
  <c r="H531" i="30"/>
  <c r="I531" i="30"/>
  <c r="J531" i="30"/>
  <c r="K531" i="30"/>
  <c r="L531" i="30"/>
  <c r="M531" i="30"/>
  <c r="N531" i="30"/>
  <c r="O531" i="30"/>
  <c r="P531" i="30"/>
  <c r="Q531" i="30"/>
  <c r="R531" i="30"/>
  <c r="S531" i="30"/>
  <c r="T531" i="30"/>
  <c r="U531" i="30"/>
  <c r="V531" i="30"/>
  <c r="W531" i="30"/>
  <c r="X531" i="30"/>
  <c r="Y531" i="30"/>
  <c r="Z531" i="30"/>
  <c r="AA531" i="30"/>
  <c r="AB531" i="30"/>
  <c r="AC531" i="30"/>
  <c r="AD531" i="30"/>
  <c r="AE531" i="30"/>
  <c r="AF531" i="30"/>
  <c r="AG531" i="30"/>
  <c r="AH531" i="30"/>
  <c r="AI539" i="30"/>
  <c r="AJ539" i="30"/>
  <c r="AK539" i="30"/>
  <c r="AL539" i="30"/>
  <c r="AM539" i="30"/>
  <c r="AN539" i="30"/>
  <c r="AO539" i="30"/>
  <c r="AP539" i="30"/>
  <c r="AQ539" i="30"/>
  <c r="AV539" i="30"/>
  <c r="BA539" i="30"/>
  <c r="A1562" i="1"/>
  <c r="A531" i="30" s="1"/>
  <c r="B1562" i="1"/>
  <c r="BB1562" i="1" s="1"/>
  <c r="BB531" i="30" s="1"/>
  <c r="A1563" i="1"/>
  <c r="A532" i="30" s="1"/>
  <c r="B1563" i="1"/>
  <c r="BC1563" i="1" s="1"/>
  <c r="BC532" i="30" s="1"/>
  <c r="A1564" i="1"/>
  <c r="A533" i="30" s="1"/>
  <c r="B1564" i="1"/>
  <c r="B533" i="30" s="1"/>
  <c r="A1565" i="1"/>
  <c r="A534" i="30" s="1"/>
  <c r="B1565" i="1"/>
  <c r="BD1565" i="1" s="1"/>
  <c r="BD534" i="30" s="1"/>
  <c r="A1566" i="1"/>
  <c r="A535" i="30" s="1"/>
  <c r="B1566" i="1"/>
  <c r="BC1566" i="1" s="1"/>
  <c r="BC535" i="30" s="1"/>
  <c r="A1567" i="1"/>
  <c r="A536" i="30" s="1"/>
  <c r="B1567" i="1"/>
  <c r="BB1567" i="1" s="1"/>
  <c r="BB536" i="30" s="1"/>
  <c r="A1568" i="1"/>
  <c r="A537" i="30" s="1"/>
  <c r="B1568" i="1"/>
  <c r="B537" i="30" s="1"/>
  <c r="A1569" i="1"/>
  <c r="A538" i="30" s="1"/>
  <c r="B1569" i="1"/>
  <c r="BD1569" i="1" s="1"/>
  <c r="BD538" i="30" s="1"/>
  <c r="A1570" i="1"/>
  <c r="A539" i="30" s="1"/>
  <c r="B1570" i="1"/>
  <c r="BC1570" i="1" s="1"/>
  <c r="BC539" i="30" s="1"/>
  <c r="B1561" i="1"/>
  <c r="BD1561" i="1" s="1"/>
  <c r="BD530" i="30" s="1"/>
  <c r="A1561" i="1"/>
  <c r="A530" i="30" s="1"/>
  <c r="BD635" i="1"/>
  <c r="BC635" i="1"/>
  <c r="BB635" i="1"/>
  <c r="BB632" i="1"/>
  <c r="BC632" i="1"/>
  <c r="BD632" i="1"/>
  <c r="BB633" i="1"/>
  <c r="BC633" i="1"/>
  <c r="BD633" i="1"/>
  <c r="AK525" i="30"/>
  <c r="BB1628" i="1"/>
  <c r="BC1628" i="1"/>
  <c r="BD1628" i="1"/>
  <c r="BB1631" i="1"/>
  <c r="BC1631" i="1"/>
  <c r="BD1631" i="1"/>
  <c r="BC1569" i="1" l="1"/>
  <c r="BC538" i="30" s="1"/>
  <c r="BB1566" i="1"/>
  <c r="BB535" i="30" s="1"/>
  <c r="BB1564" i="1"/>
  <c r="BB533" i="30" s="1"/>
  <c r="BD1564" i="1"/>
  <c r="BD533" i="30" s="1"/>
  <c r="BB1565" i="1"/>
  <c r="BB534" i="30" s="1"/>
  <c r="BC1564" i="1"/>
  <c r="BC533" i="30" s="1"/>
  <c r="BD1568" i="1"/>
  <c r="BD537" i="30" s="1"/>
  <c r="B539" i="30"/>
  <c r="BB1570" i="1"/>
  <c r="BB539" i="30" s="1"/>
  <c r="BB1569" i="1"/>
  <c r="BB538" i="30" s="1"/>
  <c r="BC1568" i="1"/>
  <c r="BC537" i="30" s="1"/>
  <c r="B536" i="30"/>
  <c r="B532" i="30"/>
  <c r="BB1568" i="1"/>
  <c r="BB537" i="30" s="1"/>
  <c r="BC1565" i="1"/>
  <c r="BC534" i="30" s="1"/>
  <c r="B538" i="30"/>
  <c r="B534" i="30"/>
  <c r="B530" i="30"/>
  <c r="B535" i="30"/>
  <c r="B531" i="30"/>
  <c r="BD1567" i="1"/>
  <c r="BD536" i="30" s="1"/>
  <c r="BD1563" i="1"/>
  <c r="BD532" i="30" s="1"/>
  <c r="BD1570" i="1"/>
  <c r="BD539" i="30" s="1"/>
  <c r="BC1567" i="1"/>
  <c r="BC536" i="30" s="1"/>
  <c r="BD1566" i="1"/>
  <c r="BD535" i="30" s="1"/>
  <c r="BD1562" i="1"/>
  <c r="BD531" i="30" s="1"/>
  <c r="BB1563" i="1"/>
  <c r="BB532" i="30" s="1"/>
  <c r="BC1562" i="1"/>
  <c r="BC531" i="30" s="1"/>
  <c r="BB1561" i="1"/>
  <c r="BB530" i="30" s="1"/>
  <c r="BC1561" i="1"/>
  <c r="BC530" i="30" s="1"/>
  <c r="B2237" i="1" l="1"/>
  <c r="BD2237" i="1" s="1"/>
  <c r="A2237" i="1"/>
  <c r="BB2237" i="1" l="1"/>
  <c r="BC2237" i="1"/>
  <c r="F806" i="30"/>
  <c r="BA792" i="30"/>
  <c r="AV792" i="30"/>
  <c r="AQ792" i="30"/>
  <c r="AP792" i="30"/>
  <c r="AO792" i="30"/>
  <c r="AN792" i="30"/>
  <c r="AM792" i="30"/>
  <c r="AL792" i="30"/>
  <c r="AK792" i="30"/>
  <c r="AJ792" i="30"/>
  <c r="AI792" i="30"/>
  <c r="AH792" i="30"/>
  <c r="AG792" i="30"/>
  <c r="AF792" i="30"/>
  <c r="AE792" i="30"/>
  <c r="AD792" i="30"/>
  <c r="AC792" i="30"/>
  <c r="AB792" i="30"/>
  <c r="AA792" i="30"/>
  <c r="Z792" i="30"/>
  <c r="Y792" i="30"/>
  <c r="X792" i="30"/>
  <c r="W792" i="30"/>
  <c r="V792" i="30"/>
  <c r="U792" i="30"/>
  <c r="T792" i="30"/>
  <c r="S792" i="30"/>
  <c r="R792" i="30"/>
  <c r="Q792" i="30"/>
  <c r="P792" i="30"/>
  <c r="O792" i="30"/>
  <c r="N792" i="30"/>
  <c r="M792" i="30"/>
  <c r="L792" i="30"/>
  <c r="K792" i="30"/>
  <c r="J792" i="30"/>
  <c r="I792" i="30"/>
  <c r="H792" i="30"/>
  <c r="G792" i="30"/>
  <c r="F792" i="30"/>
  <c r="D792" i="30"/>
  <c r="C792" i="30"/>
  <c r="B792" i="30"/>
  <c r="A792" i="30"/>
  <c r="BA791" i="30"/>
  <c r="AV791" i="30"/>
  <c r="AQ791" i="30"/>
  <c r="AP791" i="30"/>
  <c r="AO791" i="30"/>
  <c r="AN791" i="30"/>
  <c r="AM791" i="30"/>
  <c r="AL791" i="30"/>
  <c r="AK791" i="30"/>
  <c r="AJ791" i="30"/>
  <c r="AI791" i="30"/>
  <c r="AH791" i="30"/>
  <c r="AG791" i="30"/>
  <c r="AF791" i="30"/>
  <c r="AE791" i="30"/>
  <c r="AD791" i="30"/>
  <c r="AC791" i="30"/>
  <c r="AB791" i="30"/>
  <c r="AA791" i="30"/>
  <c r="Z791" i="30"/>
  <c r="Y791" i="30"/>
  <c r="X791" i="30"/>
  <c r="W791" i="30"/>
  <c r="V791" i="30"/>
  <c r="U791" i="30"/>
  <c r="T791" i="30"/>
  <c r="S791" i="30"/>
  <c r="R791" i="30"/>
  <c r="Q791" i="30"/>
  <c r="P791" i="30"/>
  <c r="O791" i="30"/>
  <c r="N791" i="30"/>
  <c r="M791" i="30"/>
  <c r="L791" i="30"/>
  <c r="K791" i="30"/>
  <c r="J791" i="30"/>
  <c r="I791" i="30"/>
  <c r="H791" i="30"/>
  <c r="G791" i="30"/>
  <c r="F791" i="30"/>
  <c r="D791" i="30"/>
  <c r="C791" i="30"/>
  <c r="B791" i="30"/>
  <c r="A791" i="30"/>
  <c r="BA790" i="30"/>
  <c r="AV790" i="30"/>
  <c r="AQ790" i="30"/>
  <c r="AP790" i="30"/>
  <c r="AO790" i="30"/>
  <c r="AN790" i="30"/>
  <c r="AM790" i="30"/>
  <c r="AL790" i="30"/>
  <c r="AK790" i="30"/>
  <c r="AJ790" i="30"/>
  <c r="AI790" i="30"/>
  <c r="AH790" i="30"/>
  <c r="AG790" i="30"/>
  <c r="AF790" i="30"/>
  <c r="AE790" i="30"/>
  <c r="AD790" i="30"/>
  <c r="AC790" i="30"/>
  <c r="AB790" i="30"/>
  <c r="AA790" i="30"/>
  <c r="Z790" i="30"/>
  <c r="Y790" i="30"/>
  <c r="X790" i="30"/>
  <c r="W790" i="30"/>
  <c r="V790" i="30"/>
  <c r="U790" i="30"/>
  <c r="T790" i="30"/>
  <c r="S790" i="30"/>
  <c r="R790" i="30"/>
  <c r="Q790" i="30"/>
  <c r="P790" i="30"/>
  <c r="O790" i="30"/>
  <c r="N790" i="30"/>
  <c r="M790" i="30"/>
  <c r="L790" i="30"/>
  <c r="K790" i="30"/>
  <c r="J790" i="30"/>
  <c r="I790" i="30"/>
  <c r="H790" i="30"/>
  <c r="G790" i="30"/>
  <c r="F790" i="30"/>
  <c r="D790" i="30"/>
  <c r="C790" i="30"/>
  <c r="BA789" i="30"/>
  <c r="AV789" i="30"/>
  <c r="AQ789" i="30"/>
  <c r="AP789" i="30"/>
  <c r="AO789" i="30"/>
  <c r="AN789" i="30"/>
  <c r="AM789" i="30"/>
  <c r="AL789" i="30"/>
  <c r="AK789" i="30"/>
  <c r="AJ789" i="30"/>
  <c r="AI789" i="30"/>
  <c r="AH789" i="30"/>
  <c r="AG789" i="30"/>
  <c r="AF789" i="30"/>
  <c r="AE789" i="30"/>
  <c r="AD789" i="30"/>
  <c r="AC789" i="30"/>
  <c r="AB789" i="30"/>
  <c r="AA789" i="30"/>
  <c r="Z789" i="30"/>
  <c r="Y789" i="30"/>
  <c r="X789" i="30"/>
  <c r="W789" i="30"/>
  <c r="V789" i="30"/>
  <c r="U789" i="30"/>
  <c r="T789" i="30"/>
  <c r="S789" i="30"/>
  <c r="R789" i="30"/>
  <c r="Q789" i="30"/>
  <c r="P789" i="30"/>
  <c r="O789" i="30"/>
  <c r="N789" i="30"/>
  <c r="M789" i="30"/>
  <c r="L789" i="30"/>
  <c r="K789" i="30"/>
  <c r="J789" i="30"/>
  <c r="I789" i="30"/>
  <c r="H789" i="30"/>
  <c r="G789" i="30"/>
  <c r="F789" i="30"/>
  <c r="D789" i="30"/>
  <c r="C789" i="30"/>
  <c r="BA788" i="30"/>
  <c r="AV788" i="30"/>
  <c r="AQ788" i="30"/>
  <c r="AP788" i="30"/>
  <c r="AO788" i="30"/>
  <c r="AN788" i="30"/>
  <c r="AM788" i="30"/>
  <c r="AK788" i="30"/>
  <c r="AJ788" i="30"/>
  <c r="AI788" i="30"/>
  <c r="AH788" i="30"/>
  <c r="AG788" i="30"/>
  <c r="AF788" i="30"/>
  <c r="AE788" i="30"/>
  <c r="AD788" i="30"/>
  <c r="AC788" i="30"/>
  <c r="AB788" i="30"/>
  <c r="AA788" i="30"/>
  <c r="Z788" i="30"/>
  <c r="Y788" i="30"/>
  <c r="X788" i="30"/>
  <c r="W788" i="30"/>
  <c r="V788" i="30"/>
  <c r="U788" i="30"/>
  <c r="T788" i="30"/>
  <c r="S788" i="30"/>
  <c r="R788" i="30"/>
  <c r="Q788" i="30"/>
  <c r="P788" i="30"/>
  <c r="O788" i="30"/>
  <c r="N788" i="30"/>
  <c r="M788" i="30"/>
  <c r="L788" i="30"/>
  <c r="K788" i="30"/>
  <c r="J788" i="30"/>
  <c r="I788" i="30"/>
  <c r="H788" i="30"/>
  <c r="G788" i="30"/>
  <c r="F788" i="30"/>
  <c r="D788" i="30"/>
  <c r="C788" i="30"/>
  <c r="BA787" i="30"/>
  <c r="AV787" i="30"/>
  <c r="AQ787" i="30"/>
  <c r="AP787" i="30"/>
  <c r="AO787" i="30"/>
  <c r="AN787" i="30"/>
  <c r="AM787" i="30"/>
  <c r="AK787" i="30"/>
  <c r="V787" i="30"/>
  <c r="S787" i="30"/>
  <c r="J787" i="30"/>
  <c r="I787" i="30"/>
  <c r="H787" i="30"/>
  <c r="G787" i="30"/>
  <c r="F787" i="30"/>
  <c r="D787" i="30"/>
  <c r="C787" i="30"/>
  <c r="BA786" i="30"/>
  <c r="AV786" i="30"/>
  <c r="AQ786" i="30"/>
  <c r="AP786" i="30"/>
  <c r="AO786" i="30"/>
  <c r="AN786" i="30"/>
  <c r="AM786" i="30"/>
  <c r="AK786" i="30"/>
  <c r="V786" i="30"/>
  <c r="S786" i="30"/>
  <c r="J786" i="30"/>
  <c r="I786" i="30"/>
  <c r="H786" i="30"/>
  <c r="G786" i="30"/>
  <c r="F786" i="30"/>
  <c r="D786" i="30"/>
  <c r="C786" i="30"/>
  <c r="BA785" i="30"/>
  <c r="AV785" i="30"/>
  <c r="AQ785" i="30"/>
  <c r="AP785" i="30"/>
  <c r="AO785" i="30"/>
  <c r="AN785" i="30"/>
  <c r="AM785" i="30"/>
  <c r="AK785" i="30"/>
  <c r="V785" i="30"/>
  <c r="S785" i="30"/>
  <c r="J785" i="30"/>
  <c r="I785" i="30"/>
  <c r="H785" i="30"/>
  <c r="G785" i="30"/>
  <c r="F785" i="30"/>
  <c r="D785" i="30"/>
  <c r="C785" i="30"/>
  <c r="BA784" i="30"/>
  <c r="AV784" i="30"/>
  <c r="AQ784" i="30"/>
  <c r="AP784" i="30"/>
  <c r="AO784" i="30"/>
  <c r="AN784" i="30"/>
  <c r="AM784" i="30"/>
  <c r="AK784" i="30"/>
  <c r="AJ784" i="30"/>
  <c r="AI784" i="30"/>
  <c r="AH784" i="30"/>
  <c r="AG784" i="30"/>
  <c r="AF784" i="30"/>
  <c r="AE784" i="30"/>
  <c r="AD784" i="30"/>
  <c r="AC784" i="30"/>
  <c r="AB784" i="30"/>
  <c r="AA784" i="30"/>
  <c r="Z784" i="30"/>
  <c r="Y784" i="30"/>
  <c r="X784" i="30"/>
  <c r="W784" i="30"/>
  <c r="V784" i="30"/>
  <c r="U784" i="30"/>
  <c r="T784" i="30"/>
  <c r="S784" i="30"/>
  <c r="R784" i="30"/>
  <c r="Q784" i="30"/>
  <c r="P784" i="30"/>
  <c r="O784" i="30"/>
  <c r="N784" i="30"/>
  <c r="M784" i="30"/>
  <c r="L784" i="30"/>
  <c r="K784" i="30"/>
  <c r="J784" i="30"/>
  <c r="I784" i="30"/>
  <c r="H784" i="30"/>
  <c r="G784" i="30"/>
  <c r="F784" i="30"/>
  <c r="D784" i="30"/>
  <c r="C784" i="30"/>
  <c r="BA783" i="30"/>
  <c r="AV783" i="30"/>
  <c r="AQ783" i="30"/>
  <c r="AP783" i="30"/>
  <c r="AO783" i="30"/>
  <c r="AN783" i="30"/>
  <c r="AM783" i="30"/>
  <c r="AL783" i="30"/>
  <c r="AK783" i="30"/>
  <c r="AJ783" i="30"/>
  <c r="AI783" i="30"/>
  <c r="AH783" i="30"/>
  <c r="AG783" i="30"/>
  <c r="AF783" i="30"/>
  <c r="AE783" i="30"/>
  <c r="AD783" i="30"/>
  <c r="AC783" i="30"/>
  <c r="AB783" i="30"/>
  <c r="AA783" i="30"/>
  <c r="Z783" i="30"/>
  <c r="Y783" i="30"/>
  <c r="X783" i="30"/>
  <c r="W783" i="30"/>
  <c r="V783" i="30"/>
  <c r="U783" i="30"/>
  <c r="T783" i="30"/>
  <c r="S783" i="30"/>
  <c r="R783" i="30"/>
  <c r="Q783" i="30"/>
  <c r="P783" i="30"/>
  <c r="O783" i="30"/>
  <c r="N783" i="30"/>
  <c r="M783" i="30"/>
  <c r="L783" i="30"/>
  <c r="K783" i="30"/>
  <c r="J783" i="30"/>
  <c r="I783" i="30"/>
  <c r="H783" i="30"/>
  <c r="G783" i="30"/>
  <c r="F783" i="30"/>
  <c r="D783" i="30"/>
  <c r="C783" i="30"/>
  <c r="BA782" i="30"/>
  <c r="AV782" i="30"/>
  <c r="AQ782" i="30"/>
  <c r="AP782" i="30"/>
  <c r="AO782" i="30"/>
  <c r="AN782" i="30"/>
  <c r="AM782" i="30"/>
  <c r="AL782" i="30"/>
  <c r="AK782" i="30"/>
  <c r="AJ782" i="30"/>
  <c r="AI782" i="30"/>
  <c r="AH782" i="30"/>
  <c r="AG782" i="30"/>
  <c r="AF782" i="30"/>
  <c r="AE782" i="30"/>
  <c r="AD782" i="30"/>
  <c r="AC782" i="30"/>
  <c r="AB782" i="30"/>
  <c r="AA782" i="30"/>
  <c r="Z782" i="30"/>
  <c r="Y782" i="30"/>
  <c r="X782" i="30"/>
  <c r="W782" i="30"/>
  <c r="V782" i="30"/>
  <c r="U782" i="30"/>
  <c r="T782" i="30"/>
  <c r="S782" i="30"/>
  <c r="R782" i="30"/>
  <c r="Q782" i="30"/>
  <c r="P782" i="30"/>
  <c r="O782" i="30"/>
  <c r="N782" i="30"/>
  <c r="M782" i="30"/>
  <c r="L782" i="30"/>
  <c r="K782" i="30"/>
  <c r="J782" i="30"/>
  <c r="I782" i="30"/>
  <c r="H782" i="30"/>
  <c r="G782" i="30"/>
  <c r="F782" i="30"/>
  <c r="D782" i="30"/>
  <c r="C782" i="30"/>
  <c r="B782" i="30"/>
  <c r="A782" i="30"/>
  <c r="BA781" i="30"/>
  <c r="AV781" i="30"/>
  <c r="AQ781" i="30"/>
  <c r="AP781" i="30"/>
  <c r="AO781" i="30"/>
  <c r="AN781" i="30"/>
  <c r="AM781" i="30"/>
  <c r="AL781" i="30"/>
  <c r="AK781" i="30"/>
  <c r="AI781" i="30"/>
  <c r="AH781" i="30"/>
  <c r="AG781" i="30"/>
  <c r="AF781" i="30"/>
  <c r="AE781" i="30"/>
  <c r="AD781" i="30"/>
  <c r="AC781" i="30"/>
  <c r="AB781" i="30"/>
  <c r="AA781" i="30"/>
  <c r="Z781" i="30"/>
  <c r="Y781" i="30"/>
  <c r="X781" i="30"/>
  <c r="W781" i="30"/>
  <c r="V781" i="30"/>
  <c r="U781" i="30"/>
  <c r="T781" i="30"/>
  <c r="S781" i="30"/>
  <c r="R781" i="30"/>
  <c r="Q781" i="30"/>
  <c r="P781" i="30"/>
  <c r="O781" i="30"/>
  <c r="N781" i="30"/>
  <c r="M781" i="30"/>
  <c r="L781" i="30"/>
  <c r="K781" i="30"/>
  <c r="J781" i="30"/>
  <c r="I781" i="30"/>
  <c r="H781" i="30"/>
  <c r="G781" i="30"/>
  <c r="F781" i="30"/>
  <c r="D781" i="30"/>
  <c r="C781" i="30"/>
  <c r="B781" i="30"/>
  <c r="BA780" i="30"/>
  <c r="AV780" i="30"/>
  <c r="AQ780" i="30"/>
  <c r="AP780" i="30"/>
  <c r="AO780" i="30"/>
  <c r="AN780" i="30"/>
  <c r="AM780" i="30"/>
  <c r="AL780" i="30"/>
  <c r="AK780" i="30"/>
  <c r="AJ780" i="30"/>
  <c r="AI780" i="30"/>
  <c r="AH780" i="30"/>
  <c r="AG780" i="30"/>
  <c r="AE780" i="30"/>
  <c r="AD780" i="30"/>
  <c r="AC780" i="30"/>
  <c r="AB780" i="30"/>
  <c r="AA780" i="30"/>
  <c r="Z780" i="30"/>
  <c r="Y780" i="30"/>
  <c r="X780" i="30"/>
  <c r="W780" i="30"/>
  <c r="V780" i="30"/>
  <c r="T780" i="30"/>
  <c r="S780" i="30"/>
  <c r="R780" i="30"/>
  <c r="Q780" i="30"/>
  <c r="P780" i="30"/>
  <c r="O780" i="30"/>
  <c r="N780" i="30"/>
  <c r="M780" i="30"/>
  <c r="L780" i="30"/>
  <c r="K780" i="30"/>
  <c r="J780" i="30"/>
  <c r="I780" i="30"/>
  <c r="H780" i="30"/>
  <c r="G780" i="30"/>
  <c r="F780" i="30"/>
  <c r="D780" i="30"/>
  <c r="C780" i="30"/>
  <c r="BA779" i="30"/>
  <c r="AV779" i="30"/>
  <c r="AQ779" i="30"/>
  <c r="AP779" i="30"/>
  <c r="AO779" i="30"/>
  <c r="AN779" i="30"/>
  <c r="AM779" i="30"/>
  <c r="AL779" i="30"/>
  <c r="AK779" i="30"/>
  <c r="V779" i="30"/>
  <c r="S779" i="30"/>
  <c r="K779" i="30"/>
  <c r="J779" i="30"/>
  <c r="I779" i="30"/>
  <c r="H779" i="30"/>
  <c r="G779" i="30"/>
  <c r="F779" i="30"/>
  <c r="D779" i="30"/>
  <c r="C779" i="30"/>
  <c r="BA778" i="30"/>
  <c r="AV778" i="30"/>
  <c r="AQ778" i="30"/>
  <c r="AP778" i="30"/>
  <c r="AO778" i="30"/>
  <c r="AN778" i="30"/>
  <c r="AM778" i="30"/>
  <c r="AL778" i="30"/>
  <c r="AK778" i="30"/>
  <c r="V778" i="30"/>
  <c r="T778" i="30"/>
  <c r="S778" i="30"/>
  <c r="R778" i="30"/>
  <c r="Q778" i="30"/>
  <c r="P778" i="30"/>
  <c r="O778" i="30"/>
  <c r="N778" i="30"/>
  <c r="M778" i="30"/>
  <c r="L778" i="30"/>
  <c r="K778" i="30"/>
  <c r="J778" i="30"/>
  <c r="I778" i="30"/>
  <c r="H778" i="30"/>
  <c r="G778" i="30"/>
  <c r="F778" i="30"/>
  <c r="D778" i="30"/>
  <c r="C778" i="30"/>
  <c r="BA777" i="30"/>
  <c r="AV777" i="30"/>
  <c r="AQ777" i="30"/>
  <c r="AP777" i="30"/>
  <c r="AO777" i="30"/>
  <c r="AN777" i="30"/>
  <c r="AM777" i="30"/>
  <c r="AL777" i="30"/>
  <c r="AK777" i="30"/>
  <c r="V777" i="30"/>
  <c r="T777" i="30"/>
  <c r="S777" i="30"/>
  <c r="R777" i="30"/>
  <c r="Q777" i="30"/>
  <c r="P777" i="30"/>
  <c r="O777" i="30"/>
  <c r="N777" i="30"/>
  <c r="M777" i="30"/>
  <c r="L777" i="30"/>
  <c r="K777" i="30"/>
  <c r="J777" i="30"/>
  <c r="I777" i="30"/>
  <c r="H777" i="30"/>
  <c r="G777" i="30"/>
  <c r="F777" i="30"/>
  <c r="D777" i="30"/>
  <c r="C777" i="30"/>
  <c r="BA776" i="30"/>
  <c r="AV776" i="30"/>
  <c r="AQ776" i="30"/>
  <c r="AP776" i="30"/>
  <c r="AO776" i="30"/>
  <c r="AN776" i="30"/>
  <c r="AM776" i="30"/>
  <c r="AL776" i="30"/>
  <c r="AK776" i="30"/>
  <c r="V776" i="30"/>
  <c r="S776" i="30"/>
  <c r="K776" i="30"/>
  <c r="J776" i="30"/>
  <c r="I776" i="30"/>
  <c r="H776" i="30"/>
  <c r="G776" i="30"/>
  <c r="F776" i="30"/>
  <c r="D776" i="30"/>
  <c r="C776" i="30"/>
  <c r="BA775" i="30"/>
  <c r="AV775" i="30"/>
  <c r="AQ775" i="30"/>
  <c r="AP775" i="30"/>
  <c r="AO775" i="30"/>
  <c r="AN775" i="30"/>
  <c r="AM775" i="30"/>
  <c r="AL775" i="30"/>
  <c r="AK775" i="30"/>
  <c r="AI775" i="30"/>
  <c r="AH775" i="30"/>
  <c r="AG775" i="30"/>
  <c r="AF775" i="30"/>
  <c r="AE775" i="30"/>
  <c r="AD775" i="30"/>
  <c r="AC775" i="30"/>
  <c r="AB775" i="30"/>
  <c r="AA775" i="30"/>
  <c r="Z775" i="30"/>
  <c r="Y775" i="30"/>
  <c r="X775" i="30"/>
  <c r="W775" i="30"/>
  <c r="V775" i="30"/>
  <c r="U775" i="30"/>
  <c r="T775" i="30"/>
  <c r="S775" i="30"/>
  <c r="R775" i="30"/>
  <c r="Q775" i="30"/>
  <c r="P775" i="30"/>
  <c r="O775" i="30"/>
  <c r="N775" i="30"/>
  <c r="M775" i="30"/>
  <c r="L775" i="30"/>
  <c r="K775" i="30"/>
  <c r="J775" i="30"/>
  <c r="I775" i="30"/>
  <c r="H775" i="30"/>
  <c r="G775" i="30"/>
  <c r="F775" i="30"/>
  <c r="D775" i="30"/>
  <c r="C775" i="30"/>
  <c r="B775" i="30"/>
  <c r="BA774" i="30"/>
  <c r="AV774" i="30"/>
  <c r="AQ774" i="30"/>
  <c r="AP774" i="30"/>
  <c r="AO774" i="30"/>
  <c r="AN774" i="30"/>
  <c r="AM774" i="30"/>
  <c r="AL774" i="30"/>
  <c r="AK774" i="30"/>
  <c r="AI774" i="30"/>
  <c r="AH774" i="30"/>
  <c r="AG774" i="30"/>
  <c r="AF774" i="30"/>
  <c r="AE774" i="30"/>
  <c r="AD774" i="30"/>
  <c r="AC774" i="30"/>
  <c r="AB774" i="30"/>
  <c r="AA774" i="30"/>
  <c r="Z774" i="30"/>
  <c r="Y774" i="30"/>
  <c r="X774" i="30"/>
  <c r="W774" i="30"/>
  <c r="V774" i="30"/>
  <c r="U774" i="30"/>
  <c r="T774" i="30"/>
  <c r="S774" i="30"/>
  <c r="R774" i="30"/>
  <c r="Q774" i="30"/>
  <c r="P774" i="30"/>
  <c r="O774" i="30"/>
  <c r="N774" i="30"/>
  <c r="M774" i="30"/>
  <c r="L774" i="30"/>
  <c r="K774" i="30"/>
  <c r="J774" i="30"/>
  <c r="I774" i="30"/>
  <c r="H774" i="30"/>
  <c r="G774" i="30"/>
  <c r="F774" i="30"/>
  <c r="D774" i="30"/>
  <c r="C774" i="30"/>
  <c r="B774" i="30"/>
  <c r="BA773" i="30"/>
  <c r="AV773" i="30"/>
  <c r="AQ773" i="30"/>
  <c r="AP773" i="30"/>
  <c r="AO773" i="30"/>
  <c r="AN773" i="30"/>
  <c r="AM773" i="30"/>
  <c r="AL773" i="30"/>
  <c r="AK773" i="30"/>
  <c r="AI773" i="30"/>
  <c r="AH773" i="30"/>
  <c r="AG773" i="30"/>
  <c r="AF773" i="30"/>
  <c r="AE773" i="30"/>
  <c r="AD773" i="30"/>
  <c r="AC773" i="30"/>
  <c r="AB773" i="30"/>
  <c r="AA773" i="30"/>
  <c r="Z773" i="30"/>
  <c r="Y773" i="30"/>
  <c r="X773" i="30"/>
  <c r="W773" i="30"/>
  <c r="V773" i="30"/>
  <c r="U773" i="30"/>
  <c r="T773" i="30"/>
  <c r="S773" i="30"/>
  <c r="R773" i="30"/>
  <c r="Q773" i="30"/>
  <c r="P773" i="30"/>
  <c r="O773" i="30"/>
  <c r="N773" i="30"/>
  <c r="M773" i="30"/>
  <c r="L773" i="30"/>
  <c r="K773" i="30"/>
  <c r="J773" i="30"/>
  <c r="I773" i="30"/>
  <c r="H773" i="30"/>
  <c r="G773" i="30"/>
  <c r="F773" i="30"/>
  <c r="D773" i="30"/>
  <c r="C773" i="30"/>
  <c r="B773" i="30"/>
  <c r="BA771" i="30"/>
  <c r="AV771" i="30"/>
  <c r="AQ771" i="30"/>
  <c r="AP771" i="30"/>
  <c r="AO771" i="30"/>
  <c r="AN771" i="30"/>
  <c r="AM771" i="30"/>
  <c r="AL771" i="30"/>
  <c r="AK771" i="30"/>
  <c r="AJ771" i="30"/>
  <c r="AI771" i="30"/>
  <c r="AH771" i="30"/>
  <c r="AG771" i="30"/>
  <c r="AF771" i="30"/>
  <c r="AE771" i="30"/>
  <c r="AD771" i="30"/>
  <c r="AC771" i="30"/>
  <c r="AB771" i="30"/>
  <c r="AA771" i="30"/>
  <c r="Z771" i="30"/>
  <c r="Y771" i="30"/>
  <c r="X771" i="30"/>
  <c r="W771" i="30"/>
  <c r="V771" i="30"/>
  <c r="U771" i="30"/>
  <c r="T771" i="30"/>
  <c r="S771" i="30"/>
  <c r="R771" i="30"/>
  <c r="Q771" i="30"/>
  <c r="P771" i="30"/>
  <c r="O771" i="30"/>
  <c r="N771" i="30"/>
  <c r="M771" i="30"/>
  <c r="L771" i="30"/>
  <c r="K771" i="30"/>
  <c r="J771" i="30"/>
  <c r="I771" i="30"/>
  <c r="H771" i="30"/>
  <c r="G771" i="30"/>
  <c r="F771" i="30"/>
  <c r="D771" i="30"/>
  <c r="C771" i="30"/>
  <c r="B771" i="30"/>
  <c r="BA770" i="30"/>
  <c r="AV770" i="30"/>
  <c r="AQ770" i="30"/>
  <c r="AP770" i="30"/>
  <c r="AO770" i="30"/>
  <c r="AN770" i="30"/>
  <c r="AM770" i="30"/>
  <c r="AL770" i="30"/>
  <c r="AK770" i="30"/>
  <c r="AI770" i="30"/>
  <c r="AH770" i="30"/>
  <c r="AG770" i="30"/>
  <c r="AF770" i="30"/>
  <c r="AE770" i="30"/>
  <c r="AD770" i="30"/>
  <c r="AC770" i="30"/>
  <c r="AB770" i="30"/>
  <c r="AA770" i="30"/>
  <c r="Z770" i="30"/>
  <c r="Y770" i="30"/>
  <c r="X770" i="30"/>
  <c r="W770" i="30"/>
  <c r="V770" i="30"/>
  <c r="U770" i="30"/>
  <c r="T770" i="30"/>
  <c r="S770" i="30"/>
  <c r="R770" i="30"/>
  <c r="Q770" i="30"/>
  <c r="P770" i="30"/>
  <c r="O770" i="30"/>
  <c r="N770" i="30"/>
  <c r="M770" i="30"/>
  <c r="L770" i="30"/>
  <c r="K770" i="30"/>
  <c r="J770" i="30"/>
  <c r="I770" i="30"/>
  <c r="H770" i="30"/>
  <c r="G770" i="30"/>
  <c r="F770" i="30"/>
  <c r="D770" i="30"/>
  <c r="C770" i="30"/>
  <c r="B770" i="30"/>
  <c r="BA769" i="30"/>
  <c r="AV769" i="30"/>
  <c r="AQ769" i="30"/>
  <c r="AP769" i="30"/>
  <c r="AO769" i="30"/>
  <c r="AN769" i="30"/>
  <c r="AM769" i="30"/>
  <c r="AL769" i="30"/>
  <c r="AK769" i="30"/>
  <c r="AJ769" i="30"/>
  <c r="AI769" i="30"/>
  <c r="AH769" i="30"/>
  <c r="AG769" i="30"/>
  <c r="AF769" i="30"/>
  <c r="AE769" i="30"/>
  <c r="AD769" i="30"/>
  <c r="AC769" i="30"/>
  <c r="AB769" i="30"/>
  <c r="AA769" i="30"/>
  <c r="Z769" i="30"/>
  <c r="Y769" i="30"/>
  <c r="X769" i="30"/>
  <c r="W769" i="30"/>
  <c r="V769" i="30"/>
  <c r="U769" i="30"/>
  <c r="T769" i="30"/>
  <c r="S769" i="30"/>
  <c r="R769" i="30"/>
  <c r="Q769" i="30"/>
  <c r="P769" i="30"/>
  <c r="O769" i="30"/>
  <c r="N769" i="30"/>
  <c r="M769" i="30"/>
  <c r="L769" i="30"/>
  <c r="K769" i="30"/>
  <c r="J769" i="30"/>
  <c r="I769" i="30"/>
  <c r="H769" i="30"/>
  <c r="G769" i="30"/>
  <c r="F769" i="30"/>
  <c r="D769" i="30"/>
  <c r="C769" i="30"/>
  <c r="B769" i="30"/>
  <c r="BA768" i="30"/>
  <c r="AV768" i="30"/>
  <c r="AQ768" i="30"/>
  <c r="AP768" i="30"/>
  <c r="AO768" i="30"/>
  <c r="AN768" i="30"/>
  <c r="AM768" i="30"/>
  <c r="AL768" i="30"/>
  <c r="AK768" i="30"/>
  <c r="AJ768" i="30"/>
  <c r="AI768" i="30"/>
  <c r="AH768" i="30"/>
  <c r="AG768" i="30"/>
  <c r="AF768" i="30"/>
  <c r="AE768" i="30"/>
  <c r="AD768" i="30"/>
  <c r="AC768" i="30"/>
  <c r="AB768" i="30"/>
  <c r="AA768" i="30"/>
  <c r="Z768" i="30"/>
  <c r="Y768" i="30"/>
  <c r="X768" i="30"/>
  <c r="W768" i="30"/>
  <c r="V768" i="30"/>
  <c r="U768" i="30"/>
  <c r="T768" i="30"/>
  <c r="S768" i="30"/>
  <c r="R768" i="30"/>
  <c r="Q768" i="30"/>
  <c r="P768" i="30"/>
  <c r="O768" i="30"/>
  <c r="N768" i="30"/>
  <c r="M768" i="30"/>
  <c r="L768" i="30"/>
  <c r="K768" i="30"/>
  <c r="J768" i="30"/>
  <c r="I768" i="30"/>
  <c r="H768" i="30"/>
  <c r="G768" i="30"/>
  <c r="F768" i="30"/>
  <c r="D768" i="30"/>
  <c r="C768" i="30"/>
  <c r="B768" i="30"/>
  <c r="BA761" i="30"/>
  <c r="AV761" i="30"/>
  <c r="AQ761" i="30"/>
  <c r="AP761" i="30"/>
  <c r="AO761" i="30"/>
  <c r="AN761" i="30"/>
  <c r="AM761" i="30"/>
  <c r="AL761" i="30"/>
  <c r="AK761" i="30"/>
  <c r="AI761" i="30"/>
  <c r="AH761" i="30"/>
  <c r="AG761" i="30"/>
  <c r="AF761" i="30"/>
  <c r="AE761" i="30"/>
  <c r="AD761" i="30"/>
  <c r="AC761" i="30"/>
  <c r="AB761" i="30"/>
  <c r="AA761" i="30"/>
  <c r="Z761" i="30"/>
  <c r="Y761" i="30"/>
  <c r="X761" i="30"/>
  <c r="W761" i="30"/>
  <c r="V761" i="30"/>
  <c r="U761" i="30"/>
  <c r="T761" i="30"/>
  <c r="S761" i="30"/>
  <c r="R761" i="30"/>
  <c r="Q761" i="30"/>
  <c r="P761" i="30"/>
  <c r="O761" i="30"/>
  <c r="N761" i="30"/>
  <c r="M761" i="30"/>
  <c r="L761" i="30"/>
  <c r="K761" i="30"/>
  <c r="J761" i="30"/>
  <c r="I761" i="30"/>
  <c r="H761" i="30"/>
  <c r="G761" i="30"/>
  <c r="F761" i="30"/>
  <c r="D761" i="30"/>
  <c r="C761" i="30"/>
  <c r="B761" i="30"/>
  <c r="BA760" i="30"/>
  <c r="AV760" i="30"/>
  <c r="AQ760" i="30"/>
  <c r="AP760" i="30"/>
  <c r="AO760" i="30"/>
  <c r="AN760" i="30"/>
  <c r="AM760" i="30"/>
  <c r="AL760" i="30"/>
  <c r="AK760" i="30"/>
  <c r="AI760" i="30"/>
  <c r="AH760" i="30"/>
  <c r="AG760" i="30"/>
  <c r="AF760" i="30"/>
  <c r="AE760" i="30"/>
  <c r="AD760" i="30"/>
  <c r="AC760" i="30"/>
  <c r="AB760" i="30"/>
  <c r="AA760" i="30"/>
  <c r="Z760" i="30"/>
  <c r="Y760" i="30"/>
  <c r="X760" i="30"/>
  <c r="W760" i="30"/>
  <c r="V760" i="30"/>
  <c r="U760" i="30"/>
  <c r="T760" i="30"/>
  <c r="S760" i="30"/>
  <c r="R760" i="30"/>
  <c r="Q760" i="30"/>
  <c r="P760" i="30"/>
  <c r="O760" i="30"/>
  <c r="N760" i="30"/>
  <c r="M760" i="30"/>
  <c r="L760" i="30"/>
  <c r="K760" i="30"/>
  <c r="J760" i="30"/>
  <c r="I760" i="30"/>
  <c r="H760" i="30"/>
  <c r="G760" i="30"/>
  <c r="F760" i="30"/>
  <c r="D760" i="30"/>
  <c r="C760" i="30"/>
  <c r="B760" i="30"/>
  <c r="BA759" i="30"/>
  <c r="AV759" i="30"/>
  <c r="AQ759" i="30"/>
  <c r="AP759" i="30"/>
  <c r="AO759" i="30"/>
  <c r="AN759" i="30"/>
  <c r="AM759" i="30"/>
  <c r="AK759" i="30"/>
  <c r="AH759" i="30"/>
  <c r="AG759" i="30"/>
  <c r="AF759" i="30"/>
  <c r="AE759" i="30"/>
  <c r="AD759" i="30"/>
  <c r="AC759" i="30"/>
  <c r="AB759" i="30"/>
  <c r="AA759" i="30"/>
  <c r="Z759" i="30"/>
  <c r="Y759" i="30"/>
  <c r="X759" i="30"/>
  <c r="W759" i="30"/>
  <c r="V759" i="30"/>
  <c r="U759" i="30"/>
  <c r="T759" i="30"/>
  <c r="S759" i="30"/>
  <c r="R759" i="30"/>
  <c r="Q759" i="30"/>
  <c r="P759" i="30"/>
  <c r="O759" i="30"/>
  <c r="N759" i="30"/>
  <c r="M759" i="30"/>
  <c r="L759" i="30"/>
  <c r="K759" i="30"/>
  <c r="J759" i="30"/>
  <c r="I759" i="30"/>
  <c r="H759" i="30"/>
  <c r="G759" i="30"/>
  <c r="F759" i="30"/>
  <c r="D759" i="30"/>
  <c r="C759" i="30"/>
  <c r="B759" i="30"/>
  <c r="BA758" i="30"/>
  <c r="AV758" i="30"/>
  <c r="AQ758" i="30"/>
  <c r="AP758" i="30"/>
  <c r="AO758" i="30"/>
  <c r="AN758" i="30"/>
  <c r="AM758" i="30"/>
  <c r="AL758" i="30"/>
  <c r="AK758" i="30"/>
  <c r="AJ758" i="30"/>
  <c r="AI758" i="30"/>
  <c r="AH758" i="30"/>
  <c r="AG758" i="30"/>
  <c r="AF758" i="30"/>
  <c r="AE758" i="30"/>
  <c r="AD758" i="30"/>
  <c r="AC758" i="30"/>
  <c r="AB758" i="30"/>
  <c r="AA758" i="30"/>
  <c r="Z758" i="30"/>
  <c r="Y758" i="30"/>
  <c r="X758" i="30"/>
  <c r="W758" i="30"/>
  <c r="V758" i="30"/>
  <c r="U758" i="30"/>
  <c r="T758" i="30"/>
  <c r="S758" i="30"/>
  <c r="R758" i="30"/>
  <c r="Q758" i="30"/>
  <c r="P758" i="30"/>
  <c r="O758" i="30"/>
  <c r="N758" i="30"/>
  <c r="M758" i="30"/>
  <c r="L758" i="30"/>
  <c r="K758" i="30"/>
  <c r="J758" i="30"/>
  <c r="I758" i="30"/>
  <c r="H758" i="30"/>
  <c r="G758" i="30"/>
  <c r="F758" i="30"/>
  <c r="D758" i="30"/>
  <c r="C758" i="30"/>
  <c r="BA757" i="30"/>
  <c r="AV757" i="30"/>
  <c r="AQ757" i="30"/>
  <c r="AP757" i="30"/>
  <c r="AO757" i="30"/>
  <c r="AN757" i="30"/>
  <c r="AM757" i="30"/>
  <c r="AL757" i="30"/>
  <c r="AK757" i="30"/>
  <c r="AJ757" i="30"/>
  <c r="AI757" i="30"/>
  <c r="AH757" i="30"/>
  <c r="AG757" i="30"/>
  <c r="AF757" i="30"/>
  <c r="AE757" i="30"/>
  <c r="AD757" i="30"/>
  <c r="AC757" i="30"/>
  <c r="AB757" i="30"/>
  <c r="AA757" i="30"/>
  <c r="Z757" i="30"/>
  <c r="Y757" i="30"/>
  <c r="X757" i="30"/>
  <c r="W757" i="30"/>
  <c r="V757" i="30"/>
  <c r="U757" i="30"/>
  <c r="T757" i="30"/>
  <c r="S757" i="30"/>
  <c r="R757" i="30"/>
  <c r="Q757" i="30"/>
  <c r="P757" i="30"/>
  <c r="O757" i="30"/>
  <c r="N757" i="30"/>
  <c r="M757" i="30"/>
  <c r="L757" i="30"/>
  <c r="K757" i="30"/>
  <c r="J757" i="30"/>
  <c r="I757" i="30"/>
  <c r="H757" i="30"/>
  <c r="G757" i="30"/>
  <c r="F757" i="30"/>
  <c r="D757" i="30"/>
  <c r="C757" i="30"/>
  <c r="B757" i="30"/>
  <c r="A757" i="30"/>
  <c r="BA756" i="30"/>
  <c r="AV756" i="30"/>
  <c r="AQ756" i="30"/>
  <c r="AP756" i="30"/>
  <c r="AO756" i="30"/>
  <c r="AN756" i="30"/>
  <c r="AM756" i="30"/>
  <c r="AL756" i="30"/>
  <c r="AK756" i="30"/>
  <c r="AJ756" i="30"/>
  <c r="AI756" i="30"/>
  <c r="AH756" i="30"/>
  <c r="AG756" i="30"/>
  <c r="AF756" i="30"/>
  <c r="AE756" i="30"/>
  <c r="AD756" i="30"/>
  <c r="AC756" i="30"/>
  <c r="AB756" i="30"/>
  <c r="AA756" i="30"/>
  <c r="Z756" i="30"/>
  <c r="Y756" i="30"/>
  <c r="X756" i="30"/>
  <c r="W756" i="30"/>
  <c r="V756" i="30"/>
  <c r="U756" i="30"/>
  <c r="T756" i="30"/>
  <c r="S756" i="30"/>
  <c r="R756" i="30"/>
  <c r="Q756" i="30"/>
  <c r="P756" i="30"/>
  <c r="O756" i="30"/>
  <c r="N756" i="30"/>
  <c r="M756" i="30"/>
  <c r="L756" i="30"/>
  <c r="K756" i="30"/>
  <c r="J756" i="30"/>
  <c r="I756" i="30"/>
  <c r="H756" i="30"/>
  <c r="G756" i="30"/>
  <c r="F756" i="30"/>
  <c r="D756" i="30"/>
  <c r="C756" i="30"/>
  <c r="BA755" i="30"/>
  <c r="AV755" i="30"/>
  <c r="AQ755" i="30"/>
  <c r="AP755" i="30"/>
  <c r="AO755" i="30"/>
  <c r="AN755" i="30"/>
  <c r="AM755" i="30"/>
  <c r="AL755" i="30"/>
  <c r="AK755" i="30"/>
  <c r="AJ755" i="30"/>
  <c r="AI755" i="30"/>
  <c r="AH755" i="30"/>
  <c r="AG755" i="30"/>
  <c r="AF755" i="30"/>
  <c r="AE755" i="30"/>
  <c r="AD755" i="30"/>
  <c r="AC755" i="30"/>
  <c r="AB755" i="30"/>
  <c r="AA755" i="30"/>
  <c r="Z755" i="30"/>
  <c r="Y755" i="30"/>
  <c r="X755" i="30"/>
  <c r="W755" i="30"/>
  <c r="V755" i="30"/>
  <c r="U755" i="30"/>
  <c r="T755" i="30"/>
  <c r="S755" i="30"/>
  <c r="R755" i="30"/>
  <c r="Q755" i="30"/>
  <c r="P755" i="30"/>
  <c r="O755" i="30"/>
  <c r="N755" i="30"/>
  <c r="M755" i="30"/>
  <c r="L755" i="30"/>
  <c r="K755" i="30"/>
  <c r="J755" i="30"/>
  <c r="I755" i="30"/>
  <c r="H755" i="30"/>
  <c r="G755" i="30"/>
  <c r="F755" i="30"/>
  <c r="D755" i="30"/>
  <c r="C755" i="30"/>
  <c r="BA754" i="30"/>
  <c r="AV754" i="30"/>
  <c r="AQ754" i="30"/>
  <c r="AP754" i="30"/>
  <c r="AO754" i="30"/>
  <c r="AN754" i="30"/>
  <c r="AM754" i="30"/>
  <c r="AL754" i="30"/>
  <c r="AK754" i="30"/>
  <c r="AJ754" i="30"/>
  <c r="AI754" i="30"/>
  <c r="AH754" i="30"/>
  <c r="AG754" i="30"/>
  <c r="AF754" i="30"/>
  <c r="AE754" i="30"/>
  <c r="AD754" i="30"/>
  <c r="AC754" i="30"/>
  <c r="AB754" i="30"/>
  <c r="AA754" i="30"/>
  <c r="Z754" i="30"/>
  <c r="Y754" i="30"/>
  <c r="X754" i="30"/>
  <c r="W754" i="30"/>
  <c r="V754" i="30"/>
  <c r="U754" i="30"/>
  <c r="T754" i="30"/>
  <c r="S754" i="30"/>
  <c r="R754" i="30"/>
  <c r="Q754" i="30"/>
  <c r="P754" i="30"/>
  <c r="O754" i="30"/>
  <c r="N754" i="30"/>
  <c r="M754" i="30"/>
  <c r="L754" i="30"/>
  <c r="K754" i="30"/>
  <c r="J754" i="30"/>
  <c r="I754" i="30"/>
  <c r="H754" i="30"/>
  <c r="G754" i="30"/>
  <c r="F754" i="30"/>
  <c r="D754" i="30"/>
  <c r="C754" i="30"/>
  <c r="BA753" i="30"/>
  <c r="AV753" i="30"/>
  <c r="AQ753" i="30"/>
  <c r="AP753" i="30"/>
  <c r="AO753" i="30"/>
  <c r="AN753" i="30"/>
  <c r="AM753" i="30"/>
  <c r="AL753" i="30"/>
  <c r="AK753" i="30"/>
  <c r="AJ753" i="30"/>
  <c r="AI753" i="30"/>
  <c r="AH753" i="30"/>
  <c r="AG753" i="30"/>
  <c r="AF753" i="30"/>
  <c r="AE753" i="30"/>
  <c r="AD753" i="30"/>
  <c r="AC753" i="30"/>
  <c r="AB753" i="30"/>
  <c r="AA753" i="30"/>
  <c r="Z753" i="30"/>
  <c r="Y753" i="30"/>
  <c r="X753" i="30"/>
  <c r="W753" i="30"/>
  <c r="V753" i="30"/>
  <c r="U753" i="30"/>
  <c r="T753" i="30"/>
  <c r="S753" i="30"/>
  <c r="R753" i="30"/>
  <c r="Q753" i="30"/>
  <c r="P753" i="30"/>
  <c r="O753" i="30"/>
  <c r="N753" i="30"/>
  <c r="M753" i="30"/>
  <c r="L753" i="30"/>
  <c r="K753" i="30"/>
  <c r="J753" i="30"/>
  <c r="I753" i="30"/>
  <c r="H753" i="30"/>
  <c r="G753" i="30"/>
  <c r="F753" i="30"/>
  <c r="D753" i="30"/>
  <c r="C753" i="30"/>
  <c r="BA752" i="30"/>
  <c r="AV752" i="30"/>
  <c r="AQ752" i="30"/>
  <c r="AP752" i="30"/>
  <c r="AO752" i="30"/>
  <c r="AN752" i="30"/>
  <c r="AM752" i="30"/>
  <c r="AL752" i="30"/>
  <c r="AK752" i="30"/>
  <c r="AJ752" i="30"/>
  <c r="AI752" i="30"/>
  <c r="AH752" i="30"/>
  <c r="AG752" i="30"/>
  <c r="AF752" i="30"/>
  <c r="AE752" i="30"/>
  <c r="AD752" i="30"/>
  <c r="AC752" i="30"/>
  <c r="AB752" i="30"/>
  <c r="AA752" i="30"/>
  <c r="Z752" i="30"/>
  <c r="Y752" i="30"/>
  <c r="X752" i="30"/>
  <c r="W752" i="30"/>
  <c r="V752" i="30"/>
  <c r="U752" i="30"/>
  <c r="T752" i="30"/>
  <c r="S752" i="30"/>
  <c r="R752" i="30"/>
  <c r="Q752" i="30"/>
  <c r="P752" i="30"/>
  <c r="O752" i="30"/>
  <c r="N752" i="30"/>
  <c r="M752" i="30"/>
  <c r="L752" i="30"/>
  <c r="K752" i="30"/>
  <c r="J752" i="30"/>
  <c r="I752" i="30"/>
  <c r="H752" i="30"/>
  <c r="G752" i="30"/>
  <c r="F752" i="30"/>
  <c r="D752" i="30"/>
  <c r="C752" i="30"/>
  <c r="BA751" i="30"/>
  <c r="AV751" i="30"/>
  <c r="AQ751" i="30"/>
  <c r="AP751" i="30"/>
  <c r="AO751" i="30"/>
  <c r="AN751" i="30"/>
  <c r="AM751" i="30"/>
  <c r="AL751" i="30"/>
  <c r="AK751" i="30"/>
  <c r="AJ751" i="30"/>
  <c r="AI751" i="30"/>
  <c r="AH751" i="30"/>
  <c r="AG751" i="30"/>
  <c r="AF751" i="30"/>
  <c r="AE751" i="30"/>
  <c r="AD751" i="30"/>
  <c r="AC751" i="30"/>
  <c r="AB751" i="30"/>
  <c r="AA751" i="30"/>
  <c r="Z751" i="30"/>
  <c r="Y751" i="30"/>
  <c r="X751" i="30"/>
  <c r="W751" i="30"/>
  <c r="V751" i="30"/>
  <c r="U751" i="30"/>
  <c r="T751" i="30"/>
  <c r="S751" i="30"/>
  <c r="R751" i="30"/>
  <c r="Q751" i="30"/>
  <c r="P751" i="30"/>
  <c r="O751" i="30"/>
  <c r="N751" i="30"/>
  <c r="M751" i="30"/>
  <c r="L751" i="30"/>
  <c r="K751" i="30"/>
  <c r="J751" i="30"/>
  <c r="I751" i="30"/>
  <c r="H751" i="30"/>
  <c r="G751" i="30"/>
  <c r="F751" i="30"/>
  <c r="D751" i="30"/>
  <c r="C751" i="30"/>
  <c r="BA750" i="30"/>
  <c r="AV750" i="30"/>
  <c r="AQ750" i="30"/>
  <c r="AP750" i="30"/>
  <c r="AO750" i="30"/>
  <c r="AN750" i="30"/>
  <c r="AM750" i="30"/>
  <c r="AL750" i="30"/>
  <c r="AK750" i="30"/>
  <c r="AJ750" i="30"/>
  <c r="AI750" i="30"/>
  <c r="AH750" i="30"/>
  <c r="AG750" i="30"/>
  <c r="AF750" i="30"/>
  <c r="AE750" i="30"/>
  <c r="AD750" i="30"/>
  <c r="AC750" i="30"/>
  <c r="AB750" i="30"/>
  <c r="AA750" i="30"/>
  <c r="Z750" i="30"/>
  <c r="Y750" i="30"/>
  <c r="X750" i="30"/>
  <c r="W750" i="30"/>
  <c r="V750" i="30"/>
  <c r="U750" i="30"/>
  <c r="T750" i="30"/>
  <c r="S750" i="30"/>
  <c r="R750" i="30"/>
  <c r="Q750" i="30"/>
  <c r="P750" i="30"/>
  <c r="O750" i="30"/>
  <c r="N750" i="30"/>
  <c r="M750" i="30"/>
  <c r="L750" i="30"/>
  <c r="K750" i="30"/>
  <c r="J750" i="30"/>
  <c r="I750" i="30"/>
  <c r="H750" i="30"/>
  <c r="G750" i="30"/>
  <c r="F750" i="30"/>
  <c r="D750" i="30"/>
  <c r="C750" i="30"/>
  <c r="BA749" i="30"/>
  <c r="AV749" i="30"/>
  <c r="AQ749" i="30"/>
  <c r="AP749" i="30"/>
  <c r="AO749" i="30"/>
  <c r="AN749" i="30"/>
  <c r="AM749" i="30"/>
  <c r="AL749" i="30"/>
  <c r="AK749" i="30"/>
  <c r="AJ749" i="30"/>
  <c r="AI749" i="30"/>
  <c r="AH749" i="30"/>
  <c r="AG749" i="30"/>
  <c r="AF749" i="30"/>
  <c r="AE749" i="30"/>
  <c r="AD749" i="30"/>
  <c r="AC749" i="30"/>
  <c r="AB749" i="30"/>
  <c r="AA749" i="30"/>
  <c r="Z749" i="30"/>
  <c r="Y749" i="30"/>
  <c r="X749" i="30"/>
  <c r="W749" i="30"/>
  <c r="V749" i="30"/>
  <c r="U749" i="30"/>
  <c r="T749" i="30"/>
  <c r="S749" i="30"/>
  <c r="R749" i="30"/>
  <c r="Q749" i="30"/>
  <c r="P749" i="30"/>
  <c r="O749" i="30"/>
  <c r="N749" i="30"/>
  <c r="M749" i="30"/>
  <c r="L749" i="30"/>
  <c r="K749" i="30"/>
  <c r="J749" i="30"/>
  <c r="I749" i="30"/>
  <c r="H749" i="30"/>
  <c r="G749" i="30"/>
  <c r="F749" i="30"/>
  <c r="D749" i="30"/>
  <c r="C749" i="30"/>
  <c r="BA748" i="30"/>
  <c r="AV748" i="30"/>
  <c r="AQ748" i="30"/>
  <c r="AP748" i="30"/>
  <c r="AO748" i="30"/>
  <c r="AN748" i="30"/>
  <c r="AM748" i="30"/>
  <c r="AL748" i="30"/>
  <c r="AK748" i="30"/>
  <c r="AJ748" i="30"/>
  <c r="AI748" i="30"/>
  <c r="AH748" i="30"/>
  <c r="AG748" i="30"/>
  <c r="AF748" i="30"/>
  <c r="AE748" i="30"/>
  <c r="AD748" i="30"/>
  <c r="AC748" i="30"/>
  <c r="AB748" i="30"/>
  <c r="AA748" i="30"/>
  <c r="Z748" i="30"/>
  <c r="Y748" i="30"/>
  <c r="X748" i="30"/>
  <c r="W748" i="30"/>
  <c r="V748" i="30"/>
  <c r="U748" i="30"/>
  <c r="T748" i="30"/>
  <c r="S748" i="30"/>
  <c r="R748" i="30"/>
  <c r="Q748" i="30"/>
  <c r="P748" i="30"/>
  <c r="O748" i="30"/>
  <c r="N748" i="30"/>
  <c r="M748" i="30"/>
  <c r="L748" i="30"/>
  <c r="K748" i="30"/>
  <c r="J748" i="30"/>
  <c r="I748" i="30"/>
  <c r="H748" i="30"/>
  <c r="G748" i="30"/>
  <c r="F748" i="30"/>
  <c r="D748" i="30"/>
  <c r="C748" i="30"/>
  <c r="BA747" i="30"/>
  <c r="AV747" i="30"/>
  <c r="AQ747" i="30"/>
  <c r="AP747" i="30"/>
  <c r="AO747" i="30"/>
  <c r="AN747" i="30"/>
  <c r="AM747" i="30"/>
  <c r="AL747" i="30"/>
  <c r="AK747" i="30"/>
  <c r="AJ747" i="30"/>
  <c r="AI747" i="30"/>
  <c r="AH747" i="30"/>
  <c r="AG747" i="30"/>
  <c r="AF747" i="30"/>
  <c r="AE747" i="30"/>
  <c r="AD747" i="30"/>
  <c r="AC747" i="30"/>
  <c r="AB747" i="30"/>
  <c r="AA747" i="30"/>
  <c r="Z747" i="30"/>
  <c r="Y747" i="30"/>
  <c r="X747" i="30"/>
  <c r="W747" i="30"/>
  <c r="V747" i="30"/>
  <c r="U747" i="30"/>
  <c r="T747" i="30"/>
  <c r="S747" i="30"/>
  <c r="R747" i="30"/>
  <c r="Q747" i="30"/>
  <c r="P747" i="30"/>
  <c r="O747" i="30"/>
  <c r="N747" i="30"/>
  <c r="M747" i="30"/>
  <c r="L747" i="30"/>
  <c r="K747" i="30"/>
  <c r="J747" i="30"/>
  <c r="I747" i="30"/>
  <c r="H747" i="30"/>
  <c r="G747" i="30"/>
  <c r="F747" i="30"/>
  <c r="D747" i="30"/>
  <c r="C747" i="30"/>
  <c r="BA746" i="30"/>
  <c r="AV746" i="30"/>
  <c r="AQ746" i="30"/>
  <c r="AP746" i="30"/>
  <c r="AO746" i="30"/>
  <c r="AN746" i="30"/>
  <c r="AM746" i="30"/>
  <c r="AL746" i="30"/>
  <c r="AK746" i="30"/>
  <c r="AJ746" i="30"/>
  <c r="AI746" i="30"/>
  <c r="AH746" i="30"/>
  <c r="AG746" i="30"/>
  <c r="AF746" i="30"/>
  <c r="AE746" i="30"/>
  <c r="AD746" i="30"/>
  <c r="AC746" i="30"/>
  <c r="AB746" i="30"/>
  <c r="AA746" i="30"/>
  <c r="Z746" i="30"/>
  <c r="Y746" i="30"/>
  <c r="X746" i="30"/>
  <c r="W746" i="30"/>
  <c r="V746" i="30"/>
  <c r="U746" i="30"/>
  <c r="T746" i="30"/>
  <c r="S746" i="30"/>
  <c r="R746" i="30"/>
  <c r="Q746" i="30"/>
  <c r="P746" i="30"/>
  <c r="O746" i="30"/>
  <c r="N746" i="30"/>
  <c r="M746" i="30"/>
  <c r="L746" i="30"/>
  <c r="K746" i="30"/>
  <c r="J746" i="30"/>
  <c r="I746" i="30"/>
  <c r="H746" i="30"/>
  <c r="G746" i="30"/>
  <c r="F746" i="30"/>
  <c r="D746" i="30"/>
  <c r="C746" i="30"/>
  <c r="BA745" i="30"/>
  <c r="AV745" i="30"/>
  <c r="AQ745" i="30"/>
  <c r="AP745" i="30"/>
  <c r="AO745" i="30"/>
  <c r="AN745" i="30"/>
  <c r="AM745" i="30"/>
  <c r="AL745" i="30"/>
  <c r="AK745" i="30"/>
  <c r="AJ745" i="30"/>
  <c r="AI745" i="30"/>
  <c r="AH745" i="30"/>
  <c r="AG745" i="30"/>
  <c r="AF745" i="30"/>
  <c r="AE745" i="30"/>
  <c r="AD745" i="30"/>
  <c r="AC745" i="30"/>
  <c r="AB745" i="30"/>
  <c r="AA745" i="30"/>
  <c r="Z745" i="30"/>
  <c r="Y745" i="30"/>
  <c r="X745" i="30"/>
  <c r="W745" i="30"/>
  <c r="V745" i="30"/>
  <c r="U745" i="30"/>
  <c r="T745" i="30"/>
  <c r="S745" i="30"/>
  <c r="R745" i="30"/>
  <c r="Q745" i="30"/>
  <c r="P745" i="30"/>
  <c r="O745" i="30"/>
  <c r="N745" i="30"/>
  <c r="M745" i="30"/>
  <c r="L745" i="30"/>
  <c r="K745" i="30"/>
  <c r="J745" i="30"/>
  <c r="I745" i="30"/>
  <c r="H745" i="30"/>
  <c r="G745" i="30"/>
  <c r="F745" i="30"/>
  <c r="D745" i="30"/>
  <c r="C745" i="30"/>
  <c r="BA744" i="30"/>
  <c r="AV744" i="30"/>
  <c r="AQ744" i="30"/>
  <c r="AP744" i="30"/>
  <c r="AO744" i="30"/>
  <c r="AN744" i="30"/>
  <c r="AM744" i="30"/>
  <c r="AK744" i="30"/>
  <c r="V744" i="30"/>
  <c r="S744" i="30"/>
  <c r="J744" i="30"/>
  <c r="I744" i="30"/>
  <c r="H744" i="30"/>
  <c r="G744" i="30"/>
  <c r="F744" i="30"/>
  <c r="D744" i="30"/>
  <c r="C744" i="30"/>
  <c r="BA743" i="30"/>
  <c r="AV743" i="30"/>
  <c r="AQ743" i="30"/>
  <c r="AP743" i="30"/>
  <c r="AO743" i="30"/>
  <c r="AN743" i="30"/>
  <c r="AM743" i="30"/>
  <c r="AK743" i="30"/>
  <c r="V743" i="30"/>
  <c r="S743" i="30"/>
  <c r="J743" i="30"/>
  <c r="I743" i="30"/>
  <c r="H743" i="30"/>
  <c r="G743" i="30"/>
  <c r="F743" i="30"/>
  <c r="D743" i="30"/>
  <c r="C743" i="30"/>
  <c r="BA742" i="30"/>
  <c r="AV742" i="30"/>
  <c r="AQ742" i="30"/>
  <c r="AP742" i="30"/>
  <c r="AO742" i="30"/>
  <c r="AN742" i="30"/>
  <c r="AM742" i="30"/>
  <c r="AK742" i="30"/>
  <c r="V742" i="30"/>
  <c r="S742" i="30"/>
  <c r="J742" i="30"/>
  <c r="I742" i="30"/>
  <c r="H742" i="30"/>
  <c r="G742" i="30"/>
  <c r="F742" i="30"/>
  <c r="D742" i="30"/>
  <c r="C742" i="30"/>
  <c r="BA741" i="30"/>
  <c r="AV741" i="30"/>
  <c r="AQ741" i="30"/>
  <c r="AP741" i="30"/>
  <c r="AO741" i="30"/>
  <c r="AN741" i="30"/>
  <c r="AM741" i="30"/>
  <c r="AK741" i="30"/>
  <c r="AJ741" i="30"/>
  <c r="AI741" i="30"/>
  <c r="AH741" i="30"/>
  <c r="AG741" i="30"/>
  <c r="AF741" i="30"/>
  <c r="AE741" i="30"/>
  <c r="AD741" i="30"/>
  <c r="AC741" i="30"/>
  <c r="AB741" i="30"/>
  <c r="AA741" i="30"/>
  <c r="Z741" i="30"/>
  <c r="Y741" i="30"/>
  <c r="X741" i="30"/>
  <c r="W741" i="30"/>
  <c r="V741" i="30"/>
  <c r="U741" i="30"/>
  <c r="T741" i="30"/>
  <c r="S741" i="30"/>
  <c r="R741" i="30"/>
  <c r="Q741" i="30"/>
  <c r="P741" i="30"/>
  <c r="O741" i="30"/>
  <c r="N741" i="30"/>
  <c r="M741" i="30"/>
  <c r="L741" i="30"/>
  <c r="K741" i="30"/>
  <c r="J741" i="30"/>
  <c r="I741" i="30"/>
  <c r="H741" i="30"/>
  <c r="G741" i="30"/>
  <c r="F741" i="30"/>
  <c r="D741" i="30"/>
  <c r="C741" i="30"/>
  <c r="BA740" i="30"/>
  <c r="AV740" i="30"/>
  <c r="AQ740" i="30"/>
  <c r="AP740" i="30"/>
  <c r="AO740" i="30"/>
  <c r="AN740" i="30"/>
  <c r="AM740" i="30"/>
  <c r="AL740" i="30"/>
  <c r="AJ740" i="30"/>
  <c r="AI740" i="30"/>
  <c r="AH740" i="30"/>
  <c r="AG740" i="30"/>
  <c r="AF740" i="30"/>
  <c r="AE740" i="30"/>
  <c r="AD740" i="30"/>
  <c r="AC740" i="30"/>
  <c r="AB740" i="30"/>
  <c r="AA740" i="30"/>
  <c r="Z740" i="30"/>
  <c r="Y740" i="30"/>
  <c r="X740" i="30"/>
  <c r="W740" i="30"/>
  <c r="V740" i="30"/>
  <c r="U740" i="30"/>
  <c r="T740" i="30"/>
  <c r="S740" i="30"/>
  <c r="R740" i="30"/>
  <c r="Q740" i="30"/>
  <c r="P740" i="30"/>
  <c r="O740" i="30"/>
  <c r="N740" i="30"/>
  <c r="M740" i="30"/>
  <c r="L740" i="30"/>
  <c r="K740" i="30"/>
  <c r="J740" i="30"/>
  <c r="I740" i="30"/>
  <c r="H740" i="30"/>
  <c r="G740" i="30"/>
  <c r="F740" i="30"/>
  <c r="D740" i="30"/>
  <c r="C740" i="30"/>
  <c r="BA739" i="30"/>
  <c r="AV739" i="30"/>
  <c r="AQ739" i="30"/>
  <c r="AP739" i="30"/>
  <c r="AO739" i="30"/>
  <c r="AN739" i="30"/>
  <c r="AM739" i="30"/>
  <c r="AL739" i="30"/>
  <c r="AJ739" i="30"/>
  <c r="AI739" i="30"/>
  <c r="AH739" i="30"/>
  <c r="AG739" i="30"/>
  <c r="AF739" i="30"/>
  <c r="AE739" i="30"/>
  <c r="AD739" i="30"/>
  <c r="AC739" i="30"/>
  <c r="AB739" i="30"/>
  <c r="AA739" i="30"/>
  <c r="Z739" i="30"/>
  <c r="Y739" i="30"/>
  <c r="X739" i="30"/>
  <c r="W739" i="30"/>
  <c r="V739" i="30"/>
  <c r="U739" i="30"/>
  <c r="T739" i="30"/>
  <c r="S739" i="30"/>
  <c r="R739" i="30"/>
  <c r="Q739" i="30"/>
  <c r="P739" i="30"/>
  <c r="O739" i="30"/>
  <c r="N739" i="30"/>
  <c r="M739" i="30"/>
  <c r="L739" i="30"/>
  <c r="K739" i="30"/>
  <c r="J739" i="30"/>
  <c r="I739" i="30"/>
  <c r="H739" i="30"/>
  <c r="G739" i="30"/>
  <c r="F739" i="30"/>
  <c r="D739" i="30"/>
  <c r="C739" i="30"/>
  <c r="BA738" i="30"/>
  <c r="AV738" i="30"/>
  <c r="AQ738" i="30"/>
  <c r="AP738" i="30"/>
  <c r="AO738" i="30"/>
  <c r="AN738" i="30"/>
  <c r="AM738" i="30"/>
  <c r="AL738" i="30"/>
  <c r="AJ738" i="30"/>
  <c r="AI738" i="30"/>
  <c r="AH738" i="30"/>
  <c r="AG738" i="30"/>
  <c r="AF738" i="30"/>
  <c r="AE738" i="30"/>
  <c r="AD738" i="30"/>
  <c r="AC738" i="30"/>
  <c r="AB738" i="30"/>
  <c r="AA738" i="30"/>
  <c r="Z738" i="30"/>
  <c r="Y738" i="30"/>
  <c r="X738" i="30"/>
  <c r="W738" i="30"/>
  <c r="V738" i="30"/>
  <c r="U738" i="30"/>
  <c r="T738" i="30"/>
  <c r="S738" i="30"/>
  <c r="R738" i="30"/>
  <c r="Q738" i="30"/>
  <c r="P738" i="30"/>
  <c r="O738" i="30"/>
  <c r="N738" i="30"/>
  <c r="M738" i="30"/>
  <c r="L738" i="30"/>
  <c r="K738" i="30"/>
  <c r="J738" i="30"/>
  <c r="I738" i="30"/>
  <c r="H738" i="30"/>
  <c r="G738" i="30"/>
  <c r="F738" i="30"/>
  <c r="D738" i="30"/>
  <c r="C738" i="30"/>
  <c r="BA737" i="30"/>
  <c r="AV737" i="30"/>
  <c r="AQ737" i="30"/>
  <c r="AP737" i="30"/>
  <c r="AO737" i="30"/>
  <c r="AN737" i="30"/>
  <c r="AM737" i="30"/>
  <c r="AL737" i="30"/>
  <c r="AI737" i="30"/>
  <c r="AH737" i="30"/>
  <c r="AG737" i="30"/>
  <c r="AF737" i="30"/>
  <c r="AE737" i="30"/>
  <c r="AD737" i="30"/>
  <c r="AC737" i="30"/>
  <c r="AB737" i="30"/>
  <c r="AA737" i="30"/>
  <c r="Z737" i="30"/>
  <c r="Y737" i="30"/>
  <c r="X737" i="30"/>
  <c r="W737" i="30"/>
  <c r="V737" i="30"/>
  <c r="U737" i="30"/>
  <c r="T737" i="30"/>
  <c r="S737" i="30"/>
  <c r="R737" i="30"/>
  <c r="Q737" i="30"/>
  <c r="P737" i="30"/>
  <c r="O737" i="30"/>
  <c r="N737" i="30"/>
  <c r="M737" i="30"/>
  <c r="L737" i="30"/>
  <c r="K737" i="30"/>
  <c r="J737" i="30"/>
  <c r="I737" i="30"/>
  <c r="H737" i="30"/>
  <c r="G737" i="30"/>
  <c r="F737" i="30"/>
  <c r="D737" i="30"/>
  <c r="C737" i="30"/>
  <c r="BA736" i="30"/>
  <c r="AV736" i="30"/>
  <c r="AQ736" i="30"/>
  <c r="AP736" i="30"/>
  <c r="AO736" i="30"/>
  <c r="AN736" i="30"/>
  <c r="AM736" i="30"/>
  <c r="AI736" i="30"/>
  <c r="AH736" i="30"/>
  <c r="AG736" i="30"/>
  <c r="AF736" i="30"/>
  <c r="AE736" i="30"/>
  <c r="AD736" i="30"/>
  <c r="AC736" i="30"/>
  <c r="AB736" i="30"/>
  <c r="AA736" i="30"/>
  <c r="Z736" i="30"/>
  <c r="Y736" i="30"/>
  <c r="X736" i="30"/>
  <c r="W736" i="30"/>
  <c r="V736" i="30"/>
  <c r="U736" i="30"/>
  <c r="T736" i="30"/>
  <c r="S736" i="30"/>
  <c r="R736" i="30"/>
  <c r="Q736" i="30"/>
  <c r="P736" i="30"/>
  <c r="O736" i="30"/>
  <c r="N736" i="30"/>
  <c r="M736" i="30"/>
  <c r="L736" i="30"/>
  <c r="K736" i="30"/>
  <c r="J736" i="30"/>
  <c r="I736" i="30"/>
  <c r="H736" i="30"/>
  <c r="G736" i="30"/>
  <c r="F736" i="30"/>
  <c r="D736" i="30"/>
  <c r="C736" i="30"/>
  <c r="BA735" i="30"/>
  <c r="AV735" i="30"/>
  <c r="AQ735" i="30"/>
  <c r="AP735" i="30"/>
  <c r="AO735" i="30"/>
  <c r="AN735" i="30"/>
  <c r="AM735" i="30"/>
  <c r="AL735" i="30"/>
  <c r="AJ735" i="30"/>
  <c r="AI735" i="30"/>
  <c r="AH735" i="30"/>
  <c r="AG735" i="30"/>
  <c r="AF735" i="30"/>
  <c r="AE735" i="30"/>
  <c r="AD735" i="30"/>
  <c r="AC735" i="30"/>
  <c r="AB735" i="30"/>
  <c r="AA735" i="30"/>
  <c r="Z735" i="30"/>
  <c r="Y735" i="30"/>
  <c r="X735" i="30"/>
  <c r="W735" i="30"/>
  <c r="V735" i="30"/>
  <c r="U735" i="30"/>
  <c r="T735" i="30"/>
  <c r="S735" i="30"/>
  <c r="R735" i="30"/>
  <c r="Q735" i="30"/>
  <c r="P735" i="30"/>
  <c r="O735" i="30"/>
  <c r="N735" i="30"/>
  <c r="M735" i="30"/>
  <c r="L735" i="30"/>
  <c r="K735" i="30"/>
  <c r="J735" i="30"/>
  <c r="I735" i="30"/>
  <c r="H735" i="30"/>
  <c r="G735" i="30"/>
  <c r="F735" i="30"/>
  <c r="D735" i="30"/>
  <c r="C735" i="30"/>
  <c r="BA734" i="30"/>
  <c r="AV734" i="30"/>
  <c r="AQ734" i="30"/>
  <c r="AP734" i="30"/>
  <c r="AO734" i="30"/>
  <c r="AN734" i="30"/>
  <c r="AM734" i="30"/>
  <c r="AJ734" i="30"/>
  <c r="AI734" i="30"/>
  <c r="AH734" i="30"/>
  <c r="AG734" i="30"/>
  <c r="AF734" i="30"/>
  <c r="AE734" i="30"/>
  <c r="AD734" i="30"/>
  <c r="AC734" i="30"/>
  <c r="AB734" i="30"/>
  <c r="AA734" i="30"/>
  <c r="Z734" i="30"/>
  <c r="Y734" i="30"/>
  <c r="X734" i="30"/>
  <c r="W734" i="30"/>
  <c r="V734" i="30"/>
  <c r="U734" i="30"/>
  <c r="T734" i="30"/>
  <c r="S734" i="30"/>
  <c r="R734" i="30"/>
  <c r="Q734" i="30"/>
  <c r="P734" i="30"/>
  <c r="O734" i="30"/>
  <c r="N734" i="30"/>
  <c r="M734" i="30"/>
  <c r="L734" i="30"/>
  <c r="K734" i="30"/>
  <c r="J734" i="30"/>
  <c r="I734" i="30"/>
  <c r="H734" i="30"/>
  <c r="G734" i="30"/>
  <c r="F734" i="30"/>
  <c r="D734" i="30"/>
  <c r="C734" i="30"/>
  <c r="BA733" i="30"/>
  <c r="AV733" i="30"/>
  <c r="AQ733" i="30"/>
  <c r="AP733" i="30"/>
  <c r="AO733" i="30"/>
  <c r="AN733" i="30"/>
  <c r="AM733" i="30"/>
  <c r="AL733" i="30"/>
  <c r="AJ733" i="30"/>
  <c r="AI733" i="30"/>
  <c r="AH733" i="30"/>
  <c r="AG733" i="30"/>
  <c r="AF733" i="30"/>
  <c r="AE733" i="30"/>
  <c r="AD733" i="30"/>
  <c r="AC733" i="30"/>
  <c r="AB733" i="30"/>
  <c r="AA733" i="30"/>
  <c r="Z733" i="30"/>
  <c r="Y733" i="30"/>
  <c r="X733" i="30"/>
  <c r="W733" i="30"/>
  <c r="V733" i="30"/>
  <c r="U733" i="30"/>
  <c r="T733" i="30"/>
  <c r="S733" i="30"/>
  <c r="R733" i="30"/>
  <c r="Q733" i="30"/>
  <c r="P733" i="30"/>
  <c r="O733" i="30"/>
  <c r="N733" i="30"/>
  <c r="M733" i="30"/>
  <c r="L733" i="30"/>
  <c r="K733" i="30"/>
  <c r="J733" i="30"/>
  <c r="I733" i="30"/>
  <c r="H733" i="30"/>
  <c r="G733" i="30"/>
  <c r="F733" i="30"/>
  <c r="D733" i="30"/>
  <c r="C733" i="30"/>
  <c r="BA732" i="30"/>
  <c r="AV732" i="30"/>
  <c r="AQ732" i="30"/>
  <c r="AP732" i="30"/>
  <c r="AO732" i="30"/>
  <c r="AN732" i="30"/>
  <c r="AM732" i="30"/>
  <c r="W732" i="30"/>
  <c r="V732" i="30"/>
  <c r="U732" i="30"/>
  <c r="T732" i="30"/>
  <c r="S732" i="30"/>
  <c r="R732" i="30"/>
  <c r="Q732" i="30"/>
  <c r="P732" i="30"/>
  <c r="O732" i="30"/>
  <c r="N732" i="30"/>
  <c r="M732" i="30"/>
  <c r="L732" i="30"/>
  <c r="K732" i="30"/>
  <c r="J732" i="30"/>
  <c r="I732" i="30"/>
  <c r="H732" i="30"/>
  <c r="G732" i="30"/>
  <c r="F732" i="30"/>
  <c r="D732" i="30"/>
  <c r="C732" i="30"/>
  <c r="BA731" i="30"/>
  <c r="AV731" i="30"/>
  <c r="AQ731" i="30"/>
  <c r="AP731" i="30"/>
  <c r="AO731" i="30"/>
  <c r="AN731" i="30"/>
  <c r="AM731" i="30"/>
  <c r="W731" i="30"/>
  <c r="V731" i="30"/>
  <c r="U731" i="30"/>
  <c r="T731" i="30"/>
  <c r="S731" i="30"/>
  <c r="R731" i="30"/>
  <c r="Q731" i="30"/>
  <c r="P731" i="30"/>
  <c r="O731" i="30"/>
  <c r="N731" i="30"/>
  <c r="M731" i="30"/>
  <c r="L731" i="30"/>
  <c r="K731" i="30"/>
  <c r="J731" i="30"/>
  <c r="I731" i="30"/>
  <c r="H731" i="30"/>
  <c r="G731" i="30"/>
  <c r="F731" i="30"/>
  <c r="D731" i="30"/>
  <c r="C731" i="30"/>
  <c r="BA730" i="30"/>
  <c r="AV730" i="30"/>
  <c r="AQ730" i="30"/>
  <c r="AP730" i="30"/>
  <c r="AO730" i="30"/>
  <c r="AN730" i="30"/>
  <c r="AM730" i="30"/>
  <c r="AJ730" i="30"/>
  <c r="AI730" i="30"/>
  <c r="AH730" i="30"/>
  <c r="AG730" i="30"/>
  <c r="AF730" i="30"/>
  <c r="AE730" i="30"/>
  <c r="AD730" i="30"/>
  <c r="AC730" i="30"/>
  <c r="AB730" i="30"/>
  <c r="AA730" i="30"/>
  <c r="Z730" i="30"/>
  <c r="Y730" i="30"/>
  <c r="V730" i="30"/>
  <c r="T730" i="30"/>
  <c r="S730" i="30"/>
  <c r="R730" i="30"/>
  <c r="Q730" i="30"/>
  <c r="P730" i="30"/>
  <c r="O730" i="30"/>
  <c r="N730" i="30"/>
  <c r="M730" i="30"/>
  <c r="L730" i="30"/>
  <c r="K730" i="30"/>
  <c r="J730" i="30"/>
  <c r="I730" i="30"/>
  <c r="H730" i="30"/>
  <c r="G730" i="30"/>
  <c r="F730" i="30"/>
  <c r="D730" i="30"/>
  <c r="C730" i="30"/>
  <c r="BA729" i="30"/>
  <c r="AV729" i="30"/>
  <c r="AQ729" i="30"/>
  <c r="AP729" i="30"/>
  <c r="AO729" i="30"/>
  <c r="AN729" i="30"/>
  <c r="AM729" i="30"/>
  <c r="V729" i="30"/>
  <c r="T729" i="30"/>
  <c r="S729" i="30"/>
  <c r="R729" i="30"/>
  <c r="Q729" i="30"/>
  <c r="P729" i="30"/>
  <c r="O729" i="30"/>
  <c r="N729" i="30"/>
  <c r="M729" i="30"/>
  <c r="L729" i="30"/>
  <c r="K729" i="30"/>
  <c r="J729" i="30"/>
  <c r="I729" i="30"/>
  <c r="H729" i="30"/>
  <c r="G729" i="30"/>
  <c r="F729" i="30"/>
  <c r="D729" i="30"/>
  <c r="C729" i="30"/>
  <c r="BA728" i="30"/>
  <c r="AV728" i="30"/>
  <c r="AQ728" i="30"/>
  <c r="AP728" i="30"/>
  <c r="AO728" i="30"/>
  <c r="AN728" i="30"/>
  <c r="AM728" i="30"/>
  <c r="AJ728" i="30"/>
  <c r="AI728" i="30"/>
  <c r="AH728" i="30"/>
  <c r="AG728" i="30"/>
  <c r="AF728" i="30"/>
  <c r="AE728" i="30"/>
  <c r="AD728" i="30"/>
  <c r="AC728" i="30"/>
  <c r="AB728" i="30"/>
  <c r="AA728" i="30"/>
  <c r="Z728" i="30"/>
  <c r="Y728" i="30"/>
  <c r="X728" i="30"/>
  <c r="W728" i="30"/>
  <c r="V728" i="30"/>
  <c r="U728" i="30"/>
  <c r="T728" i="30"/>
  <c r="S728" i="30"/>
  <c r="R728" i="30"/>
  <c r="Q728" i="30"/>
  <c r="P728" i="30"/>
  <c r="O728" i="30"/>
  <c r="N728" i="30"/>
  <c r="M728" i="30"/>
  <c r="L728" i="30"/>
  <c r="K728" i="30"/>
  <c r="J728" i="30"/>
  <c r="I728" i="30"/>
  <c r="H728" i="30"/>
  <c r="G728" i="30"/>
  <c r="F728" i="30"/>
  <c r="D728" i="30"/>
  <c r="C728" i="30"/>
  <c r="BA727" i="30"/>
  <c r="AV727" i="30"/>
  <c r="AQ727" i="30"/>
  <c r="AP727" i="30"/>
  <c r="AO727" i="30"/>
  <c r="AN727" i="30"/>
  <c r="AM727" i="30"/>
  <c r="AJ727" i="30"/>
  <c r="AI727" i="30"/>
  <c r="AH727" i="30"/>
  <c r="AG727" i="30"/>
  <c r="AF727" i="30"/>
  <c r="AE727" i="30"/>
  <c r="AD727" i="30"/>
  <c r="AC727" i="30"/>
  <c r="AB727" i="30"/>
  <c r="AA727" i="30"/>
  <c r="Z727" i="30"/>
  <c r="Y727" i="30"/>
  <c r="X727" i="30"/>
  <c r="W727" i="30"/>
  <c r="V727" i="30"/>
  <c r="U727" i="30"/>
  <c r="T727" i="30"/>
  <c r="S727" i="30"/>
  <c r="R727" i="30"/>
  <c r="Q727" i="30"/>
  <c r="P727" i="30"/>
  <c r="O727" i="30"/>
  <c r="N727" i="30"/>
  <c r="M727" i="30"/>
  <c r="L727" i="30"/>
  <c r="K727" i="30"/>
  <c r="J727" i="30"/>
  <c r="I727" i="30"/>
  <c r="H727" i="30"/>
  <c r="G727" i="30"/>
  <c r="F727" i="30"/>
  <c r="D727" i="30"/>
  <c r="C727" i="30"/>
  <c r="BA726" i="30"/>
  <c r="AV726" i="30"/>
  <c r="AQ726" i="30"/>
  <c r="AP726" i="30"/>
  <c r="AO726" i="30"/>
  <c r="AN726" i="30"/>
  <c r="AM726" i="30"/>
  <c r="V726" i="30"/>
  <c r="T726" i="30"/>
  <c r="S726" i="30"/>
  <c r="R726" i="30"/>
  <c r="Q726" i="30"/>
  <c r="P726" i="30"/>
  <c r="O726" i="30"/>
  <c r="N726" i="30"/>
  <c r="M726" i="30"/>
  <c r="L726" i="30"/>
  <c r="K726" i="30"/>
  <c r="J726" i="30"/>
  <c r="I726" i="30"/>
  <c r="H726" i="30"/>
  <c r="G726" i="30"/>
  <c r="F726" i="30"/>
  <c r="D726" i="30"/>
  <c r="C726" i="30"/>
  <c r="BA725" i="30"/>
  <c r="AV725" i="30"/>
  <c r="AQ725" i="30"/>
  <c r="AP725" i="30"/>
  <c r="AO725" i="30"/>
  <c r="AN725" i="30"/>
  <c r="AM725" i="30"/>
  <c r="AJ725" i="30"/>
  <c r="AI725" i="30"/>
  <c r="AH725" i="30"/>
  <c r="AG725" i="30"/>
  <c r="AF725" i="30"/>
  <c r="AE725" i="30"/>
  <c r="AD725" i="30"/>
  <c r="AC725" i="30"/>
  <c r="AB725" i="30"/>
  <c r="AA725" i="30"/>
  <c r="Z725" i="30"/>
  <c r="Y725" i="30"/>
  <c r="X725" i="30"/>
  <c r="W725" i="30"/>
  <c r="V725" i="30"/>
  <c r="U725" i="30"/>
  <c r="T725" i="30"/>
  <c r="S725" i="30"/>
  <c r="R725" i="30"/>
  <c r="Q725" i="30"/>
  <c r="P725" i="30"/>
  <c r="O725" i="30"/>
  <c r="N725" i="30"/>
  <c r="M725" i="30"/>
  <c r="L725" i="30"/>
  <c r="K725" i="30"/>
  <c r="J725" i="30"/>
  <c r="I725" i="30"/>
  <c r="H725" i="30"/>
  <c r="G725" i="30"/>
  <c r="F725" i="30"/>
  <c r="D725" i="30"/>
  <c r="C725" i="30"/>
  <c r="BA724" i="30"/>
  <c r="AV724" i="30"/>
  <c r="AQ724" i="30"/>
  <c r="AP724" i="30"/>
  <c r="AO724" i="30"/>
  <c r="AN724" i="30"/>
  <c r="AM724" i="30"/>
  <c r="AJ724" i="30"/>
  <c r="AI724" i="30"/>
  <c r="AH724" i="30"/>
  <c r="AG724" i="30"/>
  <c r="AF724" i="30"/>
  <c r="AE724" i="30"/>
  <c r="AD724" i="30"/>
  <c r="AC724" i="30"/>
  <c r="AB724" i="30"/>
  <c r="AA724" i="30"/>
  <c r="Z724" i="30"/>
  <c r="Y724" i="30"/>
  <c r="X724" i="30"/>
  <c r="W724" i="30"/>
  <c r="V724" i="30"/>
  <c r="U724" i="30"/>
  <c r="T724" i="30"/>
  <c r="S724" i="30"/>
  <c r="R724" i="30"/>
  <c r="Q724" i="30"/>
  <c r="P724" i="30"/>
  <c r="O724" i="30"/>
  <c r="N724" i="30"/>
  <c r="M724" i="30"/>
  <c r="L724" i="30"/>
  <c r="K724" i="30"/>
  <c r="J724" i="30"/>
  <c r="I724" i="30"/>
  <c r="H724" i="30"/>
  <c r="G724" i="30"/>
  <c r="F724" i="30"/>
  <c r="D724" i="30"/>
  <c r="C724" i="30"/>
  <c r="BA723" i="30"/>
  <c r="AV723" i="30"/>
  <c r="AQ723" i="30"/>
  <c r="AP723" i="30"/>
  <c r="AO723" i="30"/>
  <c r="AN723" i="30"/>
  <c r="AM723" i="30"/>
  <c r="AJ723" i="30"/>
  <c r="AI723" i="30"/>
  <c r="AH723" i="30"/>
  <c r="AG723" i="30"/>
  <c r="AF723" i="30"/>
  <c r="AE723" i="30"/>
  <c r="AD723" i="30"/>
  <c r="AC723" i="30"/>
  <c r="AB723" i="30"/>
  <c r="AA723" i="30"/>
  <c r="Z723" i="30"/>
  <c r="Y723" i="30"/>
  <c r="X723" i="30"/>
  <c r="W723" i="30"/>
  <c r="V723" i="30"/>
  <c r="U723" i="30"/>
  <c r="T723" i="30"/>
  <c r="S723" i="30"/>
  <c r="R723" i="30"/>
  <c r="Q723" i="30"/>
  <c r="P723" i="30"/>
  <c r="O723" i="30"/>
  <c r="N723" i="30"/>
  <c r="M723" i="30"/>
  <c r="L723" i="30"/>
  <c r="K723" i="30"/>
  <c r="J723" i="30"/>
  <c r="I723" i="30"/>
  <c r="H723" i="30"/>
  <c r="G723" i="30"/>
  <c r="F723" i="30"/>
  <c r="D723" i="30"/>
  <c r="C723" i="30"/>
  <c r="BA722" i="30"/>
  <c r="AV722" i="30"/>
  <c r="AQ722" i="30"/>
  <c r="AP722" i="30"/>
  <c r="AO722" i="30"/>
  <c r="AN722" i="30"/>
  <c r="AM722" i="30"/>
  <c r="AJ722" i="30"/>
  <c r="AI722" i="30"/>
  <c r="AH722" i="30"/>
  <c r="AG722" i="30"/>
  <c r="AF722" i="30"/>
  <c r="AE722" i="30"/>
  <c r="AD722" i="30"/>
  <c r="AC722" i="30"/>
  <c r="AB722" i="30"/>
  <c r="AA722" i="30"/>
  <c r="Z722" i="30"/>
  <c r="Y722" i="30"/>
  <c r="X722" i="30"/>
  <c r="W722" i="30"/>
  <c r="V722" i="30"/>
  <c r="U722" i="30"/>
  <c r="T722" i="30"/>
  <c r="S722" i="30"/>
  <c r="R722" i="30"/>
  <c r="Q722" i="30"/>
  <c r="P722" i="30"/>
  <c r="O722" i="30"/>
  <c r="N722" i="30"/>
  <c r="M722" i="30"/>
  <c r="L722" i="30"/>
  <c r="K722" i="30"/>
  <c r="J722" i="30"/>
  <c r="I722" i="30"/>
  <c r="H722" i="30"/>
  <c r="G722" i="30"/>
  <c r="F722" i="30"/>
  <c r="D722" i="30"/>
  <c r="C722" i="30"/>
  <c r="BA721" i="30"/>
  <c r="AV721" i="30"/>
  <c r="AQ721" i="30"/>
  <c r="AP721" i="30"/>
  <c r="AO721" i="30"/>
  <c r="AN721" i="30"/>
  <c r="AM721" i="30"/>
  <c r="AJ721" i="30"/>
  <c r="AI721" i="30"/>
  <c r="AH721" i="30"/>
  <c r="AG721" i="30"/>
  <c r="AF721" i="30"/>
  <c r="AE721" i="30"/>
  <c r="AD721" i="30"/>
  <c r="AC721" i="30"/>
  <c r="AB721" i="30"/>
  <c r="AA721" i="30"/>
  <c r="Z721" i="30"/>
  <c r="Y721" i="30"/>
  <c r="X721" i="30"/>
  <c r="W721" i="30"/>
  <c r="V721" i="30"/>
  <c r="U721" i="30"/>
  <c r="T721" i="30"/>
  <c r="S721" i="30"/>
  <c r="R721" i="30"/>
  <c r="Q721" i="30"/>
  <c r="P721" i="30"/>
  <c r="O721" i="30"/>
  <c r="N721" i="30"/>
  <c r="M721" i="30"/>
  <c r="L721" i="30"/>
  <c r="K721" i="30"/>
  <c r="J721" i="30"/>
  <c r="I721" i="30"/>
  <c r="H721" i="30"/>
  <c r="G721" i="30"/>
  <c r="F721" i="30"/>
  <c r="D721" i="30"/>
  <c r="C721" i="30"/>
  <c r="BA720" i="30"/>
  <c r="AV720" i="30"/>
  <c r="AQ720" i="30"/>
  <c r="AP720" i="30"/>
  <c r="AO720" i="30"/>
  <c r="AN720" i="30"/>
  <c r="AM720" i="30"/>
  <c r="AK720" i="30"/>
  <c r="AJ720" i="30"/>
  <c r="AI720" i="30"/>
  <c r="AH720" i="30"/>
  <c r="AG720" i="30"/>
  <c r="AF720" i="30"/>
  <c r="AE720" i="30"/>
  <c r="AD720" i="30"/>
  <c r="AC720" i="30"/>
  <c r="AB720" i="30"/>
  <c r="AA720" i="30"/>
  <c r="Z720" i="30"/>
  <c r="Y720" i="30"/>
  <c r="X720" i="30"/>
  <c r="W720" i="30"/>
  <c r="V720" i="30"/>
  <c r="U720" i="30"/>
  <c r="T720" i="30"/>
  <c r="S720" i="30"/>
  <c r="R720" i="30"/>
  <c r="Q720" i="30"/>
  <c r="P720" i="30"/>
  <c r="O720" i="30"/>
  <c r="N720" i="30"/>
  <c r="M720" i="30"/>
  <c r="L720" i="30"/>
  <c r="K720" i="30"/>
  <c r="J720" i="30"/>
  <c r="I720" i="30"/>
  <c r="H720" i="30"/>
  <c r="G720" i="30"/>
  <c r="F720" i="30"/>
  <c r="D720" i="30"/>
  <c r="C720" i="30"/>
  <c r="BA719" i="30"/>
  <c r="AV719" i="30"/>
  <c r="AQ719" i="30"/>
  <c r="AP719" i="30"/>
  <c r="AO719" i="30"/>
  <c r="AN719" i="30"/>
  <c r="AM719" i="30"/>
  <c r="AK719" i="30"/>
  <c r="AJ719" i="30"/>
  <c r="AI719" i="30"/>
  <c r="AH719" i="30"/>
  <c r="AG719" i="30"/>
  <c r="AF719" i="30"/>
  <c r="AE719" i="30"/>
  <c r="AD719" i="30"/>
  <c r="AC719" i="30"/>
  <c r="AB719" i="30"/>
  <c r="AA719" i="30"/>
  <c r="Z719" i="30"/>
  <c r="Y719" i="30"/>
  <c r="X719" i="30"/>
  <c r="W719" i="30"/>
  <c r="V719" i="30"/>
  <c r="U719" i="30"/>
  <c r="T719" i="30"/>
  <c r="S719" i="30"/>
  <c r="R719" i="30"/>
  <c r="Q719" i="30"/>
  <c r="P719" i="30"/>
  <c r="O719" i="30"/>
  <c r="N719" i="30"/>
  <c r="M719" i="30"/>
  <c r="L719" i="30"/>
  <c r="K719" i="30"/>
  <c r="J719" i="30"/>
  <c r="I719" i="30"/>
  <c r="H719" i="30"/>
  <c r="G719" i="30"/>
  <c r="F719" i="30"/>
  <c r="D719" i="30"/>
  <c r="C719" i="30"/>
  <c r="BA718" i="30"/>
  <c r="AV718" i="30"/>
  <c r="AQ718" i="30"/>
  <c r="AP718" i="30"/>
  <c r="AO718" i="30"/>
  <c r="AN718" i="30"/>
  <c r="AM718" i="30"/>
  <c r="V718" i="30"/>
  <c r="U718" i="30"/>
  <c r="T718" i="30"/>
  <c r="S718" i="30"/>
  <c r="R718" i="30"/>
  <c r="Q718" i="30"/>
  <c r="P718" i="30"/>
  <c r="O718" i="30"/>
  <c r="N718" i="30"/>
  <c r="M718" i="30"/>
  <c r="L718" i="30"/>
  <c r="K718" i="30"/>
  <c r="J718" i="30"/>
  <c r="I718" i="30"/>
  <c r="H718" i="30"/>
  <c r="G718" i="30"/>
  <c r="F718" i="30"/>
  <c r="D718" i="30"/>
  <c r="C718" i="30"/>
  <c r="BA717" i="30"/>
  <c r="AV717" i="30"/>
  <c r="AQ717" i="30"/>
  <c r="AP717" i="30"/>
  <c r="AO717" i="30"/>
  <c r="AN717" i="30"/>
  <c r="AM717" i="30"/>
  <c r="AL717" i="30"/>
  <c r="AK717" i="30"/>
  <c r="AJ717" i="30"/>
  <c r="AI717" i="30"/>
  <c r="AH717" i="30"/>
  <c r="AG717" i="30"/>
  <c r="AF717" i="30"/>
  <c r="AE717" i="30"/>
  <c r="AD717" i="30"/>
  <c r="AC717" i="30"/>
  <c r="AB717" i="30"/>
  <c r="AA717" i="30"/>
  <c r="Z717" i="30"/>
  <c r="Y717" i="30"/>
  <c r="X717" i="30"/>
  <c r="W717" i="30"/>
  <c r="V717" i="30"/>
  <c r="U717" i="30"/>
  <c r="T717" i="30"/>
  <c r="S717" i="30"/>
  <c r="R717" i="30"/>
  <c r="Q717" i="30"/>
  <c r="P717" i="30"/>
  <c r="O717" i="30"/>
  <c r="N717" i="30"/>
  <c r="M717" i="30"/>
  <c r="L717" i="30"/>
  <c r="K717" i="30"/>
  <c r="J717" i="30"/>
  <c r="I717" i="30"/>
  <c r="H717" i="30"/>
  <c r="G717" i="30"/>
  <c r="F717" i="30"/>
  <c r="D717" i="30"/>
  <c r="C717" i="30"/>
  <c r="BA716" i="30"/>
  <c r="AV716" i="30"/>
  <c r="AQ716" i="30"/>
  <c r="AP716" i="30"/>
  <c r="AO716" i="30"/>
  <c r="AN716" i="30"/>
  <c r="AM716" i="30"/>
  <c r="AK716" i="30"/>
  <c r="AJ716" i="30"/>
  <c r="AI716" i="30"/>
  <c r="AH716" i="30"/>
  <c r="AG716" i="30"/>
  <c r="AF716" i="30"/>
  <c r="AE716" i="30"/>
  <c r="AD716" i="30"/>
  <c r="AC716" i="30"/>
  <c r="AB716" i="30"/>
  <c r="AA716" i="30"/>
  <c r="Z716" i="30"/>
  <c r="Y716" i="30"/>
  <c r="X716" i="30"/>
  <c r="W716" i="30"/>
  <c r="V716" i="30"/>
  <c r="U716" i="30"/>
  <c r="T716" i="30"/>
  <c r="S716" i="30"/>
  <c r="R716" i="30"/>
  <c r="Q716" i="30"/>
  <c r="P716" i="30"/>
  <c r="O716" i="30"/>
  <c r="N716" i="30"/>
  <c r="M716" i="30"/>
  <c r="L716" i="30"/>
  <c r="K716" i="30"/>
  <c r="J716" i="30"/>
  <c r="I716" i="30"/>
  <c r="H716" i="30"/>
  <c r="G716" i="30"/>
  <c r="F716" i="30"/>
  <c r="D716" i="30"/>
  <c r="C716" i="30"/>
  <c r="BA715" i="30"/>
  <c r="AV715" i="30"/>
  <c r="AQ715" i="30"/>
  <c r="AP715" i="30"/>
  <c r="AO715" i="30"/>
  <c r="AN715" i="30"/>
  <c r="AM715" i="30"/>
  <c r="AL715" i="30"/>
  <c r="AK715" i="30"/>
  <c r="AJ715" i="30"/>
  <c r="AI715" i="30"/>
  <c r="AH715" i="30"/>
  <c r="AG715" i="30"/>
  <c r="AF715" i="30"/>
  <c r="AE715" i="30"/>
  <c r="AD715" i="30"/>
  <c r="AC715" i="30"/>
  <c r="AB715" i="30"/>
  <c r="AA715" i="30"/>
  <c r="Z715" i="30"/>
  <c r="Y715" i="30"/>
  <c r="X715" i="30"/>
  <c r="W715" i="30"/>
  <c r="V715" i="30"/>
  <c r="U715" i="30"/>
  <c r="T715" i="30"/>
  <c r="S715" i="30"/>
  <c r="R715" i="30"/>
  <c r="Q715" i="30"/>
  <c r="P715" i="30"/>
  <c r="O715" i="30"/>
  <c r="N715" i="30"/>
  <c r="M715" i="30"/>
  <c r="L715" i="30"/>
  <c r="K715" i="30"/>
  <c r="J715" i="30"/>
  <c r="I715" i="30"/>
  <c r="H715" i="30"/>
  <c r="G715" i="30"/>
  <c r="F715" i="30"/>
  <c r="D715" i="30"/>
  <c r="C715" i="30"/>
  <c r="BA714" i="30"/>
  <c r="AV714" i="30"/>
  <c r="AQ714" i="30"/>
  <c r="AP714" i="30"/>
  <c r="AO714" i="30"/>
  <c r="AN714" i="30"/>
  <c r="AM714" i="30"/>
  <c r="AL714" i="30"/>
  <c r="AK714" i="30"/>
  <c r="AJ714" i="30"/>
  <c r="AI714" i="30"/>
  <c r="AH714" i="30"/>
  <c r="AG714" i="30"/>
  <c r="AF714" i="30"/>
  <c r="AE714" i="30"/>
  <c r="AD714" i="30"/>
  <c r="AC714" i="30"/>
  <c r="AB714" i="30"/>
  <c r="AA714" i="30"/>
  <c r="Z714" i="30"/>
  <c r="Y714" i="30"/>
  <c r="X714" i="30"/>
  <c r="W714" i="30"/>
  <c r="V714" i="30"/>
  <c r="U714" i="30"/>
  <c r="T714" i="30"/>
  <c r="S714" i="30"/>
  <c r="R714" i="30"/>
  <c r="Q714" i="30"/>
  <c r="P714" i="30"/>
  <c r="O714" i="30"/>
  <c r="N714" i="30"/>
  <c r="M714" i="30"/>
  <c r="L714" i="30"/>
  <c r="K714" i="30"/>
  <c r="J714" i="30"/>
  <c r="I714" i="30"/>
  <c r="H714" i="30"/>
  <c r="G714" i="30"/>
  <c r="F714" i="30"/>
  <c r="D714" i="30"/>
  <c r="C714" i="30"/>
  <c r="B714" i="30"/>
  <c r="A714" i="30"/>
  <c r="BA713" i="30"/>
  <c r="AV713" i="30"/>
  <c r="AQ713" i="30"/>
  <c r="AP713" i="30"/>
  <c r="AO713" i="30"/>
  <c r="AN713" i="30"/>
  <c r="AM713" i="30"/>
  <c r="W713" i="30"/>
  <c r="V713" i="30"/>
  <c r="U713" i="30"/>
  <c r="T713" i="30"/>
  <c r="S713" i="30"/>
  <c r="R713" i="30"/>
  <c r="Q713" i="30"/>
  <c r="P713" i="30"/>
  <c r="O713" i="30"/>
  <c r="N713" i="30"/>
  <c r="M713" i="30"/>
  <c r="L713" i="30"/>
  <c r="K713" i="30"/>
  <c r="J713" i="30"/>
  <c r="I713" i="30"/>
  <c r="H713" i="30"/>
  <c r="G713" i="30"/>
  <c r="F713" i="30"/>
  <c r="D713" i="30"/>
  <c r="C713" i="30"/>
  <c r="BA712" i="30"/>
  <c r="AV712" i="30"/>
  <c r="AQ712" i="30"/>
  <c r="AP712" i="30"/>
  <c r="AO712" i="30"/>
  <c r="AN712" i="30"/>
  <c r="AM712" i="30"/>
  <c r="W712" i="30"/>
  <c r="V712" i="30"/>
  <c r="U712" i="30"/>
  <c r="T712" i="30"/>
  <c r="S712" i="30"/>
  <c r="R712" i="30"/>
  <c r="Q712" i="30"/>
  <c r="P712" i="30"/>
  <c r="O712" i="30"/>
  <c r="N712" i="30"/>
  <c r="M712" i="30"/>
  <c r="L712" i="30"/>
  <c r="K712" i="30"/>
  <c r="J712" i="30"/>
  <c r="I712" i="30"/>
  <c r="H712" i="30"/>
  <c r="G712" i="30"/>
  <c r="F712" i="30"/>
  <c r="D712" i="30"/>
  <c r="C712" i="30"/>
  <c r="BA711" i="30"/>
  <c r="AV711" i="30"/>
  <c r="AQ711" i="30"/>
  <c r="AP711" i="30"/>
  <c r="AO711" i="30"/>
  <c r="AN711" i="30"/>
  <c r="AM711" i="30"/>
  <c r="W711" i="30"/>
  <c r="V711" i="30"/>
  <c r="U711" i="30"/>
  <c r="T711" i="30"/>
  <c r="S711" i="30"/>
  <c r="R711" i="30"/>
  <c r="Q711" i="30"/>
  <c r="P711" i="30"/>
  <c r="O711" i="30"/>
  <c r="N711" i="30"/>
  <c r="M711" i="30"/>
  <c r="L711" i="30"/>
  <c r="K711" i="30"/>
  <c r="J711" i="30"/>
  <c r="I711" i="30"/>
  <c r="H711" i="30"/>
  <c r="G711" i="30"/>
  <c r="F711" i="30"/>
  <c r="D711" i="30"/>
  <c r="C711" i="30"/>
  <c r="BA708" i="30"/>
  <c r="AV708" i="30"/>
  <c r="AQ708" i="30"/>
  <c r="AP708" i="30"/>
  <c r="AO708" i="30"/>
  <c r="AN708" i="30"/>
  <c r="AM708" i="30"/>
  <c r="AK708" i="30"/>
  <c r="AJ708" i="30"/>
  <c r="AI708" i="30"/>
  <c r="AH708" i="30"/>
  <c r="AG708" i="30"/>
  <c r="AF708" i="30"/>
  <c r="AE708" i="30"/>
  <c r="AD708" i="30"/>
  <c r="AC708" i="30"/>
  <c r="AB708" i="30"/>
  <c r="AA708" i="30"/>
  <c r="Z708" i="30"/>
  <c r="Y708" i="30"/>
  <c r="X708" i="30"/>
  <c r="W708" i="30"/>
  <c r="V708" i="30"/>
  <c r="U708" i="30"/>
  <c r="T708" i="30"/>
  <c r="S708" i="30"/>
  <c r="R708" i="30"/>
  <c r="Q708" i="30"/>
  <c r="P708" i="30"/>
  <c r="O708" i="30"/>
  <c r="N708" i="30"/>
  <c r="M708" i="30"/>
  <c r="L708" i="30"/>
  <c r="K708" i="30"/>
  <c r="J708" i="30"/>
  <c r="I708" i="30"/>
  <c r="H708" i="30"/>
  <c r="G708" i="30"/>
  <c r="F708" i="30"/>
  <c r="D708" i="30"/>
  <c r="C708" i="30"/>
  <c r="BA709" i="30"/>
  <c r="AV709" i="30"/>
  <c r="AQ709" i="30"/>
  <c r="AP709" i="30"/>
  <c r="AO709" i="30"/>
  <c r="AN709" i="30"/>
  <c r="AM709" i="30"/>
  <c r="AK709" i="30"/>
  <c r="AJ709" i="30"/>
  <c r="AI709" i="30"/>
  <c r="AH709" i="30"/>
  <c r="AG709" i="30"/>
  <c r="AF709" i="30"/>
  <c r="AE709" i="30"/>
  <c r="AD709" i="30"/>
  <c r="AC709" i="30"/>
  <c r="AB709" i="30"/>
  <c r="AA709" i="30"/>
  <c r="Z709" i="30"/>
  <c r="Y709" i="30"/>
  <c r="X709" i="30"/>
  <c r="W709" i="30"/>
  <c r="V709" i="30"/>
  <c r="U709" i="30"/>
  <c r="T709" i="30"/>
  <c r="S709" i="30"/>
  <c r="R709" i="30"/>
  <c r="Q709" i="30"/>
  <c r="P709" i="30"/>
  <c r="O709" i="30"/>
  <c r="N709" i="30"/>
  <c r="M709" i="30"/>
  <c r="L709" i="30"/>
  <c r="K709" i="30"/>
  <c r="J709" i="30"/>
  <c r="I709" i="30"/>
  <c r="H709" i="30"/>
  <c r="G709" i="30"/>
  <c r="C709" i="30"/>
  <c r="BA706" i="30"/>
  <c r="AV706" i="30"/>
  <c r="AQ706" i="30"/>
  <c r="AP706" i="30"/>
  <c r="AO706" i="30"/>
  <c r="AN706" i="30"/>
  <c r="AM706" i="30"/>
  <c r="AK706" i="30"/>
  <c r="AJ706" i="30"/>
  <c r="AI706" i="30"/>
  <c r="AA706" i="30"/>
  <c r="Z706" i="30"/>
  <c r="Y706" i="30"/>
  <c r="X706" i="30"/>
  <c r="W706" i="30"/>
  <c r="V706" i="30"/>
  <c r="U706" i="30"/>
  <c r="T706" i="30"/>
  <c r="S706" i="30"/>
  <c r="R706" i="30"/>
  <c r="Q706" i="30"/>
  <c r="P706" i="30"/>
  <c r="O706" i="30"/>
  <c r="N706" i="30"/>
  <c r="M706" i="30"/>
  <c r="L706" i="30"/>
  <c r="K706" i="30"/>
  <c r="J706" i="30"/>
  <c r="I706" i="30"/>
  <c r="H706" i="30"/>
  <c r="G706" i="30"/>
  <c r="F706" i="30"/>
  <c r="D706" i="30"/>
  <c r="C706" i="30"/>
  <c r="BA705" i="30"/>
  <c r="AV705" i="30"/>
  <c r="AQ705" i="30"/>
  <c r="AP705" i="30"/>
  <c r="AO705" i="30"/>
  <c r="AN705" i="30"/>
  <c r="AM705" i="30"/>
  <c r="AK705" i="30"/>
  <c r="AJ705" i="30"/>
  <c r="AI705" i="30"/>
  <c r="AH705" i="30"/>
  <c r="AG705" i="30"/>
  <c r="AF705" i="30"/>
  <c r="AE705" i="30"/>
  <c r="AD705" i="30"/>
  <c r="AC705" i="30"/>
  <c r="AB705" i="30"/>
  <c r="AA705" i="30"/>
  <c r="Z705" i="30"/>
  <c r="Y705" i="30"/>
  <c r="X705" i="30"/>
  <c r="W705" i="30"/>
  <c r="V705" i="30"/>
  <c r="U705" i="30"/>
  <c r="T705" i="30"/>
  <c r="S705" i="30"/>
  <c r="R705" i="30"/>
  <c r="Q705" i="30"/>
  <c r="P705" i="30"/>
  <c r="O705" i="30"/>
  <c r="N705" i="30"/>
  <c r="M705" i="30"/>
  <c r="L705" i="30"/>
  <c r="K705" i="30"/>
  <c r="J705" i="30"/>
  <c r="I705" i="30"/>
  <c r="H705" i="30"/>
  <c r="G705" i="30"/>
  <c r="F705" i="30"/>
  <c r="D705" i="30"/>
  <c r="C705" i="30"/>
  <c r="BA704" i="30"/>
  <c r="AV704" i="30"/>
  <c r="AQ704" i="30"/>
  <c r="AP704" i="30"/>
  <c r="AO704" i="30"/>
  <c r="AN704" i="30"/>
  <c r="AM704" i="30"/>
  <c r="V704" i="30"/>
  <c r="S704" i="30"/>
  <c r="O704" i="30"/>
  <c r="N704" i="30"/>
  <c r="M704" i="30"/>
  <c r="L704" i="30"/>
  <c r="K704" i="30"/>
  <c r="J704" i="30"/>
  <c r="I704" i="30"/>
  <c r="H704" i="30"/>
  <c r="G704" i="30"/>
  <c r="F704" i="30"/>
  <c r="D704" i="30"/>
  <c r="C704" i="30"/>
  <c r="BA696" i="30"/>
  <c r="AV696" i="30"/>
  <c r="AQ696" i="30"/>
  <c r="AP696" i="30"/>
  <c r="AO696" i="30"/>
  <c r="AN696" i="30"/>
  <c r="AM696" i="30"/>
  <c r="AK696" i="30"/>
  <c r="AJ696" i="30"/>
  <c r="AI696" i="30"/>
  <c r="AH696" i="30"/>
  <c r="AG696" i="30"/>
  <c r="AF696" i="30"/>
  <c r="AE696" i="30"/>
  <c r="AD696" i="30"/>
  <c r="AC696" i="30"/>
  <c r="AB696" i="30"/>
  <c r="AA696" i="30"/>
  <c r="Z696" i="30"/>
  <c r="Y696" i="30"/>
  <c r="X696" i="30"/>
  <c r="W696" i="30"/>
  <c r="V696" i="30"/>
  <c r="U696" i="30"/>
  <c r="T696" i="30"/>
  <c r="S696" i="30"/>
  <c r="R696" i="30"/>
  <c r="Q696" i="30"/>
  <c r="P696" i="30"/>
  <c r="O696" i="30"/>
  <c r="N696" i="30"/>
  <c r="M696" i="30"/>
  <c r="L696" i="30"/>
  <c r="K696" i="30"/>
  <c r="J696" i="30"/>
  <c r="I696" i="30"/>
  <c r="H696" i="30"/>
  <c r="G696" i="30"/>
  <c r="F696" i="30"/>
  <c r="D696" i="30"/>
  <c r="C696" i="30"/>
  <c r="BA695" i="30"/>
  <c r="AV695" i="30"/>
  <c r="AQ695" i="30"/>
  <c r="AP695" i="30"/>
  <c r="AO695" i="30"/>
  <c r="AN695" i="30"/>
  <c r="AM695" i="30"/>
  <c r="AJ695" i="30"/>
  <c r="AI695" i="30"/>
  <c r="AA695" i="30"/>
  <c r="Z695" i="30"/>
  <c r="Y695" i="30"/>
  <c r="X695" i="30"/>
  <c r="W695" i="30"/>
  <c r="V695" i="30"/>
  <c r="U695" i="30"/>
  <c r="T695" i="30"/>
  <c r="S695" i="30"/>
  <c r="R695" i="30"/>
  <c r="Q695" i="30"/>
  <c r="P695" i="30"/>
  <c r="O695" i="30"/>
  <c r="N695" i="30"/>
  <c r="M695" i="30"/>
  <c r="L695" i="30"/>
  <c r="K695" i="30"/>
  <c r="J695" i="30"/>
  <c r="I695" i="30"/>
  <c r="H695" i="30"/>
  <c r="G695" i="30"/>
  <c r="F695" i="30"/>
  <c r="D695" i="30"/>
  <c r="C695" i="30"/>
  <c r="BA694" i="30"/>
  <c r="AV694" i="30"/>
  <c r="AQ694" i="30"/>
  <c r="AP694" i="30"/>
  <c r="AO694" i="30"/>
  <c r="AN694" i="30"/>
  <c r="AM694" i="30"/>
  <c r="AK694" i="30"/>
  <c r="AJ694" i="30"/>
  <c r="AI694" i="30"/>
  <c r="AH694" i="30"/>
  <c r="AG694" i="30"/>
  <c r="AF694" i="30"/>
  <c r="AE694" i="30"/>
  <c r="AD694" i="30"/>
  <c r="AC694" i="30"/>
  <c r="AB694" i="30"/>
  <c r="AA694" i="30"/>
  <c r="Z694" i="30"/>
  <c r="Y694" i="30"/>
  <c r="X694" i="30"/>
  <c r="W694" i="30"/>
  <c r="V694" i="30"/>
  <c r="U694" i="30"/>
  <c r="T694" i="30"/>
  <c r="S694" i="30"/>
  <c r="R694" i="30"/>
  <c r="Q694" i="30"/>
  <c r="P694" i="30"/>
  <c r="O694" i="30"/>
  <c r="N694" i="30"/>
  <c r="M694" i="30"/>
  <c r="L694" i="30"/>
  <c r="K694" i="30"/>
  <c r="J694" i="30"/>
  <c r="I694" i="30"/>
  <c r="H694" i="30"/>
  <c r="G694" i="30"/>
  <c r="F694" i="30"/>
  <c r="C694" i="30"/>
  <c r="BA693" i="30"/>
  <c r="AV693" i="30"/>
  <c r="AQ693" i="30"/>
  <c r="AP693" i="30"/>
  <c r="AO693" i="30"/>
  <c r="AN693" i="30"/>
  <c r="AM693" i="30"/>
  <c r="AL693" i="30"/>
  <c r="V693" i="30"/>
  <c r="S693" i="30"/>
  <c r="R693" i="30"/>
  <c r="Q693" i="30"/>
  <c r="P693" i="30"/>
  <c r="O693" i="30"/>
  <c r="N693" i="30"/>
  <c r="M693" i="30"/>
  <c r="L693" i="30"/>
  <c r="K693" i="30"/>
  <c r="J693" i="30"/>
  <c r="I693" i="30"/>
  <c r="H693" i="30"/>
  <c r="G693" i="30"/>
  <c r="F693" i="30"/>
  <c r="D693" i="30"/>
  <c r="C693" i="30"/>
  <c r="BA692" i="30"/>
  <c r="AV692" i="30"/>
  <c r="AQ692" i="30"/>
  <c r="AP692" i="30"/>
  <c r="AO692" i="30"/>
  <c r="AN692" i="30"/>
  <c r="AM692" i="30"/>
  <c r="AL692" i="30"/>
  <c r="AK692" i="30"/>
  <c r="AJ692" i="30"/>
  <c r="AI692" i="30"/>
  <c r="AH692" i="30"/>
  <c r="AG692" i="30"/>
  <c r="AF692" i="30"/>
  <c r="AE692" i="30"/>
  <c r="AD692" i="30"/>
  <c r="AC692" i="30"/>
  <c r="AB692" i="30"/>
  <c r="AA692" i="30"/>
  <c r="Z692" i="30"/>
  <c r="Y692" i="30"/>
  <c r="X692" i="30"/>
  <c r="W692" i="30"/>
  <c r="V692" i="30"/>
  <c r="U692" i="30"/>
  <c r="T692" i="30"/>
  <c r="S692" i="30"/>
  <c r="R692" i="30"/>
  <c r="Q692" i="30"/>
  <c r="P692" i="30"/>
  <c r="O692" i="30"/>
  <c r="N692" i="30"/>
  <c r="M692" i="30"/>
  <c r="L692" i="30"/>
  <c r="K692" i="30"/>
  <c r="J692" i="30"/>
  <c r="I692" i="30"/>
  <c r="H692" i="30"/>
  <c r="G692" i="30"/>
  <c r="F692" i="30"/>
  <c r="D692" i="30"/>
  <c r="C692" i="30"/>
  <c r="BA691" i="30"/>
  <c r="AV691" i="30"/>
  <c r="AQ691" i="30"/>
  <c r="AP691" i="30"/>
  <c r="AO691" i="30"/>
  <c r="AN691" i="30"/>
  <c r="AM691" i="30"/>
  <c r="AJ691" i="30"/>
  <c r="AI691" i="30"/>
  <c r="AA691" i="30"/>
  <c r="Z691" i="30"/>
  <c r="Y691" i="30"/>
  <c r="X691" i="30"/>
  <c r="W691" i="30"/>
  <c r="V691" i="30"/>
  <c r="U691" i="30"/>
  <c r="T691" i="30"/>
  <c r="S691" i="30"/>
  <c r="R691" i="30"/>
  <c r="Q691" i="30"/>
  <c r="P691" i="30"/>
  <c r="O691" i="30"/>
  <c r="N691" i="30"/>
  <c r="M691" i="30"/>
  <c r="L691" i="30"/>
  <c r="K691" i="30"/>
  <c r="J691" i="30"/>
  <c r="I691" i="30"/>
  <c r="H691" i="30"/>
  <c r="G691" i="30"/>
  <c r="F691" i="30"/>
  <c r="D691" i="30"/>
  <c r="C691" i="30"/>
  <c r="BA690" i="30"/>
  <c r="AV690" i="30"/>
  <c r="AQ690" i="30"/>
  <c r="AP690" i="30"/>
  <c r="AO690" i="30"/>
  <c r="AN690" i="30"/>
  <c r="AM690" i="30"/>
  <c r="AA690" i="30"/>
  <c r="Z690" i="30"/>
  <c r="Y690" i="30"/>
  <c r="X690" i="30"/>
  <c r="W690" i="30"/>
  <c r="V690" i="30"/>
  <c r="U690" i="30"/>
  <c r="T690" i="30"/>
  <c r="S690" i="30"/>
  <c r="R690" i="30"/>
  <c r="Q690" i="30"/>
  <c r="P690" i="30"/>
  <c r="O690" i="30"/>
  <c r="N690" i="30"/>
  <c r="M690" i="30"/>
  <c r="L690" i="30"/>
  <c r="K690" i="30"/>
  <c r="J690" i="30"/>
  <c r="I690" i="30"/>
  <c r="H690" i="30"/>
  <c r="G690" i="30"/>
  <c r="F690" i="30"/>
  <c r="D690" i="30"/>
  <c r="C690" i="30"/>
  <c r="BA689" i="30"/>
  <c r="AV689" i="30"/>
  <c r="AQ689" i="30"/>
  <c r="AP689" i="30"/>
  <c r="AO689" i="30"/>
  <c r="AN689" i="30"/>
  <c r="AM689" i="30"/>
  <c r="AJ689" i="30"/>
  <c r="AI689" i="30"/>
  <c r="AA689" i="30"/>
  <c r="Z689" i="30"/>
  <c r="Y689" i="30"/>
  <c r="X689" i="30"/>
  <c r="W689" i="30"/>
  <c r="V689" i="30"/>
  <c r="U689" i="30"/>
  <c r="T689" i="30"/>
  <c r="S689" i="30"/>
  <c r="R689" i="30"/>
  <c r="Q689" i="30"/>
  <c r="P689" i="30"/>
  <c r="O689" i="30"/>
  <c r="N689" i="30"/>
  <c r="M689" i="30"/>
  <c r="L689" i="30"/>
  <c r="K689" i="30"/>
  <c r="J689" i="30"/>
  <c r="I689" i="30"/>
  <c r="H689" i="30"/>
  <c r="G689" i="30"/>
  <c r="F689" i="30"/>
  <c r="D689" i="30"/>
  <c r="C689" i="30"/>
  <c r="BA688" i="30"/>
  <c r="AV688" i="30"/>
  <c r="AQ688" i="30"/>
  <c r="AP688" i="30"/>
  <c r="AO688" i="30"/>
  <c r="AN688" i="30"/>
  <c r="AM688" i="30"/>
  <c r="AL688" i="30"/>
  <c r="AK688" i="30"/>
  <c r="AJ688" i="30"/>
  <c r="AI688" i="30"/>
  <c r="AH688" i="30"/>
  <c r="AG688" i="30"/>
  <c r="AF688" i="30"/>
  <c r="AE688" i="30"/>
  <c r="AD688" i="30"/>
  <c r="AC688" i="30"/>
  <c r="AB688" i="30"/>
  <c r="AA688" i="30"/>
  <c r="Z688" i="30"/>
  <c r="Y688" i="30"/>
  <c r="X688" i="30"/>
  <c r="W688" i="30"/>
  <c r="V688" i="30"/>
  <c r="U688" i="30"/>
  <c r="T688" i="30"/>
  <c r="S688" i="30"/>
  <c r="R688" i="30"/>
  <c r="Q688" i="30"/>
  <c r="P688" i="30"/>
  <c r="O688" i="30"/>
  <c r="N688" i="30"/>
  <c r="M688" i="30"/>
  <c r="L688" i="30"/>
  <c r="K688" i="30"/>
  <c r="J688" i="30"/>
  <c r="I688" i="30"/>
  <c r="H688" i="30"/>
  <c r="G688" i="30"/>
  <c r="F688" i="30"/>
  <c r="D688" i="30"/>
  <c r="C688" i="30"/>
  <c r="BA687" i="30"/>
  <c r="AV687" i="30"/>
  <c r="AQ687" i="30"/>
  <c r="AP687" i="30"/>
  <c r="AO687" i="30"/>
  <c r="AN687" i="30"/>
  <c r="AM687" i="30"/>
  <c r="AL687" i="30"/>
  <c r="AK687" i="30"/>
  <c r="AJ687" i="30"/>
  <c r="AI687" i="30"/>
  <c r="AH687" i="30"/>
  <c r="AG687" i="30"/>
  <c r="AF687" i="30"/>
  <c r="AE687" i="30"/>
  <c r="AD687" i="30"/>
  <c r="AC687" i="30"/>
  <c r="AB687" i="30"/>
  <c r="AA687" i="30"/>
  <c r="Z687" i="30"/>
  <c r="Y687" i="30"/>
  <c r="X687" i="30"/>
  <c r="W687" i="30"/>
  <c r="V687" i="30"/>
  <c r="U687" i="30"/>
  <c r="T687" i="30"/>
  <c r="S687" i="30"/>
  <c r="R687" i="30"/>
  <c r="Q687" i="30"/>
  <c r="P687" i="30"/>
  <c r="O687" i="30"/>
  <c r="N687" i="30"/>
  <c r="M687" i="30"/>
  <c r="L687" i="30"/>
  <c r="K687" i="30"/>
  <c r="J687" i="30"/>
  <c r="I687" i="30"/>
  <c r="H687" i="30"/>
  <c r="G687" i="30"/>
  <c r="F687" i="30"/>
  <c r="D687" i="30"/>
  <c r="C687" i="30"/>
  <c r="BA686" i="30"/>
  <c r="AV686" i="30"/>
  <c r="AQ686" i="30"/>
  <c r="AP686" i="30"/>
  <c r="AO686" i="30"/>
  <c r="AN686" i="30"/>
  <c r="AM686" i="30"/>
  <c r="AL686" i="30"/>
  <c r="AK686" i="30"/>
  <c r="AJ686" i="30"/>
  <c r="AI686" i="30"/>
  <c r="AH686" i="30"/>
  <c r="AG686" i="30"/>
  <c r="AF686" i="30"/>
  <c r="AE686" i="30"/>
  <c r="AD686" i="30"/>
  <c r="AC686" i="30"/>
  <c r="AB686" i="30"/>
  <c r="AA686" i="30"/>
  <c r="Z686" i="30"/>
  <c r="Y686" i="30"/>
  <c r="X686" i="30"/>
  <c r="W686" i="30"/>
  <c r="V686" i="30"/>
  <c r="U686" i="30"/>
  <c r="T686" i="30"/>
  <c r="S686" i="30"/>
  <c r="R686" i="30"/>
  <c r="Q686" i="30"/>
  <c r="P686" i="30"/>
  <c r="O686" i="30"/>
  <c r="N686" i="30"/>
  <c r="M686" i="30"/>
  <c r="L686" i="30"/>
  <c r="K686" i="30"/>
  <c r="J686" i="30"/>
  <c r="I686" i="30"/>
  <c r="H686" i="30"/>
  <c r="G686" i="30"/>
  <c r="F686" i="30"/>
  <c r="D686" i="30"/>
  <c r="C686" i="30"/>
  <c r="BA685" i="30"/>
  <c r="AV685" i="30"/>
  <c r="AQ685" i="30"/>
  <c r="AP685" i="30"/>
  <c r="AO685" i="30"/>
  <c r="AN685" i="30"/>
  <c r="AM685" i="30"/>
  <c r="AL685" i="30"/>
  <c r="AK685" i="30"/>
  <c r="AJ685" i="30"/>
  <c r="AI685" i="30"/>
  <c r="AH685" i="30"/>
  <c r="AG685" i="30"/>
  <c r="AF685" i="30"/>
  <c r="AE685" i="30"/>
  <c r="AD685" i="30"/>
  <c r="AC685" i="30"/>
  <c r="AB685" i="30"/>
  <c r="AA685" i="30"/>
  <c r="Z685" i="30"/>
  <c r="Y685" i="30"/>
  <c r="X685" i="30"/>
  <c r="W685" i="30"/>
  <c r="V685" i="30"/>
  <c r="U685" i="30"/>
  <c r="T685" i="30"/>
  <c r="S685" i="30"/>
  <c r="R685" i="30"/>
  <c r="Q685" i="30"/>
  <c r="P685" i="30"/>
  <c r="O685" i="30"/>
  <c r="N685" i="30"/>
  <c r="M685" i="30"/>
  <c r="L685" i="30"/>
  <c r="K685" i="30"/>
  <c r="J685" i="30"/>
  <c r="I685" i="30"/>
  <c r="H685" i="30"/>
  <c r="G685" i="30"/>
  <c r="F685" i="30"/>
  <c r="D685" i="30"/>
  <c r="C685" i="30"/>
  <c r="BA684" i="30"/>
  <c r="AV684" i="30"/>
  <c r="AQ684" i="30"/>
  <c r="AP684" i="30"/>
  <c r="AO684" i="30"/>
  <c r="AN684" i="30"/>
  <c r="AM684" i="30"/>
  <c r="AL684" i="30"/>
  <c r="AK684" i="30"/>
  <c r="AJ684" i="30"/>
  <c r="AI684" i="30"/>
  <c r="AH684" i="30"/>
  <c r="AG684" i="30"/>
  <c r="AF684" i="30"/>
  <c r="AE684" i="30"/>
  <c r="AD684" i="30"/>
  <c r="AC684" i="30"/>
  <c r="AB684" i="30"/>
  <c r="AA684" i="30"/>
  <c r="Z684" i="30"/>
  <c r="Y684" i="30"/>
  <c r="X684" i="30"/>
  <c r="W684" i="30"/>
  <c r="V684" i="30"/>
  <c r="U684" i="30"/>
  <c r="T684" i="30"/>
  <c r="S684" i="30"/>
  <c r="R684" i="30"/>
  <c r="Q684" i="30"/>
  <c r="P684" i="30"/>
  <c r="O684" i="30"/>
  <c r="N684" i="30"/>
  <c r="M684" i="30"/>
  <c r="L684" i="30"/>
  <c r="K684" i="30"/>
  <c r="J684" i="30"/>
  <c r="I684" i="30"/>
  <c r="H684" i="30"/>
  <c r="G684" i="30"/>
  <c r="F684" i="30"/>
  <c r="D684" i="30"/>
  <c r="C684" i="30"/>
  <c r="BA683" i="30"/>
  <c r="AV683" i="30"/>
  <c r="AQ683" i="30"/>
  <c r="AP683" i="30"/>
  <c r="AO683" i="30"/>
  <c r="AN683" i="30"/>
  <c r="AM683" i="30"/>
  <c r="AL683" i="30"/>
  <c r="AK683" i="30"/>
  <c r="AJ683" i="30"/>
  <c r="AI683" i="30"/>
  <c r="AH683" i="30"/>
  <c r="AG683" i="30"/>
  <c r="AF683" i="30"/>
  <c r="AE683" i="30"/>
  <c r="AD683" i="30"/>
  <c r="AC683" i="30"/>
  <c r="AB683" i="30"/>
  <c r="AA683" i="30"/>
  <c r="Z683" i="30"/>
  <c r="Y683" i="30"/>
  <c r="X683" i="30"/>
  <c r="W683" i="30"/>
  <c r="V683" i="30"/>
  <c r="U683" i="30"/>
  <c r="T683" i="30"/>
  <c r="S683" i="30"/>
  <c r="R683" i="30"/>
  <c r="Q683" i="30"/>
  <c r="P683" i="30"/>
  <c r="O683" i="30"/>
  <c r="N683" i="30"/>
  <c r="M683" i="30"/>
  <c r="L683" i="30"/>
  <c r="K683" i="30"/>
  <c r="J683" i="30"/>
  <c r="I683" i="30"/>
  <c r="H683" i="30"/>
  <c r="G683" i="30"/>
  <c r="F683" i="30"/>
  <c r="D683" i="30"/>
  <c r="C683" i="30"/>
  <c r="BA682" i="30"/>
  <c r="AV682" i="30"/>
  <c r="AQ682" i="30"/>
  <c r="AP682" i="30"/>
  <c r="AO682" i="30"/>
  <c r="AN682" i="30"/>
  <c r="AM682" i="30"/>
  <c r="AL682" i="30"/>
  <c r="AK682" i="30"/>
  <c r="AJ682" i="30"/>
  <c r="AI682" i="30"/>
  <c r="AH682" i="30"/>
  <c r="AG682" i="30"/>
  <c r="AF682" i="30"/>
  <c r="AE682" i="30"/>
  <c r="AD682" i="30"/>
  <c r="AC682" i="30"/>
  <c r="AB682" i="30"/>
  <c r="AA682" i="30"/>
  <c r="Z682" i="30"/>
  <c r="Y682" i="30"/>
  <c r="X682" i="30"/>
  <c r="W682" i="30"/>
  <c r="V682" i="30"/>
  <c r="U682" i="30"/>
  <c r="T682" i="30"/>
  <c r="S682" i="30"/>
  <c r="R682" i="30"/>
  <c r="Q682" i="30"/>
  <c r="P682" i="30"/>
  <c r="O682" i="30"/>
  <c r="N682" i="30"/>
  <c r="M682" i="30"/>
  <c r="L682" i="30"/>
  <c r="K682" i="30"/>
  <c r="J682" i="30"/>
  <c r="I682" i="30"/>
  <c r="H682" i="30"/>
  <c r="G682" i="30"/>
  <c r="F682" i="30"/>
  <c r="D682" i="30"/>
  <c r="C682" i="30"/>
  <c r="BA679" i="30"/>
  <c r="AV679" i="30"/>
  <c r="AQ679" i="30"/>
  <c r="AP679" i="30"/>
  <c r="AO679" i="30"/>
  <c r="AN679" i="30"/>
  <c r="AM679" i="30"/>
  <c r="AL679" i="30"/>
  <c r="AK679" i="30"/>
  <c r="AJ679" i="30"/>
  <c r="AI679" i="30"/>
  <c r="AH679" i="30"/>
  <c r="AG679" i="30"/>
  <c r="AF679" i="30"/>
  <c r="AE679" i="30"/>
  <c r="AD679" i="30"/>
  <c r="AC679" i="30"/>
  <c r="AB679" i="30"/>
  <c r="AA679" i="30"/>
  <c r="Z679" i="30"/>
  <c r="Y679" i="30"/>
  <c r="X679" i="30"/>
  <c r="W679" i="30"/>
  <c r="V679" i="30"/>
  <c r="U679" i="30"/>
  <c r="T679" i="30"/>
  <c r="S679" i="30"/>
  <c r="R679" i="30"/>
  <c r="Q679" i="30"/>
  <c r="P679" i="30"/>
  <c r="O679" i="30"/>
  <c r="N679" i="30"/>
  <c r="M679" i="30"/>
  <c r="L679" i="30"/>
  <c r="K679" i="30"/>
  <c r="J679" i="30"/>
  <c r="I679" i="30"/>
  <c r="H679" i="30"/>
  <c r="G679" i="30"/>
  <c r="F679" i="30"/>
  <c r="D679" i="30"/>
  <c r="C679" i="30"/>
  <c r="B679" i="30"/>
  <c r="A679" i="30"/>
  <c r="BA678" i="30"/>
  <c r="AV678" i="30"/>
  <c r="AQ678" i="30"/>
  <c r="AP678" i="30"/>
  <c r="AO678" i="30"/>
  <c r="AN678" i="30"/>
  <c r="AM678" i="30"/>
  <c r="AL678" i="30"/>
  <c r="AE678" i="30"/>
  <c r="AD678" i="30"/>
  <c r="AC678" i="30"/>
  <c r="AB678" i="30"/>
  <c r="AA678" i="30"/>
  <c r="Z678" i="30"/>
  <c r="Y678" i="30"/>
  <c r="X678" i="30"/>
  <c r="W678" i="30"/>
  <c r="V678" i="30"/>
  <c r="T678" i="30"/>
  <c r="S678" i="30"/>
  <c r="R678" i="30"/>
  <c r="Q678" i="30"/>
  <c r="P678" i="30"/>
  <c r="O678" i="30"/>
  <c r="N678" i="30"/>
  <c r="M678" i="30"/>
  <c r="L678" i="30"/>
  <c r="J678" i="30"/>
  <c r="I678" i="30"/>
  <c r="H678" i="30"/>
  <c r="G678" i="30"/>
  <c r="F678" i="30"/>
  <c r="D678" i="30"/>
  <c r="C678" i="30"/>
  <c r="BA677" i="30"/>
  <c r="AV677" i="30"/>
  <c r="AQ677" i="30"/>
  <c r="AP677" i="30"/>
  <c r="AO677" i="30"/>
  <c r="AN677" i="30"/>
  <c r="AM677" i="30"/>
  <c r="AL677" i="30"/>
  <c r="AK677" i="30"/>
  <c r="AJ677" i="30"/>
  <c r="AI677" i="30"/>
  <c r="V677" i="30"/>
  <c r="S677" i="30"/>
  <c r="O677" i="30"/>
  <c r="N677" i="30"/>
  <c r="M677" i="30"/>
  <c r="L677" i="30"/>
  <c r="K677" i="30"/>
  <c r="J677" i="30"/>
  <c r="I677" i="30"/>
  <c r="H677" i="30"/>
  <c r="G677" i="30"/>
  <c r="F677" i="30"/>
  <c r="D677" i="30"/>
  <c r="C677" i="30"/>
  <c r="BA676" i="30"/>
  <c r="AV676" i="30"/>
  <c r="AQ676" i="30"/>
  <c r="AP676" i="30"/>
  <c r="AO676" i="30"/>
  <c r="AN676" i="30"/>
  <c r="AM676" i="30"/>
  <c r="AL676" i="30"/>
  <c r="AK676" i="30"/>
  <c r="AJ676" i="30"/>
  <c r="AI676" i="30"/>
  <c r="AH676" i="30"/>
  <c r="AG676" i="30"/>
  <c r="AF676" i="30"/>
  <c r="AE676" i="30"/>
  <c r="AD676" i="30"/>
  <c r="AC676" i="30"/>
  <c r="AB676" i="30"/>
  <c r="AA676" i="30"/>
  <c r="Z676" i="30"/>
  <c r="Y676" i="30"/>
  <c r="X676" i="30"/>
  <c r="W676" i="30"/>
  <c r="V676" i="30"/>
  <c r="U676" i="30"/>
  <c r="T676" i="30"/>
  <c r="S676" i="30"/>
  <c r="R676" i="30"/>
  <c r="Q676" i="30"/>
  <c r="P676" i="30"/>
  <c r="O676" i="30"/>
  <c r="N676" i="30"/>
  <c r="M676" i="30"/>
  <c r="L676" i="30"/>
  <c r="K676" i="30"/>
  <c r="J676" i="30"/>
  <c r="I676" i="30"/>
  <c r="H676" i="30"/>
  <c r="G676" i="30"/>
  <c r="F676" i="30"/>
  <c r="D676" i="30"/>
  <c r="C676" i="30"/>
  <c r="BA675" i="30"/>
  <c r="AV675" i="30"/>
  <c r="AQ675" i="30"/>
  <c r="AP675" i="30"/>
  <c r="AO675" i="30"/>
  <c r="AN675" i="30"/>
  <c r="AM675" i="30"/>
  <c r="AL675" i="30"/>
  <c r="AK675" i="30"/>
  <c r="AJ675" i="30"/>
  <c r="AI675" i="30"/>
  <c r="AH675" i="30"/>
  <c r="AG675" i="30"/>
  <c r="AF675" i="30"/>
  <c r="AE675" i="30"/>
  <c r="AD675" i="30"/>
  <c r="AC675" i="30"/>
  <c r="AB675" i="30"/>
  <c r="AA675" i="30"/>
  <c r="Z675" i="30"/>
  <c r="Y675" i="30"/>
  <c r="X675" i="30"/>
  <c r="W675" i="30"/>
  <c r="V675" i="30"/>
  <c r="U675" i="30"/>
  <c r="T675" i="30"/>
  <c r="S675" i="30"/>
  <c r="R675" i="30"/>
  <c r="Q675" i="30"/>
  <c r="P675" i="30"/>
  <c r="O675" i="30"/>
  <c r="N675" i="30"/>
  <c r="M675" i="30"/>
  <c r="L675" i="30"/>
  <c r="K675" i="30"/>
  <c r="J675" i="30"/>
  <c r="I675" i="30"/>
  <c r="H675" i="30"/>
  <c r="G675" i="30"/>
  <c r="F675" i="30"/>
  <c r="D675" i="30"/>
  <c r="C675" i="30"/>
  <c r="BA674" i="30"/>
  <c r="AV674" i="30"/>
  <c r="AQ674" i="30"/>
  <c r="AP674" i="30"/>
  <c r="AO674" i="30"/>
  <c r="AN674" i="30"/>
  <c r="AM674" i="30"/>
  <c r="AL674" i="30"/>
  <c r="AK674" i="30"/>
  <c r="AJ674" i="30"/>
  <c r="AI674" i="30"/>
  <c r="AH674" i="30"/>
  <c r="AG674" i="30"/>
  <c r="AF674" i="30"/>
  <c r="AE674" i="30"/>
  <c r="AD674" i="30"/>
  <c r="AC674" i="30"/>
  <c r="AB674" i="30"/>
  <c r="AA674" i="30"/>
  <c r="Z674" i="30"/>
  <c r="Y674" i="30"/>
  <c r="X674" i="30"/>
  <c r="W674" i="30"/>
  <c r="V674" i="30"/>
  <c r="U674" i="30"/>
  <c r="T674" i="30"/>
  <c r="S674" i="30"/>
  <c r="R674" i="30"/>
  <c r="Q674" i="30"/>
  <c r="P674" i="30"/>
  <c r="O674" i="30"/>
  <c r="N674" i="30"/>
  <c r="M674" i="30"/>
  <c r="L674" i="30"/>
  <c r="K674" i="30"/>
  <c r="J674" i="30"/>
  <c r="I674" i="30"/>
  <c r="H674" i="30"/>
  <c r="G674" i="30"/>
  <c r="F674" i="30"/>
  <c r="D674" i="30"/>
  <c r="C674" i="30"/>
  <c r="BA673" i="30"/>
  <c r="AV673" i="30"/>
  <c r="AQ673" i="30"/>
  <c r="AP673" i="30"/>
  <c r="AO673" i="30"/>
  <c r="AN673" i="30"/>
  <c r="AM673" i="30"/>
  <c r="AL673" i="30"/>
  <c r="AK673" i="30"/>
  <c r="AJ673" i="30"/>
  <c r="AI673" i="30"/>
  <c r="AH673" i="30"/>
  <c r="AG673" i="30"/>
  <c r="AF673" i="30"/>
  <c r="AE673" i="30"/>
  <c r="AD673" i="30"/>
  <c r="AC673" i="30"/>
  <c r="AB673" i="30"/>
  <c r="AA673" i="30"/>
  <c r="Z673" i="30"/>
  <c r="Y673" i="30"/>
  <c r="X673" i="30"/>
  <c r="W673" i="30"/>
  <c r="V673" i="30"/>
  <c r="U673" i="30"/>
  <c r="T673" i="30"/>
  <c r="S673" i="30"/>
  <c r="R673" i="30"/>
  <c r="Q673" i="30"/>
  <c r="P673" i="30"/>
  <c r="O673" i="30"/>
  <c r="N673" i="30"/>
  <c r="M673" i="30"/>
  <c r="L673" i="30"/>
  <c r="K673" i="30"/>
  <c r="J673" i="30"/>
  <c r="I673" i="30"/>
  <c r="H673" i="30"/>
  <c r="G673" i="30"/>
  <c r="F673" i="30"/>
  <c r="D673" i="30"/>
  <c r="C673" i="30"/>
  <c r="BA672" i="30"/>
  <c r="AV672" i="30"/>
  <c r="AQ672" i="30"/>
  <c r="AP672" i="30"/>
  <c r="AO672" i="30"/>
  <c r="AN672" i="30"/>
  <c r="AM672" i="30"/>
  <c r="AL672" i="30"/>
  <c r="AK672" i="30"/>
  <c r="AJ672" i="30"/>
  <c r="AI672" i="30"/>
  <c r="AH672" i="30"/>
  <c r="AG672" i="30"/>
  <c r="AF672" i="30"/>
  <c r="AE672" i="30"/>
  <c r="AD672" i="30"/>
  <c r="AC672" i="30"/>
  <c r="AB672" i="30"/>
  <c r="AA672" i="30"/>
  <c r="Z672" i="30"/>
  <c r="Y672" i="30"/>
  <c r="X672" i="30"/>
  <c r="W672" i="30"/>
  <c r="V672" i="30"/>
  <c r="U672" i="30"/>
  <c r="T672" i="30"/>
  <c r="S672" i="30"/>
  <c r="R672" i="30"/>
  <c r="Q672" i="30"/>
  <c r="P672" i="30"/>
  <c r="O672" i="30"/>
  <c r="N672" i="30"/>
  <c r="M672" i="30"/>
  <c r="L672" i="30"/>
  <c r="K672" i="30"/>
  <c r="J672" i="30"/>
  <c r="I672" i="30"/>
  <c r="H672" i="30"/>
  <c r="G672" i="30"/>
  <c r="F672" i="30"/>
  <c r="D672" i="30"/>
  <c r="C672" i="30"/>
  <c r="BA671" i="30"/>
  <c r="AV671" i="30"/>
  <c r="AQ671" i="30"/>
  <c r="AP671" i="30"/>
  <c r="AO671" i="30"/>
  <c r="AN671" i="30"/>
  <c r="AM671" i="30"/>
  <c r="AL671" i="30"/>
  <c r="AK671" i="30"/>
  <c r="AJ671" i="30"/>
  <c r="AI671" i="30"/>
  <c r="AH671" i="30"/>
  <c r="AG671" i="30"/>
  <c r="AF671" i="30"/>
  <c r="AE671" i="30"/>
  <c r="AD671" i="30"/>
  <c r="AC671" i="30"/>
  <c r="AB671" i="30"/>
  <c r="AA671" i="30"/>
  <c r="Z671" i="30"/>
  <c r="Y671" i="30"/>
  <c r="X671" i="30"/>
  <c r="W671" i="30"/>
  <c r="V671" i="30"/>
  <c r="U671" i="30"/>
  <c r="T671" i="30"/>
  <c r="S671" i="30"/>
  <c r="R671" i="30"/>
  <c r="Q671" i="30"/>
  <c r="P671" i="30"/>
  <c r="O671" i="30"/>
  <c r="N671" i="30"/>
  <c r="M671" i="30"/>
  <c r="L671" i="30"/>
  <c r="K671" i="30"/>
  <c r="J671" i="30"/>
  <c r="I671" i="30"/>
  <c r="H671" i="30"/>
  <c r="G671" i="30"/>
  <c r="F671" i="30"/>
  <c r="D671" i="30"/>
  <c r="C671" i="30"/>
  <c r="BA670" i="30"/>
  <c r="AV670" i="30"/>
  <c r="AQ670" i="30"/>
  <c r="AP670" i="30"/>
  <c r="AO670" i="30"/>
  <c r="AN670" i="30"/>
  <c r="AM670" i="30"/>
  <c r="AL670" i="30"/>
  <c r="AK670" i="30"/>
  <c r="AJ670" i="30"/>
  <c r="AI670" i="30"/>
  <c r="AH670" i="30"/>
  <c r="AG670" i="30"/>
  <c r="AF670" i="30"/>
  <c r="AE670" i="30"/>
  <c r="AD670" i="30"/>
  <c r="AC670" i="30"/>
  <c r="AB670" i="30"/>
  <c r="AA670" i="30"/>
  <c r="Z670" i="30"/>
  <c r="Y670" i="30"/>
  <c r="X670" i="30"/>
  <c r="W670" i="30"/>
  <c r="V670" i="30"/>
  <c r="U670" i="30"/>
  <c r="T670" i="30"/>
  <c r="S670" i="30"/>
  <c r="R670" i="30"/>
  <c r="Q670" i="30"/>
  <c r="P670" i="30"/>
  <c r="O670" i="30"/>
  <c r="N670" i="30"/>
  <c r="M670" i="30"/>
  <c r="L670" i="30"/>
  <c r="K670" i="30"/>
  <c r="J670" i="30"/>
  <c r="I670" i="30"/>
  <c r="H670" i="30"/>
  <c r="G670" i="30"/>
  <c r="F670" i="30"/>
  <c r="D670" i="30"/>
  <c r="C670" i="30"/>
  <c r="BA667" i="30"/>
  <c r="AV667" i="30"/>
  <c r="AQ667" i="30"/>
  <c r="AP667" i="30"/>
  <c r="AO667" i="30"/>
  <c r="AN667" i="30"/>
  <c r="AM667" i="30"/>
  <c r="AL667" i="30"/>
  <c r="AK667" i="30"/>
  <c r="AJ667" i="30"/>
  <c r="AI667" i="30"/>
  <c r="AH667" i="30"/>
  <c r="AG667" i="30"/>
  <c r="AF667" i="30"/>
  <c r="AE667" i="30"/>
  <c r="AD667" i="30"/>
  <c r="AC667" i="30"/>
  <c r="AB667" i="30"/>
  <c r="AA667" i="30"/>
  <c r="Z667" i="30"/>
  <c r="Y667" i="30"/>
  <c r="X667" i="30"/>
  <c r="W667" i="30"/>
  <c r="V667" i="30"/>
  <c r="U667" i="30"/>
  <c r="T667" i="30"/>
  <c r="S667" i="30"/>
  <c r="R667" i="30"/>
  <c r="Q667" i="30"/>
  <c r="P667" i="30"/>
  <c r="O667" i="30"/>
  <c r="N667" i="30"/>
  <c r="M667" i="30"/>
  <c r="L667" i="30"/>
  <c r="K667" i="30"/>
  <c r="J667" i="30"/>
  <c r="I667" i="30"/>
  <c r="H667" i="30"/>
  <c r="G667" i="30"/>
  <c r="F667" i="30"/>
  <c r="D667" i="30"/>
  <c r="C667" i="30"/>
  <c r="BA666" i="30"/>
  <c r="AV666" i="30"/>
  <c r="AQ666" i="30"/>
  <c r="AP666" i="30"/>
  <c r="AO666" i="30"/>
  <c r="AN666" i="30"/>
  <c r="AM666" i="30"/>
  <c r="AL666" i="30"/>
  <c r="AK666" i="30"/>
  <c r="AJ666" i="30"/>
  <c r="AI666" i="30"/>
  <c r="AH666" i="30"/>
  <c r="AG666" i="30"/>
  <c r="AF666" i="30"/>
  <c r="AE666" i="30"/>
  <c r="AD666" i="30"/>
  <c r="AC666" i="30"/>
  <c r="AB666" i="30"/>
  <c r="AA666" i="30"/>
  <c r="Z666" i="30"/>
  <c r="Y666" i="30"/>
  <c r="X666" i="30"/>
  <c r="W666" i="30"/>
  <c r="V666" i="30"/>
  <c r="U666" i="30"/>
  <c r="T666" i="30"/>
  <c r="S666" i="30"/>
  <c r="R666" i="30"/>
  <c r="Q666" i="30"/>
  <c r="P666" i="30"/>
  <c r="O666" i="30"/>
  <c r="N666" i="30"/>
  <c r="M666" i="30"/>
  <c r="L666" i="30"/>
  <c r="K666" i="30"/>
  <c r="J666" i="30"/>
  <c r="I666" i="30"/>
  <c r="H666" i="30"/>
  <c r="G666" i="30"/>
  <c r="F666" i="30"/>
  <c r="D666" i="30"/>
  <c r="C666" i="30"/>
  <c r="BA665" i="30"/>
  <c r="AV665" i="30"/>
  <c r="AQ665" i="30"/>
  <c r="AP665" i="30"/>
  <c r="AO665" i="30"/>
  <c r="AN665" i="30"/>
  <c r="AM665" i="30"/>
  <c r="AL665" i="30"/>
  <c r="AK665" i="30"/>
  <c r="AJ665" i="30"/>
  <c r="AI665" i="30"/>
  <c r="AH665" i="30"/>
  <c r="AG665" i="30"/>
  <c r="AF665" i="30"/>
  <c r="AE665" i="30"/>
  <c r="AD665" i="30"/>
  <c r="AC665" i="30"/>
  <c r="AB665" i="30"/>
  <c r="AA665" i="30"/>
  <c r="Z665" i="30"/>
  <c r="Y665" i="30"/>
  <c r="X665" i="30"/>
  <c r="W665" i="30"/>
  <c r="V665" i="30"/>
  <c r="U665" i="30"/>
  <c r="T665" i="30"/>
  <c r="S665" i="30"/>
  <c r="R665" i="30"/>
  <c r="Q665" i="30"/>
  <c r="P665" i="30"/>
  <c r="O665" i="30"/>
  <c r="N665" i="30"/>
  <c r="M665" i="30"/>
  <c r="L665" i="30"/>
  <c r="K665" i="30"/>
  <c r="J665" i="30"/>
  <c r="I665" i="30"/>
  <c r="H665" i="30"/>
  <c r="G665" i="30"/>
  <c r="F665" i="30"/>
  <c r="D665" i="30"/>
  <c r="C665" i="30"/>
  <c r="BA664" i="30"/>
  <c r="AV664" i="30"/>
  <c r="AQ664" i="30"/>
  <c r="AP664" i="30"/>
  <c r="AO664" i="30"/>
  <c r="AN664" i="30"/>
  <c r="AM664" i="30"/>
  <c r="AL664" i="30"/>
  <c r="AK664" i="30"/>
  <c r="AJ664" i="30"/>
  <c r="AI664" i="30"/>
  <c r="AH664" i="30"/>
  <c r="AG664" i="30"/>
  <c r="AF664" i="30"/>
  <c r="AE664" i="30"/>
  <c r="AD664" i="30"/>
  <c r="AC664" i="30"/>
  <c r="AB664" i="30"/>
  <c r="AA664" i="30"/>
  <c r="Z664" i="30"/>
  <c r="Y664" i="30"/>
  <c r="X664" i="30"/>
  <c r="W664" i="30"/>
  <c r="V664" i="30"/>
  <c r="U664" i="30"/>
  <c r="T664" i="30"/>
  <c r="S664" i="30"/>
  <c r="R664" i="30"/>
  <c r="Q664" i="30"/>
  <c r="P664" i="30"/>
  <c r="O664" i="30"/>
  <c r="N664" i="30"/>
  <c r="M664" i="30"/>
  <c r="L664" i="30"/>
  <c r="K664" i="30"/>
  <c r="J664" i="30"/>
  <c r="I664" i="30"/>
  <c r="H664" i="30"/>
  <c r="G664" i="30"/>
  <c r="F664" i="30"/>
  <c r="D664" i="30"/>
  <c r="C664" i="30"/>
  <c r="BA663" i="30"/>
  <c r="AV663" i="30"/>
  <c r="AQ663" i="30"/>
  <c r="AP663" i="30"/>
  <c r="AO663" i="30"/>
  <c r="AN663" i="30"/>
  <c r="AM663" i="30"/>
  <c r="AL663" i="30"/>
  <c r="AK663" i="30"/>
  <c r="AJ663" i="30"/>
  <c r="AI663" i="30"/>
  <c r="AH663" i="30"/>
  <c r="AG663" i="30"/>
  <c r="AF663" i="30"/>
  <c r="AE663" i="30"/>
  <c r="AD663" i="30"/>
  <c r="AC663" i="30"/>
  <c r="AB663" i="30"/>
  <c r="AA663" i="30"/>
  <c r="Z663" i="30"/>
  <c r="Y663" i="30"/>
  <c r="X663" i="30"/>
  <c r="W663" i="30"/>
  <c r="V663" i="30"/>
  <c r="U663" i="30"/>
  <c r="T663" i="30"/>
  <c r="S663" i="30"/>
  <c r="R663" i="30"/>
  <c r="Q663" i="30"/>
  <c r="P663" i="30"/>
  <c r="O663" i="30"/>
  <c r="N663" i="30"/>
  <c r="M663" i="30"/>
  <c r="L663" i="30"/>
  <c r="K663" i="30"/>
  <c r="J663" i="30"/>
  <c r="I663" i="30"/>
  <c r="H663" i="30"/>
  <c r="G663" i="30"/>
  <c r="F663" i="30"/>
  <c r="D663" i="30"/>
  <c r="C663" i="30"/>
  <c r="BA662" i="30"/>
  <c r="AV662" i="30"/>
  <c r="AQ662" i="30"/>
  <c r="AP662" i="30"/>
  <c r="AO662" i="30"/>
  <c r="AN662" i="30"/>
  <c r="AM662" i="30"/>
  <c r="AL662" i="30"/>
  <c r="AK662" i="30"/>
  <c r="AJ662" i="30"/>
  <c r="AI662" i="30"/>
  <c r="AH662" i="30"/>
  <c r="AG662" i="30"/>
  <c r="AF662" i="30"/>
  <c r="AE662" i="30"/>
  <c r="AD662" i="30"/>
  <c r="AC662" i="30"/>
  <c r="AB662" i="30"/>
  <c r="AA662" i="30"/>
  <c r="Z662" i="30"/>
  <c r="Y662" i="30"/>
  <c r="X662" i="30"/>
  <c r="W662" i="30"/>
  <c r="V662" i="30"/>
  <c r="U662" i="30"/>
  <c r="T662" i="30"/>
  <c r="S662" i="30"/>
  <c r="R662" i="30"/>
  <c r="Q662" i="30"/>
  <c r="P662" i="30"/>
  <c r="O662" i="30"/>
  <c r="N662" i="30"/>
  <c r="M662" i="30"/>
  <c r="L662" i="30"/>
  <c r="K662" i="30"/>
  <c r="J662" i="30"/>
  <c r="I662" i="30"/>
  <c r="H662" i="30"/>
  <c r="G662" i="30"/>
  <c r="F662" i="30"/>
  <c r="D662" i="30"/>
  <c r="C662" i="30"/>
  <c r="BA661" i="30"/>
  <c r="AV661" i="30"/>
  <c r="AQ661" i="30"/>
  <c r="AP661" i="30"/>
  <c r="AO661" i="30"/>
  <c r="AN661" i="30"/>
  <c r="AM661" i="30"/>
  <c r="AL661" i="30"/>
  <c r="AK661" i="30"/>
  <c r="AJ661" i="30"/>
  <c r="AI661" i="30"/>
  <c r="AH661" i="30"/>
  <c r="AG661" i="30"/>
  <c r="AF661" i="30"/>
  <c r="AE661" i="30"/>
  <c r="AD661" i="30"/>
  <c r="AC661" i="30"/>
  <c r="AB661" i="30"/>
  <c r="AA661" i="30"/>
  <c r="Z661" i="30"/>
  <c r="Y661" i="30"/>
  <c r="X661" i="30"/>
  <c r="W661" i="30"/>
  <c r="V661" i="30"/>
  <c r="U661" i="30"/>
  <c r="T661" i="30"/>
  <c r="S661" i="30"/>
  <c r="R661" i="30"/>
  <c r="Q661" i="30"/>
  <c r="P661" i="30"/>
  <c r="O661" i="30"/>
  <c r="N661" i="30"/>
  <c r="M661" i="30"/>
  <c r="L661" i="30"/>
  <c r="K661" i="30"/>
  <c r="J661" i="30"/>
  <c r="I661" i="30"/>
  <c r="H661" i="30"/>
  <c r="G661" i="30"/>
  <c r="F661" i="30"/>
  <c r="D661" i="30"/>
  <c r="C661" i="30"/>
  <c r="BA660" i="30"/>
  <c r="AV660" i="30"/>
  <c r="AQ660" i="30"/>
  <c r="AP660" i="30"/>
  <c r="AO660" i="30"/>
  <c r="AN660" i="30"/>
  <c r="AM660" i="30"/>
  <c r="AL660" i="30"/>
  <c r="AK660" i="30"/>
  <c r="AJ660" i="30"/>
  <c r="AI660" i="30"/>
  <c r="AH660" i="30"/>
  <c r="AG660" i="30"/>
  <c r="AF660" i="30"/>
  <c r="AE660" i="30"/>
  <c r="AD660" i="30"/>
  <c r="AC660" i="30"/>
  <c r="AB660" i="30"/>
  <c r="AA660" i="30"/>
  <c r="Z660" i="30"/>
  <c r="Y660" i="30"/>
  <c r="X660" i="30"/>
  <c r="W660" i="30"/>
  <c r="V660" i="30"/>
  <c r="U660" i="30"/>
  <c r="T660" i="30"/>
  <c r="S660" i="30"/>
  <c r="R660" i="30"/>
  <c r="Q660" i="30"/>
  <c r="P660" i="30"/>
  <c r="O660" i="30"/>
  <c r="N660" i="30"/>
  <c r="M660" i="30"/>
  <c r="L660" i="30"/>
  <c r="K660" i="30"/>
  <c r="J660" i="30"/>
  <c r="I660" i="30"/>
  <c r="H660" i="30"/>
  <c r="G660" i="30"/>
  <c r="F660" i="30"/>
  <c r="D660" i="30"/>
  <c r="C660" i="30"/>
  <c r="BA659" i="30"/>
  <c r="AV659" i="30"/>
  <c r="AQ659" i="30"/>
  <c r="AP659" i="30"/>
  <c r="AO659" i="30"/>
  <c r="AN659" i="30"/>
  <c r="AM659" i="30"/>
  <c r="AL659" i="30"/>
  <c r="AK659" i="30"/>
  <c r="AJ659" i="30"/>
  <c r="AI659" i="30"/>
  <c r="AH659" i="30"/>
  <c r="AG659" i="30"/>
  <c r="AF659" i="30"/>
  <c r="AE659" i="30"/>
  <c r="AD659" i="30"/>
  <c r="AC659" i="30"/>
  <c r="AB659" i="30"/>
  <c r="AA659" i="30"/>
  <c r="Z659" i="30"/>
  <c r="Y659" i="30"/>
  <c r="X659" i="30"/>
  <c r="W659" i="30"/>
  <c r="V659" i="30"/>
  <c r="U659" i="30"/>
  <c r="T659" i="30"/>
  <c r="S659" i="30"/>
  <c r="R659" i="30"/>
  <c r="Q659" i="30"/>
  <c r="P659" i="30"/>
  <c r="O659" i="30"/>
  <c r="N659" i="30"/>
  <c r="M659" i="30"/>
  <c r="L659" i="30"/>
  <c r="K659" i="30"/>
  <c r="J659" i="30"/>
  <c r="I659" i="30"/>
  <c r="H659" i="30"/>
  <c r="G659" i="30"/>
  <c r="F659" i="30"/>
  <c r="D659" i="30"/>
  <c r="C659" i="30"/>
  <c r="BA658" i="30"/>
  <c r="AV658" i="30"/>
  <c r="AQ658" i="30"/>
  <c r="AP658" i="30"/>
  <c r="AO658" i="30"/>
  <c r="AN658" i="30"/>
  <c r="AM658" i="30"/>
  <c r="AL658" i="30"/>
  <c r="AK658" i="30"/>
  <c r="AJ658" i="30"/>
  <c r="AI658" i="30"/>
  <c r="AH658" i="30"/>
  <c r="AG658" i="30"/>
  <c r="AF658" i="30"/>
  <c r="AE658" i="30"/>
  <c r="AD658" i="30"/>
  <c r="AC658" i="30"/>
  <c r="AB658" i="30"/>
  <c r="AA658" i="30"/>
  <c r="Z658" i="30"/>
  <c r="Y658" i="30"/>
  <c r="X658" i="30"/>
  <c r="W658" i="30"/>
  <c r="V658" i="30"/>
  <c r="U658" i="30"/>
  <c r="T658" i="30"/>
  <c r="S658" i="30"/>
  <c r="R658" i="30"/>
  <c r="Q658" i="30"/>
  <c r="P658" i="30"/>
  <c r="O658" i="30"/>
  <c r="N658" i="30"/>
  <c r="M658" i="30"/>
  <c r="L658" i="30"/>
  <c r="K658" i="30"/>
  <c r="J658" i="30"/>
  <c r="I658" i="30"/>
  <c r="H658" i="30"/>
  <c r="G658" i="30"/>
  <c r="F658" i="30"/>
  <c r="D658" i="30"/>
  <c r="C658" i="30"/>
  <c r="BA657" i="30"/>
  <c r="AV657" i="30"/>
  <c r="AQ657" i="30"/>
  <c r="AP657" i="30"/>
  <c r="AO657" i="30"/>
  <c r="AN657" i="30"/>
  <c r="AM657" i="30"/>
  <c r="AL657" i="30"/>
  <c r="AK657" i="30"/>
  <c r="AJ657" i="30"/>
  <c r="AI657" i="30"/>
  <c r="AH657" i="30"/>
  <c r="AG657" i="30"/>
  <c r="AF657" i="30"/>
  <c r="AE657" i="30"/>
  <c r="AD657" i="30"/>
  <c r="AC657" i="30"/>
  <c r="AB657" i="30"/>
  <c r="AA657" i="30"/>
  <c r="Z657" i="30"/>
  <c r="Y657" i="30"/>
  <c r="X657" i="30"/>
  <c r="W657" i="30"/>
  <c r="V657" i="30"/>
  <c r="U657" i="30"/>
  <c r="T657" i="30"/>
  <c r="S657" i="30"/>
  <c r="R657" i="30"/>
  <c r="Q657" i="30"/>
  <c r="P657" i="30"/>
  <c r="O657" i="30"/>
  <c r="N657" i="30"/>
  <c r="M657" i="30"/>
  <c r="L657" i="30"/>
  <c r="K657" i="30"/>
  <c r="J657" i="30"/>
  <c r="I657" i="30"/>
  <c r="H657" i="30"/>
  <c r="G657" i="30"/>
  <c r="F657" i="30"/>
  <c r="D657" i="30"/>
  <c r="C657" i="30"/>
  <c r="BA656" i="30"/>
  <c r="AV656" i="30"/>
  <c r="AQ656" i="30"/>
  <c r="AP656" i="30"/>
  <c r="AO656" i="30"/>
  <c r="AN656" i="30"/>
  <c r="AM656" i="30"/>
  <c r="AL656" i="30"/>
  <c r="AK656" i="30"/>
  <c r="AJ656" i="30"/>
  <c r="AI656" i="30"/>
  <c r="AH656" i="30"/>
  <c r="AG656" i="30"/>
  <c r="AF656" i="30"/>
  <c r="AE656" i="30"/>
  <c r="AD656" i="30"/>
  <c r="AC656" i="30"/>
  <c r="AB656" i="30"/>
  <c r="AA656" i="30"/>
  <c r="Z656" i="30"/>
  <c r="Y656" i="30"/>
  <c r="X656" i="30"/>
  <c r="W656" i="30"/>
  <c r="V656" i="30"/>
  <c r="U656" i="30"/>
  <c r="T656" i="30"/>
  <c r="S656" i="30"/>
  <c r="R656" i="30"/>
  <c r="Q656" i="30"/>
  <c r="P656" i="30"/>
  <c r="O656" i="30"/>
  <c r="N656" i="30"/>
  <c r="M656" i="30"/>
  <c r="L656" i="30"/>
  <c r="K656" i="30"/>
  <c r="J656" i="30"/>
  <c r="I656" i="30"/>
  <c r="H656" i="30"/>
  <c r="G656" i="30"/>
  <c r="F656" i="30"/>
  <c r="D656" i="30"/>
  <c r="C656" i="30"/>
  <c r="BA655" i="30"/>
  <c r="AV655" i="30"/>
  <c r="AQ655" i="30"/>
  <c r="AP655" i="30"/>
  <c r="AO655" i="30"/>
  <c r="AN655" i="30"/>
  <c r="AM655" i="30"/>
  <c r="AL655" i="30"/>
  <c r="AK655" i="30"/>
  <c r="AJ655" i="30"/>
  <c r="AI655" i="30"/>
  <c r="AH655" i="30"/>
  <c r="AG655" i="30"/>
  <c r="AF655" i="30"/>
  <c r="AE655" i="30"/>
  <c r="AD655" i="30"/>
  <c r="AC655" i="30"/>
  <c r="AB655" i="30"/>
  <c r="AA655" i="30"/>
  <c r="Z655" i="30"/>
  <c r="Y655" i="30"/>
  <c r="X655" i="30"/>
  <c r="W655" i="30"/>
  <c r="V655" i="30"/>
  <c r="U655" i="30"/>
  <c r="T655" i="30"/>
  <c r="S655" i="30"/>
  <c r="R655" i="30"/>
  <c r="Q655" i="30"/>
  <c r="P655" i="30"/>
  <c r="O655" i="30"/>
  <c r="N655" i="30"/>
  <c r="M655" i="30"/>
  <c r="L655" i="30"/>
  <c r="K655" i="30"/>
  <c r="J655" i="30"/>
  <c r="I655" i="30"/>
  <c r="H655" i="30"/>
  <c r="G655" i="30"/>
  <c r="F655" i="30"/>
  <c r="D655" i="30"/>
  <c r="C655" i="30"/>
  <c r="BA654" i="30"/>
  <c r="AV654" i="30"/>
  <c r="AQ654" i="30"/>
  <c r="AP654" i="30"/>
  <c r="AO654" i="30"/>
  <c r="AN654" i="30"/>
  <c r="AM654" i="30"/>
  <c r="AL654" i="30"/>
  <c r="AK654" i="30"/>
  <c r="AJ654" i="30"/>
  <c r="AI654" i="30"/>
  <c r="AH654" i="30"/>
  <c r="AG654" i="30"/>
  <c r="AF654" i="30"/>
  <c r="AE654" i="30"/>
  <c r="AD654" i="30"/>
  <c r="AC654" i="30"/>
  <c r="AB654" i="30"/>
  <c r="AA654" i="30"/>
  <c r="Z654" i="30"/>
  <c r="Y654" i="30"/>
  <c r="X654" i="30"/>
  <c r="W654" i="30"/>
  <c r="V654" i="30"/>
  <c r="U654" i="30"/>
  <c r="T654" i="30"/>
  <c r="S654" i="30"/>
  <c r="R654" i="30"/>
  <c r="Q654" i="30"/>
  <c r="P654" i="30"/>
  <c r="O654" i="30"/>
  <c r="N654" i="30"/>
  <c r="M654" i="30"/>
  <c r="L654" i="30"/>
  <c r="K654" i="30"/>
  <c r="J654" i="30"/>
  <c r="I654" i="30"/>
  <c r="H654" i="30"/>
  <c r="G654" i="30"/>
  <c r="F654" i="30"/>
  <c r="D654" i="30"/>
  <c r="C654" i="30"/>
  <c r="BA653" i="30"/>
  <c r="AV653" i="30"/>
  <c r="AQ653" i="30"/>
  <c r="AP653" i="30"/>
  <c r="AO653" i="30"/>
  <c r="AN653" i="30"/>
  <c r="AM653" i="30"/>
  <c r="AL653" i="30"/>
  <c r="AK653" i="30"/>
  <c r="AJ653" i="30"/>
  <c r="AI653" i="30"/>
  <c r="AH653" i="30"/>
  <c r="AG653" i="30"/>
  <c r="AF653" i="30"/>
  <c r="AE653" i="30"/>
  <c r="AD653" i="30"/>
  <c r="AC653" i="30"/>
  <c r="AB653" i="30"/>
  <c r="AA653" i="30"/>
  <c r="Z653" i="30"/>
  <c r="Y653" i="30"/>
  <c r="X653" i="30"/>
  <c r="W653" i="30"/>
  <c r="V653" i="30"/>
  <c r="U653" i="30"/>
  <c r="T653" i="30"/>
  <c r="S653" i="30"/>
  <c r="R653" i="30"/>
  <c r="Q653" i="30"/>
  <c r="P653" i="30"/>
  <c r="O653" i="30"/>
  <c r="N653" i="30"/>
  <c r="M653" i="30"/>
  <c r="L653" i="30"/>
  <c r="K653" i="30"/>
  <c r="J653" i="30"/>
  <c r="I653" i="30"/>
  <c r="H653" i="30"/>
  <c r="G653" i="30"/>
  <c r="F653" i="30"/>
  <c r="D653" i="30"/>
  <c r="C653" i="30"/>
  <c r="BA652" i="30"/>
  <c r="AV652" i="30"/>
  <c r="AQ652" i="30"/>
  <c r="AP652" i="30"/>
  <c r="AO652" i="30"/>
  <c r="AN652" i="30"/>
  <c r="AM652" i="30"/>
  <c r="AL652" i="30"/>
  <c r="AK652" i="30"/>
  <c r="AJ652" i="30"/>
  <c r="AI652" i="30"/>
  <c r="AH652" i="30"/>
  <c r="AG652" i="30"/>
  <c r="AF652" i="30"/>
  <c r="AE652" i="30"/>
  <c r="AD652" i="30"/>
  <c r="AC652" i="30"/>
  <c r="AB652" i="30"/>
  <c r="AA652" i="30"/>
  <c r="Z652" i="30"/>
  <c r="Y652" i="30"/>
  <c r="X652" i="30"/>
  <c r="W652" i="30"/>
  <c r="V652" i="30"/>
  <c r="U652" i="30"/>
  <c r="T652" i="30"/>
  <c r="S652" i="30"/>
  <c r="R652" i="30"/>
  <c r="Q652" i="30"/>
  <c r="P652" i="30"/>
  <c r="O652" i="30"/>
  <c r="N652" i="30"/>
  <c r="M652" i="30"/>
  <c r="L652" i="30"/>
  <c r="K652" i="30"/>
  <c r="J652" i="30"/>
  <c r="I652" i="30"/>
  <c r="H652" i="30"/>
  <c r="G652" i="30"/>
  <c r="F652" i="30"/>
  <c r="D652" i="30"/>
  <c r="C652" i="30"/>
  <c r="BA651" i="30"/>
  <c r="AV651" i="30"/>
  <c r="AQ651" i="30"/>
  <c r="AP651" i="30"/>
  <c r="AO651" i="30"/>
  <c r="AN651" i="30"/>
  <c r="AM651" i="30"/>
  <c r="AL651" i="30"/>
  <c r="AK651" i="30"/>
  <c r="AJ651" i="30"/>
  <c r="AI651" i="30"/>
  <c r="AH651" i="30"/>
  <c r="AG651" i="30"/>
  <c r="AF651" i="30"/>
  <c r="AE651" i="30"/>
  <c r="AD651" i="30"/>
  <c r="AC651" i="30"/>
  <c r="AB651" i="30"/>
  <c r="AA651" i="30"/>
  <c r="Z651" i="30"/>
  <c r="Y651" i="30"/>
  <c r="X651" i="30"/>
  <c r="W651" i="30"/>
  <c r="V651" i="30"/>
  <c r="U651" i="30"/>
  <c r="T651" i="30"/>
  <c r="S651" i="30"/>
  <c r="R651" i="30"/>
  <c r="Q651" i="30"/>
  <c r="P651" i="30"/>
  <c r="O651" i="30"/>
  <c r="N651" i="30"/>
  <c r="M651" i="30"/>
  <c r="L651" i="30"/>
  <c r="K651" i="30"/>
  <c r="J651" i="30"/>
  <c r="I651" i="30"/>
  <c r="H651" i="30"/>
  <c r="G651" i="30"/>
  <c r="F651" i="30"/>
  <c r="D651" i="30"/>
  <c r="C651" i="30"/>
  <c r="BA650" i="30"/>
  <c r="AV650" i="30"/>
  <c r="AQ650" i="30"/>
  <c r="AP650" i="30"/>
  <c r="AO650" i="30"/>
  <c r="AN650" i="30"/>
  <c r="AM650" i="30"/>
  <c r="AL650" i="30"/>
  <c r="AK650" i="30"/>
  <c r="AJ650" i="30"/>
  <c r="AI650" i="30"/>
  <c r="AH650" i="30"/>
  <c r="AG650" i="30"/>
  <c r="AF650" i="30"/>
  <c r="AE650" i="30"/>
  <c r="AD650" i="30"/>
  <c r="AC650" i="30"/>
  <c r="AB650" i="30"/>
  <c r="AA650" i="30"/>
  <c r="Z650" i="30"/>
  <c r="Y650" i="30"/>
  <c r="X650" i="30"/>
  <c r="W650" i="30"/>
  <c r="V650" i="30"/>
  <c r="U650" i="30"/>
  <c r="T650" i="30"/>
  <c r="S650" i="30"/>
  <c r="R650" i="30"/>
  <c r="Q650" i="30"/>
  <c r="P650" i="30"/>
  <c r="O650" i="30"/>
  <c r="N650" i="30"/>
  <c r="M650" i="30"/>
  <c r="L650" i="30"/>
  <c r="K650" i="30"/>
  <c r="J650" i="30"/>
  <c r="I650" i="30"/>
  <c r="H650" i="30"/>
  <c r="G650" i="30"/>
  <c r="F650" i="30"/>
  <c r="D650" i="30"/>
  <c r="C650" i="30"/>
  <c r="BA649" i="30"/>
  <c r="AV649" i="30"/>
  <c r="AQ649" i="30"/>
  <c r="AP649" i="30"/>
  <c r="AO649" i="30"/>
  <c r="AN649" i="30"/>
  <c r="AM649" i="30"/>
  <c r="AL649" i="30"/>
  <c r="AK649" i="30"/>
  <c r="AJ649" i="30"/>
  <c r="AI649" i="30"/>
  <c r="AH649" i="30"/>
  <c r="AG649" i="30"/>
  <c r="AF649" i="30"/>
  <c r="AE649" i="30"/>
  <c r="AD649" i="30"/>
  <c r="AC649" i="30"/>
  <c r="AB649" i="30"/>
  <c r="AA649" i="30"/>
  <c r="Z649" i="30"/>
  <c r="Y649" i="30"/>
  <c r="X649" i="30"/>
  <c r="W649" i="30"/>
  <c r="V649" i="30"/>
  <c r="U649" i="30"/>
  <c r="T649" i="30"/>
  <c r="S649" i="30"/>
  <c r="R649" i="30"/>
  <c r="Q649" i="30"/>
  <c r="P649" i="30"/>
  <c r="O649" i="30"/>
  <c r="N649" i="30"/>
  <c r="M649" i="30"/>
  <c r="L649" i="30"/>
  <c r="K649" i="30"/>
  <c r="J649" i="30"/>
  <c r="I649" i="30"/>
  <c r="H649" i="30"/>
  <c r="G649" i="30"/>
  <c r="F649" i="30"/>
  <c r="D649" i="30"/>
  <c r="C649" i="30"/>
  <c r="BA648" i="30"/>
  <c r="AV648" i="30"/>
  <c r="AQ648" i="30"/>
  <c r="AP648" i="30"/>
  <c r="AO648" i="30"/>
  <c r="AN648" i="30"/>
  <c r="AM648" i="30"/>
  <c r="AL648" i="30"/>
  <c r="AK648" i="30"/>
  <c r="AJ648" i="30"/>
  <c r="AI648" i="30"/>
  <c r="AH648" i="30"/>
  <c r="AG648" i="30"/>
  <c r="AF648" i="30"/>
  <c r="AE648" i="30"/>
  <c r="AD648" i="30"/>
  <c r="AC648" i="30"/>
  <c r="AB648" i="30"/>
  <c r="AA648" i="30"/>
  <c r="Z648" i="30"/>
  <c r="Y648" i="30"/>
  <c r="X648" i="30"/>
  <c r="W648" i="30"/>
  <c r="V648" i="30"/>
  <c r="U648" i="30"/>
  <c r="T648" i="30"/>
  <c r="S648" i="30"/>
  <c r="R648" i="30"/>
  <c r="Q648" i="30"/>
  <c r="P648" i="30"/>
  <c r="O648" i="30"/>
  <c r="N648" i="30"/>
  <c r="M648" i="30"/>
  <c r="L648" i="30"/>
  <c r="K648" i="30"/>
  <c r="J648" i="30"/>
  <c r="I648" i="30"/>
  <c r="H648" i="30"/>
  <c r="G648" i="30"/>
  <c r="F648" i="30"/>
  <c r="D648" i="30"/>
  <c r="C648" i="30"/>
  <c r="BA647" i="30"/>
  <c r="AV647" i="30"/>
  <c r="AQ647" i="30"/>
  <c r="AP647" i="30"/>
  <c r="AO647" i="30"/>
  <c r="AN647" i="30"/>
  <c r="AM647" i="30"/>
  <c r="AL647" i="30"/>
  <c r="AK647" i="30"/>
  <c r="AJ647" i="30"/>
  <c r="AI647" i="30"/>
  <c r="AH647" i="30"/>
  <c r="AG647" i="30"/>
  <c r="AF647" i="30"/>
  <c r="AE647" i="30"/>
  <c r="AD647" i="30"/>
  <c r="AC647" i="30"/>
  <c r="AB647" i="30"/>
  <c r="AA647" i="30"/>
  <c r="Z647" i="30"/>
  <c r="Y647" i="30"/>
  <c r="X647" i="30"/>
  <c r="W647" i="30"/>
  <c r="V647" i="30"/>
  <c r="U647" i="30"/>
  <c r="T647" i="30"/>
  <c r="S647" i="30"/>
  <c r="R647" i="30"/>
  <c r="Q647" i="30"/>
  <c r="P647" i="30"/>
  <c r="O647" i="30"/>
  <c r="N647" i="30"/>
  <c r="M647" i="30"/>
  <c r="L647" i="30"/>
  <c r="K647" i="30"/>
  <c r="J647" i="30"/>
  <c r="I647" i="30"/>
  <c r="H647" i="30"/>
  <c r="G647" i="30"/>
  <c r="F647" i="30"/>
  <c r="D647" i="30"/>
  <c r="C647" i="30"/>
  <c r="BA646" i="30"/>
  <c r="AV646" i="30"/>
  <c r="AQ646" i="30"/>
  <c r="AP646" i="30"/>
  <c r="AO646" i="30"/>
  <c r="AN646" i="30"/>
  <c r="AM646" i="30"/>
  <c r="AL646" i="30"/>
  <c r="AK646" i="30"/>
  <c r="AJ646" i="30"/>
  <c r="AI646" i="30"/>
  <c r="AH646" i="30"/>
  <c r="AG646" i="30"/>
  <c r="AF646" i="30"/>
  <c r="AE646" i="30"/>
  <c r="AD646" i="30"/>
  <c r="AC646" i="30"/>
  <c r="AB646" i="30"/>
  <c r="AA646" i="30"/>
  <c r="Z646" i="30"/>
  <c r="Y646" i="30"/>
  <c r="X646" i="30"/>
  <c r="W646" i="30"/>
  <c r="V646" i="30"/>
  <c r="U646" i="30"/>
  <c r="T646" i="30"/>
  <c r="S646" i="30"/>
  <c r="R646" i="30"/>
  <c r="Q646" i="30"/>
  <c r="P646" i="30"/>
  <c r="O646" i="30"/>
  <c r="N646" i="30"/>
  <c r="M646" i="30"/>
  <c r="L646" i="30"/>
  <c r="K646" i="30"/>
  <c r="J646" i="30"/>
  <c r="I646" i="30"/>
  <c r="H646" i="30"/>
  <c r="G646" i="30"/>
  <c r="F646" i="30"/>
  <c r="D646" i="30"/>
  <c r="C646" i="30"/>
  <c r="BA645" i="30"/>
  <c r="AV645" i="30"/>
  <c r="AQ645" i="30"/>
  <c r="AP645" i="30"/>
  <c r="AO645" i="30"/>
  <c r="AN645" i="30"/>
  <c r="AM645" i="30"/>
  <c r="AL645" i="30"/>
  <c r="AK645" i="30"/>
  <c r="AJ645" i="30"/>
  <c r="AI645" i="30"/>
  <c r="AH645" i="30"/>
  <c r="AG645" i="30"/>
  <c r="AF645" i="30"/>
  <c r="AE645" i="30"/>
  <c r="AD645" i="30"/>
  <c r="AC645" i="30"/>
  <c r="AB645" i="30"/>
  <c r="AA645" i="30"/>
  <c r="Z645" i="30"/>
  <c r="Y645" i="30"/>
  <c r="X645" i="30"/>
  <c r="W645" i="30"/>
  <c r="V645" i="30"/>
  <c r="U645" i="30"/>
  <c r="T645" i="30"/>
  <c r="S645" i="30"/>
  <c r="R645" i="30"/>
  <c r="Q645" i="30"/>
  <c r="P645" i="30"/>
  <c r="O645" i="30"/>
  <c r="N645" i="30"/>
  <c r="M645" i="30"/>
  <c r="L645" i="30"/>
  <c r="K645" i="30"/>
  <c r="J645" i="30"/>
  <c r="I645" i="30"/>
  <c r="H645" i="30"/>
  <c r="G645" i="30"/>
  <c r="F645" i="30"/>
  <c r="D645" i="30"/>
  <c r="C645" i="30"/>
  <c r="BA644" i="30"/>
  <c r="AV644" i="30"/>
  <c r="AQ644" i="30"/>
  <c r="AP644" i="30"/>
  <c r="AO644" i="30"/>
  <c r="AN644" i="30"/>
  <c r="AM644" i="30"/>
  <c r="AL644" i="30"/>
  <c r="AK644" i="30"/>
  <c r="AJ644" i="30"/>
  <c r="AI644" i="30"/>
  <c r="AH644" i="30"/>
  <c r="AG644" i="30"/>
  <c r="AF644" i="30"/>
  <c r="AE644" i="30"/>
  <c r="AD644" i="30"/>
  <c r="AC644" i="30"/>
  <c r="AB644" i="30"/>
  <c r="AA644" i="30"/>
  <c r="Z644" i="30"/>
  <c r="Y644" i="30"/>
  <c r="X644" i="30"/>
  <c r="W644" i="30"/>
  <c r="V644" i="30"/>
  <c r="U644" i="30"/>
  <c r="T644" i="30"/>
  <c r="S644" i="30"/>
  <c r="R644" i="30"/>
  <c r="Q644" i="30"/>
  <c r="P644" i="30"/>
  <c r="O644" i="30"/>
  <c r="N644" i="30"/>
  <c r="M644" i="30"/>
  <c r="L644" i="30"/>
  <c r="K644" i="30"/>
  <c r="J644" i="30"/>
  <c r="I644" i="30"/>
  <c r="H644" i="30"/>
  <c r="G644" i="30"/>
  <c r="F644" i="30"/>
  <c r="D644" i="30"/>
  <c r="C644" i="30"/>
  <c r="BA643" i="30"/>
  <c r="AV643" i="30"/>
  <c r="AQ643" i="30"/>
  <c r="AP643" i="30"/>
  <c r="AO643" i="30"/>
  <c r="AN643" i="30"/>
  <c r="AM643" i="30"/>
  <c r="AL643" i="30"/>
  <c r="AK643" i="30"/>
  <c r="AJ643" i="30"/>
  <c r="AI643" i="30"/>
  <c r="AH643" i="30"/>
  <c r="AG643" i="30"/>
  <c r="AF643" i="30"/>
  <c r="AE643" i="30"/>
  <c r="AD643" i="30"/>
  <c r="AC643" i="30"/>
  <c r="AB643" i="30"/>
  <c r="AA643" i="30"/>
  <c r="Z643" i="30"/>
  <c r="Y643" i="30"/>
  <c r="X643" i="30"/>
  <c r="W643" i="30"/>
  <c r="V643" i="30"/>
  <c r="U643" i="30"/>
  <c r="T643" i="30"/>
  <c r="S643" i="30"/>
  <c r="R643" i="30"/>
  <c r="Q643" i="30"/>
  <c r="P643" i="30"/>
  <c r="O643" i="30"/>
  <c r="N643" i="30"/>
  <c r="M643" i="30"/>
  <c r="L643" i="30"/>
  <c r="K643" i="30"/>
  <c r="J643" i="30"/>
  <c r="I643" i="30"/>
  <c r="H643" i="30"/>
  <c r="G643" i="30"/>
  <c r="F643" i="30"/>
  <c r="D643" i="30"/>
  <c r="C643" i="30"/>
  <c r="BA642" i="30"/>
  <c r="AV642" i="30"/>
  <c r="AQ642" i="30"/>
  <c r="AP642" i="30"/>
  <c r="AO642" i="30"/>
  <c r="AN642" i="30"/>
  <c r="AM642" i="30"/>
  <c r="AL642" i="30"/>
  <c r="AK642" i="30"/>
  <c r="AJ642" i="30"/>
  <c r="AI642" i="30"/>
  <c r="AH642" i="30"/>
  <c r="AG642" i="30"/>
  <c r="AF642" i="30"/>
  <c r="AE642" i="30"/>
  <c r="AD642" i="30"/>
  <c r="AC642" i="30"/>
  <c r="AB642" i="30"/>
  <c r="AA642" i="30"/>
  <c r="Z642" i="30"/>
  <c r="Y642" i="30"/>
  <c r="X642" i="30"/>
  <c r="W642" i="30"/>
  <c r="V642" i="30"/>
  <c r="U642" i="30"/>
  <c r="T642" i="30"/>
  <c r="S642" i="30"/>
  <c r="R642" i="30"/>
  <c r="Q642" i="30"/>
  <c r="P642" i="30"/>
  <c r="O642" i="30"/>
  <c r="N642" i="30"/>
  <c r="M642" i="30"/>
  <c r="L642" i="30"/>
  <c r="K642" i="30"/>
  <c r="J642" i="30"/>
  <c r="I642" i="30"/>
  <c r="H642" i="30"/>
  <c r="G642" i="30"/>
  <c r="F642" i="30"/>
  <c r="D642" i="30"/>
  <c r="C642" i="30"/>
  <c r="BA641" i="30"/>
  <c r="AV641" i="30"/>
  <c r="AQ641" i="30"/>
  <c r="AP641" i="30"/>
  <c r="AO641" i="30"/>
  <c r="AN641" i="30"/>
  <c r="AM641" i="30"/>
  <c r="AL641" i="30"/>
  <c r="AK641" i="30"/>
  <c r="AJ641" i="30"/>
  <c r="AI641" i="30"/>
  <c r="AH641" i="30"/>
  <c r="AG641" i="30"/>
  <c r="AF641" i="30"/>
  <c r="AE641" i="30"/>
  <c r="AD641" i="30"/>
  <c r="AC641" i="30"/>
  <c r="AB641" i="30"/>
  <c r="AA641" i="30"/>
  <c r="Z641" i="30"/>
  <c r="Y641" i="30"/>
  <c r="X641" i="30"/>
  <c r="W641" i="30"/>
  <c r="V641" i="30"/>
  <c r="U641" i="30"/>
  <c r="T641" i="30"/>
  <c r="S641" i="30"/>
  <c r="R641" i="30"/>
  <c r="Q641" i="30"/>
  <c r="P641" i="30"/>
  <c r="O641" i="30"/>
  <c r="N641" i="30"/>
  <c r="M641" i="30"/>
  <c r="L641" i="30"/>
  <c r="K641" i="30"/>
  <c r="J641" i="30"/>
  <c r="I641" i="30"/>
  <c r="H641" i="30"/>
  <c r="G641" i="30"/>
  <c r="F641" i="30"/>
  <c r="D641" i="30"/>
  <c r="C641" i="30"/>
  <c r="BA640" i="30"/>
  <c r="AV640" i="30"/>
  <c r="AQ640" i="30"/>
  <c r="AP640" i="30"/>
  <c r="AO640" i="30"/>
  <c r="AN640" i="30"/>
  <c r="AM640" i="30"/>
  <c r="AL640" i="30"/>
  <c r="AK640" i="30"/>
  <c r="AJ640" i="30"/>
  <c r="AI640" i="30"/>
  <c r="AH640" i="30"/>
  <c r="AG640" i="30"/>
  <c r="AF640" i="30"/>
  <c r="AE640" i="30"/>
  <c r="AD640" i="30"/>
  <c r="AC640" i="30"/>
  <c r="AB640" i="30"/>
  <c r="AA640" i="30"/>
  <c r="Z640" i="30"/>
  <c r="Y640" i="30"/>
  <c r="X640" i="30"/>
  <c r="W640" i="30"/>
  <c r="V640" i="30"/>
  <c r="U640" i="30"/>
  <c r="T640" i="30"/>
  <c r="S640" i="30"/>
  <c r="R640" i="30"/>
  <c r="Q640" i="30"/>
  <c r="P640" i="30"/>
  <c r="O640" i="30"/>
  <c r="N640" i="30"/>
  <c r="M640" i="30"/>
  <c r="L640" i="30"/>
  <c r="K640" i="30"/>
  <c r="J640" i="30"/>
  <c r="I640" i="30"/>
  <c r="H640" i="30"/>
  <c r="G640" i="30"/>
  <c r="F640" i="30"/>
  <c r="D640" i="30"/>
  <c r="C640" i="30"/>
  <c r="BA639" i="30"/>
  <c r="AV639" i="30"/>
  <c r="AQ639" i="30"/>
  <c r="AP639" i="30"/>
  <c r="AO639" i="30"/>
  <c r="AN639" i="30"/>
  <c r="AM639" i="30"/>
  <c r="AL639" i="30"/>
  <c r="AK639" i="30"/>
  <c r="AJ639" i="30"/>
  <c r="AI639" i="30"/>
  <c r="AH639" i="30"/>
  <c r="AG639" i="30"/>
  <c r="AF639" i="30"/>
  <c r="AE639" i="30"/>
  <c r="AD639" i="30"/>
  <c r="AC639" i="30"/>
  <c r="AB639" i="30"/>
  <c r="AA639" i="30"/>
  <c r="Z639" i="30"/>
  <c r="Y639" i="30"/>
  <c r="X639" i="30"/>
  <c r="W639" i="30"/>
  <c r="V639" i="30"/>
  <c r="U639" i="30"/>
  <c r="T639" i="30"/>
  <c r="S639" i="30"/>
  <c r="R639" i="30"/>
  <c r="Q639" i="30"/>
  <c r="P639" i="30"/>
  <c r="O639" i="30"/>
  <c r="N639" i="30"/>
  <c r="M639" i="30"/>
  <c r="L639" i="30"/>
  <c r="K639" i="30"/>
  <c r="J639" i="30"/>
  <c r="I639" i="30"/>
  <c r="H639" i="30"/>
  <c r="G639" i="30"/>
  <c r="F639" i="30"/>
  <c r="D639" i="30"/>
  <c r="C639" i="30"/>
  <c r="BA638" i="30"/>
  <c r="AV638" i="30"/>
  <c r="AQ638" i="30"/>
  <c r="AP638" i="30"/>
  <c r="AO638" i="30"/>
  <c r="AN638" i="30"/>
  <c r="AM638" i="30"/>
  <c r="AL638" i="30"/>
  <c r="AK638" i="30"/>
  <c r="AJ638" i="30"/>
  <c r="AI638" i="30"/>
  <c r="AH638" i="30"/>
  <c r="AG638" i="30"/>
  <c r="AF638" i="30"/>
  <c r="AE638" i="30"/>
  <c r="AD638" i="30"/>
  <c r="AC638" i="30"/>
  <c r="AB638" i="30"/>
  <c r="AA638" i="30"/>
  <c r="Z638" i="30"/>
  <c r="Y638" i="30"/>
  <c r="X638" i="30"/>
  <c r="W638" i="30"/>
  <c r="V638" i="30"/>
  <c r="U638" i="30"/>
  <c r="T638" i="30"/>
  <c r="S638" i="30"/>
  <c r="R638" i="30"/>
  <c r="Q638" i="30"/>
  <c r="P638" i="30"/>
  <c r="O638" i="30"/>
  <c r="N638" i="30"/>
  <c r="M638" i="30"/>
  <c r="L638" i="30"/>
  <c r="K638" i="30"/>
  <c r="J638" i="30"/>
  <c r="I638" i="30"/>
  <c r="H638" i="30"/>
  <c r="G638" i="30"/>
  <c r="F638" i="30"/>
  <c r="D638" i="30"/>
  <c r="C638" i="30"/>
  <c r="BA637" i="30"/>
  <c r="AV637" i="30"/>
  <c r="AQ637" i="30"/>
  <c r="AP637" i="30"/>
  <c r="AO637" i="30"/>
  <c r="AN637" i="30"/>
  <c r="AM637" i="30"/>
  <c r="AL637" i="30"/>
  <c r="AK637" i="30"/>
  <c r="AJ637" i="30"/>
  <c r="AI637" i="30"/>
  <c r="AH637" i="30"/>
  <c r="AG637" i="30"/>
  <c r="AF637" i="30"/>
  <c r="AE637" i="30"/>
  <c r="AD637" i="30"/>
  <c r="AC637" i="30"/>
  <c r="AB637" i="30"/>
  <c r="AA637" i="30"/>
  <c r="Z637" i="30"/>
  <c r="Y637" i="30"/>
  <c r="X637" i="30"/>
  <c r="W637" i="30"/>
  <c r="V637" i="30"/>
  <c r="U637" i="30"/>
  <c r="T637" i="30"/>
  <c r="S637" i="30"/>
  <c r="R637" i="30"/>
  <c r="Q637" i="30"/>
  <c r="P637" i="30"/>
  <c r="O637" i="30"/>
  <c r="N637" i="30"/>
  <c r="M637" i="30"/>
  <c r="L637" i="30"/>
  <c r="K637" i="30"/>
  <c r="J637" i="30"/>
  <c r="I637" i="30"/>
  <c r="H637" i="30"/>
  <c r="G637" i="30"/>
  <c r="F637" i="30"/>
  <c r="D637" i="30"/>
  <c r="C637" i="30"/>
  <c r="BA636" i="30"/>
  <c r="AV636" i="30"/>
  <c r="AQ636" i="30"/>
  <c r="AP636" i="30"/>
  <c r="AO636" i="30"/>
  <c r="AN636" i="30"/>
  <c r="AM636" i="30"/>
  <c r="AL636" i="30"/>
  <c r="AK636" i="30"/>
  <c r="AJ636" i="30"/>
  <c r="AI636" i="30"/>
  <c r="AH636" i="30"/>
  <c r="AG636" i="30"/>
  <c r="AF636" i="30"/>
  <c r="AE636" i="30"/>
  <c r="AD636" i="30"/>
  <c r="AC636" i="30"/>
  <c r="AB636" i="30"/>
  <c r="AA636" i="30"/>
  <c r="Z636" i="30"/>
  <c r="Y636" i="30"/>
  <c r="X636" i="30"/>
  <c r="W636" i="30"/>
  <c r="V636" i="30"/>
  <c r="U636" i="30"/>
  <c r="T636" i="30"/>
  <c r="S636" i="30"/>
  <c r="R636" i="30"/>
  <c r="Q636" i="30"/>
  <c r="P636" i="30"/>
  <c r="O636" i="30"/>
  <c r="N636" i="30"/>
  <c r="M636" i="30"/>
  <c r="L636" i="30"/>
  <c r="K636" i="30"/>
  <c r="J636" i="30"/>
  <c r="I636" i="30"/>
  <c r="H636" i="30"/>
  <c r="G636" i="30"/>
  <c r="F636" i="30"/>
  <c r="D636" i="30"/>
  <c r="C636" i="30"/>
  <c r="BA635" i="30"/>
  <c r="AV635" i="30"/>
  <c r="AQ635" i="30"/>
  <c r="AP635" i="30"/>
  <c r="AO635" i="30"/>
  <c r="AN635" i="30"/>
  <c r="AM635" i="30"/>
  <c r="AL635" i="30"/>
  <c r="AK635" i="30"/>
  <c r="AJ635" i="30"/>
  <c r="AI635" i="30"/>
  <c r="AH635" i="30"/>
  <c r="AG635" i="30"/>
  <c r="AF635" i="30"/>
  <c r="AE635" i="30"/>
  <c r="AD635" i="30"/>
  <c r="AC635" i="30"/>
  <c r="AB635" i="30"/>
  <c r="AA635" i="30"/>
  <c r="Z635" i="30"/>
  <c r="Y635" i="30"/>
  <c r="X635" i="30"/>
  <c r="W635" i="30"/>
  <c r="V635" i="30"/>
  <c r="U635" i="30"/>
  <c r="T635" i="30"/>
  <c r="S635" i="30"/>
  <c r="R635" i="30"/>
  <c r="Q635" i="30"/>
  <c r="P635" i="30"/>
  <c r="O635" i="30"/>
  <c r="N635" i="30"/>
  <c r="M635" i="30"/>
  <c r="L635" i="30"/>
  <c r="K635" i="30"/>
  <c r="J635" i="30"/>
  <c r="I635" i="30"/>
  <c r="H635" i="30"/>
  <c r="G635" i="30"/>
  <c r="F635" i="30"/>
  <c r="D635" i="30"/>
  <c r="C635" i="30"/>
  <c r="BA634" i="30"/>
  <c r="AV634" i="30"/>
  <c r="AQ634" i="30"/>
  <c r="AP634" i="30"/>
  <c r="AO634" i="30"/>
  <c r="AN634" i="30"/>
  <c r="AM634" i="30"/>
  <c r="AL634" i="30"/>
  <c r="AK634" i="30"/>
  <c r="AJ634" i="30"/>
  <c r="AI634" i="30"/>
  <c r="AH634" i="30"/>
  <c r="AG634" i="30"/>
  <c r="AF634" i="30"/>
  <c r="AE634" i="30"/>
  <c r="AD634" i="30"/>
  <c r="AC634" i="30"/>
  <c r="AB634" i="30"/>
  <c r="AA634" i="30"/>
  <c r="Z634" i="30"/>
  <c r="Y634" i="30"/>
  <c r="X634" i="30"/>
  <c r="W634" i="30"/>
  <c r="V634" i="30"/>
  <c r="U634" i="30"/>
  <c r="T634" i="30"/>
  <c r="S634" i="30"/>
  <c r="R634" i="30"/>
  <c r="Q634" i="30"/>
  <c r="P634" i="30"/>
  <c r="O634" i="30"/>
  <c r="N634" i="30"/>
  <c r="M634" i="30"/>
  <c r="L634" i="30"/>
  <c r="K634" i="30"/>
  <c r="J634" i="30"/>
  <c r="I634" i="30"/>
  <c r="H634" i="30"/>
  <c r="G634" i="30"/>
  <c r="F634" i="30"/>
  <c r="D634" i="30"/>
  <c r="C634" i="30"/>
  <c r="BA633" i="30"/>
  <c r="AV633" i="30"/>
  <c r="AQ633" i="30"/>
  <c r="AP633" i="30"/>
  <c r="AO633" i="30"/>
  <c r="AN633" i="30"/>
  <c r="AM633" i="30"/>
  <c r="AL633" i="30"/>
  <c r="AK633" i="30"/>
  <c r="AJ633" i="30"/>
  <c r="AI633" i="30"/>
  <c r="AH633" i="30"/>
  <c r="AG633" i="30"/>
  <c r="AF633" i="30"/>
  <c r="AE633" i="30"/>
  <c r="AD633" i="30"/>
  <c r="AC633" i="30"/>
  <c r="AB633" i="30"/>
  <c r="AA633" i="30"/>
  <c r="Z633" i="30"/>
  <c r="Y633" i="30"/>
  <c r="X633" i="30"/>
  <c r="W633" i="30"/>
  <c r="V633" i="30"/>
  <c r="U633" i="30"/>
  <c r="T633" i="30"/>
  <c r="S633" i="30"/>
  <c r="R633" i="30"/>
  <c r="Q633" i="30"/>
  <c r="P633" i="30"/>
  <c r="O633" i="30"/>
  <c r="N633" i="30"/>
  <c r="M633" i="30"/>
  <c r="L633" i="30"/>
  <c r="K633" i="30"/>
  <c r="J633" i="30"/>
  <c r="I633" i="30"/>
  <c r="H633" i="30"/>
  <c r="G633" i="30"/>
  <c r="F633" i="30"/>
  <c r="D633" i="30"/>
  <c r="C633" i="30"/>
  <c r="BA632" i="30"/>
  <c r="AV632" i="30"/>
  <c r="AQ632" i="30"/>
  <c r="AP632" i="30"/>
  <c r="AO632" i="30"/>
  <c r="AN632" i="30"/>
  <c r="AM632" i="30"/>
  <c r="AL632" i="30"/>
  <c r="AK632" i="30"/>
  <c r="AJ632" i="30"/>
  <c r="AI632" i="30"/>
  <c r="AH632" i="30"/>
  <c r="V632" i="30"/>
  <c r="U632" i="30"/>
  <c r="T632" i="30"/>
  <c r="S632" i="30"/>
  <c r="R632" i="30"/>
  <c r="Q632" i="30"/>
  <c r="P632" i="30"/>
  <c r="O632" i="30"/>
  <c r="N632" i="30"/>
  <c r="M632" i="30"/>
  <c r="L632" i="30"/>
  <c r="K632" i="30"/>
  <c r="J632" i="30"/>
  <c r="I632" i="30"/>
  <c r="H632" i="30"/>
  <c r="G632" i="30"/>
  <c r="F632" i="30"/>
  <c r="D632" i="30"/>
  <c r="C632" i="30"/>
  <c r="BA631" i="30"/>
  <c r="AV631" i="30"/>
  <c r="AQ631" i="30"/>
  <c r="AP631" i="30"/>
  <c r="AO631" i="30"/>
  <c r="AN631" i="30"/>
  <c r="AM631" i="30"/>
  <c r="AL631" i="30"/>
  <c r="AK631" i="30"/>
  <c r="AJ631" i="30"/>
  <c r="AI631" i="30"/>
  <c r="AH631" i="30"/>
  <c r="AG631" i="30"/>
  <c r="AF631" i="30"/>
  <c r="AE631" i="30"/>
  <c r="AD631" i="30"/>
  <c r="AC631" i="30"/>
  <c r="AB631" i="30"/>
  <c r="AA631" i="30"/>
  <c r="Z631" i="30"/>
  <c r="Y631" i="30"/>
  <c r="X631" i="30"/>
  <c r="W631" i="30"/>
  <c r="V631" i="30"/>
  <c r="U631" i="30"/>
  <c r="T631" i="30"/>
  <c r="S631" i="30"/>
  <c r="R631" i="30"/>
  <c r="Q631" i="30"/>
  <c r="P631" i="30"/>
  <c r="O631" i="30"/>
  <c r="N631" i="30"/>
  <c r="M631" i="30"/>
  <c r="L631" i="30"/>
  <c r="K631" i="30"/>
  <c r="J631" i="30"/>
  <c r="I631" i="30"/>
  <c r="H631" i="30"/>
  <c r="G631" i="30"/>
  <c r="F631" i="30"/>
  <c r="D631" i="30"/>
  <c r="C631" i="30"/>
  <c r="BA630" i="30"/>
  <c r="AV630" i="30"/>
  <c r="AQ630" i="30"/>
  <c r="AP630" i="30"/>
  <c r="AO630" i="30"/>
  <c r="AN630" i="30"/>
  <c r="AM630" i="30"/>
  <c r="AL630" i="30"/>
  <c r="AK630" i="30"/>
  <c r="AJ630" i="30"/>
  <c r="AH630" i="30"/>
  <c r="AG630" i="30"/>
  <c r="AF630" i="30"/>
  <c r="AE630" i="30"/>
  <c r="AD630" i="30"/>
  <c r="AC630" i="30"/>
  <c r="AB630" i="30"/>
  <c r="AA630" i="30"/>
  <c r="Z630" i="30"/>
  <c r="Y630" i="30"/>
  <c r="X630" i="30"/>
  <c r="W630" i="30"/>
  <c r="U630" i="30"/>
  <c r="T630" i="30"/>
  <c r="S630" i="30"/>
  <c r="R630" i="30"/>
  <c r="Q630" i="30"/>
  <c r="P630" i="30"/>
  <c r="O630" i="30"/>
  <c r="N630" i="30"/>
  <c r="M630" i="30"/>
  <c r="L630" i="30"/>
  <c r="K630" i="30"/>
  <c r="J630" i="30"/>
  <c r="I630" i="30"/>
  <c r="H630" i="30"/>
  <c r="G630" i="30"/>
  <c r="F630" i="30"/>
  <c r="D630" i="30"/>
  <c r="C630" i="30"/>
  <c r="BA629" i="30"/>
  <c r="AV629" i="30"/>
  <c r="AQ629" i="30"/>
  <c r="AP629" i="30"/>
  <c r="AO629" i="30"/>
  <c r="AN629" i="30"/>
  <c r="AM629" i="30"/>
  <c r="AL629" i="30"/>
  <c r="AK629" i="30"/>
  <c r="AJ629" i="30"/>
  <c r="AI629" i="30"/>
  <c r="AH629" i="30"/>
  <c r="AG629" i="30"/>
  <c r="AF629" i="30"/>
  <c r="AE629" i="30"/>
  <c r="AD629" i="30"/>
  <c r="AC629" i="30"/>
  <c r="AB629" i="30"/>
  <c r="AA629" i="30"/>
  <c r="Z629" i="30"/>
  <c r="Y629" i="30"/>
  <c r="X629" i="30"/>
  <c r="W629" i="30"/>
  <c r="V629" i="30"/>
  <c r="U629" i="30"/>
  <c r="T629" i="30"/>
  <c r="S629" i="30"/>
  <c r="R629" i="30"/>
  <c r="Q629" i="30"/>
  <c r="P629" i="30"/>
  <c r="O629" i="30"/>
  <c r="N629" i="30"/>
  <c r="M629" i="30"/>
  <c r="L629" i="30"/>
  <c r="K629" i="30"/>
  <c r="J629" i="30"/>
  <c r="I629" i="30"/>
  <c r="H629" i="30"/>
  <c r="G629" i="30"/>
  <c r="F629" i="30"/>
  <c r="D629" i="30"/>
  <c r="C629" i="30"/>
  <c r="BA628" i="30"/>
  <c r="AV628" i="30"/>
  <c r="AQ628" i="30"/>
  <c r="AP628" i="30"/>
  <c r="AO628" i="30"/>
  <c r="AN628" i="30"/>
  <c r="AM628" i="30"/>
  <c r="AL628" i="30"/>
  <c r="AK628" i="30"/>
  <c r="AJ628" i="30"/>
  <c r="AI628" i="30"/>
  <c r="AH628" i="30"/>
  <c r="AG628" i="30"/>
  <c r="AF628" i="30"/>
  <c r="AE628" i="30"/>
  <c r="AD628" i="30"/>
  <c r="AC628" i="30"/>
  <c r="AB628" i="30"/>
  <c r="AA628" i="30"/>
  <c r="Z628" i="30"/>
  <c r="Y628" i="30"/>
  <c r="X628" i="30"/>
  <c r="W628" i="30"/>
  <c r="V628" i="30"/>
  <c r="U628" i="30"/>
  <c r="T628" i="30"/>
  <c r="S628" i="30"/>
  <c r="R628" i="30"/>
  <c r="Q628" i="30"/>
  <c r="P628" i="30"/>
  <c r="O628" i="30"/>
  <c r="N628" i="30"/>
  <c r="M628" i="30"/>
  <c r="L628" i="30"/>
  <c r="K628" i="30"/>
  <c r="J628" i="30"/>
  <c r="I628" i="30"/>
  <c r="H628" i="30"/>
  <c r="G628" i="30"/>
  <c r="F628" i="30"/>
  <c r="D628" i="30"/>
  <c r="C628" i="30"/>
  <c r="BA627" i="30"/>
  <c r="AV627" i="30"/>
  <c r="AQ627" i="30"/>
  <c r="AP627" i="30"/>
  <c r="AO627" i="30"/>
  <c r="AN627" i="30"/>
  <c r="AM627" i="30"/>
  <c r="AL627" i="30"/>
  <c r="AK627" i="30"/>
  <c r="AJ627" i="30"/>
  <c r="AI627" i="30"/>
  <c r="AH627" i="30"/>
  <c r="AG627" i="30"/>
  <c r="AF627" i="30"/>
  <c r="AE627" i="30"/>
  <c r="AD627" i="30"/>
  <c r="AC627" i="30"/>
  <c r="AB627" i="30"/>
  <c r="AA627" i="30"/>
  <c r="Z627" i="30"/>
  <c r="Y627" i="30"/>
  <c r="X627" i="30"/>
  <c r="W627" i="30"/>
  <c r="V627" i="30"/>
  <c r="U627" i="30"/>
  <c r="T627" i="30"/>
  <c r="S627" i="30"/>
  <c r="R627" i="30"/>
  <c r="Q627" i="30"/>
  <c r="P627" i="30"/>
  <c r="O627" i="30"/>
  <c r="N627" i="30"/>
  <c r="M627" i="30"/>
  <c r="L627" i="30"/>
  <c r="K627" i="30"/>
  <c r="J627" i="30"/>
  <c r="I627" i="30"/>
  <c r="H627" i="30"/>
  <c r="G627" i="30"/>
  <c r="F627" i="30"/>
  <c r="D627" i="30"/>
  <c r="C627" i="30"/>
  <c r="BA626" i="30"/>
  <c r="AV626" i="30"/>
  <c r="AQ626" i="30"/>
  <c r="AP626" i="30"/>
  <c r="AO626" i="30"/>
  <c r="AN626" i="30"/>
  <c r="AM626" i="30"/>
  <c r="AL626" i="30"/>
  <c r="AK626" i="30"/>
  <c r="AJ626" i="30"/>
  <c r="AI626" i="30"/>
  <c r="AH626" i="30"/>
  <c r="AG626" i="30"/>
  <c r="AF626" i="30"/>
  <c r="AE626" i="30"/>
  <c r="AD626" i="30"/>
  <c r="AC626" i="30"/>
  <c r="AB626" i="30"/>
  <c r="AA626" i="30"/>
  <c r="Z626" i="30"/>
  <c r="Y626" i="30"/>
  <c r="X626" i="30"/>
  <c r="W626" i="30"/>
  <c r="V626" i="30"/>
  <c r="U626" i="30"/>
  <c r="T626" i="30"/>
  <c r="S626" i="30"/>
  <c r="R626" i="30"/>
  <c r="Q626" i="30"/>
  <c r="P626" i="30"/>
  <c r="O626" i="30"/>
  <c r="N626" i="30"/>
  <c r="M626" i="30"/>
  <c r="L626" i="30"/>
  <c r="K626" i="30"/>
  <c r="J626" i="30"/>
  <c r="I626" i="30"/>
  <c r="H626" i="30"/>
  <c r="G626" i="30"/>
  <c r="F626" i="30"/>
  <c r="D626" i="30"/>
  <c r="C626" i="30"/>
  <c r="BA625" i="30"/>
  <c r="AV625" i="30"/>
  <c r="AQ625" i="30"/>
  <c r="AP625" i="30"/>
  <c r="AO625" i="30"/>
  <c r="AN625" i="30"/>
  <c r="AM625" i="30"/>
  <c r="AL625" i="30"/>
  <c r="AK625" i="30"/>
  <c r="AJ625" i="30"/>
  <c r="AI625" i="30"/>
  <c r="AH625" i="30"/>
  <c r="AG625" i="30"/>
  <c r="AF625" i="30"/>
  <c r="AE625" i="30"/>
  <c r="AD625" i="30"/>
  <c r="AC625" i="30"/>
  <c r="AB625" i="30"/>
  <c r="AA625" i="30"/>
  <c r="Z625" i="30"/>
  <c r="Y625" i="30"/>
  <c r="X625" i="30"/>
  <c r="W625" i="30"/>
  <c r="V625" i="30"/>
  <c r="U625" i="30"/>
  <c r="T625" i="30"/>
  <c r="S625" i="30"/>
  <c r="R625" i="30"/>
  <c r="Q625" i="30"/>
  <c r="P625" i="30"/>
  <c r="O625" i="30"/>
  <c r="N625" i="30"/>
  <c r="M625" i="30"/>
  <c r="L625" i="30"/>
  <c r="K625" i="30"/>
  <c r="J625" i="30"/>
  <c r="I625" i="30"/>
  <c r="H625" i="30"/>
  <c r="G625" i="30"/>
  <c r="F625" i="30"/>
  <c r="D625" i="30"/>
  <c r="C625" i="30"/>
  <c r="BA624" i="30"/>
  <c r="AV624" i="30"/>
  <c r="AQ624" i="30"/>
  <c r="AP624" i="30"/>
  <c r="AO624" i="30"/>
  <c r="AN624" i="30"/>
  <c r="AM624" i="30"/>
  <c r="AL624" i="30"/>
  <c r="AK624" i="30"/>
  <c r="V624" i="30"/>
  <c r="T624" i="30"/>
  <c r="S624" i="30"/>
  <c r="R624" i="30"/>
  <c r="Q624" i="30"/>
  <c r="P624" i="30"/>
  <c r="O624" i="30"/>
  <c r="N624" i="30"/>
  <c r="M624" i="30"/>
  <c r="L624" i="30"/>
  <c r="K624" i="30"/>
  <c r="J624" i="30"/>
  <c r="I624" i="30"/>
  <c r="H624" i="30"/>
  <c r="G624" i="30"/>
  <c r="F624" i="30"/>
  <c r="D624" i="30"/>
  <c r="C624" i="30"/>
  <c r="BA623" i="30"/>
  <c r="AV623" i="30"/>
  <c r="AQ623" i="30"/>
  <c r="AP623" i="30"/>
  <c r="AO623" i="30"/>
  <c r="AN623" i="30"/>
  <c r="AM623" i="30"/>
  <c r="AL623" i="30"/>
  <c r="V623" i="30"/>
  <c r="T623" i="30"/>
  <c r="S623" i="30"/>
  <c r="R623" i="30"/>
  <c r="Q623" i="30"/>
  <c r="P623" i="30"/>
  <c r="O623" i="30"/>
  <c r="N623" i="30"/>
  <c r="M623" i="30"/>
  <c r="L623" i="30"/>
  <c r="K623" i="30"/>
  <c r="J623" i="30"/>
  <c r="I623" i="30"/>
  <c r="H623" i="30"/>
  <c r="G623" i="30"/>
  <c r="F623" i="30"/>
  <c r="D623" i="30"/>
  <c r="C623" i="30"/>
  <c r="BA622" i="30"/>
  <c r="AV622" i="30"/>
  <c r="AQ622" i="30"/>
  <c r="AP622" i="30"/>
  <c r="AO622" i="30"/>
  <c r="AN622" i="30"/>
  <c r="AM622" i="30"/>
  <c r="AL622" i="30"/>
  <c r="AK622" i="30"/>
  <c r="AJ622" i="30"/>
  <c r="AI622" i="30"/>
  <c r="AH622" i="30"/>
  <c r="AG622" i="30"/>
  <c r="AF622" i="30"/>
  <c r="AE622" i="30"/>
  <c r="AD622" i="30"/>
  <c r="AC622" i="30"/>
  <c r="AB622" i="30"/>
  <c r="AA622" i="30"/>
  <c r="Z622" i="30"/>
  <c r="Y622" i="30"/>
  <c r="X622" i="30"/>
  <c r="W622" i="30"/>
  <c r="V622" i="30"/>
  <c r="U622" i="30"/>
  <c r="T622" i="30"/>
  <c r="S622" i="30"/>
  <c r="R622" i="30"/>
  <c r="Q622" i="30"/>
  <c r="P622" i="30"/>
  <c r="O622" i="30"/>
  <c r="N622" i="30"/>
  <c r="M622" i="30"/>
  <c r="L622" i="30"/>
  <c r="K622" i="30"/>
  <c r="J622" i="30"/>
  <c r="I622" i="30"/>
  <c r="H622" i="30"/>
  <c r="G622" i="30"/>
  <c r="F622" i="30"/>
  <c r="D622" i="30"/>
  <c r="C622" i="30"/>
  <c r="B622" i="30"/>
  <c r="A622" i="30"/>
  <c r="BA621" i="30"/>
  <c r="AV621" i="30"/>
  <c r="AQ621" i="30"/>
  <c r="AP621" i="30"/>
  <c r="AO621" i="30"/>
  <c r="AN621" i="30"/>
  <c r="AM621" i="30"/>
  <c r="AL621" i="30"/>
  <c r="AK621" i="30"/>
  <c r="AJ621" i="30"/>
  <c r="AI621" i="30"/>
  <c r="AH621" i="30"/>
  <c r="AG621" i="30"/>
  <c r="AF621" i="30"/>
  <c r="AE621" i="30"/>
  <c r="AD621" i="30"/>
  <c r="AC621" i="30"/>
  <c r="AB621" i="30"/>
  <c r="AA621" i="30"/>
  <c r="Z621" i="30"/>
  <c r="Y621" i="30"/>
  <c r="X621" i="30"/>
  <c r="W621" i="30"/>
  <c r="V621" i="30"/>
  <c r="U621" i="30"/>
  <c r="T621" i="30"/>
  <c r="S621" i="30"/>
  <c r="R621" i="30"/>
  <c r="Q621" i="30"/>
  <c r="P621" i="30"/>
  <c r="O621" i="30"/>
  <c r="N621" i="30"/>
  <c r="M621" i="30"/>
  <c r="L621" i="30"/>
  <c r="K621" i="30"/>
  <c r="J621" i="30"/>
  <c r="I621" i="30"/>
  <c r="H621" i="30"/>
  <c r="G621" i="30"/>
  <c r="F621" i="30"/>
  <c r="D621" i="30"/>
  <c r="C621" i="30"/>
  <c r="BA620" i="30"/>
  <c r="AV620" i="30"/>
  <c r="AQ620" i="30"/>
  <c r="AP620" i="30"/>
  <c r="AO620" i="30"/>
  <c r="AN620" i="30"/>
  <c r="AM620" i="30"/>
  <c r="AL620" i="30"/>
  <c r="AK620" i="30"/>
  <c r="AJ620" i="30"/>
  <c r="AI620" i="30"/>
  <c r="AH620" i="30"/>
  <c r="AG620" i="30"/>
  <c r="AF620" i="30"/>
  <c r="AE620" i="30"/>
  <c r="AD620" i="30"/>
  <c r="AC620" i="30"/>
  <c r="AB620" i="30"/>
  <c r="AA620" i="30"/>
  <c r="Z620" i="30"/>
  <c r="Y620" i="30"/>
  <c r="X620" i="30"/>
  <c r="W620" i="30"/>
  <c r="V620" i="30"/>
  <c r="U620" i="30"/>
  <c r="T620" i="30"/>
  <c r="S620" i="30"/>
  <c r="R620" i="30"/>
  <c r="Q620" i="30"/>
  <c r="P620" i="30"/>
  <c r="O620" i="30"/>
  <c r="N620" i="30"/>
  <c r="M620" i="30"/>
  <c r="L620" i="30"/>
  <c r="K620" i="30"/>
  <c r="J620" i="30"/>
  <c r="I620" i="30"/>
  <c r="H620" i="30"/>
  <c r="G620" i="30"/>
  <c r="F620" i="30"/>
  <c r="D620" i="30"/>
  <c r="C620" i="30"/>
  <c r="B620" i="30"/>
  <c r="A620" i="30"/>
  <c r="BA619" i="30"/>
  <c r="AV619" i="30"/>
  <c r="AQ619" i="30"/>
  <c r="AP619" i="30"/>
  <c r="AO619" i="30"/>
  <c r="AN619" i="30"/>
  <c r="AM619" i="30"/>
  <c r="AL619" i="30"/>
  <c r="AK619" i="30"/>
  <c r="AJ619" i="30"/>
  <c r="AI619" i="30"/>
  <c r="AH619" i="30"/>
  <c r="AG619" i="30"/>
  <c r="AF619" i="30"/>
  <c r="AE619" i="30"/>
  <c r="AD619" i="30"/>
  <c r="AC619" i="30"/>
  <c r="AB619" i="30"/>
  <c r="AA619" i="30"/>
  <c r="Z619" i="30"/>
  <c r="Y619" i="30"/>
  <c r="X619" i="30"/>
  <c r="W619" i="30"/>
  <c r="V619" i="30"/>
  <c r="U619" i="30"/>
  <c r="T619" i="30"/>
  <c r="S619" i="30"/>
  <c r="R619" i="30"/>
  <c r="Q619" i="30"/>
  <c r="P619" i="30"/>
  <c r="O619" i="30"/>
  <c r="N619" i="30"/>
  <c r="M619" i="30"/>
  <c r="L619" i="30"/>
  <c r="K619" i="30"/>
  <c r="J619" i="30"/>
  <c r="I619" i="30"/>
  <c r="H619" i="30"/>
  <c r="G619" i="30"/>
  <c r="F619" i="30"/>
  <c r="D619" i="30"/>
  <c r="C619" i="30"/>
  <c r="B619" i="30"/>
  <c r="A619" i="30"/>
  <c r="BA618" i="30"/>
  <c r="AV618" i="30"/>
  <c r="AQ618" i="30"/>
  <c r="AP618" i="30"/>
  <c r="AO618" i="30"/>
  <c r="AN618" i="30"/>
  <c r="AM618" i="30"/>
  <c r="AK618" i="30"/>
  <c r="V618" i="30"/>
  <c r="S618" i="30"/>
  <c r="J618" i="30"/>
  <c r="I618" i="30"/>
  <c r="H618" i="30"/>
  <c r="G618" i="30"/>
  <c r="F618" i="30"/>
  <c r="D618" i="30"/>
  <c r="C618" i="30"/>
  <c r="BA617" i="30"/>
  <c r="AV617" i="30"/>
  <c r="AQ617" i="30"/>
  <c r="AP617" i="30"/>
  <c r="AO617" i="30"/>
  <c r="AN617" i="30"/>
  <c r="AM617" i="30"/>
  <c r="AK617" i="30"/>
  <c r="Y617" i="30"/>
  <c r="X617" i="30"/>
  <c r="W617" i="30"/>
  <c r="V617" i="30"/>
  <c r="U617" i="30"/>
  <c r="T617" i="30"/>
  <c r="S617" i="30"/>
  <c r="R617" i="30"/>
  <c r="Q617" i="30"/>
  <c r="P617" i="30"/>
  <c r="O617" i="30"/>
  <c r="N617" i="30"/>
  <c r="M617" i="30"/>
  <c r="L617" i="30"/>
  <c r="K617" i="30"/>
  <c r="J617" i="30"/>
  <c r="I617" i="30"/>
  <c r="H617" i="30"/>
  <c r="G617" i="30"/>
  <c r="F617" i="30"/>
  <c r="D617" i="30"/>
  <c r="C617" i="30"/>
  <c r="BA616" i="30"/>
  <c r="AV616" i="30"/>
  <c r="AQ616" i="30"/>
  <c r="AP616" i="30"/>
  <c r="AO616" i="30"/>
  <c r="AN616" i="30"/>
  <c r="AM616" i="30"/>
  <c r="AK616" i="30"/>
  <c r="V616" i="30"/>
  <c r="S616" i="30"/>
  <c r="R616" i="30"/>
  <c r="Q616" i="30"/>
  <c r="P616" i="30"/>
  <c r="O616" i="30"/>
  <c r="N616" i="30"/>
  <c r="M616" i="30"/>
  <c r="L616" i="30"/>
  <c r="K616" i="30"/>
  <c r="J616" i="30"/>
  <c r="I616" i="30"/>
  <c r="H616" i="30"/>
  <c r="G616" i="30"/>
  <c r="F616" i="30"/>
  <c r="D616" i="30"/>
  <c r="C616" i="30"/>
  <c r="BA615" i="30"/>
  <c r="AV615" i="30"/>
  <c r="AQ615" i="30"/>
  <c r="AP615" i="30"/>
  <c r="AO615" i="30"/>
  <c r="AN615" i="30"/>
  <c r="AM615" i="30"/>
  <c r="AK615" i="30"/>
  <c r="V615" i="30"/>
  <c r="S615" i="30"/>
  <c r="R615" i="30"/>
  <c r="Q615" i="30"/>
  <c r="P615" i="30"/>
  <c r="O615" i="30"/>
  <c r="N615" i="30"/>
  <c r="M615" i="30"/>
  <c r="L615" i="30"/>
  <c r="K615" i="30"/>
  <c r="J615" i="30"/>
  <c r="I615" i="30"/>
  <c r="H615" i="30"/>
  <c r="G615" i="30"/>
  <c r="F615" i="30"/>
  <c r="D615" i="30"/>
  <c r="C615" i="30"/>
  <c r="BA613" i="30"/>
  <c r="AV613" i="30"/>
  <c r="AQ613" i="30"/>
  <c r="AP613" i="30"/>
  <c r="AO613" i="30"/>
  <c r="AN613" i="30"/>
  <c r="AM613" i="30"/>
  <c r="AL613" i="30"/>
  <c r="AK613" i="30"/>
  <c r="AJ613" i="30"/>
  <c r="AI613" i="30"/>
  <c r="AH613" i="30"/>
  <c r="AG613" i="30"/>
  <c r="AE613" i="30"/>
  <c r="AD613" i="30"/>
  <c r="AC613" i="30"/>
  <c r="AB613" i="30"/>
  <c r="AA613" i="30"/>
  <c r="Z613" i="30"/>
  <c r="Y613" i="30"/>
  <c r="X613" i="30"/>
  <c r="W613" i="30"/>
  <c r="V613" i="30"/>
  <c r="U613" i="30"/>
  <c r="T613" i="30"/>
  <c r="S613" i="30"/>
  <c r="R613" i="30"/>
  <c r="Q613" i="30"/>
  <c r="P613" i="30"/>
  <c r="O613" i="30"/>
  <c r="N613" i="30"/>
  <c r="M613" i="30"/>
  <c r="L613" i="30"/>
  <c r="K613" i="30"/>
  <c r="J613" i="30"/>
  <c r="I613" i="30"/>
  <c r="H613" i="30"/>
  <c r="G613" i="30"/>
  <c r="F613" i="30"/>
  <c r="D613" i="30"/>
  <c r="C613" i="30"/>
  <c r="BA611" i="30"/>
  <c r="AV611" i="30"/>
  <c r="AQ611" i="30"/>
  <c r="AP611" i="30"/>
  <c r="AO611" i="30"/>
  <c r="AN611" i="30"/>
  <c r="AM611" i="30"/>
  <c r="AK611" i="30"/>
  <c r="AJ611" i="30"/>
  <c r="AI611" i="30"/>
  <c r="AH611" i="30"/>
  <c r="AG611" i="30"/>
  <c r="AF611" i="30"/>
  <c r="AE611" i="30"/>
  <c r="AD611" i="30"/>
  <c r="AC611" i="30"/>
  <c r="AB611" i="30"/>
  <c r="AA611" i="30"/>
  <c r="Z611" i="30"/>
  <c r="Y611" i="30"/>
  <c r="X611" i="30"/>
  <c r="W611" i="30"/>
  <c r="V611" i="30"/>
  <c r="U611" i="30"/>
  <c r="T611" i="30"/>
  <c r="S611" i="30"/>
  <c r="R611" i="30"/>
  <c r="Q611" i="30"/>
  <c r="P611" i="30"/>
  <c r="O611" i="30"/>
  <c r="N611" i="30"/>
  <c r="M611" i="30"/>
  <c r="L611" i="30"/>
  <c r="K611" i="30"/>
  <c r="J611" i="30"/>
  <c r="I611" i="30"/>
  <c r="H611" i="30"/>
  <c r="G611" i="30"/>
  <c r="F611" i="30"/>
  <c r="D611" i="30"/>
  <c r="C611" i="30"/>
  <c r="BA610" i="30"/>
  <c r="AV610" i="30"/>
  <c r="AQ610" i="30"/>
  <c r="AP610" i="30"/>
  <c r="AO610" i="30"/>
  <c r="AN610" i="30"/>
  <c r="AM610" i="30"/>
  <c r="AL610" i="30"/>
  <c r="AK610" i="30"/>
  <c r="AJ610" i="30"/>
  <c r="AI610" i="30"/>
  <c r="AH610" i="30"/>
  <c r="AG610" i="30"/>
  <c r="AF610" i="30"/>
  <c r="AE610" i="30"/>
  <c r="AD610" i="30"/>
  <c r="AC610" i="30"/>
  <c r="AB610" i="30"/>
  <c r="AA610" i="30"/>
  <c r="Z610" i="30"/>
  <c r="Y610" i="30"/>
  <c r="X610" i="30"/>
  <c r="W610" i="30"/>
  <c r="V610" i="30"/>
  <c r="U610" i="30"/>
  <c r="T610" i="30"/>
  <c r="S610" i="30"/>
  <c r="R610" i="30"/>
  <c r="Q610" i="30"/>
  <c r="P610" i="30"/>
  <c r="O610" i="30"/>
  <c r="N610" i="30"/>
  <c r="M610" i="30"/>
  <c r="L610" i="30"/>
  <c r="K610" i="30"/>
  <c r="J610" i="30"/>
  <c r="I610" i="30"/>
  <c r="H610" i="30"/>
  <c r="G610" i="30"/>
  <c r="F610" i="30"/>
  <c r="D610" i="30"/>
  <c r="C610" i="30"/>
  <c r="BA609" i="30"/>
  <c r="AV609" i="30"/>
  <c r="AQ609" i="30"/>
  <c r="AP609" i="30"/>
  <c r="AO609" i="30"/>
  <c r="AN609" i="30"/>
  <c r="AM609" i="30"/>
  <c r="AL609" i="30"/>
  <c r="AK609" i="30"/>
  <c r="AJ609" i="30"/>
  <c r="AI609" i="30"/>
  <c r="AH609" i="30"/>
  <c r="AG609" i="30"/>
  <c r="AF609" i="30"/>
  <c r="AE609" i="30"/>
  <c r="AD609" i="30"/>
  <c r="AC609" i="30"/>
  <c r="AB609" i="30"/>
  <c r="AA609" i="30"/>
  <c r="Z609" i="30"/>
  <c r="Y609" i="30"/>
  <c r="X609" i="30"/>
  <c r="W609" i="30"/>
  <c r="V609" i="30"/>
  <c r="U609" i="30"/>
  <c r="T609" i="30"/>
  <c r="S609" i="30"/>
  <c r="R609" i="30"/>
  <c r="Q609" i="30"/>
  <c r="P609" i="30"/>
  <c r="O609" i="30"/>
  <c r="N609" i="30"/>
  <c r="M609" i="30"/>
  <c r="L609" i="30"/>
  <c r="K609" i="30"/>
  <c r="J609" i="30"/>
  <c r="I609" i="30"/>
  <c r="H609" i="30"/>
  <c r="G609" i="30"/>
  <c r="F609" i="30"/>
  <c r="D609" i="30"/>
  <c r="C609" i="30"/>
  <c r="BA608" i="30"/>
  <c r="AV608" i="30"/>
  <c r="AQ608" i="30"/>
  <c r="AP608" i="30"/>
  <c r="AO608" i="30"/>
  <c r="AN608" i="30"/>
  <c r="AM608" i="30"/>
  <c r="AL608" i="30"/>
  <c r="AK608" i="30"/>
  <c r="AJ608" i="30"/>
  <c r="AI608" i="30"/>
  <c r="AH608" i="30"/>
  <c r="AG608" i="30"/>
  <c r="AF608" i="30"/>
  <c r="AE608" i="30"/>
  <c r="AD608" i="30"/>
  <c r="AC608" i="30"/>
  <c r="AB608" i="30"/>
  <c r="AA608" i="30"/>
  <c r="Z608" i="30"/>
  <c r="Y608" i="30"/>
  <c r="X608" i="30"/>
  <c r="W608" i="30"/>
  <c r="V608" i="30"/>
  <c r="U608" i="30"/>
  <c r="T608" i="30"/>
  <c r="S608" i="30"/>
  <c r="R608" i="30"/>
  <c r="Q608" i="30"/>
  <c r="P608" i="30"/>
  <c r="O608" i="30"/>
  <c r="N608" i="30"/>
  <c r="M608" i="30"/>
  <c r="L608" i="30"/>
  <c r="K608" i="30"/>
  <c r="J608" i="30"/>
  <c r="I608" i="30"/>
  <c r="H608" i="30"/>
  <c r="G608" i="30"/>
  <c r="F608" i="30"/>
  <c r="D608" i="30"/>
  <c r="C608" i="30"/>
  <c r="B608" i="30"/>
  <c r="BA607" i="30"/>
  <c r="AV607" i="30"/>
  <c r="AQ607" i="30"/>
  <c r="AP607" i="30"/>
  <c r="AO607" i="30"/>
  <c r="AN607" i="30"/>
  <c r="AM607" i="30"/>
  <c r="AL607" i="30"/>
  <c r="AK607" i="30"/>
  <c r="AJ607" i="30"/>
  <c r="AI607" i="30"/>
  <c r="V607" i="30"/>
  <c r="S607" i="30"/>
  <c r="R607" i="30"/>
  <c r="Q607" i="30"/>
  <c r="P607" i="30"/>
  <c r="O607" i="30"/>
  <c r="N607" i="30"/>
  <c r="M607" i="30"/>
  <c r="L607" i="30"/>
  <c r="K607" i="30"/>
  <c r="J607" i="30"/>
  <c r="I607" i="30"/>
  <c r="H607" i="30"/>
  <c r="G607" i="30"/>
  <c r="F607" i="30"/>
  <c r="D607" i="30"/>
  <c r="C607" i="30"/>
  <c r="BA606" i="30"/>
  <c r="AV606" i="30"/>
  <c r="AQ606" i="30"/>
  <c r="AP606" i="30"/>
  <c r="AO606" i="30"/>
  <c r="AN606" i="30"/>
  <c r="AM606" i="30"/>
  <c r="AL606" i="30"/>
  <c r="AK606" i="30"/>
  <c r="AJ606" i="30"/>
  <c r="AI606" i="30"/>
  <c r="AH606" i="30"/>
  <c r="AG606" i="30"/>
  <c r="AF606" i="30"/>
  <c r="AE606" i="30"/>
  <c r="AD606" i="30"/>
  <c r="AC606" i="30"/>
  <c r="AB606" i="30"/>
  <c r="AA606" i="30"/>
  <c r="Z606" i="30"/>
  <c r="Y606" i="30"/>
  <c r="X606" i="30"/>
  <c r="W606" i="30"/>
  <c r="V606" i="30"/>
  <c r="U606" i="30"/>
  <c r="T606" i="30"/>
  <c r="S606" i="30"/>
  <c r="R606" i="30"/>
  <c r="Q606" i="30"/>
  <c r="P606" i="30"/>
  <c r="O606" i="30"/>
  <c r="N606" i="30"/>
  <c r="M606" i="30"/>
  <c r="L606" i="30"/>
  <c r="K606" i="30"/>
  <c r="J606" i="30"/>
  <c r="I606" i="30"/>
  <c r="H606" i="30"/>
  <c r="G606" i="30"/>
  <c r="F606" i="30"/>
  <c r="D606" i="30"/>
  <c r="C606" i="30"/>
  <c r="BA605" i="30"/>
  <c r="AV605" i="30"/>
  <c r="AQ605" i="30"/>
  <c r="AP605" i="30"/>
  <c r="AO605" i="30"/>
  <c r="AN605" i="30"/>
  <c r="AM605" i="30"/>
  <c r="AL605" i="30"/>
  <c r="AK605" i="30"/>
  <c r="AJ605" i="30"/>
  <c r="AI605" i="30"/>
  <c r="AH605" i="30"/>
  <c r="AG605" i="30"/>
  <c r="AE605" i="30"/>
  <c r="AD605" i="30"/>
  <c r="AC605" i="30"/>
  <c r="AB605" i="30"/>
  <c r="AA605" i="30"/>
  <c r="Z605" i="30"/>
  <c r="Y605" i="30"/>
  <c r="X605" i="30"/>
  <c r="W605" i="30"/>
  <c r="V605" i="30"/>
  <c r="U605" i="30"/>
  <c r="T605" i="30"/>
  <c r="S605" i="30"/>
  <c r="R605" i="30"/>
  <c r="Q605" i="30"/>
  <c r="P605" i="30"/>
  <c r="O605" i="30"/>
  <c r="N605" i="30"/>
  <c r="M605" i="30"/>
  <c r="L605" i="30"/>
  <c r="K605" i="30"/>
  <c r="J605" i="30"/>
  <c r="I605" i="30"/>
  <c r="H605" i="30"/>
  <c r="G605" i="30"/>
  <c r="F605" i="30"/>
  <c r="D605" i="30"/>
  <c r="C605" i="30"/>
  <c r="BA604" i="30"/>
  <c r="AV604" i="30"/>
  <c r="AQ604" i="30"/>
  <c r="AP604" i="30"/>
  <c r="AO604" i="30"/>
  <c r="AN604" i="30"/>
  <c r="AM604" i="30"/>
  <c r="AL604" i="30"/>
  <c r="AK604" i="30"/>
  <c r="AJ604" i="30"/>
  <c r="AI604" i="30"/>
  <c r="AH604" i="30"/>
  <c r="AG604" i="30"/>
  <c r="AE604" i="30"/>
  <c r="AD604" i="30"/>
  <c r="AC604" i="30"/>
  <c r="AB604" i="30"/>
  <c r="AA604" i="30"/>
  <c r="Z604" i="30"/>
  <c r="Y604" i="30"/>
  <c r="X604" i="30"/>
  <c r="W604" i="30"/>
  <c r="V604" i="30"/>
  <c r="U604" i="30"/>
  <c r="T604" i="30"/>
  <c r="S604" i="30"/>
  <c r="R604" i="30"/>
  <c r="Q604" i="30"/>
  <c r="P604" i="30"/>
  <c r="O604" i="30"/>
  <c r="N604" i="30"/>
  <c r="M604" i="30"/>
  <c r="L604" i="30"/>
  <c r="K604" i="30"/>
  <c r="J604" i="30"/>
  <c r="I604" i="30"/>
  <c r="H604" i="30"/>
  <c r="G604" i="30"/>
  <c r="F604" i="30"/>
  <c r="D604" i="30"/>
  <c r="C604" i="30"/>
  <c r="BA603" i="30"/>
  <c r="AV603" i="30"/>
  <c r="AQ603" i="30"/>
  <c r="AP603" i="30"/>
  <c r="AO603" i="30"/>
  <c r="AN603" i="30"/>
  <c r="AM603" i="30"/>
  <c r="AL603" i="30"/>
  <c r="AK603" i="30"/>
  <c r="AJ603" i="30"/>
  <c r="AI603" i="30"/>
  <c r="AH603" i="30"/>
  <c r="AG603" i="30"/>
  <c r="AF603" i="30"/>
  <c r="AE603" i="30"/>
  <c r="AD603" i="30"/>
  <c r="AC603" i="30"/>
  <c r="AB603" i="30"/>
  <c r="AA603" i="30"/>
  <c r="Z603" i="30"/>
  <c r="Y603" i="30"/>
  <c r="X603" i="30"/>
  <c r="W603" i="30"/>
  <c r="V603" i="30"/>
  <c r="U603" i="30"/>
  <c r="T603" i="30"/>
  <c r="S603" i="30"/>
  <c r="R603" i="30"/>
  <c r="Q603" i="30"/>
  <c r="P603" i="30"/>
  <c r="O603" i="30"/>
  <c r="N603" i="30"/>
  <c r="M603" i="30"/>
  <c r="L603" i="30"/>
  <c r="K603" i="30"/>
  <c r="J603" i="30"/>
  <c r="I603" i="30"/>
  <c r="H603" i="30"/>
  <c r="G603" i="30"/>
  <c r="F603" i="30"/>
  <c r="D603" i="30"/>
  <c r="C603" i="30"/>
  <c r="BA602" i="30"/>
  <c r="AV602" i="30"/>
  <c r="AQ602" i="30"/>
  <c r="AP602" i="30"/>
  <c r="AO602" i="30"/>
  <c r="AN602" i="30"/>
  <c r="AM602" i="30"/>
  <c r="AL602" i="30"/>
  <c r="AK602" i="30"/>
  <c r="AJ602" i="30"/>
  <c r="AI602" i="30"/>
  <c r="AH602" i="30"/>
  <c r="AG602" i="30"/>
  <c r="AF602" i="30"/>
  <c r="AE602" i="30"/>
  <c r="AD602" i="30"/>
  <c r="AC602" i="30"/>
  <c r="AB602" i="30"/>
  <c r="AA602" i="30"/>
  <c r="Z602" i="30"/>
  <c r="Y602" i="30"/>
  <c r="X602" i="30"/>
  <c r="W602" i="30"/>
  <c r="V602" i="30"/>
  <c r="U602" i="30"/>
  <c r="T602" i="30"/>
  <c r="S602" i="30"/>
  <c r="R602" i="30"/>
  <c r="Q602" i="30"/>
  <c r="P602" i="30"/>
  <c r="O602" i="30"/>
  <c r="N602" i="30"/>
  <c r="M602" i="30"/>
  <c r="L602" i="30"/>
  <c r="K602" i="30"/>
  <c r="J602" i="30"/>
  <c r="I602" i="30"/>
  <c r="H602" i="30"/>
  <c r="G602" i="30"/>
  <c r="F602" i="30"/>
  <c r="D602" i="30"/>
  <c r="C602" i="30"/>
  <c r="BA601" i="30"/>
  <c r="AV601" i="30"/>
  <c r="AQ601" i="30"/>
  <c r="AP601" i="30"/>
  <c r="AO601" i="30"/>
  <c r="AN601" i="30"/>
  <c r="AM601" i="30"/>
  <c r="AL601" i="30"/>
  <c r="AK601" i="30"/>
  <c r="AJ601" i="30"/>
  <c r="AI601" i="30"/>
  <c r="AA601" i="30"/>
  <c r="Z601" i="30"/>
  <c r="Y601" i="30"/>
  <c r="X601" i="30"/>
  <c r="W601" i="30"/>
  <c r="V601" i="30"/>
  <c r="U601" i="30"/>
  <c r="T601" i="30"/>
  <c r="S601" i="30"/>
  <c r="R601" i="30"/>
  <c r="Q601" i="30"/>
  <c r="P601" i="30"/>
  <c r="O601" i="30"/>
  <c r="N601" i="30"/>
  <c r="M601" i="30"/>
  <c r="L601" i="30"/>
  <c r="K601" i="30"/>
  <c r="J601" i="30"/>
  <c r="I601" i="30"/>
  <c r="H601" i="30"/>
  <c r="G601" i="30"/>
  <c r="F601" i="30"/>
  <c r="D601" i="30"/>
  <c r="C601" i="30"/>
  <c r="BA600" i="30"/>
  <c r="AV600" i="30"/>
  <c r="AQ600" i="30"/>
  <c r="AP600" i="30"/>
  <c r="AO600" i="30"/>
  <c r="AN600" i="30"/>
  <c r="AM600" i="30"/>
  <c r="AL600" i="30"/>
  <c r="AK600" i="30"/>
  <c r="AJ600" i="30"/>
  <c r="AI600" i="30"/>
  <c r="AH600" i="30"/>
  <c r="AG600" i="30"/>
  <c r="AF600" i="30"/>
  <c r="AE600" i="30"/>
  <c r="AD600" i="30"/>
  <c r="AC600" i="30"/>
  <c r="AB600" i="30"/>
  <c r="AA600" i="30"/>
  <c r="Z600" i="30"/>
  <c r="Y600" i="30"/>
  <c r="X600" i="30"/>
  <c r="W600" i="30"/>
  <c r="V600" i="30"/>
  <c r="U600" i="30"/>
  <c r="T600" i="30"/>
  <c r="S600" i="30"/>
  <c r="R600" i="30"/>
  <c r="Q600" i="30"/>
  <c r="P600" i="30"/>
  <c r="O600" i="30"/>
  <c r="N600" i="30"/>
  <c r="M600" i="30"/>
  <c r="L600" i="30"/>
  <c r="K600" i="30"/>
  <c r="J600" i="30"/>
  <c r="I600" i="30"/>
  <c r="H600" i="30"/>
  <c r="G600" i="30"/>
  <c r="F600" i="30"/>
  <c r="D600" i="30"/>
  <c r="C600" i="30"/>
  <c r="BA599" i="30"/>
  <c r="AV599" i="30"/>
  <c r="AQ599" i="30"/>
  <c r="AP599" i="30"/>
  <c r="AO599" i="30"/>
  <c r="AN599" i="30"/>
  <c r="AM599" i="30"/>
  <c r="AL599" i="30"/>
  <c r="AK599" i="30"/>
  <c r="AJ599" i="30"/>
  <c r="AI599" i="30"/>
  <c r="AH599" i="30"/>
  <c r="AG599" i="30"/>
  <c r="AE599" i="30"/>
  <c r="AD599" i="30"/>
  <c r="AC599" i="30"/>
  <c r="AB599" i="30"/>
  <c r="AA599" i="30"/>
  <c r="Z599" i="30"/>
  <c r="Y599" i="30"/>
  <c r="X599" i="30"/>
  <c r="W599" i="30"/>
  <c r="V599" i="30"/>
  <c r="U599" i="30"/>
  <c r="T599" i="30"/>
  <c r="S599" i="30"/>
  <c r="R599" i="30"/>
  <c r="Q599" i="30"/>
  <c r="P599" i="30"/>
  <c r="O599" i="30"/>
  <c r="N599" i="30"/>
  <c r="M599" i="30"/>
  <c r="L599" i="30"/>
  <c r="K599" i="30"/>
  <c r="J599" i="30"/>
  <c r="I599" i="30"/>
  <c r="H599" i="30"/>
  <c r="G599" i="30"/>
  <c r="F599" i="30"/>
  <c r="D599" i="30"/>
  <c r="C599" i="30"/>
  <c r="BA598" i="30"/>
  <c r="AV598" i="30"/>
  <c r="AQ598" i="30"/>
  <c r="AP598" i="30"/>
  <c r="AO598" i="30"/>
  <c r="AN598" i="30"/>
  <c r="AM598" i="30"/>
  <c r="AL598" i="30"/>
  <c r="AK598" i="30"/>
  <c r="AJ598" i="30"/>
  <c r="AI598" i="30"/>
  <c r="AH598" i="30"/>
  <c r="AG598" i="30"/>
  <c r="AF598" i="30"/>
  <c r="AE598" i="30"/>
  <c r="AD598" i="30"/>
  <c r="AC598" i="30"/>
  <c r="AB598" i="30"/>
  <c r="AA598" i="30"/>
  <c r="Z598" i="30"/>
  <c r="Y598" i="30"/>
  <c r="X598" i="30"/>
  <c r="W598" i="30"/>
  <c r="V598" i="30"/>
  <c r="U598" i="30"/>
  <c r="T598" i="30"/>
  <c r="S598" i="30"/>
  <c r="R598" i="30"/>
  <c r="Q598" i="30"/>
  <c r="P598" i="30"/>
  <c r="O598" i="30"/>
  <c r="N598" i="30"/>
  <c r="M598" i="30"/>
  <c r="L598" i="30"/>
  <c r="K598" i="30"/>
  <c r="J598" i="30"/>
  <c r="I598" i="30"/>
  <c r="H598" i="30"/>
  <c r="G598" i="30"/>
  <c r="F598" i="30"/>
  <c r="D598" i="30"/>
  <c r="C598" i="30"/>
  <c r="BA597" i="30"/>
  <c r="AV597" i="30"/>
  <c r="AQ597" i="30"/>
  <c r="AP597" i="30"/>
  <c r="AO597" i="30"/>
  <c r="AN597" i="30"/>
  <c r="AM597" i="30"/>
  <c r="AL597" i="30"/>
  <c r="AK597" i="30"/>
  <c r="AJ597" i="30"/>
  <c r="AI597" i="30"/>
  <c r="AH597" i="30"/>
  <c r="AG597" i="30"/>
  <c r="AF597" i="30"/>
  <c r="V597" i="30"/>
  <c r="T597" i="30"/>
  <c r="S597" i="30"/>
  <c r="R597" i="30"/>
  <c r="Q597" i="30"/>
  <c r="P597" i="30"/>
  <c r="O597" i="30"/>
  <c r="N597" i="30"/>
  <c r="M597" i="30"/>
  <c r="L597" i="30"/>
  <c r="K597" i="30"/>
  <c r="J597" i="30"/>
  <c r="I597" i="30"/>
  <c r="H597" i="30"/>
  <c r="G597" i="30"/>
  <c r="F597" i="30"/>
  <c r="D597" i="30"/>
  <c r="C597" i="30"/>
  <c r="BA596" i="30"/>
  <c r="AV596" i="30"/>
  <c r="AQ596" i="30"/>
  <c r="AP596" i="30"/>
  <c r="AO596" i="30"/>
  <c r="AN596" i="30"/>
  <c r="AM596" i="30"/>
  <c r="AL596" i="30"/>
  <c r="AK596" i="30"/>
  <c r="AJ596" i="30"/>
  <c r="AI596" i="30"/>
  <c r="AH596" i="30"/>
  <c r="AG596" i="30"/>
  <c r="AF596" i="30"/>
  <c r="AE596" i="30"/>
  <c r="AD596" i="30"/>
  <c r="AC596" i="30"/>
  <c r="AB596" i="30"/>
  <c r="AA596" i="30"/>
  <c r="Z596" i="30"/>
  <c r="Y596" i="30"/>
  <c r="X596" i="30"/>
  <c r="W596" i="30"/>
  <c r="V596" i="30"/>
  <c r="U596" i="30"/>
  <c r="T596" i="30"/>
  <c r="S596" i="30"/>
  <c r="R596" i="30"/>
  <c r="Q596" i="30"/>
  <c r="P596" i="30"/>
  <c r="O596" i="30"/>
  <c r="N596" i="30"/>
  <c r="M596" i="30"/>
  <c r="L596" i="30"/>
  <c r="K596" i="30"/>
  <c r="J596" i="30"/>
  <c r="I596" i="30"/>
  <c r="H596" i="30"/>
  <c r="G596" i="30"/>
  <c r="F596" i="30"/>
  <c r="D596" i="30"/>
  <c r="C596" i="30"/>
  <c r="BA595" i="30"/>
  <c r="AV595" i="30"/>
  <c r="AQ595" i="30"/>
  <c r="AP595" i="30"/>
  <c r="AO595" i="30"/>
  <c r="AN595" i="30"/>
  <c r="AM595" i="30"/>
  <c r="AL595" i="30"/>
  <c r="AK595" i="30"/>
  <c r="AJ595" i="30"/>
  <c r="AI595" i="30"/>
  <c r="V595" i="30"/>
  <c r="S595" i="30"/>
  <c r="R595" i="30"/>
  <c r="Q595" i="30"/>
  <c r="P595" i="30"/>
  <c r="O595" i="30"/>
  <c r="N595" i="30"/>
  <c r="M595" i="30"/>
  <c r="L595" i="30"/>
  <c r="K595" i="30"/>
  <c r="J595" i="30"/>
  <c r="I595" i="30"/>
  <c r="H595" i="30"/>
  <c r="G595" i="30"/>
  <c r="F595" i="30"/>
  <c r="D595" i="30"/>
  <c r="C595" i="30"/>
  <c r="BA594" i="30"/>
  <c r="AV594" i="30"/>
  <c r="AQ594" i="30"/>
  <c r="AP594" i="30"/>
  <c r="AO594" i="30"/>
  <c r="AN594" i="30"/>
  <c r="AM594" i="30"/>
  <c r="AL594" i="30"/>
  <c r="AK594" i="30"/>
  <c r="AJ594" i="30"/>
  <c r="AI594" i="30"/>
  <c r="AH594" i="30"/>
  <c r="AG594" i="30"/>
  <c r="AF594" i="30"/>
  <c r="AE594" i="30"/>
  <c r="AD594" i="30"/>
  <c r="AC594" i="30"/>
  <c r="AB594" i="30"/>
  <c r="AA594" i="30"/>
  <c r="Z594" i="30"/>
  <c r="Y594" i="30"/>
  <c r="X594" i="30"/>
  <c r="W594" i="30"/>
  <c r="V594" i="30"/>
  <c r="U594" i="30"/>
  <c r="T594" i="30"/>
  <c r="S594" i="30"/>
  <c r="O594" i="30"/>
  <c r="N594" i="30"/>
  <c r="M594" i="30"/>
  <c r="L594" i="30"/>
  <c r="K594" i="30"/>
  <c r="J594" i="30"/>
  <c r="I594" i="30"/>
  <c r="H594" i="30"/>
  <c r="G594" i="30"/>
  <c r="F594" i="30"/>
  <c r="D594" i="30"/>
  <c r="C594" i="30"/>
  <c r="BA593" i="30"/>
  <c r="AV593" i="30"/>
  <c r="AQ593" i="30"/>
  <c r="AP593" i="30"/>
  <c r="AO593" i="30"/>
  <c r="AN593" i="30"/>
  <c r="AM593" i="30"/>
  <c r="AL593" i="30"/>
  <c r="AK593" i="30"/>
  <c r="AJ593" i="30"/>
  <c r="AI593" i="30"/>
  <c r="AH593" i="30"/>
  <c r="AG593" i="30"/>
  <c r="AF593" i="30"/>
  <c r="AE593" i="30"/>
  <c r="AD593" i="30"/>
  <c r="AC593" i="30"/>
  <c r="AB593" i="30"/>
  <c r="AA593" i="30"/>
  <c r="Z593" i="30"/>
  <c r="Y593" i="30"/>
  <c r="X593" i="30"/>
  <c r="W593" i="30"/>
  <c r="V593" i="30"/>
  <c r="U593" i="30"/>
  <c r="T593" i="30"/>
  <c r="S593" i="30"/>
  <c r="R593" i="30"/>
  <c r="Q593" i="30"/>
  <c r="P593" i="30"/>
  <c r="O593" i="30"/>
  <c r="N593" i="30"/>
  <c r="M593" i="30"/>
  <c r="L593" i="30"/>
  <c r="K593" i="30"/>
  <c r="J593" i="30"/>
  <c r="I593" i="30"/>
  <c r="H593" i="30"/>
  <c r="G593" i="30"/>
  <c r="F593" i="30"/>
  <c r="D593" i="30"/>
  <c r="C593" i="30"/>
  <c r="BA592" i="30"/>
  <c r="AV592" i="30"/>
  <c r="AQ592" i="30"/>
  <c r="AP592" i="30"/>
  <c r="AO592" i="30"/>
  <c r="AN592" i="30"/>
  <c r="AM592" i="30"/>
  <c r="AL592" i="30"/>
  <c r="AK592" i="30"/>
  <c r="AJ592" i="30"/>
  <c r="AI592" i="30"/>
  <c r="AH592" i="30"/>
  <c r="AG592" i="30"/>
  <c r="AF592" i="30"/>
  <c r="AE592" i="30"/>
  <c r="AD592" i="30"/>
  <c r="AC592" i="30"/>
  <c r="AB592" i="30"/>
  <c r="AA592" i="30"/>
  <c r="Z592" i="30"/>
  <c r="Y592" i="30"/>
  <c r="X592" i="30"/>
  <c r="W592" i="30"/>
  <c r="V592" i="30"/>
  <c r="U592" i="30"/>
  <c r="T592" i="30"/>
  <c r="S592" i="30"/>
  <c r="R592" i="30"/>
  <c r="Q592" i="30"/>
  <c r="P592" i="30"/>
  <c r="O592" i="30"/>
  <c r="N592" i="30"/>
  <c r="M592" i="30"/>
  <c r="L592" i="30"/>
  <c r="K592" i="30"/>
  <c r="J592" i="30"/>
  <c r="I592" i="30"/>
  <c r="H592" i="30"/>
  <c r="G592" i="30"/>
  <c r="F592" i="30"/>
  <c r="D592" i="30"/>
  <c r="C592" i="30"/>
  <c r="BA591" i="30"/>
  <c r="AV591" i="30"/>
  <c r="AQ591" i="30"/>
  <c r="AP591" i="30"/>
  <c r="AO591" i="30"/>
  <c r="AN591" i="30"/>
  <c r="AM591" i="30"/>
  <c r="AL591" i="30"/>
  <c r="AH591" i="30"/>
  <c r="AG591" i="30"/>
  <c r="AF591" i="30"/>
  <c r="AE591" i="30"/>
  <c r="AD591" i="30"/>
  <c r="AC591" i="30"/>
  <c r="AB591" i="30"/>
  <c r="AA591" i="30"/>
  <c r="Z591" i="30"/>
  <c r="Y591" i="30"/>
  <c r="X591" i="30"/>
  <c r="W591" i="30"/>
  <c r="U591" i="30"/>
  <c r="N591" i="30"/>
  <c r="M591" i="30"/>
  <c r="L591" i="30"/>
  <c r="K591" i="30"/>
  <c r="J591" i="30"/>
  <c r="I591" i="30"/>
  <c r="H591" i="30"/>
  <c r="G591" i="30"/>
  <c r="F591" i="30"/>
  <c r="D591" i="30"/>
  <c r="C591" i="30"/>
  <c r="BA589" i="30"/>
  <c r="AV589" i="30"/>
  <c r="AQ589" i="30"/>
  <c r="AP589" i="30"/>
  <c r="AO589" i="30"/>
  <c r="AN589" i="30"/>
  <c r="AM589" i="30"/>
  <c r="AL589" i="30"/>
  <c r="AK589" i="30"/>
  <c r="AI589" i="30"/>
  <c r="AG589" i="30"/>
  <c r="AF589" i="30"/>
  <c r="AD589" i="30"/>
  <c r="AC589" i="30"/>
  <c r="AB589" i="30"/>
  <c r="AA589" i="30"/>
  <c r="Z589" i="30"/>
  <c r="Y589" i="30"/>
  <c r="X589" i="30"/>
  <c r="W589" i="30"/>
  <c r="V589" i="30"/>
  <c r="U589" i="30"/>
  <c r="T589" i="30"/>
  <c r="S589" i="30"/>
  <c r="R589" i="30"/>
  <c r="P589" i="30"/>
  <c r="N589" i="30"/>
  <c r="M589" i="30"/>
  <c r="L589" i="30"/>
  <c r="K589" i="30"/>
  <c r="J589" i="30"/>
  <c r="I589" i="30"/>
  <c r="H589" i="30"/>
  <c r="G589" i="30"/>
  <c r="F589" i="30"/>
  <c r="D589" i="30"/>
  <c r="C589" i="30"/>
  <c r="BA588" i="30"/>
  <c r="AV588" i="30"/>
  <c r="AQ588" i="30"/>
  <c r="AP588" i="30"/>
  <c r="AO588" i="30"/>
  <c r="AN588" i="30"/>
  <c r="AM588" i="30"/>
  <c r="AL588" i="30"/>
  <c r="AK588" i="30"/>
  <c r="AJ588" i="30"/>
  <c r="AI588" i="30"/>
  <c r="AG588" i="30"/>
  <c r="AC588" i="30"/>
  <c r="AB588" i="30"/>
  <c r="AA588" i="30"/>
  <c r="Z588" i="30"/>
  <c r="Y588" i="30"/>
  <c r="X588" i="30"/>
  <c r="W588" i="30"/>
  <c r="V588" i="30"/>
  <c r="U588" i="30"/>
  <c r="T588" i="30"/>
  <c r="S588" i="30"/>
  <c r="R588" i="30"/>
  <c r="Q588" i="30"/>
  <c r="P588" i="30"/>
  <c r="O588" i="30"/>
  <c r="N588" i="30"/>
  <c r="M588" i="30"/>
  <c r="L588" i="30"/>
  <c r="K588" i="30"/>
  <c r="J588" i="30"/>
  <c r="I588" i="30"/>
  <c r="H588" i="30"/>
  <c r="G588" i="30"/>
  <c r="F588" i="30"/>
  <c r="D588" i="30"/>
  <c r="C588" i="30"/>
  <c r="BA587" i="30"/>
  <c r="AV587" i="30"/>
  <c r="AQ587" i="30"/>
  <c r="AP587" i="30"/>
  <c r="AO587" i="30"/>
  <c r="AN587" i="30"/>
  <c r="AM587" i="30"/>
  <c r="AL587" i="30"/>
  <c r="AK587" i="30"/>
  <c r="AJ587" i="30"/>
  <c r="AI587" i="30"/>
  <c r="AH587" i="30"/>
  <c r="AG587" i="30"/>
  <c r="AF587" i="30"/>
  <c r="AE587" i="30"/>
  <c r="AD587" i="30"/>
  <c r="AC587" i="30"/>
  <c r="AB587" i="30"/>
  <c r="AA587" i="30"/>
  <c r="Z587" i="30"/>
  <c r="Y587" i="30"/>
  <c r="X587" i="30"/>
  <c r="W587" i="30"/>
  <c r="V587" i="30"/>
  <c r="U587" i="30"/>
  <c r="T587" i="30"/>
  <c r="S587" i="30"/>
  <c r="R587" i="30"/>
  <c r="Q587" i="30"/>
  <c r="P587" i="30"/>
  <c r="O587" i="30"/>
  <c r="N587" i="30"/>
  <c r="M587" i="30"/>
  <c r="L587" i="30"/>
  <c r="K587" i="30"/>
  <c r="J587" i="30"/>
  <c r="I587" i="30"/>
  <c r="H587" i="30"/>
  <c r="G587" i="30"/>
  <c r="F587" i="30"/>
  <c r="D587" i="30"/>
  <c r="C587" i="30"/>
  <c r="BA586" i="30"/>
  <c r="AV586" i="30"/>
  <c r="AQ586" i="30"/>
  <c r="AP586" i="30"/>
  <c r="AO586" i="30"/>
  <c r="AN586" i="30"/>
  <c r="AM586" i="30"/>
  <c r="AK586" i="30"/>
  <c r="AJ586" i="30"/>
  <c r="AI586" i="30"/>
  <c r="AH586" i="30"/>
  <c r="AG586" i="30"/>
  <c r="AF586" i="30"/>
  <c r="AE586" i="30"/>
  <c r="AD586" i="30"/>
  <c r="AC586" i="30"/>
  <c r="AB586" i="30"/>
  <c r="AA586" i="30"/>
  <c r="Z586" i="30"/>
  <c r="Y586" i="30"/>
  <c r="X586" i="30"/>
  <c r="W586" i="30"/>
  <c r="V586" i="30"/>
  <c r="U586" i="30"/>
  <c r="T586" i="30"/>
  <c r="S586" i="30"/>
  <c r="R586" i="30"/>
  <c r="Q586" i="30"/>
  <c r="P586" i="30"/>
  <c r="O586" i="30"/>
  <c r="N586" i="30"/>
  <c r="M586" i="30"/>
  <c r="L586" i="30"/>
  <c r="K586" i="30"/>
  <c r="J586" i="30"/>
  <c r="I586" i="30"/>
  <c r="H586" i="30"/>
  <c r="G586" i="30"/>
  <c r="F586" i="30"/>
  <c r="D586" i="30"/>
  <c r="C586" i="30"/>
  <c r="BA585" i="30"/>
  <c r="AV585" i="30"/>
  <c r="AQ585" i="30"/>
  <c r="AP585" i="30"/>
  <c r="AO585" i="30"/>
  <c r="AN585" i="30"/>
  <c r="AM585" i="30"/>
  <c r="AL585" i="30"/>
  <c r="AK585" i="30"/>
  <c r="AJ585" i="30"/>
  <c r="AI585" i="30"/>
  <c r="AH585" i="30"/>
  <c r="AG585" i="30"/>
  <c r="AF585" i="30"/>
  <c r="AE585" i="30"/>
  <c r="AD585" i="30"/>
  <c r="AC585" i="30"/>
  <c r="AB585" i="30"/>
  <c r="AA585" i="30"/>
  <c r="Z585" i="30"/>
  <c r="Y585" i="30"/>
  <c r="X585" i="30"/>
  <c r="W585" i="30"/>
  <c r="V585" i="30"/>
  <c r="U585" i="30"/>
  <c r="T585" i="30"/>
  <c r="S585" i="30"/>
  <c r="R585" i="30"/>
  <c r="Q585" i="30"/>
  <c r="P585" i="30"/>
  <c r="O585" i="30"/>
  <c r="N585" i="30"/>
  <c r="M585" i="30"/>
  <c r="L585" i="30"/>
  <c r="K585" i="30"/>
  <c r="J585" i="30"/>
  <c r="I585" i="30"/>
  <c r="H585" i="30"/>
  <c r="G585" i="30"/>
  <c r="F585" i="30"/>
  <c r="D585" i="30"/>
  <c r="C585" i="30"/>
  <c r="BA584" i="30"/>
  <c r="AV584" i="30"/>
  <c r="AQ584" i="30"/>
  <c r="AP584" i="30"/>
  <c r="AO584" i="30"/>
  <c r="AN584" i="30"/>
  <c r="AM584" i="30"/>
  <c r="AK584" i="30"/>
  <c r="AJ584" i="30"/>
  <c r="Y584" i="30"/>
  <c r="X584" i="30"/>
  <c r="W584" i="30"/>
  <c r="V584" i="30"/>
  <c r="U584" i="30"/>
  <c r="T584" i="30"/>
  <c r="S584" i="30"/>
  <c r="R584" i="30"/>
  <c r="Q584" i="30"/>
  <c r="P584" i="30"/>
  <c r="O584" i="30"/>
  <c r="N584" i="30"/>
  <c r="M584" i="30"/>
  <c r="L584" i="30"/>
  <c r="K584" i="30"/>
  <c r="J584" i="30"/>
  <c r="I584" i="30"/>
  <c r="H584" i="30"/>
  <c r="G584" i="30"/>
  <c r="F584" i="30"/>
  <c r="D584" i="30"/>
  <c r="C584" i="30"/>
  <c r="BA583" i="30"/>
  <c r="AV583" i="30"/>
  <c r="AQ583" i="30"/>
  <c r="AP583" i="30"/>
  <c r="AO583" i="30"/>
  <c r="AN583" i="30"/>
  <c r="AM583" i="30"/>
  <c r="AK583" i="30"/>
  <c r="V583" i="30"/>
  <c r="S583" i="30"/>
  <c r="J583" i="30"/>
  <c r="I583" i="30"/>
  <c r="H583" i="30"/>
  <c r="G583" i="30"/>
  <c r="F583" i="30"/>
  <c r="D583" i="30"/>
  <c r="C583" i="30"/>
  <c r="BA582" i="30"/>
  <c r="AV582" i="30"/>
  <c r="AQ582" i="30"/>
  <c r="AP582" i="30"/>
  <c r="AO582" i="30"/>
  <c r="AN582" i="30"/>
  <c r="AM582" i="30"/>
  <c r="AK582" i="30"/>
  <c r="AJ582" i="30"/>
  <c r="Y582" i="30"/>
  <c r="X582" i="30"/>
  <c r="W582" i="30"/>
  <c r="V582" i="30"/>
  <c r="U582" i="30"/>
  <c r="T582" i="30"/>
  <c r="S582" i="30"/>
  <c r="R582" i="30"/>
  <c r="Q582" i="30"/>
  <c r="P582" i="30"/>
  <c r="O582" i="30"/>
  <c r="N582" i="30"/>
  <c r="M582" i="30"/>
  <c r="L582" i="30"/>
  <c r="K582" i="30"/>
  <c r="J582" i="30"/>
  <c r="I582" i="30"/>
  <c r="H582" i="30"/>
  <c r="G582" i="30"/>
  <c r="F582" i="30"/>
  <c r="D582" i="30"/>
  <c r="C582" i="30"/>
  <c r="BA581" i="30"/>
  <c r="AV581" i="30"/>
  <c r="AQ581" i="30"/>
  <c r="AP581" i="30"/>
  <c r="AO581" i="30"/>
  <c r="AN581" i="30"/>
  <c r="AM581" i="30"/>
  <c r="AK581" i="30"/>
  <c r="Y581" i="30"/>
  <c r="X581" i="30"/>
  <c r="W581" i="30"/>
  <c r="V581" i="30"/>
  <c r="U581" i="30"/>
  <c r="T581" i="30"/>
  <c r="S581" i="30"/>
  <c r="R581" i="30"/>
  <c r="Q581" i="30"/>
  <c r="P581" i="30"/>
  <c r="O581" i="30"/>
  <c r="N581" i="30"/>
  <c r="M581" i="30"/>
  <c r="L581" i="30"/>
  <c r="K581" i="30"/>
  <c r="J581" i="30"/>
  <c r="I581" i="30"/>
  <c r="H581" i="30"/>
  <c r="G581" i="30"/>
  <c r="F581" i="30"/>
  <c r="D581" i="30"/>
  <c r="C581" i="30"/>
  <c r="BA580" i="30"/>
  <c r="AV580" i="30"/>
  <c r="AQ580" i="30"/>
  <c r="AP580" i="30"/>
  <c r="AO580" i="30"/>
  <c r="AN580" i="30"/>
  <c r="AM580" i="30"/>
  <c r="AK580" i="30"/>
  <c r="Y580" i="30"/>
  <c r="X580" i="30"/>
  <c r="W580" i="30"/>
  <c r="V580" i="30"/>
  <c r="U580" i="30"/>
  <c r="T580" i="30"/>
  <c r="S580" i="30"/>
  <c r="R580" i="30"/>
  <c r="Q580" i="30"/>
  <c r="P580" i="30"/>
  <c r="O580" i="30"/>
  <c r="N580" i="30"/>
  <c r="M580" i="30"/>
  <c r="L580" i="30"/>
  <c r="K580" i="30"/>
  <c r="J580" i="30"/>
  <c r="I580" i="30"/>
  <c r="H580" i="30"/>
  <c r="G580" i="30"/>
  <c r="F580" i="30"/>
  <c r="D580" i="30"/>
  <c r="C580" i="30"/>
  <c r="BA579" i="30"/>
  <c r="AV579" i="30"/>
  <c r="AQ579" i="30"/>
  <c r="AP579" i="30"/>
  <c r="AO579" i="30"/>
  <c r="AN579" i="30"/>
  <c r="AM579" i="30"/>
  <c r="AK579" i="30"/>
  <c r="AJ579" i="30"/>
  <c r="AI579" i="30"/>
  <c r="AH579" i="30"/>
  <c r="AG579" i="30"/>
  <c r="AF579" i="30"/>
  <c r="AE579" i="30"/>
  <c r="AD579" i="30"/>
  <c r="AC579" i="30"/>
  <c r="AB579" i="30"/>
  <c r="AA579" i="30"/>
  <c r="Z579" i="30"/>
  <c r="Y579" i="30"/>
  <c r="X579" i="30"/>
  <c r="W579" i="30"/>
  <c r="V579" i="30"/>
  <c r="U579" i="30"/>
  <c r="T579" i="30"/>
  <c r="S579" i="30"/>
  <c r="R579" i="30"/>
  <c r="Q579" i="30"/>
  <c r="P579" i="30"/>
  <c r="O579" i="30"/>
  <c r="N579" i="30"/>
  <c r="M579" i="30"/>
  <c r="L579" i="30"/>
  <c r="K579" i="30"/>
  <c r="J579" i="30"/>
  <c r="I579" i="30"/>
  <c r="H579" i="30"/>
  <c r="G579" i="30"/>
  <c r="F579" i="30"/>
  <c r="D579" i="30"/>
  <c r="C579" i="30"/>
  <c r="BA578" i="30"/>
  <c r="AV578" i="30"/>
  <c r="AQ578" i="30"/>
  <c r="AP578" i="30"/>
  <c r="AO578" i="30"/>
  <c r="AN578" i="30"/>
  <c r="AM578" i="30"/>
  <c r="AK578" i="30"/>
  <c r="V578" i="30"/>
  <c r="S578" i="30"/>
  <c r="J578" i="30"/>
  <c r="I578" i="30"/>
  <c r="H578" i="30"/>
  <c r="G578" i="30"/>
  <c r="F578" i="30"/>
  <c r="D578" i="30"/>
  <c r="C578" i="30"/>
  <c r="BA577" i="30"/>
  <c r="AV577" i="30"/>
  <c r="AQ577" i="30"/>
  <c r="AP577" i="30"/>
  <c r="AO577" i="30"/>
  <c r="AN577" i="30"/>
  <c r="AM577" i="30"/>
  <c r="AK577" i="30"/>
  <c r="V577" i="30"/>
  <c r="S577" i="30"/>
  <c r="J577" i="30"/>
  <c r="I577" i="30"/>
  <c r="H577" i="30"/>
  <c r="G577" i="30"/>
  <c r="F577" i="30"/>
  <c r="D577" i="30"/>
  <c r="C577" i="30"/>
  <c r="BA576" i="30"/>
  <c r="AV576" i="30"/>
  <c r="AQ576" i="30"/>
  <c r="AP576" i="30"/>
  <c r="AO576" i="30"/>
  <c r="AN576" i="30"/>
  <c r="AM576" i="30"/>
  <c r="AK576" i="30"/>
  <c r="V576" i="30"/>
  <c r="S576" i="30"/>
  <c r="J576" i="30"/>
  <c r="I576" i="30"/>
  <c r="H576" i="30"/>
  <c r="G576" i="30"/>
  <c r="F576" i="30"/>
  <c r="D576" i="30"/>
  <c r="C576" i="30"/>
  <c r="BA575" i="30"/>
  <c r="AV575" i="30"/>
  <c r="AQ575" i="30"/>
  <c r="AP575" i="30"/>
  <c r="AO575" i="30"/>
  <c r="AN575" i="30"/>
  <c r="AM575" i="30"/>
  <c r="AK575" i="30"/>
  <c r="AJ575" i="30"/>
  <c r="AI575" i="30"/>
  <c r="AH575" i="30"/>
  <c r="AG575" i="30"/>
  <c r="AF575" i="30"/>
  <c r="AE575" i="30"/>
  <c r="AD575" i="30"/>
  <c r="AC575" i="30"/>
  <c r="AB575" i="30"/>
  <c r="AA575" i="30"/>
  <c r="Z575" i="30"/>
  <c r="Y575" i="30"/>
  <c r="X575" i="30"/>
  <c r="W575" i="30"/>
  <c r="V575" i="30"/>
  <c r="U575" i="30"/>
  <c r="T575" i="30"/>
  <c r="S575" i="30"/>
  <c r="R575" i="30"/>
  <c r="Q575" i="30"/>
  <c r="P575" i="30"/>
  <c r="O575" i="30"/>
  <c r="N575" i="30"/>
  <c r="M575" i="30"/>
  <c r="L575" i="30"/>
  <c r="K575" i="30"/>
  <c r="J575" i="30"/>
  <c r="I575" i="30"/>
  <c r="H575" i="30"/>
  <c r="G575" i="30"/>
  <c r="F575" i="30"/>
  <c r="D575" i="30"/>
  <c r="C575" i="30"/>
  <c r="BA574" i="30"/>
  <c r="AV574" i="30"/>
  <c r="AQ574" i="30"/>
  <c r="AP574" i="30"/>
  <c r="AO574" i="30"/>
  <c r="AN574" i="30"/>
  <c r="AM574" i="30"/>
  <c r="AL574" i="30"/>
  <c r="AK574" i="30"/>
  <c r="AJ574" i="30"/>
  <c r="AI574" i="30"/>
  <c r="AH574" i="30"/>
  <c r="AG574" i="30"/>
  <c r="AF574" i="30"/>
  <c r="AE574" i="30"/>
  <c r="AD574" i="30"/>
  <c r="AC574" i="30"/>
  <c r="AB574" i="30"/>
  <c r="AA574" i="30"/>
  <c r="Z574" i="30"/>
  <c r="Y574" i="30"/>
  <c r="X574" i="30"/>
  <c r="W574" i="30"/>
  <c r="V574" i="30"/>
  <c r="U574" i="30"/>
  <c r="T574" i="30"/>
  <c r="S574" i="30"/>
  <c r="R574" i="30"/>
  <c r="Q574" i="30"/>
  <c r="P574" i="30"/>
  <c r="O574" i="30"/>
  <c r="N574" i="30"/>
  <c r="M574" i="30"/>
  <c r="L574" i="30"/>
  <c r="K574" i="30"/>
  <c r="J574" i="30"/>
  <c r="I574" i="30"/>
  <c r="H574" i="30"/>
  <c r="G574" i="30"/>
  <c r="F574" i="30"/>
  <c r="D574" i="30"/>
  <c r="C574" i="30"/>
  <c r="BA573" i="30"/>
  <c r="AV573" i="30"/>
  <c r="AQ573" i="30"/>
  <c r="AP573" i="30"/>
  <c r="AO573" i="30"/>
  <c r="AN573" i="30"/>
  <c r="AM573" i="30"/>
  <c r="AL573" i="30"/>
  <c r="AK573" i="30"/>
  <c r="AJ573" i="30"/>
  <c r="AI573" i="30"/>
  <c r="AH573" i="30"/>
  <c r="AG573" i="30"/>
  <c r="AF573" i="30"/>
  <c r="AE573" i="30"/>
  <c r="AD573" i="30"/>
  <c r="AC573" i="30"/>
  <c r="AB573" i="30"/>
  <c r="AA573" i="30"/>
  <c r="Z573" i="30"/>
  <c r="Y573" i="30"/>
  <c r="X573" i="30"/>
  <c r="W573" i="30"/>
  <c r="V573" i="30"/>
  <c r="U573" i="30"/>
  <c r="T573" i="30"/>
  <c r="S573" i="30"/>
  <c r="R573" i="30"/>
  <c r="Q573" i="30"/>
  <c r="P573" i="30"/>
  <c r="O573" i="30"/>
  <c r="N573" i="30"/>
  <c r="M573" i="30"/>
  <c r="L573" i="30"/>
  <c r="K573" i="30"/>
  <c r="J573" i="30"/>
  <c r="I573" i="30"/>
  <c r="H573" i="30"/>
  <c r="G573" i="30"/>
  <c r="F573" i="30"/>
  <c r="D573" i="30"/>
  <c r="C573" i="30"/>
  <c r="BA572" i="30"/>
  <c r="AV572" i="30"/>
  <c r="AQ572" i="30"/>
  <c r="AP572" i="30"/>
  <c r="AO572" i="30"/>
  <c r="AN572" i="30"/>
  <c r="AM572" i="30"/>
  <c r="AL572" i="30"/>
  <c r="AK572" i="30"/>
  <c r="AJ572" i="30"/>
  <c r="AI572" i="30"/>
  <c r="AH572" i="30"/>
  <c r="AG572" i="30"/>
  <c r="AF572" i="30"/>
  <c r="AE572" i="30"/>
  <c r="AD572" i="30"/>
  <c r="AC572" i="30"/>
  <c r="AB572" i="30"/>
  <c r="AA572" i="30"/>
  <c r="Z572" i="30"/>
  <c r="Y572" i="30"/>
  <c r="X572" i="30"/>
  <c r="W572" i="30"/>
  <c r="V572" i="30"/>
  <c r="U572" i="30"/>
  <c r="T572" i="30"/>
  <c r="S572" i="30"/>
  <c r="R572" i="30"/>
  <c r="Q572" i="30"/>
  <c r="P572" i="30"/>
  <c r="O572" i="30"/>
  <c r="N572" i="30"/>
  <c r="M572" i="30"/>
  <c r="L572" i="30"/>
  <c r="K572" i="30"/>
  <c r="J572" i="30"/>
  <c r="I572" i="30"/>
  <c r="H572" i="30"/>
  <c r="G572" i="30"/>
  <c r="F572" i="30"/>
  <c r="D572" i="30"/>
  <c r="C572" i="30"/>
  <c r="BA571" i="30"/>
  <c r="AV571" i="30"/>
  <c r="AQ571" i="30"/>
  <c r="AP571" i="30"/>
  <c r="AO571" i="30"/>
  <c r="AN571" i="30"/>
  <c r="AM571" i="30"/>
  <c r="AL571" i="30"/>
  <c r="AK571" i="30"/>
  <c r="AJ571" i="30"/>
  <c r="AI571" i="30"/>
  <c r="AH571" i="30"/>
  <c r="AG571" i="30"/>
  <c r="AF571" i="30"/>
  <c r="AE571" i="30"/>
  <c r="AD571" i="30"/>
  <c r="AC571" i="30"/>
  <c r="AB571" i="30"/>
  <c r="AA571" i="30"/>
  <c r="Z571" i="30"/>
  <c r="Y571" i="30"/>
  <c r="X571" i="30"/>
  <c r="W571" i="30"/>
  <c r="V571" i="30"/>
  <c r="U571" i="30"/>
  <c r="T571" i="30"/>
  <c r="S571" i="30"/>
  <c r="R571" i="30"/>
  <c r="Q571" i="30"/>
  <c r="P571" i="30"/>
  <c r="O571" i="30"/>
  <c r="N571" i="30"/>
  <c r="M571" i="30"/>
  <c r="L571" i="30"/>
  <c r="K571" i="30"/>
  <c r="J571" i="30"/>
  <c r="I571" i="30"/>
  <c r="H571" i="30"/>
  <c r="G571" i="30"/>
  <c r="F571" i="30"/>
  <c r="D571" i="30"/>
  <c r="C571" i="30"/>
  <c r="BA570" i="30"/>
  <c r="AV570" i="30"/>
  <c r="AQ570" i="30"/>
  <c r="AP570" i="30"/>
  <c r="AO570" i="30"/>
  <c r="AN570" i="30"/>
  <c r="AM570" i="30"/>
  <c r="AL570" i="30"/>
  <c r="AK570" i="30"/>
  <c r="AJ570" i="30"/>
  <c r="AI570" i="30"/>
  <c r="AH570" i="30"/>
  <c r="AG570" i="30"/>
  <c r="AF570" i="30"/>
  <c r="AE570" i="30"/>
  <c r="AD570" i="30"/>
  <c r="AC570" i="30"/>
  <c r="AB570" i="30"/>
  <c r="AA570" i="30"/>
  <c r="Z570" i="30"/>
  <c r="Y570" i="30"/>
  <c r="X570" i="30"/>
  <c r="W570" i="30"/>
  <c r="V570" i="30"/>
  <c r="U570" i="30"/>
  <c r="T570" i="30"/>
  <c r="S570" i="30"/>
  <c r="R570" i="30"/>
  <c r="Q570" i="30"/>
  <c r="P570" i="30"/>
  <c r="O570" i="30"/>
  <c r="N570" i="30"/>
  <c r="M570" i="30"/>
  <c r="L570" i="30"/>
  <c r="K570" i="30"/>
  <c r="J570" i="30"/>
  <c r="I570" i="30"/>
  <c r="H570" i="30"/>
  <c r="G570" i="30"/>
  <c r="F570" i="30"/>
  <c r="D570" i="30"/>
  <c r="C570" i="30"/>
  <c r="BA569" i="30"/>
  <c r="AV569" i="30"/>
  <c r="AQ569" i="30"/>
  <c r="AP569" i="30"/>
  <c r="AO569" i="30"/>
  <c r="AN569" i="30"/>
  <c r="AM569" i="30"/>
  <c r="AL569" i="30"/>
  <c r="AK569" i="30"/>
  <c r="AJ569" i="30"/>
  <c r="AI569" i="30"/>
  <c r="AH569" i="30"/>
  <c r="AG569" i="30"/>
  <c r="AF569" i="30"/>
  <c r="AE569" i="30"/>
  <c r="AD569" i="30"/>
  <c r="AC569" i="30"/>
  <c r="AB569" i="30"/>
  <c r="AA569" i="30"/>
  <c r="Z569" i="30"/>
  <c r="Y569" i="30"/>
  <c r="X569" i="30"/>
  <c r="W569" i="30"/>
  <c r="V569" i="30"/>
  <c r="U569" i="30"/>
  <c r="T569" i="30"/>
  <c r="S569" i="30"/>
  <c r="R569" i="30"/>
  <c r="Q569" i="30"/>
  <c r="P569" i="30"/>
  <c r="O569" i="30"/>
  <c r="N569" i="30"/>
  <c r="M569" i="30"/>
  <c r="L569" i="30"/>
  <c r="K569" i="30"/>
  <c r="J569" i="30"/>
  <c r="I569" i="30"/>
  <c r="H569" i="30"/>
  <c r="G569" i="30"/>
  <c r="F569" i="30"/>
  <c r="D569" i="30"/>
  <c r="C569" i="30"/>
  <c r="BA555" i="30"/>
  <c r="AV555" i="30"/>
  <c r="AQ555" i="30"/>
  <c r="AP555" i="30"/>
  <c r="AO555" i="30"/>
  <c r="AN555" i="30"/>
  <c r="AM555" i="30"/>
  <c r="AL555" i="30"/>
  <c r="AK555" i="30"/>
  <c r="AJ555" i="30"/>
  <c r="AI555" i="30"/>
  <c r="AH555" i="30"/>
  <c r="AG555" i="30"/>
  <c r="AF555" i="30"/>
  <c r="AE555" i="30"/>
  <c r="AD555" i="30"/>
  <c r="AC555" i="30"/>
  <c r="AB555" i="30"/>
  <c r="AA555" i="30"/>
  <c r="Z555" i="30"/>
  <c r="Y555" i="30"/>
  <c r="X555" i="30"/>
  <c r="W555" i="30"/>
  <c r="V555" i="30"/>
  <c r="U555" i="30"/>
  <c r="T555" i="30"/>
  <c r="S555" i="30"/>
  <c r="R555" i="30"/>
  <c r="Q555" i="30"/>
  <c r="P555" i="30"/>
  <c r="O555" i="30"/>
  <c r="N555" i="30"/>
  <c r="M555" i="30"/>
  <c r="L555" i="30"/>
  <c r="K555" i="30"/>
  <c r="J555" i="30"/>
  <c r="I555" i="30"/>
  <c r="H555" i="30"/>
  <c r="G555" i="30"/>
  <c r="F555" i="30"/>
  <c r="D555" i="30"/>
  <c r="C555" i="30"/>
  <c r="BA554" i="30"/>
  <c r="AV554" i="30"/>
  <c r="AQ554" i="30"/>
  <c r="AP554" i="30"/>
  <c r="AO554" i="30"/>
  <c r="AN554" i="30"/>
  <c r="AM554" i="30"/>
  <c r="AL554" i="30"/>
  <c r="AK554" i="30"/>
  <c r="AJ554" i="30"/>
  <c r="AI554" i="30"/>
  <c r="AH554" i="30"/>
  <c r="AG554" i="30"/>
  <c r="AF554" i="30"/>
  <c r="AE554" i="30"/>
  <c r="AD554" i="30"/>
  <c r="AC554" i="30"/>
  <c r="AB554" i="30"/>
  <c r="AA554" i="30"/>
  <c r="Z554" i="30"/>
  <c r="Y554" i="30"/>
  <c r="X554" i="30"/>
  <c r="W554" i="30"/>
  <c r="V554" i="30"/>
  <c r="U554" i="30"/>
  <c r="T554" i="30"/>
  <c r="S554" i="30"/>
  <c r="R554" i="30"/>
  <c r="Q554" i="30"/>
  <c r="P554" i="30"/>
  <c r="O554" i="30"/>
  <c r="N554" i="30"/>
  <c r="M554" i="30"/>
  <c r="L554" i="30"/>
  <c r="K554" i="30"/>
  <c r="J554" i="30"/>
  <c r="I554" i="30"/>
  <c r="H554" i="30"/>
  <c r="G554" i="30"/>
  <c r="F554" i="30"/>
  <c r="D554" i="30"/>
  <c r="C554" i="30"/>
  <c r="BA553" i="30"/>
  <c r="AV553" i="30"/>
  <c r="AQ553" i="30"/>
  <c r="AP553" i="30"/>
  <c r="AO553" i="30"/>
  <c r="AN553" i="30"/>
  <c r="AM553" i="30"/>
  <c r="AL553" i="30"/>
  <c r="AK553" i="30"/>
  <c r="AJ553" i="30"/>
  <c r="AI553" i="30"/>
  <c r="AH553" i="30"/>
  <c r="AG553" i="30"/>
  <c r="AF553" i="30"/>
  <c r="AE553" i="30"/>
  <c r="AD553" i="30"/>
  <c r="AC553" i="30"/>
  <c r="AB553" i="30"/>
  <c r="AA553" i="30"/>
  <c r="Z553" i="30"/>
  <c r="Y553" i="30"/>
  <c r="X553" i="30"/>
  <c r="W553" i="30"/>
  <c r="V553" i="30"/>
  <c r="U553" i="30"/>
  <c r="T553" i="30"/>
  <c r="S553" i="30"/>
  <c r="R553" i="30"/>
  <c r="Q553" i="30"/>
  <c r="P553" i="30"/>
  <c r="O553" i="30"/>
  <c r="N553" i="30"/>
  <c r="M553" i="30"/>
  <c r="L553" i="30"/>
  <c r="K553" i="30"/>
  <c r="J553" i="30"/>
  <c r="I553" i="30"/>
  <c r="H553" i="30"/>
  <c r="G553" i="30"/>
  <c r="F553" i="30"/>
  <c r="D553" i="30"/>
  <c r="C553" i="30"/>
  <c r="BA552" i="30"/>
  <c r="AV552" i="30"/>
  <c r="AQ552" i="30"/>
  <c r="AP552" i="30"/>
  <c r="AO552" i="30"/>
  <c r="AN552" i="30"/>
  <c r="AM552" i="30"/>
  <c r="AK552" i="30"/>
  <c r="AJ552" i="30"/>
  <c r="Y552" i="30"/>
  <c r="X552" i="30"/>
  <c r="W552" i="30"/>
  <c r="V552" i="30"/>
  <c r="U552" i="30"/>
  <c r="T552" i="30"/>
  <c r="S552" i="30"/>
  <c r="R552" i="30"/>
  <c r="Q552" i="30"/>
  <c r="P552" i="30"/>
  <c r="O552" i="30"/>
  <c r="N552" i="30"/>
  <c r="M552" i="30"/>
  <c r="L552" i="30"/>
  <c r="K552" i="30"/>
  <c r="J552" i="30"/>
  <c r="I552" i="30"/>
  <c r="H552" i="30"/>
  <c r="G552" i="30"/>
  <c r="F552" i="30"/>
  <c r="D552" i="30"/>
  <c r="C552" i="30"/>
  <c r="BA551" i="30"/>
  <c r="AV551" i="30"/>
  <c r="AQ551" i="30"/>
  <c r="AP551" i="30"/>
  <c r="AO551" i="30"/>
  <c r="AN551" i="30"/>
  <c r="AM551" i="30"/>
  <c r="AK551" i="30"/>
  <c r="Y551" i="30"/>
  <c r="X551" i="30"/>
  <c r="W551" i="30"/>
  <c r="V551" i="30"/>
  <c r="U551" i="30"/>
  <c r="T551" i="30"/>
  <c r="S551" i="30"/>
  <c r="R551" i="30"/>
  <c r="Q551" i="30"/>
  <c r="P551" i="30"/>
  <c r="O551" i="30"/>
  <c r="N551" i="30"/>
  <c r="M551" i="30"/>
  <c r="L551" i="30"/>
  <c r="K551" i="30"/>
  <c r="J551" i="30"/>
  <c r="I551" i="30"/>
  <c r="H551" i="30"/>
  <c r="G551" i="30"/>
  <c r="F551" i="30"/>
  <c r="D551" i="30"/>
  <c r="C551" i="30"/>
  <c r="BA550" i="30"/>
  <c r="AV550" i="30"/>
  <c r="AQ550" i="30"/>
  <c r="AP550" i="30"/>
  <c r="AO550" i="30"/>
  <c r="AN550" i="30"/>
  <c r="AM550" i="30"/>
  <c r="AK550" i="30"/>
  <c r="Y550" i="30"/>
  <c r="X550" i="30"/>
  <c r="W550" i="30"/>
  <c r="V550" i="30"/>
  <c r="U550" i="30"/>
  <c r="T550" i="30"/>
  <c r="S550" i="30"/>
  <c r="R550" i="30"/>
  <c r="Q550" i="30"/>
  <c r="P550" i="30"/>
  <c r="O550" i="30"/>
  <c r="N550" i="30"/>
  <c r="M550" i="30"/>
  <c r="L550" i="30"/>
  <c r="K550" i="30"/>
  <c r="J550" i="30"/>
  <c r="I550" i="30"/>
  <c r="H550" i="30"/>
  <c r="G550" i="30"/>
  <c r="F550" i="30"/>
  <c r="D550" i="30"/>
  <c r="C550" i="30"/>
  <c r="BA549" i="30"/>
  <c r="AV549" i="30"/>
  <c r="AQ549" i="30"/>
  <c r="AP549" i="30"/>
  <c r="AO549" i="30"/>
  <c r="AN549" i="30"/>
  <c r="AM549" i="30"/>
  <c r="AK549" i="30"/>
  <c r="AJ549" i="30"/>
  <c r="AI549" i="30"/>
  <c r="AH549" i="30"/>
  <c r="AG549" i="30"/>
  <c r="AF549" i="30"/>
  <c r="AE549" i="30"/>
  <c r="AD549" i="30"/>
  <c r="AC549" i="30"/>
  <c r="AB549" i="30"/>
  <c r="AA549" i="30"/>
  <c r="Z549" i="30"/>
  <c r="Y549" i="30"/>
  <c r="X549" i="30"/>
  <c r="W549" i="30"/>
  <c r="V549" i="30"/>
  <c r="U549" i="30"/>
  <c r="T549" i="30"/>
  <c r="S549" i="30"/>
  <c r="R549" i="30"/>
  <c r="Q549" i="30"/>
  <c r="P549" i="30"/>
  <c r="O549" i="30"/>
  <c r="N549" i="30"/>
  <c r="M549" i="30"/>
  <c r="L549" i="30"/>
  <c r="K549" i="30"/>
  <c r="J549" i="30"/>
  <c r="I549" i="30"/>
  <c r="H549" i="30"/>
  <c r="G549" i="30"/>
  <c r="F549" i="30"/>
  <c r="D549" i="30"/>
  <c r="C549" i="30"/>
  <c r="BA548" i="30"/>
  <c r="AV548" i="30"/>
  <c r="AQ548" i="30"/>
  <c r="AP548" i="30"/>
  <c r="AO548" i="30"/>
  <c r="AN548" i="30"/>
  <c r="AM548" i="30"/>
  <c r="AL548" i="30"/>
  <c r="AK548" i="30"/>
  <c r="AJ548" i="30"/>
  <c r="AI548" i="30"/>
  <c r="AH548" i="30"/>
  <c r="AG548" i="30"/>
  <c r="AF548" i="30"/>
  <c r="AE548" i="30"/>
  <c r="AD548" i="30"/>
  <c r="AC548" i="30"/>
  <c r="AB548" i="30"/>
  <c r="AA548" i="30"/>
  <c r="Z548" i="30"/>
  <c r="Y548" i="30"/>
  <c r="X548" i="30"/>
  <c r="W548" i="30"/>
  <c r="V548" i="30"/>
  <c r="U548" i="30"/>
  <c r="T548" i="30"/>
  <c r="S548" i="30"/>
  <c r="R548" i="30"/>
  <c r="Q548" i="30"/>
  <c r="P548" i="30"/>
  <c r="O548" i="30"/>
  <c r="N548" i="30"/>
  <c r="M548" i="30"/>
  <c r="L548" i="30"/>
  <c r="K548" i="30"/>
  <c r="J548" i="30"/>
  <c r="I548" i="30"/>
  <c r="H548" i="30"/>
  <c r="G548" i="30"/>
  <c r="F548" i="30"/>
  <c r="D548" i="30"/>
  <c r="C548" i="30"/>
  <c r="BA547" i="30"/>
  <c r="AV547" i="30"/>
  <c r="AQ547" i="30"/>
  <c r="AP547" i="30"/>
  <c r="AO547" i="30"/>
  <c r="AN547" i="30"/>
  <c r="AM547" i="30"/>
  <c r="AK547" i="30"/>
  <c r="AD547" i="30"/>
  <c r="AC547" i="30"/>
  <c r="AB547" i="30"/>
  <c r="AA547" i="30"/>
  <c r="Z547" i="30"/>
  <c r="Y547" i="30"/>
  <c r="X547" i="30"/>
  <c r="W547" i="30"/>
  <c r="V547" i="30"/>
  <c r="U547" i="30"/>
  <c r="T547" i="30"/>
  <c r="S547" i="30"/>
  <c r="R547" i="30"/>
  <c r="Q547" i="30"/>
  <c r="P547" i="30"/>
  <c r="O547" i="30"/>
  <c r="N547" i="30"/>
  <c r="M547" i="30"/>
  <c r="L547" i="30"/>
  <c r="K547" i="30"/>
  <c r="J547" i="30"/>
  <c r="I547" i="30"/>
  <c r="H547" i="30"/>
  <c r="G547" i="30"/>
  <c r="F547" i="30"/>
  <c r="D547" i="30"/>
  <c r="C547" i="30"/>
  <c r="BA546" i="30"/>
  <c r="AV546" i="30"/>
  <c r="AQ546" i="30"/>
  <c r="AP546" i="30"/>
  <c r="AO546" i="30"/>
  <c r="AN546" i="30"/>
  <c r="AM546" i="30"/>
  <c r="AK546" i="30"/>
  <c r="AD546" i="30"/>
  <c r="AC546" i="30"/>
  <c r="AB546" i="30"/>
  <c r="AA546" i="30"/>
  <c r="Z546" i="30"/>
  <c r="Y546" i="30"/>
  <c r="X546" i="30"/>
  <c r="W546" i="30"/>
  <c r="V546" i="30"/>
  <c r="U546" i="30"/>
  <c r="T546" i="30"/>
  <c r="S546" i="30"/>
  <c r="R546" i="30"/>
  <c r="Q546" i="30"/>
  <c r="P546" i="30"/>
  <c r="O546" i="30"/>
  <c r="N546" i="30"/>
  <c r="M546" i="30"/>
  <c r="L546" i="30"/>
  <c r="K546" i="30"/>
  <c r="J546" i="30"/>
  <c r="I546" i="30"/>
  <c r="H546" i="30"/>
  <c r="G546" i="30"/>
  <c r="F546" i="30"/>
  <c r="D546" i="30"/>
  <c r="C546" i="30"/>
  <c r="BA545" i="30"/>
  <c r="AV545" i="30"/>
  <c r="AQ545" i="30"/>
  <c r="AP545" i="30"/>
  <c r="AO545" i="30"/>
  <c r="AN545" i="30"/>
  <c r="AM545" i="30"/>
  <c r="AK545" i="30"/>
  <c r="AJ545" i="30"/>
  <c r="AI545" i="30"/>
  <c r="AH545" i="30"/>
  <c r="AG545" i="30"/>
  <c r="AF545" i="30"/>
  <c r="AE545" i="30"/>
  <c r="AD545" i="30"/>
  <c r="AC545" i="30"/>
  <c r="AB545" i="30"/>
  <c r="AA545" i="30"/>
  <c r="Z545" i="30"/>
  <c r="Y545" i="30"/>
  <c r="X545" i="30"/>
  <c r="W545" i="30"/>
  <c r="V545" i="30"/>
  <c r="U545" i="30"/>
  <c r="T545" i="30"/>
  <c r="S545" i="30"/>
  <c r="R545" i="30"/>
  <c r="Q545" i="30"/>
  <c r="P545" i="30"/>
  <c r="O545" i="30"/>
  <c r="N545" i="30"/>
  <c r="M545" i="30"/>
  <c r="L545" i="30"/>
  <c r="K545" i="30"/>
  <c r="J545" i="30"/>
  <c r="I545" i="30"/>
  <c r="H545" i="30"/>
  <c r="G545" i="30"/>
  <c r="F545" i="30"/>
  <c r="D545" i="30"/>
  <c r="C545" i="30"/>
  <c r="BA544" i="30"/>
  <c r="AV544" i="30"/>
  <c r="AQ544" i="30"/>
  <c r="AP544" i="30"/>
  <c r="AO544" i="30"/>
  <c r="AN544" i="30"/>
  <c r="AM544" i="30"/>
  <c r="AL544" i="30"/>
  <c r="AK544" i="30"/>
  <c r="AJ544" i="30"/>
  <c r="AI544" i="30"/>
  <c r="AH544" i="30"/>
  <c r="AG544" i="30"/>
  <c r="AF544" i="30"/>
  <c r="AE544" i="30"/>
  <c r="AD544" i="30"/>
  <c r="AC544" i="30"/>
  <c r="AB544" i="30"/>
  <c r="AA544" i="30"/>
  <c r="Z544" i="30"/>
  <c r="Y544" i="30"/>
  <c r="X544" i="30"/>
  <c r="W544" i="30"/>
  <c r="V544" i="30"/>
  <c r="U544" i="30"/>
  <c r="T544" i="30"/>
  <c r="S544" i="30"/>
  <c r="R544" i="30"/>
  <c r="Q544" i="30"/>
  <c r="P544" i="30"/>
  <c r="O544" i="30"/>
  <c r="N544" i="30"/>
  <c r="M544" i="30"/>
  <c r="L544" i="30"/>
  <c r="K544" i="30"/>
  <c r="J544" i="30"/>
  <c r="I544" i="30"/>
  <c r="H544" i="30"/>
  <c r="G544" i="30"/>
  <c r="F544" i="30"/>
  <c r="D544" i="30"/>
  <c r="C544" i="30"/>
  <c r="B544" i="30"/>
  <c r="BA543" i="30"/>
  <c r="AV543" i="30"/>
  <c r="AQ543" i="30"/>
  <c r="AP543" i="30"/>
  <c r="AO543" i="30"/>
  <c r="AN543" i="30"/>
  <c r="AM543" i="30"/>
  <c r="AK543" i="30"/>
  <c r="AF543" i="30"/>
  <c r="AE543" i="30"/>
  <c r="AD543" i="30"/>
  <c r="AC543" i="30"/>
  <c r="AB543" i="30"/>
  <c r="AA543" i="30"/>
  <c r="Z543" i="30"/>
  <c r="Y543" i="30"/>
  <c r="X543" i="30"/>
  <c r="W543" i="30"/>
  <c r="V543" i="30"/>
  <c r="U543" i="30"/>
  <c r="T543" i="30"/>
  <c r="S543" i="30"/>
  <c r="R543" i="30"/>
  <c r="Q543" i="30"/>
  <c r="P543" i="30"/>
  <c r="O543" i="30"/>
  <c r="N543" i="30"/>
  <c r="M543" i="30"/>
  <c r="L543" i="30"/>
  <c r="K543" i="30"/>
  <c r="J543" i="30"/>
  <c r="I543" i="30"/>
  <c r="H543" i="30"/>
  <c r="G543" i="30"/>
  <c r="F543" i="30"/>
  <c r="D543" i="30"/>
  <c r="C543" i="30"/>
  <c r="BA542" i="30"/>
  <c r="AV542" i="30"/>
  <c r="AQ542" i="30"/>
  <c r="AP542" i="30"/>
  <c r="AO542" i="30"/>
  <c r="AN542" i="30"/>
  <c r="AM542" i="30"/>
  <c r="AK542" i="30"/>
  <c r="AD542" i="30"/>
  <c r="AC542" i="30"/>
  <c r="AB542" i="30"/>
  <c r="AA542" i="30"/>
  <c r="Z542" i="30"/>
  <c r="Y542" i="30"/>
  <c r="X542" i="30"/>
  <c r="W542" i="30"/>
  <c r="V542" i="30"/>
  <c r="U542" i="30"/>
  <c r="T542" i="30"/>
  <c r="S542" i="30"/>
  <c r="R542" i="30"/>
  <c r="Q542" i="30"/>
  <c r="P542" i="30"/>
  <c r="O542" i="30"/>
  <c r="N542" i="30"/>
  <c r="M542" i="30"/>
  <c r="L542" i="30"/>
  <c r="K542" i="30"/>
  <c r="J542" i="30"/>
  <c r="I542" i="30"/>
  <c r="H542" i="30"/>
  <c r="G542" i="30"/>
  <c r="F542" i="30"/>
  <c r="D542" i="30"/>
  <c r="C542" i="30"/>
  <c r="BA541" i="30"/>
  <c r="AV541" i="30"/>
  <c r="AQ541" i="30"/>
  <c r="AP541" i="30"/>
  <c r="AO541" i="30"/>
  <c r="AN541" i="30"/>
  <c r="AM541" i="30"/>
  <c r="AK541" i="30"/>
  <c r="AD541" i="30"/>
  <c r="AC541" i="30"/>
  <c r="AB541" i="30"/>
  <c r="AA541" i="30"/>
  <c r="Z541" i="30"/>
  <c r="Y541" i="30"/>
  <c r="X541" i="30"/>
  <c r="W541" i="30"/>
  <c r="V541" i="30"/>
  <c r="U541" i="30"/>
  <c r="T541" i="30"/>
  <c r="S541" i="30"/>
  <c r="R541" i="30"/>
  <c r="Q541" i="30"/>
  <c r="P541" i="30"/>
  <c r="O541" i="30"/>
  <c r="N541" i="30"/>
  <c r="M541" i="30"/>
  <c r="L541" i="30"/>
  <c r="K541" i="30"/>
  <c r="J541" i="30"/>
  <c r="I541" i="30"/>
  <c r="H541" i="30"/>
  <c r="G541" i="30"/>
  <c r="F541" i="30"/>
  <c r="D541" i="30"/>
  <c r="C541" i="30"/>
  <c r="BA540" i="30"/>
  <c r="AV540" i="30"/>
  <c r="AQ540" i="30"/>
  <c r="AP540" i="30"/>
  <c r="AO540" i="30"/>
  <c r="AN540" i="30"/>
  <c r="AM540" i="30"/>
  <c r="AK540" i="30"/>
  <c r="AI540" i="30"/>
  <c r="AH540" i="30"/>
  <c r="AG540" i="30"/>
  <c r="V540" i="30"/>
  <c r="S540" i="30"/>
  <c r="J540" i="30"/>
  <c r="I540" i="30"/>
  <c r="H540" i="30"/>
  <c r="G540" i="30"/>
  <c r="F540" i="30"/>
  <c r="D540" i="30"/>
  <c r="C540" i="30"/>
  <c r="BA528" i="30"/>
  <c r="AV528" i="30"/>
  <c r="AQ528" i="30"/>
  <c r="AP528" i="30"/>
  <c r="AO528" i="30"/>
  <c r="AN528" i="30"/>
  <c r="AM528" i="30"/>
  <c r="AK528" i="30"/>
  <c r="V528" i="30"/>
  <c r="S528" i="30"/>
  <c r="J528" i="30"/>
  <c r="I528" i="30"/>
  <c r="H528" i="30"/>
  <c r="G528" i="30"/>
  <c r="F528" i="30"/>
  <c r="D528" i="30"/>
  <c r="C528" i="30"/>
  <c r="AL527" i="30"/>
  <c r="V527" i="30"/>
  <c r="S527" i="30"/>
  <c r="J527" i="30"/>
  <c r="I527" i="30"/>
  <c r="H527" i="30"/>
  <c r="G527" i="30"/>
  <c r="F527" i="30"/>
  <c r="D527" i="30"/>
  <c r="C527" i="30"/>
  <c r="BA526" i="30"/>
  <c r="AV526" i="30"/>
  <c r="AQ526" i="30"/>
  <c r="AP526" i="30"/>
  <c r="AO526" i="30"/>
  <c r="AN526" i="30"/>
  <c r="AM526" i="30"/>
  <c r="AK526" i="30"/>
  <c r="V526" i="30"/>
  <c r="S526" i="30"/>
  <c r="J526" i="30"/>
  <c r="I526" i="30"/>
  <c r="H526" i="30"/>
  <c r="G526" i="30"/>
  <c r="F526" i="30"/>
  <c r="D526" i="30"/>
  <c r="C526" i="30"/>
  <c r="BA525" i="30"/>
  <c r="AV525" i="30"/>
  <c r="AQ525" i="30"/>
  <c r="AP525" i="30"/>
  <c r="AO525" i="30"/>
  <c r="AN525" i="30"/>
  <c r="AM525" i="30"/>
  <c r="V525" i="30"/>
  <c r="S525" i="30"/>
  <c r="J525" i="30"/>
  <c r="I525" i="30"/>
  <c r="H525" i="30"/>
  <c r="G525" i="30"/>
  <c r="F525" i="30"/>
  <c r="D525" i="30"/>
  <c r="C525" i="30"/>
  <c r="AJ523" i="30"/>
  <c r="AI523" i="30"/>
  <c r="AH523" i="30"/>
  <c r="AG523" i="30"/>
  <c r="AF523" i="30"/>
  <c r="AE523" i="30"/>
  <c r="AD523" i="30"/>
  <c r="AC523" i="30"/>
  <c r="AB523" i="30"/>
  <c r="AA523" i="30"/>
  <c r="Z523" i="30"/>
  <c r="Y523" i="30"/>
  <c r="X523" i="30"/>
  <c r="W523" i="30"/>
  <c r="V523" i="30"/>
  <c r="U523" i="30"/>
  <c r="T523" i="30"/>
  <c r="S523" i="30"/>
  <c r="R523" i="30"/>
  <c r="Q523" i="30"/>
  <c r="P523" i="30"/>
  <c r="O523" i="30"/>
  <c r="N523" i="30"/>
  <c r="M523" i="30"/>
  <c r="L523" i="30"/>
  <c r="K523" i="30"/>
  <c r="J523" i="30"/>
  <c r="I523" i="30"/>
  <c r="H523" i="30"/>
  <c r="G523" i="30"/>
  <c r="F523" i="30"/>
  <c r="D523" i="30"/>
  <c r="C523" i="30"/>
  <c r="BA522" i="30"/>
  <c r="AV522" i="30"/>
  <c r="AQ522" i="30"/>
  <c r="AP522" i="30"/>
  <c r="AO522" i="30"/>
  <c r="AN522" i="30"/>
  <c r="AM522" i="30"/>
  <c r="AK522" i="30"/>
  <c r="Y522" i="30"/>
  <c r="X522" i="30"/>
  <c r="W522" i="30"/>
  <c r="V522" i="30"/>
  <c r="U522" i="30"/>
  <c r="T522" i="30"/>
  <c r="S522" i="30"/>
  <c r="R522" i="30"/>
  <c r="Q522" i="30"/>
  <c r="P522" i="30"/>
  <c r="O522" i="30"/>
  <c r="N522" i="30"/>
  <c r="M522" i="30"/>
  <c r="L522" i="30"/>
  <c r="K522" i="30"/>
  <c r="J522" i="30"/>
  <c r="I522" i="30"/>
  <c r="H522" i="30"/>
  <c r="G522" i="30"/>
  <c r="F522" i="30"/>
  <c r="D522" i="30"/>
  <c r="C522" i="30"/>
  <c r="BA521" i="30"/>
  <c r="AV521" i="30"/>
  <c r="AQ521" i="30"/>
  <c r="AP521" i="30"/>
  <c r="AO521" i="30"/>
  <c r="AN521" i="30"/>
  <c r="AM521" i="30"/>
  <c r="AK521" i="30"/>
  <c r="Y521" i="30"/>
  <c r="X521" i="30"/>
  <c r="W521" i="30"/>
  <c r="V521" i="30"/>
  <c r="U521" i="30"/>
  <c r="T521" i="30"/>
  <c r="S521" i="30"/>
  <c r="R521" i="30"/>
  <c r="Q521" i="30"/>
  <c r="P521" i="30"/>
  <c r="O521" i="30"/>
  <c r="N521" i="30"/>
  <c r="M521" i="30"/>
  <c r="L521" i="30"/>
  <c r="K521" i="30"/>
  <c r="J521" i="30"/>
  <c r="I521" i="30"/>
  <c r="H521" i="30"/>
  <c r="G521" i="30"/>
  <c r="F521" i="30"/>
  <c r="D521" i="30"/>
  <c r="C521" i="30"/>
  <c r="BA520" i="30"/>
  <c r="AV520" i="30"/>
  <c r="AQ520" i="30"/>
  <c r="AP520" i="30"/>
  <c r="AO520" i="30"/>
  <c r="AN520" i="30"/>
  <c r="AM520" i="30"/>
  <c r="AL520" i="30"/>
  <c r="AK520" i="30"/>
  <c r="AJ520" i="30"/>
  <c r="AI520" i="30"/>
  <c r="AH520" i="30"/>
  <c r="AG520" i="30"/>
  <c r="AF520" i="30"/>
  <c r="AE520" i="30"/>
  <c r="AD520" i="30"/>
  <c r="AC520" i="30"/>
  <c r="AB520" i="30"/>
  <c r="AA520" i="30"/>
  <c r="Z520" i="30"/>
  <c r="Y520" i="30"/>
  <c r="X520" i="30"/>
  <c r="W520" i="30"/>
  <c r="V520" i="30"/>
  <c r="U520" i="30"/>
  <c r="T520" i="30"/>
  <c r="S520" i="30"/>
  <c r="R520" i="30"/>
  <c r="Q520" i="30"/>
  <c r="P520" i="30"/>
  <c r="O520" i="30"/>
  <c r="N520" i="30"/>
  <c r="M520" i="30"/>
  <c r="L520" i="30"/>
  <c r="K520" i="30"/>
  <c r="J520" i="30"/>
  <c r="I520" i="30"/>
  <c r="H520" i="30"/>
  <c r="G520" i="30"/>
  <c r="F520" i="30"/>
  <c r="D520" i="30"/>
  <c r="C520" i="30"/>
  <c r="BA519" i="30"/>
  <c r="AV519" i="30"/>
  <c r="AQ519" i="30"/>
  <c r="AP519" i="30"/>
  <c r="AO519" i="30"/>
  <c r="AN519" i="30"/>
  <c r="AM519" i="30"/>
  <c r="AL519" i="30"/>
  <c r="AK519" i="30"/>
  <c r="AJ519" i="30"/>
  <c r="AI519" i="30"/>
  <c r="AH519" i="30"/>
  <c r="AG519" i="30"/>
  <c r="AF519" i="30"/>
  <c r="AE519" i="30"/>
  <c r="AD519" i="30"/>
  <c r="AC519" i="30"/>
  <c r="AB519" i="30"/>
  <c r="AA519" i="30"/>
  <c r="Z519" i="30"/>
  <c r="Y519" i="30"/>
  <c r="X519" i="30"/>
  <c r="W519" i="30"/>
  <c r="V519" i="30"/>
  <c r="U519" i="30"/>
  <c r="T519" i="30"/>
  <c r="S519" i="30"/>
  <c r="R519" i="30"/>
  <c r="Q519" i="30"/>
  <c r="P519" i="30"/>
  <c r="O519" i="30"/>
  <c r="N519" i="30"/>
  <c r="M519" i="30"/>
  <c r="L519" i="30"/>
  <c r="K519" i="30"/>
  <c r="J519" i="30"/>
  <c r="I519" i="30"/>
  <c r="H519" i="30"/>
  <c r="G519" i="30"/>
  <c r="F519" i="30"/>
  <c r="D519" i="30"/>
  <c r="C519" i="30"/>
  <c r="BA518" i="30"/>
  <c r="AV518" i="30"/>
  <c r="AQ518" i="30"/>
  <c r="AP518" i="30"/>
  <c r="AO518" i="30"/>
  <c r="AN518" i="30"/>
  <c r="AM518" i="30"/>
  <c r="AK518" i="30"/>
  <c r="X518" i="30"/>
  <c r="W518" i="30"/>
  <c r="V518" i="30"/>
  <c r="U518" i="30"/>
  <c r="T518" i="30"/>
  <c r="S518" i="30"/>
  <c r="R518" i="30"/>
  <c r="Q518" i="30"/>
  <c r="P518" i="30"/>
  <c r="O518" i="30"/>
  <c r="N518" i="30"/>
  <c r="M518" i="30"/>
  <c r="L518" i="30"/>
  <c r="K518" i="30"/>
  <c r="J518" i="30"/>
  <c r="I518" i="30"/>
  <c r="H518" i="30"/>
  <c r="G518" i="30"/>
  <c r="F518" i="30"/>
  <c r="D518" i="30"/>
  <c r="C518" i="30"/>
  <c r="BA517" i="30"/>
  <c r="AV517" i="30"/>
  <c r="AQ517" i="30"/>
  <c r="AP517" i="30"/>
  <c r="AO517" i="30"/>
  <c r="AN517" i="30"/>
  <c r="AM517" i="30"/>
  <c r="AK517" i="30"/>
  <c r="AJ517" i="30"/>
  <c r="AI517" i="30"/>
  <c r="AH517" i="30"/>
  <c r="AG517" i="30"/>
  <c r="AF517" i="30"/>
  <c r="AE517" i="30"/>
  <c r="AD517" i="30"/>
  <c r="AC517" i="30"/>
  <c r="AB517" i="30"/>
  <c r="AA517" i="30"/>
  <c r="Z517" i="30"/>
  <c r="Y517" i="30"/>
  <c r="X517" i="30"/>
  <c r="W517" i="30"/>
  <c r="V517" i="30"/>
  <c r="U517" i="30"/>
  <c r="T517" i="30"/>
  <c r="S517" i="30"/>
  <c r="R517" i="30"/>
  <c r="Q517" i="30"/>
  <c r="P517" i="30"/>
  <c r="O517" i="30"/>
  <c r="N517" i="30"/>
  <c r="M517" i="30"/>
  <c r="L517" i="30"/>
  <c r="K517" i="30"/>
  <c r="J517" i="30"/>
  <c r="I517" i="30"/>
  <c r="H517" i="30"/>
  <c r="G517" i="30"/>
  <c r="F517" i="30"/>
  <c r="D517" i="30"/>
  <c r="C517" i="30"/>
  <c r="BA516" i="30"/>
  <c r="AV516" i="30"/>
  <c r="AQ516" i="30"/>
  <c r="AP516" i="30"/>
  <c r="AO516" i="30"/>
  <c r="AN516" i="30"/>
  <c r="AM516" i="30"/>
  <c r="AK516" i="30"/>
  <c r="X516" i="30"/>
  <c r="W516" i="30"/>
  <c r="V516" i="30"/>
  <c r="U516" i="30"/>
  <c r="T516" i="30"/>
  <c r="S516" i="30"/>
  <c r="R516" i="30"/>
  <c r="Q516" i="30"/>
  <c r="P516" i="30"/>
  <c r="O516" i="30"/>
  <c r="N516" i="30"/>
  <c r="M516" i="30"/>
  <c r="L516" i="30"/>
  <c r="K516" i="30"/>
  <c r="J516" i="30"/>
  <c r="I516" i="30"/>
  <c r="H516" i="30"/>
  <c r="G516" i="30"/>
  <c r="F516" i="30"/>
  <c r="D516" i="30"/>
  <c r="C516" i="30"/>
  <c r="BA515" i="30"/>
  <c r="AV515" i="30"/>
  <c r="AQ515" i="30"/>
  <c r="AP515" i="30"/>
  <c r="AO515" i="30"/>
  <c r="AN515" i="30"/>
  <c r="AM515" i="30"/>
  <c r="AK515" i="30"/>
  <c r="AJ515" i="30"/>
  <c r="AI515" i="30"/>
  <c r="AH515" i="30"/>
  <c r="AG515" i="30"/>
  <c r="AF515" i="30"/>
  <c r="AE515" i="30"/>
  <c r="AD515" i="30"/>
  <c r="AC515" i="30"/>
  <c r="AB515" i="30"/>
  <c r="AA515" i="30"/>
  <c r="Z515" i="30"/>
  <c r="Y515" i="30"/>
  <c r="X515" i="30"/>
  <c r="W515" i="30"/>
  <c r="V515" i="30"/>
  <c r="U515" i="30"/>
  <c r="T515" i="30"/>
  <c r="S515" i="30"/>
  <c r="R515" i="30"/>
  <c r="Q515" i="30"/>
  <c r="P515" i="30"/>
  <c r="O515" i="30"/>
  <c r="N515" i="30"/>
  <c r="M515" i="30"/>
  <c r="L515" i="30"/>
  <c r="K515" i="30"/>
  <c r="J515" i="30"/>
  <c r="I515" i="30"/>
  <c r="H515" i="30"/>
  <c r="G515" i="30"/>
  <c r="F515" i="30"/>
  <c r="D515" i="30"/>
  <c r="C515" i="30"/>
  <c r="BA514" i="30"/>
  <c r="AV514" i="30"/>
  <c r="AQ514" i="30"/>
  <c r="AP514" i="30"/>
  <c r="AO514" i="30"/>
  <c r="AN514" i="30"/>
  <c r="AM514" i="30"/>
  <c r="AL514" i="30"/>
  <c r="AK514" i="30"/>
  <c r="AJ514" i="30"/>
  <c r="AI514" i="30"/>
  <c r="AH514" i="30"/>
  <c r="AG514" i="30"/>
  <c r="AF514" i="30"/>
  <c r="AE514" i="30"/>
  <c r="AD514" i="30"/>
  <c r="AC514" i="30"/>
  <c r="AB514" i="30"/>
  <c r="AA514" i="30"/>
  <c r="Z514" i="30"/>
  <c r="Y514" i="30"/>
  <c r="X514" i="30"/>
  <c r="W514" i="30"/>
  <c r="V514" i="30"/>
  <c r="U514" i="30"/>
  <c r="T514" i="30"/>
  <c r="S514" i="30"/>
  <c r="R514" i="30"/>
  <c r="Q514" i="30"/>
  <c r="P514" i="30"/>
  <c r="O514" i="30"/>
  <c r="N514" i="30"/>
  <c r="M514" i="30"/>
  <c r="L514" i="30"/>
  <c r="K514" i="30"/>
  <c r="J514" i="30"/>
  <c r="I514" i="30"/>
  <c r="H514" i="30"/>
  <c r="G514" i="30"/>
  <c r="F514" i="30"/>
  <c r="D514" i="30"/>
  <c r="C514" i="30"/>
  <c r="BA513" i="30"/>
  <c r="AV513" i="30"/>
  <c r="AQ513" i="30"/>
  <c r="AP513" i="30"/>
  <c r="AO513" i="30"/>
  <c r="AN513" i="30"/>
  <c r="AM513" i="30"/>
  <c r="AL513" i="30"/>
  <c r="AK513" i="30"/>
  <c r="AJ513" i="30"/>
  <c r="AI513" i="30"/>
  <c r="AH513" i="30"/>
  <c r="AG513" i="30"/>
  <c r="AF513" i="30"/>
  <c r="AE513" i="30"/>
  <c r="AD513" i="30"/>
  <c r="AC513" i="30"/>
  <c r="AB513" i="30"/>
  <c r="AA513" i="30"/>
  <c r="Z513" i="30"/>
  <c r="Y513" i="30"/>
  <c r="X513" i="30"/>
  <c r="W513" i="30"/>
  <c r="V513" i="30"/>
  <c r="U513" i="30"/>
  <c r="T513" i="30"/>
  <c r="S513" i="30"/>
  <c r="R513" i="30"/>
  <c r="Q513" i="30"/>
  <c r="P513" i="30"/>
  <c r="O513" i="30"/>
  <c r="N513" i="30"/>
  <c r="M513" i="30"/>
  <c r="L513" i="30"/>
  <c r="K513" i="30"/>
  <c r="J513" i="30"/>
  <c r="I513" i="30"/>
  <c r="H513" i="30"/>
  <c r="G513" i="30"/>
  <c r="F513" i="30"/>
  <c r="D513" i="30"/>
  <c r="C513" i="30"/>
  <c r="BA512" i="30"/>
  <c r="AV512" i="30"/>
  <c r="AQ512" i="30"/>
  <c r="AP512" i="30"/>
  <c r="AO512" i="30"/>
  <c r="AN512" i="30"/>
  <c r="AM512" i="30"/>
  <c r="AK512" i="30"/>
  <c r="Y512" i="30"/>
  <c r="X512" i="30"/>
  <c r="W512" i="30"/>
  <c r="V512" i="30"/>
  <c r="U512" i="30"/>
  <c r="T512" i="30"/>
  <c r="S512" i="30"/>
  <c r="R512" i="30"/>
  <c r="Q512" i="30"/>
  <c r="P512" i="30"/>
  <c r="O512" i="30"/>
  <c r="N512" i="30"/>
  <c r="M512" i="30"/>
  <c r="L512" i="30"/>
  <c r="K512" i="30"/>
  <c r="J512" i="30"/>
  <c r="I512" i="30"/>
  <c r="H512" i="30"/>
  <c r="G512" i="30"/>
  <c r="F512" i="30"/>
  <c r="D512" i="30"/>
  <c r="C512" i="30"/>
  <c r="BA511" i="30"/>
  <c r="AV511" i="30"/>
  <c r="AQ511" i="30"/>
  <c r="AP511" i="30"/>
  <c r="AO511" i="30"/>
  <c r="AN511" i="30"/>
  <c r="AM511" i="30"/>
  <c r="AK511" i="30"/>
  <c r="Y511" i="30"/>
  <c r="X511" i="30"/>
  <c r="W511" i="30"/>
  <c r="V511" i="30"/>
  <c r="U511" i="30"/>
  <c r="T511" i="30"/>
  <c r="S511" i="30"/>
  <c r="R511" i="30"/>
  <c r="Q511" i="30"/>
  <c r="P511" i="30"/>
  <c r="O511" i="30"/>
  <c r="N511" i="30"/>
  <c r="M511" i="30"/>
  <c r="L511" i="30"/>
  <c r="K511" i="30"/>
  <c r="J511" i="30"/>
  <c r="I511" i="30"/>
  <c r="H511" i="30"/>
  <c r="G511" i="30"/>
  <c r="F511" i="30"/>
  <c r="D511" i="30"/>
  <c r="C511" i="30"/>
  <c r="BA510" i="30"/>
  <c r="AV510" i="30"/>
  <c r="AQ510" i="30"/>
  <c r="AP510" i="30"/>
  <c r="AO510" i="30"/>
  <c r="AN510" i="30"/>
  <c r="AM510" i="30"/>
  <c r="AL510" i="30"/>
  <c r="AK510" i="30"/>
  <c r="AJ510" i="30"/>
  <c r="AI510" i="30"/>
  <c r="AH510" i="30"/>
  <c r="AG510" i="30"/>
  <c r="AF510" i="30"/>
  <c r="AE510" i="30"/>
  <c r="AD510" i="30"/>
  <c r="AC510" i="30"/>
  <c r="AB510" i="30"/>
  <c r="AA510" i="30"/>
  <c r="Z510" i="30"/>
  <c r="Y510" i="30"/>
  <c r="X510" i="30"/>
  <c r="W510" i="30"/>
  <c r="V510" i="30"/>
  <c r="U510" i="30"/>
  <c r="T510" i="30"/>
  <c r="S510" i="30"/>
  <c r="R510" i="30"/>
  <c r="Q510" i="30"/>
  <c r="P510" i="30"/>
  <c r="O510" i="30"/>
  <c r="N510" i="30"/>
  <c r="M510" i="30"/>
  <c r="L510" i="30"/>
  <c r="K510" i="30"/>
  <c r="J510" i="30"/>
  <c r="I510" i="30"/>
  <c r="H510" i="30"/>
  <c r="G510" i="30"/>
  <c r="F510" i="30"/>
  <c r="D510" i="30"/>
  <c r="C510" i="30"/>
  <c r="BA509" i="30"/>
  <c r="AV509" i="30"/>
  <c r="AQ509" i="30"/>
  <c r="AP509" i="30"/>
  <c r="AO509" i="30"/>
  <c r="AN509" i="30"/>
  <c r="AM509" i="30"/>
  <c r="AL509" i="30"/>
  <c r="AK509" i="30"/>
  <c r="AJ509" i="30"/>
  <c r="AI509" i="30"/>
  <c r="AH509" i="30"/>
  <c r="AG509" i="30"/>
  <c r="AF509" i="30"/>
  <c r="AE509" i="30"/>
  <c r="AD509" i="30"/>
  <c r="AC509" i="30"/>
  <c r="AB509" i="30"/>
  <c r="AA509" i="30"/>
  <c r="Z509" i="30"/>
  <c r="Y509" i="30"/>
  <c r="X509" i="30"/>
  <c r="W509" i="30"/>
  <c r="V509" i="30"/>
  <c r="U509" i="30"/>
  <c r="T509" i="30"/>
  <c r="S509" i="30"/>
  <c r="R509" i="30"/>
  <c r="Q509" i="30"/>
  <c r="P509" i="30"/>
  <c r="O509" i="30"/>
  <c r="N509" i="30"/>
  <c r="M509" i="30"/>
  <c r="L509" i="30"/>
  <c r="K509" i="30"/>
  <c r="J509" i="30"/>
  <c r="I509" i="30"/>
  <c r="H509" i="30"/>
  <c r="G509" i="30"/>
  <c r="F509" i="30"/>
  <c r="D509" i="30"/>
  <c r="C509" i="30"/>
  <c r="BA508" i="30"/>
  <c r="AV508" i="30"/>
  <c r="AQ508" i="30"/>
  <c r="AP508" i="30"/>
  <c r="AO508" i="30"/>
  <c r="AN508" i="30"/>
  <c r="AM508" i="30"/>
  <c r="AL508" i="30"/>
  <c r="AK508" i="30"/>
  <c r="AJ508" i="30"/>
  <c r="AI508" i="30"/>
  <c r="AH508" i="30"/>
  <c r="AG508" i="30"/>
  <c r="AF508" i="30"/>
  <c r="AE508" i="30"/>
  <c r="AD508" i="30"/>
  <c r="AC508" i="30"/>
  <c r="AB508" i="30"/>
  <c r="AA508" i="30"/>
  <c r="Z508" i="30"/>
  <c r="Y508" i="30"/>
  <c r="X508" i="30"/>
  <c r="W508" i="30"/>
  <c r="V508" i="30"/>
  <c r="U508" i="30"/>
  <c r="T508" i="30"/>
  <c r="S508" i="30"/>
  <c r="R508" i="30"/>
  <c r="Q508" i="30"/>
  <c r="P508" i="30"/>
  <c r="O508" i="30"/>
  <c r="N508" i="30"/>
  <c r="M508" i="30"/>
  <c r="L508" i="30"/>
  <c r="K508" i="30"/>
  <c r="J508" i="30"/>
  <c r="I508" i="30"/>
  <c r="H508" i="30"/>
  <c r="G508" i="30"/>
  <c r="F508" i="30"/>
  <c r="D508" i="30"/>
  <c r="C508" i="30"/>
  <c r="BA507" i="30"/>
  <c r="AV507" i="30"/>
  <c r="AQ507" i="30"/>
  <c r="AP507" i="30"/>
  <c r="AO507" i="30"/>
  <c r="AN507" i="30"/>
  <c r="AM507" i="30"/>
  <c r="AL507" i="30"/>
  <c r="AK507" i="30"/>
  <c r="AJ507" i="30"/>
  <c r="AI507" i="30"/>
  <c r="AH507" i="30"/>
  <c r="AG507" i="30"/>
  <c r="AF507" i="30"/>
  <c r="AE507" i="30"/>
  <c r="AD507" i="30"/>
  <c r="AC507" i="30"/>
  <c r="AB507" i="30"/>
  <c r="AA507" i="30"/>
  <c r="Z507" i="30"/>
  <c r="Y507" i="30"/>
  <c r="X507" i="30"/>
  <c r="W507" i="30"/>
  <c r="V507" i="30"/>
  <c r="U507" i="30"/>
  <c r="T507" i="30"/>
  <c r="S507" i="30"/>
  <c r="R507" i="30"/>
  <c r="Q507" i="30"/>
  <c r="P507" i="30"/>
  <c r="O507" i="30"/>
  <c r="N507" i="30"/>
  <c r="M507" i="30"/>
  <c r="L507" i="30"/>
  <c r="K507" i="30"/>
  <c r="J507" i="30"/>
  <c r="I507" i="30"/>
  <c r="H507" i="30"/>
  <c r="G507" i="30"/>
  <c r="F507" i="30"/>
  <c r="D507" i="30"/>
  <c r="C507" i="30"/>
  <c r="BA506" i="30"/>
  <c r="AV506" i="30"/>
  <c r="AQ506" i="30"/>
  <c r="AP506" i="30"/>
  <c r="AO506" i="30"/>
  <c r="AN506" i="30"/>
  <c r="AM506" i="30"/>
  <c r="AL506" i="30"/>
  <c r="AK506" i="30"/>
  <c r="AJ506" i="30"/>
  <c r="AI506" i="30"/>
  <c r="AH506" i="30"/>
  <c r="AG506" i="30"/>
  <c r="AF506" i="30"/>
  <c r="AE506" i="30"/>
  <c r="AD506" i="30"/>
  <c r="AC506" i="30"/>
  <c r="AB506" i="30"/>
  <c r="AA506" i="30"/>
  <c r="Z506" i="30"/>
  <c r="Y506" i="30"/>
  <c r="X506" i="30"/>
  <c r="W506" i="30"/>
  <c r="V506" i="30"/>
  <c r="U506" i="30"/>
  <c r="T506" i="30"/>
  <c r="S506" i="30"/>
  <c r="R506" i="30"/>
  <c r="Q506" i="30"/>
  <c r="P506" i="30"/>
  <c r="O506" i="30"/>
  <c r="N506" i="30"/>
  <c r="M506" i="30"/>
  <c r="L506" i="30"/>
  <c r="K506" i="30"/>
  <c r="J506" i="30"/>
  <c r="I506" i="30"/>
  <c r="H506" i="30"/>
  <c r="G506" i="30"/>
  <c r="F506" i="30"/>
  <c r="D506" i="30"/>
  <c r="C506" i="30"/>
  <c r="BA505" i="30"/>
  <c r="AV505" i="30"/>
  <c r="AQ505" i="30"/>
  <c r="AP505" i="30"/>
  <c r="AO505" i="30"/>
  <c r="AN505" i="30"/>
  <c r="AM505" i="30"/>
  <c r="AL505" i="30"/>
  <c r="AK505" i="30"/>
  <c r="AJ505" i="30"/>
  <c r="AI505" i="30"/>
  <c r="AH505" i="30"/>
  <c r="AG505" i="30"/>
  <c r="AF505" i="30"/>
  <c r="AE505" i="30"/>
  <c r="AD505" i="30"/>
  <c r="AC505" i="30"/>
  <c r="AB505" i="30"/>
  <c r="AA505" i="30"/>
  <c r="Z505" i="30"/>
  <c r="Y505" i="30"/>
  <c r="X505" i="30"/>
  <c r="W505" i="30"/>
  <c r="V505" i="30"/>
  <c r="U505" i="30"/>
  <c r="T505" i="30"/>
  <c r="S505" i="30"/>
  <c r="R505" i="30"/>
  <c r="Q505" i="30"/>
  <c r="P505" i="30"/>
  <c r="O505" i="30"/>
  <c r="N505" i="30"/>
  <c r="M505" i="30"/>
  <c r="L505" i="30"/>
  <c r="K505" i="30"/>
  <c r="J505" i="30"/>
  <c r="I505" i="30"/>
  <c r="H505" i="30"/>
  <c r="G505" i="30"/>
  <c r="F505" i="30"/>
  <c r="D505" i="30"/>
  <c r="C505" i="30"/>
  <c r="BA504" i="30"/>
  <c r="AV504" i="30"/>
  <c r="AQ504" i="30"/>
  <c r="AP504" i="30"/>
  <c r="AO504" i="30"/>
  <c r="AN504" i="30"/>
  <c r="AM504" i="30"/>
  <c r="AL504" i="30"/>
  <c r="AK504" i="30"/>
  <c r="Y504" i="30"/>
  <c r="X504" i="30"/>
  <c r="W504" i="30"/>
  <c r="V504" i="30"/>
  <c r="U504" i="30"/>
  <c r="T504" i="30"/>
  <c r="S504" i="30"/>
  <c r="R504" i="30"/>
  <c r="Q504" i="30"/>
  <c r="P504" i="30"/>
  <c r="O504" i="30"/>
  <c r="N504" i="30"/>
  <c r="M504" i="30"/>
  <c r="L504" i="30"/>
  <c r="K504" i="30"/>
  <c r="J504" i="30"/>
  <c r="I504" i="30"/>
  <c r="H504" i="30"/>
  <c r="G504" i="30"/>
  <c r="F504" i="30"/>
  <c r="D504" i="30"/>
  <c r="C504" i="30"/>
  <c r="BA503" i="30"/>
  <c r="AV503" i="30"/>
  <c r="AQ503" i="30"/>
  <c r="AP503" i="30"/>
  <c r="AO503" i="30"/>
  <c r="AN503" i="30"/>
  <c r="AM503" i="30"/>
  <c r="AL503" i="30"/>
  <c r="AK503" i="30"/>
  <c r="AJ503" i="30"/>
  <c r="AI503" i="30"/>
  <c r="AH503" i="30"/>
  <c r="AG503" i="30"/>
  <c r="AF503" i="30"/>
  <c r="AE503" i="30"/>
  <c r="AD503" i="30"/>
  <c r="AC503" i="30"/>
  <c r="AB503" i="30"/>
  <c r="AA503" i="30"/>
  <c r="Z503" i="30"/>
  <c r="Y503" i="30"/>
  <c r="X503" i="30"/>
  <c r="W503" i="30"/>
  <c r="V503" i="30"/>
  <c r="U503" i="30"/>
  <c r="T503" i="30"/>
  <c r="S503" i="30"/>
  <c r="R503" i="30"/>
  <c r="Q503" i="30"/>
  <c r="P503" i="30"/>
  <c r="O503" i="30"/>
  <c r="N503" i="30"/>
  <c r="M503" i="30"/>
  <c r="L503" i="30"/>
  <c r="K503" i="30"/>
  <c r="J503" i="30"/>
  <c r="I503" i="30"/>
  <c r="H503" i="30"/>
  <c r="G503" i="30"/>
  <c r="F503" i="30"/>
  <c r="D503" i="30"/>
  <c r="C503" i="30"/>
  <c r="BA502" i="30"/>
  <c r="AV502" i="30"/>
  <c r="AQ502" i="30"/>
  <c r="AP502" i="30"/>
  <c r="AO502" i="30"/>
  <c r="AN502" i="30"/>
  <c r="AM502" i="30"/>
  <c r="AK502" i="30"/>
  <c r="X502" i="30"/>
  <c r="W502" i="30"/>
  <c r="V502" i="30"/>
  <c r="U502" i="30"/>
  <c r="T502" i="30"/>
  <c r="S502" i="30"/>
  <c r="R502" i="30"/>
  <c r="Q502" i="30"/>
  <c r="P502" i="30"/>
  <c r="O502" i="30"/>
  <c r="N502" i="30"/>
  <c r="M502" i="30"/>
  <c r="L502" i="30"/>
  <c r="K502" i="30"/>
  <c r="J502" i="30"/>
  <c r="I502" i="30"/>
  <c r="H502" i="30"/>
  <c r="G502" i="30"/>
  <c r="F502" i="30"/>
  <c r="D502" i="30"/>
  <c r="C502" i="30"/>
  <c r="BA501" i="30"/>
  <c r="AV501" i="30"/>
  <c r="AQ501" i="30"/>
  <c r="AP501" i="30"/>
  <c r="AO501" i="30"/>
  <c r="AN501" i="30"/>
  <c r="AM501" i="30"/>
  <c r="AK501" i="30"/>
  <c r="X501" i="30"/>
  <c r="W501" i="30"/>
  <c r="V501" i="30"/>
  <c r="U501" i="30"/>
  <c r="T501" i="30"/>
  <c r="S501" i="30"/>
  <c r="R501" i="30"/>
  <c r="Q501" i="30"/>
  <c r="P501" i="30"/>
  <c r="O501" i="30"/>
  <c r="N501" i="30"/>
  <c r="M501" i="30"/>
  <c r="L501" i="30"/>
  <c r="K501" i="30"/>
  <c r="J501" i="30"/>
  <c r="I501" i="30"/>
  <c r="H501" i="30"/>
  <c r="G501" i="30"/>
  <c r="F501" i="30"/>
  <c r="D501" i="30"/>
  <c r="C501" i="30"/>
  <c r="BA500" i="30"/>
  <c r="AV500" i="30"/>
  <c r="AQ500" i="30"/>
  <c r="AP500" i="30"/>
  <c r="AO500" i="30"/>
  <c r="AN500" i="30"/>
  <c r="AM500" i="30"/>
  <c r="AK500" i="30"/>
  <c r="X500" i="30"/>
  <c r="W500" i="30"/>
  <c r="V500" i="30"/>
  <c r="U500" i="30"/>
  <c r="T500" i="30"/>
  <c r="S500" i="30"/>
  <c r="R500" i="30"/>
  <c r="Q500" i="30"/>
  <c r="P500" i="30"/>
  <c r="O500" i="30"/>
  <c r="N500" i="30"/>
  <c r="M500" i="30"/>
  <c r="L500" i="30"/>
  <c r="K500" i="30"/>
  <c r="J500" i="30"/>
  <c r="I500" i="30"/>
  <c r="H500" i="30"/>
  <c r="G500" i="30"/>
  <c r="F500" i="30"/>
  <c r="D500" i="30"/>
  <c r="C500" i="30"/>
  <c r="BA499" i="30"/>
  <c r="AV499" i="30"/>
  <c r="AQ499" i="30"/>
  <c r="AP499" i="30"/>
  <c r="AO499" i="30"/>
  <c r="AN499" i="30"/>
  <c r="AM499" i="30"/>
  <c r="AK499" i="30"/>
  <c r="X499" i="30"/>
  <c r="W499" i="30"/>
  <c r="V499" i="30"/>
  <c r="U499" i="30"/>
  <c r="T499" i="30"/>
  <c r="S499" i="30"/>
  <c r="R499" i="30"/>
  <c r="Q499" i="30"/>
  <c r="P499" i="30"/>
  <c r="O499" i="30"/>
  <c r="N499" i="30"/>
  <c r="M499" i="30"/>
  <c r="L499" i="30"/>
  <c r="K499" i="30"/>
  <c r="J499" i="30"/>
  <c r="I499" i="30"/>
  <c r="H499" i="30"/>
  <c r="G499" i="30"/>
  <c r="F499" i="30"/>
  <c r="D499" i="30"/>
  <c r="C499" i="30"/>
  <c r="BA498" i="30"/>
  <c r="AV498" i="30"/>
  <c r="AQ498" i="30"/>
  <c r="AP498" i="30"/>
  <c r="AO498" i="30"/>
  <c r="AN498" i="30"/>
  <c r="AM498" i="30"/>
  <c r="AK498" i="30"/>
  <c r="X498" i="30"/>
  <c r="W498" i="30"/>
  <c r="V498" i="30"/>
  <c r="U498" i="30"/>
  <c r="T498" i="30"/>
  <c r="S498" i="30"/>
  <c r="R498" i="30"/>
  <c r="Q498" i="30"/>
  <c r="P498" i="30"/>
  <c r="O498" i="30"/>
  <c r="N498" i="30"/>
  <c r="M498" i="30"/>
  <c r="L498" i="30"/>
  <c r="K498" i="30"/>
  <c r="J498" i="30"/>
  <c r="I498" i="30"/>
  <c r="H498" i="30"/>
  <c r="G498" i="30"/>
  <c r="F498" i="30"/>
  <c r="D498" i="30"/>
  <c r="C498" i="30"/>
  <c r="BA497" i="30"/>
  <c r="AV497" i="30"/>
  <c r="AQ497" i="30"/>
  <c r="AP497" i="30"/>
  <c r="AO497" i="30"/>
  <c r="AN497" i="30"/>
  <c r="AM497" i="30"/>
  <c r="AK497" i="30"/>
  <c r="AJ497" i="30"/>
  <c r="AI497" i="30"/>
  <c r="AH497" i="30"/>
  <c r="AG497" i="30"/>
  <c r="AF497" i="30"/>
  <c r="AE497" i="30"/>
  <c r="AD497" i="30"/>
  <c r="AC497" i="30"/>
  <c r="AB497" i="30"/>
  <c r="AA497" i="30"/>
  <c r="Z497" i="30"/>
  <c r="Y497" i="30"/>
  <c r="X497" i="30"/>
  <c r="W497" i="30"/>
  <c r="V497" i="30"/>
  <c r="U497" i="30"/>
  <c r="T497" i="30"/>
  <c r="S497" i="30"/>
  <c r="R497" i="30"/>
  <c r="Q497" i="30"/>
  <c r="P497" i="30"/>
  <c r="O497" i="30"/>
  <c r="N497" i="30"/>
  <c r="M497" i="30"/>
  <c r="L497" i="30"/>
  <c r="K497" i="30"/>
  <c r="J497" i="30"/>
  <c r="I497" i="30"/>
  <c r="H497" i="30"/>
  <c r="G497" i="30"/>
  <c r="F497" i="30"/>
  <c r="D497" i="30"/>
  <c r="C497" i="30"/>
  <c r="BA496" i="30"/>
  <c r="AV496" i="30"/>
  <c r="AQ496" i="30"/>
  <c r="AP496" i="30"/>
  <c r="AO496" i="30"/>
  <c r="AN496" i="30"/>
  <c r="AM496" i="30"/>
  <c r="AK496" i="30"/>
  <c r="X496" i="30"/>
  <c r="W496" i="30"/>
  <c r="V496" i="30"/>
  <c r="U496" i="30"/>
  <c r="T496" i="30"/>
  <c r="S496" i="30"/>
  <c r="R496" i="30"/>
  <c r="Q496" i="30"/>
  <c r="P496" i="30"/>
  <c r="O496" i="30"/>
  <c r="N496" i="30"/>
  <c r="M496" i="30"/>
  <c r="L496" i="30"/>
  <c r="K496" i="30"/>
  <c r="J496" i="30"/>
  <c r="I496" i="30"/>
  <c r="H496" i="30"/>
  <c r="G496" i="30"/>
  <c r="F496" i="30"/>
  <c r="D496" i="30"/>
  <c r="C496" i="30"/>
  <c r="BA495" i="30"/>
  <c r="AV495" i="30"/>
  <c r="AQ495" i="30"/>
  <c r="AP495" i="30"/>
  <c r="AO495" i="30"/>
  <c r="AN495" i="30"/>
  <c r="AM495" i="30"/>
  <c r="AK495" i="30"/>
  <c r="X495" i="30"/>
  <c r="W495" i="30"/>
  <c r="V495" i="30"/>
  <c r="U495" i="30"/>
  <c r="T495" i="30"/>
  <c r="S495" i="30"/>
  <c r="R495" i="30"/>
  <c r="Q495" i="30"/>
  <c r="P495" i="30"/>
  <c r="O495" i="30"/>
  <c r="N495" i="30"/>
  <c r="M495" i="30"/>
  <c r="L495" i="30"/>
  <c r="K495" i="30"/>
  <c r="J495" i="30"/>
  <c r="I495" i="30"/>
  <c r="H495" i="30"/>
  <c r="G495" i="30"/>
  <c r="F495" i="30"/>
  <c r="D495" i="30"/>
  <c r="C495" i="30"/>
  <c r="BA494" i="30"/>
  <c r="AV494" i="30"/>
  <c r="AQ494" i="30"/>
  <c r="AP494" i="30"/>
  <c r="AO494" i="30"/>
  <c r="AN494" i="30"/>
  <c r="AM494" i="30"/>
  <c r="AL494" i="30"/>
  <c r="AK494" i="30"/>
  <c r="AJ494" i="30"/>
  <c r="AI494" i="30"/>
  <c r="AH494" i="30"/>
  <c r="AG494" i="30"/>
  <c r="AF494" i="30"/>
  <c r="AE494" i="30"/>
  <c r="AD494" i="30"/>
  <c r="AC494" i="30"/>
  <c r="AB494" i="30"/>
  <c r="AA494" i="30"/>
  <c r="Z494" i="30"/>
  <c r="Y494" i="30"/>
  <c r="X494" i="30"/>
  <c r="W494" i="30"/>
  <c r="V494" i="30"/>
  <c r="U494" i="30"/>
  <c r="T494" i="30"/>
  <c r="S494" i="30"/>
  <c r="R494" i="30"/>
  <c r="Q494" i="30"/>
  <c r="P494" i="30"/>
  <c r="O494" i="30"/>
  <c r="N494" i="30"/>
  <c r="M494" i="30"/>
  <c r="L494" i="30"/>
  <c r="K494" i="30"/>
  <c r="J494" i="30"/>
  <c r="I494" i="30"/>
  <c r="H494" i="30"/>
  <c r="G494" i="30"/>
  <c r="F494" i="30"/>
  <c r="D494" i="30"/>
  <c r="C494" i="30"/>
  <c r="BA493" i="30"/>
  <c r="AV493" i="30"/>
  <c r="AQ493" i="30"/>
  <c r="AP493" i="30"/>
  <c r="AO493" i="30"/>
  <c r="AN493" i="30"/>
  <c r="AM493" i="30"/>
  <c r="AL493" i="30"/>
  <c r="AK493" i="30"/>
  <c r="AJ493" i="30"/>
  <c r="AI493" i="30"/>
  <c r="AH493" i="30"/>
  <c r="AG493" i="30"/>
  <c r="AF493" i="30"/>
  <c r="AE493" i="30"/>
  <c r="AD493" i="30"/>
  <c r="AC493" i="30"/>
  <c r="AB493" i="30"/>
  <c r="AA493" i="30"/>
  <c r="Z493" i="30"/>
  <c r="Y493" i="30"/>
  <c r="X493" i="30"/>
  <c r="W493" i="30"/>
  <c r="V493" i="30"/>
  <c r="U493" i="30"/>
  <c r="T493" i="30"/>
  <c r="S493" i="30"/>
  <c r="R493" i="30"/>
  <c r="Q493" i="30"/>
  <c r="P493" i="30"/>
  <c r="O493" i="30"/>
  <c r="N493" i="30"/>
  <c r="M493" i="30"/>
  <c r="L493" i="30"/>
  <c r="K493" i="30"/>
  <c r="J493" i="30"/>
  <c r="I493" i="30"/>
  <c r="H493" i="30"/>
  <c r="G493" i="30"/>
  <c r="F493" i="30"/>
  <c r="D493" i="30"/>
  <c r="C493" i="30"/>
  <c r="BA492" i="30"/>
  <c r="AV492" i="30"/>
  <c r="AQ492" i="30"/>
  <c r="AP492" i="30"/>
  <c r="AO492" i="30"/>
  <c r="AN492" i="30"/>
  <c r="AM492" i="30"/>
  <c r="AL492" i="30"/>
  <c r="AK492" i="30"/>
  <c r="AJ492" i="30"/>
  <c r="AI492" i="30"/>
  <c r="AH492" i="30"/>
  <c r="AG492" i="30"/>
  <c r="AF492" i="30"/>
  <c r="AE492" i="30"/>
  <c r="AD492" i="30"/>
  <c r="AC492" i="30"/>
  <c r="AB492" i="30"/>
  <c r="AA492" i="30"/>
  <c r="Z492" i="30"/>
  <c r="Y492" i="30"/>
  <c r="X492" i="30"/>
  <c r="W492" i="30"/>
  <c r="V492" i="30"/>
  <c r="U492" i="30"/>
  <c r="T492" i="30"/>
  <c r="S492" i="30"/>
  <c r="R492" i="30"/>
  <c r="Q492" i="30"/>
  <c r="P492" i="30"/>
  <c r="O492" i="30"/>
  <c r="N492" i="30"/>
  <c r="M492" i="30"/>
  <c r="L492" i="30"/>
  <c r="K492" i="30"/>
  <c r="J492" i="30"/>
  <c r="I492" i="30"/>
  <c r="H492" i="30"/>
  <c r="G492" i="30"/>
  <c r="F492" i="30"/>
  <c r="D492" i="30"/>
  <c r="C492" i="30"/>
  <c r="BA491" i="30"/>
  <c r="AV491" i="30"/>
  <c r="AQ491" i="30"/>
  <c r="AP491" i="30"/>
  <c r="AO491" i="30"/>
  <c r="AN491" i="30"/>
  <c r="AM491" i="30"/>
  <c r="AL491" i="30"/>
  <c r="AK491" i="30"/>
  <c r="AJ491" i="30"/>
  <c r="AI491" i="30"/>
  <c r="AH491" i="30"/>
  <c r="AG491" i="30"/>
  <c r="AF491" i="30"/>
  <c r="AE491" i="30"/>
  <c r="AD491" i="30"/>
  <c r="AC491" i="30"/>
  <c r="AB491" i="30"/>
  <c r="AA491" i="30"/>
  <c r="Z491" i="30"/>
  <c r="Y491" i="30"/>
  <c r="X491" i="30"/>
  <c r="W491" i="30"/>
  <c r="V491" i="30"/>
  <c r="U491" i="30"/>
  <c r="T491" i="30"/>
  <c r="S491" i="30"/>
  <c r="R491" i="30"/>
  <c r="Q491" i="30"/>
  <c r="P491" i="30"/>
  <c r="O491" i="30"/>
  <c r="N491" i="30"/>
  <c r="M491" i="30"/>
  <c r="L491" i="30"/>
  <c r="K491" i="30"/>
  <c r="J491" i="30"/>
  <c r="I491" i="30"/>
  <c r="H491" i="30"/>
  <c r="G491" i="30"/>
  <c r="F491" i="30"/>
  <c r="D491" i="30"/>
  <c r="C491" i="30"/>
  <c r="BA490" i="30"/>
  <c r="AV490" i="30"/>
  <c r="AQ490" i="30"/>
  <c r="AP490" i="30"/>
  <c r="AO490" i="30"/>
  <c r="AN490" i="30"/>
  <c r="AM490" i="30"/>
  <c r="AK490" i="30"/>
  <c r="X490" i="30"/>
  <c r="W490" i="30"/>
  <c r="V490" i="30"/>
  <c r="U490" i="30"/>
  <c r="T490" i="30"/>
  <c r="S490" i="30"/>
  <c r="R490" i="30"/>
  <c r="Q490" i="30"/>
  <c r="P490" i="30"/>
  <c r="O490" i="30"/>
  <c r="N490" i="30"/>
  <c r="M490" i="30"/>
  <c r="L490" i="30"/>
  <c r="K490" i="30"/>
  <c r="J490" i="30"/>
  <c r="I490" i="30"/>
  <c r="H490" i="30"/>
  <c r="G490" i="30"/>
  <c r="F490" i="30"/>
  <c r="D490" i="30"/>
  <c r="C490" i="30"/>
  <c r="BA489" i="30"/>
  <c r="AV489" i="30"/>
  <c r="AQ489" i="30"/>
  <c r="AP489" i="30"/>
  <c r="AO489" i="30"/>
  <c r="AN489" i="30"/>
  <c r="AM489" i="30"/>
  <c r="AL489" i="30"/>
  <c r="AK489" i="30"/>
  <c r="AJ489" i="30"/>
  <c r="AI489" i="30"/>
  <c r="AH489" i="30"/>
  <c r="AG489" i="30"/>
  <c r="AF489" i="30"/>
  <c r="AE489" i="30"/>
  <c r="AD489" i="30"/>
  <c r="AC489" i="30"/>
  <c r="AB489" i="30"/>
  <c r="AA489" i="30"/>
  <c r="Z489" i="30"/>
  <c r="Y489" i="30"/>
  <c r="X489" i="30"/>
  <c r="W489" i="30"/>
  <c r="V489" i="30"/>
  <c r="U489" i="30"/>
  <c r="T489" i="30"/>
  <c r="S489" i="30"/>
  <c r="R489" i="30"/>
  <c r="Q489" i="30"/>
  <c r="P489" i="30"/>
  <c r="O489" i="30"/>
  <c r="N489" i="30"/>
  <c r="M489" i="30"/>
  <c r="L489" i="30"/>
  <c r="K489" i="30"/>
  <c r="J489" i="30"/>
  <c r="I489" i="30"/>
  <c r="H489" i="30"/>
  <c r="G489" i="30"/>
  <c r="F489" i="30"/>
  <c r="D489" i="30"/>
  <c r="C489" i="30"/>
  <c r="BA488" i="30"/>
  <c r="AV488" i="30"/>
  <c r="AQ488" i="30"/>
  <c r="AP488" i="30"/>
  <c r="AO488" i="30"/>
  <c r="AN488" i="30"/>
  <c r="AM488" i="30"/>
  <c r="AL488" i="30"/>
  <c r="AK488" i="30"/>
  <c r="AJ488" i="30"/>
  <c r="AI488" i="30"/>
  <c r="AH488" i="30"/>
  <c r="AG488" i="30"/>
  <c r="AF488" i="30"/>
  <c r="AE488" i="30"/>
  <c r="AD488" i="30"/>
  <c r="AC488" i="30"/>
  <c r="AB488" i="30"/>
  <c r="AA488" i="30"/>
  <c r="Z488" i="30"/>
  <c r="Y488" i="30"/>
  <c r="X488" i="30"/>
  <c r="W488" i="30"/>
  <c r="V488" i="30"/>
  <c r="U488" i="30"/>
  <c r="T488" i="30"/>
  <c r="S488" i="30"/>
  <c r="R488" i="30"/>
  <c r="Q488" i="30"/>
  <c r="P488" i="30"/>
  <c r="O488" i="30"/>
  <c r="N488" i="30"/>
  <c r="M488" i="30"/>
  <c r="L488" i="30"/>
  <c r="K488" i="30"/>
  <c r="J488" i="30"/>
  <c r="I488" i="30"/>
  <c r="H488" i="30"/>
  <c r="G488" i="30"/>
  <c r="F488" i="30"/>
  <c r="D488" i="30"/>
  <c r="C488" i="30"/>
  <c r="BA487" i="30"/>
  <c r="AV487" i="30"/>
  <c r="AQ487" i="30"/>
  <c r="AP487" i="30"/>
  <c r="AO487" i="30"/>
  <c r="AN487" i="30"/>
  <c r="AM487" i="30"/>
  <c r="AK487" i="30"/>
  <c r="X487" i="30"/>
  <c r="W487" i="30"/>
  <c r="V487" i="30"/>
  <c r="U487" i="30"/>
  <c r="T487" i="30"/>
  <c r="S487" i="30"/>
  <c r="R487" i="30"/>
  <c r="Q487" i="30"/>
  <c r="P487" i="30"/>
  <c r="O487" i="30"/>
  <c r="N487" i="30"/>
  <c r="M487" i="30"/>
  <c r="L487" i="30"/>
  <c r="K487" i="30"/>
  <c r="J487" i="30"/>
  <c r="I487" i="30"/>
  <c r="H487" i="30"/>
  <c r="G487" i="30"/>
  <c r="F487" i="30"/>
  <c r="D487" i="30"/>
  <c r="C487" i="30"/>
  <c r="BA486" i="30"/>
  <c r="AV486" i="30"/>
  <c r="AQ486" i="30"/>
  <c r="AP486" i="30"/>
  <c r="AO486" i="30"/>
  <c r="AN486" i="30"/>
  <c r="AM486" i="30"/>
  <c r="AK486" i="30"/>
  <c r="AJ486" i="30"/>
  <c r="AI486" i="30"/>
  <c r="AH486" i="30"/>
  <c r="AG486" i="30"/>
  <c r="AF486" i="30"/>
  <c r="AE486" i="30"/>
  <c r="AD486" i="30"/>
  <c r="AC486" i="30"/>
  <c r="AB486" i="30"/>
  <c r="AA486" i="30"/>
  <c r="Z486" i="30"/>
  <c r="Y486" i="30"/>
  <c r="X486" i="30"/>
  <c r="W486" i="30"/>
  <c r="V486" i="30"/>
  <c r="U486" i="30"/>
  <c r="T486" i="30"/>
  <c r="S486" i="30"/>
  <c r="R486" i="30"/>
  <c r="Q486" i="30"/>
  <c r="P486" i="30"/>
  <c r="O486" i="30"/>
  <c r="N486" i="30"/>
  <c r="M486" i="30"/>
  <c r="L486" i="30"/>
  <c r="K486" i="30"/>
  <c r="J486" i="30"/>
  <c r="I486" i="30"/>
  <c r="H486" i="30"/>
  <c r="G486" i="30"/>
  <c r="F486" i="30"/>
  <c r="D486" i="30"/>
  <c r="C486" i="30"/>
  <c r="BA485" i="30"/>
  <c r="AV485" i="30"/>
  <c r="AQ485" i="30"/>
  <c r="AP485" i="30"/>
  <c r="AO485" i="30"/>
  <c r="AN485" i="30"/>
  <c r="AM485" i="30"/>
  <c r="AK485" i="30"/>
  <c r="X485" i="30"/>
  <c r="W485" i="30"/>
  <c r="V485" i="30"/>
  <c r="U485" i="30"/>
  <c r="T485" i="30"/>
  <c r="S485" i="30"/>
  <c r="R485" i="30"/>
  <c r="Q485" i="30"/>
  <c r="P485" i="30"/>
  <c r="O485" i="30"/>
  <c r="N485" i="30"/>
  <c r="M485" i="30"/>
  <c r="L485" i="30"/>
  <c r="K485" i="30"/>
  <c r="J485" i="30"/>
  <c r="I485" i="30"/>
  <c r="H485" i="30"/>
  <c r="G485" i="30"/>
  <c r="F485" i="30"/>
  <c r="D485" i="30"/>
  <c r="C485" i="30"/>
  <c r="BA484" i="30"/>
  <c r="AV484" i="30"/>
  <c r="AQ484" i="30"/>
  <c r="AP484" i="30"/>
  <c r="AO484" i="30"/>
  <c r="AN484" i="30"/>
  <c r="AM484" i="30"/>
  <c r="AK484" i="30"/>
  <c r="AJ484" i="30"/>
  <c r="AI484" i="30"/>
  <c r="AH484" i="30"/>
  <c r="AG484" i="30"/>
  <c r="AF484" i="30"/>
  <c r="AE484" i="30"/>
  <c r="AD484" i="30"/>
  <c r="AC484" i="30"/>
  <c r="AB484" i="30"/>
  <c r="AA484" i="30"/>
  <c r="Z484" i="30"/>
  <c r="Y484" i="30"/>
  <c r="X484" i="30"/>
  <c r="W484" i="30"/>
  <c r="V484" i="30"/>
  <c r="U484" i="30"/>
  <c r="T484" i="30"/>
  <c r="S484" i="30"/>
  <c r="R484" i="30"/>
  <c r="Q484" i="30"/>
  <c r="P484" i="30"/>
  <c r="O484" i="30"/>
  <c r="N484" i="30"/>
  <c r="M484" i="30"/>
  <c r="L484" i="30"/>
  <c r="K484" i="30"/>
  <c r="J484" i="30"/>
  <c r="I484" i="30"/>
  <c r="H484" i="30"/>
  <c r="G484" i="30"/>
  <c r="F484" i="30"/>
  <c r="D484" i="30"/>
  <c r="C484" i="30"/>
  <c r="BA483" i="30"/>
  <c r="AV483" i="30"/>
  <c r="AQ483" i="30"/>
  <c r="AP483" i="30"/>
  <c r="AO483" i="30"/>
  <c r="AN483" i="30"/>
  <c r="AM483" i="30"/>
  <c r="AK483" i="30"/>
  <c r="X483" i="30"/>
  <c r="W483" i="30"/>
  <c r="V483" i="30"/>
  <c r="U483" i="30"/>
  <c r="T483" i="30"/>
  <c r="S483" i="30"/>
  <c r="R483" i="30"/>
  <c r="Q483" i="30"/>
  <c r="P483" i="30"/>
  <c r="O483" i="30"/>
  <c r="N483" i="30"/>
  <c r="M483" i="30"/>
  <c r="L483" i="30"/>
  <c r="K483" i="30"/>
  <c r="J483" i="30"/>
  <c r="I483" i="30"/>
  <c r="H483" i="30"/>
  <c r="G483" i="30"/>
  <c r="F483" i="30"/>
  <c r="D483" i="30"/>
  <c r="C483" i="30"/>
  <c r="BA482" i="30"/>
  <c r="AV482" i="30"/>
  <c r="AQ482" i="30"/>
  <c r="AP482" i="30"/>
  <c r="AO482" i="30"/>
  <c r="AN482" i="30"/>
  <c r="AM482" i="30"/>
  <c r="AK482" i="30"/>
  <c r="AJ482" i="30"/>
  <c r="AI482" i="30"/>
  <c r="AH482" i="30"/>
  <c r="AG482" i="30"/>
  <c r="AF482" i="30"/>
  <c r="AE482" i="30"/>
  <c r="AD482" i="30"/>
  <c r="AC482" i="30"/>
  <c r="AB482" i="30"/>
  <c r="AA482" i="30"/>
  <c r="Z482" i="30"/>
  <c r="Y482" i="30"/>
  <c r="X482" i="30"/>
  <c r="W482" i="30"/>
  <c r="V482" i="30"/>
  <c r="U482" i="30"/>
  <c r="T482" i="30"/>
  <c r="S482" i="30"/>
  <c r="R482" i="30"/>
  <c r="Q482" i="30"/>
  <c r="P482" i="30"/>
  <c r="O482" i="30"/>
  <c r="N482" i="30"/>
  <c r="M482" i="30"/>
  <c r="L482" i="30"/>
  <c r="K482" i="30"/>
  <c r="J482" i="30"/>
  <c r="I482" i="30"/>
  <c r="H482" i="30"/>
  <c r="G482" i="30"/>
  <c r="F482" i="30"/>
  <c r="D482" i="30"/>
  <c r="C482" i="30"/>
  <c r="BA481" i="30"/>
  <c r="AV481" i="30"/>
  <c r="AQ481" i="30"/>
  <c r="AP481" i="30"/>
  <c r="AO481" i="30"/>
  <c r="AN481" i="30"/>
  <c r="AM481" i="30"/>
  <c r="AK481" i="30"/>
  <c r="X481" i="30"/>
  <c r="W481" i="30"/>
  <c r="V481" i="30"/>
  <c r="U481" i="30"/>
  <c r="T481" i="30"/>
  <c r="S481" i="30"/>
  <c r="R481" i="30"/>
  <c r="Q481" i="30"/>
  <c r="P481" i="30"/>
  <c r="O481" i="30"/>
  <c r="N481" i="30"/>
  <c r="M481" i="30"/>
  <c r="L481" i="30"/>
  <c r="K481" i="30"/>
  <c r="J481" i="30"/>
  <c r="I481" i="30"/>
  <c r="H481" i="30"/>
  <c r="G481" i="30"/>
  <c r="F481" i="30"/>
  <c r="D481" i="30"/>
  <c r="C481" i="30"/>
  <c r="BA480" i="30"/>
  <c r="AV480" i="30"/>
  <c r="AQ480" i="30"/>
  <c r="AP480" i="30"/>
  <c r="AO480" i="30"/>
  <c r="AN480" i="30"/>
  <c r="AM480" i="30"/>
  <c r="AK480" i="30"/>
  <c r="X480" i="30"/>
  <c r="W480" i="30"/>
  <c r="V480" i="30"/>
  <c r="U480" i="30"/>
  <c r="T480" i="30"/>
  <c r="S480" i="30"/>
  <c r="R480" i="30"/>
  <c r="Q480" i="30"/>
  <c r="P480" i="30"/>
  <c r="O480" i="30"/>
  <c r="N480" i="30"/>
  <c r="M480" i="30"/>
  <c r="L480" i="30"/>
  <c r="K480" i="30"/>
  <c r="J480" i="30"/>
  <c r="I480" i="30"/>
  <c r="H480" i="30"/>
  <c r="G480" i="30"/>
  <c r="F480" i="30"/>
  <c r="D480" i="30"/>
  <c r="C480" i="30"/>
  <c r="BA479" i="30"/>
  <c r="AV479" i="30"/>
  <c r="AQ479" i="30"/>
  <c r="AP479" i="30"/>
  <c r="AO479" i="30"/>
  <c r="AN479" i="30"/>
  <c r="AM479" i="30"/>
  <c r="AK479" i="30"/>
  <c r="AJ479" i="30"/>
  <c r="AI479" i="30"/>
  <c r="AH479" i="30"/>
  <c r="AG479" i="30"/>
  <c r="AF479" i="30"/>
  <c r="AE479" i="30"/>
  <c r="AD479" i="30"/>
  <c r="AC479" i="30"/>
  <c r="AB479" i="30"/>
  <c r="AA479" i="30"/>
  <c r="Z479" i="30"/>
  <c r="Y479" i="30"/>
  <c r="X479" i="30"/>
  <c r="W479" i="30"/>
  <c r="V479" i="30"/>
  <c r="U479" i="30"/>
  <c r="T479" i="30"/>
  <c r="S479" i="30"/>
  <c r="R479" i="30"/>
  <c r="Q479" i="30"/>
  <c r="P479" i="30"/>
  <c r="O479" i="30"/>
  <c r="N479" i="30"/>
  <c r="M479" i="30"/>
  <c r="L479" i="30"/>
  <c r="K479" i="30"/>
  <c r="J479" i="30"/>
  <c r="I479" i="30"/>
  <c r="H479" i="30"/>
  <c r="G479" i="30"/>
  <c r="F479" i="30"/>
  <c r="D479" i="30"/>
  <c r="C479" i="30"/>
  <c r="BA478" i="30"/>
  <c r="AV478" i="30"/>
  <c r="AQ478" i="30"/>
  <c r="AP478" i="30"/>
  <c r="AO478" i="30"/>
  <c r="AN478" i="30"/>
  <c r="AM478" i="30"/>
  <c r="AK478" i="30"/>
  <c r="X478" i="30"/>
  <c r="W478" i="30"/>
  <c r="V478" i="30"/>
  <c r="U478" i="30"/>
  <c r="T478" i="30"/>
  <c r="S478" i="30"/>
  <c r="R478" i="30"/>
  <c r="Q478" i="30"/>
  <c r="P478" i="30"/>
  <c r="O478" i="30"/>
  <c r="N478" i="30"/>
  <c r="M478" i="30"/>
  <c r="L478" i="30"/>
  <c r="K478" i="30"/>
  <c r="J478" i="30"/>
  <c r="I478" i="30"/>
  <c r="H478" i="30"/>
  <c r="G478" i="30"/>
  <c r="F478" i="30"/>
  <c r="D478" i="30"/>
  <c r="C478" i="30"/>
  <c r="BA477" i="30"/>
  <c r="AV477" i="30"/>
  <c r="AQ477" i="30"/>
  <c r="AP477" i="30"/>
  <c r="AO477" i="30"/>
  <c r="AN477" i="30"/>
  <c r="AM477" i="30"/>
  <c r="AK477" i="30"/>
  <c r="X477" i="30"/>
  <c r="W477" i="30"/>
  <c r="V477" i="30"/>
  <c r="U477" i="30"/>
  <c r="T477" i="30"/>
  <c r="S477" i="30"/>
  <c r="R477" i="30"/>
  <c r="Q477" i="30"/>
  <c r="P477" i="30"/>
  <c r="O477" i="30"/>
  <c r="N477" i="30"/>
  <c r="M477" i="30"/>
  <c r="L477" i="30"/>
  <c r="K477" i="30"/>
  <c r="J477" i="30"/>
  <c r="I477" i="30"/>
  <c r="H477" i="30"/>
  <c r="G477" i="30"/>
  <c r="F477" i="30"/>
  <c r="D477" i="30"/>
  <c r="C477" i="30"/>
  <c r="BA476" i="30"/>
  <c r="AV476" i="30"/>
  <c r="AQ476" i="30"/>
  <c r="AP476" i="30"/>
  <c r="AO476" i="30"/>
  <c r="AN476" i="30"/>
  <c r="AM476" i="30"/>
  <c r="AK476" i="30"/>
  <c r="X476" i="30"/>
  <c r="W476" i="30"/>
  <c r="V476" i="30"/>
  <c r="U476" i="30"/>
  <c r="T476" i="30"/>
  <c r="S476" i="30"/>
  <c r="R476" i="30"/>
  <c r="Q476" i="30"/>
  <c r="P476" i="30"/>
  <c r="O476" i="30"/>
  <c r="N476" i="30"/>
  <c r="M476" i="30"/>
  <c r="L476" i="30"/>
  <c r="K476" i="30"/>
  <c r="J476" i="30"/>
  <c r="I476" i="30"/>
  <c r="H476" i="30"/>
  <c r="G476" i="30"/>
  <c r="F476" i="30"/>
  <c r="D476" i="30"/>
  <c r="C476" i="30"/>
  <c r="BA475" i="30"/>
  <c r="AV475" i="30"/>
  <c r="AQ475" i="30"/>
  <c r="AP475" i="30"/>
  <c r="AO475" i="30"/>
  <c r="AN475" i="30"/>
  <c r="AM475" i="30"/>
  <c r="AK475" i="30"/>
  <c r="X475" i="30"/>
  <c r="W475" i="30"/>
  <c r="V475" i="30"/>
  <c r="U475" i="30"/>
  <c r="T475" i="30"/>
  <c r="S475" i="30"/>
  <c r="R475" i="30"/>
  <c r="Q475" i="30"/>
  <c r="P475" i="30"/>
  <c r="O475" i="30"/>
  <c r="N475" i="30"/>
  <c r="M475" i="30"/>
  <c r="L475" i="30"/>
  <c r="K475" i="30"/>
  <c r="J475" i="30"/>
  <c r="I475" i="30"/>
  <c r="H475" i="30"/>
  <c r="G475" i="30"/>
  <c r="F475" i="30"/>
  <c r="D475" i="30"/>
  <c r="C475" i="30"/>
  <c r="BA474" i="30"/>
  <c r="AV474" i="30"/>
  <c r="AQ474" i="30"/>
  <c r="AP474" i="30"/>
  <c r="AO474" i="30"/>
  <c r="AN474" i="30"/>
  <c r="AM474" i="30"/>
  <c r="AL474" i="30"/>
  <c r="AK474" i="30"/>
  <c r="AJ474" i="30"/>
  <c r="AI474" i="30"/>
  <c r="AH474" i="30"/>
  <c r="AG474" i="30"/>
  <c r="AF474" i="30"/>
  <c r="AE474" i="30"/>
  <c r="AD474" i="30"/>
  <c r="AC474" i="30"/>
  <c r="AB474" i="30"/>
  <c r="AA474" i="30"/>
  <c r="Z474" i="30"/>
  <c r="Y474" i="30"/>
  <c r="X474" i="30"/>
  <c r="W474" i="30"/>
  <c r="V474" i="30"/>
  <c r="U474" i="30"/>
  <c r="T474" i="30"/>
  <c r="S474" i="30"/>
  <c r="R474" i="30"/>
  <c r="Q474" i="30"/>
  <c r="P474" i="30"/>
  <c r="O474" i="30"/>
  <c r="N474" i="30"/>
  <c r="M474" i="30"/>
  <c r="L474" i="30"/>
  <c r="K474" i="30"/>
  <c r="J474" i="30"/>
  <c r="I474" i="30"/>
  <c r="H474" i="30"/>
  <c r="G474" i="30"/>
  <c r="F474" i="30"/>
  <c r="D474" i="30"/>
  <c r="C474" i="30"/>
  <c r="BA473" i="30"/>
  <c r="AV473" i="30"/>
  <c r="AQ473" i="30"/>
  <c r="AP473" i="30"/>
  <c r="AO473" i="30"/>
  <c r="AN473" i="30"/>
  <c r="AM473" i="30"/>
  <c r="AL473" i="30"/>
  <c r="AK473" i="30"/>
  <c r="AJ473" i="30"/>
  <c r="AI473" i="30"/>
  <c r="AH473" i="30"/>
  <c r="AG473" i="30"/>
  <c r="AF473" i="30"/>
  <c r="AE473" i="30"/>
  <c r="AD473" i="30"/>
  <c r="AC473" i="30"/>
  <c r="AB473" i="30"/>
  <c r="AA473" i="30"/>
  <c r="Z473" i="30"/>
  <c r="Y473" i="30"/>
  <c r="X473" i="30"/>
  <c r="W473" i="30"/>
  <c r="V473" i="30"/>
  <c r="U473" i="30"/>
  <c r="T473" i="30"/>
  <c r="S473" i="30"/>
  <c r="R473" i="30"/>
  <c r="Q473" i="30"/>
  <c r="P473" i="30"/>
  <c r="O473" i="30"/>
  <c r="N473" i="30"/>
  <c r="M473" i="30"/>
  <c r="L473" i="30"/>
  <c r="K473" i="30"/>
  <c r="J473" i="30"/>
  <c r="I473" i="30"/>
  <c r="H473" i="30"/>
  <c r="G473" i="30"/>
  <c r="F473" i="30"/>
  <c r="D473" i="30"/>
  <c r="C473" i="30"/>
  <c r="BA472" i="30"/>
  <c r="AV472" i="30"/>
  <c r="AQ472" i="30"/>
  <c r="AP472" i="30"/>
  <c r="AO472" i="30"/>
  <c r="AN472" i="30"/>
  <c r="AM472" i="30"/>
  <c r="AL472" i="30"/>
  <c r="AK472" i="30"/>
  <c r="AJ472" i="30"/>
  <c r="AI472" i="30"/>
  <c r="AH472" i="30"/>
  <c r="AG472" i="30"/>
  <c r="AF472" i="30"/>
  <c r="AE472" i="30"/>
  <c r="AD472" i="30"/>
  <c r="AC472" i="30"/>
  <c r="AB472" i="30"/>
  <c r="AA472" i="30"/>
  <c r="Z472" i="30"/>
  <c r="Y472" i="30"/>
  <c r="X472" i="30"/>
  <c r="W472" i="30"/>
  <c r="V472" i="30"/>
  <c r="U472" i="30"/>
  <c r="T472" i="30"/>
  <c r="S472" i="30"/>
  <c r="R472" i="30"/>
  <c r="Q472" i="30"/>
  <c r="P472" i="30"/>
  <c r="O472" i="30"/>
  <c r="N472" i="30"/>
  <c r="M472" i="30"/>
  <c r="L472" i="30"/>
  <c r="K472" i="30"/>
  <c r="J472" i="30"/>
  <c r="I472" i="30"/>
  <c r="H472" i="30"/>
  <c r="G472" i="30"/>
  <c r="F472" i="30"/>
  <c r="D472" i="30"/>
  <c r="C472" i="30"/>
  <c r="BA471" i="30"/>
  <c r="AV471" i="30"/>
  <c r="AQ471" i="30"/>
  <c r="AP471" i="30"/>
  <c r="AO471" i="30"/>
  <c r="AN471" i="30"/>
  <c r="AM471" i="30"/>
  <c r="AL471" i="30"/>
  <c r="AK471" i="30"/>
  <c r="AJ471" i="30"/>
  <c r="AI471" i="30"/>
  <c r="AH471" i="30"/>
  <c r="AG471" i="30"/>
  <c r="AF471" i="30"/>
  <c r="AE471" i="30"/>
  <c r="AD471" i="30"/>
  <c r="AC471" i="30"/>
  <c r="AB471" i="30"/>
  <c r="AA471" i="30"/>
  <c r="Z471" i="30"/>
  <c r="Y471" i="30"/>
  <c r="X471" i="30"/>
  <c r="W471" i="30"/>
  <c r="V471" i="30"/>
  <c r="U471" i="30"/>
  <c r="T471" i="30"/>
  <c r="S471" i="30"/>
  <c r="R471" i="30"/>
  <c r="Q471" i="30"/>
  <c r="P471" i="30"/>
  <c r="O471" i="30"/>
  <c r="N471" i="30"/>
  <c r="M471" i="30"/>
  <c r="L471" i="30"/>
  <c r="K471" i="30"/>
  <c r="J471" i="30"/>
  <c r="I471" i="30"/>
  <c r="H471" i="30"/>
  <c r="G471" i="30"/>
  <c r="F471" i="30"/>
  <c r="D471" i="30"/>
  <c r="C471" i="30"/>
  <c r="BA470" i="30"/>
  <c r="AV470" i="30"/>
  <c r="AQ470" i="30"/>
  <c r="AP470" i="30"/>
  <c r="AO470" i="30"/>
  <c r="AN470" i="30"/>
  <c r="AM470" i="30"/>
  <c r="AL470" i="30"/>
  <c r="AK470" i="30"/>
  <c r="AJ470" i="30"/>
  <c r="AI470" i="30"/>
  <c r="AH470" i="30"/>
  <c r="AG470" i="30"/>
  <c r="AF470" i="30"/>
  <c r="AE470" i="30"/>
  <c r="AD470" i="30"/>
  <c r="AC470" i="30"/>
  <c r="AB470" i="30"/>
  <c r="AA470" i="30"/>
  <c r="Z470" i="30"/>
  <c r="Y470" i="30"/>
  <c r="X470" i="30"/>
  <c r="W470" i="30"/>
  <c r="V470" i="30"/>
  <c r="U470" i="30"/>
  <c r="T470" i="30"/>
  <c r="S470" i="30"/>
  <c r="R470" i="30"/>
  <c r="Q470" i="30"/>
  <c r="P470" i="30"/>
  <c r="O470" i="30"/>
  <c r="N470" i="30"/>
  <c r="M470" i="30"/>
  <c r="L470" i="30"/>
  <c r="K470" i="30"/>
  <c r="J470" i="30"/>
  <c r="I470" i="30"/>
  <c r="H470" i="30"/>
  <c r="G470" i="30"/>
  <c r="F470" i="30"/>
  <c r="D470" i="30"/>
  <c r="C470" i="30"/>
  <c r="BA469" i="30"/>
  <c r="AV469" i="30"/>
  <c r="AQ469" i="30"/>
  <c r="AP469" i="30"/>
  <c r="AO469" i="30"/>
  <c r="AN469" i="30"/>
  <c r="AM469" i="30"/>
  <c r="AL469" i="30"/>
  <c r="AK469" i="30"/>
  <c r="AJ469" i="30"/>
  <c r="AI469" i="30"/>
  <c r="AH469" i="30"/>
  <c r="AG469" i="30"/>
  <c r="AF469" i="30"/>
  <c r="AE469" i="30"/>
  <c r="AD469" i="30"/>
  <c r="AC469" i="30"/>
  <c r="AB469" i="30"/>
  <c r="AA469" i="30"/>
  <c r="Z469" i="30"/>
  <c r="Y469" i="30"/>
  <c r="X469" i="30"/>
  <c r="W469" i="30"/>
  <c r="V469" i="30"/>
  <c r="U469" i="30"/>
  <c r="T469" i="30"/>
  <c r="S469" i="30"/>
  <c r="R469" i="30"/>
  <c r="Q469" i="30"/>
  <c r="P469" i="30"/>
  <c r="O469" i="30"/>
  <c r="N469" i="30"/>
  <c r="M469" i="30"/>
  <c r="L469" i="30"/>
  <c r="K469" i="30"/>
  <c r="J469" i="30"/>
  <c r="I469" i="30"/>
  <c r="H469" i="30"/>
  <c r="G469" i="30"/>
  <c r="F469" i="30"/>
  <c r="D469" i="30"/>
  <c r="C469" i="30"/>
  <c r="BA468" i="30"/>
  <c r="AV468" i="30"/>
  <c r="AQ468" i="30"/>
  <c r="AP468" i="30"/>
  <c r="AO468" i="30"/>
  <c r="AN468" i="30"/>
  <c r="AM468" i="30"/>
  <c r="AK468" i="30"/>
  <c r="AJ468" i="30"/>
  <c r="AI468" i="30"/>
  <c r="V468" i="30"/>
  <c r="S468" i="30"/>
  <c r="O468" i="30"/>
  <c r="N468" i="30"/>
  <c r="M468" i="30"/>
  <c r="L468" i="30"/>
  <c r="K468" i="30"/>
  <c r="J468" i="30"/>
  <c r="I468" i="30"/>
  <c r="H468" i="30"/>
  <c r="G468" i="30"/>
  <c r="F468" i="30"/>
  <c r="D468" i="30"/>
  <c r="C468" i="30"/>
  <c r="BA467" i="30"/>
  <c r="AV467" i="30"/>
  <c r="AQ467" i="30"/>
  <c r="AP467" i="30"/>
  <c r="AO467" i="30"/>
  <c r="AN467" i="30"/>
  <c r="AM467" i="30"/>
  <c r="AL467" i="30"/>
  <c r="AK467" i="30"/>
  <c r="AJ467" i="30"/>
  <c r="AI467" i="30"/>
  <c r="AH467" i="30"/>
  <c r="AG467" i="30"/>
  <c r="AF467" i="30"/>
  <c r="AE467" i="30"/>
  <c r="AD467" i="30"/>
  <c r="AC467" i="30"/>
  <c r="AB467" i="30"/>
  <c r="AA467" i="30"/>
  <c r="Z467" i="30"/>
  <c r="Y467" i="30"/>
  <c r="X467" i="30"/>
  <c r="W467" i="30"/>
  <c r="V467" i="30"/>
  <c r="U467" i="30"/>
  <c r="T467" i="30"/>
  <c r="S467" i="30"/>
  <c r="R467" i="30"/>
  <c r="Q467" i="30"/>
  <c r="P467" i="30"/>
  <c r="O467" i="30"/>
  <c r="N467" i="30"/>
  <c r="M467" i="30"/>
  <c r="L467" i="30"/>
  <c r="K467" i="30"/>
  <c r="J467" i="30"/>
  <c r="I467" i="30"/>
  <c r="H467" i="30"/>
  <c r="G467" i="30"/>
  <c r="F467" i="30"/>
  <c r="C467" i="30"/>
  <c r="BA466" i="30"/>
  <c r="AV466" i="30"/>
  <c r="AQ466" i="30"/>
  <c r="AP466" i="30"/>
  <c r="AO466" i="30"/>
  <c r="AN466" i="30"/>
  <c r="AM466" i="30"/>
  <c r="AL466" i="30"/>
  <c r="AK466" i="30"/>
  <c r="AJ466" i="30"/>
  <c r="AI466" i="30"/>
  <c r="AH466" i="30"/>
  <c r="AG466" i="30"/>
  <c r="AF466" i="30"/>
  <c r="AE466" i="30"/>
  <c r="AD466" i="30"/>
  <c r="AC466" i="30"/>
  <c r="AB466" i="30"/>
  <c r="AA466" i="30"/>
  <c r="Z466" i="30"/>
  <c r="Y466" i="30"/>
  <c r="X466" i="30"/>
  <c r="W466" i="30"/>
  <c r="V466" i="30"/>
  <c r="U466" i="30"/>
  <c r="T466" i="30"/>
  <c r="S466" i="30"/>
  <c r="R466" i="30"/>
  <c r="Q466" i="30"/>
  <c r="P466" i="30"/>
  <c r="O466" i="30"/>
  <c r="N466" i="30"/>
  <c r="M466" i="30"/>
  <c r="L466" i="30"/>
  <c r="K466" i="30"/>
  <c r="J466" i="30"/>
  <c r="I466" i="30"/>
  <c r="H466" i="30"/>
  <c r="G466" i="30"/>
  <c r="F466" i="30"/>
  <c r="C466" i="30"/>
  <c r="BA465" i="30"/>
  <c r="AV465" i="30"/>
  <c r="AQ465" i="30"/>
  <c r="AP465" i="30"/>
  <c r="AO465" i="30"/>
  <c r="AN465" i="30"/>
  <c r="AM465" i="30"/>
  <c r="AL465" i="30"/>
  <c r="AK465" i="30"/>
  <c r="AJ465" i="30"/>
  <c r="AI465" i="30"/>
  <c r="AH465" i="30"/>
  <c r="AG465" i="30"/>
  <c r="AF465" i="30"/>
  <c r="AE465" i="30"/>
  <c r="AD465" i="30"/>
  <c r="AC465" i="30"/>
  <c r="AB465" i="30"/>
  <c r="AA465" i="30"/>
  <c r="Z465" i="30"/>
  <c r="Y465" i="30"/>
  <c r="X465" i="30"/>
  <c r="W465" i="30"/>
  <c r="V465" i="30"/>
  <c r="U465" i="30"/>
  <c r="T465" i="30"/>
  <c r="S465" i="30"/>
  <c r="R465" i="30"/>
  <c r="Q465" i="30"/>
  <c r="P465" i="30"/>
  <c r="O465" i="30"/>
  <c r="N465" i="30"/>
  <c r="M465" i="30"/>
  <c r="L465" i="30"/>
  <c r="K465" i="30"/>
  <c r="J465" i="30"/>
  <c r="I465" i="30"/>
  <c r="H465" i="30"/>
  <c r="G465" i="30"/>
  <c r="F465" i="30"/>
  <c r="C465" i="30"/>
  <c r="BA464" i="30"/>
  <c r="AV464" i="30"/>
  <c r="AQ464" i="30"/>
  <c r="AP464" i="30"/>
  <c r="AO464" i="30"/>
  <c r="AN464" i="30"/>
  <c r="AM464" i="30"/>
  <c r="AL464" i="30"/>
  <c r="AK464" i="30"/>
  <c r="AJ464" i="30"/>
  <c r="AI464" i="30"/>
  <c r="AH464" i="30"/>
  <c r="AG464" i="30"/>
  <c r="AF464" i="30"/>
  <c r="AE464" i="30"/>
  <c r="AD464" i="30"/>
  <c r="AC464" i="30"/>
  <c r="AB464" i="30"/>
  <c r="AA464" i="30"/>
  <c r="Z464" i="30"/>
  <c r="Y464" i="30"/>
  <c r="X464" i="30"/>
  <c r="W464" i="30"/>
  <c r="V464" i="30"/>
  <c r="U464" i="30"/>
  <c r="T464" i="30"/>
  <c r="S464" i="30"/>
  <c r="R464" i="30"/>
  <c r="Q464" i="30"/>
  <c r="P464" i="30"/>
  <c r="O464" i="30"/>
  <c r="N464" i="30"/>
  <c r="M464" i="30"/>
  <c r="L464" i="30"/>
  <c r="K464" i="30"/>
  <c r="J464" i="30"/>
  <c r="I464" i="30"/>
  <c r="H464" i="30"/>
  <c r="G464" i="30"/>
  <c r="F464" i="30"/>
  <c r="C464" i="30"/>
  <c r="BA463" i="30"/>
  <c r="AV463" i="30"/>
  <c r="AQ463" i="30"/>
  <c r="AP463" i="30"/>
  <c r="AO463" i="30"/>
  <c r="AN463" i="30"/>
  <c r="AM463" i="30"/>
  <c r="AL463" i="30"/>
  <c r="AK463" i="30"/>
  <c r="AJ463" i="30"/>
  <c r="AI463" i="30"/>
  <c r="AH463" i="30"/>
  <c r="AG463" i="30"/>
  <c r="AF463" i="30"/>
  <c r="AE463" i="30"/>
  <c r="AD463" i="30"/>
  <c r="AC463" i="30"/>
  <c r="AB463" i="30"/>
  <c r="AA463" i="30"/>
  <c r="Z463" i="30"/>
  <c r="Y463" i="30"/>
  <c r="X463" i="30"/>
  <c r="W463" i="30"/>
  <c r="V463" i="30"/>
  <c r="U463" i="30"/>
  <c r="T463" i="30"/>
  <c r="S463" i="30"/>
  <c r="R463" i="30"/>
  <c r="Q463" i="30"/>
  <c r="P463" i="30"/>
  <c r="O463" i="30"/>
  <c r="N463" i="30"/>
  <c r="M463" i="30"/>
  <c r="L463" i="30"/>
  <c r="K463" i="30"/>
  <c r="J463" i="30"/>
  <c r="I463" i="30"/>
  <c r="H463" i="30"/>
  <c r="G463" i="30"/>
  <c r="F463" i="30"/>
  <c r="C463" i="30"/>
  <c r="BA462" i="30"/>
  <c r="AV462" i="30"/>
  <c r="AQ462" i="30"/>
  <c r="AP462" i="30"/>
  <c r="AO462" i="30"/>
  <c r="AN462" i="30"/>
  <c r="AM462" i="30"/>
  <c r="AL462" i="30"/>
  <c r="AK462" i="30"/>
  <c r="AJ462" i="30"/>
  <c r="AI462" i="30"/>
  <c r="AH462" i="30"/>
  <c r="AG462" i="30"/>
  <c r="AF462" i="30"/>
  <c r="AE462" i="30"/>
  <c r="AD462" i="30"/>
  <c r="AC462" i="30"/>
  <c r="AB462" i="30"/>
  <c r="AA462" i="30"/>
  <c r="Z462" i="30"/>
  <c r="Y462" i="30"/>
  <c r="X462" i="30"/>
  <c r="W462" i="30"/>
  <c r="V462" i="30"/>
  <c r="U462" i="30"/>
  <c r="T462" i="30"/>
  <c r="S462" i="30"/>
  <c r="R462" i="30"/>
  <c r="Q462" i="30"/>
  <c r="P462" i="30"/>
  <c r="O462" i="30"/>
  <c r="N462" i="30"/>
  <c r="M462" i="30"/>
  <c r="L462" i="30"/>
  <c r="K462" i="30"/>
  <c r="J462" i="30"/>
  <c r="I462" i="30"/>
  <c r="H462" i="30"/>
  <c r="G462" i="30"/>
  <c r="F462" i="30"/>
  <c r="C462" i="30"/>
  <c r="BA461" i="30"/>
  <c r="AV461" i="30"/>
  <c r="AQ461" i="30"/>
  <c r="AP461" i="30"/>
  <c r="AO461" i="30"/>
  <c r="AN461" i="30"/>
  <c r="AM461" i="30"/>
  <c r="AL461" i="30"/>
  <c r="AK461" i="30"/>
  <c r="AJ461" i="30"/>
  <c r="AI461" i="30"/>
  <c r="AH461" i="30"/>
  <c r="AG461" i="30"/>
  <c r="AF461" i="30"/>
  <c r="AE461" i="30"/>
  <c r="AD461" i="30"/>
  <c r="AC461" i="30"/>
  <c r="AB461" i="30"/>
  <c r="AA461" i="30"/>
  <c r="Z461" i="30"/>
  <c r="Y461" i="30"/>
  <c r="X461" i="30"/>
  <c r="W461" i="30"/>
  <c r="V461" i="30"/>
  <c r="U461" i="30"/>
  <c r="T461" i="30"/>
  <c r="S461" i="30"/>
  <c r="R461" i="30"/>
  <c r="Q461" i="30"/>
  <c r="P461" i="30"/>
  <c r="O461" i="30"/>
  <c r="N461" i="30"/>
  <c r="M461" i="30"/>
  <c r="L461" i="30"/>
  <c r="K461" i="30"/>
  <c r="J461" i="30"/>
  <c r="I461" i="30"/>
  <c r="H461" i="30"/>
  <c r="G461" i="30"/>
  <c r="F461" i="30"/>
  <c r="D461" i="30"/>
  <c r="C461" i="30"/>
  <c r="BA460" i="30"/>
  <c r="AV460" i="30"/>
  <c r="AQ460" i="30"/>
  <c r="AP460" i="30"/>
  <c r="AO460" i="30"/>
  <c r="AN460" i="30"/>
  <c r="AM460" i="30"/>
  <c r="AL460" i="30"/>
  <c r="AK460" i="30"/>
  <c r="AJ460" i="30"/>
  <c r="AI460" i="30"/>
  <c r="AH460" i="30"/>
  <c r="AG460" i="30"/>
  <c r="AF460" i="30"/>
  <c r="AE460" i="30"/>
  <c r="AD460" i="30"/>
  <c r="AC460" i="30"/>
  <c r="AB460" i="30"/>
  <c r="AA460" i="30"/>
  <c r="Z460" i="30"/>
  <c r="Y460" i="30"/>
  <c r="X460" i="30"/>
  <c r="W460" i="30"/>
  <c r="V460" i="30"/>
  <c r="U460" i="30"/>
  <c r="T460" i="30"/>
  <c r="S460" i="30"/>
  <c r="R460" i="30"/>
  <c r="Q460" i="30"/>
  <c r="P460" i="30"/>
  <c r="O460" i="30"/>
  <c r="N460" i="30"/>
  <c r="M460" i="30"/>
  <c r="L460" i="30"/>
  <c r="K460" i="30"/>
  <c r="J460" i="30"/>
  <c r="I460" i="30"/>
  <c r="H460" i="30"/>
  <c r="G460" i="30"/>
  <c r="F460" i="30"/>
  <c r="C460" i="30"/>
  <c r="BA459" i="30"/>
  <c r="AV459" i="30"/>
  <c r="AQ459" i="30"/>
  <c r="AP459" i="30"/>
  <c r="AO459" i="30"/>
  <c r="AN459" i="30"/>
  <c r="AM459" i="30"/>
  <c r="AL459" i="30"/>
  <c r="AK459" i="30"/>
  <c r="AJ459" i="30"/>
  <c r="AI459" i="30"/>
  <c r="AH459" i="30"/>
  <c r="AG459" i="30"/>
  <c r="AF459" i="30"/>
  <c r="AE459" i="30"/>
  <c r="AD459" i="30"/>
  <c r="AC459" i="30"/>
  <c r="AB459" i="30"/>
  <c r="AA459" i="30"/>
  <c r="Z459" i="30"/>
  <c r="Y459" i="30"/>
  <c r="X459" i="30"/>
  <c r="W459" i="30"/>
  <c r="V459" i="30"/>
  <c r="U459" i="30"/>
  <c r="T459" i="30"/>
  <c r="S459" i="30"/>
  <c r="R459" i="30"/>
  <c r="Q459" i="30"/>
  <c r="P459" i="30"/>
  <c r="O459" i="30"/>
  <c r="N459" i="30"/>
  <c r="M459" i="30"/>
  <c r="L459" i="30"/>
  <c r="K459" i="30"/>
  <c r="J459" i="30"/>
  <c r="I459" i="30"/>
  <c r="H459" i="30"/>
  <c r="G459" i="30"/>
  <c r="F459" i="30"/>
  <c r="C459" i="30"/>
  <c r="BA458" i="30"/>
  <c r="AV458" i="30"/>
  <c r="AQ458" i="30"/>
  <c r="AP458" i="30"/>
  <c r="AO458" i="30"/>
  <c r="AN458" i="30"/>
  <c r="AM458" i="30"/>
  <c r="AL458" i="30"/>
  <c r="AK458" i="30"/>
  <c r="AJ458" i="30"/>
  <c r="AI458" i="30"/>
  <c r="AH458" i="30"/>
  <c r="AG458" i="30"/>
  <c r="AF458" i="30"/>
  <c r="AE458" i="30"/>
  <c r="AD458" i="30"/>
  <c r="AC458" i="30"/>
  <c r="AB458" i="30"/>
  <c r="AA458" i="30"/>
  <c r="Z458" i="30"/>
  <c r="Y458" i="30"/>
  <c r="X458" i="30"/>
  <c r="W458" i="30"/>
  <c r="V458" i="30"/>
  <c r="U458" i="30"/>
  <c r="T458" i="30"/>
  <c r="S458" i="30"/>
  <c r="R458" i="30"/>
  <c r="Q458" i="30"/>
  <c r="P458" i="30"/>
  <c r="O458" i="30"/>
  <c r="N458" i="30"/>
  <c r="M458" i="30"/>
  <c r="L458" i="30"/>
  <c r="K458" i="30"/>
  <c r="J458" i="30"/>
  <c r="I458" i="30"/>
  <c r="H458" i="30"/>
  <c r="G458" i="30"/>
  <c r="F458" i="30"/>
  <c r="C458" i="30"/>
  <c r="BA457" i="30"/>
  <c r="AV457" i="30"/>
  <c r="AQ457" i="30"/>
  <c r="AP457" i="30"/>
  <c r="AO457" i="30"/>
  <c r="AN457" i="30"/>
  <c r="AM457" i="30"/>
  <c r="AL457" i="30"/>
  <c r="AK457" i="30"/>
  <c r="AJ457" i="30"/>
  <c r="AI457" i="30"/>
  <c r="AH457" i="30"/>
  <c r="AG457" i="30"/>
  <c r="AF457" i="30"/>
  <c r="AE457" i="30"/>
  <c r="AD457" i="30"/>
  <c r="AC457" i="30"/>
  <c r="AB457" i="30"/>
  <c r="AA457" i="30"/>
  <c r="Z457" i="30"/>
  <c r="Y457" i="30"/>
  <c r="X457" i="30"/>
  <c r="W457" i="30"/>
  <c r="V457" i="30"/>
  <c r="U457" i="30"/>
  <c r="T457" i="30"/>
  <c r="S457" i="30"/>
  <c r="R457" i="30"/>
  <c r="Q457" i="30"/>
  <c r="P457" i="30"/>
  <c r="O457" i="30"/>
  <c r="N457" i="30"/>
  <c r="M457" i="30"/>
  <c r="L457" i="30"/>
  <c r="K457" i="30"/>
  <c r="J457" i="30"/>
  <c r="I457" i="30"/>
  <c r="H457" i="30"/>
  <c r="G457" i="30"/>
  <c r="F457" i="30"/>
  <c r="C457" i="30"/>
  <c r="BA456" i="30"/>
  <c r="AV456" i="30"/>
  <c r="AQ456" i="30"/>
  <c r="AP456" i="30"/>
  <c r="AO456" i="30"/>
  <c r="AN456" i="30"/>
  <c r="AM456" i="30"/>
  <c r="AL456" i="30"/>
  <c r="AK456" i="30"/>
  <c r="AJ456" i="30"/>
  <c r="AI456" i="30"/>
  <c r="AH456" i="30"/>
  <c r="AG456" i="30"/>
  <c r="AF456" i="30"/>
  <c r="AE456" i="30"/>
  <c r="AD456" i="30"/>
  <c r="AC456" i="30"/>
  <c r="AB456" i="30"/>
  <c r="AA456" i="30"/>
  <c r="Z456" i="30"/>
  <c r="Y456" i="30"/>
  <c r="X456" i="30"/>
  <c r="W456" i="30"/>
  <c r="V456" i="30"/>
  <c r="U456" i="30"/>
  <c r="T456" i="30"/>
  <c r="S456" i="30"/>
  <c r="R456" i="30"/>
  <c r="Q456" i="30"/>
  <c r="P456" i="30"/>
  <c r="O456" i="30"/>
  <c r="N456" i="30"/>
  <c r="M456" i="30"/>
  <c r="L456" i="30"/>
  <c r="K456" i="30"/>
  <c r="J456" i="30"/>
  <c r="I456" i="30"/>
  <c r="H456" i="30"/>
  <c r="G456" i="30"/>
  <c r="F456" i="30"/>
  <c r="C456" i="30"/>
  <c r="BA455" i="30"/>
  <c r="AV455" i="30"/>
  <c r="AQ455" i="30"/>
  <c r="AP455" i="30"/>
  <c r="AO455" i="30"/>
  <c r="AN455" i="30"/>
  <c r="AM455" i="30"/>
  <c r="AL455" i="30"/>
  <c r="AK455" i="30"/>
  <c r="AJ455" i="30"/>
  <c r="AI455" i="30"/>
  <c r="AH455" i="30"/>
  <c r="AG455" i="30"/>
  <c r="AF455" i="30"/>
  <c r="AE455" i="30"/>
  <c r="AD455" i="30"/>
  <c r="AC455" i="30"/>
  <c r="AB455" i="30"/>
  <c r="AA455" i="30"/>
  <c r="Z455" i="30"/>
  <c r="Y455" i="30"/>
  <c r="X455" i="30"/>
  <c r="W455" i="30"/>
  <c r="V455" i="30"/>
  <c r="U455" i="30"/>
  <c r="T455" i="30"/>
  <c r="S455" i="30"/>
  <c r="R455" i="30"/>
  <c r="Q455" i="30"/>
  <c r="P455" i="30"/>
  <c r="O455" i="30"/>
  <c r="N455" i="30"/>
  <c r="M455" i="30"/>
  <c r="L455" i="30"/>
  <c r="K455" i="30"/>
  <c r="J455" i="30"/>
  <c r="I455" i="30"/>
  <c r="H455" i="30"/>
  <c r="G455" i="30"/>
  <c r="F455" i="30"/>
  <c r="C455" i="30"/>
  <c r="BA454" i="30"/>
  <c r="AV454" i="30"/>
  <c r="AQ454" i="30"/>
  <c r="AP454" i="30"/>
  <c r="AO454" i="30"/>
  <c r="AN454" i="30"/>
  <c r="AM454" i="30"/>
  <c r="AL454" i="30"/>
  <c r="AK454" i="30"/>
  <c r="AJ454" i="30"/>
  <c r="AI454" i="30"/>
  <c r="AH454" i="30"/>
  <c r="AG454" i="30"/>
  <c r="AF454" i="30"/>
  <c r="AE454" i="30"/>
  <c r="AD454" i="30"/>
  <c r="AC454" i="30"/>
  <c r="AB454" i="30"/>
  <c r="AA454" i="30"/>
  <c r="Z454" i="30"/>
  <c r="Y454" i="30"/>
  <c r="X454" i="30"/>
  <c r="W454" i="30"/>
  <c r="V454" i="30"/>
  <c r="U454" i="30"/>
  <c r="T454" i="30"/>
  <c r="S454" i="30"/>
  <c r="R454" i="30"/>
  <c r="Q454" i="30"/>
  <c r="P454" i="30"/>
  <c r="O454" i="30"/>
  <c r="N454" i="30"/>
  <c r="M454" i="30"/>
  <c r="L454" i="30"/>
  <c r="K454" i="30"/>
  <c r="J454" i="30"/>
  <c r="I454" i="30"/>
  <c r="H454" i="30"/>
  <c r="G454" i="30"/>
  <c r="F454" i="30"/>
  <c r="C454" i="30"/>
  <c r="BA453" i="30"/>
  <c r="AV453" i="30"/>
  <c r="AQ453" i="30"/>
  <c r="AP453" i="30"/>
  <c r="AO453" i="30"/>
  <c r="AN453" i="30"/>
  <c r="AM453" i="30"/>
  <c r="AL453" i="30"/>
  <c r="AK453" i="30"/>
  <c r="AJ453" i="30"/>
  <c r="AI453" i="30"/>
  <c r="AH453" i="30"/>
  <c r="AG453" i="30"/>
  <c r="AF453" i="30"/>
  <c r="AE453" i="30"/>
  <c r="AD453" i="30"/>
  <c r="AC453" i="30"/>
  <c r="AB453" i="30"/>
  <c r="AA453" i="30"/>
  <c r="Z453" i="30"/>
  <c r="Y453" i="30"/>
  <c r="X453" i="30"/>
  <c r="W453" i="30"/>
  <c r="V453" i="30"/>
  <c r="U453" i="30"/>
  <c r="T453" i="30"/>
  <c r="S453" i="30"/>
  <c r="R453" i="30"/>
  <c r="Q453" i="30"/>
  <c r="P453" i="30"/>
  <c r="O453" i="30"/>
  <c r="N453" i="30"/>
  <c r="M453" i="30"/>
  <c r="L453" i="30"/>
  <c r="K453" i="30"/>
  <c r="J453" i="30"/>
  <c r="I453" i="30"/>
  <c r="H453" i="30"/>
  <c r="G453" i="30"/>
  <c r="F453" i="30"/>
  <c r="C453" i="30"/>
  <c r="BA452" i="30"/>
  <c r="AV452" i="30"/>
  <c r="AQ452" i="30"/>
  <c r="AP452" i="30"/>
  <c r="AO452" i="30"/>
  <c r="AN452" i="30"/>
  <c r="AM452" i="30"/>
  <c r="AL452" i="30"/>
  <c r="AK452" i="30"/>
  <c r="AJ452" i="30"/>
  <c r="AI452" i="30"/>
  <c r="AH452" i="30"/>
  <c r="AG452" i="30"/>
  <c r="AF452" i="30"/>
  <c r="AE452" i="30"/>
  <c r="AD452" i="30"/>
  <c r="AC452" i="30"/>
  <c r="AB452" i="30"/>
  <c r="AA452" i="30"/>
  <c r="Z452" i="30"/>
  <c r="Y452" i="30"/>
  <c r="X452" i="30"/>
  <c r="W452" i="30"/>
  <c r="V452" i="30"/>
  <c r="U452" i="30"/>
  <c r="T452" i="30"/>
  <c r="S452" i="30"/>
  <c r="R452" i="30"/>
  <c r="Q452" i="30"/>
  <c r="P452" i="30"/>
  <c r="O452" i="30"/>
  <c r="N452" i="30"/>
  <c r="M452" i="30"/>
  <c r="L452" i="30"/>
  <c r="K452" i="30"/>
  <c r="J452" i="30"/>
  <c r="I452" i="30"/>
  <c r="H452" i="30"/>
  <c r="G452" i="30"/>
  <c r="F452" i="30"/>
  <c r="C452" i="30"/>
  <c r="BA451" i="30"/>
  <c r="AV451" i="30"/>
  <c r="AQ451" i="30"/>
  <c r="AP451" i="30"/>
  <c r="AO451" i="30"/>
  <c r="AN451" i="30"/>
  <c r="AM451" i="30"/>
  <c r="AL451" i="30"/>
  <c r="AK451" i="30"/>
  <c r="AJ451" i="30"/>
  <c r="AI451" i="30"/>
  <c r="AH451" i="30"/>
  <c r="AG451" i="30"/>
  <c r="AF451" i="30"/>
  <c r="AE451" i="30"/>
  <c r="AD451" i="30"/>
  <c r="AC451" i="30"/>
  <c r="AB451" i="30"/>
  <c r="AA451" i="30"/>
  <c r="Z451" i="30"/>
  <c r="Y451" i="30"/>
  <c r="X451" i="30"/>
  <c r="W451" i="30"/>
  <c r="V451" i="30"/>
  <c r="U451" i="30"/>
  <c r="T451" i="30"/>
  <c r="S451" i="30"/>
  <c r="R451" i="30"/>
  <c r="Q451" i="30"/>
  <c r="P451" i="30"/>
  <c r="O451" i="30"/>
  <c r="N451" i="30"/>
  <c r="M451" i="30"/>
  <c r="L451" i="30"/>
  <c r="K451" i="30"/>
  <c r="J451" i="30"/>
  <c r="I451" i="30"/>
  <c r="H451" i="30"/>
  <c r="G451" i="30"/>
  <c r="F451" i="30"/>
  <c r="C451" i="30"/>
  <c r="BA450" i="30"/>
  <c r="AV450" i="30"/>
  <c r="AQ450" i="30"/>
  <c r="AP450" i="30"/>
  <c r="AO450" i="30"/>
  <c r="AN450" i="30"/>
  <c r="AM450" i="30"/>
  <c r="AL450" i="30"/>
  <c r="AK450" i="30"/>
  <c r="AJ450" i="30"/>
  <c r="AI450" i="30"/>
  <c r="AH450" i="30"/>
  <c r="AG450" i="30"/>
  <c r="AF450" i="30"/>
  <c r="AE450" i="30"/>
  <c r="AD450" i="30"/>
  <c r="AC450" i="30"/>
  <c r="AB450" i="30"/>
  <c r="AA450" i="30"/>
  <c r="Z450" i="30"/>
  <c r="Y450" i="30"/>
  <c r="X450" i="30"/>
  <c r="W450" i="30"/>
  <c r="V450" i="30"/>
  <c r="U450" i="30"/>
  <c r="T450" i="30"/>
  <c r="S450" i="30"/>
  <c r="R450" i="30"/>
  <c r="Q450" i="30"/>
  <c r="P450" i="30"/>
  <c r="O450" i="30"/>
  <c r="N450" i="30"/>
  <c r="M450" i="30"/>
  <c r="L450" i="30"/>
  <c r="K450" i="30"/>
  <c r="J450" i="30"/>
  <c r="I450" i="30"/>
  <c r="H450" i="30"/>
  <c r="G450" i="30"/>
  <c r="F450" i="30"/>
  <c r="C450" i="30"/>
  <c r="BA449" i="30"/>
  <c r="AV449" i="30"/>
  <c r="AQ449" i="30"/>
  <c r="AP449" i="30"/>
  <c r="AO449" i="30"/>
  <c r="AN449" i="30"/>
  <c r="AM449" i="30"/>
  <c r="AL449" i="30"/>
  <c r="AK449" i="30"/>
  <c r="AJ449" i="30"/>
  <c r="AI449" i="30"/>
  <c r="AH449" i="30"/>
  <c r="AG449" i="30"/>
  <c r="AF449" i="30"/>
  <c r="AE449" i="30"/>
  <c r="AD449" i="30"/>
  <c r="AC449" i="30"/>
  <c r="AB449" i="30"/>
  <c r="AA449" i="30"/>
  <c r="Z449" i="30"/>
  <c r="Y449" i="30"/>
  <c r="X449" i="30"/>
  <c r="W449" i="30"/>
  <c r="V449" i="30"/>
  <c r="U449" i="30"/>
  <c r="T449" i="30"/>
  <c r="S449" i="30"/>
  <c r="R449" i="30"/>
  <c r="Q449" i="30"/>
  <c r="P449" i="30"/>
  <c r="O449" i="30"/>
  <c r="N449" i="30"/>
  <c r="M449" i="30"/>
  <c r="L449" i="30"/>
  <c r="K449" i="30"/>
  <c r="J449" i="30"/>
  <c r="I449" i="30"/>
  <c r="H449" i="30"/>
  <c r="G449" i="30"/>
  <c r="F449" i="30"/>
  <c r="C449" i="30"/>
  <c r="BA448" i="30"/>
  <c r="AV448" i="30"/>
  <c r="AQ448" i="30"/>
  <c r="AP448" i="30"/>
  <c r="AO448" i="30"/>
  <c r="AN448" i="30"/>
  <c r="AM448" i="30"/>
  <c r="AL448" i="30"/>
  <c r="AK448" i="30"/>
  <c r="AJ448" i="30"/>
  <c r="AI448" i="30"/>
  <c r="AH448" i="30"/>
  <c r="AG448" i="30"/>
  <c r="AF448" i="30"/>
  <c r="AE448" i="30"/>
  <c r="AD448" i="30"/>
  <c r="AC448" i="30"/>
  <c r="AB448" i="30"/>
  <c r="AA448" i="30"/>
  <c r="Z448" i="30"/>
  <c r="Y448" i="30"/>
  <c r="X448" i="30"/>
  <c r="W448" i="30"/>
  <c r="V448" i="30"/>
  <c r="U448" i="30"/>
  <c r="T448" i="30"/>
  <c r="S448" i="30"/>
  <c r="R448" i="30"/>
  <c r="Q448" i="30"/>
  <c r="P448" i="30"/>
  <c r="O448" i="30"/>
  <c r="N448" i="30"/>
  <c r="M448" i="30"/>
  <c r="L448" i="30"/>
  <c r="K448" i="30"/>
  <c r="J448" i="30"/>
  <c r="I448" i="30"/>
  <c r="H448" i="30"/>
  <c r="G448" i="30"/>
  <c r="F448" i="30"/>
  <c r="C448" i="30"/>
  <c r="BA447" i="30"/>
  <c r="AV447" i="30"/>
  <c r="AQ447" i="30"/>
  <c r="AP447" i="30"/>
  <c r="AO447" i="30"/>
  <c r="AN447" i="30"/>
  <c r="AM447" i="30"/>
  <c r="AL447" i="30"/>
  <c r="AK447" i="30"/>
  <c r="AJ447" i="30"/>
  <c r="AI447" i="30"/>
  <c r="AH447" i="30"/>
  <c r="AG447" i="30"/>
  <c r="AF447" i="30"/>
  <c r="AE447" i="30"/>
  <c r="AD447" i="30"/>
  <c r="AC447" i="30"/>
  <c r="AB447" i="30"/>
  <c r="AA447" i="30"/>
  <c r="Z447" i="30"/>
  <c r="Y447" i="30"/>
  <c r="X447" i="30"/>
  <c r="W447" i="30"/>
  <c r="V447" i="30"/>
  <c r="U447" i="30"/>
  <c r="T447" i="30"/>
  <c r="S447" i="30"/>
  <c r="R447" i="30"/>
  <c r="Q447" i="30"/>
  <c r="P447" i="30"/>
  <c r="O447" i="30"/>
  <c r="N447" i="30"/>
  <c r="M447" i="30"/>
  <c r="L447" i="30"/>
  <c r="K447" i="30"/>
  <c r="J447" i="30"/>
  <c r="I447" i="30"/>
  <c r="H447" i="30"/>
  <c r="G447" i="30"/>
  <c r="F447" i="30"/>
  <c r="C447" i="30"/>
  <c r="BA446" i="30"/>
  <c r="AV446" i="30"/>
  <c r="AQ446" i="30"/>
  <c r="AP446" i="30"/>
  <c r="AO446" i="30"/>
  <c r="AN446" i="30"/>
  <c r="AM446" i="30"/>
  <c r="AL446" i="30"/>
  <c r="AK446" i="30"/>
  <c r="AJ446" i="30"/>
  <c r="AI446" i="30"/>
  <c r="AH446" i="30"/>
  <c r="AG446" i="30"/>
  <c r="AF446" i="30"/>
  <c r="AE446" i="30"/>
  <c r="AD446" i="30"/>
  <c r="AA446" i="30"/>
  <c r="Z446" i="30"/>
  <c r="Y446" i="30"/>
  <c r="X446" i="30"/>
  <c r="W446" i="30"/>
  <c r="V446" i="30"/>
  <c r="U446" i="30"/>
  <c r="T446" i="30"/>
  <c r="S446" i="30"/>
  <c r="R446" i="30"/>
  <c r="Q446" i="30"/>
  <c r="P446" i="30"/>
  <c r="O446" i="30"/>
  <c r="N446" i="30"/>
  <c r="M446" i="30"/>
  <c r="L446" i="30"/>
  <c r="K446" i="30"/>
  <c r="J446" i="30"/>
  <c r="I446" i="30"/>
  <c r="H446" i="30"/>
  <c r="G446" i="30"/>
  <c r="F446" i="30"/>
  <c r="C446" i="30"/>
  <c r="BA445" i="30"/>
  <c r="AV445" i="30"/>
  <c r="AQ445" i="30"/>
  <c r="AP445" i="30"/>
  <c r="AO445" i="30"/>
  <c r="AN445" i="30"/>
  <c r="AM445" i="30"/>
  <c r="AL445" i="30"/>
  <c r="AK445" i="30"/>
  <c r="AJ445" i="30"/>
  <c r="AI445" i="30"/>
  <c r="AH445" i="30"/>
  <c r="AG445" i="30"/>
  <c r="AF445" i="30"/>
  <c r="AE445" i="30"/>
  <c r="AD445" i="30"/>
  <c r="AC445" i="30"/>
  <c r="AB445" i="30"/>
  <c r="AA445" i="30"/>
  <c r="Z445" i="30"/>
  <c r="Y445" i="30"/>
  <c r="X445" i="30"/>
  <c r="W445" i="30"/>
  <c r="V445" i="30"/>
  <c r="U445" i="30"/>
  <c r="T445" i="30"/>
  <c r="S445" i="30"/>
  <c r="R445" i="30"/>
  <c r="Q445" i="30"/>
  <c r="P445" i="30"/>
  <c r="O445" i="30"/>
  <c r="N445" i="30"/>
  <c r="M445" i="30"/>
  <c r="L445" i="30"/>
  <c r="K445" i="30"/>
  <c r="J445" i="30"/>
  <c r="I445" i="30"/>
  <c r="H445" i="30"/>
  <c r="G445" i="30"/>
  <c r="F445" i="30"/>
  <c r="D445" i="30"/>
  <c r="C445" i="30"/>
  <c r="BA444" i="30"/>
  <c r="AV444" i="30"/>
  <c r="AQ444" i="30"/>
  <c r="AP444" i="30"/>
  <c r="AO444" i="30"/>
  <c r="AN444" i="30"/>
  <c r="AM444" i="30"/>
  <c r="AL444" i="30"/>
  <c r="AK444" i="30"/>
  <c r="AJ444" i="30"/>
  <c r="AI444" i="30"/>
  <c r="AH444" i="30"/>
  <c r="AG444" i="30"/>
  <c r="AF444" i="30"/>
  <c r="AE444" i="30"/>
  <c r="AD444" i="30"/>
  <c r="AC444" i="30"/>
  <c r="AB444" i="30"/>
  <c r="AA444" i="30"/>
  <c r="Z444" i="30"/>
  <c r="Y444" i="30"/>
  <c r="X444" i="30"/>
  <c r="W444" i="30"/>
  <c r="V444" i="30"/>
  <c r="U444" i="30"/>
  <c r="T444" i="30"/>
  <c r="S444" i="30"/>
  <c r="R444" i="30"/>
  <c r="Q444" i="30"/>
  <c r="P444" i="30"/>
  <c r="O444" i="30"/>
  <c r="N444" i="30"/>
  <c r="M444" i="30"/>
  <c r="L444" i="30"/>
  <c r="K444" i="30"/>
  <c r="J444" i="30"/>
  <c r="I444" i="30"/>
  <c r="H444" i="30"/>
  <c r="G444" i="30"/>
  <c r="F444" i="30"/>
  <c r="D444" i="30"/>
  <c r="C444" i="30"/>
  <c r="BA443" i="30"/>
  <c r="AV443" i="30"/>
  <c r="AQ443" i="30"/>
  <c r="AP443" i="30"/>
  <c r="AO443" i="30"/>
  <c r="AN443" i="30"/>
  <c r="AM443" i="30"/>
  <c r="AL443" i="30"/>
  <c r="AK443" i="30"/>
  <c r="AJ443" i="30"/>
  <c r="AI443" i="30"/>
  <c r="AH443" i="30"/>
  <c r="AG443" i="30"/>
  <c r="AF443" i="30"/>
  <c r="AE443" i="30"/>
  <c r="AD443" i="30"/>
  <c r="AC443" i="30"/>
  <c r="AB443" i="30"/>
  <c r="AA443" i="30"/>
  <c r="Z443" i="30"/>
  <c r="Y443" i="30"/>
  <c r="X443" i="30"/>
  <c r="W443" i="30"/>
  <c r="V443" i="30"/>
  <c r="U443" i="30"/>
  <c r="T443" i="30"/>
  <c r="S443" i="30"/>
  <c r="R443" i="30"/>
  <c r="Q443" i="30"/>
  <c r="P443" i="30"/>
  <c r="O443" i="30"/>
  <c r="N443" i="30"/>
  <c r="M443" i="30"/>
  <c r="L443" i="30"/>
  <c r="K443" i="30"/>
  <c r="J443" i="30"/>
  <c r="I443" i="30"/>
  <c r="H443" i="30"/>
  <c r="G443" i="30"/>
  <c r="F443" i="30"/>
  <c r="D443" i="30"/>
  <c r="C443" i="30"/>
  <c r="BA442" i="30"/>
  <c r="AV442" i="30"/>
  <c r="AQ442" i="30"/>
  <c r="AP442" i="30"/>
  <c r="AO442" i="30"/>
  <c r="AN442" i="30"/>
  <c r="AM442" i="30"/>
  <c r="AL442" i="30"/>
  <c r="AK442" i="30"/>
  <c r="AJ442" i="30"/>
  <c r="AI442" i="30"/>
  <c r="AH442" i="30"/>
  <c r="AG442" i="30"/>
  <c r="AF442" i="30"/>
  <c r="AE442" i="30"/>
  <c r="AD442" i="30"/>
  <c r="AC442" i="30"/>
  <c r="AB442" i="30"/>
  <c r="AA442" i="30"/>
  <c r="Z442" i="30"/>
  <c r="Y442" i="30"/>
  <c r="X442" i="30"/>
  <c r="W442" i="30"/>
  <c r="V442" i="30"/>
  <c r="U442" i="30"/>
  <c r="T442" i="30"/>
  <c r="S442" i="30"/>
  <c r="R442" i="30"/>
  <c r="Q442" i="30"/>
  <c r="P442" i="30"/>
  <c r="O442" i="30"/>
  <c r="N442" i="30"/>
  <c r="M442" i="30"/>
  <c r="L442" i="30"/>
  <c r="K442" i="30"/>
  <c r="J442" i="30"/>
  <c r="I442" i="30"/>
  <c r="H442" i="30"/>
  <c r="G442" i="30"/>
  <c r="F442" i="30"/>
  <c r="D442" i="30"/>
  <c r="C442" i="30"/>
  <c r="BA441" i="30"/>
  <c r="AV441" i="30"/>
  <c r="AQ441" i="30"/>
  <c r="AP441" i="30"/>
  <c r="AO441" i="30"/>
  <c r="AN441" i="30"/>
  <c r="AM441" i="30"/>
  <c r="AK441" i="30"/>
  <c r="AJ441" i="30"/>
  <c r="AI441" i="30"/>
  <c r="AH441" i="30"/>
  <c r="AG441" i="30"/>
  <c r="AF441" i="30"/>
  <c r="AE441" i="30"/>
  <c r="AD441" i="30"/>
  <c r="AC441" i="30"/>
  <c r="AB441" i="30"/>
  <c r="AA441" i="30"/>
  <c r="Z441" i="30"/>
  <c r="Y441" i="30"/>
  <c r="X441" i="30"/>
  <c r="W441" i="30"/>
  <c r="V441" i="30"/>
  <c r="U441" i="30"/>
  <c r="T441" i="30"/>
  <c r="S441" i="30"/>
  <c r="R441" i="30"/>
  <c r="Q441" i="30"/>
  <c r="P441" i="30"/>
  <c r="O441" i="30"/>
  <c r="N441" i="30"/>
  <c r="M441" i="30"/>
  <c r="L441" i="30"/>
  <c r="K441" i="30"/>
  <c r="J441" i="30"/>
  <c r="I441" i="30"/>
  <c r="H441" i="30"/>
  <c r="G441" i="30"/>
  <c r="F441" i="30"/>
  <c r="D441" i="30"/>
  <c r="C441" i="30"/>
  <c r="BA440" i="30"/>
  <c r="AV440" i="30"/>
  <c r="AQ440" i="30"/>
  <c r="AP440" i="30"/>
  <c r="AO440" i="30"/>
  <c r="AN440" i="30"/>
  <c r="AM440" i="30"/>
  <c r="AJ440" i="30"/>
  <c r="AI440" i="30"/>
  <c r="AH440" i="30"/>
  <c r="AG440" i="30"/>
  <c r="AF440" i="30"/>
  <c r="AE440" i="30"/>
  <c r="AD440" i="30"/>
  <c r="AC440" i="30"/>
  <c r="AB440" i="30"/>
  <c r="AA440" i="30"/>
  <c r="Z440" i="30"/>
  <c r="Y440" i="30"/>
  <c r="X440" i="30"/>
  <c r="W440" i="30"/>
  <c r="V440" i="30"/>
  <c r="U440" i="30"/>
  <c r="T440" i="30"/>
  <c r="S440" i="30"/>
  <c r="R440" i="30"/>
  <c r="Q440" i="30"/>
  <c r="P440" i="30"/>
  <c r="O440" i="30"/>
  <c r="N440" i="30"/>
  <c r="M440" i="30"/>
  <c r="L440" i="30"/>
  <c r="K440" i="30"/>
  <c r="J440" i="30"/>
  <c r="I440" i="30"/>
  <c r="H440" i="30"/>
  <c r="G440" i="30"/>
  <c r="F440" i="30"/>
  <c r="C440" i="30"/>
  <c r="BA439" i="30"/>
  <c r="AV439" i="30"/>
  <c r="AQ439" i="30"/>
  <c r="AP439" i="30"/>
  <c r="AO439" i="30"/>
  <c r="AN439" i="30"/>
  <c r="AM439" i="30"/>
  <c r="AJ439" i="30"/>
  <c r="AI439" i="30"/>
  <c r="AH439" i="30"/>
  <c r="AG439" i="30"/>
  <c r="AF439" i="30"/>
  <c r="AE439" i="30"/>
  <c r="AD439" i="30"/>
  <c r="AC439" i="30"/>
  <c r="AB439" i="30"/>
  <c r="AA439" i="30"/>
  <c r="Z439" i="30"/>
  <c r="Y439" i="30"/>
  <c r="X439" i="30"/>
  <c r="W439" i="30"/>
  <c r="V439" i="30"/>
  <c r="U439" i="30"/>
  <c r="T439" i="30"/>
  <c r="S439" i="30"/>
  <c r="R439" i="30"/>
  <c r="Q439" i="30"/>
  <c r="P439" i="30"/>
  <c r="O439" i="30"/>
  <c r="N439" i="30"/>
  <c r="M439" i="30"/>
  <c r="L439" i="30"/>
  <c r="K439" i="30"/>
  <c r="J439" i="30"/>
  <c r="I439" i="30"/>
  <c r="H439" i="30"/>
  <c r="G439" i="30"/>
  <c r="F439" i="30"/>
  <c r="C439" i="30"/>
  <c r="BA438" i="30"/>
  <c r="AV438" i="30"/>
  <c r="AQ438" i="30"/>
  <c r="AP438" i="30"/>
  <c r="AO438" i="30"/>
  <c r="AN438" i="30"/>
  <c r="AM438" i="30"/>
  <c r="AJ438" i="30"/>
  <c r="AI438" i="30"/>
  <c r="AH438" i="30"/>
  <c r="AG438" i="30"/>
  <c r="AF438" i="30"/>
  <c r="AE438" i="30"/>
  <c r="AD438" i="30"/>
  <c r="AC438" i="30"/>
  <c r="AB438" i="30"/>
  <c r="AA438" i="30"/>
  <c r="Z438" i="30"/>
  <c r="Y438" i="30"/>
  <c r="X438" i="30"/>
  <c r="W438" i="30"/>
  <c r="V438" i="30"/>
  <c r="U438" i="30"/>
  <c r="T438" i="30"/>
  <c r="S438" i="30"/>
  <c r="R438" i="30"/>
  <c r="Q438" i="30"/>
  <c r="P438" i="30"/>
  <c r="O438" i="30"/>
  <c r="N438" i="30"/>
  <c r="M438" i="30"/>
  <c r="L438" i="30"/>
  <c r="K438" i="30"/>
  <c r="J438" i="30"/>
  <c r="I438" i="30"/>
  <c r="H438" i="30"/>
  <c r="G438" i="30"/>
  <c r="C438" i="30"/>
  <c r="BA437" i="30"/>
  <c r="AV437" i="30"/>
  <c r="AQ437" i="30"/>
  <c r="AP437" i="30"/>
  <c r="AO437" i="30"/>
  <c r="AN437" i="30"/>
  <c r="AM437" i="30"/>
  <c r="AA437" i="30"/>
  <c r="Z437" i="30"/>
  <c r="Y437" i="30"/>
  <c r="X437" i="30"/>
  <c r="W437" i="30"/>
  <c r="V437" i="30"/>
  <c r="U437" i="30"/>
  <c r="T437" i="30"/>
  <c r="S437" i="30"/>
  <c r="R437" i="30"/>
  <c r="Q437" i="30"/>
  <c r="P437" i="30"/>
  <c r="O437" i="30"/>
  <c r="N437" i="30"/>
  <c r="M437" i="30"/>
  <c r="L437" i="30"/>
  <c r="K437" i="30"/>
  <c r="J437" i="30"/>
  <c r="I437" i="30"/>
  <c r="H437" i="30"/>
  <c r="G437" i="30"/>
  <c r="F437" i="30"/>
  <c r="D437" i="30"/>
  <c r="C437" i="30"/>
  <c r="BA436" i="30"/>
  <c r="AV436" i="30"/>
  <c r="AQ436" i="30"/>
  <c r="AP436" i="30"/>
  <c r="AO436" i="30"/>
  <c r="AN436" i="30"/>
  <c r="AM436" i="30"/>
  <c r="AL436" i="30"/>
  <c r="AK436" i="30"/>
  <c r="AJ436" i="30"/>
  <c r="AI436" i="30"/>
  <c r="AH436" i="30"/>
  <c r="AG436" i="30"/>
  <c r="AF436" i="30"/>
  <c r="AE436" i="30"/>
  <c r="AD436" i="30"/>
  <c r="AC436" i="30"/>
  <c r="AB436" i="30"/>
  <c r="AA436" i="30"/>
  <c r="Z436" i="30"/>
  <c r="Y436" i="30"/>
  <c r="X436" i="30"/>
  <c r="W436" i="30"/>
  <c r="V436" i="30"/>
  <c r="U436" i="30"/>
  <c r="T436" i="30"/>
  <c r="S436" i="30"/>
  <c r="R436" i="30"/>
  <c r="Q436" i="30"/>
  <c r="P436" i="30"/>
  <c r="O436" i="30"/>
  <c r="N436" i="30"/>
  <c r="M436" i="30"/>
  <c r="L436" i="30"/>
  <c r="K436" i="30"/>
  <c r="J436" i="30"/>
  <c r="I436" i="30"/>
  <c r="H436" i="30"/>
  <c r="G436" i="30"/>
  <c r="F436" i="30"/>
  <c r="D436" i="30"/>
  <c r="C436" i="30"/>
  <c r="BA435" i="30"/>
  <c r="AV435" i="30"/>
  <c r="AQ435" i="30"/>
  <c r="AP435" i="30"/>
  <c r="AO435" i="30"/>
  <c r="AN435" i="30"/>
  <c r="AM435" i="30"/>
  <c r="AL435" i="30"/>
  <c r="AK435" i="30"/>
  <c r="AJ435" i="30"/>
  <c r="AI435" i="30"/>
  <c r="AH435" i="30"/>
  <c r="AG435" i="30"/>
  <c r="AF435" i="30"/>
  <c r="AE435" i="30"/>
  <c r="AD435" i="30"/>
  <c r="AC435" i="30"/>
  <c r="AB435" i="30"/>
  <c r="AA435" i="30"/>
  <c r="Z435" i="30"/>
  <c r="Y435" i="30"/>
  <c r="X435" i="30"/>
  <c r="W435" i="30"/>
  <c r="V435" i="30"/>
  <c r="U435" i="30"/>
  <c r="T435" i="30"/>
  <c r="S435" i="30"/>
  <c r="R435" i="30"/>
  <c r="Q435" i="30"/>
  <c r="P435" i="30"/>
  <c r="O435" i="30"/>
  <c r="N435" i="30"/>
  <c r="M435" i="30"/>
  <c r="L435" i="30"/>
  <c r="K435" i="30"/>
  <c r="J435" i="30"/>
  <c r="I435" i="30"/>
  <c r="H435" i="30"/>
  <c r="G435" i="30"/>
  <c r="F435" i="30"/>
  <c r="D435" i="30"/>
  <c r="C435" i="30"/>
  <c r="BA427" i="30"/>
  <c r="AV427" i="30"/>
  <c r="AQ427" i="30"/>
  <c r="AP427" i="30"/>
  <c r="AO427" i="30"/>
  <c r="AN427" i="30"/>
  <c r="AM427" i="30"/>
  <c r="AL427" i="30"/>
  <c r="AK427" i="30"/>
  <c r="AJ427" i="30"/>
  <c r="AI427" i="30"/>
  <c r="AH427" i="30"/>
  <c r="AG427" i="30"/>
  <c r="AF427" i="30"/>
  <c r="AE427" i="30"/>
  <c r="AD427" i="30"/>
  <c r="AC427" i="30"/>
  <c r="AB427" i="30"/>
  <c r="AA427" i="30"/>
  <c r="Z427" i="30"/>
  <c r="Y427" i="30"/>
  <c r="X427" i="30"/>
  <c r="W427" i="30"/>
  <c r="V427" i="30"/>
  <c r="U427" i="30"/>
  <c r="T427" i="30"/>
  <c r="S427" i="30"/>
  <c r="R427" i="30"/>
  <c r="Q427" i="30"/>
  <c r="P427" i="30"/>
  <c r="O427" i="30"/>
  <c r="N427" i="30"/>
  <c r="M427" i="30"/>
  <c r="L427" i="30"/>
  <c r="K427" i="30"/>
  <c r="J427" i="30"/>
  <c r="I427" i="30"/>
  <c r="H427" i="30"/>
  <c r="G427" i="30"/>
  <c r="F427" i="30"/>
  <c r="D427" i="30"/>
  <c r="C427" i="30"/>
  <c r="BA426" i="30"/>
  <c r="AV426" i="30"/>
  <c r="AQ426" i="30"/>
  <c r="AP426" i="30"/>
  <c r="AO426" i="30"/>
  <c r="AN426" i="30"/>
  <c r="AM426" i="30"/>
  <c r="AK426" i="30"/>
  <c r="X426" i="30"/>
  <c r="W426" i="30"/>
  <c r="V426" i="30"/>
  <c r="U426" i="30"/>
  <c r="T426" i="30"/>
  <c r="S426" i="30"/>
  <c r="R426" i="30"/>
  <c r="Q426" i="30"/>
  <c r="P426" i="30"/>
  <c r="O426" i="30"/>
  <c r="N426" i="30"/>
  <c r="M426" i="30"/>
  <c r="L426" i="30"/>
  <c r="K426" i="30"/>
  <c r="J426" i="30"/>
  <c r="I426" i="30"/>
  <c r="H426" i="30"/>
  <c r="G426" i="30"/>
  <c r="F426" i="30"/>
  <c r="D426" i="30"/>
  <c r="C426" i="30"/>
  <c r="BA425" i="30"/>
  <c r="AV425" i="30"/>
  <c r="AQ425" i="30"/>
  <c r="AP425" i="30"/>
  <c r="AO425" i="30"/>
  <c r="AN425" i="30"/>
  <c r="AM425" i="30"/>
  <c r="AK425" i="30"/>
  <c r="X425" i="30"/>
  <c r="W425" i="30"/>
  <c r="V425" i="30"/>
  <c r="U425" i="30"/>
  <c r="T425" i="30"/>
  <c r="S425" i="30"/>
  <c r="R425" i="30"/>
  <c r="Q425" i="30"/>
  <c r="P425" i="30"/>
  <c r="O425" i="30"/>
  <c r="N425" i="30"/>
  <c r="M425" i="30"/>
  <c r="L425" i="30"/>
  <c r="K425" i="30"/>
  <c r="J425" i="30"/>
  <c r="I425" i="30"/>
  <c r="H425" i="30"/>
  <c r="G425" i="30"/>
  <c r="F425" i="30"/>
  <c r="D425" i="30"/>
  <c r="C425" i="30"/>
  <c r="BA424" i="30"/>
  <c r="AV424" i="30"/>
  <c r="AQ424" i="30"/>
  <c r="AP424" i="30"/>
  <c r="AO424" i="30"/>
  <c r="AN424" i="30"/>
  <c r="AM424" i="30"/>
  <c r="AK424" i="30"/>
  <c r="X424" i="30"/>
  <c r="W424" i="30"/>
  <c r="V424" i="30"/>
  <c r="U424" i="30"/>
  <c r="T424" i="30"/>
  <c r="S424" i="30"/>
  <c r="R424" i="30"/>
  <c r="Q424" i="30"/>
  <c r="P424" i="30"/>
  <c r="O424" i="30"/>
  <c r="N424" i="30"/>
  <c r="M424" i="30"/>
  <c r="L424" i="30"/>
  <c r="K424" i="30"/>
  <c r="J424" i="30"/>
  <c r="I424" i="30"/>
  <c r="H424" i="30"/>
  <c r="G424" i="30"/>
  <c r="F424" i="30"/>
  <c r="D424" i="30"/>
  <c r="C424" i="30"/>
  <c r="BA423" i="30"/>
  <c r="AV423" i="30"/>
  <c r="AQ423" i="30"/>
  <c r="AP423" i="30"/>
  <c r="AO423" i="30"/>
  <c r="AN423" i="30"/>
  <c r="AM423" i="30"/>
  <c r="AL423" i="30"/>
  <c r="AK423" i="30"/>
  <c r="AJ423" i="30"/>
  <c r="AI423" i="30"/>
  <c r="AH423" i="30"/>
  <c r="AG423" i="30"/>
  <c r="AF423" i="30"/>
  <c r="AE423" i="30"/>
  <c r="AD423" i="30"/>
  <c r="AC423" i="30"/>
  <c r="AB423" i="30"/>
  <c r="AA423" i="30"/>
  <c r="Z423" i="30"/>
  <c r="Y423" i="30"/>
  <c r="X423" i="30"/>
  <c r="W423" i="30"/>
  <c r="V423" i="30"/>
  <c r="U423" i="30"/>
  <c r="T423" i="30"/>
  <c r="S423" i="30"/>
  <c r="R423" i="30"/>
  <c r="Q423" i="30"/>
  <c r="P423" i="30"/>
  <c r="O423" i="30"/>
  <c r="N423" i="30"/>
  <c r="M423" i="30"/>
  <c r="L423" i="30"/>
  <c r="K423" i="30"/>
  <c r="J423" i="30"/>
  <c r="I423" i="30"/>
  <c r="H423" i="30"/>
  <c r="G423" i="30"/>
  <c r="F423" i="30"/>
  <c r="D423" i="30"/>
  <c r="C423" i="30"/>
  <c r="BA422" i="30"/>
  <c r="AV422" i="30"/>
  <c r="AQ422" i="30"/>
  <c r="AP422" i="30"/>
  <c r="AO422" i="30"/>
  <c r="AN422" i="30"/>
  <c r="AM422" i="30"/>
  <c r="AL422" i="30"/>
  <c r="AE422" i="30"/>
  <c r="AD422" i="30"/>
  <c r="AC422" i="30"/>
  <c r="AB422" i="30"/>
  <c r="AA422" i="30"/>
  <c r="Z422" i="30"/>
  <c r="Y422" i="30"/>
  <c r="X422" i="30"/>
  <c r="W422" i="30"/>
  <c r="V422" i="30"/>
  <c r="T422" i="30"/>
  <c r="S422" i="30"/>
  <c r="R422" i="30"/>
  <c r="Q422" i="30"/>
  <c r="P422" i="30"/>
  <c r="O422" i="30"/>
  <c r="N422" i="30"/>
  <c r="M422" i="30"/>
  <c r="L422" i="30"/>
  <c r="K422" i="30"/>
  <c r="J422" i="30"/>
  <c r="I422" i="30"/>
  <c r="H422" i="30"/>
  <c r="G422" i="30"/>
  <c r="F422" i="30"/>
  <c r="D422" i="30"/>
  <c r="C422" i="30"/>
  <c r="B422" i="30"/>
  <c r="BA421" i="30"/>
  <c r="AV421" i="30"/>
  <c r="AQ421" i="30"/>
  <c r="AP421" i="30"/>
  <c r="AO421" i="30"/>
  <c r="AN421" i="30"/>
  <c r="AM421" i="30"/>
  <c r="AL421" i="30"/>
  <c r="AE421" i="30"/>
  <c r="AD421" i="30"/>
  <c r="AC421" i="30"/>
  <c r="AB421" i="30"/>
  <c r="AA421" i="30"/>
  <c r="Z421" i="30"/>
  <c r="Y421" i="30"/>
  <c r="X421" i="30"/>
  <c r="W421" i="30"/>
  <c r="V421" i="30"/>
  <c r="T421" i="30"/>
  <c r="S421" i="30"/>
  <c r="R421" i="30"/>
  <c r="Q421" i="30"/>
  <c r="P421" i="30"/>
  <c r="O421" i="30"/>
  <c r="N421" i="30"/>
  <c r="M421" i="30"/>
  <c r="L421" i="30"/>
  <c r="K421" i="30"/>
  <c r="J421" i="30"/>
  <c r="I421" i="30"/>
  <c r="H421" i="30"/>
  <c r="G421" i="30"/>
  <c r="F421" i="30"/>
  <c r="D421" i="30"/>
  <c r="C421" i="30"/>
  <c r="B421" i="30"/>
  <c r="BA420" i="30"/>
  <c r="AV420" i="30"/>
  <c r="AQ420" i="30"/>
  <c r="AP420" i="30"/>
  <c r="AO420" i="30"/>
  <c r="AN420" i="30"/>
  <c r="AM420" i="30"/>
  <c r="AL420" i="30"/>
  <c r="AE420" i="30"/>
  <c r="AD420" i="30"/>
  <c r="AC420" i="30"/>
  <c r="AB420" i="30"/>
  <c r="AA420" i="30"/>
  <c r="Z420" i="30"/>
  <c r="Y420" i="30"/>
  <c r="X420" i="30"/>
  <c r="W420" i="30"/>
  <c r="V420" i="30"/>
  <c r="T420" i="30"/>
  <c r="S420" i="30"/>
  <c r="R420" i="30"/>
  <c r="Q420" i="30"/>
  <c r="P420" i="30"/>
  <c r="O420" i="30"/>
  <c r="N420" i="30"/>
  <c r="M420" i="30"/>
  <c r="L420" i="30"/>
  <c r="K420" i="30"/>
  <c r="J420" i="30"/>
  <c r="I420" i="30"/>
  <c r="H420" i="30"/>
  <c r="G420" i="30"/>
  <c r="F420" i="30"/>
  <c r="D420" i="30"/>
  <c r="C420" i="30"/>
  <c r="B420" i="30"/>
  <c r="BA419" i="30"/>
  <c r="AV419" i="30"/>
  <c r="AQ419" i="30"/>
  <c r="AP419" i="30"/>
  <c r="AO419" i="30"/>
  <c r="AN419" i="30"/>
  <c r="AM419" i="30"/>
  <c r="AL419" i="30"/>
  <c r="AE419" i="30"/>
  <c r="AD419" i="30"/>
  <c r="AC419" i="30"/>
  <c r="AB419" i="30"/>
  <c r="AA419" i="30"/>
  <c r="Z419" i="30"/>
  <c r="Y419" i="30"/>
  <c r="X419" i="30"/>
  <c r="W419" i="30"/>
  <c r="V419" i="30"/>
  <c r="T419" i="30"/>
  <c r="S419" i="30"/>
  <c r="R419" i="30"/>
  <c r="Q419" i="30"/>
  <c r="P419" i="30"/>
  <c r="O419" i="30"/>
  <c r="N419" i="30"/>
  <c r="M419" i="30"/>
  <c r="L419" i="30"/>
  <c r="K419" i="30"/>
  <c r="J419" i="30"/>
  <c r="I419" i="30"/>
  <c r="H419" i="30"/>
  <c r="G419" i="30"/>
  <c r="F419" i="30"/>
  <c r="D419" i="30"/>
  <c r="C419" i="30"/>
  <c r="B419" i="30"/>
  <c r="BA418" i="30"/>
  <c r="AV418" i="30"/>
  <c r="AQ418" i="30"/>
  <c r="AP418" i="30"/>
  <c r="AO418" i="30"/>
  <c r="AN418" i="30"/>
  <c r="AM418" i="30"/>
  <c r="AL418" i="30"/>
  <c r="AE418" i="30"/>
  <c r="AD418" i="30"/>
  <c r="AC418" i="30"/>
  <c r="AB418" i="30"/>
  <c r="AA418" i="30"/>
  <c r="Z418" i="30"/>
  <c r="Y418" i="30"/>
  <c r="X418" i="30"/>
  <c r="W418" i="30"/>
  <c r="V418" i="30"/>
  <c r="T418" i="30"/>
  <c r="S418" i="30"/>
  <c r="R418" i="30"/>
  <c r="Q418" i="30"/>
  <c r="P418" i="30"/>
  <c r="O418" i="30"/>
  <c r="N418" i="30"/>
  <c r="M418" i="30"/>
  <c r="L418" i="30"/>
  <c r="K418" i="30"/>
  <c r="J418" i="30"/>
  <c r="I418" i="30"/>
  <c r="H418" i="30"/>
  <c r="G418" i="30"/>
  <c r="F418" i="30"/>
  <c r="D418" i="30"/>
  <c r="C418" i="30"/>
  <c r="B418" i="30"/>
  <c r="BA417" i="30"/>
  <c r="AV417" i="30"/>
  <c r="AQ417" i="30"/>
  <c r="AP417" i="30"/>
  <c r="AO417" i="30"/>
  <c r="AN417" i="30"/>
  <c r="AM417" i="30"/>
  <c r="AL417" i="30"/>
  <c r="AE417" i="30"/>
  <c r="AD417" i="30"/>
  <c r="AC417" i="30"/>
  <c r="AB417" i="30"/>
  <c r="AA417" i="30"/>
  <c r="Z417" i="30"/>
  <c r="Y417" i="30"/>
  <c r="X417" i="30"/>
  <c r="W417" i="30"/>
  <c r="V417" i="30"/>
  <c r="T417" i="30"/>
  <c r="S417" i="30"/>
  <c r="R417" i="30"/>
  <c r="Q417" i="30"/>
  <c r="P417" i="30"/>
  <c r="O417" i="30"/>
  <c r="N417" i="30"/>
  <c r="M417" i="30"/>
  <c r="L417" i="30"/>
  <c r="K417" i="30"/>
  <c r="J417" i="30"/>
  <c r="I417" i="30"/>
  <c r="H417" i="30"/>
  <c r="G417" i="30"/>
  <c r="F417" i="30"/>
  <c r="D417" i="30"/>
  <c r="C417" i="30"/>
  <c r="B417" i="30"/>
  <c r="BA416" i="30"/>
  <c r="AV416" i="30"/>
  <c r="AQ416" i="30"/>
  <c r="AP416" i="30"/>
  <c r="AO416" i="30"/>
  <c r="AN416" i="30"/>
  <c r="AM416" i="30"/>
  <c r="AL416" i="30"/>
  <c r="AE416" i="30"/>
  <c r="AD416" i="30"/>
  <c r="AC416" i="30"/>
  <c r="AB416" i="30"/>
  <c r="AA416" i="30"/>
  <c r="Z416" i="30"/>
  <c r="Y416" i="30"/>
  <c r="X416" i="30"/>
  <c r="W416" i="30"/>
  <c r="V416" i="30"/>
  <c r="T416" i="30"/>
  <c r="S416" i="30"/>
  <c r="R416" i="30"/>
  <c r="Q416" i="30"/>
  <c r="P416" i="30"/>
  <c r="O416" i="30"/>
  <c r="N416" i="30"/>
  <c r="M416" i="30"/>
  <c r="L416" i="30"/>
  <c r="K416" i="30"/>
  <c r="J416" i="30"/>
  <c r="I416" i="30"/>
  <c r="H416" i="30"/>
  <c r="G416" i="30"/>
  <c r="F416" i="30"/>
  <c r="D416" i="30"/>
  <c r="C416" i="30"/>
  <c r="B416" i="30"/>
  <c r="BA415" i="30"/>
  <c r="AV415" i="30"/>
  <c r="AQ415" i="30"/>
  <c r="AP415" i="30"/>
  <c r="AO415" i="30"/>
  <c r="AN415" i="30"/>
  <c r="AM415" i="30"/>
  <c r="AL415" i="30"/>
  <c r="AE415" i="30"/>
  <c r="AD415" i="30"/>
  <c r="AC415" i="30"/>
  <c r="AB415" i="30"/>
  <c r="AA415" i="30"/>
  <c r="Z415" i="30"/>
  <c r="Y415" i="30"/>
  <c r="X415" i="30"/>
  <c r="W415" i="30"/>
  <c r="V415" i="30"/>
  <c r="T415" i="30"/>
  <c r="S415" i="30"/>
  <c r="R415" i="30"/>
  <c r="Q415" i="30"/>
  <c r="P415" i="30"/>
  <c r="O415" i="30"/>
  <c r="N415" i="30"/>
  <c r="M415" i="30"/>
  <c r="L415" i="30"/>
  <c r="K415" i="30"/>
  <c r="J415" i="30"/>
  <c r="I415" i="30"/>
  <c r="H415" i="30"/>
  <c r="G415" i="30"/>
  <c r="F415" i="30"/>
  <c r="D415" i="30"/>
  <c r="C415" i="30"/>
  <c r="B415" i="30"/>
  <c r="BA414" i="30"/>
  <c r="AV414" i="30"/>
  <c r="AQ414" i="30"/>
  <c r="AP414" i="30"/>
  <c r="AO414" i="30"/>
  <c r="AN414" i="30"/>
  <c r="AM414" i="30"/>
  <c r="AL414" i="30"/>
  <c r="AE414" i="30"/>
  <c r="AD414" i="30"/>
  <c r="AC414" i="30"/>
  <c r="AB414" i="30"/>
  <c r="AA414" i="30"/>
  <c r="Z414" i="30"/>
  <c r="Y414" i="30"/>
  <c r="X414" i="30"/>
  <c r="W414" i="30"/>
  <c r="V414" i="30"/>
  <c r="S414" i="30"/>
  <c r="O414" i="30"/>
  <c r="N414" i="30"/>
  <c r="M414" i="30"/>
  <c r="L414" i="30"/>
  <c r="K414" i="30"/>
  <c r="J414" i="30"/>
  <c r="I414" i="30"/>
  <c r="H414" i="30"/>
  <c r="G414" i="30"/>
  <c r="F414" i="30"/>
  <c r="D414" i="30"/>
  <c r="C414" i="30"/>
  <c r="B414" i="30"/>
  <c r="BA413" i="30"/>
  <c r="AV413" i="30"/>
  <c r="AQ413" i="30"/>
  <c r="AP413" i="30"/>
  <c r="AO413" i="30"/>
  <c r="AN413" i="30"/>
  <c r="AM413" i="30"/>
  <c r="AL413" i="30"/>
  <c r="AK413" i="30"/>
  <c r="AJ413" i="30"/>
  <c r="AI413" i="30"/>
  <c r="AH413" i="30"/>
  <c r="AG413" i="30"/>
  <c r="AF413" i="30"/>
  <c r="AE413" i="30"/>
  <c r="AD413" i="30"/>
  <c r="AC413" i="30"/>
  <c r="AB413" i="30"/>
  <c r="AA413" i="30"/>
  <c r="Z413" i="30"/>
  <c r="Y413" i="30"/>
  <c r="X413" i="30"/>
  <c r="W413" i="30"/>
  <c r="V413" i="30"/>
  <c r="U413" i="30"/>
  <c r="T413" i="30"/>
  <c r="S413" i="30"/>
  <c r="R413" i="30"/>
  <c r="Q413" i="30"/>
  <c r="P413" i="30"/>
  <c r="O413" i="30"/>
  <c r="N413" i="30"/>
  <c r="M413" i="30"/>
  <c r="L413" i="30"/>
  <c r="K413" i="30"/>
  <c r="J413" i="30"/>
  <c r="I413" i="30"/>
  <c r="H413" i="30"/>
  <c r="G413" i="30"/>
  <c r="F413" i="30"/>
  <c r="D413" i="30"/>
  <c r="C413" i="30"/>
  <c r="B413" i="30"/>
  <c r="BA412" i="30"/>
  <c r="AV412" i="30"/>
  <c r="AQ412" i="30"/>
  <c r="AP412" i="30"/>
  <c r="AO412" i="30"/>
  <c r="AN412" i="30"/>
  <c r="AM412" i="30"/>
  <c r="AL412" i="30"/>
  <c r="AK412" i="30"/>
  <c r="AJ412" i="30"/>
  <c r="AI412" i="30"/>
  <c r="AH412" i="30"/>
  <c r="AG412" i="30"/>
  <c r="AF412" i="30"/>
  <c r="AE412" i="30"/>
  <c r="AD412" i="30"/>
  <c r="AC412" i="30"/>
  <c r="AB412" i="30"/>
  <c r="AA412" i="30"/>
  <c r="Z412" i="30"/>
  <c r="Y412" i="30"/>
  <c r="X412" i="30"/>
  <c r="W412" i="30"/>
  <c r="V412" i="30"/>
  <c r="U412" i="30"/>
  <c r="T412" i="30"/>
  <c r="S412" i="30"/>
  <c r="R412" i="30"/>
  <c r="Q412" i="30"/>
  <c r="P412" i="30"/>
  <c r="O412" i="30"/>
  <c r="N412" i="30"/>
  <c r="M412" i="30"/>
  <c r="L412" i="30"/>
  <c r="K412" i="30"/>
  <c r="J412" i="30"/>
  <c r="I412" i="30"/>
  <c r="H412" i="30"/>
  <c r="G412" i="30"/>
  <c r="F412" i="30"/>
  <c r="D412" i="30"/>
  <c r="C412" i="30"/>
  <c r="B412" i="30"/>
  <c r="BA411" i="30"/>
  <c r="AV411" i="30"/>
  <c r="AQ411" i="30"/>
  <c r="AP411" i="30"/>
  <c r="AO411" i="30"/>
  <c r="AN411" i="30"/>
  <c r="AM411" i="30"/>
  <c r="AL411" i="30"/>
  <c r="AK411" i="30"/>
  <c r="AJ411" i="30"/>
  <c r="AI411" i="30"/>
  <c r="AH411" i="30"/>
  <c r="AG411" i="30"/>
  <c r="AF411" i="30"/>
  <c r="AE411" i="30"/>
  <c r="AD411" i="30"/>
  <c r="AC411" i="30"/>
  <c r="AB411" i="30"/>
  <c r="AA411" i="30"/>
  <c r="Z411" i="30"/>
  <c r="Y411" i="30"/>
  <c r="X411" i="30"/>
  <c r="W411" i="30"/>
  <c r="V411" i="30"/>
  <c r="U411" i="30"/>
  <c r="T411" i="30"/>
  <c r="S411" i="30"/>
  <c r="R411" i="30"/>
  <c r="Q411" i="30"/>
  <c r="P411" i="30"/>
  <c r="O411" i="30"/>
  <c r="N411" i="30"/>
  <c r="M411" i="30"/>
  <c r="L411" i="30"/>
  <c r="K411" i="30"/>
  <c r="J411" i="30"/>
  <c r="I411" i="30"/>
  <c r="H411" i="30"/>
  <c r="G411" i="30"/>
  <c r="F411" i="30"/>
  <c r="D411" i="30"/>
  <c r="C411" i="30"/>
  <c r="B411" i="30"/>
  <c r="BA410" i="30"/>
  <c r="AV410" i="30"/>
  <c r="AQ410" i="30"/>
  <c r="AP410" i="30"/>
  <c r="AO410" i="30"/>
  <c r="AN410" i="30"/>
  <c r="AM410" i="30"/>
  <c r="AL410" i="30"/>
  <c r="AK410" i="30"/>
  <c r="AJ410" i="30"/>
  <c r="AI410" i="30"/>
  <c r="AH410" i="30"/>
  <c r="AG410" i="30"/>
  <c r="AF410" i="30"/>
  <c r="AE410" i="30"/>
  <c r="AD410" i="30"/>
  <c r="AC410" i="30"/>
  <c r="AB410" i="30"/>
  <c r="AA410" i="30"/>
  <c r="Z410" i="30"/>
  <c r="Y410" i="30"/>
  <c r="X410" i="30"/>
  <c r="W410" i="30"/>
  <c r="V410" i="30"/>
  <c r="U410" i="30"/>
  <c r="T410" i="30"/>
  <c r="S410" i="30"/>
  <c r="R410" i="30"/>
  <c r="Q410" i="30"/>
  <c r="P410" i="30"/>
  <c r="O410" i="30"/>
  <c r="N410" i="30"/>
  <c r="M410" i="30"/>
  <c r="L410" i="30"/>
  <c r="K410" i="30"/>
  <c r="J410" i="30"/>
  <c r="I410" i="30"/>
  <c r="H410" i="30"/>
  <c r="G410" i="30"/>
  <c r="F410" i="30"/>
  <c r="D410" i="30"/>
  <c r="C410" i="30"/>
  <c r="B410" i="30"/>
  <c r="BA409" i="30"/>
  <c r="AV409" i="30"/>
  <c r="AQ409" i="30"/>
  <c r="AP409" i="30"/>
  <c r="AO409" i="30"/>
  <c r="AN409" i="30"/>
  <c r="AM409" i="30"/>
  <c r="AL409" i="30"/>
  <c r="V409" i="30"/>
  <c r="T409" i="30"/>
  <c r="S409" i="30"/>
  <c r="Q409" i="30"/>
  <c r="P409" i="30"/>
  <c r="O409" i="30"/>
  <c r="N409" i="30"/>
  <c r="M409" i="30"/>
  <c r="L409" i="30"/>
  <c r="K409" i="30"/>
  <c r="J409" i="30"/>
  <c r="I409" i="30"/>
  <c r="H409" i="30"/>
  <c r="G409" i="30"/>
  <c r="F409" i="30"/>
  <c r="D409" i="30"/>
  <c r="C409" i="30"/>
  <c r="B409" i="30"/>
  <c r="BA408" i="30"/>
  <c r="AV408" i="30"/>
  <c r="AQ408" i="30"/>
  <c r="AP408" i="30"/>
  <c r="AO408" i="30"/>
  <c r="AN408" i="30"/>
  <c r="AM408" i="30"/>
  <c r="AL408" i="30"/>
  <c r="AK408" i="30"/>
  <c r="AJ408" i="30"/>
  <c r="AI408" i="30"/>
  <c r="AH408" i="30"/>
  <c r="AG408" i="30"/>
  <c r="AF408" i="30"/>
  <c r="AE408" i="30"/>
  <c r="AD408" i="30"/>
  <c r="AC408" i="30"/>
  <c r="AB408" i="30"/>
  <c r="AA408" i="30"/>
  <c r="Z408" i="30"/>
  <c r="Y408" i="30"/>
  <c r="X408" i="30"/>
  <c r="W408" i="30"/>
  <c r="V408" i="30"/>
  <c r="U408" i="30"/>
  <c r="T408" i="30"/>
  <c r="S408" i="30"/>
  <c r="R408" i="30"/>
  <c r="Q408" i="30"/>
  <c r="P408" i="30"/>
  <c r="O408" i="30"/>
  <c r="N408" i="30"/>
  <c r="M408" i="30"/>
  <c r="L408" i="30"/>
  <c r="K408" i="30"/>
  <c r="J408" i="30"/>
  <c r="I408" i="30"/>
  <c r="H408" i="30"/>
  <c r="G408" i="30"/>
  <c r="F408" i="30"/>
  <c r="D408" i="30"/>
  <c r="C408" i="30"/>
  <c r="B408" i="30"/>
  <c r="BA407" i="30"/>
  <c r="AV407" i="30"/>
  <c r="AQ407" i="30"/>
  <c r="AP407" i="30"/>
  <c r="AO407" i="30"/>
  <c r="AN407" i="30"/>
  <c r="AM407" i="30"/>
  <c r="AL407" i="30"/>
  <c r="AK407" i="30"/>
  <c r="AJ407" i="30"/>
  <c r="AI407" i="30"/>
  <c r="AH407" i="30"/>
  <c r="AG407" i="30"/>
  <c r="AF407" i="30"/>
  <c r="AE407" i="30"/>
  <c r="AD407" i="30"/>
  <c r="AC407" i="30"/>
  <c r="AB407" i="30"/>
  <c r="AA407" i="30"/>
  <c r="Z407" i="30"/>
  <c r="Y407" i="30"/>
  <c r="X407" i="30"/>
  <c r="W407" i="30"/>
  <c r="V407" i="30"/>
  <c r="U407" i="30"/>
  <c r="T407" i="30"/>
  <c r="S407" i="30"/>
  <c r="R407" i="30"/>
  <c r="Q407" i="30"/>
  <c r="P407" i="30"/>
  <c r="O407" i="30"/>
  <c r="N407" i="30"/>
  <c r="M407" i="30"/>
  <c r="L407" i="30"/>
  <c r="K407" i="30"/>
  <c r="J407" i="30"/>
  <c r="I407" i="30"/>
  <c r="H407" i="30"/>
  <c r="G407" i="30"/>
  <c r="F407" i="30"/>
  <c r="D407" i="30"/>
  <c r="C407" i="30"/>
  <c r="B407" i="30"/>
  <c r="BA406" i="30"/>
  <c r="AV406" i="30"/>
  <c r="AQ406" i="30"/>
  <c r="AP406" i="30"/>
  <c r="AO406" i="30"/>
  <c r="AN406" i="30"/>
  <c r="AM406" i="30"/>
  <c r="AL406" i="30"/>
  <c r="AK406" i="30"/>
  <c r="AJ406" i="30"/>
  <c r="AI406" i="30"/>
  <c r="AH406" i="30"/>
  <c r="AG406" i="30"/>
  <c r="AF406" i="30"/>
  <c r="AE406" i="30"/>
  <c r="AD406" i="30"/>
  <c r="AC406" i="30"/>
  <c r="AB406" i="30"/>
  <c r="AA406" i="30"/>
  <c r="Z406" i="30"/>
  <c r="Y406" i="30"/>
  <c r="X406" i="30"/>
  <c r="W406" i="30"/>
  <c r="V406" i="30"/>
  <c r="U406" i="30"/>
  <c r="T406" i="30"/>
  <c r="S406" i="30"/>
  <c r="R406" i="30"/>
  <c r="Q406" i="30"/>
  <c r="P406" i="30"/>
  <c r="O406" i="30"/>
  <c r="N406" i="30"/>
  <c r="M406" i="30"/>
  <c r="L406" i="30"/>
  <c r="K406" i="30"/>
  <c r="J406" i="30"/>
  <c r="I406" i="30"/>
  <c r="H406" i="30"/>
  <c r="G406" i="30"/>
  <c r="F406" i="30"/>
  <c r="D406" i="30"/>
  <c r="C406" i="30"/>
  <c r="B406" i="30"/>
  <c r="BA405" i="30"/>
  <c r="AV405" i="30"/>
  <c r="AQ405" i="30"/>
  <c r="AP405" i="30"/>
  <c r="AO405" i="30"/>
  <c r="AN405" i="30"/>
  <c r="AM405" i="30"/>
  <c r="AL405" i="30"/>
  <c r="AK405" i="30"/>
  <c r="AJ405" i="30"/>
  <c r="AI405" i="30"/>
  <c r="AH405" i="30"/>
  <c r="AG405" i="30"/>
  <c r="AF405" i="30"/>
  <c r="AE405" i="30"/>
  <c r="AD405" i="30"/>
  <c r="AC405" i="30"/>
  <c r="AB405" i="30"/>
  <c r="AA405" i="30"/>
  <c r="Z405" i="30"/>
  <c r="Y405" i="30"/>
  <c r="X405" i="30"/>
  <c r="W405" i="30"/>
  <c r="V405" i="30"/>
  <c r="U405" i="30"/>
  <c r="T405" i="30"/>
  <c r="S405" i="30"/>
  <c r="R405" i="30"/>
  <c r="Q405" i="30"/>
  <c r="P405" i="30"/>
  <c r="O405" i="30"/>
  <c r="N405" i="30"/>
  <c r="M405" i="30"/>
  <c r="L405" i="30"/>
  <c r="K405" i="30"/>
  <c r="J405" i="30"/>
  <c r="I405" i="30"/>
  <c r="H405" i="30"/>
  <c r="G405" i="30"/>
  <c r="F405" i="30"/>
  <c r="D405" i="30"/>
  <c r="C405" i="30"/>
  <c r="B405" i="30"/>
  <c r="BA404" i="30"/>
  <c r="AV404" i="30"/>
  <c r="AQ404" i="30"/>
  <c r="AP404" i="30"/>
  <c r="AO404" i="30"/>
  <c r="AN404" i="30"/>
  <c r="AM404" i="30"/>
  <c r="AL404" i="30"/>
  <c r="V404" i="30"/>
  <c r="T404" i="30"/>
  <c r="S404" i="30"/>
  <c r="Q404" i="30"/>
  <c r="P404" i="30"/>
  <c r="O404" i="30"/>
  <c r="N404" i="30"/>
  <c r="M404" i="30"/>
  <c r="L404" i="30"/>
  <c r="K404" i="30"/>
  <c r="J404" i="30"/>
  <c r="I404" i="30"/>
  <c r="H404" i="30"/>
  <c r="G404" i="30"/>
  <c r="F404" i="30"/>
  <c r="D404" i="30"/>
  <c r="C404" i="30"/>
  <c r="B404" i="30"/>
  <c r="BA403" i="30"/>
  <c r="AV403" i="30"/>
  <c r="AQ403" i="30"/>
  <c r="AP403" i="30"/>
  <c r="AO403" i="30"/>
  <c r="AN403" i="30"/>
  <c r="AM403" i="30"/>
  <c r="AL403" i="30"/>
  <c r="AK403" i="30"/>
  <c r="AJ403" i="30"/>
  <c r="AI403" i="30"/>
  <c r="AH403" i="30"/>
  <c r="AG403" i="30"/>
  <c r="AF403" i="30"/>
  <c r="AE403" i="30"/>
  <c r="AD403" i="30"/>
  <c r="AC403" i="30"/>
  <c r="AB403" i="30"/>
  <c r="AA403" i="30"/>
  <c r="Z403" i="30"/>
  <c r="Y403" i="30"/>
  <c r="X403" i="30"/>
  <c r="W403" i="30"/>
  <c r="V403" i="30"/>
  <c r="U403" i="30"/>
  <c r="T403" i="30"/>
  <c r="S403" i="30"/>
  <c r="R403" i="30"/>
  <c r="Q403" i="30"/>
  <c r="P403" i="30"/>
  <c r="O403" i="30"/>
  <c r="N403" i="30"/>
  <c r="M403" i="30"/>
  <c r="L403" i="30"/>
  <c r="K403" i="30"/>
  <c r="J403" i="30"/>
  <c r="I403" i="30"/>
  <c r="H403" i="30"/>
  <c r="G403" i="30"/>
  <c r="F403" i="30"/>
  <c r="D403" i="30"/>
  <c r="C403" i="30"/>
  <c r="B403" i="30"/>
  <c r="BA402" i="30"/>
  <c r="AV402" i="30"/>
  <c r="AQ402" i="30"/>
  <c r="AP402" i="30"/>
  <c r="AO402" i="30"/>
  <c r="AN402" i="30"/>
  <c r="AM402" i="30"/>
  <c r="AL402" i="30"/>
  <c r="AK402" i="30"/>
  <c r="AJ402" i="30"/>
  <c r="AI402" i="30"/>
  <c r="AH402" i="30"/>
  <c r="AG402" i="30"/>
  <c r="AF402" i="30"/>
  <c r="AE402" i="30"/>
  <c r="AD402" i="30"/>
  <c r="AC402" i="30"/>
  <c r="AB402" i="30"/>
  <c r="AA402" i="30"/>
  <c r="Z402" i="30"/>
  <c r="Y402" i="30"/>
  <c r="X402" i="30"/>
  <c r="W402" i="30"/>
  <c r="V402" i="30"/>
  <c r="U402" i="30"/>
  <c r="T402" i="30"/>
  <c r="S402" i="30"/>
  <c r="R402" i="30"/>
  <c r="Q402" i="30"/>
  <c r="P402" i="30"/>
  <c r="O402" i="30"/>
  <c r="N402" i="30"/>
  <c r="M402" i="30"/>
  <c r="L402" i="30"/>
  <c r="K402" i="30"/>
  <c r="J402" i="30"/>
  <c r="I402" i="30"/>
  <c r="H402" i="30"/>
  <c r="G402" i="30"/>
  <c r="F402" i="30"/>
  <c r="D402" i="30"/>
  <c r="C402" i="30"/>
  <c r="B402" i="30"/>
  <c r="BA401" i="30"/>
  <c r="AV401" i="30"/>
  <c r="AQ401" i="30"/>
  <c r="AP401" i="30"/>
  <c r="AO401" i="30"/>
  <c r="AN401" i="30"/>
  <c r="AM401" i="30"/>
  <c r="AL401" i="30"/>
  <c r="AK401" i="30"/>
  <c r="AJ401" i="30"/>
  <c r="AI401" i="30"/>
  <c r="AH401" i="30"/>
  <c r="AG401" i="30"/>
  <c r="AF401" i="30"/>
  <c r="AE401" i="30"/>
  <c r="AD401" i="30"/>
  <c r="AC401" i="30"/>
  <c r="AB401" i="30"/>
  <c r="AA401" i="30"/>
  <c r="Z401" i="30"/>
  <c r="Y401" i="30"/>
  <c r="X401" i="30"/>
  <c r="W401" i="30"/>
  <c r="V401" i="30"/>
  <c r="U401" i="30"/>
  <c r="T401" i="30"/>
  <c r="S401" i="30"/>
  <c r="R401" i="30"/>
  <c r="Q401" i="30"/>
  <c r="P401" i="30"/>
  <c r="O401" i="30"/>
  <c r="N401" i="30"/>
  <c r="M401" i="30"/>
  <c r="L401" i="30"/>
  <c r="K401" i="30"/>
  <c r="J401" i="30"/>
  <c r="I401" i="30"/>
  <c r="H401" i="30"/>
  <c r="G401" i="30"/>
  <c r="F401" i="30"/>
  <c r="D401" i="30"/>
  <c r="C401" i="30"/>
  <c r="B401" i="30"/>
  <c r="BA400" i="30"/>
  <c r="AV400" i="30"/>
  <c r="AQ400" i="30"/>
  <c r="AP400" i="30"/>
  <c r="AO400" i="30"/>
  <c r="AN400" i="30"/>
  <c r="AM400" i="30"/>
  <c r="AL400" i="30"/>
  <c r="AK400" i="30"/>
  <c r="AJ400" i="30"/>
  <c r="AI400" i="30"/>
  <c r="AH400" i="30"/>
  <c r="AG400" i="30"/>
  <c r="AF400" i="30"/>
  <c r="AE400" i="30"/>
  <c r="AD400" i="30"/>
  <c r="AC400" i="30"/>
  <c r="AB400" i="30"/>
  <c r="AA400" i="30"/>
  <c r="Z400" i="30"/>
  <c r="Y400" i="30"/>
  <c r="X400" i="30"/>
  <c r="W400" i="30"/>
  <c r="V400" i="30"/>
  <c r="U400" i="30"/>
  <c r="T400" i="30"/>
  <c r="S400" i="30"/>
  <c r="R400" i="30"/>
  <c r="Q400" i="30"/>
  <c r="P400" i="30"/>
  <c r="O400" i="30"/>
  <c r="N400" i="30"/>
  <c r="M400" i="30"/>
  <c r="L400" i="30"/>
  <c r="K400" i="30"/>
  <c r="J400" i="30"/>
  <c r="I400" i="30"/>
  <c r="H400" i="30"/>
  <c r="G400" i="30"/>
  <c r="F400" i="30"/>
  <c r="D400" i="30"/>
  <c r="C400" i="30"/>
  <c r="B400" i="30"/>
  <c r="BA399" i="30"/>
  <c r="AV399" i="30"/>
  <c r="AQ399" i="30"/>
  <c r="AP399" i="30"/>
  <c r="AO399" i="30"/>
  <c r="AN399" i="30"/>
  <c r="AM399" i="30"/>
  <c r="AL399" i="30"/>
  <c r="V399" i="30"/>
  <c r="T399" i="30"/>
  <c r="S399" i="30"/>
  <c r="Q399" i="30"/>
  <c r="P399" i="30"/>
  <c r="O399" i="30"/>
  <c r="N399" i="30"/>
  <c r="M399" i="30"/>
  <c r="L399" i="30"/>
  <c r="K399" i="30"/>
  <c r="J399" i="30"/>
  <c r="I399" i="30"/>
  <c r="H399" i="30"/>
  <c r="G399" i="30"/>
  <c r="F399" i="30"/>
  <c r="D399" i="30"/>
  <c r="C399" i="30"/>
  <c r="B399" i="30"/>
  <c r="BA398" i="30"/>
  <c r="AV398" i="30"/>
  <c r="AQ398" i="30"/>
  <c r="AP398" i="30"/>
  <c r="AO398" i="30"/>
  <c r="AN398" i="30"/>
  <c r="AM398" i="30"/>
  <c r="AL398" i="30"/>
  <c r="AK398" i="30"/>
  <c r="AJ398" i="30"/>
  <c r="AI398" i="30"/>
  <c r="AH398" i="30"/>
  <c r="AG398" i="30"/>
  <c r="AF398" i="30"/>
  <c r="AE398" i="30"/>
  <c r="AD398" i="30"/>
  <c r="AC398" i="30"/>
  <c r="AB398" i="30"/>
  <c r="AA398" i="30"/>
  <c r="Z398" i="30"/>
  <c r="Y398" i="30"/>
  <c r="X398" i="30"/>
  <c r="W398" i="30"/>
  <c r="V398" i="30"/>
  <c r="U398" i="30"/>
  <c r="T398" i="30"/>
  <c r="S398" i="30"/>
  <c r="R398" i="30"/>
  <c r="Q398" i="30"/>
  <c r="P398" i="30"/>
  <c r="O398" i="30"/>
  <c r="N398" i="30"/>
  <c r="M398" i="30"/>
  <c r="L398" i="30"/>
  <c r="K398" i="30"/>
  <c r="J398" i="30"/>
  <c r="I398" i="30"/>
  <c r="H398" i="30"/>
  <c r="G398" i="30"/>
  <c r="F398" i="30"/>
  <c r="D398" i="30"/>
  <c r="C398" i="30"/>
  <c r="B398" i="30"/>
  <c r="BA397" i="30"/>
  <c r="AV397" i="30"/>
  <c r="AQ397" i="30"/>
  <c r="AP397" i="30"/>
  <c r="AO397" i="30"/>
  <c r="AN397" i="30"/>
  <c r="AM397" i="30"/>
  <c r="AL397" i="30"/>
  <c r="AK397" i="30"/>
  <c r="AJ397" i="30"/>
  <c r="AI397" i="30"/>
  <c r="AH397" i="30"/>
  <c r="AG397" i="30"/>
  <c r="AF397" i="30"/>
  <c r="AE397" i="30"/>
  <c r="AD397" i="30"/>
  <c r="AC397" i="30"/>
  <c r="AB397" i="30"/>
  <c r="AA397" i="30"/>
  <c r="Z397" i="30"/>
  <c r="Y397" i="30"/>
  <c r="X397" i="30"/>
  <c r="W397" i="30"/>
  <c r="V397" i="30"/>
  <c r="U397" i="30"/>
  <c r="T397" i="30"/>
  <c r="S397" i="30"/>
  <c r="R397" i="30"/>
  <c r="Q397" i="30"/>
  <c r="P397" i="30"/>
  <c r="O397" i="30"/>
  <c r="N397" i="30"/>
  <c r="M397" i="30"/>
  <c r="L397" i="30"/>
  <c r="K397" i="30"/>
  <c r="J397" i="30"/>
  <c r="I397" i="30"/>
  <c r="H397" i="30"/>
  <c r="G397" i="30"/>
  <c r="F397" i="30"/>
  <c r="D397" i="30"/>
  <c r="C397" i="30"/>
  <c r="B397" i="30"/>
  <c r="BA396" i="30"/>
  <c r="AV396" i="30"/>
  <c r="AQ396" i="30"/>
  <c r="AP396" i="30"/>
  <c r="AO396" i="30"/>
  <c r="AN396" i="30"/>
  <c r="AM396" i="30"/>
  <c r="AL396" i="30"/>
  <c r="AK396" i="30"/>
  <c r="AJ396" i="30"/>
  <c r="AI396" i="30"/>
  <c r="AH396" i="30"/>
  <c r="AG396" i="30"/>
  <c r="AF396" i="30"/>
  <c r="AE396" i="30"/>
  <c r="AD396" i="30"/>
  <c r="AC396" i="30"/>
  <c r="AB396" i="30"/>
  <c r="AA396" i="30"/>
  <c r="Z396" i="30"/>
  <c r="Y396" i="30"/>
  <c r="X396" i="30"/>
  <c r="W396" i="30"/>
  <c r="V396" i="30"/>
  <c r="U396" i="30"/>
  <c r="T396" i="30"/>
  <c r="S396" i="30"/>
  <c r="R396" i="30"/>
  <c r="Q396" i="30"/>
  <c r="P396" i="30"/>
  <c r="O396" i="30"/>
  <c r="N396" i="30"/>
  <c r="M396" i="30"/>
  <c r="L396" i="30"/>
  <c r="K396" i="30"/>
  <c r="J396" i="30"/>
  <c r="I396" i="30"/>
  <c r="H396" i="30"/>
  <c r="G396" i="30"/>
  <c r="F396" i="30"/>
  <c r="D396" i="30"/>
  <c r="C396" i="30"/>
  <c r="B396" i="30"/>
  <c r="BA395" i="30"/>
  <c r="AV395" i="30"/>
  <c r="AQ395" i="30"/>
  <c r="AP395" i="30"/>
  <c r="AO395" i="30"/>
  <c r="AN395" i="30"/>
  <c r="AM395" i="30"/>
  <c r="AL395" i="30"/>
  <c r="AK395" i="30"/>
  <c r="AJ395" i="30"/>
  <c r="AI395" i="30"/>
  <c r="AH395" i="30"/>
  <c r="AG395" i="30"/>
  <c r="AF395" i="30"/>
  <c r="AE395" i="30"/>
  <c r="AD395" i="30"/>
  <c r="AC395" i="30"/>
  <c r="AB395" i="30"/>
  <c r="AA395" i="30"/>
  <c r="Z395" i="30"/>
  <c r="Y395" i="30"/>
  <c r="X395" i="30"/>
  <c r="W395" i="30"/>
  <c r="V395" i="30"/>
  <c r="U395" i="30"/>
  <c r="T395" i="30"/>
  <c r="S395" i="30"/>
  <c r="R395" i="30"/>
  <c r="Q395" i="30"/>
  <c r="P395" i="30"/>
  <c r="O395" i="30"/>
  <c r="N395" i="30"/>
  <c r="M395" i="30"/>
  <c r="L395" i="30"/>
  <c r="K395" i="30"/>
  <c r="J395" i="30"/>
  <c r="I395" i="30"/>
  <c r="H395" i="30"/>
  <c r="G395" i="30"/>
  <c r="F395" i="30"/>
  <c r="D395" i="30"/>
  <c r="C395" i="30"/>
  <c r="B395" i="30"/>
  <c r="BA394" i="30"/>
  <c r="AV394" i="30"/>
  <c r="AQ394" i="30"/>
  <c r="AP394" i="30"/>
  <c r="AO394" i="30"/>
  <c r="AN394" i="30"/>
  <c r="AM394" i="30"/>
  <c r="AL394" i="30"/>
  <c r="V394" i="30"/>
  <c r="T394" i="30"/>
  <c r="S394" i="30"/>
  <c r="Q394" i="30"/>
  <c r="P394" i="30"/>
  <c r="O394" i="30"/>
  <c r="N394" i="30"/>
  <c r="M394" i="30"/>
  <c r="L394" i="30"/>
  <c r="K394" i="30"/>
  <c r="J394" i="30"/>
  <c r="I394" i="30"/>
  <c r="H394" i="30"/>
  <c r="G394" i="30"/>
  <c r="F394" i="30"/>
  <c r="D394" i="30"/>
  <c r="C394" i="30"/>
  <c r="B394" i="30"/>
  <c r="BA393" i="30"/>
  <c r="AV393" i="30"/>
  <c r="AQ393" i="30"/>
  <c r="AP393" i="30"/>
  <c r="AO393" i="30"/>
  <c r="AN393" i="30"/>
  <c r="AM393" i="30"/>
  <c r="AL393" i="30"/>
  <c r="AK393" i="30"/>
  <c r="AJ393" i="30"/>
  <c r="AI393" i="30"/>
  <c r="AH393" i="30"/>
  <c r="AG393" i="30"/>
  <c r="AF393" i="30"/>
  <c r="AE393" i="30"/>
  <c r="AD393" i="30"/>
  <c r="AC393" i="30"/>
  <c r="AB393" i="30"/>
  <c r="AA393" i="30"/>
  <c r="Z393" i="30"/>
  <c r="Y393" i="30"/>
  <c r="X393" i="30"/>
  <c r="W393" i="30"/>
  <c r="V393" i="30"/>
  <c r="U393" i="30"/>
  <c r="T393" i="30"/>
  <c r="S393" i="30"/>
  <c r="R393" i="30"/>
  <c r="Q393" i="30"/>
  <c r="P393" i="30"/>
  <c r="O393" i="30"/>
  <c r="N393" i="30"/>
  <c r="M393" i="30"/>
  <c r="L393" i="30"/>
  <c r="K393" i="30"/>
  <c r="J393" i="30"/>
  <c r="I393" i="30"/>
  <c r="H393" i="30"/>
  <c r="G393" i="30"/>
  <c r="F393" i="30"/>
  <c r="D393" i="30"/>
  <c r="C393" i="30"/>
  <c r="B393" i="30"/>
  <c r="BA392" i="30"/>
  <c r="AV392" i="30"/>
  <c r="AQ392" i="30"/>
  <c r="AP392" i="30"/>
  <c r="AO392" i="30"/>
  <c r="AN392" i="30"/>
  <c r="AM392" i="30"/>
  <c r="AL392" i="30"/>
  <c r="AK392" i="30"/>
  <c r="AJ392" i="30"/>
  <c r="AI392" i="30"/>
  <c r="AH392" i="30"/>
  <c r="AG392" i="30"/>
  <c r="AF392" i="30"/>
  <c r="AE392" i="30"/>
  <c r="AD392" i="30"/>
  <c r="AC392" i="30"/>
  <c r="AB392" i="30"/>
  <c r="AA392" i="30"/>
  <c r="Z392" i="30"/>
  <c r="Y392" i="30"/>
  <c r="X392" i="30"/>
  <c r="W392" i="30"/>
  <c r="V392" i="30"/>
  <c r="U392" i="30"/>
  <c r="T392" i="30"/>
  <c r="S392" i="30"/>
  <c r="R392" i="30"/>
  <c r="Q392" i="30"/>
  <c r="P392" i="30"/>
  <c r="O392" i="30"/>
  <c r="N392" i="30"/>
  <c r="M392" i="30"/>
  <c r="L392" i="30"/>
  <c r="K392" i="30"/>
  <c r="J392" i="30"/>
  <c r="I392" i="30"/>
  <c r="H392" i="30"/>
  <c r="G392" i="30"/>
  <c r="F392" i="30"/>
  <c r="D392" i="30"/>
  <c r="C392" i="30"/>
  <c r="B392" i="30"/>
  <c r="BA391" i="30"/>
  <c r="AV391" i="30"/>
  <c r="AQ391" i="30"/>
  <c r="AP391" i="30"/>
  <c r="AO391" i="30"/>
  <c r="AN391" i="30"/>
  <c r="AM391" i="30"/>
  <c r="AL391" i="30"/>
  <c r="AK391" i="30"/>
  <c r="AJ391" i="30"/>
  <c r="AI391" i="30"/>
  <c r="AH391" i="30"/>
  <c r="AG391" i="30"/>
  <c r="AF391" i="30"/>
  <c r="AE391" i="30"/>
  <c r="AD391" i="30"/>
  <c r="AC391" i="30"/>
  <c r="AB391" i="30"/>
  <c r="AA391" i="30"/>
  <c r="Z391" i="30"/>
  <c r="Y391" i="30"/>
  <c r="X391" i="30"/>
  <c r="W391" i="30"/>
  <c r="V391" i="30"/>
  <c r="U391" i="30"/>
  <c r="T391" i="30"/>
  <c r="S391" i="30"/>
  <c r="R391" i="30"/>
  <c r="Q391" i="30"/>
  <c r="P391" i="30"/>
  <c r="O391" i="30"/>
  <c r="N391" i="30"/>
  <c r="M391" i="30"/>
  <c r="L391" i="30"/>
  <c r="K391" i="30"/>
  <c r="J391" i="30"/>
  <c r="I391" i="30"/>
  <c r="H391" i="30"/>
  <c r="G391" i="30"/>
  <c r="F391" i="30"/>
  <c r="D391" i="30"/>
  <c r="C391" i="30"/>
  <c r="B391" i="30"/>
  <c r="BA390" i="30"/>
  <c r="AV390" i="30"/>
  <c r="AQ390" i="30"/>
  <c r="AP390" i="30"/>
  <c r="AO390" i="30"/>
  <c r="AN390" i="30"/>
  <c r="AM390" i="30"/>
  <c r="AL390" i="30"/>
  <c r="AK390" i="30"/>
  <c r="AJ390" i="30"/>
  <c r="AI390" i="30"/>
  <c r="AH390" i="30"/>
  <c r="AG390" i="30"/>
  <c r="AF390" i="30"/>
  <c r="AE390" i="30"/>
  <c r="AD390" i="30"/>
  <c r="AC390" i="30"/>
  <c r="AB390" i="30"/>
  <c r="AA390" i="30"/>
  <c r="Z390" i="30"/>
  <c r="Y390" i="30"/>
  <c r="X390" i="30"/>
  <c r="W390" i="30"/>
  <c r="V390" i="30"/>
  <c r="U390" i="30"/>
  <c r="T390" i="30"/>
  <c r="S390" i="30"/>
  <c r="R390" i="30"/>
  <c r="Q390" i="30"/>
  <c r="P390" i="30"/>
  <c r="O390" i="30"/>
  <c r="N390" i="30"/>
  <c r="M390" i="30"/>
  <c r="L390" i="30"/>
  <c r="K390" i="30"/>
  <c r="J390" i="30"/>
  <c r="I390" i="30"/>
  <c r="H390" i="30"/>
  <c r="G390" i="30"/>
  <c r="F390" i="30"/>
  <c r="D390" i="30"/>
  <c r="C390" i="30"/>
  <c r="B390" i="30"/>
  <c r="BA389" i="30"/>
  <c r="AV389" i="30"/>
  <c r="AQ389" i="30"/>
  <c r="AP389" i="30"/>
  <c r="AO389" i="30"/>
  <c r="AN389" i="30"/>
  <c r="AM389" i="30"/>
  <c r="AL389" i="30"/>
  <c r="V389" i="30"/>
  <c r="T389" i="30"/>
  <c r="S389" i="30"/>
  <c r="Q389" i="30"/>
  <c r="P389" i="30"/>
  <c r="O389" i="30"/>
  <c r="N389" i="30"/>
  <c r="M389" i="30"/>
  <c r="L389" i="30"/>
  <c r="K389" i="30"/>
  <c r="J389" i="30"/>
  <c r="I389" i="30"/>
  <c r="H389" i="30"/>
  <c r="G389" i="30"/>
  <c r="F389" i="30"/>
  <c r="D389" i="30"/>
  <c r="C389" i="30"/>
  <c r="B389" i="30"/>
  <c r="BA347" i="30"/>
  <c r="AV347" i="30"/>
  <c r="AQ347" i="30"/>
  <c r="AP347" i="30"/>
  <c r="AO347" i="30"/>
  <c r="AN347" i="30"/>
  <c r="AM347" i="30"/>
  <c r="AL347" i="30"/>
  <c r="AK347" i="30"/>
  <c r="AJ347" i="30"/>
  <c r="AI347" i="30"/>
  <c r="AH347" i="30"/>
  <c r="AG347" i="30"/>
  <c r="AF347" i="30"/>
  <c r="AE347" i="30"/>
  <c r="AD347" i="30"/>
  <c r="AC347" i="30"/>
  <c r="AB347" i="30"/>
  <c r="AA347" i="30"/>
  <c r="Z347" i="30"/>
  <c r="Y347" i="30"/>
  <c r="X347" i="30"/>
  <c r="W347" i="30"/>
  <c r="V347" i="30"/>
  <c r="U347" i="30"/>
  <c r="T347" i="30"/>
  <c r="S347" i="30"/>
  <c r="R347" i="30"/>
  <c r="Q347" i="30"/>
  <c r="P347" i="30"/>
  <c r="O347" i="30"/>
  <c r="N347" i="30"/>
  <c r="M347" i="30"/>
  <c r="L347" i="30"/>
  <c r="K347" i="30"/>
  <c r="J347" i="30"/>
  <c r="I347" i="30"/>
  <c r="H347" i="30"/>
  <c r="G347" i="30"/>
  <c r="F347" i="30"/>
  <c r="D347" i="30"/>
  <c r="C347" i="30"/>
  <c r="B347" i="30"/>
  <c r="A347" i="30"/>
  <c r="BA343" i="30"/>
  <c r="AV343" i="30"/>
  <c r="AQ343" i="30"/>
  <c r="AP343" i="30"/>
  <c r="AO343" i="30"/>
  <c r="AN343" i="30"/>
  <c r="AM343" i="30"/>
  <c r="AL343" i="30"/>
  <c r="AK343" i="30"/>
  <c r="AD343" i="30"/>
  <c r="AC343" i="30"/>
  <c r="AB343" i="30"/>
  <c r="AA343" i="30"/>
  <c r="Z343" i="30"/>
  <c r="Y343" i="30"/>
  <c r="X343" i="30"/>
  <c r="W343" i="30"/>
  <c r="V343" i="30"/>
  <c r="U343" i="30"/>
  <c r="T343" i="30"/>
  <c r="S343" i="30"/>
  <c r="R343" i="30"/>
  <c r="Q343" i="30"/>
  <c r="P343" i="30"/>
  <c r="O343" i="30"/>
  <c r="N343" i="30"/>
  <c r="M343" i="30"/>
  <c r="L343" i="30"/>
  <c r="K343" i="30"/>
  <c r="J343" i="30"/>
  <c r="I343" i="30"/>
  <c r="H343" i="30"/>
  <c r="G343" i="30"/>
  <c r="F343" i="30"/>
  <c r="D343" i="30"/>
  <c r="C343" i="30"/>
  <c r="BA341" i="30"/>
  <c r="AV341" i="30"/>
  <c r="AQ341" i="30"/>
  <c r="AP341" i="30"/>
  <c r="AO341" i="30"/>
  <c r="AN341" i="30"/>
  <c r="AM341" i="30"/>
  <c r="AL341" i="30"/>
  <c r="AK341" i="30"/>
  <c r="AJ341" i="30"/>
  <c r="AI341" i="30"/>
  <c r="AH341" i="30"/>
  <c r="AG341" i="30"/>
  <c r="AF341" i="30"/>
  <c r="AE341" i="30"/>
  <c r="AD341" i="30"/>
  <c r="AC341" i="30"/>
  <c r="AB341" i="30"/>
  <c r="AA341" i="30"/>
  <c r="Z341" i="30"/>
  <c r="Y341" i="30"/>
  <c r="X341" i="30"/>
  <c r="W341" i="30"/>
  <c r="V341" i="30"/>
  <c r="U341" i="30"/>
  <c r="T341" i="30"/>
  <c r="S341" i="30"/>
  <c r="R341" i="30"/>
  <c r="Q341" i="30"/>
  <c r="P341" i="30"/>
  <c r="O341" i="30"/>
  <c r="N341" i="30"/>
  <c r="M341" i="30"/>
  <c r="L341" i="30"/>
  <c r="K341" i="30"/>
  <c r="J341" i="30"/>
  <c r="I341" i="30"/>
  <c r="H341" i="30"/>
  <c r="G341" i="30"/>
  <c r="F341" i="30"/>
  <c r="D341" i="30"/>
  <c r="C341" i="30"/>
  <c r="BA340" i="30"/>
  <c r="AV340" i="30"/>
  <c r="AQ340" i="30"/>
  <c r="AP340" i="30"/>
  <c r="AO340" i="30"/>
  <c r="AN340" i="30"/>
  <c r="AM340" i="30"/>
  <c r="AK340" i="30"/>
  <c r="AJ340" i="30"/>
  <c r="AI340" i="30"/>
  <c r="AH340" i="30"/>
  <c r="AG340" i="30"/>
  <c r="AF340" i="30"/>
  <c r="AE340" i="30"/>
  <c r="AD340" i="30"/>
  <c r="AC340" i="30"/>
  <c r="AB340" i="30"/>
  <c r="AA340" i="30"/>
  <c r="Z340" i="30"/>
  <c r="Y340" i="30"/>
  <c r="X340" i="30"/>
  <c r="W340" i="30"/>
  <c r="V340" i="30"/>
  <c r="U340" i="30"/>
  <c r="T340" i="30"/>
  <c r="S340" i="30"/>
  <c r="R340" i="30"/>
  <c r="Q340" i="30"/>
  <c r="P340" i="30"/>
  <c r="O340" i="30"/>
  <c r="N340" i="30"/>
  <c r="M340" i="30"/>
  <c r="L340" i="30"/>
  <c r="K340" i="30"/>
  <c r="J340" i="30"/>
  <c r="I340" i="30"/>
  <c r="H340" i="30"/>
  <c r="G340" i="30"/>
  <c r="F340" i="30"/>
  <c r="D340" i="30"/>
  <c r="C340" i="30"/>
  <c r="BA339" i="30"/>
  <c r="AV339" i="30"/>
  <c r="AQ339" i="30"/>
  <c r="AP339" i="30"/>
  <c r="AO339" i="30"/>
  <c r="AN339" i="30"/>
  <c r="AM339" i="30"/>
  <c r="AK339" i="30"/>
  <c r="AJ339" i="30"/>
  <c r="AI339" i="30"/>
  <c r="AH339" i="30"/>
  <c r="AG339" i="30"/>
  <c r="AF339" i="30"/>
  <c r="AE339" i="30"/>
  <c r="AD339" i="30"/>
  <c r="AC339" i="30"/>
  <c r="AB339" i="30"/>
  <c r="AA339" i="30"/>
  <c r="Z339" i="30"/>
  <c r="Y339" i="30"/>
  <c r="X339" i="30"/>
  <c r="W339" i="30"/>
  <c r="V339" i="30"/>
  <c r="U339" i="30"/>
  <c r="T339" i="30"/>
  <c r="S339" i="30"/>
  <c r="R339" i="30"/>
  <c r="Q339" i="30"/>
  <c r="P339" i="30"/>
  <c r="O339" i="30"/>
  <c r="N339" i="30"/>
  <c r="M339" i="30"/>
  <c r="L339" i="30"/>
  <c r="K339" i="30"/>
  <c r="J339" i="30"/>
  <c r="I339" i="30"/>
  <c r="H339" i="30"/>
  <c r="G339" i="30"/>
  <c r="F339" i="30"/>
  <c r="D339" i="30"/>
  <c r="C339" i="30"/>
  <c r="BA338" i="30"/>
  <c r="AV338" i="30"/>
  <c r="AQ338" i="30"/>
  <c r="AP338" i="30"/>
  <c r="AO338" i="30"/>
  <c r="AN338" i="30"/>
  <c r="AM338" i="30"/>
  <c r="AK338" i="30"/>
  <c r="AJ338" i="30"/>
  <c r="AI338" i="30"/>
  <c r="AH338" i="30"/>
  <c r="AG338" i="30"/>
  <c r="AF338" i="30"/>
  <c r="AE338" i="30"/>
  <c r="AD338" i="30"/>
  <c r="AC338" i="30"/>
  <c r="AB338" i="30"/>
  <c r="AA338" i="30"/>
  <c r="Z338" i="30"/>
  <c r="Y338" i="30"/>
  <c r="X338" i="30"/>
  <c r="W338" i="30"/>
  <c r="V338" i="30"/>
  <c r="U338" i="30"/>
  <c r="T338" i="30"/>
  <c r="S338" i="30"/>
  <c r="R338" i="30"/>
  <c r="Q338" i="30"/>
  <c r="P338" i="30"/>
  <c r="O338" i="30"/>
  <c r="N338" i="30"/>
  <c r="M338" i="30"/>
  <c r="L338" i="30"/>
  <c r="K338" i="30"/>
  <c r="J338" i="30"/>
  <c r="I338" i="30"/>
  <c r="H338" i="30"/>
  <c r="G338" i="30"/>
  <c r="F338" i="30"/>
  <c r="D338" i="30"/>
  <c r="C338" i="30"/>
  <c r="BA337" i="30"/>
  <c r="AV337" i="30"/>
  <c r="AQ337" i="30"/>
  <c r="AP337" i="30"/>
  <c r="AO337" i="30"/>
  <c r="AN337" i="30"/>
  <c r="AM337" i="30"/>
  <c r="AK337" i="30"/>
  <c r="AJ337" i="30"/>
  <c r="AI337" i="30"/>
  <c r="AH337" i="30"/>
  <c r="AG337" i="30"/>
  <c r="AF337" i="30"/>
  <c r="AE337" i="30"/>
  <c r="AD337" i="30"/>
  <c r="AC337" i="30"/>
  <c r="AB337" i="30"/>
  <c r="AA337" i="30"/>
  <c r="Z337" i="30"/>
  <c r="Y337" i="30"/>
  <c r="X337" i="30"/>
  <c r="W337" i="30"/>
  <c r="V337" i="30"/>
  <c r="U337" i="30"/>
  <c r="T337" i="30"/>
  <c r="S337" i="30"/>
  <c r="R337" i="30"/>
  <c r="Q337" i="30"/>
  <c r="P337" i="30"/>
  <c r="O337" i="30"/>
  <c r="N337" i="30"/>
  <c r="M337" i="30"/>
  <c r="L337" i="30"/>
  <c r="K337" i="30"/>
  <c r="J337" i="30"/>
  <c r="I337" i="30"/>
  <c r="H337" i="30"/>
  <c r="G337" i="30"/>
  <c r="F337" i="30"/>
  <c r="D337" i="30"/>
  <c r="C337" i="30"/>
  <c r="BA336" i="30"/>
  <c r="AV336" i="30"/>
  <c r="AQ336" i="30"/>
  <c r="AP336" i="30"/>
  <c r="AO336" i="30"/>
  <c r="AN336" i="30"/>
  <c r="AM336" i="30"/>
  <c r="AK336" i="30"/>
  <c r="AJ336" i="30"/>
  <c r="AI336" i="30"/>
  <c r="AH336" i="30"/>
  <c r="AG336" i="30"/>
  <c r="AF336" i="30"/>
  <c r="AE336" i="30"/>
  <c r="AD336" i="30"/>
  <c r="AC336" i="30"/>
  <c r="AB336" i="30"/>
  <c r="AA336" i="30"/>
  <c r="Z336" i="30"/>
  <c r="Y336" i="30"/>
  <c r="X336" i="30"/>
  <c r="W336" i="30"/>
  <c r="V336" i="30"/>
  <c r="U336" i="30"/>
  <c r="T336" i="30"/>
  <c r="S336" i="30"/>
  <c r="R336" i="30"/>
  <c r="Q336" i="30"/>
  <c r="P336" i="30"/>
  <c r="O336" i="30"/>
  <c r="N336" i="30"/>
  <c r="M336" i="30"/>
  <c r="L336" i="30"/>
  <c r="K336" i="30"/>
  <c r="J336" i="30"/>
  <c r="I336" i="30"/>
  <c r="H336" i="30"/>
  <c r="G336" i="30"/>
  <c r="F336" i="30"/>
  <c r="D336" i="30"/>
  <c r="C336" i="30"/>
  <c r="BA335" i="30"/>
  <c r="AV335" i="30"/>
  <c r="AQ335" i="30"/>
  <c r="AP335" i="30"/>
  <c r="AO335" i="30"/>
  <c r="AN335" i="30"/>
  <c r="AM335" i="30"/>
  <c r="AK335" i="30"/>
  <c r="AJ335" i="30"/>
  <c r="AI335" i="30"/>
  <c r="AH335" i="30"/>
  <c r="AG335" i="30"/>
  <c r="AF335" i="30"/>
  <c r="AE335" i="30"/>
  <c r="AD335" i="30"/>
  <c r="AC335" i="30"/>
  <c r="AB335" i="30"/>
  <c r="AA335" i="30"/>
  <c r="Z335" i="30"/>
  <c r="Y335" i="30"/>
  <c r="X335" i="30"/>
  <c r="W335" i="30"/>
  <c r="V335" i="30"/>
  <c r="U335" i="30"/>
  <c r="T335" i="30"/>
  <c r="S335" i="30"/>
  <c r="R335" i="30"/>
  <c r="Q335" i="30"/>
  <c r="P335" i="30"/>
  <c r="O335" i="30"/>
  <c r="N335" i="30"/>
  <c r="M335" i="30"/>
  <c r="L335" i="30"/>
  <c r="K335" i="30"/>
  <c r="J335" i="30"/>
  <c r="I335" i="30"/>
  <c r="H335" i="30"/>
  <c r="G335" i="30"/>
  <c r="F335" i="30"/>
  <c r="D335" i="30"/>
  <c r="C335" i="30"/>
  <c r="BA334" i="30"/>
  <c r="AV334" i="30"/>
  <c r="AQ334" i="30"/>
  <c r="AP334" i="30"/>
  <c r="AO334" i="30"/>
  <c r="AN334" i="30"/>
  <c r="AM334" i="30"/>
  <c r="AK334" i="30"/>
  <c r="AJ334" i="30"/>
  <c r="AI334" i="30"/>
  <c r="AH334" i="30"/>
  <c r="AG334" i="30"/>
  <c r="AF334" i="30"/>
  <c r="AE334" i="30"/>
  <c r="AD334" i="30"/>
  <c r="AC334" i="30"/>
  <c r="AB334" i="30"/>
  <c r="AA334" i="30"/>
  <c r="Z334" i="30"/>
  <c r="Y334" i="30"/>
  <c r="X334" i="30"/>
  <c r="W334" i="30"/>
  <c r="V334" i="30"/>
  <c r="U334" i="30"/>
  <c r="T334" i="30"/>
  <c r="S334" i="30"/>
  <c r="R334" i="30"/>
  <c r="Q334" i="30"/>
  <c r="P334" i="30"/>
  <c r="O334" i="30"/>
  <c r="N334" i="30"/>
  <c r="M334" i="30"/>
  <c r="L334" i="30"/>
  <c r="K334" i="30"/>
  <c r="J334" i="30"/>
  <c r="I334" i="30"/>
  <c r="H334" i="30"/>
  <c r="G334" i="30"/>
  <c r="F334" i="30"/>
  <c r="D334" i="30"/>
  <c r="C334" i="30"/>
  <c r="BA333" i="30"/>
  <c r="AV333" i="30"/>
  <c r="AQ333" i="30"/>
  <c r="AP333" i="30"/>
  <c r="AO333" i="30"/>
  <c r="AN333" i="30"/>
  <c r="AM333" i="30"/>
  <c r="AK333" i="30"/>
  <c r="AJ333" i="30"/>
  <c r="AI333" i="30"/>
  <c r="AH333" i="30"/>
  <c r="AG333" i="30"/>
  <c r="AF333" i="30"/>
  <c r="AE333" i="30"/>
  <c r="AD333" i="30"/>
  <c r="AC333" i="30"/>
  <c r="AB333" i="30"/>
  <c r="AA333" i="30"/>
  <c r="Z333" i="30"/>
  <c r="Y333" i="30"/>
  <c r="X333" i="30"/>
  <c r="W333" i="30"/>
  <c r="V333" i="30"/>
  <c r="U333" i="30"/>
  <c r="T333" i="30"/>
  <c r="S333" i="30"/>
  <c r="R333" i="30"/>
  <c r="Q333" i="30"/>
  <c r="P333" i="30"/>
  <c r="O333" i="30"/>
  <c r="N333" i="30"/>
  <c r="M333" i="30"/>
  <c r="L333" i="30"/>
  <c r="K333" i="30"/>
  <c r="J333" i="30"/>
  <c r="I333" i="30"/>
  <c r="H333" i="30"/>
  <c r="G333" i="30"/>
  <c r="F333" i="30"/>
  <c r="D333" i="30"/>
  <c r="C333" i="30"/>
  <c r="BA332" i="30"/>
  <c r="AV332" i="30"/>
  <c r="AQ332" i="30"/>
  <c r="AP332" i="30"/>
  <c r="AO332" i="30"/>
  <c r="AN332" i="30"/>
  <c r="AM332" i="30"/>
  <c r="AK332" i="30"/>
  <c r="AJ332" i="30"/>
  <c r="AI332" i="30"/>
  <c r="AH332" i="30"/>
  <c r="AG332" i="30"/>
  <c r="AF332" i="30"/>
  <c r="AE332" i="30"/>
  <c r="AD332" i="30"/>
  <c r="AC332" i="30"/>
  <c r="AB332" i="30"/>
  <c r="AA332" i="30"/>
  <c r="Z332" i="30"/>
  <c r="Y332" i="30"/>
  <c r="X332" i="30"/>
  <c r="W332" i="30"/>
  <c r="V332" i="30"/>
  <c r="U332" i="30"/>
  <c r="T332" i="30"/>
  <c r="S332" i="30"/>
  <c r="R332" i="30"/>
  <c r="Q332" i="30"/>
  <c r="P332" i="30"/>
  <c r="O332" i="30"/>
  <c r="N332" i="30"/>
  <c r="M332" i="30"/>
  <c r="L332" i="30"/>
  <c r="K332" i="30"/>
  <c r="J332" i="30"/>
  <c r="I332" i="30"/>
  <c r="H332" i="30"/>
  <c r="G332" i="30"/>
  <c r="F332" i="30"/>
  <c r="D332" i="30"/>
  <c r="C332" i="30"/>
  <c r="BA331" i="30"/>
  <c r="AV331" i="30"/>
  <c r="AQ331" i="30"/>
  <c r="AP331" i="30"/>
  <c r="AO331" i="30"/>
  <c r="AN331" i="30"/>
  <c r="AM331" i="30"/>
  <c r="AK331" i="30"/>
  <c r="AJ331" i="30"/>
  <c r="AI331" i="30"/>
  <c r="AH331" i="30"/>
  <c r="AG331" i="30"/>
  <c r="AF331" i="30"/>
  <c r="AE331" i="30"/>
  <c r="AD331" i="30"/>
  <c r="AC331" i="30"/>
  <c r="AB331" i="30"/>
  <c r="AA331" i="30"/>
  <c r="Z331" i="30"/>
  <c r="Y331" i="30"/>
  <c r="X331" i="30"/>
  <c r="W331" i="30"/>
  <c r="V331" i="30"/>
  <c r="U331" i="30"/>
  <c r="T331" i="30"/>
  <c r="S331" i="30"/>
  <c r="R331" i="30"/>
  <c r="Q331" i="30"/>
  <c r="P331" i="30"/>
  <c r="O331" i="30"/>
  <c r="N331" i="30"/>
  <c r="M331" i="30"/>
  <c r="L331" i="30"/>
  <c r="K331" i="30"/>
  <c r="J331" i="30"/>
  <c r="I331" i="30"/>
  <c r="H331" i="30"/>
  <c r="G331" i="30"/>
  <c r="F331" i="30"/>
  <c r="D331" i="30"/>
  <c r="C331" i="30"/>
  <c r="BA330" i="30"/>
  <c r="AV330" i="30"/>
  <c r="AQ330" i="30"/>
  <c r="AP330" i="30"/>
  <c r="AO330" i="30"/>
  <c r="AN330" i="30"/>
  <c r="AM330" i="30"/>
  <c r="AK330" i="30"/>
  <c r="AJ330" i="30"/>
  <c r="AI330" i="30"/>
  <c r="AH330" i="30"/>
  <c r="AG330" i="30"/>
  <c r="AF330" i="30"/>
  <c r="AE330" i="30"/>
  <c r="AD330" i="30"/>
  <c r="AC330" i="30"/>
  <c r="AB330" i="30"/>
  <c r="AA330" i="30"/>
  <c r="Z330" i="30"/>
  <c r="Y330" i="30"/>
  <c r="X330" i="30"/>
  <c r="W330" i="30"/>
  <c r="V330" i="30"/>
  <c r="U330" i="30"/>
  <c r="T330" i="30"/>
  <c r="S330" i="30"/>
  <c r="R330" i="30"/>
  <c r="Q330" i="30"/>
  <c r="P330" i="30"/>
  <c r="O330" i="30"/>
  <c r="N330" i="30"/>
  <c r="M330" i="30"/>
  <c r="L330" i="30"/>
  <c r="K330" i="30"/>
  <c r="J330" i="30"/>
  <c r="I330" i="30"/>
  <c r="H330" i="30"/>
  <c r="G330" i="30"/>
  <c r="F330" i="30"/>
  <c r="D330" i="30"/>
  <c r="C330" i="30"/>
  <c r="BA328" i="30"/>
  <c r="AV328" i="30"/>
  <c r="AQ328" i="30"/>
  <c r="AP328" i="30"/>
  <c r="AO328" i="30"/>
  <c r="AN328" i="30"/>
  <c r="AM328" i="30"/>
  <c r="AK328" i="30"/>
  <c r="AK329" i="30" s="1"/>
  <c r="AJ328" i="30"/>
  <c r="AJ329" i="30" s="1"/>
  <c r="AI328" i="30"/>
  <c r="AI329" i="30" s="1"/>
  <c r="AH328" i="30"/>
  <c r="AH329" i="30" s="1"/>
  <c r="AG328" i="30"/>
  <c r="AG329" i="30" s="1"/>
  <c r="AF328" i="30"/>
  <c r="AF329" i="30" s="1"/>
  <c r="AE328" i="30"/>
  <c r="AE329" i="30" s="1"/>
  <c r="AD328" i="30"/>
  <c r="AD329" i="30" s="1"/>
  <c r="AC328" i="30"/>
  <c r="AC329" i="30" s="1"/>
  <c r="AB328" i="30"/>
  <c r="AB329" i="30" s="1"/>
  <c r="AA328" i="30"/>
  <c r="AA329" i="30" s="1"/>
  <c r="Z328" i="30"/>
  <c r="Z329" i="30" s="1"/>
  <c r="Y328" i="30"/>
  <c r="Y329" i="30" s="1"/>
  <c r="X328" i="30"/>
  <c r="X329" i="30" s="1"/>
  <c r="W328" i="30"/>
  <c r="W329" i="30" s="1"/>
  <c r="V328" i="30"/>
  <c r="U328" i="30"/>
  <c r="U329" i="30" s="1"/>
  <c r="T328" i="30"/>
  <c r="T329" i="30" s="1"/>
  <c r="S328" i="30"/>
  <c r="J328" i="30"/>
  <c r="I328" i="30"/>
  <c r="H328" i="30"/>
  <c r="G328" i="30"/>
  <c r="F328" i="30"/>
  <c r="D328" i="30"/>
  <c r="C328" i="30"/>
  <c r="BA327" i="30"/>
  <c r="AV327" i="30"/>
  <c r="AQ327" i="30"/>
  <c r="AP327" i="30"/>
  <c r="AO327" i="30"/>
  <c r="AN327" i="30"/>
  <c r="AM327" i="30"/>
  <c r="AK327" i="30"/>
  <c r="AJ327" i="30"/>
  <c r="AI327" i="30"/>
  <c r="AH327" i="30"/>
  <c r="AG327" i="30"/>
  <c r="AF327" i="30"/>
  <c r="AE327" i="30"/>
  <c r="AD327" i="30"/>
  <c r="AC327" i="30"/>
  <c r="AB327" i="30"/>
  <c r="AA327" i="30"/>
  <c r="Z327" i="30"/>
  <c r="Y327" i="30"/>
  <c r="X327" i="30"/>
  <c r="W327" i="30"/>
  <c r="V327" i="30"/>
  <c r="U327" i="30"/>
  <c r="T327" i="30"/>
  <c r="S327" i="30"/>
  <c r="R327" i="30"/>
  <c r="Q327" i="30"/>
  <c r="P327" i="30"/>
  <c r="O327" i="30"/>
  <c r="N327" i="30"/>
  <c r="M327" i="30"/>
  <c r="L327" i="30"/>
  <c r="K327" i="30"/>
  <c r="J327" i="30"/>
  <c r="I327" i="30"/>
  <c r="H327" i="30"/>
  <c r="G327" i="30"/>
  <c r="F327" i="30"/>
  <c r="D327" i="30"/>
  <c r="C327" i="30"/>
  <c r="BA326" i="30"/>
  <c r="AV326" i="30"/>
  <c r="AQ326" i="30"/>
  <c r="AP326" i="30"/>
  <c r="AO326" i="30"/>
  <c r="AN326" i="30"/>
  <c r="AM326" i="30"/>
  <c r="AK326" i="30"/>
  <c r="Y326" i="30"/>
  <c r="X326" i="30"/>
  <c r="W326" i="30"/>
  <c r="V326" i="30"/>
  <c r="U326" i="30"/>
  <c r="T326" i="30"/>
  <c r="S326" i="30"/>
  <c r="R326" i="30"/>
  <c r="Q326" i="30"/>
  <c r="P326" i="30"/>
  <c r="O326" i="30"/>
  <c r="N326" i="30"/>
  <c r="M326" i="30"/>
  <c r="L326" i="30"/>
  <c r="K326" i="30"/>
  <c r="J326" i="30"/>
  <c r="I326" i="30"/>
  <c r="H326" i="30"/>
  <c r="G326" i="30"/>
  <c r="F326" i="30"/>
  <c r="D326" i="30"/>
  <c r="C326" i="30"/>
  <c r="BA325" i="30"/>
  <c r="AV325" i="30"/>
  <c r="AQ325" i="30"/>
  <c r="AP325" i="30"/>
  <c r="AO325" i="30"/>
  <c r="AN325" i="30"/>
  <c r="AM325" i="30"/>
  <c r="AK325" i="30"/>
  <c r="Y325" i="30"/>
  <c r="X325" i="30"/>
  <c r="W325" i="30"/>
  <c r="V325" i="30"/>
  <c r="U325" i="30"/>
  <c r="T325" i="30"/>
  <c r="S325" i="30"/>
  <c r="R325" i="30"/>
  <c r="Q325" i="30"/>
  <c r="P325" i="30"/>
  <c r="O325" i="30"/>
  <c r="N325" i="30"/>
  <c r="M325" i="30"/>
  <c r="L325" i="30"/>
  <c r="K325" i="30"/>
  <c r="J325" i="30"/>
  <c r="I325" i="30"/>
  <c r="H325" i="30"/>
  <c r="G325" i="30"/>
  <c r="F325" i="30"/>
  <c r="D325" i="30"/>
  <c r="C325" i="30"/>
  <c r="BA322" i="30"/>
  <c r="AV322" i="30"/>
  <c r="AQ322" i="30"/>
  <c r="AP322" i="30"/>
  <c r="AO322" i="30"/>
  <c r="AN322" i="30"/>
  <c r="AM322" i="30"/>
  <c r="AK322" i="30"/>
  <c r="AK324" i="30" s="1"/>
  <c r="V322" i="30"/>
  <c r="S322" i="30"/>
  <c r="R322" i="30"/>
  <c r="Q322" i="30"/>
  <c r="P322" i="30"/>
  <c r="O322" i="30"/>
  <c r="N322" i="30"/>
  <c r="M322" i="30"/>
  <c r="L322" i="30"/>
  <c r="K322" i="30"/>
  <c r="J322" i="30"/>
  <c r="I322" i="30"/>
  <c r="H322" i="30"/>
  <c r="G322" i="30"/>
  <c r="F322" i="30"/>
  <c r="D322" i="30"/>
  <c r="C322" i="30"/>
  <c r="BA321" i="30"/>
  <c r="AV321" i="30"/>
  <c r="AQ321" i="30"/>
  <c r="AP321" i="30"/>
  <c r="AO321" i="30"/>
  <c r="AN321" i="30"/>
  <c r="AM321" i="30"/>
  <c r="AJ321" i="30"/>
  <c r="AI321" i="30"/>
  <c r="AH321" i="30"/>
  <c r="AG321" i="30"/>
  <c r="AF321" i="30"/>
  <c r="AE321" i="30"/>
  <c r="AD321" i="30"/>
  <c r="AC321" i="30"/>
  <c r="AB321" i="30"/>
  <c r="AA321" i="30"/>
  <c r="Z321" i="30"/>
  <c r="Y321" i="30"/>
  <c r="X321" i="30"/>
  <c r="W321" i="30"/>
  <c r="V321" i="30"/>
  <c r="U321" i="30"/>
  <c r="T321" i="30"/>
  <c r="S321" i="30"/>
  <c r="R321" i="30"/>
  <c r="Q321" i="30"/>
  <c r="P321" i="30"/>
  <c r="O321" i="30"/>
  <c r="N321" i="30"/>
  <c r="M321" i="30"/>
  <c r="L321" i="30"/>
  <c r="K321" i="30"/>
  <c r="J321" i="30"/>
  <c r="I321" i="30"/>
  <c r="H321" i="30"/>
  <c r="G321" i="30"/>
  <c r="F321" i="30"/>
  <c r="D321" i="30"/>
  <c r="C321" i="30"/>
  <c r="BA320" i="30"/>
  <c r="AV320" i="30"/>
  <c r="AQ320" i="30"/>
  <c r="AP320" i="30"/>
  <c r="AO320" i="30"/>
  <c r="AN320" i="30"/>
  <c r="AM320" i="30"/>
  <c r="AJ320" i="30"/>
  <c r="AI320" i="30"/>
  <c r="AH320" i="30"/>
  <c r="AG320" i="30"/>
  <c r="AF320" i="30"/>
  <c r="AE320" i="30"/>
  <c r="AD320" i="30"/>
  <c r="AC320" i="30"/>
  <c r="AB320" i="30"/>
  <c r="AA320" i="30"/>
  <c r="Z320" i="30"/>
  <c r="Y320" i="30"/>
  <c r="X320" i="30"/>
  <c r="W320" i="30"/>
  <c r="V320" i="30"/>
  <c r="U320" i="30"/>
  <c r="T320" i="30"/>
  <c r="S320" i="30"/>
  <c r="R320" i="30"/>
  <c r="Q320" i="30"/>
  <c r="P320" i="30"/>
  <c r="O320" i="30"/>
  <c r="N320" i="30"/>
  <c r="M320" i="30"/>
  <c r="L320" i="30"/>
  <c r="K320" i="30"/>
  <c r="J320" i="30"/>
  <c r="I320" i="30"/>
  <c r="H320" i="30"/>
  <c r="G320" i="30"/>
  <c r="F320" i="30"/>
  <c r="D320" i="30"/>
  <c r="C320" i="30"/>
  <c r="BA319" i="30"/>
  <c r="AV319" i="30"/>
  <c r="AQ319" i="30"/>
  <c r="AP319" i="30"/>
  <c r="AO319" i="30"/>
  <c r="AN319" i="30"/>
  <c r="AM319" i="30"/>
  <c r="AJ319" i="30"/>
  <c r="AI319" i="30"/>
  <c r="AH319" i="30"/>
  <c r="AG319" i="30"/>
  <c r="AF319" i="30"/>
  <c r="AE319" i="30"/>
  <c r="AD319" i="30"/>
  <c r="AC319" i="30"/>
  <c r="AB319" i="30"/>
  <c r="AA319" i="30"/>
  <c r="Z319" i="30"/>
  <c r="Y319" i="30"/>
  <c r="X319" i="30"/>
  <c r="W319" i="30"/>
  <c r="V319" i="30"/>
  <c r="U319" i="30"/>
  <c r="T319" i="30"/>
  <c r="S319" i="30"/>
  <c r="R319" i="30"/>
  <c r="Q319" i="30"/>
  <c r="P319" i="30"/>
  <c r="O319" i="30"/>
  <c r="N319" i="30"/>
  <c r="M319" i="30"/>
  <c r="L319" i="30"/>
  <c r="K319" i="30"/>
  <c r="J319" i="30"/>
  <c r="I319" i="30"/>
  <c r="H319" i="30"/>
  <c r="G319" i="30"/>
  <c r="F319" i="30"/>
  <c r="D319" i="30"/>
  <c r="C319" i="30"/>
  <c r="BA318" i="30"/>
  <c r="AV318" i="30"/>
  <c r="AQ318" i="30"/>
  <c r="AP318" i="30"/>
  <c r="AO318" i="30"/>
  <c r="AN318" i="30"/>
  <c r="AM318" i="30"/>
  <c r="AJ318" i="30"/>
  <c r="AI318" i="30"/>
  <c r="AH318" i="30"/>
  <c r="AG318" i="30"/>
  <c r="AF318" i="30"/>
  <c r="AE318" i="30"/>
  <c r="AD318" i="30"/>
  <c r="AC318" i="30"/>
  <c r="AB318" i="30"/>
  <c r="AA318" i="30"/>
  <c r="Z318" i="30"/>
  <c r="Y318" i="30"/>
  <c r="X318" i="30"/>
  <c r="W318" i="30"/>
  <c r="V318" i="30"/>
  <c r="U318" i="30"/>
  <c r="T318" i="30"/>
  <c r="S318" i="30"/>
  <c r="R318" i="30"/>
  <c r="Q318" i="30"/>
  <c r="P318" i="30"/>
  <c r="O318" i="30"/>
  <c r="N318" i="30"/>
  <c r="M318" i="30"/>
  <c r="L318" i="30"/>
  <c r="K318" i="30"/>
  <c r="J318" i="30"/>
  <c r="I318" i="30"/>
  <c r="H318" i="30"/>
  <c r="G318" i="30"/>
  <c r="F318" i="30"/>
  <c r="D318" i="30"/>
  <c r="C318" i="30"/>
  <c r="BA317" i="30"/>
  <c r="AV317" i="30"/>
  <c r="AQ317" i="30"/>
  <c r="AP317" i="30"/>
  <c r="AO317" i="30"/>
  <c r="AN317" i="30"/>
  <c r="AM317" i="30"/>
  <c r="AJ317" i="30"/>
  <c r="AI317" i="30"/>
  <c r="AH317" i="30"/>
  <c r="AG317" i="30"/>
  <c r="AF317" i="30"/>
  <c r="AE317" i="30"/>
  <c r="AD317" i="30"/>
  <c r="AC317" i="30"/>
  <c r="AB317" i="30"/>
  <c r="AA317" i="30"/>
  <c r="Z317" i="30"/>
  <c r="Y317" i="30"/>
  <c r="X317" i="30"/>
  <c r="W317" i="30"/>
  <c r="V317" i="30"/>
  <c r="U317" i="30"/>
  <c r="T317" i="30"/>
  <c r="S317" i="30"/>
  <c r="R317" i="30"/>
  <c r="Q317" i="30"/>
  <c r="P317" i="30"/>
  <c r="O317" i="30"/>
  <c r="N317" i="30"/>
  <c r="M317" i="30"/>
  <c r="L317" i="30"/>
  <c r="K317" i="30"/>
  <c r="J317" i="30"/>
  <c r="I317" i="30"/>
  <c r="H317" i="30"/>
  <c r="G317" i="30"/>
  <c r="F317" i="30"/>
  <c r="C317" i="30"/>
  <c r="B317" i="30"/>
  <c r="BA316" i="30"/>
  <c r="AV316" i="30"/>
  <c r="AQ316" i="30"/>
  <c r="AP316" i="30"/>
  <c r="AO316" i="30"/>
  <c r="AN316" i="30"/>
  <c r="AM316" i="30"/>
  <c r="AJ316" i="30"/>
  <c r="AI316" i="30"/>
  <c r="AH316" i="30"/>
  <c r="AG316" i="30"/>
  <c r="AF316" i="30"/>
  <c r="AE316" i="30"/>
  <c r="AD316" i="30"/>
  <c r="AC316" i="30"/>
  <c r="AB316" i="30"/>
  <c r="AA316" i="30"/>
  <c r="Z316" i="30"/>
  <c r="Y316" i="30"/>
  <c r="X316" i="30"/>
  <c r="W316" i="30"/>
  <c r="V316" i="30"/>
  <c r="U316" i="30"/>
  <c r="T316" i="30"/>
  <c r="S316" i="30"/>
  <c r="R316" i="30"/>
  <c r="Q316" i="30"/>
  <c r="P316" i="30"/>
  <c r="O316" i="30"/>
  <c r="N316" i="30"/>
  <c r="M316" i="30"/>
  <c r="L316" i="30"/>
  <c r="K316" i="30"/>
  <c r="J316" i="30"/>
  <c r="I316" i="30"/>
  <c r="H316" i="30"/>
  <c r="G316" i="30"/>
  <c r="F316" i="30"/>
  <c r="C316" i="30"/>
  <c r="B316" i="30"/>
  <c r="BA315" i="30"/>
  <c r="AV315" i="30"/>
  <c r="AQ315" i="30"/>
  <c r="AP315" i="30"/>
  <c r="AO315" i="30"/>
  <c r="AN315" i="30"/>
  <c r="AM315" i="30"/>
  <c r="AJ315" i="30"/>
  <c r="AI315" i="30"/>
  <c r="AH315" i="30"/>
  <c r="AG315" i="30"/>
  <c r="AF315" i="30"/>
  <c r="AE315" i="30"/>
  <c r="AD315" i="30"/>
  <c r="AC315" i="30"/>
  <c r="AB315" i="30"/>
  <c r="AA315" i="30"/>
  <c r="Z315" i="30"/>
  <c r="Y315" i="30"/>
  <c r="X315" i="30"/>
  <c r="W315" i="30"/>
  <c r="V315" i="30"/>
  <c r="U315" i="30"/>
  <c r="T315" i="30"/>
  <c r="S315" i="30"/>
  <c r="R315" i="30"/>
  <c r="Q315" i="30"/>
  <c r="P315" i="30"/>
  <c r="O315" i="30"/>
  <c r="N315" i="30"/>
  <c r="M315" i="30"/>
  <c r="L315" i="30"/>
  <c r="K315" i="30"/>
  <c r="J315" i="30"/>
  <c r="I315" i="30"/>
  <c r="H315" i="30"/>
  <c r="G315" i="30"/>
  <c r="F315" i="30"/>
  <c r="C315" i="30"/>
  <c r="B315" i="30"/>
  <c r="BA314" i="30"/>
  <c r="AV314" i="30"/>
  <c r="AQ314" i="30"/>
  <c r="AP314" i="30"/>
  <c r="AO314" i="30"/>
  <c r="AN314" i="30"/>
  <c r="AM314" i="30"/>
  <c r="AL314" i="30"/>
  <c r="AJ314" i="30"/>
  <c r="AI314" i="30"/>
  <c r="AH314" i="30"/>
  <c r="AG314" i="30"/>
  <c r="AF314" i="30"/>
  <c r="AE314" i="30"/>
  <c r="AD314" i="30"/>
  <c r="AC314" i="30"/>
  <c r="AB314" i="30"/>
  <c r="AA314" i="30"/>
  <c r="Z314" i="30"/>
  <c r="Y314" i="30"/>
  <c r="X314" i="30"/>
  <c r="W314" i="30"/>
  <c r="V314" i="30"/>
  <c r="U314" i="30"/>
  <c r="T314" i="30"/>
  <c r="S314" i="30"/>
  <c r="R314" i="30"/>
  <c r="Q314" i="30"/>
  <c r="P314" i="30"/>
  <c r="O314" i="30"/>
  <c r="N314" i="30"/>
  <c r="M314" i="30"/>
  <c r="L314" i="30"/>
  <c r="K314" i="30"/>
  <c r="J314" i="30"/>
  <c r="I314" i="30"/>
  <c r="H314" i="30"/>
  <c r="G314" i="30"/>
  <c r="F314" i="30"/>
  <c r="D314" i="30"/>
  <c r="C314" i="30"/>
  <c r="B314" i="30"/>
  <c r="BA313" i="30"/>
  <c r="AV313" i="30"/>
  <c r="AQ313" i="30"/>
  <c r="AP313" i="30"/>
  <c r="AO313" i="30"/>
  <c r="AN313" i="30"/>
  <c r="AM313" i="30"/>
  <c r="AL313" i="30"/>
  <c r="AJ313" i="30"/>
  <c r="AI313" i="30"/>
  <c r="AH313" i="30"/>
  <c r="AG313" i="30"/>
  <c r="AF313" i="30"/>
  <c r="AE313" i="30"/>
  <c r="AD313" i="30"/>
  <c r="AC313" i="30"/>
  <c r="AB313" i="30"/>
  <c r="AA313" i="30"/>
  <c r="Z313" i="30"/>
  <c r="Y313" i="30"/>
  <c r="X313" i="30"/>
  <c r="W313" i="30"/>
  <c r="V313" i="30"/>
  <c r="U313" i="30"/>
  <c r="T313" i="30"/>
  <c r="S313" i="30"/>
  <c r="R313" i="30"/>
  <c r="Q313" i="30"/>
  <c r="P313" i="30"/>
  <c r="O313" i="30"/>
  <c r="N313" i="30"/>
  <c r="M313" i="30"/>
  <c r="L313" i="30"/>
  <c r="K313" i="30"/>
  <c r="J313" i="30"/>
  <c r="I313" i="30"/>
  <c r="H313" i="30"/>
  <c r="G313" i="30"/>
  <c r="F313" i="30"/>
  <c r="D313" i="30"/>
  <c r="C313" i="30"/>
  <c r="B313" i="30"/>
  <c r="BA312" i="30"/>
  <c r="AV312" i="30"/>
  <c r="AQ312" i="30"/>
  <c r="AP312" i="30"/>
  <c r="AO312" i="30"/>
  <c r="AN312" i="30"/>
  <c r="AM312" i="30"/>
  <c r="AA312" i="30"/>
  <c r="Z312" i="30"/>
  <c r="Y312" i="30"/>
  <c r="X312" i="30"/>
  <c r="W312" i="30"/>
  <c r="V312" i="30"/>
  <c r="U312" i="30"/>
  <c r="T312" i="30"/>
  <c r="S312" i="30"/>
  <c r="R312" i="30"/>
  <c r="Q312" i="30"/>
  <c r="P312" i="30"/>
  <c r="O312" i="30"/>
  <c r="N312" i="30"/>
  <c r="M312" i="30"/>
  <c r="L312" i="30"/>
  <c r="K312" i="30"/>
  <c r="J312" i="30"/>
  <c r="I312" i="30"/>
  <c r="H312" i="30"/>
  <c r="G312" i="30"/>
  <c r="F312" i="30"/>
  <c r="D312" i="30"/>
  <c r="C312" i="30"/>
  <c r="B312" i="30"/>
  <c r="BA311" i="30"/>
  <c r="AV311" i="30"/>
  <c r="AQ311" i="30"/>
  <c r="AP311" i="30"/>
  <c r="AO311" i="30"/>
  <c r="AN311" i="30"/>
  <c r="AM311" i="30"/>
  <c r="AL311" i="30"/>
  <c r="AK311" i="30"/>
  <c r="AJ311" i="30"/>
  <c r="AI311" i="30"/>
  <c r="AH311" i="30"/>
  <c r="AG311" i="30"/>
  <c r="AF311" i="30"/>
  <c r="AE311" i="30"/>
  <c r="AD311" i="30"/>
  <c r="AC311" i="30"/>
  <c r="AB311" i="30"/>
  <c r="AA311" i="30"/>
  <c r="Z311" i="30"/>
  <c r="Y311" i="30"/>
  <c r="X311" i="30"/>
  <c r="W311" i="30"/>
  <c r="V311" i="30"/>
  <c r="U311" i="30"/>
  <c r="T311" i="30"/>
  <c r="S311" i="30"/>
  <c r="R311" i="30"/>
  <c r="Q311" i="30"/>
  <c r="P311" i="30"/>
  <c r="O311" i="30"/>
  <c r="N311" i="30"/>
  <c r="M311" i="30"/>
  <c r="L311" i="30"/>
  <c r="K311" i="30"/>
  <c r="J311" i="30"/>
  <c r="I311" i="30"/>
  <c r="H311" i="30"/>
  <c r="G311" i="30"/>
  <c r="F311" i="30"/>
  <c r="D311" i="30"/>
  <c r="C311" i="30"/>
  <c r="BA310" i="30"/>
  <c r="AV310" i="30"/>
  <c r="AQ310" i="30"/>
  <c r="AP310" i="30"/>
  <c r="AO310" i="30"/>
  <c r="AN310" i="30"/>
  <c r="AM310" i="30"/>
  <c r="AK310" i="30"/>
  <c r="AJ310" i="30"/>
  <c r="AI310" i="30"/>
  <c r="AH310" i="30"/>
  <c r="AG310" i="30"/>
  <c r="AF310" i="30"/>
  <c r="AE310" i="30"/>
  <c r="AD310" i="30"/>
  <c r="AC310" i="30"/>
  <c r="AB310" i="30"/>
  <c r="AA310" i="30"/>
  <c r="Z310" i="30"/>
  <c r="Y310" i="30"/>
  <c r="X310" i="30"/>
  <c r="W310" i="30"/>
  <c r="V310" i="30"/>
  <c r="U310" i="30"/>
  <c r="T310" i="30"/>
  <c r="S310" i="30"/>
  <c r="R310" i="30"/>
  <c r="Q310" i="30"/>
  <c r="P310" i="30"/>
  <c r="O310" i="30"/>
  <c r="N310" i="30"/>
  <c r="M310" i="30"/>
  <c r="L310" i="30"/>
  <c r="K310" i="30"/>
  <c r="J310" i="30"/>
  <c r="I310" i="30"/>
  <c r="H310" i="30"/>
  <c r="G310" i="30"/>
  <c r="F310" i="30"/>
  <c r="D310" i="30"/>
  <c r="C310" i="30"/>
  <c r="BA309" i="30"/>
  <c r="AV309" i="30"/>
  <c r="AQ309" i="30"/>
  <c r="AP309" i="30"/>
  <c r="AO309" i="30"/>
  <c r="AN309" i="30"/>
  <c r="AM309" i="30"/>
  <c r="AK309" i="30"/>
  <c r="AJ309" i="30"/>
  <c r="AI309" i="30"/>
  <c r="AH309" i="30"/>
  <c r="AG309" i="30"/>
  <c r="AF309" i="30"/>
  <c r="AE309" i="30"/>
  <c r="AD309" i="30"/>
  <c r="AC309" i="30"/>
  <c r="AB309" i="30"/>
  <c r="AA309" i="30"/>
  <c r="Z309" i="30"/>
  <c r="Y309" i="30"/>
  <c r="X309" i="30"/>
  <c r="W309" i="30"/>
  <c r="V309" i="30"/>
  <c r="U309" i="30"/>
  <c r="T309" i="30"/>
  <c r="S309" i="30"/>
  <c r="R309" i="30"/>
  <c r="Q309" i="30"/>
  <c r="P309" i="30"/>
  <c r="O309" i="30"/>
  <c r="N309" i="30"/>
  <c r="M309" i="30"/>
  <c r="L309" i="30"/>
  <c r="K309" i="30"/>
  <c r="J309" i="30"/>
  <c r="I309" i="30"/>
  <c r="H309" i="30"/>
  <c r="G309" i="30"/>
  <c r="F309" i="30"/>
  <c r="D309" i="30"/>
  <c r="C309" i="30"/>
  <c r="BA308" i="30"/>
  <c r="AV308" i="30"/>
  <c r="AQ308" i="30"/>
  <c r="AP308" i="30"/>
  <c r="AO308" i="30"/>
  <c r="AN308" i="30"/>
  <c r="AM308" i="30"/>
  <c r="AK308" i="30"/>
  <c r="AJ308" i="30"/>
  <c r="AI308" i="30"/>
  <c r="AH308" i="30"/>
  <c r="AG308" i="30"/>
  <c r="AF308" i="30"/>
  <c r="AE308" i="30"/>
  <c r="AD308" i="30"/>
  <c r="AC308" i="30"/>
  <c r="AB308" i="30"/>
  <c r="AA308" i="30"/>
  <c r="Z308" i="30"/>
  <c r="Y308" i="30"/>
  <c r="X308" i="30"/>
  <c r="W308" i="30"/>
  <c r="V308" i="30"/>
  <c r="U308" i="30"/>
  <c r="T308" i="30"/>
  <c r="S308" i="30"/>
  <c r="R308" i="30"/>
  <c r="Q308" i="30"/>
  <c r="P308" i="30"/>
  <c r="O308" i="30"/>
  <c r="N308" i="30"/>
  <c r="M308" i="30"/>
  <c r="L308" i="30"/>
  <c r="K308" i="30"/>
  <c r="J308" i="30"/>
  <c r="I308" i="30"/>
  <c r="H308" i="30"/>
  <c r="G308" i="30"/>
  <c r="F308" i="30"/>
  <c r="D308" i="30"/>
  <c r="C308" i="30"/>
  <c r="BA307" i="30"/>
  <c r="AV307" i="30"/>
  <c r="AQ307" i="30"/>
  <c r="AP307" i="30"/>
  <c r="AO307" i="30"/>
  <c r="AN307" i="30"/>
  <c r="AM307" i="30"/>
  <c r="AK307" i="30"/>
  <c r="AJ307" i="30"/>
  <c r="AI307" i="30"/>
  <c r="AH307" i="30"/>
  <c r="AG307" i="30"/>
  <c r="AF307" i="30"/>
  <c r="AE307" i="30"/>
  <c r="AD307" i="30"/>
  <c r="AC307" i="30"/>
  <c r="AB307" i="30"/>
  <c r="AA307" i="30"/>
  <c r="Z307" i="30"/>
  <c r="Y307" i="30"/>
  <c r="X307" i="30"/>
  <c r="W307" i="30"/>
  <c r="V307" i="30"/>
  <c r="U307" i="30"/>
  <c r="T307" i="30"/>
  <c r="S307" i="30"/>
  <c r="R307" i="30"/>
  <c r="Q307" i="30"/>
  <c r="P307" i="30"/>
  <c r="O307" i="30"/>
  <c r="N307" i="30"/>
  <c r="M307" i="30"/>
  <c r="L307" i="30"/>
  <c r="K307" i="30"/>
  <c r="J307" i="30"/>
  <c r="I307" i="30"/>
  <c r="H307" i="30"/>
  <c r="G307" i="30"/>
  <c r="F307" i="30"/>
  <c r="D307" i="30"/>
  <c r="C307" i="30"/>
  <c r="BA306" i="30"/>
  <c r="AV306" i="30"/>
  <c r="AQ306" i="30"/>
  <c r="AP306" i="30"/>
  <c r="AO306" i="30"/>
  <c r="AN306" i="30"/>
  <c r="AM306" i="30"/>
  <c r="V306" i="30"/>
  <c r="U306" i="30"/>
  <c r="T306" i="30"/>
  <c r="S306" i="30"/>
  <c r="R306" i="30"/>
  <c r="Q306" i="30"/>
  <c r="P306" i="30"/>
  <c r="O306" i="30"/>
  <c r="N306" i="30"/>
  <c r="M306" i="30"/>
  <c r="L306" i="30"/>
  <c r="K306" i="30"/>
  <c r="J306" i="30"/>
  <c r="I306" i="30"/>
  <c r="H306" i="30"/>
  <c r="G306" i="30"/>
  <c r="F306" i="30"/>
  <c r="D306" i="30"/>
  <c r="C306" i="30"/>
  <c r="BA305" i="30"/>
  <c r="AV305" i="30"/>
  <c r="AQ305" i="30"/>
  <c r="AP305" i="30"/>
  <c r="AO305" i="30"/>
  <c r="AN305" i="30"/>
  <c r="AM305" i="30"/>
  <c r="AK305" i="30"/>
  <c r="V305" i="30"/>
  <c r="S305" i="30"/>
  <c r="R305" i="30"/>
  <c r="Q305" i="30"/>
  <c r="P305" i="30"/>
  <c r="O305" i="30"/>
  <c r="N305" i="30"/>
  <c r="M305" i="30"/>
  <c r="L305" i="30"/>
  <c r="K305" i="30"/>
  <c r="J305" i="30"/>
  <c r="I305" i="30"/>
  <c r="H305" i="30"/>
  <c r="G305" i="30"/>
  <c r="F305" i="30"/>
  <c r="D305" i="30"/>
  <c r="C305" i="30"/>
  <c r="BA304" i="30"/>
  <c r="AV304" i="30"/>
  <c r="AQ304" i="30"/>
  <c r="AP304" i="30"/>
  <c r="AO304" i="30"/>
  <c r="AN304" i="30"/>
  <c r="AM304" i="30"/>
  <c r="AK304" i="30"/>
  <c r="V304" i="30"/>
  <c r="S304" i="30"/>
  <c r="R304" i="30"/>
  <c r="Q304" i="30"/>
  <c r="P304" i="30"/>
  <c r="O304" i="30"/>
  <c r="N304" i="30"/>
  <c r="M304" i="30"/>
  <c r="L304" i="30"/>
  <c r="K304" i="30"/>
  <c r="J304" i="30"/>
  <c r="I304" i="30"/>
  <c r="H304" i="30"/>
  <c r="G304" i="30"/>
  <c r="F304" i="30"/>
  <c r="D304" i="30"/>
  <c r="C304" i="30"/>
  <c r="BA301" i="30"/>
  <c r="AV301" i="30"/>
  <c r="AQ301" i="30"/>
  <c r="AP301" i="30"/>
  <c r="AO301" i="30"/>
  <c r="AN301" i="30"/>
  <c r="AM301" i="30"/>
  <c r="V301" i="30"/>
  <c r="S301" i="30"/>
  <c r="R301" i="30"/>
  <c r="Q301" i="30"/>
  <c r="P301" i="30"/>
  <c r="O301" i="30"/>
  <c r="N301" i="30"/>
  <c r="M301" i="30"/>
  <c r="L301" i="30"/>
  <c r="K301" i="30"/>
  <c r="J301" i="30"/>
  <c r="I301" i="30"/>
  <c r="H301" i="30"/>
  <c r="G301" i="30"/>
  <c r="F301" i="30"/>
  <c r="D301" i="30"/>
  <c r="C301" i="30"/>
  <c r="BA300" i="30"/>
  <c r="AV300" i="30"/>
  <c r="AQ300" i="30"/>
  <c r="AP300" i="30"/>
  <c r="AO300" i="30"/>
  <c r="AN300" i="30"/>
  <c r="AM300" i="30"/>
  <c r="AK300" i="30"/>
  <c r="V300" i="30"/>
  <c r="S300" i="30"/>
  <c r="R300" i="30"/>
  <c r="Q300" i="30"/>
  <c r="P300" i="30"/>
  <c r="O300" i="30"/>
  <c r="N300" i="30"/>
  <c r="M300" i="30"/>
  <c r="L300" i="30"/>
  <c r="K300" i="30"/>
  <c r="J300" i="30"/>
  <c r="I300" i="30"/>
  <c r="H300" i="30"/>
  <c r="G300" i="30"/>
  <c r="F300" i="30"/>
  <c r="D300" i="30"/>
  <c r="C300" i="30"/>
  <c r="BA299" i="30"/>
  <c r="AV299" i="30"/>
  <c r="AQ299" i="30"/>
  <c r="AP299" i="30"/>
  <c r="AO299" i="30"/>
  <c r="AN299" i="30"/>
  <c r="AM299" i="30"/>
  <c r="AK299" i="30"/>
  <c r="V299" i="30"/>
  <c r="S299" i="30"/>
  <c r="R299" i="30"/>
  <c r="Q299" i="30"/>
  <c r="P299" i="30"/>
  <c r="O299" i="30"/>
  <c r="N299" i="30"/>
  <c r="M299" i="30"/>
  <c r="L299" i="30"/>
  <c r="K299" i="30"/>
  <c r="J299" i="30"/>
  <c r="I299" i="30"/>
  <c r="H299" i="30"/>
  <c r="G299" i="30"/>
  <c r="F299" i="30"/>
  <c r="D299" i="30"/>
  <c r="C299" i="30"/>
  <c r="BA297" i="30"/>
  <c r="AV297" i="30"/>
  <c r="AQ297" i="30"/>
  <c r="AP297" i="30"/>
  <c r="AO297" i="30"/>
  <c r="AN297" i="30"/>
  <c r="AM297" i="30"/>
  <c r="AK297" i="30"/>
  <c r="AK298" i="30" s="1"/>
  <c r="AJ297" i="30"/>
  <c r="AJ298" i="30" s="1"/>
  <c r="AI297" i="30"/>
  <c r="AI298" i="30" s="1"/>
  <c r="AH297" i="30"/>
  <c r="AH298" i="30" s="1"/>
  <c r="AG297" i="30"/>
  <c r="AG298" i="30" s="1"/>
  <c r="AF297" i="30"/>
  <c r="AF298" i="30" s="1"/>
  <c r="AE297" i="30"/>
  <c r="AE298" i="30" s="1"/>
  <c r="AD297" i="30"/>
  <c r="AD298" i="30" s="1"/>
  <c r="AC297" i="30"/>
  <c r="AC298" i="30" s="1"/>
  <c r="AB297" i="30"/>
  <c r="AB298" i="30" s="1"/>
  <c r="AA297" i="30"/>
  <c r="AA298" i="30" s="1"/>
  <c r="Z297" i="30"/>
  <c r="Z298" i="30" s="1"/>
  <c r="Y297" i="30"/>
  <c r="Y298" i="30" s="1"/>
  <c r="X297" i="30"/>
  <c r="X298" i="30" s="1"/>
  <c r="W297" i="30"/>
  <c r="W298" i="30" s="1"/>
  <c r="V297" i="30"/>
  <c r="U297" i="30"/>
  <c r="U298" i="30" s="1"/>
  <c r="T297" i="30"/>
  <c r="T298" i="30" s="1"/>
  <c r="S297" i="30"/>
  <c r="J297" i="30"/>
  <c r="I297" i="30"/>
  <c r="H297" i="30"/>
  <c r="G297" i="30"/>
  <c r="F297" i="30"/>
  <c r="D297" i="30"/>
  <c r="C297" i="30"/>
  <c r="BA296" i="30"/>
  <c r="AV296" i="30"/>
  <c r="AQ296" i="30"/>
  <c r="AP296" i="30"/>
  <c r="AO296" i="30"/>
  <c r="AN296" i="30"/>
  <c r="AM296" i="30"/>
  <c r="AL296" i="30"/>
  <c r="AK296" i="30"/>
  <c r="AJ296" i="30"/>
  <c r="AI296" i="30"/>
  <c r="AH296" i="30"/>
  <c r="AG296" i="30"/>
  <c r="AF296" i="30"/>
  <c r="AE296" i="30"/>
  <c r="AD296" i="30"/>
  <c r="AC296" i="30"/>
  <c r="AB296" i="30"/>
  <c r="AA296" i="30"/>
  <c r="Z296" i="30"/>
  <c r="Y296" i="30"/>
  <c r="X296" i="30"/>
  <c r="W296" i="30"/>
  <c r="V296" i="30"/>
  <c r="U296" i="30"/>
  <c r="T296" i="30"/>
  <c r="S296" i="30"/>
  <c r="R296" i="30"/>
  <c r="Q296" i="30"/>
  <c r="P296" i="30"/>
  <c r="O296" i="30"/>
  <c r="N296" i="30"/>
  <c r="M296" i="30"/>
  <c r="L296" i="30"/>
  <c r="K296" i="30"/>
  <c r="J296" i="30"/>
  <c r="I296" i="30"/>
  <c r="H296" i="30"/>
  <c r="G296" i="30"/>
  <c r="F296" i="30"/>
  <c r="D296" i="30"/>
  <c r="C296" i="30"/>
  <c r="BA295" i="30"/>
  <c r="AV295" i="30"/>
  <c r="AQ295" i="30"/>
  <c r="AP295" i="30"/>
  <c r="AO295" i="30"/>
  <c r="AN295" i="30"/>
  <c r="AM295" i="30"/>
  <c r="AK295" i="30"/>
  <c r="V295" i="30"/>
  <c r="S295" i="30"/>
  <c r="J295" i="30"/>
  <c r="I295" i="30"/>
  <c r="H295" i="30"/>
  <c r="G295" i="30"/>
  <c r="F295" i="30"/>
  <c r="D295" i="30"/>
  <c r="C295" i="30"/>
  <c r="BA292" i="30"/>
  <c r="AV292" i="30"/>
  <c r="AQ292" i="30"/>
  <c r="AP292" i="30"/>
  <c r="AO292" i="30"/>
  <c r="AN292" i="30"/>
  <c r="AM292" i="30"/>
  <c r="AK292" i="30"/>
  <c r="AK294" i="30" s="1"/>
  <c r="V292" i="30"/>
  <c r="S292" i="30"/>
  <c r="R292" i="30"/>
  <c r="R294" i="30" s="1"/>
  <c r="Q292" i="30"/>
  <c r="Q294" i="30" s="1"/>
  <c r="P292" i="30"/>
  <c r="P294" i="30" s="1"/>
  <c r="O292" i="30"/>
  <c r="O294" i="30" s="1"/>
  <c r="N292" i="30"/>
  <c r="N294" i="30" s="1"/>
  <c r="M292" i="30"/>
  <c r="M294" i="30" s="1"/>
  <c r="L292" i="30"/>
  <c r="L294" i="30" s="1"/>
  <c r="K292" i="30"/>
  <c r="K294" i="30" s="1"/>
  <c r="J292" i="30"/>
  <c r="I292" i="30"/>
  <c r="H292" i="30"/>
  <c r="G292" i="30"/>
  <c r="F292" i="30"/>
  <c r="D292" i="30"/>
  <c r="C292" i="30"/>
  <c r="BA291" i="30"/>
  <c r="AV291" i="30"/>
  <c r="AQ291" i="30"/>
  <c r="AP291" i="30"/>
  <c r="AO291" i="30"/>
  <c r="AN291" i="30"/>
  <c r="AM291" i="30"/>
  <c r="AL291" i="30"/>
  <c r="AK291" i="30"/>
  <c r="AJ291" i="30"/>
  <c r="AI291" i="30"/>
  <c r="AH291" i="30"/>
  <c r="AG291" i="30"/>
  <c r="AF291" i="30"/>
  <c r="AE291" i="30"/>
  <c r="AD291" i="30"/>
  <c r="AC291" i="30"/>
  <c r="AB291" i="30"/>
  <c r="AA291" i="30"/>
  <c r="Z291" i="30"/>
  <c r="Y291" i="30"/>
  <c r="X291" i="30"/>
  <c r="W291" i="30"/>
  <c r="V291" i="30"/>
  <c r="U291" i="30"/>
  <c r="T291" i="30"/>
  <c r="S291" i="30"/>
  <c r="R291" i="30"/>
  <c r="Q291" i="30"/>
  <c r="P291" i="30"/>
  <c r="O291" i="30"/>
  <c r="N291" i="30"/>
  <c r="M291" i="30"/>
  <c r="L291" i="30"/>
  <c r="K291" i="30"/>
  <c r="J291" i="30"/>
  <c r="I291" i="30"/>
  <c r="H291" i="30"/>
  <c r="G291" i="30"/>
  <c r="F291" i="30"/>
  <c r="D291" i="30"/>
  <c r="C291" i="30"/>
  <c r="BA290" i="30"/>
  <c r="AV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D290" i="30"/>
  <c r="C290" i="30"/>
  <c r="BA289" i="30"/>
  <c r="AV289" i="30"/>
  <c r="AQ289" i="30"/>
  <c r="AP289" i="30"/>
  <c r="AO289" i="30"/>
  <c r="AN289" i="30"/>
  <c r="AM289" i="30"/>
  <c r="AL289" i="30"/>
  <c r="AK289" i="30"/>
  <c r="AJ289" i="30"/>
  <c r="AI289" i="30"/>
  <c r="AH289" i="30"/>
  <c r="AG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D289" i="30"/>
  <c r="C289" i="30"/>
  <c r="BA288" i="30"/>
  <c r="AV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D288" i="30"/>
  <c r="C288" i="30"/>
  <c r="BA287" i="30"/>
  <c r="AV287" i="30"/>
  <c r="AQ287" i="30"/>
  <c r="AP287" i="30"/>
  <c r="AO287" i="30"/>
  <c r="AN287" i="30"/>
  <c r="AM287" i="30"/>
  <c r="AL287" i="30"/>
  <c r="AK287" i="30"/>
  <c r="AJ287" i="30"/>
  <c r="AI287" i="30"/>
  <c r="AH287" i="30"/>
  <c r="AG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D287" i="30"/>
  <c r="C287" i="30"/>
  <c r="BA286" i="30"/>
  <c r="AV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D286" i="30"/>
  <c r="C286" i="30"/>
  <c r="BA285" i="30"/>
  <c r="AV285" i="30"/>
  <c r="AQ285" i="30"/>
  <c r="AP285" i="30"/>
  <c r="AO285" i="30"/>
  <c r="AN285" i="30"/>
  <c r="AM285" i="30"/>
  <c r="AL285" i="30"/>
  <c r="AK285" i="30"/>
  <c r="AJ285" i="30"/>
  <c r="AI285" i="30"/>
  <c r="AH285" i="30"/>
  <c r="AG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D285" i="30"/>
  <c r="C285" i="30"/>
  <c r="BA284" i="30"/>
  <c r="AV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D284" i="30"/>
  <c r="C284" i="30"/>
  <c r="BA283" i="30"/>
  <c r="AV283" i="30"/>
  <c r="AQ283" i="30"/>
  <c r="AP283" i="30"/>
  <c r="AO283" i="30"/>
  <c r="AN283" i="30"/>
  <c r="AM283" i="30"/>
  <c r="AL283" i="30"/>
  <c r="AK283" i="30"/>
  <c r="AJ283" i="30"/>
  <c r="AI283" i="30"/>
  <c r="AH283" i="30"/>
  <c r="AG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D283" i="30"/>
  <c r="C283" i="30"/>
  <c r="BA282" i="30"/>
  <c r="AV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D282" i="30"/>
  <c r="C282" i="30"/>
  <c r="BA281" i="30"/>
  <c r="AV281" i="30"/>
  <c r="AQ281" i="30"/>
  <c r="AP281" i="30"/>
  <c r="AO281" i="30"/>
  <c r="AN281" i="30"/>
  <c r="AM281" i="30"/>
  <c r="AL281" i="30"/>
  <c r="AK281" i="30"/>
  <c r="AJ281" i="30"/>
  <c r="AI281" i="30"/>
  <c r="AH281" i="30"/>
  <c r="AG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D281" i="30"/>
  <c r="C281" i="30"/>
  <c r="BA280" i="30"/>
  <c r="AV280" i="30"/>
  <c r="AQ280" i="30"/>
  <c r="AP280" i="30"/>
  <c r="AO280" i="30"/>
  <c r="AN280" i="30"/>
  <c r="AM280" i="30"/>
  <c r="AL280" i="30"/>
  <c r="AK280" i="30"/>
  <c r="AJ280" i="30"/>
  <c r="AI280" i="30"/>
  <c r="AH280" i="30"/>
  <c r="AG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D280" i="30"/>
  <c r="C280" i="30"/>
  <c r="BA279" i="30"/>
  <c r="AV279" i="30"/>
  <c r="AQ279" i="30"/>
  <c r="AP279" i="30"/>
  <c r="AO279" i="30"/>
  <c r="AN279" i="30"/>
  <c r="AM279" i="30"/>
  <c r="AL279" i="30"/>
  <c r="AK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D279" i="30"/>
  <c r="C279" i="30"/>
  <c r="BA278" i="30"/>
  <c r="AV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D278" i="30"/>
  <c r="C278" i="30"/>
  <c r="BA277" i="30"/>
  <c r="AV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D277" i="30"/>
  <c r="C277" i="30"/>
  <c r="BA276" i="30"/>
  <c r="AV276" i="30"/>
  <c r="AQ276" i="30"/>
  <c r="AP276" i="30"/>
  <c r="AO276" i="30"/>
  <c r="AN276" i="30"/>
  <c r="AM276" i="30"/>
  <c r="AL276" i="30"/>
  <c r="AK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D276" i="30"/>
  <c r="C276" i="30"/>
  <c r="BA270" i="30"/>
  <c r="AV270" i="30"/>
  <c r="AQ270" i="30"/>
  <c r="AP270" i="30"/>
  <c r="AO270" i="30"/>
  <c r="AN270" i="30"/>
  <c r="AM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D270" i="30"/>
  <c r="C270" i="30"/>
  <c r="BA269" i="30"/>
  <c r="AV269" i="30"/>
  <c r="AQ269" i="30"/>
  <c r="AP269" i="30"/>
  <c r="AO269" i="30"/>
  <c r="AN269" i="30"/>
  <c r="AM269" i="30"/>
  <c r="AL269" i="30"/>
  <c r="AK269" i="30"/>
  <c r="AJ269" i="30"/>
  <c r="AI269" i="30"/>
  <c r="AH269" i="30"/>
  <c r="AG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D269" i="30"/>
  <c r="C269" i="30"/>
  <c r="BA268" i="30"/>
  <c r="AV268" i="30"/>
  <c r="AQ268" i="30"/>
  <c r="AP268" i="30"/>
  <c r="AO268" i="30"/>
  <c r="AN268" i="30"/>
  <c r="AM268" i="30"/>
  <c r="AL268" i="30"/>
  <c r="AK268" i="30"/>
  <c r="AJ268" i="30"/>
  <c r="AI268" i="30"/>
  <c r="AH268" i="30"/>
  <c r="AG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D268" i="30"/>
  <c r="C268" i="30"/>
  <c r="BA267" i="30"/>
  <c r="AV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D267" i="30"/>
  <c r="C267" i="30"/>
  <c r="BA266" i="30"/>
  <c r="AV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D266" i="30"/>
  <c r="C266" i="30"/>
  <c r="BA265" i="30"/>
  <c r="AV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D265" i="30"/>
  <c r="C265" i="30"/>
  <c r="BA264" i="30"/>
  <c r="AV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D264" i="30"/>
  <c r="C264" i="30"/>
  <c r="BA263" i="30"/>
  <c r="AV263" i="30"/>
  <c r="AQ263" i="30"/>
  <c r="AP263" i="30"/>
  <c r="AO263" i="30"/>
  <c r="AN263" i="30"/>
  <c r="AM263" i="30"/>
  <c r="AL263" i="30"/>
  <c r="AK263" i="30"/>
  <c r="AJ263" i="30"/>
  <c r="AI263" i="30"/>
  <c r="AH263" i="30"/>
  <c r="AG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D263" i="30"/>
  <c r="C263" i="30"/>
  <c r="BA262" i="30"/>
  <c r="AV262" i="30"/>
  <c r="AQ262" i="30"/>
  <c r="AP262" i="30"/>
  <c r="AO262" i="30"/>
  <c r="AN262" i="30"/>
  <c r="AM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D262" i="30"/>
  <c r="C262" i="30"/>
  <c r="BA261" i="30"/>
  <c r="AV261" i="30"/>
  <c r="AQ261" i="30"/>
  <c r="AP261" i="30"/>
  <c r="AO261" i="30"/>
  <c r="AN261" i="30"/>
  <c r="AM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D261" i="30"/>
  <c r="C261" i="30"/>
  <c r="BA260" i="30"/>
  <c r="AV260" i="30"/>
  <c r="AQ260" i="30"/>
  <c r="AP260" i="30"/>
  <c r="AO260" i="30"/>
  <c r="AN260" i="30"/>
  <c r="AM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D260" i="30"/>
  <c r="C260" i="30"/>
  <c r="BA259" i="30"/>
  <c r="AV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D259" i="30"/>
  <c r="C259" i="30"/>
  <c r="BA258" i="30"/>
  <c r="AV258" i="30"/>
  <c r="AQ258" i="30"/>
  <c r="AP258" i="30"/>
  <c r="AO258" i="30"/>
  <c r="AN258" i="30"/>
  <c r="AM258" i="30"/>
  <c r="W258" i="30"/>
  <c r="V258" i="30"/>
  <c r="U258" i="30"/>
  <c r="T258" i="30"/>
  <c r="S258" i="30"/>
  <c r="R258" i="30"/>
  <c r="Q258" i="30"/>
  <c r="P258" i="30"/>
  <c r="O258" i="30"/>
  <c r="N258" i="30"/>
  <c r="M258" i="30"/>
  <c r="L258" i="30"/>
  <c r="K258" i="30"/>
  <c r="J258" i="30"/>
  <c r="I258" i="30"/>
  <c r="H258" i="30"/>
  <c r="G258" i="30"/>
  <c r="F258" i="30"/>
  <c r="D258" i="30"/>
  <c r="C258" i="30"/>
  <c r="BA257" i="30"/>
  <c r="AV257" i="30"/>
  <c r="AQ257" i="30"/>
  <c r="AP257" i="30"/>
  <c r="AO257" i="30"/>
  <c r="AN257" i="30"/>
  <c r="AM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D257" i="30"/>
  <c r="C257" i="30"/>
  <c r="BA256" i="30"/>
  <c r="AV256" i="30"/>
  <c r="AQ256" i="30"/>
  <c r="AP256" i="30"/>
  <c r="AO256" i="30"/>
  <c r="AN256" i="30"/>
  <c r="AM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D256" i="30"/>
  <c r="C256" i="30"/>
  <c r="BA255" i="30"/>
  <c r="AV255" i="30"/>
  <c r="AQ255" i="30"/>
  <c r="AP255" i="30"/>
  <c r="AO255" i="30"/>
  <c r="AN255" i="30"/>
  <c r="AM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D255" i="30"/>
  <c r="C255" i="30"/>
  <c r="BA254" i="30"/>
  <c r="AQ254" i="30"/>
  <c r="AP254" i="30"/>
  <c r="AO254" i="30"/>
  <c r="AN254" i="30"/>
  <c r="AM254" i="30"/>
  <c r="AK254" i="30"/>
  <c r="AJ254" i="30"/>
  <c r="V254" i="30"/>
  <c r="T254" i="30"/>
  <c r="S254" i="30"/>
  <c r="R254" i="30"/>
  <c r="Q254" i="30"/>
  <c r="P254" i="30"/>
  <c r="O254" i="30"/>
  <c r="N254" i="30"/>
  <c r="M254" i="30"/>
  <c r="L254" i="30"/>
  <c r="K254" i="30"/>
  <c r="J254" i="30"/>
  <c r="I254" i="30"/>
  <c r="H254" i="30"/>
  <c r="G254" i="30"/>
  <c r="F254" i="30"/>
  <c r="D254" i="30"/>
  <c r="C254" i="30"/>
  <c r="B254" i="30"/>
  <c r="BA253" i="30"/>
  <c r="AQ253" i="30"/>
  <c r="AP253" i="30"/>
  <c r="AO253" i="30"/>
  <c r="AN253" i="30"/>
  <c r="AM253" i="30"/>
  <c r="AK253" i="30"/>
  <c r="AJ253" i="30"/>
  <c r="V253" i="30"/>
  <c r="T253" i="30"/>
  <c r="S253" i="30"/>
  <c r="R253" i="30"/>
  <c r="Q253" i="30"/>
  <c r="P253" i="30"/>
  <c r="O253" i="30"/>
  <c r="N253" i="30"/>
  <c r="M253" i="30"/>
  <c r="L253" i="30"/>
  <c r="K253" i="30"/>
  <c r="J253" i="30"/>
  <c r="I253" i="30"/>
  <c r="H253" i="30"/>
  <c r="G253" i="30"/>
  <c r="F253" i="30"/>
  <c r="D253" i="30"/>
  <c r="C253" i="30"/>
  <c r="B253" i="30"/>
  <c r="BA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C252" i="30"/>
  <c r="B252" i="30"/>
  <c r="BA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C251" i="30"/>
  <c r="B251" i="30"/>
  <c r="BA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C250" i="30"/>
  <c r="B250" i="30"/>
  <c r="BA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C249" i="30"/>
  <c r="B249" i="30"/>
  <c r="BA248" i="30"/>
  <c r="AQ248" i="30"/>
  <c r="AP248" i="30"/>
  <c r="AO248" i="30"/>
  <c r="AN248" i="30"/>
  <c r="AM248" i="30"/>
  <c r="AK248" i="30"/>
  <c r="AJ248" i="30"/>
  <c r="V248" i="30"/>
  <c r="T248" i="30"/>
  <c r="S248" i="30"/>
  <c r="R248" i="30"/>
  <c r="Q248" i="30"/>
  <c r="P248" i="30"/>
  <c r="O248" i="30"/>
  <c r="N248" i="30"/>
  <c r="M248" i="30"/>
  <c r="L248" i="30"/>
  <c r="K248" i="30"/>
  <c r="J248" i="30"/>
  <c r="I248" i="30"/>
  <c r="H248" i="30"/>
  <c r="G248" i="30"/>
  <c r="F248" i="30"/>
  <c r="D248" i="30"/>
  <c r="C248" i="30"/>
  <c r="B248" i="30"/>
  <c r="BA247" i="30"/>
  <c r="AQ247" i="30"/>
  <c r="AP247" i="30"/>
  <c r="AO247" i="30"/>
  <c r="AN247" i="30"/>
  <c r="AM247" i="30"/>
  <c r="AK247" i="30"/>
  <c r="AJ247" i="30"/>
  <c r="V247" i="30"/>
  <c r="T247" i="30"/>
  <c r="S247" i="30"/>
  <c r="R247" i="30"/>
  <c r="Q247" i="30"/>
  <c r="P247" i="30"/>
  <c r="O247" i="30"/>
  <c r="N247" i="30"/>
  <c r="M247" i="30"/>
  <c r="L247" i="30"/>
  <c r="K247" i="30"/>
  <c r="J247" i="30"/>
  <c r="I247" i="30"/>
  <c r="H247" i="30"/>
  <c r="G247" i="30"/>
  <c r="F247" i="30"/>
  <c r="D247" i="30"/>
  <c r="C247" i="30"/>
  <c r="B247" i="30"/>
  <c r="BA246" i="30"/>
  <c r="AQ246" i="30"/>
  <c r="AP246" i="30"/>
  <c r="AO246" i="30"/>
  <c r="AN246" i="30"/>
  <c r="AM246" i="30"/>
  <c r="AK246" i="30"/>
  <c r="AJ246" i="30"/>
  <c r="V246" i="30"/>
  <c r="T246" i="30"/>
  <c r="S246" i="30"/>
  <c r="R246" i="30"/>
  <c r="Q246" i="30"/>
  <c r="P246" i="30"/>
  <c r="O246" i="30"/>
  <c r="N246" i="30"/>
  <c r="M246" i="30"/>
  <c r="L246" i="30"/>
  <c r="K246" i="30"/>
  <c r="J246" i="30"/>
  <c r="I246" i="30"/>
  <c r="H246" i="30"/>
  <c r="G246" i="30"/>
  <c r="F246" i="30"/>
  <c r="D246" i="30"/>
  <c r="C246" i="30"/>
  <c r="B246" i="30"/>
  <c r="BA245" i="30"/>
  <c r="AQ245" i="30"/>
  <c r="AP245" i="30"/>
  <c r="AO245" i="30"/>
  <c r="AN245" i="30"/>
  <c r="AM245" i="30"/>
  <c r="AK245" i="30"/>
  <c r="AJ245" i="30"/>
  <c r="V245" i="30"/>
  <c r="T245" i="30"/>
  <c r="S245" i="30"/>
  <c r="R245" i="30"/>
  <c r="Q245" i="30"/>
  <c r="P245" i="30"/>
  <c r="O245" i="30"/>
  <c r="N245" i="30"/>
  <c r="M245" i="30"/>
  <c r="L245" i="30"/>
  <c r="K245" i="30"/>
  <c r="J245" i="30"/>
  <c r="I245" i="30"/>
  <c r="H245" i="30"/>
  <c r="G245" i="30"/>
  <c r="F245" i="30"/>
  <c r="D245" i="30"/>
  <c r="C245" i="30"/>
  <c r="B245" i="30"/>
  <c r="BA242" i="30"/>
  <c r="AL242" i="30"/>
  <c r="AK242" i="30"/>
  <c r="V242" i="30"/>
  <c r="T242" i="30"/>
  <c r="S242" i="30"/>
  <c r="R242" i="30"/>
  <c r="Q242" i="30"/>
  <c r="P242" i="30"/>
  <c r="O242" i="30"/>
  <c r="N242" i="30"/>
  <c r="M242" i="30"/>
  <c r="L242" i="30"/>
  <c r="K242" i="30"/>
  <c r="J242" i="30"/>
  <c r="I242" i="30"/>
  <c r="H242" i="30"/>
  <c r="G242" i="30"/>
  <c r="D242" i="30"/>
  <c r="C242" i="30"/>
  <c r="B242" i="30"/>
  <c r="V241" i="30"/>
  <c r="T241" i="30"/>
  <c r="S241" i="30"/>
  <c r="R241" i="30"/>
  <c r="Q241" i="30"/>
  <c r="P241" i="30"/>
  <c r="O241" i="30"/>
  <c r="N241" i="30"/>
  <c r="M241" i="30"/>
  <c r="L241" i="30"/>
  <c r="K241" i="30"/>
  <c r="J241" i="30"/>
  <c r="I241" i="30"/>
  <c r="H241" i="30"/>
  <c r="G241" i="30"/>
  <c r="F241" i="30"/>
  <c r="D241" i="30"/>
  <c r="C241" i="30"/>
  <c r="B241" i="30"/>
  <c r="BA237" i="30"/>
  <c r="AV237" i="30"/>
  <c r="AQ237" i="30"/>
  <c r="AP237" i="30"/>
  <c r="AO237" i="30"/>
  <c r="AN237" i="30"/>
  <c r="AM237" i="30"/>
  <c r="AK237" i="30"/>
  <c r="AJ237" i="30"/>
  <c r="AI237" i="30"/>
  <c r="AH237" i="30"/>
  <c r="AG237" i="30"/>
  <c r="AF237" i="30"/>
  <c r="AE237" i="30"/>
  <c r="AD237" i="30"/>
  <c r="AC237" i="30"/>
  <c r="AB237" i="30"/>
  <c r="AA237" i="30"/>
  <c r="X237" i="30"/>
  <c r="W237" i="30"/>
  <c r="V237" i="30"/>
  <c r="U237" i="30"/>
  <c r="T237" i="30"/>
  <c r="S237" i="30"/>
  <c r="R237" i="30"/>
  <c r="Q237" i="30"/>
  <c r="P237" i="30"/>
  <c r="O237" i="30"/>
  <c r="N237" i="30"/>
  <c r="M237" i="30"/>
  <c r="L237" i="30"/>
  <c r="K237" i="30"/>
  <c r="J237" i="30"/>
  <c r="I237" i="30"/>
  <c r="H237" i="30"/>
  <c r="G237" i="30"/>
  <c r="F237" i="30"/>
  <c r="D237" i="30"/>
  <c r="C237" i="30"/>
  <c r="BA236" i="30"/>
  <c r="AV236" i="30"/>
  <c r="AQ236" i="30"/>
  <c r="AP236" i="30"/>
  <c r="AO236" i="30"/>
  <c r="AN236" i="30"/>
  <c r="AM236" i="30"/>
  <c r="AK236" i="30"/>
  <c r="Z236" i="30"/>
  <c r="Y236" i="30"/>
  <c r="X236" i="30"/>
  <c r="W236" i="30"/>
  <c r="V236" i="30"/>
  <c r="U236" i="30"/>
  <c r="T236" i="30"/>
  <c r="S236" i="30"/>
  <c r="R236" i="30"/>
  <c r="Q236" i="30"/>
  <c r="P236" i="30"/>
  <c r="O236" i="30"/>
  <c r="N236" i="30"/>
  <c r="M236" i="30"/>
  <c r="L236" i="30"/>
  <c r="K236" i="30"/>
  <c r="J236" i="30"/>
  <c r="I236" i="30"/>
  <c r="H236" i="30"/>
  <c r="G236" i="30"/>
  <c r="F236" i="30"/>
  <c r="D236" i="30"/>
  <c r="C236" i="30"/>
  <c r="BA235" i="30"/>
  <c r="AV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D235" i="30"/>
  <c r="C235" i="30"/>
  <c r="BA234" i="30"/>
  <c r="AV234" i="30"/>
  <c r="AQ234" i="30"/>
  <c r="AP234" i="30"/>
  <c r="AO234" i="30"/>
  <c r="AN234" i="30"/>
  <c r="AM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D234" i="30"/>
  <c r="C234" i="30"/>
  <c r="BA233" i="30"/>
  <c r="AV233" i="30"/>
  <c r="AQ233" i="30"/>
  <c r="AP233" i="30"/>
  <c r="AO233" i="30"/>
  <c r="AN233" i="30"/>
  <c r="AM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D233" i="30"/>
  <c r="C233" i="30"/>
  <c r="BA232" i="30"/>
  <c r="AV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D232" i="30"/>
  <c r="C232" i="30"/>
  <c r="BA231" i="30"/>
  <c r="AV231" i="30"/>
  <c r="AQ231" i="30"/>
  <c r="AP231" i="30"/>
  <c r="AO231" i="30"/>
  <c r="AN231" i="30"/>
  <c r="AM231" i="30"/>
  <c r="AL231" i="30"/>
  <c r="V231" i="30"/>
  <c r="R231" i="30"/>
  <c r="O231" i="30"/>
  <c r="N231" i="30"/>
  <c r="M231" i="30"/>
  <c r="L231" i="30"/>
  <c r="K231" i="30"/>
  <c r="J231" i="30"/>
  <c r="I231" i="30"/>
  <c r="H231" i="30"/>
  <c r="G231" i="30"/>
  <c r="F231" i="30"/>
  <c r="D231" i="30"/>
  <c r="C231" i="30"/>
  <c r="BA230" i="30"/>
  <c r="AV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D230" i="30"/>
  <c r="C230" i="30"/>
  <c r="BA229" i="30"/>
  <c r="AV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D229" i="30"/>
  <c r="C229" i="30"/>
  <c r="BA228" i="30"/>
  <c r="AV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D228" i="30"/>
  <c r="C228" i="30"/>
  <c r="BA227" i="30"/>
  <c r="AV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D227" i="30"/>
  <c r="C227" i="30"/>
  <c r="BA226" i="30"/>
  <c r="AV226" i="30"/>
  <c r="AQ226" i="30"/>
  <c r="AP226" i="30"/>
  <c r="AO226" i="30"/>
  <c r="AN226" i="30"/>
  <c r="AM226" i="30"/>
  <c r="AL226" i="30"/>
  <c r="V226" i="30"/>
  <c r="R226" i="30"/>
  <c r="N226" i="30"/>
  <c r="M226" i="30"/>
  <c r="L226" i="30"/>
  <c r="K226" i="30"/>
  <c r="J226" i="30"/>
  <c r="I226" i="30"/>
  <c r="H226" i="30"/>
  <c r="G226" i="30"/>
  <c r="F226" i="30"/>
  <c r="D226" i="30"/>
  <c r="C226" i="30"/>
  <c r="BA225" i="30"/>
  <c r="AV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D225" i="30"/>
  <c r="C225" i="30"/>
  <c r="BA224" i="30"/>
  <c r="AV224" i="30"/>
  <c r="AQ224" i="30"/>
  <c r="AP224" i="30"/>
  <c r="AO224" i="30"/>
  <c r="AN224" i="30"/>
  <c r="AM224" i="30"/>
  <c r="AL224" i="30"/>
  <c r="V224" i="30"/>
  <c r="R224" i="30"/>
  <c r="O224" i="30"/>
  <c r="N224" i="30"/>
  <c r="M224" i="30"/>
  <c r="L224" i="30"/>
  <c r="K224" i="30"/>
  <c r="J224" i="30"/>
  <c r="I224" i="30"/>
  <c r="H224" i="30"/>
  <c r="G224" i="30"/>
  <c r="F224" i="30"/>
  <c r="D224" i="30"/>
  <c r="C224" i="30"/>
  <c r="BA223" i="30"/>
  <c r="AV223" i="30"/>
  <c r="AQ223" i="30"/>
  <c r="AP223" i="30"/>
  <c r="AO223" i="30"/>
  <c r="AN223" i="30"/>
  <c r="AM223" i="30"/>
  <c r="AL223" i="30"/>
  <c r="V223" i="30"/>
  <c r="R223" i="30"/>
  <c r="O223" i="30"/>
  <c r="N223" i="30"/>
  <c r="M223" i="30"/>
  <c r="L223" i="30"/>
  <c r="K223" i="30"/>
  <c r="J223" i="30"/>
  <c r="I223" i="30"/>
  <c r="H223" i="30"/>
  <c r="G223" i="30"/>
  <c r="F223" i="30"/>
  <c r="D223" i="30"/>
  <c r="C223" i="30"/>
  <c r="BA222" i="30"/>
  <c r="AV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D222" i="30"/>
  <c r="C222" i="30"/>
  <c r="BA221" i="30"/>
  <c r="AV221" i="30"/>
  <c r="AQ221" i="30"/>
  <c r="AP221" i="30"/>
  <c r="AO221" i="30"/>
  <c r="AN221" i="30"/>
  <c r="AM221" i="30"/>
  <c r="AL221" i="30"/>
  <c r="V221" i="30"/>
  <c r="R221" i="30"/>
  <c r="O221" i="30"/>
  <c r="N221" i="30"/>
  <c r="M221" i="30"/>
  <c r="L221" i="30"/>
  <c r="K221" i="30"/>
  <c r="J221" i="30"/>
  <c r="I221" i="30"/>
  <c r="H221" i="30"/>
  <c r="G221" i="30"/>
  <c r="F221" i="30"/>
  <c r="D221" i="30"/>
  <c r="C221" i="30"/>
  <c r="BA220" i="30"/>
  <c r="AV220" i="30"/>
  <c r="AQ220" i="30"/>
  <c r="AP220" i="30"/>
  <c r="AO220" i="30"/>
  <c r="AN220" i="30"/>
  <c r="AM220" i="30"/>
  <c r="AL220" i="30"/>
  <c r="R220" i="30"/>
  <c r="N220" i="30"/>
  <c r="M220" i="30"/>
  <c r="L220" i="30"/>
  <c r="K220" i="30"/>
  <c r="J220" i="30"/>
  <c r="I220" i="30"/>
  <c r="H220" i="30"/>
  <c r="G220" i="30"/>
  <c r="F220" i="30"/>
  <c r="D220" i="30"/>
  <c r="C220" i="30"/>
  <c r="BA219" i="30"/>
  <c r="AV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D219" i="30"/>
  <c r="C219" i="30"/>
  <c r="BA218" i="30"/>
  <c r="AV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D218" i="30"/>
  <c r="C218" i="30"/>
  <c r="BA217" i="30"/>
  <c r="AV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D217" i="30"/>
  <c r="C217" i="30"/>
  <c r="BA216" i="30"/>
  <c r="AV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D216" i="30"/>
  <c r="C216" i="30"/>
  <c r="BD215" i="30"/>
  <c r="BC215" i="30"/>
  <c r="BB215" i="30"/>
  <c r="BA215" i="30"/>
  <c r="AV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D215" i="30"/>
  <c r="C215" i="30"/>
  <c r="BA214" i="30"/>
  <c r="AV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D214" i="30"/>
  <c r="C214" i="30"/>
  <c r="BA213" i="30"/>
  <c r="AV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D213" i="30"/>
  <c r="C213" i="30"/>
  <c r="BA212" i="30"/>
  <c r="AV212" i="30"/>
  <c r="AQ212" i="30"/>
  <c r="AP212" i="30"/>
  <c r="AO212" i="30"/>
  <c r="AN212" i="30"/>
  <c r="AM212" i="30"/>
  <c r="AL212" i="30"/>
  <c r="V212" i="30"/>
  <c r="R212" i="30"/>
  <c r="O212" i="30"/>
  <c r="N212" i="30"/>
  <c r="M212" i="30"/>
  <c r="L212" i="30"/>
  <c r="K212" i="30"/>
  <c r="J212" i="30"/>
  <c r="I212" i="30"/>
  <c r="H212" i="30"/>
  <c r="G212" i="30"/>
  <c r="F212" i="30"/>
  <c r="D212" i="30"/>
  <c r="C212" i="30"/>
  <c r="BA211" i="30"/>
  <c r="AV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D211" i="30"/>
  <c r="C211" i="30"/>
  <c r="BA210" i="30"/>
  <c r="AV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D210" i="30"/>
  <c r="C210" i="30"/>
  <c r="BA209" i="30"/>
  <c r="AV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D209" i="30"/>
  <c r="C209" i="30"/>
  <c r="BA208" i="30"/>
  <c r="AV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D208" i="30"/>
  <c r="C208" i="30"/>
  <c r="BA207" i="30"/>
  <c r="AV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D207" i="30"/>
  <c r="C207" i="30"/>
  <c r="BA206" i="30"/>
  <c r="AV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D206" i="30"/>
  <c r="C206" i="30"/>
  <c r="BA205" i="30"/>
  <c r="AV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D205" i="30"/>
  <c r="C205" i="30"/>
  <c r="BA204" i="30"/>
  <c r="AV204" i="30"/>
  <c r="AQ204" i="30"/>
  <c r="AP204" i="30"/>
  <c r="AO204" i="30"/>
  <c r="AN204" i="30"/>
  <c r="AM204" i="30"/>
  <c r="AL204" i="30"/>
  <c r="AK204" i="30"/>
  <c r="AJ204" i="30"/>
  <c r="AI204" i="30"/>
  <c r="AH204" i="30"/>
  <c r="AG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D204" i="30"/>
  <c r="C204" i="30"/>
  <c r="BA203" i="30"/>
  <c r="AV203" i="30"/>
  <c r="AQ203" i="30"/>
  <c r="AP203" i="30"/>
  <c r="AO203" i="30"/>
  <c r="AN203" i="30"/>
  <c r="AM203" i="30"/>
  <c r="AL203" i="30"/>
  <c r="AK203" i="30"/>
  <c r="AJ203" i="30"/>
  <c r="AI203" i="30"/>
  <c r="AH203" i="30"/>
  <c r="AG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D203" i="30"/>
  <c r="C203" i="30"/>
  <c r="BA202" i="30"/>
  <c r="AV202" i="30"/>
  <c r="AQ202" i="30"/>
  <c r="AP202" i="30"/>
  <c r="AO202" i="30"/>
  <c r="AN202" i="30"/>
  <c r="AM202" i="30"/>
  <c r="AL202" i="30"/>
  <c r="AK202" i="30"/>
  <c r="AJ202" i="30"/>
  <c r="AI202" i="30"/>
  <c r="AH202" i="30"/>
  <c r="AG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D202" i="30"/>
  <c r="C202" i="30"/>
  <c r="BA201" i="30"/>
  <c r="AV201" i="30"/>
  <c r="AQ201" i="30"/>
  <c r="AP201" i="30"/>
  <c r="AO201" i="30"/>
  <c r="AN201" i="30"/>
  <c r="AM201" i="30"/>
  <c r="AL201" i="30"/>
  <c r="AK201" i="30"/>
  <c r="AJ201" i="30"/>
  <c r="AI201" i="30"/>
  <c r="AH201" i="30"/>
  <c r="AG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D201" i="30"/>
  <c r="C201" i="30"/>
  <c r="BA200" i="30"/>
  <c r="AV200" i="30"/>
  <c r="AQ200" i="30"/>
  <c r="AP200" i="30"/>
  <c r="AO200" i="30"/>
  <c r="AN200" i="30"/>
  <c r="AM200" i="30"/>
  <c r="AL200" i="30"/>
  <c r="AK200" i="30"/>
  <c r="AJ200" i="30"/>
  <c r="AI200" i="30"/>
  <c r="AH200" i="30"/>
  <c r="AG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D200" i="30"/>
  <c r="C200" i="30"/>
  <c r="BA199" i="30"/>
  <c r="AV199" i="30"/>
  <c r="AQ199" i="30"/>
  <c r="AP199" i="30"/>
  <c r="AO199" i="30"/>
  <c r="AN199" i="30"/>
  <c r="AM199" i="30"/>
  <c r="AL199" i="30"/>
  <c r="AK199" i="30"/>
  <c r="AJ199" i="30"/>
  <c r="AI199" i="30"/>
  <c r="AH199" i="30"/>
  <c r="AG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D199" i="30"/>
  <c r="C199" i="30"/>
  <c r="BA198" i="30"/>
  <c r="AV198" i="30"/>
  <c r="AQ198" i="30"/>
  <c r="AP198" i="30"/>
  <c r="AO198" i="30"/>
  <c r="AN198" i="30"/>
  <c r="AM198" i="30"/>
  <c r="AL198" i="30"/>
  <c r="AK198" i="30"/>
  <c r="AJ198" i="30"/>
  <c r="AI198" i="30"/>
  <c r="AH198" i="30"/>
  <c r="AG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D198" i="30"/>
  <c r="C198" i="30"/>
  <c r="BA197" i="30"/>
  <c r="AV197" i="30"/>
  <c r="AQ197" i="30"/>
  <c r="AP197" i="30"/>
  <c r="AO197" i="30"/>
  <c r="AN197" i="30"/>
  <c r="AM197" i="30"/>
  <c r="AL197" i="30"/>
  <c r="AK197" i="30"/>
  <c r="AJ197" i="30"/>
  <c r="AI197" i="30"/>
  <c r="AH197" i="30"/>
  <c r="AG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D197" i="30"/>
  <c r="C197" i="30"/>
  <c r="BA196" i="30"/>
  <c r="AV196" i="30"/>
  <c r="AQ196" i="30"/>
  <c r="AP196" i="30"/>
  <c r="AO196" i="30"/>
  <c r="AN196" i="30"/>
  <c r="AM196" i="30"/>
  <c r="AL196" i="30"/>
  <c r="AK196" i="30"/>
  <c r="AJ196" i="30"/>
  <c r="AI196" i="30"/>
  <c r="AH196" i="30"/>
  <c r="AG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D196" i="30"/>
  <c r="C196" i="30"/>
  <c r="BA195" i="30"/>
  <c r="AV195" i="30"/>
  <c r="AQ195" i="30"/>
  <c r="AP195" i="30"/>
  <c r="AO195" i="30"/>
  <c r="AN195" i="30"/>
  <c r="AM195" i="30"/>
  <c r="AL195" i="30"/>
  <c r="AK195" i="30"/>
  <c r="AJ195" i="30"/>
  <c r="AI195" i="30"/>
  <c r="AH195" i="30"/>
  <c r="AG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D195" i="30"/>
  <c r="C195" i="30"/>
  <c r="BA194" i="30"/>
  <c r="AV194" i="30"/>
  <c r="AQ194" i="30"/>
  <c r="AP194" i="30"/>
  <c r="AO194" i="30"/>
  <c r="AN194" i="30"/>
  <c r="AM194" i="30"/>
  <c r="AL194" i="30"/>
  <c r="AK194" i="30"/>
  <c r="AJ194" i="30"/>
  <c r="AI194" i="30"/>
  <c r="AH194" i="30"/>
  <c r="AG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D194" i="30"/>
  <c r="C194" i="30"/>
  <c r="BA193" i="30"/>
  <c r="AV193" i="30"/>
  <c r="AQ193" i="30"/>
  <c r="AP193" i="30"/>
  <c r="AO193" i="30"/>
  <c r="AN193" i="30"/>
  <c r="AM193" i="30"/>
  <c r="AL193" i="30"/>
  <c r="AK193" i="30"/>
  <c r="AJ193" i="30"/>
  <c r="AI193" i="30"/>
  <c r="AH193" i="30"/>
  <c r="AG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D193" i="30"/>
  <c r="C193" i="30"/>
  <c r="BA192" i="30"/>
  <c r="AV192" i="30"/>
  <c r="AQ192" i="30"/>
  <c r="AP192" i="30"/>
  <c r="AO192" i="30"/>
  <c r="AN192" i="30"/>
  <c r="AM192" i="30"/>
  <c r="AL192" i="30"/>
  <c r="AK192" i="30"/>
  <c r="AJ192" i="30"/>
  <c r="AI192" i="30"/>
  <c r="AH192" i="30"/>
  <c r="AG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D192" i="30"/>
  <c r="C192" i="30"/>
  <c r="BA191" i="30"/>
  <c r="AV191" i="30"/>
  <c r="AQ191" i="30"/>
  <c r="AP191" i="30"/>
  <c r="AO191" i="30"/>
  <c r="AN191" i="30"/>
  <c r="AM191" i="30"/>
  <c r="AL191" i="30"/>
  <c r="AK191" i="30"/>
  <c r="AJ191" i="30"/>
  <c r="AI191" i="30"/>
  <c r="AH191" i="30"/>
  <c r="AG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D191" i="30"/>
  <c r="C191" i="30"/>
  <c r="BA190" i="30"/>
  <c r="AV190" i="30"/>
  <c r="AQ190" i="30"/>
  <c r="AP190" i="30"/>
  <c r="AO190" i="30"/>
  <c r="AN190" i="30"/>
  <c r="AM190" i="30"/>
  <c r="AL190" i="30"/>
  <c r="AK190" i="30"/>
  <c r="AJ190" i="30"/>
  <c r="AI190" i="30"/>
  <c r="AH190" i="30"/>
  <c r="AG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D190" i="30"/>
  <c r="C190" i="30"/>
  <c r="BA189" i="30"/>
  <c r="AV189" i="30"/>
  <c r="AQ189" i="30"/>
  <c r="AP189" i="30"/>
  <c r="AO189" i="30"/>
  <c r="AN189" i="30"/>
  <c r="AM189" i="30"/>
  <c r="AL189" i="30"/>
  <c r="AK189" i="30"/>
  <c r="AJ189" i="30"/>
  <c r="AI189" i="30"/>
  <c r="AH189" i="30"/>
  <c r="AG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D189" i="30"/>
  <c r="C189" i="30"/>
  <c r="BA188" i="30"/>
  <c r="AV188" i="30"/>
  <c r="AQ188" i="30"/>
  <c r="AP188" i="30"/>
  <c r="AO188" i="30"/>
  <c r="AN188" i="30"/>
  <c r="AM188" i="30"/>
  <c r="AL188" i="30"/>
  <c r="AK188" i="30"/>
  <c r="AJ188" i="30"/>
  <c r="AI188" i="30"/>
  <c r="AH188" i="30"/>
  <c r="AG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D188" i="30"/>
  <c r="C188" i="30"/>
  <c r="BA187" i="30"/>
  <c r="AV187" i="30"/>
  <c r="AQ187" i="30"/>
  <c r="AP187" i="30"/>
  <c r="AO187" i="30"/>
  <c r="AN187" i="30"/>
  <c r="AM187" i="30"/>
  <c r="AL187" i="30"/>
  <c r="AK187" i="30"/>
  <c r="AJ187" i="30"/>
  <c r="AI187" i="30"/>
  <c r="AH187" i="30"/>
  <c r="AG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D187" i="30"/>
  <c r="C187" i="30"/>
  <c r="BA186" i="30"/>
  <c r="AV186" i="30"/>
  <c r="AQ186" i="30"/>
  <c r="AP186" i="30"/>
  <c r="AO186" i="30"/>
  <c r="AN186" i="30"/>
  <c r="AM186" i="30"/>
  <c r="AL186" i="30"/>
  <c r="AK186" i="30"/>
  <c r="AJ186" i="30"/>
  <c r="AI186" i="30"/>
  <c r="AH186" i="30"/>
  <c r="AG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D186" i="30"/>
  <c r="C186" i="30"/>
  <c r="BA185" i="30"/>
  <c r="AV185" i="30"/>
  <c r="AQ185" i="30"/>
  <c r="AP185" i="30"/>
  <c r="AO185" i="30"/>
  <c r="AN185" i="30"/>
  <c r="AM185" i="30"/>
  <c r="AL185" i="30"/>
  <c r="AK185" i="30"/>
  <c r="AJ185" i="30"/>
  <c r="AI185" i="30"/>
  <c r="AH185" i="30"/>
  <c r="AG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D185" i="30"/>
  <c r="C185" i="30"/>
  <c r="BA184" i="30"/>
  <c r="AV184" i="30"/>
  <c r="AQ184" i="30"/>
  <c r="AP184" i="30"/>
  <c r="AO184" i="30"/>
  <c r="AN184" i="30"/>
  <c r="AM184" i="30"/>
  <c r="AL184" i="30"/>
  <c r="AK184" i="30"/>
  <c r="AJ184" i="30"/>
  <c r="AI184" i="30"/>
  <c r="AH184" i="30"/>
  <c r="AG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D184" i="30"/>
  <c r="C184" i="30"/>
  <c r="BA183" i="30"/>
  <c r="AV183" i="30"/>
  <c r="AQ183" i="30"/>
  <c r="AP183" i="30"/>
  <c r="AO183" i="30"/>
  <c r="AN183" i="30"/>
  <c r="AM183" i="30"/>
  <c r="AL183" i="30"/>
  <c r="AK183" i="30"/>
  <c r="AJ183" i="30"/>
  <c r="AI183" i="30"/>
  <c r="AH183" i="30"/>
  <c r="AG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D183" i="30"/>
  <c r="C183" i="30"/>
  <c r="BA182" i="30"/>
  <c r="AV182" i="30"/>
  <c r="AQ182" i="30"/>
  <c r="AP182" i="30"/>
  <c r="AO182" i="30"/>
  <c r="AN182" i="30"/>
  <c r="AM182" i="30"/>
  <c r="AL182" i="30"/>
  <c r="AK182" i="30"/>
  <c r="AJ182" i="30"/>
  <c r="AI182" i="30"/>
  <c r="AH182" i="30"/>
  <c r="AG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D182" i="30"/>
  <c r="C182" i="30"/>
  <c r="BA181" i="30"/>
  <c r="AV181" i="30"/>
  <c r="AQ181" i="30"/>
  <c r="AP181" i="30"/>
  <c r="AO181" i="30"/>
  <c r="AN181" i="30"/>
  <c r="AM181" i="30"/>
  <c r="AL181" i="30"/>
  <c r="AK181" i="30"/>
  <c r="AJ181" i="30"/>
  <c r="AI181" i="30"/>
  <c r="AH181" i="30"/>
  <c r="AG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D181" i="30"/>
  <c r="C181" i="30"/>
  <c r="BA180" i="30"/>
  <c r="AV180" i="30"/>
  <c r="AQ180" i="30"/>
  <c r="AP180" i="30"/>
  <c r="AO180" i="30"/>
  <c r="AN180" i="30"/>
  <c r="AM180" i="30"/>
  <c r="AL180" i="30"/>
  <c r="AK180" i="30"/>
  <c r="AJ180" i="30"/>
  <c r="AI180" i="30"/>
  <c r="AH180" i="30"/>
  <c r="AG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D180" i="30"/>
  <c r="C180" i="30"/>
  <c r="BA179" i="30"/>
  <c r="AV179" i="30"/>
  <c r="AQ179" i="30"/>
  <c r="AP179" i="30"/>
  <c r="AO179" i="30"/>
  <c r="AN179" i="30"/>
  <c r="AM179" i="30"/>
  <c r="AL179" i="30"/>
  <c r="AK179" i="30"/>
  <c r="AJ179" i="30"/>
  <c r="AI179" i="30"/>
  <c r="AH179" i="30"/>
  <c r="AG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D179" i="30"/>
  <c r="C179" i="30"/>
  <c r="BA178" i="30"/>
  <c r="AV178" i="30"/>
  <c r="AQ178" i="30"/>
  <c r="AP178" i="30"/>
  <c r="AO178" i="30"/>
  <c r="AN178" i="30"/>
  <c r="AM178" i="30"/>
  <c r="AL178" i="30"/>
  <c r="AK178" i="30"/>
  <c r="AJ178" i="30"/>
  <c r="AI178" i="30"/>
  <c r="AH178" i="30"/>
  <c r="AG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D178" i="30"/>
  <c r="C178" i="30"/>
  <c r="BA177" i="30"/>
  <c r="AV177" i="30"/>
  <c r="AQ177" i="30"/>
  <c r="AP177" i="30"/>
  <c r="AO177" i="30"/>
  <c r="AN177" i="30"/>
  <c r="AM177" i="30"/>
  <c r="AL177" i="30"/>
  <c r="AK177" i="30"/>
  <c r="AJ177" i="30"/>
  <c r="AI177" i="30"/>
  <c r="AH177" i="30"/>
  <c r="AG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D177" i="30"/>
  <c r="C177" i="30"/>
  <c r="BA176" i="30"/>
  <c r="AV176" i="30"/>
  <c r="AQ176" i="30"/>
  <c r="AP176" i="30"/>
  <c r="AO176" i="30"/>
  <c r="AN176" i="30"/>
  <c r="AM176" i="30"/>
  <c r="AL176" i="30"/>
  <c r="AK176" i="30"/>
  <c r="AJ176" i="30"/>
  <c r="AI176" i="30"/>
  <c r="AH176" i="30"/>
  <c r="AG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D176" i="30"/>
  <c r="C176" i="30"/>
  <c r="BA175" i="30"/>
  <c r="AV175" i="30"/>
  <c r="AQ175" i="30"/>
  <c r="AP175" i="30"/>
  <c r="AO175" i="30"/>
  <c r="AN175" i="30"/>
  <c r="AM175" i="30"/>
  <c r="AL175" i="30"/>
  <c r="AK175" i="30"/>
  <c r="AJ175" i="30"/>
  <c r="AI175" i="30"/>
  <c r="AH175" i="30"/>
  <c r="AG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D175" i="30"/>
  <c r="C175" i="30"/>
  <c r="BA174" i="30"/>
  <c r="AV174" i="30"/>
  <c r="AQ174" i="30"/>
  <c r="AP174" i="30"/>
  <c r="AO174" i="30"/>
  <c r="AN174" i="30"/>
  <c r="AM174" i="30"/>
  <c r="AL174" i="30"/>
  <c r="AK174" i="30"/>
  <c r="AJ174" i="30"/>
  <c r="AI174" i="30"/>
  <c r="AH174" i="30"/>
  <c r="AG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D174" i="30"/>
  <c r="C174" i="30"/>
  <c r="BA173" i="30"/>
  <c r="AV173" i="30"/>
  <c r="AQ173" i="30"/>
  <c r="AP173" i="30"/>
  <c r="AO173" i="30"/>
  <c r="AN173" i="30"/>
  <c r="AM173" i="30"/>
  <c r="AL173" i="30"/>
  <c r="AK173" i="30"/>
  <c r="AJ173" i="30"/>
  <c r="AI173" i="30"/>
  <c r="AH173" i="30"/>
  <c r="AG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D173" i="30"/>
  <c r="C173" i="30"/>
  <c r="BA172" i="30"/>
  <c r="AV172" i="30"/>
  <c r="AQ172" i="30"/>
  <c r="AP172" i="30"/>
  <c r="AO172" i="30"/>
  <c r="AN172" i="30"/>
  <c r="AM172" i="30"/>
  <c r="AK172" i="30"/>
  <c r="V172" i="30"/>
  <c r="S172" i="30"/>
  <c r="J172" i="30"/>
  <c r="I172" i="30"/>
  <c r="H172" i="30"/>
  <c r="G172" i="30"/>
  <c r="F172" i="30"/>
  <c r="D172" i="30"/>
  <c r="C172" i="30"/>
  <c r="BA171" i="30"/>
  <c r="AV171" i="30"/>
  <c r="AQ171" i="30"/>
  <c r="AP171" i="30"/>
  <c r="AO171" i="30"/>
  <c r="AN171" i="30"/>
  <c r="AM171" i="30"/>
  <c r="AL171" i="30"/>
  <c r="AK171" i="30"/>
  <c r="AJ171" i="30"/>
  <c r="AI171" i="30"/>
  <c r="AH171" i="30"/>
  <c r="AG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D171" i="30"/>
  <c r="C171" i="30"/>
  <c r="BA170" i="30"/>
  <c r="AV170" i="30"/>
  <c r="AQ170" i="30"/>
  <c r="AP170" i="30"/>
  <c r="AO170" i="30"/>
  <c r="AN170" i="30"/>
  <c r="AM170" i="30"/>
  <c r="AL170" i="30"/>
  <c r="AK170" i="30"/>
  <c r="AJ170" i="30"/>
  <c r="AI170" i="30"/>
  <c r="AH170" i="30"/>
  <c r="AG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D170" i="30"/>
  <c r="C170" i="30"/>
  <c r="BA164" i="30"/>
  <c r="AV164" i="30"/>
  <c r="AQ164" i="30"/>
  <c r="AP164" i="30"/>
  <c r="AO164" i="30"/>
  <c r="AN164" i="30"/>
  <c r="AM164" i="30"/>
  <c r="X164" i="30"/>
  <c r="W164" i="30"/>
  <c r="V164" i="30"/>
  <c r="U164" i="30"/>
  <c r="T164" i="30"/>
  <c r="S164" i="30"/>
  <c r="R164" i="30"/>
  <c r="Q164" i="30"/>
  <c r="P164" i="30"/>
  <c r="O164" i="30"/>
  <c r="N164" i="30"/>
  <c r="M164" i="30"/>
  <c r="L164" i="30"/>
  <c r="K164" i="30"/>
  <c r="J164" i="30"/>
  <c r="I164" i="30"/>
  <c r="H164" i="30"/>
  <c r="G164" i="30"/>
  <c r="F164" i="30"/>
  <c r="D164" i="30"/>
  <c r="C164" i="30"/>
  <c r="BA163" i="30"/>
  <c r="AV163" i="30"/>
  <c r="AQ163" i="30"/>
  <c r="AP163" i="30"/>
  <c r="AO163" i="30"/>
  <c r="AN163" i="30"/>
  <c r="AM163" i="30"/>
  <c r="AJ163" i="30"/>
  <c r="AI163" i="30"/>
  <c r="AH163" i="30"/>
  <c r="AG163" i="30"/>
  <c r="AF163" i="30"/>
  <c r="AE163" i="30"/>
  <c r="AD163" i="30"/>
  <c r="AC163" i="30"/>
  <c r="AB163" i="30"/>
  <c r="AA163" i="30"/>
  <c r="Z163" i="30"/>
  <c r="Y163" i="30"/>
  <c r="W163" i="30"/>
  <c r="V163" i="30"/>
  <c r="U163" i="30"/>
  <c r="T163" i="30"/>
  <c r="S163" i="30"/>
  <c r="R163" i="30"/>
  <c r="Q163" i="30"/>
  <c r="P163" i="30"/>
  <c r="O163" i="30"/>
  <c r="N163" i="30"/>
  <c r="M163" i="30"/>
  <c r="L163" i="30"/>
  <c r="K163" i="30"/>
  <c r="J163" i="30"/>
  <c r="I163" i="30"/>
  <c r="H163" i="30"/>
  <c r="G163" i="30"/>
  <c r="F163" i="30"/>
  <c r="D163" i="30"/>
  <c r="C163" i="30"/>
  <c r="BA162" i="30"/>
  <c r="AV162" i="30"/>
  <c r="AQ162" i="30"/>
  <c r="AP162" i="30"/>
  <c r="AO162" i="30"/>
  <c r="AN162" i="30"/>
  <c r="AM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D162" i="30"/>
  <c r="C162" i="30"/>
  <c r="BA161" i="30"/>
  <c r="AV161" i="30"/>
  <c r="AQ161" i="30"/>
  <c r="AP161" i="30"/>
  <c r="AO161" i="30"/>
  <c r="AN161" i="30"/>
  <c r="AM161" i="30"/>
  <c r="W161" i="30"/>
  <c r="V161" i="30"/>
  <c r="U161" i="30"/>
  <c r="T161" i="30"/>
  <c r="S161" i="30"/>
  <c r="R161" i="30"/>
  <c r="Q161" i="30"/>
  <c r="P161" i="30"/>
  <c r="O161" i="30"/>
  <c r="N161" i="30"/>
  <c r="M161" i="30"/>
  <c r="L161" i="30"/>
  <c r="K161" i="30"/>
  <c r="J161" i="30"/>
  <c r="I161" i="30"/>
  <c r="H161" i="30"/>
  <c r="G161" i="30"/>
  <c r="F161" i="30"/>
  <c r="D161" i="30"/>
  <c r="C161" i="30"/>
  <c r="BA160" i="30"/>
  <c r="AV160" i="30"/>
  <c r="AQ160" i="30"/>
  <c r="AP160" i="30"/>
  <c r="AO160" i="30"/>
  <c r="AN160" i="30"/>
  <c r="AM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D160" i="30"/>
  <c r="C160" i="30"/>
  <c r="BA159" i="30"/>
  <c r="AV159" i="30"/>
  <c r="AQ159" i="30"/>
  <c r="AP159" i="30"/>
  <c r="AO159" i="30"/>
  <c r="AN159" i="30"/>
  <c r="AM159" i="30"/>
  <c r="X159" i="30"/>
  <c r="W159" i="30"/>
  <c r="V159" i="30"/>
  <c r="U159" i="30"/>
  <c r="T159" i="30"/>
  <c r="S159" i="30"/>
  <c r="R159" i="30"/>
  <c r="Q159" i="30"/>
  <c r="P159" i="30"/>
  <c r="O159" i="30"/>
  <c r="N159" i="30"/>
  <c r="M159" i="30"/>
  <c r="L159" i="30"/>
  <c r="K159" i="30"/>
  <c r="J159" i="30"/>
  <c r="I159" i="30"/>
  <c r="H159" i="30"/>
  <c r="G159" i="30"/>
  <c r="F159" i="30"/>
  <c r="D159" i="30"/>
  <c r="C159" i="30"/>
  <c r="BA157" i="30"/>
  <c r="AV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D157" i="30"/>
  <c r="C157" i="30"/>
  <c r="B157" i="30"/>
  <c r="BA156" i="30"/>
  <c r="AV156" i="30"/>
  <c r="AQ156" i="30"/>
  <c r="AP156" i="30"/>
  <c r="AO156" i="30"/>
  <c r="AN156" i="30"/>
  <c r="AM156" i="30"/>
  <c r="AK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D156" i="30"/>
  <c r="C156" i="30"/>
  <c r="B156" i="30"/>
  <c r="BA155" i="30"/>
  <c r="AV155" i="30"/>
  <c r="AQ155" i="30"/>
  <c r="AP155" i="30"/>
  <c r="AO155" i="30"/>
  <c r="AN155" i="30"/>
  <c r="AM155" i="30"/>
  <c r="AL155" i="30"/>
  <c r="AK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D155" i="30"/>
  <c r="C155" i="30"/>
  <c r="BA154" i="30"/>
  <c r="AV154" i="30"/>
  <c r="AQ154" i="30"/>
  <c r="AP154" i="30"/>
  <c r="AO154" i="30"/>
  <c r="AN154" i="30"/>
  <c r="AM154" i="30"/>
  <c r="AL154" i="30"/>
  <c r="AK154" i="30"/>
  <c r="AJ154" i="30"/>
  <c r="AI154" i="30"/>
  <c r="AH154" i="30"/>
  <c r="AG154" i="30"/>
  <c r="AF154" i="30"/>
  <c r="AE154" i="30"/>
  <c r="AD154" i="30"/>
  <c r="AC154" i="30"/>
  <c r="AB154" i="30"/>
  <c r="AA154" i="30"/>
  <c r="Z154" i="30"/>
  <c r="Y154" i="30"/>
  <c r="X154" i="30"/>
  <c r="W154" i="30"/>
  <c r="V154" i="30"/>
  <c r="U154" i="30"/>
  <c r="T154" i="30"/>
  <c r="S154" i="30"/>
  <c r="R154" i="30"/>
  <c r="Q154" i="30"/>
  <c r="P154" i="30"/>
  <c r="O154" i="30"/>
  <c r="N154" i="30"/>
  <c r="M154" i="30"/>
  <c r="L154" i="30"/>
  <c r="K154" i="30"/>
  <c r="J154" i="30"/>
  <c r="I154" i="30"/>
  <c r="H154" i="30"/>
  <c r="G154" i="30"/>
  <c r="F154" i="30"/>
  <c r="D154" i="30"/>
  <c r="C154" i="30"/>
  <c r="BA153" i="30"/>
  <c r="AV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D153" i="30"/>
  <c r="C153" i="30"/>
  <c r="BA152" i="30"/>
  <c r="AV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D152" i="30"/>
  <c r="C152" i="30"/>
  <c r="BA151" i="30"/>
  <c r="AV151" i="30"/>
  <c r="AQ151" i="30"/>
  <c r="AP151" i="30"/>
  <c r="AO151" i="30"/>
  <c r="AN151" i="30"/>
  <c r="AM151" i="30"/>
  <c r="AL151" i="30"/>
  <c r="AK151" i="30"/>
  <c r="AJ151" i="30"/>
  <c r="AI151" i="30"/>
  <c r="AH151" i="30"/>
  <c r="AG151" i="30"/>
  <c r="AF151" i="30"/>
  <c r="AE151" i="30"/>
  <c r="AD151" i="30"/>
  <c r="AC151" i="30"/>
  <c r="AB151" i="30"/>
  <c r="AA151" i="30"/>
  <c r="Z151" i="30"/>
  <c r="Y151" i="30"/>
  <c r="X151" i="30"/>
  <c r="W151" i="30"/>
  <c r="V151" i="30"/>
  <c r="U151" i="30"/>
  <c r="T151" i="30"/>
  <c r="S151" i="30"/>
  <c r="R151" i="30"/>
  <c r="Q151" i="30"/>
  <c r="P151" i="30"/>
  <c r="O151" i="30"/>
  <c r="N151" i="30"/>
  <c r="M151" i="30"/>
  <c r="L151" i="30"/>
  <c r="K151" i="30"/>
  <c r="J151" i="30"/>
  <c r="I151" i="30"/>
  <c r="H151" i="30"/>
  <c r="G151" i="30"/>
  <c r="F151" i="30"/>
  <c r="D151" i="30"/>
  <c r="C151" i="30"/>
  <c r="BA150" i="30"/>
  <c r="AV150" i="30"/>
  <c r="AQ150" i="30"/>
  <c r="AP150" i="30"/>
  <c r="AO150" i="30"/>
  <c r="AN150" i="30"/>
  <c r="AM150" i="30"/>
  <c r="AK150" i="30"/>
  <c r="AJ150" i="30"/>
  <c r="Y150" i="30"/>
  <c r="X150" i="30"/>
  <c r="W150" i="30"/>
  <c r="V150" i="30"/>
  <c r="U150" i="30"/>
  <c r="T150" i="30"/>
  <c r="S150" i="30"/>
  <c r="R150" i="30"/>
  <c r="Q150" i="30"/>
  <c r="P150" i="30"/>
  <c r="O150" i="30"/>
  <c r="N150" i="30"/>
  <c r="M150" i="30"/>
  <c r="L150" i="30"/>
  <c r="K150" i="30"/>
  <c r="J150" i="30"/>
  <c r="I150" i="30"/>
  <c r="H150" i="30"/>
  <c r="G150" i="30"/>
  <c r="F150" i="30"/>
  <c r="D150" i="30"/>
  <c r="C150" i="30"/>
  <c r="BA149" i="30"/>
  <c r="AV149" i="30"/>
  <c r="AQ149" i="30"/>
  <c r="AP149" i="30"/>
  <c r="AO149" i="30"/>
  <c r="AN149" i="30"/>
  <c r="AM149" i="30"/>
  <c r="AK149" i="30"/>
  <c r="AJ149" i="30"/>
  <c r="AI149" i="30"/>
  <c r="AH149" i="30"/>
  <c r="AG149" i="30"/>
  <c r="AF149" i="30"/>
  <c r="AE149" i="30"/>
  <c r="AD149" i="30"/>
  <c r="AC149" i="30"/>
  <c r="AB149" i="30"/>
  <c r="AA149" i="30"/>
  <c r="Z149" i="30"/>
  <c r="Y149" i="30"/>
  <c r="X149" i="30"/>
  <c r="W149" i="30"/>
  <c r="V149" i="30"/>
  <c r="U149" i="30"/>
  <c r="T149" i="30"/>
  <c r="S149" i="30"/>
  <c r="R149" i="30"/>
  <c r="Q149" i="30"/>
  <c r="P149" i="30"/>
  <c r="O149" i="30"/>
  <c r="N149" i="30"/>
  <c r="M149" i="30"/>
  <c r="L149" i="30"/>
  <c r="K149" i="30"/>
  <c r="J149" i="30"/>
  <c r="I149" i="30"/>
  <c r="H149" i="30"/>
  <c r="G149" i="30"/>
  <c r="F149" i="30"/>
  <c r="D149" i="30"/>
  <c r="C149" i="30"/>
  <c r="BA148" i="30"/>
  <c r="AV148" i="30"/>
  <c r="AQ148" i="30"/>
  <c r="AP148" i="30"/>
  <c r="AO148" i="30"/>
  <c r="AN148" i="30"/>
  <c r="AM148" i="30"/>
  <c r="AK148" i="30"/>
  <c r="V148" i="30"/>
  <c r="S148" i="30"/>
  <c r="J148" i="30"/>
  <c r="I148" i="30"/>
  <c r="H148" i="30"/>
  <c r="G148" i="30"/>
  <c r="F148" i="30"/>
  <c r="D148" i="30"/>
  <c r="C148" i="30"/>
  <c r="BA147" i="30"/>
  <c r="AV147" i="30"/>
  <c r="AQ147" i="30"/>
  <c r="AP147" i="30"/>
  <c r="AO147" i="30"/>
  <c r="AN147" i="30"/>
  <c r="AM147" i="30"/>
  <c r="AK147" i="30"/>
  <c r="V147" i="30"/>
  <c r="S147" i="30"/>
  <c r="J147" i="30"/>
  <c r="I147" i="30"/>
  <c r="H147" i="30"/>
  <c r="G147" i="30"/>
  <c r="F147" i="30"/>
  <c r="D147" i="30"/>
  <c r="C147" i="30"/>
  <c r="BA146" i="30"/>
  <c r="AV146" i="30"/>
  <c r="AQ146" i="30"/>
  <c r="AP146" i="30"/>
  <c r="AO146" i="30"/>
  <c r="AN146" i="30"/>
  <c r="AM146" i="30"/>
  <c r="AK146" i="30"/>
  <c r="AJ146" i="30"/>
  <c r="AI146" i="30"/>
  <c r="AH146" i="30"/>
  <c r="AG146" i="30"/>
  <c r="AF146" i="30"/>
  <c r="AE146" i="30"/>
  <c r="AD146" i="30"/>
  <c r="AC146" i="30"/>
  <c r="AB146" i="30"/>
  <c r="AA146" i="30"/>
  <c r="Z146" i="30"/>
  <c r="Y146" i="30"/>
  <c r="X146" i="30"/>
  <c r="W146" i="30"/>
  <c r="V146" i="30"/>
  <c r="U146" i="30"/>
  <c r="T146" i="30"/>
  <c r="S146" i="30"/>
  <c r="R146" i="30"/>
  <c r="Q146" i="30"/>
  <c r="P146" i="30"/>
  <c r="O146" i="30"/>
  <c r="N146" i="30"/>
  <c r="M146" i="30"/>
  <c r="L146" i="30"/>
  <c r="K146" i="30"/>
  <c r="J146" i="30"/>
  <c r="I146" i="30"/>
  <c r="H146" i="30"/>
  <c r="G146" i="30"/>
  <c r="F146" i="30"/>
  <c r="D146" i="30"/>
  <c r="C146" i="30"/>
  <c r="BA145" i="30"/>
  <c r="AV145" i="30"/>
  <c r="AQ145" i="30"/>
  <c r="AP145" i="30"/>
  <c r="AO145" i="30"/>
  <c r="AN145" i="30"/>
  <c r="AM145" i="30"/>
  <c r="AK145" i="30"/>
  <c r="AI145" i="30"/>
  <c r="AG145" i="30"/>
  <c r="AF145" i="30"/>
  <c r="AD145" i="30"/>
  <c r="AC145" i="30"/>
  <c r="AB145" i="30"/>
  <c r="AA145" i="30"/>
  <c r="Z145" i="30"/>
  <c r="X145" i="30"/>
  <c r="W145" i="30"/>
  <c r="U145" i="30"/>
  <c r="R145" i="30"/>
  <c r="P145" i="30"/>
  <c r="N145" i="30"/>
  <c r="M145" i="30"/>
  <c r="L145" i="30"/>
  <c r="K145" i="30"/>
  <c r="J145" i="30"/>
  <c r="I145" i="30"/>
  <c r="H145" i="30"/>
  <c r="G145" i="30"/>
  <c r="F145" i="30"/>
  <c r="D145" i="30"/>
  <c r="C145" i="30"/>
  <c r="BA144" i="30"/>
  <c r="AV144" i="30"/>
  <c r="AQ144" i="30"/>
  <c r="AP144" i="30"/>
  <c r="AO144" i="30"/>
  <c r="AN144" i="30"/>
  <c r="AM144" i="30"/>
  <c r="AK144" i="30"/>
  <c r="AJ144" i="30"/>
  <c r="AI144" i="30"/>
  <c r="AH144" i="30"/>
  <c r="AG144" i="30"/>
  <c r="AF144" i="30"/>
  <c r="AE144" i="30"/>
  <c r="AD144" i="30"/>
  <c r="AC144" i="30"/>
  <c r="AB144" i="30"/>
  <c r="AA144" i="30"/>
  <c r="Z144" i="30"/>
  <c r="Y144" i="30"/>
  <c r="X144" i="30"/>
  <c r="W144" i="30"/>
  <c r="V144" i="30"/>
  <c r="U144" i="30"/>
  <c r="T144" i="30"/>
  <c r="S144" i="30"/>
  <c r="R144" i="30"/>
  <c r="Q144" i="30"/>
  <c r="P144" i="30"/>
  <c r="O144" i="30"/>
  <c r="N144" i="30"/>
  <c r="M144" i="30"/>
  <c r="L144" i="30"/>
  <c r="K144" i="30"/>
  <c r="J144" i="30"/>
  <c r="I144" i="30"/>
  <c r="H144" i="30"/>
  <c r="G144" i="30"/>
  <c r="F144" i="30"/>
  <c r="D144" i="30"/>
  <c r="C144" i="30"/>
  <c r="BA143" i="30"/>
  <c r="AV143" i="30"/>
  <c r="AQ143" i="30"/>
  <c r="AP143" i="30"/>
  <c r="AO143" i="30"/>
  <c r="AN143" i="30"/>
  <c r="AM143" i="30"/>
  <c r="N143" i="30"/>
  <c r="M143" i="30"/>
  <c r="L143" i="30"/>
  <c r="K143" i="30"/>
  <c r="J143" i="30"/>
  <c r="I143" i="30"/>
  <c r="H143" i="30"/>
  <c r="G143" i="30"/>
  <c r="F143" i="30"/>
  <c r="D143" i="30"/>
  <c r="C143" i="30"/>
  <c r="BA142" i="30"/>
  <c r="AV142" i="30"/>
  <c r="AQ142" i="30"/>
  <c r="AP142" i="30"/>
  <c r="AO142" i="30"/>
  <c r="AN142" i="30"/>
  <c r="AM142" i="30"/>
  <c r="AK142" i="30"/>
  <c r="AJ142" i="30"/>
  <c r="AI142" i="30"/>
  <c r="AH142" i="30"/>
  <c r="AG142" i="30"/>
  <c r="AF142" i="30"/>
  <c r="AE142" i="30"/>
  <c r="AD142" i="30"/>
  <c r="AC142" i="30"/>
  <c r="AB142" i="30"/>
  <c r="AA142" i="30"/>
  <c r="Z142" i="30"/>
  <c r="Y142" i="30"/>
  <c r="X142" i="30"/>
  <c r="W142" i="30"/>
  <c r="V142" i="30"/>
  <c r="U142" i="30"/>
  <c r="T142" i="30"/>
  <c r="S142" i="30"/>
  <c r="R142" i="30"/>
  <c r="Q142" i="30"/>
  <c r="P142" i="30"/>
  <c r="O142" i="30"/>
  <c r="N142" i="30"/>
  <c r="M142" i="30"/>
  <c r="L142" i="30"/>
  <c r="K142" i="30"/>
  <c r="J142" i="30"/>
  <c r="I142" i="30"/>
  <c r="H142" i="30"/>
  <c r="G142" i="30"/>
  <c r="F142" i="30"/>
  <c r="D142" i="30"/>
  <c r="C142" i="30"/>
  <c r="BA141" i="30"/>
  <c r="AV141" i="30"/>
  <c r="AQ141" i="30"/>
  <c r="AP141" i="30"/>
  <c r="AO141" i="30"/>
  <c r="AN141" i="30"/>
  <c r="AM141" i="30"/>
  <c r="AK141" i="30"/>
  <c r="AJ141" i="30"/>
  <c r="AI141" i="30"/>
  <c r="AH141" i="30"/>
  <c r="AG141" i="30"/>
  <c r="AF141" i="30"/>
  <c r="AE141" i="30"/>
  <c r="AD141" i="30"/>
  <c r="AC141" i="30"/>
  <c r="AB141" i="30"/>
  <c r="AA141" i="30"/>
  <c r="Z141" i="30"/>
  <c r="Y141" i="30"/>
  <c r="X141" i="30"/>
  <c r="W141" i="30"/>
  <c r="V141" i="30"/>
  <c r="U141" i="30"/>
  <c r="T141" i="30"/>
  <c r="S141" i="30"/>
  <c r="R141" i="30"/>
  <c r="Q141" i="30"/>
  <c r="P141" i="30"/>
  <c r="O141" i="30"/>
  <c r="N141" i="30"/>
  <c r="M141" i="30"/>
  <c r="L141" i="30"/>
  <c r="K141" i="30"/>
  <c r="J141" i="30"/>
  <c r="I141" i="30"/>
  <c r="H141" i="30"/>
  <c r="G141" i="30"/>
  <c r="F141" i="30"/>
  <c r="D141" i="30"/>
  <c r="C141" i="30"/>
  <c r="BA140" i="30"/>
  <c r="AV140" i="30"/>
  <c r="AQ140" i="30"/>
  <c r="AP140" i="30"/>
  <c r="AO140" i="30"/>
  <c r="AN140" i="30"/>
  <c r="AM140" i="30"/>
  <c r="N140" i="30"/>
  <c r="M140" i="30"/>
  <c r="L140" i="30"/>
  <c r="K140" i="30"/>
  <c r="J140" i="30"/>
  <c r="I140" i="30"/>
  <c r="H140" i="30"/>
  <c r="G140" i="30"/>
  <c r="F140" i="30"/>
  <c r="D140" i="30"/>
  <c r="C140" i="30"/>
  <c r="BA139" i="30"/>
  <c r="AV139" i="30"/>
  <c r="AQ139" i="30"/>
  <c r="AP139" i="30"/>
  <c r="AO139" i="30"/>
  <c r="AN139" i="30"/>
  <c r="AM139" i="30"/>
  <c r="AK139" i="30"/>
  <c r="AJ139" i="30"/>
  <c r="AI139" i="30"/>
  <c r="AH139" i="30"/>
  <c r="AG139" i="30"/>
  <c r="AF139" i="30"/>
  <c r="AE139" i="30"/>
  <c r="AD139" i="30"/>
  <c r="AC139" i="30"/>
  <c r="AB139" i="30"/>
  <c r="AA139" i="30"/>
  <c r="Z139" i="30"/>
  <c r="Y139" i="30"/>
  <c r="X139" i="30"/>
  <c r="W139" i="30"/>
  <c r="V139" i="30"/>
  <c r="U139" i="30"/>
  <c r="T139" i="30"/>
  <c r="S139" i="30"/>
  <c r="R139" i="30"/>
  <c r="Q139" i="30"/>
  <c r="P139" i="30"/>
  <c r="O139" i="30"/>
  <c r="N139" i="30"/>
  <c r="M139" i="30"/>
  <c r="L139" i="30"/>
  <c r="K139" i="30"/>
  <c r="J139" i="30"/>
  <c r="I139" i="30"/>
  <c r="H139" i="30"/>
  <c r="G139" i="30"/>
  <c r="F139" i="30"/>
  <c r="D139" i="30"/>
  <c r="C139" i="30"/>
  <c r="BA138" i="30"/>
  <c r="AV138" i="30"/>
  <c r="AQ138" i="30"/>
  <c r="AP138" i="30"/>
  <c r="AO138" i="30"/>
  <c r="AN138" i="30"/>
  <c r="AM138" i="30"/>
  <c r="AK138" i="30"/>
  <c r="AJ138" i="30"/>
  <c r="AI138" i="30"/>
  <c r="AH138" i="30"/>
  <c r="AG138" i="30"/>
  <c r="AF138" i="30"/>
  <c r="AE138" i="30"/>
  <c r="AD138" i="30"/>
  <c r="AC138" i="30"/>
  <c r="AB138" i="30"/>
  <c r="AA138" i="30"/>
  <c r="Z138" i="30"/>
  <c r="Y138" i="30"/>
  <c r="X138" i="30"/>
  <c r="W138" i="30"/>
  <c r="V138" i="30"/>
  <c r="U138" i="30"/>
  <c r="T138" i="30"/>
  <c r="S138" i="30"/>
  <c r="R138" i="30"/>
  <c r="Q138" i="30"/>
  <c r="P138" i="30"/>
  <c r="O138" i="30"/>
  <c r="N138" i="30"/>
  <c r="M138" i="30"/>
  <c r="L138" i="30"/>
  <c r="K138" i="30"/>
  <c r="J138" i="30"/>
  <c r="I138" i="30"/>
  <c r="H138" i="30"/>
  <c r="G138" i="30"/>
  <c r="F138" i="30"/>
  <c r="D138" i="30"/>
  <c r="C138" i="30"/>
  <c r="BA137" i="30"/>
  <c r="AV137" i="30"/>
  <c r="AQ137" i="30"/>
  <c r="AP137" i="30"/>
  <c r="AO137" i="30"/>
  <c r="AN137" i="30"/>
  <c r="AM137" i="30"/>
  <c r="N137" i="30"/>
  <c r="M137" i="30"/>
  <c r="L137" i="30"/>
  <c r="K137" i="30"/>
  <c r="J137" i="30"/>
  <c r="I137" i="30"/>
  <c r="H137" i="30"/>
  <c r="G137" i="30"/>
  <c r="F137" i="30"/>
  <c r="D137" i="30"/>
  <c r="C137" i="30"/>
  <c r="BA125" i="30"/>
  <c r="AV125" i="30"/>
  <c r="AQ125" i="30"/>
  <c r="AP125" i="30"/>
  <c r="AO125" i="30"/>
  <c r="AN125" i="30"/>
  <c r="AM125" i="30"/>
  <c r="AK125" i="30"/>
  <c r="AJ125" i="30"/>
  <c r="AI125" i="30"/>
  <c r="AH125" i="30"/>
  <c r="AG125" i="30"/>
  <c r="AF125" i="30"/>
  <c r="AE125" i="30"/>
  <c r="AD125" i="30"/>
  <c r="AC125" i="30"/>
  <c r="AB125" i="30"/>
  <c r="AA125" i="30"/>
  <c r="Z125" i="30"/>
  <c r="Y125" i="30"/>
  <c r="X125" i="30"/>
  <c r="W125" i="30"/>
  <c r="V125" i="30"/>
  <c r="U125" i="30"/>
  <c r="T125" i="30"/>
  <c r="S125" i="30"/>
  <c r="R125" i="30"/>
  <c r="Q125" i="30"/>
  <c r="P125" i="30"/>
  <c r="O125" i="30"/>
  <c r="N125" i="30"/>
  <c r="M125" i="30"/>
  <c r="L125" i="30"/>
  <c r="K125" i="30"/>
  <c r="J125" i="30"/>
  <c r="I125" i="30"/>
  <c r="H125" i="30"/>
  <c r="G125" i="30"/>
  <c r="F125" i="30"/>
  <c r="D125" i="30"/>
  <c r="C125" i="30"/>
  <c r="BA124" i="30"/>
  <c r="AV124" i="30"/>
  <c r="AQ124" i="30"/>
  <c r="AP124" i="30"/>
  <c r="AO124" i="30"/>
  <c r="AN124" i="30"/>
  <c r="AM124" i="30"/>
  <c r="N124" i="30"/>
  <c r="M124" i="30"/>
  <c r="L124" i="30"/>
  <c r="K124" i="30"/>
  <c r="J124" i="30"/>
  <c r="I124" i="30"/>
  <c r="H124" i="30"/>
  <c r="G124" i="30"/>
  <c r="F124" i="30"/>
  <c r="D124" i="30"/>
  <c r="C124" i="30"/>
  <c r="BA123" i="30"/>
  <c r="AV123" i="30"/>
  <c r="AQ123" i="30"/>
  <c r="AP123" i="30"/>
  <c r="AO123" i="30"/>
  <c r="AN123" i="30"/>
  <c r="AM123" i="30"/>
  <c r="AK123" i="30"/>
  <c r="AJ123" i="30"/>
  <c r="AI123" i="30"/>
  <c r="AH123" i="30"/>
  <c r="AG123" i="30"/>
  <c r="AF123" i="30"/>
  <c r="AE123" i="30"/>
  <c r="AD123" i="30"/>
  <c r="AC123" i="30"/>
  <c r="AB123" i="30"/>
  <c r="AA123" i="30"/>
  <c r="Z123" i="30"/>
  <c r="Y123" i="30"/>
  <c r="X123" i="30"/>
  <c r="W123" i="30"/>
  <c r="V123" i="30"/>
  <c r="U123" i="30"/>
  <c r="T123" i="30"/>
  <c r="S123" i="30"/>
  <c r="R123" i="30"/>
  <c r="Q123" i="30"/>
  <c r="P123" i="30"/>
  <c r="O123" i="30"/>
  <c r="N123" i="30"/>
  <c r="M123" i="30"/>
  <c r="L123" i="30"/>
  <c r="K123" i="30"/>
  <c r="J123" i="30"/>
  <c r="I123" i="30"/>
  <c r="H123" i="30"/>
  <c r="G123" i="30"/>
  <c r="F123" i="30"/>
  <c r="D123" i="30"/>
  <c r="C123" i="30"/>
  <c r="BA122" i="30"/>
  <c r="AV122" i="30"/>
  <c r="AQ122" i="30"/>
  <c r="AP122" i="30"/>
  <c r="AO122" i="30"/>
  <c r="AN122" i="30"/>
  <c r="AM122" i="30"/>
  <c r="AK122" i="30"/>
  <c r="AJ122" i="30"/>
  <c r="AI122" i="30"/>
  <c r="AH122" i="30"/>
  <c r="AG122" i="30"/>
  <c r="AF122" i="30"/>
  <c r="AE122" i="30"/>
  <c r="AD122" i="30"/>
  <c r="AC122" i="30"/>
  <c r="AB122" i="30"/>
  <c r="AA122" i="30"/>
  <c r="Z122" i="30"/>
  <c r="Y122" i="30"/>
  <c r="X122" i="30"/>
  <c r="W122" i="30"/>
  <c r="V122" i="30"/>
  <c r="U122" i="30"/>
  <c r="T122" i="30"/>
  <c r="S122" i="30"/>
  <c r="R122" i="30"/>
  <c r="Q122" i="30"/>
  <c r="P122" i="30"/>
  <c r="O122" i="30"/>
  <c r="N122" i="30"/>
  <c r="M122" i="30"/>
  <c r="L122" i="30"/>
  <c r="K122" i="30"/>
  <c r="J122" i="30"/>
  <c r="I122" i="30"/>
  <c r="H122" i="30"/>
  <c r="G122" i="30"/>
  <c r="F122" i="30"/>
  <c r="D122" i="30"/>
  <c r="C122" i="30"/>
  <c r="BA121" i="30"/>
  <c r="AV121" i="30"/>
  <c r="AQ121" i="30"/>
  <c r="AP121" i="30"/>
  <c r="AO121" i="30"/>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P121" i="30"/>
  <c r="O121" i="30"/>
  <c r="N121" i="30"/>
  <c r="M121" i="30"/>
  <c r="L121" i="30"/>
  <c r="K121" i="30"/>
  <c r="J121" i="30"/>
  <c r="I121" i="30"/>
  <c r="H121" i="30"/>
  <c r="G121" i="30"/>
  <c r="F121" i="30"/>
  <c r="D121" i="30"/>
  <c r="C121" i="30"/>
  <c r="BA120" i="30"/>
  <c r="AV120" i="30"/>
  <c r="N120" i="30"/>
  <c r="M120" i="30"/>
  <c r="L120" i="30"/>
  <c r="K120" i="30"/>
  <c r="J120" i="30"/>
  <c r="I120" i="30"/>
  <c r="H120" i="30"/>
  <c r="G120" i="30"/>
  <c r="F120" i="30"/>
  <c r="D120" i="30"/>
  <c r="C120" i="30"/>
  <c r="BA119" i="30"/>
  <c r="AV119" i="30"/>
  <c r="AQ119" i="30"/>
  <c r="AP119" i="30"/>
  <c r="AO119" i="30"/>
  <c r="AN119" i="30"/>
  <c r="AM119" i="30"/>
  <c r="AK119" i="30"/>
  <c r="AI119" i="30"/>
  <c r="AG119" i="30"/>
  <c r="AF119" i="30"/>
  <c r="AD119" i="30"/>
  <c r="AC119" i="30"/>
  <c r="AB119" i="30"/>
  <c r="AA119" i="30"/>
  <c r="Z119" i="30"/>
  <c r="Y119" i="30"/>
  <c r="X119" i="30"/>
  <c r="W119" i="30"/>
  <c r="U119" i="30"/>
  <c r="R119" i="30"/>
  <c r="P119" i="30"/>
  <c r="O119" i="30"/>
  <c r="N119" i="30"/>
  <c r="M119" i="30"/>
  <c r="L119" i="30"/>
  <c r="K119" i="30"/>
  <c r="J119" i="30"/>
  <c r="I119" i="30"/>
  <c r="H119" i="30"/>
  <c r="G119" i="30"/>
  <c r="F119" i="30"/>
  <c r="D119" i="30"/>
  <c r="C119" i="30"/>
  <c r="BA118" i="30"/>
  <c r="AV118" i="30"/>
  <c r="AQ118" i="30"/>
  <c r="AP118" i="30"/>
  <c r="AO118" i="30"/>
  <c r="AN118" i="30"/>
  <c r="AM118" i="30"/>
  <c r="AK118" i="30"/>
  <c r="AI118" i="30"/>
  <c r="AG118" i="30"/>
  <c r="AF118" i="30"/>
  <c r="AD118" i="30"/>
  <c r="AC118" i="30"/>
  <c r="AB118" i="30"/>
  <c r="AA118" i="30"/>
  <c r="Z118" i="30"/>
  <c r="Y118" i="30"/>
  <c r="X118" i="30"/>
  <c r="W118" i="30"/>
  <c r="U118" i="30"/>
  <c r="R118" i="30"/>
  <c r="P118" i="30"/>
  <c r="O118" i="30"/>
  <c r="N118" i="30"/>
  <c r="M118" i="30"/>
  <c r="L118" i="30"/>
  <c r="K118" i="30"/>
  <c r="J118" i="30"/>
  <c r="I118" i="30"/>
  <c r="H118" i="30"/>
  <c r="G118" i="30"/>
  <c r="F118" i="30"/>
  <c r="D118" i="30"/>
  <c r="C118" i="30"/>
  <c r="BA117" i="30"/>
  <c r="AV117" i="30"/>
  <c r="AQ117" i="30"/>
  <c r="AP117" i="30"/>
  <c r="AO117" i="30"/>
  <c r="AN117" i="30"/>
  <c r="AM117" i="30"/>
  <c r="AK117" i="30"/>
  <c r="AI117" i="30"/>
  <c r="AG117" i="30"/>
  <c r="AF117" i="30"/>
  <c r="AD117" i="30"/>
  <c r="AC117" i="30"/>
  <c r="AB117" i="30"/>
  <c r="AA117" i="30"/>
  <c r="Z117" i="30"/>
  <c r="Y117" i="30"/>
  <c r="X117" i="30"/>
  <c r="W117" i="30"/>
  <c r="U117" i="30"/>
  <c r="R117" i="30"/>
  <c r="P117" i="30"/>
  <c r="O117" i="30"/>
  <c r="N117" i="30"/>
  <c r="M117" i="30"/>
  <c r="L117" i="30"/>
  <c r="K117" i="30"/>
  <c r="J117" i="30"/>
  <c r="I117" i="30"/>
  <c r="H117" i="30"/>
  <c r="G117" i="30"/>
  <c r="F117" i="30"/>
  <c r="D117" i="30"/>
  <c r="C117" i="30"/>
  <c r="BA116" i="30"/>
  <c r="AV116" i="30"/>
  <c r="AQ116" i="30"/>
  <c r="AP116" i="30"/>
  <c r="AO116" i="30"/>
  <c r="AN116" i="30"/>
  <c r="AM116" i="30"/>
  <c r="N116" i="30"/>
  <c r="M116" i="30"/>
  <c r="L116" i="30"/>
  <c r="K116" i="30"/>
  <c r="J116" i="30"/>
  <c r="I116" i="30"/>
  <c r="H116" i="30"/>
  <c r="G116" i="30"/>
  <c r="F116" i="30"/>
  <c r="D116" i="30"/>
  <c r="C116" i="30"/>
  <c r="BA115" i="30"/>
  <c r="AV115" i="30"/>
  <c r="AQ115" i="30"/>
  <c r="AP115" i="30"/>
  <c r="AO115" i="30"/>
  <c r="AN115" i="30"/>
  <c r="AM115" i="30"/>
  <c r="AL115" i="30"/>
  <c r="AK115" i="30"/>
  <c r="AJ115" i="30"/>
  <c r="AI115" i="30"/>
  <c r="AH115" i="30"/>
  <c r="AG115" i="30"/>
  <c r="AF115" i="30"/>
  <c r="AE115" i="30"/>
  <c r="AD115" i="30"/>
  <c r="AC115" i="30"/>
  <c r="AB115" i="30"/>
  <c r="AA115" i="30"/>
  <c r="Z115" i="30"/>
  <c r="Y115" i="30"/>
  <c r="X115" i="30"/>
  <c r="W115" i="30"/>
  <c r="V115" i="30"/>
  <c r="U115" i="30"/>
  <c r="T115" i="30"/>
  <c r="S115" i="30"/>
  <c r="R115" i="30"/>
  <c r="Q115" i="30"/>
  <c r="P115" i="30"/>
  <c r="O115" i="30"/>
  <c r="N115" i="30"/>
  <c r="M115" i="30"/>
  <c r="L115" i="30"/>
  <c r="K115" i="30"/>
  <c r="J115" i="30"/>
  <c r="I115" i="30"/>
  <c r="H115" i="30"/>
  <c r="G115" i="30"/>
  <c r="F115" i="30"/>
  <c r="D115" i="30"/>
  <c r="C115" i="30"/>
  <c r="BA114" i="30"/>
  <c r="AV114" i="30"/>
  <c r="AQ114" i="30"/>
  <c r="AP114" i="30"/>
  <c r="AO114" i="30"/>
  <c r="AN114" i="30"/>
  <c r="AM114" i="30"/>
  <c r="AL114" i="30"/>
  <c r="AK114" i="30"/>
  <c r="AJ114" i="30"/>
  <c r="AI114" i="30"/>
  <c r="AH114" i="30"/>
  <c r="AG114" i="30"/>
  <c r="AF114" i="30"/>
  <c r="AE114" i="30"/>
  <c r="AD114" i="30"/>
  <c r="AC114" i="30"/>
  <c r="AB114" i="30"/>
  <c r="AA114" i="30"/>
  <c r="Z114" i="30"/>
  <c r="Y114" i="30"/>
  <c r="X114" i="30"/>
  <c r="W114" i="30"/>
  <c r="V114" i="30"/>
  <c r="U114" i="30"/>
  <c r="T114" i="30"/>
  <c r="S114" i="30"/>
  <c r="R114" i="30"/>
  <c r="Q114" i="30"/>
  <c r="P114" i="30"/>
  <c r="O114" i="30"/>
  <c r="N114" i="30"/>
  <c r="M114" i="30"/>
  <c r="L114" i="30"/>
  <c r="K114" i="30"/>
  <c r="J114" i="30"/>
  <c r="I114" i="30"/>
  <c r="H114" i="30"/>
  <c r="G114" i="30"/>
  <c r="F114" i="30"/>
  <c r="D114" i="30"/>
  <c r="C114" i="30"/>
  <c r="BA113" i="30"/>
  <c r="AV113" i="30"/>
  <c r="AQ113" i="30"/>
  <c r="AP113" i="30"/>
  <c r="AO113" i="30"/>
  <c r="AN113" i="30"/>
  <c r="AM113" i="30"/>
  <c r="AL113" i="30"/>
  <c r="AK113" i="30"/>
  <c r="AJ113" i="30"/>
  <c r="AI113" i="30"/>
  <c r="AH113" i="30"/>
  <c r="AG113" i="30"/>
  <c r="AF113" i="30"/>
  <c r="AE113" i="30"/>
  <c r="AD113" i="30"/>
  <c r="AC113" i="30"/>
  <c r="AB113" i="30"/>
  <c r="AA113" i="30"/>
  <c r="Z113" i="30"/>
  <c r="Y113" i="30"/>
  <c r="X113" i="30"/>
  <c r="W113" i="30"/>
  <c r="V113" i="30"/>
  <c r="U113" i="30"/>
  <c r="T113" i="30"/>
  <c r="S113" i="30"/>
  <c r="R113" i="30"/>
  <c r="Q113" i="30"/>
  <c r="P113" i="30"/>
  <c r="O113" i="30"/>
  <c r="N113" i="30"/>
  <c r="M113" i="30"/>
  <c r="L113" i="30"/>
  <c r="K113" i="30"/>
  <c r="J113" i="30"/>
  <c r="I113" i="30"/>
  <c r="H113" i="30"/>
  <c r="G113" i="30"/>
  <c r="F113" i="30"/>
  <c r="D113" i="30"/>
  <c r="C113" i="30"/>
  <c r="BA112" i="30"/>
  <c r="AV112" i="30"/>
  <c r="AQ112" i="30"/>
  <c r="AP112" i="30"/>
  <c r="AO112" i="30"/>
  <c r="AN112" i="30"/>
  <c r="AM112" i="30"/>
  <c r="AL112" i="30"/>
  <c r="AK112" i="30"/>
  <c r="AJ112" i="30"/>
  <c r="AI112" i="30"/>
  <c r="AH112" i="30"/>
  <c r="AG112" i="30"/>
  <c r="AF112" i="30"/>
  <c r="AE112" i="30"/>
  <c r="AD112" i="30"/>
  <c r="AC112" i="30"/>
  <c r="AB112" i="30"/>
  <c r="AA112" i="30"/>
  <c r="Z112" i="30"/>
  <c r="Y112" i="30"/>
  <c r="X112" i="30"/>
  <c r="W112" i="30"/>
  <c r="V112" i="30"/>
  <c r="U112" i="30"/>
  <c r="T112" i="30"/>
  <c r="S112" i="30"/>
  <c r="R112" i="30"/>
  <c r="Q112" i="30"/>
  <c r="P112" i="30"/>
  <c r="O112" i="30"/>
  <c r="N112" i="30"/>
  <c r="M112" i="30"/>
  <c r="L112" i="30"/>
  <c r="K112" i="30"/>
  <c r="J112" i="30"/>
  <c r="I112" i="30"/>
  <c r="H112" i="30"/>
  <c r="G112" i="30"/>
  <c r="F112" i="30"/>
  <c r="D112" i="30"/>
  <c r="C112" i="30"/>
  <c r="BA111" i="30"/>
  <c r="AV111" i="30"/>
  <c r="AQ111" i="30"/>
  <c r="AP111" i="30"/>
  <c r="AO111" i="30"/>
  <c r="AN111" i="30"/>
  <c r="AM111" i="30"/>
  <c r="AL111" i="30"/>
  <c r="AK111" i="30"/>
  <c r="AJ111" i="30"/>
  <c r="AI111" i="30"/>
  <c r="AH111" i="30"/>
  <c r="AG111" i="30"/>
  <c r="AF111" i="30"/>
  <c r="AE111" i="30"/>
  <c r="AD111" i="30"/>
  <c r="AC111" i="30"/>
  <c r="AB111" i="30"/>
  <c r="AA111" i="30"/>
  <c r="Z111" i="30"/>
  <c r="Y111" i="30"/>
  <c r="X111" i="30"/>
  <c r="W111" i="30"/>
  <c r="V111" i="30"/>
  <c r="U111" i="30"/>
  <c r="T111" i="30"/>
  <c r="S111" i="30"/>
  <c r="R111" i="30"/>
  <c r="Q111" i="30"/>
  <c r="P111" i="30"/>
  <c r="O111" i="30"/>
  <c r="N111" i="30"/>
  <c r="M111" i="30"/>
  <c r="L111" i="30"/>
  <c r="K111" i="30"/>
  <c r="J111" i="30"/>
  <c r="I111" i="30"/>
  <c r="H111" i="30"/>
  <c r="G111" i="30"/>
  <c r="F111" i="30"/>
  <c r="D111" i="30"/>
  <c r="C111" i="30"/>
  <c r="BA110" i="30"/>
  <c r="AV110" i="30"/>
  <c r="AQ110" i="30"/>
  <c r="AP110" i="30"/>
  <c r="AO110" i="30"/>
  <c r="AN110" i="30"/>
  <c r="AM110" i="30"/>
  <c r="AL110" i="30"/>
  <c r="AK110" i="30"/>
  <c r="AJ110" i="30"/>
  <c r="AI110" i="30"/>
  <c r="AH110" i="30"/>
  <c r="AG110" i="30"/>
  <c r="AF110" i="30"/>
  <c r="AE110" i="30"/>
  <c r="AD110" i="30"/>
  <c r="AC110" i="30"/>
  <c r="AB110" i="30"/>
  <c r="AA110" i="30"/>
  <c r="Z110" i="30"/>
  <c r="Y110" i="30"/>
  <c r="X110" i="30"/>
  <c r="W110" i="30"/>
  <c r="V110" i="30"/>
  <c r="U110" i="30"/>
  <c r="T110" i="30"/>
  <c r="S110" i="30"/>
  <c r="R110" i="30"/>
  <c r="Q110" i="30"/>
  <c r="P110" i="30"/>
  <c r="O110" i="30"/>
  <c r="N110" i="30"/>
  <c r="M110" i="30"/>
  <c r="L110" i="30"/>
  <c r="K110" i="30"/>
  <c r="J110" i="30"/>
  <c r="I110" i="30"/>
  <c r="H110" i="30"/>
  <c r="G110" i="30"/>
  <c r="F110" i="30"/>
  <c r="D110" i="30"/>
  <c r="C110" i="30"/>
  <c r="BA109" i="30"/>
  <c r="AV109" i="30"/>
  <c r="AQ109" i="30"/>
  <c r="AP109" i="30"/>
  <c r="AO109" i="30"/>
  <c r="AN109" i="30"/>
  <c r="AM109" i="30"/>
  <c r="AL109" i="30"/>
  <c r="AK109" i="30"/>
  <c r="AJ109" i="30"/>
  <c r="AI109" i="30"/>
  <c r="AH109" i="30"/>
  <c r="AG109" i="30"/>
  <c r="AF109" i="30"/>
  <c r="AE109" i="30"/>
  <c r="AD109" i="30"/>
  <c r="AC109" i="30"/>
  <c r="AB109" i="30"/>
  <c r="AA109" i="30"/>
  <c r="Z109" i="30"/>
  <c r="Y109" i="30"/>
  <c r="X109" i="30"/>
  <c r="W109" i="30"/>
  <c r="V109" i="30"/>
  <c r="U109" i="30"/>
  <c r="T109" i="30"/>
  <c r="S109" i="30"/>
  <c r="R109" i="30"/>
  <c r="Q109" i="30"/>
  <c r="P109" i="30"/>
  <c r="O109" i="30"/>
  <c r="N109" i="30"/>
  <c r="M109" i="30"/>
  <c r="L109" i="30"/>
  <c r="K109" i="30"/>
  <c r="J109" i="30"/>
  <c r="I109" i="30"/>
  <c r="H109" i="30"/>
  <c r="G109" i="30"/>
  <c r="F109" i="30"/>
  <c r="D109" i="30"/>
  <c r="C109" i="30"/>
  <c r="BA107" i="30"/>
  <c r="AV107" i="30"/>
  <c r="AQ107" i="30"/>
  <c r="AP107" i="30"/>
  <c r="AO107" i="30"/>
  <c r="AN107" i="30"/>
  <c r="AM107" i="30"/>
  <c r="AL107" i="30"/>
  <c r="AK107" i="30"/>
  <c r="AJ107" i="30"/>
  <c r="AI107" i="30"/>
  <c r="AH107" i="30"/>
  <c r="AG107" i="30"/>
  <c r="AE107" i="30"/>
  <c r="AD107" i="30"/>
  <c r="AC107" i="30"/>
  <c r="AB107" i="30"/>
  <c r="AA107" i="30"/>
  <c r="Z107" i="30"/>
  <c r="Y107" i="30"/>
  <c r="X107" i="30"/>
  <c r="W107" i="30"/>
  <c r="V107" i="30"/>
  <c r="U107" i="30"/>
  <c r="T107" i="30"/>
  <c r="S107" i="30"/>
  <c r="R107" i="30"/>
  <c r="Q107" i="30"/>
  <c r="P107" i="30"/>
  <c r="O107" i="30"/>
  <c r="N107" i="30"/>
  <c r="M107" i="30"/>
  <c r="L107" i="30"/>
  <c r="K107" i="30"/>
  <c r="J107" i="30"/>
  <c r="I107" i="30"/>
  <c r="H107" i="30"/>
  <c r="G107" i="30"/>
  <c r="F107" i="30"/>
  <c r="D107" i="30"/>
  <c r="C107" i="30"/>
  <c r="BA106" i="30"/>
  <c r="AV106" i="30"/>
  <c r="AQ106" i="30"/>
  <c r="AP106" i="30"/>
  <c r="AO106" i="30"/>
  <c r="AN106" i="30"/>
  <c r="AM106" i="30"/>
  <c r="AL106" i="30"/>
  <c r="AK106" i="30"/>
  <c r="AJ106" i="30"/>
  <c r="AI106" i="30"/>
  <c r="AH106" i="30"/>
  <c r="AG106" i="30"/>
  <c r="AF106" i="30"/>
  <c r="AE106" i="30"/>
  <c r="AD106" i="30"/>
  <c r="AC106" i="30"/>
  <c r="AB106" i="30"/>
  <c r="AA106" i="30"/>
  <c r="Z106" i="30"/>
  <c r="Y106" i="30"/>
  <c r="X106" i="30"/>
  <c r="W106" i="30"/>
  <c r="V106" i="30"/>
  <c r="U106" i="30"/>
  <c r="T106" i="30"/>
  <c r="S106" i="30"/>
  <c r="R106" i="30"/>
  <c r="Q106" i="30"/>
  <c r="P106" i="30"/>
  <c r="O106" i="30"/>
  <c r="N106" i="30"/>
  <c r="M106" i="30"/>
  <c r="L106" i="30"/>
  <c r="K106" i="30"/>
  <c r="J106" i="30"/>
  <c r="I106" i="30"/>
  <c r="H106" i="30"/>
  <c r="G106" i="30"/>
  <c r="F106" i="30"/>
  <c r="D106" i="30"/>
  <c r="C106" i="30"/>
  <c r="BA105" i="30"/>
  <c r="AV105" i="30"/>
  <c r="AQ105" i="30"/>
  <c r="AP105" i="30"/>
  <c r="AO105" i="30"/>
  <c r="AN105" i="30"/>
  <c r="AM105" i="30"/>
  <c r="AL105" i="30"/>
  <c r="AK105" i="30"/>
  <c r="AJ105" i="30"/>
  <c r="AI105" i="30"/>
  <c r="AH105" i="30"/>
  <c r="AG105" i="30"/>
  <c r="AF105" i="30"/>
  <c r="AE105" i="30"/>
  <c r="AD105" i="30"/>
  <c r="AC105" i="30"/>
  <c r="AB105" i="30"/>
  <c r="AA105" i="30"/>
  <c r="Z105" i="30"/>
  <c r="Y105" i="30"/>
  <c r="X105" i="30"/>
  <c r="W105" i="30"/>
  <c r="V105" i="30"/>
  <c r="U105" i="30"/>
  <c r="T105" i="30"/>
  <c r="S105" i="30"/>
  <c r="R105" i="30"/>
  <c r="Q105" i="30"/>
  <c r="P105" i="30"/>
  <c r="O105" i="30"/>
  <c r="N105" i="30"/>
  <c r="M105" i="30"/>
  <c r="L105" i="30"/>
  <c r="K105" i="30"/>
  <c r="J105" i="30"/>
  <c r="I105" i="30"/>
  <c r="H105" i="30"/>
  <c r="G105" i="30"/>
  <c r="F105" i="30"/>
  <c r="D105" i="30"/>
  <c r="C105" i="30"/>
  <c r="BA104" i="30"/>
  <c r="AV104" i="30"/>
  <c r="AQ104" i="30"/>
  <c r="AP104" i="30"/>
  <c r="AO104" i="30"/>
  <c r="AN104" i="30"/>
  <c r="AM104" i="30"/>
  <c r="AL104" i="30"/>
  <c r="AK104" i="30"/>
  <c r="AJ104" i="30"/>
  <c r="AI104" i="30"/>
  <c r="AH104" i="30"/>
  <c r="AG104" i="30"/>
  <c r="AF104" i="30"/>
  <c r="AE104" i="30"/>
  <c r="AD104" i="30"/>
  <c r="AC104" i="30"/>
  <c r="AB104" i="30"/>
  <c r="AA104" i="30"/>
  <c r="Z104" i="30"/>
  <c r="Y104" i="30"/>
  <c r="X104" i="30"/>
  <c r="W104" i="30"/>
  <c r="V104" i="30"/>
  <c r="U104" i="30"/>
  <c r="T104" i="30"/>
  <c r="S104" i="30"/>
  <c r="R104" i="30"/>
  <c r="Q104" i="30"/>
  <c r="P104" i="30"/>
  <c r="O104" i="30"/>
  <c r="N104" i="30"/>
  <c r="M104" i="30"/>
  <c r="L104" i="30"/>
  <c r="K104" i="30"/>
  <c r="J104" i="30"/>
  <c r="I104" i="30"/>
  <c r="H104" i="30"/>
  <c r="G104" i="30"/>
  <c r="F104" i="30"/>
  <c r="D104" i="30"/>
  <c r="C104" i="30"/>
  <c r="BA103" i="30"/>
  <c r="AV103" i="30"/>
  <c r="AQ103" i="30"/>
  <c r="AP103" i="30"/>
  <c r="AO103" i="30"/>
  <c r="AN103" i="30"/>
  <c r="AM103" i="30"/>
  <c r="AL103" i="30"/>
  <c r="AK103" i="30"/>
  <c r="AJ103" i="30"/>
  <c r="AI103" i="30"/>
  <c r="AH103" i="30"/>
  <c r="AG103" i="30"/>
  <c r="AF103" i="30"/>
  <c r="AE103" i="30"/>
  <c r="AD103" i="30"/>
  <c r="AC103" i="30"/>
  <c r="AB103" i="30"/>
  <c r="AA103" i="30"/>
  <c r="Z103" i="30"/>
  <c r="Y103" i="30"/>
  <c r="X103" i="30"/>
  <c r="W103" i="30"/>
  <c r="V103" i="30"/>
  <c r="U103" i="30"/>
  <c r="T103" i="30"/>
  <c r="S103" i="30"/>
  <c r="R103" i="30"/>
  <c r="Q103" i="30"/>
  <c r="P103" i="30"/>
  <c r="O103" i="30"/>
  <c r="N103" i="30"/>
  <c r="M103" i="30"/>
  <c r="L103" i="30"/>
  <c r="K103" i="30"/>
  <c r="J103" i="30"/>
  <c r="I103" i="30"/>
  <c r="H103" i="30"/>
  <c r="G103" i="30"/>
  <c r="F103" i="30"/>
  <c r="D103" i="30"/>
  <c r="C103" i="30"/>
  <c r="BA102" i="30"/>
  <c r="AV102" i="30"/>
  <c r="AQ102" i="30"/>
  <c r="AP102" i="30"/>
  <c r="AO102" i="30"/>
  <c r="AN102" i="30"/>
  <c r="AM102" i="30"/>
  <c r="AL102" i="30"/>
  <c r="AK102" i="30"/>
  <c r="AJ102" i="30"/>
  <c r="AI102" i="30"/>
  <c r="AH102" i="30"/>
  <c r="AG102" i="30"/>
  <c r="AF102" i="30"/>
  <c r="AE102" i="30"/>
  <c r="AD102" i="30"/>
  <c r="AC102" i="30"/>
  <c r="AB102" i="30"/>
  <c r="AA102" i="30"/>
  <c r="Z102" i="30"/>
  <c r="Y102" i="30"/>
  <c r="X102" i="30"/>
  <c r="W102" i="30"/>
  <c r="V102" i="30"/>
  <c r="U102" i="30"/>
  <c r="T102" i="30"/>
  <c r="S102" i="30"/>
  <c r="R102" i="30"/>
  <c r="Q102" i="30"/>
  <c r="P102" i="30"/>
  <c r="O102" i="30"/>
  <c r="N102" i="30"/>
  <c r="M102" i="30"/>
  <c r="L102" i="30"/>
  <c r="K102" i="30"/>
  <c r="J102" i="30"/>
  <c r="I102" i="30"/>
  <c r="H102" i="30"/>
  <c r="G102" i="30"/>
  <c r="F102" i="30"/>
  <c r="D102" i="30"/>
  <c r="C102" i="30"/>
  <c r="BA101" i="30"/>
  <c r="AV101" i="30"/>
  <c r="AQ101" i="30"/>
  <c r="AP101" i="30"/>
  <c r="AO101" i="30"/>
  <c r="AN101" i="30"/>
  <c r="AM101" i="30"/>
  <c r="AL101" i="30"/>
  <c r="AK101" i="30"/>
  <c r="AJ101" i="30"/>
  <c r="AI101" i="30"/>
  <c r="AH101" i="30"/>
  <c r="AG101" i="30"/>
  <c r="AF101" i="30"/>
  <c r="AE101" i="30"/>
  <c r="AD101" i="30"/>
  <c r="AC101" i="30"/>
  <c r="AB101" i="30"/>
  <c r="AA101" i="30"/>
  <c r="Z101" i="30"/>
  <c r="Y101" i="30"/>
  <c r="X101" i="30"/>
  <c r="W101" i="30"/>
  <c r="V101" i="30"/>
  <c r="U101" i="30"/>
  <c r="T101" i="30"/>
  <c r="S101" i="30"/>
  <c r="R101" i="30"/>
  <c r="Q101" i="30"/>
  <c r="P101" i="30"/>
  <c r="O101" i="30"/>
  <c r="N101" i="30"/>
  <c r="M101" i="30"/>
  <c r="L101" i="30"/>
  <c r="K101" i="30"/>
  <c r="J101" i="30"/>
  <c r="I101" i="30"/>
  <c r="H101" i="30"/>
  <c r="G101" i="30"/>
  <c r="F101" i="30"/>
  <c r="D101" i="30"/>
  <c r="C101" i="30"/>
  <c r="BA100" i="30"/>
  <c r="AV100" i="30"/>
  <c r="AQ100" i="30"/>
  <c r="AP100" i="30"/>
  <c r="AO100" i="30"/>
  <c r="AN100" i="30"/>
  <c r="AM100" i="30"/>
  <c r="AL100" i="30"/>
  <c r="AK100" i="30"/>
  <c r="AJ100" i="30"/>
  <c r="AI100" i="30"/>
  <c r="AH100" i="30"/>
  <c r="AG100" i="30"/>
  <c r="AF100" i="30"/>
  <c r="AE100" i="30"/>
  <c r="AD100" i="30"/>
  <c r="AC100" i="30"/>
  <c r="AB100" i="30"/>
  <c r="AA100" i="30"/>
  <c r="Z100" i="30"/>
  <c r="Y100" i="30"/>
  <c r="X100" i="30"/>
  <c r="W100" i="30"/>
  <c r="V100" i="30"/>
  <c r="U100" i="30"/>
  <c r="T100" i="30"/>
  <c r="S100" i="30"/>
  <c r="R100" i="30"/>
  <c r="Q100" i="30"/>
  <c r="P100" i="30"/>
  <c r="O100" i="30"/>
  <c r="N100" i="30"/>
  <c r="M100" i="30"/>
  <c r="L100" i="30"/>
  <c r="K100" i="30"/>
  <c r="J100" i="30"/>
  <c r="I100" i="30"/>
  <c r="H100" i="30"/>
  <c r="G100" i="30"/>
  <c r="F100" i="30"/>
  <c r="D100" i="30"/>
  <c r="C100" i="30"/>
  <c r="BA99" i="30"/>
  <c r="AV99" i="30"/>
  <c r="AQ99" i="30"/>
  <c r="AP99" i="30"/>
  <c r="AO99" i="30"/>
  <c r="AN99" i="30"/>
  <c r="AM99" i="30"/>
  <c r="AL99" i="30"/>
  <c r="AK99" i="30"/>
  <c r="AJ99" i="30"/>
  <c r="AI99" i="30"/>
  <c r="AH99" i="30"/>
  <c r="AG99" i="30"/>
  <c r="AF99" i="30"/>
  <c r="AE99" i="30"/>
  <c r="AD99" i="30"/>
  <c r="AC99" i="30"/>
  <c r="AB99" i="30"/>
  <c r="AA99" i="30"/>
  <c r="Z99" i="30"/>
  <c r="Y99" i="30"/>
  <c r="X99" i="30"/>
  <c r="W99" i="30"/>
  <c r="V99" i="30"/>
  <c r="U99" i="30"/>
  <c r="T99" i="30"/>
  <c r="S99" i="30"/>
  <c r="R99" i="30"/>
  <c r="Q99" i="30"/>
  <c r="P99" i="30"/>
  <c r="O99" i="30"/>
  <c r="N99" i="30"/>
  <c r="M99" i="30"/>
  <c r="L99" i="30"/>
  <c r="K99" i="30"/>
  <c r="J99" i="30"/>
  <c r="I99" i="30"/>
  <c r="H99" i="30"/>
  <c r="G99" i="30"/>
  <c r="F99" i="30"/>
  <c r="D99" i="30"/>
  <c r="C99" i="30"/>
  <c r="BA98" i="30"/>
  <c r="AV98" i="30"/>
  <c r="AQ98" i="30"/>
  <c r="AP98" i="30"/>
  <c r="AO98" i="30"/>
  <c r="AN98" i="30"/>
  <c r="AM98" i="30"/>
  <c r="AL98" i="30"/>
  <c r="AK98" i="30"/>
  <c r="AJ98" i="30"/>
  <c r="AI98" i="30"/>
  <c r="AH98" i="30"/>
  <c r="AG98" i="30"/>
  <c r="AF98" i="30"/>
  <c r="AE98" i="30"/>
  <c r="AD98" i="30"/>
  <c r="AC98" i="30"/>
  <c r="AB98" i="30"/>
  <c r="AA98" i="30"/>
  <c r="Z98" i="30"/>
  <c r="Y98" i="30"/>
  <c r="X98" i="30"/>
  <c r="W98" i="30"/>
  <c r="V98" i="30"/>
  <c r="U98" i="30"/>
  <c r="T98" i="30"/>
  <c r="S98" i="30"/>
  <c r="R98" i="30"/>
  <c r="Q98" i="30"/>
  <c r="P98" i="30"/>
  <c r="O98" i="30"/>
  <c r="N98" i="30"/>
  <c r="M98" i="30"/>
  <c r="L98" i="30"/>
  <c r="K98" i="30"/>
  <c r="J98" i="30"/>
  <c r="I98" i="30"/>
  <c r="H98" i="30"/>
  <c r="G98" i="30"/>
  <c r="F98" i="30"/>
  <c r="D98" i="30"/>
  <c r="C98" i="30"/>
  <c r="BA97" i="30"/>
  <c r="AV97" i="30"/>
  <c r="AQ97" i="30"/>
  <c r="AP97" i="30"/>
  <c r="AO97" i="30"/>
  <c r="AN97" i="30"/>
  <c r="AM97" i="30"/>
  <c r="AL97" i="30"/>
  <c r="AK97" i="30"/>
  <c r="AJ97" i="30"/>
  <c r="AI97" i="30"/>
  <c r="AH97" i="30"/>
  <c r="AG97" i="30"/>
  <c r="AF97" i="30"/>
  <c r="AE97" i="30"/>
  <c r="AD97" i="30"/>
  <c r="AC97" i="30"/>
  <c r="AB97" i="30"/>
  <c r="AA97" i="30"/>
  <c r="Z97" i="30"/>
  <c r="Y97" i="30"/>
  <c r="X97" i="30"/>
  <c r="W97" i="30"/>
  <c r="V97" i="30"/>
  <c r="U97" i="30"/>
  <c r="T97" i="30"/>
  <c r="S97" i="30"/>
  <c r="R97" i="30"/>
  <c r="Q97" i="30"/>
  <c r="P97" i="30"/>
  <c r="O97" i="30"/>
  <c r="N97" i="30"/>
  <c r="M97" i="30"/>
  <c r="L97" i="30"/>
  <c r="K97" i="30"/>
  <c r="J97" i="30"/>
  <c r="I97" i="30"/>
  <c r="H97" i="30"/>
  <c r="G97" i="30"/>
  <c r="F97" i="30"/>
  <c r="D97" i="30"/>
  <c r="C97" i="30"/>
  <c r="BA96" i="30"/>
  <c r="AV96" i="30"/>
  <c r="AQ96" i="30"/>
  <c r="AP96" i="30"/>
  <c r="AO96" i="30"/>
  <c r="AN96" i="30"/>
  <c r="AM96" i="30"/>
  <c r="AL96" i="30"/>
  <c r="AK96" i="30"/>
  <c r="AJ96" i="30"/>
  <c r="AI96" i="30"/>
  <c r="AH96" i="30"/>
  <c r="AG96" i="30"/>
  <c r="AF96" i="30"/>
  <c r="AE96" i="30"/>
  <c r="AD96" i="30"/>
  <c r="AC96" i="30"/>
  <c r="AB96" i="30"/>
  <c r="AA96" i="30"/>
  <c r="Z96" i="30"/>
  <c r="Y96" i="30"/>
  <c r="X96" i="30"/>
  <c r="W96" i="30"/>
  <c r="V96" i="30"/>
  <c r="U96" i="30"/>
  <c r="T96" i="30"/>
  <c r="S96" i="30"/>
  <c r="R96" i="30"/>
  <c r="Q96" i="30"/>
  <c r="P96" i="30"/>
  <c r="O96" i="30"/>
  <c r="N96" i="30"/>
  <c r="M96" i="30"/>
  <c r="L96" i="30"/>
  <c r="K96" i="30"/>
  <c r="J96" i="30"/>
  <c r="I96" i="30"/>
  <c r="H96" i="30"/>
  <c r="G96" i="30"/>
  <c r="F96" i="30"/>
  <c r="D96" i="30"/>
  <c r="C96" i="30"/>
  <c r="BA95" i="30"/>
  <c r="AV95" i="30"/>
  <c r="AQ95" i="30"/>
  <c r="AP95" i="30"/>
  <c r="AO95" i="30"/>
  <c r="AN95" i="30"/>
  <c r="AM95" i="30"/>
  <c r="AL95" i="30"/>
  <c r="AK95" i="30"/>
  <c r="AJ95" i="30"/>
  <c r="AI95" i="30"/>
  <c r="AH95" i="30"/>
  <c r="AG95" i="30"/>
  <c r="AF95" i="30"/>
  <c r="AE95" i="30"/>
  <c r="AD95" i="30"/>
  <c r="AC95" i="30"/>
  <c r="AB95" i="30"/>
  <c r="AA95" i="30"/>
  <c r="Z95" i="30"/>
  <c r="Y95" i="30"/>
  <c r="X95" i="30"/>
  <c r="W95" i="30"/>
  <c r="V95" i="30"/>
  <c r="U95" i="30"/>
  <c r="T95" i="30"/>
  <c r="S95" i="30"/>
  <c r="R95" i="30"/>
  <c r="Q95" i="30"/>
  <c r="P95" i="30"/>
  <c r="O95" i="30"/>
  <c r="N95" i="30"/>
  <c r="M95" i="30"/>
  <c r="L95" i="30"/>
  <c r="K95" i="30"/>
  <c r="J95" i="30"/>
  <c r="I95" i="30"/>
  <c r="H95" i="30"/>
  <c r="G95" i="30"/>
  <c r="F95" i="30"/>
  <c r="D95" i="30"/>
  <c r="C95" i="30"/>
  <c r="BA94" i="30"/>
  <c r="AV94" i="30"/>
  <c r="AQ94" i="30"/>
  <c r="AP94" i="30"/>
  <c r="AO94" i="30"/>
  <c r="AN94" i="30"/>
  <c r="AM94" i="30"/>
  <c r="AL94" i="30"/>
  <c r="AK94" i="30"/>
  <c r="AJ94" i="30"/>
  <c r="AI94" i="30"/>
  <c r="AH94" i="30"/>
  <c r="AG94" i="30"/>
  <c r="AF94" i="30"/>
  <c r="AE94" i="30"/>
  <c r="AD94" i="30"/>
  <c r="AC94" i="30"/>
  <c r="AB94" i="30"/>
  <c r="AA94" i="30"/>
  <c r="Z94" i="30"/>
  <c r="Y94" i="30"/>
  <c r="X94" i="30"/>
  <c r="W94" i="30"/>
  <c r="V94" i="30"/>
  <c r="U94" i="30"/>
  <c r="T94" i="30"/>
  <c r="S94" i="30"/>
  <c r="R94" i="30"/>
  <c r="Q94" i="30"/>
  <c r="P94" i="30"/>
  <c r="O94" i="30"/>
  <c r="N94" i="30"/>
  <c r="M94" i="30"/>
  <c r="L94" i="30"/>
  <c r="K94" i="30"/>
  <c r="J94" i="30"/>
  <c r="I94" i="30"/>
  <c r="H94" i="30"/>
  <c r="G94" i="30"/>
  <c r="F94" i="30"/>
  <c r="D94" i="30"/>
  <c r="C94" i="30"/>
  <c r="BA93" i="30"/>
  <c r="AV93" i="30"/>
  <c r="AQ93" i="30"/>
  <c r="AP93" i="30"/>
  <c r="AO93" i="30"/>
  <c r="AN93" i="30"/>
  <c r="AM93" i="30"/>
  <c r="AL93" i="30"/>
  <c r="AK93" i="30"/>
  <c r="AJ93" i="30"/>
  <c r="AI93" i="30"/>
  <c r="AH93" i="30"/>
  <c r="AG93" i="30"/>
  <c r="AF93" i="30"/>
  <c r="AE93" i="30"/>
  <c r="AD93" i="30"/>
  <c r="AC93" i="30"/>
  <c r="AB93" i="30"/>
  <c r="AA93" i="30"/>
  <c r="Z93" i="30"/>
  <c r="Y93" i="30"/>
  <c r="X93" i="30"/>
  <c r="W93" i="30"/>
  <c r="V93" i="30"/>
  <c r="U93" i="30"/>
  <c r="T93" i="30"/>
  <c r="S93" i="30"/>
  <c r="R93" i="30"/>
  <c r="Q93" i="30"/>
  <c r="P93" i="30"/>
  <c r="O93" i="30"/>
  <c r="N93" i="30"/>
  <c r="M93" i="30"/>
  <c r="L93" i="30"/>
  <c r="K93" i="30"/>
  <c r="J93" i="30"/>
  <c r="I93" i="30"/>
  <c r="H93" i="30"/>
  <c r="G93" i="30"/>
  <c r="F93" i="30"/>
  <c r="D93" i="30"/>
  <c r="C93" i="30"/>
  <c r="BA92" i="30"/>
  <c r="AV92" i="30"/>
  <c r="AQ92" i="30"/>
  <c r="AP92" i="30"/>
  <c r="AO92" i="30"/>
  <c r="AN92" i="30"/>
  <c r="AM92" i="30"/>
  <c r="AL92" i="30"/>
  <c r="AK92" i="30"/>
  <c r="AJ92" i="30"/>
  <c r="AI92" i="30"/>
  <c r="AH92" i="30"/>
  <c r="AG92" i="30"/>
  <c r="AF92" i="30"/>
  <c r="AE92" i="30"/>
  <c r="AD92" i="30"/>
  <c r="AC92" i="30"/>
  <c r="AB92" i="30"/>
  <c r="AA92" i="30"/>
  <c r="Z92" i="30"/>
  <c r="Y92" i="30"/>
  <c r="X92" i="30"/>
  <c r="W92" i="30"/>
  <c r="V92" i="30"/>
  <c r="U92" i="30"/>
  <c r="T92" i="30"/>
  <c r="S92" i="30"/>
  <c r="R92" i="30"/>
  <c r="Q92" i="30"/>
  <c r="P92" i="30"/>
  <c r="O92" i="30"/>
  <c r="N92" i="30"/>
  <c r="M92" i="30"/>
  <c r="L92" i="30"/>
  <c r="K92" i="30"/>
  <c r="J92" i="30"/>
  <c r="I92" i="30"/>
  <c r="H92" i="30"/>
  <c r="G92" i="30"/>
  <c r="F92" i="30"/>
  <c r="D92" i="30"/>
  <c r="C92" i="30"/>
  <c r="BA91" i="30"/>
  <c r="AV91" i="30"/>
  <c r="AQ91" i="30"/>
  <c r="AP91" i="30"/>
  <c r="AO91" i="30"/>
  <c r="AN91" i="30"/>
  <c r="AM91" i="30"/>
  <c r="AL91" i="30"/>
  <c r="AK91" i="30"/>
  <c r="AJ91" i="30"/>
  <c r="AI91" i="30"/>
  <c r="AH91" i="30"/>
  <c r="AG91" i="30"/>
  <c r="AF91" i="30"/>
  <c r="AE91" i="30"/>
  <c r="AD91" i="30"/>
  <c r="AC91" i="30"/>
  <c r="AB91" i="30"/>
  <c r="AA91" i="30"/>
  <c r="Z91" i="30"/>
  <c r="Y91" i="30"/>
  <c r="X91" i="30"/>
  <c r="W91" i="30"/>
  <c r="V91" i="30"/>
  <c r="U91" i="30"/>
  <c r="T91" i="30"/>
  <c r="S91" i="30"/>
  <c r="R91" i="30"/>
  <c r="Q91" i="30"/>
  <c r="P91" i="30"/>
  <c r="O91" i="30"/>
  <c r="N91" i="30"/>
  <c r="M91" i="30"/>
  <c r="L91" i="30"/>
  <c r="K91" i="30"/>
  <c r="J91" i="30"/>
  <c r="I91" i="30"/>
  <c r="H91" i="30"/>
  <c r="G91" i="30"/>
  <c r="F91" i="30"/>
  <c r="D91" i="30"/>
  <c r="C91" i="30"/>
  <c r="BA90" i="30"/>
  <c r="AV90" i="30"/>
  <c r="AQ90" i="30"/>
  <c r="AP90" i="30"/>
  <c r="AO90" i="30"/>
  <c r="AN90" i="30"/>
  <c r="AM90" i="30"/>
  <c r="AL90" i="30"/>
  <c r="AK90" i="30"/>
  <c r="AJ90" i="30"/>
  <c r="AI90" i="30"/>
  <c r="AH90" i="30"/>
  <c r="AG90" i="30"/>
  <c r="AF90" i="30"/>
  <c r="AE90" i="30"/>
  <c r="AD90" i="30"/>
  <c r="AC90" i="30"/>
  <c r="AB90" i="30"/>
  <c r="AA90" i="30"/>
  <c r="Z90" i="30"/>
  <c r="Y90" i="30"/>
  <c r="X90" i="30"/>
  <c r="W90" i="30"/>
  <c r="V90" i="30"/>
  <c r="U90" i="30"/>
  <c r="T90" i="30"/>
  <c r="S90" i="30"/>
  <c r="R90" i="30"/>
  <c r="Q90" i="30"/>
  <c r="P90" i="30"/>
  <c r="O90" i="30"/>
  <c r="N90" i="30"/>
  <c r="M90" i="30"/>
  <c r="L90" i="30"/>
  <c r="K90" i="30"/>
  <c r="J90" i="30"/>
  <c r="I90" i="30"/>
  <c r="H90" i="30"/>
  <c r="G90" i="30"/>
  <c r="F90" i="30"/>
  <c r="D90" i="30"/>
  <c r="C90" i="30"/>
  <c r="BA89" i="30"/>
  <c r="AV89" i="30"/>
  <c r="AQ89" i="30"/>
  <c r="AP89" i="30"/>
  <c r="AO89" i="30"/>
  <c r="AN89" i="30"/>
  <c r="AM89" i="30"/>
  <c r="AL89" i="30"/>
  <c r="AK89" i="30"/>
  <c r="AJ89" i="30"/>
  <c r="AI89" i="30"/>
  <c r="AH89" i="30"/>
  <c r="AG89" i="30"/>
  <c r="AF89" i="30"/>
  <c r="AE89" i="30"/>
  <c r="AD89" i="30"/>
  <c r="AC89" i="30"/>
  <c r="AB89" i="30"/>
  <c r="AA89" i="30"/>
  <c r="Z89" i="30"/>
  <c r="Y89" i="30"/>
  <c r="X89" i="30"/>
  <c r="W89" i="30"/>
  <c r="V89" i="30"/>
  <c r="U89" i="30"/>
  <c r="T89" i="30"/>
  <c r="S89" i="30"/>
  <c r="R89" i="30"/>
  <c r="Q89" i="30"/>
  <c r="P89" i="30"/>
  <c r="O89" i="30"/>
  <c r="N89" i="30"/>
  <c r="M89" i="30"/>
  <c r="L89" i="30"/>
  <c r="K89" i="30"/>
  <c r="J89" i="30"/>
  <c r="I89" i="30"/>
  <c r="H89" i="30"/>
  <c r="G89" i="30"/>
  <c r="F89" i="30"/>
  <c r="D89" i="30"/>
  <c r="C89" i="30"/>
  <c r="BA88" i="30"/>
  <c r="AV88" i="30"/>
  <c r="AQ88" i="30"/>
  <c r="AP88" i="30"/>
  <c r="AO88" i="30"/>
  <c r="AN88" i="30"/>
  <c r="AM88" i="30"/>
  <c r="AL88" i="30"/>
  <c r="AK88" i="30"/>
  <c r="AJ88" i="30"/>
  <c r="AI88" i="30"/>
  <c r="AH88" i="30"/>
  <c r="AG88" i="30"/>
  <c r="AF88"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F88" i="30"/>
  <c r="D88" i="30"/>
  <c r="C88" i="30"/>
  <c r="BA87" i="30"/>
  <c r="AV87" i="30"/>
  <c r="AQ87" i="30"/>
  <c r="AP87" i="30"/>
  <c r="AO87" i="30"/>
  <c r="AN87" i="30"/>
  <c r="AM87" i="30"/>
  <c r="AL87" i="30"/>
  <c r="AK87" i="30"/>
  <c r="AJ87" i="30"/>
  <c r="AI87" i="30"/>
  <c r="AH87" i="30"/>
  <c r="AG87" i="30"/>
  <c r="AF87" i="30"/>
  <c r="AE87" i="30"/>
  <c r="AD87" i="30"/>
  <c r="AC87" i="30"/>
  <c r="AB87" i="30"/>
  <c r="AA87" i="30"/>
  <c r="Z87" i="30"/>
  <c r="Y87" i="30"/>
  <c r="X87" i="30"/>
  <c r="W87" i="30"/>
  <c r="V87" i="30"/>
  <c r="U87" i="30"/>
  <c r="T87" i="30"/>
  <c r="S87" i="30"/>
  <c r="R87" i="30"/>
  <c r="Q87" i="30"/>
  <c r="P87" i="30"/>
  <c r="O87" i="30"/>
  <c r="N87" i="30"/>
  <c r="M87" i="30"/>
  <c r="L87" i="30"/>
  <c r="K87" i="30"/>
  <c r="J87" i="30"/>
  <c r="I87" i="30"/>
  <c r="H87" i="30"/>
  <c r="G87" i="30"/>
  <c r="F87" i="30"/>
  <c r="D87" i="30"/>
  <c r="C87" i="30"/>
  <c r="BA86" i="30"/>
  <c r="AV86" i="30"/>
  <c r="AQ86" i="30"/>
  <c r="AP86" i="30"/>
  <c r="AO86" i="30"/>
  <c r="AN86" i="30"/>
  <c r="AM86" i="30"/>
  <c r="AL86" i="30"/>
  <c r="AK86" i="30"/>
  <c r="AJ86" i="30"/>
  <c r="AI86" i="30"/>
  <c r="AH86" i="30"/>
  <c r="AG86" i="30"/>
  <c r="AF86" i="30"/>
  <c r="AE86" i="30"/>
  <c r="AD86" i="30"/>
  <c r="AC86" i="30"/>
  <c r="AB86" i="30"/>
  <c r="AA86" i="30"/>
  <c r="Z86" i="30"/>
  <c r="Y86" i="30"/>
  <c r="X86" i="30"/>
  <c r="W86" i="30"/>
  <c r="V86" i="30"/>
  <c r="U86" i="30"/>
  <c r="T86" i="30"/>
  <c r="S86" i="30"/>
  <c r="R86" i="30"/>
  <c r="Q86" i="30"/>
  <c r="P86" i="30"/>
  <c r="O86" i="30"/>
  <c r="N86" i="30"/>
  <c r="M86" i="30"/>
  <c r="L86" i="30"/>
  <c r="K86" i="30"/>
  <c r="J86" i="30"/>
  <c r="I86" i="30"/>
  <c r="H86" i="30"/>
  <c r="G86" i="30"/>
  <c r="F86" i="30"/>
  <c r="D86" i="30"/>
  <c r="C86" i="30"/>
  <c r="BA85" i="30"/>
  <c r="AV85" i="30"/>
  <c r="AQ85" i="30"/>
  <c r="AP85" i="30"/>
  <c r="AO85" i="30"/>
  <c r="AN85" i="30"/>
  <c r="AM85" i="30"/>
  <c r="AL85" i="30"/>
  <c r="AK85" i="30"/>
  <c r="AJ85" i="30"/>
  <c r="AI85" i="30"/>
  <c r="AH85" i="30"/>
  <c r="AG85" i="30"/>
  <c r="AF85" i="30"/>
  <c r="AE85" i="30"/>
  <c r="AD85" i="30"/>
  <c r="AC85" i="30"/>
  <c r="AB85" i="30"/>
  <c r="AA85" i="30"/>
  <c r="Z85" i="30"/>
  <c r="Y85" i="30"/>
  <c r="X85" i="30"/>
  <c r="W85" i="30"/>
  <c r="V85" i="30"/>
  <c r="U85" i="30"/>
  <c r="T85" i="30"/>
  <c r="S85" i="30"/>
  <c r="R85" i="30"/>
  <c r="Q85" i="30"/>
  <c r="P85" i="30"/>
  <c r="O85" i="30"/>
  <c r="N85" i="30"/>
  <c r="M85" i="30"/>
  <c r="L85" i="30"/>
  <c r="K85" i="30"/>
  <c r="J85" i="30"/>
  <c r="I85" i="30"/>
  <c r="H85" i="30"/>
  <c r="G85" i="30"/>
  <c r="F85" i="30"/>
  <c r="D85" i="30"/>
  <c r="C85" i="30"/>
  <c r="BA84" i="30"/>
  <c r="AV84" i="30"/>
  <c r="AQ84" i="30"/>
  <c r="AP84" i="30"/>
  <c r="AO84" i="30"/>
  <c r="AN84" i="30"/>
  <c r="AM84" i="30"/>
  <c r="AL84" i="30"/>
  <c r="AK84" i="30"/>
  <c r="AJ84" i="30"/>
  <c r="AI84" i="30"/>
  <c r="AH84" i="30"/>
  <c r="AG84" i="30"/>
  <c r="AF84" i="30"/>
  <c r="AE84" i="30"/>
  <c r="AD84" i="30"/>
  <c r="AC84" i="30"/>
  <c r="AB84" i="30"/>
  <c r="AA84" i="30"/>
  <c r="Z84" i="30"/>
  <c r="Y84" i="30"/>
  <c r="X84" i="30"/>
  <c r="W84" i="30"/>
  <c r="V84" i="30"/>
  <c r="U84" i="30"/>
  <c r="T84" i="30"/>
  <c r="S84" i="30"/>
  <c r="R84" i="30"/>
  <c r="Q84" i="30"/>
  <c r="P84" i="30"/>
  <c r="O84" i="30"/>
  <c r="N84" i="30"/>
  <c r="M84" i="30"/>
  <c r="L84" i="30"/>
  <c r="K84" i="30"/>
  <c r="J84" i="30"/>
  <c r="I84" i="30"/>
  <c r="H84" i="30"/>
  <c r="G84" i="30"/>
  <c r="F84" i="30"/>
  <c r="D84" i="30"/>
  <c r="C84" i="30"/>
  <c r="BA83" i="30"/>
  <c r="AV83" i="30"/>
  <c r="AQ83" i="30"/>
  <c r="AP83" i="30"/>
  <c r="AO83" i="30"/>
  <c r="AN83" i="30"/>
  <c r="AM83" i="30"/>
  <c r="AL83" i="30"/>
  <c r="AK83" i="30"/>
  <c r="AJ83" i="30"/>
  <c r="AI83" i="30"/>
  <c r="AH83" i="30"/>
  <c r="AG83" i="30"/>
  <c r="AF83" i="30"/>
  <c r="AE83" i="30"/>
  <c r="AD83" i="30"/>
  <c r="AC83" i="30"/>
  <c r="AB83" i="30"/>
  <c r="AA83" i="30"/>
  <c r="Z83" i="30"/>
  <c r="Y83" i="30"/>
  <c r="X83" i="30"/>
  <c r="W83" i="30"/>
  <c r="V83" i="30"/>
  <c r="U83" i="30"/>
  <c r="T83" i="30"/>
  <c r="S83" i="30"/>
  <c r="R83" i="30"/>
  <c r="Q83" i="30"/>
  <c r="P83" i="30"/>
  <c r="O83" i="30"/>
  <c r="N83" i="30"/>
  <c r="M83" i="30"/>
  <c r="L83" i="30"/>
  <c r="K83" i="30"/>
  <c r="J83" i="30"/>
  <c r="I83" i="30"/>
  <c r="H83" i="30"/>
  <c r="G83" i="30"/>
  <c r="F83" i="30"/>
  <c r="D83" i="30"/>
  <c r="C83" i="30"/>
  <c r="BA82" i="30"/>
  <c r="AV82" i="30"/>
  <c r="AQ82" i="30"/>
  <c r="AP82" i="30"/>
  <c r="AO82" i="30"/>
  <c r="AN82" i="30"/>
  <c r="AM82" i="30"/>
  <c r="AK82" i="30"/>
  <c r="AJ82" i="30"/>
  <c r="AI82" i="30"/>
  <c r="AH82" i="30"/>
  <c r="AG82" i="30"/>
  <c r="AF82" i="30"/>
  <c r="AE82" i="30"/>
  <c r="AD82" i="30"/>
  <c r="AC82" i="30"/>
  <c r="AB82" i="30"/>
  <c r="AA82" i="30"/>
  <c r="Z82" i="30"/>
  <c r="Y82" i="30"/>
  <c r="X82" i="30"/>
  <c r="W82" i="30"/>
  <c r="V82" i="30"/>
  <c r="U82" i="30"/>
  <c r="T82" i="30"/>
  <c r="S82" i="30"/>
  <c r="R82" i="30"/>
  <c r="Q82" i="30"/>
  <c r="P82" i="30"/>
  <c r="O82" i="30"/>
  <c r="N82" i="30"/>
  <c r="M82" i="30"/>
  <c r="L82" i="30"/>
  <c r="K82" i="30"/>
  <c r="J82" i="30"/>
  <c r="I82" i="30"/>
  <c r="H82" i="30"/>
  <c r="G82" i="30"/>
  <c r="F82" i="30"/>
  <c r="D82" i="30"/>
  <c r="C82" i="30"/>
  <c r="BA81" i="30"/>
  <c r="AV81" i="30"/>
  <c r="AQ81" i="30"/>
  <c r="AP81" i="30"/>
  <c r="AO81" i="30"/>
  <c r="AN81" i="30"/>
  <c r="AM81" i="30"/>
  <c r="AL81"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F81" i="30"/>
  <c r="D81" i="30"/>
  <c r="C81" i="30"/>
  <c r="BA80" i="30"/>
  <c r="AV80" i="30"/>
  <c r="AQ80" i="30"/>
  <c r="AP80" i="30"/>
  <c r="AO80" i="30"/>
  <c r="AN80" i="30"/>
  <c r="AM80" i="30"/>
  <c r="AL80" i="30"/>
  <c r="AK80" i="30"/>
  <c r="AJ80" i="30"/>
  <c r="AI80" i="30"/>
  <c r="AH80" i="30"/>
  <c r="AG80" i="30"/>
  <c r="AF80" i="30"/>
  <c r="AE80" i="30"/>
  <c r="AD80" i="30"/>
  <c r="AC80" i="30"/>
  <c r="AB80" i="30"/>
  <c r="AA80" i="30"/>
  <c r="Z80" i="30"/>
  <c r="Y80" i="30"/>
  <c r="X80" i="30"/>
  <c r="W80" i="30"/>
  <c r="V80" i="30"/>
  <c r="U80" i="30"/>
  <c r="T80" i="30"/>
  <c r="S80" i="30"/>
  <c r="R80" i="30"/>
  <c r="Q80" i="30"/>
  <c r="P80" i="30"/>
  <c r="O80" i="30"/>
  <c r="N80" i="30"/>
  <c r="M80" i="30"/>
  <c r="L80" i="30"/>
  <c r="K80" i="30"/>
  <c r="J80" i="30"/>
  <c r="I80" i="30"/>
  <c r="H80" i="30"/>
  <c r="G80" i="30"/>
  <c r="F80" i="30"/>
  <c r="D80" i="30"/>
  <c r="C80" i="30"/>
  <c r="BA79" i="30"/>
  <c r="AV79" i="30"/>
  <c r="AQ79" i="30"/>
  <c r="AP79" i="30"/>
  <c r="AO79" i="30"/>
  <c r="AN79" i="30"/>
  <c r="AM79" i="30"/>
  <c r="AK79" i="30"/>
  <c r="AJ79" i="30"/>
  <c r="AI79" i="30"/>
  <c r="AH79" i="30"/>
  <c r="AG79" i="30"/>
  <c r="AF79" i="30"/>
  <c r="AE79" i="30"/>
  <c r="AD79" i="30"/>
  <c r="AC79" i="30"/>
  <c r="AB79" i="30"/>
  <c r="AA79" i="30"/>
  <c r="Z79" i="30"/>
  <c r="Y79" i="30"/>
  <c r="X79" i="30"/>
  <c r="W79" i="30"/>
  <c r="V79" i="30"/>
  <c r="U79" i="30"/>
  <c r="T79" i="30"/>
  <c r="S79" i="30"/>
  <c r="R79" i="30"/>
  <c r="Q79" i="30"/>
  <c r="P79" i="30"/>
  <c r="O79" i="30"/>
  <c r="N79" i="30"/>
  <c r="M79" i="30"/>
  <c r="L79" i="30"/>
  <c r="K79" i="30"/>
  <c r="J79" i="30"/>
  <c r="I79" i="30"/>
  <c r="H79" i="30"/>
  <c r="G79" i="30"/>
  <c r="F79" i="30"/>
  <c r="D79" i="30"/>
  <c r="C79" i="30"/>
  <c r="B79" i="30"/>
  <c r="BA78" i="30"/>
  <c r="AV78" i="30"/>
  <c r="AQ78" i="30"/>
  <c r="AP78" i="30"/>
  <c r="AO78" i="30"/>
  <c r="AN78" i="30"/>
  <c r="AM78" i="30"/>
  <c r="AK78" i="30"/>
  <c r="AJ78" i="30"/>
  <c r="AI78" i="30"/>
  <c r="AH78" i="30"/>
  <c r="AG78" i="30"/>
  <c r="AF78" i="30"/>
  <c r="AE78" i="30"/>
  <c r="AD78" i="30"/>
  <c r="AC78" i="30"/>
  <c r="AB78" i="30"/>
  <c r="AA78" i="30"/>
  <c r="Z78" i="30"/>
  <c r="Y78" i="30"/>
  <c r="X78" i="30"/>
  <c r="W78" i="30"/>
  <c r="V78" i="30"/>
  <c r="U78" i="30"/>
  <c r="T78" i="30"/>
  <c r="S78" i="30"/>
  <c r="R78" i="30"/>
  <c r="Q78" i="30"/>
  <c r="P78" i="30"/>
  <c r="O78" i="30"/>
  <c r="N78" i="30"/>
  <c r="M78" i="30"/>
  <c r="L78" i="30"/>
  <c r="K78" i="30"/>
  <c r="J78" i="30"/>
  <c r="I78" i="30"/>
  <c r="H78" i="30"/>
  <c r="G78" i="30"/>
  <c r="F78" i="30"/>
  <c r="D78" i="30"/>
  <c r="C78" i="30"/>
  <c r="B78" i="30"/>
  <c r="BA77" i="30"/>
  <c r="AV77" i="30"/>
  <c r="AQ77" i="30"/>
  <c r="AP77" i="30"/>
  <c r="AO77" i="30"/>
  <c r="AN77" i="30"/>
  <c r="AM77" i="30"/>
  <c r="AK77" i="30"/>
  <c r="AJ77" i="30"/>
  <c r="AI77" i="30"/>
  <c r="AH77" i="30"/>
  <c r="AG77" i="30"/>
  <c r="AF77"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D77" i="30"/>
  <c r="C77" i="30"/>
  <c r="B77" i="30"/>
  <c r="BA76" i="30"/>
  <c r="AV76" i="30"/>
  <c r="AQ76" i="30"/>
  <c r="AP76" i="30"/>
  <c r="AO76" i="30"/>
  <c r="AN76" i="30"/>
  <c r="AM76" i="30"/>
  <c r="AK76" i="30"/>
  <c r="AF76" i="30"/>
  <c r="AE76" i="30"/>
  <c r="AD76" i="30"/>
  <c r="AC76" i="30"/>
  <c r="AB76" i="30"/>
  <c r="AA76" i="30"/>
  <c r="Z76" i="30"/>
  <c r="Y76" i="30"/>
  <c r="X76" i="30"/>
  <c r="W76" i="30"/>
  <c r="V76" i="30"/>
  <c r="U76" i="30"/>
  <c r="T76" i="30"/>
  <c r="S76" i="30"/>
  <c r="R76" i="30"/>
  <c r="Q76" i="30"/>
  <c r="P76" i="30"/>
  <c r="O76" i="30"/>
  <c r="N76" i="30"/>
  <c r="M76" i="30"/>
  <c r="L76" i="30"/>
  <c r="K76" i="30"/>
  <c r="J76" i="30"/>
  <c r="I76" i="30"/>
  <c r="H76" i="30"/>
  <c r="G76" i="30"/>
  <c r="F76" i="30"/>
  <c r="D76" i="30"/>
  <c r="C76" i="30"/>
  <c r="B76" i="30"/>
  <c r="BA75" i="30"/>
  <c r="AV75" i="30"/>
  <c r="AQ75" i="30"/>
  <c r="AP75" i="30"/>
  <c r="AO75" i="30"/>
  <c r="AN75" i="30"/>
  <c r="AM75" i="30"/>
  <c r="AK75" i="30"/>
  <c r="AJ75" i="30"/>
  <c r="AI75" i="30"/>
  <c r="AH75" i="30"/>
  <c r="AG75" i="30"/>
  <c r="AF75" i="30"/>
  <c r="AE75" i="30"/>
  <c r="AD75" i="30"/>
  <c r="AC75" i="30"/>
  <c r="AB75" i="30"/>
  <c r="AA75" i="30"/>
  <c r="Z75" i="30"/>
  <c r="Y75" i="30"/>
  <c r="X75" i="30"/>
  <c r="W75" i="30"/>
  <c r="V75" i="30"/>
  <c r="U75" i="30"/>
  <c r="T75" i="30"/>
  <c r="S75" i="30"/>
  <c r="R75" i="30"/>
  <c r="Q75" i="30"/>
  <c r="P75" i="30"/>
  <c r="O75" i="30"/>
  <c r="N75" i="30"/>
  <c r="M75" i="30"/>
  <c r="L75" i="30"/>
  <c r="K75" i="30"/>
  <c r="J75" i="30"/>
  <c r="I75" i="30"/>
  <c r="H75" i="30"/>
  <c r="G75" i="30"/>
  <c r="F75" i="30"/>
  <c r="D75" i="30"/>
  <c r="C75" i="30"/>
  <c r="B75" i="30"/>
  <c r="BA74" i="30"/>
  <c r="AV74" i="30"/>
  <c r="AQ74" i="30"/>
  <c r="AP74" i="30"/>
  <c r="AO74" i="30"/>
  <c r="AN74" i="30"/>
  <c r="AM74" i="30"/>
  <c r="AL74" i="30"/>
  <c r="AK74" i="30"/>
  <c r="AJ74" i="30"/>
  <c r="AI74" i="30"/>
  <c r="AH74" i="30"/>
  <c r="AG74" i="30"/>
  <c r="AF74" i="30"/>
  <c r="AE74" i="30"/>
  <c r="AD74" i="30"/>
  <c r="AC74" i="30"/>
  <c r="AB74" i="30"/>
  <c r="AA74" i="30"/>
  <c r="Z74" i="30"/>
  <c r="Y74" i="30"/>
  <c r="X74" i="30"/>
  <c r="W74" i="30"/>
  <c r="V74" i="30"/>
  <c r="U74" i="30"/>
  <c r="T74" i="30"/>
  <c r="S74" i="30"/>
  <c r="R74" i="30"/>
  <c r="Q74" i="30"/>
  <c r="P74" i="30"/>
  <c r="O74" i="30"/>
  <c r="N74" i="30"/>
  <c r="M74" i="30"/>
  <c r="L74" i="30"/>
  <c r="K74" i="30"/>
  <c r="J74" i="30"/>
  <c r="I74" i="30"/>
  <c r="H74" i="30"/>
  <c r="G74" i="30"/>
  <c r="F74" i="30"/>
  <c r="D74" i="30"/>
  <c r="C74" i="30"/>
  <c r="B74" i="30"/>
  <c r="BA73" i="30"/>
  <c r="AV73" i="30"/>
  <c r="AQ73" i="30"/>
  <c r="AP73" i="30"/>
  <c r="AO73" i="30"/>
  <c r="AN73" i="30"/>
  <c r="AM73" i="30"/>
  <c r="AK73" i="30"/>
  <c r="AJ73" i="30"/>
  <c r="AI73" i="30"/>
  <c r="AH73" i="30"/>
  <c r="AG73" i="30"/>
  <c r="AF73" i="30"/>
  <c r="AE73" i="30"/>
  <c r="AD73" i="30"/>
  <c r="AC73" i="30"/>
  <c r="AB73" i="30"/>
  <c r="AA73" i="30"/>
  <c r="Z73" i="30"/>
  <c r="Y73" i="30"/>
  <c r="X73" i="30"/>
  <c r="W73" i="30"/>
  <c r="V73" i="30"/>
  <c r="U73" i="30"/>
  <c r="T73" i="30"/>
  <c r="S73" i="30"/>
  <c r="R73" i="30"/>
  <c r="Q73" i="30"/>
  <c r="P73" i="30"/>
  <c r="O73" i="30"/>
  <c r="N73" i="30"/>
  <c r="M73" i="30"/>
  <c r="L73" i="30"/>
  <c r="K73" i="30"/>
  <c r="J73" i="30"/>
  <c r="I73" i="30"/>
  <c r="H73" i="30"/>
  <c r="G73" i="30"/>
  <c r="F73" i="30"/>
  <c r="D73" i="30"/>
  <c r="C73" i="30"/>
  <c r="B73" i="30"/>
  <c r="BA72" i="30"/>
  <c r="AV72" i="30"/>
  <c r="AQ72" i="30"/>
  <c r="AP72" i="30"/>
  <c r="AO72" i="30"/>
  <c r="AN72" i="30"/>
  <c r="AM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D72" i="30"/>
  <c r="C72" i="30"/>
  <c r="B72" i="30"/>
  <c r="BA71" i="30"/>
  <c r="AV71" i="30"/>
  <c r="AQ71" i="30"/>
  <c r="AP71" i="30"/>
  <c r="AO71" i="30"/>
  <c r="AN71" i="30"/>
  <c r="AM71" i="30"/>
  <c r="AK71" i="30"/>
  <c r="AJ71" i="30"/>
  <c r="AI71" i="30"/>
  <c r="AH71" i="30"/>
  <c r="AG71" i="30"/>
  <c r="AF71" i="30"/>
  <c r="AE71" i="30"/>
  <c r="AD71" i="30"/>
  <c r="AC71" i="30"/>
  <c r="AB71" i="30"/>
  <c r="AA71" i="30"/>
  <c r="Z71" i="30"/>
  <c r="Y71" i="30"/>
  <c r="X71" i="30"/>
  <c r="W71" i="30"/>
  <c r="V71" i="30"/>
  <c r="U71" i="30"/>
  <c r="T71" i="30"/>
  <c r="S71" i="30"/>
  <c r="R71" i="30"/>
  <c r="Q71" i="30"/>
  <c r="P71" i="30"/>
  <c r="O71" i="30"/>
  <c r="N71" i="30"/>
  <c r="M71" i="30"/>
  <c r="L71" i="30"/>
  <c r="K71" i="30"/>
  <c r="J71" i="30"/>
  <c r="I71" i="30"/>
  <c r="H71" i="30"/>
  <c r="G71" i="30"/>
  <c r="F71" i="30"/>
  <c r="D71" i="30"/>
  <c r="C71" i="30"/>
  <c r="B71" i="30"/>
  <c r="BA70" i="30"/>
  <c r="AV70" i="30"/>
  <c r="AQ70" i="30"/>
  <c r="AP70" i="30"/>
  <c r="AO70" i="30"/>
  <c r="AN70" i="30"/>
  <c r="AM70" i="30"/>
  <c r="AK70" i="30"/>
  <c r="AF70" i="30"/>
  <c r="AE70" i="30"/>
  <c r="AD70" i="30"/>
  <c r="AC70" i="30"/>
  <c r="AB70" i="30"/>
  <c r="AA70" i="30"/>
  <c r="Z70" i="30"/>
  <c r="Y70" i="30"/>
  <c r="X70" i="30"/>
  <c r="W70" i="30"/>
  <c r="V70" i="30"/>
  <c r="U70" i="30"/>
  <c r="T70" i="30"/>
  <c r="S70" i="30"/>
  <c r="R70" i="30"/>
  <c r="Q70" i="30"/>
  <c r="P70" i="30"/>
  <c r="O70" i="30"/>
  <c r="N70" i="30"/>
  <c r="M70" i="30"/>
  <c r="L70" i="30"/>
  <c r="K70" i="30"/>
  <c r="J70" i="30"/>
  <c r="I70" i="30"/>
  <c r="H70" i="30"/>
  <c r="G70" i="30"/>
  <c r="F70" i="30"/>
  <c r="D70" i="30"/>
  <c r="C70" i="30"/>
  <c r="B70" i="30"/>
  <c r="BA69" i="30"/>
  <c r="AV69" i="30"/>
  <c r="AQ69" i="30"/>
  <c r="AP69" i="30"/>
  <c r="AO69" i="30"/>
  <c r="AN69" i="30"/>
  <c r="AM69" i="30"/>
  <c r="AK69" i="30"/>
  <c r="AJ69" i="30"/>
  <c r="AI69" i="30"/>
  <c r="AH69" i="30"/>
  <c r="AG69" i="30"/>
  <c r="AF69" i="30"/>
  <c r="AE69" i="30"/>
  <c r="AD69" i="30"/>
  <c r="AC69" i="30"/>
  <c r="AB69" i="30"/>
  <c r="AA69" i="30"/>
  <c r="Z69" i="30"/>
  <c r="Y69" i="30"/>
  <c r="X69" i="30"/>
  <c r="W69" i="30"/>
  <c r="V69" i="30"/>
  <c r="U69" i="30"/>
  <c r="T69" i="30"/>
  <c r="S69" i="30"/>
  <c r="R69" i="30"/>
  <c r="Q69" i="30"/>
  <c r="P69" i="30"/>
  <c r="O69" i="30"/>
  <c r="N69" i="30"/>
  <c r="M69" i="30"/>
  <c r="L69" i="30"/>
  <c r="K69" i="30"/>
  <c r="J69" i="30"/>
  <c r="I69" i="30"/>
  <c r="H69" i="30"/>
  <c r="G69" i="30"/>
  <c r="F69" i="30"/>
  <c r="D69" i="30"/>
  <c r="C69" i="30"/>
  <c r="B69" i="30"/>
  <c r="BA68" i="30"/>
  <c r="AV68" i="30"/>
  <c r="AQ68" i="30"/>
  <c r="AP68" i="30"/>
  <c r="AO68" i="30"/>
  <c r="AN68" i="30"/>
  <c r="AM68" i="30"/>
  <c r="AL68" i="30"/>
  <c r="AK68" i="30"/>
  <c r="AJ68" i="30"/>
  <c r="AI68" i="30"/>
  <c r="AH68" i="30"/>
  <c r="AG68" i="30"/>
  <c r="AF68" i="30"/>
  <c r="AE68" i="30"/>
  <c r="AD68" i="30"/>
  <c r="AC68" i="30"/>
  <c r="AB68" i="30"/>
  <c r="AA68" i="30"/>
  <c r="Z68" i="30"/>
  <c r="Y68" i="30"/>
  <c r="X68" i="30"/>
  <c r="W68" i="30"/>
  <c r="V68" i="30"/>
  <c r="U68" i="30"/>
  <c r="T68" i="30"/>
  <c r="S68" i="30"/>
  <c r="R68" i="30"/>
  <c r="Q68" i="30"/>
  <c r="P68" i="30"/>
  <c r="O68" i="30"/>
  <c r="N68" i="30"/>
  <c r="M68" i="30"/>
  <c r="L68" i="30"/>
  <c r="K68" i="30"/>
  <c r="J68" i="30"/>
  <c r="I68" i="30"/>
  <c r="H68" i="30"/>
  <c r="G68" i="30"/>
  <c r="F68" i="30"/>
  <c r="D68" i="30"/>
  <c r="C68" i="30"/>
  <c r="B68" i="30"/>
  <c r="BA67" i="30"/>
  <c r="AV67" i="30"/>
  <c r="AQ67" i="30"/>
  <c r="AP67" i="30"/>
  <c r="AO67" i="30"/>
  <c r="AN67" i="30"/>
  <c r="AM67" i="30"/>
  <c r="AK67" i="30"/>
  <c r="AJ67" i="30"/>
  <c r="AI67" i="30"/>
  <c r="AH67" i="30"/>
  <c r="AG67" i="30"/>
  <c r="AF67" i="30"/>
  <c r="AE67" i="30"/>
  <c r="AD67" i="30"/>
  <c r="AC67" i="30"/>
  <c r="AB67" i="30"/>
  <c r="AA67" i="30"/>
  <c r="Z67" i="30"/>
  <c r="Y67" i="30"/>
  <c r="X67" i="30"/>
  <c r="W67" i="30"/>
  <c r="V67" i="30"/>
  <c r="U67" i="30"/>
  <c r="T67" i="30"/>
  <c r="S67" i="30"/>
  <c r="R67" i="30"/>
  <c r="Q67" i="30"/>
  <c r="P67" i="30"/>
  <c r="O67" i="30"/>
  <c r="N67" i="30"/>
  <c r="M67" i="30"/>
  <c r="L67" i="30"/>
  <c r="K67" i="30"/>
  <c r="J67" i="30"/>
  <c r="I67" i="30"/>
  <c r="H67" i="30"/>
  <c r="G67" i="30"/>
  <c r="F67" i="30"/>
  <c r="D67" i="30"/>
  <c r="C67" i="30"/>
  <c r="B67" i="30"/>
  <c r="BA66" i="30"/>
  <c r="AV66" i="30"/>
  <c r="AQ66" i="30"/>
  <c r="AP66" i="30"/>
  <c r="AO66" i="30"/>
  <c r="AN66" i="30"/>
  <c r="AM66" i="30"/>
  <c r="AK66" i="30"/>
  <c r="AJ66" i="30"/>
  <c r="AI66" i="30"/>
  <c r="AH66" i="30"/>
  <c r="AG66" i="30"/>
  <c r="AF66" i="30"/>
  <c r="AE66" i="30"/>
  <c r="AD66" i="30"/>
  <c r="AC66" i="30"/>
  <c r="AB66" i="30"/>
  <c r="AA66" i="30"/>
  <c r="Z66" i="30"/>
  <c r="Y66" i="30"/>
  <c r="X66" i="30"/>
  <c r="W66" i="30"/>
  <c r="V66" i="30"/>
  <c r="U66" i="30"/>
  <c r="T66" i="30"/>
  <c r="S66" i="30"/>
  <c r="R66" i="30"/>
  <c r="Q66" i="30"/>
  <c r="P66" i="30"/>
  <c r="O66" i="30"/>
  <c r="N66" i="30"/>
  <c r="M66" i="30"/>
  <c r="L66" i="30"/>
  <c r="K66" i="30"/>
  <c r="J66" i="30"/>
  <c r="I66" i="30"/>
  <c r="H66" i="30"/>
  <c r="G66" i="30"/>
  <c r="F66" i="30"/>
  <c r="D66" i="30"/>
  <c r="C66" i="30"/>
  <c r="B66" i="30"/>
  <c r="BA65" i="30"/>
  <c r="AV65" i="30"/>
  <c r="AQ65" i="30"/>
  <c r="AP65" i="30"/>
  <c r="AO65" i="30"/>
  <c r="AN65" i="30"/>
  <c r="AM65" i="30"/>
  <c r="AK65" i="30"/>
  <c r="AJ65" i="30"/>
  <c r="AI65" i="30"/>
  <c r="AH65" i="30"/>
  <c r="AG65" i="30"/>
  <c r="AF65" i="30"/>
  <c r="AE65" i="30"/>
  <c r="AD65" i="30"/>
  <c r="AC65" i="30"/>
  <c r="AB65" i="30"/>
  <c r="AA65" i="30"/>
  <c r="Z65" i="30"/>
  <c r="Y65" i="30"/>
  <c r="X65" i="30"/>
  <c r="W65" i="30"/>
  <c r="V65" i="30"/>
  <c r="U65" i="30"/>
  <c r="T65" i="30"/>
  <c r="S65" i="30"/>
  <c r="R65" i="30"/>
  <c r="Q65" i="30"/>
  <c r="P65" i="30"/>
  <c r="O65" i="30"/>
  <c r="N65" i="30"/>
  <c r="M65" i="30"/>
  <c r="L65" i="30"/>
  <c r="K65" i="30"/>
  <c r="J65" i="30"/>
  <c r="I65" i="30"/>
  <c r="H65" i="30"/>
  <c r="G65" i="30"/>
  <c r="F65" i="30"/>
  <c r="D65" i="30"/>
  <c r="C65" i="30"/>
  <c r="B65" i="30"/>
  <c r="BA64" i="30"/>
  <c r="AV64" i="30"/>
  <c r="AQ64" i="30"/>
  <c r="AP64" i="30"/>
  <c r="AO64" i="30"/>
  <c r="AN64" i="30"/>
  <c r="AM64" i="30"/>
  <c r="AK64" i="30"/>
  <c r="AF64" i="30"/>
  <c r="AE64" i="30"/>
  <c r="AD64" i="30"/>
  <c r="AC64" i="30"/>
  <c r="AB64" i="30"/>
  <c r="AA64" i="30"/>
  <c r="Z64" i="30"/>
  <c r="Y64" i="30"/>
  <c r="X64" i="30"/>
  <c r="W64" i="30"/>
  <c r="V64" i="30"/>
  <c r="U64" i="30"/>
  <c r="T64" i="30"/>
  <c r="S64" i="30"/>
  <c r="R64" i="30"/>
  <c r="Q64" i="30"/>
  <c r="P64" i="30"/>
  <c r="O64" i="30"/>
  <c r="N64" i="30"/>
  <c r="M64" i="30"/>
  <c r="L64" i="30"/>
  <c r="K64" i="30"/>
  <c r="J64" i="30"/>
  <c r="I64" i="30"/>
  <c r="H64" i="30"/>
  <c r="G64" i="30"/>
  <c r="F64" i="30"/>
  <c r="D64" i="30"/>
  <c r="C64" i="30"/>
  <c r="B64" i="30"/>
  <c r="BA63" i="30"/>
  <c r="AV63" i="30"/>
  <c r="AQ63" i="30"/>
  <c r="AP63" i="30"/>
  <c r="AO63" i="30"/>
  <c r="AN63" i="30"/>
  <c r="AM63" i="30"/>
  <c r="AK63" i="30"/>
  <c r="AJ63" i="30"/>
  <c r="AI63" i="30"/>
  <c r="AH63" i="30"/>
  <c r="AG63" i="30"/>
  <c r="AF63" i="30"/>
  <c r="AE63" i="30"/>
  <c r="AD63" i="30"/>
  <c r="AC63" i="30"/>
  <c r="AB63" i="30"/>
  <c r="AA63" i="30"/>
  <c r="Z63" i="30"/>
  <c r="Y63" i="30"/>
  <c r="X63" i="30"/>
  <c r="W63" i="30"/>
  <c r="V63" i="30"/>
  <c r="U63" i="30"/>
  <c r="T63" i="30"/>
  <c r="S63" i="30"/>
  <c r="R63" i="30"/>
  <c r="Q63" i="30"/>
  <c r="P63" i="30"/>
  <c r="O63" i="30"/>
  <c r="N63" i="30"/>
  <c r="M63" i="30"/>
  <c r="L63" i="30"/>
  <c r="K63" i="30"/>
  <c r="J63" i="30"/>
  <c r="I63" i="30"/>
  <c r="H63" i="30"/>
  <c r="G63" i="30"/>
  <c r="F63" i="30"/>
  <c r="D63" i="30"/>
  <c r="C63" i="30"/>
  <c r="B63" i="30"/>
  <c r="BA62" i="30"/>
  <c r="AV62" i="30"/>
  <c r="AQ62" i="30"/>
  <c r="AP62" i="30"/>
  <c r="AO62" i="30"/>
  <c r="AN62" i="30"/>
  <c r="AM62" i="30"/>
  <c r="AL62" i="30"/>
  <c r="AK62" i="30"/>
  <c r="AJ62" i="30"/>
  <c r="AI62" i="30"/>
  <c r="AH62" i="30"/>
  <c r="AG62" i="30"/>
  <c r="AF62" i="30"/>
  <c r="AE62" i="30"/>
  <c r="AD62" i="30"/>
  <c r="AC62" i="30"/>
  <c r="AB62" i="30"/>
  <c r="AA62" i="30"/>
  <c r="Z62" i="30"/>
  <c r="Y62" i="30"/>
  <c r="X62" i="30"/>
  <c r="W62" i="30"/>
  <c r="V62" i="30"/>
  <c r="U62" i="30"/>
  <c r="T62" i="30"/>
  <c r="S62" i="30"/>
  <c r="R62" i="30"/>
  <c r="Q62" i="30"/>
  <c r="P62" i="30"/>
  <c r="O62" i="30"/>
  <c r="N62" i="30"/>
  <c r="M62" i="30"/>
  <c r="L62" i="30"/>
  <c r="K62" i="30"/>
  <c r="J62" i="30"/>
  <c r="I62" i="30"/>
  <c r="H62" i="30"/>
  <c r="G62" i="30"/>
  <c r="F62" i="30"/>
  <c r="D62" i="30"/>
  <c r="C62" i="30"/>
  <c r="B62" i="30"/>
  <c r="BA61" i="30"/>
  <c r="AV61" i="30"/>
  <c r="AQ61" i="30"/>
  <c r="AP61" i="30"/>
  <c r="AO61" i="30"/>
  <c r="AN61" i="30"/>
  <c r="AM61" i="30"/>
  <c r="AK61" i="30"/>
  <c r="AJ61" i="30"/>
  <c r="AI61" i="30"/>
  <c r="AH61" i="30"/>
  <c r="AG61" i="30"/>
  <c r="AF61" i="30"/>
  <c r="AE61" i="30"/>
  <c r="AD61" i="30"/>
  <c r="AC61" i="30"/>
  <c r="AB61" i="30"/>
  <c r="AA61" i="30"/>
  <c r="Z61" i="30"/>
  <c r="Y61" i="30"/>
  <c r="X61" i="30"/>
  <c r="W61" i="30"/>
  <c r="V61" i="30"/>
  <c r="U61" i="30"/>
  <c r="T61" i="30"/>
  <c r="S61" i="30"/>
  <c r="R61" i="30"/>
  <c r="Q61" i="30"/>
  <c r="P61" i="30"/>
  <c r="O61" i="30"/>
  <c r="N61" i="30"/>
  <c r="M61" i="30"/>
  <c r="L61" i="30"/>
  <c r="K61" i="30"/>
  <c r="J61" i="30"/>
  <c r="I61" i="30"/>
  <c r="H61" i="30"/>
  <c r="G61" i="30"/>
  <c r="F61" i="30"/>
  <c r="D61" i="30"/>
  <c r="C61" i="30"/>
  <c r="B61" i="30"/>
  <c r="BA60" i="30"/>
  <c r="AV60" i="30"/>
  <c r="AQ60" i="30"/>
  <c r="AP60" i="30"/>
  <c r="AO60" i="30"/>
  <c r="AN60" i="30"/>
  <c r="AM60" i="30"/>
  <c r="AK60" i="30"/>
  <c r="AJ60" i="30"/>
  <c r="AI60" i="30"/>
  <c r="AH60" i="30"/>
  <c r="AG60" i="30"/>
  <c r="AF60" i="30"/>
  <c r="AE60" i="30"/>
  <c r="AD60" i="30"/>
  <c r="AC60" i="30"/>
  <c r="AB60" i="30"/>
  <c r="AA60" i="30"/>
  <c r="Z60" i="30"/>
  <c r="Y60" i="30"/>
  <c r="X60" i="30"/>
  <c r="W60" i="30"/>
  <c r="V60" i="30"/>
  <c r="U60" i="30"/>
  <c r="T60" i="30"/>
  <c r="S60" i="30"/>
  <c r="R60" i="30"/>
  <c r="Q60" i="30"/>
  <c r="P60" i="30"/>
  <c r="O60" i="30"/>
  <c r="N60" i="30"/>
  <c r="M60" i="30"/>
  <c r="L60" i="30"/>
  <c r="K60" i="30"/>
  <c r="J60" i="30"/>
  <c r="I60" i="30"/>
  <c r="H60" i="30"/>
  <c r="G60" i="30"/>
  <c r="F60" i="30"/>
  <c r="D60" i="30"/>
  <c r="C60" i="30"/>
  <c r="B60" i="30"/>
  <c r="BA59" i="30"/>
  <c r="AV59" i="30"/>
  <c r="AQ59" i="30"/>
  <c r="AP59" i="30"/>
  <c r="AO59" i="30"/>
  <c r="AN59" i="30"/>
  <c r="AM59" i="30"/>
  <c r="AK59" i="30"/>
  <c r="AJ59" i="30"/>
  <c r="AI59" i="30"/>
  <c r="AH59" i="30"/>
  <c r="AG59" i="30"/>
  <c r="AF59" i="30"/>
  <c r="AE59" i="30"/>
  <c r="AD59" i="30"/>
  <c r="AC59" i="30"/>
  <c r="AB59" i="30"/>
  <c r="AA59" i="30"/>
  <c r="Z59" i="30"/>
  <c r="Y59" i="30"/>
  <c r="X59" i="30"/>
  <c r="W59" i="30"/>
  <c r="V59" i="30"/>
  <c r="U59" i="30"/>
  <c r="T59" i="30"/>
  <c r="S59" i="30"/>
  <c r="R59" i="30"/>
  <c r="Q59" i="30"/>
  <c r="P59" i="30"/>
  <c r="O59" i="30"/>
  <c r="N59" i="30"/>
  <c r="M59" i="30"/>
  <c r="L59" i="30"/>
  <c r="K59" i="30"/>
  <c r="J59" i="30"/>
  <c r="I59" i="30"/>
  <c r="H59" i="30"/>
  <c r="G59" i="30"/>
  <c r="F59" i="30"/>
  <c r="D59" i="30"/>
  <c r="C59" i="30"/>
  <c r="B59" i="30"/>
  <c r="BA58" i="30"/>
  <c r="AV58" i="30"/>
  <c r="AQ58" i="30"/>
  <c r="AP58" i="30"/>
  <c r="AO58" i="30"/>
  <c r="AN58" i="30"/>
  <c r="AM58" i="30"/>
  <c r="AK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D58" i="30"/>
  <c r="C58" i="30"/>
  <c r="B58" i="30"/>
  <c r="BA57" i="30"/>
  <c r="AV57" i="30"/>
  <c r="AQ57" i="30"/>
  <c r="AP57" i="30"/>
  <c r="AO57" i="30"/>
  <c r="AN57" i="30"/>
  <c r="AM57" i="30"/>
  <c r="AK57" i="30"/>
  <c r="AJ57" i="30"/>
  <c r="AI57" i="30"/>
  <c r="AH57" i="30"/>
  <c r="AG57" i="30"/>
  <c r="AF57" i="30"/>
  <c r="AE57" i="30"/>
  <c r="AD57" i="30"/>
  <c r="AC57" i="30"/>
  <c r="AB57" i="30"/>
  <c r="AA57" i="30"/>
  <c r="Z57" i="30"/>
  <c r="Y57" i="30"/>
  <c r="X57" i="30"/>
  <c r="W57" i="30"/>
  <c r="V57" i="30"/>
  <c r="U57" i="30"/>
  <c r="T57" i="30"/>
  <c r="S57" i="30"/>
  <c r="R57" i="30"/>
  <c r="Q57" i="30"/>
  <c r="P57" i="30"/>
  <c r="O57" i="30"/>
  <c r="N57" i="30"/>
  <c r="M57" i="30"/>
  <c r="L57" i="30"/>
  <c r="K57" i="30"/>
  <c r="J57" i="30"/>
  <c r="I57" i="30"/>
  <c r="H57" i="30"/>
  <c r="G57" i="30"/>
  <c r="F57" i="30"/>
  <c r="D57" i="30"/>
  <c r="C57" i="30"/>
  <c r="B57" i="30"/>
  <c r="BA56" i="30"/>
  <c r="AV56" i="30"/>
  <c r="AQ56" i="30"/>
  <c r="AP56" i="30"/>
  <c r="AO56" i="30"/>
  <c r="AN56" i="30"/>
  <c r="AM56" i="30"/>
  <c r="AL56" i="30"/>
  <c r="AK56" i="30"/>
  <c r="V56" i="30"/>
  <c r="J56" i="30"/>
  <c r="I56" i="30"/>
  <c r="H56" i="30"/>
  <c r="G56" i="30"/>
  <c r="F56" i="30"/>
  <c r="D56" i="30"/>
  <c r="C56" i="30"/>
  <c r="B56" i="30"/>
  <c r="BA55" i="30"/>
  <c r="AV55" i="30"/>
  <c r="AQ55" i="30"/>
  <c r="AP55" i="30"/>
  <c r="AO55" i="30"/>
  <c r="AN55" i="30"/>
  <c r="AM55" i="30"/>
  <c r="AK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D55" i="30"/>
  <c r="C55" i="30"/>
  <c r="B55" i="30"/>
  <c r="BA54" i="30"/>
  <c r="AV54" i="30"/>
  <c r="AQ54" i="30"/>
  <c r="AP54" i="30"/>
  <c r="AO54" i="30"/>
  <c r="AN54" i="30"/>
  <c r="AM54" i="30"/>
  <c r="AK54" i="30"/>
  <c r="AF54" i="30"/>
  <c r="AE54" i="30"/>
  <c r="AD54" i="30"/>
  <c r="AC54" i="30"/>
  <c r="AB54" i="30"/>
  <c r="AA54" i="30"/>
  <c r="Z54" i="30"/>
  <c r="Y54" i="30"/>
  <c r="X54" i="30"/>
  <c r="W54" i="30"/>
  <c r="V54" i="30"/>
  <c r="U54" i="30"/>
  <c r="T54" i="30"/>
  <c r="S54" i="30"/>
  <c r="R54" i="30"/>
  <c r="Q54" i="30"/>
  <c r="P54" i="30"/>
  <c r="O54" i="30"/>
  <c r="N54" i="30"/>
  <c r="M54" i="30"/>
  <c r="L54" i="30"/>
  <c r="K54" i="30"/>
  <c r="J54" i="30"/>
  <c r="I54" i="30"/>
  <c r="H54" i="30"/>
  <c r="G54" i="30"/>
  <c r="F54" i="30"/>
  <c r="D54" i="30"/>
  <c r="C54" i="30"/>
  <c r="B54" i="30"/>
  <c r="BA53" i="30"/>
  <c r="AV53" i="30"/>
  <c r="AQ53" i="30"/>
  <c r="AP53" i="30"/>
  <c r="AO53" i="30"/>
  <c r="AN53" i="30"/>
  <c r="AM53" i="30"/>
  <c r="AK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D53" i="30"/>
  <c r="C53" i="30"/>
  <c r="B53" i="30"/>
  <c r="BA52" i="30"/>
  <c r="AV52" i="30"/>
  <c r="AQ52" i="30"/>
  <c r="AP52" i="30"/>
  <c r="AO52" i="30"/>
  <c r="AN52" i="30"/>
  <c r="AM52" i="30"/>
  <c r="AK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F52" i="30"/>
  <c r="D52" i="30"/>
  <c r="C52" i="30"/>
  <c r="B52" i="30"/>
  <c r="BA51" i="30"/>
  <c r="AV51" i="30"/>
  <c r="AQ51" i="30"/>
  <c r="AP51" i="30"/>
  <c r="AO51" i="30"/>
  <c r="AN51" i="30"/>
  <c r="AM51" i="30"/>
  <c r="AK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F51" i="30"/>
  <c r="D51" i="30"/>
  <c r="C51" i="30"/>
  <c r="B51" i="30"/>
  <c r="BA50" i="30"/>
  <c r="AV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F50" i="30"/>
  <c r="D50" i="30"/>
  <c r="C50" i="30"/>
  <c r="B50" i="30"/>
  <c r="BA49" i="30"/>
  <c r="AV49" i="30"/>
  <c r="AQ49" i="30"/>
  <c r="AP49" i="30"/>
  <c r="AO49" i="30"/>
  <c r="AN49" i="30"/>
  <c r="AM49" i="30"/>
  <c r="AL49"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F49" i="30"/>
  <c r="D49" i="30"/>
  <c r="C49" i="30"/>
  <c r="B49" i="30"/>
  <c r="BA48" i="30"/>
  <c r="AV48" i="30"/>
  <c r="AQ48" i="30"/>
  <c r="AP48" i="30"/>
  <c r="AO48" i="30"/>
  <c r="AN48" i="30"/>
  <c r="AM48" i="30"/>
  <c r="AK48" i="30"/>
  <c r="AJ48" i="30"/>
  <c r="AI48" i="30"/>
  <c r="AH48" i="30"/>
  <c r="AG48" i="30"/>
  <c r="AF48" i="30"/>
  <c r="AE48" i="30"/>
  <c r="AD48" i="30"/>
  <c r="AC48" i="30"/>
  <c r="AB48" i="30"/>
  <c r="AA48" i="30"/>
  <c r="Z48" i="30"/>
  <c r="Y48" i="30"/>
  <c r="X48" i="30"/>
  <c r="W48" i="30"/>
  <c r="V48" i="30"/>
  <c r="U48" i="30"/>
  <c r="T48" i="30"/>
  <c r="S48" i="30"/>
  <c r="R48" i="30"/>
  <c r="Q48" i="30"/>
  <c r="P48" i="30"/>
  <c r="O48" i="30"/>
  <c r="N48" i="30"/>
  <c r="M48" i="30"/>
  <c r="L48" i="30"/>
  <c r="K48" i="30"/>
  <c r="J48" i="30"/>
  <c r="I48" i="30"/>
  <c r="H48" i="30"/>
  <c r="G48" i="30"/>
  <c r="F48" i="30"/>
  <c r="D48" i="30"/>
  <c r="C48" i="30"/>
  <c r="BA47" i="30"/>
  <c r="AV47" i="30"/>
  <c r="AQ47" i="30"/>
  <c r="AP47" i="30"/>
  <c r="AO47" i="30"/>
  <c r="AN47" i="30"/>
  <c r="AM47" i="30"/>
  <c r="AK47" i="30"/>
  <c r="AJ47" i="30"/>
  <c r="AI47" i="30"/>
  <c r="AH47" i="30"/>
  <c r="AG47" i="30"/>
  <c r="AF47" i="30"/>
  <c r="AE47" i="30"/>
  <c r="AD47" i="30"/>
  <c r="AC47" i="30"/>
  <c r="AB47" i="30"/>
  <c r="AA47" i="30"/>
  <c r="Z47" i="30"/>
  <c r="Y47" i="30"/>
  <c r="X47" i="30"/>
  <c r="W47" i="30"/>
  <c r="V47" i="30"/>
  <c r="U47" i="30"/>
  <c r="T47" i="30"/>
  <c r="S47" i="30"/>
  <c r="R47" i="30"/>
  <c r="Q47" i="30"/>
  <c r="P47" i="30"/>
  <c r="O47" i="30"/>
  <c r="N47" i="30"/>
  <c r="M47" i="30"/>
  <c r="L47" i="30"/>
  <c r="K47" i="30"/>
  <c r="J47" i="30"/>
  <c r="I47" i="30"/>
  <c r="H47" i="30"/>
  <c r="G47" i="30"/>
  <c r="F47" i="30"/>
  <c r="D47" i="30"/>
  <c r="C47" i="30"/>
  <c r="BA46" i="30"/>
  <c r="AV46" i="30"/>
  <c r="AQ46" i="30"/>
  <c r="AP46" i="30"/>
  <c r="AO46" i="30"/>
  <c r="AN46" i="30"/>
  <c r="AM46" i="30"/>
  <c r="AL46" i="30"/>
  <c r="AK46" i="30"/>
  <c r="AJ46" i="30"/>
  <c r="AI46" i="30"/>
  <c r="AH46" i="30"/>
  <c r="AG46" i="30"/>
  <c r="AF46" i="30"/>
  <c r="AE46" i="30"/>
  <c r="AD46" i="30"/>
  <c r="AC46" i="30"/>
  <c r="AB46" i="30"/>
  <c r="AA46" i="30"/>
  <c r="Z46" i="30"/>
  <c r="Y46" i="30"/>
  <c r="X46" i="30"/>
  <c r="W46" i="30"/>
  <c r="V46" i="30"/>
  <c r="U46" i="30"/>
  <c r="T46" i="30"/>
  <c r="S46" i="30"/>
  <c r="R46" i="30"/>
  <c r="Q46" i="30"/>
  <c r="P46" i="30"/>
  <c r="O46" i="30"/>
  <c r="N46" i="30"/>
  <c r="L46" i="30"/>
  <c r="K46" i="30"/>
  <c r="J46" i="30"/>
  <c r="I46" i="30"/>
  <c r="H46" i="30"/>
  <c r="G46" i="30"/>
  <c r="F46" i="30"/>
  <c r="D46" i="30"/>
  <c r="C46" i="30"/>
  <c r="BA431" i="30"/>
  <c r="AV431" i="30"/>
  <c r="AQ431" i="30"/>
  <c r="AP431" i="30"/>
  <c r="AO431" i="30"/>
  <c r="AN431" i="30"/>
  <c r="AM431" i="30"/>
  <c r="AL431" i="30"/>
  <c r="AD431" i="30"/>
  <c r="AC431" i="30"/>
  <c r="AB431" i="30"/>
  <c r="AA431" i="30"/>
  <c r="Z431" i="30"/>
  <c r="Y431" i="30"/>
  <c r="X431" i="30"/>
  <c r="W431" i="30"/>
  <c r="V431" i="30"/>
  <c r="U431" i="30"/>
  <c r="T431" i="30"/>
  <c r="S431" i="30"/>
  <c r="R431" i="30"/>
  <c r="Q431" i="30"/>
  <c r="P431" i="30"/>
  <c r="O431" i="30"/>
  <c r="N431" i="30"/>
  <c r="M431" i="30"/>
  <c r="L431" i="30"/>
  <c r="K431" i="30"/>
  <c r="J431" i="30"/>
  <c r="I431" i="30"/>
  <c r="H431" i="30"/>
  <c r="G431" i="30"/>
  <c r="F431" i="30"/>
  <c r="D431" i="30"/>
  <c r="C431" i="30"/>
  <c r="B431" i="30"/>
  <c r="A431" i="30"/>
  <c r="BA430" i="30"/>
  <c r="AV430" i="30"/>
  <c r="AQ430" i="30"/>
  <c r="AP430" i="30"/>
  <c r="AO430" i="30"/>
  <c r="AN430" i="30"/>
  <c r="AM430" i="30"/>
  <c r="AL430" i="30"/>
  <c r="AD430" i="30"/>
  <c r="AC430" i="30"/>
  <c r="AB430" i="30"/>
  <c r="AA430" i="30"/>
  <c r="Z430" i="30"/>
  <c r="Y430" i="30"/>
  <c r="X430" i="30"/>
  <c r="W430" i="30"/>
  <c r="V430" i="30"/>
  <c r="U430" i="30"/>
  <c r="T430" i="30"/>
  <c r="S430" i="30"/>
  <c r="R430" i="30"/>
  <c r="Q430" i="30"/>
  <c r="P430" i="30"/>
  <c r="O430" i="30"/>
  <c r="N430" i="30"/>
  <c r="M430" i="30"/>
  <c r="L430" i="30"/>
  <c r="K430" i="30"/>
  <c r="J430" i="30"/>
  <c r="I430" i="30"/>
  <c r="H430" i="30"/>
  <c r="G430" i="30"/>
  <c r="F430" i="30"/>
  <c r="D430" i="30"/>
  <c r="C430" i="30"/>
  <c r="B430" i="30"/>
  <c r="A430" i="30"/>
  <c r="BA429" i="30"/>
  <c r="AV429" i="30"/>
  <c r="AQ429" i="30"/>
  <c r="AP429" i="30"/>
  <c r="AO429" i="30"/>
  <c r="AN429" i="30"/>
  <c r="AM429" i="30"/>
  <c r="D399" i="61" s="1"/>
  <c r="AL429" i="30"/>
  <c r="AK429" i="30"/>
  <c r="V429" i="30"/>
  <c r="S429" i="30"/>
  <c r="L429" i="30"/>
  <c r="K429" i="30"/>
  <c r="J429" i="30"/>
  <c r="I429" i="30"/>
  <c r="H429" i="30"/>
  <c r="G429" i="30"/>
  <c r="F429" i="30"/>
  <c r="D429" i="30"/>
  <c r="C429" i="30"/>
  <c r="BA428" i="30"/>
  <c r="AV428" i="30"/>
  <c r="AQ428" i="30"/>
  <c r="AP428" i="30"/>
  <c r="AO428" i="30"/>
  <c r="AN428" i="30"/>
  <c r="AM428" i="30"/>
  <c r="AL428" i="30"/>
  <c r="V428" i="30"/>
  <c r="U428" i="30"/>
  <c r="T428" i="30"/>
  <c r="S428" i="30"/>
  <c r="R428" i="30"/>
  <c r="Q428" i="30"/>
  <c r="P428" i="30"/>
  <c r="O428" i="30"/>
  <c r="N428" i="30"/>
  <c r="M428" i="30"/>
  <c r="L428" i="30"/>
  <c r="K428" i="30"/>
  <c r="J428" i="30"/>
  <c r="I428" i="30"/>
  <c r="H428" i="30"/>
  <c r="G428" i="30"/>
  <c r="F428" i="30"/>
  <c r="D428" i="30"/>
  <c r="C428" i="30"/>
  <c r="B428" i="30"/>
  <c r="A428" i="30"/>
  <c r="BA34" i="30"/>
  <c r="AV34" i="30"/>
  <c r="AQ34" i="30"/>
  <c r="AP34" i="30"/>
  <c r="AO34" i="30"/>
  <c r="AN34" i="30"/>
  <c r="AM34" i="30"/>
  <c r="AK34" i="30"/>
  <c r="AJ34" i="30"/>
  <c r="AI34" i="30"/>
  <c r="AH34" i="30"/>
  <c r="AG34" i="30"/>
  <c r="AF34" i="30"/>
  <c r="AE34" i="30"/>
  <c r="AD34" i="30"/>
  <c r="AC34" i="30"/>
  <c r="AB34" i="30"/>
  <c r="AA34" i="30"/>
  <c r="Z34" i="30"/>
  <c r="Y34" i="30"/>
  <c r="X34" i="30"/>
  <c r="W34" i="30"/>
  <c r="V34" i="30"/>
  <c r="U34" i="30"/>
  <c r="T34" i="30"/>
  <c r="S34" i="30"/>
  <c r="R34" i="30"/>
  <c r="Q34" i="30"/>
  <c r="P34" i="30"/>
  <c r="O34" i="30"/>
  <c r="N34" i="30"/>
  <c r="M34" i="30"/>
  <c r="L34" i="30"/>
  <c r="K34" i="30"/>
  <c r="J34" i="30"/>
  <c r="I34" i="30"/>
  <c r="H34" i="30"/>
  <c r="G34" i="30"/>
  <c r="F34" i="30"/>
  <c r="D34" i="30"/>
  <c r="C34" i="30"/>
  <c r="BA33" i="30"/>
  <c r="AV33" i="30"/>
  <c r="AQ33" i="30"/>
  <c r="AP33" i="30"/>
  <c r="AO33" i="30"/>
  <c r="AN33" i="30"/>
  <c r="AM33" i="30"/>
  <c r="AK33" i="30"/>
  <c r="AJ33" i="30"/>
  <c r="AI33" i="30"/>
  <c r="AH33" i="30"/>
  <c r="AG33" i="30"/>
  <c r="AF33" i="30"/>
  <c r="AE33" i="30"/>
  <c r="AD33" i="30"/>
  <c r="AC33" i="30"/>
  <c r="AB33" i="30"/>
  <c r="AA33" i="30"/>
  <c r="Z33" i="30"/>
  <c r="Y33" i="30"/>
  <c r="X33" i="30"/>
  <c r="W33" i="30"/>
  <c r="V33" i="30"/>
  <c r="U33" i="30"/>
  <c r="T33" i="30"/>
  <c r="S33" i="30"/>
  <c r="R33" i="30"/>
  <c r="Q33" i="30"/>
  <c r="P33" i="30"/>
  <c r="O33" i="30"/>
  <c r="N33" i="30"/>
  <c r="M33" i="30"/>
  <c r="L33" i="30"/>
  <c r="K33" i="30"/>
  <c r="J33" i="30"/>
  <c r="I33" i="30"/>
  <c r="H33" i="30"/>
  <c r="G33" i="30"/>
  <c r="F33" i="30"/>
  <c r="D33" i="30"/>
  <c r="C33" i="30"/>
  <c r="BA32" i="30"/>
  <c r="AV32" i="30"/>
  <c r="AQ32" i="30"/>
  <c r="AP32" i="30"/>
  <c r="AO32" i="30"/>
  <c r="AN32" i="30"/>
  <c r="AM32" i="30"/>
  <c r="AK32" i="30"/>
  <c r="AJ32" i="30"/>
  <c r="AH32" i="30"/>
  <c r="AE32" i="30"/>
  <c r="V32" i="30"/>
  <c r="T32" i="30"/>
  <c r="Q32" i="30"/>
  <c r="O32" i="30"/>
  <c r="N32" i="30"/>
  <c r="M32" i="30"/>
  <c r="L32" i="30"/>
  <c r="K32" i="30"/>
  <c r="J32" i="30"/>
  <c r="I32" i="30"/>
  <c r="H32" i="30"/>
  <c r="G32" i="30"/>
  <c r="F32" i="30"/>
  <c r="D32" i="30"/>
  <c r="C32" i="30"/>
  <c r="BA31" i="30"/>
  <c r="AV31" i="30"/>
  <c r="AQ31" i="30"/>
  <c r="AP31" i="30"/>
  <c r="AO31" i="30"/>
  <c r="AN31" i="30"/>
  <c r="AM31" i="30"/>
  <c r="AK31" i="30"/>
  <c r="AJ31" i="30"/>
  <c r="AI31" i="30"/>
  <c r="AH31" i="30"/>
  <c r="AG31" i="30"/>
  <c r="AF31" i="30"/>
  <c r="AE31" i="30"/>
  <c r="AD31" i="30"/>
  <c r="AC31" i="30"/>
  <c r="AB31" i="30"/>
  <c r="AA31" i="30"/>
  <c r="Z31" i="30"/>
  <c r="Y31" i="30"/>
  <c r="X31" i="30"/>
  <c r="W31" i="30"/>
  <c r="V31" i="30"/>
  <c r="U31" i="30"/>
  <c r="T31" i="30"/>
  <c r="S31" i="30"/>
  <c r="R31" i="30"/>
  <c r="Q31" i="30"/>
  <c r="P31" i="30"/>
  <c r="O31" i="30"/>
  <c r="N31" i="30"/>
  <c r="M31" i="30"/>
  <c r="L31" i="30"/>
  <c r="K31" i="30"/>
  <c r="J31" i="30"/>
  <c r="I31" i="30"/>
  <c r="H31" i="30"/>
  <c r="G31" i="30"/>
  <c r="F31" i="30"/>
  <c r="D31" i="30"/>
  <c r="C31" i="30"/>
  <c r="BA30" i="30"/>
  <c r="AV30" i="30"/>
  <c r="AQ30" i="30"/>
  <c r="AP30" i="30"/>
  <c r="AO30" i="30"/>
  <c r="AN30" i="30"/>
  <c r="AM30" i="30"/>
  <c r="AK30" i="30"/>
  <c r="AJ30" i="30"/>
  <c r="AI30" i="30"/>
  <c r="AH30" i="30"/>
  <c r="AG30" i="30"/>
  <c r="AF30" i="30"/>
  <c r="AE30" i="30"/>
  <c r="AD30" i="30"/>
  <c r="AC30" i="30"/>
  <c r="AB30" i="30"/>
  <c r="AA30" i="30"/>
  <c r="Z30" i="30"/>
  <c r="Y30" i="30"/>
  <c r="X30" i="30"/>
  <c r="W30" i="30"/>
  <c r="V30" i="30"/>
  <c r="U30" i="30"/>
  <c r="T30" i="30"/>
  <c r="S30" i="30"/>
  <c r="R30" i="30"/>
  <c r="Q30" i="30"/>
  <c r="P30" i="30"/>
  <c r="O30" i="30"/>
  <c r="N30" i="30"/>
  <c r="M30" i="30"/>
  <c r="L30" i="30"/>
  <c r="K30" i="30"/>
  <c r="J30" i="30"/>
  <c r="I30" i="30"/>
  <c r="H30" i="30"/>
  <c r="G30" i="30"/>
  <c r="F30" i="30"/>
  <c r="D30" i="30"/>
  <c r="C30" i="30"/>
  <c r="BA29" i="30"/>
  <c r="AV29" i="30"/>
  <c r="AQ29" i="30"/>
  <c r="AP29" i="30"/>
  <c r="AO29" i="30"/>
  <c r="AN29" i="30"/>
  <c r="AM29" i="30"/>
  <c r="AK29" i="30"/>
  <c r="AJ29" i="30"/>
  <c r="AH29" i="30"/>
  <c r="AE29" i="30"/>
  <c r="V29" i="30"/>
  <c r="T29" i="30"/>
  <c r="Q29" i="30"/>
  <c r="O29" i="30"/>
  <c r="N29" i="30"/>
  <c r="M29" i="30"/>
  <c r="L29" i="30"/>
  <c r="K29" i="30"/>
  <c r="J29" i="30"/>
  <c r="I29" i="30"/>
  <c r="H29" i="30"/>
  <c r="G29" i="30"/>
  <c r="F29" i="30"/>
  <c r="D29" i="30"/>
  <c r="C29" i="30"/>
  <c r="BA28" i="30"/>
  <c r="AV28" i="30"/>
  <c r="AQ28" i="30"/>
  <c r="AP28" i="30"/>
  <c r="AO28" i="30"/>
  <c r="AN28" i="30"/>
  <c r="AM28" i="30"/>
  <c r="AK28" i="30"/>
  <c r="AJ28" i="30"/>
  <c r="AI28" i="30"/>
  <c r="AH28" i="30"/>
  <c r="AG28" i="30"/>
  <c r="AF28" i="30"/>
  <c r="AE28" i="30"/>
  <c r="AD28" i="30"/>
  <c r="AC28" i="30"/>
  <c r="AB28" i="30"/>
  <c r="AA28" i="30"/>
  <c r="Z28" i="30"/>
  <c r="Y28" i="30"/>
  <c r="X28" i="30"/>
  <c r="W28" i="30"/>
  <c r="V28" i="30"/>
  <c r="U28" i="30"/>
  <c r="T28" i="30"/>
  <c r="S28" i="30"/>
  <c r="R28" i="30"/>
  <c r="Q28" i="30"/>
  <c r="P28" i="30"/>
  <c r="O28" i="30"/>
  <c r="N28" i="30"/>
  <c r="M28" i="30"/>
  <c r="L28" i="30"/>
  <c r="K28" i="30"/>
  <c r="J28" i="30"/>
  <c r="I28" i="30"/>
  <c r="H28" i="30"/>
  <c r="G28" i="30"/>
  <c r="F28" i="30"/>
  <c r="D28" i="30"/>
  <c r="C28" i="30"/>
  <c r="BA27" i="30"/>
  <c r="AV27" i="30"/>
  <c r="AQ27" i="30"/>
  <c r="AP27" i="30"/>
  <c r="AO27" i="30"/>
  <c r="AN27" i="30"/>
  <c r="AM27" i="30"/>
  <c r="AK27" i="30"/>
  <c r="AJ27" i="30"/>
  <c r="AI27" i="30"/>
  <c r="AH27" i="30"/>
  <c r="AG27" i="30"/>
  <c r="AF27" i="30"/>
  <c r="AE27" i="30"/>
  <c r="AD27" i="30"/>
  <c r="AC27" i="30"/>
  <c r="AB27" i="30"/>
  <c r="AA27" i="30"/>
  <c r="Z27" i="30"/>
  <c r="Y27" i="30"/>
  <c r="X27" i="30"/>
  <c r="W27" i="30"/>
  <c r="V27" i="30"/>
  <c r="U27" i="30"/>
  <c r="T27" i="30"/>
  <c r="S27" i="30"/>
  <c r="R27" i="30"/>
  <c r="Q27" i="30"/>
  <c r="P27" i="30"/>
  <c r="O27" i="30"/>
  <c r="N27" i="30"/>
  <c r="M27" i="30"/>
  <c r="L27" i="30"/>
  <c r="K27" i="30"/>
  <c r="J27" i="30"/>
  <c r="I27" i="30"/>
  <c r="H27" i="30"/>
  <c r="G27" i="30"/>
  <c r="F27" i="30"/>
  <c r="D27" i="30"/>
  <c r="C27" i="30"/>
  <c r="BA26" i="30"/>
  <c r="AV26" i="30"/>
  <c r="AQ26" i="30"/>
  <c r="AP26" i="30"/>
  <c r="AO26" i="30"/>
  <c r="AN26" i="30"/>
  <c r="AM26" i="30"/>
  <c r="O26" i="30"/>
  <c r="N26" i="30"/>
  <c r="M26" i="30"/>
  <c r="L26" i="30"/>
  <c r="K26" i="30"/>
  <c r="J26" i="30"/>
  <c r="I26" i="30"/>
  <c r="H26" i="30"/>
  <c r="G26" i="30"/>
  <c r="F26" i="30"/>
  <c r="D26" i="30"/>
  <c r="C26" i="30"/>
  <c r="BA25" i="30"/>
  <c r="AV25" i="30"/>
  <c r="AQ25" i="30"/>
  <c r="AP25" i="30"/>
  <c r="AO25" i="30"/>
  <c r="AN25" i="30"/>
  <c r="AM25" i="30"/>
  <c r="AK25" i="30"/>
  <c r="AJ25" i="30"/>
  <c r="AI25" i="30"/>
  <c r="AH25" i="30"/>
  <c r="AG25" i="30"/>
  <c r="AF25" i="30"/>
  <c r="AE25" i="30"/>
  <c r="AD25" i="30"/>
  <c r="AC25" i="30"/>
  <c r="AB25" i="30"/>
  <c r="AA25" i="30"/>
  <c r="Z25" i="30"/>
  <c r="Y25" i="30"/>
  <c r="X25" i="30"/>
  <c r="W25" i="30"/>
  <c r="V25" i="30"/>
  <c r="U25" i="30"/>
  <c r="T25" i="30"/>
  <c r="S25" i="30"/>
  <c r="R25" i="30"/>
  <c r="Q25" i="30"/>
  <c r="P25" i="30"/>
  <c r="O25" i="30"/>
  <c r="N25" i="30"/>
  <c r="M25" i="30"/>
  <c r="L25" i="30"/>
  <c r="K25" i="30"/>
  <c r="J25" i="30"/>
  <c r="I25" i="30"/>
  <c r="H25" i="30"/>
  <c r="G25" i="30"/>
  <c r="F25" i="30"/>
  <c r="D25" i="30"/>
  <c r="C25" i="30"/>
  <c r="BA24" i="30"/>
  <c r="AV24" i="30"/>
  <c r="AQ24" i="30"/>
  <c r="AP24" i="30"/>
  <c r="AO24" i="30"/>
  <c r="AN24" i="30"/>
  <c r="AM24" i="30"/>
  <c r="AK24" i="30"/>
  <c r="AJ24" i="30"/>
  <c r="AI24" i="30"/>
  <c r="AH24" i="30"/>
  <c r="AG24" i="30"/>
  <c r="AF24" i="30"/>
  <c r="AE24" i="30"/>
  <c r="AD24" i="30"/>
  <c r="AC24" i="30"/>
  <c r="AB24" i="30"/>
  <c r="AA24" i="30"/>
  <c r="Z24" i="30"/>
  <c r="Y24" i="30"/>
  <c r="X24" i="30"/>
  <c r="W24" i="30"/>
  <c r="V24" i="30"/>
  <c r="U24" i="30"/>
  <c r="T24" i="30"/>
  <c r="S24" i="30"/>
  <c r="R24" i="30"/>
  <c r="Q24" i="30"/>
  <c r="P24" i="30"/>
  <c r="O24" i="30"/>
  <c r="N24" i="30"/>
  <c r="M24" i="30"/>
  <c r="L24" i="30"/>
  <c r="K24" i="30"/>
  <c r="J24" i="30"/>
  <c r="I24" i="30"/>
  <c r="H24" i="30"/>
  <c r="G24" i="30"/>
  <c r="F24" i="30"/>
  <c r="D24" i="30"/>
  <c r="C24" i="30"/>
  <c r="BA23" i="30"/>
  <c r="AV23" i="30"/>
  <c r="AQ23" i="30"/>
  <c r="AP23" i="30"/>
  <c r="AO23" i="30"/>
  <c r="AN23" i="30"/>
  <c r="AM23" i="30"/>
  <c r="AK23" i="30"/>
  <c r="AJ23" i="30"/>
  <c r="AH23" i="30"/>
  <c r="AE23" i="30"/>
  <c r="V23" i="30"/>
  <c r="T23" i="30"/>
  <c r="Q23" i="30"/>
  <c r="O23" i="30"/>
  <c r="N23" i="30"/>
  <c r="M23" i="30"/>
  <c r="L23" i="30"/>
  <c r="K23" i="30"/>
  <c r="J23" i="30"/>
  <c r="I23" i="30"/>
  <c r="H23" i="30"/>
  <c r="G23" i="30"/>
  <c r="F23" i="30"/>
  <c r="D23" i="30"/>
  <c r="C23" i="30"/>
  <c r="BA22" i="30"/>
  <c r="AV22" i="30"/>
  <c r="AQ22" i="30"/>
  <c r="AP22" i="30"/>
  <c r="AO22" i="30"/>
  <c r="AN22" i="30"/>
  <c r="AM22" i="30"/>
  <c r="AK22" i="30"/>
  <c r="AJ22" i="30"/>
  <c r="AI22" i="30"/>
  <c r="AH22" i="30"/>
  <c r="AG22" i="30"/>
  <c r="AF22" i="30"/>
  <c r="AE22" i="30"/>
  <c r="AD22" i="30"/>
  <c r="AC22" i="30"/>
  <c r="AB22" i="30"/>
  <c r="AA22" i="30"/>
  <c r="Z22" i="30"/>
  <c r="Y22" i="30"/>
  <c r="X22" i="30"/>
  <c r="W22" i="30"/>
  <c r="V22" i="30"/>
  <c r="U22" i="30"/>
  <c r="T22" i="30"/>
  <c r="S22" i="30"/>
  <c r="R22" i="30"/>
  <c r="Q22" i="30"/>
  <c r="P22" i="30"/>
  <c r="O22" i="30"/>
  <c r="N22" i="30"/>
  <c r="M22" i="30"/>
  <c r="L22" i="30"/>
  <c r="K22" i="30"/>
  <c r="J22" i="30"/>
  <c r="I22" i="30"/>
  <c r="H22" i="30"/>
  <c r="G22" i="30"/>
  <c r="F22" i="30"/>
  <c r="D22" i="30"/>
  <c r="C22" i="30"/>
  <c r="BA21" i="30"/>
  <c r="AV21" i="30"/>
  <c r="AQ21" i="30"/>
  <c r="AP21" i="30"/>
  <c r="AO21" i="30"/>
  <c r="AN21" i="30"/>
  <c r="AM21" i="30"/>
  <c r="AK21" i="30"/>
  <c r="AJ21" i="30"/>
  <c r="AI21" i="30"/>
  <c r="AH21" i="30"/>
  <c r="AG21" i="30"/>
  <c r="AF21" i="30"/>
  <c r="AE21" i="30"/>
  <c r="AD21" i="30"/>
  <c r="AC21" i="30"/>
  <c r="AB21" i="30"/>
  <c r="AA21" i="30"/>
  <c r="Z21" i="30"/>
  <c r="Y21" i="30"/>
  <c r="X21" i="30"/>
  <c r="W21" i="30"/>
  <c r="V21" i="30"/>
  <c r="U21" i="30"/>
  <c r="T21" i="30"/>
  <c r="S21" i="30"/>
  <c r="R21" i="30"/>
  <c r="Q21" i="30"/>
  <c r="P21" i="30"/>
  <c r="O21" i="30"/>
  <c r="N21" i="30"/>
  <c r="M21" i="30"/>
  <c r="L21" i="30"/>
  <c r="K21" i="30"/>
  <c r="J21" i="30"/>
  <c r="I21" i="30"/>
  <c r="H21" i="30"/>
  <c r="G21" i="30"/>
  <c r="F21" i="30"/>
  <c r="D21" i="30"/>
  <c r="C21" i="30"/>
  <c r="BA20" i="30"/>
  <c r="AV20" i="30"/>
  <c r="AQ20" i="30"/>
  <c r="AP20" i="30"/>
  <c r="AO20" i="30"/>
  <c r="AN20" i="30"/>
  <c r="AM20" i="30"/>
  <c r="AK20" i="30"/>
  <c r="AJ20" i="30"/>
  <c r="AH20" i="30"/>
  <c r="AE20" i="30"/>
  <c r="V20" i="30"/>
  <c r="T20" i="30"/>
  <c r="Q20" i="30"/>
  <c r="O20" i="30"/>
  <c r="N20" i="30"/>
  <c r="M20" i="30"/>
  <c r="L20" i="30"/>
  <c r="K20" i="30"/>
  <c r="J20" i="30"/>
  <c r="I20" i="30"/>
  <c r="H20" i="30"/>
  <c r="G20" i="30"/>
  <c r="F20" i="30"/>
  <c r="D20" i="30"/>
  <c r="C20" i="30"/>
  <c r="BA19" i="30"/>
  <c r="AV19" i="30"/>
  <c r="AQ19" i="30"/>
  <c r="AP19" i="30"/>
  <c r="AO19" i="30"/>
  <c r="AN19" i="30"/>
  <c r="AM19" i="30"/>
  <c r="AK19" i="30"/>
  <c r="AJ19" i="30"/>
  <c r="AI19" i="30"/>
  <c r="AH19" i="30"/>
  <c r="AG19" i="30"/>
  <c r="AF19" i="30"/>
  <c r="AE19" i="30"/>
  <c r="AD19" i="30"/>
  <c r="AC19" i="30"/>
  <c r="AB19" i="30"/>
  <c r="AA19" i="30"/>
  <c r="Z19" i="30"/>
  <c r="Y19" i="30"/>
  <c r="X19" i="30"/>
  <c r="W19" i="30"/>
  <c r="V19" i="30"/>
  <c r="U19" i="30"/>
  <c r="T19" i="30"/>
  <c r="S19" i="30"/>
  <c r="R19" i="30"/>
  <c r="Q19" i="30"/>
  <c r="P19" i="30"/>
  <c r="O19" i="30"/>
  <c r="N19" i="30"/>
  <c r="M19" i="30"/>
  <c r="L19" i="30"/>
  <c r="K19" i="30"/>
  <c r="J19" i="30"/>
  <c r="I19" i="30"/>
  <c r="H19" i="30"/>
  <c r="G19" i="30"/>
  <c r="F19" i="30"/>
  <c r="D19" i="30"/>
  <c r="C19" i="30"/>
  <c r="BA18" i="30"/>
  <c r="AV18" i="30"/>
  <c r="AQ18" i="30"/>
  <c r="AP18" i="30"/>
  <c r="AO18" i="30"/>
  <c r="AN18" i="30"/>
  <c r="AM18" i="30"/>
  <c r="AK18" i="30"/>
  <c r="AJ18" i="30"/>
  <c r="AI18" i="30"/>
  <c r="AH18" i="30"/>
  <c r="AG18" i="30"/>
  <c r="AF18" i="30"/>
  <c r="AE18" i="30"/>
  <c r="AD18" i="30"/>
  <c r="AC18" i="30"/>
  <c r="AB18" i="30"/>
  <c r="AA18" i="30"/>
  <c r="Z18" i="30"/>
  <c r="Y18" i="30"/>
  <c r="X18" i="30"/>
  <c r="W18" i="30"/>
  <c r="V18" i="30"/>
  <c r="U18" i="30"/>
  <c r="T18" i="30"/>
  <c r="S18" i="30"/>
  <c r="R18" i="30"/>
  <c r="Q18" i="30"/>
  <c r="P18" i="30"/>
  <c r="O18" i="30"/>
  <c r="N18" i="30"/>
  <c r="M18" i="30"/>
  <c r="L18" i="30"/>
  <c r="K18" i="30"/>
  <c r="J18" i="30"/>
  <c r="I18" i="30"/>
  <c r="H18" i="30"/>
  <c r="G18" i="30"/>
  <c r="F18" i="30"/>
  <c r="D18" i="30"/>
  <c r="C18" i="30"/>
  <c r="BA17" i="30"/>
  <c r="AV17" i="30"/>
  <c r="AQ17" i="30"/>
  <c r="AP17" i="30"/>
  <c r="AO17" i="30"/>
  <c r="AN17" i="30"/>
  <c r="AM17" i="30"/>
  <c r="O17" i="30"/>
  <c r="N17" i="30"/>
  <c r="M17" i="30"/>
  <c r="L17" i="30"/>
  <c r="K17" i="30"/>
  <c r="J17" i="30"/>
  <c r="I17" i="30"/>
  <c r="H17" i="30"/>
  <c r="G17" i="30"/>
  <c r="F17" i="30"/>
  <c r="D17" i="30"/>
  <c r="C17" i="30"/>
  <c r="BA16" i="30"/>
  <c r="AV16" i="30"/>
  <c r="AQ16" i="30"/>
  <c r="AP16" i="30"/>
  <c r="AO16" i="30"/>
  <c r="AN16" i="30"/>
  <c r="AM16" i="30"/>
  <c r="AI16" i="30"/>
  <c r="AF16" i="30"/>
  <c r="AD16" i="30"/>
  <c r="AC16" i="30"/>
  <c r="AB16" i="30"/>
  <c r="AA16" i="30"/>
  <c r="Z16" i="30"/>
  <c r="Y16" i="30"/>
  <c r="X16" i="30"/>
  <c r="W16" i="30"/>
  <c r="U16" i="30"/>
  <c r="R16" i="30"/>
  <c r="P16" i="30"/>
  <c r="O16" i="30"/>
  <c r="N16" i="30"/>
  <c r="M16" i="30"/>
  <c r="L16" i="30"/>
  <c r="K16" i="30"/>
  <c r="J16" i="30"/>
  <c r="I16" i="30"/>
  <c r="H16" i="30"/>
  <c r="G16" i="30"/>
  <c r="F16" i="30"/>
  <c r="D16" i="30"/>
  <c r="C16" i="30"/>
  <c r="BA15" i="30"/>
  <c r="AV15" i="30"/>
  <c r="AQ15" i="30"/>
  <c r="AP15" i="30"/>
  <c r="AO15" i="30"/>
  <c r="AN15" i="30"/>
  <c r="AM15" i="30"/>
  <c r="AK15" i="30"/>
  <c r="AJ15" i="30"/>
  <c r="AI15" i="30"/>
  <c r="AH15" i="30"/>
  <c r="AG15" i="30"/>
  <c r="AF15" i="30"/>
  <c r="AE15" i="30"/>
  <c r="AD15" i="30"/>
  <c r="AC15" i="30"/>
  <c r="AB15" i="30"/>
  <c r="AA15" i="30"/>
  <c r="Z15" i="30"/>
  <c r="Y15" i="30"/>
  <c r="X15" i="30"/>
  <c r="W15" i="30"/>
  <c r="V15" i="30"/>
  <c r="U15" i="30"/>
  <c r="T15" i="30"/>
  <c r="S15" i="30"/>
  <c r="R15" i="30"/>
  <c r="Q15" i="30"/>
  <c r="P15" i="30"/>
  <c r="O15" i="30"/>
  <c r="N15" i="30"/>
  <c r="M15" i="30"/>
  <c r="L15" i="30"/>
  <c r="K15" i="30"/>
  <c r="J15" i="30"/>
  <c r="I15" i="30"/>
  <c r="H15" i="30"/>
  <c r="G15" i="30"/>
  <c r="F15" i="30"/>
  <c r="D15" i="30"/>
  <c r="C15" i="30"/>
  <c r="BA14" i="30"/>
  <c r="AV14" i="30"/>
  <c r="AQ14" i="30"/>
  <c r="AP14" i="30"/>
  <c r="AO14" i="30"/>
  <c r="AN14" i="30"/>
  <c r="AM14" i="30"/>
  <c r="AB14" i="30"/>
  <c r="N14" i="30"/>
  <c r="M14" i="30"/>
  <c r="L14" i="30"/>
  <c r="K14" i="30"/>
  <c r="J14" i="30"/>
  <c r="I14" i="30"/>
  <c r="H14" i="30"/>
  <c r="G14" i="30"/>
  <c r="F14" i="30"/>
  <c r="D14" i="30"/>
  <c r="C14" i="30"/>
  <c r="BA13" i="30"/>
  <c r="AV13" i="30"/>
  <c r="AQ13" i="30"/>
  <c r="AP13" i="30"/>
  <c r="AO13" i="30"/>
  <c r="AN13" i="30"/>
  <c r="AM13" i="30"/>
  <c r="AK13" i="30"/>
  <c r="AJ13" i="30"/>
  <c r="AI13" i="30"/>
  <c r="AH13" i="30"/>
  <c r="AG13" i="30"/>
  <c r="AF13" i="30"/>
  <c r="AE13" i="30"/>
  <c r="AD13" i="30"/>
  <c r="AC13" i="30"/>
  <c r="AB13" i="30"/>
  <c r="AA13" i="30"/>
  <c r="Z13" i="30"/>
  <c r="Y13" i="30"/>
  <c r="X13" i="30"/>
  <c r="W13" i="30"/>
  <c r="V13" i="30"/>
  <c r="U13" i="30"/>
  <c r="T13" i="30"/>
  <c r="S13" i="30"/>
  <c r="R13" i="30"/>
  <c r="Q13" i="30"/>
  <c r="P13" i="30"/>
  <c r="O13" i="30"/>
  <c r="N13" i="30"/>
  <c r="M13" i="30"/>
  <c r="L13" i="30"/>
  <c r="K13" i="30"/>
  <c r="J13" i="30"/>
  <c r="I13" i="30"/>
  <c r="H13" i="30"/>
  <c r="G13" i="30"/>
  <c r="F13" i="30"/>
  <c r="D13" i="30"/>
  <c r="C13" i="30"/>
  <c r="BA12" i="30"/>
  <c r="AV12" i="30"/>
  <c r="AQ12" i="30"/>
  <c r="AP12" i="30"/>
  <c r="AO12" i="30"/>
  <c r="AN12" i="30"/>
  <c r="AM12" i="30"/>
  <c r="AK12" i="30"/>
  <c r="AJ12" i="30"/>
  <c r="AI12" i="30"/>
  <c r="AH12" i="30"/>
  <c r="AG12" i="30"/>
  <c r="AF12" i="30"/>
  <c r="AE12" i="30"/>
  <c r="AD12" i="30"/>
  <c r="AC12" i="30"/>
  <c r="AB12" i="30"/>
  <c r="AA12" i="30"/>
  <c r="Z12" i="30"/>
  <c r="Y12" i="30"/>
  <c r="X12" i="30"/>
  <c r="W12" i="30"/>
  <c r="V12" i="30"/>
  <c r="U12" i="30"/>
  <c r="T12" i="30"/>
  <c r="S12" i="30"/>
  <c r="R12" i="30"/>
  <c r="Q12" i="30"/>
  <c r="P12" i="30"/>
  <c r="O12" i="30"/>
  <c r="N12" i="30"/>
  <c r="M12" i="30"/>
  <c r="L12" i="30"/>
  <c r="K12" i="30"/>
  <c r="J12" i="30"/>
  <c r="I12" i="30"/>
  <c r="H12" i="30"/>
  <c r="G12" i="30"/>
  <c r="F12" i="30"/>
  <c r="D12" i="30"/>
  <c r="C12" i="30"/>
  <c r="BA11" i="30"/>
  <c r="AV11" i="30"/>
  <c r="AQ11" i="30"/>
  <c r="AP11" i="30"/>
  <c r="AO11" i="30"/>
  <c r="AN11" i="30"/>
  <c r="AM11" i="30"/>
  <c r="AL11" i="30"/>
  <c r="AK11" i="30"/>
  <c r="AJ11" i="30"/>
  <c r="AI11" i="30"/>
  <c r="AH11" i="30"/>
  <c r="AG11" i="30"/>
  <c r="AF11" i="30"/>
  <c r="AE11" i="30"/>
  <c r="AD11" i="30"/>
  <c r="AC11" i="30"/>
  <c r="AB11" i="30"/>
  <c r="AA11" i="30"/>
  <c r="Z11" i="30"/>
  <c r="Y11" i="30"/>
  <c r="X11" i="30"/>
  <c r="W11" i="30"/>
  <c r="V11" i="30"/>
  <c r="U11" i="30"/>
  <c r="T11" i="30"/>
  <c r="S11" i="30"/>
  <c r="R11" i="30"/>
  <c r="Q11" i="30"/>
  <c r="P11" i="30"/>
  <c r="O11" i="30"/>
  <c r="N11" i="30"/>
  <c r="M11" i="30"/>
  <c r="L11" i="30"/>
  <c r="K11" i="30"/>
  <c r="J11" i="30"/>
  <c r="I11" i="30"/>
  <c r="H11" i="30"/>
  <c r="G11" i="30"/>
  <c r="F11" i="30"/>
  <c r="D11" i="30"/>
  <c r="C11" i="30"/>
  <c r="BA10" i="30"/>
  <c r="AV10" i="30"/>
  <c r="AQ10" i="30"/>
  <c r="AP10" i="30"/>
  <c r="AO10" i="30"/>
  <c r="AN10" i="30"/>
  <c r="AM10" i="30"/>
  <c r="AL10" i="30"/>
  <c r="AK10" i="30"/>
  <c r="AJ10" i="30"/>
  <c r="AI10" i="30"/>
  <c r="AH10" i="30"/>
  <c r="AG10" i="30"/>
  <c r="AF10" i="30"/>
  <c r="AE10" i="30"/>
  <c r="AD10" i="30"/>
  <c r="AC10" i="30"/>
  <c r="AB10" i="30"/>
  <c r="AA10" i="30"/>
  <c r="Z10" i="30"/>
  <c r="Y10" i="30"/>
  <c r="X10" i="30"/>
  <c r="W10" i="30"/>
  <c r="V10" i="30"/>
  <c r="U10" i="30"/>
  <c r="T10" i="30"/>
  <c r="S10" i="30"/>
  <c r="R10" i="30"/>
  <c r="Q10" i="30"/>
  <c r="P10" i="30"/>
  <c r="O10" i="30"/>
  <c r="N10" i="30"/>
  <c r="M10" i="30"/>
  <c r="L10" i="30"/>
  <c r="K10" i="30"/>
  <c r="J10" i="30"/>
  <c r="I10" i="30"/>
  <c r="H10" i="30"/>
  <c r="G10" i="30"/>
  <c r="F10" i="30"/>
  <c r="D10" i="30"/>
  <c r="C10" i="30"/>
  <c r="BA9" i="30"/>
  <c r="AV9" i="30"/>
  <c r="N9" i="30"/>
  <c r="M9" i="30"/>
  <c r="L9" i="30"/>
  <c r="K9" i="30"/>
  <c r="J9" i="30"/>
  <c r="I9" i="30"/>
  <c r="H9" i="30"/>
  <c r="G9" i="30"/>
  <c r="F9" i="30"/>
  <c r="D9" i="30"/>
  <c r="C9" i="30"/>
  <c r="BA8" i="30"/>
  <c r="AV8" i="30"/>
  <c r="AQ8" i="30"/>
  <c r="AP8" i="30"/>
  <c r="AO8" i="30"/>
  <c r="AN8" i="30"/>
  <c r="AM8" i="30"/>
  <c r="AK8" i="30"/>
  <c r="AJ8" i="30"/>
  <c r="AI8" i="30"/>
  <c r="AH8" i="30"/>
  <c r="AG8" i="30"/>
  <c r="AF8" i="30"/>
  <c r="AE8" i="30"/>
  <c r="AD8" i="30"/>
  <c r="AC8" i="30"/>
  <c r="AB8" i="30"/>
  <c r="AA8" i="30"/>
  <c r="Z8" i="30"/>
  <c r="Y8" i="30"/>
  <c r="X8" i="30"/>
  <c r="W8" i="30"/>
  <c r="V8" i="30"/>
  <c r="U8" i="30"/>
  <c r="T8" i="30"/>
  <c r="S8" i="30"/>
  <c r="R8" i="30"/>
  <c r="Q8" i="30"/>
  <c r="P8" i="30"/>
  <c r="O8" i="30"/>
  <c r="N8" i="30"/>
  <c r="M8" i="30"/>
  <c r="L8" i="30"/>
  <c r="K8" i="30"/>
  <c r="J8" i="30"/>
  <c r="I8" i="30"/>
  <c r="H8" i="30"/>
  <c r="G8" i="30"/>
  <c r="F8" i="30"/>
  <c r="D8" i="30"/>
  <c r="C8" i="30"/>
  <c r="BA7" i="30"/>
  <c r="AV7" i="30"/>
  <c r="AQ7" i="30"/>
  <c r="AP7" i="30"/>
  <c r="AO7" i="30"/>
  <c r="AN7" i="30"/>
  <c r="AM7" i="30"/>
  <c r="AK7" i="30"/>
  <c r="AJ7" i="30"/>
  <c r="AI7" i="30"/>
  <c r="AH7" i="30"/>
  <c r="AG7" i="30"/>
  <c r="AF7" i="30"/>
  <c r="AE7" i="30"/>
  <c r="AD7" i="30"/>
  <c r="AC7" i="30"/>
  <c r="AB7" i="30"/>
  <c r="AA7" i="30"/>
  <c r="Z7" i="30"/>
  <c r="Y7" i="30"/>
  <c r="X7" i="30"/>
  <c r="W7" i="30"/>
  <c r="V7" i="30"/>
  <c r="U7" i="30"/>
  <c r="T7" i="30"/>
  <c r="S7" i="30"/>
  <c r="R7" i="30"/>
  <c r="Q7" i="30"/>
  <c r="P7" i="30"/>
  <c r="O7" i="30"/>
  <c r="N7" i="30"/>
  <c r="M7" i="30"/>
  <c r="L7" i="30"/>
  <c r="K7" i="30"/>
  <c r="J7" i="30"/>
  <c r="I7" i="30"/>
  <c r="H7" i="30"/>
  <c r="G7" i="30"/>
  <c r="F7" i="30"/>
  <c r="D7" i="30"/>
  <c r="C7" i="30"/>
  <c r="BA6" i="30"/>
  <c r="AV6" i="30"/>
  <c r="AP6" i="30"/>
  <c r="AO6" i="30"/>
  <c r="AN6" i="30"/>
  <c r="AM6" i="30"/>
  <c r="N6" i="30"/>
  <c r="M6" i="30"/>
  <c r="L6" i="30"/>
  <c r="K6" i="30"/>
  <c r="J6" i="30"/>
  <c r="I6" i="30"/>
  <c r="H6" i="30"/>
  <c r="G6" i="30"/>
  <c r="F6" i="30"/>
  <c r="D6" i="30"/>
  <c r="C6" i="30"/>
  <c r="BA5" i="30"/>
  <c r="AV5" i="30"/>
  <c r="AP5" i="30"/>
  <c r="AO5" i="30"/>
  <c r="AN5" i="30"/>
  <c r="AM5" i="30"/>
  <c r="AL5" i="30"/>
  <c r="AK5" i="30"/>
  <c r="AJ5" i="30"/>
  <c r="AI5" i="30"/>
  <c r="AH5" i="30"/>
  <c r="AG5" i="30"/>
  <c r="AF5" i="30"/>
  <c r="AE5" i="30"/>
  <c r="AD5" i="30"/>
  <c r="AC5" i="30"/>
  <c r="AB5" i="30"/>
  <c r="AA5" i="30"/>
  <c r="Z5" i="30"/>
  <c r="Y5" i="30"/>
  <c r="X5" i="30"/>
  <c r="W5" i="30"/>
  <c r="V5" i="30"/>
  <c r="U5" i="30"/>
  <c r="T5" i="30"/>
  <c r="S5" i="30"/>
  <c r="R5" i="30"/>
  <c r="Q5" i="30"/>
  <c r="P5" i="30"/>
  <c r="O5" i="30"/>
  <c r="N5" i="30"/>
  <c r="M5" i="30"/>
  <c r="L5" i="30"/>
  <c r="K5" i="30"/>
  <c r="J5" i="30"/>
  <c r="I5" i="30"/>
  <c r="H5" i="30"/>
  <c r="G5" i="30"/>
  <c r="F5" i="30"/>
  <c r="D5" i="30"/>
  <c r="C5" i="30"/>
  <c r="BA4" i="30"/>
  <c r="AV4" i="30"/>
  <c r="AP4" i="30"/>
  <c r="AO4" i="30"/>
  <c r="AN4" i="30"/>
  <c r="AM4" i="30"/>
  <c r="AL4" i="30"/>
  <c r="AK4" i="30"/>
  <c r="AJ4" i="30"/>
  <c r="AI4" i="30"/>
  <c r="AH4" i="30"/>
  <c r="AG4" i="30"/>
  <c r="AF4" i="30"/>
  <c r="AE4" i="30"/>
  <c r="AD4" i="30"/>
  <c r="AC4" i="30"/>
  <c r="AB4" i="30"/>
  <c r="AA4" i="30"/>
  <c r="Z4" i="30"/>
  <c r="Y4" i="30"/>
  <c r="X4" i="30"/>
  <c r="W4" i="30"/>
  <c r="V4" i="30"/>
  <c r="U4" i="30"/>
  <c r="T4" i="30"/>
  <c r="S4" i="30"/>
  <c r="R4" i="30"/>
  <c r="Q4" i="30"/>
  <c r="P4" i="30"/>
  <c r="O4" i="30"/>
  <c r="N4" i="30"/>
  <c r="M4" i="30"/>
  <c r="L4" i="30"/>
  <c r="K4" i="30"/>
  <c r="J4" i="30"/>
  <c r="I4" i="30"/>
  <c r="H4" i="30"/>
  <c r="G4" i="30"/>
  <c r="F4" i="30"/>
  <c r="D4" i="30"/>
  <c r="C4" i="30"/>
  <c r="BB3" i="30"/>
  <c r="BA3" i="30"/>
  <c r="AV3" i="30"/>
  <c r="AQ3" i="30"/>
  <c r="AP3" i="30"/>
  <c r="AO3" i="30"/>
  <c r="AN3" i="30"/>
  <c r="AM3" i="30"/>
  <c r="AL3" i="30"/>
  <c r="AK3" i="30"/>
  <c r="AJ3" i="30"/>
  <c r="AI3" i="30"/>
  <c r="AH3" i="30"/>
  <c r="AG3" i="30"/>
  <c r="AF3" i="30"/>
  <c r="AE3" i="30"/>
  <c r="AD3" i="30"/>
  <c r="AC3" i="30"/>
  <c r="AB3" i="30"/>
  <c r="AA3" i="30"/>
  <c r="Z3" i="30"/>
  <c r="Y3" i="30"/>
  <c r="X3" i="30"/>
  <c r="W3" i="30"/>
  <c r="T3" i="30"/>
  <c r="Q3" i="30"/>
  <c r="P3" i="30"/>
  <c r="O3" i="30"/>
  <c r="N3" i="30"/>
  <c r="M3" i="30"/>
  <c r="L3" i="30"/>
  <c r="K3" i="30"/>
  <c r="J3" i="30"/>
  <c r="I3" i="30"/>
  <c r="H3" i="30"/>
  <c r="G3" i="30"/>
  <c r="F3" i="30"/>
  <c r="D3" i="30"/>
  <c r="C3" i="30"/>
  <c r="B3" i="30"/>
  <c r="A3" i="30"/>
  <c r="I2591" i="1"/>
  <c r="BC2587" i="1"/>
  <c r="BB2587" i="1"/>
  <c r="I2587" i="1"/>
  <c r="BD2586" i="1"/>
  <c r="BD792" i="30" s="1"/>
  <c r="BC2586" i="1"/>
  <c r="BC792" i="30" s="1"/>
  <c r="BB2586" i="1"/>
  <c r="BB792" i="30" s="1"/>
  <c r="BD2571" i="1"/>
  <c r="BC2571" i="1"/>
  <c r="BB2571" i="1"/>
  <c r="BD1682" i="1"/>
  <c r="BC1682" i="1"/>
  <c r="BB1682" i="1"/>
  <c r="BD1681" i="1"/>
  <c r="BC1681" i="1"/>
  <c r="BB1681" i="1"/>
  <c r="BD1680" i="1"/>
  <c r="BC1680" i="1"/>
  <c r="BB1680" i="1"/>
  <c r="BD2570" i="1"/>
  <c r="BC2570" i="1"/>
  <c r="BB2570" i="1"/>
  <c r="A2570" i="1"/>
  <c r="BD2569" i="1"/>
  <c r="BC2569" i="1"/>
  <c r="BB2569" i="1"/>
  <c r="BD2568" i="1"/>
  <c r="BC2568" i="1"/>
  <c r="BB2568" i="1"/>
  <c r="BD2567" i="1"/>
  <c r="BC2567" i="1"/>
  <c r="BB2567" i="1"/>
  <c r="BD2566" i="1"/>
  <c r="BC2566" i="1"/>
  <c r="BB2566" i="1"/>
  <c r="BD1728" i="1"/>
  <c r="BC1728" i="1"/>
  <c r="BB1728" i="1"/>
  <c r="BD2564" i="1"/>
  <c r="BC2564" i="1"/>
  <c r="BB2564" i="1"/>
  <c r="BD2563" i="1"/>
  <c r="BC2563" i="1"/>
  <c r="BB2563" i="1"/>
  <c r="BD2562" i="1"/>
  <c r="BC2562" i="1"/>
  <c r="BB2562" i="1"/>
  <c r="BD2561" i="1"/>
  <c r="BC2561" i="1"/>
  <c r="BB2561" i="1"/>
  <c r="BD2560" i="1"/>
  <c r="BC2560" i="1"/>
  <c r="BB2560" i="1"/>
  <c r="BD2559" i="1"/>
  <c r="BC2559" i="1"/>
  <c r="BB2559" i="1"/>
  <c r="BD2558" i="1"/>
  <c r="BC2558" i="1"/>
  <c r="BB2558" i="1"/>
  <c r="BD2557" i="1"/>
  <c r="BC2557" i="1"/>
  <c r="BB2557" i="1"/>
  <c r="BD2556" i="1"/>
  <c r="BC2556" i="1"/>
  <c r="BB2556" i="1"/>
  <c r="BD2555" i="1"/>
  <c r="BC2555" i="1"/>
  <c r="BB2555" i="1"/>
  <c r="BD2554" i="1"/>
  <c r="BC2554" i="1"/>
  <c r="BB2554" i="1"/>
  <c r="BD2553" i="1"/>
  <c r="BC2553" i="1"/>
  <c r="BB2553" i="1"/>
  <c r="BD2552" i="1"/>
  <c r="BC2552" i="1"/>
  <c r="BB2552" i="1"/>
  <c r="BD2551" i="1"/>
  <c r="BC2551" i="1"/>
  <c r="BB2551" i="1"/>
  <c r="BD2550" i="1"/>
  <c r="BC2550" i="1"/>
  <c r="BB2550" i="1"/>
  <c r="BD2549" i="1"/>
  <c r="BC2549" i="1"/>
  <c r="BB2549" i="1"/>
  <c r="BD2548" i="1"/>
  <c r="BC2548" i="1"/>
  <c r="BB2548" i="1"/>
  <c r="BD2547" i="1"/>
  <c r="BC2547" i="1"/>
  <c r="BB2547" i="1"/>
  <c r="BD2546" i="1"/>
  <c r="BC2546" i="1"/>
  <c r="BB2546" i="1"/>
  <c r="BD2545" i="1"/>
  <c r="BC2545" i="1"/>
  <c r="BB2545" i="1"/>
  <c r="BD2544" i="1"/>
  <c r="BC2544" i="1"/>
  <c r="BB2544" i="1"/>
  <c r="BD2543" i="1"/>
  <c r="BC2543" i="1"/>
  <c r="BB2543" i="1"/>
  <c r="BD2542" i="1"/>
  <c r="BC2542" i="1"/>
  <c r="BB2542" i="1"/>
  <c r="BD2541" i="1"/>
  <c r="BC2541" i="1"/>
  <c r="BB2541" i="1"/>
  <c r="BD2540" i="1"/>
  <c r="BC2540" i="1"/>
  <c r="BB2540" i="1"/>
  <c r="BD2539" i="1"/>
  <c r="BC2539" i="1"/>
  <c r="BB2539" i="1"/>
  <c r="BD2338" i="1"/>
  <c r="BC2338" i="1"/>
  <c r="BB2338" i="1"/>
  <c r="BD2337" i="1"/>
  <c r="BC2337" i="1"/>
  <c r="BB2337" i="1"/>
  <c r="BD2336" i="1"/>
  <c r="BC2336" i="1"/>
  <c r="BB2336" i="1"/>
  <c r="BD2335" i="1"/>
  <c r="BC2335" i="1"/>
  <c r="BB2335" i="1"/>
  <c r="BD2538" i="1"/>
  <c r="BC2538" i="1"/>
  <c r="BB2538" i="1"/>
  <c r="BD2537" i="1"/>
  <c r="BC2537" i="1"/>
  <c r="BB2537" i="1"/>
  <c r="BD2536" i="1"/>
  <c r="BC2536" i="1"/>
  <c r="BB2536" i="1"/>
  <c r="BD2535" i="1"/>
  <c r="BC2535" i="1"/>
  <c r="BB2535" i="1"/>
  <c r="BD2534" i="1"/>
  <c r="BC2534" i="1"/>
  <c r="BB2534" i="1"/>
  <c r="BD2533" i="1"/>
  <c r="BD791" i="30" s="1"/>
  <c r="BC2533" i="1"/>
  <c r="BC791" i="30" s="1"/>
  <c r="BB2533" i="1"/>
  <c r="BB791" i="30" s="1"/>
  <c r="BD2525" i="1"/>
  <c r="BC2525" i="1"/>
  <c r="BB2525" i="1"/>
  <c r="B2517" i="1"/>
  <c r="BD2517" i="1" s="1"/>
  <c r="BD790" i="30" s="1"/>
  <c r="A2517" i="1"/>
  <c r="A790" i="30" s="1"/>
  <c r="BD2516" i="1"/>
  <c r="BC2516" i="1"/>
  <c r="BB2516" i="1"/>
  <c r="BD2515" i="1"/>
  <c r="BC2515" i="1"/>
  <c r="BB2515" i="1"/>
  <c r="BD2508" i="1"/>
  <c r="BC2508" i="1"/>
  <c r="BB2508" i="1"/>
  <c r="B2507" i="1"/>
  <c r="BD2507" i="1" s="1"/>
  <c r="BD789" i="30" s="1"/>
  <c r="A2507" i="1"/>
  <c r="A789" i="30" s="1"/>
  <c r="AL788" i="30"/>
  <c r="B2506" i="1"/>
  <c r="A2506" i="1"/>
  <c r="A788" i="30" s="1"/>
  <c r="AJ2489" i="1"/>
  <c r="AJ787" i="30" s="1"/>
  <c r="AI2489" i="1"/>
  <c r="AI787" i="30" s="1"/>
  <c r="AH2489" i="1"/>
  <c r="AH787" i="30" s="1"/>
  <c r="AG2489" i="1"/>
  <c r="AG787" i="30" s="1"/>
  <c r="AF2489" i="1"/>
  <c r="AF787" i="30" s="1"/>
  <c r="AE2489" i="1"/>
  <c r="AE787" i="30" s="1"/>
  <c r="AD2489" i="1"/>
  <c r="AD787" i="30" s="1"/>
  <c r="AC2489" i="1"/>
  <c r="AC787" i="30" s="1"/>
  <c r="AB2489" i="1"/>
  <c r="AB787" i="30" s="1"/>
  <c r="AA2489" i="1"/>
  <c r="AA787" i="30" s="1"/>
  <c r="Z2489" i="1"/>
  <c r="Z787" i="30" s="1"/>
  <c r="Y2489" i="1"/>
  <c r="Y787" i="30" s="1"/>
  <c r="X2489" i="1"/>
  <c r="X787" i="30" s="1"/>
  <c r="W2489" i="1"/>
  <c r="W787" i="30" s="1"/>
  <c r="U2489" i="1"/>
  <c r="U787" i="30" s="1"/>
  <c r="T2489" i="1"/>
  <c r="T787" i="30" s="1"/>
  <c r="R2489" i="1"/>
  <c r="R787" i="30" s="1"/>
  <c r="Q2489" i="1"/>
  <c r="Q787" i="30" s="1"/>
  <c r="P2489" i="1"/>
  <c r="P787" i="30" s="1"/>
  <c r="O2489" i="1"/>
  <c r="O787" i="30" s="1"/>
  <c r="N2489" i="1"/>
  <c r="N787" i="30" s="1"/>
  <c r="M2489" i="1"/>
  <c r="M787" i="30" s="1"/>
  <c r="L2489" i="1"/>
  <c r="L787" i="30" s="1"/>
  <c r="K2489" i="1"/>
  <c r="K787" i="30" s="1"/>
  <c r="B2489" i="1"/>
  <c r="A2489" i="1"/>
  <c r="A787" i="30" s="1"/>
  <c r="AJ2488" i="1"/>
  <c r="AJ786" i="30" s="1"/>
  <c r="AI2488" i="1"/>
  <c r="AI786" i="30" s="1"/>
  <c r="AH2488" i="1"/>
  <c r="AH786" i="30" s="1"/>
  <c r="AG2488" i="1"/>
  <c r="AG786" i="30" s="1"/>
  <c r="AF2488" i="1"/>
  <c r="AF786" i="30" s="1"/>
  <c r="AE2488" i="1"/>
  <c r="AE786" i="30" s="1"/>
  <c r="AD2488" i="1"/>
  <c r="AD786" i="30" s="1"/>
  <c r="AC2488" i="1"/>
  <c r="AC786" i="30" s="1"/>
  <c r="AB2488" i="1"/>
  <c r="AB786" i="30" s="1"/>
  <c r="AA2488" i="1"/>
  <c r="AA786" i="30" s="1"/>
  <c r="Z2488" i="1"/>
  <c r="Z786" i="30" s="1"/>
  <c r="Y2488" i="1"/>
  <c r="Y786" i="30" s="1"/>
  <c r="X2488" i="1"/>
  <c r="X786" i="30" s="1"/>
  <c r="W2488" i="1"/>
  <c r="W786" i="30" s="1"/>
  <c r="U2488" i="1"/>
  <c r="U786" i="30" s="1"/>
  <c r="T2488" i="1"/>
  <c r="T786" i="30" s="1"/>
  <c r="R2488" i="1"/>
  <c r="R786" i="30" s="1"/>
  <c r="Q2488" i="1"/>
  <c r="Q786" i="30" s="1"/>
  <c r="P2488" i="1"/>
  <c r="P786" i="30" s="1"/>
  <c r="O2488" i="1"/>
  <c r="O786" i="30" s="1"/>
  <c r="N2488" i="1"/>
  <c r="N786" i="30" s="1"/>
  <c r="M2488" i="1"/>
  <c r="M786" i="30" s="1"/>
  <c r="L2488" i="1"/>
  <c r="L786" i="30" s="1"/>
  <c r="K2488" i="1"/>
  <c r="K786" i="30" s="1"/>
  <c r="B2488" i="1"/>
  <c r="B786" i="30" s="1"/>
  <c r="A2488" i="1"/>
  <c r="A786" i="30" s="1"/>
  <c r="R2487" i="1"/>
  <c r="R785" i="30" s="1"/>
  <c r="Q2487" i="1"/>
  <c r="Q785" i="30" s="1"/>
  <c r="P2487" i="1"/>
  <c r="P785" i="30" s="1"/>
  <c r="O2487" i="1"/>
  <c r="O785" i="30" s="1"/>
  <c r="N2487" i="1"/>
  <c r="N785" i="30" s="1"/>
  <c r="M2487" i="1"/>
  <c r="M785" i="30" s="1"/>
  <c r="L2487" i="1"/>
  <c r="L785" i="30" s="1"/>
  <c r="K2487" i="1"/>
  <c r="K785" i="30" s="1"/>
  <c r="B2487" i="1"/>
  <c r="BD2487" i="1" s="1"/>
  <c r="BD785" i="30" s="1"/>
  <c r="A2487" i="1"/>
  <c r="A785" i="30" s="1"/>
  <c r="AL784" i="30"/>
  <c r="B2486" i="1"/>
  <c r="A2486" i="1"/>
  <c r="A784" i="30" s="1"/>
  <c r="BD2484" i="1"/>
  <c r="BC2484" i="1"/>
  <c r="BB2484" i="1"/>
  <c r="B2480" i="1"/>
  <c r="A2480" i="1"/>
  <c r="A783" i="30" s="1"/>
  <c r="BD2479" i="1"/>
  <c r="BC2479" i="1"/>
  <c r="BB2479" i="1"/>
  <c r="BD2478" i="1"/>
  <c r="BD782" i="30" s="1"/>
  <c r="BC2478" i="1"/>
  <c r="BC782" i="30" s="1"/>
  <c r="BB2478" i="1"/>
  <c r="BB782" i="30" s="1"/>
  <c r="BD2457" i="1"/>
  <c r="BD781" i="30" s="1"/>
  <c r="BC2457" i="1"/>
  <c r="BC781" i="30" s="1"/>
  <c r="BB2457" i="1"/>
  <c r="BB781" i="30" s="1"/>
  <c r="A2457" i="1"/>
  <c r="A781" i="30" s="1"/>
  <c r="AF2475" i="1"/>
  <c r="AF780" i="30" s="1"/>
  <c r="U2475" i="1"/>
  <c r="U780" i="30" s="1"/>
  <c r="B2475" i="1"/>
  <c r="BB2475" i="1" s="1"/>
  <c r="BB780" i="30" s="1"/>
  <c r="A2475" i="1"/>
  <c r="A780" i="30" s="1"/>
  <c r="AJ2474" i="1"/>
  <c r="AJ779" i="30" s="1"/>
  <c r="AI2474" i="1"/>
  <c r="AI779" i="30" s="1"/>
  <c r="AH2474" i="1"/>
  <c r="AH779" i="30" s="1"/>
  <c r="AG2474" i="1"/>
  <c r="AG779" i="30" s="1"/>
  <c r="AF2474" i="1"/>
  <c r="AF779" i="30" s="1"/>
  <c r="AE2474" i="1"/>
  <c r="AE779" i="30" s="1"/>
  <c r="AD2474" i="1"/>
  <c r="AD779" i="30" s="1"/>
  <c r="AC2474" i="1"/>
  <c r="AC779" i="30" s="1"/>
  <c r="AB2474" i="1"/>
  <c r="AB779" i="30" s="1"/>
  <c r="AA2474" i="1"/>
  <c r="AA779" i="30" s="1"/>
  <c r="Z2474" i="1"/>
  <c r="Z779" i="30" s="1"/>
  <c r="Y2474" i="1"/>
  <c r="Y779" i="30" s="1"/>
  <c r="X2474" i="1"/>
  <c r="X779" i="30" s="1"/>
  <c r="W2474" i="1"/>
  <c r="W779" i="30" s="1"/>
  <c r="U2474" i="1"/>
  <c r="U779" i="30" s="1"/>
  <c r="T2474" i="1"/>
  <c r="T779" i="30" s="1"/>
  <c r="R2474" i="1"/>
  <c r="R779" i="30" s="1"/>
  <c r="Q2474" i="1"/>
  <c r="Q779" i="30" s="1"/>
  <c r="P2474" i="1"/>
  <c r="P779" i="30" s="1"/>
  <c r="O2474" i="1"/>
  <c r="O779" i="30" s="1"/>
  <c r="N2474" i="1"/>
  <c r="N779" i="30" s="1"/>
  <c r="M2474" i="1"/>
  <c r="M779" i="30" s="1"/>
  <c r="L2474" i="1"/>
  <c r="L779" i="30" s="1"/>
  <c r="B2474" i="1"/>
  <c r="BD2474" i="1" s="1"/>
  <c r="BD779" i="30" s="1"/>
  <c r="A2474" i="1"/>
  <c r="A779" i="30" s="1"/>
  <c r="B2473" i="1"/>
  <c r="A2473" i="1"/>
  <c r="A778" i="30" s="1"/>
  <c r="B2472" i="1"/>
  <c r="BB2472" i="1" s="1"/>
  <c r="BB777" i="30" s="1"/>
  <c r="A2472" i="1"/>
  <c r="A777" i="30" s="1"/>
  <c r="R2471" i="1"/>
  <c r="R776" i="30" s="1"/>
  <c r="Q2471" i="1"/>
  <c r="Q776" i="30" s="1"/>
  <c r="P2471" i="1"/>
  <c r="P776" i="30" s="1"/>
  <c r="O2471" i="1"/>
  <c r="O776" i="30" s="1"/>
  <c r="N2471" i="1"/>
  <c r="N776" i="30" s="1"/>
  <c r="M2471" i="1"/>
  <c r="M776" i="30" s="1"/>
  <c r="L2471" i="1"/>
  <c r="L776" i="30" s="1"/>
  <c r="B2471" i="1"/>
  <c r="B776" i="30" s="1"/>
  <c r="A2471" i="1"/>
  <c r="A776" i="30" s="1"/>
  <c r="BD775" i="30"/>
  <c r="BC775" i="30"/>
  <c r="BB775" i="30"/>
  <c r="AJ2456" i="1"/>
  <c r="AJ775" i="30" s="1"/>
  <c r="A2456" i="1"/>
  <c r="A775" i="30" s="1"/>
  <c r="BD2451" i="1"/>
  <c r="BD774" i="30" s="1"/>
  <c r="BC2451" i="1"/>
  <c r="BC774" i="30" s="1"/>
  <c r="BB2451" i="1"/>
  <c r="BB774" i="30" s="1"/>
  <c r="AJ2451" i="1"/>
  <c r="A2451" i="1"/>
  <c r="A774" i="30" s="1"/>
  <c r="BD2447" i="1"/>
  <c r="BD773" i="30" s="1"/>
  <c r="BC2447" i="1"/>
  <c r="BC773" i="30" s="1"/>
  <c r="BB2447" i="1"/>
  <c r="BB773" i="30" s="1"/>
  <c r="AJ2447" i="1"/>
  <c r="AJ773" i="30" s="1"/>
  <c r="A2447" i="1"/>
  <c r="A773" i="30" s="1"/>
  <c r="BD2446" i="1"/>
  <c r="BC2446" i="1"/>
  <c r="BB2446" i="1"/>
  <c r="AJ2446" i="1"/>
  <c r="A2446" i="1"/>
  <c r="BD2440" i="1"/>
  <c r="BC2440" i="1"/>
  <c r="BB2440" i="1"/>
  <c r="AJ2440" i="1"/>
  <c r="A2440" i="1"/>
  <c r="BD2439" i="1"/>
  <c r="BC2439" i="1"/>
  <c r="BB2439" i="1"/>
  <c r="A2439" i="1"/>
  <c r="BD2433" i="1"/>
  <c r="BD771" i="30" s="1"/>
  <c r="BC2433" i="1"/>
  <c r="BC771" i="30" s="1"/>
  <c r="BB2433" i="1"/>
  <c r="BB771" i="30" s="1"/>
  <c r="A2433" i="1"/>
  <c r="A771" i="30" s="1"/>
  <c r="BD2454" i="1"/>
  <c r="BC2454" i="1"/>
  <c r="BB2454" i="1"/>
  <c r="A2454" i="1"/>
  <c r="BD2449" i="1"/>
  <c r="BC2449" i="1"/>
  <c r="BB2449" i="1"/>
  <c r="A2449" i="1"/>
  <c r="BD2445" i="1"/>
  <c r="BC2445" i="1"/>
  <c r="BB2445" i="1"/>
  <c r="A2445" i="1"/>
  <c r="BD2438" i="1"/>
  <c r="BC2438" i="1"/>
  <c r="BB2438" i="1"/>
  <c r="A2438" i="1"/>
  <c r="BD2432" i="1"/>
  <c r="BD770" i="30" s="1"/>
  <c r="BC2432" i="1"/>
  <c r="BC770" i="30" s="1"/>
  <c r="BB2432" i="1"/>
  <c r="BB770" i="30" s="1"/>
  <c r="AJ2432" i="1"/>
  <c r="AJ770" i="30" s="1"/>
  <c r="A2432" i="1"/>
  <c r="A770" i="30" s="1"/>
  <c r="BD2437" i="1"/>
  <c r="BC2437" i="1"/>
  <c r="BB2437" i="1"/>
  <c r="A2437" i="1"/>
  <c r="BD2431" i="1"/>
  <c r="BD769" i="30" s="1"/>
  <c r="BC2431" i="1"/>
  <c r="BC769" i="30" s="1"/>
  <c r="BB2431" i="1"/>
  <c r="BB769" i="30" s="1"/>
  <c r="A2431" i="1"/>
  <c r="A769" i="30" s="1"/>
  <c r="BD2436" i="1"/>
  <c r="BC2436" i="1"/>
  <c r="BB2436" i="1"/>
  <c r="A2436" i="1"/>
  <c r="BD2430" i="1"/>
  <c r="BD768" i="30" s="1"/>
  <c r="BC2430" i="1"/>
  <c r="BC768" i="30" s="1"/>
  <c r="BB2430" i="1"/>
  <c r="BB768" i="30" s="1"/>
  <c r="A2430" i="1"/>
  <c r="A768" i="30" s="1"/>
  <c r="BD2453" i="1"/>
  <c r="BC2453" i="1"/>
  <c r="BB2453" i="1"/>
  <c r="A2453" i="1"/>
  <c r="BD2448" i="1"/>
  <c r="BC2448" i="1"/>
  <c r="BB2448" i="1"/>
  <c r="A2448" i="1"/>
  <c r="BD2444" i="1"/>
  <c r="BC2444" i="1"/>
  <c r="BB2444" i="1"/>
  <c r="A2444" i="1"/>
  <c r="A2435" i="1"/>
  <c r="BD2434" i="1"/>
  <c r="BC2434" i="1"/>
  <c r="BB2434" i="1"/>
  <c r="A2434" i="1"/>
  <c r="BD2461" i="1"/>
  <c r="BD761" i="30" s="1"/>
  <c r="BC2461" i="1"/>
  <c r="BC761" i="30" s="1"/>
  <c r="BB2461" i="1"/>
  <c r="BB761" i="30" s="1"/>
  <c r="A2461" i="1"/>
  <c r="A761" i="30" s="1"/>
  <c r="BD2429" i="1"/>
  <c r="BD760" i="30" s="1"/>
  <c r="BC2429" i="1"/>
  <c r="BC760" i="30" s="1"/>
  <c r="BB2429" i="1"/>
  <c r="BB760" i="30" s="1"/>
  <c r="AJ2429" i="1"/>
  <c r="AJ760" i="30" s="1"/>
  <c r="A2429" i="1"/>
  <c r="A760" i="30" s="1"/>
  <c r="BD2452" i="1"/>
  <c r="BD759" i="30" s="1"/>
  <c r="BC2452" i="1"/>
  <c r="BC759" i="30" s="1"/>
  <c r="BB2452" i="1"/>
  <c r="BB759" i="30" s="1"/>
  <c r="AI759" i="30"/>
  <c r="A2452" i="1"/>
  <c r="A759" i="30" s="1"/>
  <c r="BD2426" i="1"/>
  <c r="BC2426" i="1"/>
  <c r="BB2426" i="1"/>
  <c r="BD2425" i="1"/>
  <c r="BC2425" i="1"/>
  <c r="BB2425" i="1"/>
  <c r="B2424" i="1"/>
  <c r="A2424" i="1"/>
  <c r="A758" i="30" s="1"/>
  <c r="BD2423" i="1"/>
  <c r="BC2423" i="1"/>
  <c r="BB2423" i="1"/>
  <c r="BD2422" i="1"/>
  <c r="BC2422" i="1"/>
  <c r="BB2422" i="1"/>
  <c r="BD2421" i="1"/>
  <c r="BC2421" i="1"/>
  <c r="BB2421" i="1"/>
  <c r="BD2419" i="1"/>
  <c r="BD757" i="30" s="1"/>
  <c r="BC2419" i="1"/>
  <c r="BC757" i="30" s="1"/>
  <c r="BB2419" i="1"/>
  <c r="BB757" i="30" s="1"/>
  <c r="B2417" i="1"/>
  <c r="A2417" i="1"/>
  <c r="A756" i="30" s="1"/>
  <c r="BC2414" i="1"/>
  <c r="BC755" i="30" s="1"/>
  <c r="A755" i="30"/>
  <c r="B2413" i="1"/>
  <c r="BB2413" i="1" s="1"/>
  <c r="BB754" i="30" s="1"/>
  <c r="A2413" i="1"/>
  <c r="A754" i="30" s="1"/>
  <c r="B2411" i="1"/>
  <c r="A2411" i="1"/>
  <c r="A753" i="30" s="1"/>
  <c r="B2410" i="1"/>
  <c r="BD2410" i="1" s="1"/>
  <c r="BD752" i="30" s="1"/>
  <c r="A2410" i="1"/>
  <c r="A752" i="30" s="1"/>
  <c r="B2409" i="1"/>
  <c r="A2409" i="1"/>
  <c r="A751" i="30" s="1"/>
  <c r="A750" i="30"/>
  <c r="BD2391" i="1"/>
  <c r="BC2391" i="1"/>
  <c r="BB2391" i="1"/>
  <c r="BD2390" i="1"/>
  <c r="BC2390" i="1"/>
  <c r="BB2390" i="1"/>
  <c r="BD2389" i="1"/>
  <c r="BC2389" i="1"/>
  <c r="BB2389" i="1"/>
  <c r="B2388" i="1"/>
  <c r="BB2388" i="1" s="1"/>
  <c r="BB749" i="30" s="1"/>
  <c r="A2388" i="1"/>
  <c r="A749" i="30" s="1"/>
  <c r="B2386" i="1"/>
  <c r="A2386" i="1"/>
  <c r="A748" i="30" s="1"/>
  <c r="B2385" i="1"/>
  <c r="BD2385" i="1" s="1"/>
  <c r="BD747" i="30" s="1"/>
  <c r="A2385" i="1"/>
  <c r="A747" i="30" s="1"/>
  <c r="B2384" i="1"/>
  <c r="BC2384" i="1" s="1"/>
  <c r="BC746" i="30" s="1"/>
  <c r="A2384" i="1"/>
  <c r="A746" i="30" s="1"/>
  <c r="B2383" i="1"/>
  <c r="A2383" i="1"/>
  <c r="A745" i="30" s="1"/>
  <c r="BD2382" i="1"/>
  <c r="BC2382" i="1"/>
  <c r="BB2382" i="1"/>
  <c r="BD2381" i="1"/>
  <c r="BC2381" i="1"/>
  <c r="BB2381" i="1"/>
  <c r="BD2380" i="1"/>
  <c r="BC2380" i="1"/>
  <c r="BB2380" i="1"/>
  <c r="BD2378" i="1"/>
  <c r="BC2378" i="1"/>
  <c r="BB2378" i="1"/>
  <c r="BD2369" i="1"/>
  <c r="BC2369" i="1"/>
  <c r="BB2369" i="1"/>
  <c r="BD2365" i="1"/>
  <c r="BC2365" i="1"/>
  <c r="BB2365" i="1"/>
  <c r="BD2364" i="1"/>
  <c r="BC2364" i="1"/>
  <c r="BB2364" i="1"/>
  <c r="BD2355" i="1"/>
  <c r="BC2355" i="1"/>
  <c r="BB2355" i="1"/>
  <c r="AJ2351" i="1"/>
  <c r="AJ744" i="30" s="1"/>
  <c r="AI2351" i="1"/>
  <c r="AI744" i="30" s="1"/>
  <c r="AH2351" i="1"/>
  <c r="AH744" i="30" s="1"/>
  <c r="AG2351" i="1"/>
  <c r="AG744" i="30" s="1"/>
  <c r="AF2351" i="1"/>
  <c r="AF744" i="30" s="1"/>
  <c r="AE2351" i="1"/>
  <c r="AE744" i="30" s="1"/>
  <c r="AD2351" i="1"/>
  <c r="AD744" i="30" s="1"/>
  <c r="AC2351" i="1"/>
  <c r="AC744" i="30" s="1"/>
  <c r="AB2351" i="1"/>
  <c r="AB744" i="30" s="1"/>
  <c r="AA2351" i="1"/>
  <c r="AA744" i="30" s="1"/>
  <c r="Z2351" i="1"/>
  <c r="Z744" i="30" s="1"/>
  <c r="Y2351" i="1"/>
  <c r="Y744" i="30" s="1"/>
  <c r="X2351" i="1"/>
  <c r="X744" i="30" s="1"/>
  <c r="W2351" i="1"/>
  <c r="W744" i="30" s="1"/>
  <c r="U2351" i="1"/>
  <c r="U744" i="30" s="1"/>
  <c r="T2351" i="1"/>
  <c r="T744" i="30" s="1"/>
  <c r="R2351" i="1"/>
  <c r="R744" i="30" s="1"/>
  <c r="Q2351" i="1"/>
  <c r="Q744" i="30" s="1"/>
  <c r="P2351" i="1"/>
  <c r="P744" i="30" s="1"/>
  <c r="O2351" i="1"/>
  <c r="O744" i="30" s="1"/>
  <c r="N2351" i="1"/>
  <c r="N744" i="30" s="1"/>
  <c r="M2351" i="1"/>
  <c r="M744" i="30" s="1"/>
  <c r="L2351" i="1"/>
  <c r="L744" i="30" s="1"/>
  <c r="K2351" i="1"/>
  <c r="K744" i="30" s="1"/>
  <c r="B2351" i="1"/>
  <c r="BC2351" i="1" s="1"/>
  <c r="BC744" i="30" s="1"/>
  <c r="A2351" i="1"/>
  <c r="A744" i="30" s="1"/>
  <c r="AJ2350" i="1"/>
  <c r="AJ743" i="30" s="1"/>
  <c r="AI2350" i="1"/>
  <c r="AI743" i="30" s="1"/>
  <c r="AH2350" i="1"/>
  <c r="AH743" i="30" s="1"/>
  <c r="AG2350" i="1"/>
  <c r="AG743" i="30" s="1"/>
  <c r="AF2350" i="1"/>
  <c r="AF743" i="30" s="1"/>
  <c r="AE2350" i="1"/>
  <c r="AE743" i="30" s="1"/>
  <c r="AD2350" i="1"/>
  <c r="AD743" i="30" s="1"/>
  <c r="AC2350" i="1"/>
  <c r="AC743" i="30" s="1"/>
  <c r="AB2350" i="1"/>
  <c r="AB743" i="30" s="1"/>
  <c r="AA2350" i="1"/>
  <c r="AA743" i="30" s="1"/>
  <c r="Z2350" i="1"/>
  <c r="Z743" i="30" s="1"/>
  <c r="Y2350" i="1"/>
  <c r="Y743" i="30" s="1"/>
  <c r="X2350" i="1"/>
  <c r="X743" i="30" s="1"/>
  <c r="W2350" i="1"/>
  <c r="W743" i="30" s="1"/>
  <c r="U2350" i="1"/>
  <c r="U743" i="30" s="1"/>
  <c r="T2350" i="1"/>
  <c r="T743" i="30" s="1"/>
  <c r="R2350" i="1"/>
  <c r="R743" i="30" s="1"/>
  <c r="Q2350" i="1"/>
  <c r="Q743" i="30" s="1"/>
  <c r="P2350" i="1"/>
  <c r="P743" i="30" s="1"/>
  <c r="O2350" i="1"/>
  <c r="O743" i="30" s="1"/>
  <c r="N2350" i="1"/>
  <c r="N743" i="30" s="1"/>
  <c r="M2350" i="1"/>
  <c r="M743" i="30" s="1"/>
  <c r="L2350" i="1"/>
  <c r="L743" i="30" s="1"/>
  <c r="K2350" i="1"/>
  <c r="K743" i="30" s="1"/>
  <c r="B2350" i="1"/>
  <c r="A2350" i="1"/>
  <c r="A743" i="30" s="1"/>
  <c r="R2349" i="1"/>
  <c r="R742" i="30" s="1"/>
  <c r="Q2349" i="1"/>
  <c r="Q742" i="30" s="1"/>
  <c r="P2349" i="1"/>
  <c r="P742" i="30" s="1"/>
  <c r="O2349" i="1"/>
  <c r="O742" i="30" s="1"/>
  <c r="N2349" i="1"/>
  <c r="N742" i="30" s="1"/>
  <c r="M2349" i="1"/>
  <c r="M742" i="30" s="1"/>
  <c r="L2349" i="1"/>
  <c r="L742" i="30" s="1"/>
  <c r="K2349" i="1"/>
  <c r="K742" i="30" s="1"/>
  <c r="B2349" i="1"/>
  <c r="A2349" i="1"/>
  <c r="A742" i="30" s="1"/>
  <c r="AL741" i="30"/>
  <c r="B2348" i="1"/>
  <c r="BD2348" i="1" s="1"/>
  <c r="BD741" i="30" s="1"/>
  <c r="A2348" i="1"/>
  <c r="A741" i="30" s="1"/>
  <c r="BD2345" i="1"/>
  <c r="BC2345" i="1"/>
  <c r="BB2345" i="1"/>
  <c r="BD2343" i="1"/>
  <c r="BC2343" i="1"/>
  <c r="BB2343" i="1"/>
  <c r="BD2341" i="1"/>
  <c r="BC2341" i="1"/>
  <c r="BB2341" i="1"/>
  <c r="BD2340" i="1"/>
  <c r="BC2340" i="1"/>
  <c r="BB2340" i="1"/>
  <c r="BD2334" i="1"/>
  <c r="BC2334" i="1"/>
  <c r="BB2334" i="1"/>
  <c r="BD2321" i="1"/>
  <c r="BC2321" i="1"/>
  <c r="BB2321" i="1"/>
  <c r="BD2316" i="1"/>
  <c r="BC2316" i="1"/>
  <c r="BB2316" i="1"/>
  <c r="BD2308" i="1"/>
  <c r="BC2308" i="1"/>
  <c r="BB2308" i="1"/>
  <c r="BD2306" i="1"/>
  <c r="BC2306" i="1"/>
  <c r="BB2306" i="1"/>
  <c r="BD2296" i="1"/>
  <c r="BC2296" i="1"/>
  <c r="BB2296" i="1"/>
  <c r="B2295" i="1"/>
  <c r="A2295" i="1"/>
  <c r="A735" i="30" s="1"/>
  <c r="AL734" i="30"/>
  <c r="B2289" i="1"/>
  <c r="BD2289" i="1" s="1"/>
  <c r="BD734" i="30" s="1"/>
  <c r="A2289" i="1"/>
  <c r="A734" i="30" s="1"/>
  <c r="B2288" i="1"/>
  <c r="A2288" i="1"/>
  <c r="A733" i="30" s="1"/>
  <c r="B2287" i="1"/>
  <c r="A2287" i="1"/>
  <c r="A732" i="30" s="1"/>
  <c r="AJ2286" i="1"/>
  <c r="AJ731" i="30" s="1"/>
  <c r="AI2286" i="1"/>
  <c r="AH2286" i="1"/>
  <c r="AH731" i="30" s="1"/>
  <c r="AG2286" i="1"/>
  <c r="AG731" i="30" s="1"/>
  <c r="AF2286" i="1"/>
  <c r="AF731" i="30" s="1"/>
  <c r="AE2286" i="1"/>
  <c r="AD2286" i="1"/>
  <c r="AD731" i="30" s="1"/>
  <c r="AC2286" i="1"/>
  <c r="AC731" i="30" s="1"/>
  <c r="AB2286" i="1"/>
  <c r="AB731" i="30" s="1"/>
  <c r="AA2286" i="1"/>
  <c r="Z2286" i="1"/>
  <c r="Z731" i="30" s="1"/>
  <c r="Y2286" i="1"/>
  <c r="Y731" i="30" s="1"/>
  <c r="X2286" i="1"/>
  <c r="X731" i="30" s="1"/>
  <c r="B2286" i="1"/>
  <c r="BD2286" i="1" s="1"/>
  <c r="BD731" i="30" s="1"/>
  <c r="A2286" i="1"/>
  <c r="A731" i="30" s="1"/>
  <c r="AL730" i="30"/>
  <c r="B2285" i="1"/>
  <c r="A2285" i="1"/>
  <c r="A730" i="30" s="1"/>
  <c r="AJ2284" i="1"/>
  <c r="AI2284" i="1"/>
  <c r="AI729" i="30" s="1"/>
  <c r="AH2284" i="1"/>
  <c r="AH729" i="30" s="1"/>
  <c r="AG2284" i="1"/>
  <c r="AG729" i="30" s="1"/>
  <c r="AF2284" i="1"/>
  <c r="AF729" i="30" s="1"/>
  <c r="AE2284" i="1"/>
  <c r="AE729" i="30" s="1"/>
  <c r="AD2284" i="1"/>
  <c r="AC2284" i="1"/>
  <c r="AB2284" i="1"/>
  <c r="AA2284" i="1"/>
  <c r="Z2284" i="1"/>
  <c r="Y2284" i="1"/>
  <c r="X2284" i="1"/>
  <c r="B2284" i="1"/>
  <c r="BD2284" i="1" s="1"/>
  <c r="BD729" i="30" s="1"/>
  <c r="A2284" i="1"/>
  <c r="A729" i="30" s="1"/>
  <c r="AL728" i="30"/>
  <c r="B2283" i="1"/>
  <c r="BB2283" i="1" s="1"/>
  <c r="BB728" i="30" s="1"/>
  <c r="A2283" i="1"/>
  <c r="A728" i="30" s="1"/>
  <c r="AL727" i="30"/>
  <c r="B2282" i="1"/>
  <c r="A2282" i="1"/>
  <c r="A727" i="30" s="1"/>
  <c r="AJ2281" i="1"/>
  <c r="AJ726" i="30" s="1"/>
  <c r="AI2281" i="1"/>
  <c r="AI726" i="30" s="1"/>
  <c r="AH2281" i="1"/>
  <c r="AH726" i="30" s="1"/>
  <c r="AG2281" i="1"/>
  <c r="AG726" i="30" s="1"/>
  <c r="AF2281" i="1"/>
  <c r="AF726" i="30" s="1"/>
  <c r="AE2281" i="1"/>
  <c r="AE726" i="30" s="1"/>
  <c r="AD2281" i="1"/>
  <c r="AD726" i="30" s="1"/>
  <c r="AC2281" i="1"/>
  <c r="AC726" i="30" s="1"/>
  <c r="AB2281" i="1"/>
  <c r="AB726" i="30" s="1"/>
  <c r="AA2281" i="1"/>
  <c r="AA726" i="30" s="1"/>
  <c r="Z2281" i="1"/>
  <c r="Z726" i="30" s="1"/>
  <c r="Y2281" i="1"/>
  <c r="Y726" i="30" s="1"/>
  <c r="X2281" i="1"/>
  <c r="X726" i="30" s="1"/>
  <c r="B2281" i="1"/>
  <c r="BB2281" i="1" s="1"/>
  <c r="BB726" i="30" s="1"/>
  <c r="A2281" i="1"/>
  <c r="A726" i="30" s="1"/>
  <c r="AL725" i="30"/>
  <c r="B2280" i="1"/>
  <c r="BD2280" i="1" s="1"/>
  <c r="BD725" i="30" s="1"/>
  <c r="A2280" i="1"/>
  <c r="A725" i="30" s="1"/>
  <c r="AL724" i="30"/>
  <c r="B2279" i="1"/>
  <c r="BB2279" i="1" s="1"/>
  <c r="BB724" i="30" s="1"/>
  <c r="A2279" i="1"/>
  <c r="A724" i="30" s="1"/>
  <c r="AL723" i="30"/>
  <c r="B2278" i="1"/>
  <c r="BC2278" i="1" s="1"/>
  <c r="BC723" i="30" s="1"/>
  <c r="A2278" i="1"/>
  <c r="A723" i="30" s="1"/>
  <c r="AL722" i="30"/>
  <c r="B2277" i="1"/>
  <c r="BB2277" i="1" s="1"/>
  <c r="BB722" i="30" s="1"/>
  <c r="A2277" i="1"/>
  <c r="A722" i="30" s="1"/>
  <c r="AL721" i="30"/>
  <c r="B2276" i="1"/>
  <c r="BD2276" i="1" s="1"/>
  <c r="BD721" i="30" s="1"/>
  <c r="A2276" i="1"/>
  <c r="A721" i="30" s="1"/>
  <c r="AL720" i="30"/>
  <c r="B2275" i="1"/>
  <c r="BB2275" i="1" s="1"/>
  <c r="BB720" i="30" s="1"/>
  <c r="A2275" i="1"/>
  <c r="A720" i="30" s="1"/>
  <c r="AL719" i="30"/>
  <c r="B2274" i="1"/>
  <c r="BC2274" i="1" s="1"/>
  <c r="BC719" i="30" s="1"/>
  <c r="A2274" i="1"/>
  <c r="A719" i="30" s="1"/>
  <c r="AL718" i="30"/>
  <c r="B2273" i="1"/>
  <c r="BB2273" i="1" s="1"/>
  <c r="BB718" i="30" s="1"/>
  <c r="A2273" i="1"/>
  <c r="A718" i="30" s="1"/>
  <c r="B2272" i="1"/>
  <c r="BC2272" i="1" s="1"/>
  <c r="BC717" i="30" s="1"/>
  <c r="A2272" i="1"/>
  <c r="A717" i="30" s="1"/>
  <c r="AL716" i="30"/>
  <c r="B2271" i="1"/>
  <c r="BD2271" i="1" s="1"/>
  <c r="BD716" i="30" s="1"/>
  <c r="A2271" i="1"/>
  <c r="A716" i="30" s="1"/>
  <c r="B2269" i="1"/>
  <c r="A2269" i="1"/>
  <c r="A715" i="30" s="1"/>
  <c r="BD2268" i="1"/>
  <c r="BD714" i="30" s="1"/>
  <c r="BC2268" i="1"/>
  <c r="BC714" i="30" s="1"/>
  <c r="BB2268" i="1"/>
  <c r="BB714" i="30" s="1"/>
  <c r="BD2265" i="1"/>
  <c r="BC2265" i="1"/>
  <c r="BB2265" i="1"/>
  <c r="BD2263" i="1"/>
  <c r="BC2263" i="1"/>
  <c r="BB2263" i="1"/>
  <c r="B2260" i="1"/>
  <c r="BC2260" i="1" s="1"/>
  <c r="BC713" i="30" s="1"/>
  <c r="A2260" i="1"/>
  <c r="A713" i="30" s="1"/>
  <c r="AJ2259" i="1"/>
  <c r="AJ712" i="30" s="1"/>
  <c r="AI2259" i="1"/>
  <c r="AI712" i="30" s="1"/>
  <c r="AH2259" i="1"/>
  <c r="AH712" i="30" s="1"/>
  <c r="AG2259" i="1"/>
  <c r="AG712" i="30" s="1"/>
  <c r="AF2259" i="1"/>
  <c r="AF712" i="30" s="1"/>
  <c r="AE2259" i="1"/>
  <c r="AE712" i="30" s="1"/>
  <c r="AD2259" i="1"/>
  <c r="AD712" i="30" s="1"/>
  <c r="AC2259" i="1"/>
  <c r="AC712" i="30" s="1"/>
  <c r="AB2259" i="1"/>
  <c r="AB712" i="30" s="1"/>
  <c r="AA2259" i="1"/>
  <c r="AA712" i="30" s="1"/>
  <c r="Z2259" i="1"/>
  <c r="Z712" i="30" s="1"/>
  <c r="Y2259" i="1"/>
  <c r="Y712" i="30" s="1"/>
  <c r="X2259" i="1"/>
  <c r="X712" i="30" s="1"/>
  <c r="B2259" i="1"/>
  <c r="BD2259" i="1" s="1"/>
  <c r="BD712" i="30" s="1"/>
  <c r="A2259" i="1"/>
  <c r="A712" i="30" s="1"/>
  <c r="AJ2257" i="1"/>
  <c r="AJ711" i="30" s="1"/>
  <c r="AI2257" i="1"/>
  <c r="AI711" i="30" s="1"/>
  <c r="AH2257" i="1"/>
  <c r="AH711" i="30" s="1"/>
  <c r="AG2257" i="1"/>
  <c r="AG711" i="30" s="1"/>
  <c r="AF2257" i="1"/>
  <c r="AF711" i="30" s="1"/>
  <c r="AE2257" i="1"/>
  <c r="AE711" i="30" s="1"/>
  <c r="AD2257" i="1"/>
  <c r="AD711" i="30" s="1"/>
  <c r="AC2257" i="1"/>
  <c r="AC711" i="30" s="1"/>
  <c r="AB2257" i="1"/>
  <c r="AB711" i="30" s="1"/>
  <c r="AA2257" i="1"/>
  <c r="AA711" i="30" s="1"/>
  <c r="Z2257" i="1"/>
  <c r="Z711" i="30" s="1"/>
  <c r="Y2257" i="1"/>
  <c r="Y711" i="30" s="1"/>
  <c r="X2257" i="1"/>
  <c r="X711" i="30" s="1"/>
  <c r="B2257" i="1"/>
  <c r="BC2257" i="1" s="1"/>
  <c r="BC711" i="30" s="1"/>
  <c r="A2257" i="1"/>
  <c r="A711" i="30" s="1"/>
  <c r="B2242" i="1"/>
  <c r="BB2242" i="1" s="1"/>
  <c r="A2242" i="1"/>
  <c r="AL708" i="30"/>
  <c r="BB2241" i="1"/>
  <c r="BB708" i="30" s="1"/>
  <c r="A708" i="30"/>
  <c r="B2247" i="1"/>
  <c r="BD2247" i="1" s="1"/>
  <c r="A2247" i="1"/>
  <c r="AL709" i="30"/>
  <c r="B2245" i="1"/>
  <c r="BB2245" i="1" s="1"/>
  <c r="BB709" i="30" s="1"/>
  <c r="A2245" i="1"/>
  <c r="A709" i="30" s="1"/>
  <c r="B2238" i="1"/>
  <c r="A2238" i="1"/>
  <c r="AL706" i="30"/>
  <c r="AH2236" i="1"/>
  <c r="AH706" i="30" s="1"/>
  <c r="AG2236" i="1"/>
  <c r="AG706" i="30" s="1"/>
  <c r="AF2236" i="1"/>
  <c r="AF706" i="30" s="1"/>
  <c r="AE2236" i="1"/>
  <c r="AD2236" i="1"/>
  <c r="AD706" i="30" s="1"/>
  <c r="AC2236" i="1"/>
  <c r="AC706" i="30" s="1"/>
  <c r="AB2236" i="1"/>
  <c r="AB706" i="30" s="1"/>
  <c r="B2236" i="1"/>
  <c r="BD2236" i="1" s="1"/>
  <c r="BD706" i="30" s="1"/>
  <c r="A2236" i="1"/>
  <c r="A706" i="30" s="1"/>
  <c r="AL705" i="30"/>
  <c r="B2229" i="1"/>
  <c r="BB2229" i="1" s="1"/>
  <c r="BB705" i="30" s="1"/>
  <c r="A2229" i="1"/>
  <c r="A705" i="30" s="1"/>
  <c r="AJ704" i="30"/>
  <c r="AI2230" i="1"/>
  <c r="AI704" i="30" s="1"/>
  <c r="AA2230" i="1"/>
  <c r="AA704" i="30" s="1"/>
  <c r="Z2230" i="1"/>
  <c r="Z704" i="30" s="1"/>
  <c r="Y2230" i="1"/>
  <c r="Y704" i="30" s="1"/>
  <c r="X2230" i="1"/>
  <c r="X704" i="30" s="1"/>
  <c r="W2230" i="1"/>
  <c r="W704" i="30" s="1"/>
  <c r="U2230" i="1"/>
  <c r="U704" i="30" s="1"/>
  <c r="T2230" i="1"/>
  <c r="T704" i="30" s="1"/>
  <c r="R2230" i="1"/>
  <c r="R704" i="30" s="1"/>
  <c r="Q2230" i="1"/>
  <c r="Q704" i="30" s="1"/>
  <c r="P2230" i="1"/>
  <c r="P704" i="30" s="1"/>
  <c r="B2230" i="1"/>
  <c r="A2230" i="1"/>
  <c r="A704" i="30" s="1"/>
  <c r="AL696" i="30"/>
  <c r="B2225" i="1"/>
  <c r="BD2225" i="1" s="1"/>
  <c r="BD696" i="30" s="1"/>
  <c r="A2225" i="1"/>
  <c r="A696" i="30" s="1"/>
  <c r="B2223" i="1"/>
  <c r="BB2223" i="1" s="1"/>
  <c r="BB695" i="30" s="1"/>
  <c r="A2223" i="1"/>
  <c r="A695" i="30" s="1"/>
  <c r="AL694" i="30"/>
  <c r="B2222" i="1"/>
  <c r="BD2222" i="1" s="1"/>
  <c r="BD694" i="30" s="1"/>
  <c r="A2222" i="1"/>
  <c r="A694" i="30" s="1"/>
  <c r="B2221" i="1"/>
  <c r="A2221" i="1"/>
  <c r="A693" i="30" s="1"/>
  <c r="B2220" i="1"/>
  <c r="B692" i="30" s="1"/>
  <c r="A2220" i="1"/>
  <c r="A692" i="30" s="1"/>
  <c r="B2219" i="1"/>
  <c r="BC2219" i="1" s="1"/>
  <c r="BC691" i="30" s="1"/>
  <c r="A2219" i="1"/>
  <c r="A691" i="30" s="1"/>
  <c r="B2218" i="1"/>
  <c r="BB2218" i="1" s="1"/>
  <c r="BB690" i="30" s="1"/>
  <c r="A2218" i="1"/>
  <c r="A690" i="30" s="1"/>
  <c r="B2217" i="1"/>
  <c r="BB2217" i="1" s="1"/>
  <c r="A2217" i="1"/>
  <c r="A689" i="30" s="1"/>
  <c r="BD2216" i="1"/>
  <c r="BC2216" i="1"/>
  <c r="BB2216" i="1"/>
  <c r="BD2215" i="1"/>
  <c r="BC2215" i="1"/>
  <c r="BB2215" i="1"/>
  <c r="BD2210" i="1"/>
  <c r="BC2210" i="1"/>
  <c r="BB2210" i="1"/>
  <c r="B2190" i="1"/>
  <c r="BD2190" i="1" s="1"/>
  <c r="BD688" i="30" s="1"/>
  <c r="A2190" i="1"/>
  <c r="A688" i="30" s="1"/>
  <c r="B2189" i="1"/>
  <c r="BD2189" i="1" s="1"/>
  <c r="BD687" i="30" s="1"/>
  <c r="A2189" i="1"/>
  <c r="A687" i="30" s="1"/>
  <c r="B2188" i="1"/>
  <c r="BC2188" i="1" s="1"/>
  <c r="BC686" i="30" s="1"/>
  <c r="A2188" i="1"/>
  <c r="A686" i="30" s="1"/>
  <c r="B2187" i="1"/>
  <c r="BC2187" i="1" s="1"/>
  <c r="BC685" i="30" s="1"/>
  <c r="A2187" i="1"/>
  <c r="A685" i="30" s="1"/>
  <c r="BD2186" i="1"/>
  <c r="BC2186" i="1"/>
  <c r="BB2186" i="1"/>
  <c r="B2185" i="1"/>
  <c r="BC2185" i="1" s="1"/>
  <c r="BC684" i="30" s="1"/>
  <c r="A2185" i="1"/>
  <c r="A684" i="30" s="1"/>
  <c r="B2184" i="1"/>
  <c r="BC2184" i="1" s="1"/>
  <c r="BC683" i="30" s="1"/>
  <c r="A2184" i="1"/>
  <c r="A683" i="30" s="1"/>
  <c r="BD2183" i="1"/>
  <c r="BC2183" i="1"/>
  <c r="BB2183" i="1"/>
  <c r="BD2182" i="1"/>
  <c r="BC2182" i="1"/>
  <c r="BB2182" i="1"/>
  <c r="BD2179" i="1"/>
  <c r="BC2179" i="1"/>
  <c r="BB2179" i="1"/>
  <c r="BD2177" i="1"/>
  <c r="BC2177" i="1"/>
  <c r="BB2177" i="1"/>
  <c r="B2176" i="1"/>
  <c r="A2176" i="1"/>
  <c r="A682" i="30" s="1"/>
  <c r="AG2175" i="1"/>
  <c r="AF2175" i="1"/>
  <c r="AE2175" i="1"/>
  <c r="AD2175" i="1"/>
  <c r="AC2175" i="1"/>
  <c r="AB2175" i="1"/>
  <c r="AA2175" i="1"/>
  <c r="Z2175" i="1"/>
  <c r="Y2175" i="1"/>
  <c r="X2175" i="1"/>
  <c r="W2175" i="1"/>
  <c r="B2175" i="1"/>
  <c r="BC2175" i="1" s="1"/>
  <c r="A2175" i="1"/>
  <c r="AF2174" i="1"/>
  <c r="AE2174" i="1"/>
  <c r="AD2174" i="1"/>
  <c r="AC2174" i="1"/>
  <c r="AB2174" i="1"/>
  <c r="AA2174" i="1"/>
  <c r="Z2174" i="1"/>
  <c r="Y2174" i="1"/>
  <c r="X2174" i="1"/>
  <c r="W2174" i="1"/>
  <c r="B2174" i="1"/>
  <c r="BB2174" i="1" s="1"/>
  <c r="A2174" i="1"/>
  <c r="B2173" i="1"/>
  <c r="BD2173" i="1" s="1"/>
  <c r="A2173" i="1"/>
  <c r="X2172" i="1"/>
  <c r="W2172" i="1"/>
  <c r="B2172" i="1"/>
  <c r="BB2172" i="1" s="1"/>
  <c r="A2172" i="1"/>
  <c r="AG2171" i="1"/>
  <c r="AF2171" i="1"/>
  <c r="AE2171" i="1"/>
  <c r="AD2171" i="1"/>
  <c r="AC2171" i="1"/>
  <c r="AB2171" i="1"/>
  <c r="AA2171" i="1"/>
  <c r="Z2171" i="1"/>
  <c r="Y2171" i="1"/>
  <c r="X2171" i="1"/>
  <c r="W2171" i="1"/>
  <c r="B2171" i="1"/>
  <c r="BD2171" i="1" s="1"/>
  <c r="A2171" i="1"/>
  <c r="AG2169" i="1"/>
  <c r="AG680" i="30" s="1"/>
  <c r="AF2169" i="1"/>
  <c r="AF680" i="30" s="1"/>
  <c r="AE2169" i="1"/>
  <c r="AE680" i="30" s="1"/>
  <c r="AD2169" i="1"/>
  <c r="AD680" i="30" s="1"/>
  <c r="AC2169" i="1"/>
  <c r="AC680" i="30" s="1"/>
  <c r="AB2169" i="1"/>
  <c r="AB680" i="30" s="1"/>
  <c r="AA2169" i="1"/>
  <c r="AA680" i="30" s="1"/>
  <c r="Z2169" i="1"/>
  <c r="Z680" i="30" s="1"/>
  <c r="Y2169" i="1"/>
  <c r="Y680" i="30" s="1"/>
  <c r="X2169" i="1"/>
  <c r="X680" i="30" s="1"/>
  <c r="W2169" i="1"/>
  <c r="W680" i="30" s="1"/>
  <c r="B2169" i="1"/>
  <c r="B680" i="30" s="1"/>
  <c r="A680" i="30"/>
  <c r="B2168" i="1"/>
  <c r="BD2168" i="1" s="1"/>
  <c r="A2168" i="1"/>
  <c r="B2167" i="1"/>
  <c r="BC2167" i="1" s="1"/>
  <c r="A2167" i="1"/>
  <c r="BD2165" i="1"/>
  <c r="BC2165" i="1"/>
  <c r="BB2165" i="1"/>
  <c r="BD2164" i="1"/>
  <c r="BC2164" i="1"/>
  <c r="BB2164" i="1"/>
  <c r="BD2163" i="1"/>
  <c r="BC2163" i="1"/>
  <c r="BB2163" i="1"/>
  <c r="BD2162" i="1"/>
  <c r="BC2162" i="1"/>
  <c r="BB2162" i="1"/>
  <c r="BD2161" i="1"/>
  <c r="BD679" i="30" s="1"/>
  <c r="BC2161" i="1"/>
  <c r="BC679" i="30" s="1"/>
  <c r="BB2161" i="1"/>
  <c r="BB679" i="30" s="1"/>
  <c r="B2160" i="1"/>
  <c r="A2160" i="1"/>
  <c r="BD2154" i="1"/>
  <c r="BC2154" i="1"/>
  <c r="BB2154" i="1"/>
  <c r="B2153" i="1"/>
  <c r="BC2153" i="1" s="1"/>
  <c r="BC678" i="30" s="1"/>
  <c r="A2153" i="1"/>
  <c r="A678" i="30" s="1"/>
  <c r="AH2152" i="1"/>
  <c r="AH677" i="30" s="1"/>
  <c r="AG2152" i="1"/>
  <c r="AG677" i="30" s="1"/>
  <c r="AF2152" i="1"/>
  <c r="AF677" i="30" s="1"/>
  <c r="AE2152" i="1"/>
  <c r="AE677" i="30" s="1"/>
  <c r="AD2152" i="1"/>
  <c r="AD677" i="30" s="1"/>
  <c r="AC2152" i="1"/>
  <c r="AC677" i="30" s="1"/>
  <c r="AB2152" i="1"/>
  <c r="AB677" i="30" s="1"/>
  <c r="AA2152" i="1"/>
  <c r="AA677" i="30" s="1"/>
  <c r="Z2152" i="1"/>
  <c r="Z677" i="30" s="1"/>
  <c r="Y2152" i="1"/>
  <c r="Y677" i="30" s="1"/>
  <c r="X2152" i="1"/>
  <c r="X677" i="30" s="1"/>
  <c r="W2152" i="1"/>
  <c r="W677" i="30" s="1"/>
  <c r="U2152" i="1"/>
  <c r="U677" i="30" s="1"/>
  <c r="T2152" i="1"/>
  <c r="T677" i="30" s="1"/>
  <c r="R2152" i="1"/>
  <c r="R677" i="30" s="1"/>
  <c r="Q2152" i="1"/>
  <c r="Q677" i="30" s="1"/>
  <c r="P2152" i="1"/>
  <c r="P677" i="30" s="1"/>
  <c r="B2152" i="1"/>
  <c r="B677" i="30" s="1"/>
  <c r="A2152" i="1"/>
  <c r="A677" i="30" s="1"/>
  <c r="B2151" i="1"/>
  <c r="BD2151" i="1" s="1"/>
  <c r="BD676" i="30" s="1"/>
  <c r="A2151" i="1"/>
  <c r="A676" i="30" s="1"/>
  <c r="B1750" i="1"/>
  <c r="BC1750" i="1" s="1"/>
  <c r="BC602" i="30" s="1"/>
  <c r="A1750" i="1"/>
  <c r="A602" i="30" s="1"/>
  <c r="B2146" i="1"/>
  <c r="BC2146" i="1" s="1"/>
  <c r="BC675" i="30" s="1"/>
  <c r="A2146" i="1"/>
  <c r="A675" i="30" s="1"/>
  <c r="B2145" i="1"/>
  <c r="BC2145" i="1" s="1"/>
  <c r="BC674" i="30" s="1"/>
  <c r="A2145" i="1"/>
  <c r="A674" i="30" s="1"/>
  <c r="B2144" i="1"/>
  <c r="BB2144" i="1" s="1"/>
  <c r="BB673" i="30" s="1"/>
  <c r="A2144" i="1"/>
  <c r="A673" i="30" s="1"/>
  <c r="B2143" i="1"/>
  <c r="BB2143" i="1" s="1"/>
  <c r="BB672" i="30" s="1"/>
  <c r="A2143" i="1"/>
  <c r="A672" i="30" s="1"/>
  <c r="B2142" i="1"/>
  <c r="BD2142" i="1" s="1"/>
  <c r="BD671" i="30" s="1"/>
  <c r="A2142" i="1"/>
  <c r="A671" i="30" s="1"/>
  <c r="B2141" i="1"/>
  <c r="BD2141" i="1" s="1"/>
  <c r="A2141" i="1"/>
  <c r="A670" i="30" s="1"/>
  <c r="BD2136" i="1"/>
  <c r="BC2136" i="1"/>
  <c r="BB2136" i="1"/>
  <c r="BD2096" i="1"/>
  <c r="BC2096" i="1"/>
  <c r="BB2096" i="1"/>
  <c r="B2039" i="1"/>
  <c r="BC2039" i="1" s="1"/>
  <c r="BC667" i="30" s="1"/>
  <c r="A2039" i="1"/>
  <c r="A667" i="30" s="1"/>
  <c r="B2038" i="1"/>
  <c r="BC2038" i="1" s="1"/>
  <c r="BC666" i="30" s="1"/>
  <c r="A2038" i="1"/>
  <c r="A666" i="30" s="1"/>
  <c r="B2037" i="1"/>
  <c r="BB2037" i="1" s="1"/>
  <c r="BB665" i="30" s="1"/>
  <c r="A2037" i="1"/>
  <c r="A665" i="30" s="1"/>
  <c r="B2036" i="1"/>
  <c r="BB2036" i="1" s="1"/>
  <c r="BB664" i="30" s="1"/>
  <c r="A2036" i="1"/>
  <c r="A664" i="30" s="1"/>
  <c r="B2035" i="1"/>
  <c r="BC2035" i="1" s="1"/>
  <c r="BC663" i="30" s="1"/>
  <c r="A2035" i="1"/>
  <c r="A663" i="30" s="1"/>
  <c r="B2034" i="1"/>
  <c r="BC2034" i="1" s="1"/>
  <c r="BC662" i="30" s="1"/>
  <c r="A2034" i="1"/>
  <c r="A662" i="30" s="1"/>
  <c r="B2033" i="1"/>
  <c r="BB2033" i="1" s="1"/>
  <c r="BB661" i="30" s="1"/>
  <c r="A2033" i="1"/>
  <c r="A661" i="30" s="1"/>
  <c r="B2032" i="1"/>
  <c r="BB2032" i="1" s="1"/>
  <c r="BB660" i="30" s="1"/>
  <c r="A2032" i="1"/>
  <c r="A660" i="30" s="1"/>
  <c r="B2031" i="1"/>
  <c r="BB2031" i="1" s="1"/>
  <c r="BB659" i="30" s="1"/>
  <c r="A2031" i="1"/>
  <c r="A659" i="30" s="1"/>
  <c r="B2030" i="1"/>
  <c r="BC2030" i="1" s="1"/>
  <c r="BC658" i="30" s="1"/>
  <c r="A2030" i="1"/>
  <c r="A658" i="30" s="1"/>
  <c r="B2029" i="1"/>
  <c r="BB2029" i="1" s="1"/>
  <c r="BB657" i="30" s="1"/>
  <c r="A2029" i="1"/>
  <c r="A657" i="30" s="1"/>
  <c r="B2052" i="1"/>
  <c r="A2052" i="1"/>
  <c r="B2051" i="1"/>
  <c r="BC2051" i="1" s="1"/>
  <c r="A2051" i="1"/>
  <c r="B2050" i="1"/>
  <c r="BB2050" i="1" s="1"/>
  <c r="A2050" i="1"/>
  <c r="B2049" i="1"/>
  <c r="BC2049" i="1" s="1"/>
  <c r="A2049" i="1"/>
  <c r="B2048" i="1"/>
  <c r="BD2048" i="1" s="1"/>
  <c r="A2048" i="1"/>
  <c r="B2047" i="1"/>
  <c r="A2047" i="1"/>
  <c r="B2044" i="1"/>
  <c r="BC2044" i="1" s="1"/>
  <c r="BC633" i="30" s="1"/>
  <c r="A2044" i="1"/>
  <c r="A633" i="30" s="1"/>
  <c r="AG2046" i="1"/>
  <c r="AG632" i="30" s="1"/>
  <c r="AF2046" i="1"/>
  <c r="AF632" i="30" s="1"/>
  <c r="AE2046" i="1"/>
  <c r="AE632" i="30" s="1"/>
  <c r="AD2046" i="1"/>
  <c r="AD632" i="30" s="1"/>
  <c r="AC2046" i="1"/>
  <c r="AC632" i="30" s="1"/>
  <c r="AB2046" i="1"/>
  <c r="AB632" i="30" s="1"/>
  <c r="AA2046" i="1"/>
  <c r="AA632" i="30" s="1"/>
  <c r="Z2046" i="1"/>
  <c r="Z632" i="30" s="1"/>
  <c r="Y2046" i="1"/>
  <c r="Y632" i="30" s="1"/>
  <c r="X2046" i="1"/>
  <c r="X632" i="30" s="1"/>
  <c r="W2046" i="1"/>
  <c r="W632" i="30" s="1"/>
  <c r="B2046" i="1"/>
  <c r="A2046" i="1"/>
  <c r="A632" i="30" s="1"/>
  <c r="B2045" i="1"/>
  <c r="BD2045" i="1" s="1"/>
  <c r="BD631" i="30" s="1"/>
  <c r="A2045" i="1"/>
  <c r="A631" i="30" s="1"/>
  <c r="B2043" i="1"/>
  <c r="BC2043" i="1" s="1"/>
  <c r="BC630" i="30" s="1"/>
  <c r="A2043" i="1"/>
  <c r="A630" i="30" s="1"/>
  <c r="B2042" i="1"/>
  <c r="BB2042" i="1" s="1"/>
  <c r="A2042" i="1"/>
  <c r="B2041" i="1"/>
  <c r="A2041" i="1"/>
  <c r="B2028" i="1"/>
  <c r="BB2028" i="1" s="1"/>
  <c r="BB656" i="30" s="1"/>
  <c r="A2028" i="1"/>
  <c r="A656" i="30" s="1"/>
  <c r="B2027" i="1"/>
  <c r="BB2027" i="1" s="1"/>
  <c r="BB655" i="30" s="1"/>
  <c r="A2027" i="1"/>
  <c r="A655" i="30" s="1"/>
  <c r="B2026" i="1"/>
  <c r="BB2026" i="1" s="1"/>
  <c r="BB654" i="30" s="1"/>
  <c r="A2026" i="1"/>
  <c r="A654" i="30" s="1"/>
  <c r="B2025" i="1"/>
  <c r="BD2025" i="1" s="1"/>
  <c r="BD653" i="30" s="1"/>
  <c r="A2025" i="1"/>
  <c r="A653" i="30" s="1"/>
  <c r="B2024" i="1"/>
  <c r="BD2024" i="1" s="1"/>
  <c r="BD652" i="30" s="1"/>
  <c r="A2024" i="1"/>
  <c r="A652" i="30" s="1"/>
  <c r="B2023" i="1"/>
  <c r="BC2023" i="1" s="1"/>
  <c r="BC651" i="30" s="1"/>
  <c r="A2023" i="1"/>
  <c r="A651" i="30" s="1"/>
  <c r="B2022" i="1"/>
  <c r="BD2022" i="1" s="1"/>
  <c r="BD650" i="30" s="1"/>
  <c r="A2022" i="1"/>
  <c r="A650" i="30" s="1"/>
  <c r="B2021" i="1"/>
  <c r="A2021" i="1"/>
  <c r="A649" i="30" s="1"/>
  <c r="B2020" i="1"/>
  <c r="BB2020" i="1" s="1"/>
  <c r="BB648" i="30" s="1"/>
  <c r="A2020" i="1"/>
  <c r="A648" i="30" s="1"/>
  <c r="B2019" i="1"/>
  <c r="BB2019" i="1" s="1"/>
  <c r="BB647" i="30" s="1"/>
  <c r="A2019" i="1"/>
  <c r="A647" i="30" s="1"/>
  <c r="B2018" i="1"/>
  <c r="BC2018" i="1" s="1"/>
  <c r="BC646" i="30" s="1"/>
  <c r="A2018" i="1"/>
  <c r="A646" i="30" s="1"/>
  <c r="B2017" i="1"/>
  <c r="BD2017" i="1" s="1"/>
  <c r="BD645" i="30" s="1"/>
  <c r="A2017" i="1"/>
  <c r="A645" i="30" s="1"/>
  <c r="B2016" i="1"/>
  <c r="BD2016" i="1" s="1"/>
  <c r="BD644" i="30" s="1"/>
  <c r="A2016" i="1"/>
  <c r="A644" i="30" s="1"/>
  <c r="B2015" i="1"/>
  <c r="BC2015" i="1" s="1"/>
  <c r="BC643" i="30" s="1"/>
  <c r="A2015" i="1"/>
  <c r="A643" i="30" s="1"/>
  <c r="B2014" i="1"/>
  <c r="BB2014" i="1" s="1"/>
  <c r="BB642" i="30" s="1"/>
  <c r="A2014" i="1"/>
  <c r="A642" i="30" s="1"/>
  <c r="B2013" i="1"/>
  <c r="BC2013" i="1" s="1"/>
  <c r="BC641" i="30" s="1"/>
  <c r="A2013" i="1"/>
  <c r="A641" i="30" s="1"/>
  <c r="B2012" i="1"/>
  <c r="BB2012" i="1" s="1"/>
  <c r="BB640" i="30" s="1"/>
  <c r="A2012" i="1"/>
  <c r="A640" i="30" s="1"/>
  <c r="B2011" i="1"/>
  <c r="BB2011" i="1" s="1"/>
  <c r="BB639" i="30" s="1"/>
  <c r="A2011" i="1"/>
  <c r="A639" i="30" s="1"/>
  <c r="B2010" i="1"/>
  <c r="A2010" i="1"/>
  <c r="A638" i="30" s="1"/>
  <c r="B2009" i="1"/>
  <c r="BD2009" i="1" s="1"/>
  <c r="BD637" i="30" s="1"/>
  <c r="A2009" i="1"/>
  <c r="A637" i="30" s="1"/>
  <c r="B2008" i="1"/>
  <c r="BD2008" i="1" s="1"/>
  <c r="BD636" i="30" s="1"/>
  <c r="A2008" i="1"/>
  <c r="A636" i="30" s="1"/>
  <c r="B2007" i="1"/>
  <c r="BC2007" i="1" s="1"/>
  <c r="BC635" i="30" s="1"/>
  <c r="A2007" i="1"/>
  <c r="A635" i="30" s="1"/>
  <c r="B2006" i="1"/>
  <c r="A2006" i="1"/>
  <c r="B2005" i="1"/>
  <c r="A2005" i="1"/>
  <c r="A634" i="30" s="1"/>
  <c r="B2004" i="1"/>
  <c r="BB2004" i="1" s="1"/>
  <c r="BB629" i="30" s="1"/>
  <c r="A2004" i="1"/>
  <c r="A629" i="30" s="1"/>
  <c r="B2003" i="1"/>
  <c r="BB2003" i="1" s="1"/>
  <c r="BB628" i="30" s="1"/>
  <c r="A2003" i="1"/>
  <c r="A628" i="30" s="1"/>
  <c r="B2002" i="1"/>
  <c r="BC2002" i="1" s="1"/>
  <c r="BC627" i="30" s="1"/>
  <c r="A2002" i="1"/>
  <c r="A627" i="30" s="1"/>
  <c r="B2001" i="1"/>
  <c r="BD2001" i="1" s="1"/>
  <c r="BD626" i="30" s="1"/>
  <c r="A2001" i="1"/>
  <c r="A626" i="30" s="1"/>
  <c r="B2000" i="1"/>
  <c r="BD2000" i="1" s="1"/>
  <c r="BD625" i="30" s="1"/>
  <c r="A2000" i="1"/>
  <c r="A625" i="30" s="1"/>
  <c r="B1997" i="1"/>
  <c r="BC1997" i="1" s="1"/>
  <c r="BC624" i="30" s="1"/>
  <c r="A1997" i="1"/>
  <c r="A624" i="30" s="1"/>
  <c r="B1996" i="1"/>
  <c r="BB1996" i="1" s="1"/>
  <c r="BB623" i="30" s="1"/>
  <c r="A1996" i="1"/>
  <c r="A623" i="30" s="1"/>
  <c r="B1995" i="1"/>
  <c r="BC1995" i="1" s="1"/>
  <c r="A1995" i="1"/>
  <c r="AG1994" i="1"/>
  <c r="D301" i="61" s="1"/>
  <c r="AF1994" i="1"/>
  <c r="D300" i="61" s="1"/>
  <c r="AE1994" i="1"/>
  <c r="D299" i="61" s="1"/>
  <c r="AD1994" i="1"/>
  <c r="D298" i="61" s="1"/>
  <c r="AC1994" i="1"/>
  <c r="D297" i="61" s="1"/>
  <c r="AB1994" i="1"/>
  <c r="D296" i="61" s="1"/>
  <c r="AA1994" i="1"/>
  <c r="D295" i="61" s="1"/>
  <c r="Z1994" i="1"/>
  <c r="D294" i="61" s="1"/>
  <c r="Y1994" i="1"/>
  <c r="D293" i="61" s="1"/>
  <c r="X1994" i="1"/>
  <c r="D292" i="61" s="1"/>
  <c r="W1994" i="1"/>
  <c r="D291" i="61" s="1"/>
  <c r="B1994" i="1"/>
  <c r="A1994" i="1"/>
  <c r="BD1990" i="1"/>
  <c r="BD622" i="30" s="1"/>
  <c r="BC1990" i="1"/>
  <c r="BC622" i="30" s="1"/>
  <c r="BB1990" i="1"/>
  <c r="BB622" i="30" s="1"/>
  <c r="BD1953" i="1"/>
  <c r="BC1953" i="1"/>
  <c r="BB1953" i="1"/>
  <c r="BD1941" i="1"/>
  <c r="BC1941" i="1"/>
  <c r="BB1941" i="1"/>
  <c r="B1940" i="1"/>
  <c r="BB1940" i="1" s="1"/>
  <c r="BB621" i="30" s="1"/>
  <c r="A1940" i="1"/>
  <c r="A621" i="30" s="1"/>
  <c r="BD1939" i="1"/>
  <c r="BC1939" i="1"/>
  <c r="BB1939" i="1"/>
  <c r="BD1934" i="1"/>
  <c r="BC1934" i="1"/>
  <c r="BB1934" i="1"/>
  <c r="A1934" i="1"/>
  <c r="BD1933" i="1"/>
  <c r="BC1933" i="1"/>
  <c r="BB1933" i="1"/>
  <c r="A1933" i="1"/>
  <c r="BD1932" i="1"/>
  <c r="BC1932" i="1"/>
  <c r="BB1932" i="1"/>
  <c r="A1932" i="1"/>
  <c r="BD1931" i="1"/>
  <c r="BC1931" i="1"/>
  <c r="BB1931" i="1"/>
  <c r="A1931" i="1"/>
  <c r="BD1930" i="1"/>
  <c r="BC1930" i="1"/>
  <c r="BB1930" i="1"/>
  <c r="A1930" i="1"/>
  <c r="BD1929" i="1"/>
  <c r="BC1929" i="1"/>
  <c r="BB1929" i="1"/>
  <c r="A1929" i="1"/>
  <c r="BD1923" i="1"/>
  <c r="BC1923" i="1"/>
  <c r="BB1923" i="1"/>
  <c r="BD1924" i="1"/>
  <c r="BD620" i="30" s="1"/>
  <c r="BC1924" i="1"/>
  <c r="BC620" i="30" s="1"/>
  <c r="BB1924" i="1"/>
  <c r="BB620" i="30" s="1"/>
  <c r="BD1922" i="1"/>
  <c r="BC1922" i="1"/>
  <c r="BB1922" i="1"/>
  <c r="BD1919" i="1"/>
  <c r="BC1919" i="1"/>
  <c r="BB1919" i="1"/>
  <c r="BD1917" i="1"/>
  <c r="BD619" i="30" s="1"/>
  <c r="BC1917" i="1"/>
  <c r="BC619" i="30" s="1"/>
  <c r="BB1917" i="1"/>
  <c r="BB619" i="30" s="1"/>
  <c r="BD1916" i="1"/>
  <c r="BC1916" i="1"/>
  <c r="BB1916" i="1"/>
  <c r="BD1914" i="1"/>
  <c r="BC1914" i="1"/>
  <c r="BB1914" i="1"/>
  <c r="BD1899" i="1"/>
  <c r="BC1899" i="1"/>
  <c r="BB1899" i="1"/>
  <c r="BD1898" i="1"/>
  <c r="BC1898" i="1"/>
  <c r="BB1898" i="1"/>
  <c r="R1896" i="1"/>
  <c r="R618" i="30" s="1"/>
  <c r="Q1896" i="1"/>
  <c r="Q618" i="30" s="1"/>
  <c r="P1896" i="1"/>
  <c r="P618" i="30" s="1"/>
  <c r="O1896" i="1"/>
  <c r="O618" i="30" s="1"/>
  <c r="N1896" i="1"/>
  <c r="N618" i="30" s="1"/>
  <c r="M1896" i="1"/>
  <c r="M618" i="30" s="1"/>
  <c r="L1896" i="1"/>
  <c r="L618" i="30" s="1"/>
  <c r="K1896" i="1"/>
  <c r="K618" i="30" s="1"/>
  <c r="B1896" i="1"/>
  <c r="BD1896" i="1" s="1"/>
  <c r="BD618" i="30" s="1"/>
  <c r="A1896" i="1"/>
  <c r="A618" i="30" s="1"/>
  <c r="B1895" i="1"/>
  <c r="BC1895" i="1" s="1"/>
  <c r="BC617" i="30" s="1"/>
  <c r="A1895" i="1"/>
  <c r="A617" i="30" s="1"/>
  <c r="B1894" i="1"/>
  <c r="BC1894" i="1" s="1"/>
  <c r="BC616" i="30" s="1"/>
  <c r="A1894" i="1"/>
  <c r="A616" i="30" s="1"/>
  <c r="AJ1893" i="1"/>
  <c r="AJ615" i="30" s="1"/>
  <c r="AI1893" i="1"/>
  <c r="AI615" i="30" s="1"/>
  <c r="AH1893" i="1"/>
  <c r="AH615" i="30" s="1"/>
  <c r="AG1893" i="1"/>
  <c r="AG615" i="30" s="1"/>
  <c r="AF1893" i="1"/>
  <c r="AF615" i="30" s="1"/>
  <c r="AE1893" i="1"/>
  <c r="AE615" i="30" s="1"/>
  <c r="AD1893" i="1"/>
  <c r="AD615" i="30" s="1"/>
  <c r="AC1893" i="1"/>
  <c r="AC615" i="30" s="1"/>
  <c r="AB1893" i="1"/>
  <c r="AB615" i="30" s="1"/>
  <c r="AA1893" i="1"/>
  <c r="AA615" i="30" s="1"/>
  <c r="Z1893" i="1"/>
  <c r="Z615" i="30" s="1"/>
  <c r="Y1893" i="1"/>
  <c r="Y615" i="30" s="1"/>
  <c r="X1893" i="1"/>
  <c r="X615" i="30" s="1"/>
  <c r="W1893" i="1"/>
  <c r="W615" i="30" s="1"/>
  <c r="U1893" i="1"/>
  <c r="U615" i="30" s="1"/>
  <c r="T1893" i="1"/>
  <c r="T615" i="30" s="1"/>
  <c r="B1893" i="1"/>
  <c r="BB1893" i="1" s="1"/>
  <c r="BB615" i="30" s="1"/>
  <c r="A1893" i="1"/>
  <c r="A615" i="30" s="1"/>
  <c r="BD1891" i="1"/>
  <c r="BC1891" i="1"/>
  <c r="BB1891" i="1"/>
  <c r="B1889" i="1"/>
  <c r="BD1889" i="1" s="1"/>
  <c r="A1889" i="1"/>
  <c r="B1888" i="1"/>
  <c r="BC1888" i="1" s="1"/>
  <c r="A1888" i="1"/>
  <c r="B1887" i="1"/>
  <c r="BD1887" i="1" s="1"/>
  <c r="A1887" i="1"/>
  <c r="B1886" i="1"/>
  <c r="BB1886" i="1" s="1"/>
  <c r="A1886" i="1"/>
  <c r="B1885" i="1"/>
  <c r="BB1885" i="1" s="1"/>
  <c r="A1885" i="1"/>
  <c r="B1884" i="1"/>
  <c r="BC1884" i="1" s="1"/>
  <c r="A1884" i="1"/>
  <c r="B1883" i="1"/>
  <c r="BD1883" i="1" s="1"/>
  <c r="A1883" i="1"/>
  <c r="AF1881" i="1"/>
  <c r="AF1882" i="1" s="1"/>
  <c r="B257" i="61" s="1"/>
  <c r="B1881" i="1"/>
  <c r="BD1881" i="1" s="1"/>
  <c r="BD613" i="30" s="1"/>
  <c r="A1881" i="1"/>
  <c r="A613" i="30" s="1"/>
  <c r="B1880" i="1"/>
  <c r="BD1880" i="1" s="1"/>
  <c r="A1880" i="1"/>
  <c r="B1879" i="1"/>
  <c r="BD1879" i="1" s="1"/>
  <c r="A1879" i="1"/>
  <c r="B1878" i="1"/>
  <c r="BD1878" i="1" s="1"/>
  <c r="A1878" i="1"/>
  <c r="B1877" i="1"/>
  <c r="BC1877" i="1" s="1"/>
  <c r="A1877" i="1"/>
  <c r="B1876" i="1"/>
  <c r="BB1876" i="1" s="1"/>
  <c r="A1876" i="1"/>
  <c r="B1875" i="1"/>
  <c r="BC1875" i="1" s="1"/>
  <c r="A1875" i="1"/>
  <c r="B1874" i="1"/>
  <c r="BB1874" i="1" s="1"/>
  <c r="A1874" i="1"/>
  <c r="B1873" i="1"/>
  <c r="BB1873" i="1" s="1"/>
  <c r="A1873" i="1"/>
  <c r="B1872" i="1"/>
  <c r="BB1872" i="1" s="1"/>
  <c r="A1872" i="1"/>
  <c r="B1871" i="1"/>
  <c r="BD1871" i="1" s="1"/>
  <c r="A1871" i="1"/>
  <c r="B1870" i="1"/>
  <c r="BD1870" i="1" s="1"/>
  <c r="A1870" i="1"/>
  <c r="B1869" i="1"/>
  <c r="BC1869" i="1" s="1"/>
  <c r="A1869" i="1"/>
  <c r="B1868" i="1"/>
  <c r="BC1868" i="1" s="1"/>
  <c r="A1868" i="1"/>
  <c r="B1867" i="1"/>
  <c r="BC1867" i="1" s="1"/>
  <c r="A1867" i="1"/>
  <c r="B1866" i="1"/>
  <c r="A1866" i="1"/>
  <c r="B1865" i="1"/>
  <c r="BB1865" i="1" s="1"/>
  <c r="A1865" i="1"/>
  <c r="B1864" i="1"/>
  <c r="BD1864" i="1" s="1"/>
  <c r="A1864" i="1"/>
  <c r="B1863" i="1"/>
  <c r="BD1863" i="1" s="1"/>
  <c r="A1863" i="1"/>
  <c r="B1862" i="1"/>
  <c r="BD1862" i="1" s="1"/>
  <c r="A1862" i="1"/>
  <c r="B1861" i="1"/>
  <c r="A1861" i="1"/>
  <c r="A612" i="30" s="1"/>
  <c r="B1860" i="1"/>
  <c r="BC1860" i="1" s="1"/>
  <c r="A1860" i="1"/>
  <c r="B1859" i="1"/>
  <c r="BC1859" i="1" s="1"/>
  <c r="A1859" i="1"/>
  <c r="B1858" i="1"/>
  <c r="BB1858" i="1" s="1"/>
  <c r="A1858" i="1"/>
  <c r="B1857" i="1"/>
  <c r="BB1857" i="1" s="1"/>
  <c r="A1857" i="1"/>
  <c r="AL611" i="30"/>
  <c r="B1855" i="1"/>
  <c r="BC1855" i="1" s="1"/>
  <c r="BC611" i="30" s="1"/>
  <c r="A1855" i="1"/>
  <c r="A611" i="30" s="1"/>
  <c r="B1856" i="1"/>
  <c r="A1856" i="1"/>
  <c r="A610" i="30" s="1"/>
  <c r="B1854" i="1"/>
  <c r="BB1854" i="1" s="1"/>
  <c r="BB609" i="30" s="1"/>
  <c r="A1854" i="1"/>
  <c r="A609" i="30" s="1"/>
  <c r="BD1802" i="1"/>
  <c r="BC1802" i="1"/>
  <c r="BB1802" i="1"/>
  <c r="BD1785" i="1"/>
  <c r="BC1785" i="1"/>
  <c r="BB1785" i="1"/>
  <c r="BD1784" i="1"/>
  <c r="BC1784" i="1"/>
  <c r="BB1784" i="1"/>
  <c r="BD1783" i="1"/>
  <c r="BC1783" i="1"/>
  <c r="BB1783" i="1"/>
  <c r="BD1765" i="1"/>
  <c r="BC1765" i="1"/>
  <c r="BB1765" i="1"/>
  <c r="BD1763" i="1"/>
  <c r="BC1763" i="1"/>
  <c r="BB1763" i="1"/>
  <c r="BD1762" i="1"/>
  <c r="BD608" i="30" s="1"/>
  <c r="BC1762" i="1"/>
  <c r="BC608" i="30" s="1"/>
  <c r="BB1762" i="1"/>
  <c r="BB608" i="30" s="1"/>
  <c r="A1762" i="1"/>
  <c r="A608" i="30" s="1"/>
  <c r="BD1758" i="1"/>
  <c r="BC1758" i="1"/>
  <c r="BB1758" i="1"/>
  <c r="BD1757" i="1"/>
  <c r="BC1757" i="1"/>
  <c r="BB1757" i="1"/>
  <c r="BD1756" i="1"/>
  <c r="BC1756" i="1"/>
  <c r="BB1756" i="1"/>
  <c r="BD1753" i="1"/>
  <c r="BC1753" i="1"/>
  <c r="BB1753" i="1"/>
  <c r="BD1752" i="1"/>
  <c r="BC1752" i="1"/>
  <c r="BB1752" i="1"/>
  <c r="BD1751" i="1"/>
  <c r="BC1751" i="1"/>
  <c r="BB1751" i="1"/>
  <c r="AH1748" i="1"/>
  <c r="AH607" i="30" s="1"/>
  <c r="AG1748" i="1"/>
  <c r="AG607" i="30" s="1"/>
  <c r="AF1748" i="1"/>
  <c r="AF607" i="30" s="1"/>
  <c r="AE1748" i="1"/>
  <c r="AE607" i="30" s="1"/>
  <c r="AD1748" i="1"/>
  <c r="AD607" i="30" s="1"/>
  <c r="AC1748" i="1"/>
  <c r="AC607" i="30" s="1"/>
  <c r="AB1748" i="1"/>
  <c r="AB607" i="30" s="1"/>
  <c r="AA1748" i="1"/>
  <c r="AA607" i="30" s="1"/>
  <c r="Z1748" i="1"/>
  <c r="Z607" i="30" s="1"/>
  <c r="Y1748" i="1"/>
  <c r="Y607" i="30" s="1"/>
  <c r="X1748" i="1"/>
  <c r="X607" i="30" s="1"/>
  <c r="W1748" i="1"/>
  <c r="W607" i="30" s="1"/>
  <c r="U1748" i="1"/>
  <c r="U607" i="30" s="1"/>
  <c r="T1748" i="1"/>
  <c r="T607" i="30" s="1"/>
  <c r="B1748" i="1"/>
  <c r="B607" i="30" s="1"/>
  <c r="A1748" i="1"/>
  <c r="A607" i="30" s="1"/>
  <c r="B1747" i="1"/>
  <c r="BC1747" i="1" s="1"/>
  <c r="BC606" i="30" s="1"/>
  <c r="A1747" i="1"/>
  <c r="A606" i="30" s="1"/>
  <c r="AF1743" i="1"/>
  <c r="AF605" i="30" s="1"/>
  <c r="B1743" i="1"/>
  <c r="A1743" i="1"/>
  <c r="A605" i="30" s="1"/>
  <c r="AF1744" i="1"/>
  <c r="AF604" i="30" s="1"/>
  <c r="B1744" i="1"/>
  <c r="BD1744" i="1" s="1"/>
  <c r="BD604" i="30" s="1"/>
  <c r="A1744" i="1"/>
  <c r="A604" i="30" s="1"/>
  <c r="B1742" i="1"/>
  <c r="BB1742" i="1" s="1"/>
  <c r="BB603" i="30" s="1"/>
  <c r="A1742" i="1"/>
  <c r="A603" i="30" s="1"/>
  <c r="AH1741" i="1"/>
  <c r="AH601" i="30" s="1"/>
  <c r="AG1741" i="1"/>
  <c r="AG601" i="30" s="1"/>
  <c r="AF1741" i="1"/>
  <c r="AF601" i="30" s="1"/>
  <c r="AE1741" i="1"/>
  <c r="AE601" i="30" s="1"/>
  <c r="AD1741" i="1"/>
  <c r="AD601" i="30" s="1"/>
  <c r="AC1741" i="1"/>
  <c r="AC601" i="30" s="1"/>
  <c r="AB1741" i="1"/>
  <c r="AB601" i="30" s="1"/>
  <c r="B1741" i="1"/>
  <c r="B601" i="30" s="1"/>
  <c r="A1741" i="1"/>
  <c r="A601" i="30" s="1"/>
  <c r="B1740" i="1"/>
  <c r="BD1740" i="1" s="1"/>
  <c r="BD600" i="30" s="1"/>
  <c r="A1740" i="1"/>
  <c r="A600" i="30" s="1"/>
  <c r="AF1739" i="1"/>
  <c r="AF599" i="30" s="1"/>
  <c r="B1739" i="1"/>
  <c r="BD1739" i="1" s="1"/>
  <c r="BD599" i="30" s="1"/>
  <c r="A1739" i="1"/>
  <c r="A599" i="30" s="1"/>
  <c r="B1738" i="1"/>
  <c r="A1738" i="1"/>
  <c r="A598" i="30" s="1"/>
  <c r="BD1737" i="1"/>
  <c r="BC1737" i="1"/>
  <c r="BB1737" i="1"/>
  <c r="BD1736" i="1"/>
  <c r="BC1736" i="1"/>
  <c r="BB1736" i="1"/>
  <c r="B1727" i="1"/>
  <c r="BD1727" i="1" s="1"/>
  <c r="BD597" i="30" s="1"/>
  <c r="A1727" i="1"/>
  <c r="A597" i="30" s="1"/>
  <c r="B1726" i="1"/>
  <c r="BC1726" i="1" s="1"/>
  <c r="BC596" i="30" s="1"/>
  <c r="A1726" i="1"/>
  <c r="A596" i="30" s="1"/>
  <c r="AH1725" i="1"/>
  <c r="AH595" i="30" s="1"/>
  <c r="AG1725" i="1"/>
  <c r="AG595" i="30" s="1"/>
  <c r="AF1725" i="1"/>
  <c r="AF595" i="30" s="1"/>
  <c r="AE1725" i="1"/>
  <c r="AE1727" i="1" s="1"/>
  <c r="AE597" i="30" s="1"/>
  <c r="AD1725" i="1"/>
  <c r="AC1725" i="1"/>
  <c r="AB1725" i="1"/>
  <c r="AA1725" i="1"/>
  <c r="Z1725" i="1"/>
  <c r="Y1725" i="1"/>
  <c r="X1725" i="1"/>
  <c r="W1725" i="1"/>
  <c r="W1727" i="1" s="1"/>
  <c r="W597" i="30" s="1"/>
  <c r="U1725" i="1"/>
  <c r="T1725" i="1"/>
  <c r="T595" i="30" s="1"/>
  <c r="R1725" i="1"/>
  <c r="Q1725" i="1"/>
  <c r="P1725" i="1"/>
  <c r="B1725" i="1"/>
  <c r="B595" i="30" s="1"/>
  <c r="A1725" i="1"/>
  <c r="A595" i="30" s="1"/>
  <c r="B1724" i="1"/>
  <c r="A1724" i="1"/>
  <c r="A594" i="30" s="1"/>
  <c r="BD1723" i="1"/>
  <c r="BC1723" i="1"/>
  <c r="BB1723" i="1"/>
  <c r="B1722" i="1"/>
  <c r="A1722" i="1"/>
  <c r="A593" i="30" s="1"/>
  <c r="B1721" i="1"/>
  <c r="A1721" i="1"/>
  <c r="A592" i="30" s="1"/>
  <c r="B1734" i="1"/>
  <c r="BC1734" i="1" s="1"/>
  <c r="BC591" i="30" s="1"/>
  <c r="A1734" i="1"/>
  <c r="A591" i="30" s="1"/>
  <c r="B1733" i="1"/>
  <c r="BC1733" i="1" s="1"/>
  <c r="BC589" i="30" s="1"/>
  <c r="A1733" i="1"/>
  <c r="A589" i="30" s="1"/>
  <c r="AH1730" i="1"/>
  <c r="AH588" i="30" s="1"/>
  <c r="AF1730" i="1"/>
  <c r="AF588" i="30" s="1"/>
  <c r="AE1730" i="1"/>
  <c r="AE588" i="30" s="1"/>
  <c r="AD1730" i="1"/>
  <c r="AD588" i="30" s="1"/>
  <c r="B1730" i="1"/>
  <c r="BB1730" i="1" s="1"/>
  <c r="BB588" i="30" s="1"/>
  <c r="A1730" i="1"/>
  <c r="A588" i="30" s="1"/>
  <c r="B1729" i="1"/>
  <c r="A1729" i="1"/>
  <c r="A587" i="30" s="1"/>
  <c r="BD1711" i="1"/>
  <c r="BC1711" i="1"/>
  <c r="BB1711" i="1"/>
  <c r="BD1710" i="1"/>
  <c r="BC1710" i="1"/>
  <c r="BB1710" i="1"/>
  <c r="BD1709" i="1"/>
  <c r="BC1709" i="1"/>
  <c r="BB1709" i="1"/>
  <c r="BD1708" i="1"/>
  <c r="BC1708" i="1"/>
  <c r="BB1708" i="1"/>
  <c r="AL586" i="30"/>
  <c r="B1706" i="1"/>
  <c r="BB1706" i="1" s="1"/>
  <c r="BB586" i="30" s="1"/>
  <c r="A1706" i="1"/>
  <c r="A586" i="30" s="1"/>
  <c r="B1705" i="1"/>
  <c r="BB1705" i="1" s="1"/>
  <c r="BB585" i="30" s="1"/>
  <c r="A1705" i="1"/>
  <c r="A585" i="30" s="1"/>
  <c r="AI1701" i="1"/>
  <c r="AI584" i="30" s="1"/>
  <c r="AH1701" i="1"/>
  <c r="AH584" i="30" s="1"/>
  <c r="AG1701" i="1"/>
  <c r="AG584" i="30" s="1"/>
  <c r="AF1701" i="1"/>
  <c r="AF584" i="30" s="1"/>
  <c r="AE1701" i="1"/>
  <c r="AE584" i="30" s="1"/>
  <c r="AD1701" i="1"/>
  <c r="AD584" i="30" s="1"/>
  <c r="AC1701" i="1"/>
  <c r="AC584" i="30" s="1"/>
  <c r="AB1701" i="1"/>
  <c r="AB584" i="30" s="1"/>
  <c r="AA1701" i="1"/>
  <c r="AA584" i="30" s="1"/>
  <c r="Z1701" i="1"/>
  <c r="Z584" i="30" s="1"/>
  <c r="B1701" i="1"/>
  <c r="BB1701" i="1" s="1"/>
  <c r="BB584" i="30" s="1"/>
  <c r="A1701" i="1"/>
  <c r="A584" i="30" s="1"/>
  <c r="AJ1700" i="1"/>
  <c r="AJ583" i="30" s="1"/>
  <c r="AI1700" i="1"/>
  <c r="AI583" i="30" s="1"/>
  <c r="AH1700" i="1"/>
  <c r="AH583" i="30" s="1"/>
  <c r="AG1700" i="1"/>
  <c r="AG583" i="30" s="1"/>
  <c r="AF1700" i="1"/>
  <c r="AF583" i="30" s="1"/>
  <c r="AE1700" i="1"/>
  <c r="AE583" i="30" s="1"/>
  <c r="AD1700" i="1"/>
  <c r="AD583" i="30" s="1"/>
  <c r="AC1700" i="1"/>
  <c r="AC583" i="30" s="1"/>
  <c r="AB1700" i="1"/>
  <c r="AB583" i="30" s="1"/>
  <c r="AA1700" i="1"/>
  <c r="AA583" i="30" s="1"/>
  <c r="Z1700" i="1"/>
  <c r="Z583" i="30" s="1"/>
  <c r="Y1700" i="1"/>
  <c r="Y583" i="30" s="1"/>
  <c r="X1700" i="1"/>
  <c r="X583" i="30" s="1"/>
  <c r="W1700" i="1"/>
  <c r="W583" i="30" s="1"/>
  <c r="U1700" i="1"/>
  <c r="U583" i="30" s="1"/>
  <c r="T1700" i="1"/>
  <c r="T583" i="30" s="1"/>
  <c r="R1700" i="1"/>
  <c r="R583" i="30" s="1"/>
  <c r="Q1700" i="1"/>
  <c r="Q583" i="30" s="1"/>
  <c r="P1700" i="1"/>
  <c r="P583" i="30" s="1"/>
  <c r="O1700" i="1"/>
  <c r="O583" i="30" s="1"/>
  <c r="N1700" i="1"/>
  <c r="N583" i="30" s="1"/>
  <c r="M1700" i="1"/>
  <c r="M583" i="30" s="1"/>
  <c r="L1700" i="1"/>
  <c r="L583" i="30" s="1"/>
  <c r="K1700" i="1"/>
  <c r="K583" i="30" s="1"/>
  <c r="B1700" i="1"/>
  <c r="A1700" i="1"/>
  <c r="A583" i="30" s="1"/>
  <c r="AI1699" i="1"/>
  <c r="AI582" i="30" s="1"/>
  <c r="AH1699" i="1"/>
  <c r="AH582" i="30" s="1"/>
  <c r="AG1699" i="1"/>
  <c r="AG582" i="30" s="1"/>
  <c r="AF1699" i="1"/>
  <c r="AF582" i="30" s="1"/>
  <c r="AE1699" i="1"/>
  <c r="AE582" i="30" s="1"/>
  <c r="AD1699" i="1"/>
  <c r="AD582" i="30" s="1"/>
  <c r="AC1699" i="1"/>
  <c r="AC582" i="30" s="1"/>
  <c r="AB1699" i="1"/>
  <c r="AB582" i="30" s="1"/>
  <c r="AA1699" i="1"/>
  <c r="AA582" i="30" s="1"/>
  <c r="Z1699" i="1"/>
  <c r="Z582" i="30" s="1"/>
  <c r="B1699" i="1"/>
  <c r="BB1699" i="1" s="1"/>
  <c r="BB582" i="30" s="1"/>
  <c r="A1699" i="1"/>
  <c r="A582" i="30" s="1"/>
  <c r="AJ1698" i="1"/>
  <c r="AJ581" i="30" s="1"/>
  <c r="AI1698" i="1"/>
  <c r="AH1698" i="1"/>
  <c r="AH581" i="30" s="1"/>
  <c r="AG1698" i="1"/>
  <c r="AG581" i="30" s="1"/>
  <c r="AF1698" i="1"/>
  <c r="AF581" i="30" s="1"/>
  <c r="AE1698" i="1"/>
  <c r="AE581" i="30" s="1"/>
  <c r="AD1698" i="1"/>
  <c r="AD581" i="30" s="1"/>
  <c r="AC1698" i="1"/>
  <c r="AC581" i="30" s="1"/>
  <c r="AB1698" i="1"/>
  <c r="AB581" i="30" s="1"/>
  <c r="AA1698" i="1"/>
  <c r="AA581" i="30" s="1"/>
  <c r="Z1698" i="1"/>
  <c r="Z581" i="30" s="1"/>
  <c r="B1698" i="1"/>
  <c r="BD1698" i="1" s="1"/>
  <c r="BD581" i="30" s="1"/>
  <c r="A1698" i="1"/>
  <c r="A581" i="30" s="1"/>
  <c r="B1697" i="1"/>
  <c r="BB1697" i="1" s="1"/>
  <c r="BB580" i="30" s="1"/>
  <c r="A1697" i="1"/>
  <c r="A580" i="30" s="1"/>
  <c r="AL579" i="30"/>
  <c r="B1696" i="1"/>
  <c r="B579" i="30" s="1"/>
  <c r="A1696" i="1"/>
  <c r="A579" i="30" s="1"/>
  <c r="AJ1695" i="1"/>
  <c r="AJ578" i="30" s="1"/>
  <c r="AI1695" i="1"/>
  <c r="AI578" i="30" s="1"/>
  <c r="AH1695" i="1"/>
  <c r="AH578" i="30" s="1"/>
  <c r="AG1695" i="1"/>
  <c r="AG578" i="30" s="1"/>
  <c r="AF1695" i="1"/>
  <c r="AF578" i="30" s="1"/>
  <c r="AE1695" i="1"/>
  <c r="AE578" i="30" s="1"/>
  <c r="AD1695" i="1"/>
  <c r="AD578" i="30" s="1"/>
  <c r="AC1695" i="1"/>
  <c r="AC578" i="30" s="1"/>
  <c r="AB1695" i="1"/>
  <c r="AB578" i="30" s="1"/>
  <c r="AA1695" i="1"/>
  <c r="AA578" i="30" s="1"/>
  <c r="Z1695" i="1"/>
  <c r="Z578" i="30" s="1"/>
  <c r="Y1695" i="1"/>
  <c r="Y578" i="30" s="1"/>
  <c r="X1695" i="1"/>
  <c r="X578" i="30" s="1"/>
  <c r="W1695" i="1"/>
  <c r="W578" i="30" s="1"/>
  <c r="U1695" i="1"/>
  <c r="U578" i="30" s="1"/>
  <c r="T1695" i="1"/>
  <c r="T578" i="30" s="1"/>
  <c r="R1695" i="1"/>
  <c r="R578" i="30" s="1"/>
  <c r="Q1695" i="1"/>
  <c r="Q578" i="30" s="1"/>
  <c r="P1695" i="1"/>
  <c r="P578" i="30" s="1"/>
  <c r="O1695" i="1"/>
  <c r="O578" i="30" s="1"/>
  <c r="N1695" i="1"/>
  <c r="N578" i="30" s="1"/>
  <c r="M1695" i="1"/>
  <c r="M578" i="30" s="1"/>
  <c r="L1695" i="1"/>
  <c r="L578" i="30" s="1"/>
  <c r="K1695" i="1"/>
  <c r="K578" i="30" s="1"/>
  <c r="B1695" i="1"/>
  <c r="BD1695" i="1" s="1"/>
  <c r="BD578" i="30" s="1"/>
  <c r="A1695" i="1"/>
  <c r="A578" i="30" s="1"/>
  <c r="AJ1694" i="1"/>
  <c r="AJ577" i="30" s="1"/>
  <c r="AI1694" i="1"/>
  <c r="AI577" i="30" s="1"/>
  <c r="AH1694" i="1"/>
  <c r="AH577" i="30" s="1"/>
  <c r="AG1694" i="1"/>
  <c r="AG577" i="30" s="1"/>
  <c r="AF1694" i="1"/>
  <c r="AF577" i="30" s="1"/>
  <c r="AE1694" i="1"/>
  <c r="AE577" i="30" s="1"/>
  <c r="AD1694" i="1"/>
  <c r="AD577" i="30" s="1"/>
  <c r="AC1694" i="1"/>
  <c r="AC577" i="30" s="1"/>
  <c r="AB1694" i="1"/>
  <c r="AB577" i="30" s="1"/>
  <c r="AA1694" i="1"/>
  <c r="AA577" i="30" s="1"/>
  <c r="Z1694" i="1"/>
  <c r="Z577" i="30" s="1"/>
  <c r="Y1694" i="1"/>
  <c r="Y577" i="30" s="1"/>
  <c r="X1694" i="1"/>
  <c r="X577" i="30" s="1"/>
  <c r="W1694" i="1"/>
  <c r="W577" i="30" s="1"/>
  <c r="U1694" i="1"/>
  <c r="U577" i="30" s="1"/>
  <c r="T1694" i="1"/>
  <c r="T577" i="30" s="1"/>
  <c r="R1694" i="1"/>
  <c r="R577" i="30" s="1"/>
  <c r="Q1694" i="1"/>
  <c r="Q577" i="30" s="1"/>
  <c r="P1694" i="1"/>
  <c r="P577" i="30" s="1"/>
  <c r="O1694" i="1"/>
  <c r="O577" i="30" s="1"/>
  <c r="N1694" i="1"/>
  <c r="N577" i="30" s="1"/>
  <c r="M1694" i="1"/>
  <c r="M577" i="30" s="1"/>
  <c r="L1694" i="1"/>
  <c r="L577" i="30" s="1"/>
  <c r="K1694" i="1"/>
  <c r="K577" i="30" s="1"/>
  <c r="B1694" i="1"/>
  <c r="BD1694" i="1" s="1"/>
  <c r="BD577" i="30" s="1"/>
  <c r="A1694" i="1"/>
  <c r="A577" i="30" s="1"/>
  <c r="R1693" i="1"/>
  <c r="R576" i="30" s="1"/>
  <c r="Q1693" i="1"/>
  <c r="Q576" i="30" s="1"/>
  <c r="P1693" i="1"/>
  <c r="P576" i="30" s="1"/>
  <c r="O1693" i="1"/>
  <c r="O576" i="30" s="1"/>
  <c r="N1693" i="1"/>
  <c r="N576" i="30" s="1"/>
  <c r="M1693" i="1"/>
  <c r="M576" i="30" s="1"/>
  <c r="L1693" i="1"/>
  <c r="L576" i="30" s="1"/>
  <c r="K1693" i="1"/>
  <c r="K576" i="30" s="1"/>
  <c r="B1693" i="1"/>
  <c r="BC1693" i="1" s="1"/>
  <c r="BC576" i="30" s="1"/>
  <c r="A1693" i="1"/>
  <c r="A576" i="30" s="1"/>
  <c r="AL575" i="30"/>
  <c r="B1692" i="1"/>
  <c r="B575" i="30" s="1"/>
  <c r="A1692" i="1"/>
  <c r="A575" i="30" s="1"/>
  <c r="BD1683" i="1"/>
  <c r="BC1683" i="1"/>
  <c r="BB1683" i="1"/>
  <c r="B1677" i="1"/>
  <c r="BD1677" i="1" s="1"/>
  <c r="BD574" i="30" s="1"/>
  <c r="A1677" i="1"/>
  <c r="A574" i="30" s="1"/>
  <c r="B1676" i="1"/>
  <c r="BD1676" i="1" s="1"/>
  <c r="BD573" i="30" s="1"/>
  <c r="A1676" i="1"/>
  <c r="A573" i="30" s="1"/>
  <c r="B1675" i="1"/>
  <c r="BC1675" i="1" s="1"/>
  <c r="BC572" i="30" s="1"/>
  <c r="A1675" i="1"/>
  <c r="A572" i="30" s="1"/>
  <c r="B1674" i="1"/>
  <c r="BC1674" i="1" s="1"/>
  <c r="BC571" i="30" s="1"/>
  <c r="A1674" i="1"/>
  <c r="A571" i="30" s="1"/>
  <c r="B1673" i="1"/>
  <c r="BD1673" i="1" s="1"/>
  <c r="BD570" i="30" s="1"/>
  <c r="A1673" i="1"/>
  <c r="A570" i="30" s="1"/>
  <c r="B1672" i="1"/>
  <c r="A1672" i="1"/>
  <c r="A569" i="30" s="1"/>
  <c r="B1658" i="1"/>
  <c r="A1658" i="1"/>
  <c r="A555" i="30" s="1"/>
  <c r="BD1656" i="1"/>
  <c r="BC1656" i="1"/>
  <c r="BB1656" i="1"/>
  <c r="BD1642" i="1"/>
  <c r="BC1642" i="1"/>
  <c r="BB1642" i="1"/>
  <c r="BD1641" i="1"/>
  <c r="BC1641" i="1"/>
  <c r="BB1641" i="1"/>
  <c r="B1634" i="1"/>
  <c r="BD1634" i="1" s="1"/>
  <c r="BD554" i="30" s="1"/>
  <c r="A1634" i="1"/>
  <c r="A554" i="30" s="1"/>
  <c r="B1633" i="1"/>
  <c r="BC1633" i="1" s="1"/>
  <c r="BC553" i="30" s="1"/>
  <c r="A1633" i="1"/>
  <c r="A553" i="30" s="1"/>
  <c r="BD1647" i="1"/>
  <c r="BC1647" i="1"/>
  <c r="BB1647" i="1"/>
  <c r="B1639" i="1"/>
  <c r="BB1639" i="1" s="1"/>
  <c r="A1639" i="1"/>
  <c r="BD1632" i="1"/>
  <c r="BC1632" i="1"/>
  <c r="BB1632" i="1"/>
  <c r="BD1619" i="1"/>
  <c r="BC1619" i="1"/>
  <c r="BB1619" i="1"/>
  <c r="BD1618" i="1"/>
  <c r="BC1618" i="1"/>
  <c r="BB1618" i="1"/>
  <c r="BD1617" i="1"/>
  <c r="BC1617" i="1"/>
  <c r="BB1617" i="1"/>
  <c r="BD1608" i="1"/>
  <c r="BC1608" i="1"/>
  <c r="BB1608" i="1"/>
  <c r="AI1588" i="1"/>
  <c r="AI552" i="30" s="1"/>
  <c r="AH1588" i="1"/>
  <c r="AH552" i="30" s="1"/>
  <c r="AG1588" i="1"/>
  <c r="AG552" i="30" s="1"/>
  <c r="AF1588" i="1"/>
  <c r="AF552" i="30" s="1"/>
  <c r="AE1588" i="1"/>
  <c r="AE552" i="30" s="1"/>
  <c r="AD1588" i="1"/>
  <c r="AD552" i="30" s="1"/>
  <c r="AC1588" i="1"/>
  <c r="AC552" i="30" s="1"/>
  <c r="AB1588" i="1"/>
  <c r="AB552" i="30" s="1"/>
  <c r="AA1588" i="1"/>
  <c r="AA552" i="30" s="1"/>
  <c r="Z1588" i="1"/>
  <c r="Z552" i="30" s="1"/>
  <c r="B1588" i="1"/>
  <c r="BD1588" i="1" s="1"/>
  <c r="BD552" i="30" s="1"/>
  <c r="A1588" i="1"/>
  <c r="A552" i="30" s="1"/>
  <c r="AJ1587" i="1"/>
  <c r="AJ551" i="30" s="1"/>
  <c r="AI1587" i="1"/>
  <c r="AI551" i="30" s="1"/>
  <c r="AH1587" i="1"/>
  <c r="AH551" i="30" s="1"/>
  <c r="AG1587" i="1"/>
  <c r="AG551" i="30" s="1"/>
  <c r="AF1587" i="1"/>
  <c r="AF551" i="30" s="1"/>
  <c r="AE1587" i="1"/>
  <c r="AE551" i="30" s="1"/>
  <c r="AD1587" i="1"/>
  <c r="AD551" i="30" s="1"/>
  <c r="AC1587" i="1"/>
  <c r="AC551" i="30" s="1"/>
  <c r="AB1587" i="1"/>
  <c r="AB551" i="30" s="1"/>
  <c r="AA1587" i="1"/>
  <c r="AA551" i="30" s="1"/>
  <c r="Z1587" i="1"/>
  <c r="Z551" i="30" s="1"/>
  <c r="B1587" i="1"/>
  <c r="BC1587" i="1" s="1"/>
  <c r="BC551" i="30" s="1"/>
  <c r="A1587" i="1"/>
  <c r="A551" i="30" s="1"/>
  <c r="B1586" i="1"/>
  <c r="BB1586" i="1" s="1"/>
  <c r="BB550" i="30" s="1"/>
  <c r="A1586" i="1"/>
  <c r="A550" i="30" s="1"/>
  <c r="AL549" i="30"/>
  <c r="B1585" i="1"/>
  <c r="A1585" i="1"/>
  <c r="A549" i="30" s="1"/>
  <c r="B1592" i="1"/>
  <c r="A1592" i="1"/>
  <c r="A548" i="30" s="1"/>
  <c r="AJ1582" i="1"/>
  <c r="AJ547" i="30" s="1"/>
  <c r="AI1582" i="1"/>
  <c r="AI547" i="30" s="1"/>
  <c r="AH1582" i="1"/>
  <c r="AH547" i="30" s="1"/>
  <c r="AG1582" i="1"/>
  <c r="AG547" i="30" s="1"/>
  <c r="AF1582" i="1"/>
  <c r="AF547" i="30" s="1"/>
  <c r="AE1582" i="1"/>
  <c r="AE547" i="30" s="1"/>
  <c r="B1582" i="1"/>
  <c r="BB1582" i="1" s="1"/>
  <c r="BB547" i="30" s="1"/>
  <c r="A1582" i="1"/>
  <c r="A547" i="30" s="1"/>
  <c r="AJ1581" i="1"/>
  <c r="AJ546" i="30" s="1"/>
  <c r="AI1581" i="1"/>
  <c r="AI546" i="30" s="1"/>
  <c r="AH1581" i="1"/>
  <c r="AH546" i="30" s="1"/>
  <c r="AG1581" i="1"/>
  <c r="AG546" i="30" s="1"/>
  <c r="AF1581" i="1"/>
  <c r="AF546" i="30" s="1"/>
  <c r="AE1581" i="1"/>
  <c r="AE546" i="30" s="1"/>
  <c r="B1581" i="1"/>
  <c r="B546" i="30" s="1"/>
  <c r="A1581" i="1"/>
  <c r="A546" i="30" s="1"/>
  <c r="AL545" i="30"/>
  <c r="B1580" i="1"/>
  <c r="BD1580" i="1" s="1"/>
  <c r="BD545" i="30" s="1"/>
  <c r="A1580" i="1"/>
  <c r="A545" i="30" s="1"/>
  <c r="BD1599" i="1"/>
  <c r="BD544" i="30" s="1"/>
  <c r="BC1599" i="1"/>
  <c r="BC544" i="30" s="1"/>
  <c r="BB1599" i="1"/>
  <c r="BB544" i="30" s="1"/>
  <c r="A1599" i="1"/>
  <c r="A544" i="30" s="1"/>
  <c r="AI1575" i="1"/>
  <c r="AI543" i="30" s="1"/>
  <c r="AH1575" i="1"/>
  <c r="AH543" i="30" s="1"/>
  <c r="AG1575" i="1"/>
  <c r="AG543" i="30" s="1"/>
  <c r="B1575" i="1"/>
  <c r="BC1575" i="1" s="1"/>
  <c r="BC543" i="30" s="1"/>
  <c r="A1575" i="1"/>
  <c r="A543" i="30" s="1"/>
  <c r="AI1574" i="1"/>
  <c r="AI542" i="30" s="1"/>
  <c r="AH1574" i="1"/>
  <c r="AH542" i="30" s="1"/>
  <c r="AG1574" i="1"/>
  <c r="AG542" i="30" s="1"/>
  <c r="B1574" i="1"/>
  <c r="BC1574" i="1" s="1"/>
  <c r="BC542" i="30" s="1"/>
  <c r="A1574" i="1"/>
  <c r="A542" i="30" s="1"/>
  <c r="B1573" i="1"/>
  <c r="BC1573" i="1" s="1"/>
  <c r="BC541" i="30" s="1"/>
  <c r="A1573" i="1"/>
  <c r="A541" i="30" s="1"/>
  <c r="AL540" i="30"/>
  <c r="B1572" i="1"/>
  <c r="B540" i="30" s="1"/>
  <c r="A1572" i="1"/>
  <c r="A540" i="30" s="1"/>
  <c r="AJ1558" i="1"/>
  <c r="AJ528" i="30" s="1"/>
  <c r="AI1558" i="1"/>
  <c r="AI528" i="30" s="1"/>
  <c r="AH1558" i="1"/>
  <c r="AH528" i="30" s="1"/>
  <c r="AG1558" i="1"/>
  <c r="AG528" i="30" s="1"/>
  <c r="AF1558" i="1"/>
  <c r="AF528" i="30" s="1"/>
  <c r="AE1558" i="1"/>
  <c r="AE528" i="30" s="1"/>
  <c r="AD1558" i="1"/>
  <c r="AD528" i="30" s="1"/>
  <c r="AC1558" i="1"/>
  <c r="AC528" i="30" s="1"/>
  <c r="AB1558" i="1"/>
  <c r="AB528" i="30" s="1"/>
  <c r="AA1558" i="1"/>
  <c r="AA528" i="30" s="1"/>
  <c r="Z1558" i="1"/>
  <c r="Z528" i="30" s="1"/>
  <c r="Y1558" i="1"/>
  <c r="Y528" i="30" s="1"/>
  <c r="X1558" i="1"/>
  <c r="X528" i="30" s="1"/>
  <c r="W1558" i="1"/>
  <c r="W528" i="30" s="1"/>
  <c r="U1558" i="1"/>
  <c r="U528" i="30" s="1"/>
  <c r="T1558" i="1"/>
  <c r="T528" i="30" s="1"/>
  <c r="R1558" i="1"/>
  <c r="R528" i="30" s="1"/>
  <c r="Q1558" i="1"/>
  <c r="Q528" i="30" s="1"/>
  <c r="P1558" i="1"/>
  <c r="P528" i="30" s="1"/>
  <c r="O1558" i="1"/>
  <c r="O528" i="30" s="1"/>
  <c r="N1558" i="1"/>
  <c r="N528" i="30" s="1"/>
  <c r="M1558" i="1"/>
  <c r="M528" i="30" s="1"/>
  <c r="L1558" i="1"/>
  <c r="L528" i="30" s="1"/>
  <c r="K1558" i="1"/>
  <c r="K528" i="30" s="1"/>
  <c r="B1558" i="1"/>
  <c r="BD1558" i="1" s="1"/>
  <c r="BD528" i="30" s="1"/>
  <c r="A1558" i="1"/>
  <c r="A528" i="30" s="1"/>
  <c r="B1557" i="1"/>
  <c r="BC1557" i="1" s="1"/>
  <c r="BC527" i="30" s="1"/>
  <c r="A1557" i="1"/>
  <c r="A527" i="30" s="1"/>
  <c r="AJ1556" i="1"/>
  <c r="AJ526" i="30" s="1"/>
  <c r="AI1556" i="1"/>
  <c r="AI526" i="30" s="1"/>
  <c r="AH1556" i="1"/>
  <c r="AH526" i="30" s="1"/>
  <c r="AG1556" i="1"/>
  <c r="AG526" i="30" s="1"/>
  <c r="AF1556" i="1"/>
  <c r="AF526" i="30" s="1"/>
  <c r="AE1556" i="1"/>
  <c r="AE526" i="30" s="1"/>
  <c r="AD1556" i="1"/>
  <c r="AD526" i="30" s="1"/>
  <c r="AC1556" i="1"/>
  <c r="AC526" i="30" s="1"/>
  <c r="AB1556" i="1"/>
  <c r="AB526" i="30" s="1"/>
  <c r="AA1556" i="1"/>
  <c r="AA526" i="30" s="1"/>
  <c r="Z1556" i="1"/>
  <c r="Z526" i="30" s="1"/>
  <c r="Y1556" i="1"/>
  <c r="Y526" i="30" s="1"/>
  <c r="X1556" i="1"/>
  <c r="X526" i="30" s="1"/>
  <c r="W1556" i="1"/>
  <c r="W526" i="30" s="1"/>
  <c r="U1556" i="1"/>
  <c r="U526" i="30" s="1"/>
  <c r="T1556" i="1"/>
  <c r="T526" i="30" s="1"/>
  <c r="R1556" i="1"/>
  <c r="R526" i="30" s="1"/>
  <c r="Q1556" i="1"/>
  <c r="Q526" i="30" s="1"/>
  <c r="P1556" i="1"/>
  <c r="P526" i="30" s="1"/>
  <c r="O1556" i="1"/>
  <c r="O526" i="30" s="1"/>
  <c r="N1556" i="1"/>
  <c r="N526" i="30" s="1"/>
  <c r="M1556" i="1"/>
  <c r="M526" i="30" s="1"/>
  <c r="L1556" i="1"/>
  <c r="L526" i="30" s="1"/>
  <c r="K1556" i="1"/>
  <c r="K526" i="30" s="1"/>
  <c r="B1556" i="1"/>
  <c r="BC1556" i="1" s="1"/>
  <c r="BC526" i="30" s="1"/>
  <c r="A1556" i="1"/>
  <c r="A526" i="30" s="1"/>
  <c r="R1555" i="1"/>
  <c r="R525" i="30" s="1"/>
  <c r="Q1555" i="1"/>
  <c r="Q525" i="30" s="1"/>
  <c r="P1555" i="1"/>
  <c r="P525" i="30" s="1"/>
  <c r="O1555" i="1"/>
  <c r="O525" i="30" s="1"/>
  <c r="N1555" i="1"/>
  <c r="N525" i="30" s="1"/>
  <c r="M1555" i="1"/>
  <c r="M525" i="30" s="1"/>
  <c r="L1555" i="1"/>
  <c r="L525" i="30" s="1"/>
  <c r="K1555" i="1"/>
  <c r="K525" i="30" s="1"/>
  <c r="B1555" i="1"/>
  <c r="BD1555" i="1" s="1"/>
  <c r="BD525" i="30" s="1"/>
  <c r="A1555" i="1"/>
  <c r="A525" i="30" s="1"/>
  <c r="AL523" i="30"/>
  <c r="B1553" i="1"/>
  <c r="BD1553" i="1" s="1"/>
  <c r="BD523" i="30" s="1"/>
  <c r="A1553" i="1"/>
  <c r="A523" i="30" s="1"/>
  <c r="BD1548" i="1"/>
  <c r="BC1548" i="1"/>
  <c r="BB1548" i="1"/>
  <c r="BD1546" i="1"/>
  <c r="BC1546" i="1"/>
  <c r="BB1546" i="1"/>
  <c r="B1544" i="1"/>
  <c r="BD1544" i="1" s="1"/>
  <c r="BD522" i="30" s="1"/>
  <c r="A1544" i="1"/>
  <c r="A522" i="30" s="1"/>
  <c r="B1543" i="1"/>
  <c r="BC1543" i="1" s="1"/>
  <c r="BC521" i="30" s="1"/>
  <c r="A1543" i="1"/>
  <c r="A521" i="30" s="1"/>
  <c r="B1542" i="1"/>
  <c r="BB1542" i="1" s="1"/>
  <c r="BB520" i="30" s="1"/>
  <c r="A1542" i="1"/>
  <c r="A520" i="30" s="1"/>
  <c r="B1541" i="1"/>
  <c r="BD1541" i="1" s="1"/>
  <c r="BD519" i="30" s="1"/>
  <c r="A1541" i="1"/>
  <c r="A519" i="30" s="1"/>
  <c r="B1540" i="1"/>
  <c r="A1540" i="1"/>
  <c r="A518" i="30" s="1"/>
  <c r="AL517" i="30"/>
  <c r="B1539" i="1"/>
  <c r="B517" i="30" s="1"/>
  <c r="A1539" i="1"/>
  <c r="A517" i="30" s="1"/>
  <c r="B1538" i="1"/>
  <c r="BD1538" i="1" s="1"/>
  <c r="BD516" i="30" s="1"/>
  <c r="A1538" i="1"/>
  <c r="A516" i="30" s="1"/>
  <c r="AL515" i="30"/>
  <c r="B1537" i="1"/>
  <c r="BD1537" i="1" s="1"/>
  <c r="BD515" i="30" s="1"/>
  <c r="A1537" i="1"/>
  <c r="A515" i="30" s="1"/>
  <c r="B1536" i="1"/>
  <c r="A1536" i="1"/>
  <c r="A514" i="30" s="1"/>
  <c r="B1535" i="1"/>
  <c r="BD1535" i="1" s="1"/>
  <c r="BD513" i="30" s="1"/>
  <c r="A1535" i="1"/>
  <c r="A513" i="30" s="1"/>
  <c r="B1534" i="1"/>
  <c r="BD1534" i="1" s="1"/>
  <c r="BD512" i="30" s="1"/>
  <c r="A1534" i="1"/>
  <c r="A512" i="30" s="1"/>
  <c r="AJ1533" i="1"/>
  <c r="AI1533" i="1"/>
  <c r="AI511" i="30" s="1"/>
  <c r="AH1533" i="1"/>
  <c r="AH511" i="30" s="1"/>
  <c r="AG1533" i="1"/>
  <c r="AG511" i="30" s="1"/>
  <c r="AF1533" i="1"/>
  <c r="AE1533" i="1"/>
  <c r="AE511" i="30" s="1"/>
  <c r="AD1533" i="1"/>
  <c r="AD511" i="30" s="1"/>
  <c r="AC1533" i="1"/>
  <c r="AC511" i="30" s="1"/>
  <c r="AB1533" i="1"/>
  <c r="AA1533" i="1"/>
  <c r="AA511" i="30" s="1"/>
  <c r="Z1533" i="1"/>
  <c r="Z511" i="30" s="1"/>
  <c r="B1533" i="1"/>
  <c r="A1533" i="1"/>
  <c r="A511" i="30" s="1"/>
  <c r="B1532" i="1"/>
  <c r="BB1532" i="1" s="1"/>
  <c r="BB510" i="30" s="1"/>
  <c r="A1532" i="1"/>
  <c r="A510" i="30" s="1"/>
  <c r="B1531" i="1"/>
  <c r="BC1531" i="1" s="1"/>
  <c r="BC509" i="30" s="1"/>
  <c r="A1531" i="1"/>
  <c r="A509" i="30" s="1"/>
  <c r="B1530" i="1"/>
  <c r="BD1530" i="1" s="1"/>
  <c r="BD508" i="30" s="1"/>
  <c r="A1530" i="1"/>
  <c r="A508" i="30" s="1"/>
  <c r="B1529" i="1"/>
  <c r="BD1529" i="1" s="1"/>
  <c r="BD507" i="30" s="1"/>
  <c r="A1529" i="1"/>
  <c r="A507" i="30" s="1"/>
  <c r="B1528" i="1"/>
  <c r="BC1528" i="1" s="1"/>
  <c r="BC506" i="30" s="1"/>
  <c r="A1528" i="1"/>
  <c r="A506" i="30" s="1"/>
  <c r="B1527" i="1"/>
  <c r="A1527" i="1"/>
  <c r="A505" i="30" s="1"/>
  <c r="B1526" i="1"/>
  <c r="BC1526" i="1" s="1"/>
  <c r="BC504" i="30" s="1"/>
  <c r="A1526" i="1"/>
  <c r="A504" i="30" s="1"/>
  <c r="B1525" i="1"/>
  <c r="BD1525" i="1" s="1"/>
  <c r="BD503" i="30" s="1"/>
  <c r="A1525" i="1"/>
  <c r="A503" i="30" s="1"/>
  <c r="B1524" i="1"/>
  <c r="BB1524" i="1" s="1"/>
  <c r="BB502" i="30" s="1"/>
  <c r="A1524" i="1"/>
  <c r="A502" i="30" s="1"/>
  <c r="B1523" i="1"/>
  <c r="B501" i="30" s="1"/>
  <c r="A1523" i="1"/>
  <c r="A501" i="30" s="1"/>
  <c r="B1522" i="1"/>
  <c r="BD1522" i="1" s="1"/>
  <c r="BD500" i="30" s="1"/>
  <c r="A1522" i="1"/>
  <c r="A500" i="30" s="1"/>
  <c r="BD1518" i="1"/>
  <c r="BC1518" i="1"/>
  <c r="BB1518" i="1"/>
  <c r="BD1515" i="1"/>
  <c r="BC1515" i="1"/>
  <c r="BB1515" i="1"/>
  <c r="B1509" i="1"/>
  <c r="B499" i="30" s="1"/>
  <c r="A1509" i="1"/>
  <c r="A499" i="30" s="1"/>
  <c r="B1508" i="1"/>
  <c r="BD1508" i="1" s="1"/>
  <c r="BD498" i="30" s="1"/>
  <c r="A1508" i="1"/>
  <c r="A498" i="30" s="1"/>
  <c r="AL497" i="30"/>
  <c r="B1507" i="1"/>
  <c r="BB1507" i="1" s="1"/>
  <c r="BB497" i="30" s="1"/>
  <c r="A1507" i="1"/>
  <c r="A497" i="30" s="1"/>
  <c r="B1506" i="1"/>
  <c r="B496" i="30" s="1"/>
  <c r="A1506" i="1"/>
  <c r="A496" i="30" s="1"/>
  <c r="B1505" i="1"/>
  <c r="BD1505" i="1" s="1"/>
  <c r="BD495" i="30" s="1"/>
  <c r="A1505" i="1"/>
  <c r="A495" i="30" s="1"/>
  <c r="B1503" i="1"/>
  <c r="A1503" i="1"/>
  <c r="A494" i="30" s="1"/>
  <c r="B1500" i="1"/>
  <c r="BC1500" i="1" s="1"/>
  <c r="BC493" i="30" s="1"/>
  <c r="A1500" i="1"/>
  <c r="A493" i="30" s="1"/>
  <c r="BD1498" i="1"/>
  <c r="BC1498" i="1"/>
  <c r="BB1498" i="1"/>
  <c r="BD1491" i="1"/>
  <c r="BC1491" i="1"/>
  <c r="BB1491" i="1"/>
  <c r="B1488" i="1"/>
  <c r="BD1488" i="1" s="1"/>
  <c r="BD492" i="30" s="1"/>
  <c r="A1488" i="1"/>
  <c r="A492" i="30" s="1"/>
  <c r="B1487" i="1"/>
  <c r="BC1487" i="1" s="1"/>
  <c r="BC491" i="30" s="1"/>
  <c r="A1487" i="1"/>
  <c r="A491" i="30" s="1"/>
  <c r="B1486" i="1"/>
  <c r="A1486" i="1"/>
  <c r="A490" i="30" s="1"/>
  <c r="B1485" i="1"/>
  <c r="BD1485" i="1" s="1"/>
  <c r="BD489" i="30" s="1"/>
  <c r="A1485" i="1"/>
  <c r="A489" i="30" s="1"/>
  <c r="B1484" i="1"/>
  <c r="BD1484" i="1" s="1"/>
  <c r="BD488" i="30" s="1"/>
  <c r="A1484" i="1"/>
  <c r="A488" i="30" s="1"/>
  <c r="B1483" i="1"/>
  <c r="BC1483" i="1" s="1"/>
  <c r="BC487" i="30" s="1"/>
  <c r="A1483" i="1"/>
  <c r="A487" i="30" s="1"/>
  <c r="AL486" i="30"/>
  <c r="B1482" i="1"/>
  <c r="B486" i="30" s="1"/>
  <c r="A1482" i="1"/>
  <c r="A486" i="30" s="1"/>
  <c r="B1480" i="1"/>
  <c r="BD1480" i="1" s="1"/>
  <c r="BD485" i="30" s="1"/>
  <c r="A1480" i="1"/>
  <c r="A485" i="30" s="1"/>
  <c r="AL484" i="30"/>
  <c r="B1479" i="1"/>
  <c r="B484" i="30" s="1"/>
  <c r="A1479" i="1"/>
  <c r="A484" i="30" s="1"/>
  <c r="B1478" i="1"/>
  <c r="BD1478" i="1" s="1"/>
  <c r="BD483" i="30" s="1"/>
  <c r="A1478" i="1"/>
  <c r="A483" i="30" s="1"/>
  <c r="AL482" i="30"/>
  <c r="B1477" i="1"/>
  <c r="A1477" i="1"/>
  <c r="A482" i="30" s="1"/>
  <c r="B1475" i="1"/>
  <c r="B481" i="30" s="1"/>
  <c r="A1475" i="1"/>
  <c r="A481" i="30" s="1"/>
  <c r="B1474" i="1"/>
  <c r="BD1474" i="1" s="1"/>
  <c r="BD480" i="30" s="1"/>
  <c r="A1474" i="1"/>
  <c r="A480" i="30" s="1"/>
  <c r="AL479" i="30"/>
  <c r="B1473" i="1"/>
  <c r="BD1473" i="1" s="1"/>
  <c r="BD479" i="30" s="1"/>
  <c r="A1473" i="1"/>
  <c r="A479" i="30" s="1"/>
  <c r="B1472" i="1"/>
  <c r="B478" i="30" s="1"/>
  <c r="A1472" i="1"/>
  <c r="A478" i="30" s="1"/>
  <c r="B1471" i="1"/>
  <c r="BD1471" i="1" s="1"/>
  <c r="BD477" i="30" s="1"/>
  <c r="A1471" i="1"/>
  <c r="A477" i="30" s="1"/>
  <c r="B1470" i="1"/>
  <c r="BD1470" i="1" s="1"/>
  <c r="BD476" i="30" s="1"/>
  <c r="A1470" i="1"/>
  <c r="A476" i="30" s="1"/>
  <c r="B1469" i="1"/>
  <c r="BC1469" i="1" s="1"/>
  <c r="BC475" i="30" s="1"/>
  <c r="A1469" i="1"/>
  <c r="A475" i="30" s="1"/>
  <c r="B1468" i="1"/>
  <c r="B474" i="30" s="1"/>
  <c r="A1468" i="1"/>
  <c r="A474" i="30" s="1"/>
  <c r="B1464" i="1"/>
  <c r="BC1464" i="1" s="1"/>
  <c r="BC473" i="30" s="1"/>
  <c r="A1464" i="1"/>
  <c r="A473" i="30" s="1"/>
  <c r="B1467" i="1"/>
  <c r="BB1467" i="1" s="1"/>
  <c r="BB472" i="30" s="1"/>
  <c r="A1467" i="1"/>
  <c r="A472" i="30" s="1"/>
  <c r="B1465" i="1"/>
  <c r="BB1465" i="1" s="1"/>
  <c r="BB471" i="30" s="1"/>
  <c r="A1465" i="1"/>
  <c r="A471" i="30" s="1"/>
  <c r="B1461" i="1"/>
  <c r="A1461" i="1"/>
  <c r="B1460" i="1"/>
  <c r="BD1460" i="1" s="1"/>
  <c r="BD470" i="30" s="1"/>
  <c r="A1460" i="1"/>
  <c r="A470" i="30" s="1"/>
  <c r="B1459" i="1"/>
  <c r="BD1459" i="1" s="1"/>
  <c r="BD469" i="30" s="1"/>
  <c r="A1459" i="1"/>
  <c r="A469" i="30" s="1"/>
  <c r="B1458" i="1"/>
  <c r="BC1458" i="1" s="1"/>
  <c r="BC468" i="30" s="1"/>
  <c r="A1458" i="1"/>
  <c r="A468" i="30" s="1"/>
  <c r="B1457" i="1"/>
  <c r="BC1457" i="1" s="1"/>
  <c r="BC467" i="30" s="1"/>
  <c r="A1457" i="1"/>
  <c r="A467" i="30" s="1"/>
  <c r="B1456" i="1"/>
  <c r="B466" i="30" s="1"/>
  <c r="A1456" i="1"/>
  <c r="A466" i="30" s="1"/>
  <c r="B1455" i="1"/>
  <c r="BC1455" i="1" s="1"/>
  <c r="BC465" i="30" s="1"/>
  <c r="A1455" i="1"/>
  <c r="A465" i="30" s="1"/>
  <c r="B1454" i="1"/>
  <c r="BD1454" i="1" s="1"/>
  <c r="BD464" i="30" s="1"/>
  <c r="A1454" i="1"/>
  <c r="A464" i="30" s="1"/>
  <c r="B1453" i="1"/>
  <c r="BC1453" i="1" s="1"/>
  <c r="BC463" i="30" s="1"/>
  <c r="A1453" i="1"/>
  <c r="A463" i="30" s="1"/>
  <c r="B1452" i="1"/>
  <c r="BD1452" i="1" s="1"/>
  <c r="BD462" i="30" s="1"/>
  <c r="A1452" i="1"/>
  <c r="A462" i="30" s="1"/>
  <c r="B1451" i="1"/>
  <c r="BD1451" i="1" s="1"/>
  <c r="BD461" i="30" s="1"/>
  <c r="A1451" i="1"/>
  <c r="A461" i="30" s="1"/>
  <c r="B1450" i="1"/>
  <c r="BD1450" i="1" s="1"/>
  <c r="BD460" i="30" s="1"/>
  <c r="A1450" i="1"/>
  <c r="A460" i="30" s="1"/>
  <c r="B1449" i="1"/>
  <c r="BC1449" i="1" s="1"/>
  <c r="BC459" i="30" s="1"/>
  <c r="A1449" i="1"/>
  <c r="A459" i="30" s="1"/>
  <c r="B1448" i="1"/>
  <c r="B458" i="30" s="1"/>
  <c r="A1448" i="1"/>
  <c r="A458" i="30" s="1"/>
  <c r="B1447" i="1"/>
  <c r="BD1447" i="1" s="1"/>
  <c r="BD457" i="30" s="1"/>
  <c r="A1447" i="1"/>
  <c r="A457" i="30" s="1"/>
  <c r="B1446" i="1"/>
  <c r="BD1446" i="1" s="1"/>
  <c r="BD456" i="30" s="1"/>
  <c r="A1446" i="1"/>
  <c r="A456" i="30" s="1"/>
  <c r="B1445" i="1"/>
  <c r="BC1445" i="1" s="1"/>
  <c r="BC455" i="30" s="1"/>
  <c r="A1445" i="1"/>
  <c r="A455" i="30" s="1"/>
  <c r="B1444" i="1"/>
  <c r="A1444" i="1"/>
  <c r="A454" i="30" s="1"/>
  <c r="B1443" i="1"/>
  <c r="BD1443" i="1" s="1"/>
  <c r="BD453" i="30" s="1"/>
  <c r="A1443" i="1"/>
  <c r="A453" i="30" s="1"/>
  <c r="B1442" i="1"/>
  <c r="BD1442" i="1" s="1"/>
  <c r="BD452" i="30" s="1"/>
  <c r="A1442" i="1"/>
  <c r="A452" i="30" s="1"/>
  <c r="B1441" i="1"/>
  <c r="BC1441" i="1" s="1"/>
  <c r="BC451" i="30" s="1"/>
  <c r="A1441" i="1"/>
  <c r="A451" i="30" s="1"/>
  <c r="B1440" i="1"/>
  <c r="B450" i="30" s="1"/>
  <c r="A1440" i="1"/>
  <c r="A450" i="30" s="1"/>
  <c r="B1439" i="1"/>
  <c r="BD1439" i="1" s="1"/>
  <c r="BD449" i="30" s="1"/>
  <c r="A1439" i="1"/>
  <c r="A449" i="30" s="1"/>
  <c r="B1438" i="1"/>
  <c r="BB1438" i="1" s="1"/>
  <c r="BB448" i="30" s="1"/>
  <c r="A1438" i="1"/>
  <c r="A448" i="30" s="1"/>
  <c r="B1437" i="1"/>
  <c r="BC1437" i="1" s="1"/>
  <c r="BC447" i="30" s="1"/>
  <c r="A1437" i="1"/>
  <c r="A447" i="30" s="1"/>
  <c r="B1436" i="1"/>
  <c r="A1436" i="1"/>
  <c r="A446" i="30" s="1"/>
  <c r="B1435" i="1"/>
  <c r="BD1435" i="1" s="1"/>
  <c r="BD445" i="30" s="1"/>
  <c r="A1435" i="1"/>
  <c r="A445" i="30" s="1"/>
  <c r="BD1418" i="1"/>
  <c r="BD444" i="30" s="1"/>
  <c r="A1418" i="1"/>
  <c r="A444" i="30" s="1"/>
  <c r="BD1416" i="1"/>
  <c r="BC1416" i="1"/>
  <c r="BB1416" i="1"/>
  <c r="BD1368" i="1"/>
  <c r="BC1368" i="1"/>
  <c r="BB1368" i="1"/>
  <c r="B1367" i="1"/>
  <c r="BC1367" i="1" s="1"/>
  <c r="A1367" i="1"/>
  <c r="B1366" i="1"/>
  <c r="BB1366" i="1" s="1"/>
  <c r="BB443" i="30" s="1"/>
  <c r="A1366" i="1"/>
  <c r="A443" i="30" s="1"/>
  <c r="B1363" i="1"/>
  <c r="BB1363" i="1" s="1"/>
  <c r="BB442" i="30" s="1"/>
  <c r="A1363" i="1"/>
  <c r="A442" i="30" s="1"/>
  <c r="AL441" i="30"/>
  <c r="B1362" i="1"/>
  <c r="B441" i="30" s="1"/>
  <c r="A1362" i="1"/>
  <c r="A441" i="30" s="1"/>
  <c r="AL440" i="30"/>
  <c r="B1361" i="1"/>
  <c r="BD1361" i="1" s="1"/>
  <c r="BD440" i="30" s="1"/>
  <c r="A1361" i="1"/>
  <c r="A440" i="30" s="1"/>
  <c r="AL439" i="30"/>
  <c r="B1360" i="1"/>
  <c r="B439" i="30" s="1"/>
  <c r="A1360" i="1"/>
  <c r="A439" i="30" s="1"/>
  <c r="AL438" i="30"/>
  <c r="B1359" i="1"/>
  <c r="BD1359" i="1" s="1"/>
  <c r="BD438" i="30" s="1"/>
  <c r="A1359" i="1"/>
  <c r="A438" i="30" s="1"/>
  <c r="B1358" i="1"/>
  <c r="B437" i="30" s="1"/>
  <c r="A1358" i="1"/>
  <c r="A437" i="30" s="1"/>
  <c r="B1356" i="1"/>
  <c r="BC1356" i="1" s="1"/>
  <c r="BC436" i="30" s="1"/>
  <c r="A1356" i="1"/>
  <c r="A436" i="30" s="1"/>
  <c r="B1355" i="1"/>
  <c r="A1355" i="1"/>
  <c r="A435" i="30" s="1"/>
  <c r="B1353" i="1"/>
  <c r="BD1353" i="1" s="1"/>
  <c r="A1353" i="1"/>
  <c r="B1352" i="1"/>
  <c r="BB1352" i="1" s="1"/>
  <c r="A1352" i="1"/>
  <c r="B1351" i="1"/>
  <c r="A1351" i="1"/>
  <c r="B1350" i="1"/>
  <c r="A1350" i="1"/>
  <c r="B1349" i="1"/>
  <c r="BB1349" i="1" s="1"/>
  <c r="BB427" i="30" s="1"/>
  <c r="A1349" i="1"/>
  <c r="A427" i="30" s="1"/>
  <c r="B1348" i="1"/>
  <c r="A1348" i="1"/>
  <c r="B1347" i="1"/>
  <c r="BD1347" i="1" s="1"/>
  <c r="BD426" i="30" s="1"/>
  <c r="A1347" i="1"/>
  <c r="A426" i="30" s="1"/>
  <c r="B1346" i="1"/>
  <c r="BB1346" i="1" s="1"/>
  <c r="BB425" i="30" s="1"/>
  <c r="A1346" i="1"/>
  <c r="A425" i="30" s="1"/>
  <c r="AJ1345" i="1"/>
  <c r="AJ1505" i="1" s="1"/>
  <c r="AI1345" i="1"/>
  <c r="AI424" i="30" s="1"/>
  <c r="AH1345" i="1"/>
  <c r="AH424" i="30" s="1"/>
  <c r="AG1345" i="1"/>
  <c r="AG424" i="30" s="1"/>
  <c r="AF1345" i="1"/>
  <c r="AF1480" i="1" s="1"/>
  <c r="AF485" i="30" s="1"/>
  <c r="AE1345" i="1"/>
  <c r="AE424" i="30" s="1"/>
  <c r="AD1345" i="1"/>
  <c r="AD424" i="30" s="1"/>
  <c r="AC1345" i="1"/>
  <c r="AC424" i="30" s="1"/>
  <c r="AB1345" i="1"/>
  <c r="AB1480" i="1" s="1"/>
  <c r="AB485" i="30" s="1"/>
  <c r="AA1345" i="1"/>
  <c r="AA424" i="30" s="1"/>
  <c r="Z1345" i="1"/>
  <c r="Z424" i="30" s="1"/>
  <c r="Y1345" i="1"/>
  <c r="Y424" i="30" s="1"/>
  <c r="B1345" i="1"/>
  <c r="BC1345" i="1" s="1"/>
  <c r="BC424" i="30" s="1"/>
  <c r="A1345" i="1"/>
  <c r="A424" i="30" s="1"/>
  <c r="B1226" i="1"/>
  <c r="B423" i="30" s="1"/>
  <c r="A1226" i="1"/>
  <c r="A423" i="30" s="1"/>
  <c r="BD1211" i="1"/>
  <c r="BC1211" i="1"/>
  <c r="BB1211" i="1"/>
  <c r="BD1200" i="1"/>
  <c r="BD422" i="30" s="1"/>
  <c r="BC1200" i="1"/>
  <c r="BC422" i="30" s="1"/>
  <c r="BB1200" i="1"/>
  <c r="BB422" i="30" s="1"/>
  <c r="AK1200" i="1"/>
  <c r="AK422" i="30" s="1"/>
  <c r="A1200" i="1"/>
  <c r="A422" i="30" s="1"/>
  <c r="BD1199" i="1"/>
  <c r="BD421" i="30" s="1"/>
  <c r="BC1199" i="1"/>
  <c r="BC421" i="30" s="1"/>
  <c r="BB1199" i="1"/>
  <c r="BB421" i="30" s="1"/>
  <c r="AK1199" i="1"/>
  <c r="A1199" i="1"/>
  <c r="A421" i="30" s="1"/>
  <c r="BD1198" i="1"/>
  <c r="BD420" i="30" s="1"/>
  <c r="BC1198" i="1"/>
  <c r="BC420" i="30" s="1"/>
  <c r="BB1198" i="1"/>
  <c r="BB420" i="30" s="1"/>
  <c r="AK1198" i="1"/>
  <c r="AK420" i="30" s="1"/>
  <c r="A1198" i="1"/>
  <c r="A420" i="30" s="1"/>
  <c r="BD1197" i="1"/>
  <c r="BD419" i="30" s="1"/>
  <c r="BC1197" i="1"/>
  <c r="BC419" i="30" s="1"/>
  <c r="BB1197" i="1"/>
  <c r="BB419" i="30" s="1"/>
  <c r="AK1197" i="1"/>
  <c r="A1197" i="1"/>
  <c r="A419" i="30" s="1"/>
  <c r="BD1196" i="1"/>
  <c r="BD418" i="30" s="1"/>
  <c r="BC1196" i="1"/>
  <c r="BC418" i="30" s="1"/>
  <c r="BB1196" i="1"/>
  <c r="BB418" i="30" s="1"/>
  <c r="A1196" i="1"/>
  <c r="A418" i="30" s="1"/>
  <c r="BD1195" i="1"/>
  <c r="BD417" i="30" s="1"/>
  <c r="BC1195" i="1"/>
  <c r="BC417" i="30" s="1"/>
  <c r="BB1195" i="1"/>
  <c r="BB417" i="30" s="1"/>
  <c r="A1195" i="1"/>
  <c r="A417" i="30" s="1"/>
  <c r="BD1192" i="1"/>
  <c r="BD416" i="30" s="1"/>
  <c r="BC1192" i="1"/>
  <c r="BC416" i="30" s="1"/>
  <c r="BB1192" i="1"/>
  <c r="BB416" i="30" s="1"/>
  <c r="A1192" i="1"/>
  <c r="BD1191" i="1"/>
  <c r="BD415" i="30" s="1"/>
  <c r="BC1191" i="1"/>
  <c r="BC415" i="30" s="1"/>
  <c r="BB1191" i="1"/>
  <c r="BB415" i="30" s="1"/>
  <c r="A1191" i="1"/>
  <c r="BD1190" i="1"/>
  <c r="BD414" i="30" s="1"/>
  <c r="BC1190" i="1"/>
  <c r="BC414" i="30" s="1"/>
  <c r="BB1190" i="1"/>
  <c r="BB414" i="30" s="1"/>
  <c r="T1190" i="1"/>
  <c r="T414" i="30" s="1"/>
  <c r="A1190" i="1"/>
  <c r="A414" i="30" s="1"/>
  <c r="BD1189" i="1"/>
  <c r="BD413" i="30" s="1"/>
  <c r="BC1189" i="1"/>
  <c r="BC413" i="30" s="1"/>
  <c r="BB1189" i="1"/>
  <c r="BB413" i="30" s="1"/>
  <c r="A1189" i="1"/>
  <c r="A413" i="30" s="1"/>
  <c r="BD1188" i="1"/>
  <c r="BD412" i="30" s="1"/>
  <c r="BC1188" i="1"/>
  <c r="BC412" i="30" s="1"/>
  <c r="BB1188" i="1"/>
  <c r="BB412" i="30" s="1"/>
  <c r="A1188" i="1"/>
  <c r="A412" i="30" s="1"/>
  <c r="BD1187" i="1"/>
  <c r="BD411" i="30" s="1"/>
  <c r="BC1187" i="1"/>
  <c r="BC411" i="30" s="1"/>
  <c r="BB1187" i="1"/>
  <c r="BB411" i="30" s="1"/>
  <c r="A1187" i="1"/>
  <c r="A411" i="30" s="1"/>
  <c r="BD1186" i="1"/>
  <c r="BD410" i="30" s="1"/>
  <c r="BC1186" i="1"/>
  <c r="BC410" i="30" s="1"/>
  <c r="BB1186" i="1"/>
  <c r="BB410" i="30" s="1"/>
  <c r="A1186" i="1"/>
  <c r="A410" i="30" s="1"/>
  <c r="BD1185" i="1"/>
  <c r="BD409" i="30" s="1"/>
  <c r="BC1185" i="1"/>
  <c r="BC409" i="30" s="1"/>
  <c r="BB1185" i="1"/>
  <c r="BB409" i="30" s="1"/>
  <c r="AK1185" i="1"/>
  <c r="AK409" i="30" s="1"/>
  <c r="A1185" i="1"/>
  <c r="A409" i="30" s="1"/>
  <c r="BD1184" i="1"/>
  <c r="BD408" i="30" s="1"/>
  <c r="BC1184" i="1"/>
  <c r="BC408" i="30" s="1"/>
  <c r="BB1184" i="1"/>
  <c r="BB408" i="30" s="1"/>
  <c r="A1184" i="1"/>
  <c r="A408" i="30" s="1"/>
  <c r="BD1183" i="1"/>
  <c r="BD407" i="30" s="1"/>
  <c r="BC1183" i="1"/>
  <c r="BC407" i="30" s="1"/>
  <c r="BB1183" i="1"/>
  <c r="BB407" i="30" s="1"/>
  <c r="A1183" i="1"/>
  <c r="A407" i="30" s="1"/>
  <c r="BD1182" i="1"/>
  <c r="BD406" i="30" s="1"/>
  <c r="BC1182" i="1"/>
  <c r="BC406" i="30" s="1"/>
  <c r="BB1182" i="1"/>
  <c r="BB406" i="30" s="1"/>
  <c r="A1182" i="1"/>
  <c r="A406" i="30" s="1"/>
  <c r="BD1181" i="1"/>
  <c r="BD405" i="30" s="1"/>
  <c r="BC1181" i="1"/>
  <c r="BC405" i="30" s="1"/>
  <c r="BB1181" i="1"/>
  <c r="BB405" i="30" s="1"/>
  <c r="A1181" i="1"/>
  <c r="A405" i="30" s="1"/>
  <c r="BD1180" i="1"/>
  <c r="BD404" i="30" s="1"/>
  <c r="BC1180" i="1"/>
  <c r="BC404" i="30" s="1"/>
  <c r="BB1180" i="1"/>
  <c r="BB404" i="30" s="1"/>
  <c r="AK1180" i="1"/>
  <c r="AK404" i="30" s="1"/>
  <c r="A1180" i="1"/>
  <c r="A404" i="30" s="1"/>
  <c r="BD1179" i="1"/>
  <c r="BD403" i="30" s="1"/>
  <c r="BC1179" i="1"/>
  <c r="BC403" i="30" s="1"/>
  <c r="BB1179" i="1"/>
  <c r="BB403" i="30" s="1"/>
  <c r="A1179" i="1"/>
  <c r="A403" i="30" s="1"/>
  <c r="BD1178" i="1"/>
  <c r="BD402" i="30" s="1"/>
  <c r="BC1178" i="1"/>
  <c r="BC402" i="30" s="1"/>
  <c r="BB1178" i="1"/>
  <c r="BB402" i="30" s="1"/>
  <c r="A1178" i="1"/>
  <c r="A402" i="30" s="1"/>
  <c r="BD1177" i="1"/>
  <c r="BD401" i="30" s="1"/>
  <c r="BC1177" i="1"/>
  <c r="BC401" i="30" s="1"/>
  <c r="BB1177" i="1"/>
  <c r="BB401" i="30" s="1"/>
  <c r="A1177" i="1"/>
  <c r="A401" i="30" s="1"/>
  <c r="BD1176" i="1"/>
  <c r="BD400" i="30" s="1"/>
  <c r="BC1176" i="1"/>
  <c r="BC400" i="30" s="1"/>
  <c r="BB1176" i="1"/>
  <c r="BB400" i="30" s="1"/>
  <c r="A1176" i="1"/>
  <c r="A400" i="30" s="1"/>
  <c r="BD1175" i="1"/>
  <c r="BD399" i="30" s="1"/>
  <c r="BC1175" i="1"/>
  <c r="BC399" i="30" s="1"/>
  <c r="BB1175" i="1"/>
  <c r="BB399" i="30" s="1"/>
  <c r="AK1175" i="1"/>
  <c r="AK399" i="30" s="1"/>
  <c r="A1175" i="1"/>
  <c r="A399" i="30" s="1"/>
  <c r="BD1174" i="1"/>
  <c r="BD398" i="30" s="1"/>
  <c r="BC1174" i="1"/>
  <c r="BC398" i="30" s="1"/>
  <c r="BB1174" i="1"/>
  <c r="BB398" i="30" s="1"/>
  <c r="A1174" i="1"/>
  <c r="A398" i="30" s="1"/>
  <c r="BD1173" i="1"/>
  <c r="BD397" i="30" s="1"/>
  <c r="BC1173" i="1"/>
  <c r="BC397" i="30" s="1"/>
  <c r="BB1173" i="1"/>
  <c r="BB397" i="30" s="1"/>
  <c r="A1173" i="1"/>
  <c r="A397" i="30" s="1"/>
  <c r="BD1172" i="1"/>
  <c r="BD396" i="30" s="1"/>
  <c r="BC1172" i="1"/>
  <c r="BC396" i="30" s="1"/>
  <c r="BB1172" i="1"/>
  <c r="BB396" i="30" s="1"/>
  <c r="A1172" i="1"/>
  <c r="A396" i="30" s="1"/>
  <c r="BD1171" i="1"/>
  <c r="BD395" i="30" s="1"/>
  <c r="BC1171" i="1"/>
  <c r="BC395" i="30" s="1"/>
  <c r="BB1171" i="1"/>
  <c r="BB395" i="30" s="1"/>
  <c r="A1171" i="1"/>
  <c r="A395" i="30" s="1"/>
  <c r="BD1170" i="1"/>
  <c r="BD394" i="30" s="1"/>
  <c r="BC1170" i="1"/>
  <c r="BC394" i="30" s="1"/>
  <c r="BB1170" i="1"/>
  <c r="BB394" i="30" s="1"/>
  <c r="AK1170" i="1"/>
  <c r="AK394" i="30" s="1"/>
  <c r="A1170" i="1"/>
  <c r="A394" i="30" s="1"/>
  <c r="BD1169" i="1"/>
  <c r="BD393" i="30" s="1"/>
  <c r="BC1169" i="1"/>
  <c r="BC393" i="30" s="1"/>
  <c r="BB1169" i="1"/>
  <c r="BB393" i="30" s="1"/>
  <c r="A1169" i="1"/>
  <c r="A393" i="30" s="1"/>
  <c r="BD1168" i="1"/>
  <c r="BD392" i="30" s="1"/>
  <c r="BC1168" i="1"/>
  <c r="BC392" i="30" s="1"/>
  <c r="BB1168" i="1"/>
  <c r="BB392" i="30" s="1"/>
  <c r="A1168" i="1"/>
  <c r="A392" i="30" s="1"/>
  <c r="BD1167" i="1"/>
  <c r="BD391" i="30" s="1"/>
  <c r="BC1167" i="1"/>
  <c r="BC391" i="30" s="1"/>
  <c r="BB1167" i="1"/>
  <c r="BB391" i="30" s="1"/>
  <c r="A1167" i="1"/>
  <c r="A391" i="30" s="1"/>
  <c r="BD1166" i="1"/>
  <c r="BD390" i="30" s="1"/>
  <c r="BC1166" i="1"/>
  <c r="BC390" i="30" s="1"/>
  <c r="BB1166" i="1"/>
  <c r="BB390" i="30" s="1"/>
  <c r="A1166" i="1"/>
  <c r="A390" i="30" s="1"/>
  <c r="BD1165" i="1"/>
  <c r="BD389" i="30" s="1"/>
  <c r="BC1165" i="1"/>
  <c r="BC389" i="30" s="1"/>
  <c r="BB1165" i="1"/>
  <c r="BB389" i="30" s="1"/>
  <c r="AK1165" i="1"/>
  <c r="AK389" i="30" s="1"/>
  <c r="A1165" i="1"/>
  <c r="A389" i="30" s="1"/>
  <c r="BD1160" i="1"/>
  <c r="BC1160" i="1"/>
  <c r="BB1160" i="1"/>
  <c r="BD1159" i="1"/>
  <c r="BC1159" i="1"/>
  <c r="BB1159" i="1"/>
  <c r="A1159" i="1"/>
  <c r="BD1151" i="1"/>
  <c r="BC1151" i="1"/>
  <c r="BB1151" i="1"/>
  <c r="BD1035" i="1"/>
  <c r="BD388" i="30" s="1"/>
  <c r="BC1035" i="1"/>
  <c r="BC388" i="30" s="1"/>
  <c r="BB1035" i="1"/>
  <c r="BB388" i="30" s="1"/>
  <c r="AJ1035" i="1"/>
  <c r="AJ388" i="30" s="1"/>
  <c r="AI1035" i="1"/>
  <c r="AI388" i="30" s="1"/>
  <c r="AH1035" i="1"/>
  <c r="AH388" i="30" s="1"/>
  <c r="AG1035" i="1"/>
  <c r="AG388" i="30" s="1"/>
  <c r="AF1035" i="1"/>
  <c r="AF388" i="30" s="1"/>
  <c r="AE1035" i="1"/>
  <c r="AE388" i="30" s="1"/>
  <c r="BD1032" i="1"/>
  <c r="BC1032" i="1"/>
  <c r="BB1032" i="1"/>
  <c r="BD883" i="1"/>
  <c r="BD347" i="30" s="1"/>
  <c r="BC883" i="1"/>
  <c r="BC347" i="30" s="1"/>
  <c r="BB883" i="1"/>
  <c r="BB347" i="30" s="1"/>
  <c r="BD1038" i="1"/>
  <c r="BC1038" i="1"/>
  <c r="BB1038" i="1"/>
  <c r="BD1025" i="1"/>
  <c r="BD384" i="30" s="1"/>
  <c r="BC1025" i="1"/>
  <c r="BC384" i="30" s="1"/>
  <c r="BB1025" i="1"/>
  <c r="BB384" i="30" s="1"/>
  <c r="BD879" i="1"/>
  <c r="BC879" i="1"/>
  <c r="BB879" i="1"/>
  <c r="BD1023" i="1"/>
  <c r="BD383" i="30" s="1"/>
  <c r="BC1023" i="1"/>
  <c r="BC383" i="30" s="1"/>
  <c r="BB1023" i="1"/>
  <c r="BB383" i="30" s="1"/>
  <c r="BD956" i="1"/>
  <c r="BD357" i="30" s="1"/>
  <c r="BC956" i="1"/>
  <c r="BC357" i="30" s="1"/>
  <c r="BB956" i="1"/>
  <c r="BB357" i="30" s="1"/>
  <c r="BD908" i="1"/>
  <c r="BC908" i="1"/>
  <c r="BB908" i="1"/>
  <c r="AJ908" i="1"/>
  <c r="BD1050" i="1"/>
  <c r="BC1050" i="1"/>
  <c r="BB1050" i="1"/>
  <c r="BD939" i="1"/>
  <c r="BC939" i="1"/>
  <c r="BB939" i="1"/>
  <c r="BD924" i="1"/>
  <c r="BC924" i="1"/>
  <c r="BB924" i="1"/>
  <c r="BD878" i="1"/>
  <c r="BC878" i="1"/>
  <c r="BB878" i="1"/>
  <c r="B1021" i="1"/>
  <c r="A1021" i="1"/>
  <c r="A382" i="30" s="1"/>
  <c r="B954" i="1"/>
  <c r="B356" i="30" s="1"/>
  <c r="A954" i="1"/>
  <c r="A356" i="30" s="1"/>
  <c r="AJ906" i="1"/>
  <c r="AJ907" i="1" s="1"/>
  <c r="B906" i="1"/>
  <c r="B737" i="30" s="1"/>
  <c r="A906" i="1"/>
  <c r="A737" i="30" s="1"/>
  <c r="B1049" i="1"/>
  <c r="A1049" i="1"/>
  <c r="B938" i="1"/>
  <c r="BC938" i="1" s="1"/>
  <c r="BC739" i="30" s="1"/>
  <c r="A938" i="1"/>
  <c r="A739" i="30" s="1"/>
  <c r="B923" i="1"/>
  <c r="B738" i="30" s="1"/>
  <c r="A923" i="1"/>
  <c r="A738" i="30" s="1"/>
  <c r="B867" i="1"/>
  <c r="A867" i="1"/>
  <c r="B1017" i="1"/>
  <c r="A1017" i="1"/>
  <c r="A380" i="30" s="1"/>
  <c r="B1016" i="1"/>
  <c r="A1016" i="1"/>
  <c r="A379" i="30" s="1"/>
  <c r="B952" i="1"/>
  <c r="A952" i="1"/>
  <c r="A355" i="30" s="1"/>
  <c r="AJ949" i="1"/>
  <c r="B951" i="1"/>
  <c r="BD951" i="1" s="1"/>
  <c r="A951" i="1"/>
  <c r="AJ904" i="1"/>
  <c r="AI904" i="1"/>
  <c r="AH904" i="1"/>
  <c r="AG904" i="1"/>
  <c r="AF904" i="1"/>
  <c r="AE904" i="1"/>
  <c r="B904" i="1"/>
  <c r="A904" i="1"/>
  <c r="A351" i="30" s="1"/>
  <c r="B971" i="1"/>
  <c r="A971" i="1"/>
  <c r="A377" i="30" s="1"/>
  <c r="B994" i="1"/>
  <c r="A994" i="1"/>
  <c r="A376" i="30" s="1"/>
  <c r="B897" i="1"/>
  <c r="B375" i="30" s="1"/>
  <c r="A897" i="1"/>
  <c r="A375" i="30" s="1"/>
  <c r="B937" i="1"/>
  <c r="A937" i="1"/>
  <c r="A374" i="30" s="1"/>
  <c r="B922" i="1"/>
  <c r="A922" i="1"/>
  <c r="A373" i="30" s="1"/>
  <c r="B1043" i="1"/>
  <c r="A1043" i="1"/>
  <c r="A372" i="30" s="1"/>
  <c r="AJ865" i="1"/>
  <c r="B865" i="1"/>
  <c r="A865" i="1"/>
  <c r="BD1015" i="1"/>
  <c r="BD378" i="30" s="1"/>
  <c r="BC1015" i="1"/>
  <c r="BC378" i="30" s="1"/>
  <c r="BB1015" i="1"/>
  <c r="BB378" i="30" s="1"/>
  <c r="BD1014" i="1"/>
  <c r="BC1014" i="1"/>
  <c r="BB1014" i="1"/>
  <c r="BD950" i="1"/>
  <c r="BD354" i="30" s="1"/>
  <c r="BC950" i="1"/>
  <c r="BC354" i="30" s="1"/>
  <c r="BB950" i="1"/>
  <c r="BB354" i="30" s="1"/>
  <c r="BD902" i="1"/>
  <c r="BC902" i="1"/>
  <c r="BB902" i="1"/>
  <c r="BD862" i="1"/>
  <c r="BD342" i="30" s="1"/>
  <c r="BC862" i="1"/>
  <c r="BC342" i="30" s="1"/>
  <c r="BB862" i="1"/>
  <c r="BB342" i="30" s="1"/>
  <c r="AD862" i="1"/>
  <c r="M862" i="1"/>
  <c r="M866" i="1" s="1"/>
  <c r="M344" i="30" s="1"/>
  <c r="BD1149" i="1"/>
  <c r="BC1149" i="1"/>
  <c r="BB1149" i="1"/>
  <c r="A1149" i="1"/>
  <c r="BD1148" i="1"/>
  <c r="BC1148" i="1"/>
  <c r="BB1148" i="1"/>
  <c r="A1148" i="1"/>
  <c r="BD1129" i="1"/>
  <c r="BC1129" i="1"/>
  <c r="BB1129" i="1"/>
  <c r="B1128" i="1"/>
  <c r="BD1128" i="1" s="1"/>
  <c r="BD341" i="30" s="1"/>
  <c r="A1128" i="1"/>
  <c r="A341" i="30" s="1"/>
  <c r="AL340" i="30"/>
  <c r="B1116" i="1"/>
  <c r="BD1116" i="1" s="1"/>
  <c r="BD340" i="30" s="1"/>
  <c r="A1116" i="1"/>
  <c r="A340" i="30" s="1"/>
  <c r="AL339" i="30"/>
  <c r="B1115" i="1"/>
  <c r="B339" i="30" s="1"/>
  <c r="A1115" i="1"/>
  <c r="A339" i="30" s="1"/>
  <c r="AL338" i="30"/>
  <c r="B1114" i="1"/>
  <c r="BD1114" i="1" s="1"/>
  <c r="BD338" i="30" s="1"/>
  <c r="A1114" i="1"/>
  <c r="A338" i="30" s="1"/>
  <c r="AL337" i="30"/>
  <c r="B1113" i="1"/>
  <c r="B337" i="30" s="1"/>
  <c r="A1113" i="1"/>
  <c r="A337" i="30" s="1"/>
  <c r="AL336" i="30"/>
  <c r="B860" i="1"/>
  <c r="BB860" i="1" s="1"/>
  <c r="BB336" i="30" s="1"/>
  <c r="A860" i="1"/>
  <c r="A336" i="30" s="1"/>
  <c r="AL335" i="30"/>
  <c r="B859" i="1"/>
  <c r="B335" i="30" s="1"/>
  <c r="A859" i="1"/>
  <c r="A335" i="30" s="1"/>
  <c r="AL334" i="30"/>
  <c r="B858" i="1"/>
  <c r="BB858" i="1" s="1"/>
  <c r="BB334" i="30" s="1"/>
  <c r="A858" i="1"/>
  <c r="A334" i="30" s="1"/>
  <c r="AL333" i="30"/>
  <c r="B857" i="1"/>
  <c r="B333" i="30" s="1"/>
  <c r="A857" i="1"/>
  <c r="A333" i="30" s="1"/>
  <c r="AL332" i="30"/>
  <c r="B851" i="1"/>
  <c r="BB851" i="1" s="1"/>
  <c r="BB332" i="30" s="1"/>
  <c r="A851" i="1"/>
  <c r="A332" i="30" s="1"/>
  <c r="AL331" i="30"/>
  <c r="B850" i="1"/>
  <c r="B331" i="30" s="1"/>
  <c r="A850" i="1"/>
  <c r="A331" i="30" s="1"/>
  <c r="AL330" i="30"/>
  <c r="B849" i="1"/>
  <c r="BD849" i="1" s="1"/>
  <c r="BD330" i="30" s="1"/>
  <c r="A849" i="1"/>
  <c r="A330" i="30" s="1"/>
  <c r="AL328" i="30"/>
  <c r="B848" i="1"/>
  <c r="B328" i="30" s="1"/>
  <c r="A848" i="1"/>
  <c r="A328" i="30" s="1"/>
  <c r="AL327" i="30"/>
  <c r="B847" i="1"/>
  <c r="BB847" i="1" s="1"/>
  <c r="BB327" i="30" s="1"/>
  <c r="A847" i="1"/>
  <c r="A327" i="30" s="1"/>
  <c r="B846" i="1"/>
  <c r="B326" i="30" s="1"/>
  <c r="A846" i="1"/>
  <c r="A326" i="30" s="1"/>
  <c r="B845" i="1"/>
  <c r="BD845" i="1" s="1"/>
  <c r="BD325" i="30" s="1"/>
  <c r="A845" i="1"/>
  <c r="A325" i="30" s="1"/>
  <c r="AJ843" i="1"/>
  <c r="AI843" i="1"/>
  <c r="AH843" i="1"/>
  <c r="AG843" i="1"/>
  <c r="AF843" i="1"/>
  <c r="AE843" i="1"/>
  <c r="AD843" i="1"/>
  <c r="AC843" i="1"/>
  <c r="AB843" i="1"/>
  <c r="AA843" i="1"/>
  <c r="Z843" i="1"/>
  <c r="Y843" i="1"/>
  <c r="X843" i="1"/>
  <c r="W843" i="1"/>
  <c r="U843" i="1"/>
  <c r="T843" i="1"/>
  <c r="T322" i="30" s="1"/>
  <c r="T324" i="30" s="1"/>
  <c r="B843" i="1"/>
  <c r="A843" i="1"/>
  <c r="A322" i="30" s="1"/>
  <c r="AL321" i="30"/>
  <c r="B842" i="1"/>
  <c r="A842" i="1"/>
  <c r="A321" i="30" s="1"/>
  <c r="AL320" i="30"/>
  <c r="B841" i="1"/>
  <c r="B320" i="30" s="1"/>
  <c r="A841" i="1"/>
  <c r="A320" i="30" s="1"/>
  <c r="AL319" i="30"/>
  <c r="B840" i="1"/>
  <c r="B319" i="30" s="1"/>
  <c r="A840" i="1"/>
  <c r="A319" i="30" s="1"/>
  <c r="AL318" i="30"/>
  <c r="B839" i="1"/>
  <c r="B318" i="30" s="1"/>
  <c r="A839" i="1"/>
  <c r="A318" i="30" s="1"/>
  <c r="BD837" i="1"/>
  <c r="BD317" i="30" s="1"/>
  <c r="BC837" i="1"/>
  <c r="BC317" i="30" s="1"/>
  <c r="BB837" i="1"/>
  <c r="BB317" i="30" s="1"/>
  <c r="AL317" i="30"/>
  <c r="A837" i="1"/>
  <c r="A317" i="30" s="1"/>
  <c r="BD836" i="1"/>
  <c r="BD316" i="30" s="1"/>
  <c r="BC836" i="1"/>
  <c r="BC316" i="30" s="1"/>
  <c r="BB836" i="1"/>
  <c r="BB316" i="30" s="1"/>
  <c r="AL316" i="30"/>
  <c r="A836" i="1"/>
  <c r="A316" i="30" s="1"/>
  <c r="BD835" i="1"/>
  <c r="BD315" i="30" s="1"/>
  <c r="BC835" i="1"/>
  <c r="BC315" i="30" s="1"/>
  <c r="BB835" i="1"/>
  <c r="BB315" i="30" s="1"/>
  <c r="AL315" i="30"/>
  <c r="A835" i="1"/>
  <c r="A315" i="30" s="1"/>
  <c r="BD834" i="1"/>
  <c r="BD314" i="30" s="1"/>
  <c r="BC834" i="1"/>
  <c r="BC314" i="30" s="1"/>
  <c r="BB834" i="1"/>
  <c r="BB314" i="30" s="1"/>
  <c r="A834" i="1"/>
  <c r="A314" i="30" s="1"/>
  <c r="BD833" i="1"/>
  <c r="BD313" i="30" s="1"/>
  <c r="BC833" i="1"/>
  <c r="BC313" i="30" s="1"/>
  <c r="BB833" i="1"/>
  <c r="BB313" i="30" s="1"/>
  <c r="A833" i="1"/>
  <c r="A313" i="30" s="1"/>
  <c r="BD832" i="1"/>
  <c r="BD312" i="30" s="1"/>
  <c r="BC832" i="1"/>
  <c r="BC312" i="30" s="1"/>
  <c r="BB832" i="1"/>
  <c r="BB312" i="30" s="1"/>
  <c r="AJ832" i="1"/>
  <c r="AI832" i="1"/>
  <c r="AI312" i="30" s="1"/>
  <c r="AH832" i="1"/>
  <c r="AH312" i="30" s="1"/>
  <c r="AG832" i="1"/>
  <c r="AG312" i="30" s="1"/>
  <c r="AF832" i="1"/>
  <c r="AF312" i="30" s="1"/>
  <c r="AE832" i="1"/>
  <c r="AE312" i="30" s="1"/>
  <c r="AD832" i="1"/>
  <c r="AD312" i="30" s="1"/>
  <c r="AC832" i="1"/>
  <c r="AC312" i="30" s="1"/>
  <c r="AB832" i="1"/>
  <c r="AB312" i="30" s="1"/>
  <c r="A832" i="1"/>
  <c r="A312" i="30" s="1"/>
  <c r="B830" i="1"/>
  <c r="B311" i="30" s="1"/>
  <c r="A830" i="1"/>
  <c r="A311" i="30" s="1"/>
  <c r="AL310" i="30"/>
  <c r="B826" i="1"/>
  <c r="B310" i="30" s="1"/>
  <c r="A826" i="1"/>
  <c r="A310" i="30" s="1"/>
  <c r="AL309" i="30"/>
  <c r="B829" i="1"/>
  <c r="B309" i="30" s="1"/>
  <c r="A829" i="1"/>
  <c r="A309" i="30" s="1"/>
  <c r="AL308" i="30"/>
  <c r="B828" i="1"/>
  <c r="B308" i="30" s="1"/>
  <c r="A828" i="1"/>
  <c r="A308" i="30" s="1"/>
  <c r="AL307" i="30"/>
  <c r="B827" i="1"/>
  <c r="B307" i="30" s="1"/>
  <c r="A827" i="1"/>
  <c r="A307" i="30" s="1"/>
  <c r="B825" i="1"/>
  <c r="B306" i="30" s="1"/>
  <c r="A825" i="1"/>
  <c r="A306" i="30" s="1"/>
  <c r="B824" i="1"/>
  <c r="B305" i="30" s="1"/>
  <c r="A824" i="1"/>
  <c r="A305" i="30" s="1"/>
  <c r="B823" i="1"/>
  <c r="A823" i="1"/>
  <c r="A304" i="30" s="1"/>
  <c r="AJ825" i="1"/>
  <c r="AI821" i="1"/>
  <c r="AH821" i="1"/>
  <c r="AG821" i="1"/>
  <c r="AF821" i="1"/>
  <c r="AE821" i="1"/>
  <c r="AD821" i="1"/>
  <c r="AC821" i="1"/>
  <c r="AB821" i="1"/>
  <c r="AA821" i="1"/>
  <c r="Z821" i="1"/>
  <c r="Y821" i="1"/>
  <c r="X821" i="1"/>
  <c r="W821" i="1"/>
  <c r="U821" i="1"/>
  <c r="T821" i="1"/>
  <c r="T824" i="1" s="1"/>
  <c r="T305" i="30" s="1"/>
  <c r="B821" i="1"/>
  <c r="A821" i="1"/>
  <c r="A301" i="30" s="1"/>
  <c r="BD1122" i="1"/>
  <c r="BC1122" i="1"/>
  <c r="BB1122" i="1"/>
  <c r="AJ820" i="1"/>
  <c r="AJ300" i="30" s="1"/>
  <c r="AI820" i="1"/>
  <c r="AI300" i="30" s="1"/>
  <c r="AH820" i="1"/>
  <c r="AH300" i="30" s="1"/>
  <c r="AG820" i="1"/>
  <c r="AG300" i="30" s="1"/>
  <c r="AF820" i="1"/>
  <c r="AF300" i="30" s="1"/>
  <c r="AE820" i="1"/>
  <c r="AE300" i="30" s="1"/>
  <c r="AD820" i="1"/>
  <c r="AD300" i="30" s="1"/>
  <c r="AC820" i="1"/>
  <c r="AC300" i="30" s="1"/>
  <c r="AB820" i="1"/>
  <c r="AB300" i="30" s="1"/>
  <c r="AA820" i="1"/>
  <c r="AA300" i="30" s="1"/>
  <c r="Z820" i="1"/>
  <c r="Z300" i="30" s="1"/>
  <c r="Y820" i="1"/>
  <c r="Y300" i="30" s="1"/>
  <c r="X820" i="1"/>
  <c r="X300" i="30" s="1"/>
  <c r="W820" i="1"/>
  <c r="W300" i="30" s="1"/>
  <c r="U820" i="1"/>
  <c r="U300" i="30" s="1"/>
  <c r="T820" i="1"/>
  <c r="T300" i="30" s="1"/>
  <c r="B820" i="1"/>
  <c r="BD820" i="1" s="1"/>
  <c r="BD300" i="30" s="1"/>
  <c r="A820" i="1"/>
  <c r="A300" i="30" s="1"/>
  <c r="B819" i="1"/>
  <c r="B299" i="30" s="1"/>
  <c r="A819" i="1"/>
  <c r="A299" i="30" s="1"/>
  <c r="AL297" i="30"/>
  <c r="B818" i="1"/>
  <c r="B297" i="30" s="1"/>
  <c r="A818" i="1"/>
  <c r="A297" i="30" s="1"/>
  <c r="B816" i="1"/>
  <c r="B296" i="30" s="1"/>
  <c r="A816" i="1"/>
  <c r="A296" i="30" s="1"/>
  <c r="R817" i="1"/>
  <c r="R295" i="30" s="1"/>
  <c r="Q817" i="1"/>
  <c r="Q295" i="30" s="1"/>
  <c r="P817" i="1"/>
  <c r="P295" i="30" s="1"/>
  <c r="O817" i="1"/>
  <c r="O295" i="30" s="1"/>
  <c r="N817" i="1"/>
  <c r="N295" i="30" s="1"/>
  <c r="M817" i="1"/>
  <c r="M295" i="30" s="1"/>
  <c r="L817" i="1"/>
  <c r="L295" i="30" s="1"/>
  <c r="K817" i="1"/>
  <c r="K295" i="30" s="1"/>
  <c r="B817" i="1"/>
  <c r="B295" i="30" s="1"/>
  <c r="A817" i="1"/>
  <c r="A295" i="30" s="1"/>
  <c r="AJ814" i="1"/>
  <c r="AI814" i="1"/>
  <c r="AI2218" i="1" s="1"/>
  <c r="AH814" i="1"/>
  <c r="AG814" i="1"/>
  <c r="AF814" i="1"/>
  <c r="AE814" i="1"/>
  <c r="AD814" i="1"/>
  <c r="AC814" i="1"/>
  <c r="AB814" i="1"/>
  <c r="AA814" i="1"/>
  <c r="Z814" i="1"/>
  <c r="Y814" i="1"/>
  <c r="X814" i="1"/>
  <c r="W814" i="1"/>
  <c r="U814" i="1"/>
  <c r="T814" i="1"/>
  <c r="T815" i="1" s="1"/>
  <c r="T293" i="30" s="1"/>
  <c r="B814" i="1"/>
  <c r="B292" i="30" s="1"/>
  <c r="A814" i="1"/>
  <c r="A292" i="30" s="1"/>
  <c r="B810" i="1"/>
  <c r="A810" i="1"/>
  <c r="A291" i="30" s="1"/>
  <c r="B809" i="1"/>
  <c r="B290" i="30" s="1"/>
  <c r="A809" i="1"/>
  <c r="A290" i="30" s="1"/>
  <c r="BD808" i="1"/>
  <c r="BC808" i="1"/>
  <c r="BB808" i="1"/>
  <c r="AF805" i="1"/>
  <c r="AF289" i="30" s="1"/>
  <c r="B805" i="1"/>
  <c r="B289" i="30" s="1"/>
  <c r="A805" i="1"/>
  <c r="A289" i="30" s="1"/>
  <c r="B804" i="1"/>
  <c r="B288" i="30" s="1"/>
  <c r="A804" i="1"/>
  <c r="A288" i="30" s="1"/>
  <c r="AF803" i="1"/>
  <c r="AF287" i="30" s="1"/>
  <c r="B803" i="1"/>
  <c r="B287" i="30" s="1"/>
  <c r="A803" i="1"/>
  <c r="A287" i="30" s="1"/>
  <c r="B802" i="1"/>
  <c r="B286" i="30" s="1"/>
  <c r="A802" i="1"/>
  <c r="A286" i="30" s="1"/>
  <c r="AF801" i="1"/>
  <c r="AF285" i="30" s="1"/>
  <c r="B801" i="1"/>
  <c r="B285" i="30" s="1"/>
  <c r="A801" i="1"/>
  <c r="A285" i="30" s="1"/>
  <c r="B800" i="1"/>
  <c r="B284" i="30" s="1"/>
  <c r="A800" i="1"/>
  <c r="A284" i="30" s="1"/>
  <c r="AF799" i="1"/>
  <c r="AF283" i="30" s="1"/>
  <c r="B799" i="1"/>
  <c r="B283" i="30" s="1"/>
  <c r="A799" i="1"/>
  <c r="A283" i="30" s="1"/>
  <c r="B798" i="1"/>
  <c r="B282" i="30" s="1"/>
  <c r="A798" i="1"/>
  <c r="A282" i="30" s="1"/>
  <c r="B797" i="1"/>
  <c r="B281" i="30" s="1"/>
  <c r="A797" i="1"/>
  <c r="A281" i="30" s="1"/>
  <c r="AF796" i="1"/>
  <c r="AF280" i="30" s="1"/>
  <c r="B796" i="1"/>
  <c r="B280" i="30" s="1"/>
  <c r="A796" i="1"/>
  <c r="A280" i="30" s="1"/>
  <c r="AJ791" i="1"/>
  <c r="AJ279" i="30" s="1"/>
  <c r="B791" i="1"/>
  <c r="B279" i="30" s="1"/>
  <c r="A791" i="1"/>
  <c r="A279" i="30" s="1"/>
  <c r="B785" i="1"/>
  <c r="A785" i="1"/>
  <c r="B786" i="1"/>
  <c r="B277" i="30" s="1"/>
  <c r="A786" i="1"/>
  <c r="A277" i="30" s="1"/>
  <c r="AJ788" i="1"/>
  <c r="AJ276" i="30" s="1"/>
  <c r="AI788" i="1"/>
  <c r="AI276" i="30" s="1"/>
  <c r="AH788" i="1"/>
  <c r="AH276" i="30" s="1"/>
  <c r="AG788" i="1"/>
  <c r="AG276" i="30" s="1"/>
  <c r="AF788" i="1"/>
  <c r="AF276" i="30" s="1"/>
  <c r="AE788" i="1"/>
  <c r="AE276" i="30" s="1"/>
  <c r="B788" i="1"/>
  <c r="B276" i="30" s="1"/>
  <c r="A788" i="1"/>
  <c r="A276" i="30" s="1"/>
  <c r="B784" i="1"/>
  <c r="AL270" i="30"/>
  <c r="B777" i="1"/>
  <c r="B270" i="30" s="1"/>
  <c r="A777" i="1"/>
  <c r="A270" i="30" s="1"/>
  <c r="B774" i="1"/>
  <c r="B269" i="30" s="1"/>
  <c r="A774" i="1"/>
  <c r="A269" i="30" s="1"/>
  <c r="B773" i="1"/>
  <c r="BB773" i="1" s="1"/>
  <c r="BB268" i="30" s="1"/>
  <c r="A773" i="1"/>
  <c r="A268" i="30" s="1"/>
  <c r="B772" i="1"/>
  <c r="A772" i="1"/>
  <c r="A267" i="30" s="1"/>
  <c r="B771" i="1"/>
  <c r="A771" i="1"/>
  <c r="A266" i="30" s="1"/>
  <c r="B770" i="1"/>
  <c r="B265" i="30" s="1"/>
  <c r="A770" i="1"/>
  <c r="A265" i="30" s="1"/>
  <c r="B768" i="1"/>
  <c r="B264" i="30" s="1"/>
  <c r="A768" i="1"/>
  <c r="A264" i="30" s="1"/>
  <c r="BD767" i="1"/>
  <c r="BC767" i="1"/>
  <c r="BB767" i="1"/>
  <c r="B765" i="1"/>
  <c r="BB765" i="1" s="1"/>
  <c r="A765" i="1"/>
  <c r="B764" i="1"/>
  <c r="BB764" i="1" s="1"/>
  <c r="A764" i="1"/>
  <c r="AF763" i="1"/>
  <c r="AK783" i="1" s="1"/>
  <c r="AK272" i="30" s="1"/>
  <c r="B763" i="1"/>
  <c r="B263" i="30" s="1"/>
  <c r="A763" i="1"/>
  <c r="A263" i="30" s="1"/>
  <c r="BD757" i="1"/>
  <c r="BC757" i="1"/>
  <c r="BB757" i="1"/>
  <c r="BD746" i="1"/>
  <c r="BC746" i="1"/>
  <c r="BB746" i="1"/>
  <c r="BD744" i="1"/>
  <c r="BC744" i="1"/>
  <c r="BB744" i="1"/>
  <c r="BD743" i="1"/>
  <c r="BC743" i="1"/>
  <c r="BB743" i="1"/>
  <c r="BD742" i="1"/>
  <c r="BC742" i="1"/>
  <c r="BB742" i="1"/>
  <c r="BD741" i="1"/>
  <c r="BC741" i="1"/>
  <c r="BB741" i="1"/>
  <c r="AL262" i="30"/>
  <c r="B740" i="1"/>
  <c r="B262" i="30" s="1"/>
  <c r="A740" i="1"/>
  <c r="A262" i="30" s="1"/>
  <c r="AL261" i="30"/>
  <c r="B739" i="1"/>
  <c r="B261" i="30" s="1"/>
  <c r="A739" i="1"/>
  <c r="A261" i="30" s="1"/>
  <c r="AL260" i="30"/>
  <c r="B738" i="1"/>
  <c r="B260" i="30" s="1"/>
  <c r="A738" i="1"/>
  <c r="A260" i="30" s="1"/>
  <c r="B734" i="1"/>
  <c r="B259" i="30" s="1"/>
  <c r="A734" i="1"/>
  <c r="A259" i="30" s="1"/>
  <c r="BD733" i="1"/>
  <c r="BC733" i="1"/>
  <c r="BB733" i="1"/>
  <c r="AJ733" i="1"/>
  <c r="AI733" i="1"/>
  <c r="A733" i="1"/>
  <c r="BD731" i="1"/>
  <c r="BC731" i="1"/>
  <c r="BB731" i="1"/>
  <c r="AJ728" i="1"/>
  <c r="AI728" i="1"/>
  <c r="AI258" i="30" s="1"/>
  <c r="AH728" i="1"/>
  <c r="AH258" i="30" s="1"/>
  <c r="AG728" i="1"/>
  <c r="AG258" i="30" s="1"/>
  <c r="AF728" i="1"/>
  <c r="AF258" i="30" s="1"/>
  <c r="AE728" i="1"/>
  <c r="AE258" i="30" s="1"/>
  <c r="AD728" i="1"/>
  <c r="AD258" i="30" s="1"/>
  <c r="AC728" i="1"/>
  <c r="AC258" i="30" s="1"/>
  <c r="AB728" i="1"/>
  <c r="AB258" i="30" s="1"/>
  <c r="AA728" i="1"/>
  <c r="AA258" i="30" s="1"/>
  <c r="Z728" i="1"/>
  <c r="Z258" i="30" s="1"/>
  <c r="Y728" i="1"/>
  <c r="Y258" i="30" s="1"/>
  <c r="X728" i="1"/>
  <c r="X258" i="30" s="1"/>
  <c r="B728" i="1"/>
  <c r="B258" i="30" s="1"/>
  <c r="A728" i="1"/>
  <c r="A258" i="30" s="1"/>
  <c r="AL257" i="30"/>
  <c r="B727" i="1"/>
  <c r="B257" i="30" s="1"/>
  <c r="A727" i="1"/>
  <c r="A257" i="30" s="1"/>
  <c r="AL256" i="30"/>
  <c r="B726" i="1"/>
  <c r="A726" i="1"/>
  <c r="A256" i="30" s="1"/>
  <c r="AL255" i="30"/>
  <c r="B724" i="1"/>
  <c r="A724" i="1"/>
  <c r="A255" i="30" s="1"/>
  <c r="BD723" i="1"/>
  <c r="BC723" i="1"/>
  <c r="BB723" i="1"/>
  <c r="BD722" i="1"/>
  <c r="BC722" i="1"/>
  <c r="BB722" i="1"/>
  <c r="BD720" i="1"/>
  <c r="BC720" i="1"/>
  <c r="BB720" i="1"/>
  <c r="A720" i="1"/>
  <c r="BD719" i="1"/>
  <c r="BD254" i="30" s="1"/>
  <c r="BC719" i="1"/>
  <c r="BC254" i="30" s="1"/>
  <c r="BB719" i="1"/>
  <c r="BB254" i="30" s="1"/>
  <c r="A719" i="1"/>
  <c r="A254" i="30" s="1"/>
  <c r="BD718" i="1"/>
  <c r="BD253" i="30" s="1"/>
  <c r="BC718" i="1"/>
  <c r="BC253" i="30" s="1"/>
  <c r="BB718" i="1"/>
  <c r="BB253" i="30" s="1"/>
  <c r="A718" i="1"/>
  <c r="A253" i="30" s="1"/>
  <c r="AI687" i="1"/>
  <c r="AI693" i="1" s="1"/>
  <c r="AI240" i="30" s="1"/>
  <c r="AH720" i="1"/>
  <c r="AG718" i="1"/>
  <c r="AG253" i="30" s="1"/>
  <c r="AE718" i="1"/>
  <c r="AE253" i="30" s="1"/>
  <c r="AC719" i="1"/>
  <c r="AC254" i="30" s="1"/>
  <c r="Z720" i="1"/>
  <c r="Y720" i="1"/>
  <c r="W718" i="1"/>
  <c r="W253" i="30" s="1"/>
  <c r="BD716" i="1"/>
  <c r="BD252" i="30" s="1"/>
  <c r="BC716" i="1"/>
  <c r="BC252" i="30" s="1"/>
  <c r="BB716" i="1"/>
  <c r="BB252" i="30" s="1"/>
  <c r="A716" i="1"/>
  <c r="A252" i="30" s="1"/>
  <c r="BD715" i="1"/>
  <c r="BD251" i="30" s="1"/>
  <c r="BC715" i="1"/>
  <c r="BC251" i="30" s="1"/>
  <c r="BB715" i="1"/>
  <c r="BB251" i="30" s="1"/>
  <c r="A715" i="1"/>
  <c r="A251" i="30" s="1"/>
  <c r="BD714" i="1"/>
  <c r="BD250" i="30" s="1"/>
  <c r="BC714" i="1"/>
  <c r="BC250" i="30" s="1"/>
  <c r="BB714" i="1"/>
  <c r="BB250" i="30" s="1"/>
  <c r="A714" i="1"/>
  <c r="A250" i="30" s="1"/>
  <c r="BD713" i="1"/>
  <c r="BD249" i="30" s="1"/>
  <c r="BC713" i="1"/>
  <c r="BC249" i="30" s="1"/>
  <c r="BB713" i="1"/>
  <c r="BB249" i="30" s="1"/>
  <c r="A713" i="1"/>
  <c r="A249" i="30" s="1"/>
  <c r="BD712" i="1"/>
  <c r="BC712" i="1"/>
  <c r="BB712" i="1"/>
  <c r="AI712" i="1"/>
  <c r="AH712" i="1"/>
  <c r="AG712" i="1"/>
  <c r="AF712" i="1"/>
  <c r="AE712" i="1"/>
  <c r="AD712" i="1"/>
  <c r="AC712" i="1"/>
  <c r="AB712" i="1"/>
  <c r="AA712" i="1"/>
  <c r="Z712" i="1"/>
  <c r="Y712" i="1"/>
  <c r="X712" i="1"/>
  <c r="W712" i="1"/>
  <c r="U712" i="1"/>
  <c r="A712" i="1"/>
  <c r="BD711" i="1"/>
  <c r="BD248" i="30" s="1"/>
  <c r="BC711" i="1"/>
  <c r="BC248" i="30" s="1"/>
  <c r="BB711" i="1"/>
  <c r="BB248" i="30" s="1"/>
  <c r="AC711" i="1"/>
  <c r="AC248" i="30" s="1"/>
  <c r="AB711" i="1"/>
  <c r="AB248" i="30" s="1"/>
  <c r="AA711" i="1"/>
  <c r="AA248" i="30" s="1"/>
  <c r="Z711" i="1"/>
  <c r="Z248" i="30" s="1"/>
  <c r="Y711" i="1"/>
  <c r="Y248" i="30" s="1"/>
  <c r="X711" i="1"/>
  <c r="X248" i="30" s="1"/>
  <c r="W711" i="1"/>
  <c r="W248" i="30" s="1"/>
  <c r="U711" i="1"/>
  <c r="U248" i="30" s="1"/>
  <c r="A711" i="1"/>
  <c r="A248" i="30" s="1"/>
  <c r="BD710" i="1"/>
  <c r="BD247" i="30" s="1"/>
  <c r="BC710" i="1"/>
  <c r="BC247" i="30" s="1"/>
  <c r="BB710" i="1"/>
  <c r="BB247" i="30" s="1"/>
  <c r="AI710" i="1"/>
  <c r="AI247" i="30" s="1"/>
  <c r="AH710" i="1"/>
  <c r="AH247" i="30" s="1"/>
  <c r="AG710" i="1"/>
  <c r="AG247" i="30" s="1"/>
  <c r="AF710" i="1"/>
  <c r="AF247" i="30" s="1"/>
  <c r="AE710" i="1"/>
  <c r="AE247" i="30" s="1"/>
  <c r="AD710" i="1"/>
  <c r="AD247" i="30" s="1"/>
  <c r="AC710" i="1"/>
  <c r="AC247" i="30" s="1"/>
  <c r="AB710" i="1"/>
  <c r="AB247" i="30" s="1"/>
  <c r="AA710" i="1"/>
  <c r="AA247" i="30" s="1"/>
  <c r="Z710" i="1"/>
  <c r="Z247" i="30" s="1"/>
  <c r="Y710" i="1"/>
  <c r="Y247" i="30" s="1"/>
  <c r="X710" i="1"/>
  <c r="X247" i="30" s="1"/>
  <c r="W710" i="1"/>
  <c r="W247" i="30" s="1"/>
  <c r="U710" i="1"/>
  <c r="U247" i="30" s="1"/>
  <c r="A710" i="1"/>
  <c r="A247" i="30" s="1"/>
  <c r="BD709" i="1"/>
  <c r="BC709" i="1"/>
  <c r="BB709" i="1"/>
  <c r="A709" i="1"/>
  <c r="BD708" i="1"/>
  <c r="BC708" i="1"/>
  <c r="BB708" i="1"/>
  <c r="AI708" i="1"/>
  <c r="AH708" i="1"/>
  <c r="AG708" i="1"/>
  <c r="AF708" i="1"/>
  <c r="AE708" i="1"/>
  <c r="AD708" i="1"/>
  <c r="AC708" i="1"/>
  <c r="AB708" i="1"/>
  <c r="AA708" i="1"/>
  <c r="Z708" i="1"/>
  <c r="Y708" i="1"/>
  <c r="X708" i="1"/>
  <c r="W708" i="1"/>
  <c r="U708" i="1"/>
  <c r="A708" i="1"/>
  <c r="BD707" i="1"/>
  <c r="BD246" i="30" s="1"/>
  <c r="BC707" i="1"/>
  <c r="BC246" i="30" s="1"/>
  <c r="BB707" i="1"/>
  <c r="BB246" i="30" s="1"/>
  <c r="AC707" i="1"/>
  <c r="AC246" i="30" s="1"/>
  <c r="AB707" i="1"/>
  <c r="AB246" i="30" s="1"/>
  <c r="AA707" i="1"/>
  <c r="AA246" i="30" s="1"/>
  <c r="Z707" i="1"/>
  <c r="Z246" i="30" s="1"/>
  <c r="Y707" i="1"/>
  <c r="Y246" i="30" s="1"/>
  <c r="X707" i="1"/>
  <c r="X246" i="30" s="1"/>
  <c r="W707" i="1"/>
  <c r="W246" i="30" s="1"/>
  <c r="U707" i="1"/>
  <c r="U246" i="30" s="1"/>
  <c r="A707" i="1"/>
  <c r="A246" i="30" s="1"/>
  <c r="BD706" i="1"/>
  <c r="BD245" i="30" s="1"/>
  <c r="BC706" i="1"/>
  <c r="BC245" i="30" s="1"/>
  <c r="BB706" i="1"/>
  <c r="BB245" i="30" s="1"/>
  <c r="AI706" i="1"/>
  <c r="AI245" i="30" s="1"/>
  <c r="AH706" i="1"/>
  <c r="AH245" i="30" s="1"/>
  <c r="AG706" i="1"/>
  <c r="AG245" i="30" s="1"/>
  <c r="AF706" i="1"/>
  <c r="AF245" i="30" s="1"/>
  <c r="AE706" i="1"/>
  <c r="AE245" i="30" s="1"/>
  <c r="AD706" i="1"/>
  <c r="AD245" i="30" s="1"/>
  <c r="AC706" i="1"/>
  <c r="AC245" i="30" s="1"/>
  <c r="AB706" i="1"/>
  <c r="AB245" i="30" s="1"/>
  <c r="AA706" i="1"/>
  <c r="AA245" i="30" s="1"/>
  <c r="Z706" i="1"/>
  <c r="Z245" i="30" s="1"/>
  <c r="Y706" i="1"/>
  <c r="Y245" i="30" s="1"/>
  <c r="X706" i="1"/>
  <c r="X245" i="30" s="1"/>
  <c r="W706" i="1"/>
  <c r="W245" i="30" s="1"/>
  <c r="U706" i="1"/>
  <c r="U245" i="30" s="1"/>
  <c r="A706" i="1"/>
  <c r="A245" i="30" s="1"/>
  <c r="BD705" i="1"/>
  <c r="BC705" i="1"/>
  <c r="BB705" i="1"/>
  <c r="A705" i="1"/>
  <c r="BD702" i="1"/>
  <c r="BD242" i="30" s="1"/>
  <c r="BC702" i="1"/>
  <c r="BC242" i="30" s="1"/>
  <c r="BB702" i="1"/>
  <c r="BB242" i="30" s="1"/>
  <c r="A702" i="1"/>
  <c r="A242" i="30" s="1"/>
  <c r="BD700" i="1"/>
  <c r="BD241" i="30" s="1"/>
  <c r="BC700" i="1"/>
  <c r="BC241" i="30" s="1"/>
  <c r="BB700" i="1"/>
  <c r="BB241" i="30" s="1"/>
  <c r="AC700" i="1"/>
  <c r="AC241" i="30" s="1"/>
  <c r="AB700" i="1"/>
  <c r="AB241" i="30" s="1"/>
  <c r="AA700" i="1"/>
  <c r="AA241" i="30" s="1"/>
  <c r="Z700" i="1"/>
  <c r="Z241" i="30" s="1"/>
  <c r="Y700" i="1"/>
  <c r="Y241" i="30" s="1"/>
  <c r="X700" i="1"/>
  <c r="X241" i="30" s="1"/>
  <c r="W700" i="1"/>
  <c r="W241" i="30" s="1"/>
  <c r="U700" i="1"/>
  <c r="U241" i="30" s="1"/>
  <c r="A241" i="30"/>
  <c r="BD698" i="1"/>
  <c r="BC698" i="1"/>
  <c r="BB698" i="1"/>
  <c r="A698" i="1"/>
  <c r="BD697" i="1"/>
  <c r="BC697" i="1"/>
  <c r="BB697" i="1"/>
  <c r="A697" i="1"/>
  <c r="BD696" i="1"/>
  <c r="BC696" i="1"/>
  <c r="BB696" i="1"/>
  <c r="A696" i="1"/>
  <c r="BD695" i="1"/>
  <c r="BC695" i="1"/>
  <c r="BB695" i="1"/>
  <c r="A695" i="1"/>
  <c r="BD694" i="1"/>
  <c r="BC694" i="1"/>
  <c r="BB694" i="1"/>
  <c r="A694" i="1"/>
  <c r="BD688" i="1"/>
  <c r="BC688" i="1"/>
  <c r="BB688" i="1"/>
  <c r="AC688" i="1"/>
  <c r="AB688" i="1"/>
  <c r="AA688" i="1"/>
  <c r="Z688" i="1"/>
  <c r="Y688" i="1"/>
  <c r="X688" i="1"/>
  <c r="W688" i="1"/>
  <c r="U688" i="1"/>
  <c r="BD687" i="1"/>
  <c r="BC687" i="1"/>
  <c r="BB687" i="1"/>
  <c r="B684" i="1"/>
  <c r="BB684" i="1" s="1"/>
  <c r="A684" i="1"/>
  <c r="AJ683" i="1"/>
  <c r="AI683" i="1"/>
  <c r="AH683" i="1"/>
  <c r="B683" i="1"/>
  <c r="BB683" i="1" s="1"/>
  <c r="A683" i="1"/>
  <c r="AJ682" i="1"/>
  <c r="AI682" i="1"/>
  <c r="AH682" i="1"/>
  <c r="AG682" i="1"/>
  <c r="AF682" i="1"/>
  <c r="AE682" i="1"/>
  <c r="AD682" i="1"/>
  <c r="AC682" i="1"/>
  <c r="AB682" i="1"/>
  <c r="B682" i="1"/>
  <c r="BD682" i="1" s="1"/>
  <c r="A682" i="1"/>
  <c r="AL237" i="30"/>
  <c r="B681" i="1"/>
  <c r="B237" i="30" s="1"/>
  <c r="A681" i="1"/>
  <c r="A237" i="30" s="1"/>
  <c r="AJ680" i="1"/>
  <c r="AJ236" i="30" s="1"/>
  <c r="AI680" i="1"/>
  <c r="AI236" i="30" s="1"/>
  <c r="AH680" i="1"/>
  <c r="AH236" i="30" s="1"/>
  <c r="AG680" i="1"/>
  <c r="AG236" i="30" s="1"/>
  <c r="AF680" i="1"/>
  <c r="AF236" i="30" s="1"/>
  <c r="AE680" i="1"/>
  <c r="AE236" i="30" s="1"/>
  <c r="AD680" i="1"/>
  <c r="AD236" i="30" s="1"/>
  <c r="AC680" i="1"/>
  <c r="AC236" i="30" s="1"/>
  <c r="AB680" i="1"/>
  <c r="AB236" i="30" s="1"/>
  <c r="AA680" i="1"/>
  <c r="AA236" i="30" s="1"/>
  <c r="B680" i="1"/>
  <c r="A680" i="1"/>
  <c r="A236" i="30" s="1"/>
  <c r="B679" i="1"/>
  <c r="B235" i="30" s="1"/>
  <c r="A679" i="1"/>
  <c r="A235" i="30" s="1"/>
  <c r="AL234" i="30"/>
  <c r="B678" i="1"/>
  <c r="BC678" i="1" s="1"/>
  <c r="BC234" i="30" s="1"/>
  <c r="A678" i="1"/>
  <c r="A234" i="30" s="1"/>
  <c r="AL233" i="30"/>
  <c r="B672" i="1"/>
  <c r="B233" i="30" s="1"/>
  <c r="A672" i="1"/>
  <c r="A233" i="30" s="1"/>
  <c r="BD671" i="1"/>
  <c r="BC671" i="1"/>
  <c r="BB671" i="1"/>
  <c r="BD670" i="1"/>
  <c r="BC670" i="1"/>
  <c r="BB670" i="1"/>
  <c r="BD668" i="1"/>
  <c r="BC668" i="1"/>
  <c r="BB668" i="1"/>
  <c r="BD667" i="1"/>
  <c r="BC667" i="1"/>
  <c r="BB667" i="1"/>
  <c r="B663" i="1"/>
  <c r="A663" i="1"/>
  <c r="A232" i="30" s="1"/>
  <c r="B662" i="1"/>
  <c r="A662" i="1"/>
  <c r="A231" i="30" s="1"/>
  <c r="B661" i="1"/>
  <c r="B230" i="30" s="1"/>
  <c r="A661" i="1"/>
  <c r="A230" i="30" s="1"/>
  <c r="B660" i="1"/>
  <c r="B229" i="30" s="1"/>
  <c r="A660" i="1"/>
  <c r="A229" i="30" s="1"/>
  <c r="B659" i="1"/>
  <c r="A659" i="1"/>
  <c r="A228" i="30" s="1"/>
  <c r="B658" i="1"/>
  <c r="A658" i="1"/>
  <c r="A227" i="30" s="1"/>
  <c r="AK657" i="1"/>
  <c r="AK226" i="30" s="1"/>
  <c r="AI657" i="1"/>
  <c r="AI226" i="30" s="1"/>
  <c r="AF657" i="1"/>
  <c r="AF226" i="30" s="1"/>
  <c r="AD657" i="1"/>
  <c r="AD226" i="30" s="1"/>
  <c r="AC657" i="1"/>
  <c r="AC226" i="30" s="1"/>
  <c r="AB657" i="1"/>
  <c r="AB226" i="30" s="1"/>
  <c r="AA657" i="1"/>
  <c r="AA226" i="30" s="1"/>
  <c r="Z657" i="1"/>
  <c r="Z226" i="30" s="1"/>
  <c r="Y657" i="1"/>
  <c r="Y226" i="30" s="1"/>
  <c r="X657" i="1"/>
  <c r="X226" i="30" s="1"/>
  <c r="W657" i="1"/>
  <c r="W226" i="30" s="1"/>
  <c r="U657" i="1"/>
  <c r="U226" i="30" s="1"/>
  <c r="P657" i="1"/>
  <c r="P226" i="30" s="1"/>
  <c r="B657" i="1"/>
  <c r="B226" i="30" s="1"/>
  <c r="A657" i="1"/>
  <c r="A226" i="30" s="1"/>
  <c r="B656" i="1"/>
  <c r="B225" i="30" s="1"/>
  <c r="A656" i="1"/>
  <c r="A225" i="30" s="1"/>
  <c r="B655" i="1"/>
  <c r="B224" i="30" s="1"/>
  <c r="A655" i="1"/>
  <c r="A224" i="30" s="1"/>
  <c r="B654" i="1"/>
  <c r="B223" i="30" s="1"/>
  <c r="A654" i="1"/>
  <c r="A223" i="30" s="1"/>
  <c r="B653" i="1"/>
  <c r="A653" i="1"/>
  <c r="A222" i="30" s="1"/>
  <c r="B652" i="1"/>
  <c r="A652" i="1"/>
  <c r="A221" i="30" s="1"/>
  <c r="AK651" i="1"/>
  <c r="AK220" i="30" s="1"/>
  <c r="AI651" i="1"/>
  <c r="AI220" i="30" s="1"/>
  <c r="AF651" i="1"/>
  <c r="AF220" i="30" s="1"/>
  <c r="AD651" i="1"/>
  <c r="AD220" i="30" s="1"/>
  <c r="AC651" i="1"/>
  <c r="AC220" i="30" s="1"/>
  <c r="AB651" i="1"/>
  <c r="AB220" i="30" s="1"/>
  <c r="AA651" i="1"/>
  <c r="AA220" i="30" s="1"/>
  <c r="Z651" i="1"/>
  <c r="Z220" i="30" s="1"/>
  <c r="Y651" i="1"/>
  <c r="Y220" i="30" s="1"/>
  <c r="X651" i="1"/>
  <c r="X220" i="30" s="1"/>
  <c r="W651" i="1"/>
  <c r="W220" i="30" s="1"/>
  <c r="U651" i="1"/>
  <c r="U220" i="30" s="1"/>
  <c r="P651" i="1"/>
  <c r="P220" i="30" s="1"/>
  <c r="B651" i="1"/>
  <c r="B220" i="30" s="1"/>
  <c r="A651" i="1"/>
  <c r="A220" i="30" s="1"/>
  <c r="B650" i="1"/>
  <c r="B219" i="30" s="1"/>
  <c r="A650" i="1"/>
  <c r="A219" i="30" s="1"/>
  <c r="B649" i="1"/>
  <c r="B218" i="30" s="1"/>
  <c r="A649" i="1"/>
  <c r="A218" i="30" s="1"/>
  <c r="B648" i="1"/>
  <c r="B217" i="30" s="1"/>
  <c r="A648" i="1"/>
  <c r="A217" i="30" s="1"/>
  <c r="B647" i="1"/>
  <c r="A647" i="1"/>
  <c r="A216" i="30" s="1"/>
  <c r="B646" i="1"/>
  <c r="B215" i="30" s="1"/>
  <c r="A646" i="1"/>
  <c r="A215" i="30" s="1"/>
  <c r="B645" i="1"/>
  <c r="B214" i="30" s="1"/>
  <c r="A645" i="1"/>
  <c r="A214" i="30" s="1"/>
  <c r="B644" i="1"/>
  <c r="B213" i="30" s="1"/>
  <c r="A644" i="1"/>
  <c r="A213" i="30" s="1"/>
  <c r="AK643" i="1"/>
  <c r="AK212" i="30" s="1"/>
  <c r="AI643" i="1"/>
  <c r="AI212" i="30" s="1"/>
  <c r="AF643" i="1"/>
  <c r="AF212" i="30" s="1"/>
  <c r="AD643" i="1"/>
  <c r="AD212" i="30" s="1"/>
  <c r="AC643" i="1"/>
  <c r="AC212" i="30" s="1"/>
  <c r="AB643" i="1"/>
  <c r="AB212" i="30" s="1"/>
  <c r="AA643" i="1"/>
  <c r="AA212" i="30" s="1"/>
  <c r="Z643" i="1"/>
  <c r="Z212" i="30" s="1"/>
  <c r="Y643" i="1"/>
  <c r="Y212" i="30" s="1"/>
  <c r="X643" i="1"/>
  <c r="X212" i="30" s="1"/>
  <c r="W643" i="1"/>
  <c r="W212" i="30" s="1"/>
  <c r="U643" i="1"/>
  <c r="U212" i="30" s="1"/>
  <c r="S212" i="30"/>
  <c r="P643" i="1"/>
  <c r="P212" i="30" s="1"/>
  <c r="B643" i="1"/>
  <c r="B212" i="30" s="1"/>
  <c r="A643" i="1"/>
  <c r="A212" i="30" s="1"/>
  <c r="B642" i="1"/>
  <c r="B211" i="30" s="1"/>
  <c r="A642" i="1"/>
  <c r="A211" i="30" s="1"/>
  <c r="B641" i="1"/>
  <c r="B210" i="30" s="1"/>
  <c r="A641" i="1"/>
  <c r="A210" i="30" s="1"/>
  <c r="B640" i="1"/>
  <c r="B209" i="30" s="1"/>
  <c r="A640" i="1"/>
  <c r="A209" i="30" s="1"/>
  <c r="B639" i="1"/>
  <c r="B208" i="30" s="1"/>
  <c r="A639" i="1"/>
  <c r="A208" i="30" s="1"/>
  <c r="B638" i="1"/>
  <c r="A638" i="1"/>
  <c r="A207" i="30" s="1"/>
  <c r="B634" i="1"/>
  <c r="A634" i="1"/>
  <c r="B636" i="1"/>
  <c r="BC636" i="1" s="1"/>
  <c r="A636" i="1"/>
  <c r="B630" i="1"/>
  <c r="B206" i="30" s="1"/>
  <c r="A630" i="1"/>
  <c r="A206" i="30" s="1"/>
  <c r="BD629" i="1"/>
  <c r="BC629" i="1"/>
  <c r="BB629" i="1"/>
  <c r="BD623" i="1"/>
  <c r="BC623" i="1"/>
  <c r="BB623" i="1"/>
  <c r="BD622" i="1"/>
  <c r="BC622" i="1"/>
  <c r="BB622" i="1"/>
  <c r="B620" i="1"/>
  <c r="B205" i="30" s="1"/>
  <c r="A620" i="1"/>
  <c r="A205" i="30" s="1"/>
  <c r="AF613" i="1"/>
  <c r="AF204" i="30" s="1"/>
  <c r="B613" i="1"/>
  <c r="A613" i="1"/>
  <c r="A204" i="30" s="1"/>
  <c r="AF612" i="1"/>
  <c r="AF203" i="30" s="1"/>
  <c r="B612" i="1"/>
  <c r="A612" i="1"/>
  <c r="A203" i="30" s="1"/>
  <c r="AF611" i="1"/>
  <c r="AF202" i="30" s="1"/>
  <c r="B611" i="1"/>
  <c r="A611" i="1"/>
  <c r="A202" i="30" s="1"/>
  <c r="AF610" i="1"/>
  <c r="AF201" i="30" s="1"/>
  <c r="B610" i="1"/>
  <c r="A610" i="1"/>
  <c r="A201" i="30" s="1"/>
  <c r="AF609" i="1"/>
  <c r="AF200" i="30" s="1"/>
  <c r="B609" i="1"/>
  <c r="A609" i="1"/>
  <c r="A200" i="30" s="1"/>
  <c r="AF608" i="1"/>
  <c r="AF199" i="30" s="1"/>
  <c r="B608" i="1"/>
  <c r="A608" i="1"/>
  <c r="A199" i="30" s="1"/>
  <c r="AF607" i="1"/>
  <c r="AF198" i="30" s="1"/>
  <c r="B607" i="1"/>
  <c r="A607" i="1"/>
  <c r="A198" i="30" s="1"/>
  <c r="B606" i="1"/>
  <c r="A606" i="1"/>
  <c r="A197" i="30" s="1"/>
  <c r="AF605" i="1"/>
  <c r="AF196" i="30" s="1"/>
  <c r="B605" i="1"/>
  <c r="A605" i="1"/>
  <c r="A196" i="30" s="1"/>
  <c r="AF604" i="1"/>
  <c r="AF195" i="30" s="1"/>
  <c r="B604" i="1"/>
  <c r="A604" i="1"/>
  <c r="A195" i="30" s="1"/>
  <c r="AF603" i="1"/>
  <c r="AF194" i="30" s="1"/>
  <c r="B603" i="1"/>
  <c r="A603" i="1"/>
  <c r="A194" i="30" s="1"/>
  <c r="AF602" i="1"/>
  <c r="AF193" i="30" s="1"/>
  <c r="B602" i="1"/>
  <c r="A602" i="1"/>
  <c r="A193" i="30" s="1"/>
  <c r="AF601" i="1"/>
  <c r="AF192" i="30" s="1"/>
  <c r="B601" i="1"/>
  <c r="A601" i="1"/>
  <c r="A192" i="30" s="1"/>
  <c r="AF600" i="1"/>
  <c r="AF191" i="30" s="1"/>
  <c r="B600" i="1"/>
  <c r="A600" i="1"/>
  <c r="A191" i="30" s="1"/>
  <c r="AF599" i="1"/>
  <c r="AF190" i="30" s="1"/>
  <c r="B599" i="1"/>
  <c r="A599" i="1"/>
  <c r="A190" i="30" s="1"/>
  <c r="AF598" i="1"/>
  <c r="AF189" i="30" s="1"/>
  <c r="B598" i="1"/>
  <c r="A598" i="1"/>
  <c r="A189" i="30" s="1"/>
  <c r="AF597" i="1"/>
  <c r="AF188" i="30" s="1"/>
  <c r="B597" i="1"/>
  <c r="A597" i="1"/>
  <c r="A188" i="30" s="1"/>
  <c r="AF596" i="1"/>
  <c r="AF187" i="30" s="1"/>
  <c r="B596" i="1"/>
  <c r="A596" i="1"/>
  <c r="A187" i="30" s="1"/>
  <c r="AF595" i="1"/>
  <c r="AF186" i="30" s="1"/>
  <c r="B595" i="1"/>
  <c r="A595" i="1"/>
  <c r="A186" i="30" s="1"/>
  <c r="AF594" i="1"/>
  <c r="AF185" i="30" s="1"/>
  <c r="B594" i="1"/>
  <c r="A594" i="1"/>
  <c r="A185" i="30" s="1"/>
  <c r="AF593" i="1"/>
  <c r="AF184" i="30" s="1"/>
  <c r="B593" i="1"/>
  <c r="A593" i="1"/>
  <c r="A184" i="30" s="1"/>
  <c r="AF592" i="1"/>
  <c r="AF183" i="30" s="1"/>
  <c r="B592" i="1"/>
  <c r="A592" i="1"/>
  <c r="A183" i="30" s="1"/>
  <c r="AF591" i="1"/>
  <c r="AF182" i="30" s="1"/>
  <c r="B591" i="1"/>
  <c r="A591" i="1"/>
  <c r="A182" i="30" s="1"/>
  <c r="AF590" i="1"/>
  <c r="AF181" i="30" s="1"/>
  <c r="B590" i="1"/>
  <c r="A590" i="1"/>
  <c r="A181" i="30" s="1"/>
  <c r="AF589" i="1"/>
  <c r="AF180" i="30" s="1"/>
  <c r="B589" i="1"/>
  <c r="A589" i="1"/>
  <c r="A180" i="30" s="1"/>
  <c r="AF588" i="1"/>
  <c r="AF179" i="30" s="1"/>
  <c r="B588" i="1"/>
  <c r="A588" i="1"/>
  <c r="A179" i="30" s="1"/>
  <c r="AF587" i="1"/>
  <c r="AF178" i="30" s="1"/>
  <c r="B587" i="1"/>
  <c r="A587" i="1"/>
  <c r="A178" i="30" s="1"/>
  <c r="AF586" i="1"/>
  <c r="AF177" i="30" s="1"/>
  <c r="B586" i="1"/>
  <c r="A586" i="1"/>
  <c r="A177" i="30" s="1"/>
  <c r="AF585" i="1"/>
  <c r="AF176" i="30" s="1"/>
  <c r="B585" i="1"/>
  <c r="A585" i="1"/>
  <c r="A176" i="30" s="1"/>
  <c r="AF584" i="1"/>
  <c r="AF175" i="30" s="1"/>
  <c r="B584" i="1"/>
  <c r="A584" i="1"/>
  <c r="A175" i="30" s="1"/>
  <c r="AF583" i="1"/>
  <c r="AF174" i="30" s="1"/>
  <c r="B583" i="1"/>
  <c r="A583" i="1"/>
  <c r="A174" i="30" s="1"/>
  <c r="AF582" i="1"/>
  <c r="AF173" i="30" s="1"/>
  <c r="B582" i="1"/>
  <c r="A582" i="1"/>
  <c r="A173" i="30" s="1"/>
  <c r="AJ581" i="1"/>
  <c r="AI581" i="1"/>
  <c r="AI172" i="30" s="1"/>
  <c r="AH581" i="1"/>
  <c r="AH172" i="30" s="1"/>
  <c r="AG581" i="1"/>
  <c r="AG172" i="30" s="1"/>
  <c r="AF581" i="1"/>
  <c r="AF172" i="30" s="1"/>
  <c r="AE581" i="1"/>
  <c r="AE172" i="30" s="1"/>
  <c r="AD581" i="1"/>
  <c r="AD172" i="30" s="1"/>
  <c r="AC581" i="1"/>
  <c r="AC172" i="30" s="1"/>
  <c r="AB581" i="1"/>
  <c r="AB172" i="30" s="1"/>
  <c r="AA581" i="1"/>
  <c r="AA172" i="30" s="1"/>
  <c r="Z581" i="1"/>
  <c r="Z172" i="30" s="1"/>
  <c r="Y581" i="1"/>
  <c r="Y172" i="30" s="1"/>
  <c r="X581" i="1"/>
  <c r="X172" i="30" s="1"/>
  <c r="W581" i="1"/>
  <c r="W172" i="30" s="1"/>
  <c r="U581" i="1"/>
  <c r="U172" i="30" s="1"/>
  <c r="T581" i="1"/>
  <c r="T172" i="30" s="1"/>
  <c r="R581" i="1"/>
  <c r="R172" i="30" s="1"/>
  <c r="Q581" i="1"/>
  <c r="Q172" i="30" s="1"/>
  <c r="P581" i="1"/>
  <c r="P172" i="30" s="1"/>
  <c r="O581" i="1"/>
  <c r="O172" i="30" s="1"/>
  <c r="N581" i="1"/>
  <c r="N172" i="30" s="1"/>
  <c r="M581" i="1"/>
  <c r="M172" i="30" s="1"/>
  <c r="L581" i="1"/>
  <c r="L172" i="30" s="1"/>
  <c r="K581" i="1"/>
  <c r="K172" i="30" s="1"/>
  <c r="B581" i="1"/>
  <c r="A581" i="1"/>
  <c r="A172" i="30" s="1"/>
  <c r="AF580" i="1"/>
  <c r="AF171" i="30" s="1"/>
  <c r="B580" i="1"/>
  <c r="A580" i="1"/>
  <c r="A171" i="30" s="1"/>
  <c r="AF579" i="1"/>
  <c r="AF170" i="30" s="1"/>
  <c r="B579" i="1"/>
  <c r="A579" i="1"/>
  <c r="A170" i="30" s="1"/>
  <c r="B561" i="1"/>
  <c r="A561" i="1"/>
  <c r="B560" i="1"/>
  <c r="A560" i="1"/>
  <c r="A164" i="30" s="1"/>
  <c r="AL163" i="30"/>
  <c r="B559" i="1"/>
  <c r="A559" i="1"/>
  <c r="A163" i="30" s="1"/>
  <c r="AL162" i="30"/>
  <c r="B558" i="1"/>
  <c r="A558" i="1"/>
  <c r="A162" i="30" s="1"/>
  <c r="B557" i="1"/>
  <c r="A557" i="1"/>
  <c r="A161" i="30" s="1"/>
  <c r="AL160" i="30"/>
  <c r="B556" i="1"/>
  <c r="A556" i="1"/>
  <c r="A160" i="30" s="1"/>
  <c r="B555" i="1"/>
  <c r="A555" i="1"/>
  <c r="A159" i="30" s="1"/>
  <c r="AJ554" i="1"/>
  <c r="AJ158" i="30" s="1"/>
  <c r="AI554" i="1"/>
  <c r="AI158" i="30" s="1"/>
  <c r="AH554" i="1"/>
  <c r="AH158" i="30" s="1"/>
  <c r="AG554" i="1"/>
  <c r="AG158" i="30" s="1"/>
  <c r="AF554" i="1"/>
  <c r="AF158" i="30" s="1"/>
  <c r="AE554" i="1"/>
  <c r="AE158" i="30" s="1"/>
  <c r="AD554" i="1"/>
  <c r="AD158" i="30" s="1"/>
  <c r="AC554" i="1"/>
  <c r="AC158" i="30" s="1"/>
  <c r="AB554" i="1"/>
  <c r="AB158" i="30" s="1"/>
  <c r="AA554" i="1"/>
  <c r="AA158" i="30" s="1"/>
  <c r="Z554" i="1"/>
  <c r="Z158" i="30" s="1"/>
  <c r="Y554" i="1"/>
  <c r="Y158" i="30" s="1"/>
  <c r="B554" i="1"/>
  <c r="A554" i="1"/>
  <c r="A158" i="30" s="1"/>
  <c r="B551" i="1"/>
  <c r="A551" i="1"/>
  <c r="B550" i="1"/>
  <c r="A550" i="1"/>
  <c r="AG549" i="1"/>
  <c r="AF549" i="1"/>
  <c r="AE549" i="1"/>
  <c r="AD549" i="1"/>
  <c r="AC549" i="1"/>
  <c r="AB549" i="1"/>
  <c r="AA549" i="1"/>
  <c r="Z549" i="1"/>
  <c r="Y549" i="1"/>
  <c r="X549" i="1"/>
  <c r="W549" i="1"/>
  <c r="B549" i="1"/>
  <c r="A549" i="1"/>
  <c r="B548" i="1"/>
  <c r="A548" i="1"/>
  <c r="B547" i="1"/>
  <c r="A547" i="1"/>
  <c r="B546" i="1"/>
  <c r="A546" i="1"/>
  <c r="B545" i="1"/>
  <c r="A545" i="1"/>
  <c r="BD157" i="30"/>
  <c r="BC157" i="30"/>
  <c r="BB157" i="30"/>
  <c r="A536" i="1"/>
  <c r="A157" i="30" s="1"/>
  <c r="AH530" i="1"/>
  <c r="AG530" i="1"/>
  <c r="AF530" i="1"/>
  <c r="AE530" i="1"/>
  <c r="AD530" i="1"/>
  <c r="AC530" i="1"/>
  <c r="AB530" i="1"/>
  <c r="A530" i="1"/>
  <c r="BD156" i="30"/>
  <c r="BC156" i="30"/>
  <c r="BB156" i="30"/>
  <c r="AJ156" i="30"/>
  <c r="AI156" i="30"/>
  <c r="A529" i="1"/>
  <c r="A156" i="30" s="1"/>
  <c r="AJ1909" i="1"/>
  <c r="AJ155" i="30" s="1"/>
  <c r="B1909" i="1"/>
  <c r="A1909" i="1"/>
  <c r="A155" i="30" s="1"/>
  <c r="B1907" i="1"/>
  <c r="A1907" i="1"/>
  <c r="A154" i="30" s="1"/>
  <c r="B1906" i="1"/>
  <c r="A1906" i="1"/>
  <c r="A153" i="30" s="1"/>
  <c r="B152" i="30"/>
  <c r="A290" i="1"/>
  <c r="A152" i="30" s="1"/>
  <c r="B282" i="1"/>
  <c r="A282" i="1"/>
  <c r="A151" i="30" s="1"/>
  <c r="B281" i="1"/>
  <c r="A281" i="1"/>
  <c r="A150" i="30" s="1"/>
  <c r="AL149" i="30"/>
  <c r="B280" i="1"/>
  <c r="A280" i="1"/>
  <c r="A149" i="30" s="1"/>
  <c r="AJ279" i="1"/>
  <c r="AJ148" i="30" s="1"/>
  <c r="AI279" i="1"/>
  <c r="AI148" i="30" s="1"/>
  <c r="AH279" i="1"/>
  <c r="AH148" i="30" s="1"/>
  <c r="AG279" i="1"/>
  <c r="AG148" i="30" s="1"/>
  <c r="AF279" i="1"/>
  <c r="AF148" i="30" s="1"/>
  <c r="AE279" i="1"/>
  <c r="AE148" i="30" s="1"/>
  <c r="AD279" i="1"/>
  <c r="AD148" i="30" s="1"/>
  <c r="AC279" i="1"/>
  <c r="AC148" i="30" s="1"/>
  <c r="AB279" i="1"/>
  <c r="AB148" i="30" s="1"/>
  <c r="AA279" i="1"/>
  <c r="AA148" i="30" s="1"/>
  <c r="Z279" i="1"/>
  <c r="Z148" i="30" s="1"/>
  <c r="Y279" i="1"/>
  <c r="Y148" i="30" s="1"/>
  <c r="X279" i="1"/>
  <c r="X148" i="30" s="1"/>
  <c r="W279" i="1"/>
  <c r="W148" i="30" s="1"/>
  <c r="U279" i="1"/>
  <c r="U148" i="30" s="1"/>
  <c r="T279" i="1"/>
  <c r="T148" i="30" s="1"/>
  <c r="R279" i="1"/>
  <c r="R148" i="30" s="1"/>
  <c r="Q279" i="1"/>
  <c r="Q148" i="30" s="1"/>
  <c r="P279" i="1"/>
  <c r="P148" i="30" s="1"/>
  <c r="O279" i="1"/>
  <c r="O148" i="30" s="1"/>
  <c r="N279" i="1"/>
  <c r="N148" i="30" s="1"/>
  <c r="M279" i="1"/>
  <c r="M148" i="30" s="1"/>
  <c r="L279" i="1"/>
  <c r="L148" i="30" s="1"/>
  <c r="K279" i="1"/>
  <c r="K148" i="30" s="1"/>
  <c r="B279" i="1"/>
  <c r="A279" i="1"/>
  <c r="A148" i="30" s="1"/>
  <c r="R278" i="1"/>
  <c r="R147" i="30" s="1"/>
  <c r="Q278" i="1"/>
  <c r="Q147" i="30" s="1"/>
  <c r="P278" i="1"/>
  <c r="P147" i="30" s="1"/>
  <c r="O278" i="1"/>
  <c r="O147" i="30" s="1"/>
  <c r="N278" i="1"/>
  <c r="N147" i="30" s="1"/>
  <c r="M278" i="1"/>
  <c r="M147" i="30" s="1"/>
  <c r="L278" i="1"/>
  <c r="L147" i="30" s="1"/>
  <c r="K278" i="1"/>
  <c r="K147" i="30" s="1"/>
  <c r="B278" i="1"/>
  <c r="A278" i="1"/>
  <c r="A147" i="30" s="1"/>
  <c r="AL146" i="30"/>
  <c r="B277" i="1"/>
  <c r="A277" i="1"/>
  <c r="A146" i="30" s="1"/>
  <c r="AL145" i="30"/>
  <c r="B271" i="1"/>
  <c r="A271" i="1"/>
  <c r="A145" i="30" s="1"/>
  <c r="AL144" i="30"/>
  <c r="B270" i="1"/>
  <c r="A270" i="1"/>
  <c r="A144" i="30" s="1"/>
  <c r="AK269" i="1"/>
  <c r="AK143" i="30" s="1"/>
  <c r="AI269" i="1"/>
  <c r="AI143" i="30" s="1"/>
  <c r="AG269" i="1"/>
  <c r="AG143" i="30" s="1"/>
  <c r="AF269" i="1"/>
  <c r="AF143" i="30" s="1"/>
  <c r="AD269" i="1"/>
  <c r="AD143" i="30" s="1"/>
  <c r="AC269" i="1"/>
  <c r="AC143" i="30" s="1"/>
  <c r="AB269" i="1"/>
  <c r="AB143" i="30" s="1"/>
  <c r="AA269" i="1"/>
  <c r="AA143" i="30" s="1"/>
  <c r="Z269" i="1"/>
  <c r="Z143" i="30" s="1"/>
  <c r="X269" i="1"/>
  <c r="X143" i="30" s="1"/>
  <c r="W269" i="1"/>
  <c r="W143" i="30" s="1"/>
  <c r="U269" i="1"/>
  <c r="U143" i="30" s="1"/>
  <c r="R269" i="1"/>
  <c r="R143" i="30" s="1"/>
  <c r="P269" i="1"/>
  <c r="P143" i="30" s="1"/>
  <c r="B269" i="1"/>
  <c r="A269" i="1"/>
  <c r="A143" i="30" s="1"/>
  <c r="AL142" i="30"/>
  <c r="B268" i="1"/>
  <c r="A268" i="1"/>
  <c r="A142" i="30" s="1"/>
  <c r="AL141" i="30"/>
  <c r="B267" i="1"/>
  <c r="A267" i="1"/>
  <c r="A141" i="30" s="1"/>
  <c r="AK266" i="1"/>
  <c r="AK140" i="30" s="1"/>
  <c r="AI266" i="1"/>
  <c r="AG266" i="1"/>
  <c r="AG140" i="30" s="1"/>
  <c r="AF266" i="1"/>
  <c r="AF140" i="30" s="1"/>
  <c r="AD266" i="1"/>
  <c r="AD140" i="30" s="1"/>
  <c r="AC266" i="1"/>
  <c r="AC140" i="30" s="1"/>
  <c r="AB266" i="1"/>
  <c r="AB140" i="30" s="1"/>
  <c r="AA266" i="1"/>
  <c r="AA140" i="30" s="1"/>
  <c r="Z266" i="1"/>
  <c r="Z140" i="30" s="1"/>
  <c r="X266" i="1"/>
  <c r="X140" i="30" s="1"/>
  <c r="W266" i="1"/>
  <c r="W140" i="30" s="1"/>
  <c r="U266" i="1"/>
  <c r="U140" i="30" s="1"/>
  <c r="R266" i="1"/>
  <c r="R140" i="30" s="1"/>
  <c r="P266" i="1"/>
  <c r="P140" i="30" s="1"/>
  <c r="B266" i="1"/>
  <c r="A266" i="1"/>
  <c r="A140" i="30" s="1"/>
  <c r="AL139" i="30"/>
  <c r="B265" i="1"/>
  <c r="A265" i="1"/>
  <c r="A139" i="30" s="1"/>
  <c r="AL138" i="30"/>
  <c r="B264" i="1"/>
  <c r="A264" i="1"/>
  <c r="A138" i="30" s="1"/>
  <c r="AK263" i="1"/>
  <c r="AK137" i="30" s="1"/>
  <c r="AI263" i="1"/>
  <c r="AG263" i="1"/>
  <c r="AG137" i="30" s="1"/>
  <c r="AF263" i="1"/>
  <c r="AF137" i="30" s="1"/>
  <c r="AD263" i="1"/>
  <c r="AD137" i="30" s="1"/>
  <c r="AC263" i="1"/>
  <c r="AC137" i="30" s="1"/>
  <c r="AB263" i="1"/>
  <c r="AB137" i="30" s="1"/>
  <c r="AA263" i="1"/>
  <c r="AA137" i="30" s="1"/>
  <c r="Z263" i="1"/>
  <c r="Z137" i="30" s="1"/>
  <c r="X263" i="1"/>
  <c r="X137" i="30" s="1"/>
  <c r="W263" i="1"/>
  <c r="W137" i="30" s="1"/>
  <c r="U263" i="1"/>
  <c r="U137" i="30" s="1"/>
  <c r="R263" i="1"/>
  <c r="R137" i="30" s="1"/>
  <c r="P263" i="1"/>
  <c r="P137" i="30" s="1"/>
  <c r="B263" i="1"/>
  <c r="A263" i="1"/>
  <c r="A137" i="30" s="1"/>
  <c r="AL125" i="30"/>
  <c r="B243" i="1"/>
  <c r="A243" i="1"/>
  <c r="A125" i="30" s="1"/>
  <c r="AK242" i="1"/>
  <c r="AK124" i="30" s="1"/>
  <c r="AI242" i="1"/>
  <c r="AG242" i="1"/>
  <c r="AG124" i="30" s="1"/>
  <c r="AF242" i="1"/>
  <c r="AF124" i="30" s="1"/>
  <c r="AD242" i="1"/>
  <c r="AD124" i="30" s="1"/>
  <c r="AC242" i="1"/>
  <c r="AC124" i="30" s="1"/>
  <c r="AB242" i="1"/>
  <c r="AB124" i="30" s="1"/>
  <c r="AA242" i="1"/>
  <c r="AA124" i="30" s="1"/>
  <c r="Z242" i="1"/>
  <c r="Z124" i="30" s="1"/>
  <c r="Y242" i="1"/>
  <c r="Y124" i="30" s="1"/>
  <c r="X242" i="1"/>
  <c r="X124" i="30" s="1"/>
  <c r="W242" i="1"/>
  <c r="W124" i="30" s="1"/>
  <c r="U242" i="1"/>
  <c r="U124" i="30" s="1"/>
  <c r="R242" i="1"/>
  <c r="R124" i="30" s="1"/>
  <c r="P242" i="1"/>
  <c r="P124" i="30" s="1"/>
  <c r="O242" i="1"/>
  <c r="O124" i="30" s="1"/>
  <c r="B242" i="1"/>
  <c r="A242" i="1"/>
  <c r="A124" i="30" s="1"/>
  <c r="AL123" i="30"/>
  <c r="B241" i="1"/>
  <c r="A241" i="1"/>
  <c r="A123" i="30" s="1"/>
  <c r="AL122" i="30"/>
  <c r="B240" i="1"/>
  <c r="A240" i="1"/>
  <c r="A122" i="30" s="1"/>
  <c r="B239" i="1"/>
  <c r="A239" i="1"/>
  <c r="A121" i="30" s="1"/>
  <c r="AK238" i="1"/>
  <c r="AK120" i="30" s="1"/>
  <c r="AI238" i="1"/>
  <c r="AG238" i="1"/>
  <c r="AG120" i="30" s="1"/>
  <c r="AF238" i="1"/>
  <c r="AF120" i="30" s="1"/>
  <c r="AD238" i="1"/>
  <c r="AD120" i="30" s="1"/>
  <c r="AC238" i="1"/>
  <c r="AC120" i="30" s="1"/>
  <c r="AB238" i="1"/>
  <c r="AB120" i="30" s="1"/>
  <c r="AA238" i="1"/>
  <c r="AA120" i="30" s="1"/>
  <c r="Z238" i="1"/>
  <c r="Z120" i="30" s="1"/>
  <c r="Y238" i="1"/>
  <c r="Y120" i="30" s="1"/>
  <c r="X238" i="1"/>
  <c r="X120" i="30" s="1"/>
  <c r="W238" i="1"/>
  <c r="W120" i="30" s="1"/>
  <c r="U238" i="1"/>
  <c r="U120" i="30" s="1"/>
  <c r="R238" i="1"/>
  <c r="R120" i="30" s="1"/>
  <c r="P238" i="1"/>
  <c r="P120" i="30" s="1"/>
  <c r="O238" i="1"/>
  <c r="O120" i="30" s="1"/>
  <c r="B238" i="1"/>
  <c r="A238" i="1"/>
  <c r="A120" i="30" s="1"/>
  <c r="AL119" i="30"/>
  <c r="B237" i="1"/>
  <c r="A237" i="1"/>
  <c r="A119" i="30" s="1"/>
  <c r="AL118" i="30"/>
  <c r="B236" i="1"/>
  <c r="A236" i="1"/>
  <c r="A118" i="30" s="1"/>
  <c r="AL117" i="30"/>
  <c r="B235" i="1"/>
  <c r="A235" i="1"/>
  <c r="A117" i="30" s="1"/>
  <c r="AK234" i="1"/>
  <c r="AK116" i="30" s="1"/>
  <c r="AI234" i="1"/>
  <c r="AG234" i="1"/>
  <c r="AG116" i="30" s="1"/>
  <c r="AF234" i="1"/>
  <c r="AF116" i="30" s="1"/>
  <c r="AD234" i="1"/>
  <c r="AD116" i="30" s="1"/>
  <c r="AC234" i="1"/>
  <c r="AC116" i="30" s="1"/>
  <c r="AB234" i="1"/>
  <c r="AB116" i="30" s="1"/>
  <c r="AA234" i="1"/>
  <c r="AA116" i="30" s="1"/>
  <c r="Z234" i="1"/>
  <c r="Z116" i="30" s="1"/>
  <c r="Y234" i="1"/>
  <c r="Y116" i="30" s="1"/>
  <c r="X234" i="1"/>
  <c r="X116" i="30" s="1"/>
  <c r="W234" i="1"/>
  <c r="W116" i="30" s="1"/>
  <c r="U234" i="1"/>
  <c r="U116" i="30" s="1"/>
  <c r="R234" i="1"/>
  <c r="R116" i="30" s="1"/>
  <c r="P234" i="1"/>
  <c r="P116" i="30" s="1"/>
  <c r="O234" i="1"/>
  <c r="O116" i="30" s="1"/>
  <c r="B234" i="1"/>
  <c r="A234" i="1"/>
  <c r="A116" i="30" s="1"/>
  <c r="B211" i="1"/>
  <c r="A211" i="1"/>
  <c r="A115" i="30" s="1"/>
  <c r="B210" i="1"/>
  <c r="A210" i="1"/>
  <c r="A114" i="30" s="1"/>
  <c r="B209" i="1"/>
  <c r="A209" i="1"/>
  <c r="A113" i="30" s="1"/>
  <c r="B208" i="1"/>
  <c r="A208" i="1"/>
  <c r="A112" i="30" s="1"/>
  <c r="B207" i="1"/>
  <c r="A207" i="1"/>
  <c r="A111" i="30" s="1"/>
  <c r="B206" i="1"/>
  <c r="A206" i="1"/>
  <c r="A110" i="30" s="1"/>
  <c r="B205" i="1"/>
  <c r="A205" i="1"/>
  <c r="A109" i="30" s="1"/>
  <c r="AF203" i="1"/>
  <c r="B203" i="1"/>
  <c r="A203" i="1"/>
  <c r="A107" i="30" s="1"/>
  <c r="B202" i="1"/>
  <c r="A202" i="1"/>
  <c r="A106" i="30" s="1"/>
  <c r="B201" i="1"/>
  <c r="A201" i="1"/>
  <c r="A105" i="30" s="1"/>
  <c r="B200" i="1"/>
  <c r="A200" i="1"/>
  <c r="A104" i="30" s="1"/>
  <c r="B199" i="1"/>
  <c r="A199" i="1"/>
  <c r="A103" i="30" s="1"/>
  <c r="B198" i="1"/>
  <c r="A198" i="1"/>
  <c r="A102" i="30" s="1"/>
  <c r="B197" i="1"/>
  <c r="A197" i="1"/>
  <c r="A101" i="30" s="1"/>
  <c r="B196" i="1"/>
  <c r="A196" i="1"/>
  <c r="A100" i="30" s="1"/>
  <c r="B195" i="1"/>
  <c r="A195" i="1"/>
  <c r="A99" i="30" s="1"/>
  <c r="B194" i="1"/>
  <c r="A194" i="1"/>
  <c r="A98" i="30" s="1"/>
  <c r="B193" i="1"/>
  <c r="A193" i="1"/>
  <c r="A97" i="30" s="1"/>
  <c r="B192" i="1"/>
  <c r="A192" i="1"/>
  <c r="A96" i="30" s="1"/>
  <c r="B191" i="1"/>
  <c r="A191" i="1"/>
  <c r="A95" i="30" s="1"/>
  <c r="B190" i="1"/>
  <c r="A190" i="1"/>
  <c r="A94" i="30" s="1"/>
  <c r="B189" i="1"/>
  <c r="A189" i="1"/>
  <c r="A93" i="30" s="1"/>
  <c r="B188" i="1"/>
  <c r="A188" i="1"/>
  <c r="A92" i="30" s="1"/>
  <c r="B187" i="1"/>
  <c r="A187" i="1"/>
  <c r="A91" i="30" s="1"/>
  <c r="B186" i="1"/>
  <c r="A186" i="1"/>
  <c r="A90" i="30" s="1"/>
  <c r="B185" i="1"/>
  <c r="A185" i="1"/>
  <c r="A89" i="30" s="1"/>
  <c r="B184" i="1"/>
  <c r="A184" i="1"/>
  <c r="A88" i="30" s="1"/>
  <c r="B183" i="1"/>
  <c r="A183" i="1"/>
  <c r="A87" i="30" s="1"/>
  <c r="B182" i="1"/>
  <c r="A182" i="1"/>
  <c r="A86" i="30" s="1"/>
  <c r="B181" i="1"/>
  <c r="A181" i="1"/>
  <c r="A85" i="30" s="1"/>
  <c r="B180" i="1"/>
  <c r="A180" i="1"/>
  <c r="A84" i="30" s="1"/>
  <c r="B179" i="1"/>
  <c r="A179" i="1"/>
  <c r="A83" i="30" s="1"/>
  <c r="AL82" i="30"/>
  <c r="B178" i="1"/>
  <c r="A178" i="1"/>
  <c r="A82" i="30" s="1"/>
  <c r="B177" i="1"/>
  <c r="A177" i="1"/>
  <c r="A81" i="30" s="1"/>
  <c r="B176" i="1"/>
  <c r="A176" i="1"/>
  <c r="A80" i="30" s="1"/>
  <c r="BD79" i="30"/>
  <c r="BC79" i="30"/>
  <c r="BB79" i="30"/>
  <c r="AL79" i="30"/>
  <c r="A172" i="1"/>
  <c r="A79" i="30" s="1"/>
  <c r="BD78" i="30"/>
  <c r="BC78" i="30"/>
  <c r="BB78" i="30"/>
  <c r="AL78" i="30"/>
  <c r="A171" i="1"/>
  <c r="A78" i="30" s="1"/>
  <c r="BD77" i="30"/>
  <c r="BC77" i="30"/>
  <c r="BB77" i="30"/>
  <c r="AL77" i="30"/>
  <c r="A170" i="1"/>
  <c r="A77" i="30" s="1"/>
  <c r="BD76" i="30"/>
  <c r="BC76" i="30"/>
  <c r="BB76" i="30"/>
  <c r="AJ169" i="1"/>
  <c r="AI169" i="1"/>
  <c r="AI76" i="30" s="1"/>
  <c r="A169" i="1"/>
  <c r="A76" i="30" s="1"/>
  <c r="BD75" i="30"/>
  <c r="BC75" i="30"/>
  <c r="BB75" i="30"/>
  <c r="AL75" i="30"/>
  <c r="A168" i="1"/>
  <c r="A75" i="30" s="1"/>
  <c r="BD74" i="30"/>
  <c r="BC74" i="30"/>
  <c r="BB74" i="30"/>
  <c r="A167" i="1"/>
  <c r="A74" i="30" s="1"/>
  <c r="BD73" i="30"/>
  <c r="BC73" i="30"/>
  <c r="BB73" i="30"/>
  <c r="AL73" i="30"/>
  <c r="A166" i="1"/>
  <c r="A73" i="30" s="1"/>
  <c r="BD72" i="30"/>
  <c r="BC72" i="30"/>
  <c r="BB72" i="30"/>
  <c r="AL72" i="30"/>
  <c r="A165" i="1"/>
  <c r="A72" i="30" s="1"/>
  <c r="BD71" i="30"/>
  <c r="BC71" i="30"/>
  <c r="BB71" i="30"/>
  <c r="AL71" i="30"/>
  <c r="A164" i="1"/>
  <c r="A71" i="30" s="1"/>
  <c r="BD70" i="30"/>
  <c r="BC70" i="30"/>
  <c r="BB70" i="30"/>
  <c r="AJ163" i="1"/>
  <c r="AJ70" i="30" s="1"/>
  <c r="AI163" i="1"/>
  <c r="AI70" i="30" s="1"/>
  <c r="AH163" i="1"/>
  <c r="AH70" i="30" s="1"/>
  <c r="AG163" i="1"/>
  <c r="AG70" i="30" s="1"/>
  <c r="A163" i="1"/>
  <c r="A70" i="30" s="1"/>
  <c r="BD69" i="30"/>
  <c r="BC69" i="30"/>
  <c r="BB69" i="30"/>
  <c r="AL69" i="30"/>
  <c r="A162" i="1"/>
  <c r="A69" i="30" s="1"/>
  <c r="BD68" i="30"/>
  <c r="BC68" i="30"/>
  <c r="BB68" i="30"/>
  <c r="A161" i="1"/>
  <c r="A68" i="30" s="1"/>
  <c r="BD67" i="30"/>
  <c r="BC67" i="30"/>
  <c r="BB67" i="30"/>
  <c r="AL67" i="30"/>
  <c r="A160" i="1"/>
  <c r="A67" i="30" s="1"/>
  <c r="BD66" i="30"/>
  <c r="BC66" i="30"/>
  <c r="BB66" i="30"/>
  <c r="AL66" i="30"/>
  <c r="A159" i="1"/>
  <c r="A66" i="30" s="1"/>
  <c r="BD65" i="30"/>
  <c r="BC65" i="30"/>
  <c r="BB65" i="30"/>
  <c r="AL65" i="30"/>
  <c r="A158" i="1"/>
  <c r="A65" i="30" s="1"/>
  <c r="BD64" i="30"/>
  <c r="BC64" i="30"/>
  <c r="BB64" i="30"/>
  <c r="AJ157" i="1"/>
  <c r="AI157" i="1"/>
  <c r="AI64" i="30" s="1"/>
  <c r="AH157" i="1"/>
  <c r="AH64" i="30" s="1"/>
  <c r="AG157" i="1"/>
  <c r="AG64" i="30" s="1"/>
  <c r="A157" i="1"/>
  <c r="A64" i="30" s="1"/>
  <c r="BD63" i="30"/>
  <c r="BC63" i="30"/>
  <c r="BB63" i="30"/>
  <c r="AL63" i="30"/>
  <c r="A156" i="1"/>
  <c r="A63" i="30" s="1"/>
  <c r="BD62" i="30"/>
  <c r="BC62" i="30"/>
  <c r="BB62" i="30"/>
  <c r="A155" i="1"/>
  <c r="A62" i="30" s="1"/>
  <c r="BD61" i="30"/>
  <c r="BC61" i="30"/>
  <c r="BB61" i="30"/>
  <c r="AL61" i="30"/>
  <c r="A154" i="1"/>
  <c r="A61" i="30" s="1"/>
  <c r="BD60" i="30"/>
  <c r="BC60" i="30"/>
  <c r="BB60" i="30"/>
  <c r="AL60" i="30"/>
  <c r="A153" i="1"/>
  <c r="A60" i="30" s="1"/>
  <c r="BD59" i="30"/>
  <c r="BC59" i="30"/>
  <c r="BB59" i="30"/>
  <c r="AL59" i="30"/>
  <c r="A152" i="1"/>
  <c r="A59" i="30" s="1"/>
  <c r="BD58" i="30"/>
  <c r="BC58" i="30"/>
  <c r="BB58" i="30"/>
  <c r="AJ151" i="1"/>
  <c r="AJ58" i="30" s="1"/>
  <c r="AI151" i="1"/>
  <c r="AI58" i="30" s="1"/>
  <c r="AH151" i="1"/>
  <c r="AH58" i="30" s="1"/>
  <c r="AG151" i="1"/>
  <c r="AG58" i="30" s="1"/>
  <c r="A151" i="1"/>
  <c r="A58" i="30" s="1"/>
  <c r="BD57" i="30"/>
  <c r="BC57" i="30"/>
  <c r="BB57" i="30"/>
  <c r="AL57" i="30"/>
  <c r="A150" i="1"/>
  <c r="A57" i="30" s="1"/>
  <c r="BD56" i="30"/>
  <c r="BC56" i="30"/>
  <c r="BB56" i="30"/>
  <c r="A149" i="1"/>
  <c r="A56" i="30" s="1"/>
  <c r="BD55" i="30"/>
  <c r="BC55" i="30"/>
  <c r="BB55" i="30"/>
  <c r="AJ148" i="1"/>
  <c r="AJ55" i="30" s="1"/>
  <c r="AI148" i="1"/>
  <c r="AI55" i="30" s="1"/>
  <c r="AH148" i="1"/>
  <c r="AH55" i="30" s="1"/>
  <c r="AG148" i="1"/>
  <c r="AG55" i="30" s="1"/>
  <c r="A148" i="1"/>
  <c r="A55" i="30" s="1"/>
  <c r="BD54" i="30"/>
  <c r="BC54" i="30"/>
  <c r="BB54" i="30"/>
  <c r="AJ147" i="1"/>
  <c r="AI147" i="1"/>
  <c r="AI54" i="30" s="1"/>
  <c r="AH147" i="1"/>
  <c r="AH54" i="30" s="1"/>
  <c r="AG147" i="1"/>
  <c r="AG54" i="30" s="1"/>
  <c r="A147" i="1"/>
  <c r="A54" i="30" s="1"/>
  <c r="BD53" i="30"/>
  <c r="BC53" i="30"/>
  <c r="BB53" i="30"/>
  <c r="AJ146" i="1"/>
  <c r="AJ53" i="30" s="1"/>
  <c r="AI146" i="1"/>
  <c r="AI53" i="30" s="1"/>
  <c r="AH146" i="1"/>
  <c r="AH53" i="30" s="1"/>
  <c r="AG146" i="1"/>
  <c r="AG53" i="30" s="1"/>
  <c r="A146" i="1"/>
  <c r="A53" i="30" s="1"/>
  <c r="BD52" i="30"/>
  <c r="BC52" i="30"/>
  <c r="BB52" i="30"/>
  <c r="A145" i="1"/>
  <c r="A52" i="30" s="1"/>
  <c r="BD51" i="30"/>
  <c r="BC51" i="30"/>
  <c r="BB51" i="30"/>
  <c r="AJ144" i="1"/>
  <c r="AJ51" i="30" s="1"/>
  <c r="AI144" i="1"/>
  <c r="AH144" i="1"/>
  <c r="AH51" i="30" s="1"/>
  <c r="AG144" i="1"/>
  <c r="AG51" i="30" s="1"/>
  <c r="A144" i="1"/>
  <c r="A51" i="30" s="1"/>
  <c r="BD50" i="30"/>
  <c r="BC50" i="30"/>
  <c r="BB50" i="30"/>
  <c r="A143" i="1"/>
  <c r="A50" i="30" s="1"/>
  <c r="BD49" i="30"/>
  <c r="BC49" i="30"/>
  <c r="BB49" i="30"/>
  <c r="A139" i="1"/>
  <c r="A49" i="30" s="1"/>
  <c r="AL48" i="30"/>
  <c r="B138" i="1"/>
  <c r="A138" i="1"/>
  <c r="A48" i="30" s="1"/>
  <c r="AL47" i="30"/>
  <c r="B134" i="1"/>
  <c r="A134" i="1"/>
  <c r="A47" i="30" s="1"/>
  <c r="B12" i="1"/>
  <c r="A12" i="1"/>
  <c r="A46" i="30" s="1"/>
  <c r="B13" i="1"/>
  <c r="A13" i="1"/>
  <c r="BD1219" i="1"/>
  <c r="BD432" i="30" s="1"/>
  <c r="BC1219" i="1"/>
  <c r="BC432" i="30" s="1"/>
  <c r="BB1219" i="1"/>
  <c r="BB432" i="30" s="1"/>
  <c r="BD1218" i="1"/>
  <c r="BD431" i="30" s="1"/>
  <c r="BC1218" i="1"/>
  <c r="BC431" i="30" s="1"/>
  <c r="BB1218" i="1"/>
  <c r="BB431" i="30" s="1"/>
  <c r="BD1217" i="1"/>
  <c r="BD430" i="30" s="1"/>
  <c r="BC1217" i="1"/>
  <c r="BC430" i="30" s="1"/>
  <c r="BB1217" i="1"/>
  <c r="BB430" i="30" s="1"/>
  <c r="B1215" i="1"/>
  <c r="B429" i="30" s="1"/>
  <c r="A1215" i="1"/>
  <c r="A429" i="30" s="1"/>
  <c r="BD1214" i="1"/>
  <c r="BD428" i="30" s="1"/>
  <c r="BC1214" i="1"/>
  <c r="BC428" i="30" s="1"/>
  <c r="BB1214" i="1"/>
  <c r="BB428" i="30" s="1"/>
  <c r="BD35" i="30"/>
  <c r="BC35" i="30"/>
  <c r="BB35" i="30"/>
  <c r="AL34" i="30"/>
  <c r="B46" i="1"/>
  <c r="A46" i="1"/>
  <c r="A34" i="30" s="1"/>
  <c r="AL33" i="30"/>
  <c r="B45" i="1"/>
  <c r="A45" i="1"/>
  <c r="A33" i="30" s="1"/>
  <c r="AI44" i="1"/>
  <c r="AI32" i="30" s="1"/>
  <c r="AG44" i="1"/>
  <c r="AG32" i="30" s="1"/>
  <c r="AF44" i="1"/>
  <c r="AF32" i="30" s="1"/>
  <c r="AD44" i="1"/>
  <c r="AD32" i="30" s="1"/>
  <c r="AC44" i="1"/>
  <c r="AC32" i="30" s="1"/>
  <c r="AB44" i="1"/>
  <c r="AB32" i="30" s="1"/>
  <c r="AA44" i="1"/>
  <c r="AA32" i="30" s="1"/>
  <c r="Z44" i="1"/>
  <c r="Z32" i="30" s="1"/>
  <c r="Y44" i="1"/>
  <c r="Y32" i="30" s="1"/>
  <c r="X44" i="1"/>
  <c r="X32" i="30" s="1"/>
  <c r="W44" i="1"/>
  <c r="W32" i="30" s="1"/>
  <c r="U44" i="1"/>
  <c r="U32" i="30" s="1"/>
  <c r="S32" i="30"/>
  <c r="R44" i="1"/>
  <c r="R32" i="30" s="1"/>
  <c r="P44" i="1"/>
  <c r="P32" i="30" s="1"/>
  <c r="B44" i="1"/>
  <c r="A44" i="1"/>
  <c r="A32" i="30" s="1"/>
  <c r="AL31" i="30"/>
  <c r="B43" i="1"/>
  <c r="A43" i="1"/>
  <c r="A31" i="30" s="1"/>
  <c r="AL30" i="30"/>
  <c r="B42" i="1"/>
  <c r="A42" i="1"/>
  <c r="A30" i="30" s="1"/>
  <c r="AI41" i="1"/>
  <c r="AG41" i="1"/>
  <c r="AG29" i="30" s="1"/>
  <c r="AF41" i="1"/>
  <c r="AF29" i="30" s="1"/>
  <c r="AD41" i="1"/>
  <c r="AD29" i="30" s="1"/>
  <c r="AC41" i="1"/>
  <c r="AC29" i="30" s="1"/>
  <c r="AB41" i="1"/>
  <c r="AB29" i="30" s="1"/>
  <c r="AA41" i="1"/>
  <c r="AA29" i="30" s="1"/>
  <c r="Z41" i="1"/>
  <c r="Z29" i="30" s="1"/>
  <c r="Y41" i="1"/>
  <c r="Y29" i="30" s="1"/>
  <c r="X41" i="1"/>
  <c r="X29" i="30" s="1"/>
  <c r="W41" i="1"/>
  <c r="W29" i="30" s="1"/>
  <c r="U41" i="1"/>
  <c r="U29" i="30" s="1"/>
  <c r="S29" i="30"/>
  <c r="R41" i="1"/>
  <c r="R29" i="30" s="1"/>
  <c r="P41" i="1"/>
  <c r="P29" i="30" s="1"/>
  <c r="B41" i="1"/>
  <c r="A41" i="1"/>
  <c r="A29" i="30" s="1"/>
  <c r="AL28" i="30"/>
  <c r="B40" i="1"/>
  <c r="A40" i="1"/>
  <c r="A28" i="30" s="1"/>
  <c r="AL27" i="30"/>
  <c r="B39" i="1"/>
  <c r="A39" i="1"/>
  <c r="A27" i="30" s="1"/>
  <c r="AI38" i="1"/>
  <c r="AI26" i="30" s="1"/>
  <c r="AG38" i="1"/>
  <c r="AG26" i="30" s="1"/>
  <c r="AF38" i="1"/>
  <c r="AF26" i="30" s="1"/>
  <c r="AD38" i="1"/>
  <c r="AD26" i="30" s="1"/>
  <c r="AC38" i="1"/>
  <c r="AC26" i="30" s="1"/>
  <c r="AB38" i="1"/>
  <c r="AB26" i="30" s="1"/>
  <c r="AA38" i="1"/>
  <c r="AA26" i="30" s="1"/>
  <c r="Z38" i="1"/>
  <c r="Z26" i="30" s="1"/>
  <c r="Y38" i="1"/>
  <c r="Y26" i="30" s="1"/>
  <c r="X38" i="1"/>
  <c r="X26" i="30" s="1"/>
  <c r="W38" i="1"/>
  <c r="W26" i="30" s="1"/>
  <c r="U38" i="1"/>
  <c r="U26" i="30" s="1"/>
  <c r="S26" i="30"/>
  <c r="R38" i="1"/>
  <c r="R26" i="30" s="1"/>
  <c r="P38" i="1"/>
  <c r="P26" i="30" s="1"/>
  <c r="B38" i="1"/>
  <c r="A38" i="1"/>
  <c r="A26" i="30" s="1"/>
  <c r="AL25" i="30"/>
  <c r="B37" i="1"/>
  <c r="A37" i="1"/>
  <c r="A25" i="30" s="1"/>
  <c r="AL24" i="30"/>
  <c r="B36" i="1"/>
  <c r="A36" i="1"/>
  <c r="A24" i="30" s="1"/>
  <c r="AI35" i="1"/>
  <c r="AI23" i="30" s="1"/>
  <c r="AG35" i="1"/>
  <c r="AG23" i="30" s="1"/>
  <c r="AF35" i="1"/>
  <c r="AF23" i="30" s="1"/>
  <c r="AD35" i="1"/>
  <c r="AD23" i="30" s="1"/>
  <c r="AC35" i="1"/>
  <c r="AC23" i="30" s="1"/>
  <c r="AB35" i="1"/>
  <c r="AB23" i="30" s="1"/>
  <c r="AA35" i="1"/>
  <c r="AA23" i="30" s="1"/>
  <c r="Z35" i="1"/>
  <c r="Z23" i="30" s="1"/>
  <c r="Y35" i="1"/>
  <c r="Y23" i="30" s="1"/>
  <c r="X35" i="1"/>
  <c r="X23" i="30" s="1"/>
  <c r="W35" i="1"/>
  <c r="W23" i="30" s="1"/>
  <c r="U35" i="1"/>
  <c r="U23" i="30" s="1"/>
  <c r="S23" i="30"/>
  <c r="R35" i="1"/>
  <c r="R23" i="30" s="1"/>
  <c r="P35" i="1"/>
  <c r="P23" i="30" s="1"/>
  <c r="B35" i="1"/>
  <c r="A35" i="1"/>
  <c r="A23" i="30" s="1"/>
  <c r="AL22" i="30"/>
  <c r="B34" i="1"/>
  <c r="A34" i="1"/>
  <c r="A22" i="30" s="1"/>
  <c r="AL21" i="30"/>
  <c r="B33" i="1"/>
  <c r="A33" i="1"/>
  <c r="A21" i="30" s="1"/>
  <c r="AI32" i="1"/>
  <c r="AG32" i="1"/>
  <c r="AG20" i="30" s="1"/>
  <c r="AF32" i="1"/>
  <c r="AF20" i="30" s="1"/>
  <c r="AD32" i="1"/>
  <c r="AD20" i="30" s="1"/>
  <c r="AC32" i="1"/>
  <c r="AC20" i="30" s="1"/>
  <c r="AB32" i="1"/>
  <c r="AB20" i="30" s="1"/>
  <c r="AA32" i="1"/>
  <c r="AA20" i="30" s="1"/>
  <c r="Z32" i="1"/>
  <c r="Z20" i="30" s="1"/>
  <c r="Y32" i="1"/>
  <c r="Y20" i="30" s="1"/>
  <c r="X32" i="1"/>
  <c r="X20" i="30" s="1"/>
  <c r="W32" i="1"/>
  <c r="W20" i="30" s="1"/>
  <c r="U32" i="1"/>
  <c r="U20" i="30" s="1"/>
  <c r="S20" i="30"/>
  <c r="R32" i="1"/>
  <c r="R20" i="30" s="1"/>
  <c r="P32" i="1"/>
  <c r="P20" i="30" s="1"/>
  <c r="B32" i="1"/>
  <c r="A32" i="1"/>
  <c r="A20" i="30" s="1"/>
  <c r="AL19" i="30"/>
  <c r="B31" i="1"/>
  <c r="A31" i="1"/>
  <c r="A19" i="30" s="1"/>
  <c r="AL18" i="30"/>
  <c r="B30" i="1"/>
  <c r="A30" i="1"/>
  <c r="A18" i="30" s="1"/>
  <c r="AI29" i="1"/>
  <c r="AI17" i="30" s="1"/>
  <c r="AG29" i="1"/>
  <c r="AG17" i="30" s="1"/>
  <c r="AF29" i="1"/>
  <c r="AF17" i="30" s="1"/>
  <c r="AD29" i="1"/>
  <c r="AD17" i="30" s="1"/>
  <c r="AC29" i="1"/>
  <c r="AC17" i="30" s="1"/>
  <c r="AB29" i="1"/>
  <c r="AB17" i="30" s="1"/>
  <c r="AA29" i="1"/>
  <c r="AA17" i="30" s="1"/>
  <c r="Z29" i="1"/>
  <c r="Z17" i="30" s="1"/>
  <c r="Y29" i="1"/>
  <c r="Y17" i="30" s="1"/>
  <c r="X29" i="1"/>
  <c r="X17" i="30" s="1"/>
  <c r="W29" i="1"/>
  <c r="W17" i="30" s="1"/>
  <c r="V17" i="30"/>
  <c r="U29" i="1"/>
  <c r="U17" i="30" s="1"/>
  <c r="R29" i="1"/>
  <c r="R17" i="30" s="1"/>
  <c r="P29" i="1"/>
  <c r="P17" i="30" s="1"/>
  <c r="B29" i="1"/>
  <c r="A29" i="1"/>
  <c r="A17" i="30" s="1"/>
  <c r="AL16" i="30"/>
  <c r="B25" i="1"/>
  <c r="A25" i="1"/>
  <c r="A16" i="30" s="1"/>
  <c r="AL15" i="30"/>
  <c r="B24" i="1"/>
  <c r="A24" i="1"/>
  <c r="A15" i="30" s="1"/>
  <c r="AI23" i="1"/>
  <c r="AI14" i="30" s="1"/>
  <c r="AF23" i="1"/>
  <c r="AF14" i="30" s="1"/>
  <c r="AD23" i="1"/>
  <c r="AD14" i="30" s="1"/>
  <c r="AC23" i="1"/>
  <c r="AC14" i="30" s="1"/>
  <c r="AA23" i="1"/>
  <c r="AA14" i="30" s="1"/>
  <c r="Z23" i="1"/>
  <c r="Z14" i="30" s="1"/>
  <c r="Y23" i="1"/>
  <c r="Y14" i="30" s="1"/>
  <c r="X23" i="1"/>
  <c r="X14" i="30" s="1"/>
  <c r="W23" i="1"/>
  <c r="W14" i="30" s="1"/>
  <c r="U23" i="1"/>
  <c r="U14" i="30" s="1"/>
  <c r="R23" i="1"/>
  <c r="R14" i="30" s="1"/>
  <c r="P23" i="1"/>
  <c r="P14" i="30" s="1"/>
  <c r="O23" i="1"/>
  <c r="O14" i="30" s="1"/>
  <c r="B23" i="1"/>
  <c r="A23" i="1"/>
  <c r="A14" i="30" s="1"/>
  <c r="AL13" i="30"/>
  <c r="B22" i="1"/>
  <c r="A22" i="1"/>
  <c r="A13" i="30" s="1"/>
  <c r="AL12" i="30"/>
  <c r="B21" i="1"/>
  <c r="A21" i="1"/>
  <c r="A12" i="30" s="1"/>
  <c r="B20" i="1"/>
  <c r="A20" i="1"/>
  <c r="A11" i="30" s="1"/>
  <c r="B19" i="1"/>
  <c r="A19" i="1"/>
  <c r="A10" i="30" s="1"/>
  <c r="AI18" i="1"/>
  <c r="AF18" i="1"/>
  <c r="AF9" i="30" s="1"/>
  <c r="AD18" i="1"/>
  <c r="AD9" i="30" s="1"/>
  <c r="AC18" i="1"/>
  <c r="AC9" i="30" s="1"/>
  <c r="AB18" i="1"/>
  <c r="AB9" i="30" s="1"/>
  <c r="AA18" i="1"/>
  <c r="AA9" i="30" s="1"/>
  <c r="Z18" i="1"/>
  <c r="Z9" i="30" s="1"/>
  <c r="Y18" i="1"/>
  <c r="Y9" i="30" s="1"/>
  <c r="X18" i="1"/>
  <c r="X9" i="30" s="1"/>
  <c r="W18" i="1"/>
  <c r="W9" i="30" s="1"/>
  <c r="U18" i="1"/>
  <c r="U9" i="30" s="1"/>
  <c r="R18" i="1"/>
  <c r="R9" i="30" s="1"/>
  <c r="P18" i="1"/>
  <c r="P9" i="30" s="1"/>
  <c r="O18" i="1"/>
  <c r="O9" i="30" s="1"/>
  <c r="B18" i="1"/>
  <c r="A18" i="1"/>
  <c r="A9" i="30" s="1"/>
  <c r="AL8" i="30"/>
  <c r="B17" i="1"/>
  <c r="A17" i="1"/>
  <c r="A8" i="30" s="1"/>
  <c r="AL7" i="30"/>
  <c r="B16" i="1"/>
  <c r="A16" i="1"/>
  <c r="A7" i="30" s="1"/>
  <c r="AI15" i="1"/>
  <c r="AI6" i="30" s="1"/>
  <c r="AF15" i="1"/>
  <c r="AF6" i="30" s="1"/>
  <c r="AD15" i="1"/>
  <c r="AD6" i="30" s="1"/>
  <c r="AC15" i="1"/>
  <c r="AC6" i="30" s="1"/>
  <c r="AB15" i="1"/>
  <c r="AB6" i="30" s="1"/>
  <c r="AA15" i="1"/>
  <c r="AA6" i="30" s="1"/>
  <c r="Z15" i="1"/>
  <c r="Z6" i="30" s="1"/>
  <c r="Y15" i="1"/>
  <c r="Y6" i="30" s="1"/>
  <c r="X15" i="1"/>
  <c r="X6" i="30" s="1"/>
  <c r="W15" i="1"/>
  <c r="W6" i="30" s="1"/>
  <c r="U15" i="1"/>
  <c r="U6" i="30" s="1"/>
  <c r="R15" i="1"/>
  <c r="R6" i="30" s="1"/>
  <c r="P15" i="1"/>
  <c r="P6" i="30" s="1"/>
  <c r="O15" i="1"/>
  <c r="O6" i="30" s="1"/>
  <c r="B15" i="1"/>
  <c r="A15" i="1"/>
  <c r="A6" i="30" s="1"/>
  <c r="B11" i="1"/>
  <c r="A11" i="1"/>
  <c r="A5" i="30" s="1"/>
  <c r="A10" i="1"/>
  <c r="A4" i="30" s="1"/>
  <c r="BD8" i="1"/>
  <c r="BC8" i="1"/>
  <c r="BB8" i="1"/>
  <c r="BB17" i="1" l="1"/>
  <c r="BC17" i="1"/>
  <c r="BD17" i="1"/>
  <c r="BB35" i="1"/>
  <c r="BC35" i="1"/>
  <c r="BD35" i="1"/>
  <c r="BC37" i="1"/>
  <c r="BD37" i="1"/>
  <c r="BD25" i="30" s="1"/>
  <c r="BB37" i="1"/>
  <c r="BB16" i="1"/>
  <c r="BC16" i="1"/>
  <c r="BC7" i="30" s="1"/>
  <c r="BD16" i="1"/>
  <c r="BD7" i="30" s="1"/>
  <c r="BB20" i="1"/>
  <c r="BC20" i="1"/>
  <c r="BD20" i="1"/>
  <c r="BD23" i="1"/>
  <c r="BB23" i="1"/>
  <c r="BC23" i="1"/>
  <c r="BB32" i="1"/>
  <c r="BC32" i="1"/>
  <c r="BC20" i="30" s="1"/>
  <c r="BD32" i="1"/>
  <c r="BD34" i="1"/>
  <c r="BB34" i="1"/>
  <c r="BC34" i="1"/>
  <c r="BC22" i="30" s="1"/>
  <c r="BB36" i="1"/>
  <c r="BC36" i="1"/>
  <c r="BD36" i="1"/>
  <c r="BD24" i="30" s="1"/>
  <c r="BB44" i="1"/>
  <c r="BC44" i="1"/>
  <c r="BD44" i="1"/>
  <c r="BD46" i="1"/>
  <c r="BD34" i="30" s="1"/>
  <c r="BB46" i="1"/>
  <c r="BB34" i="30" s="1"/>
  <c r="BC46" i="1"/>
  <c r="BC13" i="1"/>
  <c r="BD13" i="1"/>
  <c r="BB13" i="1"/>
  <c r="BD134" i="1"/>
  <c r="BB134" i="1"/>
  <c r="BC134" i="1"/>
  <c r="BC29" i="1"/>
  <c r="BC17" i="30" s="1"/>
  <c r="BD29" i="1"/>
  <c r="BB29" i="1"/>
  <c r="BB31" i="1"/>
  <c r="BB19" i="30" s="1"/>
  <c r="BC31" i="1"/>
  <c r="BC19" i="30" s="1"/>
  <c r="BD31" i="1"/>
  <c r="BC22" i="1"/>
  <c r="BD22" i="1"/>
  <c r="BD13" i="30" s="1"/>
  <c r="BB22" i="1"/>
  <c r="BC33" i="1"/>
  <c r="BD33" i="1"/>
  <c r="BB33" i="1"/>
  <c r="BC41" i="1"/>
  <c r="BD41" i="1"/>
  <c r="BB41" i="1"/>
  <c r="BB43" i="1"/>
  <c r="BC43" i="1"/>
  <c r="BC31" i="30" s="1"/>
  <c r="BD43" i="1"/>
  <c r="BC45" i="1"/>
  <c r="BD45" i="1"/>
  <c r="BB45" i="1"/>
  <c r="BB11" i="1"/>
  <c r="BC11" i="1"/>
  <c r="BD11" i="1"/>
  <c r="BB21" i="1"/>
  <c r="BC21" i="1"/>
  <c r="BD21" i="1"/>
  <c r="BD30" i="1"/>
  <c r="BD18" i="30" s="1"/>
  <c r="BB30" i="1"/>
  <c r="BC30" i="1"/>
  <c r="BD42" i="1"/>
  <c r="BB42" i="1"/>
  <c r="BC42" i="1"/>
  <c r="BC18" i="1"/>
  <c r="BD18" i="1"/>
  <c r="BB18" i="1"/>
  <c r="BD19" i="1"/>
  <c r="BD10" i="30" s="1"/>
  <c r="BB19" i="1"/>
  <c r="BC19" i="1"/>
  <c r="BB25" i="1"/>
  <c r="BC25" i="1"/>
  <c r="BD25" i="1"/>
  <c r="BD38" i="1"/>
  <c r="BB38" i="1"/>
  <c r="BC38" i="1"/>
  <c r="BC26" i="30" s="1"/>
  <c r="BB40" i="1"/>
  <c r="BC40" i="1"/>
  <c r="BD40" i="1"/>
  <c r="BB12" i="1"/>
  <c r="BC12" i="1"/>
  <c r="BD12" i="1"/>
  <c r="BB24" i="1"/>
  <c r="BC24" i="1"/>
  <c r="BC15" i="30" s="1"/>
  <c r="BD24" i="1"/>
  <c r="BB39" i="1"/>
  <c r="BC39" i="1"/>
  <c r="BD39" i="1"/>
  <c r="BD27" i="30" s="1"/>
  <c r="D34" i="15"/>
  <c r="D22" i="15"/>
  <c r="D33" i="15"/>
  <c r="D47" i="15"/>
  <c r="D70" i="15"/>
  <c r="D69" i="15"/>
  <c r="A278" i="30"/>
  <c r="A275" i="30"/>
  <c r="B278" i="30"/>
  <c r="B275" i="30"/>
  <c r="B274" i="30"/>
  <c r="BC784" i="1"/>
  <c r="BC274" i="30" s="1"/>
  <c r="BD784" i="1"/>
  <c r="BD274" i="30" s="1"/>
  <c r="B6" i="30"/>
  <c r="BC15" i="1"/>
  <c r="BC6" i="30" s="1"/>
  <c r="BD15" i="1"/>
  <c r="BD6" i="30" s="1"/>
  <c r="BB15" i="1"/>
  <c r="B7" i="30"/>
  <c r="BC11" i="30"/>
  <c r="B22" i="30"/>
  <c r="BD22" i="30"/>
  <c r="B24" i="30"/>
  <c r="B34" i="30"/>
  <c r="BC34" i="30"/>
  <c r="B112" i="30"/>
  <c r="BB208" i="1"/>
  <c r="BB112" i="30" s="1"/>
  <c r="BD208" i="1"/>
  <c r="BD112" i="30" s="1"/>
  <c r="BC208" i="1"/>
  <c r="BC112" i="30" s="1"/>
  <c r="B140" i="30"/>
  <c r="BD266" i="1"/>
  <c r="BD140" i="30" s="1"/>
  <c r="BB266" i="1"/>
  <c r="BB140" i="30" s="1"/>
  <c r="BC266" i="1"/>
  <c r="BC140" i="30" s="1"/>
  <c r="B155" i="30"/>
  <c r="BD1909" i="1"/>
  <c r="BD155" i="30" s="1"/>
  <c r="BB1909" i="1"/>
  <c r="BB155" i="30" s="1"/>
  <c r="BC1909" i="1"/>
  <c r="BC155" i="30" s="1"/>
  <c r="B171" i="30"/>
  <c r="BD580" i="1"/>
  <c r="BD171" i="30" s="1"/>
  <c r="BB580" i="1"/>
  <c r="BB171" i="30" s="1"/>
  <c r="BC580" i="1"/>
  <c r="BC171" i="30" s="1"/>
  <c r="BC587" i="1"/>
  <c r="BC178" i="30" s="1"/>
  <c r="BD587" i="1"/>
  <c r="BD178" i="30" s="1"/>
  <c r="BB587" i="1"/>
  <c r="BB178" i="30" s="1"/>
  <c r="B13" i="30"/>
  <c r="BC13" i="30"/>
  <c r="B17" i="30"/>
  <c r="B84" i="30"/>
  <c r="BB180" i="1"/>
  <c r="BB84" i="30" s="1"/>
  <c r="BC180" i="1"/>
  <c r="BC84" i="30" s="1"/>
  <c r="BD180" i="1"/>
  <c r="BD84" i="30" s="1"/>
  <c r="B88" i="30"/>
  <c r="BB184" i="1"/>
  <c r="BB88" i="30" s="1"/>
  <c r="BD184" i="1"/>
  <c r="BD88" i="30" s="1"/>
  <c r="BC184" i="1"/>
  <c r="BC88" i="30" s="1"/>
  <c r="B92" i="30"/>
  <c r="BB188" i="1"/>
  <c r="BB92" i="30" s="1"/>
  <c r="BC188" i="1"/>
  <c r="BC92" i="30" s="1"/>
  <c r="BD188" i="1"/>
  <c r="BD92" i="30" s="1"/>
  <c r="B98" i="30"/>
  <c r="BD194" i="1"/>
  <c r="BD98" i="30" s="1"/>
  <c r="BC194" i="1"/>
  <c r="BC98" i="30" s="1"/>
  <c r="BB194" i="1"/>
  <c r="BB98" i="30" s="1"/>
  <c r="B102" i="30"/>
  <c r="BD198" i="1"/>
  <c r="BD102" i="30" s="1"/>
  <c r="BC198" i="1"/>
  <c r="BC102" i="30" s="1"/>
  <c r="BB198" i="1"/>
  <c r="BB102" i="30" s="1"/>
  <c r="B106" i="30"/>
  <c r="BD202" i="1"/>
  <c r="BD106" i="30" s="1"/>
  <c r="BC202" i="1"/>
  <c r="BC106" i="30" s="1"/>
  <c r="BB202" i="1"/>
  <c r="BB106" i="30" s="1"/>
  <c r="B118" i="30"/>
  <c r="BC236" i="1"/>
  <c r="BC118" i="30" s="1"/>
  <c r="BB236" i="1"/>
  <c r="BB118" i="30" s="1"/>
  <c r="BD236" i="1"/>
  <c r="BD118" i="30" s="1"/>
  <c r="B139" i="30"/>
  <c r="BC265" i="1"/>
  <c r="BC139" i="30" s="1"/>
  <c r="BB265" i="1"/>
  <c r="BB139" i="30" s="1"/>
  <c r="BD265" i="1"/>
  <c r="BD139" i="30" s="1"/>
  <c r="BC545" i="1"/>
  <c r="BB545" i="1"/>
  <c r="BD545" i="1"/>
  <c r="BC549" i="1"/>
  <c r="BD549" i="1"/>
  <c r="BB549" i="1"/>
  <c r="B161" i="30"/>
  <c r="BC557" i="1"/>
  <c r="BC161" i="30" s="1"/>
  <c r="BD557" i="1"/>
  <c r="BD161" i="30" s="1"/>
  <c r="BB557" i="1"/>
  <c r="BB161" i="30" s="1"/>
  <c r="B164" i="30"/>
  <c r="BB560" i="1"/>
  <c r="BB164" i="30" s="1"/>
  <c r="BC560" i="1"/>
  <c r="BC164" i="30" s="1"/>
  <c r="BD560" i="1"/>
  <c r="BD164" i="30" s="1"/>
  <c r="B189" i="30"/>
  <c r="BB598" i="1"/>
  <c r="BB189" i="30" s="1"/>
  <c r="BC598" i="1"/>
  <c r="BC189" i="30" s="1"/>
  <c r="BD598" i="1"/>
  <c r="BD189" i="30" s="1"/>
  <c r="B197" i="30"/>
  <c r="BB606" i="1"/>
  <c r="BB197" i="30" s="1"/>
  <c r="BC606" i="1"/>
  <c r="BC197" i="30" s="1"/>
  <c r="BD606" i="1"/>
  <c r="BD197" i="30" s="1"/>
  <c r="B200" i="30"/>
  <c r="BB609" i="1"/>
  <c r="BB200" i="30" s="1"/>
  <c r="BD609" i="1"/>
  <c r="BD200" i="30" s="1"/>
  <c r="BC609" i="1"/>
  <c r="BC200" i="30" s="1"/>
  <c r="B204" i="30"/>
  <c r="BB613" i="1"/>
  <c r="BB204" i="30" s="1"/>
  <c r="BC613" i="1"/>
  <c r="BC204" i="30" s="1"/>
  <c r="BD613" i="1"/>
  <c r="BD204" i="30" s="1"/>
  <c r="BD20" i="30"/>
  <c r="B32" i="30"/>
  <c r="BC32" i="30"/>
  <c r="BD32" i="30"/>
  <c r="B47" i="30"/>
  <c r="BC47" i="30"/>
  <c r="B110" i="30"/>
  <c r="BD206" i="1"/>
  <c r="BD110" i="30" s="1"/>
  <c r="BB206" i="1"/>
  <c r="BB110" i="30" s="1"/>
  <c r="BC206" i="1"/>
  <c r="BC110" i="30" s="1"/>
  <c r="B116" i="30"/>
  <c r="BD234" i="1"/>
  <c r="BD116" i="30" s="1"/>
  <c r="BB234" i="1"/>
  <c r="BB116" i="30" s="1"/>
  <c r="BC234" i="1"/>
  <c r="BC116" i="30" s="1"/>
  <c r="B119" i="30"/>
  <c r="BD237" i="1"/>
  <c r="BD119" i="30" s="1"/>
  <c r="BB237" i="1"/>
  <c r="BB119" i="30" s="1"/>
  <c r="BC237" i="1"/>
  <c r="BC119" i="30" s="1"/>
  <c r="B146" i="30"/>
  <c r="BD277" i="1"/>
  <c r="BB277" i="1"/>
  <c r="BC277" i="1"/>
  <c r="BC146" i="30" s="1"/>
  <c r="BC282" i="1"/>
  <c r="BC151" i="30" s="1"/>
  <c r="BD282" i="1"/>
  <c r="BD151" i="30" s="1"/>
  <c r="BB282" i="1"/>
  <c r="BB151" i="30" s="1"/>
  <c r="BD555" i="1"/>
  <c r="BD159" i="30" s="1"/>
  <c r="BB555" i="1"/>
  <c r="BB159" i="30" s="1"/>
  <c r="BC555" i="1"/>
  <c r="BC159" i="30" s="1"/>
  <c r="B174" i="30"/>
  <c r="BC583" i="1"/>
  <c r="BC174" i="30" s="1"/>
  <c r="BD583" i="1"/>
  <c r="BD174" i="30" s="1"/>
  <c r="BB583" i="1"/>
  <c r="BB174" i="30" s="1"/>
  <c r="B182" i="30"/>
  <c r="BC591" i="1"/>
  <c r="BC182" i="30" s="1"/>
  <c r="BD591" i="1"/>
  <c r="BD182" i="30" s="1"/>
  <c r="BB591" i="1"/>
  <c r="BB182" i="30" s="1"/>
  <c r="B190" i="30"/>
  <c r="BC599" i="1"/>
  <c r="BC190" i="30" s="1"/>
  <c r="BD599" i="1"/>
  <c r="BD190" i="30" s="1"/>
  <c r="BB599" i="1"/>
  <c r="BB190" i="30" s="1"/>
  <c r="BC603" i="1"/>
  <c r="BC194" i="30" s="1"/>
  <c r="BD603" i="1"/>
  <c r="BD194" i="30" s="1"/>
  <c r="BB603" i="1"/>
  <c r="BB194" i="30" s="1"/>
  <c r="B19" i="30"/>
  <c r="BD19" i="30"/>
  <c r="BD21" i="30"/>
  <c r="BC21" i="30"/>
  <c r="B29" i="30"/>
  <c r="BD29" i="30"/>
  <c r="BC29" i="30"/>
  <c r="B31" i="30"/>
  <c r="BB31" i="30"/>
  <c r="BD31" i="30"/>
  <c r="B33" i="30"/>
  <c r="BD33" i="30"/>
  <c r="BC33" i="30"/>
  <c r="B86" i="30"/>
  <c r="BD182" i="1"/>
  <c r="BD86" i="30" s="1"/>
  <c r="BC182" i="1"/>
  <c r="BC86" i="30" s="1"/>
  <c r="BB182" i="1"/>
  <c r="BB86" i="30" s="1"/>
  <c r="B90" i="30"/>
  <c r="BD186" i="1"/>
  <c r="BD90" i="30" s="1"/>
  <c r="BC186" i="1"/>
  <c r="BC90" i="30" s="1"/>
  <c r="BB186" i="1"/>
  <c r="BB90" i="30" s="1"/>
  <c r="B94" i="30"/>
  <c r="BD190" i="1"/>
  <c r="BD94" i="30" s="1"/>
  <c r="BB190" i="1"/>
  <c r="BB94" i="30" s="1"/>
  <c r="BC190" i="1"/>
  <c r="BC94" i="30" s="1"/>
  <c r="B96" i="30"/>
  <c r="BB192" i="1"/>
  <c r="BB96" i="30" s="1"/>
  <c r="BC192" i="1"/>
  <c r="BC96" i="30" s="1"/>
  <c r="BD192" i="1"/>
  <c r="BD96" i="30" s="1"/>
  <c r="B100" i="30"/>
  <c r="BB196" i="1"/>
  <c r="BB100" i="30" s="1"/>
  <c r="BD196" i="1"/>
  <c r="BD100" i="30" s="1"/>
  <c r="BC196" i="1"/>
  <c r="BC100" i="30" s="1"/>
  <c r="B104" i="30"/>
  <c r="BB200" i="1"/>
  <c r="BB104" i="30" s="1"/>
  <c r="BD200" i="1"/>
  <c r="BD104" i="30" s="1"/>
  <c r="BC200" i="1"/>
  <c r="BC104" i="30" s="1"/>
  <c r="B121" i="30"/>
  <c r="BB239" i="1"/>
  <c r="BB121" i="30" s="1"/>
  <c r="BD239" i="1"/>
  <c r="BD121" i="30" s="1"/>
  <c r="BC239" i="1"/>
  <c r="BC121" i="30" s="1"/>
  <c r="B124" i="30"/>
  <c r="BC242" i="1"/>
  <c r="BC124" i="30" s="1"/>
  <c r="BB242" i="1"/>
  <c r="BB124" i="30" s="1"/>
  <c r="BD242" i="1"/>
  <c r="BD124" i="30" s="1"/>
  <c r="B145" i="30"/>
  <c r="BB271" i="1"/>
  <c r="BB145" i="30" s="1"/>
  <c r="BC271" i="1"/>
  <c r="BC145" i="30" s="1"/>
  <c r="BD271" i="1"/>
  <c r="BD145" i="30" s="1"/>
  <c r="BB279" i="1"/>
  <c r="BB148" i="30" s="1"/>
  <c r="BC279" i="1"/>
  <c r="BC148" i="30" s="1"/>
  <c r="BD279" i="1"/>
  <c r="BD148" i="30" s="1"/>
  <c r="BD547" i="1"/>
  <c r="BB547" i="1"/>
  <c r="BC547" i="1"/>
  <c r="B170" i="30"/>
  <c r="BC579" i="1"/>
  <c r="BC170" i="30" s="1"/>
  <c r="BD579" i="1"/>
  <c r="BD170" i="30" s="1"/>
  <c r="BB579" i="1"/>
  <c r="BB170" i="30" s="1"/>
  <c r="B173" i="30"/>
  <c r="BB582" i="1"/>
  <c r="BB173" i="30" s="1"/>
  <c r="BC582" i="1"/>
  <c r="BC173" i="30" s="1"/>
  <c r="BD582" i="1"/>
  <c r="BD173" i="30" s="1"/>
  <c r="BB586" i="1"/>
  <c r="BB177" i="30" s="1"/>
  <c r="BC586" i="1"/>
  <c r="BC177" i="30" s="1"/>
  <c r="BD586" i="1"/>
  <c r="BD177" i="30" s="1"/>
  <c r="B181" i="30"/>
  <c r="BB590" i="1"/>
  <c r="BB181" i="30" s="1"/>
  <c r="BC590" i="1"/>
  <c r="BC181" i="30" s="1"/>
  <c r="BD590" i="1"/>
  <c r="BD181" i="30" s="1"/>
  <c r="BB594" i="1"/>
  <c r="BB185" i="30" s="1"/>
  <c r="BC594" i="1"/>
  <c r="BC185" i="30" s="1"/>
  <c r="BD594" i="1"/>
  <c r="BD185" i="30" s="1"/>
  <c r="BB602" i="1"/>
  <c r="BB193" i="30" s="1"/>
  <c r="BC602" i="1"/>
  <c r="BC193" i="30" s="1"/>
  <c r="BD602" i="1"/>
  <c r="BD193" i="30" s="1"/>
  <c r="B16" i="30"/>
  <c r="BC16" i="30"/>
  <c r="BD16" i="30"/>
  <c r="B30" i="30"/>
  <c r="BD30" i="30"/>
  <c r="BC30" i="30"/>
  <c r="B46" i="30"/>
  <c r="BC46" i="30"/>
  <c r="B109" i="30"/>
  <c r="BC205" i="1"/>
  <c r="BC109" i="30" s="1"/>
  <c r="BB205" i="1"/>
  <c r="BB109" i="30" s="1"/>
  <c r="BD205" i="1"/>
  <c r="BD109" i="30" s="1"/>
  <c r="B138" i="30"/>
  <c r="BB264" i="1"/>
  <c r="BB138" i="30" s="1"/>
  <c r="BC264" i="1"/>
  <c r="BC138" i="30" s="1"/>
  <c r="BD264" i="1"/>
  <c r="BD138" i="30" s="1"/>
  <c r="BB585" i="1"/>
  <c r="BB176" i="30" s="1"/>
  <c r="BC585" i="1"/>
  <c r="BC176" i="30" s="1"/>
  <c r="BD585" i="1"/>
  <c r="BD176" i="30" s="1"/>
  <c r="BB601" i="1"/>
  <c r="BB192" i="30" s="1"/>
  <c r="BC601" i="1"/>
  <c r="BC192" i="30" s="1"/>
  <c r="BD601" i="1"/>
  <c r="BD192" i="30" s="1"/>
  <c r="B196" i="30"/>
  <c r="BB605" i="1"/>
  <c r="BB196" i="30" s="1"/>
  <c r="BD605" i="1"/>
  <c r="BD196" i="30" s="1"/>
  <c r="BC605" i="1"/>
  <c r="BC196" i="30" s="1"/>
  <c r="B199" i="30"/>
  <c r="BB608" i="1"/>
  <c r="BB199" i="30" s="1"/>
  <c r="BC608" i="1"/>
  <c r="BC199" i="30" s="1"/>
  <c r="BD608" i="1"/>
  <c r="BD199" i="30" s="1"/>
  <c r="B203" i="30"/>
  <c r="BB612" i="1"/>
  <c r="BB203" i="30" s="1"/>
  <c r="BC612" i="1"/>
  <c r="BC203" i="30" s="1"/>
  <c r="BD612" i="1"/>
  <c r="BD203" i="30" s="1"/>
  <c r="BC5" i="30"/>
  <c r="B9" i="30"/>
  <c r="BC9" i="30"/>
  <c r="BD9" i="30"/>
  <c r="B10" i="30"/>
  <c r="BC10" i="30"/>
  <c r="B12" i="30"/>
  <c r="BC12" i="30"/>
  <c r="BD12" i="30"/>
  <c r="BC18" i="30"/>
  <c r="B26" i="30"/>
  <c r="BB26" i="30"/>
  <c r="BD26" i="30"/>
  <c r="B28" i="30"/>
  <c r="BC28" i="30"/>
  <c r="B81" i="30"/>
  <c r="BC177" i="1"/>
  <c r="BC81" i="30" s="1"/>
  <c r="BD177" i="1"/>
  <c r="BD81" i="30" s="1"/>
  <c r="BB177" i="1"/>
  <c r="BB81" i="30" s="1"/>
  <c r="B111" i="30"/>
  <c r="BD207" i="1"/>
  <c r="BD111" i="30" s="1"/>
  <c r="BB207" i="1"/>
  <c r="BB111" i="30" s="1"/>
  <c r="BC207" i="1"/>
  <c r="BC111" i="30" s="1"/>
  <c r="B113" i="30"/>
  <c r="BC209" i="1"/>
  <c r="BC113" i="30" s="1"/>
  <c r="BD209" i="1"/>
  <c r="BD113" i="30" s="1"/>
  <c r="BB209" i="1"/>
  <c r="BB113" i="30" s="1"/>
  <c r="B115" i="30"/>
  <c r="BC211" i="1"/>
  <c r="BC115" i="30" s="1"/>
  <c r="BB211" i="1"/>
  <c r="BB115" i="30" s="1"/>
  <c r="BD211" i="1"/>
  <c r="BD115" i="30" s="1"/>
  <c r="B117" i="30"/>
  <c r="BB235" i="1"/>
  <c r="BB117" i="30" s="1"/>
  <c r="BC235" i="1"/>
  <c r="BC117" i="30" s="1"/>
  <c r="BD235" i="1"/>
  <c r="BD117" i="30" s="1"/>
  <c r="B123" i="30"/>
  <c r="BD241" i="1"/>
  <c r="BD123" i="30" s="1"/>
  <c r="BB241" i="1"/>
  <c r="BB123" i="30" s="1"/>
  <c r="BC241" i="1"/>
  <c r="BC123" i="30" s="1"/>
  <c r="B137" i="30"/>
  <c r="BB263" i="1"/>
  <c r="BB137" i="30" s="1"/>
  <c r="BC263" i="1"/>
  <c r="BC137" i="30" s="1"/>
  <c r="BD263" i="1"/>
  <c r="BD137" i="30" s="1"/>
  <c r="B143" i="30"/>
  <c r="BC269" i="1"/>
  <c r="BC143" i="30" s="1"/>
  <c r="BD269" i="1"/>
  <c r="BD143" i="30" s="1"/>
  <c r="BB269" i="1"/>
  <c r="BB143" i="30" s="1"/>
  <c r="B144" i="30"/>
  <c r="BD270" i="1"/>
  <c r="BD144" i="30" s="1"/>
  <c r="BB270" i="1"/>
  <c r="BB144" i="30" s="1"/>
  <c r="BC270" i="1"/>
  <c r="BC144" i="30" s="1"/>
  <c r="BD281" i="1"/>
  <c r="BD150" i="30" s="1"/>
  <c r="BB281" i="1"/>
  <c r="BB150" i="30" s="1"/>
  <c r="BC281" i="1"/>
  <c r="BC150" i="30" s="1"/>
  <c r="B154" i="30"/>
  <c r="BC1907" i="1"/>
  <c r="BC154" i="30" s="1"/>
  <c r="BD1907" i="1"/>
  <c r="BD154" i="30" s="1"/>
  <c r="BB1907" i="1"/>
  <c r="BB154" i="30" s="1"/>
  <c r="BD550" i="1"/>
  <c r="BB550" i="1"/>
  <c r="BC550" i="1"/>
  <c r="B158" i="30"/>
  <c r="BD554" i="1"/>
  <c r="BD158" i="30" s="1"/>
  <c r="BB554" i="1"/>
  <c r="BB158" i="30" s="1"/>
  <c r="BC554" i="1"/>
  <c r="BC158" i="30" s="1"/>
  <c r="BB556" i="1"/>
  <c r="BB160" i="30" s="1"/>
  <c r="BC556" i="1"/>
  <c r="BC160" i="30" s="1"/>
  <c r="BD556" i="1"/>
  <c r="BD160" i="30" s="1"/>
  <c r="B163" i="30"/>
  <c r="BC559" i="1"/>
  <c r="BC163" i="30" s="1"/>
  <c r="BD559" i="1"/>
  <c r="BD163" i="30" s="1"/>
  <c r="BB559" i="1"/>
  <c r="BB163" i="30" s="1"/>
  <c r="B180" i="30"/>
  <c r="BB589" i="1"/>
  <c r="BB180" i="30" s="1"/>
  <c r="BC589" i="1"/>
  <c r="BC180" i="30" s="1"/>
  <c r="BD589" i="1"/>
  <c r="BD180" i="30" s="1"/>
  <c r="BB593" i="1"/>
  <c r="BB184" i="30" s="1"/>
  <c r="BC593" i="1"/>
  <c r="BC184" i="30" s="1"/>
  <c r="BD593" i="1"/>
  <c r="BD184" i="30" s="1"/>
  <c r="B188" i="30"/>
  <c r="BB597" i="1"/>
  <c r="BB188" i="30" s="1"/>
  <c r="BD597" i="1"/>
  <c r="BD188" i="30" s="1"/>
  <c r="BC597" i="1"/>
  <c r="BC188" i="30" s="1"/>
  <c r="B8" i="30"/>
  <c r="BC8" i="30"/>
  <c r="BD8" i="30"/>
  <c r="BD15" i="30"/>
  <c r="BC23" i="30"/>
  <c r="BD23" i="30"/>
  <c r="B25" i="30"/>
  <c r="BC25" i="30"/>
  <c r="B27" i="30"/>
  <c r="BC27" i="30"/>
  <c r="B48" i="30"/>
  <c r="BB138" i="1"/>
  <c r="BB48" i="30" s="1"/>
  <c r="BC138" i="1"/>
  <c r="BC48" i="30" s="1"/>
  <c r="BD138" i="1"/>
  <c r="BD48" i="30" s="1"/>
  <c r="B83" i="30"/>
  <c r="BC179" i="1"/>
  <c r="BC83" i="30" s="1"/>
  <c r="BD179" i="1"/>
  <c r="BD83" i="30" s="1"/>
  <c r="BB179" i="1"/>
  <c r="BB83" i="30" s="1"/>
  <c r="B85" i="30"/>
  <c r="BC181" i="1"/>
  <c r="BC85" i="30" s="1"/>
  <c r="BB181" i="1"/>
  <c r="BB85" i="30" s="1"/>
  <c r="BD181" i="1"/>
  <c r="BD85" i="30" s="1"/>
  <c r="B87" i="30"/>
  <c r="BB183" i="1"/>
  <c r="BB87" i="30" s="1"/>
  <c r="BC183" i="1"/>
  <c r="BC87" i="30" s="1"/>
  <c r="BD183" i="1"/>
  <c r="BD87" i="30" s="1"/>
  <c r="B89" i="30"/>
  <c r="BC185" i="1"/>
  <c r="BC89" i="30" s="1"/>
  <c r="BB185" i="1"/>
  <c r="BB89" i="30" s="1"/>
  <c r="BD185" i="1"/>
  <c r="BD89" i="30" s="1"/>
  <c r="B91" i="30"/>
  <c r="BC187" i="1"/>
  <c r="BC91" i="30" s="1"/>
  <c r="BD187" i="1"/>
  <c r="BD91" i="30" s="1"/>
  <c r="BB187" i="1"/>
  <c r="BB91" i="30" s="1"/>
  <c r="B93" i="30"/>
  <c r="BC189" i="1"/>
  <c r="BC93" i="30" s="1"/>
  <c r="BD189" i="1"/>
  <c r="BD93" i="30" s="1"/>
  <c r="BB189" i="1"/>
  <c r="BB93" i="30" s="1"/>
  <c r="B95" i="30"/>
  <c r="BD191" i="1"/>
  <c r="BD95" i="30" s="1"/>
  <c r="BB191" i="1"/>
  <c r="BB95" i="30" s="1"/>
  <c r="BC191" i="1"/>
  <c r="BC95" i="30" s="1"/>
  <c r="B97" i="30"/>
  <c r="BC193" i="1"/>
  <c r="BC97" i="30" s="1"/>
  <c r="BD193" i="1"/>
  <c r="BD97" i="30" s="1"/>
  <c r="BB193" i="1"/>
  <c r="BB97" i="30" s="1"/>
  <c r="B99" i="30"/>
  <c r="BC195" i="1"/>
  <c r="BC99" i="30" s="1"/>
  <c r="BB195" i="1"/>
  <c r="BB99" i="30" s="1"/>
  <c r="BD195" i="1"/>
  <c r="BD99" i="30" s="1"/>
  <c r="B101" i="30"/>
  <c r="BC197" i="1"/>
  <c r="BC101" i="30" s="1"/>
  <c r="BB197" i="1"/>
  <c r="BB101" i="30" s="1"/>
  <c r="BD197" i="1"/>
  <c r="BD101" i="30" s="1"/>
  <c r="B103" i="30"/>
  <c r="BB199" i="1"/>
  <c r="BB103" i="30" s="1"/>
  <c r="BC199" i="1"/>
  <c r="BC103" i="30" s="1"/>
  <c r="BD199" i="1"/>
  <c r="BD103" i="30" s="1"/>
  <c r="B105" i="30"/>
  <c r="BC201" i="1"/>
  <c r="BC105" i="30" s="1"/>
  <c r="BD201" i="1"/>
  <c r="BD105" i="30" s="1"/>
  <c r="BB201" i="1"/>
  <c r="BB105" i="30" s="1"/>
  <c r="B107" i="30"/>
  <c r="BD203" i="1"/>
  <c r="BD107" i="30" s="1"/>
  <c r="BB203" i="1"/>
  <c r="BB107" i="30" s="1"/>
  <c r="BC203" i="1"/>
  <c r="BC107" i="30" s="1"/>
  <c r="B120" i="30"/>
  <c r="BD238" i="1"/>
  <c r="BD120" i="30" s="1"/>
  <c r="BB238" i="1"/>
  <c r="BB120" i="30" s="1"/>
  <c r="BC238" i="1"/>
  <c r="BC120" i="30" s="1"/>
  <c r="B122" i="30"/>
  <c r="BC240" i="1"/>
  <c r="BC122" i="30" s="1"/>
  <c r="BD240" i="1"/>
  <c r="BD122" i="30" s="1"/>
  <c r="BB240" i="1"/>
  <c r="BB122" i="30" s="1"/>
  <c r="B125" i="30"/>
  <c r="BD243" i="1"/>
  <c r="BD125" i="30" s="1"/>
  <c r="BB243" i="1"/>
  <c r="BB125" i="30" s="1"/>
  <c r="BC243" i="1"/>
  <c r="BC125" i="30" s="1"/>
  <c r="BB268" i="1"/>
  <c r="BB142" i="30" s="1"/>
  <c r="BC268" i="1"/>
  <c r="BC142" i="30" s="1"/>
  <c r="BD268" i="1"/>
  <c r="BD142" i="30" s="1"/>
  <c r="BD278" i="1"/>
  <c r="BD147" i="30" s="1"/>
  <c r="BB278" i="1"/>
  <c r="BB147" i="30" s="1"/>
  <c r="BC278" i="1"/>
  <c r="BC147" i="30" s="1"/>
  <c r="BC280" i="1"/>
  <c r="BC149" i="30" s="1"/>
  <c r="BD280" i="1"/>
  <c r="BD149" i="30" s="1"/>
  <c r="BB280" i="1"/>
  <c r="BB149" i="30" s="1"/>
  <c r="BD546" i="1"/>
  <c r="BB546" i="1"/>
  <c r="BC546" i="1"/>
  <c r="BB548" i="1"/>
  <c r="BC548" i="1"/>
  <c r="BD548" i="1"/>
  <c r="B162" i="30"/>
  <c r="BD558" i="1"/>
  <c r="BD162" i="30" s="1"/>
  <c r="BB558" i="1"/>
  <c r="BB162" i="30" s="1"/>
  <c r="BC558" i="1"/>
  <c r="BC162" i="30" s="1"/>
  <c r="BC561" i="1"/>
  <c r="BB561" i="1"/>
  <c r="BD561" i="1"/>
  <c r="B172" i="30"/>
  <c r="BB581" i="1"/>
  <c r="BB172" i="30" s="1"/>
  <c r="BD581" i="1"/>
  <c r="BD172" i="30" s="1"/>
  <c r="BC581" i="1"/>
  <c r="BC172" i="30" s="1"/>
  <c r="B175" i="30"/>
  <c r="BD584" i="1"/>
  <c r="BD175" i="30" s="1"/>
  <c r="BC584" i="1"/>
  <c r="BC175" i="30" s="1"/>
  <c r="BB584" i="1"/>
  <c r="BB175" i="30" s="1"/>
  <c r="BD588" i="1"/>
  <c r="BD179" i="30" s="1"/>
  <c r="BB588" i="1"/>
  <c r="BB179" i="30" s="1"/>
  <c r="BC588" i="1"/>
  <c r="BC179" i="30" s="1"/>
  <c r="B183" i="30"/>
  <c r="BD592" i="1"/>
  <c r="BD183" i="30" s="1"/>
  <c r="BC592" i="1"/>
  <c r="BC183" i="30" s="1"/>
  <c r="BB592" i="1"/>
  <c r="BB183" i="30" s="1"/>
  <c r="BD596" i="1"/>
  <c r="BD187" i="30" s="1"/>
  <c r="BB596" i="1"/>
  <c r="BB187" i="30" s="1"/>
  <c r="BC596" i="1"/>
  <c r="BC187" i="30" s="1"/>
  <c r="B191" i="30"/>
  <c r="BD600" i="1"/>
  <c r="BD191" i="30" s="1"/>
  <c r="BB600" i="1"/>
  <c r="BB191" i="30" s="1"/>
  <c r="BC600" i="1"/>
  <c r="BC191" i="30" s="1"/>
  <c r="BD604" i="1"/>
  <c r="BD195" i="30" s="1"/>
  <c r="BB604" i="1"/>
  <c r="BB195" i="30" s="1"/>
  <c r="BC604" i="1"/>
  <c r="BC195" i="30" s="1"/>
  <c r="B198" i="30"/>
  <c r="BD607" i="1"/>
  <c r="BD198" i="30" s="1"/>
  <c r="BB607" i="1"/>
  <c r="BB198" i="30" s="1"/>
  <c r="BC607" i="1"/>
  <c r="BC198" i="30" s="1"/>
  <c r="B202" i="30"/>
  <c r="BD611" i="1"/>
  <c r="BD202" i="30" s="1"/>
  <c r="BB611" i="1"/>
  <c r="BB202" i="30" s="1"/>
  <c r="BC611" i="1"/>
  <c r="BC202" i="30" s="1"/>
  <c r="B14" i="30"/>
  <c r="BC14" i="30"/>
  <c r="BD14" i="30"/>
  <c r="BB14" i="30"/>
  <c r="B80" i="30"/>
  <c r="BB176" i="1"/>
  <c r="BB80" i="30" s="1"/>
  <c r="BC176" i="1"/>
  <c r="BC80" i="30" s="1"/>
  <c r="BD176" i="1"/>
  <c r="BD80" i="30" s="1"/>
  <c r="B82" i="30"/>
  <c r="BD178" i="1"/>
  <c r="BD82" i="30" s="1"/>
  <c r="BB178" i="1"/>
  <c r="BB82" i="30" s="1"/>
  <c r="BC178" i="1"/>
  <c r="BC82" i="30" s="1"/>
  <c r="B114" i="30"/>
  <c r="BD210" i="1"/>
  <c r="BD114" i="30" s="1"/>
  <c r="BB210" i="1"/>
  <c r="BB114" i="30" s="1"/>
  <c r="BC210" i="1"/>
  <c r="BC114" i="30" s="1"/>
  <c r="B141" i="30"/>
  <c r="BD267" i="1"/>
  <c r="BD141" i="30" s="1"/>
  <c r="BB267" i="1"/>
  <c r="BB141" i="30" s="1"/>
  <c r="BC267" i="1"/>
  <c r="BC141" i="30" s="1"/>
  <c r="BB1906" i="1"/>
  <c r="BB153" i="30" s="1"/>
  <c r="BC1906" i="1"/>
  <c r="BC153" i="30" s="1"/>
  <c r="BD1906" i="1"/>
  <c r="BC551" i="1"/>
  <c r="BD551" i="1"/>
  <c r="BB551" i="1"/>
  <c r="BC595" i="1"/>
  <c r="BC186" i="30" s="1"/>
  <c r="BD595" i="1"/>
  <c r="BD186" i="30" s="1"/>
  <c r="BB595" i="1"/>
  <c r="BB186" i="30" s="1"/>
  <c r="B201" i="30"/>
  <c r="BC610" i="1"/>
  <c r="BC201" i="30" s="1"/>
  <c r="BB610" i="1"/>
  <c r="BB201" i="30" s="1"/>
  <c r="BD610" i="1"/>
  <c r="BD201" i="30" s="1"/>
  <c r="AD868" i="1"/>
  <c r="AD346" i="30" s="1"/>
  <c r="AD950" i="1"/>
  <c r="AD354" i="30" s="1"/>
  <c r="AD1062" i="1"/>
  <c r="AD866" i="1"/>
  <c r="AD344" i="30" s="1"/>
  <c r="AJ1064" i="1"/>
  <c r="B605" i="30"/>
  <c r="BB1743" i="1"/>
  <c r="BB605" i="30" s="1"/>
  <c r="BC1743" i="1"/>
  <c r="BC605" i="30" s="1"/>
  <c r="BD1743" i="1"/>
  <c r="BD605" i="30" s="1"/>
  <c r="B291" i="30"/>
  <c r="BB810" i="1"/>
  <c r="BB291" i="30" s="1"/>
  <c r="BC810" i="1"/>
  <c r="BC291" i="30" s="1"/>
  <c r="BD810" i="1"/>
  <c r="BD291" i="30" s="1"/>
  <c r="AA822" i="1"/>
  <c r="AA302" i="30" s="1"/>
  <c r="AB825" i="1"/>
  <c r="AB306" i="30" s="1"/>
  <c r="AB822" i="1"/>
  <c r="AB302" i="30" s="1"/>
  <c r="Y824" i="1"/>
  <c r="Y305" i="30" s="1"/>
  <c r="Y822" i="1"/>
  <c r="Y302" i="30" s="1"/>
  <c r="AG822" i="1"/>
  <c r="AG302" i="30" s="1"/>
  <c r="W322" i="30"/>
  <c r="W324" i="30" s="1"/>
  <c r="W844" i="1"/>
  <c r="W323" i="30" s="1"/>
  <c r="AA846" i="1"/>
  <c r="AA326" i="30" s="1"/>
  <c r="AA844" i="1"/>
  <c r="AA323" i="30" s="1"/>
  <c r="AI844" i="1"/>
  <c r="AI323" i="30" s="1"/>
  <c r="U822" i="1"/>
  <c r="U302" i="30" s="1"/>
  <c r="Z822" i="1"/>
  <c r="Z302" i="30" s="1"/>
  <c r="AD822" i="1"/>
  <c r="AD302" i="30" s="1"/>
  <c r="AH822" i="1"/>
  <c r="AH302" i="30" s="1"/>
  <c r="X844" i="1"/>
  <c r="X323" i="30" s="1"/>
  <c r="AB844" i="1"/>
  <c r="AB323" i="30" s="1"/>
  <c r="AF844" i="1"/>
  <c r="AF323" i="30" s="1"/>
  <c r="AJ844" i="1"/>
  <c r="AJ323" i="30" s="1"/>
  <c r="AK844" i="1"/>
  <c r="AK323" i="30" s="1"/>
  <c r="AC322" i="30"/>
  <c r="AC324" i="30" s="1"/>
  <c r="AC844" i="1"/>
  <c r="AC323" i="30" s="1"/>
  <c r="W301" i="30"/>
  <c r="W303" i="30" s="1"/>
  <c r="W822" i="1"/>
  <c r="W302" i="30" s="1"/>
  <c r="AE301" i="30"/>
  <c r="AE303" i="30" s="1"/>
  <c r="AE822" i="1"/>
  <c r="AE302" i="30" s="1"/>
  <c r="Y322" i="30"/>
  <c r="Y324" i="30" s="1"/>
  <c r="Y844" i="1"/>
  <c r="Y323" i="30" s="1"/>
  <c r="X815" i="1"/>
  <c r="X293" i="30" s="1"/>
  <c r="AF815" i="1"/>
  <c r="AF293" i="30" s="1"/>
  <c r="AF825" i="1"/>
  <c r="AF306" i="30" s="1"/>
  <c r="AF822" i="1"/>
  <c r="AF302" i="30" s="1"/>
  <c r="Z844" i="1"/>
  <c r="Z323" i="30" s="1"/>
  <c r="AD844" i="1"/>
  <c r="AD323" i="30" s="1"/>
  <c r="AI822" i="1"/>
  <c r="AI302" i="30" s="1"/>
  <c r="AJ822" i="1"/>
  <c r="AJ302" i="30" s="1"/>
  <c r="AG322" i="30"/>
  <c r="AG324" i="30" s="1"/>
  <c r="AG844" i="1"/>
  <c r="AG323" i="30" s="1"/>
  <c r="AB815" i="1"/>
  <c r="AB293" i="30" s="1"/>
  <c r="X824" i="1"/>
  <c r="X305" i="30" s="1"/>
  <c r="X822" i="1"/>
  <c r="X302" i="30" s="1"/>
  <c r="U322" i="30"/>
  <c r="U324" i="30" s="1"/>
  <c r="U844" i="1"/>
  <c r="U323" i="30" s="1"/>
  <c r="AH1895" i="1"/>
  <c r="AH617" i="30" s="1"/>
  <c r="AH844" i="1"/>
  <c r="AH323" i="30" s="1"/>
  <c r="AC824" i="1"/>
  <c r="AC305" i="30" s="1"/>
  <c r="AC822" i="1"/>
  <c r="AC302" i="30" s="1"/>
  <c r="AE844" i="1"/>
  <c r="AE323" i="30" s="1"/>
  <c r="AJ815" i="1"/>
  <c r="AJ293" i="30" s="1"/>
  <c r="AK815" i="1"/>
  <c r="AK293" i="30" s="1"/>
  <c r="AC815" i="1"/>
  <c r="AC293" i="30" s="1"/>
  <c r="Z2221" i="1"/>
  <c r="Z693" i="30" s="1"/>
  <c r="Z815" i="1"/>
  <c r="Z293" i="30" s="1"/>
  <c r="Y815" i="1"/>
  <c r="Y293" i="30" s="1"/>
  <c r="AG815" i="1"/>
  <c r="AG293" i="30" s="1"/>
  <c r="U2221" i="1"/>
  <c r="U693" i="30" s="1"/>
  <c r="U815" i="1"/>
  <c r="U293" i="30" s="1"/>
  <c r="AD2221" i="1"/>
  <c r="AD693" i="30" s="1"/>
  <c r="AD815" i="1"/>
  <c r="AD293" i="30" s="1"/>
  <c r="AH815" i="1"/>
  <c r="AH293" i="30" s="1"/>
  <c r="W815" i="1"/>
  <c r="W293" i="30" s="1"/>
  <c r="AA2221" i="1"/>
  <c r="AA693" i="30" s="1"/>
  <c r="AA815" i="1"/>
  <c r="AA293" i="30" s="1"/>
  <c r="AE815" i="1"/>
  <c r="AE293" i="30" s="1"/>
  <c r="AI815" i="1"/>
  <c r="AI293" i="30" s="1"/>
  <c r="D257" i="61"/>
  <c r="D281" i="61" s="1"/>
  <c r="B281" i="61"/>
  <c r="C74" i="61"/>
  <c r="G74" i="61" s="1"/>
  <c r="AF614" i="30"/>
  <c r="AF107" i="30"/>
  <c r="AF204" i="1"/>
  <c r="AF108" i="30" s="1"/>
  <c r="BC1861" i="1"/>
  <c r="BC612" i="30" s="1"/>
  <c r="B612" i="30"/>
  <c r="AF613" i="30"/>
  <c r="C73" i="61"/>
  <c r="G73" i="61" s="1"/>
  <c r="M903" i="1"/>
  <c r="M1062" i="1"/>
  <c r="AI2221" i="1"/>
  <c r="AI693" i="30" s="1"/>
  <c r="AJ2221" i="1"/>
  <c r="AJ693" i="30" s="1"/>
  <c r="AJ2218" i="1"/>
  <c r="AE819" i="1"/>
  <c r="AE299" i="30" s="1"/>
  <c r="AE2221" i="1"/>
  <c r="AE693" i="30" s="1"/>
  <c r="T292" i="30"/>
  <c r="T294" i="30" s="1"/>
  <c r="T2221" i="1"/>
  <c r="T693" i="30" s="1"/>
  <c r="Y292" i="30"/>
  <c r="Y294" i="30" s="1"/>
  <c r="Y2221" i="1"/>
  <c r="Y693" i="30" s="1"/>
  <c r="AC292" i="30"/>
  <c r="AC294" i="30" s="1"/>
  <c r="AC2221" i="1"/>
  <c r="AC693" i="30" s="1"/>
  <c r="AG292" i="30"/>
  <c r="AG294" i="30" s="1"/>
  <c r="AG2221" i="1"/>
  <c r="AG693" i="30" s="1"/>
  <c r="AH1573" i="1"/>
  <c r="AH541" i="30" s="1"/>
  <c r="AH2221" i="1"/>
  <c r="AH693" i="30" s="1"/>
  <c r="W1555" i="1"/>
  <c r="W525" i="30" s="1"/>
  <c r="W2221" i="1"/>
  <c r="W693" i="30" s="1"/>
  <c r="X292" i="30"/>
  <c r="X294" i="30" s="1"/>
  <c r="X2221" i="1"/>
  <c r="X693" i="30" s="1"/>
  <c r="AB292" i="30"/>
  <c r="AB294" i="30" s="1"/>
  <c r="AB2221" i="1"/>
  <c r="AB693" i="30" s="1"/>
  <c r="AF292" i="30"/>
  <c r="AF294" i="30" s="1"/>
  <c r="AF2221" i="1"/>
  <c r="AF693" i="30" s="1"/>
  <c r="AI819" i="1"/>
  <c r="AI299" i="30" s="1"/>
  <c r="AI690" i="30"/>
  <c r="AJ292" i="30"/>
  <c r="AJ294" i="30" s="1"/>
  <c r="AJ690" i="30"/>
  <c r="AJ774" i="30"/>
  <c r="AJ2450" i="1"/>
  <c r="W238" i="30"/>
  <c r="AC238" i="30"/>
  <c r="AA238" i="30"/>
  <c r="BC238" i="30"/>
  <c r="X238" i="30"/>
  <c r="AB238" i="30"/>
  <c r="BD238" i="30"/>
  <c r="Y238" i="30"/>
  <c r="U238" i="30"/>
  <c r="Z238" i="30"/>
  <c r="BB238" i="30"/>
  <c r="B5" i="30"/>
  <c r="D21" i="15"/>
  <c r="AD903" i="1"/>
  <c r="AD1214" i="1"/>
  <c r="AD428" i="30" s="1"/>
  <c r="AJ1016" i="1"/>
  <c r="AJ1215" i="1"/>
  <c r="AH351" i="30"/>
  <c r="AH905" i="1"/>
  <c r="AH352" i="30" s="1"/>
  <c r="AH902" i="1"/>
  <c r="AE351" i="30"/>
  <c r="AE905" i="1"/>
  <c r="AE352" i="30" s="1"/>
  <c r="AE902" i="1"/>
  <c r="AI351" i="30"/>
  <c r="AI905" i="1"/>
  <c r="AI352" i="30" s="1"/>
  <c r="AI902" i="1"/>
  <c r="AF351" i="30"/>
  <c r="AF902" i="1"/>
  <c r="AF905" i="1"/>
  <c r="AF352" i="30" s="1"/>
  <c r="AJ351" i="30"/>
  <c r="AJ902" i="1"/>
  <c r="AJ905" i="1"/>
  <c r="AJ352" i="30" s="1"/>
  <c r="AG351" i="30"/>
  <c r="AG905" i="1"/>
  <c r="AG352" i="30" s="1"/>
  <c r="AG902" i="1"/>
  <c r="B351" i="30"/>
  <c r="BB904" i="1"/>
  <c r="BB351" i="30" s="1"/>
  <c r="BC904" i="1"/>
  <c r="BC351" i="30" s="1"/>
  <c r="BD904" i="1"/>
  <c r="BD351" i="30" s="1"/>
  <c r="BC952" i="1"/>
  <c r="BC355" i="30" s="1"/>
  <c r="B355" i="30"/>
  <c r="BD670" i="30"/>
  <c r="BB689" i="30"/>
  <c r="BC1721" i="1"/>
  <c r="D62" i="15"/>
  <c r="BD1722" i="1"/>
  <c r="BD593" i="30" s="1"/>
  <c r="AF263" i="30"/>
  <c r="AI783" i="1"/>
  <c r="AI272" i="30" s="1"/>
  <c r="AF783" i="1"/>
  <c r="AF272" i="30" s="1"/>
  <c r="AJ783" i="1"/>
  <c r="AJ272" i="30" s="1"/>
  <c r="AH783" i="1"/>
  <c r="AH272" i="30" s="1"/>
  <c r="AG783" i="1"/>
  <c r="AG272" i="30" s="1"/>
  <c r="BB784" i="1"/>
  <c r="BB274" i="30" s="1"/>
  <c r="BD1021" i="1"/>
  <c r="BD382" i="30" s="1"/>
  <c r="B382" i="30"/>
  <c r="AD342" i="30"/>
  <c r="AD1015" i="1"/>
  <c r="AD378" i="30" s="1"/>
  <c r="M342" i="30"/>
  <c r="M1015" i="1"/>
  <c r="M378" i="30" s="1"/>
  <c r="BD1017" i="1"/>
  <c r="BD380" i="30" s="1"/>
  <c r="B380" i="30"/>
  <c r="AA595" i="30"/>
  <c r="AA1727" i="1"/>
  <c r="AA597" i="30" s="1"/>
  <c r="Y595" i="30"/>
  <c r="Y1727" i="1"/>
  <c r="Y597" i="30" s="1"/>
  <c r="AC595" i="30"/>
  <c r="AC1727" i="1"/>
  <c r="AC597" i="30" s="1"/>
  <c r="U595" i="30"/>
  <c r="U1727" i="1"/>
  <c r="U597" i="30" s="1"/>
  <c r="Z595" i="30"/>
  <c r="Z1727" i="1"/>
  <c r="Z597" i="30" s="1"/>
  <c r="AD595" i="30"/>
  <c r="AD1727" i="1"/>
  <c r="AD597" i="30" s="1"/>
  <c r="X595" i="30"/>
  <c r="X1727" i="1"/>
  <c r="X597" i="30" s="1"/>
  <c r="AB595" i="30"/>
  <c r="AB1727" i="1"/>
  <c r="AB597" i="30" s="1"/>
  <c r="BD1016" i="1"/>
  <c r="BD379" i="30" s="1"/>
  <c r="B379" i="30"/>
  <c r="BD1043" i="1"/>
  <c r="BD372" i="30" s="1"/>
  <c r="B372" i="30"/>
  <c r="BB937" i="1"/>
  <c r="BB374" i="30" s="1"/>
  <c r="B374" i="30"/>
  <c r="BD994" i="1"/>
  <c r="BD376" i="30" s="1"/>
  <c r="B376" i="30"/>
  <c r="B343" i="30"/>
  <c r="B371" i="30"/>
  <c r="BC922" i="1"/>
  <c r="BC373" i="30" s="1"/>
  <c r="B373" i="30"/>
  <c r="BC971" i="1"/>
  <c r="BC377" i="30" s="1"/>
  <c r="B377" i="30"/>
  <c r="A343" i="30"/>
  <c r="A371" i="30"/>
  <c r="AJ371" i="30"/>
  <c r="P1458" i="1"/>
  <c r="P468" i="30" s="1"/>
  <c r="R1458" i="1"/>
  <c r="R468" i="30" s="1"/>
  <c r="AI718" i="1"/>
  <c r="AI253" i="30" s="1"/>
  <c r="AI707" i="1"/>
  <c r="AI246" i="30" s="1"/>
  <c r="Q1458" i="1"/>
  <c r="Q468" i="30" s="1"/>
  <c r="AJ1022" i="1"/>
  <c r="AJ954" i="1"/>
  <c r="AJ356" i="30" s="1"/>
  <c r="AJ345" i="30"/>
  <c r="AJ737" i="30"/>
  <c r="AJ1021" i="1"/>
  <c r="AJ382" i="30" s="1"/>
  <c r="AJ1020" i="1"/>
  <c r="AJ381" i="30" s="1"/>
  <c r="BD867" i="1"/>
  <c r="B345" i="30"/>
  <c r="A736" i="30"/>
  <c r="A345" i="30"/>
  <c r="AJ878" i="1"/>
  <c r="AJ1218" i="1" s="1"/>
  <c r="A415" i="30"/>
  <c r="A1193" i="1"/>
  <c r="BC954" i="1"/>
  <c r="BC356" i="30" s="1"/>
  <c r="AJ1217" i="1"/>
  <c r="AJ430" i="30" s="1"/>
  <c r="A740" i="30"/>
  <c r="BD1049" i="1"/>
  <c r="BD740" i="30" s="1"/>
  <c r="D65" i="15"/>
  <c r="AE343" i="30"/>
  <c r="AI343" i="30"/>
  <c r="AF343" i="30"/>
  <c r="AJ343" i="30"/>
  <c r="AG343" i="30"/>
  <c r="A416" i="30"/>
  <c r="A1194" i="1"/>
  <c r="BC634" i="1"/>
  <c r="BB634" i="1"/>
  <c r="BD634" i="1"/>
  <c r="BC906" i="1"/>
  <c r="BC737" i="30" s="1"/>
  <c r="BC1696" i="1"/>
  <c r="BC579" i="30" s="1"/>
  <c r="BD2257" i="1"/>
  <c r="BD711" i="30" s="1"/>
  <c r="BB2259" i="1"/>
  <c r="BB712" i="30" s="1"/>
  <c r="BB657" i="1"/>
  <c r="BB226" i="30" s="1"/>
  <c r="BC1468" i="1"/>
  <c r="BC474" i="30" s="1"/>
  <c r="BB651" i="1"/>
  <c r="BB220" i="30" s="1"/>
  <c r="BB1696" i="1"/>
  <c r="BB579" i="30" s="1"/>
  <c r="BD656" i="1"/>
  <c r="BD225" i="30" s="1"/>
  <c r="BD1464" i="1"/>
  <c r="BC1673" i="1"/>
  <c r="BC570" i="30" s="1"/>
  <c r="BD1697" i="1"/>
  <c r="BD580" i="30" s="1"/>
  <c r="BB2517" i="1"/>
  <c r="BB790" i="30" s="1"/>
  <c r="BD1467" i="1"/>
  <c r="BD472" i="30" s="1"/>
  <c r="BD1509" i="1"/>
  <c r="BD499" i="30" s="1"/>
  <c r="BC1465" i="1"/>
  <c r="BC471" i="30" s="1"/>
  <c r="BB1581" i="1"/>
  <c r="BB546" i="30" s="1"/>
  <c r="BD923" i="1"/>
  <c r="BD738" i="30" s="1"/>
  <c r="BC1352" i="1"/>
  <c r="BB1353" i="1"/>
  <c r="BB1488" i="1"/>
  <c r="BB492" i="30" s="1"/>
  <c r="BB1868" i="1"/>
  <c r="BB1869" i="1"/>
  <c r="BB796" i="1"/>
  <c r="BB280" i="30" s="1"/>
  <c r="BC848" i="1"/>
  <c r="BC328" i="30" s="1"/>
  <c r="BD858" i="1"/>
  <c r="BD334" i="30" s="1"/>
  <c r="BB859" i="1"/>
  <c r="BB335" i="30" s="1"/>
  <c r="BD1352" i="1"/>
  <c r="BC2032" i="1"/>
  <c r="BC660" i="30" s="1"/>
  <c r="BC644" i="1"/>
  <c r="BC213" i="30" s="1"/>
  <c r="BC656" i="1"/>
  <c r="BC225" i="30" s="1"/>
  <c r="BC728" i="1"/>
  <c r="BC258" i="30" s="1"/>
  <c r="BB788" i="1"/>
  <c r="BB276" i="30" s="1"/>
  <c r="BC859" i="1"/>
  <c r="BC335" i="30" s="1"/>
  <c r="BB1468" i="1"/>
  <c r="BB474" i="30" s="1"/>
  <c r="BD1507" i="1"/>
  <c r="BD497" i="30" s="1"/>
  <c r="BC2025" i="1"/>
  <c r="BC653" i="30" s="1"/>
  <c r="BD2029" i="1"/>
  <c r="BD657" i="30" s="1"/>
  <c r="BD642" i="1"/>
  <c r="BD211" i="30" s="1"/>
  <c r="BB1226" i="1"/>
  <c r="BB423" i="30" s="1"/>
  <c r="BC1485" i="1"/>
  <c r="BC489" i="30" s="1"/>
  <c r="BC1742" i="1"/>
  <c r="BC603" i="30" s="1"/>
  <c r="BC1864" i="1"/>
  <c r="BC1865" i="1"/>
  <c r="BC1880" i="1"/>
  <c r="BB2008" i="1"/>
  <c r="BB636" i="30" s="1"/>
  <c r="BB2024" i="1"/>
  <c r="BB652" i="30" s="1"/>
  <c r="BB2220" i="1"/>
  <c r="BB692" i="30" s="1"/>
  <c r="BD2351" i="1"/>
  <c r="BD744" i="30" s="1"/>
  <c r="BB2385" i="1"/>
  <c r="BB747" i="30" s="1"/>
  <c r="BC1115" i="1"/>
  <c r="BC339" i="30" s="1"/>
  <c r="BB1116" i="1"/>
  <c r="BB340" i="30" s="1"/>
  <c r="BB923" i="1"/>
  <c r="BB738" i="30" s="1"/>
  <c r="BC1226" i="1"/>
  <c r="BC423" i="30" s="1"/>
  <c r="BD1472" i="1"/>
  <c r="BD478" i="30" s="1"/>
  <c r="BB1509" i="1"/>
  <c r="BB499" i="30" s="1"/>
  <c r="BC1555" i="1"/>
  <c r="BC525" i="30" s="1"/>
  <c r="BD1705" i="1"/>
  <c r="BD585" i="30" s="1"/>
  <c r="BC1854" i="1"/>
  <c r="BC609" i="30" s="1"/>
  <c r="BB1881" i="1"/>
  <c r="BB613" i="30" s="1"/>
  <c r="BC1883" i="1"/>
  <c r="BB1884" i="1"/>
  <c r="BB2007" i="1"/>
  <c r="BB635" i="30" s="1"/>
  <c r="BB2023" i="1"/>
  <c r="BB651" i="30" s="1"/>
  <c r="BD2034" i="1"/>
  <c r="BD662" i="30" s="1"/>
  <c r="BD2039" i="1"/>
  <c r="BD667" i="30" s="1"/>
  <c r="BB2188" i="1"/>
  <c r="BB686" i="30" s="1"/>
  <c r="BB2189" i="1"/>
  <c r="BB687" i="30" s="1"/>
  <c r="BC2190" i="1"/>
  <c r="BC688" i="30" s="1"/>
  <c r="BD2220" i="1"/>
  <c r="BD692" i="30" s="1"/>
  <c r="BB2384" i="1"/>
  <c r="BB746" i="30" s="1"/>
  <c r="BC2410" i="1"/>
  <c r="BC752" i="30" s="1"/>
  <c r="BB1215" i="1"/>
  <c r="BB429" i="30" s="1"/>
  <c r="BC620" i="1"/>
  <c r="BC205" i="30" s="1"/>
  <c r="BB739" i="1"/>
  <c r="BB261" i="30" s="1"/>
  <c r="BB830" i="1"/>
  <c r="BB311" i="30" s="1"/>
  <c r="BC1215" i="1"/>
  <c r="BC429" i="30" s="1"/>
  <c r="BD620" i="1"/>
  <c r="BC826" i="1"/>
  <c r="BC310" i="30" s="1"/>
  <c r="BC830" i="1"/>
  <c r="BC311" i="30" s="1"/>
  <c r="BD971" i="1"/>
  <c r="BD377" i="30" s="1"/>
  <c r="BC923" i="1"/>
  <c r="BC738" i="30" s="1"/>
  <c r="BD1348" i="1"/>
  <c r="BD1506" i="1"/>
  <c r="BD496" i="30" s="1"/>
  <c r="BC1508" i="1"/>
  <c r="BC498" i="30" s="1"/>
  <c r="BC1509" i="1"/>
  <c r="BC499" i="30" s="1"/>
  <c r="BD1523" i="1"/>
  <c r="BD501" i="30" s="1"/>
  <c r="BC1539" i="1"/>
  <c r="BC517" i="30" s="1"/>
  <c r="BB1553" i="1"/>
  <c r="BB523" i="30" s="1"/>
  <c r="BD1633" i="1"/>
  <c r="BD553" i="30" s="1"/>
  <c r="BD1734" i="1"/>
  <c r="BD591" i="30" s="1"/>
  <c r="BD1872" i="1"/>
  <c r="BD1996" i="1"/>
  <c r="BD623" i="30" s="1"/>
  <c r="BD2014" i="1"/>
  <c r="BD642" i="30" s="1"/>
  <c r="BD2033" i="1"/>
  <c r="BD661" i="30" s="1"/>
  <c r="BD2272" i="1"/>
  <c r="BD717" i="30" s="1"/>
  <c r="BD2274" i="1"/>
  <c r="BD719" i="30" s="1"/>
  <c r="AH560" i="1"/>
  <c r="AH164" i="30" s="1"/>
  <c r="B267" i="30"/>
  <c r="BD772" i="1"/>
  <c r="BD267" i="30" s="1"/>
  <c r="BB1351" i="1"/>
  <c r="BC1351" i="1"/>
  <c r="B446" i="30"/>
  <c r="BC1436" i="1"/>
  <c r="BC446" i="30" s="1"/>
  <c r="BB1461" i="1"/>
  <c r="BC1729" i="1"/>
  <c r="BC587" i="30" s="1"/>
  <c r="BB1729" i="1"/>
  <c r="BB587" i="30" s="1"/>
  <c r="BD1876" i="1"/>
  <c r="B654" i="30"/>
  <c r="BD2026" i="1"/>
  <c r="BD654" i="30" s="1"/>
  <c r="BC2042" i="1"/>
  <c r="BD2042" i="1"/>
  <c r="B659" i="30"/>
  <c r="BD2031" i="1"/>
  <c r="BD659" i="30" s="1"/>
  <c r="B695" i="30"/>
  <c r="BD2223" i="1"/>
  <c r="BD695" i="30" s="1"/>
  <c r="B730" i="30"/>
  <c r="BB2285" i="1"/>
  <c r="BB730" i="30" s="1"/>
  <c r="B732" i="30"/>
  <c r="BB2287" i="1"/>
  <c r="BB732" i="30" s="1"/>
  <c r="BB2473" i="1"/>
  <c r="BB778" i="30" s="1"/>
  <c r="BD2473" i="1"/>
  <c r="BD778" i="30" s="1"/>
  <c r="B549" i="30"/>
  <c r="BB1585" i="1"/>
  <c r="BB549" i="30" s="1"/>
  <c r="BB2006" i="1"/>
  <c r="BD2006" i="1"/>
  <c r="B232" i="30"/>
  <c r="BC663" i="1"/>
  <c r="BC232" i="30" s="1"/>
  <c r="B304" i="30"/>
  <c r="BC823" i="1"/>
  <c r="BC304" i="30" s="1"/>
  <c r="BC152" i="30"/>
  <c r="BD655" i="1"/>
  <c r="BD224" i="30" s="1"/>
  <c r="B231" i="30"/>
  <c r="BD662" i="1"/>
  <c r="BD231" i="30" s="1"/>
  <c r="BB663" i="1"/>
  <c r="BB232" i="30" s="1"/>
  <c r="B236" i="30"/>
  <c r="BB680" i="1"/>
  <c r="BB236" i="30" s="1"/>
  <c r="BB734" i="1"/>
  <c r="BC772" i="1"/>
  <c r="BC267" i="30" s="1"/>
  <c r="B301" i="30"/>
  <c r="BD821" i="1"/>
  <c r="BD301" i="30" s="1"/>
  <c r="BB823" i="1"/>
  <c r="BB304" i="30" s="1"/>
  <c r="AG1014" i="1"/>
  <c r="BC1350" i="1"/>
  <c r="BB1350" i="1"/>
  <c r="BD1351" i="1"/>
  <c r="BB1436" i="1"/>
  <c r="BB446" i="30" s="1"/>
  <c r="BB1448" i="1"/>
  <c r="BB458" i="30" s="1"/>
  <c r="BC1461" i="1"/>
  <c r="BB1484" i="1"/>
  <c r="BB488" i="30" s="1"/>
  <c r="B505" i="30"/>
  <c r="BB1527" i="1"/>
  <c r="BB505" i="30" s="1"/>
  <c r="BC1658" i="1"/>
  <c r="BC555" i="30" s="1"/>
  <c r="BB1658" i="1"/>
  <c r="BC1738" i="1"/>
  <c r="BC598" i="30" s="1"/>
  <c r="BB1738" i="1"/>
  <c r="BB598" i="30" s="1"/>
  <c r="B638" i="30"/>
  <c r="BC2010" i="1"/>
  <c r="BC638" i="30" s="1"/>
  <c r="BD2386" i="1"/>
  <c r="BD748" i="30" s="1"/>
  <c r="BC2386" i="1"/>
  <c r="BC748" i="30" s="1"/>
  <c r="BB2424" i="1"/>
  <c r="BB758" i="30" s="1"/>
  <c r="BC2424" i="1"/>
  <c r="BC758" i="30" s="1"/>
  <c r="BC641" i="1"/>
  <c r="BC210" i="30" s="1"/>
  <c r="BB642" i="1"/>
  <c r="BB211" i="30" s="1"/>
  <c r="BC650" i="1"/>
  <c r="BC219" i="30" s="1"/>
  <c r="BC662" i="1"/>
  <c r="BC231" i="30" s="1"/>
  <c r="BD663" i="1"/>
  <c r="BD232" i="30" s="1"/>
  <c r="BC682" i="1"/>
  <c r="BC734" i="1"/>
  <c r="BC259" i="30" s="1"/>
  <c r="B266" i="30"/>
  <c r="BD771" i="1"/>
  <c r="BD266" i="30" s="1"/>
  <c r="BC786" i="1"/>
  <c r="BC277" i="30" s="1"/>
  <c r="BB785" i="1"/>
  <c r="BC821" i="1"/>
  <c r="BC301" i="30" s="1"/>
  <c r="BD823" i="1"/>
  <c r="BD304" i="30" s="1"/>
  <c r="BC827" i="1"/>
  <c r="BC307" i="30" s="1"/>
  <c r="BC828" i="1"/>
  <c r="BC308" i="30" s="1"/>
  <c r="BB829" i="1"/>
  <c r="BB309" i="30" s="1"/>
  <c r="BB840" i="1"/>
  <c r="BB319" i="30" s="1"/>
  <c r="BD897" i="1"/>
  <c r="BD375" i="30" s="1"/>
  <c r="BC897" i="1"/>
  <c r="BC375" i="30" s="1"/>
  <c r="AH1014" i="1"/>
  <c r="BD952" i="1"/>
  <c r="BD355" i="30" s="1"/>
  <c r="BD1346" i="1"/>
  <c r="BD425" i="30" s="1"/>
  <c r="BD1350" i="1"/>
  <c r="BD1355" i="1"/>
  <c r="BB1355" i="1"/>
  <c r="BD1436" i="1"/>
  <c r="BD446" i="30" s="1"/>
  <c r="BB1445" i="1"/>
  <c r="BB455" i="30" s="1"/>
  <c r="BC1448" i="1"/>
  <c r="BC458" i="30" s="1"/>
  <c r="B462" i="30"/>
  <c r="BB1452" i="1"/>
  <c r="BB462" i="30" s="1"/>
  <c r="BD1461" i="1"/>
  <c r="BC1471" i="1"/>
  <c r="BC477" i="30" s="1"/>
  <c r="BB1477" i="1"/>
  <c r="BB482" i="30" s="1"/>
  <c r="BD1477" i="1"/>
  <c r="BD482" i="30" s="1"/>
  <c r="BC1478" i="1"/>
  <c r="BC483" i="30" s="1"/>
  <c r="BC1479" i="1"/>
  <c r="BC484" i="30" s="1"/>
  <c r="BB1483" i="1"/>
  <c r="BB487" i="30" s="1"/>
  <c r="B490" i="30"/>
  <c r="BC1486" i="1"/>
  <c r="BC490" i="30" s="1"/>
  <c r="BB1503" i="1"/>
  <c r="BB494" i="30" s="1"/>
  <c r="BD1503" i="1"/>
  <c r="BD494" i="30" s="1"/>
  <c r="BC1527" i="1"/>
  <c r="BC505" i="30" s="1"/>
  <c r="B509" i="30"/>
  <c r="BD1531" i="1"/>
  <c r="BD509" i="30" s="1"/>
  <c r="B514" i="30"/>
  <c r="BC1536" i="1"/>
  <c r="BC514" i="30" s="1"/>
  <c r="B526" i="30"/>
  <c r="BD1556" i="1"/>
  <c r="BD526" i="30" s="1"/>
  <c r="BB1573" i="1"/>
  <c r="BB541" i="30" s="1"/>
  <c r="BD1860" i="1"/>
  <c r="BD1867" i="1"/>
  <c r="BC1876" i="1"/>
  <c r="BC2006" i="1"/>
  <c r="BB2010" i="1"/>
  <c r="BB638" i="30" s="1"/>
  <c r="BC2026" i="1"/>
  <c r="BC654" i="30" s="1"/>
  <c r="BB2047" i="1"/>
  <c r="BD2047" i="1"/>
  <c r="BC2031" i="1"/>
  <c r="BC659" i="30" s="1"/>
  <c r="B675" i="30"/>
  <c r="BD2146" i="1"/>
  <c r="BD675" i="30" s="1"/>
  <c r="BB2153" i="1"/>
  <c r="BB678" i="30" s="1"/>
  <c r="BD2184" i="1"/>
  <c r="BD683" i="30" s="1"/>
  <c r="BC2223" i="1"/>
  <c r="BC695" i="30" s="1"/>
  <c r="BC2285" i="1"/>
  <c r="BC730" i="30" s="1"/>
  <c r="BC2286" i="1"/>
  <c r="BC731" i="30" s="1"/>
  <c r="BB2349" i="1"/>
  <c r="BB742" i="30" s="1"/>
  <c r="BC2349" i="1"/>
  <c r="BC742" i="30" s="1"/>
  <c r="BD2413" i="1"/>
  <c r="BD754" i="30" s="1"/>
  <c r="B756" i="30"/>
  <c r="BB2417" i="1"/>
  <c r="BB756" i="30" s="1"/>
  <c r="BB2488" i="1"/>
  <c r="BB786" i="30" s="1"/>
  <c r="B789" i="30"/>
  <c r="BC2507" i="1"/>
  <c r="BC789" i="30" s="1"/>
  <c r="BD640" i="1"/>
  <c r="BD209" i="30" s="1"/>
  <c r="BD641" i="1"/>
  <c r="BD210" i="30" s="1"/>
  <c r="BC642" i="1"/>
  <c r="BC211" i="30" s="1"/>
  <c r="BB644" i="1"/>
  <c r="BB213" i="30" s="1"/>
  <c r="BD649" i="1"/>
  <c r="BD218" i="30" s="1"/>
  <c r="BD650" i="1"/>
  <c r="BD219" i="30" s="1"/>
  <c r="BD661" i="1"/>
  <c r="BD230" i="30" s="1"/>
  <c r="B234" i="30"/>
  <c r="BB678" i="1"/>
  <c r="BB234" i="30" s="1"/>
  <c r="B268" i="30"/>
  <c r="BC773" i="1"/>
  <c r="BC268" i="30" s="1"/>
  <c r="BD774" i="1"/>
  <c r="BD269" i="30" s="1"/>
  <c r="BC777" i="1"/>
  <c r="BC270" i="30" s="1"/>
  <c r="BD786" i="1"/>
  <c r="BD277" i="30" s="1"/>
  <c r="BC785" i="1"/>
  <c r="BD798" i="1"/>
  <c r="BD282" i="30" s="1"/>
  <c r="BC799" i="1"/>
  <c r="BC283" i="30" s="1"/>
  <c r="B300" i="30"/>
  <c r="BC820" i="1"/>
  <c r="BC300" i="30" s="1"/>
  <c r="BC829" i="1"/>
  <c r="BC309" i="30" s="1"/>
  <c r="B321" i="30"/>
  <c r="BB842" i="1"/>
  <c r="BB321" i="30" s="1"/>
  <c r="BD851" i="1"/>
  <c r="BD332" i="30" s="1"/>
  <c r="BD860" i="1"/>
  <c r="BD336" i="30" s="1"/>
  <c r="BB1113" i="1"/>
  <c r="BB337" i="30" s="1"/>
  <c r="BB897" i="1"/>
  <c r="BB375" i="30" s="1"/>
  <c r="BC1349" i="1"/>
  <c r="BC427" i="30" s="1"/>
  <c r="BD1438" i="1"/>
  <c r="BD448" i="30" s="1"/>
  <c r="B454" i="30"/>
  <c r="BD1444" i="1"/>
  <c r="BD454" i="30" s="1"/>
  <c r="BC1452" i="1"/>
  <c r="BC462" i="30" s="1"/>
  <c r="BB1470" i="1"/>
  <c r="BB476" i="30" s="1"/>
  <c r="BB1486" i="1"/>
  <c r="BB490" i="30" s="1"/>
  <c r="BB1531" i="1"/>
  <c r="BB509" i="30" s="1"/>
  <c r="BC1532" i="1"/>
  <c r="BC510" i="30" s="1"/>
  <c r="BB1536" i="1"/>
  <c r="BB514" i="30" s="1"/>
  <c r="BC1542" i="1"/>
  <c r="BC520" i="30" s="1"/>
  <c r="BB1556" i="1"/>
  <c r="BB526" i="30" s="1"/>
  <c r="BB1592" i="1"/>
  <c r="BB548" i="30" s="1"/>
  <c r="BD1592" i="1"/>
  <c r="BD548" i="30" s="1"/>
  <c r="BB1748" i="1"/>
  <c r="BB607" i="30" s="1"/>
  <c r="BB1860" i="1"/>
  <c r="BC2005" i="1"/>
  <c r="BC634" i="30" s="1"/>
  <c r="BD2005" i="1"/>
  <c r="BD634" i="30" s="1"/>
  <c r="BC2009" i="1"/>
  <c r="BC637" i="30" s="1"/>
  <c r="BD2010" i="1"/>
  <c r="BD638" i="30" s="1"/>
  <c r="BC2021" i="1"/>
  <c r="BC649" i="30" s="1"/>
  <c r="BD2021" i="1"/>
  <c r="BD649" i="30" s="1"/>
  <c r="BC2047" i="1"/>
  <c r="BB2146" i="1"/>
  <c r="BB675" i="30" s="1"/>
  <c r="BD2278" i="1"/>
  <c r="BD723" i="30" s="1"/>
  <c r="BC2282" i="1"/>
  <c r="BC727" i="30" s="1"/>
  <c r="BD2282" i="1"/>
  <c r="BD727" i="30" s="1"/>
  <c r="BB2295" i="1"/>
  <c r="BB735" i="30" s="1"/>
  <c r="BC2295" i="1"/>
  <c r="BC735" i="30" s="1"/>
  <c r="B749" i="30"/>
  <c r="BD2388" i="1"/>
  <c r="BD749" i="30" s="1"/>
  <c r="B752" i="30"/>
  <c r="BB2410" i="1"/>
  <c r="BB752" i="30" s="1"/>
  <c r="BD2417" i="1"/>
  <c r="BD756" i="30" s="1"/>
  <c r="BC2487" i="1"/>
  <c r="BC785" i="30" s="1"/>
  <c r="BD2488" i="1"/>
  <c r="BD786" i="30" s="1"/>
  <c r="BB2507" i="1"/>
  <c r="BB789" i="30" s="1"/>
  <c r="AE1014" i="1"/>
  <c r="B149" i="30"/>
  <c r="B150" i="30"/>
  <c r="B153" i="30"/>
  <c r="B159" i="30"/>
  <c r="B178" i="30"/>
  <c r="B184" i="30"/>
  <c r="B194" i="30"/>
  <c r="B222" i="30"/>
  <c r="BB653" i="1"/>
  <c r="BB222" i="30" s="1"/>
  <c r="BD653" i="1"/>
  <c r="BD222" i="30" s="1"/>
  <c r="BC653" i="1"/>
  <c r="BC222" i="30" s="1"/>
  <c r="B227" i="30"/>
  <c r="BC658" i="1"/>
  <c r="BC227" i="30" s="1"/>
  <c r="BD658" i="1"/>
  <c r="BD227" i="30" s="1"/>
  <c r="B148" i="30"/>
  <c r="B177" i="30"/>
  <c r="B187" i="30"/>
  <c r="B193" i="30"/>
  <c r="B256" i="30"/>
  <c r="BC726" i="1"/>
  <c r="BC256" i="30" s="1"/>
  <c r="BB726" i="1"/>
  <c r="BB256" i="30" s="1"/>
  <c r="B142" i="30"/>
  <c r="B151" i="30"/>
  <c r="BD152" i="30"/>
  <c r="B160" i="30"/>
  <c r="B176" i="30"/>
  <c r="B186" i="30"/>
  <c r="B192" i="30"/>
  <c r="B207" i="30"/>
  <c r="BB638" i="1"/>
  <c r="BD638" i="1"/>
  <c r="BC638" i="1"/>
  <c r="BC207" i="30" s="1"/>
  <c r="B216" i="30"/>
  <c r="BB647" i="1"/>
  <c r="BB216" i="30" s="1"/>
  <c r="BD647" i="1"/>
  <c r="BD216" i="30" s="1"/>
  <c r="BC647" i="1"/>
  <c r="BC216" i="30" s="1"/>
  <c r="B221" i="30"/>
  <c r="BC652" i="1"/>
  <c r="BC221" i="30" s="1"/>
  <c r="BD652" i="1"/>
  <c r="BD221" i="30" s="1"/>
  <c r="B228" i="30"/>
  <c r="BB659" i="1"/>
  <c r="BB228" i="30" s="1"/>
  <c r="BD659" i="1"/>
  <c r="BD228" i="30" s="1"/>
  <c r="BC659" i="1"/>
  <c r="BC228" i="30" s="1"/>
  <c r="B255" i="30"/>
  <c r="BC724" i="1"/>
  <c r="BC255" i="30" s="1"/>
  <c r="B147" i="30"/>
  <c r="B179" i="30"/>
  <c r="B185" i="30"/>
  <c r="B195" i="30"/>
  <c r="BD636" i="1"/>
  <c r="BD644" i="1"/>
  <c r="BD213" i="30" s="1"/>
  <c r="BD651" i="1"/>
  <c r="BD220" i="30" s="1"/>
  <c r="BD657" i="1"/>
  <c r="BD226" i="30" s="1"/>
  <c r="BD734" i="1"/>
  <c r="BC739" i="1"/>
  <c r="BC261" i="30" s="1"/>
  <c r="BD764" i="1"/>
  <c r="BC765" i="1"/>
  <c r="BC768" i="1"/>
  <c r="BC264" i="30" s="1"/>
  <c r="BD785" i="1"/>
  <c r="BC796" i="1"/>
  <c r="BC280" i="30" s="1"/>
  <c r="BC801" i="1"/>
  <c r="BC285" i="30" s="1"/>
  <c r="BC802" i="1"/>
  <c r="BC286" i="30" s="1"/>
  <c r="BD804" i="1"/>
  <c r="BD288" i="30" s="1"/>
  <c r="BB805" i="1"/>
  <c r="BB289" i="30" s="1"/>
  <c r="BC814" i="1"/>
  <c r="BC292" i="30" s="1"/>
  <c r="BB817" i="1"/>
  <c r="BB295" i="30" s="1"/>
  <c r="BD816" i="1"/>
  <c r="BD296" i="30" s="1"/>
  <c r="BB818" i="1"/>
  <c r="BB297" i="30" s="1"/>
  <c r="BC825" i="1"/>
  <c r="BC306" i="30" s="1"/>
  <c r="BD830" i="1"/>
  <c r="BD311" i="30" s="1"/>
  <c r="BC840" i="1"/>
  <c r="BC319" i="30" s="1"/>
  <c r="BC842" i="1"/>
  <c r="BC321" i="30" s="1"/>
  <c r="BC846" i="1"/>
  <c r="BC326" i="30" s="1"/>
  <c r="BC1113" i="1"/>
  <c r="BC337" i="30" s="1"/>
  <c r="BB1016" i="1"/>
  <c r="BB379" i="30" s="1"/>
  <c r="BD1226" i="1"/>
  <c r="BD423" i="30" s="1"/>
  <c r="BB1348" i="1"/>
  <c r="BC1358" i="1"/>
  <c r="BC437" i="30" s="1"/>
  <c r="BB1360" i="1"/>
  <c r="BB439" i="30" s="1"/>
  <c r="BD1362" i="1"/>
  <c r="BD441" i="30" s="1"/>
  <c r="BC1363" i="1"/>
  <c r="BC442" i="30" s="1"/>
  <c r="BD1366" i="1"/>
  <c r="BD443" i="30" s="1"/>
  <c r="BD1367" i="1"/>
  <c r="BC1440" i="1"/>
  <c r="BC450" i="30" s="1"/>
  <c r="BB1441" i="1"/>
  <c r="BB451" i="30" s="1"/>
  <c r="BB1442" i="1"/>
  <c r="BB452" i="30" s="1"/>
  <c r="BC1443" i="1"/>
  <c r="BC453" i="30" s="1"/>
  <c r="BB1444" i="1"/>
  <c r="BB454" i="30" s="1"/>
  <c r="BB1446" i="1"/>
  <c r="BB456" i="30" s="1"/>
  <c r="BD1448" i="1"/>
  <c r="BD458" i="30" s="1"/>
  <c r="BD1455" i="1"/>
  <c r="BD465" i="30" s="1"/>
  <c r="BC1456" i="1"/>
  <c r="BC466" i="30" s="1"/>
  <c r="BB1457" i="1"/>
  <c r="BB467" i="30" s="1"/>
  <c r="BD1468" i="1"/>
  <c r="BD474" i="30" s="1"/>
  <c r="BB1472" i="1"/>
  <c r="BB478" i="30" s="1"/>
  <c r="BC1475" i="1"/>
  <c r="BC481" i="30" s="1"/>
  <c r="BD1486" i="1"/>
  <c r="BD490" i="30" s="1"/>
  <c r="BB1506" i="1"/>
  <c r="BB496" i="30" s="1"/>
  <c r="BC1522" i="1"/>
  <c r="BC500" i="30" s="1"/>
  <c r="BB1523" i="1"/>
  <c r="BB501" i="30" s="1"/>
  <c r="BB1525" i="1"/>
  <c r="BB503" i="30" s="1"/>
  <c r="BD1527" i="1"/>
  <c r="BD505" i="30" s="1"/>
  <c r="BD1536" i="1"/>
  <c r="BD514" i="30" s="1"/>
  <c r="BB1537" i="1"/>
  <c r="BB515" i="30" s="1"/>
  <c r="BC1538" i="1"/>
  <c r="BC516" i="30" s="1"/>
  <c r="BD1540" i="1"/>
  <c r="BD518" i="30" s="1"/>
  <c r="BB1540" i="1"/>
  <c r="BB518" i="30" s="1"/>
  <c r="BD1581" i="1"/>
  <c r="BD546" i="30" s="1"/>
  <c r="BC1585" i="1"/>
  <c r="BC549" i="30" s="1"/>
  <c r="BC1634" i="1"/>
  <c r="BC554" i="30" s="1"/>
  <c r="BB1674" i="1"/>
  <c r="BB571" i="30" s="1"/>
  <c r="B586" i="30"/>
  <c r="BC1706" i="1"/>
  <c r="BC586" i="30" s="1"/>
  <c r="BD1724" i="1"/>
  <c r="BD594" i="30" s="1"/>
  <c r="BB1724" i="1"/>
  <c r="BB594" i="30" s="1"/>
  <c r="BC1740" i="1"/>
  <c r="BC600" i="30" s="1"/>
  <c r="BB1864" i="1"/>
  <c r="BD1868" i="1"/>
  <c r="BB1870" i="1"/>
  <c r="BB1880" i="1"/>
  <c r="BB2002" i="1"/>
  <c r="BB627" i="30" s="1"/>
  <c r="BC2003" i="1"/>
  <c r="BC628" i="30" s="1"/>
  <c r="BB2018" i="1"/>
  <c r="BB646" i="30" s="1"/>
  <c r="BC2019" i="1"/>
  <c r="BC647" i="30" s="1"/>
  <c r="B650" i="30"/>
  <c r="BB2022" i="1"/>
  <c r="BB650" i="30" s="1"/>
  <c r="BB2051" i="1"/>
  <c r="B663" i="30"/>
  <c r="BD2035" i="1"/>
  <c r="BD663" i="30" s="1"/>
  <c r="BC2141" i="1"/>
  <c r="BC670" i="30" s="1"/>
  <c r="BC2238" i="1"/>
  <c r="B715" i="30"/>
  <c r="BB2269" i="1"/>
  <c r="BB715" i="30" s="1"/>
  <c r="BD2269" i="1"/>
  <c r="BD715" i="30" s="1"/>
  <c r="B722" i="30"/>
  <c r="BC2277" i="1"/>
  <c r="BC722" i="30" s="1"/>
  <c r="B726" i="30"/>
  <c r="BC2281" i="1"/>
  <c r="BC726" i="30" s="1"/>
  <c r="B728" i="30"/>
  <c r="BC2283" i="1"/>
  <c r="BC728" i="30" s="1"/>
  <c r="BB2350" i="1"/>
  <c r="BB743" i="30" s="1"/>
  <c r="BD2350" i="1"/>
  <c r="BD743" i="30" s="1"/>
  <c r="BB682" i="1"/>
  <c r="BC727" i="1"/>
  <c r="BC257" i="30" s="1"/>
  <c r="BB728" i="1"/>
  <c r="BB258" i="30" s="1"/>
  <c r="BD765" i="1"/>
  <c r="BD768" i="1"/>
  <c r="BD264" i="30" s="1"/>
  <c r="BB777" i="1"/>
  <c r="BB270" i="30" s="1"/>
  <c r="BB799" i="1"/>
  <c r="BB283" i="30" s="1"/>
  <c r="BD802" i="1"/>
  <c r="BD286" i="30" s="1"/>
  <c r="BC805" i="1"/>
  <c r="BC289" i="30" s="1"/>
  <c r="BD814" i="1"/>
  <c r="BC817" i="1"/>
  <c r="BC295" i="30" s="1"/>
  <c r="BC818" i="1"/>
  <c r="BC297" i="30" s="1"/>
  <c r="BD825" i="1"/>
  <c r="BD306" i="30" s="1"/>
  <c r="BB827" i="1"/>
  <c r="BB307" i="30" s="1"/>
  <c r="BD846" i="1"/>
  <c r="BD326" i="30" s="1"/>
  <c r="BD847" i="1"/>
  <c r="BD327" i="30" s="1"/>
  <c r="BB848" i="1"/>
  <c r="BB328" i="30" s="1"/>
  <c r="BC850" i="1"/>
  <c r="BC331" i="30" s="1"/>
  <c r="BB865" i="1"/>
  <c r="BC1016" i="1"/>
  <c r="BC379" i="30" s="1"/>
  <c r="BB906" i="1"/>
  <c r="BB737" i="30" s="1"/>
  <c r="BC1348" i="1"/>
  <c r="BD1358" i="1"/>
  <c r="BD437" i="30" s="1"/>
  <c r="BC1360" i="1"/>
  <c r="BC439" i="30" s="1"/>
  <c r="BD1440" i="1"/>
  <c r="BD450" i="30" s="1"/>
  <c r="BC1444" i="1"/>
  <c r="BC454" i="30" s="1"/>
  <c r="BD1456" i="1"/>
  <c r="BD466" i="30" s="1"/>
  <c r="BC1472" i="1"/>
  <c r="BC478" i="30" s="1"/>
  <c r="BD1475" i="1"/>
  <c r="BD481" i="30" s="1"/>
  <c r="BB1479" i="1"/>
  <c r="BB484" i="30" s="1"/>
  <c r="BC1506" i="1"/>
  <c r="BC496" i="30" s="1"/>
  <c r="BC1523" i="1"/>
  <c r="BC501" i="30" s="1"/>
  <c r="BB1539" i="1"/>
  <c r="BB517" i="30" s="1"/>
  <c r="B520" i="30"/>
  <c r="BD1542" i="1"/>
  <c r="BD520" i="30" s="1"/>
  <c r="B591" i="30"/>
  <c r="BB1734" i="1"/>
  <c r="BB591" i="30" s="1"/>
  <c r="BC1744" i="1"/>
  <c r="BC604" i="30" s="1"/>
  <c r="B611" i="30"/>
  <c r="BB1855" i="1"/>
  <c r="BB611" i="30" s="1"/>
  <c r="BC1872" i="1"/>
  <c r="BD1884" i="1"/>
  <c r="B623" i="30"/>
  <c r="BC1996" i="1"/>
  <c r="BC623" i="30" s="1"/>
  <c r="B642" i="30"/>
  <c r="BC2014" i="1"/>
  <c r="BC642" i="30" s="1"/>
  <c r="BC2022" i="1"/>
  <c r="BC650" i="30" s="1"/>
  <c r="BD2051" i="1"/>
  <c r="BD2030" i="1"/>
  <c r="BD658" i="30" s="1"/>
  <c r="BB2035" i="1"/>
  <c r="BB663" i="30" s="1"/>
  <c r="B667" i="30"/>
  <c r="BB2039" i="1"/>
  <c r="BB667" i="30" s="1"/>
  <c r="BB2160" i="1"/>
  <c r="BC2160" i="1"/>
  <c r="B685" i="30"/>
  <c r="BD2187" i="1"/>
  <c r="BD685" i="30" s="1"/>
  <c r="BB2187" i="1"/>
  <c r="BB685" i="30" s="1"/>
  <c r="B705" i="30"/>
  <c r="BC2229" i="1"/>
  <c r="BC705" i="30" s="1"/>
  <c r="BD2238" i="1"/>
  <c r="BC2269" i="1"/>
  <c r="BC715" i="30" s="1"/>
  <c r="B718" i="30"/>
  <c r="BC2273" i="1"/>
  <c r="BC718" i="30" s="1"/>
  <c r="B720" i="30"/>
  <c r="BC2275" i="1"/>
  <c r="BC720" i="30" s="1"/>
  <c r="B724" i="30"/>
  <c r="BC2279" i="1"/>
  <c r="BC724" i="30" s="1"/>
  <c r="B745" i="30"/>
  <c r="BC2383" i="1"/>
  <c r="BC745" i="30" s="1"/>
  <c r="BB2383" i="1"/>
  <c r="BB745" i="30" s="1"/>
  <c r="BD2383" i="1"/>
  <c r="BD745" i="30" s="1"/>
  <c r="B783" i="30"/>
  <c r="BC2480" i="1"/>
  <c r="BC783" i="30" s="1"/>
  <c r="BB2480" i="1"/>
  <c r="BD2480" i="1"/>
  <c r="BD1672" i="1"/>
  <c r="BD569" i="30" s="1"/>
  <c r="BB1672" i="1"/>
  <c r="BB569" i="30" s="1"/>
  <c r="BB1887" i="1"/>
  <c r="B617" i="30"/>
  <c r="BD1895" i="1"/>
  <c r="BD617" i="30" s="1"/>
  <c r="B671" i="30"/>
  <c r="BC2142" i="1"/>
  <c r="BC671" i="30" s="1"/>
  <c r="BB2176" i="1"/>
  <c r="BD2176" i="1"/>
  <c r="B704" i="30"/>
  <c r="BC2230" i="1"/>
  <c r="BC704" i="30" s="1"/>
  <c r="B708" i="30"/>
  <c r="BC2241" i="1"/>
  <c r="BC708" i="30" s="1"/>
  <c r="BB2411" i="1"/>
  <c r="BB753" i="30" s="1"/>
  <c r="BC2411" i="1"/>
  <c r="BC753" i="30" s="1"/>
  <c r="BD2471" i="1"/>
  <c r="BD776" i="30" s="1"/>
  <c r="B784" i="30"/>
  <c r="BB2486" i="1"/>
  <c r="BB784" i="30" s="1"/>
  <c r="BC2486" i="1"/>
  <c r="BC784" i="30" s="1"/>
  <c r="BC764" i="1"/>
  <c r="BB768" i="1"/>
  <c r="BB264" i="30" s="1"/>
  <c r="BD788" i="1"/>
  <c r="BD276" i="30" s="1"/>
  <c r="BB802" i="1"/>
  <c r="BB286" i="30" s="1"/>
  <c r="BC804" i="1"/>
  <c r="BC288" i="30" s="1"/>
  <c r="BB846" i="1"/>
  <c r="BB326" i="30" s="1"/>
  <c r="BC994" i="1"/>
  <c r="BC376" i="30" s="1"/>
  <c r="BB1358" i="1"/>
  <c r="BB437" i="30" s="1"/>
  <c r="BB1440" i="1"/>
  <c r="BB450" i="30" s="1"/>
  <c r="BC1447" i="1"/>
  <c r="BC457" i="30" s="1"/>
  <c r="BB1456" i="1"/>
  <c r="BB466" i="30" s="1"/>
  <c r="BB1469" i="1"/>
  <c r="BB475" i="30" s="1"/>
  <c r="BB1475" i="1"/>
  <c r="BB481" i="30" s="1"/>
  <c r="BB1487" i="1"/>
  <c r="BB491" i="30" s="1"/>
  <c r="BC1541" i="1"/>
  <c r="BC519" i="30" s="1"/>
  <c r="B552" i="30"/>
  <c r="BB1588" i="1"/>
  <c r="BB552" i="30" s="1"/>
  <c r="BC1639" i="1"/>
  <c r="B554" i="30"/>
  <c r="BB1634" i="1"/>
  <c r="BB554" i="30" s="1"/>
  <c r="B571" i="30"/>
  <c r="BD1674" i="1"/>
  <c r="BD571" i="30" s="1"/>
  <c r="BD1700" i="1"/>
  <c r="BD583" i="30" s="1"/>
  <c r="BB1700" i="1"/>
  <c r="BB583" i="30" s="1"/>
  <c r="B600" i="30"/>
  <c r="BB1740" i="1"/>
  <c r="BB600" i="30" s="1"/>
  <c r="BD1747" i="1"/>
  <c r="BD606" i="30" s="1"/>
  <c r="BB1856" i="1"/>
  <c r="BB610" i="30" s="1"/>
  <c r="BD1856" i="1"/>
  <c r="BD610" i="30" s="1"/>
  <c r="BB1866" i="1"/>
  <c r="BD1866" i="1"/>
  <c r="BC1871" i="1"/>
  <c r="BC1887" i="1"/>
  <c r="BB1895" i="1"/>
  <c r="BB617" i="30" s="1"/>
  <c r="B627" i="30"/>
  <c r="BD2002" i="1"/>
  <c r="BD627" i="30" s="1"/>
  <c r="BD2004" i="1"/>
  <c r="BD629" i="30" s="1"/>
  <c r="B646" i="30"/>
  <c r="BD2018" i="1"/>
  <c r="BD646" i="30" s="1"/>
  <c r="BD2020" i="1"/>
  <c r="BD648" i="30" s="1"/>
  <c r="BB2041" i="1"/>
  <c r="BC2041" i="1"/>
  <c r="BD2052" i="1"/>
  <c r="BC2052" i="1"/>
  <c r="BB2142" i="1"/>
  <c r="BB671" i="30" s="1"/>
  <c r="B684" i="30"/>
  <c r="BD2185" i="1"/>
  <c r="BD684" i="30" s="1"/>
  <c r="BB2185" i="1"/>
  <c r="BB684" i="30" s="1"/>
  <c r="BD2230" i="1"/>
  <c r="BD704" i="30" s="1"/>
  <c r="B709" i="30"/>
  <c r="BC2245" i="1"/>
  <c r="BC709" i="30" s="1"/>
  <c r="BD1741" i="1"/>
  <c r="BD601" i="30" s="1"/>
  <c r="BD1748" i="1"/>
  <c r="BD607" i="30" s="1"/>
  <c r="BC2220" i="1"/>
  <c r="BC692" i="30" s="1"/>
  <c r="BC2287" i="1"/>
  <c r="BC732" i="30" s="1"/>
  <c r="BC2388" i="1"/>
  <c r="BC749" i="30" s="1"/>
  <c r="BD2414" i="1"/>
  <c r="BD755" i="30" s="1"/>
  <c r="BC2417" i="1"/>
  <c r="BC756" i="30" s="1"/>
  <c r="BC2472" i="1"/>
  <c r="BC777" i="30" s="1"/>
  <c r="BC2488" i="1"/>
  <c r="BC786" i="30" s="1"/>
  <c r="AF560" i="1"/>
  <c r="AF164" i="30" s="1"/>
  <c r="AI560" i="1"/>
  <c r="AI164" i="30" s="1"/>
  <c r="AE560" i="1"/>
  <c r="AE164" i="30" s="1"/>
  <c r="AJ560" i="1"/>
  <c r="AJ164" i="30" s="1"/>
  <c r="T278" i="1"/>
  <c r="T147" i="30" s="1"/>
  <c r="AL143" i="30"/>
  <c r="AG560" i="1"/>
  <c r="AG164" i="30" s="1"/>
  <c r="AB1458" i="1"/>
  <c r="AB468" i="30" s="1"/>
  <c r="AI1014" i="1"/>
  <c r="AG278" i="1"/>
  <c r="AG147" i="30" s="1"/>
  <c r="X1458" i="1"/>
  <c r="X468" i="30" s="1"/>
  <c r="AF278" i="1"/>
  <c r="AF147" i="30" s="1"/>
  <c r="AF687" i="1"/>
  <c r="AB719" i="1"/>
  <c r="AB254" i="30" s="1"/>
  <c r="Y2487" i="1"/>
  <c r="Y785" i="30" s="1"/>
  <c r="AI557" i="1"/>
  <c r="AI161" i="30" s="1"/>
  <c r="AB718" i="1"/>
  <c r="AB253" i="30" s="1"/>
  <c r="AF773" i="1"/>
  <c r="AF268" i="30" s="1"/>
  <c r="Y817" i="1"/>
  <c r="Y295" i="30" s="1"/>
  <c r="Y1896" i="1"/>
  <c r="Y618" i="30" s="1"/>
  <c r="AE687" i="1"/>
  <c r="AF718" i="1"/>
  <c r="AF253" i="30" s="1"/>
  <c r="U823" i="1"/>
  <c r="U304" i="30" s="1"/>
  <c r="AD823" i="1"/>
  <c r="AD304" i="30" s="1"/>
  <c r="T819" i="1"/>
  <c r="T299" i="30" s="1"/>
  <c r="AA823" i="1"/>
  <c r="AA304" i="30" s="1"/>
  <c r="AH2287" i="1"/>
  <c r="AH732" i="30" s="1"/>
  <c r="B15" i="30"/>
  <c r="B18" i="30"/>
  <c r="B11" i="30"/>
  <c r="B21" i="30"/>
  <c r="B23" i="30"/>
  <c r="D56" i="15"/>
  <c r="D32" i="15"/>
  <c r="D11" i="15"/>
  <c r="D45" i="15"/>
  <c r="D14" i="15"/>
  <c r="B4" i="30"/>
  <c r="D67" i="15"/>
  <c r="D40" i="15"/>
  <c r="D10" i="15"/>
  <c r="D13" i="15"/>
  <c r="D27" i="15"/>
  <c r="D19" i="15"/>
  <c r="D18" i="15"/>
  <c r="B20" i="30"/>
  <c r="BD681" i="1"/>
  <c r="BD237" i="30" s="1"/>
  <c r="BB630" i="1"/>
  <c r="BB206" i="30" s="1"/>
  <c r="BB645" i="1"/>
  <c r="BB214" i="30" s="1"/>
  <c r="BB648" i="1"/>
  <c r="BB217" i="30" s="1"/>
  <c r="BB654" i="1"/>
  <c r="BB223" i="30" s="1"/>
  <c r="BB660" i="1"/>
  <c r="BB229" i="30" s="1"/>
  <c r="BB679" i="1"/>
  <c r="BB235" i="30" s="1"/>
  <c r="BC683" i="1"/>
  <c r="BB770" i="1"/>
  <c r="BB265" i="30" s="1"/>
  <c r="BB800" i="1"/>
  <c r="BB284" i="30" s="1"/>
  <c r="BB809" i="1"/>
  <c r="BB290" i="30" s="1"/>
  <c r="BD826" i="1"/>
  <c r="BD310" i="30" s="1"/>
  <c r="BC1128" i="1"/>
  <c r="BC341" i="30" s="1"/>
  <c r="BB1017" i="1"/>
  <c r="BB380" i="30" s="1"/>
  <c r="BB954" i="1"/>
  <c r="BB356" i="30" s="1"/>
  <c r="BD1215" i="1"/>
  <c r="BD429" i="30" s="1"/>
  <c r="AI530" i="1"/>
  <c r="BC630" i="1"/>
  <c r="BC206" i="30" s="1"/>
  <c r="BB636" i="1"/>
  <c r="BC639" i="1"/>
  <c r="BC208" i="30" s="1"/>
  <c r="BB640" i="1"/>
  <c r="BB209" i="30" s="1"/>
  <c r="BC645" i="1"/>
  <c r="BC214" i="30" s="1"/>
  <c r="BC648" i="1"/>
  <c r="BC217" i="30" s="1"/>
  <c r="BB649" i="1"/>
  <c r="BB218" i="30" s="1"/>
  <c r="BC654" i="1"/>
  <c r="BC223" i="30" s="1"/>
  <c r="BB655" i="1"/>
  <c r="BB224" i="30" s="1"/>
  <c r="BC660" i="1"/>
  <c r="BC229" i="30" s="1"/>
  <c r="BB661" i="1"/>
  <c r="BB230" i="30" s="1"/>
  <c r="BD678" i="1"/>
  <c r="BD234" i="30" s="1"/>
  <c r="BC679" i="1"/>
  <c r="BC235" i="30" s="1"/>
  <c r="BD680" i="1"/>
  <c r="BD236" i="30" s="1"/>
  <c r="BB681" i="1"/>
  <c r="BB237" i="30" s="1"/>
  <c r="BD683" i="1"/>
  <c r="BC684" i="1"/>
  <c r="BD739" i="1"/>
  <c r="BD261" i="30" s="1"/>
  <c r="BB763" i="1"/>
  <c r="BC770" i="1"/>
  <c r="BC265" i="30" s="1"/>
  <c r="BB771" i="1"/>
  <c r="BB266" i="30" s="1"/>
  <c r="BD777" i="1"/>
  <c r="BD270" i="30" s="1"/>
  <c r="BD796" i="1"/>
  <c r="BD280" i="30" s="1"/>
  <c r="BB798" i="1"/>
  <c r="BB282" i="30" s="1"/>
  <c r="BD799" i="1"/>
  <c r="BD283" i="30" s="1"/>
  <c r="BC800" i="1"/>
  <c r="BC284" i="30" s="1"/>
  <c r="BB803" i="1"/>
  <c r="BB287" i="30" s="1"/>
  <c r="BC809" i="1"/>
  <c r="BC290" i="30" s="1"/>
  <c r="BD818" i="1"/>
  <c r="BD297" i="30" s="1"/>
  <c r="BB824" i="1"/>
  <c r="BB305" i="30" s="1"/>
  <c r="BB839" i="1"/>
  <c r="BB318" i="30" s="1"/>
  <c r="BD840" i="1"/>
  <c r="BD319" i="30" s="1"/>
  <c r="BB841" i="1"/>
  <c r="BB320" i="30" s="1"/>
  <c r="BD842" i="1"/>
  <c r="BD321" i="30" s="1"/>
  <c r="BB857" i="1"/>
  <c r="BB333" i="30" s="1"/>
  <c r="BD1113" i="1"/>
  <c r="BD337" i="30" s="1"/>
  <c r="BB1114" i="1"/>
  <c r="BB338" i="30" s="1"/>
  <c r="BC865" i="1"/>
  <c r="BB1043" i="1"/>
  <c r="BB372" i="30" s="1"/>
  <c r="BB922" i="1"/>
  <c r="BB373" i="30" s="1"/>
  <c r="BC937" i="1"/>
  <c r="BC374" i="30" s="1"/>
  <c r="BC1017" i="1"/>
  <c r="BC380" i="30" s="1"/>
  <c r="B739" i="30"/>
  <c r="BD938" i="1"/>
  <c r="BD739" i="30" s="1"/>
  <c r="B740" i="30"/>
  <c r="BC1049" i="1"/>
  <c r="BC740" i="30" s="1"/>
  <c r="BD906" i="1"/>
  <c r="BD737" i="30" s="1"/>
  <c r="BD954" i="1"/>
  <c r="BD356" i="30" s="1"/>
  <c r="BB1021" i="1"/>
  <c r="BB382" i="30" s="1"/>
  <c r="B424" i="30"/>
  <c r="BD1345" i="1"/>
  <c r="BD424" i="30" s="1"/>
  <c r="B426" i="30"/>
  <c r="BB1347" i="1"/>
  <c r="BB426" i="30" s="1"/>
  <c r="BD1360" i="1"/>
  <c r="BD439" i="30" s="1"/>
  <c r="BB1361" i="1"/>
  <c r="BB440" i="30" s="1"/>
  <c r="BB1418" i="1"/>
  <c r="BB444" i="30" s="1"/>
  <c r="BC1435" i="1"/>
  <c r="BC445" i="30" s="1"/>
  <c r="B447" i="30"/>
  <c r="BD1437" i="1"/>
  <c r="BD447" i="30" s="1"/>
  <c r="B449" i="30"/>
  <c r="BB1439" i="1"/>
  <c r="BB449" i="30" s="1"/>
  <c r="BB1449" i="1"/>
  <c r="BB459" i="30" s="1"/>
  <c r="BB1450" i="1"/>
  <c r="BB460" i="30" s="1"/>
  <c r="BC1451" i="1"/>
  <c r="BC461" i="30" s="1"/>
  <c r="B463" i="30"/>
  <c r="BD1453" i="1"/>
  <c r="BD463" i="30" s="1"/>
  <c r="B464" i="30"/>
  <c r="BC1454" i="1"/>
  <c r="BC464" i="30" s="1"/>
  <c r="B469" i="30"/>
  <c r="BC1459" i="1"/>
  <c r="BC469" i="30" s="1"/>
  <c r="B470" i="30"/>
  <c r="BB1460" i="1"/>
  <c r="BB470" i="30" s="1"/>
  <c r="B480" i="30"/>
  <c r="BB1474" i="1"/>
  <c r="BB480" i="30" s="1"/>
  <c r="B493" i="30"/>
  <c r="BD1500" i="1"/>
  <c r="BD493" i="30" s="1"/>
  <c r="B495" i="30"/>
  <c r="BB1505" i="1"/>
  <c r="BB495" i="30" s="1"/>
  <c r="BB1528" i="1"/>
  <c r="BB506" i="30" s="1"/>
  <c r="BB1529" i="1"/>
  <c r="BB507" i="30" s="1"/>
  <c r="BC1530" i="1"/>
  <c r="BC508" i="30" s="1"/>
  <c r="B511" i="30"/>
  <c r="BD1533" i="1"/>
  <c r="BD511" i="30" s="1"/>
  <c r="BB1533" i="1"/>
  <c r="BB511" i="30" s="1"/>
  <c r="BB1543" i="1"/>
  <c r="BB521" i="30" s="1"/>
  <c r="BB1557" i="1"/>
  <c r="BB527" i="30" s="1"/>
  <c r="BD1639" i="1"/>
  <c r="BB1675" i="1"/>
  <c r="BB572" i="30" s="1"/>
  <c r="B576" i="30"/>
  <c r="BD1693" i="1"/>
  <c r="BD576" i="30" s="1"/>
  <c r="B577" i="30"/>
  <c r="BC1694" i="1"/>
  <c r="BC577" i="30" s="1"/>
  <c r="B578" i="30"/>
  <c r="BB1695" i="1"/>
  <c r="BB578" i="30" s="1"/>
  <c r="B582" i="30"/>
  <c r="BD1699" i="1"/>
  <c r="BD582" i="30" s="1"/>
  <c r="BC1699" i="1"/>
  <c r="BC582" i="30" s="1"/>
  <c r="BB1722" i="1"/>
  <c r="BB593" i="30" s="1"/>
  <c r="BB1725" i="1"/>
  <c r="BB595" i="30" s="1"/>
  <c r="B596" i="30"/>
  <c r="BD1726" i="1"/>
  <c r="B597" i="30"/>
  <c r="BC1727" i="1"/>
  <c r="BC597" i="30" s="1"/>
  <c r="BC1739" i="1"/>
  <c r="BC599" i="30" s="1"/>
  <c r="BC24" i="30"/>
  <c r="BB152" i="30"/>
  <c r="BB620" i="1"/>
  <c r="BD630" i="1"/>
  <c r="BD206" i="30" s="1"/>
  <c r="BD639" i="1"/>
  <c r="BD208" i="30" s="1"/>
  <c r="BC640" i="1"/>
  <c r="BC209" i="30" s="1"/>
  <c r="BB641" i="1"/>
  <c r="BB210" i="30" s="1"/>
  <c r="BB643" i="1"/>
  <c r="BB212" i="30" s="1"/>
  <c r="BD645" i="1"/>
  <c r="BD214" i="30" s="1"/>
  <c r="BD648" i="1"/>
  <c r="BD217" i="30" s="1"/>
  <c r="BC649" i="1"/>
  <c r="BC218" i="30" s="1"/>
  <c r="BB650" i="1"/>
  <c r="BB219" i="30" s="1"/>
  <c r="BC651" i="1"/>
  <c r="BC220" i="30" s="1"/>
  <c r="BB652" i="1"/>
  <c r="BB221" i="30" s="1"/>
  <c r="BD654" i="1"/>
  <c r="BD223" i="30" s="1"/>
  <c r="BC655" i="1"/>
  <c r="BC224" i="30" s="1"/>
  <c r="BB656" i="1"/>
  <c r="BB225" i="30" s="1"/>
  <c r="BC657" i="1"/>
  <c r="BC226" i="30" s="1"/>
  <c r="BB658" i="1"/>
  <c r="BB227" i="30" s="1"/>
  <c r="BD660" i="1"/>
  <c r="BD229" i="30" s="1"/>
  <c r="BC661" i="1"/>
  <c r="BC230" i="30" s="1"/>
  <c r="BB662" i="1"/>
  <c r="BB231" i="30" s="1"/>
  <c r="BC672" i="1"/>
  <c r="BC233" i="30" s="1"/>
  <c r="BD679" i="1"/>
  <c r="BD235" i="30" s="1"/>
  <c r="BC681" i="1"/>
  <c r="BC237" i="30" s="1"/>
  <c r="BD684" i="1"/>
  <c r="BB724" i="1"/>
  <c r="BB255" i="30" s="1"/>
  <c r="BD726" i="1"/>
  <c r="BD256" i="30" s="1"/>
  <c r="BB727" i="1"/>
  <c r="BB257" i="30" s="1"/>
  <c r="BD728" i="1"/>
  <c r="BD258" i="30" s="1"/>
  <c r="BC738" i="1"/>
  <c r="BC260" i="30" s="1"/>
  <c r="BC740" i="1"/>
  <c r="BC262" i="30" s="1"/>
  <c r="BC763" i="1"/>
  <c r="BC263" i="30" s="1"/>
  <c r="BD770" i="1"/>
  <c r="BD265" i="30" s="1"/>
  <c r="BC771" i="1"/>
  <c r="BC266" i="30" s="1"/>
  <c r="BB772" i="1"/>
  <c r="BB267" i="30" s="1"/>
  <c r="BD773" i="1"/>
  <c r="BD268" i="30" s="1"/>
  <c r="BC774" i="1"/>
  <c r="BC269" i="30" s="1"/>
  <c r="BC788" i="1"/>
  <c r="BC276" i="30" s="1"/>
  <c r="BB786" i="1"/>
  <c r="BB277" i="30" s="1"/>
  <c r="BC791" i="1"/>
  <c r="BC279" i="30" s="1"/>
  <c r="BD797" i="1"/>
  <c r="BD281" i="30" s="1"/>
  <c r="BC798" i="1"/>
  <c r="BC282" i="30" s="1"/>
  <c r="BD800" i="1"/>
  <c r="BD284" i="30" s="1"/>
  <c r="BB801" i="1"/>
  <c r="BB285" i="30" s="1"/>
  <c r="BC803" i="1"/>
  <c r="BC287" i="30" s="1"/>
  <c r="BB804" i="1"/>
  <c r="BB288" i="30" s="1"/>
  <c r="BD805" i="1"/>
  <c r="BD289" i="30" s="1"/>
  <c r="BD809" i="1"/>
  <c r="BD290" i="30" s="1"/>
  <c r="BB814" i="1"/>
  <c r="BD817" i="1"/>
  <c r="BD295" i="30" s="1"/>
  <c r="BC816" i="1"/>
  <c r="BC296" i="30" s="1"/>
  <c r="BC819" i="1"/>
  <c r="BC299" i="30" s="1"/>
  <c r="BB820" i="1"/>
  <c r="BB300" i="30" s="1"/>
  <c r="BB821" i="1"/>
  <c r="BB301" i="30" s="1"/>
  <c r="BC824" i="1"/>
  <c r="BC305" i="30" s="1"/>
  <c r="BB825" i="1"/>
  <c r="BB306" i="30" s="1"/>
  <c r="BD827" i="1"/>
  <c r="BD307" i="30" s="1"/>
  <c r="BB828" i="1"/>
  <c r="BB308" i="30" s="1"/>
  <c r="BD829" i="1"/>
  <c r="BD309" i="30" s="1"/>
  <c r="BB826" i="1"/>
  <c r="BB310" i="30" s="1"/>
  <c r="BC839" i="1"/>
  <c r="BC318" i="30" s="1"/>
  <c r="BC841" i="1"/>
  <c r="BC320" i="30" s="1"/>
  <c r="BB850" i="1"/>
  <c r="BB331" i="30" s="1"/>
  <c r="B332" i="30"/>
  <c r="BC851" i="1"/>
  <c r="BC332" i="30" s="1"/>
  <c r="BC857" i="1"/>
  <c r="BC333" i="30" s="1"/>
  <c r="BD859" i="1"/>
  <c r="BD335" i="30" s="1"/>
  <c r="BB1115" i="1"/>
  <c r="BB339" i="30" s="1"/>
  <c r="B340" i="30"/>
  <c r="BC1116" i="1"/>
  <c r="BC340" i="30" s="1"/>
  <c r="BD865" i="1"/>
  <c r="BC1043" i="1"/>
  <c r="BC372" i="30" s="1"/>
  <c r="BD922" i="1"/>
  <c r="BD373" i="30" s="1"/>
  <c r="BD937" i="1"/>
  <c r="BD374" i="30" s="1"/>
  <c r="BB994" i="1"/>
  <c r="BB376" i="30" s="1"/>
  <c r="BB971" i="1"/>
  <c r="BB377" i="30" s="1"/>
  <c r="BB951" i="1"/>
  <c r="BB952" i="1"/>
  <c r="BB355" i="30" s="1"/>
  <c r="BB938" i="1"/>
  <c r="BB739" i="30" s="1"/>
  <c r="BB1049" i="1"/>
  <c r="BB740" i="30" s="1"/>
  <c r="BC1021" i="1"/>
  <c r="BC382" i="30" s="1"/>
  <c r="BB1345" i="1"/>
  <c r="BB424" i="30" s="1"/>
  <c r="BC1347" i="1"/>
  <c r="BC426" i="30" s="1"/>
  <c r="B427" i="30"/>
  <c r="BD1349" i="1"/>
  <c r="BD427" i="30" s="1"/>
  <c r="BB1359" i="1"/>
  <c r="BB438" i="30" s="1"/>
  <c r="BB1362" i="1"/>
  <c r="BB441" i="30" s="1"/>
  <c r="B442" i="30"/>
  <c r="BD1363" i="1"/>
  <c r="BD442" i="30" s="1"/>
  <c r="B443" i="30"/>
  <c r="BC1366" i="1"/>
  <c r="BC443" i="30" s="1"/>
  <c r="BB1367" i="1"/>
  <c r="BB1437" i="1"/>
  <c r="BB447" i="30" s="1"/>
  <c r="BC1439" i="1"/>
  <c r="BC449" i="30" s="1"/>
  <c r="B451" i="30"/>
  <c r="BD1441" i="1"/>
  <c r="BD451" i="30" s="1"/>
  <c r="B452" i="30"/>
  <c r="BC1442" i="1"/>
  <c r="BC452" i="30" s="1"/>
  <c r="B453" i="30"/>
  <c r="BB1443" i="1"/>
  <c r="BB453" i="30" s="1"/>
  <c r="BB1453" i="1"/>
  <c r="BB463" i="30" s="1"/>
  <c r="BB1454" i="1"/>
  <c r="BB464" i="30" s="1"/>
  <c r="B467" i="30"/>
  <c r="BD1457" i="1"/>
  <c r="BD467" i="30" s="1"/>
  <c r="B468" i="30"/>
  <c r="BD1458" i="1"/>
  <c r="BD468" i="30" s="1"/>
  <c r="BB1458" i="1"/>
  <c r="BB468" i="30" s="1"/>
  <c r="BB1459" i="1"/>
  <c r="BB469" i="30" s="1"/>
  <c r="BC1460" i="1"/>
  <c r="BC470" i="30" s="1"/>
  <c r="B471" i="30"/>
  <c r="BD1465" i="1"/>
  <c r="BD471" i="30" s="1"/>
  <c r="B472" i="30"/>
  <c r="BC1467" i="1"/>
  <c r="BC472" i="30" s="1"/>
  <c r="B473" i="30"/>
  <c r="BB1464" i="1"/>
  <c r="BB1473" i="1"/>
  <c r="BB479" i="30" s="1"/>
  <c r="BC1474" i="1"/>
  <c r="BC480" i="30" s="1"/>
  <c r="B482" i="30"/>
  <c r="BC1477" i="1"/>
  <c r="BC482" i="30" s="1"/>
  <c r="BB1482" i="1"/>
  <c r="BB486" i="30" s="1"/>
  <c r="B487" i="30"/>
  <c r="BD1483" i="1"/>
  <c r="BD487" i="30" s="1"/>
  <c r="B488" i="30"/>
  <c r="BC1484" i="1"/>
  <c r="BC488" i="30" s="1"/>
  <c r="B489" i="30"/>
  <c r="BB1485" i="1"/>
  <c r="BB489" i="30" s="1"/>
  <c r="BB1500" i="1"/>
  <c r="BB493" i="30" s="1"/>
  <c r="BC1505" i="1"/>
  <c r="BC495" i="30" s="1"/>
  <c r="B497" i="30"/>
  <c r="BC1507" i="1"/>
  <c r="BC497" i="30" s="1"/>
  <c r="B500" i="30"/>
  <c r="BB1522" i="1"/>
  <c r="BB500" i="30" s="1"/>
  <c r="BC1533" i="1"/>
  <c r="BC511" i="30" s="1"/>
  <c r="B516" i="30"/>
  <c r="BB1538" i="1"/>
  <c r="BB516" i="30" s="1"/>
  <c r="B523" i="30"/>
  <c r="BC1553" i="1"/>
  <c r="BC523" i="30" s="1"/>
  <c r="BB1572" i="1"/>
  <c r="BB540" i="30" s="1"/>
  <c r="B541" i="30"/>
  <c r="BD1573" i="1"/>
  <c r="BD541" i="30" s="1"/>
  <c r="B542" i="30"/>
  <c r="BD1574" i="1"/>
  <c r="BD542" i="30" s="1"/>
  <c r="BB1574" i="1"/>
  <c r="BB542" i="30" s="1"/>
  <c r="BC1580" i="1"/>
  <c r="BC545" i="30" s="1"/>
  <c r="BC1588" i="1"/>
  <c r="BC552" i="30" s="1"/>
  <c r="B553" i="30"/>
  <c r="BB1633" i="1"/>
  <c r="BB553" i="30" s="1"/>
  <c r="BC1692" i="1"/>
  <c r="BC575" i="30" s="1"/>
  <c r="BB1693" i="1"/>
  <c r="BB576" i="30" s="1"/>
  <c r="BB1694" i="1"/>
  <c r="BB577" i="30" s="1"/>
  <c r="BC1695" i="1"/>
  <c r="BC578" i="30" s="1"/>
  <c r="B580" i="30"/>
  <c r="BC1697" i="1"/>
  <c r="BC580" i="30" s="1"/>
  <c r="B581" i="30"/>
  <c r="BC1698" i="1"/>
  <c r="BC581" i="30" s="1"/>
  <c r="BB1698" i="1"/>
  <c r="BB581" i="30" s="1"/>
  <c r="BC1725" i="1"/>
  <c r="BC595" i="30" s="1"/>
  <c r="BB1726" i="1"/>
  <c r="BB1727" i="1"/>
  <c r="BB597" i="30" s="1"/>
  <c r="BC1741" i="1"/>
  <c r="BC601" i="30" s="1"/>
  <c r="BD1869" i="1"/>
  <c r="BC1870" i="1"/>
  <c r="BB1871" i="1"/>
  <c r="BB1883" i="1"/>
  <c r="BB1896" i="1"/>
  <c r="BB618" i="30" s="1"/>
  <c r="B635" i="30"/>
  <c r="BD2007" i="1"/>
  <c r="BD635" i="30" s="1"/>
  <c r="B636" i="30"/>
  <c r="BC2008" i="1"/>
  <c r="BC636" i="30" s="1"/>
  <c r="B637" i="30"/>
  <c r="BB2009" i="1"/>
  <c r="BB637" i="30" s="1"/>
  <c r="B651" i="30"/>
  <c r="BD2023" i="1"/>
  <c r="BD651" i="30" s="1"/>
  <c r="B652" i="30"/>
  <c r="BC2024" i="1"/>
  <c r="BC652" i="30" s="1"/>
  <c r="B653" i="30"/>
  <c r="BB2025" i="1"/>
  <c r="BB653" i="30" s="1"/>
  <c r="BC2048" i="1"/>
  <c r="BD2049" i="1"/>
  <c r="BD2050" i="1"/>
  <c r="BB2052" i="1"/>
  <c r="B660" i="30"/>
  <c r="BD2032" i="1"/>
  <c r="BD660" i="30" s="1"/>
  <c r="B661" i="30"/>
  <c r="BC2033" i="1"/>
  <c r="BC661" i="30" s="1"/>
  <c r="B662" i="30"/>
  <c r="BB2034" i="1"/>
  <c r="BB662" i="30" s="1"/>
  <c r="B670" i="30"/>
  <c r="BB2141" i="1"/>
  <c r="BB2152" i="1"/>
  <c r="BB677" i="30" s="1"/>
  <c r="B678" i="30"/>
  <c r="BD2153" i="1"/>
  <c r="BD678" i="30" s="1"/>
  <c r="BD2172" i="1"/>
  <c r="BC2172" i="1"/>
  <c r="BD2175" i="1"/>
  <c r="BB2175" i="1"/>
  <c r="B686" i="30"/>
  <c r="BD2188" i="1"/>
  <c r="BD686" i="30" s="1"/>
  <c r="B687" i="30"/>
  <c r="BC2189" i="1"/>
  <c r="BC687" i="30" s="1"/>
  <c r="B688" i="30"/>
  <c r="BB2190" i="1"/>
  <c r="BB688" i="30" s="1"/>
  <c r="B706" i="30"/>
  <c r="BB2236" i="1"/>
  <c r="BB706" i="30" s="1"/>
  <c r="BC2236" i="1"/>
  <c r="BC706" i="30" s="1"/>
  <c r="BB2247" i="1"/>
  <c r="BC2247" i="1"/>
  <c r="BC2242" i="1"/>
  <c r="BD2242" i="1"/>
  <c r="B733" i="30"/>
  <c r="BC2288" i="1"/>
  <c r="BC733" i="30" s="1"/>
  <c r="BB2288" i="1"/>
  <c r="BB733" i="30" s="1"/>
  <c r="BD2288" i="1"/>
  <c r="BD733" i="30" s="1"/>
  <c r="BC2289" i="1"/>
  <c r="BC734" i="30" s="1"/>
  <c r="B741" i="30"/>
  <c r="BB2348" i="1"/>
  <c r="BB741" i="30" s="1"/>
  <c r="BC2348" i="1"/>
  <c r="BC741" i="30" s="1"/>
  <c r="B750" i="30"/>
  <c r="BC2406" i="1"/>
  <c r="BC750" i="30" s="1"/>
  <c r="BB2406" i="1"/>
  <c r="BB750" i="30" s="1"/>
  <c r="BD2406" i="1"/>
  <c r="BD750" i="30" s="1"/>
  <c r="BD738" i="1"/>
  <c r="BD260" i="30" s="1"/>
  <c r="BD740" i="1"/>
  <c r="BD262" i="30" s="1"/>
  <c r="BD763" i="1"/>
  <c r="BD791" i="1"/>
  <c r="BD279" i="30" s="1"/>
  <c r="BD803" i="1"/>
  <c r="BD287" i="30" s="1"/>
  <c r="BD819" i="1"/>
  <c r="BD299" i="30" s="1"/>
  <c r="BD824" i="1"/>
  <c r="BD305" i="30" s="1"/>
  <c r="BD839" i="1"/>
  <c r="BD318" i="30" s="1"/>
  <c r="BD841" i="1"/>
  <c r="BD320" i="30" s="1"/>
  <c r="B322" i="30"/>
  <c r="BC843" i="1"/>
  <c r="BC322" i="30" s="1"/>
  <c r="B325" i="30"/>
  <c r="BB845" i="1"/>
  <c r="BB325" i="30" s="1"/>
  <c r="B330" i="30"/>
  <c r="BC849" i="1"/>
  <c r="BC330" i="30" s="1"/>
  <c r="BD857" i="1"/>
  <c r="BD333" i="30" s="1"/>
  <c r="B338" i="30"/>
  <c r="BC1114" i="1"/>
  <c r="BC338" i="30" s="1"/>
  <c r="B341" i="30"/>
  <c r="BB1128" i="1"/>
  <c r="BB341" i="30" s="1"/>
  <c r="BC951" i="1"/>
  <c r="B736" i="30"/>
  <c r="BB867" i="1"/>
  <c r="B435" i="30"/>
  <c r="BC1355" i="1"/>
  <c r="BC435" i="30" s="1"/>
  <c r="B436" i="30"/>
  <c r="BB1356" i="1"/>
  <c r="BB436" i="30" s="1"/>
  <c r="B440" i="30"/>
  <c r="BC1361" i="1"/>
  <c r="BC440" i="30" s="1"/>
  <c r="BC1362" i="1"/>
  <c r="BC441" i="30" s="1"/>
  <c r="B455" i="30"/>
  <c r="BD1445" i="1"/>
  <c r="BD455" i="30" s="1"/>
  <c r="B456" i="30"/>
  <c r="BC1446" i="1"/>
  <c r="BC456" i="30" s="1"/>
  <c r="B457" i="30"/>
  <c r="BB1447" i="1"/>
  <c r="BB457" i="30" s="1"/>
  <c r="B475" i="30"/>
  <c r="BD1469" i="1"/>
  <c r="BD475" i="30" s="1"/>
  <c r="B476" i="30"/>
  <c r="BC1470" i="1"/>
  <c r="BC476" i="30" s="1"/>
  <c r="B477" i="30"/>
  <c r="BB1471" i="1"/>
  <c r="BB477" i="30" s="1"/>
  <c r="B483" i="30"/>
  <c r="BB1478" i="1"/>
  <c r="BB483" i="30" s="1"/>
  <c r="BC1482" i="1"/>
  <c r="BC486" i="30" s="1"/>
  <c r="B491" i="30"/>
  <c r="BD1487" i="1"/>
  <c r="BD491" i="30" s="1"/>
  <c r="B492" i="30"/>
  <c r="BC1488" i="1"/>
  <c r="BC492" i="30" s="1"/>
  <c r="B498" i="30"/>
  <c r="BB1508" i="1"/>
  <c r="BB498" i="30" s="1"/>
  <c r="B502" i="30"/>
  <c r="BD1524" i="1"/>
  <c r="BD502" i="30" s="1"/>
  <c r="B503" i="30"/>
  <c r="BC1525" i="1"/>
  <c r="BC503" i="30" s="1"/>
  <c r="B504" i="30"/>
  <c r="BB1526" i="1"/>
  <c r="BB504" i="30" s="1"/>
  <c r="B518" i="30"/>
  <c r="BC1540" i="1"/>
  <c r="BC518" i="30" s="1"/>
  <c r="B519" i="30"/>
  <c r="BB1541" i="1"/>
  <c r="BB519" i="30" s="1"/>
  <c r="B525" i="30"/>
  <c r="BB1555" i="1"/>
  <c r="BB525" i="30" s="1"/>
  <c r="BC1572" i="1"/>
  <c r="BC540" i="30" s="1"/>
  <c r="B547" i="30"/>
  <c r="BD1582" i="1"/>
  <c r="BD547" i="30" s="1"/>
  <c r="BC1582" i="1"/>
  <c r="BC547" i="30" s="1"/>
  <c r="B550" i="30"/>
  <c r="BD1586" i="1"/>
  <c r="BD550" i="30" s="1"/>
  <c r="B551" i="30"/>
  <c r="BD1587" i="1"/>
  <c r="BD551" i="30" s="1"/>
  <c r="BB1587" i="1"/>
  <c r="BB551" i="30" s="1"/>
  <c r="B555" i="30"/>
  <c r="BD1658" i="1"/>
  <c r="B569" i="30"/>
  <c r="BC1672" i="1"/>
  <c r="BC569" i="30" s="1"/>
  <c r="B570" i="30"/>
  <c r="BB1673" i="1"/>
  <c r="BB570" i="30" s="1"/>
  <c r="BD1692" i="1"/>
  <c r="BD575" i="30" s="1"/>
  <c r="B583" i="30"/>
  <c r="BC1700" i="1"/>
  <c r="BC583" i="30" s="1"/>
  <c r="B584" i="30"/>
  <c r="BD1701" i="1"/>
  <c r="BD584" i="30" s="1"/>
  <c r="BC1701" i="1"/>
  <c r="BC584" i="30" s="1"/>
  <c r="B587" i="30"/>
  <c r="BD1729" i="1"/>
  <c r="BD587" i="30" s="1"/>
  <c r="B588" i="30"/>
  <c r="BC1730" i="1"/>
  <c r="BC588" i="30" s="1"/>
  <c r="B589" i="30"/>
  <c r="BB1733" i="1"/>
  <c r="B594" i="30"/>
  <c r="BC1724" i="1"/>
  <c r="BC594" i="30" s="1"/>
  <c r="BD1725" i="1"/>
  <c r="BD595" i="30" s="1"/>
  <c r="B598" i="30"/>
  <c r="BD1738" i="1"/>
  <c r="BD598" i="30" s="1"/>
  <c r="B599" i="30"/>
  <c r="BB1739" i="1"/>
  <c r="BB599" i="30" s="1"/>
  <c r="BD1857" i="1"/>
  <c r="BC1858" i="1"/>
  <c r="BB1859" i="1"/>
  <c r="BD1873" i="1"/>
  <c r="BC1874" i="1"/>
  <c r="BB1875" i="1"/>
  <c r="BD1885" i="1"/>
  <c r="BC1886" i="1"/>
  <c r="B615" i="30"/>
  <c r="BC1893" i="1"/>
  <c r="BC615" i="30" s="1"/>
  <c r="B616" i="30"/>
  <c r="BB1894" i="1"/>
  <c r="BB616" i="30" s="1"/>
  <c r="B621" i="30"/>
  <c r="BD1940" i="1"/>
  <c r="BD621" i="30" s="1"/>
  <c r="BB1995" i="1"/>
  <c r="B639" i="30"/>
  <c r="BD2011" i="1"/>
  <c r="BD639" i="30" s="1"/>
  <c r="B640" i="30"/>
  <c r="BC2012" i="1"/>
  <c r="BC640" i="30" s="1"/>
  <c r="B641" i="30"/>
  <c r="BB2013" i="1"/>
  <c r="BB641" i="30" s="1"/>
  <c r="B655" i="30"/>
  <c r="BD2027" i="1"/>
  <c r="BD655" i="30" s="1"/>
  <c r="B656" i="30"/>
  <c r="BC2028" i="1"/>
  <c r="BC656" i="30" s="1"/>
  <c r="B633" i="30"/>
  <c r="BB2044" i="1"/>
  <c r="BB633" i="30" s="1"/>
  <c r="B664" i="30"/>
  <c r="BD2036" i="1"/>
  <c r="BD664" i="30" s="1"/>
  <c r="B665" i="30"/>
  <c r="BC2037" i="1"/>
  <c r="BC665" i="30" s="1"/>
  <c r="B666" i="30"/>
  <c r="BB2038" i="1"/>
  <c r="BB666" i="30" s="1"/>
  <c r="B672" i="30"/>
  <c r="BD2143" i="1"/>
  <c r="BD672" i="30" s="1"/>
  <c r="B673" i="30"/>
  <c r="BC2144" i="1"/>
  <c r="BC673" i="30" s="1"/>
  <c r="B674" i="30"/>
  <c r="BB2145" i="1"/>
  <c r="BB674" i="30" s="1"/>
  <c r="BC2152" i="1"/>
  <c r="BC677" i="30" s="1"/>
  <c r="BC2171" i="1"/>
  <c r="BB2171" i="1"/>
  <c r="B689" i="30"/>
  <c r="BD2217" i="1"/>
  <c r="B690" i="30"/>
  <c r="BC2218" i="1"/>
  <c r="BC690" i="30" s="1"/>
  <c r="B691" i="30"/>
  <c r="BB2219" i="1"/>
  <c r="BB691" i="30" s="1"/>
  <c r="B694" i="30"/>
  <c r="BB2222" i="1"/>
  <c r="BB694" i="30" s="1"/>
  <c r="B713" i="30"/>
  <c r="BB2260" i="1"/>
  <c r="BB713" i="30" s="1"/>
  <c r="BD2260" i="1"/>
  <c r="BD713" i="30" s="1"/>
  <c r="B716" i="30"/>
  <c r="BC2271" i="1"/>
  <c r="BC716" i="30" s="1"/>
  <c r="BB2271" i="1"/>
  <c r="BB716" i="30" s="1"/>
  <c r="B729" i="30"/>
  <c r="BB2284" i="1"/>
  <c r="BB729" i="30" s="1"/>
  <c r="BC2284" i="1"/>
  <c r="BC729" i="30" s="1"/>
  <c r="B788" i="30"/>
  <c r="BB2506" i="1"/>
  <c r="BB788" i="30" s="1"/>
  <c r="BC2506" i="1"/>
  <c r="BC788" i="30" s="1"/>
  <c r="BD2506" i="1"/>
  <c r="BD788" i="30" s="1"/>
  <c r="BD643" i="1"/>
  <c r="BD212" i="30" s="1"/>
  <c r="BC680" i="1"/>
  <c r="BC236" i="30" s="1"/>
  <c r="BD724" i="1"/>
  <c r="BD255" i="30" s="1"/>
  <c r="BD828" i="1"/>
  <c r="BD308" i="30" s="1"/>
  <c r="BB843" i="1"/>
  <c r="BB322" i="30" s="1"/>
  <c r="B336" i="30"/>
  <c r="BC860" i="1"/>
  <c r="BC336" i="30" s="1"/>
  <c r="BD1115" i="1"/>
  <c r="BD339" i="30" s="1"/>
  <c r="B438" i="30"/>
  <c r="BC1359" i="1"/>
  <c r="BC438" i="30" s="1"/>
  <c r="B444" i="30"/>
  <c r="BC1418" i="1"/>
  <c r="BC444" i="30" s="1"/>
  <c r="B445" i="30"/>
  <c r="BB1435" i="1"/>
  <c r="BB445" i="30" s="1"/>
  <c r="B459" i="30"/>
  <c r="BD1449" i="1"/>
  <c r="BD459" i="30" s="1"/>
  <c r="B460" i="30"/>
  <c r="BC1450" i="1"/>
  <c r="BC460" i="30" s="1"/>
  <c r="B461" i="30"/>
  <c r="BB1451" i="1"/>
  <c r="BB461" i="30" s="1"/>
  <c r="B479" i="30"/>
  <c r="BC1473" i="1"/>
  <c r="BC479" i="30" s="1"/>
  <c r="B485" i="30"/>
  <c r="BC1480" i="1"/>
  <c r="BC485" i="30" s="1"/>
  <c r="BD1482" i="1"/>
  <c r="BD486" i="30" s="1"/>
  <c r="B506" i="30"/>
  <c r="BD1528" i="1"/>
  <c r="BD506" i="30" s="1"/>
  <c r="B507" i="30"/>
  <c r="BC1529" i="1"/>
  <c r="BC507" i="30" s="1"/>
  <c r="B508" i="30"/>
  <c r="BB1530" i="1"/>
  <c r="BB508" i="30" s="1"/>
  <c r="B512" i="30"/>
  <c r="BC1534" i="1"/>
  <c r="BC512" i="30" s="1"/>
  <c r="B513" i="30"/>
  <c r="BB1535" i="1"/>
  <c r="BB513" i="30" s="1"/>
  <c r="B521" i="30"/>
  <c r="BD1543" i="1"/>
  <c r="BD521" i="30" s="1"/>
  <c r="B522" i="30"/>
  <c r="BC1544" i="1"/>
  <c r="BC522" i="30" s="1"/>
  <c r="B527" i="30"/>
  <c r="BD1557" i="1"/>
  <c r="BD527" i="30" s="1"/>
  <c r="B528" i="30"/>
  <c r="BC1558" i="1"/>
  <c r="BC528" i="30" s="1"/>
  <c r="BD1572" i="1"/>
  <c r="BD540" i="30" s="1"/>
  <c r="B545" i="30"/>
  <c r="BB1580" i="1"/>
  <c r="BB545" i="30" s="1"/>
  <c r="B572" i="30"/>
  <c r="BD1675" i="1"/>
  <c r="BD572" i="30" s="1"/>
  <c r="B573" i="30"/>
  <c r="BC1676" i="1"/>
  <c r="BC573" i="30" s="1"/>
  <c r="B574" i="30"/>
  <c r="BB1677" i="1"/>
  <c r="BB574" i="30" s="1"/>
  <c r="B592" i="30"/>
  <c r="BD1721" i="1"/>
  <c r="B593" i="30"/>
  <c r="BC1722" i="1"/>
  <c r="BC593" i="30" s="1"/>
  <c r="BD1861" i="1"/>
  <c r="BD612" i="30" s="1"/>
  <c r="BC1862" i="1"/>
  <c r="BB1863" i="1"/>
  <c r="BD1877" i="1"/>
  <c r="BC1878" i="1"/>
  <c r="BB1879" i="1"/>
  <c r="BD1888" i="1"/>
  <c r="BC1889" i="1"/>
  <c r="B618" i="30"/>
  <c r="BC1896" i="1"/>
  <c r="BC618" i="30" s="1"/>
  <c r="BC1994" i="1"/>
  <c r="BB1994" i="1"/>
  <c r="B624" i="30"/>
  <c r="BD1997" i="1"/>
  <c r="BD624" i="30" s="1"/>
  <c r="B625" i="30"/>
  <c r="BC2000" i="1"/>
  <c r="BC625" i="30" s="1"/>
  <c r="B626" i="30"/>
  <c r="BB2001" i="1"/>
  <c r="BB626" i="30" s="1"/>
  <c r="B643" i="30"/>
  <c r="BD2015" i="1"/>
  <c r="BD643" i="30" s="1"/>
  <c r="B644" i="30"/>
  <c r="BC2016" i="1"/>
  <c r="BC644" i="30" s="1"/>
  <c r="B645" i="30"/>
  <c r="BB2017" i="1"/>
  <c r="BB645" i="30" s="1"/>
  <c r="B630" i="30"/>
  <c r="BD2043" i="1"/>
  <c r="BD630" i="30" s="1"/>
  <c r="B631" i="30"/>
  <c r="BC2045" i="1"/>
  <c r="BC631" i="30" s="1"/>
  <c r="B632" i="30"/>
  <c r="BC2046" i="1"/>
  <c r="BC632" i="30" s="1"/>
  <c r="BB2046" i="1"/>
  <c r="BB632" i="30" s="1"/>
  <c r="B602" i="30"/>
  <c r="BD1750" i="1"/>
  <c r="BD602" i="30" s="1"/>
  <c r="B676" i="30"/>
  <c r="BC2151" i="1"/>
  <c r="BC676" i="30" s="1"/>
  <c r="BD2152" i="1"/>
  <c r="BD677" i="30" s="1"/>
  <c r="BD2167" i="1"/>
  <c r="BC2168" i="1"/>
  <c r="BC2169" i="1"/>
  <c r="BC680" i="30" s="1"/>
  <c r="BB2169" i="1"/>
  <c r="BB680" i="30" s="1"/>
  <c r="BC2173" i="1"/>
  <c r="BD2174" i="1"/>
  <c r="BC2174" i="1"/>
  <c r="B693" i="30"/>
  <c r="BC2221" i="1"/>
  <c r="BC693" i="30" s="1"/>
  <c r="BD2221" i="1"/>
  <c r="BD693" i="30" s="1"/>
  <c r="B725" i="30"/>
  <c r="BB2280" i="1"/>
  <c r="BB725" i="30" s="1"/>
  <c r="BC2280" i="1"/>
  <c r="BC725" i="30" s="1"/>
  <c r="B734" i="30"/>
  <c r="BB2289" i="1"/>
  <c r="BB734" i="30" s="1"/>
  <c r="B751" i="30"/>
  <c r="BB2409" i="1"/>
  <c r="BB751" i="30" s="1"/>
  <c r="BC2409" i="1"/>
  <c r="BC751" i="30" s="1"/>
  <c r="BD2409" i="1"/>
  <c r="BD751" i="30" s="1"/>
  <c r="B787" i="30"/>
  <c r="BD2489" i="1"/>
  <c r="BD787" i="30" s="1"/>
  <c r="BC2489" i="1"/>
  <c r="BC787" i="30" s="1"/>
  <c r="BC643" i="1"/>
  <c r="BC212" i="30" s="1"/>
  <c r="BD672" i="1"/>
  <c r="BD233" i="30" s="1"/>
  <c r="BB639" i="1"/>
  <c r="BB208" i="30" s="1"/>
  <c r="BD727" i="1"/>
  <c r="BD257" i="30" s="1"/>
  <c r="BB797" i="1"/>
  <c r="BB281" i="30" s="1"/>
  <c r="BD801" i="1"/>
  <c r="BD285" i="30" s="1"/>
  <c r="BC845" i="1"/>
  <c r="BC325" i="30" s="1"/>
  <c r="B327" i="30"/>
  <c r="BC847" i="1"/>
  <c r="BC327" i="30" s="1"/>
  <c r="BD850" i="1"/>
  <c r="BD331" i="30" s="1"/>
  <c r="AL156" i="30"/>
  <c r="BB672" i="1"/>
  <c r="BB233" i="30" s="1"/>
  <c r="BB738" i="1"/>
  <c r="BB740" i="1"/>
  <c r="BB262" i="30" s="1"/>
  <c r="BB774" i="1"/>
  <c r="BB269" i="30" s="1"/>
  <c r="BB791" i="1"/>
  <c r="BB279" i="30" s="1"/>
  <c r="BC797" i="1"/>
  <c r="BC281" i="30" s="1"/>
  <c r="BB816" i="1"/>
  <c r="BB296" i="30" s="1"/>
  <c r="BB819" i="1"/>
  <c r="BB299" i="30" s="1"/>
  <c r="BD843" i="1"/>
  <c r="BD322" i="30" s="1"/>
  <c r="BD848" i="1"/>
  <c r="BD328" i="30" s="1"/>
  <c r="BB849" i="1"/>
  <c r="BB330" i="30" s="1"/>
  <c r="B334" i="30"/>
  <c r="BC858" i="1"/>
  <c r="BC334" i="30" s="1"/>
  <c r="BC867" i="1"/>
  <c r="B425" i="30"/>
  <c r="BC1346" i="1"/>
  <c r="BC425" i="30" s="1"/>
  <c r="BC1353" i="1"/>
  <c r="BD1356" i="1"/>
  <c r="BD436" i="30" s="1"/>
  <c r="B448" i="30"/>
  <c r="BC1438" i="1"/>
  <c r="BC448" i="30" s="1"/>
  <c r="B465" i="30"/>
  <c r="BB1455" i="1"/>
  <c r="BB465" i="30" s="1"/>
  <c r="BB1480" i="1"/>
  <c r="BB485" i="30" s="1"/>
  <c r="B494" i="30"/>
  <c r="BC1503" i="1"/>
  <c r="BC494" i="30" s="1"/>
  <c r="BC1524" i="1"/>
  <c r="BC502" i="30" s="1"/>
  <c r="BD1526" i="1"/>
  <c r="BD504" i="30" s="1"/>
  <c r="B510" i="30"/>
  <c r="BD1532" i="1"/>
  <c r="BD510" i="30" s="1"/>
  <c r="BB1534" i="1"/>
  <c r="BB512" i="30" s="1"/>
  <c r="BC1535" i="1"/>
  <c r="BC513" i="30" s="1"/>
  <c r="B515" i="30"/>
  <c r="BC1537" i="1"/>
  <c r="BC515" i="30" s="1"/>
  <c r="BB1544" i="1"/>
  <c r="BB522" i="30" s="1"/>
  <c r="BB1558" i="1"/>
  <c r="BB528" i="30" s="1"/>
  <c r="B543" i="30"/>
  <c r="BD1575" i="1"/>
  <c r="BD543" i="30" s="1"/>
  <c r="BB1575" i="1"/>
  <c r="BB543" i="30" s="1"/>
  <c r="B548" i="30"/>
  <c r="BC1592" i="1"/>
  <c r="BC548" i="30" s="1"/>
  <c r="BD1585" i="1"/>
  <c r="BD549" i="30" s="1"/>
  <c r="BC1586" i="1"/>
  <c r="BC550" i="30" s="1"/>
  <c r="BB1676" i="1"/>
  <c r="BB573" i="30" s="1"/>
  <c r="BC1677" i="1"/>
  <c r="BC574" i="30" s="1"/>
  <c r="BB1692" i="1"/>
  <c r="BB575" i="30" s="1"/>
  <c r="B585" i="30"/>
  <c r="BC1705" i="1"/>
  <c r="BC585" i="30" s="1"/>
  <c r="BD1706" i="1"/>
  <c r="BD586" i="30" s="1"/>
  <c r="BD1730" i="1"/>
  <c r="BD588" i="30" s="1"/>
  <c r="BD1733" i="1"/>
  <c r="BB1721" i="1"/>
  <c r="BB1741" i="1"/>
  <c r="BB601" i="30" s="1"/>
  <c r="B603" i="30"/>
  <c r="BD1742" i="1"/>
  <c r="BD603" i="30" s="1"/>
  <c r="B604" i="30"/>
  <c r="BB1744" i="1"/>
  <c r="BB604" i="30" s="1"/>
  <c r="B606" i="30"/>
  <c r="BB1747" i="1"/>
  <c r="BB606" i="30" s="1"/>
  <c r="B609" i="30"/>
  <c r="BD1854" i="1"/>
  <c r="BD609" i="30" s="1"/>
  <c r="B610" i="30"/>
  <c r="BC1856" i="1"/>
  <c r="BC610" i="30" s="1"/>
  <c r="BD1855" i="1"/>
  <c r="BD611" i="30" s="1"/>
  <c r="BC1857" i="1"/>
  <c r="BD1858" i="1"/>
  <c r="BD1859" i="1"/>
  <c r="BB1861" i="1"/>
  <c r="BB612" i="30" s="1"/>
  <c r="BB1862" i="1"/>
  <c r="BC1863" i="1"/>
  <c r="BD1865" i="1"/>
  <c r="BC1866" i="1"/>
  <c r="BB1867" i="1"/>
  <c r="BC1873" i="1"/>
  <c r="BD1874" i="1"/>
  <c r="BD1875" i="1"/>
  <c r="BB1877" i="1"/>
  <c r="BB1878" i="1"/>
  <c r="BC1879" i="1"/>
  <c r="B613" i="30"/>
  <c r="BC1881" i="1"/>
  <c r="BC613" i="30" s="1"/>
  <c r="BC1885" i="1"/>
  <c r="BD1886" i="1"/>
  <c r="BB1888" i="1"/>
  <c r="BB1889" i="1"/>
  <c r="BD1893" i="1"/>
  <c r="BD615" i="30" s="1"/>
  <c r="BD1894" i="1"/>
  <c r="BD616" i="30" s="1"/>
  <c r="BC1940" i="1"/>
  <c r="BC621" i="30" s="1"/>
  <c r="BD1994" i="1"/>
  <c r="BD1995" i="1"/>
  <c r="BB1997" i="1"/>
  <c r="BB624" i="30" s="1"/>
  <c r="BB2000" i="1"/>
  <c r="BB625" i="30" s="1"/>
  <c r="BC2001" i="1"/>
  <c r="BC626" i="30" s="1"/>
  <c r="B628" i="30"/>
  <c r="BD2003" i="1"/>
  <c r="BD628" i="30" s="1"/>
  <c r="B629" i="30"/>
  <c r="BC2004" i="1"/>
  <c r="BC629" i="30" s="1"/>
  <c r="B634" i="30"/>
  <c r="BB2005" i="1"/>
  <c r="BB634" i="30" s="1"/>
  <c r="BC2011" i="1"/>
  <c r="BC639" i="30" s="1"/>
  <c r="BD2012" i="1"/>
  <c r="BD640" i="30" s="1"/>
  <c r="BD2013" i="1"/>
  <c r="BD641" i="30" s="1"/>
  <c r="BB2015" i="1"/>
  <c r="BB643" i="30" s="1"/>
  <c r="BB2016" i="1"/>
  <c r="BB644" i="30" s="1"/>
  <c r="BC2017" i="1"/>
  <c r="BC645" i="30" s="1"/>
  <c r="B647" i="30"/>
  <c r="BD2019" i="1"/>
  <c r="BD647" i="30" s="1"/>
  <c r="B648" i="30"/>
  <c r="BC2020" i="1"/>
  <c r="BC648" i="30" s="1"/>
  <c r="B649" i="30"/>
  <c r="BB2021" i="1"/>
  <c r="BB649" i="30" s="1"/>
  <c r="BC2027" i="1"/>
  <c r="BC655" i="30" s="1"/>
  <c r="BD2028" i="1"/>
  <c r="BD656" i="30" s="1"/>
  <c r="BD2041" i="1"/>
  <c r="BB2043" i="1"/>
  <c r="BB630" i="30" s="1"/>
  <c r="BB2045" i="1"/>
  <c r="BB631" i="30" s="1"/>
  <c r="BD2046" i="1"/>
  <c r="BD632" i="30" s="1"/>
  <c r="BD2044" i="1"/>
  <c r="BD633" i="30" s="1"/>
  <c r="BB2048" i="1"/>
  <c r="BB2049" i="1"/>
  <c r="BC2050" i="1"/>
  <c r="B657" i="30"/>
  <c r="BC2029" i="1"/>
  <c r="BC657" i="30" s="1"/>
  <c r="B658" i="30"/>
  <c r="BB2030" i="1"/>
  <c r="BB658" i="30" s="1"/>
  <c r="BC2036" i="1"/>
  <c r="BC664" i="30" s="1"/>
  <c r="BD2037" i="1"/>
  <c r="BD665" i="30" s="1"/>
  <c r="BD2038" i="1"/>
  <c r="BD666" i="30" s="1"/>
  <c r="BC2143" i="1"/>
  <c r="BC672" i="30" s="1"/>
  <c r="BD2144" i="1"/>
  <c r="BD673" i="30" s="1"/>
  <c r="BD2145" i="1"/>
  <c r="BD674" i="30" s="1"/>
  <c r="BB1750" i="1"/>
  <c r="BB602" i="30" s="1"/>
  <c r="BB2151" i="1"/>
  <c r="BB676" i="30" s="1"/>
  <c r="BD2160" i="1"/>
  <c r="BB2167" i="1"/>
  <c r="BB2168" i="1"/>
  <c r="BD2169" i="1"/>
  <c r="BD680" i="30" s="1"/>
  <c r="BB2173" i="1"/>
  <c r="B682" i="30"/>
  <c r="BC2176" i="1"/>
  <c r="BC682" i="30" s="1"/>
  <c r="B683" i="30"/>
  <c r="BB2184" i="1"/>
  <c r="BB683" i="30" s="1"/>
  <c r="BC2217" i="1"/>
  <c r="BC689" i="30" s="1"/>
  <c r="BD2218" i="1"/>
  <c r="BD690" i="30" s="1"/>
  <c r="BD2219" i="1"/>
  <c r="BD691" i="30" s="1"/>
  <c r="BB2221" i="1"/>
  <c r="BB693" i="30" s="1"/>
  <c r="BC2222" i="1"/>
  <c r="BC694" i="30" s="1"/>
  <c r="B696" i="30"/>
  <c r="BB2225" i="1"/>
  <c r="BB696" i="30" s="1"/>
  <c r="BC2225" i="1"/>
  <c r="BC696" i="30" s="1"/>
  <c r="B711" i="30"/>
  <c r="BB2257" i="1"/>
  <c r="BB711" i="30" s="1"/>
  <c r="B721" i="30"/>
  <c r="BB2276" i="1"/>
  <c r="BB721" i="30" s="1"/>
  <c r="BC2276" i="1"/>
  <c r="BC721" i="30" s="1"/>
  <c r="B780" i="30"/>
  <c r="BD2475" i="1"/>
  <c r="BD780" i="30" s="1"/>
  <c r="BC2475" i="1"/>
  <c r="BC780" i="30" s="1"/>
  <c r="BB2489" i="1"/>
  <c r="BB787" i="30" s="1"/>
  <c r="BD1479" i="1"/>
  <c r="BD484" i="30" s="1"/>
  <c r="BD1539" i="1"/>
  <c r="BD517" i="30" s="1"/>
  <c r="BC1581" i="1"/>
  <c r="BC546" i="30" s="1"/>
  <c r="BD1696" i="1"/>
  <c r="BD579" i="30" s="1"/>
  <c r="BC1748" i="1"/>
  <c r="BC607" i="30" s="1"/>
  <c r="BB2230" i="1"/>
  <c r="BB704" i="30" s="1"/>
  <c r="BD2229" i="1"/>
  <c r="BD705" i="30" s="1"/>
  <c r="BB2238" i="1"/>
  <c r="BD2245" i="1"/>
  <c r="BD709" i="30" s="1"/>
  <c r="B712" i="30"/>
  <c r="BC2259" i="1"/>
  <c r="BC712" i="30" s="1"/>
  <c r="B719" i="30"/>
  <c r="BB2274" i="1"/>
  <c r="BB719" i="30" s="1"/>
  <c r="B723" i="30"/>
  <c r="BB2278" i="1"/>
  <c r="BB723" i="30" s="1"/>
  <c r="B727" i="30"/>
  <c r="BB2282" i="1"/>
  <c r="BB727" i="30" s="1"/>
  <c r="B731" i="30"/>
  <c r="BB2286" i="1"/>
  <c r="BB731" i="30" s="1"/>
  <c r="B735" i="30"/>
  <c r="BD2295" i="1"/>
  <c r="BD735" i="30" s="1"/>
  <c r="B746" i="30"/>
  <c r="BD2384" i="1"/>
  <c r="BD746" i="30" s="1"/>
  <c r="B747" i="30"/>
  <c r="BC2385" i="1"/>
  <c r="BC747" i="30" s="1"/>
  <c r="B748" i="30"/>
  <c r="BB2386" i="1"/>
  <c r="BB748" i="30" s="1"/>
  <c r="B758" i="30"/>
  <c r="BD2424" i="1"/>
  <c r="BD758" i="30" s="1"/>
  <c r="BC2471" i="1"/>
  <c r="BC776" i="30" s="1"/>
  <c r="B790" i="30"/>
  <c r="BC2517" i="1"/>
  <c r="BC790" i="30" s="1"/>
  <c r="BD2241" i="1"/>
  <c r="BD708" i="30" s="1"/>
  <c r="B717" i="30"/>
  <c r="BB2272" i="1"/>
  <c r="BB717" i="30" s="1"/>
  <c r="B742" i="30"/>
  <c r="BD2349" i="1"/>
  <c r="BD742" i="30" s="1"/>
  <c r="B743" i="30"/>
  <c r="BC2350" i="1"/>
  <c r="BC743" i="30" s="1"/>
  <c r="B744" i="30"/>
  <c r="BB2351" i="1"/>
  <c r="BB744" i="30" s="1"/>
  <c r="B753" i="30"/>
  <c r="BD2411" i="1"/>
  <c r="BD753" i="30" s="1"/>
  <c r="B754" i="30"/>
  <c r="BC2413" i="1"/>
  <c r="BC754" i="30" s="1"/>
  <c r="B755" i="30"/>
  <c r="BB2414" i="1"/>
  <c r="BB755" i="30" s="1"/>
  <c r="BB2471" i="1"/>
  <c r="BB776" i="30" s="1"/>
  <c r="B777" i="30"/>
  <c r="BD2472" i="1"/>
  <c r="BD777" i="30" s="1"/>
  <c r="B778" i="30"/>
  <c r="BC2473" i="1"/>
  <c r="BC778" i="30" s="1"/>
  <c r="B779" i="30"/>
  <c r="BC2474" i="1"/>
  <c r="BC779" i="30" s="1"/>
  <c r="BB2474" i="1"/>
  <c r="BB779" i="30" s="1"/>
  <c r="B785" i="30"/>
  <c r="BB2487" i="1"/>
  <c r="BB785" i="30" s="1"/>
  <c r="BD2273" i="1"/>
  <c r="BD718" i="30" s="1"/>
  <c r="BD2275" i="1"/>
  <c r="BD720" i="30" s="1"/>
  <c r="BD2277" i="1"/>
  <c r="BD722" i="30" s="1"/>
  <c r="BD2279" i="1"/>
  <c r="BD724" i="30" s="1"/>
  <c r="BD2281" i="1"/>
  <c r="BD726" i="30" s="1"/>
  <c r="BD2283" i="1"/>
  <c r="BD728" i="30" s="1"/>
  <c r="BD2285" i="1"/>
  <c r="BD730" i="30" s="1"/>
  <c r="BD2287" i="1"/>
  <c r="BD732" i="30" s="1"/>
  <c r="BD2486" i="1"/>
  <c r="BD784" i="30" s="1"/>
  <c r="X1693" i="1"/>
  <c r="X576" i="30" s="1"/>
  <c r="X819" i="1"/>
  <c r="X299" i="30" s="1"/>
  <c r="AC1555" i="1"/>
  <c r="AC525" i="30" s="1"/>
  <c r="AL543" i="30"/>
  <c r="Y1693" i="1"/>
  <c r="Y576" i="30" s="1"/>
  <c r="AB2230" i="1"/>
  <c r="AB704" i="30" s="1"/>
  <c r="Y278" i="1"/>
  <c r="Y147" i="30" s="1"/>
  <c r="AD557" i="1"/>
  <c r="AD161" i="30" s="1"/>
  <c r="AF774" i="1"/>
  <c r="AF269" i="30" s="1"/>
  <c r="Y819" i="1"/>
  <c r="Y299" i="30" s="1"/>
  <c r="AF1693" i="1"/>
  <c r="AF576" i="30" s="1"/>
  <c r="AG1697" i="1"/>
  <c r="AG580" i="30" s="1"/>
  <c r="AF1896" i="1"/>
  <c r="AF618" i="30" s="1"/>
  <c r="AD555" i="1"/>
  <c r="AD159" i="30" s="1"/>
  <c r="AJ819" i="1"/>
  <c r="AJ299" i="30" s="1"/>
  <c r="X278" i="1"/>
  <c r="X147" i="30" s="1"/>
  <c r="AE555" i="1"/>
  <c r="AE159" i="30" s="1"/>
  <c r="AB824" i="1"/>
  <c r="AB305" i="30" s="1"/>
  <c r="AJ952" i="1"/>
  <c r="AC1697" i="1"/>
  <c r="AC580" i="30" s="1"/>
  <c r="AL711" i="30"/>
  <c r="X2260" i="1"/>
  <c r="X713" i="30" s="1"/>
  <c r="Y2349" i="1"/>
  <c r="Y742" i="30" s="1"/>
  <c r="AC281" i="1"/>
  <c r="AC150" i="30" s="1"/>
  <c r="AF797" i="1"/>
  <c r="AF281" i="30" s="1"/>
  <c r="T817" i="1"/>
  <c r="T295" i="30" s="1"/>
  <c r="AF817" i="1"/>
  <c r="AF295" i="30" s="1"/>
  <c r="AG952" i="1"/>
  <c r="T1555" i="1"/>
  <c r="T525" i="30" s="1"/>
  <c r="AG1555" i="1"/>
  <c r="AG525" i="30" s="1"/>
  <c r="AF1586" i="1"/>
  <c r="AF550" i="30" s="1"/>
  <c r="T1896" i="1"/>
  <c r="T618" i="30" s="1"/>
  <c r="AF2230" i="1"/>
  <c r="AF704" i="30" s="1"/>
  <c r="AG2349" i="1"/>
  <c r="AG742" i="30" s="1"/>
  <c r="T2471" i="1"/>
  <c r="T776" i="30" s="1"/>
  <c r="T2487" i="1"/>
  <c r="T785" i="30" s="1"/>
  <c r="AF2487" i="1"/>
  <c r="AF785" i="30" s="1"/>
  <c r="AC278" i="1"/>
  <c r="AC147" i="30" s="1"/>
  <c r="AG281" i="1"/>
  <c r="AG150" i="30" s="1"/>
  <c r="AE557" i="1"/>
  <c r="AE161" i="30" s="1"/>
  <c r="X718" i="1"/>
  <c r="X253" i="30" s="1"/>
  <c r="X719" i="1"/>
  <c r="X254" i="30" s="1"/>
  <c r="X817" i="1"/>
  <c r="X295" i="30" s="1"/>
  <c r="AG817" i="1"/>
  <c r="AG295" i="30" s="1"/>
  <c r="AC819" i="1"/>
  <c r="AC299" i="30" s="1"/>
  <c r="AF1458" i="1"/>
  <c r="AF468" i="30" s="1"/>
  <c r="Y1555" i="1"/>
  <c r="Y525" i="30" s="1"/>
  <c r="AG1586" i="1"/>
  <c r="AG550" i="30" s="1"/>
  <c r="AG1693" i="1"/>
  <c r="AG576" i="30" s="1"/>
  <c r="X1896" i="1"/>
  <c r="X618" i="30" s="1"/>
  <c r="AG1896" i="1"/>
  <c r="AG618" i="30" s="1"/>
  <c r="AF2217" i="1"/>
  <c r="Z2287" i="1"/>
  <c r="Z732" i="30" s="1"/>
  <c r="AG2471" i="1"/>
  <c r="AG776" i="30" s="1"/>
  <c r="X2487" i="1"/>
  <c r="X785" i="30" s="1"/>
  <c r="AG2487" i="1"/>
  <c r="AG785" i="30" s="1"/>
  <c r="AB1555" i="1"/>
  <c r="AB525" i="30" s="1"/>
  <c r="AA557" i="1"/>
  <c r="AA161" i="30" s="1"/>
  <c r="AC817" i="1"/>
  <c r="AC295" i="30" s="1"/>
  <c r="AC1896" i="1"/>
  <c r="AC618" i="30" s="1"/>
  <c r="AC2487" i="1"/>
  <c r="AC785" i="30" s="1"/>
  <c r="AJ1483" i="1"/>
  <c r="AJ487" i="30" s="1"/>
  <c r="AJ1469" i="1"/>
  <c r="AJ1486" i="1" s="1"/>
  <c r="AJ490" i="30" s="1"/>
  <c r="AJ1478" i="1"/>
  <c r="AJ483" i="30" s="1"/>
  <c r="AG145" i="1"/>
  <c r="AG52" i="30" s="1"/>
  <c r="AI116" i="30"/>
  <c r="AL116" i="30"/>
  <c r="AL247" i="30"/>
  <c r="Z322" i="30"/>
  <c r="Z324" i="30" s="1"/>
  <c r="Z846" i="1"/>
  <c r="Z326" i="30" s="1"/>
  <c r="AD322" i="30"/>
  <c r="AD324" i="30" s="1"/>
  <c r="AD1895" i="1"/>
  <c r="AD617" i="30" s="1"/>
  <c r="AE845" i="1"/>
  <c r="AE325" i="30" s="1"/>
  <c r="AD846" i="1"/>
  <c r="AD326" i="30" s="1"/>
  <c r="W595" i="30"/>
  <c r="W1458" i="1"/>
  <c r="W468" i="30" s="1"/>
  <c r="AE1894" i="1"/>
  <c r="AE616" i="30" s="1"/>
  <c r="AL14" i="30"/>
  <c r="AA322" i="30"/>
  <c r="AA324" i="30" s="1"/>
  <c r="AA1895" i="1"/>
  <c r="AA617" i="30" s="1"/>
  <c r="AE322" i="30"/>
  <c r="AE324" i="30" s="1"/>
  <c r="AE1895" i="1"/>
  <c r="AE617" i="30" s="1"/>
  <c r="AE846" i="1"/>
  <c r="AE326" i="30" s="1"/>
  <c r="AI322" i="30"/>
  <c r="AI324" i="30" s="1"/>
  <c r="AI1895" i="1"/>
  <c r="AI617" i="30" s="1"/>
  <c r="AI845" i="1"/>
  <c r="AI325" i="30" s="1"/>
  <c r="AI846" i="1"/>
  <c r="AI326" i="30" s="1"/>
  <c r="AF952" i="1"/>
  <c r="AA1458" i="1"/>
  <c r="AA468" i="30" s="1"/>
  <c r="AI1555" i="1"/>
  <c r="AI525" i="30" s="1"/>
  <c r="Y719" i="1"/>
  <c r="Y254" i="30" s="1"/>
  <c r="AC720" i="1"/>
  <c r="AC718" i="1"/>
  <c r="AC253" i="30" s="1"/>
  <c r="AG720" i="1"/>
  <c r="AG687" i="1"/>
  <c r="Y718" i="1"/>
  <c r="Y253" i="30" s="1"/>
  <c r="U301" i="30"/>
  <c r="U303" i="30" s="1"/>
  <c r="U1894" i="1"/>
  <c r="U616" i="30" s="1"/>
  <c r="Z301" i="30"/>
  <c r="Z303" i="30" s="1"/>
  <c r="Z1894" i="1"/>
  <c r="Z616" i="30" s="1"/>
  <c r="AD301" i="30"/>
  <c r="AD303" i="30" s="1"/>
  <c r="AD1894" i="1"/>
  <c r="AD616" i="30" s="1"/>
  <c r="AH301" i="30"/>
  <c r="AH303" i="30" s="1"/>
  <c r="AH1894" i="1"/>
  <c r="AH616" i="30" s="1"/>
  <c r="AJ312" i="30"/>
  <c r="AL312" i="30"/>
  <c r="AK421" i="30"/>
  <c r="AK1191" i="1"/>
  <c r="AK415" i="30" s="1"/>
  <c r="Z1895" i="1"/>
  <c r="Z617" i="30" s="1"/>
  <c r="AE706" i="30"/>
  <c r="AE2217" i="1"/>
  <c r="AE2230" i="1"/>
  <c r="AE704" i="30" s="1"/>
  <c r="AA301" i="30"/>
  <c r="AA303" i="30" s="1"/>
  <c r="AA1894" i="1"/>
  <c r="AA616" i="30" s="1"/>
  <c r="AI301" i="30"/>
  <c r="AI303" i="30" s="1"/>
  <c r="AI1894" i="1"/>
  <c r="AI616" i="30" s="1"/>
  <c r="AI823" i="1"/>
  <c r="AI304" i="30" s="1"/>
  <c r="W1894" i="1"/>
  <c r="W616" i="30" s="1"/>
  <c r="AA731" i="30"/>
  <c r="AA2287" i="1"/>
  <c r="AA732" i="30" s="1"/>
  <c r="AE731" i="30"/>
  <c r="AE2287" i="1"/>
  <c r="AE732" i="30" s="1"/>
  <c r="AI731" i="30"/>
  <c r="AI2287" i="1"/>
  <c r="AI732" i="30" s="1"/>
  <c r="AH322" i="30"/>
  <c r="AH324" i="30" s="1"/>
  <c r="AH846" i="1"/>
  <c r="AH326" i="30" s="1"/>
  <c r="AE595" i="30"/>
  <c r="AE1458" i="1"/>
  <c r="AE468" i="30" s="1"/>
  <c r="AJ729" i="30"/>
  <c r="AL729" i="30"/>
  <c r="AI581" i="30"/>
  <c r="AL581" i="30"/>
  <c r="Z555" i="1"/>
  <c r="Z159" i="30" s="1"/>
  <c r="AF824" i="1"/>
  <c r="AF305" i="30" s="1"/>
  <c r="AE952" i="1"/>
  <c r="AI952" i="1"/>
  <c r="AJ1555" i="1"/>
  <c r="AJ525" i="30" s="1"/>
  <c r="AB1586" i="1"/>
  <c r="AB550" i="30" s="1"/>
  <c r="AJ1586" i="1"/>
  <c r="AJ550" i="30" s="1"/>
  <c r="AB1693" i="1"/>
  <c r="AB576" i="30" s="1"/>
  <c r="AJ2349" i="1"/>
  <c r="AJ742" i="30" s="1"/>
  <c r="AB278" i="1"/>
  <c r="AB147" i="30" s="1"/>
  <c r="AJ278" i="1"/>
  <c r="AJ147" i="30" s="1"/>
  <c r="AA555" i="1"/>
  <c r="AA159" i="30" s="1"/>
  <c r="AI555" i="1"/>
  <c r="AI159" i="30" s="1"/>
  <c r="Z557" i="1"/>
  <c r="Z161" i="30" s="1"/>
  <c r="AH557" i="1"/>
  <c r="AH161" i="30" s="1"/>
  <c r="AF606" i="1"/>
  <c r="AF197" i="30" s="1"/>
  <c r="AB817" i="1"/>
  <c r="AB295" i="30" s="1"/>
  <c r="AJ817" i="1"/>
  <c r="AJ295" i="30" s="1"/>
  <c r="AB819" i="1"/>
  <c r="AB299" i="30" s="1"/>
  <c r="AG819" i="1"/>
  <c r="AG299" i="30" s="1"/>
  <c r="AJ824" i="1"/>
  <c r="AJ305" i="30" s="1"/>
  <c r="AG862" i="1"/>
  <c r="X1555" i="1"/>
  <c r="X525" i="30" s="1"/>
  <c r="AF1555" i="1"/>
  <c r="AF525" i="30" s="1"/>
  <c r="AC1586" i="1"/>
  <c r="AC550" i="30" s="1"/>
  <c r="T1693" i="1"/>
  <c r="T576" i="30" s="1"/>
  <c r="AC1693" i="1"/>
  <c r="AC576" i="30" s="1"/>
  <c r="AB1896" i="1"/>
  <c r="AB618" i="30" s="1"/>
  <c r="AJ1896" i="1"/>
  <c r="AJ618" i="30" s="1"/>
  <c r="AB2217" i="1"/>
  <c r="AF2260" i="1"/>
  <c r="AF713" i="30" s="1"/>
  <c r="AL726" i="30"/>
  <c r="AL731" i="30"/>
  <c r="AD2287" i="1"/>
  <c r="AD732" i="30" s="1"/>
  <c r="T2349" i="1"/>
  <c r="T742" i="30" s="1"/>
  <c r="AC2349" i="1"/>
  <c r="AC742" i="30" s="1"/>
  <c r="Y2471" i="1"/>
  <c r="Y776" i="30" s="1"/>
  <c r="AB2487" i="1"/>
  <c r="AB785" i="30" s="1"/>
  <c r="AJ2487" i="1"/>
  <c r="AJ785" i="30" s="1"/>
  <c r="AJ2260" i="1"/>
  <c r="AJ713" i="30" s="1"/>
  <c r="X2349" i="1"/>
  <c r="X742" i="30" s="1"/>
  <c r="AF2349" i="1"/>
  <c r="AF742" i="30" s="1"/>
  <c r="AC2471" i="1"/>
  <c r="AC776" i="30" s="1"/>
  <c r="AH555" i="1"/>
  <c r="AH159" i="30" s="1"/>
  <c r="AF819" i="1"/>
  <c r="AF299" i="30" s="1"/>
  <c r="AF1017" i="1"/>
  <c r="AF1019" i="1" s="1"/>
  <c r="AJ1693" i="1"/>
  <c r="AJ576" i="30" s="1"/>
  <c r="AB2260" i="1"/>
  <c r="AB713" i="30" s="1"/>
  <c r="AB2349" i="1"/>
  <c r="AB742" i="30" s="1"/>
  <c r="AL17" i="30"/>
  <c r="Z292" i="30"/>
  <c r="Z294" i="30" s="1"/>
  <c r="Z1896" i="1"/>
  <c r="Z618" i="30" s="1"/>
  <c r="Z1586" i="1"/>
  <c r="Z550" i="30" s="1"/>
  <c r="Z1555" i="1"/>
  <c r="Z525" i="30" s="1"/>
  <c r="Z819" i="1"/>
  <c r="Z299" i="30" s="1"/>
  <c r="Z817" i="1"/>
  <c r="Z295" i="30" s="1"/>
  <c r="Z1697" i="1"/>
  <c r="Z580" i="30" s="1"/>
  <c r="Z2487" i="1"/>
  <c r="Z785" i="30" s="1"/>
  <c r="Z2349" i="1"/>
  <c r="Z742" i="30" s="1"/>
  <c r="Z1693" i="1"/>
  <c r="Z576" i="30" s="1"/>
  <c r="Z2471" i="1"/>
  <c r="Z776" i="30" s="1"/>
  <c r="AJ322" i="30"/>
  <c r="AJ324" i="30" s="1"/>
  <c r="AJ2473" i="1"/>
  <c r="AJ778" i="30" s="1"/>
  <c r="AJ1895" i="1"/>
  <c r="AJ846" i="1"/>
  <c r="AJ845" i="1"/>
  <c r="AL322" i="30"/>
  <c r="AH145" i="1"/>
  <c r="AH52" i="30" s="1"/>
  <c r="Z278" i="1"/>
  <c r="Z147" i="30" s="1"/>
  <c r="AD278" i="1"/>
  <c r="AD147" i="30" s="1"/>
  <c r="AH278" i="1"/>
  <c r="AH147" i="30" s="1"/>
  <c r="W292" i="30"/>
  <c r="W294" i="30" s="1"/>
  <c r="W1896" i="1"/>
  <c r="W618" i="30" s="1"/>
  <c r="W2487" i="1"/>
  <c r="W785" i="30" s="1"/>
  <c r="W2349" i="1"/>
  <c r="W742" i="30" s="1"/>
  <c r="W1693" i="1"/>
  <c r="W576" i="30" s="1"/>
  <c r="W817" i="1"/>
  <c r="W295" i="30" s="1"/>
  <c r="W2471" i="1"/>
  <c r="W776" i="30" s="1"/>
  <c r="AA292" i="30"/>
  <c r="AA294" i="30" s="1"/>
  <c r="AA1896" i="1"/>
  <c r="AA618" i="30" s="1"/>
  <c r="AA1586" i="1"/>
  <c r="AA550" i="30" s="1"/>
  <c r="AA2487" i="1"/>
  <c r="AA785" i="30" s="1"/>
  <c r="AA2349" i="1"/>
  <c r="AA742" i="30" s="1"/>
  <c r="AA1693" i="1"/>
  <c r="AA576" i="30" s="1"/>
  <c r="AA817" i="1"/>
  <c r="AA295" i="30" s="1"/>
  <c r="AA281" i="1"/>
  <c r="AA150" i="30" s="1"/>
  <c r="AA2471" i="1"/>
  <c r="AA776" i="30" s="1"/>
  <c r="AA1697" i="1"/>
  <c r="AA580" i="30" s="1"/>
  <c r="AE292" i="30"/>
  <c r="AE294" i="30" s="1"/>
  <c r="AE1896" i="1"/>
  <c r="AE618" i="30" s="1"/>
  <c r="AE1586" i="1"/>
  <c r="AE550" i="30" s="1"/>
  <c r="AE2487" i="1"/>
  <c r="AE785" i="30" s="1"/>
  <c r="AE2349" i="1"/>
  <c r="AE742" i="30" s="1"/>
  <c r="AE1693" i="1"/>
  <c r="AE576" i="30" s="1"/>
  <c r="AE817" i="1"/>
  <c r="AE295" i="30" s="1"/>
  <c r="AE281" i="1"/>
  <c r="AE150" i="30" s="1"/>
  <c r="AE2471" i="1"/>
  <c r="AE776" i="30" s="1"/>
  <c r="AE1697" i="1"/>
  <c r="AE580" i="30" s="1"/>
  <c r="AI292" i="30"/>
  <c r="AI294" i="30" s="1"/>
  <c r="AI1896" i="1"/>
  <c r="AI618" i="30" s="1"/>
  <c r="AI1586" i="1"/>
  <c r="AI2487" i="1"/>
  <c r="AI2349" i="1"/>
  <c r="AI1693" i="1"/>
  <c r="AI817" i="1"/>
  <c r="AI295" i="30" s="1"/>
  <c r="AI281" i="1"/>
  <c r="AI1573" i="1"/>
  <c r="AI2471" i="1"/>
  <c r="AI776" i="30" s="1"/>
  <c r="AI1697" i="1"/>
  <c r="AA819" i="1"/>
  <c r="AA299" i="30" s="1"/>
  <c r="AJ306" i="30"/>
  <c r="AK419" i="30"/>
  <c r="AK1192" i="1"/>
  <c r="AK416" i="30" s="1"/>
  <c r="AB424" i="30"/>
  <c r="AF424" i="30"/>
  <c r="AJ424" i="30"/>
  <c r="AL424" i="30"/>
  <c r="AJ1347" i="1"/>
  <c r="AB1469" i="1"/>
  <c r="AB1346" i="1" s="1"/>
  <c r="AB425" i="30" s="1"/>
  <c r="AB1478" i="1"/>
  <c r="AB483" i="30" s="1"/>
  <c r="AJ1480" i="1"/>
  <c r="AB1483" i="1"/>
  <c r="AB487" i="30" s="1"/>
  <c r="AB1505" i="1"/>
  <c r="AE1555" i="1"/>
  <c r="AE525" i="30" s="1"/>
  <c r="AI20" i="30"/>
  <c r="AL20" i="30"/>
  <c r="AI124" i="30"/>
  <c r="AL124" i="30"/>
  <c r="U292" i="30"/>
  <c r="U294" i="30" s="1"/>
  <c r="U1896" i="1"/>
  <c r="U618" i="30" s="1"/>
  <c r="U1555" i="1"/>
  <c r="U525" i="30" s="1"/>
  <c r="U819" i="1"/>
  <c r="U299" i="30" s="1"/>
  <c r="U817" i="1"/>
  <c r="U295" i="30" s="1"/>
  <c r="U2487" i="1"/>
  <c r="U785" i="30" s="1"/>
  <c r="U2349" i="1"/>
  <c r="U742" i="30" s="1"/>
  <c r="U1693" i="1"/>
  <c r="U576" i="30" s="1"/>
  <c r="U2471" i="1"/>
  <c r="U776" i="30" s="1"/>
  <c r="AD292" i="30"/>
  <c r="AD294" i="30" s="1"/>
  <c r="AD1896" i="1"/>
  <c r="AD618" i="30" s="1"/>
  <c r="AD1586" i="1"/>
  <c r="AD550" i="30" s="1"/>
  <c r="AD1555" i="1"/>
  <c r="AD525" i="30" s="1"/>
  <c r="AD819" i="1"/>
  <c r="AD299" i="30" s="1"/>
  <c r="AD817" i="1"/>
  <c r="AD295" i="30" s="1"/>
  <c r="AD1697" i="1"/>
  <c r="AD580" i="30" s="1"/>
  <c r="AD2487" i="1"/>
  <c r="AD785" i="30" s="1"/>
  <c r="AD2349" i="1"/>
  <c r="AD742" i="30" s="1"/>
  <c r="AD1693" i="1"/>
  <c r="AD576" i="30" s="1"/>
  <c r="AD2471" i="1"/>
  <c r="AD776" i="30" s="1"/>
  <c r="AH292" i="30"/>
  <c r="AH294" i="30" s="1"/>
  <c r="AH1896" i="1"/>
  <c r="AH618" i="30" s="1"/>
  <c r="AH1586" i="1"/>
  <c r="AH550" i="30" s="1"/>
  <c r="AH1555" i="1"/>
  <c r="AH525" i="30" s="1"/>
  <c r="AH819" i="1"/>
  <c r="AH299" i="30" s="1"/>
  <c r="AH817" i="1"/>
  <c r="AH295" i="30" s="1"/>
  <c r="AH1697" i="1"/>
  <c r="AH580" i="30" s="1"/>
  <c r="AH2487" i="1"/>
  <c r="AH785" i="30" s="1"/>
  <c r="AH2349" i="1"/>
  <c r="AH742" i="30" s="1"/>
  <c r="AH1693" i="1"/>
  <c r="AH576" i="30" s="1"/>
  <c r="AH2471" i="1"/>
  <c r="AH776" i="30" s="1"/>
  <c r="X322" i="30"/>
  <c r="X324" i="30" s="1"/>
  <c r="X2473" i="1"/>
  <c r="X778" i="30" s="1"/>
  <c r="AB322" i="30"/>
  <c r="AB324" i="30" s="1"/>
  <c r="AB2473" i="1"/>
  <c r="AB778" i="30" s="1"/>
  <c r="AB1895" i="1"/>
  <c r="AB617" i="30" s="1"/>
  <c r="AB846" i="1"/>
  <c r="AB326" i="30" s="1"/>
  <c r="AB845" i="1"/>
  <c r="AB325" i="30" s="1"/>
  <c r="AF322" i="30"/>
  <c r="AF324" i="30" s="1"/>
  <c r="AF2473" i="1"/>
  <c r="AF778" i="30" s="1"/>
  <c r="AF1895" i="1"/>
  <c r="AF617" i="30" s="1"/>
  <c r="AF846" i="1"/>
  <c r="AF326" i="30" s="1"/>
  <c r="AF845" i="1"/>
  <c r="AF325" i="30" s="1"/>
  <c r="AJ736" i="30"/>
  <c r="AG1358" i="1"/>
  <c r="AG437" i="30" s="1"/>
  <c r="AL6" i="30"/>
  <c r="AI9" i="30"/>
  <c r="AL9" i="30"/>
  <c r="AL58" i="30"/>
  <c r="AJ64" i="30"/>
  <c r="AL64" i="30"/>
  <c r="AI120" i="30"/>
  <c r="AL120" i="30"/>
  <c r="U278" i="1"/>
  <c r="U147" i="30" s="1"/>
  <c r="AL148" i="30"/>
  <c r="Z281" i="1"/>
  <c r="Z150" i="30" s="1"/>
  <c r="AH281" i="1"/>
  <c r="AH150" i="30" s="1"/>
  <c r="AB555" i="1"/>
  <c r="AB159" i="30" s="1"/>
  <c r="AB557" i="1"/>
  <c r="AB161" i="30" s="1"/>
  <c r="AF555" i="1"/>
  <c r="AF159" i="30" s="1"/>
  <c r="AF557" i="1"/>
  <c r="AF161" i="30" s="1"/>
  <c r="AJ555" i="1"/>
  <c r="AJ557" i="1"/>
  <c r="AL26" i="30"/>
  <c r="AI29" i="30"/>
  <c r="AL29" i="30"/>
  <c r="AI51" i="30"/>
  <c r="AI145" i="1"/>
  <c r="AI52" i="30" s="1"/>
  <c r="W278" i="1"/>
  <c r="W147" i="30" s="1"/>
  <c r="AA278" i="1"/>
  <c r="AA147" i="30" s="1"/>
  <c r="AE278" i="1"/>
  <c r="AE147" i="30" s="1"/>
  <c r="AI278" i="1"/>
  <c r="Y557" i="1"/>
  <c r="Y161" i="30" s="1"/>
  <c r="Y555" i="1"/>
  <c r="Y159" i="30" s="1"/>
  <c r="AC557" i="1"/>
  <c r="AC161" i="30" s="1"/>
  <c r="AC555" i="1"/>
  <c r="AC159" i="30" s="1"/>
  <c r="AG557" i="1"/>
  <c r="AG161" i="30" s="1"/>
  <c r="AG555" i="1"/>
  <c r="AG159" i="30" s="1"/>
  <c r="AL236" i="30"/>
  <c r="U718" i="1"/>
  <c r="U253" i="30" s="1"/>
  <c r="U719" i="1"/>
  <c r="U254" i="30" s="1"/>
  <c r="Z718" i="1"/>
  <c r="Z253" i="30" s="1"/>
  <c r="Z719" i="1"/>
  <c r="Z254" i="30" s="1"/>
  <c r="AD718" i="1"/>
  <c r="AD253" i="30" s="1"/>
  <c r="AD687" i="1"/>
  <c r="AD693" i="1" s="1"/>
  <c r="AD240" i="30" s="1"/>
  <c r="AH718" i="1"/>
  <c r="AH253" i="30" s="1"/>
  <c r="AH687" i="1"/>
  <c r="AH693" i="1" s="1"/>
  <c r="AH240" i="30" s="1"/>
  <c r="U720" i="1"/>
  <c r="AD720" i="1"/>
  <c r="AJ258" i="30"/>
  <c r="AL258" i="30"/>
  <c r="W819" i="1"/>
  <c r="W299" i="30" s="1"/>
  <c r="AL300" i="30"/>
  <c r="X301" i="30"/>
  <c r="X303" i="30" s="1"/>
  <c r="X2472" i="1"/>
  <c r="X777" i="30" s="1"/>
  <c r="X1894" i="1"/>
  <c r="X616" i="30" s="1"/>
  <c r="X823" i="1"/>
  <c r="X304" i="30" s="1"/>
  <c r="AB301" i="30"/>
  <c r="AB303" i="30" s="1"/>
  <c r="AB2472" i="1"/>
  <c r="AB777" i="30" s="1"/>
  <c r="AB1894" i="1"/>
  <c r="AB616" i="30" s="1"/>
  <c r="AB823" i="1"/>
  <c r="AB304" i="30" s="1"/>
  <c r="AF301" i="30"/>
  <c r="AF303" i="30" s="1"/>
  <c r="AF2472" i="1"/>
  <c r="AF777" i="30" s="1"/>
  <c r="AF1894" i="1"/>
  <c r="AF616" i="30" s="1"/>
  <c r="AF823" i="1"/>
  <c r="AF304" i="30" s="1"/>
  <c r="AJ301" i="30"/>
  <c r="AJ303" i="30" s="1"/>
  <c r="AJ2472" i="1"/>
  <c r="AJ777" i="30" s="1"/>
  <c r="AJ1894" i="1"/>
  <c r="AJ823" i="1"/>
  <c r="W823" i="1"/>
  <c r="W304" i="30" s="1"/>
  <c r="AE823" i="1"/>
  <c r="AE304" i="30" s="1"/>
  <c r="X825" i="1"/>
  <c r="X306" i="30" s="1"/>
  <c r="AA845" i="1"/>
  <c r="AA325" i="30" s="1"/>
  <c r="AH343" i="30"/>
  <c r="AH952" i="1"/>
  <c r="AH862" i="1"/>
  <c r="AF1469" i="1"/>
  <c r="AF1478" i="1"/>
  <c r="AF483" i="30" s="1"/>
  <c r="AF1483" i="1"/>
  <c r="AF487" i="30" s="1"/>
  <c r="AF1505" i="1"/>
  <c r="AB511" i="30"/>
  <c r="AF511" i="30"/>
  <c r="AJ511" i="30"/>
  <c r="AL511" i="30"/>
  <c r="AA1555" i="1"/>
  <c r="AA525" i="30" s="1"/>
  <c r="AL53" i="30"/>
  <c r="AJ54" i="30"/>
  <c r="AL54" i="30"/>
  <c r="AJ76" i="30"/>
  <c r="AL76" i="30"/>
  <c r="AI137" i="30"/>
  <c r="AL137" i="30"/>
  <c r="AI140" i="30"/>
  <c r="AL140" i="30"/>
  <c r="AD281" i="1"/>
  <c r="AD150" i="30" s="1"/>
  <c r="AJ172" i="30"/>
  <c r="AL172" i="30"/>
  <c r="W719" i="1"/>
  <c r="W254" i="30" s="1"/>
  <c r="W720" i="1"/>
  <c r="AA719" i="1"/>
  <c r="AA254" i="30" s="1"/>
  <c r="AA720" i="1"/>
  <c r="AE720" i="1"/>
  <c r="AI720" i="1"/>
  <c r="AA718" i="1"/>
  <c r="AA253" i="30" s="1"/>
  <c r="T301" i="30"/>
  <c r="T303" i="30" s="1"/>
  <c r="T1894" i="1"/>
  <c r="T616" i="30" s="1"/>
  <c r="T823" i="1"/>
  <c r="T304" i="30" s="1"/>
  <c r="U2472" i="1"/>
  <c r="U777" i="30" s="1"/>
  <c r="Y301" i="30"/>
  <c r="Y303" i="30" s="1"/>
  <c r="Y2472" i="1"/>
  <c r="Y777" i="30" s="1"/>
  <c r="Y1894" i="1"/>
  <c r="Y616" i="30" s="1"/>
  <c r="Y823" i="1"/>
  <c r="Y304" i="30" s="1"/>
  <c r="Z2472" i="1"/>
  <c r="Z777" i="30" s="1"/>
  <c r="Y825" i="1"/>
  <c r="Y306" i="30" s="1"/>
  <c r="AC301" i="30"/>
  <c r="AC303" i="30" s="1"/>
  <c r="AC2472" i="1"/>
  <c r="AC777" i="30" s="1"/>
  <c r="AC1894" i="1"/>
  <c r="AC616" i="30" s="1"/>
  <c r="AC823" i="1"/>
  <c r="AC304" i="30" s="1"/>
  <c r="AD2472" i="1"/>
  <c r="AD777" i="30" s="1"/>
  <c r="AC825" i="1"/>
  <c r="AC306" i="30" s="1"/>
  <c r="AG301" i="30"/>
  <c r="AG303" i="30" s="1"/>
  <c r="AG2472" i="1"/>
  <c r="AG777" i="30" s="1"/>
  <c r="AG1894" i="1"/>
  <c r="AG616" i="30" s="1"/>
  <c r="AG823" i="1"/>
  <c r="AG304" i="30" s="1"/>
  <c r="AH2472" i="1"/>
  <c r="AH777" i="30" s="1"/>
  <c r="AG824" i="1"/>
  <c r="AG305" i="30" s="1"/>
  <c r="AG825" i="1"/>
  <c r="AG306" i="30" s="1"/>
  <c r="AL301" i="30"/>
  <c r="Z823" i="1"/>
  <c r="Z304" i="30" s="1"/>
  <c r="AH823" i="1"/>
  <c r="AH304" i="30" s="1"/>
  <c r="AC1358" i="1"/>
  <c r="AC437" i="30" s="1"/>
  <c r="AJ495" i="30"/>
  <c r="AJ1508" i="1"/>
  <c r="AL526" i="30"/>
  <c r="AH1358" i="1"/>
  <c r="AH437" i="30" s="1"/>
  <c r="Y1478" i="1"/>
  <c r="Y483" i="30" s="1"/>
  <c r="AG1478" i="1"/>
  <c r="AG483" i="30" s="1"/>
  <c r="Y1505" i="1"/>
  <c r="AG1505" i="1"/>
  <c r="AG1347" i="1" s="1"/>
  <c r="AG426" i="30" s="1"/>
  <c r="AL578" i="30"/>
  <c r="AL582" i="30"/>
  <c r="AL744" i="30"/>
  <c r="U2473" i="1"/>
  <c r="U778" i="30" s="1"/>
  <c r="Z2473" i="1"/>
  <c r="Z778" i="30" s="1"/>
  <c r="AD2473" i="1"/>
  <c r="AD778" i="30" s="1"/>
  <c r="AH2473" i="1"/>
  <c r="AH778" i="30" s="1"/>
  <c r="U824" i="1"/>
  <c r="U305" i="30" s="1"/>
  <c r="AD824" i="1"/>
  <c r="AD305" i="30" s="1"/>
  <c r="AH824" i="1"/>
  <c r="AH305" i="30" s="1"/>
  <c r="AE1358" i="1"/>
  <c r="AE437" i="30" s="1"/>
  <c r="AI1358" i="1"/>
  <c r="AI437" i="30" s="1"/>
  <c r="T1458" i="1"/>
  <c r="T468" i="30" s="1"/>
  <c r="Y1458" i="1"/>
  <c r="Y468" i="30" s="1"/>
  <c r="AC1458" i="1"/>
  <c r="AC468" i="30" s="1"/>
  <c r="AG1458" i="1"/>
  <c r="AG468" i="30" s="1"/>
  <c r="Z1469" i="1"/>
  <c r="AD1469" i="1"/>
  <c r="AH1469" i="1"/>
  <c r="Z1478" i="1"/>
  <c r="Z483" i="30" s="1"/>
  <c r="AD1478" i="1"/>
  <c r="AD483" i="30" s="1"/>
  <c r="AH1478" i="1"/>
  <c r="AH483" i="30" s="1"/>
  <c r="Z1480" i="1"/>
  <c r="Z485" i="30" s="1"/>
  <c r="AD1480" i="1"/>
  <c r="AD485" i="30" s="1"/>
  <c r="AH1480" i="1"/>
  <c r="AH485" i="30" s="1"/>
  <c r="Z1483" i="1"/>
  <c r="Z487" i="30" s="1"/>
  <c r="AD1483" i="1"/>
  <c r="AD487" i="30" s="1"/>
  <c r="AH1483" i="1"/>
  <c r="AH487" i="30" s="1"/>
  <c r="Z1505" i="1"/>
  <c r="Z1347" i="1" s="1"/>
  <c r="Z426" i="30" s="1"/>
  <c r="AD1505" i="1"/>
  <c r="AD1347" i="1" s="1"/>
  <c r="AD426" i="30" s="1"/>
  <c r="AH1505" i="1"/>
  <c r="AH1347" i="1" s="1"/>
  <c r="AH426" i="30" s="1"/>
  <c r="AL546" i="30"/>
  <c r="AL547" i="30"/>
  <c r="Y2260" i="1"/>
  <c r="Y713" i="30" s="1"/>
  <c r="AC2260" i="1"/>
  <c r="AC713" i="30" s="1"/>
  <c r="AG2260" i="1"/>
  <c r="AG713" i="30" s="1"/>
  <c r="AJ2461" i="1"/>
  <c r="AJ761" i="30" s="1"/>
  <c r="W2472" i="1"/>
  <c r="W777" i="30" s="1"/>
  <c r="AA2472" i="1"/>
  <c r="AA777" i="30" s="1"/>
  <c r="AE2472" i="1"/>
  <c r="AE777" i="30" s="1"/>
  <c r="AI2472" i="1"/>
  <c r="AI777" i="30" s="1"/>
  <c r="W2473" i="1"/>
  <c r="W778" i="30" s="1"/>
  <c r="AA2473" i="1"/>
  <c r="AA778" i="30" s="1"/>
  <c r="AE2473" i="1"/>
  <c r="AE778" i="30" s="1"/>
  <c r="AI2473" i="1"/>
  <c r="AI778" i="30" s="1"/>
  <c r="AD1358" i="1"/>
  <c r="AD437" i="30" s="1"/>
  <c r="Y1469" i="1"/>
  <c r="Y1346" i="1" s="1"/>
  <c r="Y425" i="30" s="1"/>
  <c r="AC1469" i="1"/>
  <c r="AG1469" i="1"/>
  <c r="AC1478" i="1"/>
  <c r="AC483" i="30" s="1"/>
  <c r="Y1480" i="1"/>
  <c r="Y485" i="30" s="1"/>
  <c r="AC1480" i="1"/>
  <c r="AC485" i="30" s="1"/>
  <c r="AG1480" i="1"/>
  <c r="AG485" i="30" s="1"/>
  <c r="Y1483" i="1"/>
  <c r="Y487" i="30" s="1"/>
  <c r="AC1483" i="1"/>
  <c r="AC487" i="30" s="1"/>
  <c r="AG1483" i="1"/>
  <c r="AG487" i="30" s="1"/>
  <c r="AC1505" i="1"/>
  <c r="AL615" i="30"/>
  <c r="AL787" i="30"/>
  <c r="Z824" i="1"/>
  <c r="Z305" i="30" s="1"/>
  <c r="Z825" i="1"/>
  <c r="Z306" i="30" s="1"/>
  <c r="AD825" i="1"/>
  <c r="AD306" i="30" s="1"/>
  <c r="AH825" i="1"/>
  <c r="AH306" i="30" s="1"/>
  <c r="AC845" i="1"/>
  <c r="AC325" i="30" s="1"/>
  <c r="AG845" i="1"/>
  <c r="AG325" i="30" s="1"/>
  <c r="AE862" i="1"/>
  <c r="AI862" i="1"/>
  <c r="AK1195" i="1"/>
  <c r="AK417" i="30" s="1"/>
  <c r="AL23" i="30"/>
  <c r="AL32" i="30"/>
  <c r="AL51" i="30"/>
  <c r="AJ145" i="1"/>
  <c r="AL55" i="30"/>
  <c r="AL70" i="30"/>
  <c r="AB281" i="1"/>
  <c r="AB150" i="30" s="1"/>
  <c r="AF281" i="1"/>
  <c r="AF150" i="30" s="1"/>
  <c r="AL245" i="30"/>
  <c r="X720" i="1"/>
  <c r="AB720" i="1"/>
  <c r="AF720" i="1"/>
  <c r="AL292" i="30"/>
  <c r="W824" i="1"/>
  <c r="W305" i="30" s="1"/>
  <c r="AA824" i="1"/>
  <c r="AA305" i="30" s="1"/>
  <c r="AE824" i="1"/>
  <c r="AE305" i="30" s="1"/>
  <c r="AI824" i="1"/>
  <c r="AI305" i="30" s="1"/>
  <c r="W825" i="1"/>
  <c r="W306" i="30" s="1"/>
  <c r="AA825" i="1"/>
  <c r="AA306" i="30" s="1"/>
  <c r="AE825" i="1"/>
  <c r="AE306" i="30" s="1"/>
  <c r="AI825" i="1"/>
  <c r="AI306" i="30" s="1"/>
  <c r="Z845" i="1"/>
  <c r="Z325" i="30" s="1"/>
  <c r="AD845" i="1"/>
  <c r="AD325" i="30" s="1"/>
  <c r="AH845" i="1"/>
  <c r="AH325" i="30" s="1"/>
  <c r="AC846" i="1"/>
  <c r="AC326" i="30" s="1"/>
  <c r="AG846" i="1"/>
  <c r="AG326" i="30" s="1"/>
  <c r="AF862" i="1"/>
  <c r="AJ862" i="1"/>
  <c r="AJ950" i="1" s="1"/>
  <c r="AK1190" i="1"/>
  <c r="AK414" i="30" s="1"/>
  <c r="AK1196" i="1"/>
  <c r="AK418" i="30" s="1"/>
  <c r="AB1358" i="1"/>
  <c r="AB437" i="30" s="1"/>
  <c r="AF1358" i="1"/>
  <c r="AF437" i="30" s="1"/>
  <c r="AJ1358" i="1"/>
  <c r="U1458" i="1"/>
  <c r="U468" i="30" s="1"/>
  <c r="Z1458" i="1"/>
  <c r="Z468" i="30" s="1"/>
  <c r="AD1458" i="1"/>
  <c r="AD468" i="30" s="1"/>
  <c r="AH1458" i="1"/>
  <c r="AA1469" i="1"/>
  <c r="AE1469" i="1"/>
  <c r="AI1469" i="1"/>
  <c r="AA1478" i="1"/>
  <c r="AA483" i="30" s="1"/>
  <c r="AE1478" i="1"/>
  <c r="AE483" i="30" s="1"/>
  <c r="AI1478" i="1"/>
  <c r="AI483" i="30" s="1"/>
  <c r="AA1480" i="1"/>
  <c r="AA485" i="30" s="1"/>
  <c r="AE1480" i="1"/>
  <c r="AE485" i="30" s="1"/>
  <c r="AI1480" i="1"/>
  <c r="AI485" i="30" s="1"/>
  <c r="AA1483" i="1"/>
  <c r="AA487" i="30" s="1"/>
  <c r="AE1483" i="1"/>
  <c r="AE487" i="30" s="1"/>
  <c r="AI1483" i="1"/>
  <c r="AI487" i="30" s="1"/>
  <c r="AA1505" i="1"/>
  <c r="AA1347" i="1" s="1"/>
  <c r="AA426" i="30" s="1"/>
  <c r="AE1505" i="1"/>
  <c r="AE1347" i="1" s="1"/>
  <c r="AE426" i="30" s="1"/>
  <c r="AI1505" i="1"/>
  <c r="AL528" i="30"/>
  <c r="AG1573" i="1"/>
  <c r="AG541" i="30" s="1"/>
  <c r="AL542" i="30"/>
  <c r="AL551" i="30"/>
  <c r="AL552" i="30"/>
  <c r="AL577" i="30"/>
  <c r="AB1697" i="1"/>
  <c r="AB580" i="30" s="1"/>
  <c r="AF1697" i="1"/>
  <c r="AF580" i="30" s="1"/>
  <c r="AJ1697" i="1"/>
  <c r="AJ580" i="30" s="1"/>
  <c r="AL583" i="30"/>
  <c r="AL584" i="30"/>
  <c r="AC2217" i="1"/>
  <c r="AG2217" i="1"/>
  <c r="AC2230" i="1"/>
  <c r="AC704" i="30" s="1"/>
  <c r="AG2230" i="1"/>
  <c r="AG704" i="30" s="1"/>
  <c r="AL704" i="30"/>
  <c r="AL712" i="30"/>
  <c r="Z2260" i="1"/>
  <c r="Z713" i="30" s="1"/>
  <c r="AD2260" i="1"/>
  <c r="AD713" i="30" s="1"/>
  <c r="AH2260" i="1"/>
  <c r="AH713" i="30" s="1"/>
  <c r="X2287" i="1"/>
  <c r="X732" i="30" s="1"/>
  <c r="AB2287" i="1"/>
  <c r="AB732" i="30" s="1"/>
  <c r="AF2287" i="1"/>
  <c r="AF732" i="30" s="1"/>
  <c r="AJ2287" i="1"/>
  <c r="AL743" i="30"/>
  <c r="AJ2452" i="1"/>
  <c r="AJ2435" i="1"/>
  <c r="X2471" i="1"/>
  <c r="X776" i="30" s="1"/>
  <c r="AB2471" i="1"/>
  <c r="AB776" i="30" s="1"/>
  <c r="AF2471" i="1"/>
  <c r="AF776" i="30" s="1"/>
  <c r="AJ2471" i="1"/>
  <c r="AJ776" i="30" s="1"/>
  <c r="AL786" i="30"/>
  <c r="AC1895" i="1"/>
  <c r="AC617" i="30" s="1"/>
  <c r="AG1895" i="1"/>
  <c r="AG617" i="30" s="1"/>
  <c r="AD2217" i="1"/>
  <c r="AH2217" i="1"/>
  <c r="AD2230" i="1"/>
  <c r="AD704" i="30" s="1"/>
  <c r="AH2230" i="1"/>
  <c r="AH704" i="30" s="1"/>
  <c r="AA2260" i="1"/>
  <c r="AA713" i="30" s="1"/>
  <c r="AE2260" i="1"/>
  <c r="AE713" i="30" s="1"/>
  <c r="AI2260" i="1"/>
  <c r="AI713" i="30" s="1"/>
  <c r="Y2287" i="1"/>
  <c r="Y732" i="30" s="1"/>
  <c r="AC2287" i="1"/>
  <c r="AC732" i="30" s="1"/>
  <c r="AG2287" i="1"/>
  <c r="AG732" i="30" s="1"/>
  <c r="Y2473" i="1"/>
  <c r="Y778" i="30" s="1"/>
  <c r="AC2473" i="1"/>
  <c r="AC778" i="30" s="1"/>
  <c r="AG2473" i="1"/>
  <c r="AG778" i="30" s="1"/>
  <c r="I793" i="30"/>
  <c r="F21" i="15" l="1"/>
  <c r="I21" i="15"/>
  <c r="H21" i="15"/>
  <c r="J21" i="15"/>
  <c r="E21" i="15"/>
  <c r="J34" i="15"/>
  <c r="E34" i="15"/>
  <c r="F34" i="15"/>
  <c r="I34" i="15"/>
  <c r="H34" i="15"/>
  <c r="F22" i="15"/>
  <c r="H22" i="15"/>
  <c r="I22" i="15"/>
  <c r="J22" i="15"/>
  <c r="E22" i="15"/>
  <c r="BD5" i="30"/>
  <c r="J33" i="15"/>
  <c r="I33" i="15"/>
  <c r="H33" i="15"/>
  <c r="F33" i="15"/>
  <c r="E33" i="15"/>
  <c r="F47" i="15"/>
  <c r="E47" i="15"/>
  <c r="J47" i="15"/>
  <c r="I47" i="15"/>
  <c r="H47" i="15"/>
  <c r="F70" i="15"/>
  <c r="H69" i="15"/>
  <c r="J70" i="15"/>
  <c r="E69" i="15"/>
  <c r="I70" i="15"/>
  <c r="J69" i="15"/>
  <c r="F69" i="15"/>
  <c r="H70" i="15"/>
  <c r="E70" i="15"/>
  <c r="I69" i="15"/>
  <c r="BD278" i="30"/>
  <c r="BD275" i="30"/>
  <c r="BC278" i="30"/>
  <c r="BC275" i="30"/>
  <c r="BB278" i="30"/>
  <c r="BB275" i="30"/>
  <c r="AJ909" i="1"/>
  <c r="AD2250" i="1"/>
  <c r="AD2246" i="1"/>
  <c r="AD2240" i="1"/>
  <c r="AB2246" i="1"/>
  <c r="AB2240" i="1"/>
  <c r="AG2250" i="1"/>
  <c r="AG2246" i="1"/>
  <c r="AG2240" i="1"/>
  <c r="AF2246" i="1"/>
  <c r="AF2240" i="1"/>
  <c r="AH2246" i="1"/>
  <c r="AH2240" i="1"/>
  <c r="AC2250" i="1"/>
  <c r="AC2246" i="1"/>
  <c r="AC2240" i="1"/>
  <c r="AE2240" i="1"/>
  <c r="AE2246" i="1"/>
  <c r="AB2238" i="1"/>
  <c r="AB2250" i="1"/>
  <c r="AF2219" i="1"/>
  <c r="AF691" i="30" s="1"/>
  <c r="AF2250" i="1"/>
  <c r="AH2238" i="1"/>
  <c r="AH2250" i="1"/>
  <c r="AE689" i="30"/>
  <c r="AE2250" i="1"/>
  <c r="AJ1216" i="1"/>
  <c r="AK1216" i="1"/>
  <c r="AF868" i="1"/>
  <c r="AF346" i="30" s="1"/>
  <c r="AF950" i="1"/>
  <c r="AF354" i="30" s="1"/>
  <c r="AI868" i="1"/>
  <c r="AI346" i="30" s="1"/>
  <c r="AI950" i="1"/>
  <c r="AI354" i="30" s="1"/>
  <c r="AE868" i="1"/>
  <c r="AE346" i="30" s="1"/>
  <c r="AE950" i="1"/>
  <c r="AE354" i="30" s="1"/>
  <c r="AH868" i="1"/>
  <c r="AH346" i="30" s="1"/>
  <c r="AH950" i="1"/>
  <c r="AH354" i="30" s="1"/>
  <c r="AG868" i="1"/>
  <c r="AG346" i="30" s="1"/>
  <c r="AG950" i="1"/>
  <c r="AG354" i="30" s="1"/>
  <c r="AI1015" i="1"/>
  <c r="AJ866" i="1"/>
  <c r="AJ344" i="30" s="1"/>
  <c r="AJ868" i="1"/>
  <c r="AJ346" i="30" s="1"/>
  <c r="AF1062" i="1"/>
  <c r="AF866" i="1"/>
  <c r="AF344" i="30" s="1"/>
  <c r="AI1062" i="1"/>
  <c r="AI866" i="1"/>
  <c r="AI344" i="30" s="1"/>
  <c r="AE1062" i="1"/>
  <c r="AE866" i="1"/>
  <c r="AE344" i="30" s="1"/>
  <c r="AH1062" i="1"/>
  <c r="AH866" i="1"/>
  <c r="AH344" i="30" s="1"/>
  <c r="AG1062" i="1"/>
  <c r="AG866" i="1"/>
  <c r="AG344" i="30" s="1"/>
  <c r="F59" i="15"/>
  <c r="E59" i="15"/>
  <c r="J59" i="15"/>
  <c r="H59" i="15"/>
  <c r="I59" i="15"/>
  <c r="AJ342" i="30"/>
  <c r="AJ1062" i="1"/>
  <c r="AG719" i="1"/>
  <c r="AG254" i="30" s="1"/>
  <c r="AG693" i="1"/>
  <c r="AG240" i="30" s="1"/>
  <c r="AE688" i="1"/>
  <c r="AE693" i="1"/>
  <c r="AE240" i="30" s="1"/>
  <c r="AF719" i="1"/>
  <c r="AF254" i="30" s="1"/>
  <c r="AF693" i="1"/>
  <c r="AF240" i="30" s="1"/>
  <c r="J71" i="15"/>
  <c r="K71" i="15" s="1"/>
  <c r="J66" i="15"/>
  <c r="J61" i="15"/>
  <c r="J57" i="15"/>
  <c r="J53" i="15"/>
  <c r="J45" i="15"/>
  <c r="J40" i="15"/>
  <c r="J36" i="15"/>
  <c r="J24" i="15"/>
  <c r="J65" i="15"/>
  <c r="J60" i="15"/>
  <c r="J56" i="15"/>
  <c r="J50" i="15"/>
  <c r="J44" i="15"/>
  <c r="J39" i="15"/>
  <c r="J32" i="15"/>
  <c r="J28" i="15"/>
  <c r="J20" i="15"/>
  <c r="J16" i="15"/>
  <c r="J68" i="15"/>
  <c r="J64" i="15"/>
  <c r="J55" i="15"/>
  <c r="J49" i="15"/>
  <c r="J43" i="15"/>
  <c r="J38" i="15"/>
  <c r="J31" i="15"/>
  <c r="J27" i="15"/>
  <c r="J19" i="15"/>
  <c r="J10" i="15"/>
  <c r="J67" i="15"/>
  <c r="J62" i="15"/>
  <c r="J58" i="15"/>
  <c r="J54" i="15"/>
  <c r="J46" i="15"/>
  <c r="J41" i="15"/>
  <c r="J37" i="15"/>
  <c r="J30" i="15"/>
  <c r="J26" i="15"/>
  <c r="J18" i="15"/>
  <c r="J29" i="15"/>
  <c r="J17" i="15"/>
  <c r="AI700" i="1"/>
  <c r="AJ2442" i="1"/>
  <c r="BD146" i="30"/>
  <c r="BD592" i="30"/>
  <c r="BD596" i="30"/>
  <c r="AJ1214" i="1"/>
  <c r="AJ428" i="30" s="1"/>
  <c r="AH342" i="30"/>
  <c r="AH1214" i="1"/>
  <c r="AE342" i="30"/>
  <c r="AE1214" i="1"/>
  <c r="AF342" i="30"/>
  <c r="AF1214" i="1"/>
  <c r="AJ429" i="30"/>
  <c r="AI342" i="30"/>
  <c r="AI1214" i="1"/>
  <c r="AG342" i="30"/>
  <c r="AG1214" i="1"/>
  <c r="AF903" i="1"/>
  <c r="AH903" i="1"/>
  <c r="AG903" i="1"/>
  <c r="AJ903" i="1"/>
  <c r="AE903" i="1"/>
  <c r="AI903" i="1"/>
  <c r="BD259" i="30"/>
  <c r="BD153" i="30"/>
  <c r="BD28" i="30"/>
  <c r="BD435" i="30"/>
  <c r="BD555" i="30"/>
  <c r="BD783" i="30"/>
  <c r="AH355" i="30"/>
  <c r="AG355" i="30"/>
  <c r="AJ354" i="30"/>
  <c r="AJ355" i="30"/>
  <c r="AI355" i="30"/>
  <c r="AF355" i="30"/>
  <c r="AE355" i="30"/>
  <c r="BD17" i="30"/>
  <c r="BD689" i="30"/>
  <c r="BD682" i="30"/>
  <c r="BD589" i="30"/>
  <c r="BD11" i="30"/>
  <c r="BD205" i="30"/>
  <c r="BD46" i="30"/>
  <c r="BD263" i="30"/>
  <c r="BD207" i="30"/>
  <c r="BD292" i="30"/>
  <c r="J14" i="15"/>
  <c r="J11" i="15"/>
  <c r="J13" i="15"/>
  <c r="BD473" i="30"/>
  <c r="BD47" i="30"/>
  <c r="J12" i="15"/>
  <c r="BB24" i="30"/>
  <c r="BB9" i="30"/>
  <c r="BB23" i="30"/>
  <c r="BB21" i="30"/>
  <c r="BB18" i="30"/>
  <c r="BB7" i="30"/>
  <c r="BB27" i="30"/>
  <c r="BB6" i="30"/>
  <c r="BB29" i="30"/>
  <c r="BB22" i="30"/>
  <c r="BB25" i="30"/>
  <c r="BB30" i="30"/>
  <c r="BB17" i="30"/>
  <c r="BB13" i="30"/>
  <c r="BB20" i="30"/>
  <c r="BB11" i="30"/>
  <c r="BB32" i="30"/>
  <c r="BB33" i="30"/>
  <c r="BB8" i="30"/>
  <c r="BB15" i="30"/>
  <c r="BB28" i="30"/>
  <c r="BB16" i="30"/>
  <c r="BB10" i="30"/>
  <c r="BB12" i="30"/>
  <c r="E50" i="15"/>
  <c r="E46" i="15"/>
  <c r="E49" i="15"/>
  <c r="BB435" i="30"/>
  <c r="E44" i="15"/>
  <c r="E45" i="15"/>
  <c r="E41" i="15"/>
  <c r="E39" i="15"/>
  <c r="E43" i="15"/>
  <c r="E40" i="15"/>
  <c r="BB555" i="30"/>
  <c r="E38" i="15"/>
  <c r="BB783" i="30"/>
  <c r="E37" i="15"/>
  <c r="E36" i="15"/>
  <c r="E32" i="15"/>
  <c r="E31" i="15"/>
  <c r="E30" i="15"/>
  <c r="E29" i="15"/>
  <c r="E18" i="15"/>
  <c r="BB682" i="30"/>
  <c r="E28" i="15"/>
  <c r="BB5" i="30"/>
  <c r="E27" i="15"/>
  <c r="E26" i="15"/>
  <c r="E24" i="15"/>
  <c r="E20" i="15"/>
  <c r="E19" i="15"/>
  <c r="E17" i="15"/>
  <c r="E16" i="15"/>
  <c r="E14" i="15"/>
  <c r="E13" i="15"/>
  <c r="E12" i="15"/>
  <c r="E11" i="15"/>
  <c r="E10" i="15"/>
  <c r="E53" i="15"/>
  <c r="BB589" i="30"/>
  <c r="BB670" i="30"/>
  <c r="BB205" i="30"/>
  <c r="BB46" i="30"/>
  <c r="BB263" i="30"/>
  <c r="BB292" i="30"/>
  <c r="BB207" i="30"/>
  <c r="BB473" i="30"/>
  <c r="BB47" i="30"/>
  <c r="E68" i="15"/>
  <c r="E66" i="15"/>
  <c r="E65" i="15"/>
  <c r="E67" i="15"/>
  <c r="E64" i="15"/>
  <c r="BB146" i="30"/>
  <c r="E54" i="15"/>
  <c r="E56" i="15"/>
  <c r="AI688" i="1"/>
  <c r="E55" i="15"/>
  <c r="E57" i="15"/>
  <c r="BB259" i="30"/>
  <c r="E58" i="15"/>
  <c r="E60" i="15"/>
  <c r="BB260" i="30"/>
  <c r="BB596" i="30"/>
  <c r="E61" i="15"/>
  <c r="E62" i="15"/>
  <c r="AI719" i="1"/>
  <c r="AI254" i="30" s="1"/>
  <c r="AI711" i="1"/>
  <c r="AI248" i="30" s="1"/>
  <c r="BB592" i="30"/>
  <c r="BC592" i="30"/>
  <c r="BB4" i="30"/>
  <c r="BD4" i="30"/>
  <c r="BC4" i="30"/>
  <c r="AH1015" i="1"/>
  <c r="AF380" i="30"/>
  <c r="AG1015" i="1"/>
  <c r="AF379" i="30"/>
  <c r="AF1014" i="1"/>
  <c r="AF1015" i="1" s="1"/>
  <c r="AE1015" i="1"/>
  <c r="AJ1014" i="1"/>
  <c r="AJ1015" i="1" s="1"/>
  <c r="AJ378" i="30" s="1"/>
  <c r="AJ379" i="30"/>
  <c r="AE1017" i="1"/>
  <c r="AE1019" i="1" s="1"/>
  <c r="AE379" i="30"/>
  <c r="AH1017" i="1"/>
  <c r="AH1019" i="1" s="1"/>
  <c r="AH379" i="30"/>
  <c r="AI1017" i="1"/>
  <c r="AI1019" i="1" s="1"/>
  <c r="AI379" i="30"/>
  <c r="AG1017" i="1"/>
  <c r="AG1019" i="1" s="1"/>
  <c r="AG379" i="30"/>
  <c r="BB343" i="30"/>
  <c r="BB371" i="30"/>
  <c r="BC343" i="30"/>
  <c r="BC371" i="30"/>
  <c r="BD343" i="30"/>
  <c r="BD371" i="30"/>
  <c r="AK431" i="30"/>
  <c r="D396" i="61" s="1"/>
  <c r="AL736" i="30"/>
  <c r="AL345" i="30"/>
  <c r="AJ1023" i="1"/>
  <c r="BC736" i="30"/>
  <c r="BC345" i="30"/>
  <c r="BB736" i="30"/>
  <c r="BB345" i="30"/>
  <c r="BD736" i="30"/>
  <c r="BD345" i="30"/>
  <c r="AL164" i="30"/>
  <c r="AJ1017" i="1"/>
  <c r="AJ1019" i="1" s="1"/>
  <c r="AE711" i="1"/>
  <c r="AE248" i="30" s="1"/>
  <c r="AF700" i="1"/>
  <c r="AF711" i="1"/>
  <c r="AF248" i="30" s="1"/>
  <c r="D64" i="15"/>
  <c r="D12" i="15"/>
  <c r="D58" i="15"/>
  <c r="D31" i="15"/>
  <c r="D61" i="15"/>
  <c r="D38" i="15"/>
  <c r="D66" i="15"/>
  <c r="D28" i="15"/>
  <c r="D50" i="15"/>
  <c r="D36" i="15"/>
  <c r="D37" i="15"/>
  <c r="D41" i="15"/>
  <c r="D29" i="15"/>
  <c r="D17" i="15"/>
  <c r="D46" i="15"/>
  <c r="D24" i="15"/>
  <c r="D54" i="15"/>
  <c r="D16" i="15"/>
  <c r="D39" i="15"/>
  <c r="D60" i="15"/>
  <c r="D49" i="15"/>
  <c r="D53" i="15"/>
  <c r="D57" i="15"/>
  <c r="D43" i="15"/>
  <c r="D26" i="15"/>
  <c r="D55" i="15"/>
  <c r="D68" i="15"/>
  <c r="D30" i="15"/>
  <c r="D59" i="15"/>
  <c r="D20" i="15"/>
  <c r="D44" i="15"/>
  <c r="I26" i="15"/>
  <c r="F68" i="15"/>
  <c r="AE719" i="1"/>
  <c r="AE254" i="30" s="1"/>
  <c r="AE707" i="1"/>
  <c r="AE246" i="30" s="1"/>
  <c r="AF688" i="1"/>
  <c r="AE700" i="1"/>
  <c r="AF707" i="1"/>
  <c r="AF246" i="30" s="1"/>
  <c r="AB2242" i="1"/>
  <c r="AE2242" i="1"/>
  <c r="AL299" i="30"/>
  <c r="AF2218" i="1"/>
  <c r="AF690" i="30" s="1"/>
  <c r="AF2242" i="1"/>
  <c r="AJ475" i="30"/>
  <c r="AL713" i="30"/>
  <c r="AL525" i="30"/>
  <c r="AG707" i="1"/>
  <c r="AG246" i="30" s="1"/>
  <c r="AE2238" i="1"/>
  <c r="AE2219" i="1"/>
  <c r="AE691" i="30" s="1"/>
  <c r="AJ1471" i="1"/>
  <c r="AJ477" i="30" s="1"/>
  <c r="AJ1346" i="1"/>
  <c r="AL425" i="30" s="1"/>
  <c r="AE2223" i="1"/>
  <c r="AE695" i="30" s="1"/>
  <c r="AL618" i="30"/>
  <c r="AJ1522" i="1"/>
  <c r="AJ500" i="30" s="1"/>
  <c r="AJ1472" i="1"/>
  <c r="AJ478" i="30" s="1"/>
  <c r="AL295" i="30"/>
  <c r="AL475" i="30"/>
  <c r="AL305" i="30"/>
  <c r="AB2218" i="1"/>
  <c r="AB690" i="30" s="1"/>
  <c r="AE2218" i="1"/>
  <c r="AE690" i="30" s="1"/>
  <c r="AJ1474" i="1"/>
  <c r="AJ480" i="30" s="1"/>
  <c r="AF2238" i="1"/>
  <c r="AF2223" i="1"/>
  <c r="AF695" i="30" s="1"/>
  <c r="AF689" i="30"/>
  <c r="AG700" i="1"/>
  <c r="AG711" i="1"/>
  <c r="AG248" i="30" s="1"/>
  <c r="AG688" i="1"/>
  <c r="AL306" i="30"/>
  <c r="AL487" i="30"/>
  <c r="AB689" i="30"/>
  <c r="AB2219" i="1"/>
  <c r="AB691" i="30" s="1"/>
  <c r="AB2223" i="1"/>
  <c r="AB695" i="30" s="1"/>
  <c r="AC495" i="30"/>
  <c r="AC1508" i="1"/>
  <c r="AC498" i="30" s="1"/>
  <c r="AG475" i="30"/>
  <c r="AG1474" i="1"/>
  <c r="AG480" i="30" s="1"/>
  <c r="AG1472" i="1"/>
  <c r="AG478" i="30" s="1"/>
  <c r="AG1522" i="1"/>
  <c r="AG1470" i="1" s="1"/>
  <c r="AG476" i="30" s="1"/>
  <c r="AG1486" i="1"/>
  <c r="AG490" i="30" s="1"/>
  <c r="AG1471" i="1"/>
  <c r="AG477" i="30" s="1"/>
  <c r="AC1347" i="1"/>
  <c r="AC426" i="30" s="1"/>
  <c r="AE495" i="30"/>
  <c r="AE1508" i="1"/>
  <c r="AE498" i="30" s="1"/>
  <c r="AE475" i="30"/>
  <c r="AE1522" i="1"/>
  <c r="AE1506" i="1" s="1"/>
  <c r="AE496" i="30" s="1"/>
  <c r="AE1486" i="1"/>
  <c r="AE490" i="30" s="1"/>
  <c r="AE1471" i="1"/>
  <c r="AE477" i="30" s="1"/>
  <c r="AE1474" i="1"/>
  <c r="AE480" i="30" s="1"/>
  <c r="AE1346" i="1"/>
  <c r="AE425" i="30" s="1"/>
  <c r="AE1472" i="1"/>
  <c r="AE478" i="30" s="1"/>
  <c r="AH475" i="30"/>
  <c r="AH1522" i="1"/>
  <c r="AH1506" i="1" s="1"/>
  <c r="AH496" i="30" s="1"/>
  <c r="AH1486" i="1"/>
  <c r="AH490" i="30" s="1"/>
  <c r="AH1471" i="1"/>
  <c r="AH477" i="30" s="1"/>
  <c r="AH1472" i="1"/>
  <c r="AH478" i="30" s="1"/>
  <c r="AH1474" i="1"/>
  <c r="AH480" i="30" s="1"/>
  <c r="AH1346" i="1"/>
  <c r="AH425" i="30" s="1"/>
  <c r="AF475" i="30"/>
  <c r="AF1474" i="1"/>
  <c r="AF480" i="30" s="1"/>
  <c r="AF1472" i="1"/>
  <c r="AF478" i="30" s="1"/>
  <c r="AF1522" i="1"/>
  <c r="AF1470" i="1" s="1"/>
  <c r="AF476" i="30" s="1"/>
  <c r="AF1471" i="1"/>
  <c r="AF477" i="30" s="1"/>
  <c r="AF1486" i="1"/>
  <c r="AF490" i="30" s="1"/>
  <c r="AD689" i="30"/>
  <c r="AD2242" i="1"/>
  <c r="AD2223" i="1"/>
  <c r="AD695" i="30" s="1"/>
  <c r="AD2219" i="1"/>
  <c r="AD691" i="30" s="1"/>
  <c r="AD2218" i="1"/>
  <c r="AD690" i="30" s="1"/>
  <c r="AG689" i="30"/>
  <c r="AG2218" i="1"/>
  <c r="AG690" i="30" s="1"/>
  <c r="AG2242" i="1"/>
  <c r="AG2238" i="1"/>
  <c r="AG2223" i="1"/>
  <c r="AG695" i="30" s="1"/>
  <c r="AG2219" i="1"/>
  <c r="AG691" i="30" s="1"/>
  <c r="Y495" i="30"/>
  <c r="Y1508" i="1"/>
  <c r="Y498" i="30" s="1"/>
  <c r="AH688" i="1"/>
  <c r="AH711" i="1"/>
  <c r="AH248" i="30" s="1"/>
  <c r="AH700" i="1"/>
  <c r="AH707" i="1"/>
  <c r="AH246" i="30" s="1"/>
  <c r="AD711" i="1"/>
  <c r="AD248" i="30" s="1"/>
  <c r="AD688" i="1"/>
  <c r="AD707" i="1"/>
  <c r="AD700" i="1"/>
  <c r="AI147" i="30"/>
  <c r="AL147" i="30"/>
  <c r="AJ159" i="30"/>
  <c r="AL159" i="30"/>
  <c r="AJ759" i="30"/>
  <c r="AL759" i="30"/>
  <c r="AJ2457" i="1"/>
  <c r="AJ530" i="1"/>
  <c r="AC689" i="30"/>
  <c r="AC2218" i="1"/>
  <c r="AC690" i="30" s="1"/>
  <c r="AC2242" i="1"/>
  <c r="AC2238" i="1"/>
  <c r="AC2223" i="1"/>
  <c r="AC695" i="30" s="1"/>
  <c r="AC2219" i="1"/>
  <c r="AC691" i="30" s="1"/>
  <c r="AH495" i="30"/>
  <c r="AH1508" i="1"/>
  <c r="AH498" i="30" s="1"/>
  <c r="AL495" i="30"/>
  <c r="AJ304" i="30"/>
  <c r="AL304" i="30"/>
  <c r="AA495" i="30"/>
  <c r="AA1508" i="1"/>
  <c r="AA498" i="30" s="1"/>
  <c r="AA475" i="30"/>
  <c r="AA1522" i="1"/>
  <c r="AA1470" i="1" s="1"/>
  <c r="AA476" i="30" s="1"/>
  <c r="AA1486" i="1"/>
  <c r="AA490" i="30" s="1"/>
  <c r="AA1471" i="1"/>
  <c r="AA477" i="30" s="1"/>
  <c r="AA1474" i="1"/>
  <c r="AA480" i="30" s="1"/>
  <c r="AA1346" i="1"/>
  <c r="AA425" i="30" s="1"/>
  <c r="AA1472" i="1"/>
  <c r="AA478" i="30" s="1"/>
  <c r="AG1346" i="1"/>
  <c r="AG425" i="30" s="1"/>
  <c r="AD2238" i="1"/>
  <c r="AD475" i="30"/>
  <c r="AD1522" i="1"/>
  <c r="AD1506" i="1" s="1"/>
  <c r="AD496" i="30" s="1"/>
  <c r="AD1486" i="1"/>
  <c r="AD490" i="30" s="1"/>
  <c r="AD1471" i="1"/>
  <c r="AD477" i="30" s="1"/>
  <c r="AD1472" i="1"/>
  <c r="AD478" i="30" s="1"/>
  <c r="AD1474" i="1"/>
  <c r="AD480" i="30" s="1"/>
  <c r="AD1346" i="1"/>
  <c r="AD425" i="30" s="1"/>
  <c r="AF495" i="30"/>
  <c r="AF1508" i="1"/>
  <c r="AF498" i="30" s="1"/>
  <c r="AF1347" i="1"/>
  <c r="AF426" i="30" s="1"/>
  <c r="AJ616" i="30"/>
  <c r="AL616" i="30"/>
  <c r="AJ485" i="30"/>
  <c r="AL485" i="30"/>
  <c r="AI541" i="30"/>
  <c r="AL541" i="30"/>
  <c r="AI742" i="30"/>
  <c r="AL742" i="30"/>
  <c r="AI495" i="30"/>
  <c r="AI1508" i="1"/>
  <c r="AI498" i="30" s="1"/>
  <c r="AI475" i="30"/>
  <c r="AI1522" i="1"/>
  <c r="AI1506" i="1" s="1"/>
  <c r="AI496" i="30" s="1"/>
  <c r="AI1486" i="1"/>
  <c r="AI490" i="30" s="1"/>
  <c r="AI1471" i="1"/>
  <c r="AI477" i="30" s="1"/>
  <c r="AI1474" i="1"/>
  <c r="AI480" i="30" s="1"/>
  <c r="AI1346" i="1"/>
  <c r="AI425" i="30" s="1"/>
  <c r="AI1472" i="1"/>
  <c r="AI478" i="30" s="1"/>
  <c r="AJ437" i="30"/>
  <c r="AL437" i="30"/>
  <c r="AC475" i="30"/>
  <c r="AC1474" i="1"/>
  <c r="AC480" i="30" s="1"/>
  <c r="AC1472" i="1"/>
  <c r="AC478" i="30" s="1"/>
  <c r="AC1522" i="1"/>
  <c r="AC1470" i="1" s="1"/>
  <c r="AC476" i="30" s="1"/>
  <c r="AC1486" i="1"/>
  <c r="AC490" i="30" s="1"/>
  <c r="AC1471" i="1"/>
  <c r="AC477" i="30" s="1"/>
  <c r="Y1347" i="1"/>
  <c r="Y426" i="30" s="1"/>
  <c r="AJ426" i="30"/>
  <c r="AF1346" i="1"/>
  <c r="AF425" i="30" s="1"/>
  <c r="AI576" i="30"/>
  <c r="AL576" i="30"/>
  <c r="AJ617" i="30"/>
  <c r="AL617" i="30"/>
  <c r="Y475" i="30"/>
  <c r="Y1474" i="1"/>
  <c r="Y480" i="30" s="1"/>
  <c r="Y1472" i="1"/>
  <c r="Y478" i="30" s="1"/>
  <c r="Y1522" i="1"/>
  <c r="Y1486" i="1"/>
  <c r="Y1471" i="1"/>
  <c r="Y477" i="30" s="1"/>
  <c r="AD495" i="30"/>
  <c r="AD1508" i="1"/>
  <c r="AD498" i="30" s="1"/>
  <c r="AL241" i="30"/>
  <c r="AH689" i="30"/>
  <c r="AH2242" i="1"/>
  <c r="AH2223" i="1"/>
  <c r="AH2219" i="1"/>
  <c r="AH2218" i="1"/>
  <c r="AL689" i="30"/>
  <c r="AJ732" i="30"/>
  <c r="AL732" i="30"/>
  <c r="AH468" i="30"/>
  <c r="AL468" i="30"/>
  <c r="AI1347" i="1"/>
  <c r="AI426" i="30" s="1"/>
  <c r="AC1346" i="1"/>
  <c r="AC425" i="30" s="1"/>
  <c r="AJ52" i="30"/>
  <c r="AL52" i="30"/>
  <c r="Z495" i="30"/>
  <c r="Z1508" i="1"/>
  <c r="Z498" i="30" s="1"/>
  <c r="Z475" i="30"/>
  <c r="Z1522" i="1"/>
  <c r="Z1506" i="1" s="1"/>
  <c r="Z496" i="30" s="1"/>
  <c r="Z1486" i="1"/>
  <c r="Z490" i="30" s="1"/>
  <c r="Z1471" i="1"/>
  <c r="Z477" i="30" s="1"/>
  <c r="Z1474" i="1"/>
  <c r="Z480" i="30" s="1"/>
  <c r="Z1346" i="1"/>
  <c r="Z425" i="30" s="1"/>
  <c r="Z1472" i="1"/>
  <c r="Z478" i="30" s="1"/>
  <c r="AG495" i="30"/>
  <c r="AG1508" i="1"/>
  <c r="AG498" i="30" s="1"/>
  <c r="AJ498" i="30"/>
  <c r="AL483" i="30"/>
  <c r="AH719" i="1"/>
  <c r="AH254" i="30" s="1"/>
  <c r="AD719" i="1"/>
  <c r="AD254" i="30" s="1"/>
  <c r="AJ161" i="30"/>
  <c r="AL161" i="30"/>
  <c r="AI150" i="30"/>
  <c r="AL150" i="30"/>
  <c r="AI785" i="30"/>
  <c r="AL785" i="30"/>
  <c r="AJ325" i="30"/>
  <c r="AL325" i="30"/>
  <c r="AL253" i="30"/>
  <c r="AB495" i="30"/>
  <c r="AB1508" i="1"/>
  <c r="AB498" i="30" s="1"/>
  <c r="AB1347" i="1"/>
  <c r="AB426" i="30" s="1"/>
  <c r="AB475" i="30"/>
  <c r="AB1474" i="1"/>
  <c r="AB480" i="30" s="1"/>
  <c r="AB1472" i="1"/>
  <c r="AB478" i="30" s="1"/>
  <c r="AB1486" i="1"/>
  <c r="AB490" i="30" s="1"/>
  <c r="AB1522" i="1"/>
  <c r="AB1470" i="1" s="1"/>
  <c r="AB476" i="30" s="1"/>
  <c r="AB1471" i="1"/>
  <c r="AB477" i="30" s="1"/>
  <c r="AI580" i="30"/>
  <c r="AL580" i="30"/>
  <c r="AI550" i="30"/>
  <c r="AL550" i="30"/>
  <c r="AJ326" i="30"/>
  <c r="AL326" i="30"/>
  <c r="K34" i="15" l="1"/>
  <c r="K59" i="15"/>
  <c r="K33" i="15"/>
  <c r="K70" i="15"/>
  <c r="K47" i="15"/>
  <c r="K21" i="15"/>
  <c r="K69" i="15"/>
  <c r="K22" i="15"/>
  <c r="D9" i="15"/>
  <c r="J63" i="15"/>
  <c r="D63" i="15"/>
  <c r="E63" i="15"/>
  <c r="AJ383" i="30"/>
  <c r="B410" i="61"/>
  <c r="AE238" i="30"/>
  <c r="AD238" i="30"/>
  <c r="AI238" i="30"/>
  <c r="AG238" i="30"/>
  <c r="AF238" i="30"/>
  <c r="AH238" i="30"/>
  <c r="D15" i="15"/>
  <c r="E15" i="15"/>
  <c r="J15" i="15"/>
  <c r="AF241" i="30"/>
  <c r="AF704" i="1"/>
  <c r="AF244" i="30" s="1"/>
  <c r="AH241" i="30"/>
  <c r="AH704" i="1"/>
  <c r="AH244" i="30" s="1"/>
  <c r="AE241" i="30"/>
  <c r="AE704" i="1"/>
  <c r="AE244" i="30" s="1"/>
  <c r="AD241" i="30"/>
  <c r="AD704" i="1"/>
  <c r="AD244" i="30" s="1"/>
  <c r="AG241" i="30"/>
  <c r="AG704" i="1"/>
  <c r="AG244" i="30" s="1"/>
  <c r="AI241" i="30"/>
  <c r="AI704" i="1"/>
  <c r="AI244" i="30" s="1"/>
  <c r="J52" i="15"/>
  <c r="J9" i="15"/>
  <c r="J48" i="15"/>
  <c r="J35" i="15"/>
  <c r="J42" i="15"/>
  <c r="J23" i="15"/>
  <c r="AJ781" i="30"/>
  <c r="AJ2443" i="1"/>
  <c r="D52" i="15"/>
  <c r="E52" i="15"/>
  <c r="AJ380" i="30"/>
  <c r="AI380" i="30"/>
  <c r="AE380" i="30"/>
  <c r="AG380" i="30"/>
  <c r="AH380" i="30"/>
  <c r="AJ425" i="30"/>
  <c r="AJ1506" i="1"/>
  <c r="AJ496" i="30" s="1"/>
  <c r="AJ1534" i="1"/>
  <c r="AJ512" i="30" s="1"/>
  <c r="AJ1540" i="1"/>
  <c r="AJ518" i="30" s="1"/>
  <c r="AJ1524" i="1"/>
  <c r="AJ502" i="30" s="1"/>
  <c r="AJ1470" i="1"/>
  <c r="AJ476" i="30" s="1"/>
  <c r="AJ1523" i="1"/>
  <c r="AJ501" i="30" s="1"/>
  <c r="H10" i="15"/>
  <c r="H58" i="15"/>
  <c r="H66" i="15"/>
  <c r="I37" i="15"/>
  <c r="I67" i="15"/>
  <c r="H36" i="15"/>
  <c r="I65" i="15"/>
  <c r="F60" i="15"/>
  <c r="I14" i="15"/>
  <c r="I10" i="15"/>
  <c r="F41" i="15"/>
  <c r="F46" i="15"/>
  <c r="H11" i="15"/>
  <c r="D35" i="15"/>
  <c r="H65" i="15"/>
  <c r="K65" i="15" s="1"/>
  <c r="I11" i="15"/>
  <c r="I53" i="15"/>
  <c r="H41" i="15"/>
  <c r="I17" i="15"/>
  <c r="I20" i="15"/>
  <c r="H49" i="15"/>
  <c r="H27" i="15"/>
  <c r="H64" i="15"/>
  <c r="F49" i="15"/>
  <c r="H12" i="15"/>
  <c r="F24" i="15"/>
  <c r="H38" i="15"/>
  <c r="I27" i="15"/>
  <c r="H26" i="15"/>
  <c r="K26" i="15" s="1"/>
  <c r="D42" i="15"/>
  <c r="H30" i="15"/>
  <c r="H43" i="15"/>
  <c r="I24" i="15"/>
  <c r="F50" i="15"/>
  <c r="I54" i="15"/>
  <c r="I61" i="15"/>
  <c r="I29" i="15"/>
  <c r="H45" i="15"/>
  <c r="H50" i="15"/>
  <c r="I58" i="15"/>
  <c r="F64" i="15"/>
  <c r="H40" i="15"/>
  <c r="I46" i="15"/>
  <c r="I56" i="15"/>
  <c r="H29" i="15"/>
  <c r="F14" i="15"/>
  <c r="I55" i="15"/>
  <c r="I19" i="15"/>
  <c r="F12" i="15"/>
  <c r="H44" i="15"/>
  <c r="H68" i="15"/>
  <c r="I30" i="15"/>
  <c r="H61" i="15"/>
  <c r="I60" i="15"/>
  <c r="I41" i="15"/>
  <c r="D48" i="15"/>
  <c r="I28" i="15"/>
  <c r="F58" i="15"/>
  <c r="F67" i="15"/>
  <c r="F10" i="15"/>
  <c r="F53" i="15"/>
  <c r="F17" i="15"/>
  <c r="AE1470" i="1"/>
  <c r="AE476" i="30" s="1"/>
  <c r="F27" i="15"/>
  <c r="F56" i="15"/>
  <c r="F26" i="15"/>
  <c r="F65" i="15"/>
  <c r="F36" i="15"/>
  <c r="D23" i="15"/>
  <c r="H57" i="15"/>
  <c r="H19" i="15"/>
  <c r="H37" i="15"/>
  <c r="K37" i="15" s="1"/>
  <c r="I64" i="15"/>
  <c r="H55" i="15"/>
  <c r="F11" i="15"/>
  <c r="F28" i="15"/>
  <c r="F55" i="15"/>
  <c r="I45" i="15"/>
  <c r="I32" i="15"/>
  <c r="H60" i="15"/>
  <c r="F66" i="15"/>
  <c r="F57" i="15"/>
  <c r="F31" i="15"/>
  <c r="H31" i="15"/>
  <c r="H24" i="15"/>
  <c r="K24" i="15" s="1"/>
  <c r="I62" i="15"/>
  <c r="H28" i="15"/>
  <c r="H17" i="15"/>
  <c r="H54" i="15"/>
  <c r="H16" i="15"/>
  <c r="H18" i="15"/>
  <c r="I50" i="15"/>
  <c r="I38" i="15"/>
  <c r="H32" i="15"/>
  <c r="I39" i="15"/>
  <c r="I13" i="15"/>
  <c r="F39" i="15"/>
  <c r="F37" i="15"/>
  <c r="I16" i="15"/>
  <c r="H20" i="15"/>
  <c r="K20" i="15" s="1"/>
  <c r="H13" i="15"/>
  <c r="I12" i="15"/>
  <c r="I43" i="15"/>
  <c r="F30" i="15"/>
  <c r="I44" i="15"/>
  <c r="H53" i="15"/>
  <c r="F18" i="15"/>
  <c r="I31" i="15"/>
  <c r="H46" i="15"/>
  <c r="F38" i="15"/>
  <c r="I57" i="15"/>
  <c r="H14" i="15"/>
  <c r="K14" i="15" s="1"/>
  <c r="F44" i="15"/>
  <c r="H62" i="15"/>
  <c r="K62" i="15" s="1"/>
  <c r="I68" i="15"/>
  <c r="I36" i="15"/>
  <c r="H39" i="15"/>
  <c r="F20" i="15"/>
  <c r="I18" i="15"/>
  <c r="F32" i="15"/>
  <c r="I49" i="15"/>
  <c r="I66" i="15"/>
  <c r="I40" i="15"/>
  <c r="F29" i="15"/>
  <c r="H67" i="15"/>
  <c r="K67" i="15" s="1"/>
  <c r="H56" i="15"/>
  <c r="F45" i="15"/>
  <c r="F19" i="15"/>
  <c r="F43" i="15"/>
  <c r="F16" i="15"/>
  <c r="F13" i="15"/>
  <c r="F62" i="15"/>
  <c r="F40" i="15"/>
  <c r="F61" i="15"/>
  <c r="F54" i="15"/>
  <c r="AL500" i="30"/>
  <c r="AJ1543" i="1"/>
  <c r="AJ1544" i="1" s="1"/>
  <c r="AJ1509" i="1"/>
  <c r="AJ499" i="30" s="1"/>
  <c r="AJ1538" i="1"/>
  <c r="AJ516" i="30" s="1"/>
  <c r="AJ1475" i="1"/>
  <c r="AJ481" i="30" s="1"/>
  <c r="AJ1526" i="1"/>
  <c r="AJ504" i="30" s="1"/>
  <c r="AH1470" i="1"/>
  <c r="AH476" i="30" s="1"/>
  <c r="AI1470" i="1"/>
  <c r="AI476" i="30" s="1"/>
  <c r="AD1470" i="1"/>
  <c r="AD476" i="30" s="1"/>
  <c r="AG1506" i="1"/>
  <c r="AG496" i="30" s="1"/>
  <c r="AL498" i="30"/>
  <c r="AF1506" i="1"/>
  <c r="AF496" i="30" s="1"/>
  <c r="AB1506" i="1"/>
  <c r="AB496" i="30" s="1"/>
  <c r="AL478" i="30"/>
  <c r="Z1470" i="1"/>
  <c r="Z476" i="30" s="1"/>
  <c r="Y1470" i="1"/>
  <c r="Y476" i="30" s="1"/>
  <c r="Y1506" i="1"/>
  <c r="Y496" i="30" s="1"/>
  <c r="AC1506" i="1"/>
  <c r="AC496" i="30" s="1"/>
  <c r="AH691" i="30"/>
  <c r="AL691" i="30"/>
  <c r="AL426" i="30"/>
  <c r="AF500" i="30"/>
  <c r="AF1540" i="1"/>
  <c r="AF518" i="30" s="1"/>
  <c r="AF1538" i="1"/>
  <c r="AF516" i="30" s="1"/>
  <c r="AF1543" i="1"/>
  <c r="AF1526" i="1"/>
  <c r="AF504" i="30" s="1"/>
  <c r="AF1523" i="1"/>
  <c r="AF501" i="30" s="1"/>
  <c r="AF1524" i="1"/>
  <c r="AF502" i="30" s="1"/>
  <c r="AF1509" i="1"/>
  <c r="AF499" i="30" s="1"/>
  <c r="AF1475" i="1"/>
  <c r="AF481" i="30" s="1"/>
  <c r="AF1534" i="1"/>
  <c r="AF512" i="30" s="1"/>
  <c r="AG500" i="30"/>
  <c r="AG1543" i="1"/>
  <c r="AG1526" i="1"/>
  <c r="AG504" i="30" s="1"/>
  <c r="AG1523" i="1"/>
  <c r="AG501" i="30" s="1"/>
  <c r="AG1509" i="1"/>
  <c r="AG499" i="30" s="1"/>
  <c r="AG1524" i="1"/>
  <c r="AG502" i="30" s="1"/>
  <c r="AG1475" i="1"/>
  <c r="AG481" i="30" s="1"/>
  <c r="AG1538" i="1"/>
  <c r="AG516" i="30" s="1"/>
  <c r="AG1540" i="1"/>
  <c r="AG518" i="30" s="1"/>
  <c r="AG1534" i="1"/>
  <c r="AG512" i="30" s="1"/>
  <c r="AH695" i="30"/>
  <c r="AL695" i="30"/>
  <c r="Y490" i="30"/>
  <c r="AL490" i="30"/>
  <c r="AA500" i="30"/>
  <c r="AA1524" i="1"/>
  <c r="AA502" i="30" s="1"/>
  <c r="AA1509" i="1"/>
  <c r="AA499" i="30" s="1"/>
  <c r="AA1475" i="1"/>
  <c r="AA481" i="30" s="1"/>
  <c r="AA1543" i="1"/>
  <c r="AA1526" i="1"/>
  <c r="AA504" i="30" s="1"/>
  <c r="AA1523" i="1"/>
  <c r="AA501" i="30" s="1"/>
  <c r="AA1540" i="1"/>
  <c r="AA518" i="30" s="1"/>
  <c r="AA1538" i="1"/>
  <c r="AA516" i="30" s="1"/>
  <c r="AA1534" i="1"/>
  <c r="AA512" i="30" s="1"/>
  <c r="AD246" i="30"/>
  <c r="AL246" i="30"/>
  <c r="AL480" i="30"/>
  <c r="AB500" i="30"/>
  <c r="AB1540" i="1"/>
  <c r="AB518" i="30" s="1"/>
  <c r="AB1538" i="1"/>
  <c r="AB516" i="30" s="1"/>
  <c r="AB1543" i="1"/>
  <c r="AB1526" i="1"/>
  <c r="AB504" i="30" s="1"/>
  <c r="AB1523" i="1"/>
  <c r="AB501" i="30" s="1"/>
  <c r="AB1509" i="1"/>
  <c r="AB499" i="30" s="1"/>
  <c r="AB1475" i="1"/>
  <c r="AB481" i="30" s="1"/>
  <c r="AB1524" i="1"/>
  <c r="AB502" i="30" s="1"/>
  <c r="AB1534" i="1"/>
  <c r="AB512" i="30" s="1"/>
  <c r="Y500" i="30"/>
  <c r="Y1523" i="1"/>
  <c r="Y501" i="30" s="1"/>
  <c r="Y1524" i="1"/>
  <c r="Y502" i="30" s="1"/>
  <c r="Y1509" i="1"/>
  <c r="Y499" i="30" s="1"/>
  <c r="Y1475" i="1"/>
  <c r="Y481" i="30" s="1"/>
  <c r="Y1540" i="1"/>
  <c r="Y518" i="30" s="1"/>
  <c r="Y1538" i="1"/>
  <c r="Y516" i="30" s="1"/>
  <c r="AC500" i="30"/>
  <c r="AC1543" i="1"/>
  <c r="AC1526" i="1"/>
  <c r="AC504" i="30" s="1"/>
  <c r="AC1523" i="1"/>
  <c r="AC501" i="30" s="1"/>
  <c r="AC1524" i="1"/>
  <c r="AC502" i="30" s="1"/>
  <c r="AC1509" i="1"/>
  <c r="AC499" i="30" s="1"/>
  <c r="AC1475" i="1"/>
  <c r="AC481" i="30" s="1"/>
  <c r="AC1540" i="1"/>
  <c r="AC518" i="30" s="1"/>
  <c r="AC1538" i="1"/>
  <c r="AC516" i="30" s="1"/>
  <c r="AC1534" i="1"/>
  <c r="AC512" i="30" s="1"/>
  <c r="AL254" i="30"/>
  <c r="AD500" i="30"/>
  <c r="AD1540" i="1"/>
  <c r="AD518" i="30" s="1"/>
  <c r="AD1538" i="1"/>
  <c r="AD516" i="30" s="1"/>
  <c r="AD1524" i="1"/>
  <c r="AD502" i="30" s="1"/>
  <c r="AD1509" i="1"/>
  <c r="AD499" i="30" s="1"/>
  <c r="AD1475" i="1"/>
  <c r="AD481" i="30" s="1"/>
  <c r="AD1543" i="1"/>
  <c r="AD1526" i="1"/>
  <c r="AD504" i="30" s="1"/>
  <c r="AD1523" i="1"/>
  <c r="AD501" i="30" s="1"/>
  <c r="AD1534" i="1"/>
  <c r="AD512" i="30" s="1"/>
  <c r="Z500" i="30"/>
  <c r="Z1540" i="1"/>
  <c r="Z518" i="30" s="1"/>
  <c r="Z1538" i="1"/>
  <c r="Z516" i="30" s="1"/>
  <c r="Z1524" i="1"/>
  <c r="Z502" i="30" s="1"/>
  <c r="Z1509" i="1"/>
  <c r="Z499" i="30" s="1"/>
  <c r="Z1475" i="1"/>
  <c r="Z481" i="30" s="1"/>
  <c r="Z1543" i="1"/>
  <c r="Z1526" i="1"/>
  <c r="Z504" i="30" s="1"/>
  <c r="Z1523" i="1"/>
  <c r="Z501" i="30" s="1"/>
  <c r="Z1534" i="1"/>
  <c r="Z512" i="30" s="1"/>
  <c r="AH690" i="30"/>
  <c r="AL690" i="30"/>
  <c r="AI500" i="30"/>
  <c r="AI1524" i="1"/>
  <c r="AI502" i="30" s="1"/>
  <c r="AI1509" i="1"/>
  <c r="AI499" i="30" s="1"/>
  <c r="AI1475" i="1"/>
  <c r="AI481" i="30" s="1"/>
  <c r="AI1543" i="1"/>
  <c r="AI1526" i="1"/>
  <c r="AI504" i="30" s="1"/>
  <c r="AI1523" i="1"/>
  <c r="AI501" i="30" s="1"/>
  <c r="AI1540" i="1"/>
  <c r="AI518" i="30" s="1"/>
  <c r="AI1538" i="1"/>
  <c r="AI516" i="30" s="1"/>
  <c r="AI1534" i="1"/>
  <c r="AI512" i="30" s="1"/>
  <c r="AA1506" i="1"/>
  <c r="AA496" i="30" s="1"/>
  <c r="AL477" i="30"/>
  <c r="AL248" i="30"/>
  <c r="AH500" i="30"/>
  <c r="AH1540" i="1"/>
  <c r="AH518" i="30" s="1"/>
  <c r="AH1538" i="1"/>
  <c r="AH516" i="30" s="1"/>
  <c r="AH1524" i="1"/>
  <c r="AH502" i="30" s="1"/>
  <c r="AH1509" i="1"/>
  <c r="AH499" i="30" s="1"/>
  <c r="AH1475" i="1"/>
  <c r="AH481" i="30" s="1"/>
  <c r="AH1523" i="1"/>
  <c r="AH501" i="30" s="1"/>
  <c r="AH1543" i="1"/>
  <c r="AH1526" i="1"/>
  <c r="AH504" i="30" s="1"/>
  <c r="AH1534" i="1"/>
  <c r="AH512" i="30" s="1"/>
  <c r="AE500" i="30"/>
  <c r="AE1524" i="1"/>
  <c r="AE502" i="30" s="1"/>
  <c r="AE1509" i="1"/>
  <c r="AE499" i="30" s="1"/>
  <c r="AE1475" i="1"/>
  <c r="AE481" i="30" s="1"/>
  <c r="AE1543" i="1"/>
  <c r="AE1526" i="1"/>
  <c r="AE504" i="30" s="1"/>
  <c r="AE1523" i="1"/>
  <c r="AE501" i="30" s="1"/>
  <c r="AE1540" i="1"/>
  <c r="AE518" i="30" s="1"/>
  <c r="AE1538" i="1"/>
  <c r="AE516" i="30" s="1"/>
  <c r="AE1534" i="1"/>
  <c r="AE512" i="30" s="1"/>
  <c r="J72" i="15" l="1"/>
  <c r="K64" i="15"/>
  <c r="D72" i="15"/>
  <c r="K53" i="15"/>
  <c r="K29" i="15"/>
  <c r="K17" i="15"/>
  <c r="K61" i="15"/>
  <c r="K19" i="15"/>
  <c r="K46" i="15"/>
  <c r="K54" i="15"/>
  <c r="K56" i="15"/>
  <c r="K28" i="15"/>
  <c r="K32" i="15"/>
  <c r="K55" i="15"/>
  <c r="K39" i="15"/>
  <c r="K60" i="15"/>
  <c r="K13" i="15"/>
  <c r="K31" i="15"/>
  <c r="K43" i="15"/>
  <c r="K68" i="15"/>
  <c r="K50" i="15"/>
  <c r="K30" i="15"/>
  <c r="K38" i="15"/>
  <c r="K66" i="15"/>
  <c r="K16" i="15"/>
  <c r="K57" i="15"/>
  <c r="K44" i="15"/>
  <c r="K41" i="15"/>
  <c r="K36" i="15"/>
  <c r="K58" i="15"/>
  <c r="K12" i="15"/>
  <c r="K49" i="15"/>
  <c r="K11" i="15"/>
  <c r="K10" i="15"/>
  <c r="K18" i="15"/>
  <c r="K40" i="15"/>
  <c r="K45" i="15"/>
  <c r="K27" i="15"/>
  <c r="H63" i="15"/>
  <c r="I63" i="15"/>
  <c r="F63" i="15"/>
  <c r="I15" i="15"/>
  <c r="H15" i="15"/>
  <c r="F15" i="15"/>
  <c r="H52" i="15"/>
  <c r="I52" i="15"/>
  <c r="F52" i="15"/>
  <c r="I48" i="15"/>
  <c r="H48" i="15"/>
  <c r="F48" i="15"/>
  <c r="H35" i="15"/>
  <c r="H23" i="15"/>
  <c r="H42" i="15"/>
  <c r="F23" i="15"/>
  <c r="I9" i="15"/>
  <c r="F9" i="15"/>
  <c r="E23" i="15"/>
  <c r="F35" i="15"/>
  <c r="E48" i="15"/>
  <c r="I23" i="15"/>
  <c r="F42" i="15"/>
  <c r="E9" i="15"/>
  <c r="I42" i="15"/>
  <c r="H9" i="15"/>
  <c r="E42" i="15"/>
  <c r="I35" i="15"/>
  <c r="E35" i="15"/>
  <c r="AJ521" i="30"/>
  <c r="AL518" i="30"/>
  <c r="AL476" i="30"/>
  <c r="AL496" i="30"/>
  <c r="AL516" i="30"/>
  <c r="AL512" i="30"/>
  <c r="AL501" i="30"/>
  <c r="AE521" i="30"/>
  <c r="AE1544" i="1"/>
  <c r="AE522" i="30" s="1"/>
  <c r="AL481" i="30"/>
  <c r="AD521" i="30"/>
  <c r="AD1544" i="1"/>
  <c r="AD522" i="30" s="1"/>
  <c r="AC521" i="30"/>
  <c r="AC1544" i="1"/>
  <c r="AC522" i="30" s="1"/>
  <c r="AA521" i="30"/>
  <c r="AA1544" i="1"/>
  <c r="AA522" i="30" s="1"/>
  <c r="AJ522" i="30"/>
  <c r="AB521" i="30"/>
  <c r="AB1544" i="1"/>
  <c r="AB522" i="30" s="1"/>
  <c r="AH521" i="30"/>
  <c r="AH1544" i="1"/>
  <c r="AH522" i="30" s="1"/>
  <c r="AL502" i="30"/>
  <c r="AL499" i="30"/>
  <c r="AI521" i="30"/>
  <c r="AI1544" i="1"/>
  <c r="AI522" i="30" s="1"/>
  <c r="Z521" i="30"/>
  <c r="Z1544" i="1"/>
  <c r="Z522" i="30" s="1"/>
  <c r="AG521" i="30"/>
  <c r="AG1544" i="1"/>
  <c r="AG522" i="30" s="1"/>
  <c r="AF521" i="30"/>
  <c r="AF1544" i="1"/>
  <c r="AF522" i="30" s="1"/>
  <c r="AL521" i="30"/>
  <c r="I72" i="15" l="1"/>
  <c r="H72" i="15"/>
  <c r="D73" i="15" s="1"/>
  <c r="K9" i="15"/>
  <c r="K42" i="15"/>
  <c r="K48" i="15"/>
  <c r="K52" i="15"/>
  <c r="K63" i="15"/>
  <c r="K15" i="15"/>
  <c r="K23" i="15"/>
  <c r="K35" i="15"/>
  <c r="E72" i="15"/>
  <c r="F72" i="15"/>
  <c r="AL522" i="30"/>
  <c r="K72" i="15" l="1"/>
  <c r="AZ34" i="57"/>
  <c r="AZ38" i="57" s="1"/>
  <c r="AZ41" i="57" s="1"/>
  <c r="AZ33" i="57"/>
  <c r="AZ37" i="57" s="1"/>
  <c r="E977" i="1"/>
  <c r="AU26" i="57"/>
  <c r="AY26" i="57" s="1"/>
  <c r="BU26" i="57" s="1"/>
  <c r="BY26" i="57" s="1"/>
  <c r="CC26" i="57" s="1"/>
  <c r="AK958" i="1"/>
  <c r="AK1219" i="1"/>
  <c r="AK432" i="30" s="1"/>
  <c r="D401" i="61" s="1"/>
  <c r="AK358" i="30" l="1"/>
  <c r="B457" i="61"/>
  <c r="F423" i="61"/>
</calcChain>
</file>

<file path=xl/sharedStrings.xml><?xml version="1.0" encoding="utf-8"?>
<sst xmlns="http://schemas.openxmlformats.org/spreadsheetml/2006/main" count="119997" uniqueCount="6358">
  <si>
    <t>Sistema de Informações da Mobilidade Urbana de Belo Horizonte (SisMob-BH)</t>
  </si>
  <si>
    <t>30d</t>
  </si>
  <si>
    <t>-</t>
  </si>
  <si>
    <t>A</t>
  </si>
  <si>
    <t>a</t>
  </si>
  <si>
    <t>AB</t>
  </si>
  <si>
    <t>(∑ respostas "NS.NR" / n.º de respondentes) x 100</t>
  </si>
  <si>
    <t>AB[b]</t>
  </si>
  <si>
    <t>(∑ respostas "bom" / n.º de respondentes) x 100</t>
  </si>
  <si>
    <t>AB[o/b]</t>
  </si>
  <si>
    <t>AB[o]</t>
  </si>
  <si>
    <t>(∑ respostas "ótimo" / n.º de respondentes) x 100</t>
  </si>
  <si>
    <t>AB[p]</t>
  </si>
  <si>
    <t>(∑ respostas péssimo")/ n.º de respondentes) x 100</t>
  </si>
  <si>
    <t>AB[r/p]</t>
  </si>
  <si>
    <t>soma dos percentuais de "ruim" e "péssimo" na avaliação geral da BHTrans</t>
  </si>
  <si>
    <t>AB[r] + AB[p]</t>
  </si>
  <si>
    <t>AB[r]</t>
  </si>
  <si>
    <t>(∑ respostas ruim")/ n.º de respondentes) x 100</t>
  </si>
  <si>
    <t>AB[rg]</t>
  </si>
  <si>
    <t>(∑ respostas "regular")/ n.º de respondentes) x 100</t>
  </si>
  <si>
    <t>ABC</t>
  </si>
  <si>
    <t>ABtc</t>
  </si>
  <si>
    <t>avaliação geral da BHTrans na administração do transporte coletivo</t>
  </si>
  <si>
    <t>ABtc[b]</t>
  </si>
  <si>
    <t>ABtc[NS.NR]</t>
  </si>
  <si>
    <t>ABtc[o/b]</t>
  </si>
  <si>
    <t>soma dos percentuais de "ótimo" e "bom" na avaliação geral da BHTrans na administração do transporte coletivo</t>
  </si>
  <si>
    <t>ABtc[o] + ABtc[b]</t>
  </si>
  <si>
    <t>ABtc[o]</t>
  </si>
  <si>
    <t>ABtc[p]</t>
  </si>
  <si>
    <t>ABtc[r/p]</t>
  </si>
  <si>
    <t>soma dos percentuais de "ruim" e "péssimo" na avaliação geral da BHTrans na administração do transporte coletivo</t>
  </si>
  <si>
    <t>ABtc[r] + ABtc[p]</t>
  </si>
  <si>
    <t>ABtc[r]</t>
  </si>
  <si>
    <t>ABtc[rg]</t>
  </si>
  <si>
    <t>ABts</t>
  </si>
  <si>
    <t>avaliação geral da BHTrans na administração do trânsito</t>
  </si>
  <si>
    <t>ABts[o/b]</t>
  </si>
  <si>
    <t>soma dos percentuais de "ótimo" e "bom" na avaliação geral da BHTrans na administração do trânsito</t>
  </si>
  <si>
    <t>ABts[o] + ABts[b]</t>
  </si>
  <si>
    <t>ABts[p]</t>
  </si>
  <si>
    <t>ABts[r/p]</t>
  </si>
  <si>
    <t>soma dos percentuais de "ruim" e "péssimo" na avaliação geral da BHTrans na administração do trânsito</t>
  </si>
  <si>
    <t>ABts[r] + ABts[p]</t>
  </si>
  <si>
    <t>ABts[r]</t>
  </si>
  <si>
    <t>ABts[rg]</t>
  </si>
  <si>
    <t>ac</t>
  </si>
  <si>
    <t>acc</t>
  </si>
  <si>
    <t>relativo à subcategoria "automóveis, caminhonetas e caminhonetes" (usado como complemento de F)</t>
  </si>
  <si>
    <t>Normas produzidas</t>
  </si>
  <si>
    <t>AD</t>
  </si>
  <si>
    <t>administrativo (usado como complemento de POP)</t>
  </si>
  <si>
    <t>aff</t>
  </si>
  <si>
    <t>AFP</t>
  </si>
  <si>
    <t>AL</t>
  </si>
  <si>
    <t>ALjm</t>
  </si>
  <si>
    <t>AN</t>
  </si>
  <si>
    <t>AN(30d)</t>
  </si>
  <si>
    <t>n.º de AN finalizadas do primeiro ao último dia do período e que tenham dado entrada a menos de 30 dias após sua entrada</t>
  </si>
  <si>
    <t>ANdv(30d) + ANei(30d) + ANpc(30d) + ANpv(30d)</t>
  </si>
  <si>
    <t>AN(30d) em relação a AN(saída)</t>
  </si>
  <si>
    <t>( AN(30d) / AN(saída) ) 
x 100</t>
  </si>
  <si>
    <t>AN(entrada)</t>
  </si>
  <si>
    <t>n.º de AN que deram entrada durante o período de apuração</t>
  </si>
  <si>
    <t>ANdv(entrada) +
ANei(entrada) +
ANpc(entrada) +
ANpv(entrada)</t>
  </si>
  <si>
    <t>AN(estoque)</t>
  </si>
  <si>
    <t>n.º de AN ainda não concluídas no último dia do período de apuração</t>
  </si>
  <si>
    <t>ANdv(estoque) +
ANei(estoque) +
ANpc(estoque) +
ANpv(estoque)</t>
  </si>
  <si>
    <t>AN(saída)</t>
  </si>
  <si>
    <t>n.º de AN finalizadas do primeiro ao último dia do período de apuração</t>
  </si>
  <si>
    <t>ANdv(saída) + ANei(saída) + ANpc(saída) +
ANpv(saída)</t>
  </si>
  <si>
    <t>ANdv</t>
  </si>
  <si>
    <t>ANdv(30d)</t>
  </si>
  <si>
    <t>ANdv(30d) em relação a ANdv(saída)</t>
  </si>
  <si>
    <t>( ANdv(30d) /
ANdv(saída) ) 
x 100</t>
  </si>
  <si>
    <t>ANdv(entrada)</t>
  </si>
  <si>
    <t>registro na fonte</t>
  </si>
  <si>
    <t>ANdv(estoque)</t>
  </si>
  <si>
    <t>ANdv(saída)</t>
  </si>
  <si>
    <t>ANei</t>
  </si>
  <si>
    <t>análises de empreendimentos de impacto para licenciamento ambiental e urbanístico</t>
  </si>
  <si>
    <t>ANei(30d)</t>
  </si>
  <si>
    <t>ANei(30d) em relação a ANei(saída)</t>
  </si>
  <si>
    <t>( ANei(30d) /
ANei(saída) )
x 100</t>
  </si>
  <si>
    <t>ANei(entrada)</t>
  </si>
  <si>
    <t>ANei(estoque)</t>
  </si>
  <si>
    <t>ANei(saída)</t>
  </si>
  <si>
    <t>ANpc</t>
  </si>
  <si>
    <t>análises de projetos de postos de abastecimento de combustíveis para licenciamento ambiental e urbanístico</t>
  </si>
  <si>
    <t>ANpc(30d)</t>
  </si>
  <si>
    <t>ANpc(30d) em relação a ANpc(saída)</t>
  </si>
  <si>
    <t>( ANpc(30d) /
ANpc(saída) )
x 100</t>
  </si>
  <si>
    <t>ANpc(entrada)</t>
  </si>
  <si>
    <t>ANpc(estoque)</t>
  </si>
  <si>
    <t>ANpc(saída)</t>
  </si>
  <si>
    <t>ANpv</t>
  </si>
  <si>
    <t>análises de projetos viários para licenciamento ambiental e urbanístico</t>
  </si>
  <si>
    <t>ANpv(30d)</t>
  </si>
  <si>
    <t>ANpv(30d) em relação a ANpv(saída)</t>
  </si>
  <si>
    <t>( ANpv(30d) /
ANpv(saída) )
x 100</t>
  </si>
  <si>
    <t>ANpv(entrada)</t>
  </si>
  <si>
    <t>ANpv(estoque)</t>
  </si>
  <si>
    <t>ANpv(saída)</t>
  </si>
  <si>
    <t>at</t>
  </si>
  <si>
    <t>Atc</t>
  </si>
  <si>
    <t>Atc[b]</t>
  </si>
  <si>
    <t>Atc[NS.NR]</t>
  </si>
  <si>
    <t>Atc[o/b]</t>
  </si>
  <si>
    <t>Atc[o] + Atc[b]</t>
  </si>
  <si>
    <t>Atc[o]</t>
  </si>
  <si>
    <t>Atc[p]</t>
  </si>
  <si>
    <t>Atc[r/p]</t>
  </si>
  <si>
    <t>soma dos percentuais de "ruim" e "péssimo" na avaliação geral do transporte coletivo</t>
  </si>
  <si>
    <t>Atc[r] + Atc[p]</t>
  </si>
  <si>
    <t>Atc[r]</t>
  </si>
  <si>
    <t>Ats</t>
  </si>
  <si>
    <t>Ats[b]</t>
  </si>
  <si>
    <t>Ats[NS.NR]</t>
  </si>
  <si>
    <t>Ats[o/b]</t>
  </si>
  <si>
    <t>Ats[o]</t>
  </si>
  <si>
    <t>Ats[p]</t>
  </si>
  <si>
    <t>Ats[r/p]</t>
  </si>
  <si>
    <t>soma dos percentuais de "ruim" e "péssimo" na avaliação geral do trânsito</t>
  </si>
  <si>
    <t>Ats[r] + Ats[p]</t>
  </si>
  <si>
    <t>Ats[r]</t>
  </si>
  <si>
    <t>Ats[rg]</t>
  </si>
  <si>
    <t>AV</t>
  </si>
  <si>
    <t>AV por 10 mil veículos</t>
  </si>
  <si>
    <t>ave</t>
  </si>
  <si>
    <t>AVGE</t>
  </si>
  <si>
    <t>avo</t>
  </si>
  <si>
    <t>b</t>
  </si>
  <si>
    <t>BH</t>
  </si>
  <si>
    <t>c</t>
  </si>
  <si>
    <t>cn</t>
  </si>
  <si>
    <t>condutor auxiliar de táxi</t>
  </si>
  <si>
    <t>condutor auxiliar de táxi por veículo</t>
  </si>
  <si>
    <t>CQA</t>
  </si>
  <si>
    <t>CQA boa</t>
  </si>
  <si>
    <t>CQA inadequada</t>
  </si>
  <si>
    <t>CQA má</t>
  </si>
  <si>
    <t>CQA monitorada</t>
  </si>
  <si>
    <t>CQA omissos</t>
  </si>
  <si>
    <t>CQA regular</t>
  </si>
  <si>
    <t>cruzamento</t>
  </si>
  <si>
    <t>d</t>
  </si>
  <si>
    <t>demais</t>
  </si>
  <si>
    <t>deslocamento</t>
  </si>
  <si>
    <t>df</t>
  </si>
  <si>
    <t>di</t>
  </si>
  <si>
    <t>pessoa com deficiência e idoso (usado como complemento de RT e de CRE)</t>
  </si>
  <si>
    <t>DMti = DMtáxi + DMa + DMmm</t>
  </si>
  <si>
    <t>dr</t>
  </si>
  <si>
    <t>dv</t>
  </si>
  <si>
    <t>E</t>
  </si>
  <si>
    <t>EEano</t>
  </si>
  <si>
    <t>EEl</t>
  </si>
  <si>
    <t>EEmês</t>
  </si>
  <si>
    <t>EEml</t>
  </si>
  <si>
    <t>EG aéreo em relação a EG</t>
  </si>
  <si>
    <t>EG aéreo por habitante</t>
  </si>
  <si>
    <t>EG rodoviário em relação a EG</t>
  </si>
  <si>
    <t>EG rodoviário por habitante</t>
  </si>
  <si>
    <t>ei</t>
  </si>
  <si>
    <t>Ejm</t>
  </si>
  <si>
    <t>EM</t>
  </si>
  <si>
    <t>emergenciais (usado como complemento de POP)</t>
  </si>
  <si>
    <t>empresa de táxi</t>
  </si>
  <si>
    <t>escolar</t>
  </si>
  <si>
    <t>escolar(k)</t>
  </si>
  <si>
    <t>escolar(mv)</t>
  </si>
  <si>
    <t>escolar(o)</t>
  </si>
  <si>
    <t>esp</t>
  </si>
  <si>
    <t>ET</t>
  </si>
  <si>
    <t>estações (usado como complemento de POP)</t>
  </si>
  <si>
    <t>EV arterial</t>
  </si>
  <si>
    <t>EV coletora</t>
  </si>
  <si>
    <t>EV ligação regional</t>
  </si>
  <si>
    <t>EV local</t>
  </si>
  <si>
    <t>EV por mil habitantes</t>
  </si>
  <si>
    <t>(EV/P) x  1.000</t>
  </si>
  <si>
    <t>EV por mil veículos</t>
  </si>
  <si>
    <t>(EV/F) x  1.000</t>
  </si>
  <si>
    <t>extensão viária municipal utilizada pelo transporte coletivo gerenciado pela BHTrans (em km), apurada para cada uma das 10 regiões do município (Centro, Sul, Oeste, Barreiro, Noroeste, Pampulha, Venda Nova, Norte, Nordeste, Leste) e para seu conjunto</t>
  </si>
  <si>
    <t>(EVtc/EV) x 100</t>
  </si>
  <si>
    <t>Velocidades e volumes</t>
  </si>
  <si>
    <t>F</t>
  </si>
  <si>
    <t>F por habitante</t>
  </si>
  <si>
    <t>foco de pedestres</t>
  </si>
  <si>
    <t>fr</t>
  </si>
  <si>
    <t>frota circulante de táxi</t>
  </si>
  <si>
    <t>frota de táxi</t>
  </si>
  <si>
    <t>fub</t>
  </si>
  <si>
    <t>GEE</t>
  </si>
  <si>
    <t>ICP em relação a LCP</t>
  </si>
  <si>
    <t>IdAmb</t>
  </si>
  <si>
    <t>Resultados administrativos</t>
  </si>
  <si>
    <t>IER</t>
  </si>
  <si>
    <t>InAmb</t>
  </si>
  <si>
    <t>inc</t>
  </si>
  <si>
    <t>inf</t>
  </si>
  <si>
    <t>veículos infratores (usado como complemento de RT)</t>
  </si>
  <si>
    <t>interseção</t>
  </si>
  <si>
    <t>IPQ</t>
  </si>
  <si>
    <t>IPV</t>
  </si>
  <si>
    <t>IQA</t>
  </si>
  <si>
    <t>IRA</t>
  </si>
  <si>
    <t>IRE</t>
  </si>
  <si>
    <t>IS</t>
  </si>
  <si>
    <t>IS em relação a LS</t>
  </si>
  <si>
    <t>IS por mil veículos</t>
  </si>
  <si>
    <t>IS por milhão de habitantes</t>
  </si>
  <si>
    <t>ISP</t>
  </si>
  <si>
    <t>ISP em relação a IS</t>
  </si>
  <si>
    <t>ISP em relação a LS</t>
  </si>
  <si>
    <t>ITP</t>
  </si>
  <si>
    <t>ITP em relação a ICP</t>
  </si>
  <si>
    <t>ITS</t>
  </si>
  <si>
    <t>ITS em relação a ICP</t>
  </si>
  <si>
    <t>ITT</t>
  </si>
  <si>
    <t>ITT em relação a IS</t>
  </si>
  <si>
    <t>IVP</t>
  </si>
  <si>
    <t>IVR</t>
  </si>
  <si>
    <t>jm</t>
  </si>
  <si>
    <t>km rodados</t>
  </si>
  <si>
    <t>L</t>
  </si>
  <si>
    <t>LCP</t>
  </si>
  <si>
    <t>LCP em relação a LS</t>
  </si>
  <si>
    <t>LEI</t>
  </si>
  <si>
    <t>LEI em relação a LCP</t>
  </si>
  <si>
    <t>LEI em relação a LS</t>
  </si>
  <si>
    <t>lix</t>
  </si>
  <si>
    <t>lot</t>
  </si>
  <si>
    <t xml:space="preserve">LS </t>
  </si>
  <si>
    <t>LS por mil veículos</t>
  </si>
  <si>
    <t>LS por milhão de habitantes</t>
  </si>
  <si>
    <t>LSA</t>
  </si>
  <si>
    <t>LSA em relação a LS</t>
  </si>
  <si>
    <t>LSB</t>
  </si>
  <si>
    <t>n.º de locais semaforizados com botoeira, ou seja, n.º total de locais semaforizados onde está[ão]  instalado[s] equipamento[s] chamado[s] botoeira[s] que permite[em] ao pedestre interferir na programação semafórica para interromper o trânsito veicular</t>
  </si>
  <si>
    <t>LSB em relação a LS</t>
  </si>
  <si>
    <t>n.º de locais semaforizados com botoeira em relação ao total de locais semaforizados</t>
  </si>
  <si>
    <t>(LSB/LS) x 100</t>
  </si>
  <si>
    <t xml:space="preserve">LSC </t>
  </si>
  <si>
    <t>LSC em relação a LS</t>
  </si>
  <si>
    <t>LSD</t>
  </si>
  <si>
    <t>n.º de locais semaforizados com focos de pedestres apagados, ou seja, n.º total de locais semaforizados onde está instalado um plano que introduz, automaticamente, em períodos pré-definidos, a situação de pelo menos parte dos focos de pedestres do local ficarem desligados</t>
  </si>
  <si>
    <t>LSD em relação a LS</t>
  </si>
  <si>
    <t>n.º de locais semaforizados com focos de pedestres apagados em relação ao total de locais semaforizados</t>
  </si>
  <si>
    <t>(LSD/LS) x 100</t>
  </si>
  <si>
    <t>LSH</t>
  </si>
  <si>
    <t>LSH em relação a LS</t>
  </si>
  <si>
    <t>LSL</t>
  </si>
  <si>
    <t>LSL em relação a LS</t>
  </si>
  <si>
    <t>LSP</t>
  </si>
  <si>
    <t>n.º de locais semaforizados com plano de amarelo piscante, ou seja, n.º total de locais semaforizados onde está instalado um plano que introduz, automaticamente, em períodos pré-definidos, a situação de todos os focos semafóricos do local passarem a operar em amarelo piscante</t>
  </si>
  <si>
    <t>LSP em relação a LS</t>
  </si>
  <si>
    <t>n.º de locais semaforizados com plano de amarelo piscante  em relação ao total de locais semaforizados</t>
  </si>
  <si>
    <t>(LSP/LS) x 100</t>
  </si>
  <si>
    <t>LSS</t>
  </si>
  <si>
    <t>LSS em relação a LS</t>
  </si>
  <si>
    <t>lxo</t>
  </si>
  <si>
    <t>m</t>
  </si>
  <si>
    <t>M</t>
  </si>
  <si>
    <t>M por 10 mil veículos</t>
  </si>
  <si>
    <t>M por mil AV</t>
  </si>
  <si>
    <t>manifestações</t>
  </si>
  <si>
    <t>mm</t>
  </si>
  <si>
    <t>mmc</t>
  </si>
  <si>
    <t>relativo à categoria "motociclo" (usado como complemento de F)</t>
  </si>
  <si>
    <t>mne</t>
  </si>
  <si>
    <t>motoneta (usado como complemento de F)</t>
  </si>
  <si>
    <t>motorização</t>
  </si>
  <si>
    <t>motorização de automóveis</t>
  </si>
  <si>
    <t>mta</t>
  </si>
  <si>
    <t>motocicleta (usado como complemento de F)</t>
  </si>
  <si>
    <t>mtr</t>
  </si>
  <si>
    <t>ciclomotor (usado como complemento de F)</t>
  </si>
  <si>
    <t>NAP</t>
  </si>
  <si>
    <t>NAP eletrônica</t>
  </si>
  <si>
    <t>notificação de aplicação de penalidade de trânsito aplicada a partir de equipamentos eletrônicos instalados (equipamentos existentes em 2013 em Belo Horizonte: velocidade, invasão de faixa e avanço de sinal vermelho)</t>
  </si>
  <si>
    <t>NAP por mil veículos</t>
  </si>
  <si>
    <t>notificação de aplicação de penalidade de trânsito aplicadas em relação à frota</t>
  </si>
  <si>
    <t>(NAP/F)*1000</t>
  </si>
  <si>
    <t>NAP talão</t>
  </si>
  <si>
    <t>notificação de aplicação de penalidade de trânsito aplicadas em fiscalização presencial</t>
  </si>
  <si>
    <t>nd</t>
  </si>
  <si>
    <t>NF</t>
  </si>
  <si>
    <t>NF por 10 mil veículos</t>
  </si>
  <si>
    <t>NF por 100 mil habitantes</t>
  </si>
  <si>
    <t>NF por mil AV</t>
  </si>
  <si>
    <t>NFb</t>
  </si>
  <si>
    <t>NFb por 10 mil veículos</t>
  </si>
  <si>
    <t>NFb por 100 mil habit.</t>
  </si>
  <si>
    <t>NFb por mil Avb</t>
  </si>
  <si>
    <t>NI</t>
  </si>
  <si>
    <t>NIb</t>
  </si>
  <si>
    <t>NS.NR</t>
  </si>
  <si>
    <t>o</t>
  </si>
  <si>
    <t>o/b</t>
  </si>
  <si>
    <t>O/D</t>
  </si>
  <si>
    <t>ocup</t>
  </si>
  <si>
    <t>ocupação (usado como complemento de RT)</t>
  </si>
  <si>
    <t>odv</t>
  </si>
  <si>
    <t>p</t>
  </si>
  <si>
    <t>P (população) por automóvel</t>
  </si>
  <si>
    <t>P (população) por Facc</t>
  </si>
  <si>
    <t>P (população) por Fmmc</t>
  </si>
  <si>
    <t>P (população) por veículo</t>
  </si>
  <si>
    <t>P.Op.</t>
  </si>
  <si>
    <t>PAL</t>
  </si>
  <si>
    <t>pbc</t>
  </si>
  <si>
    <t>pc</t>
  </si>
  <si>
    <t>pcs</t>
  </si>
  <si>
    <t>PED</t>
  </si>
  <si>
    <t>ped</t>
  </si>
  <si>
    <t>permissão de táxi</t>
  </si>
  <si>
    <t>permissão de táxi pessoa física</t>
  </si>
  <si>
    <t>permissão de táxi pessoa jurídica</t>
  </si>
  <si>
    <t>permissionário de táxi</t>
  </si>
  <si>
    <t>permissionário de táxi pessoa física</t>
  </si>
  <si>
    <t>permissionário de táxi pessoa jurídica</t>
  </si>
  <si>
    <t>pf</t>
  </si>
  <si>
    <t>PF</t>
  </si>
  <si>
    <t>pi</t>
  </si>
  <si>
    <t>pj</t>
  </si>
  <si>
    <t>relativo a pessoa jurídica (usado como complemento de TX)</t>
  </si>
  <si>
    <t>PM</t>
  </si>
  <si>
    <t>PMP</t>
  </si>
  <si>
    <t>POP</t>
  </si>
  <si>
    <t>POP.AD</t>
  </si>
  <si>
    <t>POP.EM</t>
  </si>
  <si>
    <t>POP.ET</t>
  </si>
  <si>
    <t>POP.TP</t>
  </si>
  <si>
    <t>POP.TS</t>
  </si>
  <si>
    <t>PSI</t>
  </si>
  <si>
    <t>PT</t>
  </si>
  <si>
    <t>pico da tarde</t>
  </si>
  <si>
    <t>pti</t>
  </si>
  <si>
    <t>ptt</t>
  </si>
  <si>
    <t>pv</t>
  </si>
  <si>
    <t>pve</t>
  </si>
  <si>
    <t>QA</t>
  </si>
  <si>
    <t>QA boa</t>
  </si>
  <si>
    <t>QA boa em relação a QA monitorada</t>
  </si>
  <si>
    <t>QA inadequada</t>
  </si>
  <si>
    <t>QA má</t>
  </si>
  <si>
    <t>QA monitorada</t>
  </si>
  <si>
    <t>QA omissos</t>
  </si>
  <si>
    <t>QA regular</t>
  </si>
  <si>
    <t>QIS(BHTrans)</t>
  </si>
  <si>
    <t>qr</t>
  </si>
  <si>
    <t>quarteirão regulamentado com estacionamento rotativo (usado como complemento de RT) 
onb.: "quarteirão", nesse indicador é considerado como cada face de uma quadra</t>
  </si>
  <si>
    <t>r</t>
  </si>
  <si>
    <t>R</t>
  </si>
  <si>
    <t>r/p</t>
  </si>
  <si>
    <t>(Rat/RHat) x 100</t>
  </si>
  <si>
    <t>rg</t>
  </si>
  <si>
    <t>RGB</t>
  </si>
  <si>
    <t>RH</t>
  </si>
  <si>
    <t>RH por mil veículos</t>
  </si>
  <si>
    <t>RH por milhão de habitantes</t>
  </si>
  <si>
    <t>(RHa/F) x 10.000</t>
  </si>
  <si>
    <t>rot</t>
  </si>
  <si>
    <t>rotatividade (usado como complemento de RT)</t>
  </si>
  <si>
    <t>RS</t>
  </si>
  <si>
    <t>R + S</t>
  </si>
  <si>
    <t>S</t>
  </si>
  <si>
    <t>SBR</t>
  </si>
  <si>
    <t>STR</t>
  </si>
  <si>
    <t>suplementar</t>
  </si>
  <si>
    <t>T</t>
  </si>
  <si>
    <t>T por 10 mil veículos</t>
  </si>
  <si>
    <t>T por 100 mil habit.</t>
  </si>
  <si>
    <t>T por mil AV</t>
  </si>
  <si>
    <t>táxi</t>
  </si>
  <si>
    <t>tc</t>
  </si>
  <si>
    <t>ti</t>
  </si>
  <si>
    <t>tl</t>
  </si>
  <si>
    <t>talão (usado como complemento de RT)</t>
  </si>
  <si>
    <t>TMA</t>
  </si>
  <si>
    <t>TMG</t>
  </si>
  <si>
    <t>TMM</t>
  </si>
  <si>
    <t>TMS</t>
  </si>
  <si>
    <t>TP</t>
  </si>
  <si>
    <t>transportes (usado como complemento de POP)</t>
  </si>
  <si>
    <t>tpb</t>
  </si>
  <si>
    <t>tpd</t>
  </si>
  <si>
    <t>transporte motorizado privado</t>
  </si>
  <si>
    <t>transporte privado coletivo</t>
  </si>
  <si>
    <t>transporte público coletivo</t>
  </si>
  <si>
    <t>transporte público individual</t>
  </si>
  <si>
    <t>transporte urbano</t>
  </si>
  <si>
    <t>TRm</t>
  </si>
  <si>
    <t>ts</t>
  </si>
  <si>
    <t>TS</t>
  </si>
  <si>
    <t>trânsito (usado como complemento de POP)</t>
  </si>
  <si>
    <t>TX</t>
  </si>
  <si>
    <t>UIT</t>
  </si>
  <si>
    <t>Unidade Integrada de Trânsito</t>
  </si>
  <si>
    <t>uit</t>
  </si>
  <si>
    <t>URB</t>
  </si>
  <si>
    <t>V</t>
  </si>
  <si>
    <t>V por 10 mil veículos</t>
  </si>
  <si>
    <t>V por 100 mil habit.</t>
  </si>
  <si>
    <t>V por mil AV</t>
  </si>
  <si>
    <t>Vb</t>
  </si>
  <si>
    <t>VDM</t>
  </si>
  <si>
    <t>ve</t>
  </si>
  <si>
    <t>veículos estacionados (usado como complemento de RT)</t>
  </si>
  <si>
    <t>vf</t>
  </si>
  <si>
    <t>vaga física para veículos da categoria "Facc" (usado como complemento de RT)</t>
  </si>
  <si>
    <t xml:space="preserve">vfm </t>
  </si>
  <si>
    <t>vaga física para motofretistas (usado como complemento de RT)</t>
  </si>
  <si>
    <t>viagem</t>
  </si>
  <si>
    <t>vr</t>
  </si>
  <si>
    <t>vaga rotativa (usado como complemento de RT)</t>
  </si>
  <si>
    <t>TOTAL</t>
  </si>
  <si>
    <t>n.º de credenciais para utilização de estacionamento reservado por pessoa com deficiência</t>
  </si>
  <si>
    <t>n.º de credenciais para utilização de estacionamento reservado por pessoa com deficiência ou por idoso</t>
  </si>
  <si>
    <t xml:space="preserve">n.º de credenciais para idoso para cada vaga física reservada para uso exclusivo de idoso </t>
  </si>
  <si>
    <t>disponibilidade do estacionamento rotativo (expresso em n.º de veículos por vaga rotativa), que indica quantos veículos concorrem por cada vaga rotativa regulamentada
obs.1: são considerados veículos que concorrem às vagas rotativas regulamentadas os automóveis, as camionetas e as caminhonetes que, juntas, formam a categoria Facc
obs.2: o valor anual é tomado como sendo o valor apurado em dezembro de cada ano</t>
  </si>
  <si>
    <t>não apurado pela BHTrans</t>
  </si>
  <si>
    <t>período diário de funcionamento do estacionamento rotativo</t>
  </si>
  <si>
    <t>registro na fonte
∑ (receita mensal de janeiro a dezembro) / 12</t>
  </si>
  <si>
    <t xml:space="preserve">fator de rotatividade de projeto do local (expresso em nº de veículos que podem utilizar diariamente cada vaga regulamentada em um local específico)
obs.1: o período diário de funcionamento (PF) do estacionamento rotativo nos dias úteis é de 10 horas (de 8h00 às 18h00) e os tempos máximos de permanência (TP) regulamentados são de 1h, 2h e 5h
obs.2: RTfr = 10 veículos nos locais com TP=1; RTfr = 5 veículos nos locais com TP=2 e RTfr = 2 veículos nos locais com TP=5                                                                                                                                                                                                                                                                                                                                               </t>
  </si>
  <si>
    <t>registro na fonte
(∑ (n.º de veículos infratores / n.º de veículos estacionados)
/ n.º de pesquisas realizadas)
x 100</t>
  </si>
  <si>
    <t>registro na fonte
(∑ (n.º de veículos estacionados / n.º de vagas físicas existentes) 
/ n.º de pesquisas realizadas)
x100</t>
  </si>
  <si>
    <t>registro na fonte
∑ (n.º de veículos diferentes estacionados / n.º de vagas físicas existentes) 
/ n.º de pesquisas realizadas</t>
  </si>
  <si>
    <t>registro na fonte
∑ (n.º de veículos estacionados em cada pesquisa) 
/ n.º de pesquisas realizadas</t>
  </si>
  <si>
    <r>
      <rPr>
        <b/>
        <sz val="8"/>
        <color theme="1"/>
        <rFont val="Times New Roman"/>
        <family val="1"/>
      </rPr>
      <t xml:space="preserve">Fonte: </t>
    </r>
    <r>
      <rPr>
        <sz val="8"/>
        <color theme="1"/>
        <rFont val="Times New Roman"/>
        <family val="1"/>
      </rPr>
      <t xml:space="preserve">Elaborado por Marcos Fontoura de Oliveira para o Sistema de Informações da Mobilidade Urbana de Belo Horizonte (SisMob-BH) como fonte de dados abertos e publicado na </t>
    </r>
    <r>
      <rPr>
        <i/>
        <sz val="8"/>
        <color theme="1"/>
        <rFont val="Times New Roman"/>
        <family val="1"/>
      </rPr>
      <t>home page</t>
    </r>
    <r>
      <rPr>
        <sz val="8"/>
        <color theme="1"/>
        <rFont val="Times New Roman"/>
        <family val="1"/>
      </rPr>
      <t xml:space="preserve"> da BHTRans pela primeira vez em </t>
    </r>
    <r>
      <rPr>
        <sz val="8"/>
        <color rgb="FFFF0000"/>
        <rFont val="Times New Roman"/>
        <family val="1"/>
      </rPr>
      <t>dd/mm/aaaa</t>
    </r>
    <r>
      <rPr>
        <sz val="8"/>
        <color theme="1"/>
        <rFont val="Times New Roman"/>
        <family val="1"/>
      </rPr>
      <t>.</t>
    </r>
  </si>
  <si>
    <t>x</t>
  </si>
  <si>
    <t>sigla ou nome</t>
  </si>
  <si>
    <t>descrição</t>
  </si>
  <si>
    <t>forma de cálculo ou observação</t>
  </si>
  <si>
    <t>Fa + Fcma + Fcme</t>
  </si>
  <si>
    <t>Fmne + Fmta + Fmtr</t>
  </si>
  <si>
    <t>F / P</t>
  </si>
  <si>
    <t>(Fa/F) x 100</t>
  </si>
  <si>
    <t>Fa/P</t>
  </si>
  <si>
    <t>(Facc/F) x 100</t>
  </si>
  <si>
    <t>Facc/P</t>
  </si>
  <si>
    <t>(Fmmc/F) x 100</t>
  </si>
  <si>
    <t>Fmmc/P</t>
  </si>
  <si>
    <t>motorização de automóveis, que é a relação entre população e frota de automóveis, expressando a quantidade de habitantes para cada automóvel registrado no território, também expresso na forma de 1 automóvel para cada x habitantes (é também identificado como TMA - taxa de motorização automóveis)</t>
  </si>
  <si>
    <t>P/Fa</t>
  </si>
  <si>
    <t>P/Facc</t>
  </si>
  <si>
    <t>P/Fmmc</t>
  </si>
  <si>
    <t>P/F</t>
  </si>
  <si>
    <r>
      <t xml:space="preserve">Taxa de motorização de automóvel (fonte: BHTRANS. </t>
    </r>
    <r>
      <rPr>
        <i/>
        <sz val="10"/>
        <color theme="1"/>
        <rFont val="Times New Roman"/>
        <family val="1"/>
      </rPr>
      <t>Balanço da mobilidade urbana de Belo Horizonte 2010</t>
    </r>
    <r>
      <rPr>
        <sz val="10"/>
        <color theme="1"/>
        <rFont val="Times New Roman"/>
        <family val="1"/>
      </rPr>
      <t xml:space="preserve">. julho 2011, p. 10; BHTRANS. </t>
    </r>
    <r>
      <rPr>
        <i/>
        <sz val="10"/>
        <color theme="1"/>
        <rFont val="Times New Roman"/>
        <family val="1"/>
      </rPr>
      <t>Balanço da mobilidade urbana de Belo Horizonte 2011</t>
    </r>
    <r>
      <rPr>
        <sz val="10"/>
        <color theme="1"/>
        <rFont val="Times New Roman"/>
        <family val="1"/>
      </rPr>
      <t>. julho 2011, p. 13)</t>
    </r>
  </si>
  <si>
    <r>
      <t xml:space="preserve">Taxa de motorização geral (fonte: BHTRANS. </t>
    </r>
    <r>
      <rPr>
        <i/>
        <sz val="10"/>
        <color theme="1"/>
        <rFont val="Times New Roman"/>
        <family val="1"/>
      </rPr>
      <t>Balanço da mobilidade urbana de Belo Horizonte 2010</t>
    </r>
    <r>
      <rPr>
        <sz val="10"/>
        <color theme="1"/>
        <rFont val="Times New Roman"/>
        <family val="1"/>
      </rPr>
      <t>. julho 2011, p. 10; BHTRANS. Balanço da mobilidade urbana de Belo Horizonte 2011. julho 2011, p. 13)</t>
    </r>
  </si>
  <si>
    <r>
      <t>Taxa de motorização de moto (motocicleta + motoneta) (fonte: BHTRANS.</t>
    </r>
    <r>
      <rPr>
        <i/>
        <sz val="10"/>
        <color theme="1"/>
        <rFont val="Times New Roman"/>
        <family val="1"/>
      </rPr>
      <t xml:space="preserve"> Balanço da mobilidade urbana de Belo Horizonte 2010. </t>
    </r>
    <r>
      <rPr>
        <sz val="10"/>
        <color theme="1"/>
        <rFont val="Times New Roman"/>
        <family val="1"/>
      </rPr>
      <t>julho 2011, p. 10; BHTRANS. Balanço da mobilidade urbana de Belo Horizonte 2011. julho 2011, p. 13)</t>
    </r>
  </si>
  <si>
    <t>experiência</t>
  </si>
  <si>
    <t>fabricante</t>
  </si>
  <si>
    <t>motor casa</t>
  </si>
  <si>
    <t>quadriciclo</t>
  </si>
  <si>
    <t>reboque</t>
  </si>
  <si>
    <t>side-car</t>
  </si>
  <si>
    <t>triciclo</t>
  </si>
  <si>
    <t>utilitário</t>
  </si>
  <si>
    <t>consulte:
P (população) por veículo</t>
  </si>
  <si>
    <t>consulte:
P (população) por automóvel</t>
  </si>
  <si>
    <t>consulte:
P (população) por Fmmc</t>
  </si>
  <si>
    <t>F experiência</t>
  </si>
  <si>
    <t>F fabricante</t>
  </si>
  <si>
    <t>F motor casa</t>
  </si>
  <si>
    <t>F quadriciclo</t>
  </si>
  <si>
    <t>F reboque</t>
  </si>
  <si>
    <t>F side-car</t>
  </si>
  <si>
    <t>F triciclo</t>
  </si>
  <si>
    <t>F utilitário</t>
  </si>
  <si>
    <t>F demais</t>
  </si>
  <si>
    <t>caminhão trator</t>
  </si>
  <si>
    <t>F caminhão trator</t>
  </si>
  <si>
    <t>F trator rodas</t>
  </si>
  <si>
    <t>F trator misto</t>
  </si>
  <si>
    <t>trator misto</t>
  </si>
  <si>
    <t>trator rodas</t>
  </si>
  <si>
    <t>categoria não utlizada pelo Denatran que é denominada pelo Detran-MG como "experiência" (usado como complemento de F)</t>
  </si>
  <si>
    <t>categoria não utlizada pelo Denatran e designada pelo Detran-MG como "fabricante" (usado como complemento de F)</t>
  </si>
  <si>
    <t>categoria não utilizada pelo Denatran e designada pelo Detran-MG como "motor casa" (usado como complemento de F)</t>
  </si>
  <si>
    <t>categoria não utlizada pelo Denatran e designada pelo Detran-MG como "não informado" (usado como complemento de F)</t>
  </si>
  <si>
    <t>não informado</t>
  </si>
  <si>
    <t>categoria utilizada pelo Denatran e pelo Detran-MG como "utilitário" (usado como complemento de F)</t>
  </si>
  <si>
    <t>categoria não utilizada pelo Denatran e nem pelo Detran-MG que é utilizada pelo SisMob-BH para designar a soma das categorias de veículos motorizados não especificadas separadamente pelo Detran-MG de 1999 a 2007 e para designar a categoria "outros" utilizada pelo Detran-MG em 2014 (usado como complemento de F)</t>
  </si>
  <si>
    <t>categoria designada pelo Denatran e pelo Detran-MG como "quadriciclo" (usado como complemento de F)</t>
  </si>
  <si>
    <t>categoria designada pelo Denatran e pelo Detran-MG como "reboque" (usado como complemento de F)</t>
  </si>
  <si>
    <t>semi-reboque</t>
  </si>
  <si>
    <t>categoria designada pelo Denatran como "semi-reboque" e pelo Detran-MG como "s.reboque" (usado como complemento de F)</t>
  </si>
  <si>
    <t>categoria não utilizada pelo Denatran e designada pelo Detran-MG como "tr misto" (usado como complemento de F)</t>
  </si>
  <si>
    <t>categoria designada pelo Denatran como "trator rodas" e pelo Detran-MG como "tr rodas" (usado como complemento de F)</t>
  </si>
  <si>
    <t>categoria designada pelo Denatran e pelo Detran-MG como "triciclo" (usado como complemento de F)</t>
  </si>
  <si>
    <t>F microônibus</t>
  </si>
  <si>
    <t>F não informado</t>
  </si>
  <si>
    <t>relação entre frota de automóvel e frota total, ou seja, percentual da frota de automóvel em relação à frota total</t>
  </si>
  <si>
    <t>relação entre frota da categoria "automóvel, caminhonete e camioneta" e frota total, ou seja, percentual da frota de "automóvel, caminhonete e camioneta" em relação à frota total</t>
  </si>
  <si>
    <t>relação entre frota da categoria "motociclo" e frota total, ou seja, relação percentual entre a frota de motociclo e a frota total</t>
  </si>
  <si>
    <t>P/área</t>
  </si>
  <si>
    <t>POTÊNCIA (TXP; intervalo)
onde 
a) TXP = 1 + [[TXP(entre censos)] / 100)]
b) intervalo = 1 / (n.º de anos entre dois censos consecutivos)</t>
  </si>
  <si>
    <r>
      <t>área da RMBH (expressa em km</t>
    </r>
    <r>
      <rPr>
        <vertAlign val="superscript"/>
        <sz val="10"/>
        <rFont val="Times New Roman"/>
        <family val="1"/>
      </rPr>
      <t>2</t>
    </r>
    <r>
      <rPr>
        <sz val="10"/>
        <rFont val="Times New Roman"/>
        <family val="1"/>
      </rPr>
      <t>) utilizada para calcular a densidade demográfica metropolitana</t>
    </r>
  </si>
  <si>
    <r>
      <rPr>
        <sz val="10"/>
        <rFont val="Calibri"/>
        <family val="2"/>
      </rPr>
      <t>∑</t>
    </r>
    <r>
      <rPr>
        <sz val="10"/>
        <rFont val="Times New Roman"/>
        <family val="1"/>
      </rPr>
      <t xml:space="preserve"> área dos 34 municípios da RMBH</t>
    </r>
  </si>
  <si>
    <r>
      <rPr>
        <sz val="10"/>
        <rFont val="Calibri"/>
        <family val="2"/>
      </rPr>
      <t>∑</t>
    </r>
    <r>
      <rPr>
        <sz val="10"/>
        <rFont val="Times New Roman"/>
        <family val="1"/>
      </rPr>
      <t xml:space="preserve"> população dos 34 municípios da RMBH</t>
    </r>
  </si>
  <si>
    <t>população da Região Metropolitana de Belo Horizonte (RMBH), ou seja, somatório do n.º de habitantes de todos os municípios da RMBH divulgado anualmente pelo IBGE, seja pelos censos (a cada dez anos), seja por contagens populacionais (anualmente, entre os censos)</t>
  </si>
  <si>
    <r>
      <t xml:space="preserve">densidade demográfica, que é a </t>
    </r>
    <r>
      <rPr>
        <sz val="10"/>
        <color indexed="8"/>
        <rFont val="Times New Roman"/>
        <family val="1"/>
      </rPr>
      <t>população do município em relação à sua área (expressa em habitantes/km</t>
    </r>
    <r>
      <rPr>
        <vertAlign val="superscript"/>
        <sz val="10"/>
        <color indexed="8"/>
        <rFont val="Times New Roman"/>
        <family val="1"/>
      </rPr>
      <t>2</t>
    </r>
    <r>
      <rPr>
        <sz val="10"/>
        <color indexed="8"/>
        <rFont val="Times New Roman"/>
        <family val="1"/>
      </rPr>
      <t>)</t>
    </r>
  </si>
  <si>
    <r>
      <t xml:space="preserve">densidade demográfica de Belo Horizonte, que é a </t>
    </r>
    <r>
      <rPr>
        <sz val="10"/>
        <color indexed="8"/>
        <rFont val="Times New Roman"/>
        <family val="1"/>
      </rPr>
      <t>população do município em relação à sua área (expressa em habitantes/km</t>
    </r>
    <r>
      <rPr>
        <vertAlign val="superscript"/>
        <sz val="10"/>
        <color indexed="8"/>
        <rFont val="Times New Roman"/>
        <family val="1"/>
      </rPr>
      <t>2</t>
    </r>
    <r>
      <rPr>
        <sz val="10"/>
        <color indexed="8"/>
        <rFont val="Times New Roman"/>
        <family val="1"/>
      </rPr>
      <t>)</t>
    </r>
  </si>
  <si>
    <r>
      <t xml:space="preserve">densidade demográfica da Região Metropolitana de Belo Horizonte (RMBH), que é a </t>
    </r>
    <r>
      <rPr>
        <sz val="10"/>
        <color indexed="8"/>
        <rFont val="Times New Roman"/>
        <family val="1"/>
      </rPr>
      <t>população da RMBH em relação à sua área (expressa em habitantes/km</t>
    </r>
    <r>
      <rPr>
        <vertAlign val="superscript"/>
        <sz val="10"/>
        <color indexed="8"/>
        <rFont val="Times New Roman"/>
        <family val="1"/>
      </rPr>
      <t>2</t>
    </r>
    <r>
      <rPr>
        <sz val="10"/>
        <color indexed="8"/>
        <rFont val="Times New Roman"/>
        <family val="1"/>
      </rPr>
      <t>)</t>
    </r>
  </si>
  <si>
    <t>TXP anual</t>
  </si>
  <si>
    <t>TXP entre censos</t>
  </si>
  <si>
    <t>a) anual = [[P(ano x) - P(ano x-1)] / P(ano x-1)] x 100</t>
  </si>
  <si>
    <t>a) entre 1991 a 2000 = [[P(ano x) - P(ano x-9)] / P(ano x-1)] x 100
b) entre 2000 e 2010 = [[P(ano x) - P(ano x-10)] / P(ano x-1)] x 100</t>
  </si>
  <si>
    <r>
      <t xml:space="preserve">avaliação
</t>
    </r>
    <r>
      <rPr>
        <b/>
        <sz val="10"/>
        <rFont val="Times New Roman"/>
        <family val="1"/>
      </rPr>
      <t>obs.1:</t>
    </r>
    <r>
      <rPr>
        <sz val="10"/>
        <rFont val="Times New Roman"/>
        <family val="1"/>
      </rPr>
      <t xml:space="preserve"> por vezes conceituadas como "percepções" ou "declarações", as avaliações são captadas em pesquisas, sejam internas à BHTrans ou externas;
</t>
    </r>
    <r>
      <rPr>
        <b/>
        <sz val="10"/>
        <rFont val="Times New Roman"/>
        <family val="1"/>
      </rPr>
      <t xml:space="preserve">obs.2: </t>
    </r>
    <r>
      <rPr>
        <sz val="10"/>
        <rFont val="Times New Roman"/>
        <family val="1"/>
      </rPr>
      <t>nas pesquisas internas são consultados os próprios empregados da BHTrans</t>
    </r>
  </si>
  <si>
    <r>
      <t xml:space="preserve">cada um dos trechos de uma </t>
    </r>
    <r>
      <rPr>
        <i/>
        <sz val="10"/>
        <color theme="1"/>
        <rFont val="Times New Roman"/>
        <family val="1"/>
      </rPr>
      <t>viagem</t>
    </r>
    <r>
      <rPr>
        <sz val="10"/>
        <color theme="1"/>
        <rFont val="Times New Roman"/>
        <family val="1"/>
      </rPr>
      <t xml:space="preserve"> em uma pesquisa origem/destino (o SisMob-BH buscará, sempre que possível, os resultados relativos a Belo Horizonte e à RMBH)</t>
    </r>
  </si>
  <si>
    <r>
      <t>CRE</t>
    </r>
    <r>
      <rPr>
        <vertAlign val="subscript"/>
        <sz val="10"/>
        <color theme="1"/>
        <rFont val="Times New Roman"/>
        <family val="1"/>
      </rPr>
      <t>d</t>
    </r>
    <r>
      <rPr>
        <sz val="10"/>
        <color theme="1"/>
        <rFont val="Times New Roman"/>
        <family val="1"/>
      </rPr>
      <t xml:space="preserve"> / RL</t>
    </r>
    <r>
      <rPr>
        <vertAlign val="subscript"/>
        <sz val="10"/>
        <color theme="1"/>
        <rFont val="Times New Roman"/>
        <family val="1"/>
      </rPr>
      <t>vfd</t>
    </r>
  </si>
  <si>
    <r>
      <t>CRE</t>
    </r>
    <r>
      <rPr>
        <vertAlign val="subscript"/>
        <sz val="10"/>
        <color theme="1"/>
        <rFont val="Times New Roman"/>
        <family val="1"/>
      </rPr>
      <t>d</t>
    </r>
    <r>
      <rPr>
        <sz val="10"/>
        <color theme="1"/>
        <rFont val="Times New Roman"/>
        <family val="1"/>
      </rPr>
      <t xml:space="preserve"> + CRE</t>
    </r>
    <r>
      <rPr>
        <vertAlign val="subscript"/>
        <sz val="10"/>
        <color theme="1"/>
        <rFont val="Times New Roman"/>
        <family val="1"/>
      </rPr>
      <t>i</t>
    </r>
  </si>
  <si>
    <r>
      <t>CRE</t>
    </r>
    <r>
      <rPr>
        <vertAlign val="subscript"/>
        <sz val="10"/>
        <color theme="1"/>
        <rFont val="Times New Roman"/>
        <family val="1"/>
      </rPr>
      <t>i</t>
    </r>
    <r>
      <rPr>
        <sz val="10"/>
        <color theme="1"/>
        <rFont val="Times New Roman"/>
        <family val="1"/>
      </rPr>
      <t xml:space="preserve"> / RL</t>
    </r>
    <r>
      <rPr>
        <vertAlign val="subscript"/>
        <sz val="10"/>
        <color theme="1"/>
        <rFont val="Times New Roman"/>
        <family val="1"/>
      </rPr>
      <t>vfi</t>
    </r>
  </si>
  <si>
    <t>TXF anual</t>
  </si>
  <si>
    <t>taxa de crescimento anual da frota</t>
  </si>
  <si>
    <t>[F(ano x) - F(ano x-1)] / F(ano x-1)] x 100</t>
  </si>
  <si>
    <t>TXFacc anual</t>
  </si>
  <si>
    <t>TXFmmc anual</t>
  </si>
  <si>
    <t>condutor auxiliar de táxi / TX</t>
  </si>
  <si>
    <t>TX(BH)esp + TX(RN)esp</t>
  </si>
  <si>
    <t>TX(BH)cn + TX(IB) + TX(RN)cn</t>
  </si>
  <si>
    <t>n.º de táxis por mil habitantes em Belo Horizonte</t>
  </si>
  <si>
    <t>EEano/12</t>
  </si>
  <si>
    <t>percentual de interseções semaforizadas com foco de pedestres em relação ao total de intervenções semaforizadas</t>
  </si>
  <si>
    <t>(ICP/IS) x 100</t>
  </si>
  <si>
    <t>percentual de interseções semaforizadas com foco de pedestres em relação ao total de locais semaforizados com foco de pedestres</t>
  </si>
  <si>
    <t>(ICP/LCP) x 100</t>
  </si>
  <si>
    <t>n.º de interseções semaforizadas, ou seja, n.º total de interseções com semáforo para veículos, com ou sem foco de pedestres</t>
  </si>
  <si>
    <t xml:space="preserve">ISP+ICP </t>
  </si>
  <si>
    <t>percentual de interseções semaforizadas em relação ao total de locais semaforizados</t>
  </si>
  <si>
    <t>(IS/LS) x 100</t>
  </si>
  <si>
    <t>n.º de interseções semaforizadas por mil veículos da frota</t>
  </si>
  <si>
    <t>(IS/F) x  1.000</t>
  </si>
  <si>
    <t>n.º de interseções semaforizadas por milhão de habitantes da população</t>
  </si>
  <si>
    <t>(IS/P) x  1.000.000</t>
  </si>
  <si>
    <t>percentual de interseções semaforizadas sem foco de pedestres em relação ao total de interseções semaforizadas</t>
  </si>
  <si>
    <t>(ISP/IS) x 100</t>
  </si>
  <si>
    <t>percentual de interseções semaforizadas sem foco de pedestres em relação ao total de locais semaforizados</t>
  </si>
  <si>
    <t>(ISP/LS) x 100</t>
  </si>
  <si>
    <t>percentual de interseções com travessia parcial de pedestres em relação ao total de interseções com foco de pedestres</t>
  </si>
  <si>
    <t>(ITP/ICP) x 100</t>
  </si>
  <si>
    <t>percentual de interseções com travessia suficiente de pedestres em relação ao total de interseções com foco de pedestres</t>
  </si>
  <si>
    <t>(ITS/ICP) x 100</t>
  </si>
  <si>
    <t>percentual de interseções com travessia total de pedestres em relação ao total de interseções com foco de pedestres</t>
  </si>
  <si>
    <t>(ITT/ICP) x 100</t>
  </si>
  <si>
    <t>(ITT/IS) x 100</t>
  </si>
  <si>
    <t>n.º de locais semaforizados com foco de pedestres, ou seja, n.º de locais onde existe semáforo específico para os pedestres, seja em interseção ou entre interseções</t>
  </si>
  <si>
    <t>LCP = LEI+ICP</t>
  </si>
  <si>
    <t>percentual de locais semaforizados com foco de pedestres em relação ao total de locais semaforizados</t>
  </si>
  <si>
    <t>(LCP/LS) x 100</t>
  </si>
  <si>
    <t>percentual de locais semaforizados entre interseções em relação ao total de locais semaforizados com foco de pedestres</t>
  </si>
  <si>
    <t>(LEI/LCP) x 100</t>
  </si>
  <si>
    <t>percentual de locais semaforizados entre interseções em relação ao total de locais semaforizados</t>
  </si>
  <si>
    <t>(LEI/LS) x 100</t>
  </si>
  <si>
    <t>n.º de locais semaforizados por mil veículos da frota</t>
  </si>
  <si>
    <t>(LS/F) x 1.000</t>
  </si>
  <si>
    <t>n.º de locais semaforizados por milhão de habitantes da população</t>
  </si>
  <si>
    <t>(LS/P) x 1.000.000</t>
  </si>
  <si>
    <t>percentual de locais semaforizados com controle centralizado em modo adaptativo em relação ao total de locais semaforizados</t>
  </si>
  <si>
    <t>(LSA/LS) x 100</t>
  </si>
  <si>
    <t>n.º de locais semaforizados com controle centralizado, ou seja, n.º total de locais semaforizados com controle centralizado, obtido pela somatória dos locais em modo adaptativo, em modo rede local e em modo horário</t>
  </si>
  <si>
    <t>LSA+LSH+LSL</t>
  </si>
  <si>
    <t>percentual de locais semaforizados com controle centralizado em relação ao total de locais semaforizados</t>
  </si>
  <si>
    <t>(LSC/LS) x 100</t>
  </si>
  <si>
    <t>percentual de locais semaforizados com controle centralizado em modo horário em relação ao total de locais semaforizados</t>
  </si>
  <si>
    <t>(LSH/LS) x 100</t>
  </si>
  <si>
    <t>percentual de locais semaforizados com controle centralizado em modo rede local em relação ao total de locais semaforizados</t>
  </si>
  <si>
    <t>(LSL/LS) x 100</t>
  </si>
  <si>
    <t>n.º de locais semaforizados sem controle centralizado, ou seja, n.º total de locais semaforizados sem controle centralizado, obtido pela diferença entre o total de locais semaforizados e o total de locais semaforizados com controle centralizado</t>
  </si>
  <si>
    <t>LS-LSC</t>
  </si>
  <si>
    <t>percentual de locais semaforizados sem controle centralizado em relação ao total de locais semaforizados</t>
  </si>
  <si>
    <t>(LSS/LS) x 100</t>
  </si>
  <si>
    <t>IS + LEI</t>
  </si>
  <si>
    <t>ASSUNTO</t>
  </si>
  <si>
    <t>5) Meio ambiente</t>
  </si>
  <si>
    <t>7) Sistema de transporte de carga</t>
  </si>
  <si>
    <t>8) Sistema de transporte motorizado público</t>
  </si>
  <si>
    <t>9) Trânsito e sistema viário</t>
  </si>
  <si>
    <t>1.1</t>
  </si>
  <si>
    <t>1.2</t>
  </si>
  <si>
    <t>1.3</t>
  </si>
  <si>
    <t>1.4</t>
  </si>
  <si>
    <t>1.5</t>
  </si>
  <si>
    <t>2.1</t>
  </si>
  <si>
    <t>2.2</t>
  </si>
  <si>
    <t>2.3</t>
  </si>
  <si>
    <t>2.4</t>
  </si>
  <si>
    <t>3.1</t>
  </si>
  <si>
    <t>3.2</t>
  </si>
  <si>
    <t>3.3</t>
  </si>
  <si>
    <t>3.4</t>
  </si>
  <si>
    <t>3.5</t>
  </si>
  <si>
    <t>3.6</t>
  </si>
  <si>
    <t>3.7</t>
  </si>
  <si>
    <t>4.1</t>
  </si>
  <si>
    <t>4.2</t>
  </si>
  <si>
    <t>4.3</t>
  </si>
  <si>
    <t>4.4</t>
  </si>
  <si>
    <t>4.5</t>
  </si>
  <si>
    <t>4.6</t>
  </si>
  <si>
    <t>5.1</t>
  </si>
  <si>
    <t>5.2</t>
  </si>
  <si>
    <t>5.3</t>
  </si>
  <si>
    <t>5.4</t>
  </si>
  <si>
    <t>6.1</t>
  </si>
  <si>
    <t>6.2</t>
  </si>
  <si>
    <t>8.1</t>
  </si>
  <si>
    <t>8.2</t>
  </si>
  <si>
    <t>8.3</t>
  </si>
  <si>
    <t>8.4</t>
  </si>
  <si>
    <t>8.5</t>
  </si>
  <si>
    <t>8.6</t>
  </si>
  <si>
    <t>8.7</t>
  </si>
  <si>
    <t>8.8</t>
  </si>
  <si>
    <t>8.9</t>
  </si>
  <si>
    <t>9.1</t>
  </si>
  <si>
    <t>9.2</t>
  </si>
  <si>
    <t>9.3</t>
  </si>
  <si>
    <t>9.4</t>
  </si>
  <si>
    <t>9.5</t>
  </si>
  <si>
    <t>9.6</t>
  </si>
  <si>
    <t>População</t>
  </si>
  <si>
    <t>Frota e condutores de veículos automotores</t>
  </si>
  <si>
    <t>Estacionamento</t>
  </si>
  <si>
    <t>Sinalização semafórica</t>
  </si>
  <si>
    <t>ITTac em relação a ICP</t>
  </si>
  <si>
    <t>ITTac</t>
  </si>
  <si>
    <t>LSac</t>
  </si>
  <si>
    <t>LSac em relação a LS</t>
  </si>
  <si>
    <t>n.º de interseções acessíveis com travessia considerada "total" para pedestres, ou seja, n.º de interseções acessíveis com semáforo para veículos onde há foco de pedestres e todos os movimentos dos pedestres são acessíveis e possíveis pelo menor percurso
obs.: falta conceituar o que seja uma "travessia acessível"</t>
  </si>
  <si>
    <t>percentual de interseções com travessia total de pedestres em relação ao total de interseções com foco de pedestres
obs.: falta conceituar o que seja uma "travessia acessível"</t>
  </si>
  <si>
    <t>n.º total de locais semaforizados acessíveis 
obs.: falta conceituar o que seja uma "travessia acessível"</t>
  </si>
  <si>
    <t>n.º total de locais semaforizados, aí incluindo todos as interseções semaforizadas e todos os locais entre interseções onde existe sinalização semafórica instalada (obs.: deve-se ter atenção ao buscar dados comparativos de outras cidades identificados simplesmente como "n.º de interseções" pois a variável LS, por vezes, é tomada como sendo a variável IS).</t>
  </si>
  <si>
    <t>percentual de locais semaforizados acessíveis em relação ao total de locais semaforizados
obs.: falta conceituar o que seja uma "travessia acessível"</t>
  </si>
  <si>
    <t>LSBdv</t>
  </si>
  <si>
    <t>LSBdv em relação a LS</t>
  </si>
  <si>
    <t>n.º de locais ssemaforizados com botoeira ou outro equipamento que auxilie a travessia de pessoa com deficiência visual em relação ao total de locais semaforizados</t>
  </si>
  <si>
    <t>n.º de locais semaforizados com botoeira ou outro equipamento que auxilie a travessia de pessoa com deficiência visual
obs.1: os equipamentos mais conhecidos para auxiliar a travessia de pessoa com deficiência visual são botoeiras sonoras e/ou com vibração para percepção tátil
obs.2: a BHTrans homologou a compra de botoeiras sonoras em 06/03/2015</t>
  </si>
  <si>
    <t>Táxi</t>
  </si>
  <si>
    <t>Solicitações urbanísticas</t>
  </si>
  <si>
    <t>Gases de efeito estufa</t>
  </si>
  <si>
    <t>(EG aéreo / EG) x 100</t>
  </si>
  <si>
    <t>EG rodoviário / P</t>
  </si>
  <si>
    <t>emissão de GEE nos demais setores somados do inventário de GEE em relação à emissão total de GEE (em %)</t>
  </si>
  <si>
    <r>
      <t>emissão de GEE nos demais setores somados do inventário de GEE em relação à população P (em toneladas de CO</t>
    </r>
    <r>
      <rPr>
        <vertAlign val="subscript"/>
        <sz val="10"/>
        <rFont val="Times New Roman"/>
        <family val="1"/>
      </rPr>
      <t>2</t>
    </r>
    <r>
      <rPr>
        <sz val="10"/>
        <rFont val="Times New Roman"/>
        <family val="1"/>
      </rPr>
      <t>e/habitante)</t>
    </r>
  </si>
  <si>
    <t>(EG rodoviário / EG) x 100</t>
  </si>
  <si>
    <t>EG/P</t>
  </si>
  <si>
    <t>ainda não apurado como indicador</t>
  </si>
  <si>
    <t>3.2.1</t>
  </si>
  <si>
    <t>3.2.2</t>
  </si>
  <si>
    <t>AB[NS.NR]</t>
  </si>
  <si>
    <t>ABts[NS.NR]</t>
  </si>
  <si>
    <t>ABts[b]</t>
  </si>
  <si>
    <t>ABts[o]</t>
  </si>
  <si>
    <t>Atc[rg]</t>
  </si>
  <si>
    <t>ruim (usado como complemento de AB, Atc, Ats)</t>
  </si>
  <si>
    <t>regular  (usado como complemento de AB, Atc, Ats)</t>
  </si>
  <si>
    <t>ruim + péssimo (usado como complemento de AB, Atc, Ats)</t>
  </si>
  <si>
    <t>péssimo (usado como complemento de AB, Atc, Ats)</t>
  </si>
  <si>
    <t>ótimo + bom (usado como complemento de AB, Atc, Ats)</t>
  </si>
  <si>
    <t>trânsito (usado como complemento de A, AB)</t>
  </si>
  <si>
    <t>ótimo (usado como complemento de AB, Atc, Ats)</t>
  </si>
  <si>
    <r>
      <t>1998</t>
    </r>
    <r>
      <rPr>
        <b/>
        <sz val="8"/>
        <color theme="1"/>
        <rFont val="Times New Roman"/>
        <family val="1"/>
      </rPr>
      <t xml:space="preserve">
mar/98 para Pesquisas externas de opinião e 1998 para demais</t>
    </r>
  </si>
  <si>
    <r>
      <t>2000</t>
    </r>
    <r>
      <rPr>
        <b/>
        <sz val="8"/>
        <color theme="1"/>
        <rFont val="Times New Roman"/>
        <family val="1"/>
      </rPr>
      <t xml:space="preserve">
fev/00 para Pesquisas externas de opinião e 2000 para demais</t>
    </r>
  </si>
  <si>
    <t>AB = ((AB[o]x5)+(AB[b]x4)+ (AB[rg]x3)+(AB[r]x2)+ (AB[p]x1))/(100-AB[NS.NR])</t>
  </si>
  <si>
    <t>Atc = ((Atc[o]x5)+(Atc[b]x4)+ (Atc[rg]x3)+(Atc[r]x2)+ (Atc[p]x1))/(100-Atc[NS.NR])</t>
  </si>
  <si>
    <t>AB[tc] = ((ABtc[o]x5)+ (ABtc[b]x4) + (ABtc[rg]x3) + (ABtc[r]x2)+(ABtc[p]x1))/(100-AB[NS.NR])</t>
  </si>
  <si>
    <t>AB[ts] = ((ABts[o]x5)+ (ABts[b]x4) + (ABts[rg]x3) + (ABts[r]x2) + (ABts[p]x1)) / (100-AB[NS.NR])</t>
  </si>
  <si>
    <t>permissão de táxi delegada a permissionário de táxi pessoa física</t>
  </si>
  <si>
    <t>permissão de táxi delegada a permissionário de táxi pessoa jurídica</t>
  </si>
  <si>
    <t>motofrentistas (usado como complemento de vf)</t>
  </si>
  <si>
    <t>categoria não utilizada pelo Denatran e utilizada pelo Detran-MG como "side-car" (usado como complemento de F)</t>
  </si>
  <si>
    <t>∑ alunos atendidos em todos os programas de janeiro a dezembro de cada ano
registro da fonte</t>
  </si>
  <si>
    <t>programa "O jovem e a mobilidade" (complemento de E e de AL)</t>
  </si>
  <si>
    <t>Rede viária</t>
  </si>
  <si>
    <t>ainda não incorporado ao SisMob-BH</t>
  </si>
  <si>
    <t>registro da fonte 
(arterial central + arterial primária + arterial secundária)</t>
  </si>
  <si>
    <t>registro da fonte 
(coletora primária + coletora secundária)</t>
  </si>
  <si>
    <t>registro da fonte
(arterial central + arterial primária + arterial secundária)</t>
  </si>
  <si>
    <t>registro da fonte
(coletora primária + coletora secundária)</t>
  </si>
  <si>
    <t>Recursos humanos</t>
  </si>
  <si>
    <t>n.º total de empregados  da BHTrans por mil veículos</t>
  </si>
  <si>
    <t>(RH/F) x 1.000</t>
  </si>
  <si>
    <t>n.º total de empregados  da BHTrans por milhão de habitantes</t>
  </si>
  <si>
    <t>(RH/P) x 1.000.000</t>
  </si>
  <si>
    <r>
      <t>(RH</t>
    </r>
    <r>
      <rPr>
        <vertAlign val="subscript"/>
        <sz val="10"/>
        <color theme="1"/>
        <rFont val="Times New Roman"/>
        <family val="1"/>
      </rPr>
      <t>d</t>
    </r>
    <r>
      <rPr>
        <sz val="10"/>
        <color theme="1"/>
        <rFont val="Times New Roman"/>
        <family val="1"/>
      </rPr>
      <t xml:space="preserve"> / RH</t>
    </r>
    <r>
      <rPr>
        <vertAlign val="subscript"/>
        <sz val="10"/>
        <color theme="1"/>
        <rFont val="Times New Roman"/>
        <family val="1"/>
      </rPr>
      <t>dr</t>
    </r>
    <r>
      <rPr>
        <sz val="10"/>
        <color theme="1"/>
        <rFont val="Times New Roman"/>
        <family val="1"/>
      </rPr>
      <t>) x 100</t>
    </r>
  </si>
  <si>
    <t>eh</t>
  </si>
  <si>
    <t>seh</t>
  </si>
  <si>
    <t>Transporte escolar</t>
  </si>
  <si>
    <t>idade média da frota de transporte escolar</t>
  </si>
  <si>
    <t>k</t>
  </si>
  <si>
    <t>mv</t>
  </si>
  <si>
    <t>IM escolar</t>
  </si>
  <si>
    <t>IM escolar(o)</t>
  </si>
  <si>
    <t>IM escolar(mv)</t>
  </si>
  <si>
    <t>IM escolar(k)</t>
  </si>
  <si>
    <t>F escolar</t>
  </si>
  <si>
    <t>F escolar(k)</t>
  </si>
  <si>
    <t>F escolar(mv)</t>
  </si>
  <si>
    <t>F escolar(o)</t>
  </si>
  <si>
    <t>F escolar(k) + F Escolar(mv) + F escolar (o)</t>
  </si>
  <si>
    <t>F escolar(ac)</t>
  </si>
  <si>
    <t>percentual de veículos acessíveis do transporte escolar em relação à frota total
obs.: falta conceituar o que seja um "veículo acessível" no transporte escolar</t>
  </si>
  <si>
    <t>ônibus (usado como complemento de "IM escolar")</t>
  </si>
  <si>
    <t>ESC acompanhantes</t>
  </si>
  <si>
    <t>ESC operadores</t>
  </si>
  <si>
    <t>ESC auxiliares</t>
  </si>
  <si>
    <t>operadores</t>
  </si>
  <si>
    <t>acompanhantes</t>
  </si>
  <si>
    <t>kombi (usado como complemento de "IM escolar")</t>
  </si>
  <si>
    <t>(IM escolar(k) x F escolar(k)) + (IM escolar(mv) x F escolar (mv))  (IM escolar(o) x F escolar (ok)) / F escolar</t>
  </si>
  <si>
    <t>sim</t>
  </si>
  <si>
    <t>Pesquisas internas</t>
  </si>
  <si>
    <t>n.º total de solicitações registradas</t>
  </si>
  <si>
    <t>n.º total de solicitações e reclamações registradas</t>
  </si>
  <si>
    <t>∑TR / RS</t>
  </si>
  <si>
    <t>n.º total de reclamações registradas envolvendo acessibilidade</t>
  </si>
  <si>
    <t>Atendimento ao usuário em geral</t>
  </si>
  <si>
    <t>não</t>
  </si>
  <si>
    <t>classe "monitorada" de qualidade do ar, que é calculada pelo percentual de dias do ano nos quais a qualidade do ar foi classificada em alguma das classes (boa, regular, inadequada ou má)</t>
  </si>
  <si>
    <t>(CQA boa) + (CQA regular) + (CQA inadequada) + (CQA má)</t>
  </si>
  <si>
    <t>((n.º de dias do ano - PM10 omissos) / n.º de dias do ano) x 100</t>
  </si>
  <si>
    <t>PM10 média x 0,5431</t>
  </si>
  <si>
    <t>Pollutant Standards Index</t>
  </si>
  <si>
    <t>(QA boa / Qa monitorada) x 100</t>
  </si>
  <si>
    <t>qualidade inadequada do ar, que é dada pela quantidade de dias a cada ano nos quais a qualidade do ar foi foi classificada como "inadequada"</t>
  </si>
  <si>
    <t>(CQA inadequada) x (n.º de dias do ano)</t>
  </si>
  <si>
    <t>qualidade má do ar, que é dada pela quantidade de dias a cada ano nos quais a qualidade do ar foi foi classificada como "má"</t>
  </si>
  <si>
    <t>(CQA má) x (n.º de dias do ano)</t>
  </si>
  <si>
    <t>qualidade regular do ar, que é dada pela quantidade de dias a cada ano nos quais a qualidade do ar foi foi classificada como "regular"</t>
  </si>
  <si>
    <t>(CQA regular) x (n.º de dias do ano)</t>
  </si>
  <si>
    <t>qualidade do ar "omissos", que é dada pela quantidade de dias a cada ano nos quais a qualidade do ar não foi foi monitorada</t>
  </si>
  <si>
    <t>(CQA omissos) x (n.º de dias do ano)</t>
  </si>
  <si>
    <t>Poluição do ar</t>
  </si>
  <si>
    <t>Poluição sonora</t>
  </si>
  <si>
    <t>Resíduos e efluentes</t>
  </si>
  <si>
    <t>registro da fonte: (QA boa) + (QA regular) + (QA inadequada) + (QA má)</t>
  </si>
  <si>
    <t>PcD</t>
  </si>
  <si>
    <t>significa: pessoa com deficiência</t>
  </si>
  <si>
    <t>geral</t>
  </si>
  <si>
    <t>acessibilidade</t>
  </si>
  <si>
    <t>sem resultados</t>
  </si>
  <si>
    <t>gestão BHTrans</t>
  </si>
  <si>
    <t>praça integrada</t>
  </si>
  <si>
    <t>relativo a "lotação" (usado como complemento de TX)</t>
  </si>
  <si>
    <t>relativo a "especial" (usado como complemento de TX)</t>
  </si>
  <si>
    <t>TX(BH)cn + TX(IB)cn + TX(RN)cn+TX(SB)cn+TX(CT)cn</t>
  </si>
  <si>
    <t>Avaliações em pesquisas externas de opinião</t>
  </si>
  <si>
    <t>Outras questões em pesquisas externas de opinião</t>
  </si>
  <si>
    <t>Pesquisas externas</t>
  </si>
  <si>
    <r>
      <t xml:space="preserve">2000
</t>
    </r>
    <r>
      <rPr>
        <b/>
        <sz val="8"/>
        <color theme="1"/>
        <rFont val="Times New Roman"/>
        <family val="1"/>
      </rPr>
      <t>nov./00
só para Pesquisas externas de opinião</t>
    </r>
  </si>
  <si>
    <t>RPI</t>
  </si>
  <si>
    <t>(F escolar(ac) / F escolar) x 100</t>
  </si>
  <si>
    <t>(ITTac/ICP) x 100</t>
  </si>
  <si>
    <t>(LSac / LS) x 100</t>
  </si>
  <si>
    <t>(LSBdv / LS) x 100</t>
  </si>
  <si>
    <t>ICP</t>
  </si>
  <si>
    <t>ITT + ITS + ITP</t>
  </si>
  <si>
    <t xml:space="preserve">n.º total de vagas físicas reservadas para inclusão, ou seja, para idoso ou para pessoa com deficiência em quarteirão rotativo </t>
  </si>
  <si>
    <t>n.º total de vagas físicas reservadas para inclusão, ou seja, para idoso ou para pessoa com deficiência em quarteirão de estacionamento livre</t>
  </si>
  <si>
    <r>
      <t xml:space="preserve">1998
</t>
    </r>
    <r>
      <rPr>
        <b/>
        <sz val="8"/>
        <rFont val="Times New Roman"/>
        <family val="1"/>
      </rPr>
      <t>nov./98
só para Pesquisas externas de opinião</t>
    </r>
  </si>
  <si>
    <t>metas e requisitos</t>
  </si>
  <si>
    <t>meta/RPI</t>
  </si>
  <si>
    <t>RPI municipal</t>
  </si>
  <si>
    <t>Atc[o/b]
meta</t>
  </si>
  <si>
    <t>meta BHTrans</t>
  </si>
  <si>
    <t>Acidentes de trânsito</t>
  </si>
  <si>
    <t>M por 100 mil habitantes
(meta)</t>
  </si>
  <si>
    <t>M por 100 mil habitantes</t>
  </si>
  <si>
    <t>em apuração</t>
  </si>
  <si>
    <t>AV por 100 mil habitsntes</t>
  </si>
  <si>
    <t>n.º de acidentes de trânsito com bicicleta com vítima por 10 mil veículos 
obs.: nos relatórios anuais de acidentes de trânsito da BHTrans este indicador é denominado "taxa de acidentes com bicicletas por 10.000 veículos"</t>
  </si>
  <si>
    <t>n.º de acidentes de trânsito com bicicleta com vítima por 100 mil habitantes</t>
  </si>
  <si>
    <t>IAF</t>
  </si>
  <si>
    <t>(M/F) x 10.000</t>
  </si>
  <si>
    <t>(M/P) x 100.000</t>
  </si>
  <si>
    <t>(M/AV) x 1.000</t>
  </si>
  <si>
    <t>(M30/F) x 10.000</t>
  </si>
  <si>
    <t>(M30/P) x 100.000</t>
  </si>
  <si>
    <t>(M30/AV) x 1.000</t>
  </si>
  <si>
    <t>(Mb/F) x 10.000</t>
  </si>
  <si>
    <t>(Mb/P) x 100.000</t>
  </si>
  <si>
    <t>(Mb/AVb) x 1.000</t>
  </si>
  <si>
    <t>(NF/F) x 10.000</t>
  </si>
  <si>
    <t>(NF/P) x 100.000</t>
  </si>
  <si>
    <t>n.º de vítimas não fatais por mil acidentes de trânsito com vítimas</t>
  </si>
  <si>
    <t>(NF/AV) x 1.000</t>
  </si>
  <si>
    <t>(NFb/F) x 10.000</t>
  </si>
  <si>
    <t>n.º de vítimas não fatais em acidentes de trânsito com bicicleta por 100 mil habitantes</t>
  </si>
  <si>
    <t>(NFb/P) x 100.000</t>
  </si>
  <si>
    <t>n.º de vítimas (ciclistas) não fatais por mil acidentes de trânsito com bicicleta</t>
  </si>
  <si>
    <t>(NFb/AVb) x 1.000</t>
  </si>
  <si>
    <t>(T/F) x 10.000</t>
  </si>
  <si>
    <t>n.º de acidentes de trânsito com atropelamento de pessoa por 100 mil habitantes</t>
  </si>
  <si>
    <t>(T/P) x 100.000</t>
  </si>
  <si>
    <t>n.º de acidentes de trânsito com atropelamento de pessoa por mil acidentes com vítima</t>
  </si>
  <si>
    <t>(T/AV) x 1.000</t>
  </si>
  <si>
    <t>n.º total de vítimas em acidentes de trânsito por 10 mil veículos</t>
  </si>
  <si>
    <t>(V/F) x 10.000</t>
  </si>
  <si>
    <t>n.º total de vítimasem acidentes de trânsito por 100 mil habitantes</t>
  </si>
  <si>
    <t>(V/P) x 100.000</t>
  </si>
  <si>
    <t>n.º total de vítimas por mil acidentes de trânsito com vítima</t>
  </si>
  <si>
    <t>(V/AV) x 1.000</t>
  </si>
  <si>
    <t>n.º de ciclistas mortos em acidentes de trânsito por 10 mil veículos
obs.: nos relatórios anuais de acidentes de trânsito da BHTrans este indicador é denominado "taxa de mortalidade ciclistas por 10.000 veículos"</t>
  </si>
  <si>
    <t>n.º de ciclistas mortos em acidentes de trânsito por 100 mil habitantes
obs.: nos relatórios anuais de acidentes de trânsito da BHTrans este indicador é denominado "taxa de mortalidade de ciclistas por 100.000 habitantes"</t>
  </si>
  <si>
    <t>n.º de ciclistas mortos por mil acidentes de trânsito com bicicleta com vítima
obs.: nos relatórios anuais de acidentes de trânsito da BHTrans este indicador é denominado "taxa de mortalidade de ciclistas por 1.000 acidentes com bicicletas"</t>
  </si>
  <si>
    <t xml:space="preserve">n.º de vítimas não fatais em acidentes de trânsito com bicicleta por 10 mil veículos
obs.: nos relatórios anuais de acidentes de trânsito da BHTrans este indicador é denominado "ciclistas vítimas não fatais por 10.000 veículos" </t>
  </si>
  <si>
    <t>n.º de acidentes de trânsito com atropelamento de pessoa por 10 mil veículos
obs.: nos relatórios anuais de acidentes de trânsito da BHTrans este indicador é denominado "taxa de atropelamentos por 10.000 veículos"</t>
  </si>
  <si>
    <t>n.º total de vítimas em acidentes de trânsito com bicicleta
obs.: nos relatórios anuais de acidentes de trânsito da BHTrans este indicador é denominado "total de vítimas acidentes com bicicletas"</t>
  </si>
  <si>
    <t>(AV/F) x 10.000</t>
  </si>
  <si>
    <t>(AV/P) x 100.000</t>
  </si>
  <si>
    <t>(AVb/F) x 10.000</t>
  </si>
  <si>
    <t>(AVb/P) x 100.000</t>
  </si>
  <si>
    <t>M30(BH)</t>
  </si>
  <si>
    <t>M30(BH) por 10 mil veículos</t>
  </si>
  <si>
    <t>M30(BH) por mil AV</t>
  </si>
  <si>
    <t>benchmarking</t>
  </si>
  <si>
    <t>SP</t>
  </si>
  <si>
    <t>(mortes no trânsito (SP) / F(SP)) x 10.000</t>
  </si>
  <si>
    <t>(mortes no trânsito (SP) / P(SP)) x 100.000</t>
  </si>
  <si>
    <t>taxa de crescimento anual da população de Belo Horizonte</t>
  </si>
  <si>
    <t>taxa de crescimento da população de Belo Horizonte entre censos</t>
  </si>
  <si>
    <t>Ações educativas</t>
  </si>
  <si>
    <t>Gratuidades e descontos</t>
  </si>
  <si>
    <t>Distribuição modal em pesquisas de opinião</t>
  </si>
  <si>
    <t>DMtc = DMônibus + DMmetrô + Dmsuplementar</t>
  </si>
  <si>
    <t>DM ônibus
(P.Op.)</t>
  </si>
  <si>
    <t>DM
suplementar
(P.Op.)</t>
  </si>
  <si>
    <t>DM metrô
(P.Op.)</t>
  </si>
  <si>
    <t>DM ti
(P.Op.)</t>
  </si>
  <si>
    <t>DM tc
(P.Op.)</t>
  </si>
  <si>
    <t>DM a
(P.Op.)</t>
  </si>
  <si>
    <t>DM táxi
(P.Op.)</t>
  </si>
  <si>
    <t>DM táxi-lotação
(P.Op.)</t>
  </si>
  <si>
    <t>DM nm
(P.Op.)</t>
  </si>
  <si>
    <t>DM b
(P.Op.)</t>
  </si>
  <si>
    <t>ônibus</t>
  </si>
  <si>
    <t>(usado como complemento de "ESC")</t>
  </si>
  <si>
    <t>metrô</t>
  </si>
  <si>
    <t>usado como complemento de "DM (P.Op.)"</t>
  </si>
  <si>
    <t>DM mm
(P.Op.)</t>
  </si>
  <si>
    <t>NS/NR/outros</t>
  </si>
  <si>
    <t>não sabe + não respondeu  (usado como complemento de "AB", "Atc", "Ats")</t>
  </si>
  <si>
    <t>não sabe + não respondeu + outros (usado como complemento de "DM (P.Op.)")</t>
  </si>
  <si>
    <t>relativo ao modo "motocicletas e motonetas" (usado como complemento de "DM (P.Op.)")</t>
  </si>
  <si>
    <t>DM tpb
(P.Op.)
Brasil</t>
  </si>
  <si>
    <t>DM tpb
(P.Op.)
Centro-Oeste do Brasil</t>
  </si>
  <si>
    <t>DM tpb
(P.Op.)
Nordeste do Brasil</t>
  </si>
  <si>
    <t>DM tpb
(P.Op.)
Norte do Brasil</t>
  </si>
  <si>
    <t>DM tpb
(P.Op.)
Sudeste do Brasil</t>
  </si>
  <si>
    <t>DM tpb
(P.Op.)
Sul do Brasil</t>
  </si>
  <si>
    <t>transporte público de pessoas (usado como complemento de "DM (P.Op.)")</t>
  </si>
  <si>
    <t>DM tc
(P.Op.)
Brasil</t>
  </si>
  <si>
    <t>DM tc
(P.Op.)
Centro-Oeste e Norte do Brasil</t>
  </si>
  <si>
    <t>DM tc
(P.Op.)
Sudeste do Brasil</t>
  </si>
  <si>
    <t>DM tc
(P.Op.)
cidades &gt; 100 mil habitantes do Brasil</t>
  </si>
  <si>
    <t>DM tc
(P.Op.)
Sul do Brasil</t>
  </si>
  <si>
    <t>DM
(P.Op.)</t>
  </si>
  <si>
    <t>participação percentual do táxi-lotação na distribuição modal com base nas pesquisas de opinião</t>
  </si>
  <si>
    <t>participação percentual do transporte individual de pessoas na distribuição modal com base nas pesquisas de opinião)</t>
  </si>
  <si>
    <t>Distribuição modal em pesquisas origem/destino</t>
  </si>
  <si>
    <t>2.5</t>
  </si>
  <si>
    <t>conjunto (somatória) de deslocamentos necessários para ir de um ponto a outro em uma pesquisa origem/destino; no caso de utilização de mais de um modo de transporte em uma mesma viagem, essa viagem é contada como sendo a do deslocamento no modo de maior capacidade, ou seja, por exemplo: metrô + ônibus = metrô; ônibus + automóvel = ônibus (o SisMob-BH buscará, sempre que possível, os resultados relativos a Belo Horizonte e à RMBH)</t>
  </si>
  <si>
    <t>DM
(O/D)</t>
  </si>
  <si>
    <t>pesquisa de opinião (usado como complemento de "DM")</t>
  </si>
  <si>
    <t>pesquisa decenal origem/destino (usado como complemento de "DM")</t>
  </si>
  <si>
    <t>transporte não motorizado</t>
  </si>
  <si>
    <t>transporte motorizado</t>
  </si>
  <si>
    <t>este resultado não aparece separado nas pesquisas de opinião: ver "DM táxi"</t>
  </si>
  <si>
    <t>DM pé 
(P.Op.)</t>
  </si>
  <si>
    <t>DM NS/NR/outros
(P.Op.)</t>
  </si>
  <si>
    <t>transporte individual (usado como complemento de "DM (P.Op.)")</t>
  </si>
  <si>
    <t>pé</t>
  </si>
  <si>
    <t>participação percentual do transporte não motorizado na distribuição modal com base nas pesquisas de opinião</t>
  </si>
  <si>
    <t>DM b + DM pé</t>
  </si>
  <si>
    <t>Fiscalização urbanística integrada</t>
  </si>
  <si>
    <t>definição
∑ nota de cada endereço com relação aos quesitos sob a responsabilidade dos fiscais urbanísticos / n.º de pontuações aplicadas</t>
  </si>
  <si>
    <t>Avenida Antônio Abrão Caran como um todo (usado como complemento de "URB")</t>
  </si>
  <si>
    <t>estacionamento regular no afastamento frontal (usado como complemento de "URB")</t>
  </si>
  <si>
    <t>Avenida Afonso Pena como um todo (usado como complemento de "URB")</t>
  </si>
  <si>
    <t>área verde pública sem estacionamento irregular (usado como complemento de "URB")</t>
  </si>
  <si>
    <t>área verde pública sem ocupação irregular (usado como complemento de "URB")</t>
  </si>
  <si>
    <t>quesitos da fiscalização urbanística integrada sob a responsabilidade dos fiscais urbanísticos (posturas, obras, limpeza etc) da PBH  (usado como complemento de "URB")</t>
  </si>
  <si>
    <t>inclinação (sem piso tátil) em passeio de acordo com as normas (usado como complemento de "URB")</t>
  </si>
  <si>
    <t>deposição de lixo (usado como complemento de "URB")</t>
  </si>
  <si>
    <t>deposição regular do lixo (usado como complemento de "URB")</t>
  </si>
  <si>
    <t>outros quesitos diversos da fiscalização urbanística integrada sob a responsabilidade dos fiscais urbanísticos (posturas, obras, limpeza etc) da PBH (usado como complemento de "URB")</t>
  </si>
  <si>
    <t>Avenida das Palmeiras como um todo (usado como complemento de "URB")</t>
  </si>
  <si>
    <t>publicidade em situação regular (usado como complemento de "URB")</t>
  </si>
  <si>
    <t>passeio conservado (usado como complemento de "URB")</t>
  </si>
  <si>
    <t>ponto de embarque desembarque (PED) do transporte coletivo com abrigo implantado conforme normas (usado como complemento de "URB")</t>
  </si>
  <si>
    <t>passeio com piso tátil e inclinação de acordo com as normas (usado como complemento de "URB")</t>
  </si>
  <si>
    <t>piso tátil (sem inclinação) em passeio de acordo com as normas (usado como complemento de "URB")</t>
  </si>
  <si>
    <t>passeio sem veículo estacionado (usado como complemento de "URB")</t>
  </si>
  <si>
    <t>Avenida Raja Gabáglia como um todo (usado como complemento de "URB")</t>
  </si>
  <si>
    <t>Avenida Silviano Brandão como um todo (usado como complemento de "URB")</t>
  </si>
  <si>
    <t>Avenida Santa Rosa como um todo (usado como complemento de "URB")</t>
  </si>
  <si>
    <t>travessia de pedestres com guias rebaixadas de acordo com as normas (usado como complemento de "URB")</t>
  </si>
  <si>
    <t>quesitos da fiscalização urbanística integrada sob a responsabilidade da Unidade Integrada de Trânsito (usado como complemento de "URB")</t>
  </si>
  <si>
    <t>diretrizes viárias  (usado com complemento de "AN")</t>
  </si>
  <si>
    <t>empreendimento de impacto  (usado com complemento de "AN")</t>
  </si>
  <si>
    <t>posto de abastecimento de combustíveis (usado com complemento de "AN")</t>
  </si>
  <si>
    <t>projeto viário (usado com complemento de "AN")</t>
  </si>
  <si>
    <t>30 dias de prazo (usado com complemento de "AN", "ANdv", "ANei", "ANpc","ANpv")</t>
  </si>
  <si>
    <r>
      <t xml:space="preserve">análises de solicitações que envolvem a legislação urbanística, que são atualmente divididas em quatro tipos: "ANdv", "ANei", "ANpc" e "ANpv"
</t>
    </r>
    <r>
      <rPr>
        <b/>
        <sz val="10"/>
        <rFont val="Times New Roman"/>
        <family val="1"/>
      </rPr>
      <t>obs.1:</t>
    </r>
    <r>
      <rPr>
        <sz val="10"/>
        <rFont val="Times New Roman"/>
        <family val="1"/>
      </rPr>
      <t xml:space="preserve"> há resultados apurados mensalmente nos resultados gerenciais da área responsável, com o resultado anual sendo tomado no SisMob-BH como sendo o apurado em dezembro
</t>
    </r>
    <r>
      <rPr>
        <b/>
        <sz val="10"/>
        <rFont val="Times New Roman"/>
        <family val="1"/>
      </rPr>
      <t xml:space="preserve">obs.2: </t>
    </r>
    <r>
      <rPr>
        <sz val="10"/>
        <rFont val="Times New Roman"/>
        <family val="1"/>
      </rPr>
      <t>os resultados de ANpv iniciam-se em 2013 e os demais em 2011</t>
    </r>
  </si>
  <si>
    <t>AM</t>
  </si>
  <si>
    <t>usado como complemento de "ESC"</t>
  </si>
  <si>
    <t>usado como complemento de "IM" e de "F"</t>
  </si>
  <si>
    <t>kombi do transporte escolar (usado como complemento de "IM")</t>
  </si>
  <si>
    <t>microônibus e van do transporte escolar (usado como complemento de "IM")</t>
  </si>
  <si>
    <t>ônibus do transporte escolar (usado como complemento de "IM")</t>
  </si>
  <si>
    <t>Resultados econômico-financeiros</t>
  </si>
  <si>
    <t>Operação/fiscalização em geral</t>
  </si>
  <si>
    <t>notificação de aplicação de penalidade de trânsito aplicada a partir de equipamentos instalados para controle de invasão de faixa</t>
  </si>
  <si>
    <t>notificação de aplicação de penalidade de trânsito aplicada a partir de equipamentos instalados para controle de avanço de sinal vermelho</t>
  </si>
  <si>
    <t>notificação de aplicação de penalidade de trânsito aplicada a partir de equipamentos instalados para controle de velocidade</t>
  </si>
  <si>
    <t>Infrações de trânsito</t>
  </si>
  <si>
    <t>F ônibus</t>
  </si>
  <si>
    <t>Qualidade da informação</t>
  </si>
  <si>
    <t>NPO (RMSP)</t>
  </si>
  <si>
    <t>Relacionamento com a sociedade organizada</t>
  </si>
  <si>
    <t>Controle operacional</t>
  </si>
  <si>
    <t>Defesas e recursos de autuações</t>
  </si>
  <si>
    <t>Infrações de transporte</t>
  </si>
  <si>
    <t>Bilhetagem eletrônica</t>
  </si>
  <si>
    <t>BRT</t>
  </si>
  <si>
    <t>Estações BHBUS</t>
  </si>
  <si>
    <t>Transporte em vilas e favelas</t>
  </si>
  <si>
    <t>Sinalização estatigráfica</t>
  </si>
  <si>
    <t>Transporte convencional</t>
  </si>
  <si>
    <t>meta PBH</t>
  </si>
  <si>
    <t>- 7 mil GgCO2e</t>
  </si>
  <si>
    <t>CMMCE</t>
  </si>
  <si>
    <t>marcador 1</t>
  </si>
  <si>
    <t>marcador 2</t>
  </si>
  <si>
    <t>contadores para totalizações do Quadro 101</t>
  </si>
  <si>
    <t>assunto</t>
  </si>
  <si>
    <t>contador de indicador</t>
  </si>
  <si>
    <t>Mapa de Controle Operacional do transporte coletivo de Belo Horizonte</t>
  </si>
  <si>
    <t xml:space="preserve">MCO </t>
  </si>
  <si>
    <t>média mensal da produção quilométrica do transporte coletivo convencional (em km)</t>
  </si>
  <si>
    <t>média mensal do n.º de viagens realizadas do transporte coletivo convencional</t>
  </si>
  <si>
    <t>média mensal do n.º de viagens especificadas do transporte coletivo convencional no ano</t>
  </si>
  <si>
    <t>média mensal do n.º de viagens omitidas do transporte coletivo convencional</t>
  </si>
  <si>
    <t>média mensal do n.º de viagens atrasadas do transporte coletivo convencional</t>
  </si>
  <si>
    <t>média mensal do n.º de passageiros transportados gratuitamente com utilização do cartão BHBus benefício do transporte coletivo convencional</t>
  </si>
  <si>
    <t>EMP tcc</t>
  </si>
  <si>
    <t>IDO tcc</t>
  </si>
  <si>
    <t>IMF tcc</t>
  </si>
  <si>
    <t>IPK tcc</t>
  </si>
  <si>
    <t>NL tcc</t>
  </si>
  <si>
    <t>NPG tcc(ano)</t>
  </si>
  <si>
    <t>NPG tcc(mês)</t>
  </si>
  <si>
    <t>NVA tcc(ano)</t>
  </si>
  <si>
    <t>NVA tcc(mês)</t>
  </si>
  <si>
    <t>NVE tcc(ano)</t>
  </si>
  <si>
    <t>NVE tcc(mês)</t>
  </si>
  <si>
    <t>NVO tcc(mês)</t>
  </si>
  <si>
    <t>PQ tcc(ano)</t>
  </si>
  <si>
    <t>PQ tcc(mês)</t>
  </si>
  <si>
    <t>NP tcc(mês) / 
PQ tcc(mês)</t>
  </si>
  <si>
    <t>NVA tcc(ano) / 12</t>
  </si>
  <si>
    <t>NVE tcc(ano) / 12</t>
  </si>
  <si>
    <t>NVO tcc(ano) / 12</t>
  </si>
  <si>
    <t>NVR tcc(ano) / 12</t>
  </si>
  <si>
    <t>tcc</t>
  </si>
  <si>
    <t>percentual de viagens omitidas do transporte coletivo convencional no ano</t>
  </si>
  <si>
    <t>GR da</t>
  </si>
  <si>
    <t>GR df</t>
  </si>
  <si>
    <t>GR dm</t>
  </si>
  <si>
    <t>GR dv</t>
  </si>
  <si>
    <t>GR</t>
  </si>
  <si>
    <t>da</t>
  </si>
  <si>
    <t>pessoa com deficiência auditiva (usado como complemento de "GR")</t>
  </si>
  <si>
    <t>dm</t>
  </si>
  <si>
    <t>pessoa com deficiência mental (usado como complemento de "GR")</t>
  </si>
  <si>
    <t>pessoa com doença renal crônica (usado como complemento de "GR")</t>
  </si>
  <si>
    <t>drc</t>
  </si>
  <si>
    <t>GR drc</t>
  </si>
  <si>
    <t>8.10</t>
  </si>
  <si>
    <t>Sistema de transporte coletivo com um todo</t>
  </si>
  <si>
    <t>R tcc por milhão de passageiros</t>
  </si>
  <si>
    <t>R suplementar por milhão de passageiros</t>
  </si>
  <si>
    <t>IMF suplementar</t>
  </si>
  <si>
    <t>NP metrô (dia)</t>
  </si>
  <si>
    <t>Metrô</t>
  </si>
  <si>
    <t>EVb / P</t>
  </si>
  <si>
    <t>Calçadas e passarelas</t>
  </si>
  <si>
    <t>Implantação de projetos</t>
  </si>
  <si>
    <t>agentes de trânsito (usado como complemento de "RH" e de "R")</t>
  </si>
  <si>
    <t>pessoa com deficiência (usado como complemento de "RH" e de "RT" e "CRE")</t>
  </si>
  <si>
    <t>pessoa com deficiência física (usado como complemento de "CRE" e de "GR")</t>
  </si>
  <si>
    <t>pessoa com deficiência visual (usado como complemento de "CRE" e de "GR")</t>
  </si>
  <si>
    <t>bicicletário</t>
  </si>
  <si>
    <t>Sistema de bicicleta</t>
  </si>
  <si>
    <t>item</t>
  </si>
  <si>
    <t>Resultados do Quadro 100 (vinculado) para elaboração dos gráficos</t>
  </si>
  <si>
    <r>
      <rPr>
        <b/>
        <sz val="10"/>
        <color theme="1"/>
        <rFont val="Times New Roman"/>
        <family val="1"/>
      </rPr>
      <t xml:space="preserve">obs.: </t>
    </r>
    <r>
      <rPr>
        <sz val="10"/>
        <color theme="1"/>
        <rFont val="Times New Roman"/>
        <family val="1"/>
      </rPr>
      <t>para escolha dos indicadores a serem aqui comparados, considerou-se que "M30 - n.º de mortos até 30 dias depois do acidente" em Belo Horizonte" (acesso ao SisMob-BH em 05/01/2015) é equivalente a "Mortos no trânsito - Número total de óbitos em acidentes de trânsito. São considerados mortes de: ciclistas, notociclistas, pedestres, motoristas e passageiros. São consideradas mortes no local ou posteriores, independente da data em que tenha ocorrido o acidente" (acesso ao ObservaSampa em 05/01/2015) em São Paulo. Feito o contato pelo SisMob-BH, em 05/01/2015, arguindo o conceito de "Mortes no Trânsito", o ObservaSampa substituiu a expressão final "independente da data em que tenha ocorrido o acidente" por "até 30 dias após a data do acidente" (acesso em 03/02/2015), o que endossa a viabilidade de comparar os resultados dos dois indicadores.</t>
    </r>
  </si>
  <si>
    <t>nov./2000</t>
  </si>
  <si>
    <t>mar./1998</t>
  </si>
  <si>
    <t>nov./1998</t>
  </si>
  <si>
    <t>fev./2000</t>
  </si>
  <si>
    <t>Atc (meta)</t>
  </si>
  <si>
    <t>n.º de interseções com pelo menos um foco de pedestres, ou seja, n.º total de interseções com semáforo para veículos onde em pelo menos um dos movimentos possíveis há foco específico para os pedestres</t>
  </si>
  <si>
    <t>EEml
(meta de redução)</t>
  </si>
  <si>
    <t>EEml
(base 2004)</t>
  </si>
  <si>
    <t>EEml
(base 2010)</t>
  </si>
  <si>
    <t>((EEml de cada ano - EEml ano 2004) / EEml ano 2004) x 100</t>
  </si>
  <si>
    <t>((EEml de cada ano - EEml ano 2010) / EEml ano 2010) x 100</t>
  </si>
  <si>
    <t>interseções semafóricas por milhão de habitantes</t>
  </si>
  <si>
    <t>Gráfico 91c</t>
  </si>
  <si>
    <t>Gráfico 91d</t>
  </si>
  <si>
    <t>Gráfico 91h</t>
  </si>
  <si>
    <t>Gráfico 91j</t>
  </si>
  <si>
    <t>Gráfico 92a - Evolução de RTvf e RTqr no estacionamento rotativo de Belo Horizonte (2001 a 2014)</t>
  </si>
  <si>
    <t>Gráfico 92b - Evolução de RTinf e RTrot no estacionamento rotativo de Belo Horizonte (2001 a 2014)</t>
  </si>
  <si>
    <t>Gráfico 92c - Evolução de n.º de talões vendidos e da receita bruta média mensal no estacionamento rotativo de Belo Horizonte (2001 a 2014)</t>
  </si>
  <si>
    <t>Gráfico 92d - Evolução dos n.º de vagas e de credenciais para utilização do estacionamento reservado para idosos e pessoas com deficiência em Belo Horizonte (2002 a 2014)</t>
  </si>
  <si>
    <t>Gráfico 92e - Evolução dos n.º de credenciais para utilização do estacionamento reservado para idosos e pessoas com deficiência em Belo Horizonte (2002 a 2014)</t>
  </si>
  <si>
    <t>Gráfico 92f - Evolução dos n.º de vagas de estacionamento reservado para idosos e pessoas com deficiência em Belo Horizonte (2002 a 2014)</t>
  </si>
  <si>
    <t>Gráfico 92g - Evolução das relações entre n.º de credenciais e n.º vagas para utilização de estacionamento reservado para idoso e para pessoa com deficiência em Belo Horizonte (2003 a 2014)</t>
  </si>
  <si>
    <t>Gráfico 92h - Evoluções dos percentuais de vagas reservadas para inclusão e suas comparações com os percentuais mínimos legais (2000 a 2014)</t>
  </si>
  <si>
    <t>Gráfico 95a - Evolução de ITT/ICP e de ICP/IS na sinalização semafórica de Belo Horizonte (2003-2014)</t>
  </si>
  <si>
    <t>Gráfico 95b - Evolução de n.º de locais e de consumo de energia elétrica da sinalização semafórica de Belo Horizonte (2003-2014)</t>
  </si>
  <si>
    <t>o resultado nesta planilha é obtido com fórmula</t>
  </si>
  <si>
    <t>LEGENDA</t>
  </si>
  <si>
    <t>indicador com gráfico publicado em aba deste arquivo excell (consulte pela numeração do "item")</t>
  </si>
  <si>
    <t>subtotal por assunto</t>
  </si>
  <si>
    <t>(EVtc arterial / EV arterial) x 100</t>
  </si>
  <si>
    <t>percentual da extensão viária coletora municipal utilizada pelo transporte coletivo em relação à extensão viária coletora total do município</t>
  </si>
  <si>
    <t>(EVtc coletora / EV coletora) x 100</t>
  </si>
  <si>
    <t>(EVtc ligação regional / EV ligação regional) x 100</t>
  </si>
  <si>
    <t>(EVtc local / EV local) x 100</t>
  </si>
  <si>
    <t>Gráfico 23a - Participação, por tipo, na rede viária de Belo Horizonte (2010)</t>
  </si>
  <si>
    <t>NPO (BH)</t>
  </si>
  <si>
    <t>RMSP</t>
  </si>
  <si>
    <t>1) Aspecto social e relação com a sociedade</t>
  </si>
  <si>
    <t>4) Fiscalização e operação do sistema de mobilidade</t>
  </si>
  <si>
    <t>DM tc motorizados (O/D)
(meta)</t>
  </si>
  <si>
    <t>em 2010=50%
em 2013=x</t>
  </si>
  <si>
    <t>em 2013=30%</t>
  </si>
  <si>
    <t>em 2010 e 2013=60%</t>
  </si>
  <si>
    <t>em 2013=55,5%</t>
  </si>
  <si>
    <t>em 2013=7,61</t>
  </si>
  <si>
    <t>em 2010=30,9% em 2013=x abandonada</t>
  </si>
  <si>
    <t>em 2010=54,9%
em 2013=x</t>
  </si>
  <si>
    <t>em 2013=33%</t>
  </si>
  <si>
    <t>em 2010 e 2013=38%</t>
  </si>
  <si>
    <t>em 2010 e 2013=57,6%</t>
  </si>
  <si>
    <t>congestiona-mento e saturação
(meta)</t>
  </si>
  <si>
    <t>em 2010=6%
em 2013=x</t>
  </si>
  <si>
    <t>em 2013=28%</t>
  </si>
  <si>
    <t>em 2010 e 2013=52%</t>
  </si>
  <si>
    <t>acessibilidade econômica</t>
  </si>
  <si>
    <t>acessibilidade econômica (meta)</t>
  </si>
  <si>
    <t>TM população mais pobre</t>
  </si>
  <si>
    <t>TM população mais pobre
(meta)</t>
  </si>
  <si>
    <t>em 2010=1,28
em 2013=x</t>
  </si>
  <si>
    <t>em 2010=1,42
em 2013=x</t>
  </si>
  <si>
    <t>porcentagem de utilização do sistema de transporte coletivo (indicador organizado pelo ObsMob-BH e selecionado pelo CMMCE)</t>
  </si>
  <si>
    <t>porcentagem de priorização viária do transporte coletivo (indicador organizado pelo ObsMob-BH e selecionado pelo CMMCE)</t>
  </si>
  <si>
    <t>velocidade operacional do transporte coletivo (indicador organizado pelo ObsMob-BH e selecionado pelo CMMCE)</t>
  </si>
  <si>
    <t>porcentagem de pontos de embarque do transporte coletivo municipal com informação em tempo real (indicador organizado pelo ObsMob-BH e selecionado pelo CMMCE)</t>
  </si>
  <si>
    <t>em processo de incorporação</t>
  </si>
  <si>
    <t>IDO convencional (Índice de Desempenho Operacional do transporte coletivo convencional) (indicador organizado pelo ObsMob-BH e selecionado pelo CMMCE)</t>
  </si>
  <si>
    <t>quantidades de vagas de estacionamento rotativo para veículos leves em áreas saturadas (indicador selecionado pelo CMMCE)</t>
  </si>
  <si>
    <t>n.º de bicicletas compartilhadas por habitante (indicador selecionado pelo CMMCE)</t>
  </si>
  <si>
    <t>porcentagem de aprovação nas inspeções da Operação Oxigênio (indicador selecionado pelo CMMCE)</t>
  </si>
  <si>
    <t>preço do estacionamento rotativo em relação ao preço do transporte coletivo (indicador selecionado pelo CMMCE)</t>
  </si>
  <si>
    <t>29,8%</t>
  </si>
  <si>
    <t>Gráficos de "Distribuição modal em pesquisas origem/destino"</t>
  </si>
  <si>
    <t>Gráficos de "Fiscalização urbanística integrada"</t>
  </si>
  <si>
    <t>Gráfico 21c - Evoluções (1996 a 2014) com base em pesquisas de opinião das participações do transporte coletivo, do transporte individual e do transporte não motorizado na distribuição modal em Belo Horizonte e referenciais comparativos externos (2010 e 2011)</t>
  </si>
  <si>
    <t>NPO(12 meses)</t>
  </si>
  <si>
    <t>fev.2000</t>
  </si>
  <si>
    <t>nov.2000</t>
  </si>
  <si>
    <t>mar.1998</t>
  </si>
  <si>
    <t>nov.1998</t>
  </si>
  <si>
    <t>referencial comparativo</t>
  </si>
  <si>
    <t>Gráfico 24b</t>
  </si>
  <si>
    <r>
      <rPr>
        <b/>
        <sz val="10"/>
        <color theme="1"/>
        <rFont val="Times New Roman"/>
        <family val="1"/>
      </rPr>
      <t>obs.:</t>
    </r>
    <r>
      <rPr>
        <sz val="10"/>
        <color theme="1"/>
        <rFont val="Times New Roman"/>
        <family val="1"/>
      </rPr>
      <t xml:space="preserve"> Estas informações são uma pequena parte do que começou a ser publicado em 26/08/2014 no seguinte assunto do SisMob-BH: 2) Belo Horizonte e RMBH / 2.1) Distribuição modal em pesquisas de opinião.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</si>
  <si>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0"/>
        <color theme="1"/>
        <rFont val="Times New Roman"/>
        <family val="1"/>
      </rPr>
      <t>obs.:</t>
    </r>
    <r>
      <rPr>
        <sz val="10"/>
        <color theme="1"/>
        <rFont val="Times New Roman"/>
        <family val="1"/>
      </rPr>
      <t xml:space="preserve"> Estas informações são uma pequena parte do que começou a ser publicado em 16/03/2012 no seguinte assunto do SisMob-BH: 1) Aspecto social e relação com a sociedade / 1.5) Solicitações urbanísticas. A partir de 10/08/2015 todos os quadros e tabelas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</si>
  <si>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0"/>
        <color theme="1"/>
        <rFont val="Times New Roman"/>
        <family val="1"/>
      </rPr>
      <t>obs.:</t>
    </r>
    <r>
      <rPr>
        <sz val="10"/>
        <color theme="1"/>
        <rFont val="Times New Roman"/>
        <family val="1"/>
      </rPr>
      <t xml:space="preserve"> Estas informações são uma pequena parte do que começou a ser publicado em 10/08/2015 no seguinte assunto do SisMob-BH: 1) Aspecto social e relação com a sociedade / 1.3) Gratuidades e descontos, quando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</si>
  <si>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0"/>
        <color theme="1"/>
        <rFont val="Times New Roman"/>
        <family val="1"/>
      </rPr>
      <t>obs.:</t>
    </r>
    <r>
      <rPr>
        <sz val="10"/>
        <color theme="1"/>
        <rFont val="Times New Roman"/>
        <family val="1"/>
      </rPr>
      <t xml:space="preserve"> Estas informações são uma pequena parte do que começou a ser publicado em 28/01/2013 no seguinte assunto do SisMob-BH: 1) Aspecto social e relação com a sociedade / 1.1) Ações educativas.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</si>
  <si>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0"/>
        <color theme="1"/>
        <rFont val="Times New Roman"/>
        <family val="1"/>
      </rPr>
      <t>obs.:</t>
    </r>
    <r>
      <rPr>
        <sz val="10"/>
        <color theme="1"/>
        <rFont val="Times New Roman"/>
        <family val="1"/>
      </rPr>
      <t xml:space="preserve"> Estas informações são uma pequena parte do que começou a ser publicado em 18/11/2014 no seguinte assunto do SisMob-BH: 3) BHTrans / 3.2) Pesquisas externas / 3.2.1) Avaliações em pesquisas externas de opinião.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</si>
  <si>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0"/>
        <color theme="1"/>
        <rFont val="Times New Roman"/>
        <family val="1"/>
      </rPr>
      <t>obs.:</t>
    </r>
    <r>
      <rPr>
        <sz val="10"/>
        <color theme="1"/>
        <rFont val="Times New Roman"/>
        <family val="1"/>
      </rPr>
      <t xml:space="preserve"> Estas informações são uma pequena parte do que começou a ser publicado em 10/08/2015 no seguinte assunto do SisMob-BH: 3) BHTrans / 3.2.2) Outras questões em pesquisas externas de opinião, quando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</si>
  <si>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0"/>
        <color theme="1"/>
        <rFont val="Times New Roman"/>
        <family val="1"/>
      </rPr>
      <t>obs.:</t>
    </r>
    <r>
      <rPr>
        <sz val="10"/>
        <color theme="1"/>
        <rFont val="Times New Roman"/>
        <family val="1"/>
      </rPr>
      <t xml:space="preserve"> Estas informações são uma pequena parte do que começou a ser publicado em 28/01/2013 no seguinte assunto do SisMob-BH: 8) Sistema de transporte motorizado público / 8.6) Transporte escolar.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</si>
  <si>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0"/>
        <color theme="1"/>
        <rFont val="Times New Roman"/>
        <family val="1"/>
      </rPr>
      <t>obs.:</t>
    </r>
    <r>
      <rPr>
        <sz val="10"/>
        <color theme="1"/>
        <rFont val="Times New Roman"/>
        <family val="1"/>
      </rPr>
      <t xml:space="preserve"> Estas informações são uma pequena parte do que começou a ser publicado em 11/09/2012 no seguinte assunto do SisMob-BH: 9) Trânsito e sistema viário / 9.1) Acidentes de trânsito.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</si>
  <si>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0"/>
        <color theme="1"/>
        <rFont val="Times New Roman"/>
        <family val="1"/>
      </rPr>
      <t>obs.:</t>
    </r>
    <r>
      <rPr>
        <sz val="10"/>
        <color theme="1"/>
        <rFont val="Times New Roman"/>
        <family val="1"/>
      </rPr>
      <t xml:space="preserve"> Estas informações são uma pequena parte do que começou a ser publicado em  28/03/2013 no seguinte assunto do SisMob-BH: 9) Trânsito e sistema viário / 9.5) Sinalização semafórica.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</si>
  <si>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t>Gráfico 24c - Participação de BH na área da RMBH (2010) e Gráfico 24d - Participação de BH na população da RMBH (2010)</t>
  </si>
  <si>
    <r>
      <rPr>
        <b/>
        <sz val="10"/>
        <color theme="1"/>
        <rFont val="Times New Roman"/>
        <family val="1"/>
      </rPr>
      <t>obs.:</t>
    </r>
    <r>
      <rPr>
        <sz val="10"/>
        <color theme="1"/>
        <rFont val="Times New Roman"/>
        <family val="1"/>
      </rPr>
      <t xml:space="preserve"> Estas informações são uma pequena parte do que começou a ser publicado em 17/01/2013 no seguinte assunto do SisMob-BH: 2) Belo Horizonte e RMBH / 2.4) População.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</si>
  <si>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t>43,5%</t>
  </si>
  <si>
    <t>53,9%</t>
  </si>
  <si>
    <t>ca</t>
  </si>
  <si>
    <t>com direito a acampanhante (usado como complemento de "GR")</t>
  </si>
  <si>
    <t>concursados (usado como complemento de "RH")</t>
  </si>
  <si>
    <t>relativo à categoria utilizada pelo Denatran como "caminhão trator" e pelo Detran-MG como "c.trator" (usado como complemento de "F")</t>
  </si>
  <si>
    <t>relativo a "convencional" (usado como complemento de "TX")</t>
  </si>
  <si>
    <t>cr</t>
  </si>
  <si>
    <t>com passagem pela roleta (usado como complemento de "GR")</t>
  </si>
  <si>
    <t>sem acompanhante (usado como complemento de "GR")</t>
  </si>
  <si>
    <t>sa</t>
  </si>
  <si>
    <t>sr</t>
  </si>
  <si>
    <t>sem passagem pela roleta (usado como complemento de "GR")</t>
  </si>
  <si>
    <t>GR da + GR drc + GR df + GR dm + GR dv
ou
GR ca + GR sa
ou
GR cr + GR sr
ou
GR ca cr + GR sa cr + GR ca sr + GR sa sr</t>
  </si>
  <si>
    <t>GR da ca cr</t>
  </si>
  <si>
    <t>GR da sa cr</t>
  </si>
  <si>
    <t>GR da ca sr</t>
  </si>
  <si>
    <t>GR da sa sr</t>
  </si>
  <si>
    <t>registro na fonte
ou
GR da ca cr + GR da sa cr + GR da ca sr + GR da sa sr</t>
  </si>
  <si>
    <t>GR df ca cr</t>
  </si>
  <si>
    <t>GR df sa cr</t>
  </si>
  <si>
    <t>GR df ca sr</t>
  </si>
  <si>
    <t>GR df sa sr</t>
  </si>
  <si>
    <t>GR dm ca cr</t>
  </si>
  <si>
    <t>GR dm sa cr</t>
  </si>
  <si>
    <t>GR dm ca sr</t>
  </si>
  <si>
    <t>GR dm sa sr</t>
  </si>
  <si>
    <t>GR drc ca cr</t>
  </si>
  <si>
    <t>GR drc sa cr</t>
  </si>
  <si>
    <t>GR drc ca sr</t>
  </si>
  <si>
    <t>GR drc sa sr</t>
  </si>
  <si>
    <t>GR dv ca cr</t>
  </si>
  <si>
    <t>GR dv sa cr</t>
  </si>
  <si>
    <t>GR dv ca sr</t>
  </si>
  <si>
    <t>GR dv sa sr</t>
  </si>
  <si>
    <t>GR ca</t>
  </si>
  <si>
    <t>GR cr</t>
  </si>
  <si>
    <t xml:space="preserve">GR sa </t>
  </si>
  <si>
    <t>GR sr</t>
  </si>
  <si>
    <t>GR ca cr</t>
  </si>
  <si>
    <t>GR sa cr</t>
  </si>
  <si>
    <t>GR ca sr</t>
  </si>
  <si>
    <t>GR sa sr</t>
  </si>
  <si>
    <t>"GR" com acompanhante</t>
  </si>
  <si>
    <t>"GR" com passagem pela roleta</t>
  </si>
  <si>
    <t>"GR dv" sem acompanhante</t>
  </si>
  <si>
    <t>"GR dv" sem passagem pela roleta</t>
  </si>
  <si>
    <t>"GR" com acompanhante e com passagem pela roleta</t>
  </si>
  <si>
    <t>"GR" sem acompanhante e com passagem pela roleta</t>
  </si>
  <si>
    <t>"GR" com acompanhante e sem passagem pela roleta</t>
  </si>
  <si>
    <t>"GR" sem acompanhante e sem passagem pela roleta</t>
  </si>
  <si>
    <t>GR ca cr + GR ca sr</t>
  </si>
  <si>
    <t>GR ca cr + GR sa cr</t>
  </si>
  <si>
    <t>GR sa cr + GR sa sr</t>
  </si>
  <si>
    <t>GR ca sr + GR sa sr</t>
  </si>
  <si>
    <t>GR da ca cr + GR df ca cr + GR dm ca cr + GR drc ca cr + GR dv ca cr</t>
  </si>
  <si>
    <t>GR da sa cr + GR df sa cr + GR dm sa cr + GR drc sa cr + GR dv sa cr</t>
  </si>
  <si>
    <t>GR da ca sr + GR df ca sr + GR dm ca sr + GR drc ca sr + GR dv ca sr</t>
  </si>
  <si>
    <t>GR da sa sr + GR df sa sr + GR dm sa sr + GR drc sa sr + GR dv sa sr</t>
  </si>
  <si>
    <t>df = deficiência física</t>
  </si>
  <si>
    <t>dm = deficiência mental</t>
  </si>
  <si>
    <t>dv = deficiência visual</t>
  </si>
  <si>
    <t>da = deficiência auditiva</t>
  </si>
  <si>
    <t>drc = doença renal crônica</t>
  </si>
  <si>
    <r>
      <rPr>
        <b/>
        <sz val="10"/>
        <color theme="1"/>
        <rFont val="Times New Roman"/>
        <family val="1"/>
      </rPr>
      <t>obs.:</t>
    </r>
    <r>
      <rPr>
        <sz val="10"/>
        <color theme="1"/>
        <rFont val="Times New Roman"/>
        <family val="1"/>
      </rPr>
      <t xml:space="preserve"> Estas informações são uma pequena parte do que começou a ser publicado em 18/06/2014 no seguinte assunto do SisMob-BH: 5) Meio ambiente / 5.1) Gases de efeito estufa.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</si>
  <si>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t>Gráfico 13a - Evolução do n.º total de credenciais vigentes de gratuidade para utilização do transporte coletivo de Belo Horizonte por pessoas com deficiência e doença renal crônica (1999 a 2015)</t>
  </si>
  <si>
    <t>Gráfico 13a - Evolução do n.º de credenciais vigentes de gratuidade para utilização do transporte coletivo de Belo Horizonte por categoria de pessoas com deficiência e doeça renal crônica (1999 a 2015)</t>
  </si>
  <si>
    <t>Gráfico 322a - Evoluções das variações de NPO (número de meses decorridos entre duas pesquisas de opinião consecutivas sobre mobilidade urbana) na Região Metropolitana de São Paulo (RMSP) e em Belo Horizonte (1995 a 2015)</t>
  </si>
  <si>
    <t>Pr(BH)</t>
  </si>
  <si>
    <t>Gráfico 24a</t>
  </si>
  <si>
    <t>Gráfico 24a - Evolução da população de Belo Horizonte (1991-2015)
Gráfico 24b - Evoluções da população de Belo Horizonte (1991-2015) e da população reestimada de Belo Horizonte (1991-2010)</t>
  </si>
  <si>
    <t>Gráfico 11a - Evoluções dos números de escolas e de alunos (AL) atendidos em todos os programas de ações educativas de mobilidade urbana da BHTrans (2005 a 2012)</t>
  </si>
  <si>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10/08/2015. Atualizado em 15/11/2015 com resultados de 2013.
</t>
    </r>
    <r>
      <rPr>
        <b/>
        <sz val="10"/>
        <rFont val="Times New Roman"/>
        <family val="1"/>
      </rPr>
      <t xml:space="preserve">obs.: </t>
    </r>
    <r>
      <rPr>
        <sz val="10"/>
        <rFont val="Times New Roman"/>
        <family val="1"/>
      </rPr>
      <t>o "n.º de escolas" do programa "O jovem e a mobilidade", que é um dos componentes do n.º total de escolas atendidas, é utilizado no Programa de Alcance de resultados (PAR) da BHTrans.</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</si>
  <si>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15/11/2015.</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</si>
  <si>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15/11/2015.
</t>
    </r>
    <r>
      <rPr>
        <b/>
        <sz val="10"/>
        <rFont val="Times New Roman"/>
        <family val="1"/>
      </rPr>
      <t>obs.:</t>
    </r>
    <r>
      <rPr>
        <sz val="10"/>
        <rFont val="Times New Roman"/>
        <family val="1"/>
      </rPr>
      <t xml:space="preserve"> a ausência de resultados intermediários desses indicadores entre 1998 e 2015 compromete, sobremaneira, a compreensão de suas evoluções. </t>
    </r>
  </si>
  <si>
    <t>junto com táxi</t>
  </si>
  <si>
    <t>DM ônibus Move
(P.Op.)</t>
  </si>
  <si>
    <t>Gráfico 21a - DMtc (transporte coletivo)</t>
  </si>
  <si>
    <t>Gráfico 21b - DMti (transporte individual)</t>
  </si>
  <si>
    <t>Gráfico 21a - Evolução do indicador DMtc(P.Op.) - participação do transporte coletivo na distribuição modal com base em pesquisas de opinião em Belo Horizonte (1996 a 2015)
Gráfico 21 b - Evolução do indicador DMti(P.Op.) - participação do transporte individual na distribuição modal com base em pesquisas de opinião em Belo Horizonte (1996 a 2015)</t>
  </si>
  <si>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Gráfico 21a publicado pela primeira vez no SisMob-BH em 26/03/2015 e atualizado em 15/11/2015 com resultados de 2015; Gráfico 21b publicado pela primeira vez no SisMob-BH em 15/11/2015.</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</si>
  <si>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07/11/2014. Atualizado em 15/11/2015 com resultados de 2015.
obs.1: DMtc=DMônibus+DMônibus Move+DMmetrô+DMsuplementar; DMti=DMa+DMmm+DMtáxi; DMnm=DMpé+DMb; obs.2: em 2015, a fonte consultada apresenta resultados que fornecem DM=100,1% (DMa+DMônibus+DMônibus Move+ DMmm+DMpé+DMmetrô+DMsuplementar+DMtáxi+DMb); o SisMob-BH acionou a Gerência de Pesquisa, Informação e Inovação - Gepin/DPL/BHTrans e aguarda-se resposta para rever valores. </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</si>
  <si>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10/08/2015. Republicado em 15/11/2015.</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</si>
  <si>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e publicado pela primeira vez no SisMob-BH em 10/02/2015. Atualizado em 15/11/2015 com resultado de 2015.</t>
    </r>
  </si>
  <si>
    <r>
      <rPr>
        <b/>
        <sz val="10"/>
        <color theme="1"/>
        <rFont val="Times New Roman"/>
        <family val="1"/>
      </rPr>
      <t xml:space="preserve">Fonte: </t>
    </r>
    <r>
      <rPr>
        <sz val="10"/>
        <color theme="1"/>
        <rFont val="Times New Roman"/>
        <family val="1"/>
      </rPr>
      <t>Adaptado de OLIVEIRA (2014, p.192).
Elaborado por Marcos Fontoura de Oliveira e publicado pela primeira vez no SisMob-BH em 10/02/2015. Atualizado em 15/11/2015 com resultado de 2015. 
obs.: "de 1999 a 2000 a população [de Belo Horizonte] parece ter sido subestimada [pelo IBGE] e, de 2000 a 2010 ela parece ser sido superestimada. Com base nas informações oficiais de população divulgadas pelo IBGE, teria havido um crescimento de quase 6% entre 1999 e 2000 e um decréscimo de 3% entre 2009 e 2010. Como isto, ao que tudo indica, não ocorreu em Belo Horizonte, é preciso ter cautela no uso da variável “população” no cálculo de indicadores da mobilidade urbana. Se um pesquisador que estuda essas informações não estiver atento, conclusões equivocadas podem ser formuladas [...] a população de Belo Horizonte no censo de
2010 (2.375.151 habitantes) tem a ordem de grandeza da contagem realizada para o ano de 2005 (2.375.329 habitantes)" (OLIVEIRA, 2014, p.192).</t>
    </r>
  </si>
  <si>
    <t>Gráfico 24c - Área</t>
  </si>
  <si>
    <t>Gráfico 24d - População</t>
  </si>
  <si>
    <t>Atc (meta) para 2020</t>
  </si>
  <si>
    <t>Atc (meta) para 2016</t>
  </si>
  <si>
    <t>Gráfico 321a - Evoluções das avaliações dos sistemas de trânsito e de transporte coletivo de Belo Horizonte (1995 a 2015)</t>
  </si>
  <si>
    <r>
      <t xml:space="preserve">extensão total do sistema viário (em km) de Belo Horizonte, apurada para cada uma das 10 regiões do município (Centro, Sul, Oeste, Barreiro, Noroeste, Pampulha, Venda Nova, Norte, Nordeste, Leste) e para seu conjunto
</t>
    </r>
    <r>
      <rPr>
        <b/>
        <sz val="10"/>
        <color theme="1"/>
        <rFont val="Times New Roman"/>
        <family val="1"/>
      </rPr>
      <t>obs.1:</t>
    </r>
    <r>
      <rPr>
        <sz val="10"/>
        <color theme="1"/>
        <rFont val="Times New Roman"/>
        <family val="1"/>
      </rPr>
      <t xml:space="preserve"> na BHTrans, coletam-se os dados em arquivo georreferenciado dos eixos das vias elaborado pela Empresa de Informática e Informação do Município de Belo Horizonte - Prodabel; utiliza-se o software MapInfo e faz-se o o somatório das extensões de cada trecho de via;
</t>
    </r>
    <r>
      <rPr>
        <b/>
        <sz val="10"/>
        <color theme="1"/>
        <rFont val="Times New Roman"/>
        <family val="1"/>
      </rPr>
      <t>obs.2:</t>
    </r>
    <r>
      <rPr>
        <sz val="10"/>
        <color theme="1"/>
        <rFont val="Times New Roman"/>
        <family val="1"/>
      </rPr>
      <t xml:space="preserve"> os dados "coletora" e "local" da região "centro" estão sob suspeita, uma vez que todos as vias da área central são classificadas como arteriais.
</t>
    </r>
    <r>
      <rPr>
        <b/>
        <sz val="10"/>
        <color theme="1"/>
        <rFont val="Times New Roman"/>
        <family val="1"/>
      </rPr>
      <t xml:space="preserve">obs.3: </t>
    </r>
    <r>
      <rPr>
        <sz val="10"/>
        <color theme="1"/>
        <rFont val="Times New Roman"/>
        <family val="1"/>
      </rPr>
      <t>os resultados aqui apresentados foram calculados em julho/2011 e, na ausência de séries históricas, são tomados como relativos ao ano de 2010 para cálculo dos índices contidos no SisMob-BH</t>
    </r>
  </si>
  <si>
    <t>extensão viária  de Belo Horizonte por mil habitantes</t>
  </si>
  <si>
    <t>extensão viária  de Belo Horizonte por mil veículos</t>
  </si>
  <si>
    <t>extensão da rede cicloviária por 100 mil habitantes de Belo Horizonte, denominado "taxa de extensão de ciclovias (por 100 mil habitantes)" pelo Observatório da Mobilidade de Belo Horizonte</t>
  </si>
  <si>
    <t>percentual da extensão viária municipal utilizada pelo transporte coletivo em relação à extensão viária total do município de Belo Horizonte</t>
  </si>
  <si>
    <t>percentual da extensão viária arterial municipal utilizada pelo transporte coletivo em relação à extensão viária arterial total do município de Belo Horizonte</t>
  </si>
  <si>
    <t>percentual da extensão viária de ligação regional municipal utilizada pelo transporte coletivo em relação à extensão viária de ligação regional total do município de Belo Horizonte</t>
  </si>
  <si>
    <t>Gráfico 35b - Evolução da participação percentual das pessoas com deficiência nos recursos humanos diretos da BHTrans (1996-2014)</t>
  </si>
  <si>
    <t>Gráficos "Qualidade da informação"</t>
  </si>
  <si>
    <r>
      <t xml:space="preserve">Os indicadores desse assunto foram apurados de março/2011 a abril/2013. Até que se decida por sua retomada, consultar metodologia de apuração e resultados mensais em: OLIVEIRA, Marcos Fontoura de. </t>
    </r>
    <r>
      <rPr>
        <i/>
        <sz val="11"/>
        <color theme="1"/>
        <rFont val="Times New Roman"/>
        <family val="1"/>
      </rPr>
      <t>Ausências, avanços e contradições da atual política de mobilidade urbana de Belo Horizonte: uma pesquisa sobre o direito de aceso amplo e democrático ao espaço urbano</t>
    </r>
    <r>
      <rPr>
        <sz val="11"/>
        <color theme="1"/>
        <rFont val="Times New Roman"/>
        <family val="1"/>
      </rPr>
      <t>. 2014. Tese (Doutorado em Ciências Sociais) - Pontifícia Universidade Católica de Minas Gerais (PUC Minas), Belo Horizonte, 2014. p.149.</t>
    </r>
  </si>
  <si>
    <t>(provisoriamente, acesse Quadros 100a/b/c instituído em 10/08/2015)</t>
  </si>
  <si>
    <t>Gráficos "Transporte convencional"</t>
  </si>
  <si>
    <t>Gráficos "Transporte em vilas e favelas"</t>
  </si>
  <si>
    <t>Gráficos "Metrô"</t>
  </si>
  <si>
    <t>(esse documento está disponível na biblioteca do ObsMob-BH)</t>
  </si>
  <si>
    <t>Gráficos "Atendimento ao usuário em geral"</t>
  </si>
  <si>
    <r>
      <t>CRE</t>
    </r>
    <r>
      <rPr>
        <b/>
        <vertAlign val="subscript"/>
        <sz val="12"/>
        <color theme="1"/>
        <rFont val="Times New Roman"/>
        <family val="1"/>
      </rPr>
      <t xml:space="preserve">d </t>
    </r>
    <r>
      <rPr>
        <b/>
        <sz val="12"/>
        <color theme="1"/>
        <rFont val="Times New Roman"/>
        <family val="1"/>
      </rPr>
      <t>por RL</t>
    </r>
    <r>
      <rPr>
        <b/>
        <vertAlign val="subscript"/>
        <sz val="12"/>
        <color theme="1"/>
        <rFont val="Times New Roman"/>
        <family val="1"/>
      </rPr>
      <t>vfd</t>
    </r>
  </si>
  <si>
    <r>
      <t>CRE</t>
    </r>
    <r>
      <rPr>
        <b/>
        <vertAlign val="subscript"/>
        <sz val="12"/>
        <color theme="1"/>
        <rFont val="Times New Roman"/>
        <family val="1"/>
      </rPr>
      <t>di</t>
    </r>
  </si>
  <si>
    <r>
      <t>CRE</t>
    </r>
    <r>
      <rPr>
        <b/>
        <vertAlign val="subscript"/>
        <sz val="12"/>
        <color theme="1"/>
        <rFont val="Times New Roman"/>
        <family val="1"/>
      </rPr>
      <t>i</t>
    </r>
  </si>
  <si>
    <r>
      <t>CRE</t>
    </r>
    <r>
      <rPr>
        <b/>
        <vertAlign val="subscript"/>
        <sz val="12"/>
        <color theme="1"/>
        <rFont val="Times New Roman"/>
        <family val="1"/>
      </rPr>
      <t xml:space="preserve">i </t>
    </r>
    <r>
      <rPr>
        <b/>
        <sz val="12"/>
        <color theme="1"/>
        <rFont val="Times New Roman"/>
        <family val="1"/>
      </rPr>
      <t>por RL</t>
    </r>
    <r>
      <rPr>
        <b/>
        <vertAlign val="subscript"/>
        <sz val="12"/>
        <color theme="1"/>
        <rFont val="Times New Roman"/>
        <family val="1"/>
      </rPr>
      <t>vfi</t>
    </r>
  </si>
  <si>
    <t>em 2010=8,41
em 2013=x</t>
  </si>
  <si>
    <t>em 2010 e em 2013=6,31</t>
  </si>
  <si>
    <t>Gráfico 91g - Evoluções de n.º total de vítimas (V) e de n.º de vítimas não fatais (NF) em acidentes de trânsito em Belo Horizonte (1991 a 2014)</t>
  </si>
  <si>
    <t>Gráfico 91f - Evoluções de n.º de acidentes com vítima (AV) e de n.º de acidentes com atropelamento de pessoas (T) em acidentes de trânsito em Belo Horizonte (1991 a 2014)</t>
  </si>
  <si>
    <t>EG rodoviário (óleo diesel)</t>
  </si>
  <si>
    <t>EG rodoviário (gasolina)</t>
  </si>
  <si>
    <t>EG rodoviário (etanol)</t>
  </si>
  <si>
    <t>EG rodoviário (GNV ou GNC aumomotivo)</t>
  </si>
  <si>
    <t>EG rodoviário (óleo diesel + gasolina + etanol + GNV ou GNC automotivo)</t>
  </si>
  <si>
    <t>óleo diesel</t>
  </si>
  <si>
    <t>gasolina</t>
  </si>
  <si>
    <t>etanol</t>
  </si>
  <si>
    <t>GNV ou GNC aumomotivo</t>
  </si>
  <si>
    <t>registro na fonte
EG(gasolina de aviação) + EG(querosene de aviação)</t>
  </si>
  <si>
    <t>EG aéreo
(tCO2e)</t>
  </si>
  <si>
    <t>EG aéreo
(milhões de tCO2e)</t>
  </si>
  <si>
    <t>EG aéreo
(tCO2e) / 1.000.000</t>
  </si>
  <si>
    <t>EG rodoviário (tCO2e)</t>
  </si>
  <si>
    <t>EG rodoviário (milhões de tCO2e)</t>
  </si>
  <si>
    <t>EG rodoviário (tCO2e) / 1.000.000</t>
  </si>
  <si>
    <t>EG demais subsetores (tCO2e)</t>
  </si>
  <si>
    <t>EG demais subsetores em relação a EG</t>
  </si>
  <si>
    <t>EG demais subsetores por habitante</t>
  </si>
  <si>
    <r>
      <t>emissão de GEE no subsetor rodoviário (em toneladas de CO</t>
    </r>
    <r>
      <rPr>
        <vertAlign val="subscript"/>
        <sz val="10"/>
        <color theme="1"/>
        <rFont val="Times New Roman"/>
        <family val="1"/>
      </rPr>
      <t>2</t>
    </r>
    <r>
      <rPr>
        <sz val="10"/>
        <color theme="1"/>
        <rFont val="Times New Roman"/>
        <family val="1"/>
      </rPr>
      <t>e) proveniente do precursor "GNV ou GNC automotivo", do modo "rodoviário", do escopo "1" do setor de "unidades móveis"(BELO HORIZONTE, 2009, p.69 para 2000 a 2007; BELO HORIZONTE, 2012a, p.55 para 2008 a 2010; BELO HORIZONTE, 2015a, p.37 para 2011 a 2013)</t>
    </r>
  </si>
  <si>
    <r>
      <t>emissão de GEE no subsetor rodoviário (em toneladas de CO</t>
    </r>
    <r>
      <rPr>
        <vertAlign val="subscript"/>
        <sz val="10"/>
        <color theme="1"/>
        <rFont val="Times New Roman"/>
        <family val="1"/>
      </rPr>
      <t>2</t>
    </r>
    <r>
      <rPr>
        <sz val="10"/>
        <color theme="1"/>
        <rFont val="Times New Roman"/>
        <family val="1"/>
      </rPr>
      <t>e)</t>
    </r>
  </si>
  <si>
    <r>
      <t>emissão de GEE no subsetor rodoviário (em milhões de toneladas de CO</t>
    </r>
    <r>
      <rPr>
        <vertAlign val="subscript"/>
        <sz val="10"/>
        <color theme="1"/>
        <rFont val="Times New Roman"/>
        <family val="1"/>
      </rPr>
      <t>2</t>
    </r>
    <r>
      <rPr>
        <sz val="10"/>
        <color theme="1"/>
        <rFont val="Times New Roman"/>
        <family val="1"/>
      </rPr>
      <t>e)</t>
    </r>
  </si>
  <si>
    <t>emissão de GEE no subsetor rodoviário em relação à emissão total de GEE (em %)</t>
  </si>
  <si>
    <r>
      <t>emissão de GEE do subsetor rodoviário em relação à população P (em toneladas de CO</t>
    </r>
    <r>
      <rPr>
        <vertAlign val="subscript"/>
        <sz val="10"/>
        <rFont val="Times New Roman"/>
        <family val="1"/>
      </rPr>
      <t>2</t>
    </r>
    <r>
      <rPr>
        <sz val="10"/>
        <rFont val="Times New Roman"/>
        <family val="1"/>
      </rPr>
      <t>e/habitante)</t>
    </r>
  </si>
  <si>
    <r>
      <t>emissão de GEE no subsetor aéreo (em milhões de toneladas de CO</t>
    </r>
    <r>
      <rPr>
        <vertAlign val="subscript"/>
        <sz val="10"/>
        <rFont val="Times New Roman"/>
        <family val="1"/>
      </rPr>
      <t>2</t>
    </r>
    <r>
      <rPr>
        <sz val="10"/>
        <rFont val="Times New Roman"/>
        <family val="1"/>
      </rPr>
      <t>e)</t>
    </r>
  </si>
  <si>
    <t>emissão de GEE no subsetor aéreo em relação à emissão total de GEE (em %)</t>
  </si>
  <si>
    <r>
      <t>emissão de GEE do subsetor aéreo em relação à população P (em toneladas de CO</t>
    </r>
    <r>
      <rPr>
        <vertAlign val="subscript"/>
        <sz val="10"/>
        <rFont val="Times New Roman"/>
        <family val="1"/>
      </rPr>
      <t>2</t>
    </r>
    <r>
      <rPr>
        <sz val="10"/>
        <rFont val="Times New Roman"/>
        <family val="1"/>
      </rPr>
      <t>e/habitante)</t>
    </r>
  </si>
  <si>
    <t>EG demais subsetores (tCO2e) / 1.000.000</t>
  </si>
  <si>
    <t>(EG demais subsetores / EG) x 100</t>
  </si>
  <si>
    <t>EG demais subsetores / P</t>
  </si>
  <si>
    <r>
      <t>emissão de GEE no subsetor rodoviário (em toneladas de CO</t>
    </r>
    <r>
      <rPr>
        <vertAlign val="subscript"/>
        <sz val="10"/>
        <color theme="1"/>
        <rFont val="Times New Roman"/>
        <family val="1"/>
      </rPr>
      <t>2</t>
    </r>
    <r>
      <rPr>
        <sz val="10"/>
        <color theme="1"/>
        <rFont val="Times New Roman"/>
        <family val="1"/>
      </rPr>
      <t>e) proveniente do precursor "óleo diesel", do modo "rodoviário", do escopo "1" do setor de "unidades móveis" (BELO HORIZONTE, 2009, p.69 para 2000 a 2007; BELO HORIZONTE, 2012a, p.55 para 2008 a 2010; BELO HORIZONTE, 2015a, p.37 para 2011 a 2013)</t>
    </r>
  </si>
  <si>
    <r>
      <t>emissão de GEE no subsetor rodoviário (em toneladas de CO</t>
    </r>
    <r>
      <rPr>
        <vertAlign val="subscript"/>
        <sz val="10"/>
        <color theme="1"/>
        <rFont val="Times New Roman"/>
        <family val="1"/>
      </rPr>
      <t>2</t>
    </r>
    <r>
      <rPr>
        <sz val="10"/>
        <color theme="1"/>
        <rFont val="Times New Roman"/>
        <family val="1"/>
      </rPr>
      <t>e) proveniente do precursor "gasolina", do modo "rodoviário", do escopo "1" do setor de "unidades móveis"(BELO HORIZONTE, 2009, p.69 para 2000 a 2007; BELO HORIZONTE, 2012a, p.55 para 2008 a 2010; BELO HORIZONTE, 2015a, p.37 para 2011 a 2013)</t>
    </r>
  </si>
  <si>
    <r>
      <t>emissão de GEE no subsetor setor rodoviário (em toneladas de CO</t>
    </r>
    <r>
      <rPr>
        <vertAlign val="subscript"/>
        <sz val="10"/>
        <color theme="1"/>
        <rFont val="Times New Roman"/>
        <family val="1"/>
      </rPr>
      <t>2</t>
    </r>
    <r>
      <rPr>
        <sz val="10"/>
        <color theme="1"/>
        <rFont val="Times New Roman"/>
        <family val="1"/>
      </rPr>
      <t>e) proveniente do precursor "etanol", do modo "rodoviário", do escopo "1" do setor de "unidades móveis"(BELO HORIZONTE, 2009, p.69 para 2000 a 2007; BELO HORIZONTE, 2012a, p.55 para 2008 a 2010; BELO HORIZONTE, 2015a, p.37 para 2011 a 2013)</t>
    </r>
  </si>
  <si>
    <t>EG demais subsetores (milhões de tCO2e)</t>
  </si>
  <si>
    <t>PM10 média
(RMBH/BH em Aeroporto Carlos Prates)</t>
  </si>
  <si>
    <t>PM10 média
(RMBH/BH em Avenida Amazonas)</t>
  </si>
  <si>
    <t>PM10 média
(RMBH/Betim em Bairro Jardim das Alterosas)</t>
  </si>
  <si>
    <t>PM10 média
(RMBH/Betim em Bairro Petrovale)</t>
  </si>
  <si>
    <t>PM10 média
(RMBH/Ibirité em Bairro Cascata)</t>
  </si>
  <si>
    <t>PM10 média
(RMBH/Ibirité em Bairro Piratininga)</t>
  </si>
  <si>
    <t>MP10</t>
  </si>
  <si>
    <t>definição
consulte PM10 média (RMBH)</t>
  </si>
  <si>
    <t>PM10 média
(RMBH/BH em Praça Rui Barbosa)</t>
  </si>
  <si>
    <t>PM10 média
(RMBH/
Contagem em Praça Tancredo Neves)</t>
  </si>
  <si>
    <t>PM10 omissos
(RMBH/BH em Praça Rui Barbosa)</t>
  </si>
  <si>
    <t>PM10
representativo
(RMBH/BH em Praça Rui Barbosa)</t>
  </si>
  <si>
    <t>PM10
representatividade
(RMBH/BH em Praça Rui Barbosa)</t>
  </si>
  <si>
    <r>
      <rPr>
        <b/>
        <sz val="10"/>
        <color theme="1"/>
        <rFont val="Times New Roman"/>
        <family val="1"/>
      </rPr>
      <t>obs.:</t>
    </r>
    <r>
      <rPr>
        <sz val="10"/>
        <color theme="1"/>
        <rFont val="Times New Roman"/>
        <family val="1"/>
      </rPr>
      <t xml:space="preserve"> Estas informações são uma pequena parte do que começou a ser publicado em 11/11/2014 no seguinte assunto do SisMob-BH: 5) Meio ambiente / 5.2) Poluição do ar.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</si>
  <si>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t>Gráfico 52a - Concentração média anual de partículas menores que 10 microns de diâmetro - PM 10 (µg/m3) - na estação Praça Rui Barbosa em Belo Horizonte/RMBH
(2001 a 2013)</t>
  </si>
  <si>
    <t>Americana</t>
  </si>
  <si>
    <t>Araçatuba</t>
  </si>
  <si>
    <t>Araraquara</t>
  </si>
  <si>
    <t>Araucária</t>
  </si>
  <si>
    <t>Bauru</t>
  </si>
  <si>
    <t>Campinas-Centro</t>
  </si>
  <si>
    <t>Carapicuíba</t>
  </si>
  <si>
    <t>Catanduva</t>
  </si>
  <si>
    <t>Colombo</t>
  </si>
  <si>
    <t>Curitiba</t>
  </si>
  <si>
    <t>Diadema</t>
  </si>
  <si>
    <t>Grande Vitoria</t>
  </si>
  <si>
    <t>Ibirité</t>
  </si>
  <si>
    <t>Jacareí</t>
  </si>
  <si>
    <t>Jau</t>
  </si>
  <si>
    <t>Jundiaí</t>
  </si>
  <si>
    <t>Limeira</t>
  </si>
  <si>
    <t>Marília</t>
  </si>
  <si>
    <t>Mauá</t>
  </si>
  <si>
    <t>Osasco</t>
  </si>
  <si>
    <t>Paulínia</t>
  </si>
  <si>
    <t>Piracicaba</t>
  </si>
  <si>
    <t>Pirassununga</t>
  </si>
  <si>
    <t>Presidente Prudente</t>
  </si>
  <si>
    <t>Ribeirão Preto</t>
  </si>
  <si>
    <t>Rio Claro</t>
  </si>
  <si>
    <t>Rio de Janeiro</t>
  </si>
  <si>
    <t>Salvador</t>
  </si>
  <si>
    <t>Santa Gertrudes</t>
  </si>
  <si>
    <t>Santo André</t>
  </si>
  <si>
    <t>São Bernardo do Campo</t>
  </si>
  <si>
    <t>São Caetano do Sul</t>
  </si>
  <si>
    <t>São José do Rio Preto</t>
  </si>
  <si>
    <t>São José dos Campos</t>
  </si>
  <si>
    <t>Sao Paulo</t>
  </si>
  <si>
    <t>Socoraba</t>
  </si>
  <si>
    <t>Taboão da Serra</t>
  </si>
  <si>
    <t>Tatuí</t>
  </si>
  <si>
    <t>o padrão estabelecido pela Resolução Conama n.º 03/1990 para PM10 é concentração máxima de 50µg/m3 (FEAM, 2013, p.14)</t>
  </si>
  <si>
    <t>Gráfico 91b - Evoluções dos indicadores de n.º de mortos (M) em acidentes de trânsito em Belo Horizonte (1991 a 2014) e metas definidas</t>
  </si>
  <si>
    <t>Gráficos 91c/d/e - Evoluções dos indicadores de M (2011 a 2014) e de M30 (2011 a 2013) relativizados com n.º de acidentes, com população e com frota em acidentes de trânsito em Belo Horizonte</t>
  </si>
  <si>
    <t>RMBH</t>
  </si>
  <si>
    <r>
      <rPr>
        <b/>
        <sz val="12"/>
        <color theme="1"/>
        <rFont val="Times New Roman"/>
        <family val="1"/>
      </rPr>
      <t>IEMA (2015b):</t>
    </r>
    <r>
      <rPr>
        <sz val="12"/>
        <color theme="1"/>
        <rFont val="Times New Roman"/>
        <family val="1"/>
      </rPr>
      <t xml:space="preserve"> INSTITUTO DE ENERGIA E MEIO AMBIENTE - IEMA. </t>
    </r>
    <r>
      <rPr>
        <i/>
        <sz val="12"/>
        <color theme="1"/>
        <rFont val="Times New Roman"/>
        <family val="1"/>
      </rPr>
      <t>Plataforma da qualidade do ar. Saiba mais um pouco sobre os poluentes do ar</t>
    </r>
    <r>
      <rPr>
        <sz val="12"/>
        <color theme="1"/>
        <rFont val="Times New Roman"/>
        <family val="1"/>
      </rPr>
      <t xml:space="preserve">. Disponível em: &lt;http://www.energiaeambiente.org.br/index.php/2015/09/poluentes-do-ar/&gt;. Acesso em: 23 nov. 2015. </t>
    </r>
  </si>
  <si>
    <r>
      <t xml:space="preserve">classes de qualidade do ar, que podem ser as seguintes para cada estação de medição: "boa", "regular", "inadequada", "má" e "omissos"
</t>
    </r>
    <r>
      <rPr>
        <b/>
        <sz val="10"/>
        <rFont val="Times New Roman"/>
        <family val="1"/>
      </rPr>
      <t xml:space="preserve">obs.1: </t>
    </r>
    <r>
      <rPr>
        <sz val="10"/>
        <rFont val="Times New Roman"/>
        <family val="1"/>
      </rPr>
      <t xml:space="preserve">até 2013, as classes de qualidade do ar em Belo Horizonte são aqui consideradas como sendo as calculadas com base nas medições da estação Praça Rui Barbosa operada pela Feam/MG que foi inaugurada em abril/1995 (FEAM/MG, 2013, p.4); 
</t>
    </r>
    <r>
      <rPr>
        <b/>
        <sz val="10"/>
        <rFont val="Times New Roman"/>
        <family val="1"/>
      </rPr>
      <t xml:space="preserve">obs.2: </t>
    </r>
    <r>
      <rPr>
        <sz val="10"/>
        <rFont val="Times New Roman"/>
        <family val="1"/>
      </rPr>
      <t xml:space="preserve">há resultados das estações Av. Amazonas e Aeroporto Carlos Prates para 2001 a 2010, mas ambas foram desativadas em 2011 (FEAM/MG, 2013, p.3); 
</t>
    </r>
    <r>
      <rPr>
        <b/>
        <sz val="10"/>
        <rFont val="Times New Roman"/>
        <family val="1"/>
      </rPr>
      <t xml:space="preserve">obs.3: </t>
    </r>
    <r>
      <rPr>
        <sz val="10"/>
        <rFont val="Times New Roman"/>
        <family val="1"/>
      </rPr>
      <t xml:space="preserve">a partir de dezembro/2013, com a entrada em operação de duas estações (CMRR e INMET) de monitoramento em Belo Horizonte operadas pela PBH, poderá ser redefinido como se dará o cálculo do resultado desse indicador que seja representativo para Belo Horizonte
</t>
    </r>
    <r>
      <rPr>
        <b/>
        <sz val="10"/>
        <rFont val="Times New Roman"/>
        <family val="1"/>
      </rPr>
      <t xml:space="preserve">obs.4: </t>
    </r>
    <r>
      <rPr>
        <sz val="10"/>
        <rFont val="Times New Roman"/>
        <family val="1"/>
      </rPr>
      <t>não confundir CQA com IQA</t>
    </r>
  </si>
  <si>
    <r>
      <rPr>
        <b/>
        <sz val="12"/>
        <color theme="1"/>
        <rFont val="Times New Roman"/>
        <family val="1"/>
      </rPr>
      <t>BHTRANS(2012a):</t>
    </r>
    <r>
      <rPr>
        <sz val="12"/>
        <color theme="1"/>
        <rFont val="Times New Roman"/>
        <family val="1"/>
      </rPr>
      <t xml:space="preserve"> EMPRESA DE TRANSPORTES E TRÂNSITO DE BELO HORIZONTE S.A - BHTRANS. </t>
    </r>
    <r>
      <rPr>
        <i/>
        <sz val="12"/>
        <color theme="1"/>
        <rFont val="Times New Roman"/>
        <family val="1"/>
      </rPr>
      <t>Balanço da mobilidade urbana de Belo Horizonte ano-base 2011</t>
    </r>
    <r>
      <rPr>
        <sz val="12"/>
        <color theme="1"/>
        <rFont val="Times New Roman"/>
        <family val="1"/>
      </rPr>
      <t>. maio 2012.</t>
    </r>
  </si>
  <si>
    <t>índices de qualidade do ar
"Com o objetivo de permitir uma informação precisa, rápida e facilmente compreendida sobre os níveis diários de qualidade do ar, de uma dada região, foram estabelecidos os Índices de Qualidade do Ar (IQA), em inglês Pollutant Standards Index (PSI), desenvolvidos por United States Environmental Agency (USEPA, 2000). [...] O IQA permite à população conhecer a qualidade do ar em função do nível de poluição de acordo com a seguinte escala: boa, regular, inadequada, má, péssima ou crítica.  [...] O IQA converte a concentração de poluente medida para um número inteiro na escala de 0 a 500. [...] Para cada poluente medido é calculado um IQA. A qualidade do ar de uma região é determinada pelo pior caso dentre os poluentes medidos." (FEAM/MG, 2013. p.15)</t>
  </si>
  <si>
    <t>sigla utilizada para designar partículas inaláveis: "Podem ser definidas de maneira simplificada como aquelas cujo diâmetro aerodinâmico é menor que 10 µm. Dependendo da distribuição de tamanho na faixa de 0 a 10 µm, podem ficar retidas na parte superior do sistema respiratório ou penetrar mais profundamente, alcançando os alvéolos pulmonares" (IEMA, 2015b).</t>
  </si>
  <si>
    <r>
      <rPr>
        <b/>
        <sz val="12"/>
        <color theme="1"/>
        <rFont val="Times New Roman"/>
        <family val="1"/>
      </rPr>
      <t>WHO(2014b):</t>
    </r>
    <r>
      <rPr>
        <sz val="12"/>
        <color theme="1"/>
        <rFont val="Times New Roman"/>
        <family val="1"/>
      </rPr>
      <t xml:space="preserve"> WORLD HEALHT ORGANIZATION - WHO. </t>
    </r>
    <r>
      <rPr>
        <i/>
        <sz val="12"/>
        <color theme="1"/>
        <rFont val="Times New Roman"/>
        <family val="1"/>
      </rPr>
      <t>Public health, environmental and social determinants of health (PHE) - Ambient (outdoor) air pollution in cities database 2014</t>
    </r>
    <r>
      <rPr>
        <sz val="12"/>
        <color theme="1"/>
        <rFont val="Times New Roman"/>
        <family val="1"/>
      </rPr>
      <t>. Planilha "Ambient (outdoor) air pollution database, by country and city". aba "Notes", linha 15; aba "cities", linha 1636. Disponível em: www.who.int/quantifying_ehimpacts/.../AAP_PM_database_May2014.xlsons. Acesso em 11 nov. 2014.</t>
    </r>
  </si>
  <si>
    <t>qualidade do ar "monitorada", que é dada pela quantidade de dias a cada ano nos quais a qualidade do ar foi monitorada (FEAM/MG, 2003a, 2003b; 2005; 2006; 2007; 2008; 2009; 2010; 2011; 2013)</t>
  </si>
  <si>
    <t>Belo Horizonte</t>
  </si>
  <si>
    <t>Betim</t>
  </si>
  <si>
    <t>poluentes</t>
  </si>
  <si>
    <t>SO2 (BH)</t>
  </si>
  <si>
    <t>SO2 (RMBH)</t>
  </si>
  <si>
    <t>NO2(BH)</t>
  </si>
  <si>
    <t>NO2(RMBH)</t>
  </si>
  <si>
    <t>O3(BH)</t>
  </si>
  <si>
    <t>O3(padrão)</t>
  </si>
  <si>
    <t>O3(RMBH)</t>
  </si>
  <si>
    <t>padrão nacional primário e secundário= 160µg/m3 (IEMA, 2015a)</t>
  </si>
  <si>
    <t>NO2(padrão1)</t>
  </si>
  <si>
    <t>NO2(padrão2)</t>
  </si>
  <si>
    <t>recomendação Organização Mundial de Saúde (OMS) = 20µg/m3 (IEMA, 2015a)</t>
  </si>
  <si>
    <t>padrão nacional primário e secundário = 100µg/m3 (IEMA, 2015a)</t>
  </si>
  <si>
    <t>SO2 (padrão1)</t>
  </si>
  <si>
    <t>SO2 (padrão2)</t>
  </si>
  <si>
    <t>SO2 (padrão3)</t>
  </si>
  <si>
    <t>padrão nacional secundário = 100µg/m3 (IEMA, 2015a)</t>
  </si>
  <si>
    <t>padrão nacional primário = 365µg/m3 (IEMA, 2015a)</t>
  </si>
  <si>
    <t>recomendação Organização Mundial de Saúde (OMS) = 40µg/m3 (IEMA, 2015a)</t>
  </si>
  <si>
    <t>registro na fonte
ou
GR df ca cr + GR df sa cr + GR df ca sr + GR df sa sr</t>
  </si>
  <si>
    <t>registro na fonte
ou
GR dm ca cr + GR dm sa cr + GR dm ca sr + GR dm sa sr</t>
  </si>
  <si>
    <t>registro na fonte
ou
GR dv ca cr + GR dv sa cr + GR dv ca sr + GR dv sa sr</t>
  </si>
  <si>
    <t>registro na fonte
ou
GR drc ca cr + GR drc sa cr + GR drc ca sr + GR drc sa sr</t>
  </si>
  <si>
    <t>CB</t>
  </si>
  <si>
    <t>ctr</t>
  </si>
  <si>
    <t>carteiro (usado como complemento de "CB")</t>
  </si>
  <si>
    <t>CB ctr</t>
  </si>
  <si>
    <t>ojt</t>
  </si>
  <si>
    <t>ojf</t>
  </si>
  <si>
    <t>oficial da Justiça do Trabalho (usado como complemneto de "CB")</t>
  </si>
  <si>
    <t>oficial da Justiça Federal (usado como complemneto de "CB")</t>
  </si>
  <si>
    <t>CB ojf</t>
  </si>
  <si>
    <t>CB ojt</t>
  </si>
  <si>
    <t>agt</t>
  </si>
  <si>
    <t>CB agt</t>
  </si>
  <si>
    <t>CB i</t>
  </si>
  <si>
    <t>i</t>
  </si>
  <si>
    <t>idoso (usado como complemento de "CB", de "CRE", de "EL", de "RL", de "RT")</t>
  </si>
  <si>
    <t>CB outros</t>
  </si>
  <si>
    <t>GR + CB agt + CB ctr + CB i + CB ojf + CB ojt + CB outros</t>
  </si>
  <si>
    <r>
      <t xml:space="preserve">cartão benefício
n.º total de pessoas para as quais foi emitido um cartão benefício individual que permite a passagem pela roleta sem pagamento da tarifa, incluindo as pessoas com deficiência, os doentes renais crônicos, carteiros, os oficiais da Justiça do Trabalho, os oficiais da Justiça Federal, os agentes de inspeção do tranalho, os idosos e outras gratuidades
</t>
    </r>
    <r>
      <rPr>
        <b/>
        <sz val="10"/>
        <rFont val="Times New Roman"/>
        <family val="1"/>
      </rPr>
      <t>obs.1:</t>
    </r>
    <r>
      <rPr>
        <sz val="10"/>
        <rFont val="Times New Roman"/>
        <family val="1"/>
      </rPr>
      <t xml:space="preserve"> resultados em dezembro de cada ano
</t>
    </r>
    <r>
      <rPr>
        <b/>
        <sz val="10"/>
        <rFont val="Times New Roman"/>
        <family val="1"/>
      </rPr>
      <t xml:space="preserve">obs:2 </t>
    </r>
    <r>
      <rPr>
        <sz val="10"/>
        <rFont val="Times New Roman"/>
        <family val="1"/>
      </rPr>
      <t xml:space="preserve">resultados em processo de incorporação ao SisMob-BH com base em informações obtidas junto à Gerência de Contratos de Concessão e Tarifas - Gecet/DTP/BHTrans </t>
    </r>
  </si>
  <si>
    <r>
      <t xml:space="preserve">n.º total de agentes de inspeção do trabalho para os quais foi emitido um cartão benefício individual que permite a passagem pela roleta sem pagamento da tarifa
</t>
    </r>
    <r>
      <rPr>
        <b/>
        <sz val="10"/>
        <rFont val="Times New Roman"/>
        <family val="1"/>
      </rPr>
      <t>obs.:</t>
    </r>
    <r>
      <rPr>
        <sz val="10"/>
        <rFont val="Times New Roman"/>
        <family val="1"/>
      </rPr>
      <t xml:space="preserve"> resultados em dezembro de cada ano</t>
    </r>
  </si>
  <si>
    <r>
      <t xml:space="preserve">n.º total de carteiros para os quais foi emitido um cartão benefício individual que permite a passagem pela roleta sem pagamento da tarifa
</t>
    </r>
    <r>
      <rPr>
        <b/>
        <sz val="10"/>
        <rFont val="Times New Roman"/>
        <family val="1"/>
      </rPr>
      <t>obs.:</t>
    </r>
    <r>
      <rPr>
        <sz val="10"/>
        <rFont val="Times New Roman"/>
        <family val="1"/>
      </rPr>
      <t xml:space="preserve"> resultados em dezembro de cada ano</t>
    </r>
  </si>
  <si>
    <r>
      <t xml:space="preserve">n.º total de idosos para os quais foi emitido um cartão benefício individual que permite a passagem pela roleta sem pagamento da tarifa
</t>
    </r>
    <r>
      <rPr>
        <b/>
        <sz val="10"/>
        <rFont val="Times New Roman"/>
        <family val="1"/>
      </rPr>
      <t>obs.:</t>
    </r>
    <r>
      <rPr>
        <sz val="10"/>
        <rFont val="Times New Roman"/>
        <family val="1"/>
      </rPr>
      <t xml:space="preserve"> resultados em dezembro de cada ano</t>
    </r>
  </si>
  <si>
    <r>
      <t xml:space="preserve">n.º total de oficiais da Justiça Federal para os quais foi emitido um cartão benefício individual que permite a passagem pela roleta sem pagamento da tarifa
</t>
    </r>
    <r>
      <rPr>
        <b/>
        <sz val="10"/>
        <rFont val="Times New Roman"/>
        <family val="1"/>
      </rPr>
      <t>obs.:</t>
    </r>
    <r>
      <rPr>
        <sz val="10"/>
        <rFont val="Times New Roman"/>
        <family val="1"/>
      </rPr>
      <t xml:space="preserve"> resultados em dezembro de cada ano</t>
    </r>
  </si>
  <si>
    <r>
      <t xml:space="preserve">n.º total de oficiais da Justiça do Trabalho para os quais foi emitido um cartão benefício individual que permite a passagem pela roleta sem pagamento da tarifa
</t>
    </r>
    <r>
      <rPr>
        <b/>
        <sz val="10"/>
        <rFont val="Times New Roman"/>
        <family val="1"/>
      </rPr>
      <t>obs.:</t>
    </r>
    <r>
      <rPr>
        <sz val="10"/>
        <rFont val="Times New Roman"/>
        <family val="1"/>
      </rPr>
      <t xml:space="preserve"> resultados em dezembro de cada ano</t>
    </r>
  </si>
  <si>
    <r>
      <t xml:space="preserve">n.º total de pessoas de outras gratidades (falta definir o que são essas outras gratuidades)  para as quais foi emitido um cartão benefício individual que permite a passagem pela roleta sem pagamento da tarifa
</t>
    </r>
    <r>
      <rPr>
        <b/>
        <sz val="10"/>
        <rFont val="Times New Roman"/>
        <family val="1"/>
      </rPr>
      <t>obs.:</t>
    </r>
    <r>
      <rPr>
        <sz val="10"/>
        <rFont val="Times New Roman"/>
        <family val="1"/>
      </rPr>
      <t xml:space="preserve"> resultados em dezembro de cada ano</t>
    </r>
  </si>
  <si>
    <t>quando marcador 2 = "Meta/RPI" o contador de indicador  = x</t>
  </si>
  <si>
    <t>OBSERVAÇÕES METODOLÓGICAS</t>
  </si>
  <si>
    <t>quando marcador 2 = "RMBH" o contador de indicador  = número de indicadores</t>
  </si>
  <si>
    <t>quando marcador 2 = "ainda não incorporado ao SisMob-BH" o contador de indicador  = número de indicadores</t>
  </si>
  <si>
    <t>quando marcador 2 = "benchmarking" o contador de indicador  = x</t>
  </si>
  <si>
    <t>quando marcador 2 = "não há acompanhamento na BHTrans" o contador de indicador  = x</t>
  </si>
  <si>
    <r>
      <rPr>
        <b/>
        <sz val="12"/>
        <color theme="1"/>
        <rFont val="Times New Roman"/>
        <family val="1"/>
      </rPr>
      <t>VERTRAN(2015a):</t>
    </r>
    <r>
      <rPr>
        <sz val="12"/>
        <color theme="1"/>
        <rFont val="Times New Roman"/>
        <family val="1"/>
      </rPr>
      <t xml:space="preserve"> VERTRAN.</t>
    </r>
    <r>
      <rPr>
        <i/>
        <sz val="12"/>
        <color theme="1"/>
        <rFont val="Times New Roman"/>
        <family val="1"/>
      </rPr>
      <t xml:space="preserve"> Plano de Mobilidade Urbana de Contagem 2015-2030 - PlanMob Contagem</t>
    </r>
    <r>
      <rPr>
        <sz val="12"/>
        <color theme="1"/>
        <rFont val="Times New Roman"/>
        <family val="1"/>
      </rPr>
      <t>. Contagem, junho de 2015. v.1 - PlaMob, 95p.</t>
    </r>
  </si>
  <si>
    <t>TX(RN) = TX(RN)ac + TX(RN)esp + TX(RN)lot + TX(RN)cn</t>
  </si>
  <si>
    <t>TX(BH) = TX(BH)ac + TX(BH)esp + TX(BH)lot + TX(BH)cn</t>
  </si>
  <si>
    <r>
      <t xml:space="preserve">frota de veículos acessíveis do transporte escolar
</t>
    </r>
    <r>
      <rPr>
        <b/>
        <sz val="10"/>
        <rFont val="Times New Roman"/>
        <family val="1"/>
      </rPr>
      <t>obs.:</t>
    </r>
    <r>
      <rPr>
        <sz val="10"/>
        <rFont val="Times New Roman"/>
        <family val="1"/>
      </rPr>
      <t xml:space="preserve"> falta conceituar o que seja um "veículo acessível" no transporte escolar</t>
    </r>
  </si>
  <si>
    <t>frota de táxi de Belo Horizonte, ou seja, número de veículos da praça integrada de táxi com placa de Belo Horizonte</t>
  </si>
  <si>
    <r>
      <t xml:space="preserve">frota de táxi da praça integrada de Belo Horizonte, ou seja, n.º total de veículos que possuem placa das cidades pertencentes à praça integrada de táxi 
</t>
    </r>
    <r>
      <rPr>
        <b/>
        <sz val="10"/>
        <color theme="1"/>
        <rFont val="Times New Roman"/>
        <family val="1"/>
      </rPr>
      <t xml:space="preserve">obs.: </t>
    </r>
    <r>
      <rPr>
        <sz val="10"/>
        <color theme="1"/>
        <rFont val="Times New Roman"/>
        <family val="1"/>
      </rPr>
      <t>região definida pelo território de municípios conveniados na qual a frota de táxi pode operar seguindo-se as regras estabelecidas em convênios bilaterais: Belo Horizonte possui convênio com Contagem, Ibirité, Ribeirão das Neves e Sabará, destacando-se que Belo Horizonte, por meio da BHTrans, é responsável pela gestão das permissões de Belo Horizonte, Ibirité e Ribeirão das Neves (fonte: BHTRANS. Portal interno da Gerência de Controle de Permissões - Gecop/DTP (antiga Gecop/DAI). Indicadores mensais - Táxi - Informações gerais)</t>
    </r>
  </si>
  <si>
    <t>relativo à cidade de São Paulo (usado como complemento de "F", de "F tcc", de "M30" e de "P")</t>
  </si>
  <si>
    <r>
      <t xml:space="preserve">partículas inaláveis, que "são os poluentes atmosféricos constituídos por um conjunto de partículas com diâmetro aerodinâmico menor ou igual a 10 µm" (FEAM/MG, 2013, p.11)
</t>
    </r>
    <r>
      <rPr>
        <b/>
        <sz val="10"/>
        <color theme="1"/>
        <rFont val="Times New Roman"/>
        <family val="1"/>
      </rPr>
      <t xml:space="preserve">obs.1: </t>
    </r>
    <r>
      <rPr>
        <sz val="10"/>
        <color theme="1"/>
        <rFont val="Times New Roman"/>
        <family val="1"/>
      </rPr>
      <t xml:space="preserve">até 2013, os resultados de PM10 para Belo Horizonte são considerados no SisMob-BH como sendo a calculada com base nas medições da estação Praça Rui Barbosa operada pela Feam/MG que foi inaugurada em abril/1995 (FEAM, 2013. p.4); 
</t>
    </r>
    <r>
      <rPr>
        <b/>
        <sz val="10"/>
        <color theme="1"/>
        <rFont val="Times New Roman"/>
        <family val="1"/>
      </rPr>
      <t xml:space="preserve">obs.2: </t>
    </r>
    <r>
      <rPr>
        <sz val="10"/>
        <color theme="1"/>
        <rFont val="Times New Roman"/>
        <family val="1"/>
      </rPr>
      <t xml:space="preserve">há resultados das estações Av. Amazonas e Aeroporto Carlos Prates para 2001 a 2010, mas ambas foram desativadas em 2011 (FEAM, 2013, p.3); 
</t>
    </r>
    <r>
      <rPr>
        <b/>
        <sz val="10"/>
        <color theme="1"/>
        <rFont val="Times New Roman"/>
        <family val="1"/>
      </rPr>
      <t xml:space="preserve">obs.3: </t>
    </r>
    <r>
      <rPr>
        <sz val="10"/>
        <color theme="1"/>
        <rFont val="Times New Roman"/>
        <family val="1"/>
      </rPr>
      <t xml:space="preserve">a partir de dezembro/2013, com a entrada em operação de duas estações (CMRR e INMET) de monitoramento em Belo Horizonte operadas pela PBH, poderá ser redefinido como se dará o cálculo do resultado desse indicador que seja representativo para Belo Horizonte
</t>
    </r>
    <r>
      <rPr>
        <b/>
        <sz val="10"/>
        <color theme="1"/>
        <rFont val="Times New Roman"/>
        <family val="1"/>
      </rPr>
      <t>obs.4:</t>
    </r>
    <r>
      <rPr>
        <sz val="10"/>
        <color theme="1"/>
        <rFont val="Times New Roman"/>
        <family val="1"/>
      </rPr>
      <t xml:space="preserve"> consulte "poluentes"</t>
    </r>
    <r>
      <rPr>
        <b/>
        <sz val="10"/>
        <color theme="1"/>
        <rFont val="Times New Roman"/>
        <family val="1"/>
      </rPr>
      <t/>
    </r>
  </si>
  <si>
    <t>acessibilidade em ônibus urbano (escala)</t>
  </si>
  <si>
    <t>buscar</t>
  </si>
  <si>
    <t>Contagem</t>
  </si>
  <si>
    <t>marcador 1 = "acessibilidade" ou "CMMCE" ou "x"</t>
  </si>
  <si>
    <t>Percentual de matérias espontâneas positivas e neutras na imprensa
obs: indicador estratégico da BHTrans (BHTRANS, 2015d)</t>
  </si>
  <si>
    <t>Número de projetos/ações com participação da sociedade
obs: indicador estratégico da BHTrans (BHTRANS, 2015d)</t>
  </si>
  <si>
    <t>registro da fonte: 
(CQA boa) x (n.º de dias do ano)</t>
  </si>
  <si>
    <t>qualidade do ar, que é dada pela quantidade de dias a cada ano nos quais a qualidade do ar foi classificada em alguma das categorias previamente definidas pela FEAM/MG: boa, regular, inadequada, má (esta categoria "má" existiu apenas em 2001 e 2002) e omissos
obs.: os resultados são apresentados por estação de monitoramento (o SisMob-BH considera a a estação Praça da Estação como representativa de Belo Horizonte)
obs.: os anos de 2004, 2008 e 2012 são bissextos e, portanto, têm 365 dias; a quantidade de dias é obtida a partir do percentual de dias disponível na fonte consultada (relatórios anuais FEAM/MG), sempre arredondando o resultado para número inteiro</t>
  </si>
  <si>
    <t>índice de locais de controle de velocidade implantado
obs: indicador estratégico da BHTrans (BHTRANS, 2015d)</t>
  </si>
  <si>
    <t>Nota média da função gerencial na avaliação de desempenho
obs: indicador estratégico da BHTrans (BHTRANS, 2015d)</t>
  </si>
  <si>
    <t>Percentual de empregados avaliados com nota igual ou acima de 80 na avaliação de desempenho
obs: indicador estratégico da BHTrans (BHTRANS, 2015d)</t>
  </si>
  <si>
    <t>Percentual de gestores treinados
obs: indicador estratégico da BHTrans (BHTRANS, 2015d)</t>
  </si>
  <si>
    <t>Nota média da variável "sentimento de adesão"
obs: indicador estratégico da BHTrans (BHTRANS, 2015d)</t>
  </si>
  <si>
    <t>Nota média da variável "comprometimento/motivação"
obs: indicador estratégico da BHTrans (BHTRANS, 2015d)</t>
  </si>
  <si>
    <t>Taxa de reclamações do transporte coletivo suplementar por 1 milhão de passageiros
obs: indicador estratégico da BHTrans (BHTRANS, 2015d)</t>
  </si>
  <si>
    <t>Taxa de reclamações do transporte coletivo convencional por 1 milhão de passageiros
obs: indicador estratégico da BHTrans (BHTRANS, 2015d)</t>
  </si>
  <si>
    <t>Percentual de solicitações solucionadas no prazo
obs: indicador estratégico da BHTrans (BHTRANS, 2015d)</t>
  </si>
  <si>
    <t>Percentual de solicitações analisadas no prazo
obs: indicador estratégico da BHTrans (BHTRANS, 2015d)</t>
  </si>
  <si>
    <t>Percentual de resposta às solicitações no prazo
obs: indicador estratégico da BHTrans (BHTRANS, 2015d)</t>
  </si>
  <si>
    <t>Percentual de motoristas certificados
obs: indicador estratégico da BHTrans (BHTRANS, 2015d)</t>
  </si>
  <si>
    <t>R tcc (conduta inadequada) por milhão de passageiros</t>
  </si>
  <si>
    <t>taxa de reclamações relacionadas à conduta inadequada dos operadores do transporte coletivo convencional (por milhão de passageiros)
obs:1 indicador estratégico da BHTrans (BHTRANS, 2015d)
obs.2: resultados relativos ao período 2011-2013 disponíveis em BHTRANS (2015e, p.45)</t>
  </si>
  <si>
    <t>taxa de reclamações do transporte coletivo convencional (por milhão de passageiros)
obs.: resultados relativos ao período 2010-2013 disponíveis em BHTRANS (2015e, p.44)</t>
  </si>
  <si>
    <t>taxa de reclamações do transporte coletivo suplementar (por milhão de passageiros)
obs.: resultados relativos ao período 2010-2013 disponíveis em BHTRANS (2015e, p.44)</t>
  </si>
  <si>
    <t>NP tc da rede estruturante em relação a NP tc</t>
  </si>
  <si>
    <t>IDO tcc (ICP)</t>
  </si>
  <si>
    <t>IDO tcc (IRG)</t>
  </si>
  <si>
    <t>índice de regularidade do transporte coletivo convencional
obs.1: este índice não é parte integrante de IDO tcc
obs.2: indicador estratégico da BHTrans (BHTRANS, 2015d)</t>
  </si>
  <si>
    <t>IDO tcc (ICV)</t>
  </si>
  <si>
    <t>IDO tcc (IPV)</t>
  </si>
  <si>
    <t>NP tc (ano) por 100 habitantes</t>
  </si>
  <si>
    <t>transporte coletivo de pessoas, englobando tc convencional e tc suplementar no caso de Belo Horizonte (usado como complemento de "EV"; de "DM (P.Op.)"; de "A" e "AB"; de "F")</t>
  </si>
  <si>
    <t>sem elevador hidráulico (complemento de "SP F" e de "F tc")</t>
  </si>
  <si>
    <t>NL tcs</t>
  </si>
  <si>
    <t>tcs</t>
  </si>
  <si>
    <t>transporte coletivo suplementar (usado como complemento de "NL" e de diversos indicadores de "F")</t>
  </si>
  <si>
    <t>alguma facilidade</t>
  </si>
  <si>
    <t>F tcc + F tcs</t>
  </si>
  <si>
    <t xml:space="preserve"> Enquanto a BHTrans está reorganizando, em parceria com o Cefet-MG, os resultados das pesquisas O/D realizadas na RMBH desde a década de 1970 para que sejam comparáveis ao longo do tempo, consulte os resultados do ano 2002 publicados em tabelas no SisMob-BH = 87 indicadores de deslocamentos na RMBH (Tabela 2a), 87 indicadores de viagens na RMBH (Tabela 2b), 87 indicadores de viagens de moradores de BH na RMBH (Tabela 2c) e 271 indicadores de viagens dos moradores de BH na RMBH (Tabelas 2d, 2e, 2f, 2g). Esses resultados estão no padrão anterior aos Quadros 100a/b/c instituído em 10/08/2015.
 Além disto, a BHTrans está revendo os resultados relativos a renda da O/D de 2002 para futura republicação de resultados.</t>
  </si>
  <si>
    <t xml:space="preserve"> O indicador "URB" surge no contexto do projeto de fiscalização urbanística integrada nas grandes avenidas de Belo Horizonte, denominado AMAR BH, lançado pela PBH em março de 2013 na Avenida Raja Gabáglia (RGB) sob a coordenação da Secretaria Municipal Adjunta de Fiscalização - Smafis/PBH. Enquanto os resultados de 2014 não são consolidados, consulte Quadro 50 e Tabela 59 no SisMob-BH com resultados de 2013 relativos a 24 indicadores. Esses resultados estão no padrão anterior aos Quadros 100a/b/c instituído em 10/08/2015.
O projeto AMAR-BH foi descontinuado pela Smafis/PBH em 2015 e deve-se avaliar se será dada continuidade à apuração dos indicadores previstos em BHTRANS (2015d).</t>
  </si>
  <si>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05/01/2015. Republicado em 10/08/2015 e 15/11/2015 com alterações no lay-out  da versão anterior. Atualizado em 11/01/2015 com resultados de 2014 para M.</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</si>
  <si>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 100a/b/c - Dados abertos do SisMob-BH</t>
    </r>
    <r>
      <rPr>
        <sz val="10"/>
        <rFont val="Times New Roman"/>
        <family val="1"/>
      </rPr>
      <t xml:space="preserve">. 
Elaborado por Marcos Fontoura de Oliveira e publicado pela primeira vez no SisMob-BH em 05/01/2015. Republicado em 10/08/2015 e 15/11/2015 com alterações no lay-out  da versão anterior. Atualizado em 11/01/2015 com resultados de 2014.
</t>
    </r>
    <r>
      <rPr>
        <b/>
        <sz val="10"/>
        <rFont val="Times New Roman"/>
        <family val="1"/>
      </rPr>
      <t xml:space="preserve">Comentários: a) </t>
    </r>
    <r>
      <rPr>
        <sz val="10"/>
        <rFont val="Times New Roman"/>
        <family val="1"/>
      </rPr>
      <t xml:space="preserve">a queda do indicador "AV" observada, ano a ano, entre 2010 e 2013, foi interrompida em 2014 (aumento de 5,8%); </t>
    </r>
    <r>
      <rPr>
        <b/>
        <sz val="10"/>
        <rFont val="Times New Roman"/>
        <family val="1"/>
      </rPr>
      <t>b)</t>
    </r>
    <r>
      <rPr>
        <sz val="10"/>
        <rFont val="Times New Roman"/>
        <family val="1"/>
      </rPr>
      <t xml:space="preserve"> a queda do indicador "T" observada, ano a ano, entre 2004 e 2013, foi mantida em 2014 (diminuição de 0,4%).</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</si>
  <si>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05/01/2015. Republicado em 10/08/2015 e 15/11/2015 com alterações no lay-out  da versão anterior. Atualizado em 11/01/2015 com resultados de 2014.
Comentário: As quedas nos indicadores "V" e "NF" observadas, ano a ano, entre 2010 e 2013, foram interrompidas em 2014 (ambos aumentaram 4,5%).</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</si>
  <si>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10/08/2015. Republicado em 15/11/2015. Atualizado em 11/01/2015 com resultados de 2014 de São Paulo.</t>
    </r>
  </si>
  <si>
    <t>Percentual do gasto com transporte (em relação ao salário mínimo)
obs: indicador estratégico da BHTrans (BHTRANS, 2015d)</t>
  </si>
  <si>
    <t>IPV MOVE - índice de pontualidade de viagens do MOVE
obs: indicador estratégico da BHTrans (BHTRANS, 2015d)</t>
  </si>
  <si>
    <t>IDO MOVE (Índice de Desempenho Operacional do transporte coletivo MOVE)
obs: indicador estratégico da BHTrans (BHTRANS, 2015d)</t>
  </si>
  <si>
    <t>IRG MOVE - (índice de regularidade do serviço MOVE)
obs: indicador estratégico da BHTrans (BHTRANS, 2015d)</t>
  </si>
  <si>
    <t>Percentual de avaliação positiva do transporte coletivo MOVE
obs: indicador estratégico da BHTrans (BHTRANS, 2015d)</t>
  </si>
  <si>
    <t>Percentual de passageiros do transporte coletivo beneficiados com políticas de integração
obs: indicador estratégico da BHTrans (BHTRANS, 2015d)</t>
  </si>
  <si>
    <t>Quantidade de linhas do transporte coletivo executivo em operação
obs: indicador estratégico da BHTrans (BHTRANS, 2015d)</t>
  </si>
  <si>
    <t>Percentual de aprovação nas inspeções da operação oxigênio
obs: indicador estratégico da BHTrans (BHTRANS, 2015d)</t>
  </si>
  <si>
    <t>Velocidade media do tráfego geral
obs: indicador estratégico da BHTrans (BHTRANS, 2015d)</t>
  </si>
  <si>
    <t>Percentual de vias com trânsito saturado (lento ou retido)
obs: indicador estratégico da BHTrans (BHTRANS, 2015d)</t>
  </si>
  <si>
    <t>Extensão de congestionamento
obs: indicador estratégico da BHTrans (BHTRANS, 2015d)</t>
  </si>
  <si>
    <r>
      <t xml:space="preserve">celeridade na resposta dada a solicitações de análise de empreendimentos de impacto, obtida pela relação entre o n.º de ANei finalizadas em menos de 30 dias e o n.º total de ANei finalizadas no período
</t>
    </r>
    <r>
      <rPr>
        <b/>
        <sz val="10"/>
        <color theme="1"/>
        <rFont val="Times New Roman"/>
        <family val="1"/>
      </rPr>
      <t xml:space="preserve">obs.: </t>
    </r>
    <r>
      <rPr>
        <sz val="10"/>
        <color theme="1"/>
        <rFont val="Times New Roman"/>
        <family val="1"/>
      </rPr>
      <t>este indicador foi selecionado como indicador estratégico da BHTrans com a denominação de "Percentual de empreendimentos de impacto analisados no prazo" (BHTRANS, 2015d)</t>
    </r>
  </si>
  <si>
    <r>
      <t xml:space="preserve">celeridade na resposta dada a solicitações que envolvem a legislação urbanística, obtida pela relação percentual entre o n.º de AN finalizadas em menos de 30 dias e o n.º total de AN finalizadas no período
</t>
    </r>
    <r>
      <rPr>
        <b/>
        <sz val="10"/>
        <rFont val="Times New Roman"/>
        <family val="1"/>
      </rPr>
      <t xml:space="preserve">obs.: </t>
    </r>
    <r>
      <rPr>
        <sz val="10"/>
        <rFont val="Times New Roman"/>
        <family val="1"/>
      </rPr>
      <t>este é o indicador mais significativo deste assunto, tendo sido selecionado como indicador estratégico da BHTrans com a denominação de "Percentual de análises da Gerência de Diretrizes Viárias (GEDIV)" (BHTRANS, 2015d)</t>
    </r>
  </si>
  <si>
    <t>celeridade na resposta dada a solicitações de análise de projetos viários, obtida pela relação entre o n.º de ANpv finalizadas em menos de 30 dias e o n.º total de ANpv finalizadas no período
obs.: este indicador foi selecionado como indicador estratégico da BHTrans com a denominação de "Percentual de projetos viários analisados no prazo" (BHTRANS, 2015d)</t>
  </si>
  <si>
    <t>celeridade na resposta dada a solicitações urbanísticas de análises diversas, obtida pela relação entre o n.º de ANdv finalizadas em menos de 30 dias em relação ao total de ANdv finalizadas no período
obs.: este indicador foi selecionado como indicador estratégico da BHTrans com a denominação de "Percentual de diretrizes viárias analisadas no prazo" (BHTRANS, 2015d)</t>
  </si>
  <si>
    <t>celeridade na resposta dada a solicitações de análise de processos e projetos de postos de abastecimento de combustíveis, obtida pela relação entre o n.º de ANpc finalizadas em menos de 30 dias e o n.º total de ANpc finalizadas no período
obs.: este indicador foi selecionado como indicador estratégico da BHTrans com a denominação de "Percentual de análises de postos de combustíveis realizados (sic) no prazo" (BHTRANS, 2015d)</t>
  </si>
  <si>
    <t>Percentual de medidas mitigadoras (condicionantes) implantadas no prazo
obs: indicador estratégico da BHTrans (BHTRANS, 2015d)</t>
  </si>
  <si>
    <t>Percentual de pontos de parada, de alta movimentação de passageiros, dotados de
painéis com informações em tempo real (em relação ao planejado)
obs: indicador estratégico da BHTrans (BHTRANS, 2015d)</t>
  </si>
  <si>
    <t>Percentual de extensão da rede estruturante (em relação à extensão total de vias com
circulação do transporte coletivo)
obs: indicador estratégico da BHTrans (BHTRANS, 2015d), organizado pelo ObsMob-BH e selecionado pelo CMMCE</t>
  </si>
  <si>
    <t>Percentual de priorização viária do transporte coletivo em relação ao planejado
obs: indicador estratégico da BHTrans (BHTRANS, 2015d)</t>
  </si>
  <si>
    <t>registro na fonte
ou
AB[o] + AB[b]</t>
  </si>
  <si>
    <t>registro na fonte
(∑ respostas "regular")/ n.º de respondentes) x 100</t>
  </si>
  <si>
    <t>registro na fonte
(∑ respostas "bom" / n.º de respondentes) x 100</t>
  </si>
  <si>
    <t>registro na fonte
(∑ respostas "NS.NR" / n.º de respondentes) x 100</t>
  </si>
  <si>
    <t>registro na fonte
(∑ respostas péssimo")/ n.º de respondentes) x 100</t>
  </si>
  <si>
    <t>registro na fonte
(∑ respostas "ótimo" / n.º de respondentes) x 100</t>
  </si>
  <si>
    <t>registro na fonte
(∑ respostas ruim")/ n.º de respondentes) x 100</t>
  </si>
  <si>
    <t>Ats = ((Ats[o]x5)+(Ats[b]x4)+ (Ats[rg]x3)+(Ats[r]x2)+ (Ats[p]x1))/(100-Ats[NS.NR])</t>
  </si>
  <si>
    <r>
      <t xml:space="preserve">motorização da categoria "automóveis, caminhonetes e camionetas", que é a relação entre população e frota dessa categoria, expressando a quantidade de habitantes para cada veículo da categoria registrado no território, também expresso na forma de 1 veículo para cada x habitantes 
</t>
    </r>
    <r>
      <rPr>
        <b/>
        <sz val="10"/>
        <color theme="1"/>
        <rFont val="Times New Roman"/>
        <family val="1"/>
      </rPr>
      <t xml:space="preserve">obs: </t>
    </r>
    <r>
      <rPr>
        <sz val="10"/>
        <color theme="1"/>
        <rFont val="Times New Roman"/>
        <family val="1"/>
      </rPr>
      <t>este indicador é estratégico da BHTrans com o nome de "índice de motorização de veículos leves" (BHTRANS, 2015d)</t>
    </r>
  </si>
  <si>
    <r>
      <t xml:space="preserve">motorização da categoria "motociclos", que é a relação entre população e frota dessa categoria, expressando a quantidade de habitantes para cada veículo da categoria registrado no território, também expresso na forma de 1 veículo para cada x habitantes (destaque-se que esse indicador não é equivalente ao TMM - taxa de motorização por moto)
</t>
    </r>
    <r>
      <rPr>
        <b/>
        <sz val="10"/>
        <color theme="1"/>
        <rFont val="Times New Roman"/>
        <family val="1"/>
      </rPr>
      <t xml:space="preserve">obs: </t>
    </r>
    <r>
      <rPr>
        <sz val="10"/>
        <color theme="1"/>
        <rFont val="Times New Roman"/>
        <family val="1"/>
      </rPr>
      <t>este indicador é estratégico da BHTrans com o nome de "índice de motorização de motocicletas (sic) veículos leves" (BHTRANS, 2015d)</t>
    </r>
  </si>
  <si>
    <r>
      <t xml:space="preserve">motorização, que é a relação entre população e frota, expressando a quantidade de habitantes para cada veículo registrado no território, também expresso na forma de 1 veículo para cada x habitantes (é também identificado como TMG - taxa de motorização geral)
</t>
    </r>
    <r>
      <rPr>
        <b/>
        <sz val="10"/>
        <color theme="1"/>
        <rFont val="Times New Roman"/>
        <family val="1"/>
      </rPr>
      <t>obs:</t>
    </r>
    <r>
      <rPr>
        <sz val="10"/>
        <color theme="1"/>
        <rFont val="Times New Roman"/>
        <family val="1"/>
      </rPr>
      <t xml:space="preserve"> este indicador é estratégico da BHTrans com o nome de "índice de motorização geral" (BHTRANS, 2015d)</t>
    </r>
  </si>
  <si>
    <r>
      <t xml:space="preserve">percentual de avaliação positiva do trânsito
</t>
    </r>
    <r>
      <rPr>
        <b/>
        <sz val="10"/>
        <color theme="1"/>
        <rFont val="Times New Roman"/>
        <family val="1"/>
      </rPr>
      <t xml:space="preserve">obs.1: </t>
    </r>
    <r>
      <rPr>
        <sz val="10"/>
        <color theme="1"/>
        <rFont val="Times New Roman"/>
        <family val="1"/>
      </rPr>
      <t>este indicador é obtido pela soma dos percentuais de "ótimo" e "bom" ou de "nota 5" e "nota 4" na avaliação do trânsito, ou, quando não há os resultados das parcelas, é obtido diretamente na fonte
obs.2: indicador estratégico da BHTrans (BHTRANS, 2015d)</t>
    </r>
  </si>
  <si>
    <t>registro na fonte
ou
Ats[o] + Ats[b]</t>
  </si>
  <si>
    <r>
      <t xml:space="preserve">n.º de vítimas não fatais em acidentes de trânsito por 100 mil habitantes
</t>
    </r>
    <r>
      <rPr>
        <b/>
        <sz val="10"/>
        <color theme="1"/>
        <rFont val="Times New Roman"/>
        <family val="1"/>
      </rPr>
      <t>obs:</t>
    </r>
    <r>
      <rPr>
        <sz val="10"/>
        <color theme="1"/>
        <rFont val="Times New Roman"/>
        <family val="1"/>
      </rPr>
      <t xml:space="preserve"> este indicador é estratégico da BHTrans com o nome de "taxa de vítimas não fatais em acidentes de trânsito por 100 mil habitantes" (BHTRANS, 2015d)</t>
    </r>
  </si>
  <si>
    <r>
      <t xml:space="preserve">n.º de vítimas não fatais em acidentes de trânsito por 10 mil veículos
</t>
    </r>
    <r>
      <rPr>
        <b/>
        <sz val="10"/>
        <color theme="1"/>
        <rFont val="Times New Roman"/>
        <family val="1"/>
      </rPr>
      <t xml:space="preserve">obs.1: </t>
    </r>
    <r>
      <rPr>
        <sz val="10"/>
        <color theme="1"/>
        <rFont val="Times New Roman"/>
        <family val="1"/>
      </rPr>
      <t xml:space="preserve">nos relatórios anuais de acidentes de trânsito da BHTrans este indicador é denominado "vítimas não fatais por 10.000 veículos" 
</t>
    </r>
    <r>
      <rPr>
        <b/>
        <sz val="10"/>
        <color theme="1"/>
        <rFont val="Times New Roman"/>
        <family val="1"/>
      </rPr>
      <t xml:space="preserve">obs.2: </t>
    </r>
    <r>
      <rPr>
        <sz val="10"/>
        <color theme="1"/>
        <rFont val="Times New Roman"/>
        <family val="1"/>
      </rPr>
      <t>este indicador é estratégico da BHTrans com o nome de "taxa de vítimas não fatais em acidentes de trânsito por 10 mil veículos" (BHTRANS, 2015d)</t>
    </r>
  </si>
  <si>
    <t>Percentual de entrevistados que consideram que o transporte coletivo convencional melhorou
obs: indicador estratégico da BHTrans (BHTRANS, 2015d)</t>
  </si>
  <si>
    <t>Percentual de avaliação positiva da disseminação das informações para escolha dos modos de deslocamento
obs: indicador estratégico da BHTrans (BHTRANS, 2015d)</t>
  </si>
  <si>
    <t>Percentual de entrevistados que consideram que o sistema de informações sobre o transporte coletivo está se modernizando
obs: indicador estratégico da BHTrans (BHTRANS, 2015d)</t>
  </si>
  <si>
    <t>Taxa de mortalidade de pedestres em acidentes de trânsito por 100 mil habitantes
obs: indicador estratégico da BHTrans (BHTRANS, 2015d)</t>
  </si>
  <si>
    <t>Taxa de pedestres feridos em acidentes de trânsito por 100 mil habitantes
obs: indicador estratégico da BHTrans (BHTRANS, 2015d)</t>
  </si>
  <si>
    <t>Taxa de mortos e feridos graves por 100 mil habitantes
obs: indicador estratégico da BHTrans (BHTRANS, 2015d)</t>
  </si>
  <si>
    <t>Taxa de mortos e feridos graves por 10 mil veículos
obs: indicador estratégico da BHTrans (BHTRANS, 2015d)</t>
  </si>
  <si>
    <t>Percentual de empregados [da BHTrans] que utilizam o portal interno
obs: indicador estratégico da BHTrans (BHTRANS, 2015d)</t>
  </si>
  <si>
    <t>Percentual de passageiros embarcados em pontos de parada dotados de abrigo em Belo
Horizonte
obs: indicador estratégico da BHTrans (BHTRANS, 2015d)</t>
  </si>
  <si>
    <t>Velocidade operacional da rede estruturante sobre pneus
obs: indicador estratégico da BHTrans (BHTRANS, 2015d)</t>
  </si>
  <si>
    <t>VOPTC - Velocidade Operacional do transporte coletivo no hipercentro
obs: indicador estratégico da BHTrans (BHTRANS, 2015d)</t>
  </si>
  <si>
    <r>
      <t xml:space="preserve">avaliação
</t>
    </r>
    <r>
      <rPr>
        <b/>
        <sz val="10"/>
        <rFont val="Times New Roman"/>
        <family val="1"/>
      </rPr>
      <t>obs.1:</t>
    </r>
    <r>
      <rPr>
        <sz val="10"/>
        <rFont val="Times New Roman"/>
        <family val="1"/>
      </rPr>
      <t xml:space="preserve"> por vezes conceituadas como "percepções" ou "declarações", as avaliações são captadas em pesquisas, sejam internas à BHTrans ou externas
</t>
    </r>
    <r>
      <rPr>
        <b/>
        <sz val="10"/>
        <rFont val="Times New Roman"/>
        <family val="1"/>
      </rPr>
      <t xml:space="preserve">obs.2: </t>
    </r>
    <r>
      <rPr>
        <sz val="10"/>
        <rFont val="Times New Roman"/>
        <family val="1"/>
      </rPr>
      <t xml:space="preserve"> nas pesquisas denominadas "de opinião" a população de Belo Horizonte vem sendo consultada periodicamente desde 1995 para, entre outras questões, quantificar as avaliações dos sistemas de trânsito e de transporte coletivo de Belo Horizonte, bem como da gestão desses serviços por parte da BHTrans (as questões de trãnsito se iniciam em 1996 e em alguns anos não foi realizada pesquisa: 1997, 1999, 2009, 2012, 2014)
</t>
    </r>
    <r>
      <rPr>
        <b/>
        <sz val="10"/>
        <rFont val="Times New Roman"/>
        <family val="1"/>
      </rPr>
      <t xml:space="preserve">obs.3: </t>
    </r>
    <r>
      <rPr>
        <sz val="10"/>
        <rFont val="Times New Roman"/>
        <family val="1"/>
      </rPr>
      <t xml:space="preserve">"Com relação ao transporte coletivo e ao trânsito, as questões formuladas utilizam expressões muito similares ao longo da série histórica: a) “de maneira geral, como você avalia...”; b) “no geral, qual a sua avaliação...”; c) “como você avalia...”. Com relação à atuação da BHTrans, tanto em relação aos serviços gerenciados como em relação ao trabalho geral da empresa, as expressões usadas são também similares ao longo da série: a) “você acha que a BHTrans está realizando um trabalho...”; b) “como você avalia a atuação da BHTrans...”; c) “como você avalia o trabalho desenvolvido pela BHTrans...”; d) “na sua opinião o trabalho realizado pela BHTrans...”; e) “depois que você avaliou as duas áreas em que a BHTrans atua, qual a sua avaliação geral...”. (OLIVEIRA, 2014, p.321); no caso do transporte coletivo, em algumas pesquisas ao longo da série histórica há questões separadas para "transporte convencional" e "transporte suplementar", mas quando não há questões separadas as respostas são tomadas como sendo relativas ao transporte convencional, pois esse é o subssistema majoritário de transporte coletivo de Belo Horizonte (as respostas relativas ao transporte suplementar podem e devem ser estudadas e cotejadas com Atc)
</t>
    </r>
    <r>
      <rPr>
        <b/>
        <sz val="10"/>
        <rFont val="Times New Roman"/>
        <family val="1"/>
      </rPr>
      <t>obs.4:</t>
    </r>
    <r>
      <rPr>
        <sz val="10"/>
        <rFont val="Times New Roman"/>
        <family val="1"/>
      </rPr>
      <t xml:space="preserve"> análises dos resultados das evoluções dos indicadores "AB", "Atc" e "Ats" entre 1995 e 2011 são encontrados em OLIVEIRA (2014)</t>
    </r>
  </si>
  <si>
    <r>
      <t xml:space="preserve">avaliação geral do transporte coletivo
</t>
    </r>
    <r>
      <rPr>
        <b/>
        <sz val="10"/>
        <color theme="1"/>
        <rFont val="Times New Roman"/>
        <family val="1"/>
      </rPr>
      <t xml:space="preserve">obs.1: </t>
    </r>
    <r>
      <rPr>
        <sz val="10"/>
        <color theme="1"/>
        <rFont val="Times New Roman"/>
        <family val="1"/>
      </rPr>
      <t xml:space="preserve">consulte "A" para bem entender este indicador
</t>
    </r>
    <r>
      <rPr>
        <b/>
        <sz val="10"/>
        <color theme="1"/>
        <rFont val="Times New Roman"/>
        <family val="1"/>
      </rPr>
      <t xml:space="preserve">obs.2: </t>
    </r>
    <r>
      <rPr>
        <sz val="10"/>
        <color theme="1"/>
        <rFont val="Times New Roman"/>
        <family val="1"/>
      </rPr>
      <t xml:space="preserve">análises dos resultados das evoluções dos indicadores "Atc" entre 1995 e 2011 são encontrados em OLIVEIRA (2014)
</t>
    </r>
    <r>
      <rPr>
        <b/>
        <sz val="10"/>
        <color theme="1"/>
        <rFont val="Times New Roman"/>
        <family val="1"/>
      </rPr>
      <t xml:space="preserve">obs.3: </t>
    </r>
    <r>
      <rPr>
        <sz val="10"/>
        <color theme="1"/>
        <rFont val="Times New Roman"/>
        <family val="1"/>
      </rPr>
      <t xml:space="preserve">não confundir com AVGE
</t>
    </r>
    <r>
      <rPr>
        <b/>
        <sz val="10"/>
        <color theme="1"/>
        <rFont val="Times New Roman"/>
        <family val="1"/>
      </rPr>
      <t xml:space="preserve">obs.4: </t>
    </r>
    <r>
      <rPr>
        <sz val="10"/>
        <color theme="1"/>
        <rFont val="Times New Roman"/>
        <family val="1"/>
      </rPr>
      <t>selecionado como indicador de referência da ação "tornar o transporte coletivo mais atrativo frente ao transporte individual" do Plano de Redução de Emissões de Gases de Efeito Estufa - Pregee do Comitê Municipal sobre Mudanças Climáticas e Ecoeficiência - CMMCE (Secretaria Municipal de Meio Ambiente - SMMA da Prefeitura de Belo Horizonte)</t>
    </r>
    <r>
      <rPr>
        <b/>
        <sz val="10"/>
        <color theme="1"/>
        <rFont val="Times New Roman"/>
        <family val="1"/>
      </rPr>
      <t/>
    </r>
  </si>
  <si>
    <r>
      <t xml:space="preserve">avaliação geral do trânsito
</t>
    </r>
    <r>
      <rPr>
        <b/>
        <sz val="10"/>
        <color theme="1"/>
        <rFont val="Times New Roman"/>
        <family val="1"/>
      </rPr>
      <t xml:space="preserve">obs.1: </t>
    </r>
    <r>
      <rPr>
        <sz val="10"/>
        <color theme="1"/>
        <rFont val="Times New Roman"/>
        <family val="1"/>
      </rPr>
      <t xml:space="preserve">consulte "A" para bem entender este indicador
</t>
    </r>
    <r>
      <rPr>
        <b/>
        <sz val="10"/>
        <color theme="1"/>
        <rFont val="Times New Roman"/>
        <family val="1"/>
      </rPr>
      <t xml:space="preserve">obs.2: </t>
    </r>
    <r>
      <rPr>
        <sz val="10"/>
        <color theme="1"/>
        <rFont val="Times New Roman"/>
        <family val="1"/>
      </rPr>
      <t>análises dos resultados das evoluções dos indicadores "Ats" entre 1995 e 2011 são encontrados em OLIVEIRA (2014)</t>
    </r>
  </si>
  <si>
    <r>
      <rPr>
        <b/>
        <sz val="10"/>
        <color theme="1"/>
        <rFont val="Times New Roman"/>
        <family val="1"/>
      </rPr>
      <t>em 2010:</t>
    </r>
    <r>
      <rPr>
        <sz val="10"/>
        <color theme="1"/>
        <rFont val="Times New Roman"/>
        <family val="1"/>
      </rPr>
      <t xml:space="preserve"> "Reduzir o índice de congestionamentos e saturação nas principais vias de Belo Horizonte, em relação ao cenário tendencial, em 6% em 2014 e em 52% em 2020" (BHTRANS, 2010a, p.25)
</t>
    </r>
    <r>
      <rPr>
        <b/>
        <sz val="10"/>
        <color theme="1"/>
        <rFont val="Times New Roman"/>
        <family val="1"/>
      </rPr>
      <t>em 2013:</t>
    </r>
    <r>
      <rPr>
        <sz val="10"/>
        <color theme="1"/>
        <rFont val="Times New Roman"/>
        <family val="1"/>
      </rPr>
      <t xml:space="preserve"> "Reduzir o índice de congestionamentos e saturação, nas principais vias de Belo Horizonte, em relação ao cenário tendencial, em 28% em 2016 e em 52% em 2020" (BHTRANS, 2013a, p.23)</t>
    </r>
  </si>
  <si>
    <t>n.º de ANdv finalizadas do primeiro ao último dia do período e que tenham dado entrada a menos de 30 dias após sua entrada (BHTRANS, 2015f)</t>
  </si>
  <si>
    <t>n.º de ANdv que deram entrada durante o período de apuração (BHTRANS, 2015f)</t>
  </si>
  <si>
    <t>n.º de ANdv ainda não concluídas no último dia do período de apuração, também denominado como "saldo" em alguns relatórios gerenciais (BHTRANS, 2015f)</t>
  </si>
  <si>
    <t>n.º de ANdv finalizadas do primeiro ao último dia do período de apuração (BHTRANS, 2015f)</t>
  </si>
  <si>
    <t>n.º de ANei finalizadas do primeiro ao último dia do período e que tenham dado entrada a menos de 30 dias após sua entrada (BHTRANS, 2015f)</t>
  </si>
  <si>
    <t>n.º de ANei que deram entrada durante o período de apuração (BHTRANS, 2015f)</t>
  </si>
  <si>
    <t>n.º de ANei ainda não concluídas no último dia do período de apuração, também denominado como "saldo" em alguns relatórios gerenciais (BHTRANS, 2015f)</t>
  </si>
  <si>
    <t>n.º de ANei finalizadas do primeiro ao último dia do período de apuração (BHTRANS, 2015f)</t>
  </si>
  <si>
    <t>n.º de ANpc finalizadas do primeiro ao último dia do período e que tenham dado entrada a menos de 30 dias após sua entrada (BHTRANS, 2015f)</t>
  </si>
  <si>
    <t>n.º de ANpc que deram entrada durante o período de apuração (BHTRANS, 2015f)</t>
  </si>
  <si>
    <t>n.º de ANpc ainda não concluídas no último dia do período de apuração, também denominado como "saldo" em alguns relatórios gerenciais (BHTRANS, 2015f)</t>
  </si>
  <si>
    <t>n.º de ANpc finalizadas do primeiro ao último dia do período de apuração (BHTRANS, 2015f)</t>
  </si>
  <si>
    <t>n.º de ANpv finalizadas do primeiro ao último dia do período e que tenham dado entrada a menos de 30 dias após sua entrada (BHTRANS, 2015f)</t>
  </si>
  <si>
    <t>n.º de ANpv que deram entrada durante o período de apuração (BHTRANS, 2015f)</t>
  </si>
  <si>
    <t>n.º de ANpv ainda não concluídas no último dia do período de apuração, também denominado como "saldo" em alguns relatórios gerenciais (BHTRANS, 2015f)</t>
  </si>
  <si>
    <t>n.º de ANpv finalizadas do primeiro ao último dia do período de apuração (BHTRANS, 2015f)</t>
  </si>
  <si>
    <t>o resultado nesta planilha foi obtido diretamente na fonte consultada sem fórmulas</t>
  </si>
  <si>
    <r>
      <rPr>
        <b/>
        <sz val="12"/>
        <color theme="1"/>
        <rFont val="Times New Roman"/>
        <family val="1"/>
      </rPr>
      <t>BHTRANS(2011a):</t>
    </r>
    <r>
      <rPr>
        <sz val="12"/>
        <color theme="1"/>
        <rFont val="Times New Roman"/>
        <family val="1"/>
      </rPr>
      <t xml:space="preserve"> EMPRESA DE TRANSPORTES E TRÂNSITO DE BELO HORIZONTE S.A - BHTRANS. </t>
    </r>
    <r>
      <rPr>
        <i/>
        <sz val="12"/>
        <color theme="1"/>
        <rFont val="Times New Roman"/>
        <family val="1"/>
      </rPr>
      <t xml:space="preserve">Balanço da mobilidade urbana de Belo Horizonte 2011 (ano-base 2010). </t>
    </r>
    <r>
      <rPr>
        <sz val="12"/>
        <color theme="1"/>
        <rFont val="Times New Roman"/>
        <family val="1"/>
      </rPr>
      <t>Belo Horizonte: BHTrans, julho 2011. 32p.</t>
    </r>
  </si>
  <si>
    <t>n.º de unidades habitacionais nas zonas lindeiras a cada um dos corredores de transporte público (BHTRANS, 2011a, p.26)</t>
  </si>
  <si>
    <t>A EMP</t>
  </si>
  <si>
    <t>A HAB</t>
  </si>
  <si>
    <t>n.º de empregos nas zonas lindeiras a cada um dos corredores de transporte público (BHTRANS, 2011a, p.26)</t>
  </si>
  <si>
    <t>sem resultados na fonte</t>
  </si>
  <si>
    <t>percentual de respostas "bom" ou "nota 4" na avaliação geral da BHTrans (resultados de 1995 a 2012: OLIVEIRA, 2014, Tabela 4.35 a 4.51 - Apêndice D; 2013: DOXA, 2013;  2014: não foi realizada pesquisa; 2015: DOXA, 2015)</t>
  </si>
  <si>
    <t>percentual de respostas "não sabe" e "não respondeu" (NS.NR) na avaliação geral da BHTrans (resultados de 1995 a 2012: OLIVEIRA, 2014, Tabela 4.35 a 4.51 - Apêndice D; 2013: DOXA, 2013;  2014: não foi realizada pesquisa; 2015: DOXA, 2015)</t>
  </si>
  <si>
    <t>percentual de respostas "ótimo" ou "nota 4" na avaliação geral da BHTrans (resultados de 1995 a 2012: OLIVEIRA, 2014, Tabela 4.35 a 4.51 - Apêndice D; 2013: DOXA, 2013;  2014: não foi realizada pesquisa; 2015: DOXA, 2015)</t>
  </si>
  <si>
    <t>percentual de respostas "péssimo" ou de "nota 1" na avaliação geral da BHTrans (resultados de 1995 a 2012: OLIVEIRA, 2014, Tabela 4.35 a 4.51 - Apêndice D; 2013: DOXA, 2013;  2014: não foi realizada pesquisa; 2015: DOXA, 2015)</t>
  </si>
  <si>
    <t>percentual de respostas "ruim" ou "nota 2" na avaliação geral da BHTrans (resultados de 1995 a 2012: OLIVEIRA, 2014, Tabela 4.35 a 4.51 - Apêndice D; 2013: DOXA, 2013;  2014: não foi realizada pesquisa; 2015: DOXA, 2015)</t>
  </si>
  <si>
    <t>percentual de respostas "bom" na avaliação geral da BHTrans na administração do transporte coletivo (resultados de 1995 a 2012: OLIVEIRA, 2014, Tabela 4.35 a 4.51 - Apêndice D; 2013: DOXA, 2013;  2014: não foi realizada pesquisa; 2015: DOXA, 2015)</t>
  </si>
  <si>
    <t>percentual de respostas "não sabe" e "não respondeu" (NS.NR) na avaliação geral da BHTrans na administração do transporte coletivo (resultados de 1995 a 2012: OLIVEIRA, 2014, Tabela 4.35 a 4.51 - Apêndice D; 2013: DOXA, 2013;  2014: não foi realizada pesquisa; 2015: DOXA, 2015)</t>
  </si>
  <si>
    <t>percentual de respostas "ótimo" na avaliação geral da BHTrans na administração do transporte coletivo (resultados de 1995 a 2012: OLIVEIRA, 2014, Tabela 4.35 a 4.51 - Apêndice D; 2013: DOXA, 2013;  2014: não foi realizada pesquisa; 2015: DOXA, 2015)</t>
  </si>
  <si>
    <t>percentual de respostas "péssimo" na avaliação geral da BHTrans na administração do transporte coletivo (resultados de 1995 a 2012: OLIVEIRA, 2014, Tabela 4.35 a 4.51 - Apêndice D; 2013: DOXA, 2013;  2014: não foi realizada pesquisa; 2015: DOXA, 2015)</t>
  </si>
  <si>
    <t>percentual de respostas "ruim" na avaliação geral da BHTrans na administração do transporte coletivo (resultados de 1995 a 2012: OLIVEIRA, 2014, Tabela 4.35 a 4.51 - Apêndice D; 2013: DOXA, 2013;  2014: não foi realizada pesquisa; 2015: DOXA, 2015)</t>
  </si>
  <si>
    <t>percentual de respostas "bom" na avaliação geral da BHTrans na administração do trânsito (resultados de 1995 a 2012: OLIVEIRA, 2014, Tabela 4.35 a 4.51 - Apêndice D; 2013: DOXA, 2013;  2014: não foi realizada pesquisa; 2015: DOXA, 2015)</t>
  </si>
  <si>
    <t>percentual de respostas "não sabe" e "não respondeu" (NS.NR) na avaliação geral da BHTrans na administração do trânsito (resultados de 1995 a 2012: OLIVEIRA, 2014, Tabela 4.35 a 4.51 - Apêndice D; 2013: DOXA, 2013;  2014: não foi realizada pesquisa; 2015: DOXA, 2015)</t>
  </si>
  <si>
    <t>percentual de respostas "ótimo" na avaliação geral da BHTrans na administração do trânsito (resultados de 1995 a 2012: OLIVEIRA, 2014, Tabela 4.35 a 4.51 - Apêndice D; 2013: DOXA, 2013;  2014: não foi realizada pesquisa; 2015: DOXA, 2015)</t>
  </si>
  <si>
    <t>percentual de respostas "péssimo" na avaliação geral da BHTrans na administração do trânsito (resultados de 1995 a 2012: OLIVEIRA, 2014, Tabela 4.35 a 4.51 - Apêndice D; 2013: DOXA, 2013;  2014: não foi realizada pesquisa; 2015: DOXA, 2015)</t>
  </si>
  <si>
    <t>percentual de respostas "ruim" na avaliação geral da BHTrans na administração do trânsito (resultados de 1995 a 2012: OLIVEIRA, 2014, Tabela 4.35 a 4.51 - Apêndice D; 2013: DOXA, 2013;  2014: não foi realizada pesquisa; 2015: DOXA, 2015)</t>
  </si>
  <si>
    <t>percentual de respostas "bom" na avaliação geral do transporte coletivo (resultados de 1995 a 2012: OLIVEIRA, 2014, Tabela 4.35 a 4.51 - Apêndice D; 2013: DOXA, 2013;  2014: não foi realizada pesquisa; 2015: DOXA, 2015)</t>
  </si>
  <si>
    <t>percentual de respostas "não sabe" e "não respondeu" (NS.NR) na avaliação geral do transporte coletivo (resultados de 1995 a 2012: OLIVEIRA, 2014, Tabela 4.35 a 4.51 - Apêndice D; 2013: DOXA, 2013;  2014: não foi realizada pesquisa; 2015: DOXA, 2015)</t>
  </si>
  <si>
    <t>percentual de respostas "ótimo" na avaliação geral do transporte coletivo (resultados de 1995 a 2012: OLIVEIRA, 2014, Tabela 4.35 a 4.51 - Apêndice D; 2013: DOXA, 2013;  2014: não foi realizada pesquisa; 2015: DOXA, 2015)</t>
  </si>
  <si>
    <t>percentual de respostas "péssimo" na avaliação geral do transporte coletivo (resultados de 1995 a 2012: OLIVEIRA, 2014, Tabela 4.35 a 4.51 - Apêndice D; 2013: DOXA, 2013;  2014: não foi realizada pesquisa; 2015: DOXA, 2015)</t>
  </si>
  <si>
    <t>percentual de respostas "ruim" na avaliação geral do transporte coletivo (resultados de 1995 a 2012: OLIVEIRA, 2014, Tabela 4.35 a 4.51 - Apêndice D; 2013: DOXA, 2013;  2014: não foi realizada pesquisa; 2015: DOXA, 2015)</t>
  </si>
  <si>
    <t>percentual de respostas "bom" na avaliação geral do trânsito (resultados de 1995 a 2012: OLIVEIRA, 2014, Tabela 4.35 a 4.51 - Apêndice D; 2013: DOXA, 2013;  2014: não foi realizada pesquisa; 2015: DOXA, 2015)</t>
  </si>
  <si>
    <t>percentual de respostas "não sabe" e "não respondeu" (NS.NR) na avaliação geral do trânsito (resultados de 1995 a 2012: OLIVEIRA, 2014, Tabela 4.35 a 4.51 - Apêndice D; 2013: DOXA, 2013;  2014: não foi realizada pesquisa; 2015: DOXA, 2015)</t>
  </si>
  <si>
    <t>percentual de respostas "ótimo" na avaliação geral do trânsito (resultados de 1995 a 2012: OLIVEIRA, 2014, Tabela 4.35 a 4.51 - Apêndice D; 2013: DOXA, 2013;  2014: não foi realizada pesquisa; 2015: DOXA, 2015)</t>
  </si>
  <si>
    <t>percentual de respostas "péssimo" na avaliação geral do trânsito (resultados de 1995 a 2012: OLIVEIRA, 2014, Tabela 4.35 a 4.51 - Apêndice D; 2013: DOXA, 2013;  2014: não foi realizada pesquisa; 2015: DOXA, 2015)</t>
  </si>
  <si>
    <t>percentual de respostas "ruim" na avaliação geral do trânsito (resultados de 1995 a 2012: OLIVEIRA, 2014, Tabela 4.35 a 4.51 - Apêndice D; 2013: DOXA, 2013;  2014: não foi realizada pesquisa; 2015: DOXA, 2015)</t>
  </si>
  <si>
    <r>
      <t xml:space="preserve">avaliação geral do transporte coletivo (percentual de ótimo/bom) - (BHTRANS, 2011a, p.5; 2012a, p.18)
</t>
    </r>
    <r>
      <rPr>
        <b/>
        <sz val="10"/>
        <color theme="1"/>
        <rFont val="Times New Roman"/>
        <family val="1"/>
      </rPr>
      <t>obs.:</t>
    </r>
    <r>
      <rPr>
        <sz val="10"/>
        <color theme="1"/>
        <rFont val="Times New Roman"/>
        <family val="1"/>
      </rPr>
      <t xml:space="preserve"> não confundir com Atc</t>
    </r>
  </si>
  <si>
    <r>
      <rPr>
        <b/>
        <sz val="10"/>
        <color theme="1"/>
        <rFont val="Times New Roman"/>
        <family val="1"/>
      </rPr>
      <t>em 2013:</t>
    </r>
    <r>
      <rPr>
        <sz val="10"/>
        <color theme="1"/>
        <rFont val="Times New Roman"/>
        <family val="1"/>
      </rPr>
      <t xml:space="preserve"> "Aumentar o índice de avaliação positiva da imagem da BHTrans, por meio de pesquisa de opinião com a população de Belo Horizonte, de 26% de ótimo/bom em 2008 para 45% em 2016 e 50% em 2020" (BHTRANS, 2013a, p.25)</t>
    </r>
  </si>
  <si>
    <r>
      <t xml:space="preserve">qualidade média das informações publicadas no SisMob-BH
</t>
    </r>
    <r>
      <rPr>
        <b/>
        <sz val="10"/>
        <color theme="1"/>
        <rFont val="Times New Roman"/>
        <family val="1"/>
      </rPr>
      <t xml:space="preserve">obs.: </t>
    </r>
    <r>
      <rPr>
        <sz val="10"/>
        <color theme="1"/>
        <rFont val="Times New Roman"/>
        <family val="1"/>
      </rPr>
      <t>esse indicador foi apurado de março/2011 a abril/2013 (até que se decida por sua retomada, acesse metodologia de apuração e resultados mensais em OLIVEIRA, 2014. p.149)</t>
    </r>
  </si>
  <si>
    <t>percentual de "regular"(respostas "regular" ou "nota 3") na avaliação geral da BHTrans (resultados de 1995 a 2012: OLIVEIRA, 2014, Tabela 4.35 a 4.51 - Apêndice D; 2013: DOXA, 2013;  2014: não foi realizada pesquisa; 2015: DOXA, 2015)</t>
  </si>
  <si>
    <t>percentual de "regular" (respostas "regular" ou nota "3") na avaliação geral da BHTrans na administração do transporte coletivo (resultados de 1995 a 2012: OLIVEIRA, 2014, Tabela 4.35 a 4.51 - Apêndice D; 2013: DOXA, 2013;  2014: não foi realizada pesquisa; 2015: DOXA, 2015)</t>
  </si>
  <si>
    <t>percentual de"regular" (respostas "regular" ou nota "3") na avaliação geral da BHTrans na administração do trânsito (resultados de 1995 a 2012: OLIVEIRA, 2014, Tabela 4.35 a 4.51 - Apêndice D; 2013: DOXA, 2013;  2014: não foi realizada pesquisa; 2015: DOXA, 2015)</t>
  </si>
  <si>
    <t>percentual de "regular" (respostas "regular" ou nota "3") na avaliação geral do transporte coletivo (resultados de 1995 a 2012: OLIVEIRA, 2014, Tabela 4.35 a 4.51 - Apêndice D; 2013: DOXA, 2013;  2014: não foi realizada pesquisa; 2015: DOXA, 2015)</t>
  </si>
  <si>
    <t>percentual de "regular" (respostas "regular" ou nota "3") na avaliação geral do trânsito</t>
  </si>
  <si>
    <t>resultado não comparável</t>
  </si>
  <si>
    <r>
      <t xml:space="preserve">percentual de avaliação positiva (ótimo + bom] da avaliação geral da BHTrans
</t>
    </r>
    <r>
      <rPr>
        <b/>
        <sz val="10"/>
        <color theme="1"/>
        <rFont val="Times New Roman"/>
        <family val="1"/>
      </rPr>
      <t xml:space="preserve">obs.1: </t>
    </r>
    <r>
      <rPr>
        <sz val="10"/>
        <color theme="1"/>
        <rFont val="Times New Roman"/>
        <family val="1"/>
      </rPr>
      <t xml:space="preserve">este indicador é obtido pela soma dos percentuais de "ótimo" e "bom" ou de "nota 5" e "nota 4" na avaliação geral da BHTrans, ou, quando não há os resultados das parcelas, é obtido diretamente na fonte
</t>
    </r>
    <r>
      <rPr>
        <b/>
        <sz val="10"/>
        <color theme="1"/>
        <rFont val="Times New Roman"/>
        <family val="1"/>
      </rPr>
      <t>obs.2:</t>
    </r>
    <r>
      <rPr>
        <sz val="10"/>
        <color theme="1"/>
        <rFont val="Times New Roman"/>
        <family val="1"/>
      </rPr>
      <t xml:space="preserve"> na pesquisa de 2015 a pergunta que vinha sendo feita desde 1995 no início do questionário (junto às avaliações da gestão da empresa no transporte e no trânsito) muda para o final como parte de bloco que avalia a imagem e o atendimento de várias instituições, o que compromete a comparabilidade</t>
    </r>
    <r>
      <rPr>
        <b/>
        <sz val="10"/>
        <color theme="1"/>
        <rFont val="Times New Roman"/>
        <family val="1"/>
      </rPr>
      <t/>
    </r>
  </si>
  <si>
    <t>lançar</t>
  </si>
  <si>
    <t>26%</t>
  </si>
  <si>
    <t>34%</t>
  </si>
  <si>
    <t>42%</t>
  </si>
  <si>
    <t>32%</t>
  </si>
  <si>
    <t>a definir sigla
(meta)</t>
  </si>
  <si>
    <t>a definir sigla</t>
  </si>
  <si>
    <t xml:space="preserve">registro na fonte </t>
  </si>
  <si>
    <t>NI=V-N-NF</t>
  </si>
  <si>
    <r>
      <t xml:space="preserve">n.º de vítimas com fatalidade não informada em acidentes de trânsito 
</t>
    </r>
    <r>
      <rPr>
        <b/>
        <sz val="10"/>
        <rFont val="Times New Roman"/>
        <family val="1"/>
      </rPr>
      <t>obs.1:</t>
    </r>
    <r>
      <rPr>
        <sz val="10"/>
        <rFont val="Times New Roman"/>
        <family val="1"/>
      </rPr>
      <t xml:space="preserve"> não disponível nos relatórios anuais de acidentes de trânsito da BHTrans, esse valor é obtido indiretamente (veja fórmula)
</t>
    </r>
    <r>
      <rPr>
        <b/>
        <sz val="10"/>
        <rFont val="Times New Roman"/>
        <family val="1"/>
      </rPr>
      <t xml:space="preserve">obs.2: </t>
    </r>
    <r>
      <rPr>
        <sz val="10"/>
        <rFont val="Times New Roman"/>
        <family val="1"/>
      </rPr>
      <t>é necessário apurar a descrição para melhor informar como a BHTrans apura os resultados desse indicador</t>
    </r>
    <r>
      <rPr>
        <b/>
        <sz val="10"/>
        <rFont val="Times New Roman"/>
        <family val="1"/>
      </rPr>
      <t/>
    </r>
  </si>
  <si>
    <t>registro na fonte
(V = M+NF+NI)</t>
  </si>
  <si>
    <r>
      <t xml:space="preserve">n.º de acidentes de trânsito com vítima
</t>
    </r>
    <r>
      <rPr>
        <b/>
        <sz val="10"/>
        <color theme="1"/>
        <rFont val="Times New Roman"/>
        <family val="1"/>
      </rPr>
      <t>obs.1:</t>
    </r>
    <r>
      <rPr>
        <sz val="10"/>
        <color theme="1"/>
        <rFont val="Times New Roman"/>
        <family val="1"/>
      </rPr>
      <t xml:space="preserve"> nos relatórios anuais de acidentes de trânsito da BHTrans este indicador é denominado "total de acidentes" (vale destacar que a BHTrans não controla o n.º de acidentes sem vítima e, por conseguinte, não controla o n.º total real de acidentes, que seria a soma do n.º de acidentes com vítima e sem vítima)
</t>
    </r>
    <r>
      <rPr>
        <b/>
        <sz val="10"/>
        <color theme="1"/>
        <rFont val="Times New Roman"/>
        <family val="1"/>
      </rPr>
      <t>obs.2:</t>
    </r>
    <r>
      <rPr>
        <sz val="10"/>
        <color theme="1"/>
        <rFont val="Times New Roman"/>
        <family val="1"/>
      </rPr>
      <t xml:space="preserve"> é necessário apurar a descrição para melhor informar como a BHTrans apura os resultados desse indicador
</t>
    </r>
    <r>
      <rPr>
        <b/>
        <sz val="10"/>
        <color theme="1"/>
        <rFont val="Times New Roman"/>
        <family val="1"/>
      </rPr>
      <t>obs.3:</t>
    </r>
    <r>
      <rPr>
        <sz val="10"/>
        <color theme="1"/>
        <rFont val="Times New Roman"/>
        <family val="1"/>
      </rPr>
      <t xml:space="preserve"> as fontes dos resultados aqui apresentados são os relatórios da BHTrans (2014d; 2015i) que, por sua vez, têm como fonte o sistema BH10 BHTrans - base de dados do Detran-MG</t>
    </r>
  </si>
  <si>
    <r>
      <t xml:space="preserve">n.º de vítimas não fatais em acidentes de trânsito
</t>
    </r>
    <r>
      <rPr>
        <b/>
        <sz val="10"/>
        <color theme="1"/>
        <rFont val="Times New Roman"/>
        <family val="1"/>
      </rPr>
      <t xml:space="preserve">obs.1: </t>
    </r>
    <r>
      <rPr>
        <sz val="10"/>
        <color theme="1"/>
        <rFont val="Times New Roman"/>
        <family val="1"/>
      </rPr>
      <t xml:space="preserve">nos relatórios anuais de acidentes de trânsito da BHTrans este indicador é denominado "vítimas não fatais"
</t>
    </r>
    <r>
      <rPr>
        <b/>
        <sz val="10"/>
        <color theme="1"/>
        <rFont val="Times New Roman"/>
        <family val="1"/>
      </rPr>
      <t xml:space="preserve">obs.2: </t>
    </r>
    <r>
      <rPr>
        <sz val="10"/>
        <color theme="1"/>
        <rFont val="Times New Roman"/>
        <family val="1"/>
      </rPr>
      <t xml:space="preserve">é necessário apurar a descrição para melhor informar como a BHTrans apura os resultados desse indicador
</t>
    </r>
    <r>
      <rPr>
        <b/>
        <sz val="10"/>
        <color theme="1"/>
        <rFont val="Times New Roman"/>
        <family val="1"/>
      </rPr>
      <t xml:space="preserve">obs.3: </t>
    </r>
    <r>
      <rPr>
        <sz val="10"/>
        <color theme="1"/>
        <rFont val="Times New Roman"/>
        <family val="1"/>
      </rPr>
      <t>as fontes dos resultados aqui apresentados são os relatórios da BHTrans (2014d; 2015i) que, por sua vez, têm como fonte o sistema BH10 BHTrans - base de dados do Detran-MG</t>
    </r>
  </si>
  <si>
    <r>
      <t xml:space="preserve">n.º de acidentes de trânsito com atropelamento de pessoa
</t>
    </r>
    <r>
      <rPr>
        <b/>
        <sz val="10"/>
        <color theme="1"/>
        <rFont val="Times New Roman"/>
        <family val="1"/>
      </rPr>
      <t>obs.1:</t>
    </r>
    <r>
      <rPr>
        <sz val="10"/>
        <color theme="1"/>
        <rFont val="Times New Roman"/>
        <family val="1"/>
      </rPr>
      <t xml:space="preserve"> nos relatórios anuais de acidentes de trânsito da BHTrans este indicador é denominado "total de atropelamentos de pessoas"
</t>
    </r>
    <r>
      <rPr>
        <b/>
        <sz val="10"/>
        <color theme="1"/>
        <rFont val="Times New Roman"/>
        <family val="1"/>
      </rPr>
      <t>obs.2:</t>
    </r>
    <r>
      <rPr>
        <sz val="10"/>
        <color theme="1"/>
        <rFont val="Times New Roman"/>
        <family val="1"/>
      </rPr>
      <t xml:space="preserve"> é necessário apurar a descrição para melhor informar como a BHTrans apura os resultados desse indicador
</t>
    </r>
    <r>
      <rPr>
        <b/>
        <sz val="10"/>
        <color theme="1"/>
        <rFont val="Times New Roman"/>
        <family val="1"/>
      </rPr>
      <t xml:space="preserve">obs.3: </t>
    </r>
    <r>
      <rPr>
        <sz val="10"/>
        <color theme="1"/>
        <rFont val="Times New Roman"/>
        <family val="1"/>
      </rPr>
      <t>as fontes dos resultados aqui apresentados são os relatórios da BHTrans (2014d; 2015i) que, por sua vez, têm como fonte o sistema BH10 BHTrans - base de dados do Detran-MG</t>
    </r>
  </si>
  <si>
    <r>
      <t xml:space="preserve">n.º total de vítimas em acidentes de trânsito 
</t>
    </r>
    <r>
      <rPr>
        <b/>
        <sz val="10"/>
        <color theme="1"/>
        <rFont val="Times New Roman"/>
        <family val="1"/>
      </rPr>
      <t>obs.1:</t>
    </r>
    <r>
      <rPr>
        <sz val="10"/>
        <color theme="1"/>
        <rFont val="Times New Roman"/>
        <family val="1"/>
      </rPr>
      <t xml:space="preserve"> nos relatórios anuais de acidentes de trânsito da BHTrans este indicador é denominado "total de vítimas acidentes"
</t>
    </r>
    <r>
      <rPr>
        <b/>
        <sz val="10"/>
        <color theme="1"/>
        <rFont val="Times New Roman"/>
        <family val="1"/>
      </rPr>
      <t>obs.2:</t>
    </r>
    <r>
      <rPr>
        <sz val="10"/>
        <color theme="1"/>
        <rFont val="Times New Roman"/>
        <family val="1"/>
      </rPr>
      <t xml:space="preserve"> é necessário apurar a descrição para melhor informar como a BHTrans apura os resultados desse indicador
</t>
    </r>
    <r>
      <rPr>
        <b/>
        <sz val="10"/>
        <color theme="1"/>
        <rFont val="Times New Roman"/>
        <family val="1"/>
      </rPr>
      <t>obs.3:</t>
    </r>
    <r>
      <rPr>
        <sz val="10"/>
        <color theme="1"/>
        <rFont val="Times New Roman"/>
        <family val="1"/>
      </rPr>
      <t xml:space="preserve"> as fontes dos resultados aqui apresentados são os relatórios da BHTrans (2014d; 2015i) que, por sua vez, têm como fonte o sistema BH10 BHTrans - base de dados do Detran-MG</t>
    </r>
  </si>
  <si>
    <r>
      <rPr>
        <b/>
        <sz val="12"/>
        <color theme="1"/>
        <rFont val="Times New Roman"/>
        <family val="1"/>
      </rPr>
      <t xml:space="preserve">BHTRANS(2015i). </t>
    </r>
    <r>
      <rPr>
        <sz val="12"/>
        <color theme="1"/>
        <rFont val="Times New Roman"/>
        <family val="1"/>
      </rPr>
      <t xml:space="preserve">EMPRESA DE TRANSPORTES E TRÂNSITO DE BELO HORIZONTE S.A - BHTRANS. Gerência de Pesquisa, Informação e Inovação - Gepin/DPL. </t>
    </r>
    <r>
      <rPr>
        <i/>
        <sz val="12"/>
        <color theme="1"/>
        <rFont val="Times New Roman"/>
        <family val="1"/>
      </rPr>
      <t>Informações sobre acidentes de trânsito com vítimas no município de Belo Horizonte - ano 2014</t>
    </r>
    <r>
      <rPr>
        <sz val="12"/>
        <color theme="1"/>
        <rFont val="Times New Roman"/>
        <family val="1"/>
      </rPr>
      <t>. Belo Horizonte, outubro 2015. 41p.</t>
    </r>
  </si>
  <si>
    <t>n.º de acidentes de trânsito com bicicleta com vítima (BHTRANS, 2014e; 2015i, p.20,22)
obs.: nos relatórios anuais de acidentes de trânsito da BHTrans este indicador é denominado "total de acidentes com bicicletas"</t>
  </si>
  <si>
    <r>
      <t xml:space="preserve">n.º de ciclistas mortos em acidentes de trânsito (BHTRANS, 2014e; 2015i, p.20,22)
</t>
    </r>
    <r>
      <rPr>
        <b/>
        <sz val="10"/>
        <color theme="1"/>
        <rFont val="Times New Roman"/>
        <family val="1"/>
      </rPr>
      <t>obs.1:</t>
    </r>
    <r>
      <rPr>
        <sz val="10"/>
        <color theme="1"/>
        <rFont val="Times New Roman"/>
        <family val="1"/>
      </rPr>
      <t xml:space="preserve"> nos relatórios anuais de acidentes de trânsito da BHTrans este indicador é denominado "ciclistas vítimas fatais"
</t>
    </r>
    <r>
      <rPr>
        <b/>
        <sz val="10"/>
        <color theme="1"/>
        <rFont val="Times New Roman"/>
        <family val="1"/>
      </rPr>
      <t>obs.2:</t>
    </r>
    <r>
      <rPr>
        <sz val="10"/>
        <color theme="1"/>
        <rFont val="Times New Roman"/>
        <family val="1"/>
      </rPr>
      <t xml:space="preserve"> na fonte consultada aterta-se que no ano 2008 há "problemas na coleta de informações sobre bicicletas (sistema BH10)" </t>
    </r>
  </si>
  <si>
    <t>n.º de vítimas não fatais em acidentes de trânsito com bicicleta (BHTRANS, 2014e; 2015i, p.20,22)
obs.: nos relatórios anuais de acidentes de trânsito da BHTrans este indicador é denominado "ciclistas vítimas não fatais"</t>
  </si>
  <si>
    <t>n.º de vítimas com fatalidade não informada em acidentes de trânsito com bicicleta (BHTRANS, 2014e; 2015i, p.20,22)</t>
  </si>
  <si>
    <t>registro na fonte (Vb = Mb+NFb+Nib)</t>
  </si>
  <si>
    <r>
      <t xml:space="preserve">participação percentual do transporte coletivo de pessoas na distribuição modal do Brasil com base em pesquisa de opinião da Confederação Nacional da Indústria (CNI, 2011, p.12,13)
</t>
    </r>
    <r>
      <rPr>
        <b/>
        <sz val="10"/>
        <color theme="1"/>
        <rFont val="Times New Roman"/>
        <family val="1"/>
      </rPr>
      <t>obs.:</t>
    </r>
    <r>
      <rPr>
        <sz val="10"/>
        <color theme="1"/>
        <rFont val="Times New Roman"/>
        <family val="1"/>
      </rPr>
      <t xml:space="preserve"> a pesquisa de abrangência nacional realizada pela CNI em 2011 foi para conhecer o "principal meio de transporte usado no deslocamento na cidade".</t>
    </r>
  </si>
  <si>
    <t>participação percentual do transporte coletivo de pessoas na distribuição modal das regiões Centro-Oeste e Norte do Brasil com base em  pesquisa de opinião da Confederação Nacional da Indústria (CNI, 2011, p.12,13)</t>
  </si>
  <si>
    <t>participação percentual do transporte coletivo de pessoas na distribuição modal das cidades do Brasil com população acima de 100 mil habitantes com base em  pesquisa de opinião da Confederação Nacional da Indústria (CNI, 2011, p.12,13)</t>
  </si>
  <si>
    <t>participação percentual do transporte coletivo de pessoas na distribuição modal da região Sudeste do Brasil com base em  pesquisa de opinião da Confederação Nacional da Indústria (CNI, 2011, p.12,13)</t>
  </si>
  <si>
    <t>participação percentual do transporte coletivo de pessoas na distribuição modal da região Sul do Brasil com base em  pesquisa de opinião da Confederação Nacional da Indústria (CNI, 2011, p.12,13)</t>
  </si>
  <si>
    <r>
      <t xml:space="preserve">participação percentual do modo "automóvel" na distribuição modal, componente de "DMti", com base nas pesquisas de opinião
</t>
    </r>
    <r>
      <rPr>
        <b/>
        <sz val="10"/>
        <rFont val="Times New Roman"/>
        <family val="1"/>
      </rPr>
      <t>obs.:</t>
    </r>
    <r>
      <rPr>
        <sz val="10"/>
        <rFont val="Times New Roman"/>
        <family val="1"/>
      </rPr>
      <t xml:space="preserve"> as fontes de todos os resultados DM(P.Op.) são = 1995 a 2011: OLIVEIRA (2014, Tabela 4.2/Apêndice); 2012: não houve pesquisa; 2013: DOXA (2013, p.3); 2014: não houve pesquisa; 2015: DOXA (2015, p.7, 16.)</t>
    </r>
  </si>
  <si>
    <r>
      <t xml:space="preserve">participação percentual do modo "bicicleta" na distribuição modal, componente de "DMnm", com base nas pesquisas de opinião)
</t>
    </r>
    <r>
      <rPr>
        <b/>
        <sz val="10"/>
        <rFont val="Times New Roman"/>
        <family val="1"/>
      </rPr>
      <t xml:space="preserve">obs.: </t>
    </r>
    <r>
      <rPr>
        <sz val="10"/>
        <rFont val="Times New Roman"/>
        <family val="1"/>
      </rPr>
      <t>as fontes de todos os resultados DM(P.Op.) são = 1995 a 2011: OLIVEIRA (2014, Tabela 4.2/Apêndice); 2012: não houve pesquisa; 2013: DOXA (2013, p.3); 2014: não houve pesquisa; 2015: DOXA (2015, p.7, 16.)</t>
    </r>
  </si>
  <si>
    <r>
      <t xml:space="preserve">participação percentual do modo "metrô" na distribuição modal, componente de DMtc, com base nas pesquisas de opinião
</t>
    </r>
    <r>
      <rPr>
        <b/>
        <sz val="10"/>
        <color theme="1"/>
        <rFont val="Times New Roman"/>
        <family val="1"/>
      </rPr>
      <t>obs.:</t>
    </r>
    <r>
      <rPr>
        <sz val="10"/>
        <color theme="1"/>
        <rFont val="Times New Roman"/>
        <family val="1"/>
      </rPr>
      <t xml:space="preserve"> as fontes de todos os resultados DM(P.Op.) são = 1995 a 2011: OLIVEIRA (2014, Tabela 4.2/Apêndice); 2012: não houve pesquisa; 2013: DOXA (2013, p.3); 2014: não houve pesquisa; 2015: DOXA (2015, p.7, 16.)</t>
    </r>
  </si>
  <si>
    <r>
      <t xml:space="preserve">participação percentual da motocicleta e da motoneta, juntos, na distribuição modal, componente de DMti, com base nas pesquisas de opinião
</t>
    </r>
    <r>
      <rPr>
        <b/>
        <sz val="10"/>
        <color theme="1"/>
        <rFont val="Times New Roman"/>
        <family val="1"/>
      </rPr>
      <t xml:space="preserve">obs.: </t>
    </r>
    <r>
      <rPr>
        <sz val="10"/>
        <color theme="1"/>
        <rFont val="Times New Roman"/>
        <family val="1"/>
      </rPr>
      <t>as fontes de todos os resultados DM(P.Op.) são = 1995 a 2011: OLIVEIRA (2014, Tabela 4.2/Apêndice); 2012: não houve pesquisa; 2013: DOXA (2013, p.3); 2014: não houve pesquisa; 2015: DOXA (2015, p.7, 16.)</t>
    </r>
  </si>
  <si>
    <r>
      <t xml:space="preserve">participação percentual das respostas não sabe/não respondeu/outros na distribuição modal com base nas pesquisas de opinião
</t>
    </r>
    <r>
      <rPr>
        <b/>
        <sz val="10"/>
        <color theme="1"/>
        <rFont val="Times New Roman"/>
        <family val="1"/>
      </rPr>
      <t xml:space="preserve">obs.: </t>
    </r>
    <r>
      <rPr>
        <sz val="10"/>
        <color theme="1"/>
        <rFont val="Times New Roman"/>
        <family val="1"/>
      </rPr>
      <t>as fontes de todos os resultados DM(P.Op.) são = 1995 a 2011: OLIVEIRA (2014, Tabela 4.2/Apêndice); 2012: não houve pesquisa; 2013: DOXA (2013, p.3); 2014: não houve pesquisa; 2015: DOXA (2015, p.7, 16.)</t>
    </r>
  </si>
  <si>
    <r>
      <t xml:space="preserve">participação percentual do modo "ônibus" na distribuição modal, componente de DMtc, com base nas pesquisas de opinião
</t>
    </r>
    <r>
      <rPr>
        <b/>
        <sz val="10"/>
        <color theme="1"/>
        <rFont val="Times New Roman"/>
        <family val="1"/>
      </rPr>
      <t xml:space="preserve">obs.: </t>
    </r>
    <r>
      <rPr>
        <sz val="10"/>
        <color theme="1"/>
        <rFont val="Times New Roman"/>
        <family val="1"/>
      </rPr>
      <t>as fontes de todos os resultados DM(P.Op.) são = 1995 a 2011: OLIVEIRA (2014, Tabela 4.2/Apêndice); 2012: não houve pesquisa; 2013: DOXA (2013, p.3); 2014: não houve pesquisa; 2015: DOXA (2015, p.7, 16.)</t>
    </r>
  </si>
  <si>
    <r>
      <t xml:space="preserve">participação percentual do modo "a pé" na distribuição modal, componente de DMnm, com base nas pesquisas de opinião
</t>
    </r>
    <r>
      <rPr>
        <b/>
        <sz val="10"/>
        <color theme="1"/>
        <rFont val="Times New Roman"/>
        <family val="1"/>
      </rPr>
      <t xml:space="preserve">obs.: </t>
    </r>
    <r>
      <rPr>
        <sz val="10"/>
        <color theme="1"/>
        <rFont val="Times New Roman"/>
        <family val="1"/>
      </rPr>
      <t>as fontes de todos os resultados DM(P.Op.) são = 1995 a 2011: OLIVEIRA (2014, Tabela 4.2/Apêndice); 2012: não houve pesquisa; 2013: DOXA (2013, p.3); 2014: não houve pesquisa; 2015: DOXA (2015, p.7, 16.)</t>
    </r>
  </si>
  <si>
    <r>
      <t xml:space="preserve">participação percentual do modo "transporte coletivo suplementar" na distribuição modal (por vezes computado junto com o modo "ônibus"), componente de DMtc, com base nas pesquisas de opinião
</t>
    </r>
    <r>
      <rPr>
        <b/>
        <sz val="10"/>
        <color theme="1"/>
        <rFont val="Times New Roman"/>
        <family val="1"/>
      </rPr>
      <t xml:space="preserve">obs.: </t>
    </r>
    <r>
      <rPr>
        <sz val="10"/>
        <color theme="1"/>
        <rFont val="Times New Roman"/>
        <family val="1"/>
      </rPr>
      <t>as fontes de todos os resultados DM(P.Op.) são = 1995 a 2011: OLIVEIRA (2014, Tabela 4.2/Apêndice); 2012: não houve pesquisa; 2013: DOXA (2013, p.3); 2014: não houve pesquisa; 2015: DOXA (2015, p.7, 16.)</t>
    </r>
  </si>
  <si>
    <r>
      <t xml:space="preserve">participação percentual do modo "táxi" (aí incluindo o "táxi-lotação") na distribuição modal, componente de DMti, com base nas pesquisas de opinião
</t>
    </r>
    <r>
      <rPr>
        <b/>
        <sz val="10"/>
        <color theme="1"/>
        <rFont val="Times New Roman"/>
        <family val="1"/>
      </rPr>
      <t xml:space="preserve">obs.: </t>
    </r>
    <r>
      <rPr>
        <sz val="10"/>
        <color theme="1"/>
        <rFont val="Times New Roman"/>
        <family val="1"/>
      </rPr>
      <t>as fontes de todos os resultados DM(P.Op.) são = 1995 a 2011: OLIVEIRA (2014, Tabela 4.2/Apêndice); 2012: não houve pesquisa; 2013: DOXA (2013, p.3); 2014: não houve pesquisa; 2015: DOXA (2015, p.7, 16.)</t>
    </r>
  </si>
  <si>
    <t>pesquisa Origem/Destino, designação genérica de instrumento de planejamento estatal realizada a cada dez anos na Região Metropolitana de Belo Horizonte (RMBH); uma O/D busca “conhecer melhor os deslocamentos dos moradores, identificando padrões de viagens urbanas, de acordo com a origem, o destino, os horários, os motivos e os modos de transporte escolhidos” (MG, 2012a)</t>
  </si>
  <si>
    <r>
      <rPr>
        <b/>
        <sz val="10"/>
        <color theme="1"/>
        <rFont val="Times New Roman"/>
        <family val="1"/>
      </rPr>
      <t xml:space="preserve">em 2010: </t>
    </r>
    <r>
      <rPr>
        <sz val="10"/>
        <color theme="1"/>
        <rFont val="Times New Roman"/>
        <family val="1"/>
      </rPr>
      <t xml:space="preserve">"ampliar o percentual de viagens em modos não motorizados em relação ao total de viagens, de 27,4% em 2002, para 30,9% em 2014 e 38% em 2020" (BHTRANS, 2010a, 21, 24)
</t>
    </r>
    <r>
      <rPr>
        <b/>
        <sz val="10"/>
        <color theme="1"/>
        <rFont val="Times New Roman"/>
        <family val="1"/>
      </rPr>
      <t>em 2013:</t>
    </r>
    <r>
      <rPr>
        <sz val="10"/>
        <color theme="1"/>
        <rFont val="Times New Roman"/>
        <family val="1"/>
      </rPr>
      <t xml:space="preserve"> "ampliar o percentual de viagens em modos não motorizados em relação ao total de viagens, de 27,4% em 2002, para 33% em 2016 e 38% em 2020" (BHTRANS, 2013a, 19, 22)</t>
    </r>
  </si>
  <si>
    <r>
      <rPr>
        <b/>
        <sz val="10"/>
        <color theme="1"/>
        <rFont val="Times New Roman"/>
        <family val="1"/>
      </rPr>
      <t xml:space="preserve">em 2010: </t>
    </r>
    <r>
      <rPr>
        <sz val="10"/>
        <color theme="1"/>
        <rFont val="Times New Roman"/>
        <family val="1"/>
      </rPr>
      <t xml:space="preserve">"ampliar o percentual de viagens em modos coletivos em relação ao total de viagens em modos motorizados, de 54,2% em 2008 para 54,9% em 2014 e 57,6% em 2020" (BHTRANS, 2010a, 21, 24)
</t>
    </r>
    <r>
      <rPr>
        <b/>
        <sz val="10"/>
        <color theme="1"/>
        <rFont val="Times New Roman"/>
        <family val="1"/>
      </rPr>
      <t>em 2013:</t>
    </r>
    <r>
      <rPr>
        <sz val="10"/>
        <color theme="1"/>
        <rFont val="Times New Roman"/>
        <family val="1"/>
      </rPr>
      <t xml:space="preserve"> "ampliar o percentual de viagens em modos coletivos em relação ao total de viagens em modos motorizados, de 54,2% em 2008 para 55,5% em 2016 e 57,6% em 2020" (BHTRANS, 2013a, 19, 22)</t>
    </r>
  </si>
  <si>
    <t>n.º médio de viagens diárias da população mais pobre
obs.: resultados de 2002 e 2008 no Planejamento Estratégico de 2010 (BHTRANS, 2010a, p.26)</t>
  </si>
  <si>
    <r>
      <rPr>
        <b/>
        <sz val="10"/>
        <rFont val="Times New Roman"/>
        <family val="1"/>
      </rPr>
      <t>em 2010:</t>
    </r>
    <r>
      <rPr>
        <sz val="10"/>
        <rFont val="Times New Roman"/>
        <family val="1"/>
      </rPr>
      <t xml:space="preserve"> "Ampliar a média de viagens diárias da população mais pobre em 15%, passando de 1,14 em 2002 para 1,28 em 2014 e 1,42 em 2020" (BHTRANS, 2010a, p.26)
obs.: esta meta não foi confirmada na revisão do Planejamento Estratégico em 2013 (BHTRANS, 2013a)</t>
    </r>
  </si>
  <si>
    <t>DM
coletivos em motorizados</t>
  </si>
  <si>
    <t>"A Região Metropolitana de Londres tem como meta reduzir 60% das emissões de GEE até 2025, com relação aos níveis de 1990. " (EKOS, 2013, p.108)</t>
  </si>
  <si>
    <t>"A meta de redução estabelecida [para a Zona Metropolitana do Vale do México (ZMVM) [...] formada pela Cidade do México e mais 59 municípios] é de sete mil GgCO2  no período entre
2008 e 2012..." (EKOS, 2013, p.107)
obs.: "Dos municípios analisados [Buenos Aires, Cidade do México, Londres e Nova York), apenas a Cidade do México já atingiu o prazo estabelecido na meta de redução e, de acordo com seu relatório de acompanhamento, cumpriu sua meta com êxito." (EKOS, 2013, p.110).</t>
  </si>
  <si>
    <r>
      <t xml:space="preserve">"A meta da cidade de Nova Iorque é reduzir 30% de suas emissões até o ano de 2017 com base nas emissões de 2006. " (EKOS, 2013, p.109)
</t>
    </r>
    <r>
      <rPr>
        <b/>
        <sz val="10"/>
        <color theme="1"/>
        <rFont val="Times New Roman"/>
        <family val="1"/>
      </rPr>
      <t>obs.:</t>
    </r>
    <r>
      <rPr>
        <sz val="10"/>
        <color theme="1"/>
        <rFont val="Times New Roman"/>
        <family val="1"/>
      </rPr>
      <t xml:space="preserve"> "Dos municípios analisados [Buenos Aires, Cidade do México, Londres e Nova York), apenas a Cidade do México já atingiu o prazo estabelecido na meta de redução e, de acordo com seu relatório de acompanhamento, cumpriu sua meta com êxito." (EKOS, 2013, p.110).</t>
    </r>
  </si>
  <si>
    <r>
      <t xml:space="preserve">"Lançado em 2009, o plano de ação climática de Buenos Aires define a meta de redução de emissões de GEE do município para o ano de 2030, fixada em 30% do que foi emitido em 2008." (EKOS, 2013. p.106)
</t>
    </r>
    <r>
      <rPr>
        <b/>
        <sz val="10"/>
        <color theme="1"/>
        <rFont val="Times New Roman"/>
        <family val="1"/>
      </rPr>
      <t xml:space="preserve">obs.: </t>
    </r>
    <r>
      <rPr>
        <sz val="10"/>
        <color theme="1"/>
        <rFont val="Times New Roman"/>
        <family val="1"/>
      </rPr>
      <t>"Dos municípios analisados [Buenos Aires, Cidade do México, Londres e Nova York), apenas a Cidade do México já atingiu o prazo estabelecido na meta de redução e, de acordo com seu relatório de acompanhamento, cumpriu sua meta com êxito." (EKOS, 2013, p.110).</t>
    </r>
  </si>
  <si>
    <r>
      <rPr>
        <b/>
        <sz val="12"/>
        <color theme="1"/>
        <rFont val="Times New Roman"/>
        <family val="1"/>
      </rPr>
      <t>EKOS(2013):</t>
    </r>
    <r>
      <rPr>
        <sz val="12"/>
        <color theme="1"/>
        <rFont val="Times New Roman"/>
        <family val="1"/>
      </rPr>
      <t xml:space="preserve"> INSTITUTO EKOS BRASIL; GEOKLOCK CONSULTORIA E ENGENHARIA AMBIENTAL. </t>
    </r>
    <r>
      <rPr>
        <i/>
        <sz val="12"/>
        <color theme="1"/>
        <rFont val="Times New Roman"/>
        <family val="1"/>
      </rPr>
      <t>Inventário de emissões e remoções antrópicas de gases de efeito estufa do Município de São Paulo de 2003 a 2009 com atualização para 2010 e 2011 nos setores Energia e Resíduos</t>
    </r>
    <r>
      <rPr>
        <sz val="12"/>
        <color theme="1"/>
        <rFont val="Times New Roman"/>
        <family val="1"/>
      </rPr>
      <t>. São Paulo: ANTP, nov. 2013. 148p. Série Cadernos Técnicos, 12.</t>
    </r>
  </si>
  <si>
    <r>
      <rPr>
        <b/>
        <sz val="12"/>
        <color theme="1"/>
        <rFont val="Times New Roman"/>
        <family val="1"/>
      </rPr>
      <t xml:space="preserve">BH(2009): </t>
    </r>
    <r>
      <rPr>
        <sz val="12"/>
        <color theme="1"/>
        <rFont val="Times New Roman"/>
        <family val="1"/>
      </rPr>
      <t xml:space="preserve">BELO HORIZONTE. Prefeitura. Secretaria Municipal de Meio Ambiente - SMMA. </t>
    </r>
    <r>
      <rPr>
        <i/>
        <sz val="12"/>
        <color theme="1"/>
        <rFont val="Times New Roman"/>
        <family val="1"/>
      </rPr>
      <t>Inventário municipal de emissões de gases de efeito estufa (GEE) do município de Belo Horizonte - período de referência 2000-2007</t>
    </r>
    <r>
      <rPr>
        <sz val="12"/>
        <color theme="1"/>
        <rFont val="Times New Roman"/>
        <family val="1"/>
      </rPr>
      <t>. Belo Horizonte, dezembro de 2009. 122p.</t>
    </r>
  </si>
  <si>
    <r>
      <rPr>
        <b/>
        <sz val="12"/>
        <color theme="1"/>
        <rFont val="Times New Roman"/>
        <family val="1"/>
      </rPr>
      <t>BH(2012a):</t>
    </r>
    <r>
      <rPr>
        <sz val="12"/>
        <color theme="1"/>
        <rFont val="Times New Roman"/>
        <family val="1"/>
      </rPr>
      <t xml:space="preserve"> BELO HORIZONTE. Prefeitura. Secretaria Municipal de Meio Ambiente - SMMA. </t>
    </r>
    <r>
      <rPr>
        <i/>
        <sz val="12"/>
        <color theme="1"/>
        <rFont val="Times New Roman"/>
        <family val="1"/>
      </rPr>
      <t>Plano de redução de emissões de gases de efeito estufa - Pregee. [2º] Inventário municipal de emissões de GEE - atualização 2007[2008]-2010. Relatório técnico final</t>
    </r>
    <r>
      <rPr>
        <sz val="12"/>
        <color theme="1"/>
        <rFont val="Times New Roman"/>
        <family val="1"/>
      </rPr>
      <t>. Belo Horizonte, setembro de 2012. 61p.</t>
    </r>
  </si>
  <si>
    <r>
      <t xml:space="preserve">n.º de meses transcorridos entre duas pesquisas consecutivas de opinião realizadas em Belo Horizonte
</t>
    </r>
    <r>
      <rPr>
        <b/>
        <sz val="10"/>
        <color theme="1"/>
        <rFont val="Times New Roman"/>
        <family val="1"/>
      </rPr>
      <t xml:space="preserve">obs.:  </t>
    </r>
    <r>
      <rPr>
        <sz val="10"/>
        <color theme="1"/>
        <rFont val="Times New Roman"/>
        <family val="1"/>
      </rPr>
      <t>resultados de 1996 a 2011 em OLIVEIRA (2014, p.364/Gráfico 73); em 2012 não foi realizada pesquisa; de 2013: DOXA(2013, p.2); em 2014 não foi realizada pesquisa; de 2015: DOXA(2015, p.6).</t>
    </r>
  </si>
  <si>
    <t>EV = EV ligação regional + EV arterial + EV coletora + EV local</t>
  </si>
  <si>
    <r>
      <rPr>
        <b/>
        <sz val="12"/>
        <color theme="1"/>
        <rFont val="Times New Roman"/>
        <family val="1"/>
      </rPr>
      <t xml:space="preserve">BHTRANS(2011c):  </t>
    </r>
    <r>
      <rPr>
        <sz val="12"/>
        <color theme="1"/>
        <rFont val="Times New Roman"/>
        <family val="1"/>
      </rPr>
      <t xml:space="preserve">EMPRESA DE TRANSPORTES E TRÂNSITO DE BELO HORIZONTE S.A - BHTRANS. Portal interno da Gerência de Planejamento da Mobilidade - Gemob/DPL. </t>
    </r>
    <r>
      <rPr>
        <i/>
        <sz val="12"/>
        <color theme="1"/>
        <rFont val="Times New Roman"/>
        <family val="1"/>
      </rPr>
      <t>Sistema Viário de Belo Horizonte</t>
    </r>
    <r>
      <rPr>
        <sz val="12"/>
        <color theme="1"/>
        <rFont val="Times New Roman"/>
        <family val="1"/>
      </rPr>
      <t>. Belo Horizonte, jul. 2011. Disponível no portal interno da BHTrans. Acesso em 1º ago. 2011.</t>
    </r>
  </si>
  <si>
    <t>extensão total do sistema viário arterial (em km) de Belo Horizonte, calculada pela soma das vias arteriais do tipo central, primária e secundária, apurada para cada uma das 10 regiões do município (Centro, Sul, Oeste, Barreiro, Noroeste, Pampulha, Venda Nova, Norte, Nordeste, Leste) e para seu conjunto (BHTRANS, 2011c)</t>
  </si>
  <si>
    <t>extensão total do sistema viário coletor (em km) de Belo Horizonte, calculada pela soma das vias coletoras do tipo primária e secundária, apurada para cada uma das 10 regiões do município (Centro, Sul, Oeste, Barreiro, Noroeste, Pampulha, Venda Nova, Norte, Nordeste, Leste) e para seu conjunto (BHTRANS, 2011c)</t>
  </si>
  <si>
    <t>extensão total do sistema viário de ligação regional (em km) de Belo Horizonte, apurada para cada uma das 10 regiões do município (Centro, Sul, Oeste, Barreiro, Noroeste, Pampulha, Venda Nova, Norte, Nordeste, Leste) e para seu conjunto (BHTRANS, 2011c)</t>
  </si>
  <si>
    <t>extensão total do sistema viário local (em km) de Belo Horizonte, apurada para cada uma das 10 regiões do município (Centro, Sul, Oeste, Barreiro, Noroeste, Pampulha, Venda Nova, Norte, Nordeste, Leste) e para seu conjunto (BHTRANS, 2011c)</t>
  </si>
  <si>
    <t>extensão total do sistema viário arterial utilizado pelo transporte coletivo gerenciado pela BHTrans (em km), calculada pela soma das vias arteriais do tipo central, primária e secundária, apurada para cada uma das 10 regiões do município (Centro, Sul, Oeste, Barreiro, Noroeste, Pampulha, Venda Nova, Norte, Nordeste, Leste) e para seu conjunto  (BHTRANS, 2011c)</t>
  </si>
  <si>
    <t>extensão total do sistema viário coletor utilizado pelo transporte coletivo gerenciado pela BHTrans (em km), calculada pela soma das vias coletoras do tipo primária e secundária, apurada para cada uma das 10 regiões do município (Centro, Sul, Oeste, Barreiro, Noroeste, Pampulha, Venda Nova, Norte, Nordeste, Leste) e para seu conjunto  (BHTRANS, 2011c)</t>
  </si>
  <si>
    <t>extensão total do sistema viário de ligação regional utilizado pelo transporte coletivo gerenciado pela BHTrans (em km), apurada para cada uma das 10 regiões do município (Centro, Sul, Oeste, Barreiro, Noroeste, Pampulha, Venda Nova, Norte, Nordeste, Leste) e para seu conjunto (BHTRANS, 2011c)</t>
  </si>
  <si>
    <t>extensão total do sistema viário local utilizado pelo transporte coletivo gerenciado pela BHTrans (em km), apurada para cada uma das 10 regiões do município (Centro, Sul, Oeste, Barreiro, Noroeste, Pampulha, Venda Nova, Norte, Nordeste, Leste) e para seu conjunto (BHTRANS, 2011c)</t>
  </si>
  <si>
    <t>EV tc</t>
  </si>
  <si>
    <t>EV tc = EVtc ligação regional + EV tc arterial + EV tc coletora + EV tc local</t>
  </si>
  <si>
    <t>EV tc arterial</t>
  </si>
  <si>
    <t>EV tc coletora</t>
  </si>
  <si>
    <t>EV tc local</t>
  </si>
  <si>
    <t>EV b</t>
  </si>
  <si>
    <t>n.º de vagas físicas reservadas para idoso em quarteirão de estacionamento livre (BHTRANS, 2015k; 2015m)</t>
  </si>
  <si>
    <r>
      <t>definição (usado em RT</t>
    </r>
    <r>
      <rPr>
        <vertAlign val="subscript"/>
        <sz val="10"/>
        <rFont val="Times New Roman"/>
        <family val="1"/>
      </rPr>
      <t>fr</t>
    </r>
    <r>
      <rPr>
        <sz val="10"/>
        <rFont val="Times New Roman"/>
        <family val="1"/>
      </rPr>
      <t>)</t>
    </r>
  </si>
  <si>
    <t>n.º de vagas físicas reservadas para idoso em quarteirão rotativo (BHTRANS, 2015k; 2015m)</t>
  </si>
  <si>
    <t>soma das categorias com resultados disponíveis</t>
  </si>
  <si>
    <t>resultado de PM10 média selecionado e apresentado em relatório da Organização das Nações Unidas (ONU) que apresenta comparação de cidades de todo o mundo (WHO, 2014)</t>
  </si>
  <si>
    <t>redução acumulada do consumo de energia elétrica da sinalização semafórica de Belo Horizonte em relação ao ano 2004
obs.: o ano 2004 é o primeiro para o qual existem resultados consistentes do indicador</t>
  </si>
  <si>
    <t>Percentual de travessias [sic] sinalizadas com foco de pedestres (em relação às travessias de
pedestres em interseções semaforizadas)
obs: indicador estratégico da BHTrans (BHTRANS, 2015d)</t>
  </si>
  <si>
    <r>
      <rPr>
        <b/>
        <sz val="12"/>
        <color theme="1"/>
        <rFont val="Times New Roman"/>
        <family val="1"/>
      </rPr>
      <t xml:space="preserve">CAF(2010): </t>
    </r>
    <r>
      <rPr>
        <sz val="12"/>
        <color theme="1"/>
        <rFont val="Times New Roman"/>
        <family val="1"/>
      </rPr>
      <t xml:space="preserve">CORPORACIÓN ANDINA DE FOMENTO - CAF. </t>
    </r>
    <r>
      <rPr>
        <i/>
        <sz val="12"/>
        <color theme="1"/>
        <rFont val="Times New Roman"/>
        <family val="1"/>
      </rPr>
      <t>Observatorio de Movilidad para América Latina</t>
    </r>
    <r>
      <rPr>
        <sz val="12"/>
        <color theme="1"/>
        <rFont val="Times New Roman"/>
        <family val="1"/>
      </rPr>
      <t>. Bogotá: CAF, 2010. 116p.</t>
    </r>
  </si>
  <si>
    <t xml:space="preserve">registro na fonte
</t>
  </si>
  <si>
    <r>
      <rPr>
        <b/>
        <sz val="12"/>
        <color theme="1"/>
        <rFont val="Times New Roman"/>
        <family val="1"/>
      </rPr>
      <t>BHTRANS(2013c):</t>
    </r>
    <r>
      <rPr>
        <sz val="12"/>
        <color theme="1"/>
        <rFont val="Times New Roman"/>
        <family val="1"/>
      </rPr>
      <t xml:space="preserve"> EMPRESA DE TRANSPORTES E TRÂNSITO DE BELO HORIZONTE S.A - BHTRANS. Gerência de Semáforos - GESEM/DSV. </t>
    </r>
    <r>
      <rPr>
        <i/>
        <sz val="12"/>
        <color theme="1"/>
        <rFont val="Times New Roman"/>
        <family val="1"/>
      </rPr>
      <t>email para SisMob-BH de 23/04/2013 respondendo a questionamento formalizado na mesma data.</t>
    </r>
  </si>
  <si>
    <r>
      <t xml:space="preserve">n.º de interseções com travessia considerada "suficiente" para pedestres, ou seja, n.º de interseções com semáforo para veículos onde há foco de pedestres, embora nem todos os movimentos dos pedestres sejam possíveis pelo menor percurso
</t>
    </r>
    <r>
      <rPr>
        <b/>
        <sz val="10"/>
        <color theme="1"/>
        <rFont val="Times New Roman"/>
        <family val="1"/>
      </rPr>
      <t>obs.:</t>
    </r>
    <r>
      <rPr>
        <sz val="10"/>
        <color theme="1"/>
        <rFont val="Times New Roman"/>
        <family val="1"/>
      </rPr>
      <t xml:space="preserve"> resultados de 2003 a 2014 em BHTRANS (2015p)</t>
    </r>
  </si>
  <si>
    <r>
      <t xml:space="preserve">n.º de interseções semaforizadas sem foco de pedestres
</t>
    </r>
    <r>
      <rPr>
        <b/>
        <sz val="10"/>
        <color theme="1"/>
        <rFont val="Times New Roman"/>
        <family val="1"/>
      </rPr>
      <t xml:space="preserve">obs.1: </t>
    </r>
    <r>
      <rPr>
        <sz val="10"/>
        <color theme="1"/>
        <rFont val="Times New Roman"/>
        <family val="1"/>
      </rPr>
      <t xml:space="preserve">resultados de 2003 a 2014 fornecidos pela Gerência de Planejamento e Controle Operacional - Geplo/DRO em BHTRANS (2015p)
</t>
    </r>
    <r>
      <rPr>
        <b/>
        <sz val="10"/>
        <color theme="1"/>
        <rFont val="Times New Roman"/>
        <family val="1"/>
      </rPr>
      <t>obs.2:</t>
    </r>
    <r>
      <rPr>
        <sz val="10"/>
        <color theme="1"/>
        <rFont val="Times New Roman"/>
        <family val="1"/>
      </rPr>
      <t xml:space="preserve"> "A partir do mês de Abril de 2014 os Indicadores Semafóricos, apresentados anteriormente no Item 4 dos Relatórios Mensais, passam a ser de responsabilidade da Gerência de Simulação de Transportes, Trânsito e Programação Semafórica – GESIT" (BHTRANS, 2015q).</t>
    </r>
  </si>
  <si>
    <r>
      <t xml:space="preserve">n.º de interseções com travessia considerada "parcial" para pedestres, ou seja, n.º de interseções com semáforo para veículos onde há foco de pedestres, mas não para todos os movimentos
</t>
    </r>
    <r>
      <rPr>
        <b/>
        <sz val="10"/>
        <color theme="1"/>
        <rFont val="Times New Roman"/>
        <family val="1"/>
      </rPr>
      <t xml:space="preserve">obs.1: </t>
    </r>
    <r>
      <rPr>
        <sz val="10"/>
        <color theme="1"/>
        <rFont val="Times New Roman"/>
        <family val="1"/>
      </rPr>
      <t>resultados de 2003 a 2014 fornecidos pela Gerência de Planejamento e Controle Operacional - Geplo/DRO em BHTRANS (2015p)</t>
    </r>
    <r>
      <rPr>
        <b/>
        <sz val="10"/>
        <color theme="1"/>
        <rFont val="Times New Roman"/>
        <family val="1"/>
      </rPr>
      <t xml:space="preserve">
obs.2: </t>
    </r>
    <r>
      <rPr>
        <sz val="10"/>
        <color theme="1"/>
        <rFont val="Times New Roman"/>
        <family val="1"/>
      </rPr>
      <t>"A partir do mês de Abril de 2014 os Indicadores Semafóricos, apresentados anteriormente no Item 4 dos Relatórios Mensais, passam a ser de responsabilidade da Gerência de Simulação de Transportes, Trânsito e Programação Semafórica – GESIT" (BHTRANS, 2015q).</t>
    </r>
  </si>
  <si>
    <r>
      <t xml:space="preserve">n.º de interseções com travessia considerada "total" para pedestres, ou seja, n.º de interseções com semáforo para veículos onde há foco de pedestres e todos os movimentos dos pedestres são possíveis pelo menor percurso
</t>
    </r>
    <r>
      <rPr>
        <b/>
        <sz val="10"/>
        <color theme="1"/>
        <rFont val="Times New Roman"/>
        <family val="1"/>
      </rPr>
      <t xml:space="preserve">obs.1: </t>
    </r>
    <r>
      <rPr>
        <sz val="10"/>
        <color theme="1"/>
        <rFont val="Times New Roman"/>
        <family val="1"/>
      </rPr>
      <t xml:space="preserve">resultados de 2003 a 2014 fornecidos pela Gerência de Planejamento e Controle Operacional - Geplo/DRO em BHTRANS (2015p)
</t>
    </r>
    <r>
      <rPr>
        <b/>
        <sz val="10"/>
        <color theme="1"/>
        <rFont val="Times New Roman"/>
        <family val="1"/>
      </rPr>
      <t xml:space="preserve">obs.2: </t>
    </r>
    <r>
      <rPr>
        <sz val="10"/>
        <color theme="1"/>
        <rFont val="Times New Roman"/>
        <family val="1"/>
      </rPr>
      <t>"A partir do mês de Abril de 2014 os Indicadores Semafóricos, apresentados anteriormente no Item 4 dos Relatórios Mensais, passam a ser de responsabilidade da Gerência de Simulação de Transportes, Trânsito e Programação Semafórica – GESIT" (BHTRANS, 2015q).</t>
    </r>
  </si>
  <si>
    <r>
      <t xml:space="preserve">n.º de locais semaforizados entre interseções, ou seja, n.º de locais onde se implanta foco de pedestre com o objetivo de proporcionar uma travessia segura dos pedestres em nível (ao se evitar o deslocamento dos pedestres até a interseção semaforizada mais próxima)
</t>
    </r>
    <r>
      <rPr>
        <b/>
        <sz val="10"/>
        <color theme="1"/>
        <rFont val="Times New Roman"/>
        <family val="1"/>
      </rPr>
      <t>obs.1:</t>
    </r>
    <r>
      <rPr>
        <sz val="10"/>
        <color theme="1"/>
        <rFont val="Times New Roman"/>
        <family val="1"/>
      </rPr>
      <t xml:space="preserve"> resultados de 2003 a 2014 fornecidos pela Gerência de Planejamento e Controle Operacional - Geplo/DRO em BHTRANS (2015p)
</t>
    </r>
    <r>
      <rPr>
        <b/>
        <sz val="10"/>
        <color theme="1"/>
        <rFont val="Times New Roman"/>
        <family val="1"/>
      </rPr>
      <t xml:space="preserve">obs.2: </t>
    </r>
    <r>
      <rPr>
        <sz val="10"/>
        <color theme="1"/>
        <rFont val="Times New Roman"/>
        <family val="1"/>
      </rPr>
      <t>"A partir do mês de Abril de 2014 os Indicadores Semafóricos, apresentados anteriormente no Item 4 dos Relatórios Mensais, passam a ser de responsabilidade da Gerência de Simulação de Transportes, Trânsito e Programação Semafórica – GESIT" (BHTRANS, 2015q).</t>
    </r>
  </si>
  <si>
    <r>
      <t xml:space="preserve">n.º de locais semaforizados com controle centralizado em modo adaptativo, ou seja, existência de controladores de trafego interligados fisicamente por meio de uma rede de dados a um concentrador de área e esse interligado ao Centro de Controle Operacional - CCO, de onde são monitorados através de software especifico do fabricante
</t>
    </r>
    <r>
      <rPr>
        <b/>
        <sz val="10"/>
        <color theme="1"/>
        <rFont val="Times New Roman"/>
        <family val="1"/>
      </rPr>
      <t>obs.1:</t>
    </r>
    <r>
      <rPr>
        <sz val="10"/>
        <color theme="1"/>
        <rFont val="Times New Roman"/>
        <family val="1"/>
      </rPr>
      <t xml:space="preserve"> a finalidade básica do controle é dar o tempo a cada corrente de tráfego de acordo com sua necessidade, ajustando dinamicamente às flutuações de tráfego que podem ocorrer num cruzamento; não requerem planos pré-calculados, exceto para a inicialização do sistema
</t>
    </r>
    <r>
      <rPr>
        <b/>
        <sz val="10"/>
        <color theme="1"/>
        <rFont val="Times New Roman"/>
        <family val="1"/>
      </rPr>
      <t xml:space="preserve">obs.2: </t>
    </r>
    <r>
      <rPr>
        <sz val="10"/>
        <color theme="1"/>
        <rFont val="Times New Roman"/>
        <family val="1"/>
      </rPr>
      <t xml:space="preserve">resultados de 2003 a 2014 fornecidos pela Gerência de Planejamento e Controle Operacional - Geplo/DRO em BHTRANS (2015p)
</t>
    </r>
    <r>
      <rPr>
        <b/>
        <sz val="10"/>
        <color theme="1"/>
        <rFont val="Times New Roman"/>
        <family val="1"/>
      </rPr>
      <t xml:space="preserve">obs.3: </t>
    </r>
    <r>
      <rPr>
        <sz val="10"/>
        <color theme="1"/>
        <rFont val="Times New Roman"/>
        <family val="1"/>
      </rPr>
      <t>"A partir do mês de Abril de 2014 os Indicadores Semafóricos, apresentados anteriormente no Item 4 dos Relatórios Mensais, passam a ser de responsabilidade da Gerência de Simulação de Transportes, Trânsito e Programação Semafórica – GESIT" (BHTRANS, 2015q).</t>
    </r>
  </si>
  <si>
    <r>
      <t xml:space="preserve">n.º de locais semaforizados com controle centralizado em modo horário, ou seja, existência de controladores de trafego interligados fisicamente por meio de uma rede de dados a um controlador mestre e esse ao Centro de Controle, de onde são monitorados através de software especifico do fabricante
</t>
    </r>
    <r>
      <rPr>
        <b/>
        <sz val="10"/>
        <color theme="1"/>
        <rFont val="Times New Roman"/>
        <family val="1"/>
      </rPr>
      <t xml:space="preserve">obs.1: </t>
    </r>
    <r>
      <rPr>
        <sz val="10"/>
        <color theme="1"/>
        <rFont val="Times New Roman"/>
        <family val="1"/>
      </rPr>
      <t xml:space="preserve">resultados de 2003 a 2014 fornecidos pela Gerência de Planejamento e Controle Operacional - Geplo/DRO em BHTRANS (2015p)
</t>
    </r>
    <r>
      <rPr>
        <b/>
        <sz val="10"/>
        <color theme="1"/>
        <rFont val="Times New Roman"/>
        <family val="1"/>
      </rPr>
      <t xml:space="preserve">obs.2: </t>
    </r>
    <r>
      <rPr>
        <sz val="10"/>
        <color theme="1"/>
        <rFont val="Times New Roman"/>
        <family val="1"/>
      </rPr>
      <t>"A partir do mês de Abril de 2014 os Indicadores Semafóricos, apresentados anteriormente no Item 4 dos Relatórios Mensais, passam a ser de responsabilidade da Gerência de Simulação de Transportes, Trânsito e Programação Semafórica – GESIT" (BHTRANS, 2015q).</t>
    </r>
  </si>
  <si>
    <r>
      <t xml:space="preserve">n.º de locais semaforizados com controle centralizado em modo rede local, ou seja, com controladores de trafego interligados fisicamente por meio de uma rede de dados e supervisionados por um controlador designado "mestre" que envia relógio, mantendo o sincronismo entre eles
</t>
    </r>
    <r>
      <rPr>
        <b/>
        <sz val="10"/>
        <color theme="1"/>
        <rFont val="Times New Roman"/>
        <family val="1"/>
      </rPr>
      <t>obs.1:</t>
    </r>
    <r>
      <rPr>
        <sz val="10"/>
        <color theme="1"/>
        <rFont val="Times New Roman"/>
        <family val="1"/>
      </rPr>
      <t xml:space="preserve"> a programação pode ser enviada através do "mestre" para os "escravos"
</t>
    </r>
    <r>
      <rPr>
        <b/>
        <sz val="10"/>
        <color theme="1"/>
        <rFont val="Times New Roman"/>
        <family val="1"/>
      </rPr>
      <t xml:space="preserve">obs.2: </t>
    </r>
    <r>
      <rPr>
        <sz val="10"/>
        <color theme="1"/>
        <rFont val="Times New Roman"/>
        <family val="1"/>
      </rPr>
      <t xml:space="preserve">resultados de 2003 a 2014 fornecidos pela Gerência de Planejamento e Controle Operacional - Geplo/DRO em BHTRANS (2015p)
</t>
    </r>
    <r>
      <rPr>
        <b/>
        <sz val="10"/>
        <color theme="1"/>
        <rFont val="Times New Roman"/>
        <family val="1"/>
      </rPr>
      <t xml:space="preserve">obs.3: </t>
    </r>
    <r>
      <rPr>
        <sz val="10"/>
        <color theme="1"/>
        <rFont val="Times New Roman"/>
        <family val="1"/>
      </rPr>
      <t>"A partir do mês de Abril de 2014 os Indicadores Semafóricos, apresentados anteriormente no Item 4 dos Relatórios Mensais, passam a ser de responsabilidade da Gerência de Simulação de Transportes, Trânsito e Programação Semafórica – GESIT" (BHTRANS, 2015q).</t>
    </r>
  </si>
  <si>
    <t>RH c</t>
  </si>
  <si>
    <t>RH at</t>
  </si>
  <si>
    <t>RH at por 10 mil veículos</t>
  </si>
  <si>
    <t>RH d</t>
  </si>
  <si>
    <t>(RH dr / RH) x 100</t>
  </si>
  <si>
    <t>RH nd</t>
  </si>
  <si>
    <r>
      <rPr>
        <b/>
        <sz val="12"/>
        <color theme="1"/>
        <rFont val="Times New Roman"/>
        <family val="1"/>
      </rPr>
      <t xml:space="preserve">BHTRANS(2011e): </t>
    </r>
    <r>
      <rPr>
        <sz val="12"/>
        <color theme="1"/>
        <rFont val="Times New Roman"/>
        <family val="1"/>
      </rPr>
      <t xml:space="preserve">EMPRESA DE TRANSPORTES E TRÂNSITO DE BELO HORIZONTE S.A - BHTRANS. Gerência de Administração de Pessoal - Geape/CARH/DAF. </t>
    </r>
    <r>
      <rPr>
        <i/>
        <sz val="12"/>
        <color theme="1"/>
        <rFont val="Times New Roman"/>
        <family val="1"/>
      </rPr>
      <t>Dados sobre pessoal e folha de pagamento dezembro/2010</t>
    </r>
    <r>
      <rPr>
        <sz val="12"/>
        <color theme="1"/>
        <rFont val="Times New Roman"/>
        <family val="1"/>
      </rPr>
      <t>. Belo Horizonte, BHTrans, [2011]. 18p.</t>
    </r>
  </si>
  <si>
    <t>RH dr</t>
  </si>
  <si>
    <t>registro da fonte (componente de 
RH dr)</t>
  </si>
  <si>
    <t>RH = RH dr + RH nd</t>
  </si>
  <si>
    <t>RH dr médio</t>
  </si>
  <si>
    <r>
      <t xml:space="preserve">n.º médio de empregados diretos da BHTrans
</t>
    </r>
    <r>
      <rPr>
        <b/>
        <sz val="10"/>
        <color theme="1"/>
        <rFont val="Times New Roman"/>
        <family val="1"/>
      </rPr>
      <t>obs.:</t>
    </r>
    <r>
      <rPr>
        <sz val="10"/>
        <color theme="1"/>
        <rFont val="Times New Roman"/>
        <family val="1"/>
      </rPr>
      <t xml:space="preserve"> indicador operacional da BHTrans com o nome "número médio de empregados diretos"(BHTRANS, 2015d)</t>
    </r>
  </si>
  <si>
    <r>
      <t xml:space="preserve">n.º de pessoas com deficiência auditiva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t>
    </r>
    <r>
      <rPr>
        <b/>
        <sz val="10"/>
        <color theme="1"/>
        <rFont val="Times New Roman"/>
        <family val="1"/>
      </rPr>
      <t xml:space="preserve">obs.1: </t>
    </r>
    <r>
      <rPr>
        <sz val="10"/>
        <color theme="1"/>
        <rFont val="Times New Roman"/>
        <family val="1"/>
      </rPr>
      <t xml:space="preserve">resultado de 1999 sem fórmula direto na fonte em OLIVEIRA (2002, p.118/Tabela 3.2;
</t>
    </r>
    <r>
      <rPr>
        <b/>
        <sz val="10"/>
        <color theme="1"/>
        <rFont val="Times New Roman"/>
        <family val="1"/>
      </rPr>
      <t>obs.2:</t>
    </r>
    <r>
      <rPr>
        <sz val="10"/>
        <color theme="1"/>
        <rFont val="Times New Roman"/>
        <family val="1"/>
      </rPr>
      <t xml:space="preserve"> resultados em dezembro de cada ano, à exceção dos resultados de 2015 que foram extraídos do banco de dados do CIT Bus às 09h21 de 27/08/2015</t>
    </r>
  </si>
  <si>
    <r>
      <t xml:space="preserve">n.º de pessoas com deficiência física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t>
    </r>
    <r>
      <rPr>
        <b/>
        <sz val="10"/>
        <color theme="1"/>
        <rFont val="Times New Roman"/>
        <family val="1"/>
      </rPr>
      <t>obs.1:</t>
    </r>
    <r>
      <rPr>
        <sz val="10"/>
        <color theme="1"/>
        <rFont val="Times New Roman"/>
        <family val="1"/>
      </rPr>
      <t xml:space="preserve"> resultado de 1999 sem fórmula direto na fonte em OLIVEIRA (2002, p.118/Tabela 3.2
</t>
    </r>
    <r>
      <rPr>
        <b/>
        <sz val="10"/>
        <color theme="1"/>
        <rFont val="Times New Roman"/>
        <family val="1"/>
      </rPr>
      <t xml:space="preserve">obs.2: </t>
    </r>
    <r>
      <rPr>
        <sz val="10"/>
        <color theme="1"/>
        <rFont val="Times New Roman"/>
        <family val="1"/>
      </rPr>
      <t>resultados em dezembro de cada ano, à exceção dos resultados de 2015 que foram extraídos do banco de dados do CIT Bus às 09h21 de 27/08/2015</t>
    </r>
  </si>
  <si>
    <r>
      <t xml:space="preserve">n.º de pessoas com deficiência mental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t>
    </r>
    <r>
      <rPr>
        <b/>
        <sz val="10"/>
        <color theme="1"/>
        <rFont val="Times New Roman"/>
        <family val="1"/>
      </rPr>
      <t xml:space="preserve">obs.1: </t>
    </r>
    <r>
      <rPr>
        <sz val="10"/>
        <color theme="1"/>
        <rFont val="Times New Roman"/>
        <family val="1"/>
      </rPr>
      <t xml:space="preserve">resultados em dezembro de cada ano, à exceção dos resultados de 2015 que foram extraídos do banco de dados do CIT Bus às 09h21 de 27/08/2015
</t>
    </r>
    <r>
      <rPr>
        <b/>
        <sz val="10"/>
        <color theme="1"/>
        <rFont val="Times New Roman"/>
        <family val="1"/>
      </rPr>
      <t xml:space="preserve">obs.2: </t>
    </r>
    <r>
      <rPr>
        <sz val="10"/>
        <color theme="1"/>
        <rFont val="Times New Roman"/>
        <family val="1"/>
      </rPr>
      <t>resultado de 1999 sem fórmula direto na fonte em OLIVEIRA (2002, p.118/Tabela 3.2 (na base de dados há resultados separados para "def.mental" e "def.mental moderado", que são aqui somados)</t>
    </r>
  </si>
  <si>
    <r>
      <t xml:space="preserve">n.º de pessoas com doença renal crônica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t>
    </r>
    <r>
      <rPr>
        <b/>
        <sz val="10"/>
        <color theme="1"/>
        <rFont val="Times New Roman"/>
        <family val="1"/>
      </rPr>
      <t>obs.1:</t>
    </r>
    <r>
      <rPr>
        <sz val="10"/>
        <color theme="1"/>
        <rFont val="Times New Roman"/>
        <family val="1"/>
      </rPr>
      <t xml:space="preserve"> resultado de 1999 sem fórmula direto na fonte em OLIVEIRA (2002, p.118/Tabela 3.2
</t>
    </r>
    <r>
      <rPr>
        <b/>
        <sz val="10"/>
        <color theme="1"/>
        <rFont val="Times New Roman"/>
        <family val="1"/>
      </rPr>
      <t xml:space="preserve">obs.2: </t>
    </r>
    <r>
      <rPr>
        <sz val="10"/>
        <color theme="1"/>
        <rFont val="Times New Roman"/>
        <family val="1"/>
      </rPr>
      <t>resultados em dezembro de cada ano, à exceção dos resultados de 2015 que foram extraídos do banco de dados do CIT Bus às 09h21 de 27/08/2015</t>
    </r>
  </si>
  <si>
    <r>
      <t xml:space="preserve">n.º de pessoas com deficiência visual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t>
    </r>
    <r>
      <rPr>
        <b/>
        <sz val="10"/>
        <color theme="1"/>
        <rFont val="Times New Roman"/>
        <family val="1"/>
      </rPr>
      <t xml:space="preserve">obs.1: </t>
    </r>
    <r>
      <rPr>
        <sz val="10"/>
        <color theme="1"/>
        <rFont val="Times New Roman"/>
        <family val="1"/>
      </rPr>
      <t xml:space="preserve">resultado de 1999 sem fórmula direto na fonte em OLIVEIRA (2002, p.118/Tabela 3.2
</t>
    </r>
    <r>
      <rPr>
        <b/>
        <sz val="10"/>
        <color theme="1"/>
        <rFont val="Times New Roman"/>
        <family val="1"/>
      </rPr>
      <t xml:space="preserve">obs.2: </t>
    </r>
    <r>
      <rPr>
        <sz val="10"/>
        <color theme="1"/>
        <rFont val="Times New Roman"/>
        <family val="1"/>
      </rPr>
      <t>resultados em dezembro de cada ano, à exceção dos resultados de 2015 que foram extraídos do banco de dados do CIT Bus às 09h21 de 27/08/2015</t>
    </r>
  </si>
  <si>
    <r>
      <t xml:space="preserve">"GR da" com acompanhante e com passagem pela roleta
</t>
    </r>
    <r>
      <rPr>
        <b/>
        <sz val="10"/>
        <color theme="1"/>
        <rFont val="Times New Roman"/>
        <family val="1"/>
      </rPr>
      <t>obs.:</t>
    </r>
    <r>
      <rPr>
        <sz val="10"/>
        <color theme="1"/>
        <rFont val="Times New Roman"/>
        <family val="1"/>
      </rPr>
      <t xml:space="preserve"> resultado de 2015 em BHTRANS(2015s)</t>
    </r>
  </si>
  <si>
    <r>
      <t xml:space="preserve">"GR da" sem acompanhante e com passagem pela roleta
</t>
    </r>
    <r>
      <rPr>
        <b/>
        <sz val="10"/>
        <color theme="1"/>
        <rFont val="Times New Roman"/>
        <family val="1"/>
      </rPr>
      <t>obs.:</t>
    </r>
    <r>
      <rPr>
        <sz val="10"/>
        <color theme="1"/>
        <rFont val="Times New Roman"/>
        <family val="1"/>
      </rPr>
      <t xml:space="preserve"> resultado de 2015 em BHTRANS(2015s)</t>
    </r>
  </si>
  <si>
    <r>
      <t xml:space="preserve">"GR da" com acompanhante e sem passagem pela roleta
</t>
    </r>
    <r>
      <rPr>
        <b/>
        <sz val="10"/>
        <color theme="1"/>
        <rFont val="Times New Roman"/>
        <family val="1"/>
      </rPr>
      <t>obs.:</t>
    </r>
    <r>
      <rPr>
        <sz val="10"/>
        <color theme="1"/>
        <rFont val="Times New Roman"/>
        <family val="1"/>
      </rPr>
      <t xml:space="preserve"> resultado de 2015 em BHTRANS(2015s)</t>
    </r>
  </si>
  <si>
    <r>
      <t xml:space="preserve">"GR da" sem acompanhante e sem passagem pela roleta
</t>
    </r>
    <r>
      <rPr>
        <b/>
        <sz val="10"/>
        <color theme="1"/>
        <rFont val="Times New Roman"/>
        <family val="1"/>
      </rPr>
      <t xml:space="preserve">obs.: </t>
    </r>
    <r>
      <rPr>
        <sz val="10"/>
        <color theme="1"/>
        <rFont val="Times New Roman"/>
        <family val="1"/>
      </rPr>
      <t>resultado de 2015 em BHTRANS(2015s)</t>
    </r>
  </si>
  <si>
    <r>
      <t xml:space="preserve">"GR df" com acompanhante e com passagem pela roleta
</t>
    </r>
    <r>
      <rPr>
        <b/>
        <sz val="10"/>
        <color theme="1"/>
        <rFont val="Times New Roman"/>
        <family val="1"/>
      </rPr>
      <t>obs.:</t>
    </r>
    <r>
      <rPr>
        <sz val="10"/>
        <color theme="1"/>
        <rFont val="Times New Roman"/>
        <family val="1"/>
      </rPr>
      <t xml:space="preserve"> resultado de 2015 em BHTRANS(2015s)</t>
    </r>
  </si>
  <si>
    <r>
      <t xml:space="preserve">"GR df" sem acompanhante e com passagem pela roleta
</t>
    </r>
    <r>
      <rPr>
        <b/>
        <sz val="10"/>
        <color theme="1"/>
        <rFont val="Times New Roman"/>
        <family val="1"/>
      </rPr>
      <t>obs.:</t>
    </r>
    <r>
      <rPr>
        <sz val="10"/>
        <color theme="1"/>
        <rFont val="Times New Roman"/>
        <family val="1"/>
      </rPr>
      <t xml:space="preserve"> resultado de 2015 em BHTRANS(2015s)</t>
    </r>
  </si>
  <si>
    <r>
      <t xml:space="preserve">"GR df" com acompanhante e sem passagem pela roleta
</t>
    </r>
    <r>
      <rPr>
        <b/>
        <sz val="10"/>
        <color theme="1"/>
        <rFont val="Times New Roman"/>
        <family val="1"/>
      </rPr>
      <t xml:space="preserve">obs.: </t>
    </r>
    <r>
      <rPr>
        <sz val="10"/>
        <color theme="1"/>
        <rFont val="Times New Roman"/>
        <family val="1"/>
      </rPr>
      <t>resultado de 2015 em BHTRANS(2015s)</t>
    </r>
  </si>
  <si>
    <r>
      <t xml:space="preserve">"GR df" sem acompanhante e sem passagem pela roleta
</t>
    </r>
    <r>
      <rPr>
        <b/>
        <sz val="10"/>
        <color theme="1"/>
        <rFont val="Times New Roman"/>
        <family val="1"/>
      </rPr>
      <t xml:space="preserve">obs.: </t>
    </r>
    <r>
      <rPr>
        <sz val="10"/>
        <color theme="1"/>
        <rFont val="Times New Roman"/>
        <family val="1"/>
      </rPr>
      <t>resultado de 2015 em BHTRANS(2015s)</t>
    </r>
  </si>
  <si>
    <r>
      <t xml:space="preserve">"GR dm" com acompanhante e com passagem pela roleta
</t>
    </r>
    <r>
      <rPr>
        <b/>
        <sz val="10"/>
        <color theme="1"/>
        <rFont val="Times New Roman"/>
        <family val="1"/>
      </rPr>
      <t xml:space="preserve">obs.: </t>
    </r>
    <r>
      <rPr>
        <sz val="10"/>
        <color theme="1"/>
        <rFont val="Times New Roman"/>
        <family val="1"/>
      </rPr>
      <t>resultado de 2015 em BHTRANS(2015s)</t>
    </r>
  </si>
  <si>
    <r>
      <t xml:space="preserve">"GR dm" sem acompanhante e com passagem pela roleta
</t>
    </r>
    <r>
      <rPr>
        <b/>
        <sz val="10"/>
        <color theme="1"/>
        <rFont val="Times New Roman"/>
        <family val="1"/>
      </rPr>
      <t xml:space="preserve">obs.: </t>
    </r>
    <r>
      <rPr>
        <sz val="10"/>
        <color theme="1"/>
        <rFont val="Times New Roman"/>
        <family val="1"/>
      </rPr>
      <t>resultado de 2015 em BHTRANS(2015s)</t>
    </r>
  </si>
  <si>
    <r>
      <t xml:space="preserve">"GR dm" com acompanhante e sem passagem pela roleta
</t>
    </r>
    <r>
      <rPr>
        <b/>
        <sz val="10"/>
        <color theme="1"/>
        <rFont val="Times New Roman"/>
        <family val="1"/>
      </rPr>
      <t xml:space="preserve">obs.: </t>
    </r>
    <r>
      <rPr>
        <sz val="10"/>
        <color theme="1"/>
        <rFont val="Times New Roman"/>
        <family val="1"/>
      </rPr>
      <t>resultado de 2015 em BHTRANS(2015s)</t>
    </r>
  </si>
  <si>
    <r>
      <t xml:space="preserve">"GR dm" sem acompanhante e sem passagem pela roleta
</t>
    </r>
    <r>
      <rPr>
        <b/>
        <sz val="10"/>
        <color theme="1"/>
        <rFont val="Times New Roman"/>
        <family val="1"/>
      </rPr>
      <t>obs.:</t>
    </r>
    <r>
      <rPr>
        <sz val="10"/>
        <color theme="1"/>
        <rFont val="Times New Roman"/>
        <family val="1"/>
      </rPr>
      <t xml:space="preserve"> resultado de 2015 em BHTRANS(2015s)</t>
    </r>
  </si>
  <si>
    <r>
      <t xml:space="preserve">"GR drc" com acompanhante e com passagem pela roleta
</t>
    </r>
    <r>
      <rPr>
        <b/>
        <sz val="10"/>
        <color theme="1"/>
        <rFont val="Times New Roman"/>
        <family val="1"/>
      </rPr>
      <t>obs.:</t>
    </r>
    <r>
      <rPr>
        <sz val="10"/>
        <color theme="1"/>
        <rFont val="Times New Roman"/>
        <family val="1"/>
      </rPr>
      <t xml:space="preserve"> resultado de 2015 em BHTRANS(2015s)</t>
    </r>
  </si>
  <si>
    <r>
      <t xml:space="preserve">"GR drc" sem acompanhante e com passagem pela roleta
</t>
    </r>
    <r>
      <rPr>
        <b/>
        <sz val="10"/>
        <color theme="1"/>
        <rFont val="Times New Roman"/>
        <family val="1"/>
      </rPr>
      <t xml:space="preserve">obs.: </t>
    </r>
    <r>
      <rPr>
        <sz val="10"/>
        <color theme="1"/>
        <rFont val="Times New Roman"/>
        <family val="1"/>
      </rPr>
      <t>resultado de 2015 em BHTRANS(2015s)</t>
    </r>
  </si>
  <si>
    <r>
      <t xml:space="preserve">"GR drc" com acompanhante e sem passagem pela roleta
</t>
    </r>
    <r>
      <rPr>
        <b/>
        <sz val="10"/>
        <color theme="1"/>
        <rFont val="Times New Roman"/>
        <family val="1"/>
      </rPr>
      <t>obs.:</t>
    </r>
    <r>
      <rPr>
        <sz val="10"/>
        <color theme="1"/>
        <rFont val="Times New Roman"/>
        <family val="1"/>
      </rPr>
      <t xml:space="preserve"> resultado de 2015 em BHTRANS(2015s)</t>
    </r>
  </si>
  <si>
    <r>
      <t xml:space="preserve">"GR drc" sem acompanhante e sem passagem pela roleta
</t>
    </r>
    <r>
      <rPr>
        <b/>
        <sz val="10"/>
        <color theme="1"/>
        <rFont val="Times New Roman"/>
        <family val="1"/>
      </rPr>
      <t>obs.:</t>
    </r>
    <r>
      <rPr>
        <sz val="10"/>
        <color theme="1"/>
        <rFont val="Times New Roman"/>
        <family val="1"/>
      </rPr>
      <t xml:space="preserve"> resultado de 2015 em BHTRANS(2015s)</t>
    </r>
  </si>
  <si>
    <r>
      <t xml:space="preserve">"GR dv" com acompanhante e com passagem pela roleta
</t>
    </r>
    <r>
      <rPr>
        <b/>
        <sz val="10"/>
        <color theme="1"/>
        <rFont val="Times New Roman"/>
        <family val="1"/>
      </rPr>
      <t xml:space="preserve">obs.: </t>
    </r>
    <r>
      <rPr>
        <sz val="10"/>
        <color theme="1"/>
        <rFont val="Times New Roman"/>
        <family val="1"/>
      </rPr>
      <t>resultado de 2015 em BHTRANS(2015s)</t>
    </r>
  </si>
  <si>
    <r>
      <t xml:space="preserve">"GR dv" sem acompanhante e com passagem pela roleta
</t>
    </r>
    <r>
      <rPr>
        <b/>
        <sz val="10"/>
        <color theme="1"/>
        <rFont val="Times New Roman"/>
        <family val="1"/>
      </rPr>
      <t>obs.:</t>
    </r>
    <r>
      <rPr>
        <sz val="10"/>
        <color theme="1"/>
        <rFont val="Times New Roman"/>
        <family val="1"/>
      </rPr>
      <t xml:space="preserve"> resultado de 2015 em BHTRANS(2015s)</t>
    </r>
  </si>
  <si>
    <r>
      <t xml:space="preserve">"GR dv" com acompanhante e sem passagem pela roleta
</t>
    </r>
    <r>
      <rPr>
        <b/>
        <sz val="10"/>
        <color theme="1"/>
        <rFont val="Times New Roman"/>
        <family val="1"/>
      </rPr>
      <t xml:space="preserve">obs.: </t>
    </r>
    <r>
      <rPr>
        <sz val="10"/>
        <color theme="1"/>
        <rFont val="Times New Roman"/>
        <family val="1"/>
      </rPr>
      <t>resultado de 2015 em BHTRANS(2015s)</t>
    </r>
  </si>
  <si>
    <r>
      <t xml:space="preserve">"GR dv" sem acompanhante e sem passagem pela roleta
</t>
    </r>
    <r>
      <rPr>
        <b/>
        <sz val="10"/>
        <color theme="1"/>
        <rFont val="Times New Roman"/>
        <family val="1"/>
      </rPr>
      <t xml:space="preserve">obs.: </t>
    </r>
    <r>
      <rPr>
        <sz val="10"/>
        <color theme="1"/>
        <rFont val="Times New Roman"/>
        <family val="1"/>
      </rPr>
      <t>resultado de 2015 em BHTRANS(2015s)</t>
    </r>
  </si>
  <si>
    <r>
      <t xml:space="preserve">n.º de pessoas com deficiência ou doença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t>
    </r>
    <r>
      <rPr>
        <b/>
        <sz val="10"/>
        <color theme="1"/>
        <rFont val="Times New Roman"/>
        <family val="1"/>
      </rPr>
      <t xml:space="preserve">obs.1: </t>
    </r>
    <r>
      <rPr>
        <sz val="10"/>
        <color theme="1"/>
        <rFont val="Times New Roman"/>
        <family val="1"/>
      </rPr>
      <t xml:space="preserve">resultado de 1995 sem fórmula direto na fonte em BHTRANS(1996a, p.9)
</t>
    </r>
    <r>
      <rPr>
        <b/>
        <sz val="10"/>
        <color theme="1"/>
        <rFont val="Times New Roman"/>
        <family val="1"/>
      </rPr>
      <t xml:space="preserve">obs.2: </t>
    </r>
    <r>
      <rPr>
        <sz val="10"/>
        <color theme="1"/>
        <rFont val="Times New Roman"/>
        <family val="1"/>
      </rPr>
      <t xml:space="preserve">resultados de 1999 e de 2015 como resultado de fórmula
</t>
    </r>
    <r>
      <rPr>
        <b/>
        <sz val="10"/>
        <color theme="1"/>
        <rFont val="Times New Roman"/>
        <family val="1"/>
      </rPr>
      <t xml:space="preserve">obs.3: </t>
    </r>
    <r>
      <rPr>
        <sz val="10"/>
        <color theme="1"/>
        <rFont val="Times New Roman"/>
        <family val="1"/>
      </rPr>
      <t xml:space="preserve">resultado de 2001 a 2005 sem fórmula direto na fonte em BHTRANS (2006a, p.42/Tabela 28)
</t>
    </r>
    <r>
      <rPr>
        <b/>
        <sz val="10"/>
        <color theme="1"/>
        <rFont val="Times New Roman"/>
        <family val="1"/>
      </rPr>
      <t xml:space="preserve">obs.4: </t>
    </r>
    <r>
      <rPr>
        <sz val="10"/>
        <color theme="1"/>
        <rFont val="Times New Roman"/>
        <family val="1"/>
      </rPr>
      <t xml:space="preserve">resultado de 2006 a 2009 sem fórmula direto na fonte em BHTRANS (2011b, [p.20[/Tabela 35)
</t>
    </r>
    <r>
      <rPr>
        <b/>
        <sz val="10"/>
        <color theme="1"/>
        <rFont val="Times New Roman"/>
        <family val="1"/>
      </rPr>
      <t xml:space="preserve">obs.5: </t>
    </r>
    <r>
      <rPr>
        <sz val="10"/>
        <color theme="1"/>
        <rFont val="Times New Roman"/>
        <family val="1"/>
      </rPr>
      <t>resultados em dezembro de cada ano, à exceção dos resultados de 2015 que foram extraídos do banco de dados do CIT Bus às 09h21 de 27/08/2015</t>
    </r>
  </si>
  <si>
    <r>
      <t xml:space="preserve">percentual de interseções com travessia total de pedestres em relação ao total de interseções semaforizadas
</t>
    </r>
    <r>
      <rPr>
        <b/>
        <sz val="10"/>
        <color theme="1"/>
        <rFont val="Times New Roman"/>
        <family val="1"/>
      </rPr>
      <t xml:space="preserve">obs.1: </t>
    </r>
    <r>
      <rPr>
        <sz val="10"/>
        <color theme="1"/>
        <rFont val="Times New Roman"/>
        <family val="1"/>
      </rPr>
      <t xml:space="preserve">indicador estratégico com o nome de "percentual de travessias [sic] sinalizadas com foco de pedestres (em relação às travessias [sic] de
pedestres em interseções semaforizadas)" (BHTRANS, 2015e)
</t>
    </r>
    <r>
      <rPr>
        <b/>
        <sz val="10"/>
        <color theme="1"/>
        <rFont val="Times New Roman"/>
        <family val="1"/>
      </rPr>
      <t xml:space="preserve">obs.2: </t>
    </r>
    <r>
      <rPr>
        <sz val="10"/>
        <color theme="1"/>
        <rFont val="Times New Roman"/>
        <family val="1"/>
      </rPr>
      <t xml:space="preserve">indicador do grupo "pedestres" do Observatório da Mobilidade de Belo Horizonte (ObsMob-BH) com o nome de "percentual de interseções semaforizadas com foco de pedestres em todas as travessias" (BHTRANS, 2015e, p.22)
</t>
    </r>
    <r>
      <rPr>
        <b/>
        <sz val="10"/>
        <color theme="1"/>
        <rFont val="Times New Roman"/>
        <family val="1"/>
      </rPr>
      <t>obs.3:</t>
    </r>
    <r>
      <rPr>
        <sz val="10"/>
        <color theme="1"/>
        <rFont val="Times New Roman"/>
        <family val="1"/>
      </rPr>
      <t xml:space="preserve"> ao comparar ITT com IS deve-se estar atento para que este indicador apresenta um resultado mascarado pois envolve duas dimensões bem distintas (afinal, há interseções semaforizadas "IS" onde não se pode pretender que haja qualquer travessia de pedestres, quanto mais uma "ITT")</t>
    </r>
  </si>
  <si>
    <t>padrão</t>
  </si>
  <si>
    <r>
      <t xml:space="preserve">Gráfico 321c - Evoluções dos percentuais de avaliações "regular" e "ruim/péssimo" do </t>
    </r>
    <r>
      <rPr>
        <b/>
        <sz val="12"/>
        <color theme="3"/>
        <rFont val="Times New Roman"/>
        <family val="1"/>
      </rPr>
      <t>transporte coletivo</t>
    </r>
    <r>
      <rPr>
        <b/>
        <sz val="12"/>
        <rFont val="Times New Roman"/>
        <family val="1"/>
      </rPr>
      <t xml:space="preserve"> de Belo Horizonte (1995 a 2015)</t>
    </r>
  </si>
  <si>
    <r>
      <t xml:space="preserve">Gráfico 321d - Evoluções dos percentuais de avaliações "ótimo/bom", "regular" e "ruim/péssimo" do </t>
    </r>
    <r>
      <rPr>
        <b/>
        <sz val="12"/>
        <color theme="3"/>
        <rFont val="Times New Roman"/>
        <family val="1"/>
      </rPr>
      <t>trânsito</t>
    </r>
    <r>
      <rPr>
        <b/>
        <sz val="12"/>
        <rFont val="Times New Roman"/>
        <family val="1"/>
      </rPr>
      <t xml:space="preserve"> de Belo Horizonte (1995 a 2015)</t>
    </r>
  </si>
  <si>
    <t>Gráfico 321e - Evolução da avaliação geral (AB) da BHTrans (1995 a 2015)</t>
  </si>
  <si>
    <r>
      <t xml:space="preserve">avaliação geral da BHTrans
</t>
    </r>
    <r>
      <rPr>
        <b/>
        <sz val="10"/>
        <color theme="1"/>
        <rFont val="Times New Roman"/>
        <family val="1"/>
      </rPr>
      <t>obs.1:</t>
    </r>
    <r>
      <rPr>
        <sz val="10"/>
        <color theme="1"/>
        <rFont val="Times New Roman"/>
        <family val="1"/>
      </rPr>
      <t xml:space="preserve"> consulte "A" para bem entender este indicador
</t>
    </r>
    <r>
      <rPr>
        <b/>
        <sz val="10"/>
        <color theme="1"/>
        <rFont val="Times New Roman"/>
        <family val="1"/>
      </rPr>
      <t xml:space="preserve">obs.2: </t>
    </r>
    <r>
      <rPr>
        <sz val="10"/>
        <color theme="1"/>
        <rFont val="Times New Roman"/>
        <family val="1"/>
      </rPr>
      <t xml:space="preserve">análises dos resultados das evoluções dos indicadores "AB" entre 1995 e 2011 são encontrados em OLIVEIRA (2014)
</t>
    </r>
    <r>
      <rPr>
        <b/>
        <sz val="10"/>
        <color theme="1"/>
        <rFont val="Times New Roman"/>
        <family val="1"/>
      </rPr>
      <t xml:space="preserve">obs.3: </t>
    </r>
    <r>
      <rPr>
        <sz val="10"/>
        <color theme="1"/>
        <rFont val="Times New Roman"/>
        <family val="1"/>
      </rPr>
      <t>na pesquisa de 2015 a pergunta que vinha sendo feita desde 1995 no início do questionário (junto às avaliações da gestão da empresa no transporte e no trânsito) muda para o final como parte de bloco que avalia a imagem e o atendimento de várias instituições, o que compromete a comparabilidade</t>
    </r>
  </si>
  <si>
    <t>DM nm
não motorizados (O/D)
(meta)</t>
  </si>
  <si>
    <t>DM nm
não motorizados</t>
  </si>
  <si>
    <r>
      <rPr>
        <b/>
        <sz val="12"/>
        <color theme="1"/>
        <rFont val="Times New Roman"/>
        <family val="1"/>
      </rPr>
      <t xml:space="preserve">BHTRANS(2013e): </t>
    </r>
    <r>
      <rPr>
        <sz val="12"/>
        <color theme="1"/>
        <rFont val="Times New Roman"/>
        <family val="1"/>
      </rPr>
      <t xml:space="preserve">EMPRESA DE TRANSPORTES E TRÂNSITO DE BELO HORIZONTE S.A - BHTRANS. Gerência de Contratos de Concessão e Tarifas - Gecet/SRTP/DTP. </t>
    </r>
    <r>
      <rPr>
        <i/>
        <sz val="12"/>
        <color theme="1"/>
        <rFont val="Times New Roman"/>
        <family val="1"/>
      </rPr>
      <t xml:space="preserve">Portal interno - Dados [planilha] Transporte Coletivo - Anuário Estatístico 2012. </t>
    </r>
    <r>
      <rPr>
        <sz val="12"/>
        <color theme="1"/>
        <rFont val="Times New Roman"/>
        <family val="1"/>
      </rPr>
      <t xml:space="preserve">Belo Horizonte: BHTrans, [2013]. </t>
    </r>
  </si>
  <si>
    <t>NP tcc(ano) / 12</t>
  </si>
  <si>
    <t>PQ tcc(ano) / 12</t>
  </si>
  <si>
    <t>registro na fonte
∑ PQ tcc (janeiro a dezembro)</t>
  </si>
  <si>
    <t>registro na fonte
∑ NP tcc (janeiro a dezembro)</t>
  </si>
  <si>
    <r>
      <t xml:space="preserve">produção quilométrica do transporte coletivo convencional (em km) no ano
</t>
    </r>
    <r>
      <rPr>
        <b/>
        <sz val="10"/>
        <rFont val="Times New Roman"/>
        <family val="1"/>
      </rPr>
      <t xml:space="preserve">obs.: </t>
    </r>
    <r>
      <rPr>
        <sz val="10"/>
        <rFont val="Times New Roman"/>
        <family val="1"/>
      </rPr>
      <t>resultados de 1996 a 2012 em BHTRANS (2013e)</t>
    </r>
  </si>
  <si>
    <t>registro na fonte
∑ NVR tcc (janeiro a dezembro)</t>
  </si>
  <si>
    <t>registro na fonte
∑ NVE tcc (janeiro a dezembro)</t>
  </si>
  <si>
    <r>
      <t xml:space="preserve">n.º de viagens especificadas do transporte coletivo convencional no ano
</t>
    </r>
    <r>
      <rPr>
        <b/>
        <sz val="10"/>
        <rFont val="Times New Roman"/>
        <family val="1"/>
      </rPr>
      <t xml:space="preserve">obs.: </t>
    </r>
    <r>
      <rPr>
        <sz val="10"/>
        <rFont val="Times New Roman"/>
        <family val="1"/>
      </rPr>
      <t>resultados de 2006 a 2012 em BHTRANS (2013e)</t>
    </r>
  </si>
  <si>
    <r>
      <t xml:space="preserve">n.º de viagens omitidas do transporte coletivo convencional por ano
</t>
    </r>
    <r>
      <rPr>
        <b/>
        <sz val="10"/>
        <rFont val="Times New Roman"/>
        <family val="1"/>
      </rPr>
      <t xml:space="preserve">obs.: </t>
    </r>
    <r>
      <rPr>
        <sz val="10"/>
        <rFont val="Times New Roman"/>
        <family val="1"/>
      </rPr>
      <t>resultado de 2010 com o mês de dezembro tomado como referência anual (BHTRANS, 2013e)</t>
    </r>
  </si>
  <si>
    <r>
      <t xml:space="preserve">n.º de viagens atrasadas do transporte coletivo convencional no ano
</t>
    </r>
    <r>
      <rPr>
        <b/>
        <sz val="10"/>
        <rFont val="Times New Roman"/>
        <family val="1"/>
      </rPr>
      <t>obs.:</t>
    </r>
    <r>
      <rPr>
        <sz val="10"/>
        <rFont val="Times New Roman"/>
        <family val="1"/>
      </rPr>
      <t xml:space="preserve"> resultado de 2010 com o mês de dezembro tomado como referência anual (BHTRANS, 2013e)</t>
    </r>
  </si>
  <si>
    <t>registro na fonte
∑ NPG tcc (janeiro a dezembro)</t>
  </si>
  <si>
    <t>NPG tcc(ano) / 12</t>
  </si>
  <si>
    <r>
      <t xml:space="preserve">n.º de passageiros transportados gratuitamente com utilização do cartão BHBus benefício do transporte coletivo convencional no ano
</t>
    </r>
    <r>
      <rPr>
        <b/>
        <sz val="10"/>
        <rFont val="Times New Roman"/>
        <family val="1"/>
      </rPr>
      <t xml:space="preserve">obs.: </t>
    </r>
    <r>
      <rPr>
        <sz val="10"/>
        <rFont val="Times New Roman"/>
        <family val="1"/>
      </rPr>
      <t>resultados de 2008 a 2010 e 2012 em BHTRANS (2013e)</t>
    </r>
  </si>
  <si>
    <r>
      <rPr>
        <b/>
        <sz val="12"/>
        <color theme="1"/>
        <rFont val="Times New Roman"/>
        <family val="1"/>
      </rPr>
      <t xml:space="preserve">BHTRANS(2013f): </t>
    </r>
    <r>
      <rPr>
        <sz val="12"/>
        <color theme="1"/>
        <rFont val="Times New Roman"/>
        <family val="1"/>
      </rPr>
      <t xml:space="preserve">EMPRESA DE TRANSPORTES E TRÂNSITO DE BELO HORIZONTE S.A - BHTRANS. Gerência de Controle de Permissões - Gecop/SRTP/DTP. </t>
    </r>
    <r>
      <rPr>
        <i/>
        <sz val="12"/>
        <color theme="1"/>
        <rFont val="Times New Roman"/>
        <family val="1"/>
      </rPr>
      <t>Portal interno - Transporte Escolar - Informações gerais [em PDF com resultados de 2006 a 2012]</t>
    </r>
    <r>
      <rPr>
        <sz val="12"/>
        <color theme="1"/>
        <rFont val="Times New Roman"/>
        <family val="1"/>
      </rPr>
      <t>. Belo Horizonte: BHTrans, [2013].</t>
    </r>
  </si>
  <si>
    <r>
      <rPr>
        <b/>
        <sz val="12"/>
        <color theme="1"/>
        <rFont val="Times New Roman"/>
        <family val="1"/>
      </rPr>
      <t xml:space="preserve">BHTRANS(2014g): </t>
    </r>
    <r>
      <rPr>
        <sz val="12"/>
        <color theme="1"/>
        <rFont val="Times New Roman"/>
        <family val="1"/>
      </rPr>
      <t xml:space="preserve">EMPRESA DE TRANSPORTES E TRÂNSITO DE BELO HORIZONTE S.A - BHTRANS. Gerência de Controle de Permissões - Gecop/SRTP/DTP. </t>
    </r>
    <r>
      <rPr>
        <i/>
        <sz val="12"/>
        <color theme="1"/>
        <rFont val="Times New Roman"/>
        <family val="1"/>
      </rPr>
      <t>Portal interno - Transporte Escolar - Informações gerais [em planilha excell com resultados de 2013]</t>
    </r>
    <r>
      <rPr>
        <sz val="12"/>
        <color theme="1"/>
        <rFont val="Times New Roman"/>
        <family val="1"/>
      </rPr>
      <t>. Belo Horizonte: BHTrans, [2014].</t>
    </r>
  </si>
  <si>
    <r>
      <rPr>
        <b/>
        <sz val="12"/>
        <color theme="1"/>
        <rFont val="Times New Roman"/>
        <family val="1"/>
      </rPr>
      <t xml:space="preserve">BHTRANS(2015b): </t>
    </r>
    <r>
      <rPr>
        <sz val="12"/>
        <color theme="1"/>
        <rFont val="Times New Roman"/>
        <family val="1"/>
      </rPr>
      <t xml:space="preserve">EMPRESA DE TRANSPORTES E TRÂNSITO DE BELO HORIZONTE S.A - BHTRANS. Gerência de Controle de Permissões - Gecop/SRTP/DTP. </t>
    </r>
    <r>
      <rPr>
        <i/>
        <sz val="12"/>
        <color theme="1"/>
        <rFont val="Times New Roman"/>
        <family val="1"/>
      </rPr>
      <t>Portal interno - Transporte Escolar - Informações gerais [em planilha excell com resultados de 2014]</t>
    </r>
    <r>
      <rPr>
        <sz val="12"/>
        <color theme="1"/>
        <rFont val="Times New Roman"/>
        <family val="1"/>
      </rPr>
      <t>. Belo Horizonte: BHTrans, [2015]. Acesso em: 11/06/2015.</t>
    </r>
  </si>
  <si>
    <t>frota total, em n.º de veículos, do transporte escolar</t>
  </si>
  <si>
    <r>
      <rPr>
        <b/>
        <sz val="12"/>
        <color theme="1"/>
        <rFont val="Times New Roman"/>
        <family val="1"/>
      </rPr>
      <t>BHTRANS(2015a):</t>
    </r>
    <r>
      <rPr>
        <sz val="12"/>
        <color theme="1"/>
        <rFont val="Times New Roman"/>
        <family val="1"/>
      </rPr>
      <t xml:space="preserve"> EMPRESA DE TRANSPORTES E TRÂNSITO DE BELO HORIZONTE S.A - BHTRANS. Gerência de Controle de Permissões - Gecop/SRTP/DTP.</t>
    </r>
    <r>
      <rPr>
        <i/>
        <sz val="12"/>
        <color theme="1"/>
        <rFont val="Times New Roman"/>
        <family val="1"/>
      </rPr>
      <t xml:space="preserve"> Portal interno - Indicadores mensais - Táxi - Informações gerais [em planilha excell com resultados de 2014]</t>
    </r>
    <r>
      <rPr>
        <sz val="12"/>
        <color theme="1"/>
        <rFont val="Times New Roman"/>
        <family val="1"/>
      </rPr>
      <t>. Belo Horizonte, [2015].</t>
    </r>
  </si>
  <si>
    <r>
      <rPr>
        <b/>
        <sz val="12"/>
        <color theme="1"/>
        <rFont val="Times New Roman"/>
        <family val="1"/>
      </rPr>
      <t>BHTRANS(2014h):</t>
    </r>
    <r>
      <rPr>
        <sz val="12"/>
        <color theme="1"/>
        <rFont val="Times New Roman"/>
        <family val="1"/>
      </rPr>
      <t xml:space="preserve"> EMPRESA DE TRANSPORTES E TRÂNSITO DE BELO HORIZONTE S.A - BHTRANS. Gerência de Controle de Permissões - Gecop/SRTP/DTP.</t>
    </r>
    <r>
      <rPr>
        <i/>
        <sz val="12"/>
        <color theme="1"/>
        <rFont val="Times New Roman"/>
        <family val="1"/>
      </rPr>
      <t xml:space="preserve"> Portal interno - Indicadores mensais - Táxi - Informações gerais [em planilha excell com resultados de 2013]</t>
    </r>
    <r>
      <rPr>
        <sz val="12"/>
        <color theme="1"/>
        <rFont val="Times New Roman"/>
        <family val="1"/>
      </rPr>
      <t>. Belo Horizonte, [2014].</t>
    </r>
  </si>
  <si>
    <r>
      <rPr>
        <b/>
        <sz val="12"/>
        <color theme="1"/>
        <rFont val="Times New Roman"/>
        <family val="1"/>
      </rPr>
      <t xml:space="preserve">BHTRANS(2013g): </t>
    </r>
    <r>
      <rPr>
        <sz val="12"/>
        <color theme="1"/>
        <rFont val="Times New Roman"/>
        <family val="1"/>
      </rPr>
      <t xml:space="preserve">EMPRESA DE TRANSPORTES E TRÂNSITO DE BELO HORIZONTE S.A - BHTRANS. Gerência de Controle de Permissões - Gecop/SRTP/DTP. </t>
    </r>
    <r>
      <rPr>
        <i/>
        <sz val="12"/>
        <color theme="1"/>
        <rFont val="Times New Roman"/>
        <family val="1"/>
      </rPr>
      <t>Portal interno - Táxi - Informações gerais [em PDF com resultados de 2006 a 2012]</t>
    </r>
    <r>
      <rPr>
        <sz val="12"/>
        <color theme="1"/>
        <rFont val="Times New Roman"/>
        <family val="1"/>
      </rPr>
      <t>. Belo Horizonte: BHTrans, [2013].</t>
    </r>
  </si>
  <si>
    <t>relação entre o n.º de condutores auxiliares e a frota à qual estão vinculados (expresso em condutores/veículo)</t>
  </si>
  <si>
    <r>
      <rPr>
        <b/>
        <sz val="12"/>
        <color theme="1"/>
        <rFont val="Times New Roman"/>
        <family val="1"/>
      </rPr>
      <t>BHTRANS(2013h):</t>
    </r>
    <r>
      <rPr>
        <sz val="12"/>
        <color theme="1"/>
        <rFont val="Times New Roman"/>
        <family val="1"/>
      </rPr>
      <t xml:space="preserve"> EMPRESA DE TRANSPORTES E TRÂNSITO DE BELO HORIZONTE S.A - BHTRANS. Gerência de Controle de Permissões - Gecop/DTP. </t>
    </r>
    <r>
      <rPr>
        <i/>
        <sz val="12"/>
        <color theme="1"/>
        <rFont val="Times New Roman"/>
        <family val="1"/>
      </rPr>
      <t xml:space="preserve">Portal interno - Transporte Suplementar- Informações gerais [em PDF com resultados de 2006 a 2012]. </t>
    </r>
    <r>
      <rPr>
        <sz val="12"/>
        <color theme="1"/>
        <rFont val="Times New Roman"/>
        <family val="1"/>
      </rPr>
      <t>Belo Horizonte: BHTrans, [2013].</t>
    </r>
  </si>
  <si>
    <t>consulte:
RT inf</t>
  </si>
  <si>
    <r>
      <t xml:space="preserve">concentração média diária de PM10 (média de 24 horas em µg/m3) medida na estação Aeroporto Carlos Prates em Belo Horizonte/RMBH (IEMA, 2015a)
</t>
    </r>
    <r>
      <rPr>
        <b/>
        <sz val="10"/>
        <rFont val="Times New Roman"/>
        <family val="1"/>
      </rPr>
      <t xml:space="preserve">obs.: </t>
    </r>
    <r>
      <rPr>
        <sz val="10"/>
        <rFont val="Times New Roman"/>
        <family val="1"/>
      </rPr>
      <t>para mais informações consulte o indicador "PM10 média (RMBH/BH em Praça da Estação)"</t>
    </r>
  </si>
  <si>
    <r>
      <t xml:space="preserve">concentração média diária de PM10 (média de 24 horas em µg/m3) medida na estação Avenida Amazona em Belo Horizonte/RMBH (IEMA, 2015a)
</t>
    </r>
    <r>
      <rPr>
        <b/>
        <sz val="10"/>
        <rFont val="Times New Roman"/>
        <family val="1"/>
      </rPr>
      <t xml:space="preserve">obs.: </t>
    </r>
    <r>
      <rPr>
        <sz val="10"/>
        <rFont val="Times New Roman"/>
        <family val="1"/>
      </rPr>
      <t>para mais informações consulte o indicador "PM10 média (RMBH/BH em Praça da Estação)"</t>
    </r>
  </si>
  <si>
    <t>registro na fonte
∑ pontuação de todas as áreas da BHTrans / n.º de áreas</t>
  </si>
  <si>
    <r>
      <rPr>
        <b/>
        <sz val="12"/>
        <color theme="1"/>
        <rFont val="Times New Roman"/>
        <family val="1"/>
      </rPr>
      <t xml:space="preserve">ANTP(2013b): </t>
    </r>
    <r>
      <rPr>
        <sz val="12"/>
        <color theme="1"/>
        <rFont val="Times New Roman"/>
        <family val="1"/>
      </rPr>
      <t xml:space="preserve">ASSOCIAÇÃO NACIONAL DE TRANSPORTES PÚBLICOS - ANTP.  Comissão Técnica da Qualidade e Produtividade. </t>
    </r>
    <r>
      <rPr>
        <i/>
        <sz val="12"/>
        <color theme="1"/>
        <rFont val="Times New Roman"/>
        <family val="1"/>
      </rPr>
      <t>Excelência na gestão do transporte e trânsito</t>
    </r>
    <r>
      <rPr>
        <sz val="12"/>
        <color theme="1"/>
        <rFont val="Times New Roman"/>
        <family val="1"/>
      </rPr>
      <t>. São Paulo: ANTP, set. 2013. série Cadernos Técnicos, v.10.</t>
    </r>
  </si>
  <si>
    <r>
      <rPr>
        <b/>
        <sz val="12"/>
        <color theme="1"/>
        <rFont val="Times New Roman"/>
        <family val="1"/>
      </rPr>
      <t>BHTRANS(2013a):</t>
    </r>
    <r>
      <rPr>
        <sz val="12"/>
        <color theme="1"/>
        <rFont val="Times New Roman"/>
        <family val="1"/>
      </rPr>
      <t xml:space="preserve"> EMPRESA DE TRANSPORTES E TRÂNSITO DE BELO HORIZONTE S.A - BHTRANS. </t>
    </r>
    <r>
      <rPr>
        <i/>
        <sz val="12"/>
        <color theme="1"/>
        <rFont val="Times New Roman"/>
        <family val="1"/>
      </rPr>
      <t>Plano Estratégico BHTRANS 2020 - revisão 2013</t>
    </r>
    <r>
      <rPr>
        <sz val="12"/>
        <color theme="1"/>
        <rFont val="Times New Roman"/>
        <family val="1"/>
      </rPr>
      <t>. Belo Horizonte, dezembro/2013. 31p. Disponível em: &lt;http://www.bhtrans.pbh.gov.br/portal/page/portal/portalpublicodl/Temas/BHTRANS/planejamento-estrategico-2013/Cartilha-PlanejamentoEstrat%C3%A9gico2013.pdf&gt;. Acesso em: 20 dez. 2013.</t>
    </r>
  </si>
  <si>
    <r>
      <t xml:space="preserve">"todo cruzamento em nível, entroncamento ou bifurcação, incluindo as áreas formadas por tais cruzamentos, entroncamentos ou bifurcações"
</t>
    </r>
    <r>
      <rPr>
        <b/>
        <sz val="10"/>
        <color theme="1"/>
        <rFont val="Times New Roman"/>
        <family val="1"/>
      </rPr>
      <t xml:space="preserve">obs.: </t>
    </r>
    <r>
      <rPr>
        <sz val="10"/>
        <color theme="1"/>
        <rFont val="Times New Roman"/>
        <family val="1"/>
      </rPr>
      <t>conforme BRASIL (1997a/Anexo I)</t>
    </r>
  </si>
  <si>
    <r>
      <t xml:space="preserve">"interseção de duas vias em nível"
</t>
    </r>
    <r>
      <rPr>
        <b/>
        <sz val="10"/>
        <color theme="1"/>
        <rFont val="Times New Roman"/>
        <family val="1"/>
      </rPr>
      <t>obs.:</t>
    </r>
    <r>
      <rPr>
        <sz val="10"/>
        <color theme="1"/>
        <rFont val="Times New Roman"/>
        <family val="1"/>
      </rPr>
      <t xml:space="preserve"> conforme BRASIL (1997a/Anexo I)</t>
    </r>
  </si>
  <si>
    <t>automóvel</t>
  </si>
  <si>
    <t>ciclomotor</t>
  </si>
  <si>
    <r>
      <t xml:space="preserve">"veículo de duas ou três rodas, provido de um motor de combustão interna, cuja cilindrada
não exceda a cinqüenta centímetros cúbicos (3,05 polegadas cúbicas) e cuja velocidade máxima de fabricação não exceda a cinqüenta quilômetros por hora"
</t>
    </r>
    <r>
      <rPr>
        <b/>
        <sz val="10"/>
        <rFont val="Times New Roman"/>
        <family val="1"/>
      </rPr>
      <t xml:space="preserve">obs.: </t>
    </r>
    <r>
      <rPr>
        <sz val="10"/>
        <rFont val="Times New Roman"/>
        <family val="1"/>
      </rPr>
      <t>conforme BRASIL/1997a/Anexo I)</t>
    </r>
  </si>
  <si>
    <t>motocicleta</t>
  </si>
  <si>
    <t>motoneta</t>
  </si>
  <si>
    <r>
      <t xml:space="preserve">"veículo automotor de duas rodas, com ou sem side-car, dirigido por condutor em posição
montada"
</t>
    </r>
    <r>
      <rPr>
        <b/>
        <sz val="10"/>
        <color theme="1"/>
        <rFont val="Times New Roman"/>
        <family val="1"/>
      </rPr>
      <t xml:space="preserve">obs.: </t>
    </r>
    <r>
      <rPr>
        <sz val="10"/>
        <color theme="1"/>
        <rFont val="Times New Roman"/>
        <family val="1"/>
      </rPr>
      <t>conforme BRASIL (1990a/Anexo I)</t>
    </r>
  </si>
  <si>
    <r>
      <t xml:space="preserve">"veículo automotor de duas rodas, dirigido por condutor em posição sentada"
</t>
    </r>
    <r>
      <rPr>
        <b/>
        <sz val="10"/>
        <color theme="1"/>
        <rFont val="Times New Roman"/>
        <family val="1"/>
      </rPr>
      <t xml:space="preserve">obs.: </t>
    </r>
    <r>
      <rPr>
        <sz val="10"/>
        <color theme="1"/>
        <rFont val="Times New Roman"/>
        <family val="1"/>
      </rPr>
      <t>conforme BRASIL (1990a/Anexo I)</t>
    </r>
  </si>
  <si>
    <r>
      <rPr>
        <b/>
        <sz val="12"/>
        <color theme="1"/>
        <rFont val="Times New Roman"/>
        <family val="1"/>
      </rPr>
      <t>BRASIL(1991a):</t>
    </r>
    <r>
      <rPr>
        <sz val="12"/>
        <color theme="1"/>
        <rFont val="Times New Roman"/>
        <family val="1"/>
      </rPr>
      <t xml:space="preserve"> BRASIL. </t>
    </r>
    <r>
      <rPr>
        <i/>
        <sz val="12"/>
        <color theme="1"/>
        <rFont val="Times New Roman"/>
        <family val="1"/>
      </rPr>
      <t>Lei n.º 8.313/1991, de 24 de julho de 1991</t>
    </r>
    <r>
      <rPr>
        <sz val="12"/>
        <color theme="1"/>
        <rFont val="Times New Roman"/>
        <family val="1"/>
      </rPr>
      <t>. Dispõe sobre os Planos de Benefícios da Previdência Social e dá outras providências. Versão consolidada disponível em: &lt;http://www.planalto.gov.br/ccivil_03/leis/L8213cons.htm&gt;. Acesso em 20 jan. 2016.</t>
    </r>
  </si>
  <si>
    <r>
      <rPr>
        <b/>
        <sz val="12"/>
        <color theme="1"/>
        <rFont val="Times New Roman"/>
        <family val="1"/>
      </rPr>
      <t xml:space="preserve">BRASIL(2000a): </t>
    </r>
    <r>
      <rPr>
        <sz val="12"/>
        <color theme="1"/>
        <rFont val="Times New Roman"/>
        <family val="1"/>
      </rPr>
      <t xml:space="preserve">BRASIL. </t>
    </r>
    <r>
      <rPr>
        <i/>
        <sz val="12"/>
        <color theme="1"/>
        <rFont val="Times New Roman"/>
        <family val="1"/>
      </rPr>
      <t>Lei n.º 10.098/2000, de 19 de dezembro de 2000</t>
    </r>
    <r>
      <rPr>
        <sz val="12"/>
        <color theme="1"/>
        <rFont val="Times New Roman"/>
        <family val="1"/>
      </rPr>
      <t>. Estabelece normas gerais e critérios básicos para a promoção da acessibilidade das pessoas portadoras de deficiência ou com mobilidade reduzida, e dá outras providências. Versão consolidada disponível em: &lt;http://www.planalto.gov.br/ccivil_03/LEIS/L10098.htm&gt;. Acesso em 20 jan. 2016.</t>
    </r>
  </si>
  <si>
    <r>
      <rPr>
        <b/>
        <sz val="12"/>
        <color theme="1"/>
        <rFont val="Times New Roman"/>
        <family val="1"/>
      </rPr>
      <t>BRASIL(2003a):</t>
    </r>
    <r>
      <rPr>
        <sz val="12"/>
        <color theme="1"/>
        <rFont val="Times New Roman"/>
        <family val="1"/>
      </rPr>
      <t xml:space="preserve"> BRASIL. </t>
    </r>
    <r>
      <rPr>
        <i/>
        <sz val="12"/>
        <color theme="1"/>
        <rFont val="Times New Roman"/>
        <family val="1"/>
      </rPr>
      <t>Lei n.º 10.741/2003, de 1º de outubro de 2003</t>
    </r>
    <r>
      <rPr>
        <sz val="12"/>
        <color theme="1"/>
        <rFont val="Times New Roman"/>
        <family val="1"/>
      </rPr>
      <t>. Dispõe sobre o Estatuto do Idoso e dá outras providências. Versão consolidada disponível em: &lt;http://www.planalto.gov.br/ccivil_03/leis/2003/L10.741.htm&gt;. Acesso em: 20 jan. 2016.</t>
    </r>
  </si>
  <si>
    <r>
      <rPr>
        <b/>
        <sz val="12"/>
        <color theme="1"/>
        <rFont val="Times New Roman"/>
        <family val="1"/>
      </rPr>
      <t xml:space="preserve">CNI(2011): </t>
    </r>
    <r>
      <rPr>
        <sz val="12"/>
        <color theme="1"/>
        <rFont val="Times New Roman"/>
        <family val="1"/>
      </rPr>
      <t xml:space="preserve">CONFEDERAÇÃO NACIONAL DA INDÚSTRIA - CNI. </t>
    </r>
    <r>
      <rPr>
        <i/>
        <sz val="12"/>
        <color theme="1"/>
        <rFont val="Times New Roman"/>
        <family val="1"/>
      </rPr>
      <t>Pesquisa CNI-IBOPE - Retratos da sociedade brasileira</t>
    </r>
    <r>
      <rPr>
        <sz val="12"/>
        <color theme="1"/>
        <rFont val="Times New Roman"/>
        <family val="1"/>
      </rPr>
      <t>: locomoção urbana. Brasília, agosto 2011. 51p. p.12,13.</t>
    </r>
  </si>
  <si>
    <r>
      <rPr>
        <b/>
        <sz val="12"/>
        <color theme="1"/>
        <rFont val="Times New Roman"/>
        <family val="1"/>
      </rPr>
      <t xml:space="preserve">DOXA(2015): </t>
    </r>
    <r>
      <rPr>
        <sz val="12"/>
        <color theme="1"/>
        <rFont val="Times New Roman"/>
        <family val="1"/>
      </rPr>
      <t xml:space="preserve">DOXA INSTITUTO DE PESQUISA. </t>
    </r>
    <r>
      <rPr>
        <i/>
        <sz val="12"/>
        <color theme="1"/>
        <rFont val="Times New Roman"/>
        <family val="1"/>
      </rPr>
      <t>Pesquisa quantitativa BHTRANS - maio/2015</t>
    </r>
    <r>
      <rPr>
        <sz val="12"/>
        <color theme="1"/>
        <rFont val="Times New Roman"/>
        <family val="1"/>
      </rPr>
      <t>. Belo Horizonte, [2015]. 211p. [p.29(trânsito), p.32(transporte coletivo)]</t>
    </r>
  </si>
  <si>
    <r>
      <rPr>
        <b/>
        <sz val="12"/>
        <color theme="1"/>
        <rFont val="Times New Roman"/>
        <family val="1"/>
      </rPr>
      <t xml:space="preserve">DOXA(2013): </t>
    </r>
    <r>
      <rPr>
        <sz val="12"/>
        <color theme="1"/>
        <rFont val="Times New Roman"/>
        <family val="1"/>
      </rPr>
      <t xml:space="preserve">DOXA INSTITUTO DE PESQUISA. </t>
    </r>
    <r>
      <rPr>
        <i/>
        <sz val="12"/>
        <color theme="1"/>
        <rFont val="Times New Roman"/>
        <family val="1"/>
      </rPr>
      <t>Pesquisa quantitativa BHTRANS - agosto/2013</t>
    </r>
    <r>
      <rPr>
        <sz val="12"/>
        <color theme="1"/>
        <rFont val="Times New Roman"/>
        <family val="1"/>
      </rPr>
      <t>. Belo Horizonte, [2013]. 305p. [p.13 (administração da BHTrans no trânsito e no transporte coletivo), p.28 (geral do trabalho da BHTrans), p.115 (transporte coletivo), p.237 (trânsito)]</t>
    </r>
  </si>
  <si>
    <r>
      <rPr>
        <b/>
        <sz val="12"/>
        <rFont val="Times New Roman"/>
        <family val="1"/>
      </rPr>
      <t>BRASIL(2015a):</t>
    </r>
    <r>
      <rPr>
        <sz val="12"/>
        <rFont val="Times New Roman"/>
        <family val="1"/>
      </rPr>
      <t xml:space="preserve"> BRASIL. </t>
    </r>
    <r>
      <rPr>
        <i/>
        <sz val="12"/>
        <rFont val="Times New Roman"/>
        <family val="1"/>
      </rPr>
      <t>Lei n.º 13.146, de 6 de julho de 2015</t>
    </r>
    <r>
      <rPr>
        <sz val="12"/>
        <rFont val="Times New Roman"/>
        <family val="1"/>
      </rPr>
      <t>. Institui a Lei Brasileira de Inclusão da Pessoa com Deficiência (Estatuto da Pessoa com Deficiência). Versão consolidada disponível em: &lt;http://www.planalto.gov.br/ccivil_03/_Ato2015-2018/2015/Lei/L13146.htm&gt;. Acesso em: 20 jan. 2016.</t>
    </r>
  </si>
  <si>
    <r>
      <t xml:space="preserve">IBGE(2010): </t>
    </r>
    <r>
      <rPr>
        <sz val="12"/>
        <rFont val="Times New Roman"/>
        <family val="1"/>
      </rPr>
      <t xml:space="preserve">INSTITUTO BRASILEIRO DE GEOGRAFIA E ESTATÌSTICA - IBGE. </t>
    </r>
    <r>
      <rPr>
        <i/>
        <sz val="12"/>
        <rFont val="Times New Roman"/>
        <family val="1"/>
      </rPr>
      <t>Censo Demográfico 2010. Tabela 2.1.17 - População[...],  segundo os municípios - Minas Gerais - 2010</t>
    </r>
    <r>
      <rPr>
        <sz val="12"/>
        <rFont val="Times New Roman"/>
        <family val="1"/>
      </rPr>
      <t xml:space="preserve"> (com seleção de municípios da RMBH). Brasília: IBGE, [2010]. Disponível em: &lt;http://www.ibge.gov.br/home/estatistica/populacao/censo2010/tabelas_pdf/Minas_gerais.pdf&gt;. Acesso em: 20 jun. 2014.</t>
    </r>
  </si>
  <si>
    <r>
      <rPr>
        <b/>
        <sz val="12"/>
        <color theme="1"/>
        <rFont val="Times New Roman"/>
        <family val="1"/>
      </rPr>
      <t>BH(2012c):</t>
    </r>
    <r>
      <rPr>
        <sz val="12"/>
        <color theme="1"/>
        <rFont val="Times New Roman"/>
        <family val="1"/>
      </rPr>
      <t xml:space="preserve"> BELO HORIZONTE. Prefeitura. Prefeitura. </t>
    </r>
    <r>
      <rPr>
        <i/>
        <sz val="12"/>
        <color theme="1"/>
        <rFont val="Times New Roman"/>
        <family val="1"/>
      </rPr>
      <t>Decreto n.º 14.794/2012, de 09 de janeiro de 2012</t>
    </r>
    <r>
      <rPr>
        <sz val="12"/>
        <color theme="1"/>
        <rFont val="Times New Roman"/>
        <family val="1"/>
      </rPr>
      <t>. Promove a Política Municipal de Mitigação dos efeitos da mudança climática por meio do Plano Municipal de Redução das emissões de gases de efeito estufa. Considerandos.</t>
    </r>
  </si>
  <si>
    <t>em 2012 = 5,00</t>
  </si>
  <si>
    <t>DM
coletivos em motorizados
(meta)</t>
  </si>
  <si>
    <r>
      <t>Gráficos 91h/j - Comparação de indicadores de acidentes de trânsito relativos a mortos até 30 dias relativizados com população e com frota de Belo Horizonte (2011 a 2013) e de São Paulo (200</t>
    </r>
    <r>
      <rPr>
        <b/>
        <sz val="11"/>
        <rFont val="Times New Roman"/>
        <family val="1"/>
      </rPr>
      <t>9 a 2014</t>
    </r>
    <r>
      <rPr>
        <b/>
        <sz val="11"/>
        <color theme="1"/>
        <rFont val="Times New Roman"/>
        <family val="1"/>
      </rPr>
      <t>)</t>
    </r>
  </si>
  <si>
    <t>Brasília</t>
  </si>
  <si>
    <t>Fortaleza</t>
  </si>
  <si>
    <t>Manaus</t>
  </si>
  <si>
    <t>Porto Alegre</t>
  </si>
  <si>
    <t>Recife</t>
  </si>
  <si>
    <t>São Paulo</t>
  </si>
  <si>
    <r>
      <rPr>
        <b/>
        <sz val="12"/>
        <rFont val="Times New Roman"/>
        <family val="1"/>
      </rPr>
      <t>CNM(2009):</t>
    </r>
    <r>
      <rPr>
        <sz val="12"/>
        <rFont val="Times New Roman"/>
        <family val="1"/>
      </rPr>
      <t xml:space="preserve"> CONFEDERAÇÃO NACIONAL DOS MUNICÍPIOS - CNM. </t>
    </r>
    <r>
      <rPr>
        <i/>
        <sz val="12"/>
        <rFont val="Times New Roman"/>
        <family val="1"/>
      </rPr>
      <t>Mapeamento das mortes por acidentes de trânsito no Brasil</t>
    </r>
    <r>
      <rPr>
        <sz val="12"/>
        <rFont val="Times New Roman"/>
        <family val="1"/>
      </rPr>
      <t>. Brasília, 14 de dezembro de 2009. 22p.</t>
    </r>
  </si>
  <si>
    <t>(M amplo / P ) x 100.000</t>
  </si>
  <si>
    <t>M-DataSus
(BH)</t>
  </si>
  <si>
    <r>
      <rPr>
        <b/>
        <sz val="12"/>
        <color theme="1"/>
        <rFont val="Times New Roman"/>
        <family val="1"/>
      </rPr>
      <t>ROMÃO(2011):</t>
    </r>
    <r>
      <rPr>
        <sz val="12"/>
        <color theme="1"/>
        <rFont val="Times New Roman"/>
        <family val="1"/>
      </rPr>
      <t xml:space="preserve"> ROMÃO, Magaly Natália Pazzian Vasconcellos; CAMPOS, Cintia Isabel de. Análise comparativa dos bancos de dados disponíveis no Brasil sobre vítimas fatais em acidentes de trânsito. In: CONGRESSO BRASILEIRO DE TRANSPORTE E TRÂNSITO, XVIII, 2011, Rio de Janeiro. </t>
    </r>
    <r>
      <rPr>
        <i/>
        <sz val="12"/>
        <color theme="1"/>
        <rFont val="Times New Roman"/>
        <family val="1"/>
      </rPr>
      <t xml:space="preserve">Anais... </t>
    </r>
    <r>
      <rPr>
        <sz val="12"/>
        <color theme="1"/>
        <rFont val="Times New Roman"/>
        <family val="1"/>
      </rPr>
      <t>p.884-891.</t>
    </r>
  </si>
  <si>
    <t>M-DataSus por 100 mil habitantes
(Brasília)</t>
  </si>
  <si>
    <t>M-DataSus por 100 mil habitantes
(Curitiba)</t>
  </si>
  <si>
    <t>M-DataSus por 100 mil habitantes
(Fortaleza)</t>
  </si>
  <si>
    <t>M-DataSus por 100 mil habitantes
(Manaus)</t>
  </si>
  <si>
    <t>M-DataSus por 100 mil habitantes
(Porto Alegre)</t>
  </si>
  <si>
    <t>M-DataSus por 100 mil habitantes
(Recife)</t>
  </si>
  <si>
    <t>M-DataSus por 100 mil habitantes
(Rio de Janeiro)</t>
  </si>
  <si>
    <t>M-DataSus por 100 mil habitantes
(Salvador)</t>
  </si>
  <si>
    <t>M-DataSus por 100 mil habitantes
(São Paulo)</t>
  </si>
  <si>
    <r>
      <t xml:space="preserve">n.º de mortos  por 100 mil habitantes em acidentes de trânsito em Brasília segundo o DataSus
</t>
    </r>
    <r>
      <rPr>
        <b/>
        <sz val="10"/>
        <rFont val="Times New Roman"/>
        <family val="1"/>
      </rPr>
      <t>obs.1:</t>
    </r>
    <r>
      <rPr>
        <sz val="10"/>
        <rFont val="Times New Roman"/>
        <family val="1"/>
      </rPr>
      <t xml:space="preserve"> são diferentes as metodologias de apuração e os resultados dos indicadores "M", "M30" e "MDataSus"
</t>
    </r>
    <r>
      <rPr>
        <b/>
        <sz val="10"/>
        <rFont val="Times New Roman"/>
        <family val="1"/>
      </rPr>
      <t xml:space="preserve">obs.2: </t>
    </r>
    <r>
      <rPr>
        <sz val="10"/>
        <rFont val="Times New Roman"/>
        <family val="1"/>
      </rPr>
      <t>a fonte consultada apresenta os resultados das dez cidades brasileiras mais populosas (AMBEV, 2015, p.44)</t>
    </r>
  </si>
  <si>
    <r>
      <t xml:space="preserve">n.º de mortos  por 100 mil habitantes em acidentes de trânsito em Curitiba segundo o DataSus
</t>
    </r>
    <r>
      <rPr>
        <b/>
        <sz val="10"/>
        <rFont val="Times New Roman"/>
        <family val="1"/>
      </rPr>
      <t>obs.1:</t>
    </r>
    <r>
      <rPr>
        <sz val="10"/>
        <rFont val="Times New Roman"/>
        <family val="1"/>
      </rPr>
      <t xml:space="preserve"> são diferentes as metodologias de apuração e os resultados dos indicadores "M", "M30" e "MDataSus"
</t>
    </r>
    <r>
      <rPr>
        <b/>
        <sz val="10"/>
        <rFont val="Times New Roman"/>
        <family val="1"/>
      </rPr>
      <t xml:space="preserve">obs.2: </t>
    </r>
    <r>
      <rPr>
        <sz val="10"/>
        <rFont val="Times New Roman"/>
        <family val="1"/>
      </rPr>
      <t>a fonte consultada apresenta os resultados das dez cidades brasileiras mais populosas (AMBEV, 2015, p.44)</t>
    </r>
  </si>
  <si>
    <r>
      <t xml:space="preserve">n.º de mortos  por 100 mil habitantes em acidentes de trânsito em Fortaleza segundo o DataSus
</t>
    </r>
    <r>
      <rPr>
        <b/>
        <sz val="10"/>
        <rFont val="Times New Roman"/>
        <family val="1"/>
      </rPr>
      <t>obs.1:</t>
    </r>
    <r>
      <rPr>
        <sz val="10"/>
        <rFont val="Times New Roman"/>
        <family val="1"/>
      </rPr>
      <t xml:space="preserve"> são diferentes as metodologias de apuração e os resultados dos indicadores "M", "M30" e "MDataSus"
</t>
    </r>
    <r>
      <rPr>
        <b/>
        <sz val="10"/>
        <rFont val="Times New Roman"/>
        <family val="1"/>
      </rPr>
      <t xml:space="preserve">obs.2: </t>
    </r>
    <r>
      <rPr>
        <sz val="10"/>
        <rFont val="Times New Roman"/>
        <family val="1"/>
      </rPr>
      <t>a fonte consultada apresenta os resultados das dez cidades brasileiras mais populosas (AMBEV, 2015, p.44)</t>
    </r>
  </si>
  <si>
    <r>
      <t xml:space="preserve">n.º de mortos  por 100 mil habitantes em acidentes de trânsito em Manaus segundo o DataSus
</t>
    </r>
    <r>
      <rPr>
        <b/>
        <sz val="10"/>
        <rFont val="Times New Roman"/>
        <family val="1"/>
      </rPr>
      <t>obs.1:</t>
    </r>
    <r>
      <rPr>
        <sz val="10"/>
        <rFont val="Times New Roman"/>
        <family val="1"/>
      </rPr>
      <t xml:space="preserve"> são diferentes as metodologias de apuração e os resultados dos indicadores "M", "M30" e "MDataSus"
</t>
    </r>
    <r>
      <rPr>
        <b/>
        <sz val="10"/>
        <rFont val="Times New Roman"/>
        <family val="1"/>
      </rPr>
      <t xml:space="preserve">obs.2: </t>
    </r>
    <r>
      <rPr>
        <sz val="10"/>
        <rFont val="Times New Roman"/>
        <family val="1"/>
      </rPr>
      <t>a fonte consultada apresenta os resultados das dez cidades brasileiras mais populosas (AMBEV, 2015, p.44)</t>
    </r>
  </si>
  <si>
    <r>
      <t xml:space="preserve">n.º de mortos  por 100 mil habitantes em acidentes de trânsito em Porto Alegre segundo o DataSus
</t>
    </r>
    <r>
      <rPr>
        <b/>
        <sz val="10"/>
        <rFont val="Times New Roman"/>
        <family val="1"/>
      </rPr>
      <t>obs.1:</t>
    </r>
    <r>
      <rPr>
        <sz val="10"/>
        <rFont val="Times New Roman"/>
        <family val="1"/>
      </rPr>
      <t xml:space="preserve"> são diferentes as metodologias de apuração e os resultados dos indicadores "M", "M30" e "MDataSus"
</t>
    </r>
    <r>
      <rPr>
        <b/>
        <sz val="10"/>
        <rFont val="Times New Roman"/>
        <family val="1"/>
      </rPr>
      <t xml:space="preserve">obs.2: </t>
    </r>
    <r>
      <rPr>
        <sz val="10"/>
        <rFont val="Times New Roman"/>
        <family val="1"/>
      </rPr>
      <t>a fonte consultada apresenta os resultados das dez cidades brasileiras mais populosas (AMBEV, 2015, p.44)</t>
    </r>
  </si>
  <si>
    <r>
      <t xml:space="preserve">n.º de mortos  por 100 mil habitantes em acidentes de trânsito em Recife segundo o DataSus
</t>
    </r>
    <r>
      <rPr>
        <b/>
        <sz val="10"/>
        <rFont val="Times New Roman"/>
        <family val="1"/>
      </rPr>
      <t>obs.1:</t>
    </r>
    <r>
      <rPr>
        <sz val="10"/>
        <rFont val="Times New Roman"/>
        <family val="1"/>
      </rPr>
      <t xml:space="preserve"> são diferentes as metodologias de apuração e os resultados dos indicadores "M", "M30" e "MDataSus"
</t>
    </r>
    <r>
      <rPr>
        <b/>
        <sz val="10"/>
        <rFont val="Times New Roman"/>
        <family val="1"/>
      </rPr>
      <t xml:space="preserve">obs.2: </t>
    </r>
    <r>
      <rPr>
        <sz val="10"/>
        <rFont val="Times New Roman"/>
        <family val="1"/>
      </rPr>
      <t>a fonte consultada apresenta os resultados das dez cidades brasileiras mais populosas (AMBEV, 2015, p.44)</t>
    </r>
  </si>
  <si>
    <r>
      <t xml:space="preserve">n.º de mortos  por 100 mil habitantes em acidentes de trânsito em Rio de Janeiro segundo o DataSus
</t>
    </r>
    <r>
      <rPr>
        <b/>
        <sz val="10"/>
        <rFont val="Times New Roman"/>
        <family val="1"/>
      </rPr>
      <t>obs.1:</t>
    </r>
    <r>
      <rPr>
        <sz val="10"/>
        <rFont val="Times New Roman"/>
        <family val="1"/>
      </rPr>
      <t xml:space="preserve"> são diferentes as metodologias de apuração e os resultados dos indicadores "M", "M30" e "MDataSus"
</t>
    </r>
    <r>
      <rPr>
        <b/>
        <sz val="10"/>
        <rFont val="Times New Roman"/>
        <family val="1"/>
      </rPr>
      <t xml:space="preserve">obs.2: </t>
    </r>
    <r>
      <rPr>
        <sz val="10"/>
        <rFont val="Times New Roman"/>
        <family val="1"/>
      </rPr>
      <t>a fonte consultada apresenta os resultados das dez cidades brasileiras mais populosas (AMBEV, 2015, p.44)</t>
    </r>
  </si>
  <si>
    <r>
      <t xml:space="preserve">n.º de mortos  por 100 mil habitantes em acidentes de trânsito em Salvador segundo o DataSus
</t>
    </r>
    <r>
      <rPr>
        <b/>
        <sz val="10"/>
        <rFont val="Times New Roman"/>
        <family val="1"/>
      </rPr>
      <t>obs.1:</t>
    </r>
    <r>
      <rPr>
        <sz val="10"/>
        <rFont val="Times New Roman"/>
        <family val="1"/>
      </rPr>
      <t xml:space="preserve"> são diferentes as metodologias de apuração e os resultados dos indicadores "M", "M30" e "MDataSus"
</t>
    </r>
    <r>
      <rPr>
        <b/>
        <sz val="10"/>
        <rFont val="Times New Roman"/>
        <family val="1"/>
      </rPr>
      <t xml:space="preserve">obs.2: </t>
    </r>
    <r>
      <rPr>
        <sz val="10"/>
        <rFont val="Times New Roman"/>
        <family val="1"/>
      </rPr>
      <t>a fonte consultada apresenta os resultados das dez cidades brasileiras mais populosas (AMBEV, 2015, p.44)</t>
    </r>
  </si>
  <si>
    <r>
      <t xml:space="preserve">n.º de mortos  por 100 mil habitantes em acidentes de trânsito em São Paulo segundo o DataSus
</t>
    </r>
    <r>
      <rPr>
        <b/>
        <sz val="10"/>
        <rFont val="Times New Roman"/>
        <family val="1"/>
      </rPr>
      <t>obs.1:</t>
    </r>
    <r>
      <rPr>
        <sz val="10"/>
        <rFont val="Times New Roman"/>
        <family val="1"/>
      </rPr>
      <t xml:space="preserve"> são diferentes as metodologias de apuração e os resultados dos indicadores "M", "M30" e "MDataSus"
</t>
    </r>
    <r>
      <rPr>
        <b/>
        <sz val="10"/>
        <rFont val="Times New Roman"/>
        <family val="1"/>
      </rPr>
      <t xml:space="preserve">obs.2: </t>
    </r>
    <r>
      <rPr>
        <sz val="10"/>
        <rFont val="Times New Roman"/>
        <family val="1"/>
      </rPr>
      <t>a fonte consultada apresenta os resultados das dez cidades brasileiras mais populosas (AMBEV, 2015, p.44)</t>
    </r>
  </si>
  <si>
    <t>Gráfico 91a - Evoluções de três indicadores de n.º de mortos em acidentes de trânsito em Belo Horizonte (1991 a 2014)</t>
  </si>
  <si>
    <t>Gráfico 91k - Evoluções do n.º de mortos e do n.º mortos por 100 mil habitantes em acidentes de trânsito em Belo Horizonte (2000 a 2012)</t>
  </si>
  <si>
    <t>Gráfico 91k - Comparação do n.º de mortos por 100 mil habitantes em acidentes de trânsito (DataSus) das dez cidades mais populosas do Brasil (2012)</t>
  </si>
  <si>
    <r>
      <t xml:space="preserve">M-DataSus = n.º de mortos em acidentes de trânsito em Belo Horizonte segundo o DataSus
</t>
    </r>
    <r>
      <rPr>
        <b/>
        <sz val="10"/>
        <color theme="1"/>
        <rFont val="Times New Roman"/>
        <family val="1"/>
      </rPr>
      <t xml:space="preserve">obs.1: </t>
    </r>
    <r>
      <rPr>
        <sz val="10"/>
        <color theme="1"/>
        <rFont val="Times New Roman"/>
        <family val="1"/>
      </rPr>
      <t xml:space="preserve">"O DATASUS é um departamento do Ministério da Saúde que fornece informações para subsidiar análises objetivas do cenário sanitário. O registro sistemático de dados de mortalidade e sobrevivência através de estatísticas vitais de mortalidade e nascidos vivos é responsável pelo início do sistema. A fonte de dados do DATASUS para informações sobre mortalidade é a declaração de óbito, um documento obrigatório que consta a causa mortis preenchida pelo profissional médico (salvo em alguns casos), informada ao sistema através do Código Internacional de Doenças – CID 10. As informações são digitadas no Sistema de Informação de Mortalidade – SIM, processadas e repassadas via web à unidade estadual e federal, que liberam para consulta através do portal eletrônico de tabulação, o TabNet (DATASUS, 2010; Ministério da Saúde, 2010)" (ROMÃO, 2011, p. 886)
</t>
    </r>
    <r>
      <rPr>
        <b/>
        <sz val="10"/>
        <color theme="1"/>
        <rFont val="Times New Roman"/>
        <family val="1"/>
      </rPr>
      <t xml:space="preserve">obs.2: </t>
    </r>
    <r>
      <rPr>
        <sz val="10"/>
        <color theme="1"/>
        <rFont val="Times New Roman"/>
        <family val="1"/>
      </rPr>
      <t>este indicador quantifica o n.º de pessoas que morrem no município pesquisado, vítima de um acidente de trânsito, mesmo que esse acidente ocorra fora dos limites do muncípio (são diferentes, portanto, as metodolodias de apuração e os resultados dos indicadores "M", "M30" e "M-DataSus")</t>
    </r>
  </si>
  <si>
    <r>
      <t xml:space="preserve">n.º de mortos em acidentes de trânsito por 10 mil veículos de Belo Horizonte vitimados no próprio local
</t>
    </r>
    <r>
      <rPr>
        <b/>
        <sz val="10"/>
        <color theme="1"/>
        <rFont val="Times New Roman"/>
        <family val="1"/>
      </rPr>
      <t xml:space="preserve">obs.1: </t>
    </r>
    <r>
      <rPr>
        <sz val="10"/>
        <color theme="1"/>
        <rFont val="Times New Roman"/>
        <family val="1"/>
      </rPr>
      <t xml:space="preserve">nos relatórios anuais de acidentes de trânsito da BHTrans este indicador é denominado "taxa de mortalidade por 10.000 veículos"; 
</t>
    </r>
    <r>
      <rPr>
        <b/>
        <sz val="10"/>
        <color theme="1"/>
        <rFont val="Times New Roman"/>
        <family val="1"/>
      </rPr>
      <t xml:space="preserve">obs.2: </t>
    </r>
    <r>
      <rPr>
        <sz val="10"/>
        <color theme="1"/>
        <rFont val="Times New Roman"/>
        <family val="1"/>
      </rPr>
      <t>este indicador é estratégico da BHTrans com o nome de "taxa de mortalidade em acidentes de trânsito por 10 mil veículos" (BHTRANS, 2015d)</t>
    </r>
  </si>
  <si>
    <t>n.º de mortos em acidentes de trânsito por mil acidentes com vítima de Belo Horizonte vitimados no próprio local
obs.: nos relatórios anuais de acidentes de trânsito da BHTrans este indicador é denominado "taxa de mortalidade por 1.000 acidentes"</t>
  </si>
  <si>
    <r>
      <t xml:space="preserve">n.º de mortos em acidentes de trânsito de Belo Horizonte vitimados no próprio local
</t>
    </r>
    <r>
      <rPr>
        <b/>
        <sz val="10"/>
        <rFont val="Times New Roman"/>
        <family val="1"/>
      </rPr>
      <t>obs.1:</t>
    </r>
    <r>
      <rPr>
        <sz val="10"/>
        <rFont val="Times New Roman"/>
        <family val="1"/>
      </rPr>
      <t xml:space="preserve"> nos relatórios anuais de acidentes de trânsito da BHTrans este indicador é denominado "vítimas fatais" 
</t>
    </r>
    <r>
      <rPr>
        <b/>
        <sz val="10"/>
        <rFont val="Times New Roman"/>
        <family val="1"/>
      </rPr>
      <t>obs.2:</t>
    </r>
    <r>
      <rPr>
        <sz val="10"/>
        <rFont val="Times New Roman"/>
        <family val="1"/>
      </rPr>
      <t xml:space="preserve"> esse indicador refere-se ao n.º de mortos até o momento da lavratura do Boletim de Ocorrência - B.O., que é tomado como sendo o n.º de mortos no local do acidente e é diferente de M30
</t>
    </r>
    <r>
      <rPr>
        <b/>
        <sz val="10"/>
        <rFont val="Times New Roman"/>
        <family val="1"/>
      </rPr>
      <t>obs.3:</t>
    </r>
    <r>
      <rPr>
        <sz val="10"/>
        <rFont val="Times New Roman"/>
        <family val="1"/>
      </rPr>
      <t xml:space="preserve"> é necessário apurar a descrição para melhor informar como a BHTrans apura os resultados desse indicador
</t>
    </r>
    <r>
      <rPr>
        <b/>
        <sz val="10"/>
        <rFont val="Times New Roman"/>
        <family val="1"/>
      </rPr>
      <t xml:space="preserve">obs.4: </t>
    </r>
    <r>
      <rPr>
        <sz val="10"/>
        <rFont val="Times New Roman"/>
        <family val="1"/>
      </rPr>
      <t>as fontes dos resultados aqui apresentados são os relatórios da BHTrans (2014d; 2015i) que, por sua vez, têm como fonte o sistema BH10 BHTrans - base de dados do Detran-MG</t>
    </r>
  </si>
  <si>
    <t>n.º de mortos por 10 mil veículos até 30 dias depois do acidente de trânsito acontecido em Belo Horizonte</t>
  </si>
  <si>
    <t>n.º de mortos por mil acidentes até 30 dias depois do acidente de trânsito acontecido em Belo Horizonte</t>
  </si>
  <si>
    <r>
      <t xml:space="preserve">n.º de mortos até 30 dias depois do acidente de trânsito acontecido em Belo Horizonte
resultados de 2001 a 2013 em BHTRANS (2014c)
</t>
    </r>
    <r>
      <rPr>
        <b/>
        <sz val="10"/>
        <rFont val="Times New Roman"/>
        <family val="1"/>
      </rPr>
      <t xml:space="preserve">obs.1: </t>
    </r>
    <r>
      <rPr>
        <sz val="10"/>
        <rFont val="Times New Roman"/>
        <family val="1"/>
      </rPr>
      <t xml:space="preserve">são diferentes as metodolodias de apuração dos indicadores "M", "M30" e "M -DataSus"
</t>
    </r>
    <r>
      <rPr>
        <b/>
        <sz val="10"/>
        <rFont val="Times New Roman"/>
        <family val="1"/>
      </rPr>
      <t>obs.2</t>
    </r>
    <r>
      <rPr>
        <sz val="10"/>
        <rFont val="Times New Roman"/>
        <family val="1"/>
      </rPr>
      <t>: é necessário apurar a descrição para melhor informar como a BHTrans apura os resultados deste indicador</t>
    </r>
  </si>
  <si>
    <t>Baldim</t>
  </si>
  <si>
    <t>Brumadinho</t>
  </si>
  <si>
    <t>Caeté</t>
  </si>
  <si>
    <t>Capim Branco</t>
  </si>
  <si>
    <t>Confins</t>
  </si>
  <si>
    <t>Esmeraldas</t>
  </si>
  <si>
    <t>Florestal</t>
  </si>
  <si>
    <t>Itaguara</t>
  </si>
  <si>
    <t>Itatiaiuçu</t>
  </si>
  <si>
    <t>Jaboticatubas</t>
  </si>
  <si>
    <t>Juatuba</t>
  </si>
  <si>
    <t>Lagoa Santa</t>
  </si>
  <si>
    <t>Mário Campos</t>
  </si>
  <si>
    <t>Mateus Leme</t>
  </si>
  <si>
    <t>Matozinhos</t>
  </si>
  <si>
    <t>Nova Lima</t>
  </si>
  <si>
    <t>Nova União</t>
  </si>
  <si>
    <t>Pedro Leopoldo</t>
  </si>
  <si>
    <t>Raposos</t>
  </si>
  <si>
    <t>Ribeirão das Neves</t>
  </si>
  <si>
    <t>Rio Acima</t>
  </si>
  <si>
    <t>Rio Manso</t>
  </si>
  <si>
    <t>Sabará</t>
  </si>
  <si>
    <t>Santa Luzia</t>
  </si>
  <si>
    <t>São Joaquim de Bicas</t>
  </si>
  <si>
    <t>São José da Lapa</t>
  </si>
  <si>
    <t>Sarzedo</t>
  </si>
  <si>
    <t>Taquaraçu de Minas</t>
  </si>
  <si>
    <t>Vespasiano</t>
  </si>
  <si>
    <t>Brasil</t>
  </si>
  <si>
    <t>Buenos Aires</t>
  </si>
  <si>
    <t>Londres</t>
  </si>
  <si>
    <t>Nova York</t>
  </si>
  <si>
    <t>Lisboa</t>
  </si>
  <si>
    <t>Bogotá</t>
  </si>
  <si>
    <t>Montevidéu</t>
  </si>
  <si>
    <t>Campinas</t>
  </si>
  <si>
    <t>Vitória</t>
  </si>
  <si>
    <t>Jaú</t>
  </si>
  <si>
    <t>Sorocaba</t>
  </si>
  <si>
    <r>
      <t>área do município (expressa em km</t>
    </r>
    <r>
      <rPr>
        <vertAlign val="superscript"/>
        <sz val="10"/>
        <rFont val="Times New Roman"/>
        <family val="1"/>
      </rPr>
      <t>2</t>
    </r>
    <r>
      <rPr>
        <sz val="10"/>
        <rFont val="Times New Roman"/>
        <family val="1"/>
      </rPr>
      <t xml:space="preserve">) utilizada para calcular a densidade demográfica
</t>
    </r>
    <r>
      <rPr>
        <b/>
        <sz val="10"/>
        <rFont val="Times New Roman"/>
        <family val="1"/>
      </rPr>
      <t xml:space="preserve">obs.: </t>
    </r>
    <r>
      <rPr>
        <sz val="10"/>
        <rFont val="Times New Roman"/>
        <family val="1"/>
      </rPr>
      <t>resultado de 2010 em IBGE (2010)</t>
    </r>
  </si>
  <si>
    <t>BH e RMBH</t>
  </si>
  <si>
    <r>
      <rPr>
        <b/>
        <sz val="12"/>
        <color theme="1"/>
        <rFont val="Times New Roman"/>
        <family val="1"/>
      </rPr>
      <t xml:space="preserve">LISBOA(2015a): </t>
    </r>
    <r>
      <rPr>
        <sz val="12"/>
        <color theme="1"/>
        <rFont val="Times New Roman"/>
        <family val="1"/>
      </rPr>
      <t>LISBOA HORIZONTAL.</t>
    </r>
    <r>
      <rPr>
        <i/>
        <sz val="12"/>
        <color theme="1"/>
        <rFont val="Times New Roman"/>
        <family val="1"/>
      </rPr>
      <t xml:space="preserve"> Lisboa horizontal?</t>
    </r>
    <r>
      <rPr>
        <sz val="12"/>
        <color theme="1"/>
        <rFont val="Times New Roman"/>
        <family val="1"/>
      </rPr>
      <t xml:space="preserve"> Lisboa, 2015. Disponível em: &lt;http://lisboahorizontal.pt/proposta/&gt;. Acesso em: 20 out. 2015.</t>
    </r>
  </si>
  <si>
    <t>EV ac</t>
  </si>
  <si>
    <t>EV ac / EV</t>
  </si>
  <si>
    <t>EV</t>
  </si>
  <si>
    <t>EV b
(meta)</t>
  </si>
  <si>
    <t>EV tc ligação regional</t>
  </si>
  <si>
    <r>
      <rPr>
        <b/>
        <sz val="12"/>
        <color theme="1"/>
        <rFont val="Times New Roman"/>
        <family val="1"/>
      </rPr>
      <t xml:space="preserve">IPEA(2011): </t>
    </r>
    <r>
      <rPr>
        <sz val="12"/>
        <color theme="1"/>
        <rFont val="Times New Roman"/>
        <family val="1"/>
      </rPr>
      <t xml:space="preserve">INSTITUTO DE PESQUISA ECONÔMICA APLICADA - IPEA. </t>
    </r>
    <r>
      <rPr>
        <i/>
        <sz val="12"/>
        <color theme="1"/>
        <rFont val="Times New Roman"/>
        <family val="1"/>
      </rPr>
      <t>SIPS - Sistema de indicadores de percepção social</t>
    </r>
    <r>
      <rPr>
        <sz val="12"/>
        <color theme="1"/>
        <rFont val="Times New Roman"/>
        <family val="1"/>
      </rPr>
      <t>: mobilidade urbana. Brasília: Ipea, 24 de janeiro de 2011. 22p.</t>
    </r>
  </si>
  <si>
    <r>
      <rPr>
        <b/>
        <sz val="12"/>
        <color theme="1"/>
        <rFont val="Times New Roman"/>
        <family val="1"/>
      </rPr>
      <t xml:space="preserve">IPEA(2012): </t>
    </r>
    <r>
      <rPr>
        <sz val="12"/>
        <color theme="1"/>
        <rFont val="Times New Roman"/>
        <family val="1"/>
      </rPr>
      <t xml:space="preserve">INSTITUTO DE PESQUISA ECONÔMICA APLICADA - IPEA. </t>
    </r>
    <r>
      <rPr>
        <i/>
        <sz val="12"/>
        <color theme="1"/>
        <rFont val="Times New Roman"/>
        <family val="1"/>
      </rPr>
      <t>SIPS - Sistema de indicadores de percepção social</t>
    </r>
    <r>
      <rPr>
        <sz val="12"/>
        <color theme="1"/>
        <rFont val="Times New Roman"/>
        <family val="1"/>
      </rPr>
      <t>: mobilidade urbana 2ª edição - análise preliminar dos dados coletados em 2011. Brasília: Ipea, 19 de janeiro de 2012. 12p.</t>
    </r>
  </si>
  <si>
    <r>
      <t xml:space="preserve">participação percentual do transporte público de pessoas na distribuição modal da região Centro-Oeste do Brasil com base em pesquisa de opinião do Instituto de Pesquisa Econômica Aplicada
</t>
    </r>
    <r>
      <rPr>
        <b/>
        <sz val="10"/>
        <color theme="1"/>
        <rFont val="Times New Roman"/>
        <family val="1"/>
      </rPr>
      <t>obs.:</t>
    </r>
    <r>
      <rPr>
        <sz val="10"/>
        <color theme="1"/>
        <rFont val="Times New Roman"/>
        <family val="1"/>
      </rPr>
      <t xml:space="preserve"> resultado de 2010 em IPEA (2011, p.4/Tabela 1)</t>
    </r>
  </si>
  <si>
    <r>
      <t xml:space="preserve">participação percentual do transporte público de pessoas na distribuição modal da região Nordeste do Brasil com base em pesquisa de opinião do Instituto de Pesquisa Econômica Aplicada
</t>
    </r>
    <r>
      <rPr>
        <b/>
        <sz val="10"/>
        <color theme="1"/>
        <rFont val="Times New Roman"/>
        <family val="1"/>
      </rPr>
      <t xml:space="preserve">obs.: </t>
    </r>
    <r>
      <rPr>
        <sz val="10"/>
        <color theme="1"/>
        <rFont val="Times New Roman"/>
        <family val="1"/>
      </rPr>
      <t>resultado de 2010 em IPEA (2011, p.4/Tabela 1)</t>
    </r>
  </si>
  <si>
    <r>
      <t xml:space="preserve">participação percentual do transporte público de pessoas na distribuição modal da região Norte do Brasil com base em pesquisa de opinião do Instituto de Pesquisa Econômica Aplicada 
</t>
    </r>
    <r>
      <rPr>
        <b/>
        <sz val="10"/>
        <color theme="1"/>
        <rFont val="Times New Roman"/>
        <family val="1"/>
      </rPr>
      <t xml:space="preserve">obs.: </t>
    </r>
    <r>
      <rPr>
        <sz val="10"/>
        <color theme="1"/>
        <rFont val="Times New Roman"/>
        <family val="1"/>
      </rPr>
      <t>resultado de 2010 em IPEA (2011, p.4/Tabela 1)</t>
    </r>
  </si>
  <si>
    <r>
      <t xml:space="preserve">participação percentual do transporte público de pessoas na distribuição modal da região Sudeste do Brasil com base em pesquisa de opinião do Instituto de Pesquisa Econômica Aplicada 
</t>
    </r>
    <r>
      <rPr>
        <b/>
        <sz val="10"/>
        <color theme="1"/>
        <rFont val="Times New Roman"/>
        <family val="1"/>
      </rPr>
      <t xml:space="preserve">obs.: </t>
    </r>
    <r>
      <rPr>
        <sz val="10"/>
        <color theme="1"/>
        <rFont val="Times New Roman"/>
        <family val="1"/>
      </rPr>
      <t>resultado de 2010 em IPEA (2011, p.4/Tabela 1)</t>
    </r>
  </si>
  <si>
    <r>
      <t xml:space="preserve">participação percentual do transporte público de pessoas na distribuição modal da região Sul do Brasil com base em pesquisa de opinião do Instituto de Pesquisa Econômica Aplicada
</t>
    </r>
    <r>
      <rPr>
        <b/>
        <sz val="10"/>
        <color theme="1"/>
        <rFont val="Times New Roman"/>
        <family val="1"/>
      </rPr>
      <t xml:space="preserve">obs.: </t>
    </r>
    <r>
      <rPr>
        <sz val="10"/>
        <color theme="1"/>
        <rFont val="Times New Roman"/>
        <family val="1"/>
      </rPr>
      <t>resultado de 2010 em IPEA (2011, p.4/Tabela 1)</t>
    </r>
  </si>
  <si>
    <r>
      <t xml:space="preserve">participação percentual do transporte público de pessoas na distribuição modal do Brasil com base em pesquisa de opinião do Instituto de Pesquisa Econômica Aplicada - Ipea
</t>
    </r>
    <r>
      <rPr>
        <b/>
        <sz val="10"/>
        <color theme="1"/>
        <rFont val="Times New Roman"/>
        <family val="1"/>
      </rPr>
      <t xml:space="preserve">obs.1: </t>
    </r>
    <r>
      <rPr>
        <sz val="10"/>
        <color theme="1"/>
        <rFont val="Times New Roman"/>
        <family val="1"/>
      </rPr>
      <t xml:space="preserve">resultado de 2010 em IPEA (2011, p.4/Tabela 1)
</t>
    </r>
    <r>
      <rPr>
        <b/>
        <sz val="10"/>
        <color theme="1"/>
        <rFont val="Times New Roman"/>
        <family val="1"/>
      </rPr>
      <t>obs.2:</t>
    </r>
    <r>
      <rPr>
        <sz val="10"/>
        <color theme="1"/>
        <rFont val="Times New Roman"/>
        <family val="1"/>
      </rPr>
      <t xml:space="preserve"> a pergunta formulada pelo Ipea na pesquisa de abrangência nacional aplicada em 2010 foi: "Qual [o] meio de transporte que você mais usa para se locomover em sua cidade?"</t>
    </r>
  </si>
  <si>
    <r>
      <t xml:space="preserve">percentual de avaliação muito bom/bom do transporte público em cidades brasileiras com população acima de 100 mil habitantes segundo o Instituto de Pesquisa Econômica Aplicada - Ipea
</t>
    </r>
    <r>
      <rPr>
        <b/>
        <sz val="10"/>
        <color theme="1"/>
        <rFont val="Times New Roman"/>
        <family val="1"/>
      </rPr>
      <t xml:space="preserve">obs.1: </t>
    </r>
    <r>
      <rPr>
        <sz val="10"/>
        <color theme="1"/>
        <rFont val="Times New Roman"/>
        <family val="1"/>
      </rPr>
      <t xml:space="preserve">resultados de 2011 em IPEA (2012, p.8/Tabela 6)
</t>
    </r>
    <r>
      <rPr>
        <b/>
        <sz val="10"/>
        <color theme="1"/>
        <rFont val="Times New Roman"/>
        <family val="1"/>
      </rPr>
      <t xml:space="preserve">obs.2: </t>
    </r>
    <r>
      <rPr>
        <sz val="10"/>
        <color theme="1"/>
        <rFont val="Times New Roman"/>
        <family val="1"/>
      </rPr>
      <t>"A avaliação do transporte público difere um pouco entre a população dos municípios separados por tamanho. Nos municípios menores, a avaliação tende a ser mais positiva do que nos maiores, praticamente invertendo-se a relação de 40% positiva e 30% negativa para 30% positiva e 40% negativa. Muitos municípios abaixo de 20 mil não possuem o tradicional serviço de transporte coletivo urbano conhecido nas cidades maiores, mas podem fazer parte de regiões metropolitanas e possuir acesso a ônibus por linha intermunicipais. Em qualquer análise de percepção é necessário ter em conta que a avaliação depende do nível crítico da população e sua capacidade de comparação com outras cidades" (IPEA, 2012, p.8)</t>
    </r>
  </si>
  <si>
    <r>
      <t xml:space="preserve">percentual de avaliação ruim/muito ruim do transporte público em cidades brasileiras com população acima de 100 mil habitantes segundo o Instituto de Pesquisa Econômica Aplicada - Ipea
</t>
    </r>
    <r>
      <rPr>
        <b/>
        <sz val="10"/>
        <color theme="1"/>
        <rFont val="Times New Roman"/>
        <family val="1"/>
      </rPr>
      <t xml:space="preserve">obs.1: </t>
    </r>
    <r>
      <rPr>
        <sz val="10"/>
        <color theme="1"/>
        <rFont val="Times New Roman"/>
        <family val="1"/>
      </rPr>
      <t xml:space="preserve">resultados de 2011 em IPEA (2012, p.8/Tabela 6)
</t>
    </r>
    <r>
      <rPr>
        <b/>
        <sz val="10"/>
        <color theme="1"/>
        <rFont val="Times New Roman"/>
        <family val="1"/>
      </rPr>
      <t xml:space="preserve">obs.2: </t>
    </r>
    <r>
      <rPr>
        <sz val="10"/>
        <color theme="1"/>
        <rFont val="Times New Roman"/>
        <family val="1"/>
      </rPr>
      <t>"A avaliação do transporte público difere um pouco entre a população dos municípios separados por tamanho. Nos municípios menores, a avaliação tende a ser mais positiva do que nos maiores, praticamente invertendo-se a relação de 40% positiva e 30% negativa para 30% positiva e 40% negativa. Muitos municípios abaixo de 20 mil não possuem o tradicional serviço de transporte coletivo urbano conhecido nas cidades maiores, mas podem fazer parte de regiões metropolitanas e possuir acesso a ônibus por linha intermunicipais. Em qualquer análise de percepção é necessário ter em conta que a avaliação depende do nível crítico da população e sua capacidade de comparação com outras cidades" (IPEA, 2012, p.8)</t>
    </r>
  </si>
  <si>
    <t>Atp[mb/b] 
&gt;100 mil habitantes</t>
  </si>
  <si>
    <t>Atp[r/mr] 
&gt;100 mil habitantes</t>
  </si>
  <si>
    <t>Atp/facilidade [concorda] 
&gt;100 mil habitantes</t>
  </si>
  <si>
    <t>Atp/
tratamento [concorda] 
&gt;100 mil habitantes</t>
  </si>
  <si>
    <t>Atp/
tratamento [concorda] 
&lt; 20 mil habitantes</t>
  </si>
  <si>
    <t>Atp/
tratamento [concorda] 
20 a 100 mil habitantes</t>
  </si>
  <si>
    <t>Atp/facilidade
[concorda] 
&lt; 20 mil habitantes</t>
  </si>
  <si>
    <t>Atp/facilidade [concorda] 
20 a 100 mil habitantes</t>
  </si>
  <si>
    <r>
      <t xml:space="preserve">percentual de "concordo/concordo totalmente" com a afirmação: "O tratamento dado pelo transporte público urbano ao público é igual para todos independente de renda, cor da pele, idade, deficiência ou gênero?" nas cidades com população até 20 mil habitantes segundo o Instituto de Pesquisa Econômica Aplicada - Ipea
</t>
    </r>
    <r>
      <rPr>
        <b/>
        <sz val="10"/>
        <color theme="1"/>
        <rFont val="Times New Roman"/>
        <family val="1"/>
      </rPr>
      <t xml:space="preserve">obs.: </t>
    </r>
    <r>
      <rPr>
        <sz val="10"/>
        <color theme="1"/>
        <rFont val="Times New Roman"/>
        <family val="1"/>
      </rPr>
      <t>resultados de 2011 em IPEA (2012, p.10/Tabela 11)</t>
    </r>
    <r>
      <rPr>
        <b/>
        <sz val="10"/>
        <color theme="1"/>
        <rFont val="Times New Roman"/>
        <family val="1"/>
      </rPr>
      <t/>
    </r>
  </si>
  <si>
    <r>
      <t xml:space="preserve">percentual de "concordo/concordo totalmente" com a afirmação: "O tratamento dado pelo transporte público urbano ao público é igual para todos independente de renda, cor da pele, idade, deficiência ou gênero?" nas cidades com população entre 20 e 100 mil habitantes segundo o Instituto de Pesquisa Econômica Aplicada - Ipea
</t>
    </r>
    <r>
      <rPr>
        <b/>
        <sz val="10"/>
        <color theme="1"/>
        <rFont val="Times New Roman"/>
        <family val="1"/>
      </rPr>
      <t xml:space="preserve">obs.: </t>
    </r>
    <r>
      <rPr>
        <sz val="10"/>
        <color theme="1"/>
        <rFont val="Times New Roman"/>
        <family val="1"/>
      </rPr>
      <t>resultados de 2011 em IPEA (2012, p.10/Tabela 11)</t>
    </r>
    <r>
      <rPr>
        <b/>
        <sz val="10"/>
        <color theme="1"/>
        <rFont val="Times New Roman"/>
        <family val="1"/>
      </rPr>
      <t/>
    </r>
  </si>
  <si>
    <r>
      <t xml:space="preserve">percentual de "concordo/concordo totalmente" com a afirmação: "O tratamento dado pelo transporte público urbano ao público é igual para todos independente de renda, cor da pele, idade, deficiência ou gênero?"  em cidades com população acima de 100 mil habitantes segundo o Instituto de Pesquisa Econômica Aplicada - Ipea
</t>
    </r>
    <r>
      <rPr>
        <b/>
        <sz val="10"/>
        <color theme="1"/>
        <rFont val="Times New Roman"/>
        <family val="1"/>
      </rPr>
      <t xml:space="preserve">obs.1: </t>
    </r>
    <r>
      <rPr>
        <sz val="10"/>
        <color theme="1"/>
        <rFont val="Times New Roman"/>
        <family val="1"/>
      </rPr>
      <t xml:space="preserve">resultados de 2011 em IPEA (2012, p.10/Tabela 11)
</t>
    </r>
    <r>
      <rPr>
        <b/>
        <sz val="10"/>
        <color theme="1"/>
        <rFont val="Times New Roman"/>
        <family val="1"/>
      </rPr>
      <t>obs.2:</t>
    </r>
    <r>
      <rPr>
        <sz val="10"/>
        <color theme="1"/>
        <rFont val="Times New Roman"/>
        <family val="1"/>
      </rPr>
      <t xml:space="preserve"> "Na percepção quanto ao tratamento igualitário do serviço de transporte ao público,
a lógica observada anteriormente [em outra pergunta] volta a apontar as cidades maiores com um posicionamento mais negativo. Nesse caso as cidades entre 20 e 100 mil apontaram tendência
mais positiva aproximando-se das cidades com menos de 20 mil habitantes." (IPEA, 2012, p.10)</t>
    </r>
  </si>
  <si>
    <t>&lt; 20 mil habitantes</t>
  </si>
  <si>
    <t>20 a 100 mil habitantes</t>
  </si>
  <si>
    <t>&gt;100 mil habitantes</t>
  </si>
  <si>
    <r>
      <t xml:space="preserve">percentual de "concordo/concordo totalmente" com a afirmação: "O transporte público de sua cidade permite que as pessoas se desloquem com facilidade por toda a cidade?"  em cidades com população entre 20 e 100 mil habitantes segundo o Instituto de Pesquisa Econômica Aplicada - Ipea
</t>
    </r>
    <r>
      <rPr>
        <b/>
        <sz val="10"/>
        <color theme="1"/>
        <rFont val="Times New Roman"/>
        <family val="1"/>
      </rPr>
      <t xml:space="preserve">obs.: </t>
    </r>
    <r>
      <rPr>
        <sz val="10"/>
        <color theme="1"/>
        <rFont val="Times New Roman"/>
        <family val="1"/>
      </rPr>
      <t>resultados de 2011 em IPEA (2012, p.9/Tabela 9)</t>
    </r>
    <r>
      <rPr>
        <b/>
        <sz val="10"/>
        <color theme="1"/>
        <rFont val="Times New Roman"/>
        <family val="1"/>
      </rPr>
      <t/>
    </r>
  </si>
  <si>
    <r>
      <t xml:space="preserve">percentual de "concordo/concordo totalmente" com a afirmação: "O transporte público de sua cidade permite que as pessoas se desloquem com facilidade por toda a cidade?"  em cidades com população acima de 100 mil habitantes segundo o Instituto de Pesquisa Econômica Aplicada - Ipea
</t>
    </r>
    <r>
      <rPr>
        <b/>
        <sz val="10"/>
        <color theme="1"/>
        <rFont val="Times New Roman"/>
        <family val="1"/>
      </rPr>
      <t xml:space="preserve">obs.: </t>
    </r>
    <r>
      <rPr>
        <sz val="10"/>
        <color theme="1"/>
        <rFont val="Times New Roman"/>
        <family val="1"/>
      </rPr>
      <t>resultados de 2011 em IPEA (2012, p.9/Tabela 9)</t>
    </r>
    <r>
      <rPr>
        <b/>
        <sz val="10"/>
        <color theme="1"/>
        <rFont val="Times New Roman"/>
        <family val="1"/>
      </rPr>
      <t/>
    </r>
  </si>
  <si>
    <r>
      <t xml:space="preserve">percentual de "concordo/concordo totalmente" com a afirmação: "Nos serviços públicos de transporte urbano a população consegue ser atendida sempre que precisar" em cidades com população até 20 mil habitantes segundo o Instituto de Pesquisa Econômica Aplicada - Ipea
</t>
    </r>
    <r>
      <rPr>
        <b/>
        <sz val="10"/>
        <color theme="1"/>
        <rFont val="Times New Roman"/>
        <family val="1"/>
      </rPr>
      <t xml:space="preserve">obs.: </t>
    </r>
    <r>
      <rPr>
        <sz val="10"/>
        <color theme="1"/>
        <rFont val="Times New Roman"/>
        <family val="1"/>
      </rPr>
      <t>resultados de 2011 em IPEA (2012, p.9/Tabela 9)</t>
    </r>
    <r>
      <rPr>
        <b/>
        <sz val="10"/>
        <color theme="1"/>
        <rFont val="Times New Roman"/>
        <family val="1"/>
      </rPr>
      <t/>
    </r>
  </si>
  <si>
    <t>Atp/
atendimento
[concorda] 
&lt; 20 mil habitantes</t>
  </si>
  <si>
    <t>Atp/
atendmento
[concorda] 
20 a 100 mil habitantes</t>
  </si>
  <si>
    <t>Atp/
atendmento
[concorda] 
&gt; 100 mil habitantes</t>
  </si>
  <si>
    <r>
      <t xml:space="preserve">percentual de "concordo/concordo totalmente" com a afirmação: "Nos serviços públicos de transporte urbano a população consegue ser atendida sempre que precisar" em cidades com população entre 20 e 100 mil habitantes segundo o Instituto de Pesquisa Econômica Aplicada - Ipea
</t>
    </r>
    <r>
      <rPr>
        <b/>
        <sz val="10"/>
        <color theme="1"/>
        <rFont val="Times New Roman"/>
        <family val="1"/>
      </rPr>
      <t xml:space="preserve">obs.: </t>
    </r>
    <r>
      <rPr>
        <sz val="10"/>
        <color theme="1"/>
        <rFont val="Times New Roman"/>
        <family val="1"/>
      </rPr>
      <t>resultados de 2011 em IPEA (2012, p.9/Tabela 9)</t>
    </r>
    <r>
      <rPr>
        <b/>
        <sz val="10"/>
        <color theme="1"/>
        <rFont val="Times New Roman"/>
        <family val="1"/>
      </rPr>
      <t/>
    </r>
  </si>
  <si>
    <r>
      <t xml:space="preserve">percentual de "concordo/concordo totalmente" com a afirmação: "Nos serviços públicos de transporte urbano a população consegue ser atendida sempre que precisar" em cidades com população acima de 100 mil habitantes segundo o Instituto de Pesquisa Econômica Aplicada - Ipea
</t>
    </r>
    <r>
      <rPr>
        <b/>
        <sz val="10"/>
        <color theme="1"/>
        <rFont val="Times New Roman"/>
        <family val="1"/>
      </rPr>
      <t xml:space="preserve">obs.: </t>
    </r>
    <r>
      <rPr>
        <sz val="10"/>
        <color theme="1"/>
        <rFont val="Times New Roman"/>
        <family val="1"/>
      </rPr>
      <t>resultados de 2011 em IPEA (2012, p.9/Tabela 9)</t>
    </r>
    <r>
      <rPr>
        <b/>
        <sz val="10"/>
        <color theme="1"/>
        <rFont val="Times New Roman"/>
        <family val="1"/>
      </rPr>
      <t/>
    </r>
  </si>
  <si>
    <r>
      <t xml:space="preserve">percentual de "concordo/concordo totalmente" com a afirmação: "O transporte público de sua cidade permite que as pessoas se desloquem com facilidade por toda a cidade" em cidades com população até 20 mil habitantes segundo o Instituto de Pesquisa Econômica Aplicada - Ipea
</t>
    </r>
    <r>
      <rPr>
        <b/>
        <sz val="10"/>
        <color theme="1"/>
        <rFont val="Times New Roman"/>
        <family val="1"/>
      </rPr>
      <t xml:space="preserve">obs.: </t>
    </r>
    <r>
      <rPr>
        <sz val="10"/>
        <color theme="1"/>
        <rFont val="Times New Roman"/>
        <family val="1"/>
      </rPr>
      <t>resultados de 2011 em IPEA (2012, p.9/Tabela 9)</t>
    </r>
    <r>
      <rPr>
        <b/>
        <sz val="10"/>
        <color theme="1"/>
        <rFont val="Times New Roman"/>
        <family val="1"/>
      </rPr>
      <t/>
    </r>
  </si>
  <si>
    <t>Gráfico 322b - Comparação das respostas dadas sobre concordância a questões sobre facilidade, tratamento igualitário e atendimento quando precisa no transporte público no Brasil em função do tamanho das cidades em pesquisa realizada pelo Ipea (2011)</t>
  </si>
  <si>
    <t>NAP faixa</t>
  </si>
  <si>
    <t>NAP sinal</t>
  </si>
  <si>
    <t>NAP velocidade</t>
  </si>
  <si>
    <r>
      <rPr>
        <b/>
        <sz val="12"/>
        <color theme="1"/>
        <rFont val="Times New Roman"/>
        <family val="1"/>
      </rPr>
      <t>SP(2016d):</t>
    </r>
    <r>
      <rPr>
        <sz val="12"/>
        <color theme="1"/>
        <rFont val="Times New Roman"/>
        <family val="1"/>
      </rPr>
      <t xml:space="preserve"> SÃO PAULO. Prefeitura. Secretaria Municipal de Trânsito. Companhia de Engenharia de Tráfego - CET São Paulo. </t>
    </r>
    <r>
      <rPr>
        <i/>
        <sz val="12"/>
        <color theme="1"/>
        <rFont val="Times New Roman"/>
        <family val="1"/>
      </rPr>
      <t>Painel da Mobilidade Urbana - não infratores 2014</t>
    </r>
    <r>
      <rPr>
        <sz val="12"/>
        <color theme="1"/>
        <rFont val="Times New Roman"/>
        <family val="1"/>
      </rPr>
      <t>. São Paulo: CET São Paulo, 25 fev. 2016. Disponível em: &lt;http://mobilidadesegura.prefeitura.sp.gov.br/QvAJAXZfc/opendoc.htm?document=Painel_Mobilidade_Segura.qvw&amp;host=QVS%40c65v27i&amp;anonymous=true&gt;. Acesso em 27 fev. 2016.</t>
    </r>
  </si>
  <si>
    <r>
      <rPr>
        <b/>
        <sz val="12"/>
        <color theme="1"/>
        <rFont val="Times New Roman"/>
        <family val="1"/>
      </rPr>
      <t xml:space="preserve">SP(2016c): </t>
    </r>
    <r>
      <rPr>
        <sz val="12"/>
        <color theme="1"/>
        <rFont val="Times New Roman"/>
        <family val="1"/>
      </rPr>
      <t xml:space="preserve">SÃO PAULO. Prefeitura. Secretaria Municipal de Trânsito. Companhia de Engenharia de Tráfego - CET São Paulo. </t>
    </r>
    <r>
      <rPr>
        <i/>
        <sz val="12"/>
        <color theme="1"/>
        <rFont val="Times New Roman"/>
        <family val="1"/>
      </rPr>
      <t>Painel da Mobilidade Urbana - não infratores 2013</t>
    </r>
    <r>
      <rPr>
        <sz val="12"/>
        <color theme="1"/>
        <rFont val="Times New Roman"/>
        <family val="1"/>
      </rPr>
      <t>. São Paulo: CET São Paulo, 25 fev. 2016. Disponível em: &lt;http://mobilidadesegura.prefeitura.sp.gov.br/QvAJAXZfc/opendoc.htm?document=Painel_Mobilidade_Segura.qvw&amp;host=QVS%40c65v27i&amp;anonymous=true&gt;. Acesso em 27 fev. 2016.</t>
    </r>
  </si>
  <si>
    <r>
      <rPr>
        <b/>
        <sz val="12"/>
        <color theme="1"/>
        <rFont val="Times New Roman"/>
        <family val="1"/>
      </rPr>
      <t>SP(2016b):</t>
    </r>
    <r>
      <rPr>
        <sz val="12"/>
        <color theme="1"/>
        <rFont val="Times New Roman"/>
        <family val="1"/>
      </rPr>
      <t xml:space="preserve"> SÃO PAULO. Prefeitura. Secretaria Municipal de Trânsito. Companhia de Engenharia de Tráfego - CET São Paulo. </t>
    </r>
    <r>
      <rPr>
        <i/>
        <sz val="12"/>
        <color theme="1"/>
        <rFont val="Times New Roman"/>
        <family val="1"/>
      </rPr>
      <t>Painel da Mobilidade Urbana - infrações 2014</t>
    </r>
    <r>
      <rPr>
        <sz val="12"/>
        <color theme="1"/>
        <rFont val="Times New Roman"/>
        <family val="1"/>
      </rPr>
      <t>. São Paulo: CET São Paulo, 25 fev. 2016. Disponível em: &lt;http://mobilidadesegura.prefeitura.sp.gov.br/QvAJAXZfc/opendoc.htm?document=Painel_Mobilidade_Segura.qvw&amp;host=QVS%40c65v27i&amp;anonymous=true&gt;. Acesso em 27 fev. 2016.</t>
    </r>
  </si>
  <si>
    <r>
      <rPr>
        <b/>
        <sz val="12"/>
        <color theme="1"/>
        <rFont val="Times New Roman"/>
        <family val="1"/>
      </rPr>
      <t>SP(2016a):</t>
    </r>
    <r>
      <rPr>
        <sz val="12"/>
        <color theme="1"/>
        <rFont val="Times New Roman"/>
        <family val="1"/>
      </rPr>
      <t xml:space="preserve"> SÃO PAULO. Prefeitura. Secretaria Municipal de Trânsito. Companhia de Engenharia de Tráfego - CET São Paulo. </t>
    </r>
    <r>
      <rPr>
        <i/>
        <sz val="12"/>
        <color theme="1"/>
        <rFont val="Times New Roman"/>
        <family val="1"/>
      </rPr>
      <t>Painel da Mobilidade Urbana - infrações 2013</t>
    </r>
    <r>
      <rPr>
        <sz val="12"/>
        <color theme="1"/>
        <rFont val="Times New Roman"/>
        <family val="1"/>
      </rPr>
      <t>. São Paulo: CET São Paulo, 25 fev. 2016. Disponível em: &lt;http://mobilidadesegura.prefeitura.sp.gov.br/QvAJAXZfc/opendoc.htm?document=Painel_Mobilidade_Segura.qvw&amp;host=QVS%40c65v27i&amp;anonymous=true&gt;. Acesso em 27 fev. 2016.</t>
    </r>
  </si>
  <si>
    <t>notificação de aplicação de penalidade de trânsito, denominada pela CET São Paulo, simplesmente, como "multa"</t>
  </si>
  <si>
    <t>NAP velocidade + NAP faixa + NAP sinal</t>
  </si>
  <si>
    <r>
      <t xml:space="preserve">"Mortes no trânsito" em São Paulo é conceituado como sendo: "Número total de óbitos em acidentes de trânsito. São considerados mortes de: ciclistas, notociclistas, pedestres, motoristas e passageiros. São consideradas mortes no local ou posteriores, independente da data em que tenha ocorrido o acidente" (acesso em 05/01/2015) e "Número total de óbitos em acidentes de trânsito. São considerados mortes de: ciclistas, notociclistas, pedestres, motoristas e passageiros. São consideradas mortes no local ou posteriores (até 30 dias após a data do acidente)" (acesso em 19/11/2015 e 29/02/2016)
</t>
    </r>
    <r>
      <rPr>
        <b/>
        <sz val="10"/>
        <color theme="1"/>
        <rFont val="Times New Roman"/>
        <family val="1"/>
      </rPr>
      <t xml:space="preserve">obs.: </t>
    </r>
    <r>
      <rPr>
        <sz val="10"/>
        <color theme="1"/>
        <rFont val="Times New Roman"/>
        <family val="1"/>
      </rPr>
      <t>fonte da definição mais recente e resultados de 2008 a 2014 em SP (2015d)</t>
    </r>
  </si>
  <si>
    <r>
      <t xml:space="preserve">n.º de mortos por 10 mil veículos até 30 dias depois do acidente de trânsito em São Paulo (SP)
</t>
    </r>
    <r>
      <rPr>
        <b/>
        <sz val="10"/>
        <color theme="1"/>
        <rFont val="Times New Roman"/>
        <family val="1"/>
      </rPr>
      <t>obs.:</t>
    </r>
    <r>
      <rPr>
        <sz val="10"/>
        <color theme="1"/>
        <rFont val="Times New Roman"/>
        <family val="1"/>
      </rPr>
      <t xml:space="preserve"> na fonte consultada (SP, 2015c) os resultados desse indicador tiveram arredondamentos abandonando os resultados a partir da terceira casa decimal (diferente do arredondamento-padrão que é adotado no SisMob-BH); portanto, aqui encontra-se 1,97 (em vez de 1,96 ) em 2010 e encontra-se 1,90 (em vez de 1,89) em 2011 (os demais anos apresentam resultados idênticos).</t>
    </r>
  </si>
  <si>
    <t>notificação de aplicação de penalidade de trânsito, também denominada em relatórios da BHTrans, simplesmente, como "multa"</t>
  </si>
  <si>
    <t>multa</t>
  </si>
  <si>
    <t>consulte NAP</t>
  </si>
  <si>
    <t>definição
NAP talão + NAP eletrônica</t>
  </si>
  <si>
    <r>
      <rPr>
        <b/>
        <sz val="12"/>
        <color theme="1"/>
        <rFont val="Times New Roman"/>
        <family val="1"/>
      </rPr>
      <t xml:space="preserve">BHTRANS(2012d): </t>
    </r>
    <r>
      <rPr>
        <sz val="12"/>
        <color theme="1"/>
        <rFont val="Times New Roman"/>
        <family val="1"/>
      </rPr>
      <t>EMPRESA DE TRANSPORTES E TRÂNSITO DE BELO HORIZONTE S.A - BHTRANS. Diretoria de Atendimento e Informação - DAI. Gerência de Coordenação do Atendimento - COAT. Gerência de Processamento de Multas - GPROM.</t>
    </r>
    <r>
      <rPr>
        <i/>
        <sz val="12"/>
        <color theme="1"/>
        <rFont val="Times New Roman"/>
        <family val="1"/>
      </rPr>
      <t xml:space="preserve"> Relatório 2011</t>
    </r>
    <r>
      <rPr>
        <sz val="12"/>
        <color theme="1"/>
        <rFont val="Times New Roman"/>
        <family val="1"/>
      </rPr>
      <t xml:space="preserve">. Belo Horizonte: BHTrans, [2012]. 47p. Disponível na </t>
    </r>
    <r>
      <rPr>
        <i/>
        <sz val="12"/>
        <color theme="1"/>
        <rFont val="Times New Roman"/>
        <family val="1"/>
      </rPr>
      <t>intranet</t>
    </r>
    <r>
      <rPr>
        <sz val="12"/>
        <color theme="1"/>
        <rFont val="Times New Roman"/>
        <family val="1"/>
      </rPr>
      <t xml:space="preserve"> da BHTrans.</t>
    </r>
  </si>
  <si>
    <r>
      <t xml:space="preserve">percentual de veículos (em relação ao total de veículos registrados) aos quais não foram aplicadas multas de trânsito no ano, em Belo Horizonte
</t>
    </r>
    <r>
      <rPr>
        <b/>
        <sz val="10"/>
        <color theme="1"/>
        <rFont val="Times New Roman"/>
        <family val="1"/>
      </rPr>
      <t>obs.:</t>
    </r>
    <r>
      <rPr>
        <sz val="10"/>
        <color theme="1"/>
        <rFont val="Times New Roman"/>
        <family val="1"/>
      </rPr>
      <t xml:space="preserve"> resultados de 2001 a 2011 em BHTRANS (2012d, p.28)</t>
    </r>
    <r>
      <rPr>
        <b/>
        <sz val="10"/>
        <color theme="1"/>
        <rFont val="Times New Roman"/>
        <family val="1"/>
      </rPr>
      <t/>
    </r>
  </si>
  <si>
    <r>
      <t xml:space="preserve">percentual de veículos (em relação ao total de veículos registrados) aos quais não foram aplicadas multas de trânsito no ano, na cidade de São Paulo
</t>
    </r>
    <r>
      <rPr>
        <b/>
        <sz val="10"/>
        <color theme="1"/>
        <rFont val="Times New Roman"/>
        <family val="1"/>
      </rPr>
      <t>obs.:</t>
    </r>
    <r>
      <rPr>
        <sz val="10"/>
        <color theme="1"/>
        <rFont val="Times New Roman"/>
        <family val="1"/>
      </rPr>
      <t xml:space="preserve"> resultados de 2013 e 2014 em, respectivamente: SP (2016a, 2016b)</t>
    </r>
  </si>
  <si>
    <t>100 - NAP v0</t>
  </si>
  <si>
    <r>
      <t>percentual de veículos (em relação ao total de veículos registrados) aos quais foram aplicadas multas de trânsito no ano, em Belo Horizonte</t>
    </r>
    <r>
      <rPr>
        <b/>
        <sz val="10"/>
        <color theme="1"/>
        <rFont val="Times New Roman"/>
        <family val="1"/>
      </rPr>
      <t/>
    </r>
  </si>
  <si>
    <r>
      <t xml:space="preserve">percentual de veículos (em relação ao total de veículos registrados) aos quais foram aplicadas multas de trânsito no ano, em São Paulo
</t>
    </r>
    <r>
      <rPr>
        <b/>
        <sz val="10"/>
        <color theme="1"/>
        <rFont val="Times New Roman"/>
        <family val="1"/>
      </rPr>
      <t>obs.:</t>
    </r>
    <r>
      <rPr>
        <sz val="10"/>
        <color theme="1"/>
        <rFont val="Times New Roman"/>
        <family val="1"/>
      </rPr>
      <t xml:space="preserve"> os resultados de 2013 e 2014, aqui obtidos por fórmula, são idênticos aos disponíveis na fonte consultada (SP, 2016a, 2016b)</t>
    </r>
  </si>
  <si>
    <r>
      <t xml:space="preserve">percentual de veículos (em relação ao total de veículos registrados) aos quais foi aplicada apenas uma multa de trânsito no ano, em Belo Horizonte
</t>
    </r>
    <r>
      <rPr>
        <b/>
        <sz val="10"/>
        <color theme="1"/>
        <rFont val="Times New Roman"/>
        <family val="1"/>
      </rPr>
      <t>obs.1:</t>
    </r>
    <r>
      <rPr>
        <sz val="10"/>
        <color theme="1"/>
        <rFont val="Times New Roman"/>
        <family val="1"/>
      </rPr>
      <t xml:space="preserve"> resultados de 2001 a 2011 em BHTRANS (2012d, p.28)
</t>
    </r>
    <r>
      <rPr>
        <b/>
        <sz val="10"/>
        <color theme="1"/>
        <rFont val="Times New Roman"/>
        <family val="1"/>
      </rPr>
      <t>obs.2:</t>
    </r>
    <r>
      <rPr>
        <sz val="10"/>
        <color theme="1"/>
        <rFont val="Times New Roman"/>
        <family val="1"/>
      </rPr>
      <t xml:space="preserve"> a metodologia de cálculo deste indicador é diferente da adotada em São Paulo</t>
    </r>
  </si>
  <si>
    <r>
      <t xml:space="preserve">percentual de veículos (em relação ao total de veículos registrados) aos quais foram aplicadas duas multas de trânsito no ano, em Belo Horizonte
</t>
    </r>
    <r>
      <rPr>
        <b/>
        <sz val="10"/>
        <color theme="1"/>
        <rFont val="Times New Roman"/>
        <family val="1"/>
      </rPr>
      <t>obs.1:</t>
    </r>
    <r>
      <rPr>
        <sz val="10"/>
        <color theme="1"/>
        <rFont val="Times New Roman"/>
        <family val="1"/>
      </rPr>
      <t xml:space="preserve"> resultados de 2001 a 2011 em BHTRANS (2012d, p.28)
</t>
    </r>
    <r>
      <rPr>
        <b/>
        <sz val="10"/>
        <color theme="1"/>
        <rFont val="Times New Roman"/>
        <family val="1"/>
      </rPr>
      <t xml:space="preserve">obs.2: </t>
    </r>
    <r>
      <rPr>
        <sz val="10"/>
        <color theme="1"/>
        <rFont val="Times New Roman"/>
        <family val="1"/>
      </rPr>
      <t>a metodologia de cálculo deste indicador é diferente da adotada em São Paulo</t>
    </r>
  </si>
  <si>
    <r>
      <t xml:space="preserve">percentual de veículos (em relação ao total de veículos registrados) aos quais foram aplicadas três multas de trânsito no ano, em Belo Horizonte
</t>
    </r>
    <r>
      <rPr>
        <b/>
        <sz val="10"/>
        <color theme="1"/>
        <rFont val="Times New Roman"/>
        <family val="1"/>
      </rPr>
      <t>obs.1:</t>
    </r>
    <r>
      <rPr>
        <sz val="10"/>
        <color theme="1"/>
        <rFont val="Times New Roman"/>
        <family val="1"/>
      </rPr>
      <t xml:space="preserve"> resultados de 2001 a 2011 em BHTRANS (2012d, p.28)
</t>
    </r>
    <r>
      <rPr>
        <b/>
        <sz val="10"/>
        <color theme="1"/>
        <rFont val="Times New Roman"/>
        <family val="1"/>
      </rPr>
      <t xml:space="preserve">obs.2: </t>
    </r>
    <r>
      <rPr>
        <sz val="10"/>
        <color theme="1"/>
        <rFont val="Times New Roman"/>
        <family val="1"/>
      </rPr>
      <t>a metodologia de cálculo deste indicador é diferente da adotada em São Paulo</t>
    </r>
  </si>
  <si>
    <r>
      <t xml:space="preserve">percentual de veículos (em relação ao total de veículos registrados) aos quais foram aplicadas mais de três multas de trânsito no ano, em Belo Horizonte
</t>
    </r>
    <r>
      <rPr>
        <b/>
        <sz val="10"/>
        <color theme="1"/>
        <rFont val="Times New Roman"/>
        <family val="1"/>
      </rPr>
      <t>obs.1:</t>
    </r>
    <r>
      <rPr>
        <sz val="10"/>
        <color theme="1"/>
        <rFont val="Times New Roman"/>
        <family val="1"/>
      </rPr>
      <t xml:space="preserve"> resultados de 2001 a 2011 em BHTRANS (2012d, p.28)
</t>
    </r>
    <r>
      <rPr>
        <b/>
        <sz val="10"/>
        <color theme="1"/>
        <rFont val="Times New Roman"/>
        <family val="1"/>
      </rPr>
      <t xml:space="preserve">obs.2: </t>
    </r>
    <r>
      <rPr>
        <sz val="10"/>
        <color theme="1"/>
        <rFont val="Times New Roman"/>
        <family val="1"/>
      </rPr>
      <t>a metodologia de cálculo deste indicador é diferente da adotada em São Paulo</t>
    </r>
  </si>
  <si>
    <r>
      <t xml:space="preserve">percentual de veículos (em relação ao total de veículos multados) aos quais foi aplicada apenas uma multa de trânsito no ano, na cidade de São Paulo
</t>
    </r>
    <r>
      <rPr>
        <b/>
        <sz val="10"/>
        <color theme="1"/>
        <rFont val="Times New Roman"/>
        <family val="1"/>
      </rPr>
      <t>obs.1:</t>
    </r>
    <r>
      <rPr>
        <sz val="10"/>
        <color theme="1"/>
        <rFont val="Times New Roman"/>
        <family val="1"/>
      </rPr>
      <t xml:space="preserve"> resultados de 2013 e 2014 em, respectivamente: SP (2016a, 2016b)
</t>
    </r>
    <r>
      <rPr>
        <b/>
        <sz val="10"/>
        <color theme="1"/>
        <rFont val="Times New Roman"/>
        <family val="1"/>
      </rPr>
      <t>obs.2:</t>
    </r>
    <r>
      <rPr>
        <sz val="10"/>
        <color theme="1"/>
        <rFont val="Times New Roman"/>
        <family val="1"/>
      </rPr>
      <t xml:space="preserve"> a metodologia de cálculo deste indicador é diferente da adotada em Belo Horizonte</t>
    </r>
  </si>
  <si>
    <r>
      <t xml:space="preserve">percentual de veículos (em relação ao total de veículos multados) aos quais foram aplicadas duas multas de trânsito no ano, na cidade de São Paulo
</t>
    </r>
    <r>
      <rPr>
        <b/>
        <sz val="10"/>
        <color theme="1"/>
        <rFont val="Times New Roman"/>
        <family val="1"/>
      </rPr>
      <t xml:space="preserve">obs.1: </t>
    </r>
    <r>
      <rPr>
        <sz val="10"/>
        <color theme="1"/>
        <rFont val="Times New Roman"/>
        <family val="1"/>
      </rPr>
      <t xml:space="preserve">resultados de 2013 e 2014 em, respectivamente: SP (2016a, 2016b)
</t>
    </r>
    <r>
      <rPr>
        <b/>
        <sz val="10"/>
        <color theme="1"/>
        <rFont val="Times New Roman"/>
        <family val="1"/>
      </rPr>
      <t>obs.2:</t>
    </r>
    <r>
      <rPr>
        <sz val="10"/>
        <color theme="1"/>
        <rFont val="Times New Roman"/>
        <family val="1"/>
      </rPr>
      <t xml:space="preserve"> a metodologia de cálculo deste indicador é diferente da adotada em Belo Horizonte</t>
    </r>
  </si>
  <si>
    <r>
      <t xml:space="preserve">percentual de veículos (em relação ao total de veículos multados) aos quais foram aplicadas três multas de trânsito no ano, na cidade de São Paulo
</t>
    </r>
    <r>
      <rPr>
        <b/>
        <sz val="10"/>
        <color theme="1"/>
        <rFont val="Times New Roman"/>
        <family val="1"/>
      </rPr>
      <t xml:space="preserve">obs.1: </t>
    </r>
    <r>
      <rPr>
        <sz val="10"/>
        <color theme="1"/>
        <rFont val="Times New Roman"/>
        <family val="1"/>
      </rPr>
      <t xml:space="preserve">resultados de 2013 e 2014 em, respectivamente: SP (2016a, 2016b)
</t>
    </r>
    <r>
      <rPr>
        <b/>
        <sz val="10"/>
        <color theme="1"/>
        <rFont val="Times New Roman"/>
        <family val="1"/>
      </rPr>
      <t xml:space="preserve">obs.2: </t>
    </r>
    <r>
      <rPr>
        <sz val="10"/>
        <color theme="1"/>
        <rFont val="Times New Roman"/>
        <family val="1"/>
      </rPr>
      <t>a metodologia de cálculo deste indicador é diferente da adotada em Belo Horizonte</t>
    </r>
  </si>
  <si>
    <r>
      <t xml:space="preserve">percentual de veículos (em relação ao total de veículos multados) aos quais foram aplicadas mais de três multas de trânsito no ano, na cidade de São Paulo
</t>
    </r>
    <r>
      <rPr>
        <b/>
        <sz val="10"/>
        <color theme="1"/>
        <rFont val="Times New Roman"/>
        <family val="1"/>
      </rPr>
      <t xml:space="preserve">obs.1: </t>
    </r>
    <r>
      <rPr>
        <sz val="10"/>
        <color theme="1"/>
        <rFont val="Times New Roman"/>
        <family val="1"/>
      </rPr>
      <t xml:space="preserve">resultados de 2013 e 2014 em, respectivamente: SP (2016a, 2016b)
</t>
    </r>
    <r>
      <rPr>
        <b/>
        <sz val="10"/>
        <color theme="1"/>
        <rFont val="Times New Roman"/>
        <family val="1"/>
      </rPr>
      <t xml:space="preserve">obs.2: </t>
    </r>
    <r>
      <rPr>
        <sz val="10"/>
        <color theme="1"/>
        <rFont val="Times New Roman"/>
        <family val="1"/>
      </rPr>
      <t>a metodologia de cálculo deste indicador é diferente da adotada em Belo Horizonte</t>
    </r>
  </si>
  <si>
    <t>NAP v0r</t>
  </si>
  <si>
    <t>NAP v1r</t>
  </si>
  <si>
    <t>NAP v2r</t>
  </si>
  <si>
    <t>NAP v3r</t>
  </si>
  <si>
    <t>NAP &gt;3r</t>
  </si>
  <si>
    <t>NAP vr</t>
  </si>
  <si>
    <t>NAP v1m</t>
  </si>
  <si>
    <t>NAP v2m</t>
  </si>
  <si>
    <t>NAP v3m</t>
  </si>
  <si>
    <t>NAP &gt;3m</t>
  </si>
  <si>
    <t>veículos registrados aos quais foram aplicadas multas de trânsito no ano (usado como complemento de NAP)</t>
  </si>
  <si>
    <t>veículos registrados aos quais não foram aplicadas multas de trânsito no ano (usado como complemento de NAP)</t>
  </si>
  <si>
    <t>v0r</t>
  </si>
  <si>
    <t>v1r</t>
  </si>
  <si>
    <t>v2r</t>
  </si>
  <si>
    <t>v3r</t>
  </si>
  <si>
    <t>v&gt;3r</t>
  </si>
  <si>
    <t>veículos registrados aos quais foi aplicada apenas uma multa de trânsito no ano (usado como complemento de NAP)</t>
  </si>
  <si>
    <t>veículos registrados aos quais foram aplicadaa duas multas de trânsito no ano (usado como complemento de NAP)</t>
  </si>
  <si>
    <t>veículos registrados aos quais foram aplicadaa três multas de trânsito no ano (usado como complemento de NAP)</t>
  </si>
  <si>
    <t>veículos registrados aos quais foram aplicadas mais de três multas de trânsito no ano (usado como complemento de NAP)</t>
  </si>
  <si>
    <t>v1m</t>
  </si>
  <si>
    <t>veículos multados aos quais foi aplicada apenas uma multa de trânsito no ano (usado como complemento de NAP)</t>
  </si>
  <si>
    <t>v2m</t>
  </si>
  <si>
    <t>veículos multados aos quais foram aplicadaa duas multas de trânsito no ano (usado como complemento de NAP)</t>
  </si>
  <si>
    <t>v3m</t>
  </si>
  <si>
    <t>veículos multados aos quais foram aplicadaa três multas de trânsito no ano (usado como complemento de NAP)</t>
  </si>
  <si>
    <t>veículos multados aos quais foram aplicadas mais de três multas de trânsito no ano (usado como complemento de NAP)</t>
  </si>
  <si>
    <t>v&gt;3m</t>
  </si>
  <si>
    <t>Gráfico 44a - Evoluções dos percentuais de veículos aos quais não foram aplicadas multas de trânsito em Belo Horizonte e São Paulo (2001 a 2014)</t>
  </si>
  <si>
    <t>Quadro 100b - Dados abertos do SisMob-BH - totalizações dos indicadores</t>
  </si>
  <si>
    <r>
      <rPr>
        <b/>
        <sz val="12"/>
        <color theme="1"/>
        <rFont val="Times New Roman"/>
        <family val="1"/>
      </rPr>
      <t xml:space="preserve">ANTP(2011c): </t>
    </r>
    <r>
      <rPr>
        <sz val="12"/>
        <color theme="1"/>
        <rFont val="Times New Roman"/>
        <family val="1"/>
      </rPr>
      <t xml:space="preserve">ASSOCIAÇÃO NACIONAL DE TRANSPORTES PÚBLICOS - ANTP; Conselho Estadual para Diminuição dos Acidentes de Trânsito e Transportes - CEDATT; Instituto de Engenharia - IE. </t>
    </r>
    <r>
      <rPr>
        <i/>
        <sz val="12"/>
        <color theme="1"/>
        <rFont val="Times New Roman"/>
        <family val="1"/>
      </rPr>
      <t>Década de ação pela segurança no trânsito 2011-2020: proposta para o Brasil para redução de acidentes e segurança viária</t>
    </r>
    <r>
      <rPr>
        <sz val="12"/>
        <color theme="1"/>
        <rFont val="Times New Roman"/>
        <family val="1"/>
      </rPr>
      <t>. São Paulo: ANTP, 6 maio 2011. Disponível em: &lt;http://www.denatran.gov.br/download/decada/Proposta%20ANTP-CEDATT-Instituto%20de%20Engenharia%20SP.pdf&gt;. Acesso em: 1º mar. 2016.</t>
    </r>
  </si>
  <si>
    <r>
      <rPr>
        <b/>
        <sz val="12"/>
        <color theme="1"/>
        <rFont val="Times New Roman"/>
        <family val="1"/>
      </rPr>
      <t xml:space="preserve">ANTP(2011a): </t>
    </r>
    <r>
      <rPr>
        <sz val="12"/>
        <color theme="1"/>
        <rFont val="Times New Roman"/>
        <family val="1"/>
      </rPr>
      <t xml:space="preserve">ASSOCIAÇÃO NACIONAL DE TRANSPORTES PÚBLICOS - ANTP. </t>
    </r>
    <r>
      <rPr>
        <i/>
        <sz val="12"/>
        <color theme="1"/>
        <rFont val="Times New Roman"/>
        <family val="1"/>
      </rPr>
      <t>Prêmio ANTP de Qualidade 2011 - Referenciais comparativos de gestão do trânsito</t>
    </r>
    <r>
      <rPr>
        <sz val="12"/>
        <color theme="1"/>
        <rFont val="Times New Roman"/>
        <family val="1"/>
      </rPr>
      <t>. São Paulo: ANTP, [2011].</t>
    </r>
  </si>
  <si>
    <t>M
(meta ONU)</t>
  </si>
  <si>
    <t>de 2011 a 2020: M(ano x) = M(x-1) - M(2010 x 0,05)
de 2021 a 2030: M(ano x) = M(x-1) - M(2020 x 0,05)</t>
  </si>
  <si>
    <r>
      <t xml:space="preserve">n.º de mortos em Belo Horizonte em acidentes de trânsito segundo o DataSus
</t>
    </r>
    <r>
      <rPr>
        <b/>
        <sz val="10"/>
        <rFont val="Times New Roman"/>
        <family val="1"/>
      </rPr>
      <t xml:space="preserve">obs.1: </t>
    </r>
    <r>
      <rPr>
        <sz val="10"/>
        <rFont val="Times New Roman"/>
        <family val="1"/>
      </rPr>
      <t xml:space="preserve">"O DATASUS é um departamento do Ministério da Saúde que fornece informações para subsidiar análises objetivas do cenário sanitário. O registro sistemático de dados de mortalidade e sobrevivência através de estatísticas vitais de mortalidade e nascidos vivos é responsável pelo início do sistema. A fonte de dados do DATASUS para informações sobre mortalidade é a declaração de óbito, um documento obrigatório que consta a causa mortis preenchida pelo profissional médico (salvo em alguns casos), informada ao sistema através do Código Internacional de Doenças – CID 10. As informações são digitadas no Sistema de Informação de Mortalidade – SIM, processadas e repassadas via web à unidade estadual e federal, que liberam para consulta através do portal eletrônico de tabulação, o TabNet (DATASUS, 2010; Ministério da Saúde, 2010)" (ROMÃO, 2011, p. 886)
</t>
    </r>
    <r>
      <rPr>
        <b/>
        <sz val="10"/>
        <rFont val="Times New Roman"/>
        <family val="1"/>
      </rPr>
      <t>obs.2:</t>
    </r>
    <r>
      <rPr>
        <sz val="10"/>
        <rFont val="Times New Roman"/>
        <family val="1"/>
      </rPr>
      <t xml:space="preserve"> este indicador quantifica o n.º de pessoas que morrem no município pesquisado, vítima de um acidente de trânsito, mesmo que esse acidente ocorra fora dos limites do muncípio (são diferentes, portanto, as metodolodias de apuração e os resultados dos indicadores "M", "M30" e "M-DataSus")
</t>
    </r>
    <r>
      <rPr>
        <b/>
        <sz val="10"/>
        <rFont val="Times New Roman"/>
        <family val="1"/>
      </rPr>
      <t>obs.3:</t>
    </r>
    <r>
      <rPr>
        <sz val="10"/>
        <rFont val="Times New Roman"/>
        <family val="1"/>
      </rPr>
      <t xml:space="preserve"> este indicador é denominado n.º de "óbitos por acidentes de trânsito" com resultados de 2000 a 2007 das capitais brasileiras em MS/SVS/DASIS - Sistema de Informações sobre Mortalidade – SIM citado em CNM (2009, p.10)
</t>
    </r>
    <r>
      <rPr>
        <b/>
        <sz val="10"/>
        <rFont val="Times New Roman"/>
        <family val="1"/>
      </rPr>
      <t xml:space="preserve">obs.4: </t>
    </r>
    <r>
      <rPr>
        <sz val="10"/>
        <rFont val="Times New Roman"/>
        <family val="1"/>
      </rPr>
      <t>este indicador é denominado "óbitos" com resultados para 2012 das dez cidades brasileiras mais populosas em AMBEV (2015, p.44)</t>
    </r>
  </si>
  <si>
    <r>
      <rPr>
        <b/>
        <sz val="12"/>
        <color theme="1"/>
        <rFont val="Times New Roman"/>
        <family val="1"/>
      </rPr>
      <t>ANTP(2011b):</t>
    </r>
    <r>
      <rPr>
        <sz val="12"/>
        <color theme="1"/>
        <rFont val="Times New Roman"/>
        <family val="1"/>
      </rPr>
      <t xml:space="preserve"> ASSOCIAÇÃO NACIONAL DE TRANSPORTES PÚBLICOS - ANTP. </t>
    </r>
    <r>
      <rPr>
        <i/>
        <sz val="12"/>
        <color theme="1"/>
        <rFont val="Times New Roman"/>
        <family val="1"/>
      </rPr>
      <t>Prêmio ANTP de Qualidade 2013 - Referenciais comparativos de gestão do transporte urbano</t>
    </r>
    <r>
      <rPr>
        <sz val="12"/>
        <color theme="1"/>
        <rFont val="Times New Roman"/>
        <family val="1"/>
      </rPr>
      <t>. 5.ed. São Paulo: ANTP, [2011]. 84p.</t>
    </r>
  </si>
  <si>
    <t>( n.º de reclamações /  n.º de passageiros pagantes) x 1.000.000</t>
  </si>
  <si>
    <t>IR</t>
  </si>
  <si>
    <t>IRS</t>
  </si>
  <si>
    <t>IEL</t>
  </si>
  <si>
    <t>(massa em kg de efluentes dispostos de modo ambientalmente correto com destinação conforme legislação ambiental/massa total em kg de efluentes gerados pela organização) x 100</t>
  </si>
  <si>
    <t>componente de IPQ</t>
  </si>
  <si>
    <t>(Σ reclamações /
Σ manifestações) x 100</t>
  </si>
  <si>
    <t>componete de IPV</t>
  </si>
  <si>
    <t>componente de IPV</t>
  </si>
  <si>
    <t>componente de IRE</t>
  </si>
  <si>
    <r>
      <t xml:space="preserve">n.º de reclamações contra agentes de trânsito em relação ao total de agentes de trânsito
</t>
    </r>
    <r>
      <rPr>
        <b/>
        <sz val="10"/>
        <color theme="1"/>
        <rFont val="Times New Roman"/>
        <family val="1"/>
      </rPr>
      <t xml:space="preserve">obs.: </t>
    </r>
    <r>
      <rPr>
        <sz val="10"/>
        <color theme="1"/>
        <rFont val="Times New Roman"/>
        <family val="1"/>
      </rPr>
      <t>indicador denominado pela ANTP como "IRA = índice de reclamações contra agentes de trânsito")</t>
    </r>
  </si>
  <si>
    <r>
      <t xml:space="preserve">n.º de agentes de trânsito por 10 mil veículos
</t>
    </r>
    <r>
      <rPr>
        <b/>
        <sz val="10"/>
        <color theme="1"/>
        <rFont val="Times New Roman"/>
        <family val="1"/>
      </rPr>
      <t>obs.:</t>
    </r>
    <r>
      <rPr>
        <sz val="10"/>
        <color theme="1"/>
        <rFont val="Times New Roman"/>
        <family val="1"/>
      </rPr>
      <t xml:space="preserve"> indicador denominado pela ANTP como "IAT"</t>
    </r>
  </si>
  <si>
    <t>tempo máximo de permanência regulamentado em um determinado quarteirão de estacionamento rotativo, utilizado como componente de RT fr</t>
  </si>
  <si>
    <r>
      <t xml:space="preserve">tempo médio de resposta a reclamações e solicitações registradas
</t>
    </r>
    <r>
      <rPr>
        <b/>
        <sz val="10"/>
        <color theme="1"/>
        <rFont val="Times New Roman"/>
        <family val="1"/>
      </rPr>
      <t xml:space="preserve">obs.: </t>
    </r>
    <r>
      <rPr>
        <sz val="10"/>
        <color theme="1"/>
        <rFont val="Times New Roman"/>
        <family val="1"/>
      </rPr>
      <t>indicador denominado por ANTP como "TMS"</t>
    </r>
  </si>
  <si>
    <r>
      <rPr>
        <b/>
        <sz val="12"/>
        <color theme="1"/>
        <rFont val="Times New Roman"/>
        <family val="1"/>
      </rPr>
      <t xml:space="preserve">ANTP(2003a): </t>
    </r>
    <r>
      <rPr>
        <sz val="12"/>
        <color theme="1"/>
        <rFont val="Times New Roman"/>
        <family val="1"/>
      </rPr>
      <t xml:space="preserve">ASSOCIAÇÃO NACIONAL DE TRANSPORTES PÚBLICOS - ANTP. </t>
    </r>
    <r>
      <rPr>
        <i/>
        <sz val="12"/>
        <color theme="1"/>
        <rFont val="Times New Roman"/>
        <family val="1"/>
      </rPr>
      <t>Gerenciamento de transporte público urbano - instruções básicas</t>
    </r>
    <r>
      <rPr>
        <sz val="12"/>
        <color theme="1"/>
        <rFont val="Times New Roman"/>
        <family val="1"/>
      </rPr>
      <t>. São Paulo: ANTP, 2003. 92p. Manual 10 - Gerenciamento dos serviços de táxi.</t>
    </r>
  </si>
  <si>
    <r>
      <t xml:space="preserve">n.º de acidentes de trânsito com vítima por 100 mil habitantes
</t>
    </r>
    <r>
      <rPr>
        <b/>
        <sz val="10"/>
        <color theme="1"/>
        <rFont val="Times New Roman"/>
        <family val="1"/>
      </rPr>
      <t xml:space="preserve">obs.: </t>
    </r>
    <r>
      <rPr>
        <sz val="10"/>
        <color theme="1"/>
        <rFont val="Times New Roman"/>
        <family val="1"/>
      </rPr>
      <t>este indicador é denominado pela ANTP como "IVP"</t>
    </r>
  </si>
  <si>
    <r>
      <t xml:space="preserve">n.º de acidentes de trânsito com vítima por 10 mil veículos
</t>
    </r>
    <r>
      <rPr>
        <b/>
        <sz val="10"/>
        <color theme="1"/>
        <rFont val="Times New Roman"/>
        <family val="1"/>
      </rPr>
      <t xml:space="preserve">obs.: </t>
    </r>
    <r>
      <rPr>
        <sz val="10"/>
        <color theme="1"/>
        <rFont val="Times New Roman"/>
        <family val="1"/>
      </rPr>
      <t>este indicador é denominado pela ANTP como "IAF"</t>
    </r>
  </si>
  <si>
    <t>indicador (tomado como referencial externo) utilizado em ANTP(2014, p.84/Gráfico 111)</t>
  </si>
  <si>
    <t>IAFV</t>
  </si>
  <si>
    <t>acessibilidade física</t>
  </si>
  <si>
    <t>gap</t>
  </si>
  <si>
    <t>fronteira</t>
  </si>
  <si>
    <t>consulte "fronteira"</t>
  </si>
  <si>
    <r>
      <t xml:space="preserve">índice de acidentes relativo à frota
</t>
    </r>
    <r>
      <rPr>
        <b/>
        <sz val="10"/>
        <color theme="1"/>
        <rFont val="Times New Roman"/>
        <family val="1"/>
      </rPr>
      <t xml:space="preserve">obs.: </t>
    </r>
    <r>
      <rPr>
        <sz val="10"/>
        <color theme="1"/>
        <rFont val="Times New Roman"/>
        <family val="1"/>
      </rPr>
      <t>indicador recomendado em ANTP(2011a, p.45)</t>
    </r>
  </si>
  <si>
    <t>IAE</t>
  </si>
  <si>
    <r>
      <t xml:space="preserve">índice de acessibilidade econômica
</t>
    </r>
    <r>
      <rPr>
        <b/>
        <sz val="10"/>
        <color theme="1"/>
        <rFont val="Times New Roman"/>
        <family val="1"/>
      </rPr>
      <t xml:space="preserve">obs.: </t>
    </r>
    <r>
      <rPr>
        <sz val="10"/>
        <color theme="1"/>
        <rFont val="Times New Roman"/>
        <family val="1"/>
      </rPr>
      <t>indicador recomendado em ANTP(2011b, p.32)</t>
    </r>
  </si>
  <si>
    <t>consulte:
acessibilidade econômica</t>
  </si>
  <si>
    <t>consulte:
AV por 10 mil veículos</t>
  </si>
  <si>
    <r>
      <t xml:space="preserve">índice de acessibilidade econômica
</t>
    </r>
    <r>
      <rPr>
        <b/>
        <sz val="10"/>
        <color theme="1"/>
        <rFont val="Times New Roman"/>
        <family val="1"/>
      </rPr>
      <t xml:space="preserve">obs.1: </t>
    </r>
    <r>
      <rPr>
        <sz val="10"/>
        <color theme="1"/>
        <rFont val="Times New Roman"/>
        <family val="1"/>
      </rPr>
      <t xml:space="preserve">indicador definido no Planejamento Estratégico BHTrans 2010 - revisão 2013 como sendo o "custo de 50 viagens em relação ao salário mínimo" (BHTRANS, 2013a, p.24)
</t>
    </r>
    <r>
      <rPr>
        <b/>
        <sz val="10"/>
        <color theme="1"/>
        <rFont val="Times New Roman"/>
        <family val="1"/>
      </rPr>
      <t xml:space="preserve">obs.2: </t>
    </r>
    <r>
      <rPr>
        <sz val="10"/>
        <color theme="1"/>
        <rFont val="Times New Roman"/>
        <family val="1"/>
      </rPr>
      <t>"OBJETIVO (definição) - Avaliar o grau em que a comunidade, face à sua renda, pode arcar com os custos do transporte"; fórmula "(Custo médio em R$ de 50 viagens / Salário mínimo regional" x 100"; "Custo médio em R$ de 50 viagens: (receita total/ número de embarques) x 50"; "Salário mínimo regional: salário mínimo vigente no Estado em que a organização opera"; indicador denominado como "IAE" em ANTP(2011b, p.32)</t>
    </r>
  </si>
  <si>
    <t>consulte:
QA boa em relação a QA monitorada</t>
  </si>
  <si>
    <t>consulte:
AB, Atc, Ats</t>
  </si>
  <si>
    <t>consulte:
Atc(o/b)</t>
  </si>
  <si>
    <r>
      <t xml:space="preserve">monóxido de carbono
"É um gás inodoro e incolor, formado no processo de queima de combustíveis. Sua principal fonte de emissão está, portanto, nos processos de combustão que ocorrem em condições não ideais, em que não há oxigênio suficiente para realizar a queima completa do combustível. </t>
    </r>
    <r>
      <rPr>
        <i/>
        <sz val="10"/>
        <rFont val="Times New Roman"/>
        <family val="1"/>
      </rPr>
      <t>A maior parte das emissões em áreas urbanas são decorrentes dos veículos automotores</t>
    </r>
    <r>
      <rPr>
        <sz val="10"/>
        <rFont val="Times New Roman"/>
        <family val="1"/>
      </rPr>
      <t xml:space="preserve">. Este gás tem alta afinidade com a hemoglobina no sangue, substituindo o oxigênio e reduzindo a alimentação deste ao cérebro, coração e para o resto do corpo, durante o processo de respiração. Em baixa concentração causa fadiga e dor no peito, em alta concentração pode levar a asfixia e morte." (IEMA, 2015b - grifo nosso)
</t>
    </r>
    <r>
      <rPr>
        <b/>
        <sz val="10"/>
        <rFont val="Times New Roman"/>
        <family val="1"/>
      </rPr>
      <t>obs.1:</t>
    </r>
    <r>
      <rPr>
        <sz val="10"/>
        <rFont val="Times New Roman"/>
        <family val="1"/>
      </rPr>
      <t xml:space="preserve"> em BH existem resultados anuais desde o ano 2001 apurados e divulgados para uma estação, qual seja: BH/Praça Rui Barbosa
</t>
    </r>
    <r>
      <rPr>
        <b/>
        <sz val="10"/>
        <rFont val="Times New Roman"/>
        <family val="1"/>
      </rPr>
      <t xml:space="preserve">obs.2: </t>
    </r>
    <r>
      <rPr>
        <sz val="10"/>
        <rFont val="Times New Roman"/>
        <family val="1"/>
      </rPr>
      <t xml:space="preserve">consulte "poluentes"
</t>
    </r>
    <r>
      <rPr>
        <b/>
        <sz val="10"/>
        <rFont val="Times New Roman"/>
        <family val="1"/>
      </rPr>
      <t>obs.3:</t>
    </r>
    <r>
      <rPr>
        <sz val="10"/>
        <rFont val="Times New Roman"/>
        <family val="1"/>
      </rPr>
      <t xml:space="preserve"> resultados em IEMA(2015a)</t>
    </r>
  </si>
  <si>
    <r>
      <t xml:space="preserve">Monóxido de carbono
</t>
    </r>
    <r>
      <rPr>
        <b/>
        <sz val="10"/>
        <rFont val="Times New Roman"/>
        <family val="1"/>
      </rPr>
      <t>obs.1:</t>
    </r>
    <r>
      <rPr>
        <sz val="10"/>
        <rFont val="Times New Roman"/>
        <family val="1"/>
      </rPr>
      <t xml:space="preserve"> além de BH, na RMBH existem resultados anuais desde o ano 2001 apurados e divulgados para quatro estações, quais sejam: Betim/Bairro Jardim das Alterosas, Betim/Centro Administrativo, Ibirité/Bairro Cascata, Ibirité/Bairro Piratininga
</t>
    </r>
    <r>
      <rPr>
        <b/>
        <sz val="10"/>
        <rFont val="Times New Roman"/>
        <family val="1"/>
      </rPr>
      <t xml:space="preserve">obs.2: </t>
    </r>
    <r>
      <rPr>
        <sz val="10"/>
        <rFont val="Times New Roman"/>
        <family val="1"/>
      </rPr>
      <t>resultados em IEMA(2015a)</t>
    </r>
  </si>
  <si>
    <t>consulte:
DM tc(P.Op.); 
DM ti(P.Op.);
DM nm(P.Op.);
DM NS/NR/outros(P.Op.)</t>
  </si>
  <si>
    <t>consulte:
EV b</t>
  </si>
  <si>
    <r>
      <t xml:space="preserve">índice de emissões atmosféricas
</t>
    </r>
    <r>
      <rPr>
        <b/>
        <sz val="10"/>
        <color theme="1"/>
        <rFont val="Times New Roman"/>
        <family val="1"/>
      </rPr>
      <t xml:space="preserve">obs.: </t>
    </r>
    <r>
      <rPr>
        <sz val="10"/>
        <color theme="1"/>
        <rFont val="Times New Roman"/>
        <family val="1"/>
      </rPr>
      <t>indicador citado em BHTRANS (2011a, p.21-23;  2012a, p.25-26)</t>
    </r>
  </si>
  <si>
    <t>consulte: 
M por 100 mil habitantes e 
M por 10 mil veículos</t>
  </si>
  <si>
    <t>consulte:
CQA</t>
  </si>
  <si>
    <t>consulte:
Rat/R</t>
  </si>
  <si>
    <t>consulte:
AV por 100 mil habitantes</t>
  </si>
  <si>
    <t>consulte:
PM10</t>
  </si>
  <si>
    <r>
      <t xml:space="preserve">Dióxido de nitrogênio
"Formados durante processos de combustão, portanto, em grandes cidades, </t>
    </r>
    <r>
      <rPr>
        <i/>
        <sz val="10"/>
        <rFont val="Times New Roman"/>
        <family val="1"/>
      </rPr>
      <t>os veículos geralmente são os principais responsáveis pela emissão dos óxidos de nitrogênio</t>
    </r>
    <r>
      <rPr>
        <sz val="10"/>
        <rFont val="Times New Roman"/>
        <family val="1"/>
      </rPr>
      <t xml:space="preserve">. [...] As fontes de (NO2) podem ser tanto naturais (vulcanismos, ações bacterianas, descargas elétricas), quanto antropogênicas (processos de combustão em fontes móveis e fixas). As emissões naturais são em maior escala do que as provocadas pelo homem, porém, em razão de sua distribuição sobre o globo terrestre, tem menor impacto sobre as concentrações nos centros urbanos. Altas concentrações de (NO2) podem ter o efeito de levar ao aumento de internações hospitalares, decorrente de problemas respiratórios, problemas pulmonares e agravamento à resposta das pessoas sensíveis a alérgenos. No ambiente pode levar a formação de smog fotoquímico e a chuvas ácidas. O particulado pode também reduzir a visibilidade na atmosfera." (IEMA, 2015b - grifo nosso)
</t>
    </r>
    <r>
      <rPr>
        <b/>
        <sz val="10"/>
        <rFont val="Times New Roman"/>
        <family val="1"/>
      </rPr>
      <t>obs.1:</t>
    </r>
    <r>
      <rPr>
        <sz val="10"/>
        <rFont val="Times New Roman"/>
        <family val="1"/>
      </rPr>
      <t xml:space="preserve"> em BH existem resultados anuais desde o ano 2001 apurados e divulgados para uma estação, qual seja: BH/Praça Rui Barbosa
</t>
    </r>
    <r>
      <rPr>
        <b/>
        <sz val="10"/>
        <rFont val="Times New Roman"/>
        <family val="1"/>
      </rPr>
      <t xml:space="preserve">obs.2: </t>
    </r>
    <r>
      <rPr>
        <sz val="10"/>
        <rFont val="Times New Roman"/>
        <family val="1"/>
      </rPr>
      <t xml:space="preserve">consulte "poluentes"
</t>
    </r>
    <r>
      <rPr>
        <b/>
        <sz val="10"/>
        <rFont val="Times New Roman"/>
        <family val="1"/>
      </rPr>
      <t>obs.3:</t>
    </r>
    <r>
      <rPr>
        <sz val="10"/>
        <rFont val="Times New Roman"/>
        <family val="1"/>
      </rPr>
      <t xml:space="preserve"> resultados em IEMA(2015a)</t>
    </r>
  </si>
  <si>
    <r>
      <t xml:space="preserve">Monóxido de carbono
</t>
    </r>
    <r>
      <rPr>
        <b/>
        <sz val="10"/>
        <rFont val="Times New Roman"/>
        <family val="1"/>
      </rPr>
      <t xml:space="preserve">obs.1: </t>
    </r>
    <r>
      <rPr>
        <sz val="10"/>
        <rFont val="Times New Roman"/>
        <family val="1"/>
      </rPr>
      <t xml:space="preserve">além de BH, na RMBH existem resultados anuais desde o ano 2001 apurados e divulgados para quatro estações, quais sejam: Betim/Centro Administrativo, Contagem/Praça Tancredo Neves, Ibirité/Bairro Cascata, Ibirité/Bairro Piratininga
</t>
    </r>
    <r>
      <rPr>
        <b/>
        <sz val="10"/>
        <rFont val="Times New Roman"/>
        <family val="1"/>
      </rPr>
      <t xml:space="preserve">obs.2: </t>
    </r>
    <r>
      <rPr>
        <sz val="10"/>
        <rFont val="Times New Roman"/>
        <family val="1"/>
      </rPr>
      <t>resultados em IEMA(2015a)</t>
    </r>
  </si>
  <si>
    <r>
      <t xml:space="preserve">Ozônio troposférico
"Poluente secundário, ou seja, não é emitido diretamente, mas formado a partir de outros poluentes atmosféricos, e altamente oxidante na troposfera (camada inferior da atmosfera). O ozônio é encontrado naturalmente na estratosfera (camada situada entre 15 e 50 km de altitude), onde tem a função positiva de absorver radiação solar, impedindo que grande parte dos raios ultravioletas cheguem a superfície terrestre. A formação do ozônio troposférico ocorre através de reações químicas complexas que acontecem entre o dióxido de nitrogênio e compostos orgânicos voláteis, na presença de radiação solar. </t>
    </r>
    <r>
      <rPr>
        <i/>
        <sz val="10"/>
        <rFont val="Times New Roman"/>
        <family val="1"/>
      </rPr>
      <t>Tais poluentes primários que tem como principais fontes de emissão a queima de combustíveis fósseis</t>
    </r>
    <r>
      <rPr>
        <sz val="10"/>
        <rFont val="Times New Roman"/>
        <family val="1"/>
      </rPr>
      <t xml:space="preserve">, volatilização de combustíveis, criação de animais e a agricultura. Entre os efeitos à saúde estão o agravamento dos sintomas de asma, de deficiência respiratória, bem como de outras doenças pulmonares (enfisemas, bronquites, etc.) e cardiovasculares (arteriosclerose). Longo tempo de exposição pode ocasionar redução na capacidade pulmonar, desenvolvimento de asma e redução na expectativa de vida. Além de efeitos sobre a saúde humana, o O3 apresenta também é considerado um agente climático de vida curta, contribuindo para o aquecimento global." (IEMA, 2015b - grifo nosso)
</t>
    </r>
    <r>
      <rPr>
        <b/>
        <sz val="10"/>
        <rFont val="Times New Roman"/>
        <family val="1"/>
      </rPr>
      <t>obs.1:</t>
    </r>
    <r>
      <rPr>
        <sz val="10"/>
        <rFont val="Times New Roman"/>
        <family val="1"/>
      </rPr>
      <t xml:space="preserve"> em BH existem resultados anuais desde o ano 2001 apurados e divulgados para uma estação, qual seja: BH/Praça Rui Barbosa
</t>
    </r>
    <r>
      <rPr>
        <b/>
        <sz val="10"/>
        <rFont val="Times New Roman"/>
        <family val="1"/>
      </rPr>
      <t xml:space="preserve">obs.2: </t>
    </r>
    <r>
      <rPr>
        <sz val="10"/>
        <rFont val="Times New Roman"/>
        <family val="1"/>
      </rPr>
      <t xml:space="preserve">consulte "poluentes"
</t>
    </r>
    <r>
      <rPr>
        <b/>
        <sz val="10"/>
        <rFont val="Times New Roman"/>
        <family val="1"/>
      </rPr>
      <t xml:space="preserve">obs.3: </t>
    </r>
    <r>
      <rPr>
        <sz val="10"/>
        <rFont val="Times New Roman"/>
        <family val="1"/>
      </rPr>
      <t xml:space="preserve">resultados em IEMA(2015a)
</t>
    </r>
  </si>
  <si>
    <r>
      <t>Dióxido de Enxofre
"É um gás tóxico e incolor que pode ser emitido por fontes naturais como vulcões ou por fontes antropogênicas, e que pode reagir com outros compostos na atmosfera formando material particulado de diâmetro reduzido. A emissão antropogênica é causada pela queima de combustíveis fósseis que contêm enxofre em sua composição, tendo nas atividades de geração de energia,</t>
    </r>
    <r>
      <rPr>
        <i/>
        <sz val="10"/>
        <rFont val="Times New Roman"/>
        <family val="1"/>
      </rPr>
      <t xml:space="preserve"> uso veicular</t>
    </r>
    <r>
      <rPr>
        <sz val="10"/>
        <rFont val="Times New Roman"/>
        <family val="1"/>
      </rPr>
      <t xml:space="preserve"> e aquecimento doméstico </t>
    </r>
    <r>
      <rPr>
        <i/>
        <sz val="10"/>
        <rFont val="Times New Roman"/>
        <family val="1"/>
      </rPr>
      <t>as que apresentam emissões mais significativas</t>
    </r>
    <r>
      <rPr>
        <sz val="10"/>
        <rFont val="Times New Roman"/>
        <family val="1"/>
      </rPr>
      <t xml:space="preserve">. Entre os efeitos à saúde, podem ser citados o agravamento dos sintomas da asma e outros problemas respiratórios. Tais óxidos são precursores da formação de material particulado secundário, e no ambiente, podem reagir com a água na atmosfera formando chuva ácida." (IEMA, 2015b - grifo nosso)
</t>
    </r>
    <r>
      <rPr>
        <b/>
        <sz val="10"/>
        <rFont val="Times New Roman"/>
        <family val="1"/>
      </rPr>
      <t>obs.1:</t>
    </r>
    <r>
      <rPr>
        <sz val="10"/>
        <rFont val="Times New Roman"/>
        <family val="1"/>
      </rPr>
      <t xml:space="preserve"> na RMBH existem resultados anuais desde o ano 2001 apurados e divulgados para cinco estações BH/Praça Rui Barbosa, Betim/Bairro Jardim das Alterosas, Betim/Bairro Petrovale, Ibirité/Bairro Cascata, Ibirité/Bairro Piratininga
</t>
    </r>
    <r>
      <rPr>
        <b/>
        <sz val="10"/>
        <rFont val="Times New Roman"/>
        <family val="1"/>
      </rPr>
      <t>obs.:</t>
    </r>
    <r>
      <rPr>
        <sz val="10"/>
        <rFont val="Times New Roman"/>
        <family val="1"/>
      </rPr>
      <t xml:space="preserve"> consulte "poluentes"
</t>
    </r>
    <r>
      <rPr>
        <b/>
        <sz val="10"/>
        <rFont val="Times New Roman"/>
        <family val="1"/>
      </rPr>
      <t>obs.3:</t>
    </r>
    <r>
      <rPr>
        <sz val="10"/>
        <rFont val="Times New Roman"/>
        <family val="1"/>
      </rPr>
      <t xml:space="preserve"> resultados em IEMA(2015a)</t>
    </r>
  </si>
  <si>
    <t>consulte:
IQA</t>
  </si>
  <si>
    <r>
      <t xml:space="preserve">Dióxido de Enxofre
</t>
    </r>
    <r>
      <rPr>
        <b/>
        <sz val="10"/>
        <rFont val="Times New Roman"/>
        <family val="1"/>
      </rPr>
      <t xml:space="preserve">obs.1: </t>
    </r>
    <r>
      <rPr>
        <sz val="10"/>
        <rFont val="Times New Roman"/>
        <family val="1"/>
      </rPr>
      <t xml:space="preserve">na RMBH existem resultados anuais desde o ano 2001 apurados e divulgados para cinco estações BH/Praça Rui Barbosa, Betim/Bairro Jardim das Alterosas, Betim/Bairro Petrovale, Ibirité/Bairro Cascata, Ibirité/Bairro Piratininga
</t>
    </r>
    <r>
      <rPr>
        <b/>
        <sz val="10"/>
        <rFont val="Times New Roman"/>
        <family val="1"/>
      </rPr>
      <t xml:space="preserve">obs.2: </t>
    </r>
    <r>
      <rPr>
        <sz val="10"/>
        <rFont val="Times New Roman"/>
        <family val="1"/>
      </rPr>
      <t>resultados em IEMA(2015a)</t>
    </r>
  </si>
  <si>
    <t>consulte:
TRm</t>
  </si>
  <si>
    <r>
      <rPr>
        <b/>
        <sz val="12"/>
        <color theme="1"/>
        <rFont val="Times New Roman"/>
        <family val="1"/>
      </rPr>
      <t xml:space="preserve">ANTP(2013a): </t>
    </r>
    <r>
      <rPr>
        <sz val="12"/>
        <color theme="1"/>
        <rFont val="Times New Roman"/>
        <family val="1"/>
      </rPr>
      <t xml:space="preserve">ASSOCIAÇÃO NACIONAL DE TRANSPORTES PÚBLICOS - ANTP. </t>
    </r>
    <r>
      <rPr>
        <i/>
        <sz val="12"/>
        <color theme="1"/>
        <rFont val="Times New Roman"/>
        <family val="1"/>
      </rPr>
      <t>Pesquisa de Imagem dos Transportes na Região Metropolitana de São Paulo 2012</t>
    </r>
    <r>
      <rPr>
        <sz val="12"/>
        <color theme="1"/>
        <rFont val="Times New Roman"/>
        <family val="1"/>
      </rPr>
      <t>. São Paulo: ANTP, [2013]. [80p.].</t>
    </r>
  </si>
  <si>
    <r>
      <t xml:space="preserve">n.º de meses transcorridos entre duas pesquisas consecutivas de opinião realizadas na Região Metropolitana de São Paulo (RMSP)
</t>
    </r>
    <r>
      <rPr>
        <b/>
        <sz val="10"/>
        <color theme="1"/>
        <rFont val="Times New Roman"/>
        <family val="1"/>
      </rPr>
      <t xml:space="preserve">obs.: </t>
    </r>
    <r>
      <rPr>
        <sz val="10"/>
        <color theme="1"/>
        <rFont val="Times New Roman"/>
        <family val="1"/>
      </rPr>
      <t xml:space="preserve"> resultados de 1996 a 2011 em OLIVEIRA (2014, p.364/Gráfico 73); de 2012 em ANTP(2013a, p.3)</t>
    </r>
  </si>
  <si>
    <r>
      <t xml:space="preserve">n.º total de reclamações registradas
</t>
    </r>
    <r>
      <rPr>
        <b/>
        <sz val="10"/>
        <color theme="1"/>
        <rFont val="Times New Roman"/>
        <family val="1"/>
      </rPr>
      <t>obs.:</t>
    </r>
    <r>
      <rPr>
        <sz val="10"/>
        <color theme="1"/>
        <rFont val="Times New Roman"/>
        <family val="1"/>
      </rPr>
      <t xml:space="preserve"> "reclamações = n.º total de contatos manifestando insatisfação com os serviços, aí incluindo as reiterações de solicitações", componente de IRE, recomendado em ANTP(2011a, p.19)</t>
    </r>
  </si>
  <si>
    <r>
      <t xml:space="preserve">n.º de reclamações registradas contra agentes de trânsito
</t>
    </r>
    <r>
      <rPr>
        <b/>
        <sz val="10"/>
        <color theme="1"/>
        <rFont val="Times New Roman"/>
        <family val="1"/>
      </rPr>
      <t xml:space="preserve">obs.: </t>
    </r>
    <r>
      <rPr>
        <sz val="10"/>
        <color theme="1"/>
        <rFont val="Times New Roman"/>
        <family val="1"/>
      </rPr>
      <t>"n.º de reclamações contra agentes de trânsito" para compor o indicador IRA recomendado em ANTP(2011a, p.20)</t>
    </r>
  </si>
  <si>
    <r>
      <t xml:space="preserve">tempo médio de resposta à solicitação
</t>
    </r>
    <r>
      <rPr>
        <b/>
        <sz val="10"/>
        <color theme="1"/>
        <rFont val="Times New Roman"/>
        <family val="1"/>
      </rPr>
      <t xml:space="preserve">obs.: </t>
    </r>
    <r>
      <rPr>
        <sz val="10"/>
        <color theme="1"/>
        <rFont val="Times New Roman"/>
        <family val="1"/>
      </rPr>
      <t>indicador recomendado em ANTP(2011a, p.23)</t>
    </r>
  </si>
  <si>
    <r>
      <t xml:space="preserve">volume diário médio 
obs.: "(simples ou equivalente), que pode ser estimado a partir de contagem do volume em hora de pico, aplicando-se a esse valor o fator de expansão para o dia todo, da via considerada".
</t>
    </r>
    <r>
      <rPr>
        <b/>
        <sz val="10"/>
        <color theme="1"/>
        <rFont val="Times New Roman"/>
        <family val="1"/>
      </rPr>
      <t>obs.:</t>
    </r>
    <r>
      <rPr>
        <sz val="10"/>
        <color theme="1"/>
        <rFont val="Times New Roman"/>
        <family val="1"/>
      </rPr>
      <t xml:space="preserve"> IPV é indicador recomendado em ANTP(2011a, p.43)</t>
    </r>
  </si>
  <si>
    <r>
      <t xml:space="preserve">índice de disposição de efluentes líquidos
objetivo: avaliar o tratamento dados aos efluentes líquidos gerados pelos processos da organização.
observações: Exemplos: solventes utilizados em limpeza e manutenção, óleos lubrificantes utilizados, água contaminada por solventes ou óleos etc.
</t>
    </r>
    <r>
      <rPr>
        <b/>
        <sz val="10"/>
        <color theme="1"/>
        <rFont val="Times New Roman"/>
        <family val="1"/>
      </rPr>
      <t xml:space="preserve">obs.: </t>
    </r>
    <r>
      <rPr>
        <sz val="10"/>
        <color theme="1"/>
        <rFont val="Times New Roman"/>
        <family val="1"/>
      </rPr>
      <t>indicador recomendado em ANTP(2011b, p.34)</t>
    </r>
  </si>
  <si>
    <r>
      <t xml:space="preserve">índice médio de veículos infratores no estacionamento rotativo, expresso em percentual de veículos infratores
</t>
    </r>
    <r>
      <rPr>
        <b/>
        <sz val="10"/>
        <rFont val="Times New Roman"/>
        <family val="1"/>
      </rPr>
      <t>obs.:</t>
    </r>
    <r>
      <rPr>
        <sz val="10"/>
        <rFont val="Times New Roman"/>
        <family val="1"/>
      </rPr>
      <t xml:space="preserve"> "objetivo: medir a taxa de uso inadequado do comprovante de pagamento do estacionamento rotativo; fórmula = (n.º de veículos infratores / n.º de veículos [fiscalizados]) x 100 recomendado em ANTP(2011a, p.58)</t>
    </r>
  </si>
  <si>
    <r>
      <t xml:space="preserve">índice de reclamações, expresso em número de reclamações por milhão de passageiros
pagantes.
</t>
    </r>
    <r>
      <rPr>
        <b/>
        <sz val="10"/>
        <color theme="1"/>
        <rFont val="Times New Roman"/>
        <family val="1"/>
      </rPr>
      <t xml:space="preserve">obs.: </t>
    </r>
    <r>
      <rPr>
        <sz val="10"/>
        <color theme="1"/>
        <rFont val="Times New Roman"/>
        <family val="1"/>
      </rPr>
      <t>indicador recomendado em ANTP(2011b, p.23)</t>
    </r>
  </si>
  <si>
    <r>
      <t xml:space="preserve">índice de reclamações contra agentes de trânsito
</t>
    </r>
    <r>
      <rPr>
        <b/>
        <sz val="10"/>
        <color theme="1"/>
        <rFont val="Times New Roman"/>
        <family val="1"/>
      </rPr>
      <t xml:space="preserve">obs.: </t>
    </r>
    <r>
      <rPr>
        <sz val="10"/>
        <color theme="1"/>
        <rFont val="Times New Roman"/>
        <family val="1"/>
      </rPr>
      <t>calculado por meio da fórmula IRA = n.º de reclamações contra agentes de trânsito /  n.º de agentes de trânsito em operação, medido mensalmente, com o objetivo de "aferir o grau de satusfação dos clientes em relação à ação do agente de trânsito", recomendado em ANTP(2011a, p.20)</t>
    </r>
  </si>
  <si>
    <r>
      <t xml:space="preserve">índice de reclamações, expresso em percentual de reclamações
</t>
    </r>
    <r>
      <rPr>
        <b/>
        <sz val="10"/>
        <color theme="1"/>
        <rFont val="Times New Roman"/>
        <family val="1"/>
      </rPr>
      <t xml:space="preserve">obs.: </t>
    </r>
    <r>
      <rPr>
        <sz val="10"/>
        <color theme="1"/>
        <rFont val="Times New Roman"/>
        <family val="1"/>
      </rPr>
      <t>indicador recomendado em ANTP(2011a, p.19)</t>
    </r>
  </si>
  <si>
    <r>
      <t xml:space="preserve">índice de acidentes com vítimas relativo à população
</t>
    </r>
    <r>
      <rPr>
        <b/>
        <sz val="10"/>
        <color theme="1"/>
        <rFont val="Times New Roman"/>
        <family val="1"/>
      </rPr>
      <t xml:space="preserve">obs.: </t>
    </r>
    <r>
      <rPr>
        <sz val="10"/>
        <color theme="1"/>
        <rFont val="Times New Roman"/>
        <family val="1"/>
      </rPr>
      <t>indicador recomendado em ANTP(2011a, p.46)</t>
    </r>
  </si>
  <si>
    <r>
      <t xml:space="preserve">índice de venda de folhas de rotativo, expresso em número de comprovantes por vaga
obs.: objetivo: medir a relação de venda de talão de estacionamento rotativo com a disponibilidade de vagas rotativas; fórmula = n.º de comprovantes de estacionamento / (n.º de vagas rotativas nos dias úteis x dia útil equivalente)
</t>
    </r>
    <r>
      <rPr>
        <b/>
        <sz val="10"/>
        <rFont val="Times New Roman"/>
        <family val="1"/>
      </rPr>
      <t xml:space="preserve">obs.: </t>
    </r>
    <r>
      <rPr>
        <sz val="10"/>
        <rFont val="Times New Roman"/>
        <family val="1"/>
      </rPr>
      <t>indicador recomendado em ANTP(2011a, p.60)</t>
    </r>
  </si>
  <si>
    <r>
      <t xml:space="preserve">n.º de quilômetros estimados a partir do total de combustível consumido pela cidade adotando-se um consume médio de combustível por veículo
</t>
    </r>
    <r>
      <rPr>
        <b/>
        <sz val="10"/>
        <color theme="1"/>
        <rFont val="Times New Roman"/>
        <family val="1"/>
      </rPr>
      <t xml:space="preserve">obs.: </t>
    </r>
    <r>
      <rPr>
        <sz val="10"/>
        <color theme="1"/>
        <rFont val="Times New Roman"/>
        <family val="1"/>
      </rPr>
      <t>IPQ é indicador recomendado como adotado internacionalmente em ANTP(2011a, p.44)</t>
    </r>
  </si>
  <si>
    <r>
      <t xml:space="preserve">extensão do trecho de via, em km
</t>
    </r>
    <r>
      <rPr>
        <b/>
        <sz val="10"/>
        <color theme="1"/>
        <rFont val="Times New Roman"/>
        <family val="1"/>
      </rPr>
      <t>obs.:</t>
    </r>
    <r>
      <rPr>
        <sz val="10"/>
        <color theme="1"/>
        <rFont val="Times New Roman"/>
        <family val="1"/>
      </rPr>
      <t xml:space="preserve"> IPV é indicador recomendado em ANTP(2011a, p.43)</t>
    </r>
  </si>
  <si>
    <r>
      <t xml:space="preserve">somatória de todos os tipos de manifestações dirigidas à organização 
</t>
    </r>
    <r>
      <rPr>
        <b/>
        <sz val="10"/>
        <color theme="1"/>
        <rFont val="Times New Roman"/>
        <family val="1"/>
      </rPr>
      <t xml:space="preserve">obs.: </t>
    </r>
    <r>
      <rPr>
        <sz val="10"/>
        <color theme="1"/>
        <rFont val="Times New Roman"/>
        <family val="1"/>
      </rPr>
      <t>IRE é indicador recomendado em ANTP(2011a, p.19)</t>
    </r>
  </si>
  <si>
    <r>
      <rPr>
        <b/>
        <sz val="12"/>
        <color theme="1"/>
        <rFont val="Times New Roman"/>
        <family val="1"/>
      </rPr>
      <t>BH(1994a):</t>
    </r>
    <r>
      <rPr>
        <sz val="12"/>
        <color theme="1"/>
        <rFont val="Times New Roman"/>
        <family val="1"/>
      </rPr>
      <t xml:space="preserve"> BELO HORIZONTE. </t>
    </r>
    <r>
      <rPr>
        <i/>
        <sz val="12"/>
        <color theme="1"/>
        <rFont val="Times New Roman"/>
        <family val="1"/>
      </rPr>
      <t>Lei 6.661/1994, de 14 de junho de 1994</t>
    </r>
    <r>
      <rPr>
        <sz val="12"/>
        <color theme="1"/>
        <rFont val="Times New Roman"/>
        <family val="1"/>
      </rPr>
      <t>. Regulamenta o art. 52 da Lei Orgânica do Município de Belo Horizonte e dá outras providências. Disponível para pesquisa em: &lt;http://www.cmbh.mg.gov.br/leis/legislacao/pesquisa&gt;. Acesso em: 02/03/2016.</t>
    </r>
  </si>
  <si>
    <r>
      <t xml:space="preserve">percentual de avaliação positiva (ótimo + bom) do transporte coletivo de Belo Horizonte
</t>
    </r>
    <r>
      <rPr>
        <b/>
        <sz val="10"/>
        <color theme="1"/>
        <rFont val="Times New Roman"/>
        <family val="1"/>
      </rPr>
      <t>obs.1:</t>
    </r>
    <r>
      <rPr>
        <sz val="10"/>
        <color theme="1"/>
        <rFont val="Times New Roman"/>
        <family val="1"/>
      </rPr>
      <t xml:space="preserve"> este indicador é obtido pela soma dos percentuais de "ótimo" e "bom" ou de "nota 5" e "nota 4" na avaliação geral do transporte coletivo, ou, quando não há os resultados das parcelas, é obtido diretamente na fonte
</t>
    </r>
    <r>
      <rPr>
        <b/>
        <sz val="10"/>
        <color theme="1"/>
        <rFont val="Times New Roman"/>
        <family val="1"/>
      </rPr>
      <t xml:space="preserve">obs.2: </t>
    </r>
    <r>
      <rPr>
        <sz val="10"/>
        <color theme="1"/>
        <rFont val="Times New Roman"/>
        <family val="1"/>
      </rPr>
      <t xml:space="preserve">indicador estratégico em BHTRANS (2015d) 
</t>
    </r>
    <r>
      <rPr>
        <b/>
        <sz val="10"/>
        <color theme="1"/>
        <rFont val="Times New Roman"/>
        <family val="1"/>
      </rPr>
      <t xml:space="preserve">obs.3: </t>
    </r>
    <r>
      <rPr>
        <sz val="10"/>
        <color theme="1"/>
        <rFont val="Times New Roman"/>
        <family val="1"/>
      </rPr>
      <t xml:space="preserve">este indicador faz parte dos balanços da mobilidade do Observatório da Mobilidade de Belo Horizonte com o nome "Avaliação geral do transporte coletivo [AVGE] (percentual de ótimo/bom)" - (BHTRANS, 2011a, p.15, 2012a, p.18) ou </t>
    </r>
    <r>
      <rPr>
        <sz val="10"/>
        <rFont val="Times New Roman"/>
        <family val="1"/>
      </rPr>
      <t>"Percentual de avaliação positiva do transporte coletivo" em BHTRANS (2015e, p.43)</t>
    </r>
    <r>
      <rPr>
        <sz val="10"/>
        <color theme="1"/>
        <rFont val="Times New Roman"/>
        <family val="1"/>
      </rPr>
      <t xml:space="preserve">
</t>
    </r>
    <r>
      <rPr>
        <b/>
        <sz val="10"/>
        <color theme="1"/>
        <rFont val="Times New Roman"/>
        <family val="1"/>
      </rPr>
      <t xml:space="preserve">obs.4: </t>
    </r>
    <r>
      <rPr>
        <sz val="10"/>
        <color theme="1"/>
        <rFont val="Times New Roman"/>
        <family val="1"/>
      </rPr>
      <t>este indicador faz parte do Planejamento Estratégico da BHTrans com o nome "Avaliação geral do transporte coletivo" em BHTRANS(2010a, p.22; 2013a, p.20)</t>
    </r>
  </si>
  <si>
    <r>
      <rPr>
        <b/>
        <sz val="10"/>
        <color theme="1"/>
        <rFont val="Times New Roman"/>
        <family val="1"/>
      </rPr>
      <t>2010:</t>
    </r>
    <r>
      <rPr>
        <sz val="10"/>
        <color theme="1"/>
        <rFont val="Times New Roman"/>
        <family val="1"/>
      </rPr>
      <t xml:space="preserve"> "ampliar o percentual de usuários satisfeitos com os serviços do transporte coletivo por ônibus de 12%, de ótimo/bom em 2008, para 50% em 2014 e 60% em 2020" em BHTRANS(2010a, p.22)
</t>
    </r>
    <r>
      <rPr>
        <b/>
        <sz val="10"/>
        <color theme="1"/>
        <rFont val="Times New Roman"/>
        <family val="1"/>
      </rPr>
      <t xml:space="preserve">2013: </t>
    </r>
    <r>
      <rPr>
        <sz val="10"/>
        <color theme="1"/>
        <rFont val="Times New Roman"/>
        <family val="1"/>
      </rPr>
      <t>"ampliar o percentual de usuários satisfeitos com os serviços do transporte coletivo por ônibus de 21% (sic), de ótimo/bom em 2012, para 30% em 2016 e 60% em 2020" em BHTRANS(2013a, p.20)</t>
    </r>
  </si>
  <si>
    <t>emissões atmosféricas
(metas)</t>
  </si>
  <si>
    <r>
      <t xml:space="preserve">"Constituem-se metas de caráter ambiental associadas à mobilidade urbana: II - reduzir, em relação à tendência existente quando da publicação desta Lei, os níveis de emissões atmosféricas locais." 
</t>
    </r>
    <r>
      <rPr>
        <b/>
        <sz val="10"/>
        <rFont val="Times New Roman"/>
        <family val="1"/>
      </rPr>
      <t xml:space="preserve">obs.: </t>
    </r>
    <r>
      <rPr>
        <sz val="10"/>
        <rFont val="Times New Roman"/>
        <family val="1"/>
      </rPr>
      <t>conforme BH(2015c, art.336).</t>
    </r>
  </si>
  <si>
    <r>
      <t xml:space="preserve">frota total de veículos automotores registrados no município de São Paulo
</t>
    </r>
    <r>
      <rPr>
        <b/>
        <sz val="10"/>
        <color theme="1"/>
        <rFont val="Times New Roman"/>
        <family val="1"/>
      </rPr>
      <t xml:space="preserve">obs.: </t>
    </r>
    <r>
      <rPr>
        <sz val="10"/>
        <color theme="1"/>
        <rFont val="Times New Roman"/>
        <family val="1"/>
      </rPr>
      <t>resultados de 2008 a 2014 em SP(2015c)</t>
    </r>
  </si>
  <si>
    <r>
      <t xml:space="preserve">percentual de viagens em modos não motorizados (bicicleta e a pé) em relação ao total de viagens
</t>
    </r>
    <r>
      <rPr>
        <b/>
        <sz val="10"/>
        <color theme="1"/>
        <rFont val="Times New Roman"/>
        <family val="1"/>
      </rPr>
      <t xml:space="preserve">obs: </t>
    </r>
    <r>
      <rPr>
        <sz val="10"/>
        <color theme="1"/>
        <rFont val="Times New Roman"/>
        <family val="1"/>
      </rPr>
      <t>indicador estratégico da BHTrans com o nome "percentual de viagens em modos não motorizados (bicicleta e a pé)" (BHTRANS, 2015d)</t>
    </r>
  </si>
  <si>
    <t>DM
bicicleta
(meta)</t>
  </si>
  <si>
    <r>
      <t xml:space="preserve">porcentagem de passageiros do transporte coletivo beneficiados com políticas de integração (indicador organizado pelo ObsMob-BH e selecionado pelo CMMCE)
</t>
    </r>
    <r>
      <rPr>
        <b/>
        <sz val="10"/>
        <color theme="1"/>
        <rFont val="Times New Roman"/>
        <family val="1"/>
      </rPr>
      <t>obs.:</t>
    </r>
    <r>
      <rPr>
        <sz val="10"/>
        <color theme="1"/>
        <rFont val="Times New Roman"/>
        <family val="1"/>
      </rPr>
      <t xml:space="preserve"> "Art. 371 - Constitui meta relativa à integração dos modos de transporte a implantação de bilhete
único integrando todos os modos de transporte público, com opção de compra diária, semanal e mensal" estabelecido em BH(2015c, art.371)</t>
    </r>
  </si>
  <si>
    <r>
      <t xml:space="preserve">percentual de viagens em modos coletivos em relação ao total de viagens motorizadas
</t>
    </r>
    <r>
      <rPr>
        <b/>
        <sz val="10"/>
        <color theme="1"/>
        <rFont val="Times New Roman"/>
        <family val="1"/>
      </rPr>
      <t xml:space="preserve">obs: </t>
    </r>
    <r>
      <rPr>
        <sz val="10"/>
        <color theme="1"/>
        <rFont val="Times New Roman"/>
        <family val="1"/>
      </rPr>
      <t>indicador estratégico da BHTrans conforme BHTRANS(2015d)</t>
    </r>
  </si>
  <si>
    <r>
      <t xml:space="preserve">"Constituem metas relativas ao transporte por bicicleta: I - elevar, de forma gradual, a participação do modal [sic] bicicleta na matriz de viagens, buscando atingir 6% (seis por cento) do total de deslocamentos"
</t>
    </r>
    <r>
      <rPr>
        <b/>
        <sz val="10"/>
        <color theme="1"/>
        <rFont val="Times New Roman"/>
        <family val="1"/>
      </rPr>
      <t xml:space="preserve">obs.1: </t>
    </r>
    <r>
      <rPr>
        <sz val="10"/>
        <color theme="1"/>
        <rFont val="Times New Roman"/>
        <family val="1"/>
      </rPr>
      <t xml:space="preserve">conforme BH(2015c, art.343)
</t>
    </r>
    <r>
      <rPr>
        <b/>
        <sz val="10"/>
        <color theme="1"/>
        <rFont val="Times New Roman"/>
        <family val="1"/>
      </rPr>
      <t xml:space="preserve">obs.2: </t>
    </r>
    <r>
      <rPr>
        <sz val="10"/>
        <color theme="1"/>
        <rFont val="Times New Roman"/>
        <family val="1"/>
      </rPr>
      <t>como "viagem" e "deslocamento" são dimensões distintas, há que se definir melhor esta meta, além de se definir o ano-meta</t>
    </r>
  </si>
  <si>
    <r>
      <rPr>
        <b/>
        <sz val="12"/>
        <rFont val="Times New Roman"/>
        <family val="1"/>
      </rPr>
      <t xml:space="preserve">BHTRANS(2011d): </t>
    </r>
    <r>
      <rPr>
        <sz val="12"/>
        <color theme="1"/>
        <rFont val="Times New Roman"/>
        <family val="1"/>
      </rPr>
      <t xml:space="preserve">EMPRESA DE TRANSPORTES E TRÂNSITO DE BELO HORIZONTE S.A - BHTRANS. </t>
    </r>
    <r>
      <rPr>
        <i/>
        <sz val="12"/>
        <color theme="1"/>
        <rFont val="Times New Roman"/>
        <family val="1"/>
      </rPr>
      <t>Concluído projeto do uso de LEDs nos semáforos da cidade</t>
    </r>
    <r>
      <rPr>
        <sz val="12"/>
        <color theme="1"/>
        <rFont val="Times New Roman"/>
        <family val="1"/>
      </rPr>
      <t>. Belo Horizonte: BHTrans, 8 set. 2011. Disponível em: &lt;http://bhtrans.pbh.gov.br/portal/page/portal/portalpublico/Temas/Noticias/led_080911&gt;. Acesso em: 1º abr. 2015 e em 2 mar. 2016.</t>
    </r>
  </si>
  <si>
    <r>
      <rPr>
        <b/>
        <sz val="12"/>
        <color theme="1"/>
        <rFont val="Times New Roman"/>
        <family val="1"/>
      </rPr>
      <t>FEAM/MG (2013):</t>
    </r>
    <r>
      <rPr>
        <sz val="12"/>
        <color theme="1"/>
        <rFont val="Times New Roman"/>
        <family val="1"/>
      </rPr>
      <t xml:space="preserve"> FUNDAÇÃO ESTADUAL DO MEIO AMBIENTE - FEAM/MG. </t>
    </r>
    <r>
      <rPr>
        <i/>
        <sz val="12"/>
        <color theme="1"/>
        <rFont val="Times New Roman"/>
        <family val="1"/>
      </rPr>
      <t>Monitoramento da qualidade do ar na Região Metropolitana de Belo Horizonte no ano base de 2011 - Relatório Técnico</t>
    </r>
    <r>
      <rPr>
        <sz val="12"/>
        <color theme="1"/>
        <rFont val="Times New Roman"/>
        <family val="1"/>
      </rPr>
      <t>. Belo Horizonte, janeiro 2013. 56p. Disponível em: &lt;http://www.feam.br/images/stories/arquivos/mudnacaclimatica/2013/relatorio_de_qualidade_do-ar_2011_final.pdf&gt;. Acesso em: 2 mar. 2016.</t>
    </r>
  </si>
  <si>
    <r>
      <rPr>
        <b/>
        <sz val="12"/>
        <color theme="1"/>
        <rFont val="Times New Roman"/>
        <family val="1"/>
      </rPr>
      <t xml:space="preserve">FEAM/MG(2003a): </t>
    </r>
    <r>
      <rPr>
        <sz val="12"/>
        <color theme="1"/>
        <rFont val="Times New Roman"/>
        <family val="1"/>
      </rPr>
      <t xml:space="preserve">FUNDAÇÃO ESTADUAL DO MEIO AMBIENTE - FEAM/MG. </t>
    </r>
    <r>
      <rPr>
        <i/>
        <sz val="12"/>
        <color theme="1"/>
        <rFont val="Times New Roman"/>
        <family val="1"/>
      </rPr>
      <t>Monitoramento da qualidade do ar: as concentrações de partículas inaláveis (PM-10) na Região Metropolitana de Belo Horizonte entre 1995 e 2002</t>
    </r>
    <r>
      <rPr>
        <sz val="12"/>
        <color theme="1"/>
        <rFont val="Times New Roman"/>
        <family val="1"/>
      </rPr>
      <t>. Belo Horizonte, [2003. 12p.]. Disponível para pesquisa em: &lt;http://portalpbh.pbh.gov.br/pbh/ecp/comunidade.do?evento=portlet&amp;pIdPlc=ecpTaxonomiaMenuPortal&amp;app=meioambiente&amp;lang=pt_BR&amp;pg=5700&amp;tax=43618&gt;. Acesso em: 2 mar. 2016.</t>
    </r>
  </si>
  <si>
    <r>
      <rPr>
        <b/>
        <sz val="12"/>
        <color theme="1"/>
        <rFont val="Times New Roman"/>
        <family val="1"/>
      </rPr>
      <t xml:space="preserve">FEAM/MG(2003b): </t>
    </r>
    <r>
      <rPr>
        <sz val="12"/>
        <color theme="1"/>
        <rFont val="Times New Roman"/>
        <family val="1"/>
      </rPr>
      <t xml:space="preserve">FUNDAÇÃO ESTADUAL DO MEIO AMBIENTE - FEAM/MG. </t>
    </r>
    <r>
      <rPr>
        <i/>
        <sz val="12"/>
        <color theme="1"/>
        <rFont val="Times New Roman"/>
        <family val="1"/>
      </rPr>
      <t>Monitoramento da qualidade do ar na Região Metropolitana de Belo Horizonte - Período de 2001 a 2002</t>
    </r>
    <r>
      <rPr>
        <sz val="12"/>
        <color theme="1"/>
        <rFont val="Times New Roman"/>
        <family val="1"/>
      </rPr>
      <t>. Belo Horizonte, março 2003. 55p. Disponível para pesquisa em: &lt;http://portalpbh.pbh.gov.br/pbh/ecp/comunidade.do?evento=portlet&amp;pIdPlc=ecpTaxonomiaMenuPortal&amp;app=meioambiente&amp;lang=pt_BR&amp;pg=5700&amp;tax=43618&gt;. Acesso em: 2 mar. 2016.</t>
    </r>
  </si>
  <si>
    <r>
      <rPr>
        <b/>
        <sz val="12"/>
        <color theme="1"/>
        <rFont val="Times New Roman"/>
        <family val="1"/>
      </rPr>
      <t xml:space="preserve">FEAM/MG(2005): </t>
    </r>
    <r>
      <rPr>
        <sz val="12"/>
        <color theme="1"/>
        <rFont val="Times New Roman"/>
        <family val="1"/>
      </rPr>
      <t xml:space="preserve">FUNDAÇÃO ESTADUAL DO MEIO AMBIENTE - FEAM/MG. </t>
    </r>
    <r>
      <rPr>
        <i/>
        <sz val="12"/>
        <color theme="1"/>
        <rFont val="Times New Roman"/>
        <family val="1"/>
      </rPr>
      <t>Monitoramento da qualidade do ar na Região Metropolitana de Belo Horizonte - Período de 2003 a 2004</t>
    </r>
    <r>
      <rPr>
        <sz val="12"/>
        <color theme="1"/>
        <rFont val="Times New Roman"/>
        <family val="1"/>
      </rPr>
      <t>. Belo Horizonte, julho 2005. 48p. Disponível para pesquisa em: &lt;http://portalpbh.pbh.gov.br/pbh/ecp/comunidade.do?evento=portlet&amp;pIdPlc=ecpTaxonomiaMenuPortal&amp;app=meioambiente&amp;lang=pt_BR&amp;pg=5700&amp;tax=43618&gt;. Acesso em: 2 mar. 2016.</t>
    </r>
  </si>
  <si>
    <r>
      <rPr>
        <b/>
        <sz val="12"/>
        <color theme="1"/>
        <rFont val="Times New Roman"/>
        <family val="1"/>
      </rPr>
      <t xml:space="preserve">FEAM/MG(2006): </t>
    </r>
    <r>
      <rPr>
        <sz val="12"/>
        <color theme="1"/>
        <rFont val="Times New Roman"/>
        <family val="1"/>
      </rPr>
      <t xml:space="preserve">FUNDAÇÃO ESTADUAL DO MEIO AMBIENTE - FEAM/MG. </t>
    </r>
    <r>
      <rPr>
        <i/>
        <sz val="12"/>
        <color theme="1"/>
        <rFont val="Times New Roman"/>
        <family val="1"/>
      </rPr>
      <t>Monitoramento da qualidade do ar na Região Metropolitana de Belo Horizonte em 2005</t>
    </r>
    <r>
      <rPr>
        <sz val="12"/>
        <color theme="1"/>
        <rFont val="Times New Roman"/>
        <family val="1"/>
      </rPr>
      <t>. Belo Horizonte, outubro 2006. 56p. Disponível para pesquisa em: &lt;http://portalpbh.pbh.gov.br/pbh/ecp/comunidade.do?evento=portlet&amp;pIdPlc=ecpTaxonomiaMenuPortal&amp;app=meioambiente&amp;lang=pt_BR&amp;pg=5700&amp;tax=43618&gt;. Acesso em: 2 mar. 2016.</t>
    </r>
  </si>
  <si>
    <r>
      <rPr>
        <b/>
        <sz val="12"/>
        <color theme="1"/>
        <rFont val="Times New Roman"/>
        <family val="1"/>
      </rPr>
      <t xml:space="preserve">FEAM/MG(2007): </t>
    </r>
    <r>
      <rPr>
        <sz val="12"/>
        <color theme="1"/>
        <rFont val="Times New Roman"/>
        <family val="1"/>
      </rPr>
      <t xml:space="preserve">FUNDAÇÃO ESTADUAL DO MEIO AMBIENTE - FEAM/MG. </t>
    </r>
    <r>
      <rPr>
        <i/>
        <sz val="12"/>
        <color theme="1"/>
        <rFont val="Times New Roman"/>
        <family val="1"/>
      </rPr>
      <t>Monitoramento da qualidade do ar na Região Metropolitana de Belo Horizonte em 2006</t>
    </r>
    <r>
      <rPr>
        <sz val="12"/>
        <color theme="1"/>
        <rFont val="Times New Roman"/>
        <family val="1"/>
      </rPr>
      <t>. Belo Horizonte, dezembro 2007. 55p. Disponível para pesquisa em: &lt;http://portalpbh.pbh.gov.br/pbh/ecp/comunidade.do?evento=portlet&amp;pIdPlc=ecpTaxonomiaMenuPortal&amp;app=meioambiente&amp;lang=pt_BR&amp;pg=5700&amp;tax=43618&gt;. Acesso em: 2 mar. 2016.</t>
    </r>
  </si>
  <si>
    <r>
      <rPr>
        <b/>
        <sz val="12"/>
        <color theme="1"/>
        <rFont val="Times New Roman"/>
        <family val="1"/>
      </rPr>
      <t xml:space="preserve">FEAM/MG(2008): </t>
    </r>
    <r>
      <rPr>
        <sz val="12"/>
        <color theme="1"/>
        <rFont val="Times New Roman"/>
        <family val="1"/>
      </rPr>
      <t xml:space="preserve">FUNDAÇÃO ESTADUAL DO MEIO AMBIENTE - FEAM/MG. </t>
    </r>
    <r>
      <rPr>
        <i/>
        <sz val="12"/>
        <color theme="1"/>
        <rFont val="Times New Roman"/>
        <family val="1"/>
      </rPr>
      <t>Monitoramento da qualidade do ar na Região Metropolitana de Belo Horizonte em 2007</t>
    </r>
    <r>
      <rPr>
        <sz val="12"/>
        <color theme="1"/>
        <rFont val="Times New Roman"/>
        <family val="1"/>
      </rPr>
      <t>. Belo Horizonte, julho 2008. 47p. Disponível para pesquisa em: &lt;http://portalpbh.pbh.gov.br/pbh/ecp/comunidade.do?evento=portlet&amp;pIdPlc=ecpTaxonomiaMenuPortal&amp;app=meioambiente&amp;lang=pt_BR&amp;pg=5700&amp;tax=43618&gt;. Acesso em: 2 mar. 2016.</t>
    </r>
  </si>
  <si>
    <r>
      <rPr>
        <b/>
        <sz val="12"/>
        <color theme="1"/>
        <rFont val="Times New Roman"/>
        <family val="1"/>
      </rPr>
      <t xml:space="preserve">FEAM/MG(2009): </t>
    </r>
    <r>
      <rPr>
        <sz val="12"/>
        <color theme="1"/>
        <rFont val="Times New Roman"/>
        <family val="1"/>
      </rPr>
      <t xml:space="preserve">FUNDAÇÃO ESTADUAL DO MEIO AMBIENTE - FEAM/MG. </t>
    </r>
    <r>
      <rPr>
        <i/>
        <sz val="12"/>
        <color theme="1"/>
        <rFont val="Times New Roman"/>
        <family val="1"/>
      </rPr>
      <t>Monitoramento da qualidade do ar na Região Metropolitana de Belo Horizonte em 2008</t>
    </r>
    <r>
      <rPr>
        <sz val="12"/>
        <color theme="1"/>
        <rFont val="Times New Roman"/>
        <family val="1"/>
      </rPr>
      <t>. Belo Horizonte, julho 2009. 47p. Disponível para pesquisa em: &lt;http://portalpbh.pbh.gov.br/pbh/ecp/comunidade.do?evento=portlet&amp;pIdPlc=ecpTaxonomiaMenuPortal&amp;app=meioambiente&amp;lang=pt_BR&amp;pg=5700&amp;tax=43618&gt;. Acesso em: 2 mar. 2016.</t>
    </r>
  </si>
  <si>
    <r>
      <rPr>
        <b/>
        <sz val="12"/>
        <color theme="1"/>
        <rFont val="Times New Roman"/>
        <family val="1"/>
      </rPr>
      <t xml:space="preserve">FEAM/MG(2010): </t>
    </r>
    <r>
      <rPr>
        <sz val="12"/>
        <color theme="1"/>
        <rFont val="Times New Roman"/>
        <family val="1"/>
      </rPr>
      <t xml:space="preserve">FUNDAÇÃO ESTADUAL DO MEIO AMBIENTE - FEAM/MG. </t>
    </r>
    <r>
      <rPr>
        <i/>
        <sz val="12"/>
        <color theme="1"/>
        <rFont val="Times New Roman"/>
        <family val="1"/>
      </rPr>
      <t>Monitoramento da qualidade do ar na Região Metropolitana de Belo Horizonte em 2009</t>
    </r>
    <r>
      <rPr>
        <sz val="12"/>
        <color theme="1"/>
        <rFont val="Times New Roman"/>
        <family val="1"/>
      </rPr>
      <t>. Belo Horizonte, dezembro 2010. 47p. Disponível para pesquisa em: &lt;http://portalpbh.pbh.gov.br/pbh/ecp/comunidade.do?evento=portlet&amp;pIdPlc=ecpTaxonomiaMenuPortal&amp;app=meioambiente&amp;lang=pt_BR&amp;pg=5700&amp;tax=43618&gt;. Acesso em: 2 mar. 2016.</t>
    </r>
  </si>
  <si>
    <r>
      <rPr>
        <b/>
        <sz val="12"/>
        <color theme="1"/>
        <rFont val="Times New Roman"/>
        <family val="1"/>
      </rPr>
      <t xml:space="preserve">FEAM/MG(2011): </t>
    </r>
    <r>
      <rPr>
        <sz val="12"/>
        <color theme="1"/>
        <rFont val="Times New Roman"/>
        <family val="1"/>
      </rPr>
      <t xml:space="preserve">FUNDAÇÃO ESTADUAL DO MEIO AMBIENTE - FEAM/MG. </t>
    </r>
    <r>
      <rPr>
        <i/>
        <sz val="12"/>
        <color theme="1"/>
        <rFont val="Times New Roman"/>
        <family val="1"/>
      </rPr>
      <t>Monitoramento da qualidade do ar na Região Metropolitana de Belo Horizonte em 2010</t>
    </r>
    <r>
      <rPr>
        <sz val="12"/>
        <color theme="1"/>
        <rFont val="Times New Roman"/>
        <family val="1"/>
      </rPr>
      <t>. Belo Horizonte, outubro 2011. 52p. Disponível para pesquisa em: &lt;http://portalpbh.pbh.gov.br/pbh/ecp/comunidade.do?evento=portlet&amp;pIdPlc=ecpTaxonomiaMenuPortal&amp;app=meioambiente&amp;lang=pt_BR&amp;pg=5700&amp;tax=43618&gt;. Acesso em: 2 mar. 2016.</t>
    </r>
  </si>
  <si>
    <r>
      <t xml:space="preserve">n.º de mortos por 100 mil habitantes até 30 dias depois do acidente de trânsito em São Paulo (SP)
</t>
    </r>
    <r>
      <rPr>
        <b/>
        <sz val="10"/>
        <color theme="1"/>
        <rFont val="Times New Roman"/>
        <family val="1"/>
      </rPr>
      <t xml:space="preserve">obs.1: </t>
    </r>
    <r>
      <rPr>
        <sz val="10"/>
        <color theme="1"/>
        <rFont val="Times New Roman"/>
        <family val="1"/>
      </rPr>
      <t xml:space="preserve">na fonte consultada (SP, 2015b) os resultados desse indicador tiveram arredondamentos abandonando os resultados a partir da terceira casa decimal (diferente do arredondamento-padrão que é adotado no SisMob-BH): aqui no SisMob-BH encontra-se 12,06 (em vez de 12,05) em 2010 e encontra-se 12,08 (em vez de 12,07) em 2011 (os demais anos apresentam resultados idênticos)
</t>
    </r>
    <r>
      <rPr>
        <b/>
        <sz val="10"/>
        <color theme="1"/>
        <rFont val="Times New Roman"/>
        <family val="1"/>
      </rPr>
      <t xml:space="preserve">obs.2: </t>
    </r>
    <r>
      <rPr>
        <sz val="10"/>
        <color theme="1"/>
        <rFont val="Times New Roman"/>
        <family val="1"/>
      </rPr>
      <t>em outra fonte consultada os resultados deste indicador são diferentes e não foram aqui incorporados "A taxa de mortos por 100 mil habitantes [de 2013 para 2014] variou de 9,56 [em vez de 10,10] para 10,47 [em vez de 10,90], aumento de 9,5%" conforme SP(2015e, p.50).</t>
    </r>
  </si>
  <si>
    <t>meta PSP</t>
  </si>
  <si>
    <t>meta PlanMob/SP</t>
  </si>
  <si>
    <t>"O Município de São Paulo aderiu ao compromisso assumido pelo Brasil e outros países de reduzir em 50% o número de óbitos no trânsito até 2020, usando como referência o número de vítimas no ano de 2011. Assim, a meta assumida pela prefeitura é de reduzir o índice para seis mortos para cada cem mil habitantes até 2020" conforme SP(2015e, p.50)</t>
  </si>
  <si>
    <t>URB
calçada
com desenho universal
(meta)</t>
  </si>
  <si>
    <r>
      <t xml:space="preserve">"O Plano de Metas 2013 – 2016 da administração municipal prevê a adequação de 850mil m² de calçadas com desenho universal para 2016. Diante da magnitude do problema, esta meta é um início (1,2% do total de reformas e construções necessárias em 35.000 km de calçadas) e, mesmo assim, custará R$ 170 milhões à prefeitura, já que o preço estimado para construção de calçadas de acordo com a norma brasileira e a legislação municipal, incluindo mão de obra, é de R$ 200,00 o m²" e "adotar a meta de construção, reforma, adequação de 250.000m² de calçadas por ano até 2028" conforme conforme SP(2015e, p.114, p.115)
</t>
    </r>
    <r>
      <rPr>
        <b/>
        <sz val="10"/>
        <color theme="1"/>
        <rFont val="Times New Roman"/>
        <family val="1"/>
      </rPr>
      <t xml:space="preserve">obs.: </t>
    </r>
    <r>
      <rPr>
        <sz val="10"/>
        <color theme="1"/>
        <rFont val="Times New Roman"/>
        <family val="1"/>
      </rPr>
      <t>parece haver uma incoerência nesses números (reformar 850 mil m² até 2016 e 250 mil m² até 2028)</t>
    </r>
  </si>
  <si>
    <r>
      <rPr>
        <b/>
        <sz val="12"/>
        <color theme="1"/>
        <rFont val="Times New Roman"/>
        <family val="1"/>
      </rPr>
      <t>PROGRAMA(2015b):</t>
    </r>
    <r>
      <rPr>
        <sz val="12"/>
        <color theme="1"/>
        <rFont val="Times New Roman"/>
        <family val="1"/>
      </rPr>
      <t xml:space="preserve"> PROGRAMA CIDADES SUSTENTÁVEIS. </t>
    </r>
    <r>
      <rPr>
        <i/>
        <sz val="12"/>
        <color theme="1"/>
        <rFont val="Times New Roman"/>
        <family val="1"/>
      </rPr>
      <t xml:space="preserve">Indicadores. Frota de ônibus com acessibilidade para pessoas com deficiência. </t>
    </r>
    <r>
      <rPr>
        <sz val="12"/>
        <color theme="1"/>
        <rFont val="Times New Roman"/>
        <family val="1"/>
      </rPr>
      <t>Disponível em: &lt;http://indicadores.cidadessustentaveis.org.br/frota-de-onibus-com-acessibilidade-para-pessoas-com-deficiencia&gt;. Acesso em: 3 dez. 2015 e 2 mar. 2016.</t>
    </r>
  </si>
  <si>
    <r>
      <rPr>
        <b/>
        <sz val="12"/>
        <color theme="1"/>
        <rFont val="Times New Roman"/>
        <family val="1"/>
      </rPr>
      <t>PROGRAMA(2015a):</t>
    </r>
    <r>
      <rPr>
        <sz val="12"/>
        <color theme="1"/>
        <rFont val="Times New Roman"/>
        <family val="1"/>
      </rPr>
      <t xml:space="preserve"> PROGRAMA CIDADES SUSTENTÁVEIS. </t>
    </r>
    <r>
      <rPr>
        <i/>
        <sz val="12"/>
        <color theme="1"/>
        <rFont val="Times New Roman"/>
        <family val="1"/>
      </rPr>
      <t>Indicadores. Frota de ônibus com acessibilidade para pessoas com deficiência - São Paulo, SP</t>
    </r>
    <r>
      <rPr>
        <sz val="12"/>
        <color theme="1"/>
        <rFont val="Times New Roman"/>
        <family val="1"/>
      </rPr>
      <t>. Disponível em: &lt;http://indicadores.cidadessustentaveis.org.br/br/SP/sao-paulo/frota-de-onibus-com-acessibilidade-para-pessoas-com-deficiencia&gt;. Acesso em 16/11/2015 e 2 mar. 2016.</t>
    </r>
  </si>
  <si>
    <t>acessibilidade social</t>
  </si>
  <si>
    <r>
      <t>índice de acessibilidade econômica</t>
    </r>
    <r>
      <rPr>
        <b/>
        <sz val="10"/>
        <color theme="1"/>
        <rFont val="Times New Roman"/>
        <family val="1"/>
      </rPr>
      <t xml:space="preserve">
em 2010: </t>
    </r>
    <r>
      <rPr>
        <sz val="10"/>
        <color theme="1"/>
        <rFont val="Times New Roman"/>
        <family val="1"/>
      </rPr>
      <t xml:space="preserve">não havia meta
</t>
    </r>
    <r>
      <rPr>
        <b/>
        <sz val="10"/>
        <color theme="1"/>
        <rFont val="Times New Roman"/>
        <family val="1"/>
      </rPr>
      <t xml:space="preserve">em 2013: </t>
    </r>
    <r>
      <rPr>
        <sz val="10"/>
        <color theme="1"/>
        <rFont val="Times New Roman"/>
        <family val="1"/>
      </rPr>
      <t xml:space="preserve">"Reduzir o índice de acessibilidade econômica (custo de 50 viagens em relação ao salário mínimo) de 18,34% em 2013 para 16,73% em 2016 e 14,02% em 2020" (BHTRANS, 2013a, p.24)
</t>
    </r>
    <r>
      <rPr>
        <b/>
        <sz val="10"/>
        <color theme="1"/>
        <rFont val="Times New Roman"/>
        <family val="1"/>
      </rPr>
      <t xml:space="preserve">obs.: </t>
    </r>
    <r>
      <rPr>
        <sz val="10"/>
        <color theme="1"/>
        <rFont val="Times New Roman"/>
        <family val="1"/>
      </rPr>
      <t>consulte "acessibilidade social"</t>
    </r>
  </si>
  <si>
    <r>
      <t xml:space="preserve">"Diz-se que um serviço de uso público a possui quando é oferecido de forma a não restringir o acesso em função da dificuldade [capacidade] de pagamento pelos cidadãos. Assim, pode-se dizer que o transporte público por táxi, em todo o país, não tem acessibilidade social, pois só o utiliza quem pode pagar pelo serviço. No outro extremo, como não existe pedágio para pedestres em Belo Horizonte, pode-se dizer que na Capital mineira o caminahmento a pé é acessível a todas as pessoas. A política de acesibilidade social, portanto, é aquela que define quem pode utilizar os estacionamentos e o sistema de transporte[s] públicos gratuitamente ou a custo inferior ao custo real, e quem financiará a diferença." conforme OLIVEIRA(2002, p.163)
</t>
    </r>
    <r>
      <rPr>
        <b/>
        <sz val="10"/>
        <rFont val="Times New Roman"/>
        <family val="1"/>
      </rPr>
      <t>obs.:</t>
    </r>
    <r>
      <rPr>
        <sz val="10"/>
        <rFont val="Times New Roman"/>
        <family val="1"/>
      </rPr>
      <t xml:space="preserve"> consulte "acessibilidade" e "acessibilidade física"</t>
    </r>
  </si>
  <si>
    <t>fronteira com rampa</t>
  </si>
  <si>
    <t>fronteira sem rampa</t>
  </si>
  <si>
    <r>
      <t xml:space="preserve">Monóxido de carbono
</t>
    </r>
    <r>
      <rPr>
        <b/>
        <sz val="10"/>
        <rFont val="Times New Roman"/>
        <family val="1"/>
      </rPr>
      <t xml:space="preserve">obs.1: </t>
    </r>
    <r>
      <rPr>
        <sz val="10"/>
        <rFont val="Times New Roman"/>
        <family val="1"/>
      </rPr>
      <t xml:space="preserve">além de BH, na RMBH existem resultados anuais desde o ano 2001 apurados e divulgados para cinco estações, quais sejam: Betim/Centro Administrativo, Betim/Jardim das Alterosas, Contagem/Praça Tancredo Neves, Ibirité/Bairro Cascata, Ibirité/Bairro Piratininga
</t>
    </r>
    <r>
      <rPr>
        <b/>
        <sz val="10"/>
        <rFont val="Times New Roman"/>
        <family val="1"/>
      </rPr>
      <t xml:space="preserve">obs.2: </t>
    </r>
    <r>
      <rPr>
        <sz val="10"/>
        <rFont val="Times New Roman"/>
        <family val="1"/>
      </rPr>
      <t>resultados em IEAM(2015a)</t>
    </r>
  </si>
  <si>
    <t>Quito</t>
  </si>
  <si>
    <t>"cidades como Bogotá, Goiânia e Jacarta escolheram abandonar o uso de ponte de embarque" conforme WRIGHT(2008, p.282)</t>
  </si>
  <si>
    <t>Jacarta</t>
  </si>
  <si>
    <t>IAFI BRT</t>
  </si>
  <si>
    <t>Goiânia</t>
  </si>
  <si>
    <t>cidade citada como benchmark de "sucesso com pontes de embarque" em WRIGHT(2008, p.281) e como exemplo de "adoção de pontes de embarque em todas as portas" em ITDP(2014a, p.6)</t>
  </si>
  <si>
    <t>vão</t>
  </si>
  <si>
    <r>
      <rPr>
        <b/>
        <sz val="10"/>
        <rFont val="Times New Roman"/>
        <family val="1"/>
      </rPr>
      <t>1)</t>
    </r>
    <r>
      <rPr>
        <sz val="10"/>
        <rFont val="Times New Roman"/>
        <family val="1"/>
      </rPr>
      <t xml:space="preserve"> "cidades como Bogotá, Goiânia e Jacarta escolheram abandonar o uso de ponte de embarque" conforme WRIGHT(2008, p.282)
</t>
    </r>
    <r>
      <rPr>
        <b/>
        <sz val="10"/>
        <rFont val="Times New Roman"/>
        <family val="1"/>
      </rPr>
      <t xml:space="preserve">2) </t>
    </r>
    <r>
      <rPr>
        <sz val="10"/>
        <rFont val="Times New Roman"/>
        <family val="1"/>
      </rPr>
      <t>"A cidade de Bogotá, na Colômbia, emprega 10cm como distância máxima a ser respeitada" em ITDP(2014a, p.6)</t>
    </r>
  </si>
  <si>
    <r>
      <t xml:space="preserve">"Vão entre ônibus e portas - Na parada dos veículos nas estações, apesar de haver sinalização visual para o motorista, em diversas ocasiões o vão mínimo não é respeitado" [...] Foram retirados em relação à pontuação de 2013, 3 pontos para os itens de vão entre o veículo e a plataforma e sistema de postas deslizantes" [...] "Vão recomendável entre o piso do ônibus e a plataforma / dedução de pontos: máximo pontos = -5 / pontuação 2013 = -1 / revisão 2014 = -3" conforme ITDP(2014a, p.6,8)
</t>
    </r>
    <r>
      <rPr>
        <b/>
        <sz val="10"/>
        <rFont val="Times New Roman"/>
        <family val="1"/>
      </rPr>
      <t xml:space="preserve">obs.: </t>
    </r>
    <r>
      <rPr>
        <sz val="10"/>
        <rFont val="Times New Roman"/>
        <family val="1"/>
      </rPr>
      <t>parece ter havido uma perda total de três pontos em 2014 (que significa uma perda de dois pontos em relação à pontuação de 2013)</t>
    </r>
  </si>
  <si>
    <r>
      <rPr>
        <b/>
        <sz val="12"/>
        <color theme="1"/>
        <rFont val="Times New Roman"/>
        <family val="1"/>
      </rPr>
      <t xml:space="preserve">ITDP(2014b): </t>
    </r>
    <r>
      <rPr>
        <sz val="12"/>
        <color theme="1"/>
        <rFont val="Times New Roman"/>
        <family val="1"/>
      </rPr>
      <t xml:space="preserve">INSTITUTO DE POLÍTICAS DE TRANSPORTE &amp; DESENVOLVIMENTO - ITDP BRASIL. </t>
    </r>
    <r>
      <rPr>
        <i/>
        <sz val="12"/>
        <color theme="1"/>
        <rFont val="Times New Roman"/>
        <family val="1"/>
      </rPr>
      <t>Padrão de qualidade de BRT</t>
    </r>
    <r>
      <rPr>
        <sz val="12"/>
        <color theme="1"/>
        <rFont val="Times New Roman"/>
        <family val="1"/>
      </rPr>
      <t xml:space="preserve">. Tradução de Reginaldo Alcântara. Rio de Janeiro, novembro de 2014. 56p. Título original: </t>
    </r>
    <r>
      <rPr>
        <i/>
        <sz val="12"/>
        <color theme="1"/>
        <rFont val="Times New Roman"/>
        <family val="1"/>
      </rPr>
      <t>BRT Standard 2014 Edition</t>
    </r>
    <r>
      <rPr>
        <sz val="12"/>
        <color theme="1"/>
        <rFont val="Times New Roman"/>
        <family val="1"/>
      </rPr>
      <t>. Disponível em: &lt;https://www.itdp.org/wp-content/uploads/2014/07/ITDP-Brasil_Padr%C3%A3o-de-Qualidade-BRT-2014_em-PT_vers%C3%A3o-WEB.pdf&gt;. Acesso em: 3 mar. 2016.</t>
    </r>
  </si>
  <si>
    <t>ponte de embarque</t>
  </si>
  <si>
    <t>?</t>
  </si>
  <si>
    <t>fronteira sem rampa
(%)</t>
  </si>
  <si>
    <t>fronteira sem rampa
(escala)</t>
  </si>
  <si>
    <r>
      <rPr>
        <b/>
        <sz val="12"/>
        <color theme="1"/>
        <rFont val="Times New Roman"/>
        <family val="1"/>
      </rPr>
      <t>MG(2014):</t>
    </r>
    <r>
      <rPr>
        <sz val="12"/>
        <color theme="1"/>
        <rFont val="Times New Roman"/>
        <family val="1"/>
      </rPr>
      <t xml:space="preserve"> MINAS GERAIS. Departamento de Trãnsito de Minas Gerais - Detran-MG. Setor de Estatística. </t>
    </r>
    <r>
      <rPr>
        <i/>
        <sz val="12"/>
        <color theme="1"/>
        <rFont val="Times New Roman"/>
        <family val="1"/>
      </rPr>
      <t>Frota atualizada em 31/12/2013</t>
    </r>
    <r>
      <rPr>
        <sz val="12"/>
        <color theme="1"/>
        <rFont val="Times New Roman"/>
        <family val="1"/>
      </rPr>
      <t>. Belo Horizonte, 26 jun. 2014. (planilha recebida do Setor de Estatística do Detran/MG anexa a e-mail da Gerência de Pesquisa, Informação e Inovação - Gepin/DPL/BHTrans ao SisMob-BH em 26/06/2014 com frota estratificada de Belo Horizonte relativa a 31/12/2013).</t>
    </r>
  </si>
  <si>
    <r>
      <rPr>
        <b/>
        <sz val="12"/>
        <color theme="1"/>
        <rFont val="Times New Roman"/>
        <family val="1"/>
      </rPr>
      <t xml:space="preserve">MG(2012a): </t>
    </r>
    <r>
      <rPr>
        <sz val="12"/>
        <color theme="1"/>
        <rFont val="Times New Roman"/>
        <family val="1"/>
      </rPr>
      <t xml:space="preserve">MINAS GERAIS. Secretaria de Estado Extraordinária de Gestão Metropolitana - SEGEM. </t>
    </r>
    <r>
      <rPr>
        <i/>
        <sz val="12"/>
        <color theme="1"/>
        <rFont val="Times New Roman"/>
        <family val="1"/>
      </rPr>
      <t>Pesquisa Origem/Destino RMBH 2012 - Entenda;  Governo de Minas realiza pesquisa sobre mobilidade</t>
    </r>
    <r>
      <rPr>
        <sz val="12"/>
        <color theme="1"/>
        <rFont val="Times New Roman"/>
        <family val="1"/>
      </rPr>
      <t>. Disponível em: &lt;http://www.origemdestino.mg.gov.br/pagina/entenda&gt; e em: &lt;http://www.seplagemrede.mg.gov.br/17/472/&gt;. Acesso em: 5 nov. 2012. e 3 mar. 2016.</t>
    </r>
  </si>
  <si>
    <r>
      <rPr>
        <b/>
        <sz val="12"/>
        <color theme="1"/>
        <rFont val="Times New Roman"/>
        <family val="1"/>
      </rPr>
      <t>BHTRANS(2013b):</t>
    </r>
    <r>
      <rPr>
        <sz val="12"/>
        <color theme="1"/>
        <rFont val="Times New Roman"/>
        <family val="1"/>
      </rPr>
      <t xml:space="preserve"> EMPRESA DE TRANSPORTES E TRÂNSITO DE BELO HORIZONTE S.A - BHTRA</t>
    </r>
    <r>
      <rPr>
        <sz val="12"/>
        <rFont val="Times New Roman"/>
        <family val="1"/>
      </rPr>
      <t xml:space="preserve">NS. Diretoria de Atendimento e Informação - DAI. </t>
    </r>
    <r>
      <rPr>
        <sz val="12"/>
        <color theme="1"/>
        <rFont val="Times New Roman"/>
        <family val="1"/>
      </rPr>
      <t xml:space="preserve">Gerência de Pesquisa e Documentação - GPDoc. </t>
    </r>
    <r>
      <rPr>
        <i/>
        <sz val="12"/>
        <color theme="1"/>
        <rFont val="Times New Roman"/>
        <family val="1"/>
      </rPr>
      <t xml:space="preserve">Frota Detran-MG: </t>
    </r>
    <r>
      <rPr>
        <sz val="12"/>
        <color theme="1"/>
        <rFont val="Times New Roman"/>
        <family val="1"/>
      </rPr>
      <t>evolução da frota de veículos por categoriaem Belo Horizonte - 1999/2012 (resultados de frota de 1999 a 2007). Belo Horizonte: BHTrans, 21 fev. 2013. Disponível no portal interno da Gepin/DAI/BHTrans. Acesso em: 22 fev. 2013 e 4 mar. 2016.</t>
    </r>
  </si>
  <si>
    <t>Vitória, Grande</t>
  </si>
  <si>
    <r>
      <rPr>
        <b/>
        <sz val="12"/>
        <color theme="1"/>
        <rFont val="Times New Roman"/>
        <family val="1"/>
      </rPr>
      <t xml:space="preserve">CETURB-GV(2011): </t>
    </r>
    <r>
      <rPr>
        <sz val="12"/>
        <color theme="1"/>
        <rFont val="Times New Roman"/>
        <family val="1"/>
      </rPr>
      <t>COMPANHIA DE TRANSPORTES URBANOS DA GRANDE VITÓRIA - CETURB-GV.</t>
    </r>
    <r>
      <rPr>
        <i/>
        <sz val="12"/>
        <color theme="1"/>
        <rFont val="Times New Roman"/>
        <family val="1"/>
      </rPr>
      <t>Prêmio ANTP de Qualidade 2010</t>
    </r>
    <r>
      <rPr>
        <sz val="12"/>
        <color theme="1"/>
        <rFont val="Times New Roman"/>
        <family val="1"/>
      </rPr>
      <t xml:space="preserve">: relatório de inscrição. Vitória: Ceturb-GV, 2011. 69p.+anexos. </t>
    </r>
  </si>
  <si>
    <r>
      <rPr>
        <b/>
        <sz val="12"/>
        <color theme="1"/>
        <rFont val="Times New Roman"/>
        <family val="1"/>
      </rPr>
      <t xml:space="preserve">BHTRANS(2015g): </t>
    </r>
    <r>
      <rPr>
        <sz val="12"/>
        <color theme="1"/>
        <rFont val="Times New Roman"/>
        <family val="1"/>
      </rPr>
      <t xml:space="preserve">EMPRESA DE TRANSPORTES E TRÂNSITO DE BELO HORIZONTE S/A - BHTRANS. Observatório da Mobilidade de Belo Horizonte - ObsMob-BH. </t>
    </r>
    <r>
      <rPr>
        <i/>
        <sz val="12"/>
        <color theme="1"/>
        <rFont val="Times New Roman"/>
        <family val="1"/>
      </rPr>
      <t>Indicadores - Grupo Bicicletas - Extensão da rede cicloviária</t>
    </r>
    <r>
      <rPr>
        <sz val="12"/>
        <color theme="1"/>
        <rFont val="Times New Roman"/>
        <family val="1"/>
      </rPr>
      <t>. Belo Horizonte: BHTrans, jun.2015. Disponível em: &lt;http://www.bhtrans.pbh.gov.br/portal/page/portal/portalpublico/Temas/ObservatorioMobilidade/Indicadores/Bicicletas/Extens%C3%A3o%20da%20rede%20ciclovi%C3%A1ria&gt;. Acesso em: 4 jul. 2015 e 4 mar. 2016.</t>
    </r>
  </si>
  <si>
    <r>
      <rPr>
        <b/>
        <sz val="12"/>
        <color theme="1"/>
        <rFont val="Times New Roman"/>
        <family val="1"/>
      </rPr>
      <t>BHTRANS(2014a):</t>
    </r>
    <r>
      <rPr>
        <sz val="12"/>
        <color theme="1"/>
        <rFont val="Times New Roman"/>
        <family val="1"/>
      </rPr>
      <t xml:space="preserve"> EMPRESA DE TRANSPORTES E TRÂNSITO DE BELO HORIZONTE S.A - BHTRANS. Observatório da Mobilidade de Belo Horizonte - ObsMob-BH. </t>
    </r>
    <r>
      <rPr>
        <i/>
        <sz val="12"/>
        <color theme="1"/>
        <rFont val="Times New Roman"/>
        <family val="1"/>
      </rPr>
      <t>Indicadores - Grupo Transporte Coletivo - Percentual de viagens com acessibilidade no transporte coletivo convencional</t>
    </r>
    <r>
      <rPr>
        <sz val="12"/>
        <color theme="1"/>
        <rFont val="Times New Roman"/>
        <family val="1"/>
      </rPr>
      <t>. Belo Horizonte: BHTrans, dez. 2014. Disponível em: &lt;http://www.bhtrans.pbh.gov.br/portal/page/portal/portalpublico/Temas/ObservatorioMobilidade/Indicadores/Transporte%20Coletivo/%C3%8Dndice%20de%20viagens%20com%20acessibilidade&gt;. Acesso em 30 dez. 2014 e 4 mar. 2016.</t>
    </r>
  </si>
  <si>
    <r>
      <rPr>
        <b/>
        <sz val="12"/>
        <color theme="1"/>
        <rFont val="Times New Roman"/>
        <family val="1"/>
      </rPr>
      <t>OLIVEIRA(2002):</t>
    </r>
    <r>
      <rPr>
        <sz val="12"/>
        <color theme="1"/>
        <rFont val="Times New Roman"/>
        <family val="1"/>
      </rPr>
      <t xml:space="preserve"> OLIVEIRA, Marcos Fontoura de. </t>
    </r>
    <r>
      <rPr>
        <i/>
        <sz val="12"/>
        <color theme="1"/>
        <rFont val="Times New Roman"/>
        <family val="1"/>
      </rPr>
      <t>Transporte, privilégio e política</t>
    </r>
    <r>
      <rPr>
        <sz val="12"/>
        <color theme="1"/>
        <rFont val="Times New Roman"/>
        <family val="1"/>
      </rPr>
      <t>: um estudo sobre a gratuidade no transporte coletivo em Belo Horizonte. Belo Horizonte: Guanabara, 2002. [disponível na biblioteca da BHTrans]</t>
    </r>
  </si>
  <si>
    <r>
      <rPr>
        <b/>
        <sz val="12"/>
        <color theme="1"/>
        <rFont val="Times New Roman"/>
        <family val="1"/>
      </rPr>
      <t xml:space="preserve">BHTRANS(2010a): </t>
    </r>
    <r>
      <rPr>
        <sz val="12"/>
        <color theme="1"/>
        <rFont val="Times New Roman"/>
        <family val="1"/>
      </rPr>
      <t xml:space="preserve">EMPRESA DE TRANSPORTES E TRÂNSITO DE BELO HORIZONTE S.A - BHTRANS. </t>
    </r>
    <r>
      <rPr>
        <i/>
        <sz val="12"/>
        <color theme="1"/>
        <rFont val="Times New Roman"/>
        <family val="1"/>
      </rPr>
      <t>Plano Estratégico BHTRANS 2020</t>
    </r>
    <r>
      <rPr>
        <sz val="12"/>
        <color theme="1"/>
        <rFont val="Times New Roman"/>
        <family val="1"/>
      </rPr>
      <t>. Belo Horizonte, julho/2010. [disponível na biblioteca da BHTrans]</t>
    </r>
  </si>
  <si>
    <r>
      <rPr>
        <b/>
        <sz val="12"/>
        <color theme="1"/>
        <rFont val="Times New Roman"/>
        <family val="1"/>
      </rPr>
      <t>BHTRANS(1996a):</t>
    </r>
    <r>
      <rPr>
        <sz val="12"/>
        <color theme="1"/>
        <rFont val="Times New Roman"/>
        <family val="1"/>
      </rPr>
      <t xml:space="preserve"> EMPRESA DE TRANSPORTES E TRÂNSITO DE BELO HORIZONTE S.A - BHTRANS. Gerência de Atendimento ao usuário - Geatu. </t>
    </r>
    <r>
      <rPr>
        <i/>
        <sz val="12"/>
        <color theme="1"/>
        <rFont val="Times New Roman"/>
        <family val="1"/>
      </rPr>
      <t>Relatório de atividades 1995</t>
    </r>
    <r>
      <rPr>
        <sz val="12"/>
        <color theme="1"/>
        <rFont val="Times New Roman"/>
        <family val="1"/>
      </rPr>
      <t>. Belo Horizonte, [1996b]. [disponível na biblioteca da BHTrans]</t>
    </r>
  </si>
  <si>
    <r>
      <t xml:space="preserve">concentração média anual (em µg/m3) de partículas menores que 2,5 microns de diâmetro, obtida pela utilização do fator de conversão sobre PM10 média na estação RMBH/BH/Praça Rui Barbosa
</t>
    </r>
    <r>
      <rPr>
        <b/>
        <sz val="10"/>
        <color theme="1"/>
        <rFont val="Times New Roman"/>
        <family val="1"/>
      </rPr>
      <t>obs.:</t>
    </r>
    <r>
      <rPr>
        <sz val="10"/>
        <color theme="1"/>
        <rFont val="Times New Roman"/>
        <family val="1"/>
      </rPr>
      <t xml:space="preserve"> "Annual mean concentration of particulate matter of less than 10 microns of diameter (PM10) [ug/m3] and of less than 2.5 microns (PM2.5) in cities"; "For all countries except EURO: National conversion factor if available, regional conversion factor otherwise. National conversion factor is a city population-weighted conversion factor. Regional conversion factor are not population weighted." conforme WHO(2014b, aba "Notes", linha 15; aba "cities", linha 1636).</t>
    </r>
  </si>
  <si>
    <t>resultado de PM10 média selecionado e apresentado em relatório da Organização das Nações Unidas (ONU) que apresenta comparação de cidades de todo o mundo em WHO(2014a)</t>
  </si>
  <si>
    <r>
      <t xml:space="preserve">resultado de PM10 média selecionado e apresentado em relatório da Organização das Nações Unidas (ONU) que apresenta comparação de cidades de todo o mundo em WHO(2014a)
</t>
    </r>
    <r>
      <rPr>
        <b/>
        <sz val="10"/>
        <rFont val="Times New Roman"/>
        <family val="1"/>
      </rPr>
      <t xml:space="preserve">obs.: </t>
    </r>
    <r>
      <rPr>
        <sz val="10"/>
        <rFont val="Times New Roman"/>
        <family val="1"/>
      </rPr>
      <t>consulte PM10 média (RMBH/Betim em Bairro Jardim das Alterosas. Bairro Petrovale e Centro Administrativo)</t>
    </r>
  </si>
  <si>
    <r>
      <t xml:space="preserve">resultado de PM10 média selecionado e apresentado em relatório da Organização das Nações Unidas (ONU) que apresenta comparação de cidades de todo o mundo em WHO(2014a)
</t>
    </r>
    <r>
      <rPr>
        <b/>
        <sz val="10"/>
        <rFont val="Times New Roman"/>
        <family val="1"/>
      </rPr>
      <t xml:space="preserve">obs.: </t>
    </r>
    <r>
      <rPr>
        <sz val="10"/>
        <rFont val="Times New Roman"/>
        <family val="1"/>
      </rPr>
      <t>consulte PM10 média (RMBH/BH em Aeroporto Carlos Prates, Avenida Amazonas e Praça Rui Barbosa)</t>
    </r>
  </si>
  <si>
    <t>resultado de PM10 média selecionado e apresentado em relatório da Organização das Nações Unidas (ONU) que apresenta comparação de cidades de todo o mundo em WHO(2014a)
obs.: consulte PM10 média (RMBH/Ibirité em Bairro Cascata e Bairro Piratininga)</t>
  </si>
  <si>
    <r>
      <rPr>
        <b/>
        <sz val="12"/>
        <color theme="1"/>
        <rFont val="Times New Roman"/>
        <family val="1"/>
      </rPr>
      <t>WHO(2014a):</t>
    </r>
    <r>
      <rPr>
        <sz val="12"/>
        <color theme="1"/>
        <rFont val="Times New Roman"/>
        <family val="1"/>
      </rPr>
      <t xml:space="preserve"> WORLD HEALTH ORGANIZATION - WHO. </t>
    </r>
    <r>
      <rPr>
        <i/>
        <sz val="12"/>
        <color theme="1"/>
        <rFont val="Times New Roman"/>
        <family val="1"/>
      </rPr>
      <t>Public health, environmental and social determinants of health (PHE) - Ambient (outdoor) air pollution in cities database 2014</t>
    </r>
    <r>
      <rPr>
        <sz val="12"/>
        <color theme="1"/>
        <rFont val="Times New Roman"/>
        <family val="1"/>
      </rPr>
      <t>. Planilha "Ambient (outdoor) air pollution database, by country and city". aba "Cities" e filtro "country = Brazil". Disponível em: &lt;www.who.int/quantifying_ehimpacts/.../AAP_PM_database_May2014.xlsons&gt;. Acesso em 11 nov. 2014.</t>
    </r>
  </si>
  <si>
    <t>diversas</t>
  </si>
  <si>
    <r>
      <rPr>
        <b/>
        <sz val="12"/>
        <color theme="1"/>
        <rFont val="Times New Roman"/>
        <family val="1"/>
      </rPr>
      <t>BH(2014):</t>
    </r>
    <r>
      <rPr>
        <sz val="12"/>
        <color theme="1"/>
        <rFont val="Times New Roman"/>
        <family val="1"/>
      </rPr>
      <t xml:space="preserve"> BELO HORIZONTE. Prefeitura. Secretaria Municipal de Meio Ambiente - SMMA. </t>
    </r>
    <r>
      <rPr>
        <i/>
        <sz val="12"/>
        <color theme="1"/>
        <rFont val="Times New Roman"/>
        <family val="1"/>
      </rPr>
      <t>Resultados de emissões de GEE em tCO2e.</t>
    </r>
    <r>
      <rPr>
        <sz val="12"/>
        <color theme="1"/>
        <rFont val="Times New Roman"/>
        <family val="1"/>
      </rPr>
      <t xml:space="preserve"> Belo Horizonte, 12 jun. 2014. (resultados informados em e-mail da Way Carbon ao CMMCE, repassado ao SisMob-BH em 12/06/2014)</t>
    </r>
    <r>
      <rPr>
        <b/>
        <sz val="12"/>
        <color theme="1"/>
        <rFont val="Times New Roman"/>
        <family val="1"/>
      </rPr>
      <t/>
    </r>
  </si>
  <si>
    <r>
      <rPr>
        <b/>
        <sz val="12"/>
        <color theme="1"/>
        <rFont val="Times New Roman"/>
        <family val="1"/>
      </rPr>
      <t xml:space="preserve">DUARTE;COHEN(2014): </t>
    </r>
    <r>
      <rPr>
        <sz val="12"/>
        <color theme="1"/>
        <rFont val="Times New Roman"/>
        <family val="1"/>
      </rPr>
      <t xml:space="preserve">DUARTE, Cristiane Rose de S.; COHEN, Regina (Org.). Metodologia para diagnóstico de acessibilidade em centros urbanos: análise da área central da cidade do Rio de Janeiro. </t>
    </r>
    <r>
      <rPr>
        <i/>
        <sz val="12"/>
        <color theme="1"/>
        <rFont val="Times New Roman"/>
        <family val="1"/>
      </rPr>
      <t>Gestão &amp; Conexões / Management and Connections Journal</t>
    </r>
    <r>
      <rPr>
        <sz val="12"/>
        <color theme="1"/>
        <rFont val="Times New Roman"/>
        <family val="1"/>
      </rPr>
      <t>, Vitória, v. 3, n. 1, p.142-146, jan./jun. 2014.</t>
    </r>
  </si>
  <si>
    <t>acessibilidade plena</t>
  </si>
  <si>
    <t>"O Conceito de Acessibilidade Plena parte do princípio de que apenas uma boa acessibilidade física não é suficiente para que o espaço possa ser compreendido e DE FATO usufruído por todos. A Acessibilidade Plena significa considerar mais do que apenas a acessibilidade em sua vertente física e prima pela adoção de aspectos emocionais, afetivos e intelectuais indispensáveis para gerar a capacidade do Lugar de acolher seus visitantes e criar aptidão no local para desenvolver empatia e afeto em seus usuários (DUARTE; COHEN, 2012)" conforme DUARTE; COHEN (2014, p.144)</t>
  </si>
  <si>
    <t>desenho universal</t>
  </si>
  <si>
    <t>GR i</t>
  </si>
  <si>
    <t>(RT vfi / RT vf) x 100</t>
  </si>
  <si>
    <t>RT vfi</t>
  </si>
  <si>
    <t>RT vfdi</t>
  </si>
  <si>
    <t>RT vfm</t>
  </si>
  <si>
    <t>RT vr</t>
  </si>
  <si>
    <t>RT ve</t>
  </si>
  <si>
    <t>RT tl</t>
  </si>
  <si>
    <t>RT rot</t>
  </si>
  <si>
    <t>RT qr</t>
  </si>
  <si>
    <t>RT ocup</t>
  </si>
  <si>
    <t>RT inf</t>
  </si>
  <si>
    <t>RT fr</t>
  </si>
  <si>
    <t>RT $</t>
  </si>
  <si>
    <t>definição
(RT fr = PF/TP)</t>
  </si>
  <si>
    <t>(RT vfd / RT vf) x 100</t>
  </si>
  <si>
    <t>registro na fonte
∑ (RT vf de determinado local x RT fr)</t>
  </si>
  <si>
    <t>RT vfd + RT vfi</t>
  </si>
  <si>
    <t>(RT vfdi / RT vf) x 100</t>
  </si>
  <si>
    <t>Atendimento preferencial</t>
  </si>
  <si>
    <t>assento preferencial
(idoso)</t>
  </si>
  <si>
    <t>RPI Brasil</t>
  </si>
  <si>
    <t>frota total em n.º de ônibus de todo o sistema de transporte coletivo de Belo Horizonte, incluindo o transporte convencional (operado por empresas concessionárias, inclui as linhas de BRT e as linhas de vilas e favelas) e o transporte suplementar</t>
  </si>
  <si>
    <t>elevador hidráulico (complemento de "SPF" e de "F")</t>
  </si>
  <si>
    <t xml:space="preserve">en </t>
  </si>
  <si>
    <t>F acc por RT vr</t>
  </si>
  <si>
    <t>fc</t>
  </si>
  <si>
    <r>
      <rPr>
        <sz val="10"/>
        <rFont val="Calibri"/>
        <family val="2"/>
      </rPr>
      <t xml:space="preserve">(F tc fc </t>
    </r>
    <r>
      <rPr>
        <sz val="10"/>
        <rFont val="Times New Roman"/>
        <family val="1"/>
      </rPr>
      <t>/ F tc) x 100</t>
    </r>
  </si>
  <si>
    <r>
      <rPr>
        <sz val="10"/>
        <rFont val="Calibri"/>
        <family val="2"/>
      </rPr>
      <t xml:space="preserve">(F tcc en </t>
    </r>
    <r>
      <rPr>
        <sz val="10"/>
        <rFont val="Times New Roman"/>
        <family val="1"/>
      </rPr>
      <t>/ F tcc) x 100</t>
    </r>
  </si>
  <si>
    <t>F tcc fc + F tcs fc</t>
  </si>
  <si>
    <t>transporte suplementar</t>
  </si>
  <si>
    <t>transporte coletivo suplementar</t>
  </si>
  <si>
    <t>serviço não existia antes de 2001</t>
  </si>
  <si>
    <t>Joinville</t>
  </si>
  <si>
    <t>F tc</t>
  </si>
  <si>
    <t>(F tc fc / F tc) x 100</t>
  </si>
  <si>
    <r>
      <t xml:space="preserve">frota em n.º de ônibus do transporte coletivo da Grande Vitória com alguma facilidade para o embarque/desembarque de pessoas com mobilidade (física) reduzida, mesmo que essa facilidade não permita classificar a viagem ofertada como acessível, por meio de embarque em nível (desenho universal) ou de elevador hidráulico instalado no veículo (de uso exclusivo ou não para cadeirantes) 
</t>
    </r>
    <r>
      <rPr>
        <b/>
        <sz val="10"/>
        <rFont val="Times New Roman"/>
        <family val="1"/>
      </rPr>
      <t>obs.1:</t>
    </r>
    <r>
      <rPr>
        <sz val="10"/>
        <rFont val="Times New Roman"/>
        <family val="1"/>
      </rPr>
      <t xml:space="preserve"> "Em 2008, cumprindo às legislações pertinentes à acessibilidade de pessoas com deficiência no Sistema de Transporte Público de Passageiros – STPP, a CETURB-GV criou o Projeto Rede de Transporte Acessível – RTA que assegura aos usuários com deficiência e mobilidade reduzida o tratamento de suas necessidades e solicitações com a implantação de linhas que possuem veículos sinalizados e equipados com elevadores hidráulicos. Em 2009, a CETURB-GV fixou como meta adaptar toda a frota do sistema TRANSCOL até 2014, em conformidade com a legislação, objetivando atendendo as sugestões e solicitações de mais acessibilidade desse segmento de clientes." e "A Rede de Transporte Acessível – RTA tem por objetivo atender a Lei Federal de acessibilidade 11.126/05. Consiste na implantação de uma Rede de Transporte Acessível, em linhas pré-definidas, equipadas com veículos sinalizados e dotados de elevadores hidráulicos para transporte de usuários com deficiência e mobilidade reduzida. Em 2009 foi iniciado o Programa de Treinamento dos Operadores no trato das pessoas com deficiência, permitindo a capacitação dos motoristas, cobradores e fiscais para realizar o transporte de pessoas com mobilidade reduzida." conforme CETURB-GV(2011, p.23;34)
</t>
    </r>
    <r>
      <rPr>
        <b/>
        <sz val="10"/>
        <rFont val="Times New Roman"/>
        <family val="1"/>
      </rPr>
      <t>obs.2:</t>
    </r>
    <r>
      <rPr>
        <sz val="10"/>
        <rFont val="Times New Roman"/>
        <family val="1"/>
      </rPr>
      <t xml:space="preserve"> há que se buscar relatório mais recente da Ceturb-GV para avaliar como a legislação pós-2011 impactou a definição de indicador/meta. </t>
    </r>
    <r>
      <rPr>
        <b/>
        <sz val="10"/>
        <rFont val="Times New Roman"/>
        <family val="1"/>
      </rPr>
      <t/>
    </r>
  </si>
  <si>
    <r>
      <rPr>
        <b/>
        <sz val="12"/>
        <color theme="1"/>
        <rFont val="Times New Roman"/>
        <family val="1"/>
      </rPr>
      <t xml:space="preserve">MANAUS(2016): </t>
    </r>
    <r>
      <rPr>
        <sz val="12"/>
        <color theme="1"/>
        <rFont val="Times New Roman"/>
        <family val="1"/>
      </rPr>
      <t xml:space="preserve">MANAUS. Prefeitura. Lei n.º 2.094, de 22 de janeiro de 2016. Torna preferencial todos os assentos de ônibus do transporte público na cidade de Manaus. </t>
    </r>
    <r>
      <rPr>
        <i/>
        <sz val="12"/>
        <color theme="1"/>
        <rFont val="Times New Roman"/>
        <family val="1"/>
      </rPr>
      <t>Diário Oficial do Município - DOM</t>
    </r>
    <r>
      <rPr>
        <sz val="12"/>
        <color theme="1"/>
        <rFont val="Times New Roman"/>
        <family val="1"/>
      </rPr>
      <t>, 22 jan. 2016. Poder Executivo, p.1. Disponível em: &lt;http://dom.manaus.am.gov.br/pdf/2016/janeiro/DOM%203815%2022.01.2016%20CAD%201.pdf&gt;. Acesso em: 17 mar. 2016.</t>
    </r>
  </si>
  <si>
    <r>
      <rPr>
        <b/>
        <sz val="12"/>
        <color theme="1"/>
        <rFont val="Times New Roman"/>
        <family val="1"/>
      </rPr>
      <t>PROGRAMA(2016a):</t>
    </r>
    <r>
      <rPr>
        <sz val="12"/>
        <color theme="1"/>
        <rFont val="Times New Roman"/>
        <family val="1"/>
      </rPr>
      <t xml:space="preserve"> PROGRAMA CIDADES SUSTENTÁVEIS. </t>
    </r>
    <r>
      <rPr>
        <i/>
        <sz val="12"/>
        <color theme="1"/>
        <rFont val="Times New Roman"/>
        <family val="1"/>
      </rPr>
      <t>Indicadores. Frota de ônibus com acessibilidade para pessoas com deficiência - Joinville, SC</t>
    </r>
    <r>
      <rPr>
        <sz val="12"/>
        <color theme="1"/>
        <rFont val="Times New Roman"/>
        <family val="1"/>
      </rPr>
      <t>. Disponível em [extraído de] : &lt;http://indicadores.cidadessustentaveis.org.br/br/SC/joinville/frota-de-onibus-com-acessibilidade-para-pessoas-com-deficiencia&gt;. Acesso em: 18 mar. 2016.</t>
    </r>
  </si>
  <si>
    <r>
      <t xml:space="preserve">frota total em n.º de ônibus do transporte coletivo de Joinville
</t>
    </r>
    <r>
      <rPr>
        <b/>
        <sz val="10"/>
        <rFont val="Times New Roman"/>
        <family val="1"/>
      </rPr>
      <t xml:space="preserve">obs.1: </t>
    </r>
    <r>
      <rPr>
        <sz val="10"/>
        <rFont val="Times New Roman"/>
        <family val="1"/>
      </rPr>
      <t xml:space="preserve">esse indicador é denominado "número total de ônibus coletivos no município" pelo Programa Cidades Sustentáveis conforme PROGRAMA(2016a)
</t>
    </r>
    <r>
      <rPr>
        <b/>
        <sz val="10"/>
        <rFont val="Times New Roman"/>
        <family val="1"/>
      </rPr>
      <t xml:space="preserve">obs.2: </t>
    </r>
    <r>
      <rPr>
        <sz val="10"/>
        <rFont val="Times New Roman"/>
        <family val="1"/>
      </rPr>
      <t>os resultados de 2012 a 2015 estão conforme PROGRAMA(2016a) e o de 2014 está confirmado em JOINVILLE(2016a)</t>
    </r>
  </si>
  <si>
    <t>frota total em n.º de ônibus do transporte coletivo de Contagem</t>
  </si>
  <si>
    <t>F tc sfc + F tc eh</t>
  </si>
  <si>
    <r>
      <rPr>
        <b/>
        <sz val="12"/>
        <color theme="1"/>
        <rFont val="Times New Roman"/>
        <family val="1"/>
      </rPr>
      <t>SP(2015a):</t>
    </r>
    <r>
      <rPr>
        <sz val="12"/>
        <color theme="1"/>
        <rFont val="Times New Roman"/>
        <family val="1"/>
      </rPr>
      <t xml:space="preserve"> SÃO PAULO. Observatório de Indicadores da Cidade de São Paulo - ObservaSampa. </t>
    </r>
    <r>
      <rPr>
        <i/>
        <sz val="12"/>
        <color theme="1"/>
        <rFont val="Times New Roman"/>
        <family val="1"/>
      </rPr>
      <t>Frota de ônibus com acessibilidade para pessoas com mobilidade reduzida (%)</t>
    </r>
    <r>
      <rPr>
        <sz val="12"/>
        <color theme="1"/>
        <rFont val="Times New Roman"/>
        <family val="1"/>
      </rPr>
      <t>. Disponível em: &lt;http://observasampa.prefeitura.sp.gov.br&gt;. Acesso em: 29/02/2016.</t>
    </r>
  </si>
  <si>
    <r>
      <t xml:space="preserve">SP(2015b): </t>
    </r>
    <r>
      <rPr>
        <sz val="12"/>
        <rFont val="Times New Roman"/>
        <family val="1"/>
      </rPr>
      <t xml:space="preserve">SÃO PAULO. Observatório de Indicadores da Cidade de São Paulo - ObservaSampa. </t>
    </r>
    <r>
      <rPr>
        <i/>
        <sz val="12"/>
        <rFont val="Times New Roman"/>
        <family val="1"/>
      </rPr>
      <t>Mortes no trânsito por 100 mil habitantes</t>
    </r>
    <r>
      <rPr>
        <sz val="12"/>
        <rFont val="Times New Roman"/>
        <family val="1"/>
      </rPr>
      <t>. Disponível em: &lt;http://observasampa.prefeitura.sp.gov.br&gt;. Acesso em: 05/01/2015 (para resultados até 2013); 16/11/2015 e 29/02/2016 (para resultados de 2014).</t>
    </r>
  </si>
  <si>
    <r>
      <rPr>
        <b/>
        <sz val="12"/>
        <color theme="1"/>
        <rFont val="Times New Roman"/>
        <family val="1"/>
      </rPr>
      <t xml:space="preserve">SP(2015c): </t>
    </r>
    <r>
      <rPr>
        <sz val="12"/>
        <color theme="1"/>
        <rFont val="Times New Roman"/>
        <family val="1"/>
      </rPr>
      <t xml:space="preserve">SÃO PAULO. Observatório de Indicadores da Cidade de São Paulo - ObservaSampa. </t>
    </r>
    <r>
      <rPr>
        <i/>
        <sz val="12"/>
        <color theme="1"/>
        <rFont val="Times New Roman"/>
        <family val="1"/>
      </rPr>
      <t>Mortes no trânsito por 10 mil veículos</t>
    </r>
    <r>
      <rPr>
        <sz val="12"/>
        <color theme="1"/>
        <rFont val="Times New Roman"/>
        <family val="1"/>
      </rPr>
      <t>. Disponível em: &lt;http://observasampa.prefeitura.sp.gov.br&gt;. Acesso em: 05/01/2015 (para resultados até 2013); 16/11/2015 e 29/02/2016 (para resultados de 2014).</t>
    </r>
  </si>
  <si>
    <r>
      <rPr>
        <b/>
        <sz val="12"/>
        <color theme="1"/>
        <rFont val="Times New Roman"/>
        <family val="1"/>
      </rPr>
      <t xml:space="preserve">SP(2015d): </t>
    </r>
    <r>
      <rPr>
        <sz val="12"/>
        <color theme="1"/>
        <rFont val="Times New Roman"/>
        <family val="1"/>
      </rPr>
      <t xml:space="preserve">SÃO PAULO. Observatório de Indicadores da Cidade de São Paulo - ObservaSampa. </t>
    </r>
    <r>
      <rPr>
        <i/>
        <sz val="12"/>
        <color theme="1"/>
        <rFont val="Times New Roman"/>
        <family val="1"/>
      </rPr>
      <t>Mortes no trânsito</t>
    </r>
    <r>
      <rPr>
        <sz val="12"/>
        <color theme="1"/>
        <rFont val="Times New Roman"/>
        <family val="1"/>
      </rPr>
      <t xml:space="preserve">. Disponível em: &lt;http://observasampa.prefeitura.sp.gov.br&gt;. Acesso em: 05/01/2015 (para resultados até 2013); 16/11/2015 e 29/02/2016 (para resultados de 2014); </t>
    </r>
  </si>
  <si>
    <t>"1984: Tem início uma nova etapa de concessão de gratuidade na RMBH. os primeiros beneficiados são os maiores de 65 anos. O benefício é inicialmente instituído para pessoas com renda mensal de até três salários mínimos. O beneficiário é determinado a passar pela roleta, identificando-se ao cobrador e entregando o passe livre unitário. O estabelecimento ed uma cota mensal de viagens gratuitas termina menos de um anos depois, em 1985, quando os idosos passam a embarcar e desembarcar pela porta de embarque, sem passar pela roleta, podendo fazer uso ilimitado do benefício e em qualquer tipo de linha." conforme OLIVEIRA(2002,p.40-41)</t>
  </si>
  <si>
    <r>
      <rPr>
        <b/>
        <sz val="12"/>
        <color theme="1"/>
        <rFont val="Times New Roman"/>
        <family val="1"/>
      </rPr>
      <t xml:space="preserve">BRASIL(1988a): </t>
    </r>
    <r>
      <rPr>
        <sz val="12"/>
        <color theme="1"/>
        <rFont val="Times New Roman"/>
        <family val="1"/>
      </rPr>
      <t xml:space="preserve">BRASIL. </t>
    </r>
    <r>
      <rPr>
        <i/>
        <sz val="12"/>
        <color theme="1"/>
        <rFont val="Times New Roman"/>
        <family val="1"/>
      </rPr>
      <t>Constituição da República Federativa do Brasil de 1988 - § 2º do art. 230</t>
    </r>
    <r>
      <rPr>
        <sz val="12"/>
        <color theme="1"/>
        <rFont val="Times New Roman"/>
        <family val="1"/>
      </rPr>
      <t>. Brasília, 5 de outubro de 1988. Versão consolidada disponível em [extraído de]: &lt;http://www.planalto.gov.br/ccivil_03/constituicao/ConstituicaoCompilado.htm&gt;. Acesso em: 18 mar. 2016.</t>
    </r>
  </si>
  <si>
    <r>
      <rPr>
        <b/>
        <sz val="10"/>
        <color theme="1"/>
        <rFont val="Times New Roman"/>
        <family val="1"/>
      </rPr>
      <t>1988:</t>
    </r>
    <r>
      <rPr>
        <sz val="10"/>
        <color theme="1"/>
        <rFont val="Times New Roman"/>
        <family val="1"/>
      </rPr>
      <t xml:space="preserve"> "Aos maiores de sessenta e cinco anos é garantida a gratuidade dos transportes coletivos urbanos" conforme BRASIL(1988, § 2º do art.230)
</t>
    </r>
    <r>
      <rPr>
        <b/>
        <sz val="10"/>
        <color theme="1"/>
        <rFont val="Times New Roman"/>
        <family val="1"/>
      </rPr>
      <t>2003:</t>
    </r>
    <r>
      <rPr>
        <sz val="10"/>
        <color theme="1"/>
        <rFont val="Times New Roman"/>
        <family val="1"/>
      </rPr>
      <t xml:space="preserve"> "Aos maiores de 65 (sessenta e cinco) anos fica assegurada a gratuidade dos transportes coletivos públicos urbanos e semi-urbanos, exceto nos serviços seletivos e especiais, quando prestados paralelamente aos serviços regulares. § 1º Para ter acesso à gratuidade, basta que o idoso apresente qualquer documento pessoal que faça prova de sua idade. [...] §3º No caso das pessoas compreendidas na faixa etária entre 60 (sessenta) e 65 (sessenta e cinco) anos, ficará a critério da legislação local dispor sobre as condições para exercício da gratuidade nos meios de transporte previstos no caput deste artigo." conforme BRASIL(2003a, art.39, Capítulo X)</t>
    </r>
  </si>
  <si>
    <t>transporte ativo</t>
  </si>
  <si>
    <r>
      <rPr>
        <b/>
        <sz val="12"/>
        <color theme="1"/>
        <rFont val="Times New Roman"/>
        <family val="1"/>
      </rPr>
      <t xml:space="preserve">BIKE(2015): </t>
    </r>
    <r>
      <rPr>
        <sz val="12"/>
        <color theme="1"/>
        <rFont val="Times New Roman"/>
        <family val="1"/>
      </rPr>
      <t xml:space="preserve">BIKE ANJO; UNIÃO DE CICLISTAS DO BRASIL - UCB; TRANSPORTE ATIVO. </t>
    </r>
    <r>
      <rPr>
        <i/>
        <sz val="12"/>
        <color theme="1"/>
        <rFont val="Times New Roman"/>
        <family val="1"/>
      </rPr>
      <t>Guia incluindo a bicicleta nos planos</t>
    </r>
    <r>
      <rPr>
        <sz val="12"/>
        <color theme="1"/>
        <rFont val="Times New Roman"/>
        <family val="1"/>
      </rPr>
      <t>. s.l., [2015]. 31p. Disponível em: &lt;http://bicicletanosplanos.org/wp-content/uploads/2016/01/Guia-Bicicleta-nos-Planos-vfinal.pdf&gt;. Acesso em: 20 mar. 2016. [conteúdo técnico de Guilherme Tampieri e Yuriê Baptista César]</t>
    </r>
  </si>
  <si>
    <t>"Utilizaremos neste guia o termo modo de TRANSPORTE ATIVO sempre ao nos referirmos a pedestres, ciclistas e outros modos de transporte movidos à propulsão humana e denominados como 'não motorizados' pela Política Nacional de Mobilidade Urbana." conforme BIKE(2015,p.5)</t>
  </si>
  <si>
    <t>Minas Gerais</t>
  </si>
  <si>
    <r>
      <rPr>
        <b/>
        <sz val="12"/>
        <color theme="1"/>
        <rFont val="Times New Roman"/>
        <family val="1"/>
      </rPr>
      <t xml:space="preserve">BH(2011b): </t>
    </r>
    <r>
      <rPr>
        <sz val="12"/>
        <color theme="1"/>
        <rFont val="Times New Roman"/>
        <family val="1"/>
      </rPr>
      <t xml:space="preserve">BELO HORIZONTE. Prefeitura. Secretaria Municipal de Serviços Urbanos - SMSU. Portaria SMSU n.23/2011 - 16 jun.2011. Edita Norma Complementar ao Regulamento dos Serviços – NC 0003, que trata da identificação dos veículos que operam no Serviço Público de Transporte Coletivo por Ônibus no Município de Belo Horizonte, equipados com plataforma elevatória veicular que permite à pessoa com deficiência ou com mobilidade reduzida, em pé, o acesso em nível ao interior dos veículos. </t>
    </r>
    <r>
      <rPr>
        <i/>
        <sz val="12"/>
        <color theme="1"/>
        <rFont val="Times New Roman"/>
        <family val="1"/>
      </rPr>
      <t>Diário Oficial do Município de Belo Horizonte - DOM</t>
    </r>
    <r>
      <rPr>
        <sz val="12"/>
        <color theme="1"/>
        <rFont val="Times New Roman"/>
        <family val="1"/>
      </rPr>
      <t>, Belo Horizonte, 18 jun. 2011, ano 17, n.3851. Poder Executivo. Secr etaria Municipal de Serviços Urbanos. Disponível em [extraído de]: &lt;http://portal6.pbh.gov.br/dom/iniciaEdicao.do?method=DetalheArtigo&amp;pk=1060297&gt;. Acesso em 20 mar. 2016.</t>
    </r>
  </si>
  <si>
    <t>acessibilidade em ônibus urbano (peso 1 da escala)</t>
  </si>
  <si>
    <t>tes</t>
  </si>
  <si>
    <t>transporte especial segregado</t>
  </si>
  <si>
    <t>transporte especial segregado (usado cimo complemento de diversos indicadores de "F")</t>
  </si>
  <si>
    <t>anos 2012/2013/20115 = (número de ônibus com acessibilidade para pessoas com deficiência) - (F tes)
ano 2014 = 
(F tc eh + F pb c/rampa)</t>
  </si>
  <si>
    <t>não encontrado</t>
  </si>
  <si>
    <t>"x" = não se aplica, não encontrado, não disponível, ainda não obtido, não existe resultado no ano</t>
  </si>
  <si>
    <r>
      <t xml:space="preserve">modalidade de transporte no qual o usuário é atendido de forma separada do oferecido pela rede de transporte coletivo 
</t>
    </r>
    <r>
      <rPr>
        <b/>
        <sz val="10"/>
        <rFont val="Times New Roman"/>
        <family val="1"/>
      </rPr>
      <t xml:space="preserve">obs.: </t>
    </r>
    <r>
      <rPr>
        <sz val="10"/>
        <rFont val="Times New Roman"/>
        <family val="1"/>
      </rPr>
      <t>no SisMob-BH os resultados quantitativos relativos a esses serviços são apresentados no indicador "F tes"</t>
    </r>
  </si>
  <si>
    <t>RIT</t>
  </si>
  <si>
    <r>
      <rPr>
        <b/>
        <sz val="12"/>
        <color theme="1"/>
        <rFont val="Times New Roman"/>
        <family val="1"/>
      </rPr>
      <t xml:space="preserve">URBS(2016a): </t>
    </r>
    <r>
      <rPr>
        <sz val="12"/>
        <color theme="1"/>
        <rFont val="Times New Roman"/>
        <family val="1"/>
      </rPr>
      <t xml:space="preserve">URBANIZAÇÃO DE CURITIBA - URBS. </t>
    </r>
    <r>
      <rPr>
        <i/>
        <sz val="12"/>
        <color theme="1"/>
        <rFont val="Times New Roman"/>
        <family val="1"/>
      </rPr>
      <t xml:space="preserve">Rede Integrada de Transporte - Características da RIT. </t>
    </r>
    <r>
      <rPr>
        <sz val="12"/>
        <color theme="1"/>
        <rFont val="Times New Roman"/>
        <family val="1"/>
      </rPr>
      <t>Disponível em: &lt;http://www.urbs.curitiba.pr.gov.br/transporte/rede-integrada-de-transporte&gt;. Acesso em: 24 mar. 2016.</t>
    </r>
  </si>
  <si>
    <r>
      <rPr>
        <b/>
        <sz val="12"/>
        <color theme="1"/>
        <rFont val="Times New Roman"/>
        <family val="1"/>
      </rPr>
      <t xml:space="preserve">URBS(2015): </t>
    </r>
    <r>
      <rPr>
        <sz val="12"/>
        <color theme="1"/>
        <rFont val="Times New Roman"/>
        <family val="1"/>
      </rPr>
      <t xml:space="preserve">URBANIZAÇÃO DE CURITIBA - URBS. </t>
    </r>
    <r>
      <rPr>
        <i/>
        <sz val="12"/>
        <color theme="1"/>
        <rFont val="Times New Roman"/>
        <family val="1"/>
      </rPr>
      <t xml:space="preserve">Acessibilidade - Acessibilidade no transporte coletivo. </t>
    </r>
    <r>
      <rPr>
        <sz val="12"/>
        <color theme="1"/>
        <rFont val="Times New Roman"/>
        <family val="1"/>
      </rPr>
      <t>Disponível em: &lt;http://www.urbs.curitiba.pr.gov.br/acessibilidade&gt;. Acesso em: 2 dez. 2015.</t>
    </r>
  </si>
  <si>
    <t>SITES</t>
  </si>
  <si>
    <t>SIT</t>
  </si>
  <si>
    <t>"Sistema Integrado de Transporte Coletivo Urbano de Joinville" conforme IPPUJ(2016a)</t>
  </si>
  <si>
    <r>
      <rPr>
        <b/>
        <sz val="12"/>
        <color theme="1"/>
        <rFont val="Times New Roman"/>
        <family val="1"/>
      </rPr>
      <t xml:space="preserve">IPPUJ(2016a): </t>
    </r>
    <r>
      <rPr>
        <sz val="12"/>
        <color theme="1"/>
        <rFont val="Times New Roman"/>
        <family val="1"/>
      </rPr>
      <t xml:space="preserve">Fundação Instituto de Pesquisa e Planejamento para o Desenvolvimento Sustentável de Joinville - Ippuj. </t>
    </r>
    <r>
      <rPr>
        <i/>
        <sz val="12"/>
        <color theme="1"/>
        <rFont val="Times New Roman"/>
        <family val="1"/>
      </rPr>
      <t>Transporte.</t>
    </r>
    <r>
      <rPr>
        <sz val="12"/>
        <color theme="1"/>
        <rFont val="Times New Roman"/>
        <family val="1"/>
      </rPr>
      <t xml:space="preserve"> Disponível em: &lt;https://ippuj.joinville.sc.gov.br/conteudo/25-Transporte.html&gt;. Acesso em: 24 mar. 2016.</t>
    </r>
  </si>
  <si>
    <t>transporte eficiente</t>
  </si>
  <si>
    <t>Criado no ano 2000 "no Município de Joinville, o Serviço de Transporte Coletivo de Passageiros para Portadores de Deficiência Física com Mobilidade Reduzida [é] denominado "TRANSPORTE EFICIENTE", integrante do serviço regular" . [...] destina-se às pessoas portadoras de deficiência física com mobilidade reduzida e seu acompanhante, quando se fizer necessário. [...] será prestado mediante pagamento de tarifa do sistema regular, com as isenções previstas no art. 63, I, da Lei nº 3.806/98" conforme JOINVILLE(2000)
"O serviço é realizado diariamente por 12 micro-ônibus especialmente fabricados e adaptados para atender a estes clientes [pessoas com necessidades especiais e seus acompanhantes]. Os veículos contam com elevador, corredores maiores e locais específicos para cadeiras de rodas. Diariamente, em média, são 350 atendimentos de pessoas com mobilidade reduzida que utilizam o serviço para se deslocar a clínicas médicas, hospitais, escolas, faculdades, AACD, ACE, ADEJ, APAE, NAIPE e empresas para trabalhar. Os micro-ônibus buscam as pessoas em casa e as deixam no local solicitado e, no horário marcado, levam de volta para casa. Juntos os 12 carros percorrem todos os dias mais de 2.700 km. Durante os 15 anos de operação, o serviço oferecido pela Transtusa e Gidion já transportou mais de um milhão de passageiros. Para agendar o transporte, os usuários devem telefonar com 24 horas de antecedência do compromisso e eles serão conduzidos ao seu destino conforme solicitado. Para o transporte no sábado, domingo ou na segunda-feira o agendamento deve ser feito na sexta-feira. Para os cancelamentos, o usuário deve avisar com mínimo de 12 horas de antecedência. A pessoa com deficiência não paga passagem e, caso necessite de acompanhante, os dois não pagam passagem. As empresas mantêm 31 funcionários específicos para esse serviço, que recebem treinamento especial para o atendimento exclusivo do Transporte Eficiente. Horário de Operação: das 4h30 às 23h30, inclusive sábados e domingos. O agendamento, agora unificado, pode ser feito das 8 às 16h30, em dias úteis. Telefone para agendamento: 3431-1321" conforme GIDEON(2016)</t>
  </si>
  <si>
    <r>
      <rPr>
        <b/>
        <sz val="12"/>
        <rFont val="Times New Roman"/>
        <family val="1"/>
      </rPr>
      <t xml:space="preserve">JOINVILLE(2000): </t>
    </r>
    <r>
      <rPr>
        <sz val="12"/>
        <rFont val="Times New Roman"/>
        <family val="1"/>
      </rPr>
      <t xml:space="preserve">JOINVILLE. Prefeitura. </t>
    </r>
    <r>
      <rPr>
        <i/>
        <sz val="12"/>
        <rFont val="Times New Roman"/>
        <family val="1"/>
      </rPr>
      <t>Decreto n.º 9.561, de 14 de abril de 2000</t>
    </r>
    <r>
      <rPr>
        <sz val="12"/>
        <rFont val="Times New Roman"/>
        <family val="1"/>
      </rPr>
      <t>. Cria o Serviço de Transporte Coletivo de Passageiros para Portadores de Deficiência Física e com Mobilidade Reduzida. Disponível em: &lt;https://leismunicipais.com.br/a1/sc/j/joinville/decreto/2000/956/9561/decreto-n-9561-2000-cria-o-servico-de-transporte-coletivo-de-passageiros-para-portadores-de-deficiencia-fisica-e-com-mobilidade-reduzida.html&gt;. Acesso em: 24 mar. 2016.</t>
    </r>
  </si>
  <si>
    <t>F tc eh</t>
  </si>
  <si>
    <r>
      <t xml:space="preserve">acessibilidade em ônibus urbano (peso </t>
    </r>
    <r>
      <rPr>
        <b/>
        <sz val="10"/>
        <color rgb="FFFF0000"/>
        <rFont val="Times New Roman"/>
        <family val="1"/>
      </rPr>
      <t xml:space="preserve">2 </t>
    </r>
    <r>
      <rPr>
        <b/>
        <sz val="10"/>
        <rFont val="Times New Roman"/>
        <family val="1"/>
      </rPr>
      <t>da escala)</t>
    </r>
  </si>
  <si>
    <r>
      <t xml:space="preserve">acessibilidade em ônibus urbano (peso </t>
    </r>
    <r>
      <rPr>
        <b/>
        <sz val="10"/>
        <color rgb="FFFF0000"/>
        <rFont val="Times New Roman"/>
        <family val="1"/>
      </rPr>
      <t xml:space="preserve">3 </t>
    </r>
    <r>
      <rPr>
        <b/>
        <sz val="10"/>
        <rFont val="Times New Roman"/>
        <family val="1"/>
      </rPr>
      <t>da escala)</t>
    </r>
  </si>
  <si>
    <r>
      <t xml:space="preserve">acessibilidade em ônibus urbano (peso </t>
    </r>
    <r>
      <rPr>
        <b/>
        <sz val="10"/>
        <color rgb="FFFF0000"/>
        <rFont val="Times New Roman"/>
        <family val="1"/>
      </rPr>
      <t xml:space="preserve">4 </t>
    </r>
    <r>
      <rPr>
        <b/>
        <sz val="10"/>
        <rFont val="Times New Roman"/>
        <family val="1"/>
      </rPr>
      <t>da escala)</t>
    </r>
  </si>
  <si>
    <r>
      <t xml:space="preserve">acessibilidade em ônibus urbano (peso </t>
    </r>
    <r>
      <rPr>
        <b/>
        <sz val="10"/>
        <color rgb="FFFF0000"/>
        <rFont val="Times New Roman"/>
        <family val="1"/>
      </rPr>
      <t xml:space="preserve">5 </t>
    </r>
    <r>
      <rPr>
        <b/>
        <sz val="10"/>
        <rFont val="Times New Roman"/>
        <family val="1"/>
      </rPr>
      <t>da escala)</t>
    </r>
  </si>
  <si>
    <r>
      <t xml:space="preserve">acessibilidade em ônibus urbano (peso </t>
    </r>
    <r>
      <rPr>
        <b/>
        <sz val="10"/>
        <color rgb="FFFF0000"/>
        <rFont val="Times New Roman"/>
        <family val="1"/>
      </rPr>
      <t>6</t>
    </r>
    <r>
      <rPr>
        <b/>
        <sz val="10"/>
        <rFont val="Times New Roman"/>
        <family val="1"/>
      </rPr>
      <t xml:space="preserve"> da escala)</t>
    </r>
  </si>
  <si>
    <r>
      <t xml:space="preserve">acessibilidade em ônibus urbano (peso </t>
    </r>
    <r>
      <rPr>
        <b/>
        <sz val="10"/>
        <color rgb="FFFF0000"/>
        <rFont val="Times New Roman"/>
        <family val="1"/>
      </rPr>
      <t>7</t>
    </r>
    <r>
      <rPr>
        <b/>
        <sz val="10"/>
        <rFont val="Times New Roman"/>
        <family val="1"/>
      </rPr>
      <t xml:space="preserve"> da escala)</t>
    </r>
  </si>
  <si>
    <r>
      <t xml:space="preserve">acessibilidade em ônibus urbano (peso </t>
    </r>
    <r>
      <rPr>
        <b/>
        <sz val="10"/>
        <color rgb="FFFF0000"/>
        <rFont val="Times New Roman"/>
        <family val="1"/>
      </rPr>
      <t xml:space="preserve">8 </t>
    </r>
    <r>
      <rPr>
        <b/>
        <sz val="10"/>
        <rFont val="Times New Roman"/>
        <family val="1"/>
      </rPr>
      <t>da escala)</t>
    </r>
  </si>
  <si>
    <r>
      <t xml:space="preserve">acessibilidade em ônibus urbano (peso </t>
    </r>
    <r>
      <rPr>
        <b/>
        <sz val="10"/>
        <color rgb="FFFF0000"/>
        <rFont val="Times New Roman"/>
        <family val="1"/>
      </rPr>
      <t>9</t>
    </r>
    <r>
      <rPr>
        <b/>
        <sz val="10"/>
        <rFont val="Times New Roman"/>
        <family val="1"/>
      </rPr>
      <t xml:space="preserve"> da escala)</t>
    </r>
  </si>
  <si>
    <r>
      <t xml:space="preserve">acessibilidade em ônibus urbano (peso </t>
    </r>
    <r>
      <rPr>
        <b/>
        <sz val="10"/>
        <color rgb="FFFF0000"/>
        <rFont val="Times New Roman"/>
        <family val="1"/>
      </rPr>
      <t xml:space="preserve">10 </t>
    </r>
    <r>
      <rPr>
        <b/>
        <sz val="10"/>
        <rFont val="Times New Roman"/>
        <family val="1"/>
      </rPr>
      <t>da escala)</t>
    </r>
  </si>
  <si>
    <r>
      <rPr>
        <b/>
        <sz val="12"/>
        <color theme="1"/>
        <rFont val="Times New Roman"/>
        <family val="1"/>
      </rPr>
      <t>FROTA(2013):</t>
    </r>
    <r>
      <rPr>
        <sz val="12"/>
        <color theme="1"/>
        <rFont val="Times New Roman"/>
        <family val="1"/>
      </rPr>
      <t xml:space="preserve"> FROTA do transporte coletivo de Joinville ganha novos ônibus. Florianópolis, </t>
    </r>
    <r>
      <rPr>
        <i/>
        <sz val="12"/>
        <color theme="1"/>
        <rFont val="Times New Roman"/>
        <family val="1"/>
      </rPr>
      <t>A Notícia</t>
    </r>
    <r>
      <rPr>
        <sz val="12"/>
        <color theme="1"/>
        <rFont val="Times New Roman"/>
        <family val="1"/>
      </rPr>
      <t>, 14 jun. 2013. Disponível em: &lt;&gt;. Acesso em: 30 mar. 2016.</t>
    </r>
  </si>
  <si>
    <t xml:space="preserve">enu </t>
  </si>
  <si>
    <t>Definições</t>
  </si>
  <si>
    <r>
      <t>∑</t>
    </r>
    <r>
      <rPr>
        <sz val="7.5"/>
        <color theme="1"/>
        <rFont val="Times New Roman"/>
        <family val="1"/>
      </rPr>
      <t>(</t>
    </r>
    <r>
      <rPr>
        <sz val="10"/>
        <color theme="1"/>
        <rFont val="Times New Roman"/>
        <family val="1"/>
      </rPr>
      <t>n.º de veículos x nota) / n.º de veículos</t>
    </r>
  </si>
  <si>
    <t>legenda = colado com vínculo na aba "Q100a"</t>
  </si>
  <si>
    <t>F tcc</t>
  </si>
  <si>
    <t>F tcs</t>
  </si>
  <si>
    <t>sigla dos resultados</t>
  </si>
  <si>
    <t>F tc fc
(%)</t>
  </si>
  <si>
    <t>F tc en
(%)</t>
  </si>
  <si>
    <t>F tc en 
(%)</t>
  </si>
  <si>
    <t>F tc fc
(n.º)</t>
  </si>
  <si>
    <t>peso 1</t>
  </si>
  <si>
    <t>peso 2</t>
  </si>
  <si>
    <t>peso 3</t>
  </si>
  <si>
    <t>peso 4</t>
  </si>
  <si>
    <t>peso 5</t>
  </si>
  <si>
    <t>peso 6</t>
  </si>
  <si>
    <t>peso 7</t>
  </si>
  <si>
    <t>peso 8</t>
  </si>
  <si>
    <t>peso 9</t>
  </si>
  <si>
    <t>peso 10</t>
  </si>
  <si>
    <t>Belo Horizonte (convencional)</t>
  </si>
  <si>
    <t>Belo Horizonte (suplementar)</t>
  </si>
  <si>
    <t>Belo Horizonte (total)</t>
  </si>
  <si>
    <t>Grande Vitória</t>
  </si>
  <si>
    <t>F tc fc
(meta)</t>
  </si>
  <si>
    <r>
      <rPr>
        <b/>
        <sz val="12"/>
        <color theme="1"/>
        <rFont val="Times New Roman"/>
        <family val="1"/>
      </rPr>
      <t xml:space="preserve">URBS(2016c): </t>
    </r>
    <r>
      <rPr>
        <sz val="12"/>
        <color theme="1"/>
        <rFont val="Times New Roman"/>
        <family val="1"/>
      </rPr>
      <t xml:space="preserve">URBANIZAÇÃO DE CURITIBA - URBS. </t>
    </r>
    <r>
      <rPr>
        <i/>
        <sz val="12"/>
        <color theme="1"/>
        <rFont val="Times New Roman"/>
        <family val="1"/>
      </rPr>
      <t xml:space="preserve">Rede Integrada de Transporte - Composição da frota. </t>
    </r>
    <r>
      <rPr>
        <sz val="12"/>
        <color theme="1"/>
        <rFont val="Times New Roman"/>
        <family val="1"/>
      </rPr>
      <t>Disponível em: &lt;http://www.urbs.curitiba.pr.gov.br/transporte/rede-integrada-de-transporte&gt;. Acesso em: 31 mar. 2016.</t>
    </r>
  </si>
  <si>
    <t>F tes</t>
  </si>
  <si>
    <t>total</t>
  </si>
  <si>
    <t>ensino especial</t>
  </si>
  <si>
    <t>índice de acessibilidade</t>
  </si>
  <si>
    <t>F tc en
(n.º)</t>
  </si>
  <si>
    <t>F tc fc (outras)</t>
  </si>
  <si>
    <t>facilidade</t>
  </si>
  <si>
    <t>F tcc eh ecp</t>
  </si>
  <si>
    <t>F tcs eh ecp</t>
  </si>
  <si>
    <t>F tcs eh</t>
  </si>
  <si>
    <t>F tcc eh ec + F tcc eh ecp</t>
  </si>
  <si>
    <t>F tcs eh ec + F tcs eh ecp</t>
  </si>
  <si>
    <t>F tc eh ecp</t>
  </si>
  <si>
    <t>soma</t>
  </si>
  <si>
    <t>F tc eh ec + F tc eh ecp</t>
  </si>
  <si>
    <t>ainda não encontrado</t>
  </si>
  <si>
    <t>F tcc eh + F tcs eh
ou
F tc eh ec + F tc eh ecp</t>
  </si>
  <si>
    <t>não há</t>
  </si>
  <si>
    <t>peso 4 = não se aplica</t>
  </si>
  <si>
    <t>peso 5 = não se aplica</t>
  </si>
  <si>
    <t>ec</t>
  </si>
  <si>
    <t>ecp</t>
  </si>
  <si>
    <t>embarque/desembarque exclusivo de cadeirante (usando como complemento de diversos indicadores "F tc"</t>
  </si>
  <si>
    <t>embarque/desembarque de cadeirantes e de pessoas em pé (usando como complemento de diversos indicadores "F tc"</t>
  </si>
  <si>
    <t>igual
F tcc BRT misto eh ecp
(peso 5)</t>
  </si>
  <si>
    <t>igual
F tcc BRT misto eh ec
(peso 4)</t>
  </si>
  <si>
    <t>peso 6 (nunca houve)</t>
  </si>
  <si>
    <t>peso 6 não há</t>
  </si>
  <si>
    <t>peso 7 não há</t>
  </si>
  <si>
    <t>peso 8 não há</t>
  </si>
  <si>
    <t>peso 9 não há</t>
  </si>
  <si>
    <t>peso 10 não há</t>
  </si>
  <si>
    <t>peso 8 = não se aplica (plataforma elevada)</t>
  </si>
  <si>
    <t>peso 9 = não há</t>
  </si>
  <si>
    <t>peso 10 = não há</t>
  </si>
  <si>
    <t>F tcc fc
(n.º)</t>
  </si>
  <si>
    <t>F tcc fc
(%)</t>
  </si>
  <si>
    <t>F tcs fc
(n.º)</t>
  </si>
  <si>
    <t>F tcs fc
(%)</t>
  </si>
  <si>
    <t>fazer</t>
  </si>
  <si>
    <t>convencional BH</t>
  </si>
  <si>
    <t>suplementar BH</t>
  </si>
  <si>
    <t>total BH</t>
  </si>
  <si>
    <t>não se aplica</t>
  </si>
  <si>
    <t>até 2014: 
F tc eh</t>
  </si>
  <si>
    <t>até 2014:
(F tc eh / F tc) x 100</t>
  </si>
  <si>
    <t>acessível, ônibus</t>
  </si>
  <si>
    <t>NVR tcc fc
(%)</t>
  </si>
  <si>
    <t>até 2015:
F tcs eh</t>
  </si>
  <si>
    <t>(F tcs fc / F tcs) x 100</t>
  </si>
  <si>
    <t xml:space="preserve">F tcc en
(n.º) </t>
  </si>
  <si>
    <t>F tcc en 
(%)</t>
  </si>
  <si>
    <t xml:space="preserve">F tcs en
(n.º) </t>
  </si>
  <si>
    <t>F tcs en 
(%)</t>
  </si>
  <si>
    <t>(F tcs en / F tcs) x 100</t>
  </si>
  <si>
    <t>F tcc BRTmisto eh ec
(peso 4)</t>
  </si>
  <si>
    <r>
      <t xml:space="preserve">frota em n.º de ônibus do transporte coletivo de Joinville equipados com elevador hidráulico que é "utilizado apenas na presença de uma pessoa em cadeira de rodas" e que não operam em plataforma elevada conforme JOINVILLE(2016a)
</t>
    </r>
    <r>
      <rPr>
        <b/>
        <sz val="10"/>
        <rFont val="Times New Roman"/>
        <family val="1"/>
      </rPr>
      <t xml:space="preserve">obs.1: </t>
    </r>
    <r>
      <rPr>
        <sz val="10"/>
        <rFont val="Times New Roman"/>
        <family val="1"/>
      </rPr>
      <t xml:space="preserve">esta categoria recebe </t>
    </r>
    <r>
      <rPr>
        <sz val="10"/>
        <color rgb="FFFF0000"/>
        <rFont val="Times New Roman"/>
        <family val="1"/>
      </rPr>
      <t xml:space="preserve">peso 2 </t>
    </r>
    <r>
      <rPr>
        <sz val="10"/>
        <rFont val="Times New Roman"/>
        <family val="1"/>
      </rPr>
      <t xml:space="preserve">(escala de 1 a 10 estabelecida pelo SisMob-BH para classificar e comparar resultados) - acesse "acessibilidade em ônibus urbano (escala)"
</t>
    </r>
    <r>
      <rPr>
        <b/>
        <sz val="10"/>
        <rFont val="Times New Roman"/>
        <family val="1"/>
      </rPr>
      <t>obs.2:</t>
    </r>
    <r>
      <rPr>
        <sz val="10"/>
        <rFont val="Times New Roman"/>
        <family val="1"/>
      </rPr>
      <t xml:space="preserve"> resultado de 2014 conforme JOINVILLE(2016a)</t>
    </r>
  </si>
  <si>
    <t>Nova York (NY/Estados Unidos)</t>
  </si>
  <si>
    <r>
      <rPr>
        <b/>
        <sz val="12"/>
        <color theme="1"/>
        <rFont val="Times New Roman"/>
        <family val="1"/>
      </rPr>
      <t xml:space="preserve">CONTAGEM(2012a): </t>
    </r>
    <r>
      <rPr>
        <sz val="12"/>
        <color theme="1"/>
        <rFont val="Times New Roman"/>
        <family val="1"/>
      </rPr>
      <t xml:space="preserve">CONTAGEM. Prefeitura. Programa Sem Limite - Contagem//MG. </t>
    </r>
    <r>
      <rPr>
        <i/>
        <sz val="12"/>
        <color theme="1"/>
        <rFont val="Times New Roman"/>
        <family val="1"/>
      </rPr>
      <t>Blogspot Programa Sem Limite</t>
    </r>
    <r>
      <rPr>
        <sz val="12"/>
        <color theme="1"/>
        <rFont val="Times New Roman"/>
        <family val="1"/>
      </rPr>
      <t>. Contagem, 18 maio 2012. Disponível em: &lt;http://programasemlimitecontagemmg.blogspot.com.br/2012/05/contagem-uma-cidade-cada-dia-melhor-pra.html&gt;. Acesso em: 4 abr. 2016.</t>
    </r>
  </si>
  <si>
    <r>
      <t xml:space="preserve">frota em n.º de veículos do transporte especial segregado de Contagem, denominado pela prefeitura local de "Sem Limite"
obs.: "Sem Limite é um Programa do governo municipal da cidade de
Contagem-MG [...]. Em 12 de fevereiro de 2007, a Prefeitura de Contagem_MG lança o Programa Sem Limite, com o objetivo de promover a inclusão do cidadão com deficiência física com alto grau de comprometimento na sua mobilidade, facilitando seu deslocamento, com exclusividade para o atendimento escolar e tratamento de Saúde. [...] O Programa é regulado pelo Decreto Municipal nº 926 de 07 de maio de 2008, e recebe um investimento com recursos do próprio município de R$ 3 milhões, 4 mil e 380 Reais ao ano (dados de 2011)." conforme CONTAGEM(2012a)
</t>
    </r>
    <r>
      <rPr>
        <b/>
        <sz val="10"/>
        <rFont val="Times New Roman"/>
        <family val="1"/>
      </rPr>
      <t xml:space="preserve">obs.: </t>
    </r>
    <r>
      <rPr>
        <sz val="10"/>
        <rFont val="Times New Roman"/>
        <family val="1"/>
      </rPr>
      <t>resultados de 2007 a 2014 conforme CONTAGEM(2012a) e VERTRAN(2015a)</t>
    </r>
  </si>
  <si>
    <r>
      <rPr>
        <b/>
        <sz val="12"/>
        <color theme="1"/>
        <rFont val="Times New Roman"/>
        <family val="1"/>
      </rPr>
      <t xml:space="preserve">URBS(2016c): </t>
    </r>
    <r>
      <rPr>
        <sz val="12"/>
        <color theme="1"/>
        <rFont val="Times New Roman"/>
        <family val="1"/>
      </rPr>
      <t xml:space="preserve">URBANIZAÇÃO DE CURITIBA - URBS. </t>
    </r>
    <r>
      <rPr>
        <i/>
        <sz val="12"/>
        <color theme="1"/>
        <rFont val="Times New Roman"/>
        <family val="1"/>
      </rPr>
      <t xml:space="preserve">SITES - Sistema Integrado de Transporte do Ensino Especial. </t>
    </r>
    <r>
      <rPr>
        <sz val="12"/>
        <color theme="1"/>
        <rFont val="Times New Roman"/>
        <family val="1"/>
      </rPr>
      <t>Disponível em: &lt;http://www.urbs.curitiba.pr.gov.br/acessibilidade/sites&gt;. Acesso em: 4 abr. 2016.</t>
    </r>
  </si>
  <si>
    <r>
      <t xml:space="preserve">frota em n.º de veículos do transporte especial segregado de Curitiba, denominado pela prefeitura local como "SITES - Sistema Integrado de Transporte do Ensino Especial"
</t>
    </r>
    <r>
      <rPr>
        <b/>
        <sz val="10"/>
        <rFont val="Times New Roman"/>
        <family val="1"/>
      </rPr>
      <t xml:space="preserve">obs.1: </t>
    </r>
    <r>
      <rPr>
        <sz val="10"/>
        <rFont val="Times New Roman"/>
        <family val="1"/>
      </rPr>
      <t xml:space="preserve">O Sites foi criado "no primeiro semestre de 1984" para atender "aos alunos da rede de escolas especializadas para deficientes físicos e/ou mentais de Curitiba, sem custo para estes usuários. [...] Atualmente a URBS - Urbanização de Curitiba S/A, é responsável pelo gerenciamento desta rede de linhas especiais, em conjunto com a Secretaria Municipal da Educação (SME) que, a partir do Decreto Municipal 1813/2005, assumiu a responsabilidade pelo ressarcimento dos custos do Sistema" conforme URBS(2016c)
</t>
    </r>
    <r>
      <rPr>
        <b/>
        <sz val="10"/>
        <rFont val="Times New Roman"/>
        <family val="1"/>
      </rPr>
      <t>obs.2:</t>
    </r>
    <r>
      <rPr>
        <sz val="10"/>
        <rFont val="Times New Roman"/>
        <family val="1"/>
      </rPr>
      <t xml:space="preserve"> resultados de 2015 conforme URBS(2016c)
</t>
    </r>
    <r>
      <rPr>
        <b/>
        <sz val="10"/>
        <rFont val="Times New Roman"/>
        <family val="1"/>
      </rPr>
      <t xml:space="preserve">obs.3: </t>
    </r>
    <r>
      <rPr>
        <sz val="10"/>
        <rFont val="Times New Roman"/>
        <family val="1"/>
      </rPr>
      <t>por não fazer parte do sistema de transporte coletivo que toda a população pode utilizar, no SisMob-BH esta frota não é incorporada ao indicador "F tc fc (ônibus com alguma facilidade)" e nem, consequentemente, ao indicador "% de ônibus com alguma facilidade"</t>
    </r>
  </si>
  <si>
    <r>
      <t xml:space="preserve">frota em n.º de veículos do transporte especial segregado de Joinville, denominado pela prefeitura local como "transporte eficiente"
</t>
    </r>
    <r>
      <rPr>
        <b/>
        <sz val="10"/>
        <rFont val="Times New Roman"/>
        <family val="1"/>
      </rPr>
      <t>obs.1:</t>
    </r>
    <r>
      <rPr>
        <sz val="10"/>
        <rFont val="Times New Roman"/>
        <family val="1"/>
      </rPr>
      <t xml:space="preserve"> o serviço especial é considerado como "integrante do serviço regular" conforme JOINVILLE(2000)
</t>
    </r>
    <r>
      <rPr>
        <b/>
        <sz val="10"/>
        <rFont val="Times New Roman"/>
        <family val="1"/>
      </rPr>
      <t xml:space="preserve">obs.2: </t>
    </r>
    <r>
      <rPr>
        <sz val="10"/>
        <rFont val="Times New Roman"/>
        <family val="1"/>
      </rPr>
      <t xml:space="preserve">resultado de 2014 conforme JOINVILLE(2016a) é tomado no SisMob-BH como representativo do período 2012-2015 para recalcular o indicador "F tc fc (ônibus com alguma facilidade)"
</t>
    </r>
    <r>
      <rPr>
        <b/>
        <sz val="10"/>
        <rFont val="Times New Roman"/>
        <family val="1"/>
      </rPr>
      <t xml:space="preserve">obs.3: </t>
    </r>
    <r>
      <rPr>
        <sz val="10"/>
        <rFont val="Times New Roman"/>
        <family val="1"/>
      </rPr>
      <t>por não fazer parte do sistema de transporte coletivo que toda a população pode utilizar, no SisMob-BH esta frota não é incorporada ao indicador "F tc fc (ônibus com alguma facilidade)" e nem, consequentemente, ao indicador "% de ônibus com alguma facilidade"</t>
    </r>
    <r>
      <rPr>
        <b/>
        <sz val="10"/>
        <rFont val="Times New Roman"/>
        <family val="1"/>
      </rPr>
      <t/>
    </r>
  </si>
  <si>
    <t xml:space="preserve">a Plataforma da qualidade do ar disponível na home page do IEMA(2015A) apresenta resultados de poluentes em estações de monitoramento localizadas em nove estados brasileiros, aí incluindo as nove estações da RMBH </t>
  </si>
  <si>
    <r>
      <t xml:space="preserve">"considera-se poluente qualquer substância presente no ar e que, pela sua concentração, possa torná-lo impróprio, nocivo ou ofensivo à saúde, causando inconveniente ao bem estar público, danos aos materiais, à fauna e à flora ou prejudicial à segurança, ao uso e gozo da propriedade e às atividades normais da comunidade (CETESB, 2014 citado por IEMA, 2015b)
</t>
    </r>
    <r>
      <rPr>
        <b/>
        <sz val="10"/>
        <rFont val="Times New Roman"/>
        <family val="1"/>
      </rPr>
      <t xml:space="preserve">obs.1: </t>
    </r>
    <r>
      <rPr>
        <sz val="10"/>
        <rFont val="Times New Roman"/>
        <family val="1"/>
      </rPr>
      <t xml:space="preserve"> "...nem todos [os poluentes] são monitorados o tempo todo e em qualquer lugar. A medição sistemática da qualidade do ar é restrita a um número de poluentes, definidos em função de sua importância e dos recursos disponíveis para seu acompanhamento. Isso significa que um dado grupo foi escolhido e adotado universalmente, servindo como poluentes indicadores de qualidade do ar, tanto pela frequência de sua ocorrência, quanto pelos níveis de exposição humana e potenciais efeitos já citados. São eles: Material Particulado (MP), Dióxido de Enxofre (SO2), Monóxido de Carbono (CO), Oxidantes fotoquímicos como o Ozônio (O3), Hidrocarbonetos (HC) e Óxidos de Nitrogênio (NOX). Material Particulado (MP): pode ser classificado como Partículas Totais em Suspensão (PTS), Partículas Inaláveis (MP10), Partículas inaláveis Finas (MP2,5) e Fumaça." (IEMA, 2015b)
</t>
    </r>
    <r>
      <rPr>
        <b/>
        <sz val="10"/>
        <rFont val="Times New Roman"/>
        <family val="1"/>
      </rPr>
      <t xml:space="preserve">obs.2: </t>
    </r>
    <r>
      <rPr>
        <sz val="10"/>
        <rFont val="Times New Roman"/>
        <family val="1"/>
      </rPr>
      <t>além dos resultados dos poluentes, os relatórios da Feam/MG e SMMA/BH, fornecem, ainda, informações sobre velocidade/direção de vento e temperatura/umidade relativa do ar</t>
    </r>
  </si>
  <si>
    <t>Cidade da Guatemala (Guatemala)</t>
  </si>
  <si>
    <t>Guatemala, Cidade da</t>
  </si>
  <si>
    <r>
      <rPr>
        <b/>
        <sz val="12"/>
        <color theme="1"/>
        <rFont val="Times New Roman"/>
        <family val="1"/>
      </rPr>
      <t>NORSK(2016):</t>
    </r>
    <r>
      <rPr>
        <sz val="12"/>
        <color theme="1"/>
        <rFont val="Times New Roman"/>
        <family val="1"/>
      </rPr>
      <t xml:space="preserve"> NORSK FORM - FOUNDATION FOR DESIGN AND ARCHITECTURA IN NORWAY. </t>
    </r>
    <r>
      <rPr>
        <i/>
        <sz val="12"/>
        <color theme="1"/>
        <rFont val="Times New Roman"/>
        <family val="1"/>
      </rPr>
      <t>Transport for all</t>
    </r>
    <r>
      <rPr>
        <sz val="12"/>
        <color theme="1"/>
        <rFont val="Times New Roman"/>
        <family val="1"/>
      </rPr>
      <t>. Disponível em: &lt;http://norskform.no/en/Fagsider/Design-as-development-aid/Avsluttede-prosjekter/Cycle-lanes-and-bus-stops/Features/Transport-for-all/&gt;. Acesso em: 5 abr. 2016.</t>
    </r>
  </si>
  <si>
    <t>Guatemala, 
Cidade da</t>
  </si>
  <si>
    <t>resultado ainda não encontrado</t>
  </si>
  <si>
    <t>Quito (Equador)</t>
  </si>
  <si>
    <t>resultado não encontrado</t>
  </si>
  <si>
    <t xml:space="preserve"> (F tc em / F tc) x 100</t>
  </si>
  <si>
    <r>
      <rPr>
        <b/>
        <sz val="12"/>
        <color theme="1"/>
        <rFont val="Times New Roman"/>
        <family val="1"/>
      </rPr>
      <t>BHTRANS(2016b):</t>
    </r>
    <r>
      <rPr>
        <sz val="12"/>
        <color theme="1"/>
        <rFont val="Times New Roman"/>
        <family val="1"/>
      </rPr>
      <t xml:space="preserve"> EMPRESA DE TRANSPORTES E TRÂNSITO DE BELO HORIZONTE S.A - BHTRA</t>
    </r>
    <r>
      <rPr>
        <sz val="12"/>
        <rFont val="Times New Roman"/>
        <family val="1"/>
      </rPr>
      <t>NS. Gerência de Programação e Redes de Transporte - GESPR/DTP.</t>
    </r>
    <r>
      <rPr>
        <sz val="12"/>
        <color theme="1"/>
        <rFont val="Times New Roman"/>
        <family val="1"/>
      </rPr>
      <t xml:space="preserve"> </t>
    </r>
    <r>
      <rPr>
        <i/>
        <sz val="12"/>
        <rFont val="Times New Roman"/>
        <family val="1"/>
      </rPr>
      <t>Frota da linha 320</t>
    </r>
    <r>
      <rPr>
        <sz val="12"/>
        <rFont val="Times New Roman"/>
        <family val="1"/>
      </rPr>
      <t xml:space="preserve">. Belo Horizonte, 5 abr. 2016. (informação contida em e-mail da GESPR para SisMob-BH em 05/04/2016) </t>
    </r>
  </si>
  <si>
    <t>F tcc eh ec + F tcs eh ec</t>
  </si>
  <si>
    <t>não realizada pesquisa em BH</t>
  </si>
  <si>
    <t>só para pesquisa</t>
  </si>
  <si>
    <r>
      <rPr>
        <b/>
        <sz val="12"/>
        <color theme="1"/>
        <rFont val="Times New Roman"/>
        <family val="1"/>
      </rPr>
      <t xml:space="preserve">BHTRANS(2015c): </t>
    </r>
    <r>
      <rPr>
        <sz val="12"/>
        <color theme="1"/>
        <rFont val="Times New Roman"/>
        <family val="1"/>
      </rPr>
      <t>EMPRESA DE TRANSPORTES E TRÂNSITO DE BELO HORIZONTE S.A - BHTRANS. Gerência de Contratos de Concessão e Tarifas - Gecet/DTP.</t>
    </r>
    <r>
      <rPr>
        <i/>
        <sz val="12"/>
        <color theme="1"/>
        <rFont val="Times New Roman"/>
        <family val="1"/>
      </rPr>
      <t xml:space="preserve"> Informações da frota do sistema de transporte coletivo convencional - 2009 a 2014.</t>
    </r>
    <r>
      <rPr>
        <sz val="12"/>
        <color theme="1"/>
        <rFont val="Times New Roman"/>
        <family val="1"/>
      </rPr>
      <t xml:space="preserve"> Belo Horizonte: BHTrans, 7 dez. 2015. (planilha anexa a e-mail enviado ao SisMob-BH respondendo solicitação de informação).</t>
    </r>
  </si>
  <si>
    <r>
      <rPr>
        <b/>
        <sz val="12"/>
        <color theme="1"/>
        <rFont val="Times New Roman"/>
        <family val="1"/>
      </rPr>
      <t xml:space="preserve">BHTRANS(2016c): </t>
    </r>
    <r>
      <rPr>
        <sz val="12"/>
        <color theme="1"/>
        <rFont val="Times New Roman"/>
        <family val="1"/>
      </rPr>
      <t>EMPRESA DE TRANSPORTES E TRÂNSITO DE BELO HORIZONTE S.A - BHTRANS. Gerência de Contratos de Concessão e Tarifas - Gecet/DTP.</t>
    </r>
    <r>
      <rPr>
        <i/>
        <sz val="12"/>
        <color theme="1"/>
        <rFont val="Times New Roman"/>
        <family val="1"/>
      </rPr>
      <t xml:space="preserve"> Informações da frota do sistema de transporte coletivo convencional - 2015.</t>
    </r>
    <r>
      <rPr>
        <sz val="12"/>
        <color theme="1"/>
        <rFont val="Times New Roman"/>
        <family val="1"/>
      </rPr>
      <t xml:space="preserve"> Belo Horizonte: BHTrans, 5 abr. 2016. (planilha anexa a e-mail enviado ao SisMob-BH respondendo solicitação de informação).</t>
    </r>
  </si>
  <si>
    <r>
      <rPr>
        <sz val="10"/>
        <rFont val="Calibri"/>
        <family val="2"/>
      </rPr>
      <t>∑</t>
    </r>
    <r>
      <rPr>
        <sz val="7.5"/>
        <rFont val="Times New Roman"/>
        <family val="1"/>
      </rPr>
      <t xml:space="preserve"> (</t>
    </r>
    <r>
      <rPr>
        <sz val="10"/>
        <rFont val="Times New Roman"/>
        <family val="1"/>
      </rPr>
      <t>n.º de veículos por categoria na escala "acessibilidade em ônibus urbano")</t>
    </r>
  </si>
  <si>
    <t>aguardando atualização da fonte</t>
  </si>
  <si>
    <t>índice de desempenho operacional do transporte coletivo convencional
obs.1: o índice é calculado mensalmente (o SisMob-BH selecionou o mês de dezembro como representativo do ano)
obs.2: indicador estratégico da BHTrans (BHTRANS, 2015d)
obs.3: resultados mensais relativos ao período jan2012-dez2013 disponíveis em BHTRANS (2015e, p.46)</t>
  </si>
  <si>
    <t>índice de cumprimento da programação das viagens do transporte coletivo convencional
obs.1: este índice é parte integrante de IDO tcc, sendo calculado mensalmente (o SisMob-BH selecionou o mês de dezembro como representativo do ano)
obs.2: indicador estratégico da BHTrans (BHTRANS, 2015d)
obs.3: resultados mensais relativos ao período jan2012-dez2013 disponíveis em BHTRANS (2015e, p.46)</t>
  </si>
  <si>
    <t>índice de conforto de viagens do transporte coletivo convencional
obs.1: este índice é parte integrante de IDO tcc, sendo calculado mensalmente (o SisMob-BH selecionou o mês de dezembro como representativo do ano)
obs.2: indicador estratégico da BHTrans (BHTRANS, 2015d)
obs.3: resultados mensais relativos ao período jan2012-dez2013 disponíveis em BHTRANS (2015e, p.46)</t>
  </si>
  <si>
    <t>índice de pontualidade de viagens do transporte coletivo convencional
obs.1: este índice é parte integrante de IDO tcc, sendo calculado mensalmente (o SisMob-BH selecionou o mês de dezembro como representativo do ano)
obs.2: indicador estratégico da BHTrans (BHTRANS, 2015d)
obs.3: resultados mensais relativos ao período jan2012-dez2013 disponíveis em BHTRANS (2015e, p.46)</t>
  </si>
  <si>
    <r>
      <rPr>
        <b/>
        <sz val="12"/>
        <color theme="1"/>
        <rFont val="Times New Roman"/>
        <family val="1"/>
      </rPr>
      <t xml:space="preserve">URBS(2016b): </t>
    </r>
    <r>
      <rPr>
        <sz val="12"/>
        <color theme="1"/>
        <rFont val="Times New Roman"/>
        <family val="1"/>
      </rPr>
      <t xml:space="preserve">URBANIZAÇÃO DE CURITIBA - URBS. </t>
    </r>
    <r>
      <rPr>
        <i/>
        <sz val="12"/>
        <color theme="1"/>
        <rFont val="Times New Roman"/>
        <family val="1"/>
      </rPr>
      <t xml:space="preserve">Rede Integrada de Transporte - Categorias de linhas. </t>
    </r>
    <r>
      <rPr>
        <sz val="12"/>
        <color theme="1"/>
        <rFont val="Times New Roman"/>
        <family val="1"/>
      </rPr>
      <t>Disponível em: &lt;http://www.urbs.curitiba.pr.gov.br/transporte/rede-integrada-de-transporte&gt;. Acesso em: 31 mar. 2016.</t>
    </r>
  </si>
  <si>
    <r>
      <rPr>
        <b/>
        <sz val="12"/>
        <color theme="1"/>
        <rFont val="Times New Roman"/>
        <family val="1"/>
      </rPr>
      <t>FELLYPE(2015a):</t>
    </r>
    <r>
      <rPr>
        <sz val="12"/>
        <color theme="1"/>
        <rFont val="Times New Roman"/>
        <family val="1"/>
      </rPr>
      <t xml:space="preserve"> FELLYPE, Alan.  AB605 – MARECHAL T.C. </t>
    </r>
    <r>
      <rPr>
        <i/>
        <sz val="12"/>
        <color theme="1"/>
        <rFont val="Times New Roman"/>
        <family val="1"/>
      </rPr>
      <t>Blog Curitiba BRT - Design Fobus</t>
    </r>
    <r>
      <rPr>
        <sz val="12"/>
        <color theme="1"/>
        <rFont val="Times New Roman"/>
        <family val="1"/>
      </rPr>
      <t>. s.l., 8 jul. 2015. Disponível em: &lt;https://alanfellype.wordpress.com/2015/07/08/ab605-marechal-t-c/&gt;. Acesso em: 20 abr. 2016.</t>
    </r>
  </si>
  <si>
    <r>
      <rPr>
        <b/>
        <sz val="12"/>
        <color theme="1"/>
        <rFont val="Times New Roman"/>
        <family val="1"/>
      </rPr>
      <t xml:space="preserve">WOSCH(2014a): </t>
    </r>
    <r>
      <rPr>
        <sz val="12"/>
        <color theme="1"/>
        <rFont val="Times New Roman"/>
        <family val="1"/>
      </rPr>
      <t xml:space="preserve">WOSCH, Walacionil. Curitiba - Wosch Transporte Coletivo (Ligeirinho Série 600 - Articulado). </t>
    </r>
    <r>
      <rPr>
        <i/>
        <sz val="12"/>
        <color theme="1"/>
        <rFont val="Times New Roman"/>
        <family val="1"/>
      </rPr>
      <t>Blogspot Walacionil Wosch - Desenhos de ônibus.</t>
    </r>
    <r>
      <rPr>
        <sz val="12"/>
        <color theme="1"/>
        <rFont val="Times New Roman"/>
        <family val="1"/>
      </rPr>
      <t xml:space="preserve"> s.l., 30 dez. 2014. Disponível em: &lt;http://walacionil-bus.blogspot.com.br/2015/01/curitiba-wosch-transporte-coletivo.html&gt;. Acesso em: 20 abr. 2016.</t>
    </r>
  </si>
  <si>
    <r>
      <rPr>
        <b/>
        <sz val="12"/>
        <color theme="1"/>
        <rFont val="Times New Roman"/>
        <family val="1"/>
      </rPr>
      <t>WOSCH(2014b):</t>
    </r>
    <r>
      <rPr>
        <sz val="12"/>
        <color theme="1"/>
        <rFont val="Times New Roman"/>
        <family val="1"/>
      </rPr>
      <t xml:space="preserve"> WOSCH, Walacionil. Curitiba - Wosch Transporte Coletivo (Interbairros Série 300). </t>
    </r>
    <r>
      <rPr>
        <i/>
        <sz val="12"/>
        <color theme="1"/>
        <rFont val="Times New Roman"/>
        <family val="1"/>
      </rPr>
      <t>Blogspot Walacionil Wosch - Desenhos de ônibus.</t>
    </r>
    <r>
      <rPr>
        <sz val="12"/>
        <color theme="1"/>
        <rFont val="Times New Roman"/>
        <family val="1"/>
      </rPr>
      <t xml:space="preserve"> s.l., 19 dez. 2014. Disponível em: &lt;http://walacionil-bus.blogspot.com.br/2014/12/curitiba-wosch-transporte-coletivo_19.html&gt;. Acesso em: 20 abr. 2016.</t>
    </r>
  </si>
  <si>
    <r>
      <rPr>
        <b/>
        <sz val="12"/>
        <color theme="1"/>
        <rFont val="Times New Roman"/>
        <family val="1"/>
      </rPr>
      <t>WOSCH(2014c):</t>
    </r>
    <r>
      <rPr>
        <sz val="12"/>
        <color theme="1"/>
        <rFont val="Times New Roman"/>
        <family val="1"/>
      </rPr>
      <t xml:space="preserve"> WOSCH, Walacionil. Curitiba - Wosch Transporte Coletivo (Micro Série 400 - Alimentador). </t>
    </r>
    <r>
      <rPr>
        <i/>
        <sz val="12"/>
        <color theme="1"/>
        <rFont val="Times New Roman"/>
        <family val="1"/>
      </rPr>
      <t>Blogspot Walacionil Wosch - Desenhos de ônibus.</t>
    </r>
    <r>
      <rPr>
        <sz val="12"/>
        <color theme="1"/>
        <rFont val="Times New Roman"/>
        <family val="1"/>
      </rPr>
      <t xml:space="preserve"> s.l., 15 dez. 2014. Disponível em: &lt;http://walacionil-bus.blogspot.com.br/2014/12/curitiba-wosch-transporte-coletivo_53.html&gt;. Acesso em: 20 abr. 2016.</t>
    </r>
  </si>
  <si>
    <r>
      <rPr>
        <b/>
        <sz val="12"/>
        <color theme="1"/>
        <rFont val="Times New Roman"/>
        <family val="1"/>
      </rPr>
      <t>WOSCH(2014d):</t>
    </r>
    <r>
      <rPr>
        <sz val="12"/>
        <color theme="1"/>
        <rFont val="Times New Roman"/>
        <family val="1"/>
      </rPr>
      <t xml:space="preserve"> WOSCH, Walacionil. Curitiba - Wosch Transporte Coletivo (Alimentador Série 600 - Articulado). </t>
    </r>
    <r>
      <rPr>
        <i/>
        <sz val="12"/>
        <color theme="1"/>
        <rFont val="Times New Roman"/>
        <family val="1"/>
      </rPr>
      <t>Blogspot Walacionil Wosch - Desenhos de ônibus.</t>
    </r>
    <r>
      <rPr>
        <sz val="12"/>
        <color theme="1"/>
        <rFont val="Times New Roman"/>
        <family val="1"/>
      </rPr>
      <t xml:space="preserve"> s.l., 15 dez. 2014. Disponível em: &lt;http://walacionil-bus.blogspot.com.br/2014/12/curitiba-wosch-transporte-coletivo_86.html&gt;. Acesso em: 20 abr. 2016.</t>
    </r>
  </si>
  <si>
    <r>
      <rPr>
        <b/>
        <sz val="12"/>
        <color theme="1"/>
        <rFont val="Times New Roman"/>
        <family val="1"/>
      </rPr>
      <t>WOSCH(2014e):</t>
    </r>
    <r>
      <rPr>
        <sz val="12"/>
        <color theme="1"/>
        <rFont val="Times New Roman"/>
        <family val="1"/>
      </rPr>
      <t xml:space="preserve"> WOSCH, Walacionil. Curitiba - Wosch Transporte Coletivo (Convencional Série 600 - Articulado). </t>
    </r>
    <r>
      <rPr>
        <i/>
        <sz val="12"/>
        <color theme="1"/>
        <rFont val="Times New Roman"/>
        <family val="1"/>
      </rPr>
      <t>Blogspot Walacionil Wosch - Desenhos de ônibus.</t>
    </r>
    <r>
      <rPr>
        <sz val="12"/>
        <color theme="1"/>
        <rFont val="Times New Roman"/>
        <family val="1"/>
      </rPr>
      <t xml:space="preserve"> s.l., 15 dez. 2014. Disponível em: &lt;http://walacionil-bus.blogspot.com.br/2014/12/curitiba-wosch-transporte-coletivo_81.html&gt;. Acesso em: 20 abr. 2016.</t>
    </r>
  </si>
  <si>
    <r>
      <rPr>
        <b/>
        <sz val="12"/>
        <rFont val="Times New Roman"/>
        <family val="1"/>
      </rPr>
      <t>ONIBUS DE CURITIBA(2015):</t>
    </r>
    <r>
      <rPr>
        <sz val="12"/>
        <rFont val="Times New Roman"/>
        <family val="1"/>
      </rPr>
      <t xml:space="preserve"> ÔNIBUS DE CURITIBA. </t>
    </r>
    <r>
      <rPr>
        <i/>
        <sz val="12"/>
        <rFont val="Times New Roman"/>
        <family val="1"/>
      </rPr>
      <t>Sobre o transporte coletivo - Categorias - Convencional.</t>
    </r>
    <r>
      <rPr>
        <sz val="12"/>
        <rFont val="Times New Roman"/>
        <family val="1"/>
      </rPr>
      <t xml:space="preserve"> Curitiba, 2015. Disponível em: &lt;http://onibusdecuritiba.com/convencional/&gt;. Acesso em: 20 abr. 2016.</t>
    </r>
    <r>
      <rPr>
        <i/>
        <sz val="12"/>
        <rFont val="Times New Roman"/>
        <family val="1"/>
      </rPr>
      <t/>
    </r>
  </si>
  <si>
    <r>
      <rPr>
        <b/>
        <sz val="12"/>
        <rFont val="Times New Roman"/>
        <family val="1"/>
      </rPr>
      <t xml:space="preserve">BHTRANS(2014e): </t>
    </r>
    <r>
      <rPr>
        <sz val="12"/>
        <rFont val="Times New Roman"/>
        <family val="1"/>
      </rPr>
      <t xml:space="preserve">EMPRESA DE TRANSPORTES E TRÂNSITO DE BELO HORIZONTE S.A - BHTRANS. Diretoria de Planejamento - DPL. Gerência de Pesquisa, Informação e Inovação - Gepin/DPL. </t>
    </r>
    <r>
      <rPr>
        <i/>
        <sz val="12"/>
        <rFont val="Times New Roman"/>
        <family val="1"/>
      </rPr>
      <t>Estatísticas de acidentes com bicicletas:</t>
    </r>
    <r>
      <rPr>
        <sz val="12"/>
        <rFont val="Times New Roman"/>
        <family val="1"/>
      </rPr>
      <t>série histórica de indicadores de acidentes de trânsito com bicicletas com vítimas - Belo Horizonte - 2004 a 2012. Belo Horizonte: BHTrans, 2 dez. 2014. Disponível no portal interno da Gepin/DPL/BHTrans. Acesso em: 2 dez. 2014 e 4 mar. 2016.</t>
    </r>
  </si>
  <si>
    <r>
      <rPr>
        <b/>
        <sz val="12"/>
        <color theme="1"/>
        <rFont val="Times New Roman"/>
        <family val="1"/>
      </rPr>
      <t>Acidentes de trânsito em geral (Belo Horizonte):</t>
    </r>
    <r>
      <rPr>
        <sz val="12"/>
        <color theme="1"/>
        <rFont val="Times New Roman"/>
        <family val="1"/>
      </rPr>
      <t xml:space="preserve"> deve-se consultar anualmente a intranet da BHTrans. Relatório anual sobre o assunto foi publicado em outubro de 2015 pela Gepin/DPL/BHTrans.</t>
    </r>
  </si>
  <si>
    <r>
      <rPr>
        <b/>
        <sz val="12"/>
        <rFont val="Times New Roman"/>
        <family val="1"/>
      </rPr>
      <t xml:space="preserve">OLIVEIRA(2016a): </t>
    </r>
    <r>
      <rPr>
        <sz val="12"/>
        <rFont val="Times New Roman"/>
        <family val="1"/>
      </rPr>
      <t xml:space="preserve">OLIVEIRA, Marcos Fontoura de. Rampa automática na porta dianteira de ônibus em NY. </t>
    </r>
    <r>
      <rPr>
        <i/>
        <sz val="12"/>
        <rFont val="Times New Roman"/>
        <family val="1"/>
      </rPr>
      <t>Blogspot Biblioteca do Marcos Fontoura de Oliveira</t>
    </r>
    <r>
      <rPr>
        <sz val="12"/>
        <rFont val="Times New Roman"/>
        <family val="1"/>
      </rPr>
      <t>. Belo Horizonte, 29 mar. 2016. Disponível em: &lt;http://marcosfontouradeoliveira.blogspot.com.br/2016/03/rampa-automatica-na-porta-dianteira-de.html&gt;. Acesso em: 20 abr. 2016.</t>
    </r>
  </si>
  <si>
    <r>
      <rPr>
        <b/>
        <sz val="12"/>
        <rFont val="Times New Roman"/>
        <family val="1"/>
      </rPr>
      <t xml:space="preserve">OLIVEIRA(2016b): </t>
    </r>
    <r>
      <rPr>
        <sz val="12"/>
        <rFont val="Times New Roman"/>
        <family val="1"/>
      </rPr>
      <t xml:space="preserve">OLIVEIRA, Marcos Fontoura de. Escada na calçada para acessar ônibus de piso alto do BRT de Quito/Equador. </t>
    </r>
    <r>
      <rPr>
        <i/>
        <sz val="12"/>
        <rFont val="Times New Roman"/>
        <family val="1"/>
      </rPr>
      <t>Blogspot Biblioteca do Marcos Fontoura de Oliveira</t>
    </r>
    <r>
      <rPr>
        <sz val="12"/>
        <rFont val="Times New Roman"/>
        <family val="1"/>
      </rPr>
      <t>. Belo Horizonte, 20 abr. 2016. Disponível em: &lt;http://marcosfontouradeoliveira.blogspot.com.br/2016/04/escada-na-calcada-para-acessar-onibus.html&gt;. Acesso em: 20 abr. 2016.</t>
    </r>
  </si>
  <si>
    <t>ainda não encontrados resultados</t>
  </si>
  <si>
    <t>F tc eh ec</t>
  </si>
  <si>
    <t>F tc BRTmisto eh ec</t>
  </si>
  <si>
    <t>F tc BRTmisto eh ecp</t>
  </si>
  <si>
    <t>F tc en s/rampa</t>
  </si>
  <si>
    <t>F tc ent s/rampa</t>
  </si>
  <si>
    <t>F tc en c/rampa manual</t>
  </si>
  <si>
    <t>F tc en c/uma rampa aut.</t>
  </si>
  <si>
    <t>F tc enu</t>
  </si>
  <si>
    <t>Bogotá (Colômbia)</t>
  </si>
  <si>
    <r>
      <t xml:space="preserve">frota em n.º de ônibus do transporte coletivo de Bogotá (Colômbia), especificamente do sub-sistema BRT que operam em parte do itinerário no corredor de BRT (com embarque/desembarque em nível sem a utilização de rampas manuais e nem automáticas) e que em parte do itinerário operam fora do corredor com os passageiros podendo utilizar elevador hidráulico instalado no veículo para embarque/desembarque (sem informações sobre a exclusividade ou não de uso por cadeirantes)
</t>
    </r>
    <r>
      <rPr>
        <b/>
        <sz val="10"/>
        <rFont val="Times New Roman"/>
        <family val="1"/>
      </rPr>
      <t xml:space="preserve">obs.1: </t>
    </r>
    <r>
      <rPr>
        <sz val="10"/>
        <rFont val="Times New Roman"/>
        <family val="1"/>
      </rPr>
      <t xml:space="preserve">esta categoria recebe </t>
    </r>
    <r>
      <rPr>
        <sz val="10"/>
        <color rgb="FFFF0000"/>
        <rFont val="Times New Roman"/>
        <family val="1"/>
      </rPr>
      <t>peso 4,</t>
    </r>
    <r>
      <rPr>
        <sz val="10"/>
        <rFont val="Times New Roman"/>
        <family val="1"/>
      </rPr>
      <t xml:space="preserve"> numa escala de 1 a 10, na classificação definida pelo SisMob-BH para classificar a acessibilidade - acesse "acessibilidade em ônibus urbano (escala)"</t>
    </r>
    <r>
      <rPr>
        <b/>
        <sz val="10"/>
        <rFont val="Times New Roman"/>
        <family val="1"/>
      </rPr>
      <t/>
    </r>
  </si>
  <si>
    <r>
      <rPr>
        <b/>
        <sz val="12"/>
        <color theme="1"/>
        <rFont val="Times New Roman"/>
        <family val="1"/>
      </rPr>
      <t xml:space="preserve">BHTRANS(2016d): </t>
    </r>
    <r>
      <rPr>
        <sz val="12"/>
        <color theme="1"/>
        <rFont val="Times New Roman"/>
        <family val="1"/>
      </rPr>
      <t>EMPRESA DE TRANSPORTES E TRÂNSITO DE BELO HORIZONTE S.A - BHTRANS. Gerência de Contratos de Concessão e Tarifas - Gecet/DTP.</t>
    </r>
    <r>
      <rPr>
        <i/>
        <sz val="12"/>
        <color theme="1"/>
        <rFont val="Times New Roman"/>
        <family val="1"/>
      </rPr>
      <t xml:space="preserve"> Informações da frota do sistema de transporte coletivo convencional - 2015.</t>
    </r>
    <r>
      <rPr>
        <sz val="12"/>
        <color theme="1"/>
        <rFont val="Times New Roman"/>
        <family val="1"/>
      </rPr>
      <t xml:space="preserve"> Belo Horizonte: BHTrans, 5 abr. 2016. (planilha anexa a e-mail enviado ao SisMob-BH respondendo solicitação de informação).</t>
    </r>
  </si>
  <si>
    <t>F tc eh ec + F tcs eh ecp</t>
  </si>
  <si>
    <t>F tcs eh ec</t>
  </si>
  <si>
    <t>F tcs enu</t>
  </si>
  <si>
    <t>F tcs en c/rampa manual</t>
  </si>
  <si>
    <t>F tcs en c/uma rampa aut.</t>
  </si>
  <si>
    <t>F tcs en s/rampa</t>
  </si>
  <si>
    <t>F tcc eh ec</t>
  </si>
  <si>
    <t>F tcc en c/rampa manual</t>
  </si>
  <si>
    <t>F tcc en c/uma rampa aut.</t>
  </si>
  <si>
    <t>F tcc enu</t>
  </si>
  <si>
    <t>F tcc en s/rampa</t>
  </si>
  <si>
    <t>Ponto de Embarque e/ou Desembarque do transporte coletivo</t>
  </si>
  <si>
    <t>P.C.R.</t>
  </si>
  <si>
    <r>
      <t xml:space="preserve">Ponto de Embarque e/ou Desembarque do transporte público
</t>
    </r>
    <r>
      <rPr>
        <b/>
        <sz val="10"/>
        <rFont val="Times New Roman"/>
        <family val="1"/>
      </rPr>
      <t xml:space="preserve">obs.1: </t>
    </r>
    <r>
      <rPr>
        <sz val="10"/>
        <rFont val="Times New Roman"/>
        <family val="1"/>
      </rPr>
      <t xml:space="preserve">na ausência de referência específica ao transporte público coletivo, há que se avaliar se as determinações da ABNT alcançam os pontos de embarque e/ou desembarque do transporte público individual (táxi)
</t>
    </r>
    <r>
      <rPr>
        <b/>
        <sz val="10"/>
        <rFont val="Times New Roman"/>
        <family val="1"/>
      </rPr>
      <t xml:space="preserve">obs.2: </t>
    </r>
    <r>
      <rPr>
        <sz val="10"/>
        <rFont val="Times New Roman"/>
        <family val="1"/>
      </rPr>
      <t>"8.2.1 Pontos de embarque e desembarque de transporte público / 8.2.1.1 Na implantação de ponto de embarque e desembarque de transporte público, deve ser preservada a faixa livre na calçada. Nenhum de seus elementos pode interferir na faixa livre de circulação de pedestres. / 8.2.1.2 Quando houver assentos fixos e/ou apoios isquiáticos, deve ser garantido um espaço para P.C.R. [pessoa em cadeira de rodas] / 8.2.1.3 As informações sobre as linhas disponibilizadas nos pontos de ônibus devem atender aos parâmetros das Seções 4 e 5." conforme ABNT(2015a, p.114)</t>
    </r>
  </si>
  <si>
    <t>P.M.R.</t>
  </si>
  <si>
    <t>"pessoa em cadeira de rodas" conforme ABNT(2015a, p.6/item 3-Abreviaturas)</t>
  </si>
  <si>
    <t>P.O.</t>
  </si>
  <si>
    <t>"pessoa obesa" conforme ABNT(2015a, p.6/item 3-Abreviaturas)</t>
  </si>
  <si>
    <t>"módulo de referência;" conforme ABNT(2015a, p.6/item 3-Abreviaturas)</t>
  </si>
  <si>
    <t>M.R.</t>
  </si>
  <si>
    <t>calçada</t>
  </si>
  <si>
    <r>
      <rPr>
        <b/>
        <sz val="12"/>
        <color theme="1"/>
        <rFont val="Times New Roman"/>
        <family val="1"/>
      </rPr>
      <t xml:space="preserve">BHTRANS(2000a): </t>
    </r>
    <r>
      <rPr>
        <sz val="12"/>
        <color theme="1"/>
        <rFont val="Times New Roman"/>
        <family val="1"/>
      </rPr>
      <t>EMPRESA DE TRANSPORTES E TRÂNSITO DE BELO HORIZONTE S/A - BHTRANS.</t>
    </r>
    <r>
      <rPr>
        <i/>
        <sz val="12"/>
        <color theme="1"/>
        <rFont val="Times New Roman"/>
        <family val="1"/>
      </rPr>
      <t xml:space="preserve"> Relatório de atividades 1997, 1998 e 1999</t>
    </r>
    <r>
      <rPr>
        <sz val="12"/>
        <color theme="1"/>
        <rFont val="Times New Roman"/>
        <family val="1"/>
      </rPr>
      <t>. Belo Horizonte, [2000]. 52p. [disponível na biblioteca da BHTrans]</t>
    </r>
  </si>
  <si>
    <r>
      <rPr>
        <b/>
        <sz val="12"/>
        <color theme="1"/>
        <rFont val="Times New Roman"/>
        <family val="1"/>
      </rPr>
      <t xml:space="preserve">BHTRANS(2000b): </t>
    </r>
    <r>
      <rPr>
        <sz val="12"/>
        <color theme="1"/>
        <rFont val="Times New Roman"/>
        <family val="1"/>
      </rPr>
      <t>EMPRESA DE TRANSPORTES E TRÂNSITO DE BELO HORIZONTE S/A - BHTRANS.</t>
    </r>
    <r>
      <rPr>
        <i/>
        <sz val="12"/>
        <color theme="1"/>
        <rFont val="Times New Roman"/>
        <family val="1"/>
      </rPr>
      <t xml:space="preserve"> Ir e vir melhor - PBH/BHTRANS 1997-2000</t>
    </r>
    <r>
      <rPr>
        <sz val="12"/>
        <color theme="1"/>
        <rFont val="Times New Roman"/>
        <family val="1"/>
      </rPr>
      <t>. Belo Horizonte, dezembro 2000. 53p. [disponível na biblioteca da BHTrans]</t>
    </r>
  </si>
  <si>
    <r>
      <rPr>
        <b/>
        <sz val="12"/>
        <color theme="1"/>
        <rFont val="Times New Roman"/>
        <family val="1"/>
      </rPr>
      <t xml:space="preserve">BHTRANS(1995a): </t>
    </r>
    <r>
      <rPr>
        <sz val="12"/>
        <color theme="1"/>
        <rFont val="Times New Roman"/>
        <family val="1"/>
      </rPr>
      <t xml:space="preserve">EMPRESA DE TRANSPORTES E TRÂNSITO DE BELO HORIZONTE S/A - BHTRANS. </t>
    </r>
    <r>
      <rPr>
        <i/>
        <sz val="12"/>
        <color theme="1"/>
        <rFont val="Times New Roman"/>
        <family val="1"/>
      </rPr>
      <t>Relatório de atividades 1994</t>
    </r>
    <r>
      <rPr>
        <sz val="12"/>
        <color theme="1"/>
        <rFont val="Times New Roman"/>
        <family val="1"/>
      </rPr>
      <t>. Belo Horizonte, [1995]. 32p. [disponível na biblioteca da BHTrans]</t>
    </r>
  </si>
  <si>
    <r>
      <t xml:space="preserve">n.º de empresas operadores do transporte coletivo convencional
</t>
    </r>
    <r>
      <rPr>
        <b/>
        <sz val="10"/>
        <rFont val="Times New Roman"/>
        <family val="1"/>
      </rPr>
      <t xml:space="preserve">obs.: </t>
    </r>
    <r>
      <rPr>
        <sz val="10"/>
        <rFont val="Times New Roman"/>
        <family val="1"/>
      </rPr>
      <t xml:space="preserve"> mês de dezembro tomado como referência anual com resultados de 1993 e 1994 conforme BHTRANS(1995a, p.3); de 2011 a 2012 conforme BHTRANS(2013e)</t>
    </r>
  </si>
  <si>
    <t>tarifa média tcc</t>
  </si>
  <si>
    <r>
      <t xml:space="preserve">média mensal do n.º de passageiros registrados no M.C.O. do transporte coletivo convencional
</t>
    </r>
    <r>
      <rPr>
        <b/>
        <sz val="10"/>
        <rFont val="Times New Roman"/>
        <family val="1"/>
      </rPr>
      <t>obs.:</t>
    </r>
    <r>
      <rPr>
        <sz val="10"/>
        <rFont val="Times New Roman"/>
        <family val="1"/>
      </rPr>
      <t xml:space="preserve"> resultados de 1993 a 19945 são conforme BHTRANS(1996a, p.2) e os demais com fórmula</t>
    </r>
  </si>
  <si>
    <r>
      <t xml:space="preserve">idade média da frota do transporte coletivo convencional (em decimais com duas casas quando encontrado)
</t>
    </r>
    <r>
      <rPr>
        <b/>
        <sz val="10"/>
        <rFont val="Times New Roman"/>
        <family val="1"/>
      </rPr>
      <t xml:space="preserve">obs.1: </t>
    </r>
    <r>
      <rPr>
        <sz val="10"/>
        <rFont val="Times New Roman"/>
        <family val="1"/>
      </rPr>
      <t xml:space="preserve">mês de dezembro tomado como referência anual com resultados de 1993 e 1994 conforme BHTRANS(1995a, p.3); de 1995 conforme BHTRANS(1996a, p.2); de 1999 conforme BHTRANS(2000a, p.35); 2001 a 2005 conforme BHTRANS(2006a); de 2006 a 2008 conforme BHTRANS(2011b); de 2009 a 2012 conforme BHTRANS(2013e)
</t>
    </r>
    <r>
      <rPr>
        <b/>
        <sz val="10"/>
        <rFont val="Times New Roman"/>
        <family val="1"/>
      </rPr>
      <t xml:space="preserve">obs.2: </t>
    </r>
    <r>
      <rPr>
        <sz val="10"/>
        <rFont val="Times New Roman"/>
        <family val="1"/>
      </rPr>
      <t xml:space="preserve">há divergência no resultado de 2008 com 3,97 em BHTRANS(2013e) e 4,67 em BHTRANS(2011b) com o SisMob-BH adotando este último </t>
    </r>
  </si>
  <si>
    <r>
      <rPr>
        <b/>
        <sz val="12"/>
        <color theme="1"/>
        <rFont val="Times New Roman"/>
        <family val="1"/>
      </rPr>
      <t xml:space="preserve">BHTRANS(2009a): </t>
    </r>
    <r>
      <rPr>
        <sz val="12"/>
        <color theme="1"/>
        <rFont val="Times New Roman"/>
        <family val="1"/>
      </rPr>
      <t xml:space="preserve">EMPRESA DE TRANSPORTES E TRÂNSITO DE BELO HORIZONTE S.A. - BHTRANS. </t>
    </r>
    <r>
      <rPr>
        <i/>
        <sz val="12"/>
        <color theme="1"/>
        <rFont val="Times New Roman"/>
        <family val="1"/>
      </rPr>
      <t>Relatório de gestão 2005-2008</t>
    </r>
    <r>
      <rPr>
        <sz val="12"/>
        <color theme="1"/>
        <rFont val="Times New Roman"/>
        <family val="1"/>
      </rPr>
      <t>. Belo Horizonte, [2009c]. 73p.+anexos. [disponível na biblioteca da BHTrans]</t>
    </r>
  </si>
  <si>
    <r>
      <rPr>
        <b/>
        <sz val="12"/>
        <color theme="1"/>
        <rFont val="Times New Roman"/>
        <family val="1"/>
      </rPr>
      <t>BHTRANS(2005a):</t>
    </r>
    <r>
      <rPr>
        <sz val="12"/>
        <color theme="1"/>
        <rFont val="Times New Roman"/>
        <family val="1"/>
      </rPr>
      <t xml:space="preserve"> EMPRESA DE TRANSPORTES E TRÂNSITO DE BELO HORIZONTE S/A - BHTRANS. </t>
    </r>
    <r>
      <rPr>
        <i/>
        <sz val="12"/>
        <color theme="1"/>
        <rFont val="Times New Roman"/>
        <family val="1"/>
      </rPr>
      <t>Relatório de gestão 2001-2004</t>
    </r>
    <r>
      <rPr>
        <sz val="12"/>
        <color theme="1"/>
        <rFont val="Times New Roman"/>
        <family val="1"/>
      </rPr>
      <t>. Belo Horizonte, [2005]. 72p. [disponível na biblioteca da BHTrans]</t>
    </r>
  </si>
  <si>
    <t>Mundo</t>
  </si>
  <si>
    <t>México, Cidade do</t>
  </si>
  <si>
    <t>EG
(meta de redução)</t>
  </si>
  <si>
    <t>"Uma das estratégias escolhidas pela lei 14.933/09 foi o estabelecimento de metas de redução de emissões
antrópicas de GEE. Em seu artigo 5º a lei estabeleceu para 2012 a meta de redução de 30% das emissões antrópicas dos GEE oriundas do Município em relação ao patamar do 1º Inventário realizado pela Prefeitura do Município de São Paulo para o ano 2003, concluído em 2005. Destaca-se que, para o seu cumprimento, a Administração Municipal julgou como pertinente também incluir essa redução de 30% como uma das metas do Plano de Metas3 2009-2012." conforme EKOS(2013, p.17-18)
"Mais recentemente, em 2013, por determinação da Lei Municipal nº 14.933 de 2009, que instituiu a Política de Mudança do Clima no Município de São Paulo e estabeleceu uma meta de redução de 30% das emissões de GEE em 2012, em relação ao ano base de 2003 (devendo passar de 15,7 milhões de tCO2e para 11 milhões de tCO2e), a Secretaria do Verde e do Meio Ambiente elaborou o Inventário de Emissões e Remoções Antrópicas de Gases de Efeito Estufa, e Outros Produtos, do Município de São Paulo 2003-2009, com atualização para os anos 2010 e 2011." conforme SP(2015e, p.41)</t>
  </si>
  <si>
    <t>11 milhões de toneladas</t>
  </si>
  <si>
    <r>
      <t xml:space="preserve">população reestimada de Belo Horizonte, segundo metodologia estabelecida por: OLIVEIRA, Marcos Fontoura de. </t>
    </r>
    <r>
      <rPr>
        <i/>
        <sz val="10"/>
        <rFont val="Times New Roman"/>
        <family val="1"/>
      </rPr>
      <t>Ausências, avanços e contradições da atual política de mobilidade urbana de Belo Horizonte: uma pesquisa sobre o direito de acesso amplo e democrático ao espaço urbano</t>
    </r>
    <r>
      <rPr>
        <sz val="10"/>
        <rFont val="Times New Roman"/>
        <family val="1"/>
      </rPr>
      <t>. 2014. 705f. Tese (Doutorado em Ciências Sociais) - Pontifícia Universidade Católica de Minas Gerais (PUC Minas), Belo Horizonte. "Essa reestimativa [...] tomou como base o crescimento populacional medido entre dois censos consecutivos, considerando crescimentos lineares da população entre 1991 e 2000 e entre 2000 e 2010" (OLIVEIRA, 2014, p.192/Gráfico 8)</t>
    </r>
  </si>
  <si>
    <r>
      <t xml:space="preserve">participação percentual do transporte coletivo de pessoas na distribuição modal de Belo Horizonte com base em pesquisa de opinião da BHTrans
</t>
    </r>
    <r>
      <rPr>
        <b/>
        <sz val="10"/>
        <color theme="1"/>
        <rFont val="Times New Roman"/>
        <family val="1"/>
      </rPr>
      <t>obs.:</t>
    </r>
    <r>
      <rPr>
        <sz val="10"/>
        <color theme="1"/>
        <rFont val="Times New Roman"/>
        <family val="1"/>
      </rPr>
      <t xml:space="preserve"> indicador estratégico da BHTrans com o nome "percentual de participação do transporte coletivo, conforme declarado na pesuisa de opinião" (BHTRANS, 2015d)</t>
    </r>
  </si>
  <si>
    <r>
      <t xml:space="preserve">participação percentual do modo "ônibus Move" na distribuição modal, componente de DMtc, com base nas pesquisas de opiniãoons
</t>
    </r>
    <r>
      <rPr>
        <b/>
        <sz val="10"/>
        <color theme="1"/>
        <rFont val="Times New Roman"/>
        <family val="1"/>
      </rPr>
      <t xml:space="preserve">obs.1: </t>
    </r>
    <r>
      <rPr>
        <sz val="10"/>
        <color theme="1"/>
        <rFont val="Times New Roman"/>
        <family val="1"/>
      </rPr>
      <t xml:space="preserve">essa opção surge na pesquisa realizada em 2015
</t>
    </r>
    <r>
      <rPr>
        <b/>
        <sz val="10"/>
        <color theme="1"/>
        <rFont val="Times New Roman"/>
        <family val="1"/>
      </rPr>
      <t xml:space="preserve">obs.2: </t>
    </r>
    <r>
      <rPr>
        <sz val="10"/>
        <color theme="1"/>
        <rFont val="Times New Roman"/>
        <family val="1"/>
      </rPr>
      <t>as fontes de todos os resultados DM(P.Op.) são = 1995 a 2011: OLIVEIRA (2014, Tabela 4.2/Apêndice); 2012: não houve pesquisa; 2013: DOXA (2013, p.3); 2014: não houve pesquisa; 2015: DOXA (2015, p.7, 16.)</t>
    </r>
  </si>
  <si>
    <r>
      <t xml:space="preserve">percentual de avaliação positiva da imagem da BHTrans pela população
</t>
    </r>
    <r>
      <rPr>
        <b/>
        <sz val="10"/>
        <color theme="1"/>
        <rFont val="Times New Roman"/>
        <family val="1"/>
      </rPr>
      <t xml:space="preserve">obs.1: </t>
    </r>
    <r>
      <rPr>
        <sz val="10"/>
        <color theme="1"/>
        <rFont val="Times New Roman"/>
        <family val="1"/>
      </rPr>
      <t xml:space="preserve">não confundir com AB[o/b]
</t>
    </r>
    <r>
      <rPr>
        <b/>
        <sz val="10"/>
        <color theme="1"/>
        <rFont val="Times New Roman"/>
        <family val="1"/>
      </rPr>
      <t xml:space="preserve">obs.2: </t>
    </r>
    <r>
      <rPr>
        <sz val="10"/>
        <color theme="1"/>
        <rFont val="Times New Roman"/>
        <family val="1"/>
      </rPr>
      <t xml:space="preserve">indicador estratégico da BHTrans (BHTRANS, 2015d)
</t>
    </r>
    <r>
      <rPr>
        <b/>
        <sz val="10"/>
        <color theme="1"/>
        <rFont val="Times New Roman"/>
        <family val="1"/>
      </rPr>
      <t>obs.3:</t>
    </r>
    <r>
      <rPr>
        <sz val="10"/>
        <color theme="1"/>
        <rFont val="Times New Roman"/>
        <family val="1"/>
      </rPr>
      <t xml:space="preserve"> indicador criado na revisão 2013 do Planejamento Estratégico da BHTrans com o nome "Índice de avaliação da imagem da BHTrans (% ótimo/bom)" com resultados de 2008 e 2010 conforme BHTRANS(2013a, p.20); de 2011/2013/2015 conforme DOXA(2015, p.157)
</t>
    </r>
    <r>
      <rPr>
        <b/>
        <sz val="10"/>
        <color theme="1"/>
        <rFont val="Times New Roman"/>
        <family val="1"/>
      </rPr>
      <t>obs.4:</t>
    </r>
    <r>
      <rPr>
        <sz val="10"/>
        <color theme="1"/>
        <rFont val="Times New Roman"/>
        <family val="1"/>
      </rPr>
      <t xml:space="preserve"> o resultado de 2011 é tomado em BHTRANS(2013a, p.20) incorretamente como se fosse de 2012</t>
    </r>
  </si>
  <si>
    <r>
      <t xml:space="preserve">frota em n.º de ônibus do transporte coletivo de Joinville que operam em linhas trocais, com três portas do lado direito, sendo piso-alto na porta traseira e piso-baixo nas portas dianteira/central, com rampa veicular manual (com embarque/desembarque em nível) apenas na porta central (única porta por onde podem embarcar/desembarcar passageiros cadeirantes)
</t>
    </r>
    <r>
      <rPr>
        <b/>
        <sz val="10"/>
        <rFont val="Times New Roman"/>
        <family val="1"/>
      </rPr>
      <t xml:space="preserve">obs.1: </t>
    </r>
    <r>
      <rPr>
        <sz val="10"/>
        <rFont val="Times New Roman"/>
        <family val="1"/>
      </rPr>
      <t>esta categoria recebe</t>
    </r>
    <r>
      <rPr>
        <sz val="10"/>
        <color rgb="FFFF0000"/>
        <rFont val="Times New Roman"/>
        <family val="1"/>
      </rPr>
      <t xml:space="preserve"> </t>
    </r>
    <r>
      <rPr>
        <b/>
        <sz val="10"/>
        <color rgb="FFFF0000"/>
        <rFont val="Times New Roman"/>
        <family val="1"/>
      </rPr>
      <t>peso 8</t>
    </r>
    <r>
      <rPr>
        <sz val="10"/>
        <rFont val="Times New Roman"/>
        <family val="1"/>
      </rPr>
      <t xml:space="preserve"> (escala de 1 a 10 estabelecida pelo SisMob-BH para classificar e comparar resultados) - acesse "acessibilidade em ônibus urbano (escala)"
</t>
    </r>
    <r>
      <rPr>
        <b/>
        <sz val="10"/>
        <rFont val="Times New Roman"/>
        <family val="1"/>
      </rPr>
      <t xml:space="preserve">obs.2: </t>
    </r>
    <r>
      <rPr>
        <sz val="10"/>
        <rFont val="Times New Roman"/>
        <family val="1"/>
      </rPr>
      <t xml:space="preserve">informações sobre os veículos e resultado de 2014 conforme JOINVILLE(2016a)
</t>
    </r>
    <r>
      <rPr>
        <b/>
        <sz val="10"/>
        <rFont val="Times New Roman"/>
        <family val="1"/>
      </rPr>
      <t>obs.3:</t>
    </r>
    <r>
      <rPr>
        <sz val="10"/>
        <rFont val="Times New Roman"/>
        <family val="1"/>
      </rPr>
      <t xml:space="preserve"> "Frota de ônibus total de 364 veículos, sendo 34 de piso baixo e 241 com elevador, correspondendo à 79,4% de frota acessível que atendem cerca de 85% das viagens. [...] Os ônibus possuem sistema pneumático e as 3 portas de acesso estão na lateral esquerda (olhando para o veículo de frente), sendo que dentros das estações as 2 portas trasseiras são abertas para o embarque e desembarque e nos pontos de ônibus apenas a porta frontal funciona como embarque e as 2 trasseiras como desembarque. Como os ônibus possuem catraca de 4 braços, a pessoa em cadeira de rodas tem que entrar e sair pela porta do centro e esta possui rampa manual." conforme JOINVILLE(2016a)</t>
    </r>
  </si>
  <si>
    <r>
      <t xml:space="preserve">frota em n.º de ônibus de piso-alto para operação em sistema BRT com embarque exclusivo em nível mas sem o apoio de rampa (nem manual e nem automática) ou de outro mecanismo que garanta a aproximação e portanto sempre dependente no motorista estacionar rente à plataforma e sem garantia de fronteira máxima conforme normas brasileiras vigentes
</t>
    </r>
    <r>
      <rPr>
        <b/>
        <sz val="10"/>
        <color theme="1"/>
        <rFont val="Times New Roman"/>
        <family val="1"/>
      </rPr>
      <t xml:space="preserve">obs.1: </t>
    </r>
    <r>
      <rPr>
        <sz val="10"/>
        <color theme="1"/>
        <rFont val="Times New Roman"/>
        <family val="1"/>
      </rPr>
      <t xml:space="preserve">esta categoria recebe </t>
    </r>
    <r>
      <rPr>
        <sz val="10"/>
        <color rgb="FFFF0000"/>
        <rFont val="Times New Roman"/>
        <family val="1"/>
      </rPr>
      <t xml:space="preserve">peso 6 </t>
    </r>
    <r>
      <rPr>
        <sz val="10"/>
        <color theme="1"/>
        <rFont val="Times New Roman"/>
        <family val="1"/>
      </rPr>
      <t xml:space="preserve">(escala de 1 a 10 estabelecida pelo SisMob-BH para classificar e comparar resultados) - acesse "acessibilidade em ônibus urbano (escala)"
</t>
    </r>
    <r>
      <rPr>
        <b/>
        <sz val="10"/>
        <color theme="1"/>
        <rFont val="Times New Roman"/>
        <family val="1"/>
      </rPr>
      <t>obs.2:</t>
    </r>
    <r>
      <rPr>
        <sz val="10"/>
        <color theme="1"/>
        <rFont val="Times New Roman"/>
        <family val="1"/>
      </rPr>
      <t xml:space="preserve"> fotografias e informações ("The driver parks adjacent to the platform. Sylvia is still forced to make a large step in order to cross the gap between the bus and the platform" conforme NORSK(2016)</t>
    </r>
  </si>
  <si>
    <t>elevador exclusivo</t>
  </si>
  <si>
    <t>elevador não exclusivo</t>
  </si>
  <si>
    <r>
      <rPr>
        <b/>
        <sz val="12"/>
        <color theme="1"/>
        <rFont val="Times New Roman"/>
        <family val="1"/>
      </rPr>
      <t xml:space="preserve">SABINO(1997): </t>
    </r>
    <r>
      <rPr>
        <sz val="12"/>
        <color theme="1"/>
        <rFont val="Times New Roman"/>
        <family val="1"/>
      </rPr>
      <t xml:space="preserve">SABINO, Nazareno Batista. </t>
    </r>
    <r>
      <rPr>
        <i/>
        <sz val="12"/>
        <color theme="1"/>
        <rFont val="Times New Roman"/>
        <family val="1"/>
      </rPr>
      <t>Uma interface para o desdobramento do benchmark da qualidade (QBD) - estudo de caso</t>
    </r>
    <r>
      <rPr>
        <sz val="12"/>
        <color theme="1"/>
        <rFont val="Times New Roman"/>
        <family val="1"/>
      </rPr>
      <t>. Dissertação (Engenharia de Produção). Universidade Federal de Santa Catarina - UFSC. Florianópolis, 1997. Disponível em: &lt;http://www.eps.ufsc.br/ disserta98/nazareno/&gt;. Acesso em 19 out. 2013.</t>
    </r>
  </si>
  <si>
    <r>
      <rPr>
        <b/>
        <sz val="12"/>
        <color theme="1"/>
        <rFont val="Times New Roman"/>
        <family val="1"/>
      </rPr>
      <t xml:space="preserve">BHTRANS(2016e): </t>
    </r>
    <r>
      <rPr>
        <sz val="12"/>
        <color theme="1"/>
        <rFont val="Times New Roman"/>
        <family val="1"/>
      </rPr>
      <t>EMPRESA DE TRANSPORTES E TRÂNSITO DE BELO HORIZONTE S.A - BHTRANS. Gerência de Contratos de Concessão e Tarifas - Gecet/DTP.</t>
    </r>
    <r>
      <rPr>
        <i/>
        <sz val="12"/>
        <color theme="1"/>
        <rFont val="Times New Roman"/>
        <family val="1"/>
      </rPr>
      <t xml:space="preserve"> InDistribuição da frota por fabricante e padrão - 2000 a 2008.</t>
    </r>
    <r>
      <rPr>
        <sz val="12"/>
        <color theme="1"/>
        <rFont val="Times New Roman"/>
        <family val="1"/>
      </rPr>
      <t xml:space="preserve"> Belo Horizonte: BHTrans, 27 abr. 2016. (planilha anexa a e-mail enviado ao SisMob-BH respondendo solicitação de informação).</t>
    </r>
  </si>
  <si>
    <t>F tcc BRTmisto eh ecp</t>
  </si>
  <si>
    <t>este serviço não existia antes de 2014</t>
  </si>
  <si>
    <t>ABNT</t>
  </si>
  <si>
    <r>
      <t xml:space="preserve">Associação Brasileira de Normas Técnicas
</t>
    </r>
    <r>
      <rPr>
        <b/>
        <sz val="10"/>
        <rFont val="Times New Roman"/>
        <family val="1"/>
      </rPr>
      <t xml:space="preserve">obs.1: </t>
    </r>
    <r>
      <rPr>
        <sz val="10"/>
        <rFont val="Times New Roman"/>
        <family val="1"/>
      </rPr>
      <t xml:space="preserve">"A Associação Brasileira de Normas Técnicas (ABNT) é o Foro Nacional de Normalização. As Normas
Brasileiras, cujo conteúdo é de responsabilidade dos Comitês Brasileiros (ABNT/CB), dos Organismos de Normalização Setorial (ABNT/ONS) e das Comissões de Estudo Especiais (ABNT/CEE), são elaboradas por Comissões de Estudo (CE), formadas pelas partes interessadas no tema objeto da normalização. Os Documentos Técnicos ABNT são elaborados conforme as regras da Diretiva ABNT, Parte 2." conforme ABNT(2015a, p.xiii)
</t>
    </r>
    <r>
      <rPr>
        <b/>
        <sz val="10"/>
        <rFont val="Times New Roman"/>
        <family val="1"/>
      </rPr>
      <t xml:space="preserve">obs.2: </t>
    </r>
    <r>
      <rPr>
        <sz val="10"/>
        <rFont val="Times New Roman"/>
        <family val="1"/>
      </rPr>
      <t>para consultar as normas da ABNT relativas a acessibilidade acesse "acessibilidade ABNT"</t>
    </r>
  </si>
  <si>
    <t>acessibilidade
ABNT</t>
  </si>
  <si>
    <t>4ª edição da 9050</t>
  </si>
  <si>
    <t>2ª edição
da 9050 corrigida</t>
  </si>
  <si>
    <r>
      <rPr>
        <b/>
        <sz val="12"/>
        <color theme="1"/>
        <rFont val="Times New Roman"/>
        <family val="1"/>
      </rPr>
      <t>ABNT(2004a):</t>
    </r>
    <r>
      <rPr>
        <sz val="12"/>
        <color theme="1"/>
        <rFont val="Times New Roman"/>
        <family val="1"/>
      </rPr>
      <t xml:space="preserve"> ASSOCIAÇÃO BRASILEIRA DE NORMAS TÉCNICAS – ABNT. </t>
    </r>
    <r>
      <rPr>
        <i/>
        <sz val="12"/>
        <color theme="1"/>
        <rFont val="Times New Roman"/>
        <family val="1"/>
      </rPr>
      <t>NBR 9050: Acessibilidade a edificações, mobiliário, espaços e equipamento urbanos.</t>
    </r>
    <r>
      <rPr>
        <sz val="12"/>
        <color theme="1"/>
        <rFont val="Times New Roman"/>
        <family val="1"/>
      </rPr>
      <t xml:space="preserve"> 2.ed. Rio de Janeiro: ABNT, 2004. 97p. [segunda edição de 31/05/2004; válida a partir de 30/06/2004]. Disponível em: &lt;http://www.pessoacomdeficiencia.gov.br/app/sites/default/files/arquivos/%5Bfield_generico_imagens-filefield-description%5D_24.pdf&gt;. Acesso em 28 abr. 2016.</t>
    </r>
  </si>
  <si>
    <r>
      <rPr>
        <b/>
        <sz val="12"/>
        <color theme="1"/>
        <rFont val="Times New Roman"/>
        <family val="1"/>
      </rPr>
      <t xml:space="preserve">ABNT(2006a): </t>
    </r>
    <r>
      <rPr>
        <sz val="12"/>
        <color theme="1"/>
        <rFont val="Times New Roman"/>
        <family val="1"/>
      </rPr>
      <t xml:space="preserve">ABNT - ASSOCIAÇÃO BRASILEIRA DE NORMAS TÉCNICAS. </t>
    </r>
    <r>
      <rPr>
        <i/>
        <sz val="12"/>
        <color theme="1"/>
        <rFont val="Times New Roman"/>
        <family val="1"/>
      </rPr>
      <t>NBR 14022: Acessibilidade em veículos de características urbanas para o transporte coletivo de passageiros</t>
    </r>
    <r>
      <rPr>
        <sz val="12"/>
        <color theme="1"/>
        <rFont val="Times New Roman"/>
        <family val="1"/>
      </rPr>
      <t xml:space="preserve">. 2.ed. Rio de Janeiro: ABNT, 2006. 17p. [segunda edição de 16/10/2006; válida a partir de 16/11/2006]. Disponível em: &lt;http://www.crea-sc.org.br/portal/arquivosSGC/NBR%2014022.pdf&gt;. Acesso em 28 abr. 2016. </t>
    </r>
  </si>
  <si>
    <r>
      <rPr>
        <b/>
        <sz val="12"/>
        <color theme="1"/>
        <rFont val="Times New Roman"/>
        <family val="1"/>
      </rPr>
      <t xml:space="preserve">ABNT(1997a): </t>
    </r>
    <r>
      <rPr>
        <sz val="12"/>
        <color theme="1"/>
        <rFont val="Times New Roman"/>
        <family val="1"/>
      </rPr>
      <t xml:space="preserve">ABNT - ASSOCIAÇÃO BRASILEIRA DE NORMAS TÉCNICAS. </t>
    </r>
    <r>
      <rPr>
        <i/>
        <sz val="12"/>
        <color theme="1"/>
        <rFont val="Times New Roman"/>
        <family val="1"/>
      </rPr>
      <t>NBR 14022: Transporte - Acessibilidade à pessoa portadora de deficiência em ônibus e trólebus, para atendimento urbano e intermunicipal</t>
    </r>
    <r>
      <rPr>
        <sz val="12"/>
        <color theme="1"/>
        <rFont val="Times New Roman"/>
        <family val="1"/>
      </rPr>
      <t>. Rio de Janeiro: ABNT, 1997. 8p. [primeira edição dez. 1997; válida a partir de 29/01/1998]. Disponível em: &lt;http://www.turismo.gov.br/sites/default/turismo/o_ministerio/publicacoes/downloads_publicacoes/NBR14022.pdf&gt;. Acesso em: 28 abr. 2016.</t>
    </r>
  </si>
  <si>
    <r>
      <rPr>
        <b/>
        <sz val="12"/>
        <rFont val="Times New Roman"/>
        <family val="1"/>
      </rPr>
      <t xml:space="preserve">ABNT(2015a): </t>
    </r>
    <r>
      <rPr>
        <sz val="12"/>
        <rFont val="Times New Roman"/>
        <family val="1"/>
      </rPr>
      <t xml:space="preserve">ABNT - ASSOCIAÇÃO BRASILEIRA DE NORMAS TÉCNICAS. </t>
    </r>
    <r>
      <rPr>
        <i/>
        <sz val="12"/>
        <rFont val="Times New Roman"/>
        <family val="1"/>
      </rPr>
      <t>NBR 9050: Acessibilidade a edificações, mobiliário, espaços e equipamentos urbanos</t>
    </r>
    <r>
      <rPr>
        <sz val="12"/>
        <rFont val="Times New Roman"/>
        <family val="1"/>
      </rPr>
      <t>. 3.ed. Rio de Janeiro: ABNT, 2015. 148p. [terceira edição 11/09/2015; válida a partir de 11/10/2015]. Disponível em: &lt;http://www.pessoacomdeficiencia.gov.br/app/sites/default/files/arquivos/%5Bfield_generico_imagens-filefield-description%5D_164.pdf&gt;. Acesso em 28 abr. 2016.</t>
    </r>
  </si>
  <si>
    <r>
      <rPr>
        <b/>
        <sz val="12"/>
        <rFont val="Times New Roman"/>
        <family val="1"/>
      </rPr>
      <t xml:space="preserve">ABNT(2011a): </t>
    </r>
    <r>
      <rPr>
        <sz val="12"/>
        <rFont val="Times New Roman"/>
        <family val="1"/>
      </rPr>
      <t xml:space="preserve">ABNT - ASSOCIAÇÃO BRASILEIRA DE NORMAS TÉCNICAS. </t>
    </r>
    <r>
      <rPr>
        <i/>
        <sz val="12"/>
        <rFont val="Times New Roman"/>
        <family val="1"/>
      </rPr>
      <t>NBR 14022:Acessibilidade em veículos de características urbanas para o transporte coletivo de passageiros</t>
    </r>
    <r>
      <rPr>
        <sz val="12"/>
        <rFont val="Times New Roman"/>
        <family val="1"/>
      </rPr>
      <t>. 4.ed. Rio de Janeiro: ABNT, 2011. 20p. [quarta edição de 06/01/2011; válida a partir de 06/02/2011]. Disponível em: &lt;http://www.cnmp.mp.br/portal/images/Comissoes/DireitosFundamentais/Acessibilidade/NBR_14022-2011_Onibus_Ed4.pdf&gt;. Acesso em: 28 abr. 2016.</t>
    </r>
  </si>
  <si>
    <r>
      <rPr>
        <b/>
        <sz val="12"/>
        <rFont val="Times New Roman"/>
        <family val="1"/>
      </rPr>
      <t xml:space="preserve">ABNT(2005a): </t>
    </r>
    <r>
      <rPr>
        <sz val="12"/>
        <rFont val="Times New Roman"/>
        <family val="1"/>
      </rPr>
      <t xml:space="preserve">ASSOCIAÇÃO BRASILEIRA DE NORMAS TÉCNICAS – ABNT. </t>
    </r>
    <r>
      <rPr>
        <i/>
        <sz val="12"/>
        <rFont val="Times New Roman"/>
        <family val="1"/>
      </rPr>
      <t>NBR 9050: Acessibilidade a edificações, mobiliário, espaços e equipamento urbanos</t>
    </r>
    <r>
      <rPr>
        <sz val="12"/>
        <rFont val="Times New Roman"/>
        <family val="1"/>
      </rPr>
      <t>. 2.ed. Rio de Janeiro: ABNT, 2004. 97p. [segunda edição 31/05/2004; válida a partir de 30/06/2004 e corrigida 30/12/2005]. Disponível em: &lt;http://www.centroruibianchi.sp.gov.br/usr/share/documents/ABNTNBR9050_2004Vc_2005.pdf&gt;. Acesso em 28 abr. 2016.</t>
    </r>
  </si>
  <si>
    <r>
      <rPr>
        <b/>
        <sz val="12"/>
        <rFont val="Times New Roman"/>
        <family val="1"/>
      </rPr>
      <t xml:space="preserve">ABNT(2016a): </t>
    </r>
    <r>
      <rPr>
        <sz val="12"/>
        <rFont val="Times New Roman"/>
        <family val="1"/>
      </rPr>
      <t xml:space="preserve">ASSOCIAÇÃO BRASILEIRA DE NORMAS TÉCNICAS - ABNT. </t>
    </r>
    <r>
      <rPr>
        <i/>
        <sz val="12"/>
        <rFont val="Times New Roman"/>
        <family val="1"/>
      </rPr>
      <t>Busca Normas ABNT - consulta "15570"</t>
    </r>
    <r>
      <rPr>
        <sz val="12"/>
        <rFont val="Times New Roman"/>
        <family val="1"/>
      </rPr>
      <t>. Busca possível em: &lt;http://www.abntcolecao.com.br/mpf/default.aspx?T=9BC37A821F0D&gt;. Acesso em 28 abr. 2016.</t>
    </r>
  </si>
  <si>
    <r>
      <rPr>
        <b/>
        <sz val="12"/>
        <rFont val="Times New Roman"/>
        <family val="1"/>
      </rPr>
      <t xml:space="preserve">ABNT(2016b): </t>
    </r>
    <r>
      <rPr>
        <sz val="12"/>
        <rFont val="Times New Roman"/>
        <family val="1"/>
      </rPr>
      <t xml:space="preserve">ASSOCIAÇÃO BRASILEIRA DE NORMAS TÉCNICAS - ABNT. </t>
    </r>
    <r>
      <rPr>
        <i/>
        <sz val="12"/>
        <rFont val="Times New Roman"/>
        <family val="1"/>
      </rPr>
      <t>Busca Normas ABNT - consulta "15646"</t>
    </r>
    <r>
      <rPr>
        <sz val="12"/>
        <rFont val="Times New Roman"/>
        <family val="1"/>
      </rPr>
      <t>. Busca possível em: &lt;http://www.abntcolecao.com.br/mpf/default.aspx?T=9BC37A821F0D&gt;. Acesso em 28 abr. 2016.</t>
    </r>
  </si>
  <si>
    <r>
      <rPr>
        <b/>
        <sz val="12"/>
        <rFont val="Times New Roman"/>
        <family val="1"/>
      </rPr>
      <t xml:space="preserve">ABNT(2016c): </t>
    </r>
    <r>
      <rPr>
        <sz val="12"/>
        <rFont val="Times New Roman"/>
        <family val="1"/>
      </rPr>
      <t xml:space="preserve">ASSOCIAÇÃO BRASILEIRA DE NORMAS TÉCNICAS - ABNT. </t>
    </r>
    <r>
      <rPr>
        <i/>
        <sz val="12"/>
        <rFont val="Times New Roman"/>
        <family val="1"/>
      </rPr>
      <t>Busca Normas ABNT - consulta "9050"</t>
    </r>
    <r>
      <rPr>
        <sz val="12"/>
        <rFont val="Times New Roman"/>
        <family val="1"/>
      </rPr>
      <t>. Busca possível em: &lt;http://www.abntcolecao.com.br/mpf/default.aspx?T=9BC37A821F0D&gt;. Acesso em 28 abr. 2016.</t>
    </r>
  </si>
  <si>
    <r>
      <rPr>
        <b/>
        <sz val="12"/>
        <rFont val="Times New Roman"/>
        <family val="1"/>
      </rPr>
      <t xml:space="preserve">ABNT(2016d): </t>
    </r>
    <r>
      <rPr>
        <sz val="12"/>
        <rFont val="Times New Roman"/>
        <family val="1"/>
      </rPr>
      <t xml:space="preserve">ASSOCIAÇÃO BRASILEIRA DE NORMAS TÉCNICAS - ABNT. </t>
    </r>
    <r>
      <rPr>
        <i/>
        <sz val="12"/>
        <rFont val="Times New Roman"/>
        <family val="1"/>
      </rPr>
      <t>Busca Normas ABNT - consulta "14022"</t>
    </r>
    <r>
      <rPr>
        <sz val="12"/>
        <rFont val="Times New Roman"/>
        <family val="1"/>
      </rPr>
      <t>. Busca possível em: &lt;http://www.abntcolecao.com.br/mpf/default.aspx?T=9BC37A821F0D&gt;. Acesso em 28 abr. 2016.</t>
    </r>
  </si>
  <si>
    <t xml:space="preserve">1ª edição
da 14022 </t>
  </si>
  <si>
    <r>
      <rPr>
        <b/>
        <sz val="12"/>
        <color theme="1"/>
        <rFont val="Times New Roman"/>
        <family val="1"/>
      </rPr>
      <t>ABNT(2009c):</t>
    </r>
    <r>
      <rPr>
        <sz val="12"/>
        <color theme="1"/>
        <rFont val="Times New Roman"/>
        <family val="1"/>
      </rPr>
      <t xml:space="preserve"> ABNT - ASSOCIAÇÃO BRASILEIRA DE NORMAS TÉCNICAS. </t>
    </r>
    <r>
      <rPr>
        <i/>
        <sz val="12"/>
        <color theme="1"/>
        <rFont val="Times New Roman"/>
        <family val="1"/>
      </rPr>
      <t>NBR 15570: Transporte - Especificações técnicas para fabricação de veículos de características urbanas para transporte coletivo de passageiros</t>
    </r>
    <r>
      <rPr>
        <sz val="12"/>
        <color theme="1"/>
        <rFont val="Times New Roman"/>
        <family val="1"/>
      </rPr>
      <t>. Rio de Janeiro: ABNT, 2009. 15p. [emenda 1 20/02/2009; válida a partir de 20/03/2009]. Disponível em: &lt;http://www.pessoacomdeficiencia.gov.br/app/sites/default/files/arquivos/%5Bfield_generico_imagens-filefield-description%5D_22.pdf&gt;. Acesso em 28 abr. 2016.</t>
    </r>
  </si>
  <si>
    <r>
      <rPr>
        <b/>
        <sz val="12"/>
        <color theme="1"/>
        <rFont val="Times New Roman"/>
        <family val="1"/>
      </rPr>
      <t>ABNT(2009b):</t>
    </r>
    <r>
      <rPr>
        <sz val="12"/>
        <color theme="1"/>
        <rFont val="Times New Roman"/>
        <family val="1"/>
      </rPr>
      <t xml:space="preserve"> ABNT - ASSOCIAÇÃO BRASILEIRA DE NORMAS TÉCNICAS. </t>
    </r>
    <r>
      <rPr>
        <i/>
        <sz val="12"/>
        <color theme="1"/>
        <rFont val="Times New Roman"/>
        <family val="1"/>
      </rPr>
      <t>NBR 15570: Transporte - Especificações técnicas para fabricação de veículos de características urbanas para transporte coletivo de passageiros</t>
    </r>
    <r>
      <rPr>
        <sz val="12"/>
        <color theme="1"/>
        <rFont val="Times New Roman"/>
        <family val="1"/>
      </rPr>
      <t>. 2.ed. Rio de Janeiro: ABNT, 2009. 59p. [segunda edição de 20/02/2009; válida a partir de 20/03/2009]. Disponível em: &lt;http://www.cnmp.mp.br/portal_2015/images/Comissoes/DireitosFundamentais/Acessibilidade/NBR_15570-2009_Transp_Coletivo_Urbano.pdf&gt;. Acesso em 28 abr. 2016.</t>
    </r>
  </si>
  <si>
    <t>3ª edição da 14022
2ª edição e emenda da 15570</t>
  </si>
  <si>
    <t>2ª edição da 15646
3ª edição da 15570</t>
  </si>
  <si>
    <t>1ª edição da 15646</t>
  </si>
  <si>
    <t>2ª edição da 14022</t>
  </si>
  <si>
    <t>2ª edição da 9050</t>
  </si>
  <si>
    <t>3ª edição da 15646</t>
  </si>
  <si>
    <t>∑ (n.º de veículos por categoria na escala "acessibilidade em ônibus urbano")</t>
  </si>
  <si>
    <r>
      <rPr>
        <b/>
        <sz val="12"/>
        <rFont val="Times New Roman"/>
        <family val="1"/>
      </rPr>
      <t>ONIBUS DE CURITIBA(2015b):</t>
    </r>
    <r>
      <rPr>
        <sz val="12"/>
        <rFont val="Times New Roman"/>
        <family val="1"/>
      </rPr>
      <t xml:space="preserve"> ÔNIBUS DE CURITIBA. </t>
    </r>
    <r>
      <rPr>
        <i/>
        <sz val="12"/>
        <rFont val="Times New Roman"/>
        <family val="1"/>
      </rPr>
      <t>Articulados piso-baixo da Viação Colombo começam a operar.</t>
    </r>
    <r>
      <rPr>
        <sz val="12"/>
        <rFont val="Times New Roman"/>
        <family val="1"/>
      </rPr>
      <t xml:space="preserve"> Curitiba, 24 dez. 2015. Disponível em: &lt;http://onibusdecuritiba.com/articulados-piso-baixo-da-viacao-colombo-comecam-a-operar/&gt;. Acesso em: 28 abr. 2016.</t>
    </r>
    <r>
      <rPr>
        <i/>
        <sz val="12"/>
        <rFont val="Times New Roman"/>
        <family val="1"/>
      </rPr>
      <t/>
    </r>
  </si>
  <si>
    <t>peso 5: não existem em Curitiba conforme BHTRANS(2016f)</t>
  </si>
  <si>
    <t>peso 4: não existem em Curitiba conforme BHTRANS(2016f)</t>
  </si>
  <si>
    <r>
      <rPr>
        <b/>
        <sz val="10"/>
        <color rgb="FFFF0000"/>
        <rFont val="Times New Roman"/>
        <family val="1"/>
      </rPr>
      <t>peso 9:</t>
    </r>
    <r>
      <rPr>
        <sz val="10"/>
        <rFont val="Times New Roman"/>
        <family val="1"/>
      </rPr>
      <t xml:space="preserve"> não existem em Curitiba conforme BHTRANS(2016f)</t>
    </r>
  </si>
  <si>
    <r>
      <rPr>
        <b/>
        <sz val="10"/>
        <color rgb="FFFF0000"/>
        <rFont val="Times New Roman"/>
        <family val="1"/>
      </rPr>
      <t>peso 7</t>
    </r>
    <r>
      <rPr>
        <sz val="10"/>
        <rFont val="Times New Roman"/>
        <family val="1"/>
      </rPr>
      <t>: não existem em Curitiba conforme BHTRANS(2016f)</t>
    </r>
  </si>
  <si>
    <r>
      <rPr>
        <b/>
        <sz val="10"/>
        <color rgb="FFFF0000"/>
        <rFont val="Times New Roman"/>
        <family val="1"/>
      </rPr>
      <t>peso 6:</t>
    </r>
    <r>
      <rPr>
        <sz val="10"/>
        <color rgb="FFFF0000"/>
        <rFont val="Times New Roman"/>
        <family val="1"/>
      </rPr>
      <t xml:space="preserve"> </t>
    </r>
    <r>
      <rPr>
        <sz val="10"/>
        <rFont val="Times New Roman"/>
        <family val="1"/>
      </rPr>
      <t>não existem em Curitiba conforme BHTRANS(2016f)</t>
    </r>
  </si>
  <si>
    <r>
      <t xml:space="preserve">índice de acessibilidade do embarque/desembarque da frota de transporte coletivo por ônibus urbano de Curitiba na escala de 1 a 10 definida pelo SisMob-BH (onde 1 é a pior situação e 10 é a melhor situação, com 6 sendo o RPI de acessibilidade sem desenho universal e 10 sendo o RPI de desenho universal) 
</t>
    </r>
    <r>
      <rPr>
        <b/>
        <sz val="10"/>
        <rFont val="Times New Roman"/>
        <family val="1"/>
      </rPr>
      <t xml:space="preserve">obs.: </t>
    </r>
    <r>
      <rPr>
        <sz val="10"/>
        <rFont val="Times New Roman"/>
        <family val="1"/>
      </rPr>
      <t>consulte "acessibilidade em ônibus urbano (escala)"</t>
    </r>
  </si>
  <si>
    <r>
      <t xml:space="preserve">índice de acessibilidade do embarque/desembarque da frota de transporte suplementar de Belo Horizonte na escala de 1 a 10 definida pelo SisMob-BH (onde 1 é a pior situação, 6 é o "RPI de acessibilidade sem desenho universal" e 10 é a melhor situação como "RPI de desenho universal") 
</t>
    </r>
    <r>
      <rPr>
        <b/>
        <sz val="10"/>
        <rFont val="Times New Roman"/>
        <family val="1"/>
      </rPr>
      <t xml:space="preserve">obs.: </t>
    </r>
    <r>
      <rPr>
        <sz val="10"/>
        <rFont val="Times New Roman"/>
        <family val="1"/>
      </rPr>
      <t>consulte "acessibilidade em ônibus urbano (escala)"</t>
    </r>
  </si>
  <si>
    <r>
      <t xml:space="preserve">índice de acessibilidade do embarque/desembarque da frota de transporte coletivo por ônibus urbano de Joinville na escala de 1 a 10 definida pelo SisMob-BH (onde 1 é a pior situação, 6 é o "RPI de acessibilidade sem desenho universal" e 10 é a melhor situação como "RPI de desenho universal")
</t>
    </r>
    <r>
      <rPr>
        <b/>
        <sz val="10"/>
        <rFont val="Times New Roman"/>
        <family val="1"/>
      </rPr>
      <t xml:space="preserve">obs.: </t>
    </r>
    <r>
      <rPr>
        <sz val="10"/>
        <rFont val="Times New Roman"/>
        <family val="1"/>
      </rPr>
      <t>consulte "acessibilidade em ônibus urbano (escala)"</t>
    </r>
  </si>
  <si>
    <t>URBS</t>
  </si>
  <si>
    <r>
      <rPr>
        <b/>
        <sz val="12"/>
        <color theme="1"/>
        <rFont val="Times New Roman"/>
        <family val="1"/>
      </rPr>
      <t xml:space="preserve">URBS(2015b): </t>
    </r>
    <r>
      <rPr>
        <sz val="12"/>
        <color theme="1"/>
        <rFont val="Times New Roman"/>
        <family val="1"/>
      </rPr>
      <t>URBANIZAÇÃO DE CURITIBA - URBS.</t>
    </r>
    <r>
      <rPr>
        <i/>
        <sz val="12"/>
        <color theme="1"/>
        <rFont val="Times New Roman"/>
        <family val="1"/>
      </rPr>
      <t xml:space="preserve"> Estatuto social</t>
    </r>
    <r>
      <rPr>
        <sz val="12"/>
        <color theme="1"/>
        <rFont val="Times New Roman"/>
        <family val="1"/>
      </rPr>
      <t>. Curitiba, abr. 2015. Disponível em: &lt;http://www.urbs.curitiba.pr.gov.br/uploads/estatutoArquivo/95dbd054190bbc41f863ae7ee8cd29a1c4f6c8e8.pdf&gt;. Acesso em: 29 abr. 2016.</t>
    </r>
  </si>
  <si>
    <t>"A URBS - Urbanização de Curitiba S.A. é uma sociedade por ações e de economia mista,
com personalidade jurídica de direito privado, declarada de utilidade pública, e constituída para o
exercício das atribuições e assunção das responsabilidades definidas pela Lei Municipal nº 6.155,
de 26 de junho de 1980 e alterações posteriores. [...] A Sociedade tem por finalidade administrar o Fundo de Urbanização de Curitiba, de acordo com as disposições da Lei Municipal 4369, de 25 de setembro de 1972 e suas alterações, podendo à conta desses recursos, promover a realização de investimentos em projetos e programas de desenvolvimento urbano do Município de Curitiba e respectiva Região Metropolitana e, bem assim a comercialização de equipamentos urbanos e a prestação de serviços a terceiros. [...] A Sociedade, na qualidade de administradora do Fundo de Urbanização de Curitiba, agirá como concessionária de serviços públicos, nos termos dos contratos de concessão firmados com o Executivo Municipal." conforme URBS(2015b)</t>
  </si>
  <si>
    <t>Gerenciada pela URBS, "A Rede Integrada de Transporte Coletivo de Curitiba (RIT) permite ao usuário a utilização de mais de uma linha de ônibus com o pagamento de apenas uma tarifa. O processo de integração ocorre a partir de terminais de integração onde o cidadão pode desembarcar de uma linha e embarcar em qualquer outra dentro daquele espaço sem um novo pagamento. Assim, o usuário pode compor o seu próprio trajeto para se deslocar por diversos bairros de Curitiba. Curitiba mantém a infraestrutura de transporte da RIT à disposição do Sistema de Transporte Coletivo Metropolitano para integrações físicas tarifárias. O Estado, através da COMEC, mantém 13 municípios acessando a RIT." conforme URBS(2016a)</t>
  </si>
  <si>
    <r>
      <t xml:space="preserve">Requisito de parte interessada RPI 
</t>
    </r>
    <r>
      <rPr>
        <b/>
        <sz val="10"/>
        <rFont val="Times New Roman"/>
        <family val="1"/>
      </rPr>
      <t>obs.:</t>
    </r>
    <r>
      <rPr>
        <sz val="10"/>
        <rFont val="Times New Roman"/>
        <family val="1"/>
      </rPr>
      <t xml:space="preserve"> RPI é uma "Tradução mensurável de necessidade ou expectativa, implícita ou explícita, de parte interessada” conforme PNQ(2013) citado por ANTP(2013b, p.99)</t>
    </r>
  </si>
  <si>
    <t>2 a 10 = com alguma facilidade</t>
  </si>
  <si>
    <t>2 = elevador exclusivo</t>
  </si>
  <si>
    <t>3 = elevador não exclusivo</t>
  </si>
  <si>
    <t>5 = BRTmisto c/elevador não exclusivo</t>
  </si>
  <si>
    <t>6 = nível s/rampa tcc BH</t>
  </si>
  <si>
    <t>8 = nível c/rampa manual</t>
  </si>
  <si>
    <t>sem qualquer facilidade</t>
  </si>
  <si>
    <r>
      <rPr>
        <b/>
        <sz val="12"/>
        <color theme="1"/>
        <rFont val="Times New Roman"/>
        <family val="1"/>
      </rPr>
      <t xml:space="preserve">BHTRANS(2016g): </t>
    </r>
    <r>
      <rPr>
        <sz val="12"/>
        <color theme="1"/>
        <rFont val="Times New Roman"/>
        <family val="1"/>
      </rPr>
      <t xml:space="preserve">EMPRESA DE TRANSPORTES E TRÂNSITO DE BELO HORIZONTE S/A - BHTRANS. Observatório da Mobilidade de Belo Horizonte - ObsMob-BH. </t>
    </r>
    <r>
      <rPr>
        <i/>
        <sz val="12"/>
        <color theme="1"/>
        <rFont val="Times New Roman"/>
        <family val="1"/>
      </rPr>
      <t>Indicadores - Grupo Transporte Coletivo - Percentual de passageiros em transporte executivo coletivo e em linhas de vila e favelas</t>
    </r>
    <r>
      <rPr>
        <sz val="12"/>
        <color theme="1"/>
        <rFont val="Times New Roman"/>
        <family val="1"/>
      </rPr>
      <t>. Belo Horizonte: BHTrans, [s.d.]. Disponível em: &lt;http://www.bhtrans.pbh.gov.br/portal/page/portal/portalpublico/Temas/ObservatorioMobilidade/Indicadores/Transporte%20Coletivo/Percentual%20de%20passageiros%20em%20transporte%20executivo%20coletivo%20e&gt;. Acesso em: 29 abr. 2016.</t>
    </r>
  </si>
  <si>
    <t>relatório-fonte descontinuado</t>
  </si>
  <si>
    <r>
      <t xml:space="preserve">percentual de passageiros em transporte executivo coletivo
</t>
    </r>
    <r>
      <rPr>
        <b/>
        <sz val="10"/>
        <color theme="1"/>
        <rFont val="Times New Roman"/>
        <family val="1"/>
      </rPr>
      <t xml:space="preserve">obs.1: </t>
    </r>
    <r>
      <rPr>
        <sz val="10"/>
        <color theme="1"/>
        <rFont val="Times New Roman"/>
        <family val="1"/>
      </rPr>
      <t xml:space="preserve">indicador estratégico da BHTrans (BHTRANS, 2015d)
</t>
    </r>
    <r>
      <rPr>
        <b/>
        <sz val="10"/>
        <color theme="1"/>
        <rFont val="Times New Roman"/>
        <family val="1"/>
      </rPr>
      <t>obs.2:</t>
    </r>
    <r>
      <rPr>
        <sz val="10"/>
        <color theme="1"/>
        <rFont val="Times New Roman"/>
        <family val="1"/>
      </rPr>
      <t xml:space="preserve"> resultados de 2012-2014 conforme BHTRANS(2016g)
</t>
    </r>
    <r>
      <rPr>
        <b/>
        <sz val="10"/>
        <color theme="1"/>
        <rFont val="Times New Roman"/>
        <family val="1"/>
      </rPr>
      <t>obs.3:</t>
    </r>
    <r>
      <rPr>
        <sz val="10"/>
        <color theme="1"/>
        <rFont val="Times New Roman"/>
        <family val="1"/>
      </rPr>
      <t xml:space="preserve"> "Percentual de passageiros em transporte executivo coletivo = (Somatório do número de passageiros transportados registrados anualmente em linhas de transporte coletivo executivo / Somatório da quantidade de passageiros registrados no transporte convencional, suplementar e metrô) x 100. Quanto MAIOR, MELHOR." conforme BHTRANS(2016g)</t>
    </r>
  </si>
  <si>
    <t>NL 
vilas e favelas</t>
  </si>
  <si>
    <r>
      <t xml:space="preserve">percentual de passageiros em linhas de vilas e favelas
</t>
    </r>
    <r>
      <rPr>
        <b/>
        <sz val="10"/>
        <rFont val="Times New Roman"/>
        <family val="1"/>
      </rPr>
      <t xml:space="preserve">obs.1: </t>
    </r>
    <r>
      <rPr>
        <sz val="10"/>
        <rFont val="Times New Roman"/>
        <family val="1"/>
      </rPr>
      <t xml:space="preserve">indicador estratégico da BHTrans (BHTRANS, 2015d)
</t>
    </r>
    <r>
      <rPr>
        <b/>
        <sz val="10"/>
        <rFont val="Times New Roman"/>
        <family val="1"/>
      </rPr>
      <t xml:space="preserve">obs.2: </t>
    </r>
    <r>
      <rPr>
        <sz val="10"/>
        <rFont val="Times New Roman"/>
        <family val="1"/>
      </rPr>
      <t xml:space="preserve">resultados de 2001 a 2009 conforme fórmula (NP em vilas e favelas/NP tcc); resultados de 2010-2013 conforme BHTRANS(2015e, p.50) e de 2014 conforme BHTRANS(2016g)
</t>
    </r>
    <r>
      <rPr>
        <b/>
        <sz val="10"/>
        <rFont val="Times New Roman"/>
        <family val="1"/>
      </rPr>
      <t>obs.3:</t>
    </r>
    <r>
      <rPr>
        <sz val="10"/>
        <rFont val="Times New Roman"/>
        <family val="1"/>
      </rPr>
      <t xml:space="preserve">  "Percentual de passageiros em linhas de vila e favela = (Somatório do número de passageiros registrados anualmente no sistema de linhas de vilas e favelas / Somatório da quantidade de passageiros registrados no transporte convencional, suplementar e metrô) x 100" conforme BHTRANS(2016g)</t>
    </r>
  </si>
  <si>
    <t>NP tcc (ano)</t>
  </si>
  <si>
    <t>NP tcc (mês)</t>
  </si>
  <si>
    <t>NP em vilas e favelas (mês)</t>
  </si>
  <si>
    <t>serviço não existia antes de 1996</t>
  </si>
  <si>
    <r>
      <rPr>
        <b/>
        <sz val="12"/>
        <color theme="1"/>
        <rFont val="Times New Roman"/>
        <family val="1"/>
      </rPr>
      <t xml:space="preserve">OLIVEIRA(2012a): </t>
    </r>
    <r>
      <rPr>
        <sz val="12"/>
        <color theme="1"/>
        <rFont val="Times New Roman"/>
        <family val="1"/>
      </rPr>
      <t xml:space="preserve">OLIVEIRA, Marcos Fontoura de; RIBEIRO, Renato Guimarães. Urban Mobility of Residents from Shanty Towns and Informal Settlements in Belo Horizonte: What Has Been Improved? In: CONFERENCE CODATU - Le rôle de la mobilité urbaine pour (re)modeler les villes, 15, 2012, Addis Ababa (Ethiopia) [22 to 25 October 2012]. </t>
    </r>
    <r>
      <rPr>
        <i/>
        <sz val="12"/>
        <color theme="1"/>
        <rFont val="Times New Roman"/>
        <family val="1"/>
      </rPr>
      <t xml:space="preserve">Anais... </t>
    </r>
    <r>
      <rPr>
        <sz val="12"/>
        <color theme="1"/>
        <rFont val="Times New Roman"/>
        <family val="1"/>
      </rPr>
      <t>Paris: Codatu, 3 avril 2013. Conference, p.1-12. Disponível em: &lt;http://www.codatu.org/wp-content/uploads/R.G.-Ribeiro-M.F.-De-Oliveira-ARTICLE-Codatu-XV-2012-EN.pdf&gt;. Acesso em 29 abr. 2016.</t>
    </r>
  </si>
  <si>
    <t>(1)</t>
  </si>
  <si>
    <t>serviço estruturado como tal não existia antes de 1996</t>
  </si>
  <si>
    <r>
      <t xml:space="preserve">n.º de linhas em operação do transporte coletivo convencional
</t>
    </r>
    <r>
      <rPr>
        <b/>
        <sz val="10"/>
        <rFont val="Times New Roman"/>
        <family val="1"/>
      </rPr>
      <t xml:space="preserve">obs.1: </t>
    </r>
    <r>
      <rPr>
        <sz val="10"/>
        <rFont val="Times New Roman"/>
        <family val="1"/>
      </rPr>
      <t xml:space="preserve">mês de dezembro tomado como referência anual com resultado de 1999 conforme BHTRANS(2000a, p.35); de 2001 a 2005 conforme BHTRANS(2006a, p.6); de 2006 a 2007 conforme BHTRANS(2011b); de 2008 a 2012 conforme BHTRANS (2013e)
</t>
    </r>
    <r>
      <rPr>
        <b/>
        <sz val="10"/>
        <rFont val="Times New Roman"/>
        <family val="1"/>
      </rPr>
      <t xml:space="preserve">obs.2: </t>
    </r>
    <r>
      <rPr>
        <sz val="10"/>
        <rFont val="Times New Roman"/>
        <family val="1"/>
      </rPr>
      <t>há divergências de resultados para 2009 com 298 em BHTRANS(2011b) e 312 em BHTRANS(2013e)</t>
    </r>
  </si>
  <si>
    <r>
      <rPr>
        <b/>
        <sz val="12"/>
        <color theme="1"/>
        <rFont val="Times New Roman"/>
        <family val="1"/>
      </rPr>
      <t>BHTRANS(2014b):</t>
    </r>
    <r>
      <rPr>
        <sz val="12"/>
        <color theme="1"/>
        <rFont val="Times New Roman"/>
        <family val="1"/>
      </rPr>
      <t xml:space="preserve"> EMPRESA DE TRANSPORTES E TRÂNSITO DE BELO HORIZONTE S.A - BHTRANS. Gerência de Controle de Permissões - Gecop/DTP. </t>
    </r>
    <r>
      <rPr>
        <i/>
        <sz val="12"/>
        <color theme="1"/>
        <rFont val="Times New Roman"/>
        <family val="1"/>
      </rPr>
      <t xml:space="preserve">Portal interno - Transporte Suplementar- Informações gerais [em planilha excell com resultados de 2013]. </t>
    </r>
    <r>
      <rPr>
        <sz val="12"/>
        <color theme="1"/>
        <rFont val="Times New Roman"/>
        <family val="1"/>
      </rPr>
      <t>Disponível na intranet da BHTrans. Belo Horizonte: BHTrans, [2014].</t>
    </r>
  </si>
  <si>
    <r>
      <rPr>
        <b/>
        <sz val="12"/>
        <color theme="1"/>
        <rFont val="Times New Roman"/>
        <family val="1"/>
      </rPr>
      <t>BHTRANS(2015u):</t>
    </r>
    <r>
      <rPr>
        <sz val="12"/>
        <color theme="1"/>
        <rFont val="Times New Roman"/>
        <family val="1"/>
      </rPr>
      <t xml:space="preserve"> EMPRESA DE TRANSPORTES E TRÂNSITO DE BELO HORIZONTE S.A - BHTRANS. Gerência de Controle de Permissões - Gecop/DTP. </t>
    </r>
    <r>
      <rPr>
        <i/>
        <sz val="12"/>
        <color theme="1"/>
        <rFont val="Times New Roman"/>
        <family val="1"/>
      </rPr>
      <t xml:space="preserve">Portal interno - Transporte Suplementar- Informações gerais [em planilha excell com resultados de 2014]. </t>
    </r>
    <r>
      <rPr>
        <sz val="12"/>
        <color theme="1"/>
        <rFont val="Times New Roman"/>
        <family val="1"/>
      </rPr>
      <t>Belo Horizonte: BHTrans, [2015]. Disponível na intranet da BHTrans. Acesso em 16/06/2015.</t>
    </r>
  </si>
  <si>
    <r>
      <t xml:space="preserve">índice de acessibilidade do embarque/desembarque da frota de transporte coletivo (convencional e suplementar) de Belo Horizonte na escala de 1 a 10 definida pelo SisMob-BH (onde 1 é a pior situação, 6 é o "RPI de acessibilidade sem desenho universal" e 10 é a melhor situação como "RPI de desenho universal")
</t>
    </r>
    <r>
      <rPr>
        <b/>
        <sz val="10"/>
        <rFont val="Times New Roman"/>
        <family val="1"/>
      </rPr>
      <t xml:space="preserve">obs.: </t>
    </r>
    <r>
      <rPr>
        <sz val="10"/>
        <rFont val="Times New Roman"/>
        <family val="1"/>
      </rPr>
      <t>consulte "acessibilidade em ônibus urbano (escala)"</t>
    </r>
  </si>
  <si>
    <r>
      <t xml:space="preserve">frota em n.º de veículos do transporte coletivo de Curitiba equipados com elevador hidráulico acionado exclusivamente para embarque/desembarque de pessoas em cadeira de rodas 
</t>
    </r>
    <r>
      <rPr>
        <b/>
        <sz val="10"/>
        <rFont val="Times New Roman"/>
        <family val="1"/>
      </rPr>
      <t xml:space="preserve">obs.1: </t>
    </r>
    <r>
      <rPr>
        <sz val="10"/>
        <rFont val="Times New Roman"/>
        <family val="1"/>
      </rPr>
      <t>esta categoria recebe</t>
    </r>
    <r>
      <rPr>
        <b/>
        <sz val="10"/>
        <color rgb="FFFF0000"/>
        <rFont val="Times New Roman"/>
        <family val="1"/>
      </rPr>
      <t xml:space="preserve"> peso 2 </t>
    </r>
    <r>
      <rPr>
        <sz val="10"/>
        <rFont val="Times New Roman"/>
        <family val="1"/>
      </rPr>
      <t xml:space="preserve">(escala de 1 a 10 estabelecida pelo SisMob-BH para classificar e comparar resultados - acesse "acessibilidade em ônibus urbano (escala)"
</t>
    </r>
    <r>
      <rPr>
        <b/>
        <sz val="10"/>
        <rFont val="Times New Roman"/>
        <family val="1"/>
      </rPr>
      <t>obs.2:</t>
    </r>
    <r>
      <rPr>
        <sz val="10"/>
        <rFont val="Times New Roman"/>
        <family val="1"/>
      </rPr>
      <t xml:space="preserve"> não existem ônibus desta categoria em Curitiba pois "Todas as plataformas elevatórias aplicadas nos ônibus de Curitiba permitem o embarque em pé e os operadores estão orientados a auxiliar essas pessoas desde que o uso seja justificado, ou seja, desde que a pessoa realmente apresente uma mobilidade reduzida que dificulte o seu acesso pelos degraus do ônibus.." conforme BHTRANS(2016f)</t>
    </r>
  </si>
  <si>
    <r>
      <t xml:space="preserve">frota em n.º de ônibus de todo o sistema de transporte coletivo de Belo Horizonte (transporte convencional e transporte suplementar) com elevador hidráulico acionado exclusivamente para embarque/desembarque de pessoas em cadeira de rodas, que tenham chassis fabricados até 2008 (inclusive) e que não operam em plataformas elevadas (o embarque/desembarque nunca acontece em nível) 
obs.2: esta categoria recebe </t>
    </r>
    <r>
      <rPr>
        <sz val="10"/>
        <color rgb="FFFF0000"/>
        <rFont val="Times New Roman"/>
        <family val="1"/>
      </rPr>
      <t>peso 2</t>
    </r>
    <r>
      <rPr>
        <sz val="10"/>
        <rFont val="Times New Roman"/>
        <family val="1"/>
      </rPr>
      <t>, numa escala de 1 a 10, na classificação definida pelo SisMob-BH para classificar a acessibilidade - acesse "acessibilidade em ônibus urbano (escala)"</t>
    </r>
  </si>
  <si>
    <t>em nível parcial s/rampa</t>
  </si>
  <si>
    <t>em nível total s/rampa</t>
  </si>
  <si>
    <t>em nível c/ uma rampa manual</t>
  </si>
  <si>
    <t>em nível c/uma rampa automática</t>
  </si>
  <si>
    <r>
      <rPr>
        <b/>
        <sz val="12"/>
        <color theme="1"/>
        <rFont val="Times New Roman"/>
        <family val="1"/>
      </rPr>
      <t>BHTRANS(2015e):</t>
    </r>
    <r>
      <rPr>
        <sz val="12"/>
        <color theme="1"/>
        <rFont val="Times New Roman"/>
        <family val="1"/>
      </rPr>
      <t xml:space="preserve"> EMPRESA DE TRANSPORTES E TRÂNSITO DE BELO HORIZONTE S.A - BHTRANS. </t>
    </r>
    <r>
      <rPr>
        <i/>
        <sz val="12"/>
        <color theme="1"/>
        <rFont val="Times New Roman"/>
        <family val="1"/>
      </rPr>
      <t>Balanço anual da mobilidade urbana de Belo Horizonte 2014 - ano base 2013</t>
    </r>
    <r>
      <rPr>
        <sz val="12"/>
        <color theme="1"/>
        <rFont val="Times New Roman"/>
        <family val="1"/>
      </rPr>
      <t>. Belo Horizonte: BHTrans, agosto 2015. 84p. Disponível em: &lt;http://www.bhtrans.pbh.gov.br/portal/pls/portal/!PORTAL.wwpob_page.show?_docname=10210261.PDF&gt;. Acesso em: 28 ago. 2015.</t>
    </r>
  </si>
  <si>
    <r>
      <rPr>
        <b/>
        <sz val="12"/>
        <color theme="1"/>
        <rFont val="Times New Roman"/>
        <family val="1"/>
      </rPr>
      <t xml:space="preserve">JAN(2012): </t>
    </r>
    <r>
      <rPr>
        <sz val="12"/>
        <color theme="1"/>
        <rFont val="Times New Roman"/>
        <family val="1"/>
      </rPr>
      <t xml:space="preserve">JAN. CaosCarioca Internacional: Piso Baixo nos Ônibus. </t>
    </r>
    <r>
      <rPr>
        <i/>
        <sz val="12"/>
        <color theme="1"/>
        <rFont val="Times New Roman"/>
        <family val="1"/>
      </rPr>
      <t>Blog Caos Carioca</t>
    </r>
    <r>
      <rPr>
        <sz val="12"/>
        <color theme="1"/>
        <rFont val="Times New Roman"/>
        <family val="1"/>
      </rPr>
      <t>, s.l.., 17 jan. 2012. Disponível em: &lt;http://www.caoscarioca.com.br/2012/caoscarioca-internacional-piso-baixo-nos-onibus/&gt;. Acesso em: 30 abr. 2016.</t>
    </r>
  </si>
  <si>
    <r>
      <rPr>
        <b/>
        <sz val="12"/>
        <rFont val="Times New Roman"/>
        <family val="1"/>
      </rPr>
      <t xml:space="preserve">OLIVEIRA(2016d): </t>
    </r>
    <r>
      <rPr>
        <sz val="12"/>
        <rFont val="Times New Roman"/>
        <family val="1"/>
      </rPr>
      <t xml:space="preserve">OLIVEIRA, Marcos Fontoura de. Ônibus de piso baixo total em Salzburgo/Áustria. </t>
    </r>
    <r>
      <rPr>
        <i/>
        <sz val="12"/>
        <rFont val="Times New Roman"/>
        <family val="1"/>
      </rPr>
      <t>Blogspot Biblioteca do Marcos Fontoura de Oliveira</t>
    </r>
    <r>
      <rPr>
        <sz val="12"/>
        <rFont val="Times New Roman"/>
        <family val="1"/>
      </rPr>
      <t>. Belo Horizonte, 30 abr. 2016. Disponível em: &lt;http://marcosfontouradeoliveira.blogspot.com.br/2016/04/onibus-de-piso-baixo-total-em.html&gt;. Acesso em: 2 maio 2016.</t>
    </r>
  </si>
  <si>
    <r>
      <rPr>
        <b/>
        <sz val="12"/>
        <rFont val="Times New Roman"/>
        <family val="1"/>
      </rPr>
      <t xml:space="preserve">OLIVEIRA(2016c): </t>
    </r>
    <r>
      <rPr>
        <sz val="12"/>
        <rFont val="Times New Roman"/>
        <family val="1"/>
      </rPr>
      <t xml:space="preserve">OLIVEIRA, Marcos Fontoura de. Ônibus de piso baixo comuns e articulados em Nova York. </t>
    </r>
    <r>
      <rPr>
        <i/>
        <sz val="12"/>
        <rFont val="Times New Roman"/>
        <family val="1"/>
      </rPr>
      <t>Blogspot Biblioteca do Marcos Fontoura de Oliveira</t>
    </r>
    <r>
      <rPr>
        <sz val="12"/>
        <rFont val="Times New Roman"/>
        <family val="1"/>
      </rPr>
      <t>. Belo Horizonte, 17 abr. 2016. Disponível em: &lt;http://marcosfontouradeoliveira.blogspot.com.br/2016/04/blog-post.html&gt;. Acesso em: 26 abr. 2016.</t>
    </r>
  </si>
  <si>
    <r>
      <t xml:space="preserve">frota em n.º de veículos que operam em corredor de BRT com plataforma elevada e embarque/desembarque em nível com o apoio de plataforma automática, mas que em determinadas viagens a operação acontece fora das estações para permitir o desembarque por meio de escadas implantadas na calçada
</t>
    </r>
    <r>
      <rPr>
        <b/>
        <sz val="10"/>
        <color theme="1"/>
        <rFont val="Times New Roman"/>
        <family val="1"/>
      </rPr>
      <t xml:space="preserve">obs.1: </t>
    </r>
    <r>
      <rPr>
        <sz val="10"/>
        <color theme="1"/>
        <rFont val="Times New Roman"/>
        <family val="1"/>
      </rPr>
      <t>esta categoria recebe</t>
    </r>
    <r>
      <rPr>
        <sz val="10"/>
        <color rgb="FFFF0000"/>
        <rFont val="Times New Roman"/>
        <family val="1"/>
      </rPr>
      <t xml:space="preserve"> peso 4 </t>
    </r>
    <r>
      <rPr>
        <sz val="10"/>
        <color theme="1"/>
        <rFont val="Times New Roman"/>
        <family val="1"/>
      </rPr>
      <t xml:space="preserve">(escala de 1 a 10 estabelecida pelo SisMob-BH para classificar e comparar resultados) - acesse "acessibilidade em ônibus urbano (escala)"
</t>
    </r>
    <r>
      <rPr>
        <b/>
        <sz val="10"/>
        <color theme="1"/>
        <rFont val="Times New Roman"/>
        <family val="1"/>
      </rPr>
      <t xml:space="preserve">obs.2: </t>
    </r>
    <r>
      <rPr>
        <sz val="10"/>
        <color theme="1"/>
        <rFont val="Times New Roman"/>
        <family val="1"/>
      </rPr>
      <t>informações sobre as escadas a partir de fotografia e entrevistas conforme OLIVEIRA(2016c)</t>
    </r>
  </si>
  <si>
    <r>
      <rPr>
        <b/>
        <sz val="12"/>
        <rFont val="Times New Roman"/>
        <family val="1"/>
      </rPr>
      <t xml:space="preserve">OLIVEIRA(2016e): </t>
    </r>
    <r>
      <rPr>
        <sz val="12"/>
        <rFont val="Times New Roman"/>
        <family val="1"/>
      </rPr>
      <t xml:space="preserve">OLIVEIRA, Marcos Fontoura de. Trólebus de piso baixo em São Paulo. </t>
    </r>
    <r>
      <rPr>
        <i/>
        <sz val="12"/>
        <rFont val="Times New Roman"/>
        <family val="1"/>
      </rPr>
      <t>Blogspot Biblioteca do Marcos Fontoura de Oliveira</t>
    </r>
    <r>
      <rPr>
        <sz val="12"/>
        <rFont val="Times New Roman"/>
        <family val="1"/>
      </rPr>
      <t>. Belo Horizonte, 30 abr. 2016. Disponível em: &lt;http://marcosfontouradeoliveira.blogspot.com.br/2016/04/trolebus-de-piso-baixo-em-sao-paulo.html&gt;. Acesso em: 2 maio 2016.</t>
    </r>
  </si>
  <si>
    <r>
      <rPr>
        <b/>
        <sz val="12"/>
        <color theme="1"/>
        <rFont val="Times New Roman"/>
        <family val="1"/>
      </rPr>
      <t>SINTRAN(2013)</t>
    </r>
    <r>
      <rPr>
        <sz val="12"/>
        <color theme="1"/>
        <rFont val="Times New Roman"/>
        <family val="1"/>
      </rPr>
      <t xml:space="preserve">: SINDICATO DAS EMPRESAS DE TRANSPORTE DE PASSAGEIROS METROPOLITANO - SINTRAM. </t>
    </r>
    <r>
      <rPr>
        <i/>
        <sz val="12"/>
        <color theme="1"/>
        <rFont val="Times New Roman"/>
        <family val="1"/>
      </rPr>
      <t>DPIN OF. N.º 021/2013</t>
    </r>
    <r>
      <rPr>
        <sz val="12"/>
        <color theme="1"/>
        <rFont val="Times New Roman"/>
        <family val="1"/>
      </rPr>
      <t>. Belo Horizonte, 31 de janeiro de 2013. (resposta do Sintram ao ofício Transcon n.º 95/01/2013, de 16 jan. 2013).</t>
    </r>
  </si>
  <si>
    <r>
      <t xml:space="preserve">frota em n.º de ônibus do transporte coletivo de Contagem equipados com elevador hidráulico acionado exclusivamente para embarque/desembarque de pessoas em cadeira de rodas e que não operam em plataforma elevada (o embarque/desembarque nunca acontece em nível 
</t>
    </r>
    <r>
      <rPr>
        <b/>
        <sz val="10"/>
        <rFont val="Times New Roman"/>
        <family val="1"/>
      </rPr>
      <t xml:space="preserve">obs.1: </t>
    </r>
    <r>
      <rPr>
        <sz val="10"/>
        <rFont val="Times New Roman"/>
        <family val="1"/>
      </rPr>
      <t xml:space="preserve">esta categoria recebe </t>
    </r>
    <r>
      <rPr>
        <sz val="10"/>
        <color rgb="FFFF0000"/>
        <rFont val="Times New Roman"/>
        <family val="1"/>
      </rPr>
      <t>peso 2</t>
    </r>
    <r>
      <rPr>
        <sz val="10"/>
        <rFont val="Times New Roman"/>
        <family val="1"/>
      </rPr>
      <t xml:space="preserve"> (escala de 1 a 10 estabelecida pelo SisMob-BH para classificar e comparar resultados) - acesse "acessibilidade em ônibus urbano (escala)"
</t>
    </r>
    <r>
      <rPr>
        <b/>
        <sz val="10"/>
        <rFont val="Times New Roman"/>
        <family val="1"/>
      </rPr>
      <t xml:space="preserve">obs.2: </t>
    </r>
    <r>
      <rPr>
        <sz val="10"/>
        <rFont val="Times New Roman"/>
        <family val="1"/>
      </rPr>
      <t>não existem ônibuis desta categoria em Contagem conforme SINTRAN(2013)</t>
    </r>
  </si>
  <si>
    <r>
      <t xml:space="preserve">frota em n.º de ônibus do transporte coletivo de Contagem equipados com elevador hidráulico acionado para "usuários com deficiência ou mobilidade reduzida [...] sempre que necessário" e que não operam em plataforma elevada (o embarque/desembarque nunca acontece em nível e pessoas em pé podem utilizar o elevador para embarque/desembarque caso se sintam seguras e o operador permita)
</t>
    </r>
    <r>
      <rPr>
        <b/>
        <sz val="10"/>
        <rFont val="Times New Roman"/>
        <family val="1"/>
      </rPr>
      <t>obs.1:</t>
    </r>
    <r>
      <rPr>
        <sz val="10"/>
        <rFont val="Times New Roman"/>
        <family val="1"/>
      </rPr>
      <t xml:space="preserve"> esta categoria recebe </t>
    </r>
    <r>
      <rPr>
        <sz val="10"/>
        <color rgb="FFFF0000"/>
        <rFont val="Times New Roman"/>
        <family val="1"/>
      </rPr>
      <t xml:space="preserve">peso 3 </t>
    </r>
    <r>
      <rPr>
        <sz val="10"/>
        <rFont val="Times New Roman"/>
        <family val="1"/>
      </rPr>
      <t xml:space="preserve">(escala de 1 a 10 estabelecida pelo SisMob-BH para classificar e comparar resultados) - acesse "acessibilidade em ônibus urbano (escala)"
</t>
    </r>
    <r>
      <rPr>
        <b/>
        <sz val="10"/>
        <rFont val="Times New Roman"/>
        <family val="1"/>
      </rPr>
      <t xml:space="preserve">obs.2: </t>
    </r>
    <r>
      <rPr>
        <sz val="10"/>
        <rFont val="Times New Roman"/>
        <family val="1"/>
      </rPr>
      <t xml:space="preserve">o Sintram, representando os consórcios Norte e Sul,  "orientou as empresas que, quando os veículos possuirem elevadores, favoreçam o embarque/desembarque dos usuários usuários com deficiência ou mobilidade reduzida com a utilização desses elevadores, sempre que necessário" conforme SINTRAN(2013)
</t>
    </r>
    <r>
      <rPr>
        <b/>
        <sz val="10"/>
        <rFont val="Times New Roman"/>
        <family val="1"/>
      </rPr>
      <t xml:space="preserve">obs.3: </t>
    </r>
    <r>
      <rPr>
        <sz val="10"/>
        <rFont val="Times New Roman"/>
        <family val="1"/>
      </rPr>
      <t>o resultado de 2014 é relativo a outubro de 2014 conforme VERTRAN(2015a, p.61)</t>
    </r>
  </si>
  <si>
    <t>Contagem 2014</t>
  </si>
  <si>
    <t>Curitiba 2015</t>
  </si>
  <si>
    <t>Joinville 2015</t>
  </si>
  <si>
    <t>Outras cidades/regiões fora do Brasil</t>
  </si>
  <si>
    <r>
      <t xml:space="preserve">frota em n.º de ônibus do transporte coletivo de Curitiba de dois andares, piso baixo no andar inferior, 2 portas com rampa veicular manual na segunda porta (na qual acontece o embarque/desembarque em nível)
</t>
    </r>
    <r>
      <rPr>
        <b/>
        <sz val="10"/>
        <rFont val="Times New Roman"/>
        <family val="1"/>
      </rPr>
      <t xml:space="preserve">obs.1: </t>
    </r>
    <r>
      <rPr>
        <sz val="10"/>
        <rFont val="Times New Roman"/>
        <family val="1"/>
      </rPr>
      <t xml:space="preserve">esta categoria recebe </t>
    </r>
    <r>
      <rPr>
        <b/>
        <sz val="10"/>
        <color rgb="FFFF0000"/>
        <rFont val="Times New Roman"/>
        <family val="1"/>
      </rPr>
      <t>peso 8</t>
    </r>
    <r>
      <rPr>
        <sz val="10"/>
        <rFont val="Times New Roman"/>
        <family val="1"/>
      </rPr>
      <t xml:space="preserve"> (escala de 1 a 10 estabelecida pelo SisMob-BH para classificar e comparar resultados) - acesse "acessibilidade em ônibus urbano (escala)"
</t>
    </r>
    <r>
      <rPr>
        <b/>
        <sz val="10"/>
        <rFont val="Times New Roman"/>
        <family val="1"/>
      </rPr>
      <t xml:space="preserve">obs.2: </t>
    </r>
    <r>
      <rPr>
        <sz val="10"/>
        <rFont val="Times New Roman"/>
        <family val="1"/>
      </rPr>
      <t>este tipo de veículo chamado "double-deck" opera exclusivamente na "Linha Turismo - Com saída do centro, passa pelos principais parques e pontos turísticos da cidade (tarifa diferenciada)" da RIT de Curitiba conforme BHTRANS(2016f)</t>
    </r>
    <r>
      <rPr>
        <b/>
        <sz val="10"/>
        <rFont val="Times New Roman"/>
        <family val="1"/>
      </rPr>
      <t/>
    </r>
  </si>
  <si>
    <r>
      <rPr>
        <b/>
        <sz val="12"/>
        <rFont val="Times New Roman"/>
        <family val="1"/>
      </rPr>
      <t>ONIBUS DE CURITIBA(2016a):</t>
    </r>
    <r>
      <rPr>
        <sz val="12"/>
        <rFont val="Times New Roman"/>
        <family val="1"/>
      </rPr>
      <t xml:space="preserve"> ÔNIBUS DE CURITIBA. </t>
    </r>
    <r>
      <rPr>
        <i/>
        <sz val="12"/>
        <rFont val="Times New Roman"/>
        <family val="1"/>
      </rPr>
      <t>Sobre ônibus urbanos de Curitiba</t>
    </r>
    <r>
      <rPr>
        <sz val="12"/>
        <rFont val="Times New Roman"/>
        <family val="1"/>
      </rPr>
      <t>. Curitiba, 2 maio 2016. [respostas enviadas por e-mail em 02/05/2016 a perguntas formuladas na página www.onibusdecuritiba.com.br em 28/04/2016 pelo SisMob-BH]</t>
    </r>
  </si>
  <si>
    <t>outras cidades/regiões do Brasil</t>
  </si>
  <si>
    <t>Gráfico 810a - Escala de 1 a 10 do IAED (índice de acessibilidade do embarque/desembarque para pessoa com mobilidade física reduzida na frota de transporte coletivo urbano)</t>
  </si>
  <si>
    <r>
      <t xml:space="preserve">frota em n.º de ônibus do transporte coletivo de Contagem com alguma facilidade para o embarque/desembarque de pessoas com mobilidade física reduzida mesmo que essa facilidade não permita classificar a viagem ofertada como acessível
</t>
    </r>
    <r>
      <rPr>
        <b/>
        <sz val="10"/>
        <rFont val="Times New Roman"/>
        <family val="1"/>
      </rPr>
      <t>obs.1:</t>
    </r>
    <r>
      <rPr>
        <sz val="10"/>
        <rFont val="Times New Roman"/>
        <family val="1"/>
      </rPr>
      <t xml:space="preserve"> acesse as definições de "acessível, ônibus" e "alguma facilidade"
</t>
    </r>
    <r>
      <rPr>
        <b/>
        <sz val="10"/>
        <rFont val="Times New Roman"/>
        <family val="1"/>
      </rPr>
      <t xml:space="preserve">obs.2: </t>
    </r>
    <r>
      <rPr>
        <sz val="10"/>
        <rFont val="Times New Roman"/>
        <family val="1"/>
      </rPr>
      <t>em Contagem, pelo menos até 2014 não existem veículos com embarque em nível e, por isto, este indicador tem resultados idênticos ao relativo à frota com elevador hidráulico "F tc eh (n.º) "</t>
    </r>
  </si>
  <si>
    <r>
      <t xml:space="preserve">frota em n.º de ônibus do transporte coletivo de Curitiba com alguma facilidade para o embarque/desembarque de pessoas com mobilidade física reduzida mesmo que essa facilidade não permita classificar a viagem ofertada como acessível
</t>
    </r>
    <r>
      <rPr>
        <b/>
        <sz val="10"/>
        <rFont val="Times New Roman"/>
        <family val="1"/>
      </rPr>
      <t xml:space="preserve">obs.: </t>
    </r>
    <r>
      <rPr>
        <sz val="10"/>
        <rFont val="Times New Roman"/>
        <family val="1"/>
      </rPr>
      <t>acesse as definições de "acessível, ônibus" e "alguma facilidade"</t>
    </r>
  </si>
  <si>
    <r>
      <t xml:space="preserve">frota em n.º de ônibus do transporte coletivo de Joinville com alguma facilidade para o embarque/desembarque de pessoas com mobilidade física reduzida mesmo que essa facilidade não permita classificar a viagem ofertada como acessível
</t>
    </r>
    <r>
      <rPr>
        <b/>
        <sz val="10"/>
        <rFont val="Times New Roman"/>
        <family val="1"/>
      </rPr>
      <t xml:space="preserve">obs.1: </t>
    </r>
    <r>
      <rPr>
        <sz val="10"/>
        <rFont val="Times New Roman"/>
        <family val="1"/>
      </rPr>
      <t xml:space="preserve">acesse as definições de "acessível, ônibus" e "alguma facilidade"
</t>
    </r>
    <r>
      <rPr>
        <b/>
        <sz val="10"/>
        <rFont val="Times New Roman"/>
        <family val="1"/>
      </rPr>
      <t xml:space="preserve">obs.2: </t>
    </r>
    <r>
      <rPr>
        <sz val="10"/>
        <rFont val="Times New Roman"/>
        <family val="1"/>
      </rPr>
      <t xml:space="preserve">esse indicador é denominado "número de ônibus com acessibilidade para pessoas com deficiência" pelo Programa Cidades Sustentáveis conforme PROGRAMA(2016a) que, no caso de Joinville, incluiu os veículos da "F tes"conforme JOINVELLE(2016a)
</t>
    </r>
    <r>
      <rPr>
        <b/>
        <sz val="10"/>
        <rFont val="Times New Roman"/>
        <family val="1"/>
      </rPr>
      <t xml:space="preserve">obs.3: </t>
    </r>
    <r>
      <rPr>
        <sz val="10"/>
        <rFont val="Times New Roman"/>
        <family val="1"/>
      </rPr>
      <t>os resultados de 2012a 2015 apresentados no SisMob-BH foram calculados conforme JOINVILLE(2016a) e não são os resultados apresentados em PROGRAMA(2016a), ou seja: 186 em vez de 200 para o ano 2012, 275 em vez de 289 para os anos 2013/2014 e 276 em vez de 290</t>
    </r>
  </si>
  <si>
    <r>
      <t xml:space="preserve">frota em n.º de ônibus do transporte coletivo da Grande Vitória com alguma facilidade para o embarque/desembarque de pessoas com mobilidade física reduzida mesmo que essa facilidade não permita classificar a viagem ofertada como acessível
</t>
    </r>
    <r>
      <rPr>
        <b/>
        <sz val="10"/>
        <rFont val="Times New Roman"/>
        <family val="1"/>
      </rPr>
      <t xml:space="preserve">obs.: </t>
    </r>
    <r>
      <rPr>
        <sz val="10"/>
        <rFont val="Times New Roman"/>
        <family val="1"/>
      </rPr>
      <t>acesse as definições de "acessível, ônibus" e "alguma facilidade"</t>
    </r>
  </si>
  <si>
    <t>F tcc fc - NVR tcc fc</t>
  </si>
  <si>
    <t>59,4%</t>
  </si>
  <si>
    <r>
      <rPr>
        <b/>
        <sz val="12"/>
        <rFont val="Times New Roman"/>
        <family val="1"/>
      </rPr>
      <t xml:space="preserve">OLIVEIRA(2015a/b): </t>
    </r>
    <r>
      <rPr>
        <sz val="12"/>
        <rFont val="Times New Roman"/>
        <family val="1"/>
      </rPr>
      <t xml:space="preserve">OLIVEIRA, Marcos Fontoura de. </t>
    </r>
    <r>
      <rPr>
        <i/>
        <sz val="12"/>
        <rFont val="Times New Roman"/>
        <family val="1"/>
      </rPr>
      <t>Memorial analítico relativo ao Inquérito Civil IC n.º 0319.14.00138-3 instaurado em 03/11/2014 pela 1ª Promotoria de Justiça da Comarca de Itabirito</t>
    </r>
    <r>
      <rPr>
        <sz val="12"/>
        <rFont val="Times New Roman"/>
        <family val="1"/>
      </rPr>
      <t>. Belo Horizonte, 9 nov. de 2015. 18p. (parte 1: 2015a) + Apêndice 4p. (parte 2: 2015b)</t>
    </r>
  </si>
  <si>
    <r>
      <t xml:space="preserve">veículos de piso-baixo (dianteiro, traseiro, central ou total) com rampa veicular manual (embarque/desembarque sempre em nível, mas dependente da abertura manual da rampa)
</t>
    </r>
    <r>
      <rPr>
        <b/>
        <sz val="10"/>
        <rFont val="Times New Roman"/>
        <family val="1"/>
      </rPr>
      <t xml:space="preserve">obs.1: </t>
    </r>
    <r>
      <rPr>
        <sz val="10"/>
        <rFont val="Times New Roman"/>
        <family val="1"/>
      </rPr>
      <t xml:space="preserve">esta categoria recebe </t>
    </r>
    <r>
      <rPr>
        <b/>
        <sz val="10"/>
        <color rgb="FFFF0000"/>
        <rFont val="Times New Roman"/>
        <family val="1"/>
      </rPr>
      <t>peso 8</t>
    </r>
    <r>
      <rPr>
        <sz val="10"/>
        <rFont val="Times New Roman"/>
        <family val="1"/>
      </rPr>
      <t>, numa escala de 1 a 10, na classificação definida pelo SisMob-BH para classificar a acessibilidade - acesse "acessibilidade em ônibus urbano (escala)"</t>
    </r>
    <r>
      <rPr>
        <b/>
        <sz val="10"/>
        <rFont val="Times New Roman"/>
        <family val="1"/>
      </rPr>
      <t xml:space="preserve">
obs.2: </t>
    </r>
    <r>
      <rPr>
        <sz val="10"/>
        <rFont val="Times New Roman"/>
        <family val="1"/>
      </rPr>
      <t>RM Curitiba -</t>
    </r>
    <r>
      <rPr>
        <b/>
        <sz val="10"/>
        <rFont val="Times New Roman"/>
        <family val="1"/>
      </rPr>
      <t xml:space="preserve"> e</t>
    </r>
    <r>
      <rPr>
        <sz val="10"/>
        <rFont val="Times New Roman"/>
        <family val="1"/>
      </rPr>
      <t>m dezembro de 2015 foi noticiado que começaram a operar dois veículos de piso baixo na "linha B72 - Ctba/Colombo (Via Rodovia da Uva)" conforme ÔNIBUS DE CURITIBA(2015b); "Além de Colombo, os municípios de Itaperuçu e Rio Branco do Sul também contam com um veículo piso-baixo, o 26400 da Viação do Sul. O órgão responsável pelo transporte coletivo metropolitano é a COMEC." conforme ONIBUS DE CURITIBA(2016a)</t>
    </r>
  </si>
  <si>
    <t>IAED tc</t>
  </si>
  <si>
    <t>IAED tcc</t>
  </si>
  <si>
    <t>IAED tcs</t>
  </si>
  <si>
    <r>
      <t xml:space="preserve">ainda não encontrado </t>
    </r>
    <r>
      <rPr>
        <sz val="10"/>
        <rFont val="Times New Roman"/>
        <family val="1"/>
      </rPr>
      <t xml:space="preserve">(quando informações foram solicitadas e espera-se recebê-las) </t>
    </r>
  </si>
  <si>
    <t>não encontrado (quando não há expectativa de encontrar ou receber resposta solicitada)</t>
  </si>
  <si>
    <r>
      <t xml:space="preserve">frota em n.º de veículos de uma cidade/região que operam em serviços segregados, em geral tratados como serviços especiais, de um município/região para atendimento a categorias específicas de usuários, principalmente para atendimento a escolas e clínicas
</t>
    </r>
    <r>
      <rPr>
        <b/>
        <sz val="10"/>
        <rFont val="Times New Roman"/>
        <family val="1"/>
      </rPr>
      <t xml:space="preserve">obs.1: </t>
    </r>
    <r>
      <rPr>
        <sz val="10"/>
        <rFont val="Times New Roman"/>
        <family val="1"/>
      </rPr>
      <t xml:space="preserve">este serviço é denominado "Sem Limite" em Contagem, "Sites - Sistema de Integrado de Transporte do Serviço Especial" em Curitiba, "serviço especial" em Joinville
</t>
    </r>
    <r>
      <rPr>
        <b/>
        <sz val="10"/>
        <rFont val="Times New Roman"/>
        <family val="1"/>
      </rPr>
      <t>obs.2:</t>
    </r>
    <r>
      <rPr>
        <sz val="10"/>
        <rFont val="Times New Roman"/>
        <family val="1"/>
      </rPr>
      <t xml:space="preserve"> por não poderem ser utilizados por todos os usuários, esses serviços não são classificados na escala de 1 a 10 definida pelo SisMob-BH em "acessibilidade em ônibus urbano (escala)" e, portanto, não compõem o índice de acessibilidade da frota de transporte coletivo definido em "acessibilidade da frota total de ônibus" </t>
    </r>
  </si>
  <si>
    <t>outras cidades/regiões</t>
  </si>
  <si>
    <t>(EV b/EV) x 100</t>
  </si>
  <si>
    <t>EV b (%)</t>
  </si>
  <si>
    <r>
      <rPr>
        <b/>
        <sz val="12"/>
        <color theme="1"/>
        <rFont val="Times New Roman"/>
        <family val="1"/>
      </rPr>
      <t xml:space="preserve">BHTRANS(2015d1/d2/d3): </t>
    </r>
    <r>
      <rPr>
        <sz val="12"/>
        <color theme="1"/>
        <rFont val="Times New Roman"/>
        <family val="1"/>
      </rPr>
      <t xml:space="preserve">EMPRESA DE TRANSPORTES E TRÂNSITO DE BELO HORIZONTE S.A - BHTRANS. </t>
    </r>
    <r>
      <rPr>
        <i/>
        <sz val="12"/>
        <color theme="1"/>
        <rFont val="Times New Roman"/>
        <family val="1"/>
      </rPr>
      <t>Instrução Normativa DPR n.º 02/2015, de 21 de dezembro de 2015</t>
    </r>
    <r>
      <rPr>
        <sz val="12"/>
        <color theme="1"/>
        <rFont val="Times New Roman"/>
        <family val="1"/>
      </rPr>
      <t>. Metodologia de gerenciamento de indicadores estratégicos, táticos e operacionais. 10p. + Anexo I - Ficha para cadastro de indicador + Anexo II - Lista de indicadores por tipo de indicador.</t>
    </r>
  </si>
  <si>
    <r>
      <rPr>
        <b/>
        <sz val="12"/>
        <rFont val="Times New Roman"/>
        <family val="1"/>
      </rPr>
      <t xml:space="preserve">BHTRANS(2015v): </t>
    </r>
    <r>
      <rPr>
        <sz val="12"/>
        <rFont val="Times New Roman"/>
        <family val="1"/>
      </rPr>
      <t xml:space="preserve">EMPRESA DE TRANSPORTES E TRÂNSITO DE BELO HORIZONTE S.A - BHTRANS. </t>
    </r>
    <r>
      <rPr>
        <i/>
        <sz val="12"/>
        <rFont val="Times New Roman"/>
        <family val="1"/>
      </rPr>
      <t>Acessibilidade Para Todos - Notas técnicas BHTrans de acessibilidade</t>
    </r>
    <r>
      <rPr>
        <sz val="12"/>
        <rFont val="Times New Roman"/>
        <family val="1"/>
      </rPr>
      <t>. Belo Horizonte: BHTrans, 14 ago. 2015. Disponível em: &lt;http://www.bhtrans.pbh.gov.br/portal/page/portal/portalpublico/Temas/BHTRANS/Acessibilidade%20para%20Todos/Acessibilidade%20Para%20Todos%20-%20Notas%20Tecnicas&gt;. Acesso em 2 maio 2016.</t>
    </r>
  </si>
  <si>
    <t>acessibilidade para PcD visual com cão-guia</t>
  </si>
  <si>
    <r>
      <rPr>
        <b/>
        <sz val="12"/>
        <color theme="1"/>
        <rFont val="Times New Roman"/>
        <family val="1"/>
      </rPr>
      <t>BH(2002a):</t>
    </r>
    <r>
      <rPr>
        <sz val="12"/>
        <color theme="1"/>
        <rFont val="Times New Roman"/>
        <family val="1"/>
      </rPr>
      <t xml:space="preserve"> BELO HORIZONTE. Prefeitura. Lei n.º 8.447, de 25 de novembro de 2002. Dispõe sobre acesso e permanência de pessoa portadora de deficiência visual acompanhada por cão-guia, nos locais que menciona, e dá outras providências. Belo Horizonte, </t>
    </r>
    <r>
      <rPr>
        <i/>
        <sz val="12"/>
        <color theme="1"/>
        <rFont val="Times New Roman"/>
        <family val="1"/>
      </rPr>
      <t>Diário Oficial do Município - DOM</t>
    </r>
    <r>
      <rPr>
        <sz val="12"/>
        <color theme="1"/>
        <rFont val="Times New Roman"/>
        <family val="1"/>
      </rPr>
      <t>, Ano VIII - Edição n.º 1755, 26 nov. 2002. Poder Executivo. Secretaria Municipal de Governo Planejamento e Coordenação Geral - Secretaria Municipal de Governo. Disponível em: &lt;http://portal6.pbh.gov.br/dom/iniciaEdicao.do?method=DetalheArtigo&amp;pk=902046&gt;. Acesso em: 5 maio 2016.</t>
    </r>
  </si>
  <si>
    <r>
      <rPr>
        <b/>
        <sz val="12"/>
        <color theme="1"/>
        <rFont val="Times New Roman"/>
        <family val="1"/>
      </rPr>
      <t>BHTRANS(2004a):</t>
    </r>
    <r>
      <rPr>
        <sz val="12"/>
        <color theme="1"/>
        <rFont val="Times New Roman"/>
        <family val="1"/>
      </rPr>
      <t xml:space="preserve"> EMPRESA DE TRANSPORTES E TRÂNSITO DE BELO HORIZONTE S.A - BHTRANS. Gerência de Marketing e Comunicação - Gecom/BHTrans. </t>
    </r>
    <r>
      <rPr>
        <i/>
        <sz val="12"/>
        <color theme="1"/>
        <rFont val="Times New Roman"/>
        <family val="1"/>
      </rPr>
      <t>Release - Portador de deficiência visual com cão-guia terá acesso ao transporte coletivo da capital</t>
    </r>
    <r>
      <rPr>
        <sz val="12"/>
        <color theme="1"/>
        <rFont val="Times New Roman"/>
        <family val="1"/>
      </rPr>
      <t>. Belo Horizonte: BHTrans, 19 maio 2004.</t>
    </r>
  </si>
  <si>
    <r>
      <rPr>
        <b/>
        <sz val="12"/>
        <color theme="1"/>
        <rFont val="Times New Roman"/>
        <family val="1"/>
      </rPr>
      <t xml:space="preserve">GUIMARÃES(2003): </t>
    </r>
    <r>
      <rPr>
        <sz val="12"/>
        <color theme="1"/>
        <rFont val="Times New Roman"/>
        <family val="1"/>
      </rPr>
      <t xml:space="preserve">GUIMARÃES, Igor. Jornalista terá 1º cão-guia em BH. </t>
    </r>
    <r>
      <rPr>
        <i/>
        <sz val="12"/>
        <color theme="1"/>
        <rFont val="Times New Roman"/>
        <family val="1"/>
      </rPr>
      <t>O Tempo</t>
    </r>
    <r>
      <rPr>
        <sz val="12"/>
        <color theme="1"/>
        <rFont val="Times New Roman"/>
        <family val="1"/>
      </rPr>
      <t>, Belo Horizonte, 16 ago. 2003. Caderno Cidade, p.04.</t>
    </r>
  </si>
  <si>
    <r>
      <rPr>
        <b/>
        <sz val="10"/>
        <rFont val="Times New Roman"/>
        <family val="1"/>
      </rPr>
      <t xml:space="preserve">1998/Rio de Janeiro: </t>
    </r>
    <r>
      <rPr>
        <sz val="10"/>
        <rFont val="Times New Roman"/>
        <family val="1"/>
      </rPr>
      <t xml:space="preserve">[...] acusou a administração do Teatro Municipal de barrá-la em um espetáculo por estar acompanhada de seu cão-guia. Após conseguir liminar na Justiça, Ethel retornou ao teatro com o animal." </t>
    </r>
    <r>
      <rPr>
        <b/>
        <sz val="10"/>
        <rFont val="Times New Roman"/>
        <family val="1"/>
      </rPr>
      <t xml:space="preserve">
2000/São Paulo: </t>
    </r>
    <r>
      <rPr>
        <sz val="10"/>
        <rFont val="Times New Roman"/>
        <family val="1"/>
      </rPr>
      <t xml:space="preserve">"Em maio de 2000, a advogada [...] foi impedida de entrar com seu cão da raça labrador no metrô de São Paulo. A instituição aplicou o regulamento que impede o transporte de animais e vetou a presença de Bóris no local. [...] Hoje o direito de cães-guia entrarem em estabelecimentos públicos na capital paulista foi assegurado com um lei - regulamentada um ano depois do episódio." conforme GUIMARÃES(2003)
</t>
    </r>
    <r>
      <rPr>
        <b/>
        <sz val="10"/>
        <rFont val="Times New Roman"/>
        <family val="1"/>
      </rPr>
      <t xml:space="preserve">obs.: </t>
    </r>
    <r>
      <rPr>
        <sz val="10"/>
        <rFont val="Times New Roman"/>
        <family val="1"/>
      </rPr>
      <t>esta é uma tentativa de sistematização do SisMob-BH iniciada em maio/2016 (aqui será publicado tudo que se for encontrando sobre o acessibilidade para PcD visual com cão-guia em locais público, em especial nos transportes, fora de Belo Horizonte)</t>
    </r>
  </si>
  <si>
    <t>assento preferencial
(PcD)</t>
  </si>
  <si>
    <t>RPI Belo Horizonte</t>
  </si>
  <si>
    <t>assento preferencial
(mulher: grávida/gestante/lactante)</t>
  </si>
  <si>
    <t>assento preferencial
(com criança de colo)</t>
  </si>
  <si>
    <t>assento preferencial
(pessoa com mobilidade reduzida)</t>
  </si>
  <si>
    <t>assento preferencial
(obeso)</t>
  </si>
  <si>
    <r>
      <rPr>
        <b/>
        <sz val="10"/>
        <rFont val="Times New Roman"/>
        <family val="1"/>
      </rPr>
      <t xml:space="preserve">2003: </t>
    </r>
    <r>
      <rPr>
        <sz val="10"/>
        <rFont val="Times New Roman"/>
        <family val="1"/>
      </rPr>
      <t xml:space="preserve">"considerando [...] a obrigatoriedade da empresa sub-concessionária [do transporte convencional de Belo Horizonte] impedir, dentre outros, o acesso ao interior do veículo de pessoas conduzindo animais" e "considerando que a [...] assegura o acesso aos meios de transporte público à pessoa portadora de deficiência visual acompanhada de cão-guia especialmente treinado para esse fim" foi resolvido que  "O disposto no art. 70 (inciso I - P16) do Anexo II - Descrição das Infrações, do Regulamento Operacional do Serviço Público de Transporte Coletivo de Passageiros do Município de Belo Horizonte, aprovado pela BHTRANS através da Portaria DPR Nº 005/02 [(BHTRANS,2002a)], de 05 de fevereiro de 2002, não se aplica a cão - guia." e que "A pessoa portadora de deficiência visual deve trazer consigo, para apresentar caso seja abordada por algum agente público, os documentos especificados no art. 2º da Lei Municipal nº 8.447, de 25 de novembro de 2002 [(BH, 2002a)]" conforme BHTRANS(2003a).
</t>
    </r>
    <r>
      <rPr>
        <b/>
        <sz val="10"/>
        <rFont val="Times New Roman"/>
        <family val="1"/>
      </rPr>
      <t xml:space="preserve">2003: </t>
    </r>
    <r>
      <rPr>
        <sz val="10"/>
        <rFont val="Times New Roman"/>
        <family val="1"/>
      </rPr>
      <t xml:space="preserve">chegada do primeiro cão guia a Belo Horizonte conforme GUIMARÃES(2003)
</t>
    </r>
    <r>
      <rPr>
        <b/>
        <sz val="10"/>
        <rFont val="Times New Roman"/>
        <family val="1"/>
      </rPr>
      <t xml:space="preserve">2004: </t>
    </r>
    <r>
      <rPr>
        <sz val="10"/>
        <rFont val="Times New Roman"/>
        <family val="1"/>
      </rPr>
      <t xml:space="preserve">primeiro usuário a utilizar cão guia no transporte coletivo de Belo Horizonte conforme BHTRANS(2004a)
</t>
    </r>
    <r>
      <rPr>
        <b/>
        <sz val="10"/>
        <rFont val="Times New Roman"/>
        <family val="1"/>
      </rPr>
      <t xml:space="preserve">2008: </t>
    </r>
    <r>
      <rPr>
        <sz val="10"/>
        <rFont val="Times New Roman"/>
        <family val="1"/>
      </rPr>
      <t xml:space="preserve">"Art. 11 - As pessoas com deficiência visual poderão utilizar os SERVIÇOS acompanhados de seu cão-guia, nos termos da Lei Federal nº 11.126, de 27 de junho de 2005, observada a necessidade de apresentação dos documentos descritos no art. 3º do Decreto Federal nº. 5.904, de 21 de setembro de 2006. Art. 12 - Fica vedado o transporte de animais nos veículos, respeitado o disposto no art. 11 deste REGULAMENTO. [...] Art. 116 - São deveres dos empregados da CONCESSIONÁRIA: [...] XI - impedir o embarque de pessoas conduzindo animais, exceto cão-guia;" conforme BH(2008a)
</t>
    </r>
    <r>
      <rPr>
        <b/>
        <sz val="10"/>
        <rFont val="Times New Roman"/>
        <family val="1"/>
      </rPr>
      <t xml:space="preserve">obs.: </t>
    </r>
    <r>
      <rPr>
        <sz val="10"/>
        <rFont val="Times New Roman"/>
        <family val="1"/>
      </rPr>
      <t>esta é uma tentativa de sistematização do SisMob-BH iniciada em maio/2016 (aqui será publicado tudo que se for encontrando sobre o acessibilidade para PcD visual com cão-guia no transporte convencional de Belo Horizonte)</t>
    </r>
  </si>
  <si>
    <t>Dos 24 indicadores previstos do projeto AMAR BH, 8 (oito) medem questões relativas a acessibilidade</t>
  </si>
  <si>
    <t>URB(quesitos)</t>
  </si>
  <si>
    <t>fórmula</t>
  </si>
  <si>
    <t>sigla/verbete</t>
  </si>
  <si>
    <t>verbete</t>
  </si>
  <si>
    <t>de acessibilidade</t>
  </si>
  <si>
    <t>acompanhados pelo CMMCE</t>
  </si>
  <si>
    <r>
      <rPr>
        <b/>
        <sz val="12"/>
        <color theme="1"/>
        <rFont val="Times New Roman"/>
        <family val="1"/>
      </rPr>
      <t xml:space="preserve">BHTRANS(2016h): </t>
    </r>
    <r>
      <rPr>
        <sz val="12"/>
        <color theme="1"/>
        <rFont val="Times New Roman"/>
        <family val="1"/>
      </rPr>
      <t xml:space="preserve">EMPRESA DE TRANSPORTES E TRÂNSITO DE BELO HORIZONTE S/A - BHTRANS. Licitação Transporte Suplementar. </t>
    </r>
    <r>
      <rPr>
        <i/>
        <sz val="12"/>
        <color theme="1"/>
        <rFont val="Times New Roman"/>
        <family val="1"/>
      </rPr>
      <t>Jogo Rápido</t>
    </r>
    <r>
      <rPr>
        <sz val="12"/>
        <color theme="1"/>
        <rFont val="Times New Roman"/>
        <family val="1"/>
      </rPr>
      <t>, Belo Horizonte, n. 737, 28 mar. 2016.</t>
    </r>
  </si>
  <si>
    <r>
      <rPr>
        <b/>
        <sz val="12"/>
        <color theme="1"/>
        <rFont val="Times New Roman"/>
        <family val="1"/>
      </rPr>
      <t xml:space="preserve">BRASIL(2000b): </t>
    </r>
    <r>
      <rPr>
        <sz val="12"/>
        <color theme="1"/>
        <rFont val="Times New Roman"/>
        <family val="1"/>
      </rPr>
      <t xml:space="preserve">BRASIL. </t>
    </r>
    <r>
      <rPr>
        <i/>
        <sz val="12"/>
        <color theme="1"/>
        <rFont val="Times New Roman"/>
        <family val="1"/>
      </rPr>
      <t>Lei n.º 10.048/2000, de 8 de dezembro de 2000</t>
    </r>
    <r>
      <rPr>
        <sz val="12"/>
        <color theme="1"/>
        <rFont val="Times New Roman"/>
        <family val="1"/>
      </rPr>
      <t>. Estabelece normas gerais e critérios básicos para a promoção da acessibilidade das pessoas portadoras de deficiência ou com mobilidade reduzida, e dá outras providências. Versão consolidada disponível em: &lt;http://www.planalto.gov.br/ccivil_03/LEIS/L10098.htm&gt;. Acesso em 20 jan. 2016.</t>
    </r>
  </si>
  <si>
    <r>
      <rPr>
        <b/>
        <sz val="10"/>
        <color theme="1"/>
        <rFont val="Times New Roman"/>
        <family val="1"/>
      </rPr>
      <t>2000:</t>
    </r>
    <r>
      <rPr>
        <sz val="10"/>
        <color theme="1"/>
        <rFont val="Times New Roman"/>
        <family val="1"/>
      </rPr>
      <t xml:space="preserve"> "As empresas públicas de transporte e as concessionárias de transporte coletivo reservarão
assentos, devidamente identificados, aos idosos, gestantes, lactantes, pessoas portadoras de deficiência e
pessoas acompanhadas por crianças de colo." conforme BRASIL(2000b/art.3º)
</t>
    </r>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preferencial para pessoa com criança de colo no transporte coletivo em geral (não específico de Belo Horizonte)</t>
    </r>
  </si>
  <si>
    <t>cidade/região</t>
  </si>
  <si>
    <r>
      <rPr>
        <b/>
        <sz val="10"/>
        <color theme="1"/>
        <rFont val="Times New Roman"/>
        <family val="1"/>
      </rPr>
      <t>2000:</t>
    </r>
    <r>
      <rPr>
        <sz val="10"/>
        <color theme="1"/>
        <rFont val="Times New Roman"/>
        <family val="1"/>
      </rPr>
      <t xml:space="preserve"> "As empresas públicas de transporte e as concessionárias de transporte coletivo reservarão
assentos, devidamente identificados, aos idosos, gestantes, lactantes, pessoas portadoras de deficiência e
pessoas acompanhadas por crianças de colo." conforme BRASIL(2000b/art.3º)
</t>
    </r>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preferencial para mulher (grávida/gestante/lactante) no transporte coletivo em geral (não específico de Belo Horizonte)</t>
    </r>
  </si>
  <si>
    <r>
      <rPr>
        <b/>
        <sz val="10"/>
        <color theme="1"/>
        <rFont val="Times New Roman"/>
        <family val="1"/>
      </rPr>
      <t>2000:</t>
    </r>
    <r>
      <rPr>
        <sz val="10"/>
        <color theme="1"/>
        <rFont val="Times New Roman"/>
        <family val="1"/>
      </rPr>
      <t xml:space="preserve"> "As empresas públicas de transporte e as concessionárias de transporte coletivo reservarão
assentos, devidamente identificados, aos idosos, gestantes, lactantes, pessoas portadoras de deficiência e pessoas acompanhadas por crianças de colo." conforme BRASIL(2000b/art.3º)
</t>
    </r>
    <r>
      <rPr>
        <b/>
        <sz val="10"/>
        <color theme="1"/>
        <rFont val="Times New Roman"/>
        <family val="1"/>
      </rPr>
      <t xml:space="preserve">2003: </t>
    </r>
    <r>
      <rPr>
        <sz val="10"/>
        <color theme="1"/>
        <rFont val="Times New Roman"/>
        <family val="1"/>
      </rPr>
      <t xml:space="preserve">"Nos veículos de transporte coletivo de que trata este artigo, serão reservados 10% (dez por cento) dos assentos para os idosos, devidamente identificados com a placa de reservado preferencialmente para idosos" conforme BRASIL(2003a, art.39, §2º, Capítulo X)
</t>
    </r>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preferencial para idoso no transporte coletivo em geral (não específico de Belo Horizonte)</t>
    </r>
  </si>
  <si>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especial/preferencial para pessoa obesa no transporte coletivo em geral (não específico de Belo Horizonte)</t>
    </r>
  </si>
  <si>
    <r>
      <rPr>
        <b/>
        <sz val="10"/>
        <color theme="1"/>
        <rFont val="Times New Roman"/>
        <family val="1"/>
      </rPr>
      <t>2000:</t>
    </r>
    <r>
      <rPr>
        <sz val="10"/>
        <color theme="1"/>
        <rFont val="Times New Roman"/>
        <family val="1"/>
      </rPr>
      <t xml:space="preserve"> "As empresas públicas de transporte e as concessionárias de transporte coletivo reservarão
assentos, devidamente identificados, aos idosos, gestantes, lactantes, pessoas portadoras de deficiência e
pessoas acompanhadas por crianças de colo." conforme BRASIL(2000b/art.3º)
</t>
    </r>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preferencial para pessoa com deficiência no transporte coletivo em geral (não específico de Belo Horizonte)</t>
    </r>
  </si>
  <si>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especial/preferencial para pessoa com mobilidade reduzida no transporte coletivo em geral (não específico de Belo Horizonte)</t>
    </r>
  </si>
  <si>
    <r>
      <rPr>
        <b/>
        <sz val="12"/>
        <color theme="1"/>
        <rFont val="Times New Roman"/>
        <family val="1"/>
      </rPr>
      <t xml:space="preserve">SETRANSP(1999): </t>
    </r>
    <r>
      <rPr>
        <sz val="12"/>
        <color theme="1"/>
        <rFont val="Times New Roman"/>
        <family val="1"/>
      </rPr>
      <t xml:space="preserve">SINDICATO DAS EMPRESAS DE TRANSPORTE DE PASSAGEIROS DE BELO HORIZONTE - SETRANSP. </t>
    </r>
    <r>
      <rPr>
        <i/>
        <sz val="12"/>
        <color theme="1"/>
        <rFont val="Times New Roman"/>
        <family val="1"/>
      </rPr>
      <t>Ofício DJUR n.º 331/1999 [sobre aplicabilidade da Lei n.º 7.768/1999]</t>
    </r>
    <r>
      <rPr>
        <sz val="12"/>
        <color theme="1"/>
        <rFont val="Times New Roman"/>
        <family val="1"/>
      </rPr>
      <t>. Belo Horizonte, 22 nov. 1999.</t>
    </r>
  </si>
  <si>
    <r>
      <rPr>
        <b/>
        <sz val="12"/>
        <color theme="1"/>
        <rFont val="Times New Roman"/>
        <family val="1"/>
      </rPr>
      <t>BHTRANS(1996b):</t>
    </r>
    <r>
      <rPr>
        <sz val="12"/>
        <color theme="1"/>
        <rFont val="Times New Roman"/>
        <family val="1"/>
      </rPr>
      <t xml:space="preserve"> EMPRESA DE TRANSPORTES E TRÂNSITO DE BELO HORIZONTE S.A - BHTRANS. Gerência de Projetos - Gepro/DTV. </t>
    </r>
    <r>
      <rPr>
        <i/>
        <sz val="12"/>
        <color theme="1"/>
        <rFont val="Times New Roman"/>
        <family val="1"/>
      </rPr>
      <t>Placa especial para lugar reservado em transporte público - lay out.</t>
    </r>
    <r>
      <rPr>
        <sz val="12"/>
        <color theme="1"/>
        <rFont val="Times New Roman"/>
        <family val="1"/>
      </rPr>
      <t xml:space="preserve"> Belo Horizonte: BHTrans, maio 1996.</t>
    </r>
  </si>
  <si>
    <r>
      <rPr>
        <b/>
        <sz val="12"/>
        <color theme="1"/>
        <rFont val="Times New Roman"/>
        <family val="1"/>
      </rPr>
      <t>OLIVEIRA(1996a):</t>
    </r>
    <r>
      <rPr>
        <sz val="12"/>
        <color theme="1"/>
        <rFont val="Times New Roman"/>
        <family val="1"/>
      </rPr>
      <t xml:space="preserve"> OLIVEIRA, Marcos Fontoura de; PEIXOTO, Maria Cristina Leite. </t>
    </r>
    <r>
      <rPr>
        <i/>
        <sz val="12"/>
        <color theme="1"/>
        <rFont val="Times New Roman"/>
        <family val="1"/>
      </rPr>
      <t xml:space="preserve">Parecer Técnico GEATU n.º 010/96, de 3 de junho de 1996 [assunto: Reserva de lugares prioritários nos ônibus para pessoas com mobilidade reduzida]. </t>
    </r>
    <r>
      <rPr>
        <sz val="12"/>
        <color theme="1"/>
        <rFont val="Times New Roman"/>
        <family val="1"/>
      </rPr>
      <t>Belo Horizonte: BHTrans, 3 jun. 1996. 1p.</t>
    </r>
  </si>
  <si>
    <r>
      <rPr>
        <b/>
        <sz val="12"/>
        <color theme="1"/>
        <rFont val="Times New Roman"/>
        <family val="1"/>
      </rPr>
      <t>OLIVEIRA(1998a):</t>
    </r>
    <r>
      <rPr>
        <sz val="12"/>
        <color theme="1"/>
        <rFont val="Times New Roman"/>
        <family val="1"/>
      </rPr>
      <t xml:space="preserve"> OLIVEIRA, Marcos Fontoura de. </t>
    </r>
    <r>
      <rPr>
        <i/>
        <sz val="12"/>
        <color theme="1"/>
        <rFont val="Times New Roman"/>
        <family val="1"/>
      </rPr>
      <t>Solidariedade [trabalho da disciplina Estado e Sociedade no Brasil - Mestrado em Administração Pública - Fundação João Pinheiro]</t>
    </r>
    <r>
      <rPr>
        <sz val="12"/>
        <color theme="1"/>
        <rFont val="Times New Roman"/>
        <family val="1"/>
      </rPr>
      <t>. Belo Horizonte, 1998. 4p.</t>
    </r>
  </si>
  <si>
    <r>
      <rPr>
        <b/>
        <sz val="12"/>
        <color theme="1"/>
        <rFont val="Times New Roman"/>
        <family val="1"/>
      </rPr>
      <t>OLIVEIRA(1999a):</t>
    </r>
    <r>
      <rPr>
        <sz val="12"/>
        <color theme="1"/>
        <rFont val="Times New Roman"/>
        <family val="1"/>
      </rPr>
      <t xml:space="preserve"> OLIVEIRA, Marcos Fontoura de. </t>
    </r>
    <r>
      <rPr>
        <i/>
        <sz val="12"/>
        <color theme="1"/>
        <rFont val="Times New Roman"/>
        <family val="1"/>
      </rPr>
      <t>Parecer Técnico DPR n.º 39/99, de 5 maio 1999 [assunto: Proposição de lei n.º 563/99, originária do Projeto de lei n.º 782/98]</t>
    </r>
    <r>
      <rPr>
        <sz val="12"/>
        <color theme="1"/>
        <rFont val="Times New Roman"/>
        <family val="1"/>
      </rPr>
      <t>. Belo Horizonte, 5 maio 1999. 4p.</t>
    </r>
  </si>
  <si>
    <r>
      <rPr>
        <b/>
        <sz val="10"/>
        <color theme="1"/>
        <rFont val="Times New Roman"/>
        <family val="1"/>
      </rPr>
      <t xml:space="preserve">1996: </t>
    </r>
    <r>
      <rPr>
        <sz val="10"/>
        <color theme="1"/>
        <rFont val="Times New Roman"/>
        <family val="1"/>
      </rPr>
      <t>Conselho Municipal do Idoso e Comissão de Acessibilidade recomendam a implantação de assentos reservados para "pessoas com mobilidade reduzida (portadores de deficiência, obesos, grávidas, idosos" conforme OLIVEIRA(1996a) com a utilização de placa com quatro pictogramas que aludem a pessoa com perna quebrada, mulher grávida, mulher com criança de colo e idoso conforme BHTRANS(1996b)</t>
    </r>
    <r>
      <rPr>
        <b/>
        <sz val="10"/>
        <color theme="1"/>
        <rFont val="Times New Roman"/>
        <family val="1"/>
      </rPr>
      <t xml:space="preserve">
2000: </t>
    </r>
    <r>
      <rPr>
        <sz val="10"/>
        <color theme="1"/>
        <rFont val="Times New Roman"/>
        <family val="1"/>
      </rPr>
      <t>veja cidade/região "Brasil"</t>
    </r>
    <r>
      <rPr>
        <b/>
        <sz val="10"/>
        <color theme="1"/>
        <rFont val="Times New Roman"/>
        <family val="1"/>
      </rPr>
      <t xml:space="preserve">
2008: </t>
    </r>
    <r>
      <rPr>
        <sz val="10"/>
        <color theme="1"/>
        <rFont val="Times New Roman"/>
        <family val="1"/>
      </rPr>
      <t xml:space="preserve">"Art. 9º - Em cada veículo serão definidos assentos preferenciais para USUÁRIOS: I - idosos, com idade igual ou superior a 60 (sessenta) anos; II - gestantes; III - lactantes; IV - com criança de colo; V - com deficiência; VI - com mobilidade reduzida. § 1º - Para fins do disposto no caput serão aplicados os conceitos de pessoa com deficiência e com mobilidade reduzida descritos na Lei Federal nº 10.048, de 8 de novembro de 2000 e no §1º do art. 5º do Decreto Federal nº 5.296, de 2 de dezembro de 2004 ou outros diplomas legais que os sucedam. § 2º - Os USUÁRIOS com mobilidade reduzida e gestantes, após o pagamento de tarifa e o respectivo registro por meio do giro da roleta, poderão desembarcar pela porta dianteira do veículo, observado o disposto neste REGULAMENTO DOS SERVIÇOS." conforme BH(2008)
</t>
    </r>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preferencial para pessoa com criança de colo no transporte coletivo de Belo Horizonte)</t>
    </r>
  </si>
  <si>
    <r>
      <rPr>
        <b/>
        <sz val="10"/>
        <rFont val="Times New Roman"/>
        <family val="1"/>
      </rPr>
      <t xml:space="preserve">1996: </t>
    </r>
    <r>
      <rPr>
        <sz val="10"/>
        <rFont val="Times New Roman"/>
        <family val="1"/>
      </rPr>
      <t>Conselho Municipal do Idoso e Comissão de Acessibilidade recomendam a implantação de assentos reservados para "pessoas com mobilidade reduzida (portadores de deficiência, obesos, grávidas, idosos" conforme OLIVEIRA(1996a) com a utilização de placa com quatro pictogramas que aludem a pessoa com perna quebrada, mulher grávida, mulher com criança de colo e idoso conforme BHTRANS(1996b)</t>
    </r>
    <r>
      <rPr>
        <b/>
        <sz val="10"/>
        <rFont val="Times New Roman"/>
        <family val="1"/>
      </rPr>
      <t xml:space="preserve">
2001: </t>
    </r>
    <r>
      <rPr>
        <sz val="10"/>
        <rFont val="Times New Roman"/>
        <family val="1"/>
      </rPr>
      <t>Prefeitura veta dispositivo legal que "Torna obrigatória a existência de poltrona ou cadeira especial para pessoa obesa em: ... [...] veículo de transporte coletivo" conforme BH(2001a/art.1-inciso VIII) e Câmara promulga o dispositivo vetado conforme BH(2001b).</t>
    </r>
    <r>
      <rPr>
        <sz val="10"/>
        <color theme="1"/>
        <rFont val="Times New Roman"/>
        <family val="1"/>
      </rPr>
      <t xml:space="preserve">
</t>
    </r>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especial/preferencial para pessoa obesa no transporte coletivo de Belo Horizonte)</t>
    </r>
  </si>
  <si>
    <r>
      <rPr>
        <b/>
        <sz val="10"/>
        <color theme="1"/>
        <rFont val="Times New Roman"/>
        <family val="1"/>
      </rPr>
      <t xml:space="preserve">1996: </t>
    </r>
    <r>
      <rPr>
        <sz val="10"/>
        <color theme="1"/>
        <rFont val="Times New Roman"/>
        <family val="1"/>
      </rPr>
      <t>Conselho Municipal do Idoso e Comissão de Acessibilidade recomendam a implantação de assentos reservados para "pessoas com mobilidade reduzida (portadores de deficiência, obesos, grávidas, idosos" conforme OLIVEIRA(1996a) com a utilização de placa com quatro pictogramas que aludem a pessoa com perna quebrada, mulher grávida, mulher com criança de colo e idoso conforme BHTRANS(1996b)</t>
    </r>
    <r>
      <rPr>
        <b/>
        <sz val="10"/>
        <color theme="1"/>
        <rFont val="Times New Roman"/>
        <family val="1"/>
      </rPr>
      <t xml:space="preserve">
2008: </t>
    </r>
    <r>
      <rPr>
        <sz val="10"/>
        <color theme="1"/>
        <rFont val="Times New Roman"/>
        <family val="1"/>
      </rPr>
      <t xml:space="preserve">"Art. 9º - Em cada veículo serão definidos assentos preferenciais para USUÁRIOS: I - idosos, com idade igual ou superior a 60 (sessenta) anos; II - gestantes; III - lactantes; IV - com criança de colo; V - com deficiência; VI - com mobilidade reduzida. § 1º - Para fins do disposto no caput serão aplicados os conceitos de pessoa com deficiência e com mobilidade reduzida descritos na Lei Federal nº 10.048, de 8 de novembro de 2000 e no §1º do art. 5º do Decreto Federal nº 5.296, de 2 de dezembro de 2004 ou outros diplomas legais que os sucedam. § 2º - Os USUÁRIOS com mobilidade reduzida e gestantes, após o pagamento de tarifa e o respectivo registro por meio do giro da roleta, poderão desembarcar pela porta dianteira do veículo, observado o disposto neste REGULAMENTO DOS SERVIÇOS." conforme BH(2008)
</t>
    </r>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preferencial para pessoa com mobilidade reduzida no transporte coletivo de Belo Horizonte)</t>
    </r>
  </si>
  <si>
    <t>(F tc) - (F tc eh) - (F tc en c/rampa manual)</t>
  </si>
  <si>
    <r>
      <rPr>
        <sz val="11"/>
        <color rgb="FFFF0000"/>
        <rFont val="Times New Roman"/>
        <family val="1"/>
      </rPr>
      <t xml:space="preserve">peso 4 </t>
    </r>
    <r>
      <rPr>
        <sz val="11"/>
        <color theme="1"/>
        <rFont val="Times New Roman"/>
        <family val="1"/>
      </rPr>
      <t>= não há veículos desta categoria</t>
    </r>
  </si>
  <si>
    <r>
      <rPr>
        <sz val="11"/>
        <color rgb="FFFF0000"/>
        <rFont val="Times New Roman"/>
        <family val="1"/>
      </rPr>
      <t>peso 5</t>
    </r>
    <r>
      <rPr>
        <sz val="11"/>
        <color theme="1"/>
        <rFont val="Times New Roman"/>
        <family val="1"/>
      </rPr>
      <t xml:space="preserve"> = não há veículos desta categoria</t>
    </r>
  </si>
  <si>
    <r>
      <rPr>
        <sz val="11"/>
        <color rgb="FFFF0000"/>
        <rFont val="Times New Roman"/>
        <family val="1"/>
      </rPr>
      <t>peso 6</t>
    </r>
    <r>
      <rPr>
        <sz val="11"/>
        <color theme="1"/>
        <rFont val="Times New Roman"/>
        <family val="1"/>
      </rPr>
      <t xml:space="preserve"> = não há veículos desta categoria</t>
    </r>
  </si>
  <si>
    <r>
      <rPr>
        <sz val="11"/>
        <color rgb="FFFF0000"/>
        <rFont val="Times New Roman"/>
        <family val="1"/>
      </rPr>
      <t xml:space="preserve">peso 7 </t>
    </r>
    <r>
      <rPr>
        <sz val="11"/>
        <color theme="1"/>
        <rFont val="Times New Roman"/>
        <family val="1"/>
      </rPr>
      <t>= não há veículos desta categoria</t>
    </r>
  </si>
  <si>
    <r>
      <rPr>
        <sz val="11"/>
        <color rgb="FFFF0000"/>
        <rFont val="Times New Roman"/>
        <family val="1"/>
      </rPr>
      <t xml:space="preserve">peso 9 </t>
    </r>
    <r>
      <rPr>
        <sz val="11"/>
        <color theme="1"/>
        <rFont val="Times New Roman"/>
        <family val="1"/>
      </rPr>
      <t>= não há veículos desta categoria</t>
    </r>
  </si>
  <si>
    <r>
      <rPr>
        <sz val="11"/>
        <color rgb="FFFF0000"/>
        <rFont val="Times New Roman"/>
        <family val="1"/>
      </rPr>
      <t xml:space="preserve">peso 10 </t>
    </r>
    <r>
      <rPr>
        <sz val="11"/>
        <color theme="1"/>
        <rFont val="Times New Roman"/>
        <family val="1"/>
      </rPr>
      <t>= não há veículos desta categoria</t>
    </r>
  </si>
  <si>
    <r>
      <rPr>
        <b/>
        <sz val="12"/>
        <color theme="1"/>
        <rFont val="Times New Roman"/>
        <family val="1"/>
      </rPr>
      <t xml:space="preserve">SP(1998a): </t>
    </r>
    <r>
      <rPr>
        <sz val="12"/>
        <color theme="1"/>
        <rFont val="Times New Roman"/>
        <family val="1"/>
      </rPr>
      <t>SÃO PAULO. Secretaria Municipal de Transportes - SMT. Portaria n.º 147/1998. CABE A SPTRANS, ELABORAR O "MANUAL DOS PADROES TECNICOS DE VEICULOS" PARA CONSTRUCAO/INCLUSAO DE ONIBUS AO SISTEMA DE TRANSPORTE COLETIVO URBANO; REVOGA P 153/96. (alterada pela 154/2003)</t>
    </r>
  </si>
  <si>
    <r>
      <t xml:space="preserve">frota em n.º de ônibus do transporte coletivo convencional de São Paulo com piso baixo e rampa veicular manual em uma das portas (com embarque/desembarque em nível apenas nessa porta com o usuário dependente da abertura manual da rampa)
</t>
    </r>
    <r>
      <rPr>
        <b/>
        <sz val="10"/>
        <rFont val="Times New Roman"/>
        <family val="1"/>
      </rPr>
      <t xml:space="preserve">obs.1: </t>
    </r>
    <r>
      <rPr>
        <sz val="10"/>
        <rFont val="Times New Roman"/>
        <family val="1"/>
      </rPr>
      <t>esta categoria recebe</t>
    </r>
    <r>
      <rPr>
        <b/>
        <sz val="10"/>
        <rFont val="Times New Roman"/>
        <family val="1"/>
      </rPr>
      <t xml:space="preserve"> </t>
    </r>
    <r>
      <rPr>
        <b/>
        <sz val="10"/>
        <color rgb="FFFF0000"/>
        <rFont val="Times New Roman"/>
        <family val="1"/>
      </rPr>
      <t>peso 8</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em São Paulo há: a) "trólebus (elétrico), com três portas à direita, de piso baixo total, com rampa manual na porta dianteira" conforme WRI(2012) citado por OLIVEIRA(2016e); b) ônibus de piso baixo com porta dos dois lados (uma porta à esquerda com rampa e três portas à direita, sendo piso baixo com rampa na porta dianteira, piso baixo sem rampa na porta central e piso alto com escada na porta traseira) conforme OLIVEIRA(2016f)
</t>
    </r>
    <r>
      <rPr>
        <b/>
        <sz val="10"/>
        <rFont val="Times New Roman"/>
        <family val="1"/>
      </rPr>
      <t xml:space="preserve">obs.3: </t>
    </r>
    <r>
      <rPr>
        <sz val="10"/>
        <rFont val="Times New Roman"/>
        <family val="1"/>
      </rPr>
      <t>resultados dos testes com esse tipo de ônibus em 2001 em UMA(2001) com citação de SP(1998a)</t>
    </r>
  </si>
  <si>
    <r>
      <rPr>
        <b/>
        <sz val="12"/>
        <color theme="1"/>
        <rFont val="Times New Roman"/>
        <family val="1"/>
      </rPr>
      <t>BR7(2000):</t>
    </r>
    <r>
      <rPr>
        <sz val="12"/>
        <color theme="1"/>
        <rFont val="Times New Roman"/>
        <family val="1"/>
      </rPr>
      <t xml:space="preserve"> B7R piso baixo: mais conforto no trânsito urbano. </t>
    </r>
    <r>
      <rPr>
        <i/>
        <sz val="12"/>
        <color theme="1"/>
        <rFont val="Times New Roman"/>
        <family val="1"/>
      </rPr>
      <t xml:space="preserve">Eu Rodo, </t>
    </r>
    <r>
      <rPr>
        <sz val="12"/>
        <color theme="1"/>
        <rFont val="Times New Roman"/>
        <family val="1"/>
      </rPr>
      <t>p.14-15, mar. 2000. [publicação do Grupo Volvo no Brasil]</t>
    </r>
  </si>
  <si>
    <t>sem resultado</t>
  </si>
  <si>
    <r>
      <rPr>
        <b/>
        <sz val="12"/>
        <color theme="1"/>
        <rFont val="Times New Roman"/>
        <family val="1"/>
      </rPr>
      <t>BH(1990a):</t>
    </r>
    <r>
      <rPr>
        <sz val="12"/>
        <color theme="1"/>
        <rFont val="Times New Roman"/>
        <family val="1"/>
      </rPr>
      <t xml:space="preserve"> BELO HORIZONTE. </t>
    </r>
    <r>
      <rPr>
        <i/>
        <sz val="12"/>
        <color theme="1"/>
        <rFont val="Times New Roman"/>
        <family val="1"/>
      </rPr>
      <t>Decreto n.º 6.536, de 25 de maio de 1990</t>
    </r>
    <r>
      <rPr>
        <sz val="12"/>
        <color theme="1"/>
        <rFont val="Times New Roman"/>
        <family val="1"/>
      </rPr>
      <t>. Dispõe sobre a obrigatoriedade de instalações de elevadores hidráulicos, pelas empresas concessionárias ou permissionárias, nos coletivos urbanos da Capital, conforme Lei nº 5.636/89 e dá outras providências. Disponível para pesquisa em: &lt;http://www.cmbh.mg.gov.br/leis/legislacao/pesquisa&gt;. Acesso em: 10 maio 2016.</t>
    </r>
  </si>
  <si>
    <r>
      <rPr>
        <b/>
        <sz val="12"/>
        <color theme="1"/>
        <rFont val="Times New Roman"/>
        <family val="1"/>
      </rPr>
      <t>BH(1989a):</t>
    </r>
    <r>
      <rPr>
        <sz val="12"/>
        <color theme="1"/>
        <rFont val="Times New Roman"/>
        <family val="1"/>
      </rPr>
      <t xml:space="preserve"> BELO HORIZONTE. Prefeitura. </t>
    </r>
    <r>
      <rPr>
        <i/>
        <sz val="12"/>
        <color theme="1"/>
        <rFont val="Times New Roman"/>
        <family val="1"/>
      </rPr>
      <t>Lei n.º 5.636, de 15 de dezembro de 1989</t>
    </r>
    <r>
      <rPr>
        <sz val="12"/>
        <color theme="1"/>
        <rFont val="Times New Roman"/>
        <family val="1"/>
      </rPr>
      <t>. Garante o acesso de pessoas portadoras de deficiências físicas aos ônibus urbanos. Disponível para pesquisa em: &lt;http://www.cmbh.mg.gov.br/leis/legislacao/pesquisa&gt;. Acesso em: 10 maio 2016. [REVOGADA PELA LEI Nº 8.686, DE 14/11/2003 (ART. 3º)</t>
    </r>
  </si>
  <si>
    <r>
      <rPr>
        <b/>
        <sz val="12"/>
        <color theme="1"/>
        <rFont val="Times New Roman"/>
        <family val="1"/>
      </rPr>
      <t xml:space="preserve">BH(2003b): </t>
    </r>
    <r>
      <rPr>
        <sz val="12"/>
        <color theme="1"/>
        <rFont val="Times New Roman"/>
        <family val="1"/>
      </rPr>
      <t xml:space="preserve">BELO HORIZONTE. Prefeitura. Decreto n.º 11.536, de 14 de novembro de 2003. Estabelece metas de substituição de ônibus comuns por ônibus adaptados na frota de transporte urbano no Município de Belo Horizonte. Belo Horizonte, </t>
    </r>
    <r>
      <rPr>
        <i/>
        <sz val="12"/>
        <color theme="1"/>
        <rFont val="Times New Roman"/>
        <family val="1"/>
      </rPr>
      <t>Diário Oficial do Município - DOM</t>
    </r>
    <r>
      <rPr>
        <sz val="12"/>
        <color theme="1"/>
        <rFont val="Times New Roman"/>
        <family val="1"/>
      </rPr>
      <t>, Ano IX - Edição n.º 1997, 17 nov. 2003. Poder Executivo. Secretaria Municipal de Governo. Disponível em: &lt;http://portal6.pbh.gov.br/dom/iniciaEdicao.do?method=DetalheArtigo&amp;pk=914058&gt;. Acesso em: 10 maio 2016.</t>
    </r>
  </si>
  <si>
    <r>
      <rPr>
        <b/>
        <sz val="12"/>
        <color theme="1"/>
        <rFont val="Times New Roman"/>
        <family val="1"/>
      </rPr>
      <t xml:space="preserve">BH(2010a): </t>
    </r>
    <r>
      <rPr>
        <sz val="12"/>
        <color theme="1"/>
        <rFont val="Times New Roman"/>
        <family val="1"/>
      </rPr>
      <t xml:space="preserve">BELO HORIZONTE. Prefeitura. Decreto n.º 13.923, de 16 de abril de 2003. Revoga o Decreto nº 11.536, de 14 de novembro de 2003, que estabelece metas de substituição de ônibus comuns por ônibus adaptados na frota de transporte urbano no Município de Belo Horizonte. </t>
    </r>
    <r>
      <rPr>
        <i/>
        <sz val="12"/>
        <color theme="1"/>
        <rFont val="Times New Roman"/>
        <family val="1"/>
      </rPr>
      <t>Diário Oficial do Município - DOM</t>
    </r>
    <r>
      <rPr>
        <sz val="12"/>
        <color theme="1"/>
        <rFont val="Times New Roman"/>
        <family val="1"/>
      </rPr>
      <t>, Belo Horizonte, Ano XVI - Edição n.º 3566, 17 abr. 2010. Poder Executivo. Secretaria Municipal de Governo. Disponível em: &lt;http://portal6.pbh.gov.br/dom/iniciaEdicao.do?method=DetalheArtigo&amp;pk=1030613&gt;. Acesso em: 10 maio 2016.</t>
    </r>
  </si>
  <si>
    <r>
      <rPr>
        <b/>
        <sz val="12"/>
        <color theme="1"/>
        <rFont val="Times New Roman"/>
        <family val="1"/>
      </rPr>
      <t xml:space="preserve">BHTRANS(2003a): </t>
    </r>
    <r>
      <rPr>
        <sz val="12"/>
        <color theme="1"/>
        <rFont val="Times New Roman"/>
        <family val="1"/>
      </rPr>
      <t xml:space="preserve">EMPRESA DE TRANSPORTES E TRÂNSITO DE BELO HORIZONTE S.A - BHTRANS. Portaria DPR n.º 062/2003, de 21 de agosto de 2003. Dispõe sobre o direito de acesso ao Transporte Público à pessoa portadora de deficiência visual acompanhada de cão-guia. </t>
    </r>
    <r>
      <rPr>
        <i/>
        <sz val="12"/>
        <color theme="1"/>
        <rFont val="Times New Roman"/>
        <family val="1"/>
      </rPr>
      <t>Diário Oficial do Município</t>
    </r>
    <r>
      <rPr>
        <sz val="12"/>
        <color theme="1"/>
        <rFont val="Times New Roman"/>
        <family val="1"/>
      </rPr>
      <t>, Belo Horizonte, Ano IX - Edição n.º 1938, 23 ago. 2003. Poder Executivo
Secretaria Municipal da Coordenação de Política Urbana e Ambiental - BHTRANS. Disponível em: &lt;http://portal6.pbh.gov.br/dom/iniciaEdicao.do?method=DetalheArtigo&amp;pk=910820&gt;. Acesso em: 5 maio 2016.</t>
    </r>
  </si>
  <si>
    <r>
      <rPr>
        <b/>
        <sz val="12"/>
        <color theme="1"/>
        <rFont val="Times New Roman"/>
        <family val="1"/>
      </rPr>
      <t xml:space="preserve">BHTRANS(1999b): </t>
    </r>
    <r>
      <rPr>
        <sz val="12"/>
        <color theme="1"/>
        <rFont val="Times New Roman"/>
        <family val="1"/>
      </rPr>
      <t xml:space="preserve">EMPRESA DE TRANSPORTES E TRÂNSITO DE BELO HORIZONTE S.A - BHTRANS. Portaria BHTRANS DTP n.º 054/99, de 9 de setembro de 1999. Estabelece critérios de substituição de veículo  no  Sistema   Municipal de Transporte Coletivo por Ônibus. </t>
    </r>
    <r>
      <rPr>
        <i/>
        <sz val="12"/>
        <color theme="1"/>
        <rFont val="Times New Roman"/>
        <family val="1"/>
      </rPr>
      <t>Diário Oficial do Município - DOM</t>
    </r>
    <r>
      <rPr>
        <sz val="12"/>
        <color theme="1"/>
        <rFont val="Times New Roman"/>
        <family val="1"/>
      </rPr>
      <t>, Belo Horizonte, Ano V - Edição n.º 972, 18 set. 1999. Poder Executivo. Empresa de Transportes e Trânsito de Belo Horizonte - BHTRANS. Disponível em: &lt;http://portal6.pbh.gov.br/dom/iniciaEdicao.do?method=DetalheArtigo&amp;pk=868147&gt; Acesso em: 11 maio 2016.</t>
    </r>
  </si>
  <si>
    <r>
      <rPr>
        <b/>
        <sz val="12"/>
        <color theme="1"/>
        <rFont val="Times New Roman"/>
        <family val="1"/>
      </rPr>
      <t xml:space="preserve">BHTRANS(2002a): </t>
    </r>
    <r>
      <rPr>
        <sz val="12"/>
        <color theme="1"/>
        <rFont val="Times New Roman"/>
        <family val="1"/>
      </rPr>
      <t xml:space="preserve">EMPRESA DE TRANSPORTES E TRÂNSITO DE BELO HORIZONTE S.A - BHTRANS. Portaria DPR n.º 005/2002, de 5 de fevereiro de 2002. 
Alterar e consolidar o Regulamento Operacional do Serviço Público de Transporte Coletivo de passageiro por ônibus do  Município de Belo Horizonte. </t>
    </r>
    <r>
      <rPr>
        <i/>
        <sz val="12"/>
        <color theme="1"/>
        <rFont val="Times New Roman"/>
        <family val="1"/>
      </rPr>
      <t>Diário Oficial do Município - DOM</t>
    </r>
    <r>
      <rPr>
        <sz val="12"/>
        <color theme="1"/>
        <rFont val="Times New Roman"/>
        <family val="1"/>
      </rPr>
      <t>, Belo Horizonte, Ano VIII - Edição n.º 1560, 16 fev. 2002. Poder Executivo. Secretaria Municipal da Coordenação de Política Urbana e Ambiental - BHTRANS. Disponível em: &lt;http://portal6.pbh.gov.br/dom/iniciaEdicao.do?method=DetalheArtigo&amp;pk=893583&gt;. Acesso em: 5 maio 2016.</t>
    </r>
  </si>
  <si>
    <r>
      <rPr>
        <b/>
        <sz val="12"/>
        <color theme="1"/>
        <rFont val="Times New Roman"/>
        <family val="1"/>
      </rPr>
      <t xml:space="preserve">BHTRANS(1998a): </t>
    </r>
    <r>
      <rPr>
        <sz val="12"/>
        <color theme="1"/>
        <rFont val="Times New Roman"/>
        <family val="1"/>
      </rPr>
      <t xml:space="preserve">EMPRESA DE TRANSPORTES E TRÂNSITO DE BELO HORIZONTE S.A - BHTRANS. Gerência de Marketing e Comunicação - Gecom/BHTrans. </t>
    </r>
    <r>
      <rPr>
        <i/>
        <sz val="12"/>
        <color theme="1"/>
        <rFont val="Times New Roman"/>
        <family val="1"/>
      </rPr>
      <t>Release - Prefeitura lança Plano de Acessibilidade Física de BH e apresenta novo padrão de Ônibus do BHBus</t>
    </r>
    <r>
      <rPr>
        <sz val="12"/>
        <color theme="1"/>
        <rFont val="Times New Roman"/>
        <family val="1"/>
      </rPr>
      <t>. Belo Horizonte: BHTrans, 15 jul. 1998.</t>
    </r>
  </si>
  <si>
    <r>
      <rPr>
        <b/>
        <sz val="12"/>
        <color theme="1"/>
        <rFont val="Times New Roman"/>
        <family val="1"/>
      </rPr>
      <t xml:space="preserve">BHTRANS(1999a): </t>
    </r>
    <r>
      <rPr>
        <sz val="12"/>
        <color theme="1"/>
        <rFont val="Times New Roman"/>
        <family val="1"/>
      </rPr>
      <t xml:space="preserve">EMPRESA DE TRANSPORTES E TRÂNSITO DE BELO HORIZONTE S.A - BHTRANS. Portaria DTP 024/99, de 24 de maio de 1999. Consolida  as regulamentações sobre ônibus urbano. </t>
    </r>
    <r>
      <rPr>
        <i/>
        <sz val="12"/>
        <color theme="1"/>
        <rFont val="Times New Roman"/>
        <family val="1"/>
      </rPr>
      <t>Diário Oficial do Município - DOM</t>
    </r>
    <r>
      <rPr>
        <sz val="12"/>
        <color theme="1"/>
        <rFont val="Times New Roman"/>
        <family val="1"/>
      </rPr>
      <t xml:space="preserve">, Belo Horizonte, Ano V - Edição n.º 896, 29 maio 1999. Poder Executivo. Empresa de Transportes e Trânsito de Belo Horizonte - BHTRANS. Disponível em: &lt;http://portal6.pbh.gov.br/dom/iniciaEdicao.do?method=DetalheArtigo&amp;pk=865069&gt;. Acesso em: 11 maio 2016.                                                                                                                                    </t>
    </r>
  </si>
  <si>
    <r>
      <rPr>
        <b/>
        <sz val="12"/>
        <rFont val="Times New Roman"/>
        <family val="1"/>
      </rPr>
      <t xml:space="preserve">OLIVEIRA(2015d): </t>
    </r>
    <r>
      <rPr>
        <sz val="12"/>
        <rFont val="Times New Roman"/>
        <family val="1"/>
      </rPr>
      <t xml:space="preserve">OLIVEIRA, Marcos Fontoura de. </t>
    </r>
    <r>
      <rPr>
        <i/>
        <sz val="12"/>
        <rFont val="Times New Roman"/>
        <family val="1"/>
      </rPr>
      <t>2.5 Acessibilidade na mobilidade urbana de Belo Horizonte - versão 8 set. 2015</t>
    </r>
    <r>
      <rPr>
        <sz val="12"/>
        <rFont val="Times New Roman"/>
        <family val="1"/>
      </rPr>
      <t>. Belo Horizonte, 8 set. 2015. 19p. (mimeo) [minuta de diagnóstico do do projeto Acessibilidade para Todos antecipada para a revisão do PlanMob-BH]</t>
    </r>
  </si>
  <si>
    <t>vias terrestres</t>
  </si>
  <si>
    <t>acessível</t>
  </si>
  <si>
    <t>RPI mundial</t>
  </si>
  <si>
    <t>verbete e RPI</t>
  </si>
  <si>
    <r>
      <rPr>
        <b/>
        <sz val="12"/>
        <rFont val="Times New Roman"/>
        <family val="1"/>
      </rPr>
      <t xml:space="preserve">BHTRANS(1997a/b): </t>
    </r>
    <r>
      <rPr>
        <sz val="12"/>
        <rFont val="Times New Roman"/>
        <family val="1"/>
      </rPr>
      <t xml:space="preserve">EMPRESA DE TRANSPORTES E TRÂNSITO DE BELO HORIZONTE S.A - BHTRANS. Gerência de Operação de Transportes - Geope. </t>
    </r>
    <r>
      <rPr>
        <i/>
        <sz val="12"/>
        <rFont val="Times New Roman"/>
        <family val="1"/>
      </rPr>
      <t>Determinação GEOPE n.º 001/97, de 8 de janeiro de 1997; Determinação GEOPE n.º 014/97, de 28 de maio de 1997 (acompanham Anexo)</t>
    </r>
    <r>
      <rPr>
        <sz val="12"/>
        <rFont val="Times New Roman"/>
        <family val="1"/>
      </rPr>
      <t xml:space="preserve"> [sobre subsituição dos divisoes de fluxo implantados no centro das portas traseira dos ônibus por corrimãos nas laterais das portas]</t>
    </r>
  </si>
  <si>
    <r>
      <rPr>
        <b/>
        <sz val="12"/>
        <rFont val="Times New Roman"/>
        <family val="1"/>
      </rPr>
      <t>BHTRANS(2015y):</t>
    </r>
    <r>
      <rPr>
        <sz val="12"/>
        <rFont val="Times New Roman"/>
        <family val="1"/>
      </rPr>
      <t xml:space="preserve"> EMPRESA DE TRANSPORTES E TRÂNSITO DE BELO HORIZONTE S.A - BHTRANS. </t>
    </r>
    <r>
      <rPr>
        <i/>
        <sz val="12"/>
        <rFont val="Times New Roman"/>
        <family val="1"/>
      </rPr>
      <t>Convite; Acessibilidade Para Todos; Seminário Internacional em BH discute uma cidade acessível para todos.</t>
    </r>
    <r>
      <rPr>
        <sz val="12"/>
        <rFont val="Times New Roman"/>
        <family val="1"/>
      </rPr>
      <t xml:space="preserve"> Belo Horizonte: BHTrans, 28 jul. 2015 (convite), 14 ago. 2015 (cobertura, incluindo a da WRI). Disponível em: &lt;http://www.bhtrans.pbh.gov.br/portal/page/portal/portalpublico/Temas/Noticias/Semin%C3%A1rio%20Internacional%20em%20BH%20discute%20uma%20cidade%20acess%C3%ADvel&gt;. Acesso em 12 maio 2016. [consulte também as apresentações feitas no seminário: LISBOA(2015c); SP(2015f), OLIVEIRA(2015e) e a cobertura em WRI(2015a)]</t>
    </r>
  </si>
  <si>
    <r>
      <rPr>
        <b/>
        <sz val="12"/>
        <rFont val="Times New Roman"/>
        <family val="1"/>
      </rPr>
      <t xml:space="preserve">LISBOA(2015c): </t>
    </r>
    <r>
      <rPr>
        <sz val="12"/>
        <rFont val="Times New Roman"/>
        <family val="1"/>
      </rPr>
      <t>LISBOA. Plano de Acessibilidade Pedonal - apresentação de Pedro Homem de Gouveia no Seminário Internacional de Acessibiliddae na Mobilidade Urbana de Belo Horizonte. Belo Horizonte, 15 ago. 2015. [consulte também as outras apresentações feitas no seminário [SP(2015f), OLIVEIRA(2015e)] e as coberturas [BHTRANS(2015x; 2015y) e WRI(2015a)]</t>
    </r>
  </si>
  <si>
    <r>
      <rPr>
        <b/>
        <sz val="12"/>
        <rFont val="Times New Roman"/>
        <family val="1"/>
      </rPr>
      <t xml:space="preserve">OLIVEIRA(2015e): </t>
    </r>
    <r>
      <rPr>
        <sz val="12"/>
        <rFont val="Times New Roman"/>
        <family val="1"/>
      </rPr>
      <t>OLIVEIRA, Marcos Fontoura de. Os novos desafios para a mobilidade urbana impostos pela lei n.º 13.146/2015 – Lei Brasileira de Inclusão da Pessoa com Deficiência - apresentação no Seminário Internacional de Acessibiliddae na Mobilidade Urbana de Belo Horizonte. Belo Horizonte, 15 ago. 2015. [consulte também as outras apresentações feitas no seminário [LISBOA(2015c) e SP(2015f)] e as coberturas [BHTRANS(2015x; 2015y) e WRI(2015a)]</t>
    </r>
  </si>
  <si>
    <r>
      <t xml:space="preserve">frota em n.º de ônibus do transporte coletivo de Joinville equipados com elevador hidráulico que permitem embarque/desembarque não exclusivo de usuários cadeirantes (pessoas em pé podem utilizar o equipamento caso se sintam seguras e o operador permita) e que não operam em plataforma elevada 
</t>
    </r>
    <r>
      <rPr>
        <b/>
        <sz val="10"/>
        <color theme="1"/>
        <rFont val="Times New Roman"/>
        <family val="1"/>
      </rPr>
      <t xml:space="preserve">obs.1: </t>
    </r>
    <r>
      <rPr>
        <sz val="10"/>
        <color theme="1"/>
        <rFont val="Times New Roman"/>
        <family val="1"/>
      </rPr>
      <t xml:space="preserve">esta categoria recebe </t>
    </r>
    <r>
      <rPr>
        <sz val="10"/>
        <color rgb="FFFF0000"/>
        <rFont val="Times New Roman"/>
        <family val="1"/>
      </rPr>
      <t>peso 3</t>
    </r>
    <r>
      <rPr>
        <sz val="10"/>
        <color theme="1"/>
        <rFont val="Times New Roman"/>
        <family val="1"/>
      </rPr>
      <t xml:space="preserve"> (escala de 1 a 10 estabelecida pelo SisMob-BH para classificar e comparar resultados) - acesse "acessibilidade em ônibus urbano (escala)"
</t>
    </r>
    <r>
      <rPr>
        <b/>
        <sz val="10"/>
        <color theme="1"/>
        <rFont val="Times New Roman"/>
        <family val="1"/>
      </rPr>
      <t xml:space="preserve">obs.2: </t>
    </r>
    <r>
      <rPr>
        <sz val="10"/>
        <color theme="1"/>
        <rFont val="Times New Roman"/>
        <family val="1"/>
      </rPr>
      <t>pelo menos até 2015 não há ônibus desta categoria em Joinville conforme JOINVILLE(2016a)</t>
    </r>
  </si>
  <si>
    <t>F tc - F tc sfc</t>
  </si>
  <si>
    <t>existe??</t>
  </si>
  <si>
    <r>
      <t xml:space="preserve">índice de acessibilidade do embarque/desembarque da frota de transporte coletivo por ônibus urbano de Contagem na escala de 1 a 10 definida pelo SisMob-BH (onde 1 é a pior situação, 6 é o "RPI de acessibilidade sem desenho universal" e 10 é a melhor situação como "RPI de desenho universal")
</t>
    </r>
    <r>
      <rPr>
        <b/>
        <sz val="10"/>
        <rFont val="Times New Roman"/>
        <family val="1"/>
      </rPr>
      <t xml:space="preserve">obs.1: </t>
    </r>
    <r>
      <rPr>
        <sz val="10"/>
        <rFont val="Times New Roman"/>
        <family val="1"/>
      </rPr>
      <t>consulte "acessibilidade em ônibus urbano (escala)"</t>
    </r>
    <r>
      <rPr>
        <b/>
        <sz val="10"/>
        <rFont val="Times New Roman"/>
        <family val="1"/>
      </rPr>
      <t/>
    </r>
  </si>
  <si>
    <t xml:space="preserve">F tcc en s/rampa + F tcc en c/rampa manual </t>
  </si>
  <si>
    <t>"Mas essa tendência [de ônibus de piso baixo] já se manifesta em diversas outras capitais e cidades de médio e grande porte de todo o país', observa o executivo." conforme B7R(2000, p.15)</t>
  </si>
  <si>
    <t>(n.º F tc en / n.º F tc) x  100</t>
  </si>
  <si>
    <t>Contagem 2015</t>
  </si>
  <si>
    <t>Joinville 2014</t>
  </si>
  <si>
    <t>não gerenciado pela BHTrans</t>
  </si>
  <si>
    <r>
      <rPr>
        <b/>
        <sz val="12"/>
        <color theme="1"/>
        <rFont val="Times New Roman"/>
        <family val="1"/>
      </rPr>
      <t>BHTRANS(2006a):</t>
    </r>
    <r>
      <rPr>
        <sz val="12"/>
        <color theme="1"/>
        <rFont val="Times New Roman"/>
        <family val="1"/>
      </rPr>
      <t xml:space="preserve"> EMPRESA DE TRANSPORTES E TRÂNSITO DE BELO HORIZONTE S.A - BHTRANS. Gerência de Informação - Geinf/CEGI/DAI/BHTrans. </t>
    </r>
    <r>
      <rPr>
        <i/>
        <sz val="12"/>
        <color theme="1"/>
        <rFont val="Times New Roman"/>
        <family val="1"/>
      </rPr>
      <t>Anuário Estatístico 2005</t>
    </r>
    <r>
      <rPr>
        <sz val="12"/>
        <color theme="1"/>
        <rFont val="Times New Roman"/>
        <family val="1"/>
      </rPr>
      <t>. Belo Horizonte: BHTrans, [2006]. 26p. Disponível no portal interno da BHTrans em: &lt;http://www.bhtrans.pbh.gov.br/portal/page/portal/portalrestrito/Público%20Alvo/DIRB/GCOB02/GERB0203/anuario_estatistico_publicacoes_011211&gt;. Acesso em: 26 abr. 2016.</t>
    </r>
  </si>
  <si>
    <r>
      <rPr>
        <b/>
        <sz val="12"/>
        <color theme="1"/>
        <rFont val="Times New Roman"/>
        <family val="1"/>
      </rPr>
      <t>BHTRANS(2007a):</t>
    </r>
    <r>
      <rPr>
        <sz val="12"/>
        <color theme="1"/>
        <rFont val="Times New Roman"/>
        <family val="1"/>
      </rPr>
      <t xml:space="preserve"> EMPRESA DE TRANSPORTES E TRÂNSITO DE BELO HORIZONTE S.A - BHTRANS. Gerência de Informação - Geinf/CEGI/DAI/BHTrans. </t>
    </r>
    <r>
      <rPr>
        <i/>
        <sz val="12"/>
        <color theme="1"/>
        <rFont val="Times New Roman"/>
        <family val="1"/>
      </rPr>
      <t>Anuário Estatístico 2006</t>
    </r>
    <r>
      <rPr>
        <sz val="12"/>
        <color theme="1"/>
        <rFont val="Times New Roman"/>
        <family val="1"/>
      </rPr>
      <t>. Belo Horizonte: BHTrans, [2007]. 36p. Disponível no portal interno da BHTrans em: &lt;http://www.bhtrans.pbh.gov.br/portal/page/portal/portalrestrito/Público%20Alvo/DIRB/GCOB02/GERB0203/anuario_estatistico_publicacoes_011211&gt;. Acesso em: 1º dez. 2011.</t>
    </r>
  </si>
  <si>
    <r>
      <rPr>
        <b/>
        <sz val="12"/>
        <color theme="1"/>
        <rFont val="Times New Roman"/>
        <family val="1"/>
      </rPr>
      <t>BHTRANS(2011b):</t>
    </r>
    <r>
      <rPr>
        <sz val="12"/>
        <color theme="1"/>
        <rFont val="Times New Roman"/>
        <family val="1"/>
      </rPr>
      <t xml:space="preserve"> EMPRESA DE TRANSPORTES E TRÂNSITO DE BELO HORIZONTE S.A - BHTRANS. Gerência de Informação - Geinf/CEGI/DAI/BHTrans. </t>
    </r>
    <r>
      <rPr>
        <i/>
        <sz val="12"/>
        <color theme="1"/>
        <rFont val="Times New Roman"/>
        <family val="1"/>
      </rPr>
      <t>Anuário Estatístico 2010</t>
    </r>
    <r>
      <rPr>
        <sz val="12"/>
        <color theme="1"/>
        <rFont val="Times New Roman"/>
        <family val="1"/>
      </rPr>
      <t>. Belo Horizonte: BHTrans, 2011. Disponível no portal interno da BHTrans em: &lt;http://www.bhtrans.pbh.gov.br/portal/page/portal/portalrestrito/Público%20Alvo/DIRB/GCOB02/GERB0203/anuario_estatistico_publicacoes_011211&gt;. Acesso em: 7 mar. 2012.</t>
    </r>
  </si>
  <si>
    <r>
      <rPr>
        <b/>
        <sz val="12"/>
        <color theme="1"/>
        <rFont val="Times New Roman"/>
        <family val="1"/>
      </rPr>
      <t>BHTRANS(2008a):</t>
    </r>
    <r>
      <rPr>
        <sz val="12"/>
        <color theme="1"/>
        <rFont val="Times New Roman"/>
        <family val="1"/>
      </rPr>
      <t xml:space="preserve"> EMPRESA DE TRANSPORTES E TRÂNSITO DE BELO HORIZONTE S.A - BHTRANS. Gerência de Informação - Geinf/CEGI/DAI/BHTrans. </t>
    </r>
    <r>
      <rPr>
        <i/>
        <sz val="12"/>
        <color theme="1"/>
        <rFont val="Times New Roman"/>
        <family val="1"/>
      </rPr>
      <t>Anuário Estatístico 2007</t>
    </r>
    <r>
      <rPr>
        <sz val="12"/>
        <color theme="1"/>
        <rFont val="Times New Roman"/>
        <family val="1"/>
      </rPr>
      <t>. Belo Horizonte: BHTrans, [2008]. 37p. Disponível no portal interno da BHTrans em: &lt;http://www.bhtrans.pbh.gov.br/portal/page/portal/portalrestrito/Público%20Alvo/DIRB/GCOB02/GERB0203/anuario_estatistico_publicacoes_011211&gt;. Acesso em: 26 abr. 2016.</t>
    </r>
  </si>
  <si>
    <t>motobox</t>
  </si>
  <si>
    <r>
      <rPr>
        <b/>
        <sz val="12"/>
        <rFont val="Times New Roman"/>
        <family val="1"/>
      </rPr>
      <t xml:space="preserve">BHTRANS(2016j): </t>
    </r>
    <r>
      <rPr>
        <sz val="12"/>
        <rFont val="Times New Roman"/>
        <family val="1"/>
      </rPr>
      <t xml:space="preserve"> EMPRESA DE TRANSPORTES E TRÂNSITO DE BELO HORIZONTE S.A - BHTRANS. Gerência de Marketing e Comunicação - Gecom/BHTrans. </t>
    </r>
    <r>
      <rPr>
        <i/>
        <sz val="12"/>
        <rFont val="Times New Roman"/>
        <family val="1"/>
      </rPr>
      <t>Release - BHTrans inicia implantação de área reservada para motociclistas na Av. Cristiano Machado</t>
    </r>
    <r>
      <rPr>
        <sz val="12"/>
        <rFont val="Times New Roman"/>
        <family val="1"/>
      </rPr>
      <t>. Belo Horizonte, 16 maio 2016.</t>
    </r>
  </si>
  <si>
    <t>"A Prefeitura de Belo Horizonte, por meio da BHTRANS, inicia nesta terça-feira, dia 17/5, a implantação do projeto piloto de sinalização horizontal (pintura no solo) e vertical (placas), delimitando uma área de espera segura reservada para motociclistas, chamada de Motobox. As Motoboxes estão sendo implantadas inicialmente em 15 interseções semaforizadas da Avenida Cristiano Machado, entre a faixa de pedestres e a faixa de retenção para veículos. A implantação será em caráter experimental por 90 dias, para que a BHTRANS possa avaliar a medida." conforme BHTRANS(2016j)</t>
  </si>
  <si>
    <t>Plano de Acessibilidade</t>
  </si>
  <si>
    <t>PlanMob</t>
  </si>
  <si>
    <t>"Pode-se afirmar que construir uma cidade acessível para todos é condição para o êxito que qualquer política de mobilidade urbana em qualquer cidade. Assim sendo, em todas as revisões do PlanMob-BH o assunto acessibilidade precisa ser mantido na agenda política de forma consistente e permanente. Assim fazendo, a BHTrans será capaz de elaborar e revisar, em um processo contínuo, o Plano de Acessibilidade em consonância com o Plano de Mobilidade Urbana (PlanMob-BH) que, por sua vez, é parte integrante do Plano Diretor de Belo Horizonte." conforme OLIVEIRA(2015d, p.7)</t>
  </si>
  <si>
    <t xml:space="preserve">n.º total de vagas físicas (rotativas e livres) reservadas para inclusão, ou seja, para idoso ou para pessoa com deficiência </t>
  </si>
  <si>
    <t>vagas reservadas para inclusão</t>
  </si>
  <si>
    <r>
      <t xml:space="preserve">nome dado ao conjunto de vagas de estacionamento (seja em local de estacionamento livre ou de estacionamento rotativo) reservadas na via pública para uso de determinadas pessoas (idosos ou pessoas com deficiência)
</t>
    </r>
    <r>
      <rPr>
        <b/>
        <sz val="10"/>
        <color theme="1"/>
        <rFont val="Times New Roman"/>
        <family val="1"/>
      </rPr>
      <t>obs.1:</t>
    </r>
    <r>
      <rPr>
        <sz val="10"/>
        <color theme="1"/>
        <rFont val="Times New Roman"/>
        <family val="1"/>
      </rPr>
      <t xml:space="preserve"> acesse quantitativos em EL vfdi, RL vfdi, RT vfdi  
</t>
    </r>
    <r>
      <rPr>
        <b/>
        <sz val="10"/>
        <color theme="1"/>
        <rFont val="Times New Roman"/>
        <family val="1"/>
      </rPr>
      <t xml:space="preserve">obs.2: </t>
    </r>
    <r>
      <rPr>
        <sz val="10"/>
        <color theme="1"/>
        <rFont val="Times New Roman"/>
        <family val="1"/>
      </rPr>
      <t>acesse análise em OLIVEIRA(2015d, p.9-10)</t>
    </r>
  </si>
  <si>
    <r>
      <t xml:space="preserve">Procedimento Operacional Padrão
</t>
    </r>
    <r>
      <rPr>
        <b/>
        <sz val="10"/>
        <color theme="1"/>
        <rFont val="Times New Roman"/>
        <family val="1"/>
      </rPr>
      <t xml:space="preserve">obs.: </t>
    </r>
    <r>
      <rPr>
        <sz val="10"/>
        <color theme="1"/>
        <rFont val="Times New Roman"/>
        <family val="1"/>
      </rPr>
      <t>instrumento utilizado pela BHTrans na forma de POP.AD, POP.EM, POP.ET, POP.TP, POP.TS conforme BHTRANS(2014i)</t>
    </r>
  </si>
  <si>
    <t>POP.TS - 01</t>
  </si>
  <si>
    <t xml:space="preserve"> (n.º F tc em / n.º F tc) x 100</t>
  </si>
  <si>
    <t>F tc em c/rampa manual + 
F tc enu</t>
  </si>
  <si>
    <t>bicicleta para todos</t>
  </si>
  <si>
    <t>BPT</t>
  </si>
  <si>
    <r>
      <t xml:space="preserve">sigla da rede "Bicicleta para Todos"
</t>
    </r>
    <r>
      <rPr>
        <b/>
        <sz val="10"/>
        <rFont val="Times New Roman"/>
        <family val="1"/>
      </rPr>
      <t xml:space="preserve">obs.: </t>
    </r>
    <r>
      <rPr>
        <sz val="10"/>
        <rFont val="Times New Roman"/>
        <family val="1"/>
      </rPr>
      <t>acesse o verbete "bicicleta para todos"</t>
    </r>
  </si>
  <si>
    <r>
      <rPr>
        <b/>
        <sz val="12"/>
        <color theme="1"/>
        <rFont val="Times New Roman"/>
        <family val="1"/>
      </rPr>
      <t xml:space="preserve">CICLOFEMINI(2016): </t>
    </r>
    <r>
      <rPr>
        <sz val="12"/>
        <color theme="1"/>
        <rFont val="Times New Roman"/>
        <family val="1"/>
      </rPr>
      <t>ESCOLA DE BICICLETA CICLOFEMIMI - ciclofemini.</t>
    </r>
    <r>
      <rPr>
        <i/>
        <sz val="12"/>
        <color theme="1"/>
        <rFont val="Times New Roman"/>
        <family val="1"/>
      </rPr>
      <t xml:space="preserve"> Bicicleta para todos</t>
    </r>
    <r>
      <rPr>
        <sz val="12"/>
        <color theme="1"/>
        <rFont val="Times New Roman"/>
        <family val="1"/>
      </rPr>
      <t>. Disponível em: &lt;http://ciclofemini.com.br/2013/11/06/bicicleta-para-todos/&gt;. Acesso em 24 mar. 2014 e 19 maio 2016.</t>
    </r>
  </si>
  <si>
    <t>para todos</t>
  </si>
  <si>
    <r>
      <rPr>
        <b/>
        <sz val="12"/>
        <rFont val="Times New Roman"/>
        <family val="1"/>
      </rPr>
      <t xml:space="preserve">BHTRANS(2016k): </t>
    </r>
    <r>
      <rPr>
        <sz val="12"/>
        <rFont val="Times New Roman"/>
        <family val="1"/>
      </rPr>
      <t xml:space="preserve"> EMPRESA DE TRANSPORTES E TRÂNSITO DE BELO HORIZONTE S.A - BHTRANS. Observatório da Mobilidade de Belo Horizonte - ObsMob-BH.  Revisão do PlanMobBH – 2010/ 2030 - </t>
    </r>
    <r>
      <rPr>
        <i/>
        <sz val="12"/>
        <rFont val="Times New Roman"/>
        <family val="1"/>
      </rPr>
      <t xml:space="preserve">Detalhamento dos Eixos - 3a Oficina Interna - 13.05.2016. </t>
    </r>
    <r>
      <rPr>
        <sz val="12"/>
        <rFont val="Times New Roman"/>
        <family val="1"/>
      </rPr>
      <t>Belo Horizonte, 13 maio 2016. [apresentação]</t>
    </r>
  </si>
  <si>
    <t>com elevador</t>
  </si>
  <si>
    <t>n.º: consulte F tc eh</t>
  </si>
  <si>
    <t>F tc eh
(%)</t>
  </si>
  <si>
    <t>∑(n.º de veículos x nota) / n.º de veículos</t>
  </si>
  <si>
    <t>F tcc eh
(%)</t>
  </si>
  <si>
    <t>F tc eh
(meta em %)</t>
  </si>
  <si>
    <t>F tcc eh
(meta em %)</t>
  </si>
  <si>
    <t>F tcs eh
(%)</t>
  </si>
  <si>
    <t>F tcs eh
(meta em %)</t>
  </si>
  <si>
    <t>(n.º F tcc eh / n.º F tcc) x 100</t>
  </si>
  <si>
    <t>(n.º F tc eh / n.º F tc) x 100</t>
  </si>
  <si>
    <t>percentual da frota de ônibus do transporte coletivo suplementar de Belo Horizonte equipados com  elevador hidráulico de uso exclusivo ou não para cadeirantes e que não estão aptos a operar em parte do percurso em plataforma elevada</t>
  </si>
  <si>
    <t>(n.º F tcs eh / n.º F tcs) x 100</t>
  </si>
  <si>
    <t>percentual da frota de ônibus do transporte coletivo (convencional e suplementar) de Belo Horizonte equipados com  elevador hidráulico de uso exclusivo ou não para cadeirantes e que não estão aptos a operar em parte do percurso em plataforma elevada</t>
  </si>
  <si>
    <t>F tcc eh
(n.º)</t>
  </si>
  <si>
    <t xml:space="preserve">até 2015:
F tcc - F tcc sfc </t>
  </si>
  <si>
    <r>
      <rPr>
        <sz val="10"/>
        <rFont val="Calibri"/>
        <family val="2"/>
      </rPr>
      <t>até 2015:
(n.º F tcc fc / n.º F tcc</t>
    </r>
    <r>
      <rPr>
        <sz val="10"/>
        <rFont val="Times New Roman"/>
        <family val="1"/>
      </rPr>
      <t>) x 100</t>
    </r>
  </si>
  <si>
    <t>mais 10%</t>
  </si>
  <si>
    <t>mais 5%</t>
  </si>
  <si>
    <t>mais 8%</t>
  </si>
  <si>
    <t>"Percentual de avaliação positiva (ótimo e bom) das condições das calçadas e travessias na Área Central de Belo Horizonte.
Meta: 60% das condições das calçadas e travessias na Área Central de Belo Horizonte avaliadas como ótimo ou bom.
•Valor Atual: Não há
•Curto Prazo (2020): 30% / •Médio Prazo (2025): 50% / •Longo Prazo (2030):60%" conforme BHTRANS(2016k)</t>
  </si>
  <si>
    <t>"Percentual de avaliação positiva (ótimo e bom) das condições das calçadas e travessias nos bairros.
Meta: 30% das condições das calçadas e travessias nos bairros de Belo Horizonte avaliadas como ótimo ou bom.
•Valor Atual: Não há
•Curto Prazo (2020): 15% / •Médio Prazo (2025): 25% / •Longo Prazo (2030):30%" conforme BH(2016k)</t>
  </si>
  <si>
    <t>A calçada AC</t>
  </si>
  <si>
    <t>A calçada bairros</t>
  </si>
  <si>
    <t>AC</t>
  </si>
  <si>
    <t>não há resultados</t>
  </si>
  <si>
    <t>benchmarking SisMob-BH</t>
  </si>
  <si>
    <t>calçada para todos</t>
  </si>
  <si>
    <t>mobilidade para todos</t>
  </si>
  <si>
    <t>transporte para todos</t>
  </si>
  <si>
    <t>São Paulo para todos</t>
  </si>
  <si>
    <t>Montevideo de todos</t>
  </si>
  <si>
    <t>Londrina</t>
  </si>
  <si>
    <r>
      <rPr>
        <b/>
        <sz val="12"/>
        <color theme="1"/>
        <rFont val="Times New Roman"/>
        <family val="1"/>
      </rPr>
      <t xml:space="preserve">ANTP(2014a): </t>
    </r>
    <r>
      <rPr>
        <sz val="12"/>
        <color theme="1"/>
        <rFont val="Times New Roman"/>
        <family val="1"/>
      </rPr>
      <t xml:space="preserve">ASSOCIAÇÃO NACIONAL DE TRANSPORTES PÚBLICOS - ANTP. </t>
    </r>
    <r>
      <rPr>
        <i/>
        <sz val="12"/>
        <color theme="1"/>
        <rFont val="Times New Roman"/>
        <family val="1"/>
      </rPr>
      <t>Relatório geral 2012 - Sistema de Informações da Mobilidade Urbana</t>
    </r>
    <r>
      <rPr>
        <sz val="12"/>
        <color theme="1"/>
        <rFont val="Times New Roman"/>
        <family val="1"/>
      </rPr>
      <t>. São Paulo: ANTP, julho 2014. 94p. Disponível em: &lt;http://files-server.antp.org.br/_5dotSystem/download/dcmDocument/2014/08/01/CB06D67E-03DD-400E-8B86-D64D78AFC553.pdf&gt;. Acesso em: 23 maio 2016.</t>
    </r>
  </si>
  <si>
    <r>
      <rPr>
        <b/>
        <sz val="12"/>
        <color theme="1"/>
        <rFont val="Times New Roman"/>
        <family val="1"/>
      </rPr>
      <t xml:space="preserve">ANTP(2015a): </t>
    </r>
    <r>
      <rPr>
        <sz val="12"/>
        <color theme="1"/>
        <rFont val="Times New Roman"/>
        <family val="1"/>
      </rPr>
      <t xml:space="preserve">ASSOCIAÇÃO NACIONAL DE TRANSPORTES PÚBLICOS - ANTP. </t>
    </r>
    <r>
      <rPr>
        <i/>
        <sz val="12"/>
        <color theme="1"/>
        <rFont val="Times New Roman"/>
        <family val="1"/>
      </rPr>
      <t>Relatório geral 2013 - Sistema de Informações da Mobilidade Urbana</t>
    </r>
    <r>
      <rPr>
        <sz val="12"/>
        <color theme="1"/>
        <rFont val="Times New Roman"/>
        <family val="1"/>
      </rPr>
      <t>. São Paulo: ANTP, junho 2015. 96p. Disponível em: &lt;http://files-server.antp.org.br/_5dotSystem/userFiles/SIMOB/Rel2013V3.pdf&gt;. Acesso em: 23 maio 2016.</t>
    </r>
  </si>
  <si>
    <r>
      <rPr>
        <b/>
        <sz val="12"/>
        <color theme="1"/>
        <rFont val="Times New Roman"/>
        <family val="1"/>
      </rPr>
      <t xml:space="preserve">ANTP(2012a): </t>
    </r>
    <r>
      <rPr>
        <sz val="12"/>
        <color theme="1"/>
        <rFont val="Times New Roman"/>
        <family val="1"/>
      </rPr>
      <t xml:space="preserve">ASSOCIAÇÃO NACIONAL DE TRANSPORTES PÚBLICOS - ANTP. </t>
    </r>
    <r>
      <rPr>
        <i/>
        <sz val="12"/>
        <color theme="1"/>
        <rFont val="Times New Roman"/>
        <family val="1"/>
      </rPr>
      <t>Relatório geral 2011 - Sistema de Informações da Mobilidade Urbana</t>
    </r>
    <r>
      <rPr>
        <sz val="12"/>
        <color theme="1"/>
        <rFont val="Times New Roman"/>
        <family val="1"/>
      </rPr>
      <t>. São Paulo: ANTP, dezembro 2012. 118p. Disponível em: &lt;http://files-server.antp.org.br/_5dotSystem/userFiles/SIMOB/relatorio%202011.pdf&gt;. Acesso em: 23 maio 2016.</t>
    </r>
  </si>
  <si>
    <r>
      <rPr>
        <b/>
        <sz val="12"/>
        <color theme="1"/>
        <rFont val="Times New Roman"/>
        <family val="1"/>
      </rPr>
      <t xml:space="preserve">ANTP(2011d): </t>
    </r>
    <r>
      <rPr>
        <sz val="12"/>
        <color theme="1"/>
        <rFont val="Times New Roman"/>
        <family val="1"/>
      </rPr>
      <t xml:space="preserve">ASSOCIAÇÃO NACIONAL DE TRANSPORTES PÚBLICOS - ANTP. </t>
    </r>
    <r>
      <rPr>
        <i/>
        <sz val="12"/>
        <color theme="1"/>
        <rFont val="Times New Roman"/>
        <family val="1"/>
      </rPr>
      <t>Relatório geral 2010 - Sistema de Informações da Mobilidade Urbana</t>
    </r>
    <r>
      <rPr>
        <sz val="12"/>
        <color theme="1"/>
        <rFont val="Times New Roman"/>
        <family val="1"/>
      </rPr>
      <t>. São Paulo: ANTP, novembro 2011. 130p. Disponível em: &lt;http://files-server.antp.org.br/_5dotSystem/download/dcmDocument/2013/04/11/C522D67B-1B85-4C3E-9882-187146CBC0C3.pdf&gt;. Acesso em: 23 maio 2016.</t>
    </r>
  </si>
  <si>
    <r>
      <rPr>
        <b/>
        <sz val="12"/>
        <color theme="1"/>
        <rFont val="Times New Roman"/>
        <family val="1"/>
      </rPr>
      <t xml:space="preserve">ANTP(2010a): </t>
    </r>
    <r>
      <rPr>
        <sz val="12"/>
        <color theme="1"/>
        <rFont val="Times New Roman"/>
        <family val="1"/>
      </rPr>
      <t xml:space="preserve">ASSOCIAÇÃO NACIONAL DE TRANSPORTES PÚBLICOS - ANTP. </t>
    </r>
    <r>
      <rPr>
        <i/>
        <sz val="12"/>
        <color theme="1"/>
        <rFont val="Times New Roman"/>
        <family val="1"/>
      </rPr>
      <t>Relatório geral 2009 - Sistema de Informações da Mobilidade Urbana</t>
    </r>
    <r>
      <rPr>
        <sz val="12"/>
        <color theme="1"/>
        <rFont val="Times New Roman"/>
        <family val="1"/>
      </rPr>
      <t>. São Paulo: ANTP, setembro 2010. 113p. Disponível em: &lt;http://files-server.antp.org.br/_5dotSystem/download/dcmDocument/2013/04/11/D5673001-9B49-4562-B5CB-6266DEACE37E.pdf&gt;. Acesso em: 23 maio 2016.</t>
    </r>
  </si>
  <si>
    <r>
      <rPr>
        <b/>
        <sz val="12"/>
        <color theme="1"/>
        <rFont val="Times New Roman"/>
        <family val="1"/>
      </rPr>
      <t xml:space="preserve">ANTP(2009a): </t>
    </r>
    <r>
      <rPr>
        <sz val="12"/>
        <color theme="1"/>
        <rFont val="Times New Roman"/>
        <family val="1"/>
      </rPr>
      <t xml:space="preserve">ASSOCIAÇÃO NACIONAL DE TRANSPORTES PÚBLICOS - ANTP. </t>
    </r>
    <r>
      <rPr>
        <i/>
        <sz val="12"/>
        <color theme="1"/>
        <rFont val="Times New Roman"/>
        <family val="1"/>
      </rPr>
      <t>Relatório geral 2008 - Sistema de Informações da Mobilidade Urbana</t>
    </r>
    <r>
      <rPr>
        <sz val="12"/>
        <color theme="1"/>
        <rFont val="Times New Roman"/>
        <family val="1"/>
      </rPr>
      <t>. São Paulo: ANTP, dezembro 2009. 113p. Disponível em: &lt;http://files-server.antp.org.br/_5dotSystem/download/dcmDocument/2013/04/11/4959DF25-8BE7-4DD1-8D31-64D95B5B2385.pdf&gt;. Acesso em: 23 maio 2016.</t>
    </r>
  </si>
  <si>
    <r>
      <rPr>
        <b/>
        <sz val="12"/>
        <color theme="1"/>
        <rFont val="Times New Roman"/>
        <family val="1"/>
      </rPr>
      <t xml:space="preserve">ANTP(2008a): </t>
    </r>
    <r>
      <rPr>
        <sz val="12"/>
        <color theme="1"/>
        <rFont val="Times New Roman"/>
        <family val="1"/>
      </rPr>
      <t xml:space="preserve">ASSOCIAÇÃO NACIONAL DE TRANSPORTES PÚBLICOS - ANTP. </t>
    </r>
    <r>
      <rPr>
        <i/>
        <sz val="12"/>
        <color theme="1"/>
        <rFont val="Times New Roman"/>
        <family val="1"/>
      </rPr>
      <t>Relatório geral 2007 - Sistema de Informações da Mobilidade Urbana</t>
    </r>
    <r>
      <rPr>
        <sz val="12"/>
        <color theme="1"/>
        <rFont val="Times New Roman"/>
        <family val="1"/>
      </rPr>
      <t>. São Paulo: ANTP, agosto 2008. 115p. Disponível em: &lt;http://files-server.antp.org.br/_5dotSystem/download/dcmDocument/2013/04/11/19492C7F-68AE-416B-91C2-42D2A3774D81.pdf&gt;. Acesso em: 23 maio 2016.</t>
    </r>
  </si>
  <si>
    <r>
      <rPr>
        <b/>
        <sz val="12"/>
        <color theme="1"/>
        <rFont val="Times New Roman"/>
        <family val="1"/>
      </rPr>
      <t xml:space="preserve">ANTP(2007a): </t>
    </r>
    <r>
      <rPr>
        <sz val="12"/>
        <color theme="1"/>
        <rFont val="Times New Roman"/>
        <family val="1"/>
      </rPr>
      <t xml:space="preserve">ASSOCIAÇÃO NACIONAL DE TRANSPORTES PÚBLICOS - ANTP. </t>
    </r>
    <r>
      <rPr>
        <i/>
        <sz val="12"/>
        <color theme="1"/>
        <rFont val="Times New Roman"/>
        <family val="1"/>
      </rPr>
      <t>Relatório geral 2006 - Sistema de Informações da Mobilidade Urbana</t>
    </r>
    <r>
      <rPr>
        <sz val="12"/>
        <color theme="1"/>
        <rFont val="Times New Roman"/>
        <family val="1"/>
      </rPr>
      <t>. São Paulo: ANTP, agosto 2007. 137p. Disponível em: &lt;http://files-server.antp.org.br/_5dotSystem/download/dcmDocument/2013/04/11/4231CF41-42D8-4F5E-935D-27765E1ECE8B.pdf&gt;. Acesso em: 23 maio 2016.</t>
    </r>
  </si>
  <si>
    <t>pessoa com mobilidade reduzida</t>
  </si>
  <si>
    <t>"aquela que tenha, por qualquer motivo, dificuldade de movimentação, permanente ou temporária, gerando redução efetiva da mobilidade, da flexibilidade, da coordenação motora ou da percepção, incluindo idoso, gestante, lactante, pessoa com criança de colo e obeso" conforme BRASIL(2015a, art.3º/inciso IX)</t>
  </si>
  <si>
    <t>mobilidade reduzida</t>
  </si>
  <si>
    <t xml:space="preserve">SIA </t>
  </si>
  <si>
    <t>certificação de acessibilidade</t>
  </si>
  <si>
    <r>
      <t xml:space="preserve">usado como complemento de "DM (P.Op.)"
</t>
    </r>
    <r>
      <rPr>
        <b/>
        <sz val="10"/>
        <color theme="1"/>
        <rFont val="Times New Roman"/>
        <family val="1"/>
      </rPr>
      <t xml:space="preserve">obs.: </t>
    </r>
    <r>
      <rPr>
        <sz val="10"/>
        <color theme="1"/>
        <rFont val="Times New Roman"/>
        <family val="1"/>
      </rPr>
      <t>acesse "transporte coletivo suplementar"</t>
    </r>
  </si>
  <si>
    <r>
      <rPr>
        <b/>
        <sz val="12"/>
        <color theme="1"/>
        <rFont val="Times New Roman"/>
        <family val="1"/>
      </rPr>
      <t>BHTRANS(2016a):</t>
    </r>
    <r>
      <rPr>
        <sz val="12"/>
        <color theme="1"/>
        <rFont val="Times New Roman"/>
        <family val="1"/>
      </rPr>
      <t xml:space="preserve"> EMPRESA DE TRANSPORTES E TRÂNSITO DE BELO HORIZONTE S.A - BHTRANS. </t>
    </r>
    <r>
      <rPr>
        <i/>
        <sz val="12"/>
        <color theme="1"/>
        <rFont val="Times New Roman"/>
        <family val="1"/>
      </rPr>
      <t>Trans</t>
    </r>
    <r>
      <rPr>
        <i/>
        <sz val="12"/>
        <rFont val="Times New Roman"/>
        <family val="1"/>
      </rPr>
      <t>porte suplementar</t>
    </r>
    <r>
      <rPr>
        <sz val="12"/>
        <rFont val="Times New Roman"/>
        <family val="1"/>
      </rPr>
      <t>. Belo Horizonte: BHTrans, s.d. Disponível em: &lt;http://www.bhtrans.pbh.gov.br/portal/page/portal/portalpublico/Temas/Suplementar/transporte-suplementar-2013&gt;</t>
    </r>
    <r>
      <rPr>
        <sz val="12"/>
        <color theme="1"/>
        <rFont val="Times New Roman"/>
        <family val="1"/>
      </rPr>
      <t>. Acesso em 17 mar. 2016.</t>
    </r>
  </si>
  <si>
    <r>
      <rPr>
        <b/>
        <sz val="12"/>
        <rFont val="Times New Roman"/>
        <family val="1"/>
      </rPr>
      <t xml:space="preserve">BHTRANS(2016m): </t>
    </r>
    <r>
      <rPr>
        <sz val="12"/>
        <rFont val="Times New Roman"/>
        <family val="1"/>
      </rPr>
      <t xml:space="preserve"> EMPRESA DE TRANSPORTES E TRÂNSITO DE BELO HORIZONTE S.A - BHTRANS. </t>
    </r>
    <r>
      <rPr>
        <i/>
        <sz val="12"/>
        <rFont val="Times New Roman"/>
        <family val="1"/>
      </rPr>
      <t>Anos de fabricação da frota de transporte coletivo convencional sem elevador</t>
    </r>
    <r>
      <rPr>
        <sz val="12"/>
        <rFont val="Times New Roman"/>
        <family val="1"/>
      </rPr>
      <t>. Gerência de Estudos Tarifários - Gecet/DTP. Belo Horizonte: BHTrans, 19 maio 2016. [e-mail resposta de 19/05/2016 a solicitação do SisMob-BH feita em 19/05/2016]</t>
    </r>
  </si>
  <si>
    <t>ônibus com chassis fabricados em 2005 que compõem a frota em n.º de ônibus do transporte coletivo convencional de Belo Horizonte sem facilidade para o embarque/desembarque de pessoas com mobilidade (física) reduzida conforme BHTRANS(2016m)</t>
  </si>
  <si>
    <t>ônibus com chassis fabricados em 2006 que compõem a frota em n.º de ônibus do transporte coletivo convencional de Belo Horizonte sem facilidade para o embarque/desembarque de pessoas com mobilidade (física) reduzida conforme BHTRANS(2016m)</t>
  </si>
  <si>
    <t>ônibus com chassis fabricados em 2007 que compõem a frota em n.º de ônibus do transporte coletivo convencional de Belo Horizonte sem facilidade para o embarque/desembarque de pessoas com mobilidade (física) reduzida conforme BHTRANS(2016m)</t>
  </si>
  <si>
    <t>ônibus com chassis fabricados em 2008 que compõem a frota em n.º de ônibus do transporte coletivo convencional de Belo Horizonte sem facilidade para o embarque/desembarque de pessoas com mobilidade (física) reduzida conforme BHTRANS(2016m)</t>
  </si>
  <si>
    <t>não apurado</t>
  </si>
  <si>
    <r>
      <t xml:space="preserve">340 ÔNIBUS(2016): </t>
    </r>
    <r>
      <rPr>
        <sz val="12"/>
        <rFont val="Times New Roman"/>
        <family val="1"/>
      </rPr>
      <t xml:space="preserve">340 ÔNIBUS novos em Belo Horizonte. </t>
    </r>
    <r>
      <rPr>
        <i/>
        <sz val="12"/>
        <rFont val="Times New Roman"/>
        <family val="1"/>
      </rPr>
      <t>Hoje em Dia</t>
    </r>
    <r>
      <rPr>
        <sz val="12"/>
        <rFont val="Times New Roman"/>
        <family val="1"/>
      </rPr>
      <t>, Belo Horizonte, 21 maio 2016. Caderno Horizontes, p.20.</t>
    </r>
  </si>
  <si>
    <r>
      <t xml:space="preserve">BH TERÁ(2016): </t>
    </r>
    <r>
      <rPr>
        <sz val="12"/>
        <rFont val="Times New Roman"/>
        <family val="1"/>
      </rPr>
      <t xml:space="preserve">BH terá 340 novos ônibus. </t>
    </r>
    <r>
      <rPr>
        <i/>
        <sz val="12"/>
        <rFont val="Times New Roman"/>
        <family val="1"/>
      </rPr>
      <t>O Tempo</t>
    </r>
    <r>
      <rPr>
        <sz val="12"/>
        <rFont val="Times New Roman"/>
        <family val="1"/>
      </rPr>
      <t>, Belo Horizonte, 21 maio 2016. 1º Caderno, p.27.</t>
    </r>
  </si>
  <si>
    <t>PlanMob-BH</t>
  </si>
  <si>
    <r>
      <rPr>
        <b/>
        <sz val="12"/>
        <rFont val="Times New Roman"/>
        <family val="1"/>
      </rPr>
      <t>BH(2001b):</t>
    </r>
    <r>
      <rPr>
        <sz val="12"/>
        <rFont val="Times New Roman"/>
        <family val="1"/>
      </rPr>
      <t xml:space="preserve"> BELO HORIZONTE. Câmara Municipal. Lei n.º 8.175, de 19 de janeiro de 2001. Torna obrigatória a existência de poltrona ou cadeira especial para pessoa obesa nos locais que menciona e dá outras providências. </t>
    </r>
    <r>
      <rPr>
        <i/>
        <sz val="12"/>
        <rFont val="Times New Roman"/>
        <family val="1"/>
      </rPr>
      <t>Diário Oficial do Município - DOM</t>
    </r>
    <r>
      <rPr>
        <sz val="12"/>
        <rFont val="Times New Roman"/>
        <family val="1"/>
      </rPr>
      <t>, Belo Horizonte, Ano VII - Edição n.º 1343, 27 mar. 2001. Poder Legislativo. Câmara Municipal. Disponível em: &lt;http://portal6.pbh.gov.br/dom/iniciaEdicao.do?method=DetalheArtigo&amp;pk=884581&gt;. Acesso em: 5 maio 2016.</t>
    </r>
  </si>
  <si>
    <r>
      <rPr>
        <b/>
        <sz val="12"/>
        <color theme="1"/>
        <rFont val="Times New Roman"/>
        <family val="1"/>
      </rPr>
      <t>BH(2001a):</t>
    </r>
    <r>
      <rPr>
        <sz val="12"/>
        <color theme="1"/>
        <rFont val="Times New Roman"/>
        <family val="1"/>
      </rPr>
      <t xml:space="preserve"> BELO HORIZONTE. Prefeitura. Lei n.º 8.175 de 19 de janeiro de 2001. Torna obrigatória a existência de poltrona ou cadeira especial para pessoa obesa nos locais que menciona e dá outras providências. </t>
    </r>
    <r>
      <rPr>
        <i/>
        <sz val="12"/>
        <color theme="1"/>
        <rFont val="Times New Roman"/>
        <family val="1"/>
      </rPr>
      <t>Diário Oficial do Município - DOM</t>
    </r>
    <r>
      <rPr>
        <sz val="12"/>
        <color theme="1"/>
        <rFont val="Times New Roman"/>
        <family val="1"/>
      </rPr>
      <t>, Belo Horizonte, , Ano VII - Edição n.º 1299, 20 jan. 2001. Poder Executivo. Secretaria Municipal de Governo Planejamento e Coordenação Geral - Secretaria Municipal de Governo. Disponível em: &lt;http://portal6.pbh.gov.br/dom/iniciaEdicao.do?method=DetalheArtigo&amp;pk=882710&gt;. Acesso em: 5 maio 2016.</t>
    </r>
  </si>
  <si>
    <t>Joinville nível 2</t>
  </si>
  <si>
    <t>Joinville nível 8</t>
  </si>
  <si>
    <t>Joinville nível 1</t>
  </si>
  <si>
    <t>transporte coletivo convencional</t>
  </si>
  <si>
    <t>relatório circunstanciado de acessibilidade</t>
  </si>
  <si>
    <r>
      <t xml:space="preserve"> documento sobre o cumprimento dos prazos para promoção da acessibilidade no transporte coletivo de uma cidade ou região
</t>
    </r>
    <r>
      <rPr>
        <b/>
        <sz val="10"/>
        <rFont val="Times New Roman"/>
        <family val="1"/>
      </rPr>
      <t xml:space="preserve">obs.: </t>
    </r>
    <r>
      <rPr>
        <sz val="10"/>
        <rFont val="Times New Roman"/>
        <family val="1"/>
      </rPr>
      <t xml:space="preserve"> "Art. 120 - Cabe aos órgãos competentes, em cada esfera de governo, a elaboração de relatórios circunstanciados sobre o cumprimento dos prazos estabelecidos por força das Leis no 10.048, de 8 de novembro de 2000, e no 10.098, de 19 de dezembro de 2000, bem como o seu encaminhamento ao Ministério Público e aos órgãos de regulação para adoção das providências cabíveis. Parágrafo único - Os relatórios a que se refere o caput deste artigo deverão ser apresentados no prazo de 1 (um) ano a contar da entrada em vigor desta Lei." conforme BRASIL (2015).</t>
    </r>
  </si>
  <si>
    <r>
      <rPr>
        <b/>
        <sz val="12"/>
        <color theme="1"/>
        <rFont val="Times New Roman"/>
        <family val="1"/>
      </rPr>
      <t xml:space="preserve">BHTRANS(2016n): </t>
    </r>
    <r>
      <rPr>
        <sz val="12"/>
        <color theme="1"/>
        <rFont val="Times New Roman"/>
        <family val="1"/>
      </rPr>
      <t xml:space="preserve">EMPRESA DE TRANSPORTES E TRÂNSITO DE BELO HORIZONTE S.A - BHTRANS. </t>
    </r>
    <r>
      <rPr>
        <i/>
        <sz val="12"/>
        <color theme="1"/>
        <rFont val="Times New Roman"/>
        <family val="1"/>
      </rPr>
      <t>Sistema de Informações da Mobilidade Urbana de Belo Horizonte - SisMob-BH</t>
    </r>
    <r>
      <rPr>
        <sz val="12"/>
        <color theme="1"/>
        <rFont val="Times New Roman"/>
        <family val="1"/>
      </rPr>
      <t>. Belo Horizonte, 11 jan. 2016. Disponível em: &lt;http://www.bhtrans.pbh.gov.br/portal/page/portal/portalpublico/Temas/Observatorio/SISMOBBH-2013&gt;. Acesso em: 24 maio 2016.</t>
    </r>
  </si>
  <si>
    <t>SisMob-BH</t>
  </si>
  <si>
    <t>Sistema de Informações da Mobilidade Urbana de Belo Horizonte, que evoluiu do Sistema de Indicadores da Mobilidade Urbana de Belo Horizonte</t>
  </si>
  <si>
    <t>ObsMob-BH</t>
  </si>
  <si>
    <t>Pamu-BH</t>
  </si>
  <si>
    <r>
      <rPr>
        <b/>
        <sz val="12"/>
        <color theme="0"/>
        <rFont val="Times New Roman"/>
        <family val="1"/>
      </rPr>
      <t>F tc fc (%)</t>
    </r>
    <r>
      <rPr>
        <b/>
        <sz val="12"/>
        <color theme="1"/>
        <rFont val="Times New Roman"/>
        <family val="1"/>
      </rPr>
      <t xml:space="preserve">
sem sigla</t>
    </r>
  </si>
  <si>
    <r>
      <t>sem definição de sigla, é denominado como "Porcentagem de ônibus municipais acessíveis a pessoas com deficiência física" definido pelo</t>
    </r>
    <r>
      <rPr>
        <i/>
        <sz val="10"/>
        <color theme="1"/>
        <rFont val="Times New Roman"/>
        <family val="1"/>
      </rPr>
      <t xml:space="preserve"> Mobilize - Mobilidade Urnana Sustentável Brasil </t>
    </r>
    <r>
      <rPr>
        <sz val="10"/>
        <color theme="1"/>
        <rFont val="Times New Roman"/>
        <family val="1"/>
      </rPr>
      <t xml:space="preserve">conforme MOBILIZE(2016b)
</t>
    </r>
    <r>
      <rPr>
        <b/>
        <sz val="10"/>
        <color theme="1"/>
        <rFont val="Times New Roman"/>
        <family val="1"/>
      </rPr>
      <t xml:space="preserve">obs.: </t>
    </r>
    <r>
      <rPr>
        <sz val="10"/>
        <color theme="1"/>
        <rFont val="Times New Roman"/>
        <family val="1"/>
      </rPr>
      <t>a fonte consultada não fornece informações sobre como se calcula o indicador e, por isto, em 04/05 e 23/05/2016 o SisMob-BH enviou solicitação de informações aos responsáveis pela plataforma para que se possa proceder à análise</t>
    </r>
  </si>
  <si>
    <r>
      <rPr>
        <b/>
        <sz val="12"/>
        <color theme="1"/>
        <rFont val="Times New Roman"/>
        <family val="1"/>
      </rPr>
      <t xml:space="preserve">BHTRANS(1999c): </t>
    </r>
    <r>
      <rPr>
        <sz val="12"/>
        <color theme="1"/>
        <rFont val="Times New Roman"/>
        <family val="1"/>
      </rPr>
      <t xml:space="preserve">EMPRESA DE TRANSPORTES E TRÂNSITO DE BELO HORIZONTE S.A - BHTRANS. Portaria BHTRANS DTP n.º 023/99, de 24 de maio de 1999. Consolida   critérios  de  inclusão, substituição e remuneração de veículos das empresas subconcessionárias. </t>
    </r>
    <r>
      <rPr>
        <i/>
        <sz val="12"/>
        <color theme="1"/>
        <rFont val="Times New Roman"/>
        <family val="1"/>
      </rPr>
      <t>Diário Oficial do Município - DOM</t>
    </r>
    <r>
      <rPr>
        <sz val="12"/>
        <color theme="1"/>
        <rFont val="Times New Roman"/>
        <family val="1"/>
      </rPr>
      <t>, Belo Horizonte, Ano V - Edição n.º 896, 29 maio 1999. Poder Executivo. Empresa de Transportes e Trânsito de Belo Horizonte - BHTRANS. Disponível em: &lt;http://portal6.pbh.gov.br/dom/iniciaEdicao.do?method=DetalheArtigo&amp;pk=865062&gt;. Acesso em: 24 maio 2016.</t>
    </r>
  </si>
  <si>
    <r>
      <rPr>
        <b/>
        <sz val="12"/>
        <color theme="1"/>
        <rFont val="Times New Roman"/>
        <family val="1"/>
      </rPr>
      <t xml:space="preserve">BHTRANS(1999d/e/f): </t>
    </r>
    <r>
      <rPr>
        <sz val="12"/>
        <color theme="1"/>
        <rFont val="Times New Roman"/>
        <family val="1"/>
      </rPr>
      <t xml:space="preserve">EMPRESA DE TRANSPORTES E TRÂNSITO DE BELO HORIZONTE S.A - BHTRANS. Gerência de Marketing e Comunicação - Gecom/BHTrans. </t>
    </r>
    <r>
      <rPr>
        <i/>
        <sz val="12"/>
        <color theme="1"/>
        <rFont val="Times New Roman"/>
        <family val="1"/>
      </rPr>
      <t>Releases - Belo Horizonte é a primeira capital do país a adotar ônibus de piso baixo;  Belo Horizonte é a primeira capital a adotar ônibus de piso baixo que será apresentado amanhã, 6º feira (24/9); Ônibus de piso baixo entram em operação nesta sexta-feira</t>
    </r>
    <r>
      <rPr>
        <sz val="12"/>
        <color theme="1"/>
        <rFont val="Times New Roman"/>
        <family val="1"/>
      </rPr>
      <t>. Belo Horizonte: BHTrans, 22 set. 1999; 23 set. 1999; 30 set. 1999.</t>
    </r>
  </si>
  <si>
    <r>
      <rPr>
        <b/>
        <sz val="12"/>
        <color theme="1"/>
        <rFont val="Times New Roman"/>
        <family val="1"/>
      </rPr>
      <t>GUIMARÃES(1999):</t>
    </r>
    <r>
      <rPr>
        <sz val="12"/>
        <color theme="1"/>
        <rFont val="Times New Roman"/>
        <family val="1"/>
      </rPr>
      <t xml:space="preserve"> GUIMARÃES, Marcelo Pinto. Acessibilidade ambiental para todos na escala qualitativa da cidade. </t>
    </r>
    <r>
      <rPr>
        <i/>
        <sz val="12"/>
        <color theme="1"/>
        <rFont val="Times New Roman"/>
        <family val="1"/>
      </rPr>
      <t>Topos - Revista de arquitetura e Urbanismo</t>
    </r>
    <r>
      <rPr>
        <sz val="12"/>
        <color theme="1"/>
        <rFont val="Times New Roman"/>
        <family val="1"/>
      </rPr>
      <t>, Belo Horizonte, v.1, n.1, p.124-133, jul.dez.1999.</t>
    </r>
  </si>
  <si>
    <r>
      <rPr>
        <b/>
        <sz val="10"/>
        <color theme="1"/>
        <rFont val="Times New Roman"/>
        <family val="1"/>
      </rPr>
      <t xml:space="preserve">1996: </t>
    </r>
    <r>
      <rPr>
        <sz val="10"/>
        <color theme="1"/>
        <rFont val="Times New Roman"/>
        <family val="1"/>
      </rPr>
      <t xml:space="preserve">Conselho Municipal do Idoso e Comissão de Acessibilidade recomendam a implantação de assentos reservados para "pessoas com mobilidade reduzida (portadores de deficiência, obesos, grávidas, idosos" conforme OLIVEIRA(1996a) com a utilização de placa com quatro pictogramas que aludem a pessoa com perna quebrada, mulher grávida, mulher com criança de colo e idoso conforme BHTRANS(1996b)
</t>
    </r>
    <r>
      <rPr>
        <b/>
        <sz val="10"/>
        <color theme="1"/>
        <rFont val="Times New Roman"/>
        <family val="1"/>
      </rPr>
      <t>maio 1999:</t>
    </r>
    <r>
      <rPr>
        <sz val="10"/>
        <color theme="1"/>
        <rFont val="Times New Roman"/>
        <family val="1"/>
      </rPr>
      <t xml:space="preserve"> PBH veta integralmente proposição de lei que determina "reservar os assentos da parte dianteira dos coletivos exclusivamente para idosos, pessoas portadoras de deficiência e grávidas" justificando que a matéria é de competência da BHTrans, que é matéria já regulamentada [lei 3.800/1994], que é subjetiva e que "[a proposição] acaba atribuindo aos funcionários de entidades extra-estatais competência para o exercício de poder de polícia. Ora, o exercício da polícia administrativa é função típica do Executivo, portanto, absolutamente indelegável." conforme BH(1999b)
</t>
    </r>
    <r>
      <rPr>
        <b/>
        <sz val="10"/>
        <color theme="1"/>
        <rFont val="Times New Roman"/>
        <family val="1"/>
      </rPr>
      <t xml:space="preserve">jul.1999: </t>
    </r>
    <r>
      <rPr>
        <sz val="10"/>
        <color theme="1"/>
        <rFont val="Times New Roman"/>
        <family val="1"/>
      </rPr>
      <t>a CMBH derruba veto da PBH e determina que "Fica a empresa concessionária do serviço de transporte coletivo do Município obrigada a reservar os assentos da parte dianteira dos coletivos exclusivamente para idosos, pessoas portadoras de deficiência e grávidas" conforme BH(1999a; 1999b; 1999c)</t>
    </r>
    <r>
      <rPr>
        <b/>
        <sz val="10"/>
        <color theme="1"/>
        <rFont val="Times New Roman"/>
        <family val="1"/>
      </rPr>
      <t xml:space="preserve">
nov.1999: </t>
    </r>
    <r>
      <rPr>
        <sz val="10"/>
        <color theme="1"/>
        <rFont val="Times New Roman"/>
        <family val="1"/>
      </rPr>
      <t xml:space="preserve">Sindicato das empressas concessionárias de Belo Horizonte alega "indevida transferência de poder de polícia ou poder de fiscalização para motoristas e trocadores, que não podem exercer esse múnus, porque incompatível com o desempenho de suas funções ordinárias" conforme SETRANSP(1999)
</t>
    </r>
    <r>
      <rPr>
        <b/>
        <sz val="10"/>
        <color theme="1"/>
        <rFont val="Times New Roman"/>
        <family val="1"/>
      </rPr>
      <t xml:space="preserve">2008: </t>
    </r>
    <r>
      <rPr>
        <sz val="10"/>
        <color theme="1"/>
        <rFont val="Times New Roman"/>
        <family val="1"/>
      </rPr>
      <t xml:space="preserve">"Art. 9º - Em cada veículo serão definidos assentos preferenciais para USUÁRIOS: I - idosos, com idade igual ou superior a 60 (sessenta) anos; II - gestantes; III - lactantes; IV - com criança de colo; V - com deficiência; VI - com mobilidade reduzida. § 1º - Para fins do disposto no caput serão aplicados os conceitos de pessoa com deficiência e com mobilidade reduzida descritos na Lei Federal nº 10.048, de 8 de novembro de 2000 e no §1º do art. 5º do Decreto Federal nº 5.296, de 2 de dezembro de 2004 ou outros diplomas legais que os sucedam. § 2º - Os USUÁRIOS com mobilidade reduzida e gestantes, após o pagamento de tarifa e o respectivo registro por meio do giro da roleta, poderão desembarcar pela porta dianteira do veículo, observado o disposto neste REGULAMENTO DOS SERVIÇOS." conforme BH(2008)
</t>
    </r>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preferencial para pessoa com deficiência no transporte coletivo de Belo Horizonte)</t>
    </r>
  </si>
  <si>
    <r>
      <rPr>
        <b/>
        <sz val="10"/>
        <color theme="1"/>
        <rFont val="Times New Roman"/>
        <family val="1"/>
      </rPr>
      <t>1996:</t>
    </r>
    <r>
      <rPr>
        <sz val="10"/>
        <color theme="1"/>
        <rFont val="Times New Roman"/>
        <family val="1"/>
      </rPr>
      <t xml:space="preserve"> Conselho Municipal do Idoso e Comissão de Acessibilidade recomendam a implantação de assentos reservados para "pessoas com mobilidade reduzida (portadores de deficiência, obesos, grávidas, idosos" conforme OLIVEIRA(1996a) com a utilização de placa com quatro pictogramas que aludem a pessoa com perna quebrada, mulher grávida, mulher com criança de colo e idoso conforme BHTRANS(1996b)
</t>
    </r>
    <r>
      <rPr>
        <b/>
        <sz val="10"/>
        <color theme="1"/>
        <rFont val="Times New Roman"/>
        <family val="1"/>
      </rPr>
      <t xml:space="preserve">maio 1999: </t>
    </r>
    <r>
      <rPr>
        <sz val="10"/>
        <color theme="1"/>
        <rFont val="Times New Roman"/>
        <family val="1"/>
      </rPr>
      <t>PBH veta integralmente proposição de lei que determina "reservar os assentos da parte dianteira dos coletivos exclusivamente para idosos, pessoas portadoras de deficiência e grávidas" justificando que a matéria é de competência da BHTrans, que é matéria já regulamentada [lei 3.800/1994], que é subjetiva e que "[a proposição] acaba atribuindo aos funcionários de entidades extra-estatais competência para o exercício de poder de polícia. Ora, o exercício da polícia administrativa é função típica do Executivo, portanto, absolutamente indelegável." conforme BH(1999b)</t>
    </r>
    <r>
      <rPr>
        <b/>
        <sz val="10"/>
        <color theme="1"/>
        <rFont val="Times New Roman"/>
        <family val="1"/>
      </rPr>
      <t xml:space="preserve">
jul.1999:</t>
    </r>
    <r>
      <rPr>
        <sz val="10"/>
        <color theme="1"/>
        <rFont val="Times New Roman"/>
        <family val="1"/>
      </rPr>
      <t xml:space="preserve"> a CMBH derruba veto da PBH e determina que "Fica a empresa concessionária do serviço de transporte coletivo do Município obrigada a reservar os assentos da parte dianteira dos coletivos exclusivamente para idosos, pessoas portadoras de deficiência e grávidas" conforme BH(1999a; 1999b; 1999c)
</t>
    </r>
    <r>
      <rPr>
        <b/>
        <sz val="10"/>
        <color theme="1"/>
        <rFont val="Times New Roman"/>
        <family val="1"/>
      </rPr>
      <t xml:space="preserve">nov.1999: </t>
    </r>
    <r>
      <rPr>
        <sz val="10"/>
        <color theme="1"/>
        <rFont val="Times New Roman"/>
        <family val="1"/>
      </rPr>
      <t xml:space="preserve">Sindicato das empressas concessionárias de Belo Horizonte alega "indevida transferência de poder de polícia ou poder de fiscalização para motoristas e trocadores, que não podem exercer esse múnus, porque incompatível com o desempenho de suas funções ordinárias" conforme SETRANSP(1999)
</t>
    </r>
    <r>
      <rPr>
        <b/>
        <sz val="10"/>
        <color theme="1"/>
        <rFont val="Times New Roman"/>
        <family val="1"/>
      </rPr>
      <t xml:space="preserve">2000: </t>
    </r>
    <r>
      <rPr>
        <sz val="10"/>
        <color theme="1"/>
        <rFont val="Times New Roman"/>
        <family val="1"/>
      </rPr>
      <t xml:space="preserve">veja cidade/região "Brasil"
</t>
    </r>
    <r>
      <rPr>
        <b/>
        <sz val="10"/>
        <color theme="1"/>
        <rFont val="Times New Roman"/>
        <family val="1"/>
      </rPr>
      <t xml:space="preserve">2008: </t>
    </r>
    <r>
      <rPr>
        <sz val="10"/>
        <color theme="1"/>
        <rFont val="Times New Roman"/>
        <family val="1"/>
      </rPr>
      <t xml:space="preserve">"Art. 9º - Em cada veículo serão definidos assentos preferenciais para USUÁRIOS: I - idosos, com idade igual ou superior a 60 (sessenta) anos; II - gestantes; III - lactantes; IV - com criança de colo; V - com deficiência; VI - com mobilidade reduzida. § 1º - Para fins do disposto no caput serão aplicados os conceitos de pessoa com deficiência e com mobilidade reduzida descritos na Lei Federal nº 10.048, de 8 de novembro de 2000 e no §1º do art. 5º do Decreto Federal nº 5.296, de 2 de dezembro de 2004 ou outros diplomas legais que os sucedam. § 2º - Os USUÁRIOS com mobilidade reduzida e gestantes, após o pagamento de tarifa e o respectivo registro por meio do giro da roleta, poderão desembarcar pela porta dianteira do veículo, observado o disposto neste REGULAMENTO DOS SERVIÇOS." conforme BH(2008)
</t>
    </r>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preferencial para mulher (grávida/gestante/lactante) no transporte coletivo de Belo Horizonte)</t>
    </r>
  </si>
  <si>
    <r>
      <rPr>
        <b/>
        <sz val="10"/>
        <color theme="1"/>
        <rFont val="Times New Roman"/>
        <family val="1"/>
      </rPr>
      <t xml:space="preserve">1996: </t>
    </r>
    <r>
      <rPr>
        <sz val="10"/>
        <color theme="1"/>
        <rFont val="Times New Roman"/>
        <family val="1"/>
      </rPr>
      <t xml:space="preserve">Conselho Municipal do Idoso e Comissão de Acessibilidade recomendam a implantação de assentos reservados para "pessoas com mobilidade reduzida (portadores de deficiência, obesos, grávidas, idosos" conforme OLIVEIRA(1996a) com a utilização de placa com quatro pictogramas que aludem a pessoa com perna quebrada, mulher grávida, mulher com criança de colo e idoso conforme BHTRANS(1996b)
</t>
    </r>
    <r>
      <rPr>
        <b/>
        <sz val="10"/>
        <color theme="1"/>
        <rFont val="Times New Roman"/>
        <family val="1"/>
      </rPr>
      <t xml:space="preserve">maio 1999: </t>
    </r>
    <r>
      <rPr>
        <sz val="10"/>
        <color theme="1"/>
        <rFont val="Times New Roman"/>
        <family val="1"/>
      </rPr>
      <t xml:space="preserve">PBH veta integralmente proposição de lei que determina "reservar os assentos da parte dianteira dos coletivos exclusivamente para idosos, pessoas portadoras de deficiência e grávidas" justificando que a matéria é de competência da BHTrans, que é matéria já regulamentada [lei 3.800/1994], que é subjetiva e que "[a proposição] acaba atribuindo aos funcionários de entidades extra-estatais competência para o exercício de poder de polícia. Ora, o exercício da polícia administrativa é função típica do Executivo, portanto, absolutamente indelegável." conforme BH(1999b)
</t>
    </r>
    <r>
      <rPr>
        <b/>
        <sz val="10"/>
        <color theme="1"/>
        <rFont val="Times New Roman"/>
        <family val="1"/>
      </rPr>
      <t xml:space="preserve">jul.1999: </t>
    </r>
    <r>
      <rPr>
        <sz val="10"/>
        <color theme="1"/>
        <rFont val="Times New Roman"/>
        <family val="1"/>
      </rPr>
      <t>a CMBH derruba veto da PBH e determina que"Fica a empresa concessionária do serviço de transporte coletivo do Município obrigada a reservar os assentos da parte dianteira dos coletivos exclusivamente para idosos, pessoas portadoras de deficiência e grávidas" conforme BH(1999a; 1999b; 1999c)</t>
    </r>
    <r>
      <rPr>
        <b/>
        <sz val="10"/>
        <color theme="1"/>
        <rFont val="Times New Roman"/>
        <family val="1"/>
      </rPr>
      <t xml:space="preserve">
nov.1999: </t>
    </r>
    <r>
      <rPr>
        <sz val="10"/>
        <color theme="1"/>
        <rFont val="Times New Roman"/>
        <family val="1"/>
      </rPr>
      <t xml:space="preserve">Sindicato das empressas concessionárias de Belo Horizonte alega "indevida transferência de poder de polícia ou poder de fiscalização para motoristas e trocadores, que não podem exercer esse múnus, porque incompatível com o desempenho de suas funções ordinárias" conforme SETRANSP(1999)
</t>
    </r>
    <r>
      <rPr>
        <b/>
        <sz val="10"/>
        <color theme="1"/>
        <rFont val="Times New Roman"/>
        <family val="1"/>
      </rPr>
      <t>2000:</t>
    </r>
    <r>
      <rPr>
        <sz val="10"/>
        <color theme="1"/>
        <rFont val="Times New Roman"/>
        <family val="1"/>
      </rPr>
      <t xml:space="preserve"> veja cidade/região "Brasil"
</t>
    </r>
    <r>
      <rPr>
        <b/>
        <sz val="10"/>
        <color theme="1"/>
        <rFont val="Times New Roman"/>
        <family val="1"/>
      </rPr>
      <t>2003:</t>
    </r>
    <r>
      <rPr>
        <sz val="10"/>
        <color theme="1"/>
        <rFont val="Times New Roman"/>
        <family val="1"/>
      </rPr>
      <t xml:space="preserve"> veja cidade/região "Brasil"
</t>
    </r>
    <r>
      <rPr>
        <b/>
        <sz val="10"/>
        <color theme="1"/>
        <rFont val="Times New Roman"/>
        <family val="1"/>
      </rPr>
      <t xml:space="preserve">2008: </t>
    </r>
    <r>
      <rPr>
        <sz val="10"/>
        <color theme="1"/>
        <rFont val="Times New Roman"/>
        <family val="1"/>
      </rPr>
      <t xml:space="preserve">"Art. 9º - Em cada veículo serão definidos assentos preferenciais para USUÁRIOS: I - idosos, com idade igual ou superior a 60 (sessenta) anos; II - gestantes; III - lactantes; IV - com criança de colo; V - com deficiência; VI - com mobilidade reduzida. § 1º - Para fins do disposto no caput serão aplicados os conceitos de pessoa com deficiência e com mobilidade reduzida descritos na Lei Federal nº 10.048, de 8 de novembro de 2000 e no §1º do art. 5º do Decreto Federal nº 5.296, de 2 de dezembro de 2004 ou outros diplomas legais que os sucedam. § 2º - Os USUÁRIOS com mobilidade reduzida e gestantes, após o pagamento de tarifa e o respectivo registro por meio do giro da roleta, poderão desembarcar pela porta dianteira do veículo, observado o disposto neste REGULAMENTO DOS SERVIÇOS." conforme BH(2008)
</t>
    </r>
    <r>
      <rPr>
        <b/>
        <sz val="10"/>
        <color theme="1"/>
        <rFont val="Times New Roman"/>
        <family val="1"/>
      </rPr>
      <t xml:space="preserve">obs.: </t>
    </r>
    <r>
      <rPr>
        <sz val="10"/>
        <color theme="1"/>
        <rFont val="Times New Roman"/>
        <family val="1"/>
      </rPr>
      <t>esta é uma tentativa de sistematização do SisMob-BH iniciada em maio/2016 (aqui será publicado tudo que se for encontrando sobre RPI de assento preferencial para idoso no transporte coletivo de Belo Horizonte)</t>
    </r>
  </si>
  <si>
    <r>
      <rPr>
        <b/>
        <sz val="12"/>
        <color theme="1"/>
        <rFont val="Times New Roman"/>
        <family val="1"/>
      </rPr>
      <t>PROGRAMA(2016b):</t>
    </r>
    <r>
      <rPr>
        <sz val="12"/>
        <color theme="1"/>
        <rFont val="Times New Roman"/>
        <family val="1"/>
      </rPr>
      <t xml:space="preserve"> PROGRAMA CIDADES SUSTENTÁVEIS. </t>
    </r>
    <r>
      <rPr>
        <i/>
        <sz val="12"/>
        <color theme="1"/>
        <rFont val="Times New Roman"/>
        <family val="1"/>
      </rPr>
      <t>Indicadores. Frota de ônibus com acessibilidade para pessoas com deficiência - Porto Alegre, RS</t>
    </r>
    <r>
      <rPr>
        <sz val="12"/>
        <color theme="1"/>
        <rFont val="Times New Roman"/>
        <family val="1"/>
      </rPr>
      <t>. Disponível em [extraído de] : &lt;http://indicadores.cidadessustentaveis.org.br/br/RS/porto-alegre/frota-de-onibus-com-acessibilidade-para-pessoas-com-deficiencia&gt;. Acesso em: 25 maio 2016.</t>
    </r>
  </si>
  <si>
    <r>
      <t xml:space="preserve">frota total em n.º de ônibus do transporte coletivo de Porto Alegre do serviço gerenciado pela Empresa Pública de Transporte e Circulação
</t>
    </r>
    <r>
      <rPr>
        <b/>
        <sz val="10"/>
        <rFont val="Times New Roman"/>
        <family val="1"/>
      </rPr>
      <t xml:space="preserve">obs.: </t>
    </r>
    <r>
      <rPr>
        <sz val="10"/>
        <rFont val="Times New Roman"/>
        <family val="1"/>
      </rPr>
      <t>resultados de 2001 a 2015 conforme PROGRAMA(2016b)</t>
    </r>
  </si>
  <si>
    <r>
      <t xml:space="preserve">frota em n.º de ônibus do transporte coletivo de Porto Alegre com alguma facilidade para o embarque/desembarque de pessoas com mobilidade física reduzida mesmo que essa facilidade não permita classificar a viagem ofertada como acessível
</t>
    </r>
    <r>
      <rPr>
        <b/>
        <sz val="10"/>
        <rFont val="Times New Roman"/>
        <family val="1"/>
      </rPr>
      <t xml:space="preserve">obs.1: </t>
    </r>
    <r>
      <rPr>
        <sz val="10"/>
        <rFont val="Times New Roman"/>
        <family val="1"/>
      </rPr>
      <t xml:space="preserve">acesse as definições de "acessível, ônibus" e "alguma facilidade"
</t>
    </r>
    <r>
      <rPr>
        <b/>
        <sz val="10"/>
        <rFont val="Times New Roman"/>
        <family val="1"/>
      </rPr>
      <t xml:space="preserve">obs.2: </t>
    </r>
    <r>
      <rPr>
        <sz val="10"/>
        <rFont val="Times New Roman"/>
        <family val="1"/>
      </rPr>
      <t xml:space="preserve">esse indicador é denominado "número de ônibus com acessibilidade para pessoas com deficiência" pelo Programa Cidades Sustentáveis conforme PROGRAMA(2016b)
</t>
    </r>
    <r>
      <rPr>
        <b/>
        <sz val="10"/>
        <rFont val="Times New Roman"/>
        <family val="1"/>
      </rPr>
      <t xml:space="preserve">obs.3: </t>
    </r>
    <r>
      <rPr>
        <sz val="10"/>
        <rFont val="Times New Roman"/>
        <family val="1"/>
      </rPr>
      <t>resultados de 2001 a 2015 conforme PROGRAMA(2016b)</t>
    </r>
  </si>
  <si>
    <t>(n.º F tc fc / F tc) x 100</t>
  </si>
  <si>
    <t>Porto Alegre 2015</t>
  </si>
  <si>
    <r>
      <rPr>
        <b/>
        <sz val="12"/>
        <rFont val="Times New Roman"/>
        <family val="1"/>
      </rPr>
      <t>BH(1998a):</t>
    </r>
    <r>
      <rPr>
        <sz val="12"/>
        <rFont val="Times New Roman"/>
        <family val="1"/>
      </rPr>
      <t xml:space="preserve"> BELO HORIZONTE. Câmara Municipal. </t>
    </r>
    <r>
      <rPr>
        <i/>
        <sz val="12"/>
        <rFont val="Times New Roman"/>
        <family val="1"/>
      </rPr>
      <t>Indicação n.º 1093/98, de 26 de junho de 1998</t>
    </r>
    <r>
      <rPr>
        <sz val="12"/>
        <rFont val="Times New Roman"/>
        <family val="1"/>
      </rPr>
      <t>. [à BHTrans, sobre o cumprimento da Lei n.º 5.636/89]</t>
    </r>
  </si>
  <si>
    <r>
      <rPr>
        <b/>
        <sz val="12"/>
        <rFont val="Times New Roman"/>
        <family val="1"/>
      </rPr>
      <t xml:space="preserve">OLIVEIRA(1998b): </t>
    </r>
    <r>
      <rPr>
        <sz val="12"/>
        <rFont val="Times New Roman"/>
        <family val="1"/>
      </rPr>
      <t xml:space="preserve">OLIVEIRA, Marcos Fontoura de. </t>
    </r>
    <r>
      <rPr>
        <i/>
        <sz val="12"/>
        <rFont val="Times New Roman"/>
        <family val="1"/>
      </rPr>
      <t>Parecer Técnico ATEC, de 21 de julho de 1998 [assunto: Indicação n.º 1093/98, de 26 de junho de 1998...]</t>
    </r>
    <r>
      <rPr>
        <sz val="12"/>
        <rFont val="Times New Roman"/>
        <family val="1"/>
      </rPr>
      <t>. Belo Horizonte: 21 jul. 1998.</t>
    </r>
  </si>
  <si>
    <r>
      <t xml:space="preserve">frota em n.º de veículos do transporte especial segregado de Belo Horizonte, denominado "linha 320 - Escola Estadual Amaro Neves"
</t>
    </r>
    <r>
      <rPr>
        <b/>
        <sz val="10"/>
        <rFont val="Times New Roman"/>
        <family val="1"/>
      </rPr>
      <t xml:space="preserve">obs.1: </t>
    </r>
    <r>
      <rPr>
        <sz val="10"/>
        <rFont val="Times New Roman"/>
        <family val="1"/>
      </rPr>
      <t>consulte</t>
    </r>
    <r>
      <rPr>
        <b/>
        <sz val="10"/>
        <rFont val="Times New Roman"/>
        <family val="1"/>
      </rPr>
      <t xml:space="preserve"> </t>
    </r>
    <r>
      <rPr>
        <sz val="10"/>
        <rFont val="Times New Roman"/>
        <family val="1"/>
      </rPr>
      <t xml:space="preserve">em "F tc histórico" a proposta da BHTrans apresentada ao MP-MG em jun.2002
</t>
    </r>
    <r>
      <rPr>
        <b/>
        <sz val="10"/>
        <rFont val="Times New Roman"/>
        <family val="1"/>
      </rPr>
      <t xml:space="preserve">obs.2: </t>
    </r>
    <r>
      <rPr>
        <sz val="10"/>
        <rFont val="Times New Roman"/>
        <family val="1"/>
      </rPr>
      <t>"Para aumentar a acessibilidade, tanto física quanto social, ao sistema de transporte púlico, a BHTRANS empreendeu ações de diversos tipos voltadas a este objetivo, conforme os exemplos que destacamos abaixo: [...] Criação da linha 320 (Escola Estadual Amaro Neves), para o atendimento de crianças portadoras de deficiência, no Barreiro" conforme BHTRANS(2000a, p.21)</t>
    </r>
  </si>
  <si>
    <r>
      <rPr>
        <b/>
        <sz val="12"/>
        <rFont val="Times New Roman"/>
        <family val="1"/>
      </rPr>
      <t>MG(2013):</t>
    </r>
    <r>
      <rPr>
        <sz val="12"/>
        <rFont val="Times New Roman"/>
        <family val="1"/>
      </rPr>
      <t xml:space="preserve"> MINAS GERAIS. Departamento de Trânsito de Minas Gerais - Detran-MG. Setor de Estatística. </t>
    </r>
    <r>
      <rPr>
        <i/>
        <sz val="12"/>
        <rFont val="Times New Roman"/>
        <family val="1"/>
      </rPr>
      <t>Frota circulante em Belo Horizonte; Frota circulante de Belo Horizonte</t>
    </r>
    <r>
      <rPr>
        <sz val="12"/>
        <rFont val="Times New Roman"/>
        <family val="1"/>
      </rPr>
      <t>. Belo Horizonte, 2013. (planilhas anexas a e-mail do Setor de Estatística do Detran-MG ao SisMob-BH em 22/03/2013 e 30/04/2013 com frotas estratificadas anuais de 2008 a 2012).</t>
    </r>
  </si>
  <si>
    <r>
      <rPr>
        <b/>
        <sz val="12"/>
        <color theme="1"/>
        <rFont val="Times New Roman"/>
        <family val="1"/>
      </rPr>
      <t>MG(2002a):</t>
    </r>
    <r>
      <rPr>
        <sz val="12"/>
        <color theme="1"/>
        <rFont val="Times New Roman"/>
        <family val="1"/>
      </rPr>
      <t xml:space="preserve"> MINAS GERAIS. Ministério Público do Estado de Minas Gerais. Promotoria de Justiça de Defesa dos Direitos das Pessoas Portadoras de Deficiência e Idosos.  </t>
    </r>
    <r>
      <rPr>
        <i/>
        <sz val="12"/>
        <color theme="1"/>
        <rFont val="Times New Roman"/>
        <family val="1"/>
      </rPr>
      <t>Inquérito Civil n.º 004/2000 - Relatório sobre proposta da BHTrans para o transporte público acessível em Belo Horizonte</t>
    </r>
    <r>
      <rPr>
        <sz val="12"/>
        <color theme="1"/>
        <rFont val="Times New Roman"/>
        <family val="1"/>
      </rPr>
      <t>. Belo Horizonte, 10 jun. 2002. [3p.]</t>
    </r>
  </si>
  <si>
    <r>
      <rPr>
        <b/>
        <sz val="12"/>
        <color theme="1"/>
        <rFont val="Times New Roman"/>
        <family val="1"/>
      </rPr>
      <t>MG(2003a):</t>
    </r>
    <r>
      <rPr>
        <sz val="12"/>
        <color theme="1"/>
        <rFont val="Times New Roman"/>
        <family val="1"/>
      </rPr>
      <t xml:space="preserve"> MINAS GERAIS. Ministério Público do Estado de Minas Gerais. Promotoria de Justiça de Defesa dos Direitos das Pessoas Portadoras de Deficiência e Idosos. </t>
    </r>
    <r>
      <rPr>
        <i/>
        <sz val="12"/>
        <color theme="1"/>
        <rFont val="Times New Roman"/>
        <family val="1"/>
      </rPr>
      <t>Termo de Ajustamento de Conduta n.º 015/2003, de 8 maio 2003 [Inquérito Civil n.º 004/2000]</t>
    </r>
    <r>
      <rPr>
        <sz val="12"/>
        <color theme="1"/>
        <rFont val="Times New Roman"/>
        <family val="1"/>
      </rPr>
      <t>. Belo Horizonte, 8 maio 2003. [4p.]</t>
    </r>
  </si>
  <si>
    <r>
      <rPr>
        <b/>
        <sz val="12"/>
        <color theme="1"/>
        <rFont val="Times New Roman"/>
        <family val="1"/>
      </rPr>
      <t>MG(2003b):</t>
    </r>
    <r>
      <rPr>
        <sz val="12"/>
        <color theme="1"/>
        <rFont val="Times New Roman"/>
        <family val="1"/>
      </rPr>
      <t xml:space="preserve"> MINAS GERAIS. Ministério Público do Estado de Minas Gerais. Promotoria de Justiça de Defesa dos Direitos das Pessoas Portadoras de Deficiência e Idosos. </t>
    </r>
    <r>
      <rPr>
        <i/>
        <sz val="12"/>
        <color theme="1"/>
        <rFont val="Times New Roman"/>
        <family val="1"/>
      </rPr>
      <t>Termo de declaração [Inquérito Civil n.º 004/2000]</t>
    </r>
    <r>
      <rPr>
        <sz val="12"/>
        <color theme="1"/>
        <rFont val="Times New Roman"/>
        <family val="1"/>
      </rPr>
      <t>. Belo Horizonte, 12 mar. 2003. [1p.]</t>
    </r>
  </si>
  <si>
    <r>
      <t>emissão de GEE no subsetor aéreo (em toneladas de CO</t>
    </r>
    <r>
      <rPr>
        <vertAlign val="subscript"/>
        <sz val="10"/>
        <rFont val="Times New Roman"/>
        <family val="1"/>
      </rPr>
      <t>2</t>
    </r>
    <r>
      <rPr>
        <sz val="10"/>
        <rFont val="Times New Roman"/>
        <family val="1"/>
      </rPr>
      <t>e)
obs.1: esse resultado é proveniente da soma das emissões dos precursores "gasolina de aviação" e "querosene de aviação" (independente do escopo) contidas nas fontes consultadas, ou seja, BH(2009, p.69) para 2000 a 2007; BH(2012a, p.55) para 2008 a 2010; BH(2015b, para 2011 a 2013)</t>
    </r>
  </si>
  <si>
    <t>((IEAD tcc xF tcc) + (IEAD ts x F tcs)) / F tc</t>
  </si>
  <si>
    <r>
      <t xml:space="preserve">1993 a 1995: registro na fonte
1996 a 2008: fórmula
2009 a 2014: registro na fonte
2015: </t>
    </r>
    <r>
      <rPr>
        <sz val="10"/>
        <rFont val="Calibri"/>
        <family val="2"/>
      </rPr>
      <t>∑</t>
    </r>
    <r>
      <rPr>
        <sz val="10"/>
        <rFont val="Times New Roman"/>
        <family val="1"/>
      </rPr>
      <t>F tcc sfc (2005 a 2008)</t>
    </r>
  </si>
  <si>
    <r>
      <rPr>
        <b/>
        <sz val="12"/>
        <color theme="1"/>
        <rFont val="Times New Roman"/>
        <family val="1"/>
      </rPr>
      <t xml:space="preserve">BHTRANS(2002b): </t>
    </r>
    <r>
      <rPr>
        <sz val="12"/>
        <color theme="1"/>
        <rFont val="Times New Roman"/>
        <family val="1"/>
      </rPr>
      <t xml:space="preserve">EMPRESA DE TRANSPORTES E TRÂNSITO DE BELO HORIZONTE S.A - BHTRANS. Portaria DDI n.º 065/2002, de 11 de setembro de 2002. Altera  preços de ônibus para cálculo de custos do sistema de transporte coletivo. </t>
    </r>
    <r>
      <rPr>
        <i/>
        <sz val="12"/>
        <color theme="1"/>
        <rFont val="Times New Roman"/>
        <family val="1"/>
      </rPr>
      <t>Diário Oficial do Município - DOM</t>
    </r>
    <r>
      <rPr>
        <sz val="12"/>
        <color theme="1"/>
        <rFont val="Times New Roman"/>
        <family val="1"/>
      </rPr>
      <t>, Belo Horizonte, Ano VIII - Edição n.º 1705, 13 set. 2002.  Poder Executivo. Secretaria Municipal da Coordenação de Política Urbana e Ambiental - BHTRANS. Disponível em: &lt;http://portal6.pbh.gov.br/dom/iniciaEdicao.do?method=DetalheArtigo&amp;pk=899638&gt;. Acesso em: 30 maio 2016.</t>
    </r>
  </si>
  <si>
    <t>F tc
(histórico anos 1980)</t>
  </si>
  <si>
    <r>
      <rPr>
        <b/>
        <sz val="12"/>
        <color theme="1"/>
        <rFont val="Times New Roman"/>
        <family val="1"/>
      </rPr>
      <t xml:space="preserve">BHTRANS(2002c): </t>
    </r>
    <r>
      <rPr>
        <sz val="12"/>
        <color theme="1"/>
        <rFont val="Times New Roman"/>
        <family val="1"/>
      </rPr>
      <t xml:space="preserve">EMPRESA DE TRANSPORTES E TRÂNSITO DE BELO HORIZONTE S.A - BHTRANS. Portaria DPR n.º 067/2002, de 13 de setembro de 2002. Revoga Portaria DDI Nº 065/2002 de 11/09/2002. </t>
    </r>
    <r>
      <rPr>
        <i/>
        <sz val="12"/>
        <color theme="1"/>
        <rFont val="Times New Roman"/>
        <family val="1"/>
      </rPr>
      <t>Diário Oficial do Município - DOM</t>
    </r>
    <r>
      <rPr>
        <sz val="12"/>
        <color theme="1"/>
        <rFont val="Times New Roman"/>
        <family val="1"/>
      </rPr>
      <t>, Belo Horizonte, Ano VIII - Edição N.: 1706, 14 set. 2002. Poder Executivo. Secretaria Municipal da Coordenação de Política Urbana e Ambiental - BHTRANS.Disponível em: &lt;http://portal6.pbh.gov.br/dom/iniciaEdicao.do?method=DetalheArtigo&amp;pk=899672&gt;. Acesso em: 30 maio 2016.</t>
    </r>
  </si>
  <si>
    <r>
      <rPr>
        <b/>
        <sz val="12"/>
        <color theme="1"/>
        <rFont val="Times New Roman"/>
        <family val="1"/>
      </rPr>
      <t xml:space="preserve">BHTRANS(2003b): </t>
    </r>
    <r>
      <rPr>
        <sz val="12"/>
        <color theme="1"/>
        <rFont val="Times New Roman"/>
        <family val="1"/>
      </rPr>
      <t xml:space="preserve">EMPRESA DE TRANSPORTES E TRÂNSITO DE BELO HORIZONTE S.A - BHTRANS. </t>
    </r>
    <r>
      <rPr>
        <i/>
        <sz val="12"/>
        <color theme="1"/>
        <rFont val="Times New Roman"/>
        <family val="1"/>
      </rPr>
      <t>OF.DPR n.º 266/03, de 11 de abril de 2003</t>
    </r>
    <r>
      <rPr>
        <sz val="12"/>
        <color theme="1"/>
        <rFont val="Times New Roman"/>
        <family val="1"/>
      </rPr>
      <t xml:space="preserve"> [respondendo ao MP-MG com base no Termo de Declaração de 12/03/2003 sobre renovação de frota]. Belo Horizonte, 11 abr. 2003</t>
    </r>
  </si>
  <si>
    <r>
      <rPr>
        <b/>
        <sz val="12"/>
        <color theme="1"/>
        <rFont val="Times New Roman"/>
        <family val="1"/>
      </rPr>
      <t xml:space="preserve">CENA(1999): </t>
    </r>
    <r>
      <rPr>
        <sz val="12"/>
        <color theme="1"/>
        <rFont val="Times New Roman"/>
        <family val="1"/>
      </rPr>
      <t xml:space="preserve">CENA URBANA. </t>
    </r>
    <r>
      <rPr>
        <i/>
        <sz val="12"/>
        <color theme="1"/>
        <rFont val="Times New Roman"/>
        <family val="1"/>
      </rPr>
      <t>Hoje em Dia</t>
    </r>
    <r>
      <rPr>
        <sz val="12"/>
        <color theme="1"/>
        <rFont val="Times New Roman"/>
        <family val="1"/>
      </rPr>
      <t>, Belo Horizonte, 19 mar. 1999. Caderno Minas, p.2.</t>
    </r>
  </si>
  <si>
    <r>
      <rPr>
        <b/>
        <sz val="12"/>
        <rFont val="Times New Roman"/>
        <family val="1"/>
      </rPr>
      <t>DIAS(1999a):</t>
    </r>
    <r>
      <rPr>
        <sz val="12"/>
        <rFont val="Times New Roman"/>
        <family val="1"/>
      </rPr>
      <t xml:space="preserve"> DIAS, João Luiz da Silva. </t>
    </r>
    <r>
      <rPr>
        <i/>
        <sz val="12"/>
        <rFont val="Times New Roman"/>
        <family val="1"/>
      </rPr>
      <t>Acessibilidade ambiental no transporte público por ônibus.</t>
    </r>
    <r>
      <rPr>
        <sz val="12"/>
        <rFont val="Times New Roman"/>
        <family val="1"/>
      </rPr>
      <t xml:space="preserve"> Belo Horizonte, [1999]. [8p.] (mimeo)</t>
    </r>
  </si>
  <si>
    <r>
      <rPr>
        <b/>
        <sz val="12"/>
        <rFont val="Times New Roman"/>
        <family val="1"/>
      </rPr>
      <t>DIAS(1998a):</t>
    </r>
    <r>
      <rPr>
        <sz val="12"/>
        <rFont val="Times New Roman"/>
        <family val="1"/>
      </rPr>
      <t xml:space="preserve"> DIAS, João Luiz da Silva. </t>
    </r>
    <r>
      <rPr>
        <i/>
        <sz val="12"/>
        <rFont val="Times New Roman"/>
        <family val="1"/>
      </rPr>
      <t>Eliminação do obstáculo nos embarque/desembarque dos ônibus.</t>
    </r>
    <r>
      <rPr>
        <sz val="12"/>
        <rFont val="Times New Roman"/>
        <family val="1"/>
      </rPr>
      <t xml:space="preserve"> Belo Horizonte, 30 abr. 1998. 7p. (mimeo)</t>
    </r>
  </si>
  <si>
    <r>
      <rPr>
        <b/>
        <sz val="12"/>
        <color theme="1"/>
        <rFont val="Times New Roman"/>
        <family val="1"/>
      </rPr>
      <t>OLIVEIRA(2002b):</t>
    </r>
    <r>
      <rPr>
        <sz val="12"/>
        <color theme="1"/>
        <rFont val="Times New Roman"/>
        <family val="1"/>
      </rPr>
      <t xml:space="preserve"> OLIVEIRA, Marcos Fontoura de. </t>
    </r>
    <r>
      <rPr>
        <i/>
        <sz val="12"/>
        <color theme="1"/>
        <rFont val="Times New Roman"/>
        <family val="1"/>
      </rPr>
      <t>Parecer Técnico DDI n.º 13/2002, de 1º de agosto de 2002 [sobre implantação de elevadores em micro-ônibus]</t>
    </r>
    <r>
      <rPr>
        <sz val="12"/>
        <color theme="1"/>
        <rFont val="Times New Roman"/>
        <family val="1"/>
      </rPr>
      <t>. Belo Horizonte: BHTrans, 1º ago. 2002. [5p.]</t>
    </r>
  </si>
  <si>
    <r>
      <rPr>
        <b/>
        <sz val="12"/>
        <color theme="1"/>
        <rFont val="Times New Roman"/>
        <family val="1"/>
      </rPr>
      <t>WRIGHT(2001a):</t>
    </r>
    <r>
      <rPr>
        <sz val="12"/>
        <color theme="1"/>
        <rFont val="Times New Roman"/>
        <family val="1"/>
      </rPr>
      <t xml:space="preserve"> WRIGHT, Charles Lloyd (Ed.). </t>
    </r>
    <r>
      <rPr>
        <i/>
        <sz val="12"/>
        <color theme="1"/>
        <rFont val="Times New Roman"/>
        <family val="1"/>
      </rPr>
      <t>Facilitando el transporte para todos</t>
    </r>
    <r>
      <rPr>
        <sz val="12"/>
        <color theme="1"/>
        <rFont val="Times New Roman"/>
        <family val="1"/>
      </rPr>
      <t>. New York: Banco Interamericano de Desarrollo - BID, 2001. 61p. Disponível em: &lt;https://publications.iadb.org/bitstream/handle/11319/272/Facilitando%20el%20transporte%20para%20todos.pdf?sequence=1&gt;. Acesso em: 31 maio 2016.</t>
    </r>
  </si>
  <si>
    <r>
      <rPr>
        <b/>
        <sz val="12"/>
        <color theme="1"/>
        <rFont val="Times New Roman"/>
        <family val="1"/>
      </rPr>
      <t>BH(2008a):</t>
    </r>
    <r>
      <rPr>
        <sz val="12"/>
        <color theme="1"/>
        <rFont val="Times New Roman"/>
        <family val="1"/>
      </rPr>
      <t xml:space="preserve"> BELO HORIZONTE. Prefeitura. Decreto n.º 13.384 de 12 de novembro de 2008. Regulamenta os serviços de transporte público coletivo e convencional de passageiros por ônibus do Município de Belo Horizonte.  </t>
    </r>
    <r>
      <rPr>
        <i/>
        <sz val="12"/>
        <color theme="1"/>
        <rFont val="Times New Roman"/>
        <family val="1"/>
      </rPr>
      <t>Diário Oficial do Município - DOM</t>
    </r>
    <r>
      <rPr>
        <sz val="12"/>
        <color theme="1"/>
        <rFont val="Times New Roman"/>
        <family val="1"/>
      </rPr>
      <t>, Belo Horizonte, Ano XIV - Edição n.º 3220, 14 nov. 2008. Poder Executivo. Secretaria Municipal de Governo. Disponível em: &lt;http://portal6.pbh.gov.br/dom/iniciaEdicao.do?method=DetalheArtigo&amp;pk=986809&gt;. Acesso em: 24 maio 2016.</t>
    </r>
  </si>
  <si>
    <r>
      <rPr>
        <b/>
        <sz val="12"/>
        <color theme="1"/>
        <rFont val="Times New Roman"/>
        <family val="1"/>
      </rPr>
      <t>MG(2002b):</t>
    </r>
    <r>
      <rPr>
        <sz val="12"/>
        <color theme="1"/>
        <rFont val="Times New Roman"/>
        <family val="1"/>
      </rPr>
      <t xml:space="preserve"> MINAS GERAIS. Ministério Público do Estado de Minas Gerais. Promotoria de Justiça de Defesa dos Direitos das Pessoas Portadoras de Deficiência e Idosos. </t>
    </r>
    <r>
      <rPr>
        <i/>
        <sz val="12"/>
        <color theme="1"/>
        <rFont val="Times New Roman"/>
        <family val="1"/>
      </rPr>
      <t>Termo de declaração [Inquérito Civil n.º 004/2000]</t>
    </r>
    <r>
      <rPr>
        <sz val="12"/>
        <color theme="1"/>
        <rFont val="Times New Roman"/>
        <family val="1"/>
      </rPr>
      <t>. Belo Horizonte, 11 jun. 2002. [2p.]</t>
    </r>
  </si>
  <si>
    <t>F acc</t>
  </si>
  <si>
    <t>F acc em relação a F</t>
  </si>
  <si>
    <t>F acc por habitante</t>
  </si>
  <si>
    <t>F cma</t>
  </si>
  <si>
    <t>F cme</t>
  </si>
  <si>
    <t>F mmc</t>
  </si>
  <si>
    <t>F mmc em relação a F</t>
  </si>
  <si>
    <t>F mmc por habitante</t>
  </si>
  <si>
    <t>F mne</t>
  </si>
  <si>
    <t>F mta</t>
  </si>
  <si>
    <t>F mtr</t>
  </si>
  <si>
    <t>acesse "alguma facilidade"</t>
  </si>
  <si>
    <r>
      <rPr>
        <b/>
        <sz val="12"/>
        <color theme="1"/>
        <rFont val="Times New Roman"/>
        <family val="1"/>
      </rPr>
      <t xml:space="preserve">URBS(2015c): </t>
    </r>
    <r>
      <rPr>
        <sz val="12"/>
        <color theme="1"/>
        <rFont val="Times New Roman"/>
        <family val="1"/>
      </rPr>
      <t xml:space="preserve">URBANIZAÇÃO DE CURITIBA - URBS. </t>
    </r>
    <r>
      <rPr>
        <i/>
        <sz val="12"/>
        <color theme="1"/>
        <rFont val="Times New Roman"/>
        <family val="1"/>
      </rPr>
      <t xml:space="preserve">Acessibilidade - Acessibilidade no transporte coletivo. </t>
    </r>
    <r>
      <rPr>
        <sz val="12"/>
        <color theme="1"/>
        <rFont val="Times New Roman"/>
        <family val="1"/>
      </rPr>
      <t>Disponível em: &lt;http://www.urbs.curitiba.pr.gov.br/acessibilidade&gt;. Acesso em: 30 maio 2015.</t>
    </r>
  </si>
  <si>
    <t>acesse "ônibus acessível"</t>
  </si>
  <si>
    <r>
      <rPr>
        <b/>
        <sz val="12"/>
        <color theme="1"/>
        <rFont val="Times New Roman"/>
        <family val="1"/>
      </rPr>
      <t xml:space="preserve">URBS(2016d1/d2): </t>
    </r>
    <r>
      <rPr>
        <sz val="12"/>
        <color theme="1"/>
        <rFont val="Times New Roman"/>
        <family val="1"/>
      </rPr>
      <t xml:space="preserve">URBANIZAÇÃO DE CURITIBA - URBS. Unidade de Obras. </t>
    </r>
    <r>
      <rPr>
        <i/>
        <sz val="12"/>
        <color theme="1"/>
        <rFont val="Times New Roman"/>
        <family val="1"/>
      </rPr>
      <t>Respostas a perguntas pontuais formuladas pelo SisMob-BH</t>
    </r>
    <r>
      <rPr>
        <sz val="12"/>
        <color theme="1"/>
        <rFont val="Times New Roman"/>
        <family val="1"/>
      </rPr>
      <t>. Curitiba: URBS, 28 abr. 2016. [e-mail diversos trocados entre Urbs e SisMob-BH, incluindo planilha anexa, no período entre 20/04/2016 e 01/06/2016, tomando como ponto de partida perguntas formuladas pelo SisMob-BH em 20/04/2016 à Coordenação de Acessibilidade da Secretaria Especial dos Direitos da Pessoa com Deficiência da Prefeitura Municipal de Curitiba]</t>
    </r>
  </si>
  <si>
    <t>com alguma facilidade (usado como complemento de diversos indicadores "F tc" / "F tcc" / "F tcs")</t>
  </si>
  <si>
    <r>
      <t xml:space="preserve">"Acessibilidade total [no BRT] significa que todas as estações, veículos e bloqueios de reconhecimento de bilhetes do corredor devem ser acessíveis a usuários em cadeiras de rodas. O corredor também tem de incluir rebaixamento de calçadas em todas as interseções mais próximas, letreiros em Braille em todas as estações e Indicadores Táteis de Piso no caminho para todas as estações." conforme ITDP(2014b, p.44)
</t>
    </r>
    <r>
      <rPr>
        <b/>
        <sz val="10"/>
        <rFont val="Times New Roman"/>
        <family val="1"/>
      </rPr>
      <t>obs.:</t>
    </r>
    <r>
      <rPr>
        <sz val="10"/>
        <rFont val="Times New Roman"/>
        <family val="1"/>
      </rPr>
      <t xml:space="preserve"> convém destacar que este conceito de "total" não abrange a diversidade humana e precisa ser revisto para não ser excludente</t>
    </r>
  </si>
  <si>
    <t>acessibilidade ambiental</t>
  </si>
  <si>
    <r>
      <t xml:space="preserve">escala (de 1 a 10) desenvolvida pelo SisMob-BH em 02/12/2015 para quantificar a acessibilidade física da frota de ônibus urbanos de uma cidade/região, especificamente para as pessoas com dificuldade motora, para embarcar/desembarcar de ônibus urbanos, permitindo comparar quantitativamente sistemas diferentes
</t>
    </r>
    <r>
      <rPr>
        <b/>
        <sz val="10"/>
        <rFont val="Times New Roman"/>
        <family val="1"/>
      </rPr>
      <t>obs.1:</t>
    </r>
    <r>
      <rPr>
        <sz val="10"/>
        <rFont val="Times New Roman"/>
        <family val="1"/>
      </rPr>
      <t xml:space="preserve"> esta escala busca seguir os princípios da "escala de qualidade do design inclusivo" conforme GUIMARÃES, 1999, p.125)
</t>
    </r>
    <r>
      <rPr>
        <b/>
        <sz val="10"/>
        <rFont val="Times New Roman"/>
        <family val="1"/>
      </rPr>
      <t xml:space="preserve">obs.2: </t>
    </r>
    <r>
      <rPr>
        <sz val="10"/>
        <rFont val="Times New Roman"/>
        <family val="1"/>
      </rPr>
      <t xml:space="preserve">acesse "acessibilidade em ônibus urbano (peso 1 a 10 da escala")
</t>
    </r>
    <r>
      <rPr>
        <b/>
        <sz val="10"/>
        <rFont val="Times New Roman"/>
        <family val="1"/>
      </rPr>
      <t>obs.3:</t>
    </r>
    <r>
      <rPr>
        <sz val="10"/>
        <rFont val="Times New Roman"/>
        <family val="1"/>
      </rPr>
      <t xml:space="preserve"> acesse informações quantitativas relativas ao indicador "IAED" e informações qualitativas/quantitativas relativas ao indicador "Ftc" das cidades/regiões já incorporadas ao SisMob-BH</t>
    </r>
  </si>
  <si>
    <t>acesse "desenho universal"</t>
  </si>
  <si>
    <t>percentual da frota de ônibus do transporte coletivo de Contagem com embarque/desembarque exclusivamente em nível em todos os pontos de parada</t>
  </si>
  <si>
    <r>
      <t xml:space="preserve">frota em n.º de ônibus do transporte coletivo de Curitiba com embarque/desembarque exclusivamente em nível em todos os pontos de parada
</t>
    </r>
    <r>
      <rPr>
        <b/>
        <sz val="10"/>
        <rFont val="Times New Roman"/>
        <family val="1"/>
      </rPr>
      <t xml:space="preserve">obs.: </t>
    </r>
    <r>
      <rPr>
        <sz val="10"/>
        <rFont val="Times New Roman"/>
        <family val="1"/>
      </rPr>
      <t>em Curitiba, pelo menos no ano de 2014 não existem veículos os ônibus com embarque exclusivamente em nível são os do nível 8 e nível 10 conforme BHTRANS(2016f)</t>
    </r>
  </si>
  <si>
    <t>percentual da frota de ônibus do transporte coletivo de Curitiba com embarque/desembarque exclusivamente em nível em todos os pontos de parada</t>
  </si>
  <si>
    <r>
      <t xml:space="preserve">frota em n.º de ônibus do transporte coletivo de Joinville com embarque/desembarque exclusivamente em nível em todos os pontos de parada
</t>
    </r>
    <r>
      <rPr>
        <b/>
        <sz val="10"/>
        <rFont val="Times New Roman"/>
        <family val="1"/>
      </rPr>
      <t xml:space="preserve">obs.: </t>
    </r>
    <r>
      <rPr>
        <sz val="10"/>
        <rFont val="Times New Roman"/>
        <family val="1"/>
      </rPr>
      <t>em Joinville, pelo menos em 2014, os ônibus com embarque em nível são os de piso baixo nas portas dianteira/central com rampa manual na porta central</t>
    </r>
    <r>
      <rPr>
        <b/>
        <sz val="10"/>
        <rFont val="Times New Roman"/>
        <family val="1"/>
      </rPr>
      <t/>
    </r>
  </si>
  <si>
    <t>percentual da frota de ônibus do transporte coletivo de Joinville com embarque/desembarque exclusivamente em nível em todos os pontos de parada</t>
  </si>
  <si>
    <r>
      <t xml:space="preserve">frota em n.º de ônibus do transporte coletivo suplementar de Belo Horizonte com embarque/desembarque em nível em todos os pontos de parada com ou sem rampa para transpor a fronteira 
</t>
    </r>
    <r>
      <rPr>
        <b/>
        <sz val="10"/>
        <rFont val="Times New Roman"/>
        <family val="1"/>
      </rPr>
      <t xml:space="preserve">obs.: </t>
    </r>
    <r>
      <rPr>
        <sz val="10"/>
        <rFont val="Times New Roman"/>
        <family val="1"/>
      </rPr>
      <t>em Belo Horizonte pelo menos até 2015 não existem veículos com embarque em nível no transporte suplentar e por isto este indicador é sempre "zero"</t>
    </r>
    <r>
      <rPr>
        <b/>
        <sz val="10"/>
        <rFont val="Times New Roman"/>
        <family val="1"/>
      </rPr>
      <t/>
    </r>
  </si>
  <si>
    <t>percentual da frota de ônibus do transporte coletivo suplementar de Belo Horizonte com embarque/desembarque exclusivavamente em nível em todos os pontos de parada</t>
  </si>
  <si>
    <r>
      <t xml:space="preserve">frota em n.º de ônibus do transporte coletivo (convencional e suplementar) de Belo Horizonte com embarque/desembarque em nível em todos os pontos de parada, com veículo de piso alto (com uso de plataforma elevada) ou baixo, seja com uso ou não de rampa para transpor fronteira
</t>
    </r>
    <r>
      <rPr>
        <b/>
        <sz val="10"/>
        <rFont val="Times New Roman"/>
        <family val="1"/>
      </rPr>
      <t xml:space="preserve">obs.: </t>
    </r>
    <r>
      <rPr>
        <sz val="10"/>
        <rFont val="Times New Roman"/>
        <family val="1"/>
      </rPr>
      <t>como pelo menos até 2015 em Belo Horizonte apenas no transporte convencional há embarque em nível, este indicador é idêntico a "F tcc en (Belo Horizonte)"</t>
    </r>
  </si>
  <si>
    <r>
      <t xml:space="preserve">percentual da frota de ônibus do transporte coletivo (convencional e suplementar) de Belo Horizonte com embarque/desembarque em nível em todos os pontos de parada
</t>
    </r>
    <r>
      <rPr>
        <b/>
        <sz val="10"/>
        <rFont val="Times New Roman"/>
        <family val="1"/>
      </rPr>
      <t xml:space="preserve">obs.: </t>
    </r>
    <r>
      <rPr>
        <sz val="10"/>
        <rFont val="Times New Roman"/>
        <family val="1"/>
      </rPr>
      <t>como pelo menos até 2015 em Belo Horizonte apenas no transporte coletivo convencional há embarque em nível, este indicador é idêntico a "% de frota com embarque exclusivo em nível (convencional BH)"</t>
    </r>
  </si>
  <si>
    <t>embarque/desembarque exclusivamente em nível com base no desenho universal (usado como complemento de diversos indicadores "F tc" / "F tcc" / "F tcs")</t>
  </si>
  <si>
    <t>BRT misto</t>
  </si>
  <si>
    <t>design universal</t>
  </si>
  <si>
    <t>nac</t>
  </si>
  <si>
    <t>não acessível</t>
  </si>
  <si>
    <t>não acessível (usado como complemento de diversos indicadores "F tc" / "F tcc" / "F tcs")</t>
  </si>
  <si>
    <r>
      <t xml:space="preserve">característica do ônibus que opera no sistema de transporte coletivo urbano de alguma cidade/região sem oferecer qualquer facilidade para o embarque/desembarque de pessoas com mobilidade física reduzida, ou seja, sem operação em nível com base no desenho universal e sem o apoio de qualquer mecanismo como rampa para transposição de fronteira ou elevador hidráulico
</t>
    </r>
    <r>
      <rPr>
        <b/>
        <sz val="10"/>
        <rFont val="Times New Roman"/>
        <family val="1"/>
      </rPr>
      <t xml:space="preserve">obs.1: </t>
    </r>
    <r>
      <rPr>
        <sz val="10"/>
        <rFont val="Times New Roman"/>
        <family val="1"/>
      </rPr>
      <t xml:space="preserve">acesse o verbete "ônibus não acessível"
</t>
    </r>
    <r>
      <rPr>
        <b/>
        <sz val="10"/>
        <rFont val="Times New Roman"/>
        <family val="1"/>
      </rPr>
      <t xml:space="preserve">obs.2: </t>
    </r>
    <r>
      <rPr>
        <sz val="10"/>
        <rFont val="Times New Roman"/>
        <family val="1"/>
      </rPr>
      <t>utiliza-se, aqui analogia com o conceito de não acessível em edificações: "Um edifício só pode ser considerado 'não acessível'  quando há barreiras arquitetônicas o bastante para restringir a 'autonomia' e a 'independência' de pessoas com problemas de mobilidade, característicos dos efeitos de uma deficiência." conforme GUIMARÃES(1999, p.127)</t>
    </r>
  </si>
  <si>
    <t>geralacessibilidade</t>
  </si>
  <si>
    <t>geralacessibilidadesigla/verbete</t>
  </si>
  <si>
    <t>geralsigla/verbete</t>
  </si>
  <si>
    <t>rua de todos</t>
  </si>
  <si>
    <t>embarque/desembarque em nível em todos os pontos de parada de uma linha de transporte coletivo (usado como complemento de diversos indicadores "F tc" / "F tcc" / "F tcs")</t>
  </si>
  <si>
    <r>
      <t xml:space="preserve">característica atribuída aos ônibus do sistema de transporte coletivo urbano de alguma cidade/região quando o embarque/desembarque de pessoas com mobilidade física reduzida acontece em nível com base no desenho universal ou com o apoio de algum mecanismo que o facilite como rampa (seja móvel ou automática, seja instalada no veículo ou na plataforma) para transposição de fronteira ou elevador hidráulico instalado no veículo
</t>
    </r>
    <r>
      <rPr>
        <b/>
        <sz val="10"/>
        <rFont val="Times New Roman"/>
        <family val="1"/>
      </rPr>
      <t xml:space="preserve">obs.: </t>
    </r>
    <r>
      <rPr>
        <sz val="10"/>
        <rFont val="Times New Roman"/>
        <family val="1"/>
      </rPr>
      <t>relativo ao complemento "fc" para qualificar os indicadores "F tc" / "F tcc" / F tcs"</t>
    </r>
  </si>
  <si>
    <t>F tc nac</t>
  </si>
  <si>
    <t>sem facilidade</t>
  </si>
  <si>
    <t>acesse "não acessível"</t>
  </si>
  <si>
    <t>F tcc nac</t>
  </si>
  <si>
    <t>F tcs nac</t>
  </si>
  <si>
    <t>F tcc nac
(ano 2005)</t>
  </si>
  <si>
    <t>F tcc nac 
(ano 2006)</t>
  </si>
  <si>
    <t>F tcc nac 
(ano 2007)</t>
  </si>
  <si>
    <t>F tcc nac
(ano 2008)</t>
  </si>
  <si>
    <t>com facilidade (fc)</t>
  </si>
  <si>
    <t>F tc - F nac</t>
  </si>
  <si>
    <r>
      <t xml:space="preserve">frota em n.º de ônibus do transporte coletivo de Curitiba equipados com elevador hidráulico que permitem embarque/desembarque não exclusivo de usuários cadeirantes (pessoas em pé podem utuilizar o equipamento caso se sintam seguras e o operador permita) e que não operam em plataforma elevada 
</t>
    </r>
    <r>
      <rPr>
        <b/>
        <sz val="10"/>
        <color theme="1"/>
        <rFont val="Times New Roman"/>
        <family val="1"/>
      </rPr>
      <t xml:space="preserve">obs.1: </t>
    </r>
    <r>
      <rPr>
        <sz val="10"/>
        <color theme="1"/>
        <rFont val="Times New Roman"/>
        <family val="1"/>
      </rPr>
      <t xml:space="preserve">esta categoria recebe </t>
    </r>
    <r>
      <rPr>
        <b/>
        <sz val="10"/>
        <color rgb="FFFF0000"/>
        <rFont val="Times New Roman"/>
        <family val="1"/>
      </rPr>
      <t>peso 3</t>
    </r>
    <r>
      <rPr>
        <b/>
        <sz val="10"/>
        <color theme="1"/>
        <rFont val="Times New Roman"/>
        <family val="1"/>
      </rPr>
      <t xml:space="preserve"> </t>
    </r>
    <r>
      <rPr>
        <sz val="10"/>
        <color theme="1"/>
        <rFont val="Times New Roman"/>
        <family val="1"/>
      </rPr>
      <t xml:space="preserve">(escala de 1 a 10 estabelecida pelo SisMob-BH para classificar e comparar resultados) - acesse "acessibilidade em ônibus urbano (escala)"
</t>
    </r>
    <r>
      <rPr>
        <b/>
        <sz val="10"/>
        <color theme="1"/>
        <rFont val="Times New Roman"/>
        <family val="1"/>
      </rPr>
      <t xml:space="preserve">obs.2: </t>
    </r>
    <r>
      <rPr>
        <sz val="10"/>
        <color theme="1"/>
        <rFont val="Times New Roman"/>
        <family val="1"/>
      </rPr>
      <t xml:space="preserve">esta é a frota preponderante da RIT de Curitiba gerenciada pela URBS, compondo a totatidade de ônibus articulados 4 portas/padron 3 portas/híbridos que operam no "interbairros; de articulados 4 portas/padron 3 portasmicro especial 3 portas que operam no "alimentador"; de articulados 4 portas/padron 3 portas/micro especial 3 portas no "troncal"; de micro 2 portas/comum 3 portas no "circular Centro"; de híbrido 4 portas/micro especial 3 portas/micro 2 portas no "convencional" conforme BHTRANS(2016f)
</t>
    </r>
    <r>
      <rPr>
        <b/>
        <sz val="10"/>
        <color theme="1"/>
        <rFont val="Times New Roman"/>
        <family val="1"/>
      </rPr>
      <t xml:space="preserve">obs.3: </t>
    </r>
    <r>
      <rPr>
        <sz val="10"/>
        <color theme="1"/>
        <rFont val="Times New Roman"/>
        <family val="1"/>
      </rPr>
      <t>não mais existem ônibus não acessíveis na frota de 1.368 veículos apresentada em URBS(2016c), mas essa quantidade "se refere a frota operante do ano de 2015, com um percentual de acessibilidade de 92,66% desse número, ou seja, 7,34% dessa frota operante (100 veículos) ainda não estava equipada ccom plataforma elevatória" confrorme URBS(2016d1); por esse motivo, o SisMob-BH acrescentou 100 veículos no resultado do indicador "F tc nac" e diminuiu 100 veículos no resultado do indicador "F tc ecp" de Curitiba</t>
    </r>
  </si>
  <si>
    <r>
      <rPr>
        <b/>
        <sz val="12"/>
        <color theme="1"/>
        <rFont val="Times New Roman"/>
        <family val="1"/>
      </rPr>
      <t>BHTRANS(2016p1):</t>
    </r>
    <r>
      <rPr>
        <sz val="12"/>
        <color theme="1"/>
        <rFont val="Times New Roman"/>
        <family val="1"/>
      </rPr>
      <t xml:space="preserve"> EMPRESA DE TRANSPORTES E TRÂNSITO DE BELO HORIZONTE S.A - BHTRANS. Gerência de Controle de Permissões - Gecop/SRTP/DTP.</t>
    </r>
    <r>
      <rPr>
        <i/>
        <sz val="12"/>
        <color theme="1"/>
        <rFont val="Times New Roman"/>
        <family val="1"/>
      </rPr>
      <t xml:space="preserve"> Transporte suplementar.</t>
    </r>
    <r>
      <rPr>
        <sz val="12"/>
        <color theme="1"/>
        <rFont val="Times New Roman"/>
        <family val="1"/>
      </rPr>
      <t xml:space="preserve"> Belo Horizonte: BHTrans, 1º jun. 2016. [planilha excell encaminhada ao SisMob-BH, a pedido, por não estar publicada na página da gerência no portal interno da BHTrans]</t>
    </r>
  </si>
  <si>
    <r>
      <t xml:space="preserve">n.º de acompanhantes cadastrados do transporte escolar
</t>
    </r>
    <r>
      <rPr>
        <b/>
        <sz val="10"/>
        <rFont val="Times New Roman"/>
        <family val="1"/>
      </rPr>
      <t xml:space="preserve">obs.: </t>
    </r>
    <r>
      <rPr>
        <sz val="10"/>
        <rFont val="Times New Roman"/>
        <family val="1"/>
      </rPr>
      <t>valores de dezembro usados para representar cada ano ano, com resultados de 2006-2012 conforme BHTRANS(2013f); 2013 conforme BHTRANS(2014g); 2014 conforme BHTRANS(2015b); 2015 conforme BHTRANS(2016p3)</t>
    </r>
  </si>
  <si>
    <r>
      <t xml:space="preserve">n.º de condutores auxiliares cadastrados do transporte escolar
</t>
    </r>
    <r>
      <rPr>
        <b/>
        <sz val="10"/>
        <rFont val="Times New Roman"/>
        <family val="1"/>
      </rPr>
      <t xml:space="preserve">obs.: </t>
    </r>
    <r>
      <rPr>
        <sz val="10"/>
        <rFont val="Times New Roman"/>
        <family val="1"/>
      </rPr>
      <t>valores de dezembro usados para representar cada ano ano, com resultados de 2006-2012 conforme BHTRANS(2013f); 2013 conforme BHTRANS(2014g); 2014 conforme BHTRANS(2015b); 2015 conforme BHTRANS(2016p3)</t>
    </r>
  </si>
  <si>
    <r>
      <t xml:space="preserve">n.º de permissionários/autorizatários do transporte escolar
</t>
    </r>
    <r>
      <rPr>
        <b/>
        <sz val="10"/>
        <rFont val="Times New Roman"/>
        <family val="1"/>
      </rPr>
      <t xml:space="preserve">obs.1: </t>
    </r>
    <r>
      <rPr>
        <sz val="10"/>
        <rFont val="Times New Roman"/>
        <family val="1"/>
      </rPr>
      <t xml:space="preserve">não inclui o n.º de operadores do transporte escolar licitado e gerenciado pela Secretaria Municipal de Educação (SMED) de Belo Horizonte
</t>
    </r>
    <r>
      <rPr>
        <b/>
        <sz val="10"/>
        <rFont val="Times New Roman"/>
        <family val="1"/>
      </rPr>
      <t xml:space="preserve">obs.2: </t>
    </r>
    <r>
      <rPr>
        <sz val="10"/>
        <rFont val="Times New Roman"/>
        <family val="1"/>
      </rPr>
      <t xml:space="preserve">a partir de 26/01/2011, com a publicação da Portaria BHTrans DPR n.º 005/2011, foi autorizada uma nova modalidade de credenciamento para inclusão de  interessados na prestação do serviço de transporte escolar, passando-se a conceder autorizações em vez de permissões; como o processo de inclusão de veículos é demorado, isto provocou o aumento na quantidade de "autorizatários" sem o aumento correspondente na "frota total" (isto explica haver, em alguns anos, mais operadores que veículos)
</t>
    </r>
    <r>
      <rPr>
        <b/>
        <sz val="10"/>
        <rFont val="Times New Roman"/>
        <family val="1"/>
      </rPr>
      <t xml:space="preserve">obs.3: </t>
    </r>
    <r>
      <rPr>
        <sz val="10"/>
        <rFont val="Times New Roman"/>
        <family val="1"/>
      </rPr>
      <t>valores de dezembro usados para representar cada ano ano, com resultados de 2006-2012 conforme BHTRANS(2013f); 2013 conforme BHTRANS(2014g); 2014 conforme BHTRANS(2015b); 2015 conforme BHTRANS(2016p3)</t>
    </r>
  </si>
  <si>
    <r>
      <t xml:space="preserve">frota de veículos tipo "kombi" do transporte escolar
</t>
    </r>
    <r>
      <rPr>
        <b/>
        <sz val="10"/>
        <rFont val="Times New Roman"/>
        <family val="1"/>
      </rPr>
      <t xml:space="preserve">obs.: </t>
    </r>
    <r>
      <rPr>
        <sz val="10"/>
        <rFont val="Times New Roman"/>
        <family val="1"/>
      </rPr>
      <t>valores de dezembro usados para representar cada ano ano, com resultados de 2006-2012 conforme BHTRANS(2013f); 2013 conforme BHTRANS(2014g); 2014 conforme BHTRANS(2015b); 2015 conforme BHTRANS(2016p3)</t>
    </r>
  </si>
  <si>
    <r>
      <t xml:space="preserve">frota de veículos tipo "micro/van" do transporte escolar
</t>
    </r>
    <r>
      <rPr>
        <b/>
        <sz val="10"/>
        <rFont val="Times New Roman"/>
        <family val="1"/>
      </rPr>
      <t xml:space="preserve">obs.: </t>
    </r>
    <r>
      <rPr>
        <sz val="10"/>
        <rFont val="Times New Roman"/>
        <family val="1"/>
      </rPr>
      <t>valores de dezembro usados para representar cada ano ano, com resultados de 2006-2012 conforme BHTRANS(2013f); 2013 conforme BHTRANS(2014g); 2014 conforme BHTRANS(2015b); 2015 conforme BHTRANS(2016p3)</t>
    </r>
  </si>
  <si>
    <r>
      <t xml:space="preserve">frota de veículos tipo "ônibus" do transporte escolar
</t>
    </r>
    <r>
      <rPr>
        <b/>
        <sz val="10"/>
        <rFont val="Times New Roman"/>
        <family val="1"/>
      </rPr>
      <t xml:space="preserve">obs.: </t>
    </r>
    <r>
      <rPr>
        <sz val="10"/>
        <rFont val="Times New Roman"/>
        <family val="1"/>
      </rPr>
      <t>valores de dezembro usados para representar cada ano ano, com resultados de 2006-2012 conforme BHTRANS(2013f); 2013 conforme BHTRANS(2014g); 2014 conforme BHTRANS(2015b); 2015 conforme BHTRANS(2016p3)</t>
    </r>
  </si>
  <si>
    <r>
      <t xml:space="preserve">frota total em n.º de ônibus do transporte coletivo suplementar de Belo Horizonte 
</t>
    </r>
    <r>
      <rPr>
        <b/>
        <sz val="10"/>
        <rFont val="Times New Roman"/>
        <family val="1"/>
      </rPr>
      <t>obs.1:</t>
    </r>
    <r>
      <rPr>
        <sz val="10"/>
        <rFont val="Times New Roman"/>
        <family val="1"/>
      </rPr>
      <t xml:space="preserve"> resultado de dezembro tomado como representativo do ano com resultados de 2001 conforme BHTRANS(2005a); de 2002-2004 conforme BHTRANS(2006a); de 2005 conforme BHTRANS(2011b); de 2006-2012 conforme BHTRANS(2013h); de 2013 conforme BHTRANS(2014b); de 2014 com fórmula confirmado em BHTRANS(2015u); de 2015 com fórmula confirmado e, BHTRANS(2016p1)
</t>
    </r>
    <r>
      <rPr>
        <b/>
        <sz val="10"/>
        <rFont val="Times New Roman"/>
        <family val="1"/>
      </rPr>
      <t>obs.2:</t>
    </r>
    <r>
      <rPr>
        <sz val="10"/>
        <rFont val="Times New Roman"/>
        <family val="1"/>
      </rPr>
      <t xml:space="preserve"> há divergência na frota de 2008, qual seja, 288 conforme BHTRANS(2011b) e 289 conforme BHTRANS(2013h), aqui assumindo-se esta última
</t>
    </r>
    <r>
      <rPr>
        <b/>
        <sz val="10"/>
        <rFont val="Times New Roman"/>
        <family val="1"/>
      </rPr>
      <t xml:space="preserve">obs.2: </t>
    </r>
    <r>
      <rPr>
        <sz val="10"/>
        <rFont val="Times New Roman"/>
        <family val="1"/>
      </rPr>
      <t>consulte definição de "transporte suplementar"</t>
    </r>
  </si>
  <si>
    <r>
      <t xml:space="preserve">idade média da frota do transporte suplementar (expressa em anos)
</t>
    </r>
    <r>
      <rPr>
        <b/>
        <sz val="10"/>
        <rFont val="Times New Roman"/>
        <family val="1"/>
      </rPr>
      <t>obs.</t>
    </r>
    <r>
      <rPr>
        <sz val="10"/>
        <rFont val="Times New Roman"/>
        <family val="1"/>
      </rPr>
      <t>: resultado de dezembro tomado como representativo do ano com com resultado de 2005 conforme BHTRANS(2009a, p.44); de 2006-2012 conforme BHTRANS(2013h); de 2013 conforme BHTRANS(2014b); de 2014 conforme BHTRANS(2015u); de 2015 conforme BHTRANS(2016p1)</t>
    </r>
  </si>
  <si>
    <r>
      <t xml:space="preserve">n.º de linhas do transporte suplementar
</t>
    </r>
    <r>
      <rPr>
        <b/>
        <sz val="10"/>
        <rFont val="Times New Roman"/>
        <family val="1"/>
      </rPr>
      <t>obs.1:</t>
    </r>
    <r>
      <rPr>
        <sz val="10"/>
        <rFont val="Times New Roman"/>
        <family val="1"/>
      </rPr>
      <t xml:space="preserve"> o resultado de dezembro é aqui tomado como representativo do ano com resultado de 2005 conforme BHTRANS(2009a, p.44); de 2006-2012 conforme BHTRANS(2013h); de 2013 conforme BHTRANS(2014b); 2014 conforme BHTRANS(2015u); de 2015 conforme BHTRANS(2016p1)</t>
    </r>
  </si>
  <si>
    <t>TX por mil habitantes</t>
  </si>
  <si>
    <t>TX ac</t>
  </si>
  <si>
    <r>
      <t>frota de táxi de Ribeirão das Neves, ou seja, n.º de veículos da praça integrada de táxi com placa de Ribeirão das Neves</t>
    </r>
    <r>
      <rPr>
        <b/>
        <sz val="10"/>
        <color theme="1"/>
        <rFont val="Times New Roman"/>
        <family val="1"/>
      </rPr>
      <t/>
    </r>
  </si>
  <si>
    <r>
      <t xml:space="preserve">n.º de veículos da frota de táxi na modalidade "especial" com placa de Ribeirão das Neves
</t>
    </r>
    <r>
      <rPr>
        <b/>
        <sz val="10"/>
        <color theme="1"/>
        <rFont val="Times New Roman"/>
        <family val="1"/>
      </rPr>
      <t xml:space="preserve">obs.: </t>
    </r>
    <r>
      <rPr>
        <sz val="10"/>
        <color theme="1"/>
        <rFont val="Times New Roman"/>
        <family val="1"/>
      </rPr>
      <t>valores de dezembro usados para representar o ano com resultados de 2014 conforme BHTRANS(2015a); de 2015 conforme BHTRANS(2015p3)</t>
    </r>
  </si>
  <si>
    <r>
      <rPr>
        <b/>
        <sz val="12"/>
        <color theme="1"/>
        <rFont val="Times New Roman"/>
        <family val="1"/>
      </rPr>
      <t xml:space="preserve">BHTRANS(2016p2): </t>
    </r>
    <r>
      <rPr>
        <sz val="12"/>
        <color theme="1"/>
        <rFont val="Times New Roman"/>
        <family val="1"/>
      </rPr>
      <t xml:space="preserve">EMPRESA DE TRANSPORTES E TRÂNSITO DE BELO HORIZONTE S.A - BHTRANS. Gerência de Controle de Permissões - Gecop/SRTP/DTP. </t>
    </r>
    <r>
      <rPr>
        <i/>
        <sz val="12"/>
        <color theme="1"/>
        <rFont val="Times New Roman"/>
        <family val="1"/>
      </rPr>
      <t>Transporte Escolar</t>
    </r>
    <r>
      <rPr>
        <sz val="12"/>
        <color theme="1"/>
        <rFont val="Times New Roman"/>
        <family val="1"/>
      </rPr>
      <t>. Belo Horizonte: BHTrans, 1º jun. 2016. [planilha excell encaminhada ao SisMob-BH, a pedido, por não estar publicada na página da gerência no portal interno da BHTrans]</t>
    </r>
  </si>
  <si>
    <r>
      <rPr>
        <b/>
        <sz val="12"/>
        <color theme="1"/>
        <rFont val="Times New Roman"/>
        <family val="1"/>
      </rPr>
      <t xml:space="preserve">BHTRANS(2016p3): </t>
    </r>
    <r>
      <rPr>
        <sz val="12"/>
        <color theme="1"/>
        <rFont val="Times New Roman"/>
        <family val="1"/>
      </rPr>
      <t xml:space="preserve">EMPRESA DE TRANSPORTES E TRÂNSITO DE BELO HORIZONTE S.A - BHTRANS. Gerência de Controle de Permissões - Gecop/SRTP/DTP. </t>
    </r>
    <r>
      <rPr>
        <i/>
        <sz val="12"/>
        <color theme="1"/>
        <rFont val="Times New Roman"/>
        <family val="1"/>
      </rPr>
      <t>Táxi.</t>
    </r>
    <r>
      <rPr>
        <sz val="12"/>
        <color theme="1"/>
        <rFont val="Times New Roman"/>
        <family val="1"/>
      </rPr>
      <t xml:space="preserve"> Belo Horizonte: BHTrans, 1º jun. 2016. [planilha excell encaminhada ao SisMob-BH, a pedido, por não estar publicada na página da gerência no portal interno da BHTrans]</t>
    </r>
  </si>
  <si>
    <r>
      <t xml:space="preserve">frota de táxi de Sabará, ou seja, n.º de veículos da praça integrada de táxi com placa de Sabará
</t>
    </r>
    <r>
      <rPr>
        <b/>
        <sz val="10"/>
        <color theme="1"/>
        <rFont val="Times New Roman"/>
        <family val="1"/>
      </rPr>
      <t xml:space="preserve">obs.1: </t>
    </r>
    <r>
      <rPr>
        <sz val="10"/>
        <color theme="1"/>
        <rFont val="Times New Roman"/>
        <family val="1"/>
      </rPr>
      <t xml:space="preserve">em 2014 todos são da categoria "convencional", ou seja, TX(SB) = TX(SB)cn
</t>
    </r>
    <r>
      <rPr>
        <b/>
        <sz val="10"/>
        <color theme="1"/>
        <rFont val="Times New Roman"/>
        <family val="1"/>
      </rPr>
      <t xml:space="preserve">obs.2: </t>
    </r>
    <r>
      <rPr>
        <sz val="10"/>
        <color theme="1"/>
        <rFont val="Times New Roman"/>
        <family val="1"/>
      </rPr>
      <t>valores de dezembro usados para representar o ano com resultados de 2014 conforme BHTRANS(2015a); de 2015 conforme BHTRANS(2016p3)</t>
    </r>
  </si>
  <si>
    <r>
      <t xml:space="preserve">frota de táxi de Ibirité, ou seja, n.º de veículos da frota da praça integrada de táxi com placa de Ibirité
obs.: em 2014 todos são da categoria "convencional", ou seja, TX(IB) = TX(IB)cn
</t>
    </r>
    <r>
      <rPr>
        <b/>
        <sz val="10"/>
        <color theme="1"/>
        <rFont val="Times New Roman"/>
        <family val="1"/>
      </rPr>
      <t xml:space="preserve">obs.: </t>
    </r>
    <r>
      <rPr>
        <sz val="10"/>
        <color theme="1"/>
        <rFont val="Times New Roman"/>
        <family val="1"/>
      </rPr>
      <t>valores de dezembro usados para representar o ano com resultados de 2014 conforme BHTRANS(2015a); de 2015 conforme BHTRANS(2016p3)</t>
    </r>
  </si>
  <si>
    <r>
      <t xml:space="preserve">frota de táxi de Contagem, ou seja, n.º de veículos da praça integrada de táxi com placa de Contagem
obs.: em 2014 todos são da categoria "convencional"
</t>
    </r>
    <r>
      <rPr>
        <b/>
        <sz val="10"/>
        <color theme="1"/>
        <rFont val="Times New Roman"/>
        <family val="1"/>
      </rPr>
      <t xml:space="preserve">obs.: </t>
    </r>
    <r>
      <rPr>
        <sz val="10"/>
        <color theme="1"/>
        <rFont val="Times New Roman"/>
        <family val="1"/>
      </rPr>
      <t>valores de dezembro usados para representar o ano com resultados de 2014 conforme BHTRANS(2015a); de 2015 conforme BHTRANS(2016p3)</t>
    </r>
  </si>
  <si>
    <r>
      <t xml:space="preserve">frota total de táxi com gestão da BHTrans, ou seja, n.º de veículos vinculados às permissões de táxi pessoa física e às permissões de táxi pessoa jurídica gerenciadas pela BHTrans para operação em diversos municípios (Belo Horizonte, Ibirité e Ribeirão das Neves) com serviço prestado em diversas categorias (acessível, especial, lotação e convencional)
</t>
    </r>
    <r>
      <rPr>
        <b/>
        <sz val="10"/>
        <color theme="1"/>
        <rFont val="Times New Roman"/>
        <family val="1"/>
      </rPr>
      <t xml:space="preserve">obs.: </t>
    </r>
    <r>
      <rPr>
        <sz val="10"/>
        <color theme="1"/>
        <rFont val="Times New Roman"/>
        <family val="1"/>
      </rPr>
      <t>valores de dezembro usados para representar o ano com resultados de 2006-2012 conforme BHTRANS(2013g); de 2013 em BHTRANS(2014h); 2014 em diante conforme fórmula</t>
    </r>
  </si>
  <si>
    <r>
      <t>percentual de frota de táxi na modalidade "acessível" com placa de Belo Horizonte</t>
    </r>
    <r>
      <rPr>
        <b/>
        <sz val="10"/>
        <color theme="1"/>
        <rFont val="Times New Roman"/>
        <family val="1"/>
      </rPr>
      <t/>
    </r>
  </si>
  <si>
    <t>(TX ac / TX) x 100</t>
  </si>
  <si>
    <r>
      <t xml:space="preserve">n.º de veículos da frota de táxi na modalidade "acessível" com placa de Contagem
</t>
    </r>
    <r>
      <rPr>
        <b/>
        <sz val="10"/>
        <color theme="1"/>
        <rFont val="Times New Roman"/>
        <family val="1"/>
      </rPr>
      <t xml:space="preserve">obs.1: </t>
    </r>
    <r>
      <rPr>
        <sz val="10"/>
        <color theme="1"/>
        <rFont val="Times New Roman"/>
        <family val="1"/>
      </rPr>
      <t xml:space="preserve">o SisMob-BH assume que de 1991 a 2005 os resultados são iguais aos de 2006
</t>
    </r>
    <r>
      <rPr>
        <b/>
        <sz val="10"/>
        <color theme="1"/>
        <rFont val="Times New Roman"/>
        <family val="1"/>
      </rPr>
      <t>obs.2:</t>
    </r>
    <r>
      <rPr>
        <sz val="10"/>
        <color theme="1"/>
        <rFont val="Times New Roman"/>
        <family val="1"/>
      </rPr>
      <t xml:space="preserve"> valores de dezembro usados para representar o ano com resultados de 2006-2012 conforme BHTRANS(2013g); de 2013 conforme BHTRANS(2014h); de 2014 conforme BHTRANS(2015a); de 2015 conforme BHTRANS(2016p3)</t>
    </r>
  </si>
  <si>
    <r>
      <t xml:space="preserve">n.º de veículos da frota de táxi na modalidade "acessível" com placa de Ibirité
</t>
    </r>
    <r>
      <rPr>
        <b/>
        <sz val="10"/>
        <color theme="1"/>
        <rFont val="Times New Roman"/>
        <family val="1"/>
      </rPr>
      <t xml:space="preserve">obs.1: </t>
    </r>
    <r>
      <rPr>
        <sz val="10"/>
        <color theme="1"/>
        <rFont val="Times New Roman"/>
        <family val="1"/>
      </rPr>
      <t xml:space="preserve">o SisMob-BH assume que de 1991 a 2005 os resultados são iguais aos de 2006
</t>
    </r>
    <r>
      <rPr>
        <b/>
        <sz val="10"/>
        <color theme="1"/>
        <rFont val="Times New Roman"/>
        <family val="1"/>
      </rPr>
      <t>obs.2:</t>
    </r>
    <r>
      <rPr>
        <sz val="10"/>
        <color theme="1"/>
        <rFont val="Times New Roman"/>
        <family val="1"/>
      </rPr>
      <t xml:space="preserve"> valores de dezembro usados para representar o ano com resultados de 2006-2012 conforme BHTRANS(2013g); de 2013 conforme BHTRANS(2014h); de 2014 conforme BHTRANS(2015a); de 2015 conforme BHTRANS(2016p3)</t>
    </r>
  </si>
  <si>
    <r>
      <t xml:space="preserve">n.º de veículos da frota de táxi na modalidade "acessível" com placa de Ribeirão das Neves
</t>
    </r>
    <r>
      <rPr>
        <b/>
        <sz val="10"/>
        <color theme="1"/>
        <rFont val="Times New Roman"/>
        <family val="1"/>
      </rPr>
      <t>obs.1:</t>
    </r>
    <r>
      <rPr>
        <sz val="10"/>
        <color theme="1"/>
        <rFont val="Times New Roman"/>
        <family val="1"/>
      </rPr>
      <t xml:space="preserve"> o SisMob-BH assume que de 1991 a 2005 os resultados são iguais aos de 2006
</t>
    </r>
    <r>
      <rPr>
        <b/>
        <sz val="10"/>
        <color theme="1"/>
        <rFont val="Times New Roman"/>
        <family val="1"/>
      </rPr>
      <t>obs.2:</t>
    </r>
    <r>
      <rPr>
        <sz val="10"/>
        <color theme="1"/>
        <rFont val="Times New Roman"/>
        <family val="1"/>
      </rPr>
      <t xml:space="preserve"> valores de dezembro usados para representar o ano com resultados de 2006-2012 conforme BHTRANS(2013g); de 2013 conforme BHTRANS(2014h); de 2014 conforme BHTRANS(2015a); de 2015 conforme BHTRANS(2016p3)</t>
    </r>
  </si>
  <si>
    <r>
      <t xml:space="preserve">n.º de veículos da frota de táxi na modalidade "acessível" com placa de Sabará
</t>
    </r>
    <r>
      <rPr>
        <b/>
        <sz val="10"/>
        <color theme="1"/>
        <rFont val="Times New Roman"/>
        <family val="1"/>
      </rPr>
      <t>obs.1:</t>
    </r>
    <r>
      <rPr>
        <sz val="10"/>
        <color theme="1"/>
        <rFont val="Times New Roman"/>
        <family val="1"/>
      </rPr>
      <t xml:space="preserve"> o SisMob-BH assume que de 1991 a 2005 os resultados são iguais aos de 2006
</t>
    </r>
    <r>
      <rPr>
        <b/>
        <sz val="10"/>
        <color theme="1"/>
        <rFont val="Times New Roman"/>
        <family val="1"/>
      </rPr>
      <t xml:space="preserve">obs.2: </t>
    </r>
    <r>
      <rPr>
        <sz val="10"/>
        <color theme="1"/>
        <rFont val="Times New Roman"/>
        <family val="1"/>
      </rPr>
      <t>valores de dezembro usados para representar o ano com resultados de 2006-2012 conforme BHTRANS(2013g); de 2013 conforme BHTRANS(2014h); de 2014 conforme BHTRANS(2015a); de 2015 conforme BHTRANS(2016p3)</t>
    </r>
  </si>
  <si>
    <t>TX ac (Belo Horizonte)</t>
  </si>
  <si>
    <r>
      <t xml:space="preserve">percentual de frota de táxi na modalidade "acessível" com gestão da BHTrans
</t>
    </r>
    <r>
      <rPr>
        <b/>
        <sz val="10"/>
        <color theme="1"/>
        <rFont val="Times New Roman"/>
        <family val="1"/>
      </rPr>
      <t>obs.1:</t>
    </r>
    <r>
      <rPr>
        <sz val="10"/>
        <color theme="1"/>
        <rFont val="Times New Roman"/>
        <family val="1"/>
      </rPr>
      <t xml:space="preserve"> o SisMob-BH assume que de 1991 a 2005 os resultados são iguais aos de 2006</t>
    </r>
  </si>
  <si>
    <r>
      <rPr>
        <sz val="10"/>
        <color theme="1"/>
        <rFont val="Calibri"/>
        <family val="2"/>
      </rPr>
      <t>∑</t>
    </r>
    <r>
      <rPr>
        <sz val="10"/>
        <color theme="1"/>
        <rFont val="Times New Roman"/>
        <family val="1"/>
      </rPr>
      <t>TX (Belo Horizonte + Contagem + Ibirité + Ribeirão das Neves + Sabará)</t>
    </r>
  </si>
  <si>
    <t>TX pi</t>
  </si>
  <si>
    <r>
      <t xml:space="preserve">a) de 2006 a 2013: registro na fonte
b) 2014:
TX pi = TX ac + TX esp + TX lot + TX cn
ou
TX pi = </t>
    </r>
    <r>
      <rPr>
        <sz val="10"/>
        <color theme="1"/>
        <rFont val="Calibri"/>
        <family val="2"/>
      </rPr>
      <t>∑</t>
    </r>
    <r>
      <rPr>
        <sz val="10"/>
        <color theme="1"/>
        <rFont val="Times New Roman"/>
        <family val="1"/>
      </rPr>
      <t>TX (Belo Horizonte + Ibirité + Ribeirão das Neves)</t>
    </r>
  </si>
  <si>
    <t>TX gt</t>
  </si>
  <si>
    <t>praça integrada (usado como complemento de "TX")</t>
  </si>
  <si>
    <r>
      <t xml:space="preserve">região definida pelo território de municípios conveniados na qual a frota de táxi pode operar seguindo-se as regras estabelecidas em convênios bilaterais: Belo Horizonte possui convênio com Contagem, Ibirité, Ribeirão das Neves e Sabará, destacando-se que Belo Horizonte, por meio da BHTrans, é responsável pela gestão das permissões de Belo Horizonte, Ibirité e Ribeirão das Neves
</t>
    </r>
    <r>
      <rPr>
        <b/>
        <sz val="10"/>
        <color theme="1"/>
        <rFont val="Times New Roman"/>
        <family val="1"/>
      </rPr>
      <t xml:space="preserve">obs.: </t>
    </r>
    <r>
      <rPr>
        <sz val="10"/>
        <color theme="1"/>
        <rFont val="Times New Roman"/>
        <family val="1"/>
      </rPr>
      <t>os indicadores "TX" usam o complemento "pi"</t>
    </r>
  </si>
  <si>
    <t>gt</t>
  </si>
  <si>
    <t>gestão da BHTrans (usado como complemento de "TX")</t>
  </si>
  <si>
    <t>(TX ac / TX) x 101</t>
  </si>
  <si>
    <t>TX ac gt</t>
  </si>
  <si>
    <t>TX ac pi</t>
  </si>
  <si>
    <r>
      <t xml:space="preserve">n.º de veículos da frota de táxi na modalidade "acessível" da praça integrada de Belo Horizonte
</t>
    </r>
    <r>
      <rPr>
        <b/>
        <sz val="10"/>
        <color theme="1"/>
        <rFont val="Times New Roman"/>
        <family val="1"/>
      </rPr>
      <t>obs.1:</t>
    </r>
    <r>
      <rPr>
        <sz val="10"/>
        <color theme="1"/>
        <rFont val="Times New Roman"/>
        <family val="1"/>
      </rPr>
      <t xml:space="preserve"> essa categoria é destinada à prestação de serviço de táxi para atender às necessidades de deslocamento de usuários com deficiência ou mobilidade reduzida
</t>
    </r>
    <r>
      <rPr>
        <b/>
        <sz val="10"/>
        <color theme="1"/>
        <rFont val="Times New Roman"/>
        <family val="1"/>
      </rPr>
      <t>obs.2:</t>
    </r>
    <r>
      <rPr>
        <sz val="10"/>
        <color theme="1"/>
        <rFont val="Times New Roman"/>
        <family val="1"/>
      </rPr>
      <t xml:space="preserve"> em 2014 todos são de Belo Horizonte (TX ac Belo Horizonte = TX ac praça integrada = TX ac gestão BHTrans)
</t>
    </r>
    <r>
      <rPr>
        <b/>
        <sz val="10"/>
        <color theme="1"/>
        <rFont val="Times New Roman"/>
        <family val="1"/>
      </rPr>
      <t xml:space="preserve">obs.3: </t>
    </r>
    <r>
      <rPr>
        <sz val="10"/>
        <color theme="1"/>
        <rFont val="Times New Roman"/>
        <family val="1"/>
      </rPr>
      <t xml:space="preserve">o SisMob-BH assume que de 1991 a 2005 os resultados são iguais aos de 2006
</t>
    </r>
    <r>
      <rPr>
        <b/>
        <sz val="10"/>
        <color theme="1"/>
        <rFont val="Times New Roman"/>
        <family val="1"/>
      </rPr>
      <t xml:space="preserve">obs.4: </t>
    </r>
    <r>
      <rPr>
        <sz val="10"/>
        <color theme="1"/>
        <rFont val="Times New Roman"/>
        <family val="1"/>
      </rPr>
      <t>valores de dezembro usados para representar o ano com resultados de 2006-2012 conforme BHTRANS(2013g); de 2013 conforme BHTRANS(2014h); de 2014 conforme BHTRANS(2015a); de 2015 conforme BHTRANS(2016p3)</t>
    </r>
  </si>
  <si>
    <r>
      <t xml:space="preserve">n.º de veículos da frota de táxi na modalidade "acessível" com gestão da BHTrans
</t>
    </r>
    <r>
      <rPr>
        <b/>
        <sz val="10"/>
        <color theme="1"/>
        <rFont val="Times New Roman"/>
        <family val="1"/>
      </rPr>
      <t>obs.1:</t>
    </r>
    <r>
      <rPr>
        <sz val="10"/>
        <color theme="1"/>
        <rFont val="Times New Roman"/>
        <family val="1"/>
      </rPr>
      <t xml:space="preserve"> essa categoria é destinada à prestação de serviço de táxi para atender às necessidades de deslocamento de usuários com deficiência ou mobilidade reduzida
</t>
    </r>
    <r>
      <rPr>
        <b/>
        <sz val="10"/>
        <color theme="1"/>
        <rFont val="Times New Roman"/>
        <family val="1"/>
      </rPr>
      <t>obs.2:</t>
    </r>
    <r>
      <rPr>
        <sz val="10"/>
        <color theme="1"/>
        <rFont val="Times New Roman"/>
        <family val="1"/>
      </rPr>
      <t xml:space="preserve"> em 2014 todos são de Belo Horizonte (TX ac Belo Horizonte = TX ac praça integrada = TX ac gestão BHTrans)
</t>
    </r>
    <r>
      <rPr>
        <b/>
        <sz val="10"/>
        <color theme="1"/>
        <rFont val="Times New Roman"/>
        <family val="1"/>
      </rPr>
      <t xml:space="preserve">obs.3: </t>
    </r>
    <r>
      <rPr>
        <sz val="10"/>
        <color theme="1"/>
        <rFont val="Times New Roman"/>
        <family val="1"/>
      </rPr>
      <t xml:space="preserve">o SisMob-BH assume que de 1991 a 2005 os resultados são iguais aos de 2006
</t>
    </r>
    <r>
      <rPr>
        <b/>
        <sz val="10"/>
        <color theme="1"/>
        <rFont val="Times New Roman"/>
        <family val="1"/>
      </rPr>
      <t xml:space="preserve">obs.4: </t>
    </r>
    <r>
      <rPr>
        <sz val="10"/>
        <color theme="1"/>
        <rFont val="Times New Roman"/>
        <family val="1"/>
      </rPr>
      <t>valores de dezembro usados para representar o ano com resultados de 2006-2012 conforme BHTRANS(2013g); de 2013 conforme BHTRANS(2014h); de 2014 conforme BHTRANS(2015a); de 2015 conforme BHTRANS(2016p3)</t>
    </r>
  </si>
  <si>
    <t>(TX / P) x 1.000</t>
  </si>
  <si>
    <t>TX cn</t>
  </si>
  <si>
    <t>TX esp</t>
  </si>
  <si>
    <t>TX lot</t>
  </si>
  <si>
    <t>TX cn pi</t>
  </si>
  <si>
    <t>TX cn gt</t>
  </si>
  <si>
    <t>TX esp pi</t>
  </si>
  <si>
    <r>
      <t xml:space="preserve">n.º de veículos da frota de táxi na modalidade "especial"  da praça integrada de Belo Horizonte
</t>
    </r>
    <r>
      <rPr>
        <b/>
        <sz val="10"/>
        <color theme="1"/>
        <rFont val="Times New Roman"/>
        <family val="1"/>
      </rPr>
      <t xml:space="preserve">obs.1: </t>
    </r>
    <r>
      <rPr>
        <sz val="10"/>
        <color theme="1"/>
        <rFont val="Times New Roman"/>
        <family val="1"/>
      </rPr>
      <t xml:space="preserve">essa categoria foi criada em dezembro de 2011 pela BHTrans com o objetivo de oferecer um serviço de melhor qualidade que o prestado pelas demais categorias
</t>
    </r>
    <r>
      <rPr>
        <b/>
        <sz val="10"/>
        <color theme="1"/>
        <rFont val="Times New Roman"/>
        <family val="1"/>
      </rPr>
      <t>obs.2:</t>
    </r>
    <r>
      <rPr>
        <sz val="10"/>
        <color theme="1"/>
        <rFont val="Times New Roman"/>
        <family val="1"/>
      </rPr>
      <t xml:space="preserve"> esta categoria é denominada "táxi especial/luxo" em ANTP(2003a, p.15 - item 2.4.1)
</t>
    </r>
    <r>
      <rPr>
        <b/>
        <sz val="10"/>
        <color theme="1"/>
        <rFont val="Times New Roman"/>
        <family val="1"/>
      </rPr>
      <t xml:space="preserve">obs.3: </t>
    </r>
    <r>
      <rPr>
        <sz val="10"/>
        <color theme="1"/>
        <rFont val="Times New Roman"/>
        <family val="1"/>
      </rPr>
      <t>em 2014 eles são apenas de Belo Horizonte e Ribeirão das Neves (TX esp = TX esp praça integrada = TX esp gestão BHTrans</t>
    </r>
  </si>
  <si>
    <t>TX lot pi</t>
  </si>
  <si>
    <t>n.º de táxis por mil habitantes nos municípios que compõem a gestão BHTrans</t>
  </si>
  <si>
    <t>n.º de táxis por mil habitantes nos municípios que compõem a praça integrada de Belo Horizonte</t>
  </si>
  <si>
    <t>ainda não</t>
  </si>
  <si>
    <t>TX lot (Belo Horizonte)</t>
  </si>
  <si>
    <r>
      <t xml:space="preserve">n.º de veículos da frota de táxi na modalidade "especial" com placa de Belo Horizonte
</t>
    </r>
    <r>
      <rPr>
        <b/>
        <sz val="10"/>
        <color theme="1"/>
        <rFont val="Times New Roman"/>
        <family val="1"/>
      </rPr>
      <t xml:space="preserve">obs.: </t>
    </r>
    <r>
      <rPr>
        <sz val="10"/>
        <color theme="1"/>
        <rFont val="Times New Roman"/>
        <family val="1"/>
      </rPr>
      <t>valores de dezembro usados para representar o ano com resultados de 2014 conforme BHTRANS(2015a); de 2015 conforme BHTRANS(2015p3)</t>
    </r>
  </si>
  <si>
    <r>
      <t xml:space="preserve">percentual de frota de táxi na modalidade "acessível" da praça integrada de Belo Horizonte
</t>
    </r>
    <r>
      <rPr>
        <b/>
        <sz val="10"/>
        <color theme="1"/>
        <rFont val="Times New Roman"/>
        <family val="1"/>
      </rPr>
      <t>obs.1:</t>
    </r>
    <r>
      <rPr>
        <sz val="10"/>
        <color theme="1"/>
        <rFont val="Times New Roman"/>
        <family val="1"/>
      </rPr>
      <t xml:space="preserve"> o SisMob-BH assume que de 1991 a 2013 os resultados são iguais aos de 2014 relativos a "TX ac gt"</t>
    </r>
  </si>
  <si>
    <r>
      <t xml:space="preserve">n.º de motoristas de atividade profissional inscritos no cadastro de condutores auxiliares de táxi organizado e mantido pelo poder público (no caso, a BHTrans) e vinculados ao permissionário de táxi pessoa jurídica ou ao permissionário de táxi pessoa física
</t>
    </r>
    <r>
      <rPr>
        <b/>
        <sz val="10"/>
        <color theme="1"/>
        <rFont val="Times New Roman"/>
        <family val="1"/>
      </rPr>
      <t xml:space="preserve">obs.: </t>
    </r>
    <r>
      <rPr>
        <sz val="10"/>
        <color theme="1"/>
        <rFont val="Times New Roman"/>
        <family val="1"/>
      </rPr>
      <t>valores de dezembro usados para representar o ano com resultados de 2006-2012 conforme BHTRANS(2013g); de 2013 conforme BHTRANS(2014h) de 2014 conforme BHTRANS(2015a); de 2015 conforme BHTRANS(2016p3)</t>
    </r>
  </si>
  <si>
    <r>
      <t xml:space="preserve">n.º de permissionários de táxi pessoa jurídica
</t>
    </r>
    <r>
      <rPr>
        <b/>
        <sz val="10"/>
        <color theme="1"/>
        <rFont val="Times New Roman"/>
        <family val="1"/>
      </rPr>
      <t>obs.:</t>
    </r>
    <r>
      <rPr>
        <sz val="10"/>
        <color theme="1"/>
        <rFont val="Times New Roman"/>
        <family val="1"/>
      </rPr>
      <t>valores de dezembro usados para representar o ano com resultados de 2006-2012 conforme BHTRANS(2013g); de 2013 conforme BHTRANS(2014h) de 2014 conforme BHTRANS(2015a); de 2015 conforme BHTRANS(2016p3)</t>
    </r>
  </si>
  <si>
    <t>"Daí a ideia que pretendem compartilhar, a acessibilidade como uma noção plural, voltada para o público diverso e para amplo universo de possibilidades de acesso à cultura e às artes: ACESSIBILIDADES." conforme CORPAS(2016)</t>
  </si>
  <si>
    <t>acessibilidades</t>
  </si>
  <si>
    <t>"Conforme nos conta Sassaki (2007), o lema “Nada sobre nós, sem nós” foi adotado, em 1986, pela organização não governamental “Pessoas com Deficiência da África do Sul”. No artigo “Nada sobre nós, sem nós: algumas reflexões sobre o movimento das pessoas com deficiência na África do Sul” (2001), o ativista sul-africano com deficiência William Rowland conta como o líder Phindi Mavuso apresentou publicamente um rol de injustiças, contendo a dupla discriminação do apartheid e das deficiências" conforme CORPAS(2016)</t>
  </si>
  <si>
    <t>nada sobre nós, sem nós</t>
  </si>
  <si>
    <r>
      <rPr>
        <b/>
        <sz val="12"/>
        <color theme="1"/>
        <rFont val="Times New Roman"/>
        <family val="1"/>
      </rPr>
      <t xml:space="preserve">BRASIL(2015b): </t>
    </r>
    <r>
      <rPr>
        <sz val="12"/>
        <color theme="1"/>
        <rFont val="Times New Roman"/>
        <family val="1"/>
      </rPr>
      <t xml:space="preserve">BRASIL. Ministério das Cidades. </t>
    </r>
    <r>
      <rPr>
        <i/>
        <sz val="12"/>
        <color theme="1"/>
        <rFont val="Times New Roman"/>
        <family val="1"/>
      </rPr>
      <t>PlanMob - Caderno de referência para elaboração de Plano de Mobilidade Urbana</t>
    </r>
    <r>
      <rPr>
        <sz val="12"/>
        <color theme="1"/>
        <rFont val="Times New Roman"/>
        <family val="1"/>
      </rPr>
      <t>. Brasília: Secretaria Nacional de Transporte e da Mobilidade Urbana - SeMob, [2015]. 237p.</t>
    </r>
  </si>
  <si>
    <t>Gráfico 86b - Evolução da composição da frota do transporte escolar de Belo Horizonte (2006 a 2015)</t>
  </si>
  <si>
    <t>Gráfico 86a - Evoluções do n.º de veículos e da idade média do transporte escolar de Belo Horizonte (2006 a 2015)</t>
  </si>
  <si>
    <t>kombi</t>
  </si>
  <si>
    <t>micro/van</t>
  </si>
  <si>
    <r>
      <t xml:space="preserve">idade média de veículos "kombi" do transporte escolar
</t>
    </r>
    <r>
      <rPr>
        <b/>
        <sz val="10"/>
        <rFont val="Times New Roman"/>
        <family val="1"/>
      </rPr>
      <t xml:space="preserve">obs.: </t>
    </r>
    <r>
      <rPr>
        <sz val="10"/>
        <rFont val="Times New Roman"/>
        <family val="1"/>
      </rPr>
      <t>valores de dezembro usados para representar cada ano ano, com resultados de 2006-2012 conforme BHTRANS(2013f); 2013 conforme BHTRANS(2014g); 2014 conforme BHTRANS(2015b); 2015 conforme BHTRANS(2016p3)</t>
    </r>
  </si>
  <si>
    <r>
      <t xml:space="preserve">idade média de veículos "micro/van" do transporte escolar
</t>
    </r>
    <r>
      <rPr>
        <b/>
        <sz val="10"/>
        <rFont val="Times New Roman"/>
        <family val="1"/>
      </rPr>
      <t xml:space="preserve">obs.: </t>
    </r>
    <r>
      <rPr>
        <sz val="10"/>
        <rFont val="Times New Roman"/>
        <family val="1"/>
      </rPr>
      <t>valores de dezembro usados para representar cada ano ano, com resultados de 2006-2012 conforme BHTRANS(2013f); 2013 conforme BHTRANS(2014g); 2014 conforme BHTRANS(2015b); 2015 conforme BHTRANS(2016p3)</t>
    </r>
  </si>
  <si>
    <r>
      <t xml:space="preserve">idade média de veículos "ônibus" do transporte escolar
</t>
    </r>
    <r>
      <rPr>
        <b/>
        <sz val="10"/>
        <rFont val="Times New Roman"/>
        <family val="1"/>
      </rPr>
      <t xml:space="preserve">obs.: </t>
    </r>
    <r>
      <rPr>
        <sz val="10"/>
        <rFont val="Times New Roman"/>
        <family val="1"/>
      </rPr>
      <t>valores de dezembro usados para representar cada ano ano, com resultados de 2006-2012 conforme BHTRANS(2013f); 2013 conforme BHTRANS(2014g); 2014 conforme BHTRANS(2015b); 2015 conforme BHTRANS(2016p3)</t>
    </r>
  </si>
  <si>
    <t>Gráfico 86b - Evolução da composição da idade média da frota do transporte escolar de Belo Horizonte (2006 a 2015)</t>
  </si>
  <si>
    <t>de todos</t>
  </si>
  <si>
    <t>acesse "para todos"</t>
  </si>
  <si>
    <t>logomarca adotada pela Prefeitura de São Paulo/SP conforme OLIVEIRA(2014, p.81)
obs.: acesse o verbete "para todos"</t>
  </si>
  <si>
    <r>
      <t xml:space="preserve">"Bicicleta para Todos é uma rede de pessoas, empresas e entidades que visam ampliar o acesso de brasileiros à bicicleta, seja como meio de transporte, lazer ou prática esportiva. Facilitar este acesso significa compreender os movimentos históricos que afetam o pleno desenvolvimento de uma cultura adequada ao ciclismo urbano e rural. Seja através da ausência de políticas cicloviárias adequadas, seja como um bem de consumo não ajustado ao poder de compra dos brasileiros. É especialmente sobre este último aspecto que o BPT (Bicicleta para Todos) se debruçará mais intensamente." conforme CICLOFEMINI(2016)
</t>
    </r>
    <r>
      <rPr>
        <b/>
        <sz val="10"/>
        <rFont val="Times New Roman"/>
        <family val="1"/>
      </rPr>
      <t xml:space="preserve">obs.: </t>
    </r>
    <r>
      <rPr>
        <sz val="10"/>
        <rFont val="Times New Roman"/>
        <family val="1"/>
      </rPr>
      <t>acesse o verbete "para todos"</t>
    </r>
  </si>
  <si>
    <r>
      <t xml:space="preserve">"a rua é de todos" é uma logomarca adotada pela BHTrans, pela Associação dos ciclousuários da Grande Florianópolis/SC e pelo Institut pour la Ville em Mouvement - IVM (em vários idiomas) conforme OLIVEIRA(2014, p.80)
</t>
    </r>
    <r>
      <rPr>
        <b/>
        <sz val="10"/>
        <rFont val="Times New Roman"/>
        <family val="1"/>
      </rPr>
      <t>obs.:</t>
    </r>
    <r>
      <rPr>
        <sz val="10"/>
        <rFont val="Times New Roman"/>
        <family val="1"/>
      </rPr>
      <t xml:space="preserve"> acesse o verbete "para todos"</t>
    </r>
  </si>
  <si>
    <t>espaço para todos</t>
  </si>
  <si>
    <t xml:space="preserve"> "A campanha [BH tem espaço para todos. #respeiteabicicleta] é mais uma ação do programa Pedala BH para sensibilizar a sociedade e contribuir para a implantação da cultura da bicicleta na cidade." conforme BH(2016c)
obs.: acesse o verbete "para todos"</t>
  </si>
  <si>
    <t>prêmios</t>
  </si>
  <si>
    <t>Connected Smart Cities</t>
  </si>
  <si>
    <r>
      <rPr>
        <b/>
        <sz val="12"/>
        <rFont val="Times New Roman"/>
        <family val="1"/>
      </rPr>
      <t xml:space="preserve">BH(2016b): </t>
    </r>
    <r>
      <rPr>
        <sz val="12"/>
        <rFont val="Times New Roman"/>
        <family val="1"/>
      </rPr>
      <t xml:space="preserve">BELO HORIZONTE. Prefeitura. Sala de notícias. </t>
    </r>
    <r>
      <rPr>
        <i/>
        <sz val="12"/>
        <rFont val="Times New Roman"/>
        <family val="1"/>
      </rPr>
      <t>BH conquista primeiro lugar na categoria Meio Ambiente no Connected Smart Cities 2016</t>
    </r>
    <r>
      <rPr>
        <sz val="12"/>
        <rFont val="Times New Roman"/>
        <family val="1"/>
      </rPr>
      <t>. Belo Horizonte, 10 jun. 2016. Disponível em: &lt;http://portalpbh.pbh.gov.br/pbh/ecp/noticia.do?evento=portlet&amp;pAc=not&amp;idConteudo=237498&amp;pIdPlc=&amp;app=salanoticias#&gt;. Acesso em: 13 jun. 2016</t>
    </r>
  </si>
  <si>
    <r>
      <rPr>
        <b/>
        <sz val="12"/>
        <rFont val="Times New Roman"/>
        <family val="1"/>
      </rPr>
      <t xml:space="preserve">BH(2016c): </t>
    </r>
    <r>
      <rPr>
        <sz val="12"/>
        <rFont val="Times New Roman"/>
        <family val="1"/>
      </rPr>
      <t xml:space="preserve">BELO HORIZONTE. Prefeitura. Sala de notícias. </t>
    </r>
    <r>
      <rPr>
        <i/>
        <sz val="12"/>
        <rFont val="Times New Roman"/>
        <family val="1"/>
      </rPr>
      <t>BHTrans lança campanha para sensibilizar ciclistas e motoristas de BH</t>
    </r>
    <r>
      <rPr>
        <sz val="12"/>
        <rFont val="Times New Roman"/>
        <family val="1"/>
      </rPr>
      <t>. Belo Horizonte, 9 jun. 2016. Disponível em: &lt;http://portalpbh.pbh.gov.br/pbh/ecp/noticia.do?evento=portlet&amp;pAc=not&amp;idConteudo=237354&amp;pIdPlc=&amp;app=salanoticias#&gt;. Acesso em: 13 jun. 2016.</t>
    </r>
  </si>
  <si>
    <t>Capital Nacional da Hora do Planeta</t>
  </si>
  <si>
    <t>Capital Nacional da Hora do Planeta / Connected Smart Cities</t>
  </si>
  <si>
    <t>prêmio Capital Nacional da Hora do Planeta</t>
  </si>
  <si>
    <t>prêmio Connected Smart Cities</t>
  </si>
  <si>
    <r>
      <t xml:space="preserve">"Belo Horizonte, que foi eleita duas vezes (2014 e 2015) Capital Nacional da Hora do Planeta pelo Desafio das Cidades promovido pela WWF, em parceria com o Iclei, está pela terceira vez entre as cidades finalistas para levar o prêmio na edição 2015/2016. Os organizadores selecionaram as finalistas com base em relatórios apresentados pelas cidades, detalhando seus projetos na área de desenvolvimento sustentável. Nesta edição, Belo Horizonte vai disputar o título contra Recife e Rio de Janeiro." conforme BH(2016d)
</t>
    </r>
    <r>
      <rPr>
        <b/>
        <sz val="10"/>
        <color theme="1"/>
        <rFont val="Times New Roman"/>
        <family val="1"/>
      </rPr>
      <t>obs.:</t>
    </r>
    <r>
      <rPr>
        <sz val="10"/>
        <color theme="1"/>
        <rFont val="Times New Roman"/>
        <family val="1"/>
      </rPr>
      <t xml:space="preserve"> acesse o verbete "prêmios"</t>
    </r>
  </si>
  <si>
    <r>
      <t xml:space="preserve">"Belo Horizonte foi eleita pelo segundo ano consecutivo no evento Connected Smart Cities como a cidade líder em Meio Ambiente no Brasil. Além disso, BH ficou com a quinta colocação geral entre as cidades mais inteligentes do Brasil. O prêmio foi entregue no Rio de Janeiro na quinta-feira, dia 9 [de junho de 2016]" conforme BH(2016b)
</t>
    </r>
    <r>
      <rPr>
        <b/>
        <sz val="10"/>
        <color theme="1"/>
        <rFont val="Times New Roman"/>
        <family val="1"/>
      </rPr>
      <t>obs.:</t>
    </r>
    <r>
      <rPr>
        <sz val="10"/>
        <color theme="1"/>
        <rFont val="Times New Roman"/>
        <family val="1"/>
      </rPr>
      <t xml:space="preserve"> acesse o verbete "prêmios"</t>
    </r>
  </si>
  <si>
    <r>
      <rPr>
        <b/>
        <sz val="12"/>
        <color theme="1"/>
        <rFont val="Times New Roman"/>
        <family val="1"/>
      </rPr>
      <t>diversos indicadores organizados por CAF:</t>
    </r>
    <r>
      <rPr>
        <sz val="12"/>
        <color theme="1"/>
        <rFont val="Times New Roman"/>
        <family val="1"/>
      </rPr>
      <t xml:space="preserve"> o segundo relatório (o primeiro é de 2010) está previsto para ser publicado em 2016</t>
    </r>
  </si>
  <si>
    <r>
      <rPr>
        <b/>
        <sz val="12"/>
        <color theme="1"/>
        <rFont val="Times New Roman"/>
        <family val="1"/>
      </rPr>
      <t xml:space="preserve">Suplementar (BH-diversos): </t>
    </r>
    <r>
      <rPr>
        <sz val="12"/>
        <color theme="1"/>
        <rFont val="Times New Roman"/>
        <family val="1"/>
      </rPr>
      <t>deve-se consultar anualmente a intranet da Gecop/BHTrans em busca de atualizações. Consulta em 06/2015 encontrou resultados de 2006 a 2014. Consulta em 31/05/2016 não encontrou resultados completos de 2015 e foi enviado e-mail solicitando atualização. Planilha não publicada na intranet foi recebida por e-mail em 1º/06/2016 e incorporada (responsável pelo envio: Heloísa Campos).</t>
    </r>
  </si>
  <si>
    <r>
      <rPr>
        <b/>
        <sz val="12"/>
        <color theme="1"/>
        <rFont val="Times New Roman"/>
        <family val="1"/>
      </rPr>
      <t xml:space="preserve">Escolar (BH-diversos): </t>
    </r>
    <r>
      <rPr>
        <sz val="12"/>
        <color theme="1"/>
        <rFont val="Times New Roman"/>
        <family val="1"/>
      </rPr>
      <t>deve-se consultar anualmente a intranet da Gecop/BHTrans em busca de atualizações. Consulta em 06/2015 encontrou resultados de 2006 a 2014. Consulta em 31/05/2016 não encontrou resultados completos de 2015 e foi enviado e-mail solicitando atualização. Planilha não publicada na intranet foi recebida por e-mail em 1º/06/2016 e incorporada (responsável pelo envio: Heloísa Campos).</t>
    </r>
  </si>
  <si>
    <r>
      <rPr>
        <b/>
        <sz val="12"/>
        <color theme="1"/>
        <rFont val="Times New Roman"/>
        <family val="1"/>
      </rPr>
      <t xml:space="preserve">Táxi (BH-diversos): </t>
    </r>
    <r>
      <rPr>
        <sz val="12"/>
        <color theme="1"/>
        <rFont val="Times New Roman"/>
        <family val="1"/>
      </rPr>
      <t>deve-se consultar anualmente a intranet da Gecop/BHTrans em busca de atualizações. Consulta em 06/2015 encontrou resultados de 2006 a 2014. Consulta em 31/05/2016 não encontrou resultados completos de 2015 e foi enviado e-mail solicitando atualização. Planilha não publicada na intranet foi recebida por e-mail em 1º/06/2016 e incorporada (responsável pelo envio: Heloísa Campos).</t>
    </r>
  </si>
  <si>
    <r>
      <t xml:space="preserve">n.º de "interseções semafóricas" por milhão de habitantes contabilizadas pela ANTP nas cidades brasileiras com população acima de um milhão de habitantes
</t>
    </r>
    <r>
      <rPr>
        <b/>
        <sz val="10"/>
        <color theme="1"/>
        <rFont val="Times New Roman"/>
        <family val="1"/>
      </rPr>
      <t xml:space="preserve">obs.: </t>
    </r>
    <r>
      <rPr>
        <sz val="10"/>
        <color theme="1"/>
        <rFont val="Times New Roman"/>
        <family val="1"/>
      </rPr>
      <t>resultados de 2007 conforme ANTP(2008a, p.107/Gráfico 132); de 2012 conforme ANTP(2014a, p.84/Gráfico 111)</t>
    </r>
  </si>
  <si>
    <r>
      <t xml:space="preserve">n.º de "interseções semafóricas" por milhão de habitantes contabilizadas pela ANTP nas cidades brasileiras com população entre 500 mil e um milhão de habitantes
</t>
    </r>
    <r>
      <rPr>
        <b/>
        <sz val="10"/>
        <color theme="1"/>
        <rFont val="Times New Roman"/>
        <family val="1"/>
      </rPr>
      <t>obs.:</t>
    </r>
    <r>
      <rPr>
        <sz val="10"/>
        <color theme="1"/>
        <rFont val="Times New Roman"/>
        <family val="1"/>
      </rPr>
      <t xml:space="preserve"> resultados de 2007 conforme ANTP(2008a, p.107/Gráfico 132); de 2012 conforme ANTP(2014a, p.84/Gráfico 111)</t>
    </r>
  </si>
  <si>
    <r>
      <t xml:space="preserve">n.º de "interseções semafóricas" por milhão de habitantes contabilizadas pela ANTP nas cidades brasileiras com população entre 250 mil e 500 mil habitantes
</t>
    </r>
    <r>
      <rPr>
        <b/>
        <sz val="10"/>
        <color theme="1"/>
        <rFont val="Times New Roman"/>
        <family val="1"/>
      </rPr>
      <t xml:space="preserve">obs.: </t>
    </r>
    <r>
      <rPr>
        <sz val="10"/>
        <color theme="1"/>
        <rFont val="Times New Roman"/>
        <family val="1"/>
      </rPr>
      <t>resultados de 2007 conforme ANTP(2008a, p.107/Gráfico 132); de 2012 conforme ANTP(2014a, p.84/Gráfico 111)</t>
    </r>
  </si>
  <si>
    <r>
      <t xml:space="preserve">n.º de "interseções semafóricas" por milhão de habitantes contabilizadas pela ANTP nas cidades brasileiras com população entre 100 mil e 250 mil habitantes
</t>
    </r>
    <r>
      <rPr>
        <b/>
        <sz val="10"/>
        <color theme="1"/>
        <rFont val="Times New Roman"/>
        <family val="1"/>
      </rPr>
      <t>obs.:</t>
    </r>
    <r>
      <rPr>
        <sz val="10"/>
        <color theme="1"/>
        <rFont val="Times New Roman"/>
        <family val="1"/>
      </rPr>
      <t xml:space="preserve"> resultados de 2007 conforme ANTP(2008a, p.107/Gráfico 132); de 2012 conforme ANTP(2014a, p.84/Gráfico 111)</t>
    </r>
  </si>
  <si>
    <r>
      <t>n.º de "interseções semafóricas" por milhão de habitantes contabilizadas pela ANTP nas cidades brasileiras com população entre 60 mil e 100 mil habitantes</t>
    </r>
    <r>
      <rPr>
        <b/>
        <sz val="10"/>
        <color theme="1"/>
        <rFont val="Times New Roman"/>
        <family val="1"/>
      </rPr>
      <t xml:space="preserve">
obs.:</t>
    </r>
    <r>
      <rPr>
        <sz val="10"/>
        <color theme="1"/>
        <rFont val="Times New Roman"/>
        <family val="1"/>
      </rPr>
      <t xml:space="preserve"> resultados de 2007 conforme ANTP(2008a, p.107/Gráfico 132); de 2012 conforme ANTP(2014a, p.84/Gráfico 111)</t>
    </r>
  </si>
  <si>
    <r>
      <t xml:space="preserve">n.º de "interseções semafóricas" por milhão de habitantes contabilizadas pela ANTP nas cidades brasileiras
</t>
    </r>
    <r>
      <rPr>
        <b/>
        <sz val="10"/>
        <color theme="1"/>
        <rFont val="Times New Roman"/>
        <family val="1"/>
      </rPr>
      <t xml:space="preserve">obs.: </t>
    </r>
    <r>
      <rPr>
        <sz val="10"/>
        <color theme="1"/>
        <rFont val="Times New Roman"/>
        <family val="1"/>
      </rPr>
      <t>resultados de 2007 conforme ANTP(2008a, p.107/Gráfico 132); de 2012 conforme ANTP(2014a, p.84/Gráfico 111)</t>
    </r>
  </si>
  <si>
    <t>AM-Belo Horizonte</t>
  </si>
  <si>
    <t>AM-Bogotá</t>
  </si>
  <si>
    <t>AM-Buenos Aires</t>
  </si>
  <si>
    <t>AM-Caracas</t>
  </si>
  <si>
    <t>AM-Ciudad de México</t>
  </si>
  <si>
    <t>AM-Curitiba</t>
  </si>
  <si>
    <t>AM-Guadalajara</t>
  </si>
  <si>
    <t>AM-León</t>
  </si>
  <si>
    <t>AM-Lima</t>
  </si>
  <si>
    <t>AM-Montevideo</t>
  </si>
  <si>
    <t>AM-Porto Alegre</t>
  </si>
  <si>
    <t>AM-Río de Janeiro</t>
  </si>
  <si>
    <t>AM-San José</t>
  </si>
  <si>
    <t>AM-Santiago</t>
  </si>
  <si>
    <t>AM-São Paulo</t>
  </si>
  <si>
    <t>Brasil &gt; 1 milhão</t>
  </si>
  <si>
    <t>Brasil de 501 mil a 1 milhão</t>
  </si>
  <si>
    <t>Brasil de 251 a 500 mil</t>
  </si>
  <si>
    <t xml:space="preserve">Brasil de 100 a 250 mil </t>
  </si>
  <si>
    <t>Brasil de 60 a 100 mil</t>
  </si>
  <si>
    <t>IS/P em BH</t>
  </si>
  <si>
    <t>LS/P em BH</t>
  </si>
  <si>
    <r>
      <t xml:space="preserve">n.º de "intersecciones" semafóricas por milhão de habitantes na área metropolitana de Belo Horizonte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</si>
  <si>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r>
      <t xml:space="preserve">n.º de "intersecciones" semafóricas por milhão de habitantes na área metropolitana de Bogotá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</si>
  <si>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r>
      <t xml:space="preserve">n.º de "intersecciones" semafóricas por milhão de habitantes na área metropolitana de Buenos Aires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</si>
  <si>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r>
      <t xml:space="preserve">n.º de "intersecciones" semafóricas por milhão de habitantes na área metropolitana de Caracas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</si>
  <si>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r>
      <t xml:space="preserve">n.º de "intersecciones" semafóricas por milhão de habitantes na área metropolitana de Ciudad de México
</t>
    </r>
    <r>
      <rPr>
        <b/>
        <sz val="10"/>
        <color theme="1"/>
        <rFont val="Times New Roman"/>
        <family val="1"/>
      </rPr>
      <t>obs.:</t>
    </r>
    <r>
      <rPr>
        <sz val="10"/>
        <color theme="1"/>
        <rFont val="Times New Roman"/>
        <family val="1"/>
      </rPr>
      <t xml:space="preserve"> resultado de 2007 calculado com base em CAF(2010, p.9/Cuadro 1-población); p.14/Cuadro 4-intersecciones con semáforos)</t>
    </r>
  </si>
  <si>
    <r>
      <t xml:space="preserve">n.º de "intersecciones" semafóricas por milhão de habitantes na área metropolitana de Curitiba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</si>
  <si>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r>
      <t xml:space="preserve">n.º de "intersecciones" semafóricas por milhão de habitantes na área metropolitana de Guadalajara
</t>
    </r>
    <r>
      <rPr>
        <b/>
        <sz val="10"/>
        <color theme="1"/>
        <rFont val="Times New Roman"/>
        <family val="1"/>
      </rPr>
      <t>obs.:</t>
    </r>
    <r>
      <rPr>
        <sz val="10"/>
        <color theme="1"/>
        <rFont val="Times New Roman"/>
        <family val="1"/>
      </rPr>
      <t xml:space="preserve"> resultado de 2007 calculado com base em CAF(2010, p.9/Cuadro 1-población); p.14/Cuadro 4-intersecciones con semáforos)</t>
    </r>
  </si>
  <si>
    <r>
      <t xml:space="preserve">n.º de "intersecciones" semafóricas por milhão de habitantes na área metropolitana de León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</si>
  <si>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r>
      <t xml:space="preserve">n.º de "intersecciones" semafóricas por milhão de habitantes na área metropolitana de Lima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</si>
  <si>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r>
      <t xml:space="preserve">n.º de "intersecciones" semafóricas por milhão de habitantes na área metropolitana de Montevideo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</si>
  <si>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r>
      <t xml:space="preserve">n.º de "intersecciones" semafóricas por milhão de habitantes na área metropolitana de Porto Alegre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</si>
  <si>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r>
      <t xml:space="preserve">n.º de "intersecciones" semafóricas por milhão de habitantes na área metropolitana do Rio de Janeiro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</si>
  <si>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r>
      <t xml:space="preserve">n.º de "intersecciones" semafóricas por milhão de habitantes na área metropolitana de San José (Costa Rica)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</si>
  <si>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r>
      <t xml:space="preserve">n.º de "intersecciones" semafóricas por milhão de habitantes na área metropolitana de Santiago (Chile)
</t>
    </r>
    <r>
      <rPr>
        <b/>
        <sz val="10"/>
        <color theme="1"/>
        <rFont val="Times New Roman"/>
        <family val="1"/>
      </rPr>
      <t>obs.:</t>
    </r>
    <r>
      <rPr>
        <sz val="10"/>
        <color theme="1"/>
        <rFont val="Times New Roman"/>
        <family val="1"/>
      </rPr>
      <t xml:space="preserve"> resultado de 2007 calculado com base em CAF(2010, p.9/Cuadro 1-población); p.14/Cuadro 4-intersecciones con semáforos)</t>
    </r>
  </si>
  <si>
    <r>
      <t xml:space="preserve">n.º de "intersecciones" semafóricas por milhão de habitantes na área metropolitana de São Paulo
</t>
    </r>
    <r>
      <rPr>
        <b/>
        <sz val="10"/>
        <color theme="1"/>
        <rFont val="Times New Roman"/>
        <family val="1"/>
      </rPr>
      <t xml:space="preserve">obs.: </t>
    </r>
    <r>
      <rPr>
        <sz val="10"/>
        <color theme="1"/>
        <rFont val="Times New Roman"/>
        <family val="1"/>
      </rPr>
      <t>resultado de 2007 calculado com base em CAF(2010, p.9/Cuadro 1-población); p.14/Cuadro 4-intersecciones con semáforos)</t>
    </r>
  </si>
  <si>
    <t>AM Belo Horizonte</t>
  </si>
  <si>
    <t>AM Bogotá</t>
  </si>
  <si>
    <t>AM Buenos Aires</t>
  </si>
  <si>
    <t>AM Caracas</t>
  </si>
  <si>
    <t>AM Cidade do México</t>
  </si>
  <si>
    <t>AM Curitiba</t>
  </si>
  <si>
    <t>AM Guadalajara</t>
  </si>
  <si>
    <t>AM Leon</t>
  </si>
  <si>
    <t>AM Lima</t>
  </si>
  <si>
    <t>AM Montevidéu</t>
  </si>
  <si>
    <t>AM Porto Alegre</t>
  </si>
  <si>
    <t>AM Rio de Janeiro</t>
  </si>
  <si>
    <t>AM San José da Costa Rica</t>
  </si>
  <si>
    <t>AM Santiago do Chile</t>
  </si>
  <si>
    <t>AM São Paulo</t>
  </si>
  <si>
    <t>Brasil
(&gt; 1 milhão habitantes)</t>
  </si>
  <si>
    <t>Brasil
(500 mil a 1 milhão habitantes)</t>
  </si>
  <si>
    <t>Brasil
(250 a 500 mil habitantes)</t>
  </si>
  <si>
    <t>Brasil
(100 a 250 mil habitantes)</t>
  </si>
  <si>
    <t>Brasil
(60 a 100 mil habitantes)</t>
  </si>
  <si>
    <r>
      <t xml:space="preserve">área metropolitana, região definida por CAF para organização /análise de resultados da América Latina
</t>
    </r>
    <r>
      <rPr>
        <b/>
        <sz val="10"/>
        <rFont val="Times New Roman"/>
        <family val="1"/>
      </rPr>
      <t>obs.:</t>
    </r>
    <r>
      <rPr>
        <sz val="10"/>
        <rFont val="Times New Roman"/>
        <family val="1"/>
      </rPr>
      <t xml:space="preserve"> acesse "CAF".</t>
    </r>
  </si>
  <si>
    <t>CAF</t>
  </si>
  <si>
    <t>área</t>
  </si>
  <si>
    <r>
      <t>área do município (expressa em km</t>
    </r>
    <r>
      <rPr>
        <vertAlign val="superscript"/>
        <sz val="10"/>
        <rFont val="Times New Roman"/>
        <family val="1"/>
      </rPr>
      <t>2</t>
    </r>
    <r>
      <rPr>
        <sz val="10"/>
        <rFont val="Times New Roman"/>
        <family val="1"/>
      </rPr>
      <t xml:space="preserve">) utilizada para calcular a densidade demográfica
</t>
    </r>
    <r>
      <rPr>
        <b/>
        <sz val="10"/>
        <rFont val="Times New Roman"/>
        <family val="1"/>
      </rPr>
      <t xml:space="preserve">obs.: </t>
    </r>
    <r>
      <rPr>
        <sz val="10"/>
        <rFont val="Times New Roman"/>
        <family val="1"/>
      </rPr>
      <t>resultado de 2010 conforme IBGE (2010) utilizado para o período desde 1991</t>
    </r>
  </si>
  <si>
    <r>
      <t xml:space="preserve">índice de passageiros por quilômetro do transporte coletivo convencional (em n.º de passageiros por km)
</t>
    </r>
    <r>
      <rPr>
        <b/>
        <sz val="10"/>
        <rFont val="Times New Roman"/>
        <family val="1"/>
      </rPr>
      <t>obs.:</t>
    </r>
    <r>
      <rPr>
        <sz val="10"/>
        <rFont val="Times New Roman"/>
        <family val="1"/>
      </rPr>
      <t xml:space="preserve"> resultados de 1993 a 1995 são os de dezembro de cada ano conforme BHTRANS(1996, p.2) e os demais são obtidos com fórmula</t>
    </r>
  </si>
  <si>
    <r>
      <t xml:space="preserve">índice de periculosidade relativo à quilometragem rodada
</t>
    </r>
    <r>
      <rPr>
        <b/>
        <sz val="10"/>
        <color theme="1"/>
        <rFont val="Times New Roman"/>
        <family val="1"/>
      </rPr>
      <t xml:space="preserve">obs.1: </t>
    </r>
    <r>
      <rPr>
        <sz val="10"/>
        <color theme="1"/>
        <rFont val="Times New Roman"/>
        <family val="1"/>
      </rPr>
      <t xml:space="preserve">indicador recomendado como adotado internacionalmente em ANTP(2011a, p.44), obtido por meio da fórmula (Ms x 106) / (F x km rodados)
</t>
    </r>
    <r>
      <rPr>
        <b/>
        <sz val="10"/>
        <color theme="1"/>
        <rFont val="Times New Roman"/>
        <family val="1"/>
      </rPr>
      <t>obs.2</t>
    </r>
    <r>
      <rPr>
        <sz val="10"/>
        <color theme="1"/>
        <rFont val="Times New Roman"/>
        <family val="1"/>
      </rPr>
      <t>: indicador não apurado pela BHTrans</t>
    </r>
  </si>
  <si>
    <r>
      <t xml:space="preserve">índice de periculosidade relativo a trechos de via
</t>
    </r>
    <r>
      <rPr>
        <b/>
        <sz val="10"/>
        <color theme="1"/>
        <rFont val="Times New Roman"/>
        <family val="1"/>
      </rPr>
      <t>obs.1:</t>
    </r>
    <r>
      <rPr>
        <sz val="10"/>
        <color theme="1"/>
        <rFont val="Times New Roman"/>
        <family val="1"/>
      </rPr>
      <t xml:space="preserve"> indicador recomendado em ANTP(2011a, p.43), obtido por meio da fómula (AV x 106) / (VDMx365xL)
</t>
    </r>
    <r>
      <rPr>
        <b/>
        <sz val="10"/>
        <color theme="1"/>
        <rFont val="Times New Roman"/>
        <family val="1"/>
      </rPr>
      <t xml:space="preserve">obs.2: </t>
    </r>
    <r>
      <rPr>
        <sz val="10"/>
        <color theme="1"/>
        <rFont val="Times New Roman"/>
        <family val="1"/>
      </rPr>
      <t>indicador não apurado pela BHTrans</t>
    </r>
  </si>
  <si>
    <t>EG
(metas de redução)</t>
  </si>
  <si>
    <t>P</t>
  </si>
  <si>
    <r>
      <t xml:space="preserve">n.º de "intersecciones" semafóricas por milhão de habitantes
</t>
    </r>
    <r>
      <rPr>
        <b/>
        <sz val="10"/>
        <color theme="1"/>
        <rFont val="Times New Roman"/>
        <family val="1"/>
      </rPr>
      <t xml:space="preserve">obs.: </t>
    </r>
    <r>
      <rPr>
        <sz val="10"/>
        <color theme="1"/>
        <rFont val="Times New Roman"/>
        <family val="1"/>
      </rPr>
      <t>resultado de 2007 conforme CAF(2010, p.14/Cuadro 4-intersecciones con semáforos)</t>
    </r>
  </si>
  <si>
    <t>(intersecciones semafóricas / P ) x 1.000.000</t>
  </si>
  <si>
    <t>(intersecciones semafóricas / P ) x 1.000.001</t>
  </si>
  <si>
    <t>(intersecciones semafóricas / P ) x 1.000.002</t>
  </si>
  <si>
    <t>(intersecciones semafóricas / P ) x 1.000.003</t>
  </si>
  <si>
    <t>(intersecciones semafóricas / P ) x 1.000.004</t>
  </si>
  <si>
    <t>(intersecciones semafóricas / P ) x 1.000.005</t>
  </si>
  <si>
    <t>(intersecciones semafóricas / P ) x 1.000.006</t>
  </si>
  <si>
    <t>(intersecciones semafóricas / P ) x 1.000.007</t>
  </si>
  <si>
    <t>(intersecciones semafóricas / P ) x 1.000.008</t>
  </si>
  <si>
    <t>(intersecciones semafóricas / P ) x 1.000.009</t>
  </si>
  <si>
    <t>(intersecciones semafóricas / P ) x 1.000.010</t>
  </si>
  <si>
    <t>(intersecciones semafóricas / P ) x 1.000.011</t>
  </si>
  <si>
    <t>(intersecciones semafóricas / P ) x 1.000.012</t>
  </si>
  <si>
    <t>(intersecciones semafóricas / P ) x 1.000.013</t>
  </si>
  <si>
    <t>(intersecciones semafóricas / P ) x 1.000.014</t>
  </si>
  <si>
    <r>
      <t xml:space="preserve">população da área metropolitana em n.º de habitantes
</t>
    </r>
    <r>
      <rPr>
        <b/>
        <sz val="10"/>
        <color theme="1"/>
        <rFont val="Times New Roman"/>
        <family val="1"/>
      </rPr>
      <t xml:space="preserve">obs: </t>
    </r>
    <r>
      <rPr>
        <sz val="10"/>
        <color theme="1"/>
        <rFont val="Times New Roman"/>
        <family val="1"/>
      </rPr>
      <t>resultado de 2007 conforme CAF(2010, p.9/Cuadro 1. Características socioeconómicas)</t>
    </r>
  </si>
  <si>
    <r>
      <t xml:space="preserve">n.º de "intersecciones con semáforos" para cada milhão de habitantes da área metropolitana selecionada
</t>
    </r>
    <r>
      <rPr>
        <b/>
        <sz val="10"/>
        <color theme="1"/>
        <rFont val="Times New Roman"/>
        <family val="1"/>
      </rPr>
      <t xml:space="preserve">obs.1: </t>
    </r>
    <r>
      <rPr>
        <sz val="10"/>
        <color theme="1"/>
        <rFont val="Times New Roman"/>
        <family val="1"/>
      </rPr>
      <t xml:space="preserve">indicador tomado como referencial externo, construído com base nas variáveis "intersecciones con semáforos" e "población" coletadas e publicadas pelo Observatorio de Movilidad para América Latina da CAF 
</t>
    </r>
    <r>
      <rPr>
        <b/>
        <sz val="10"/>
        <color theme="1"/>
        <rFont val="Times New Roman"/>
        <family val="1"/>
      </rPr>
      <t xml:space="preserve">obs.2: </t>
    </r>
    <r>
      <rPr>
        <sz val="10"/>
        <color theme="1"/>
        <rFont val="Times New Roman"/>
        <family val="1"/>
      </rPr>
      <t>fórmula = (intersecciones con semáforos" / población) x 1.000.000</t>
    </r>
  </si>
  <si>
    <t>intersecciones con semáforos</t>
  </si>
  <si>
    <t>n.º de "intersecciones con semáforos" em cada uma das áreas metropolitanas selecionadas pelo Observatório de Movilidad Urbana da CAF</t>
  </si>
  <si>
    <t>intersecciones con semáforos por milhão de habitantes</t>
  </si>
  <si>
    <t>Gráfico 95c - Comparação de indicadores de sinalização semafórica de Belo Horizonte com referenciais externos nacionais e internacionais (2007)</t>
  </si>
  <si>
    <r>
      <rPr>
        <b/>
        <sz val="12"/>
        <rFont val="Times New Roman"/>
        <family val="1"/>
      </rPr>
      <t xml:space="preserve">CORPAS(2016): </t>
    </r>
    <r>
      <rPr>
        <sz val="12"/>
        <rFont val="Times New Roman"/>
        <family val="1"/>
      </rPr>
      <t xml:space="preserve">CORPAS,  Flavia; LEYTON, Laina. </t>
    </r>
    <r>
      <rPr>
        <i/>
        <sz val="12"/>
        <rFont val="Times New Roman"/>
        <family val="1"/>
      </rPr>
      <t>Caderno Acessibilidades - Programa Educativo Museu das Telecomunicações - Oi Futuro</t>
    </r>
    <r>
      <rPr>
        <sz val="12"/>
        <rFont val="Times New Roman"/>
        <family val="1"/>
      </rPr>
      <t>. Rio de Janeiro: Instituto Telemar, 2016.
111p.</t>
    </r>
  </si>
  <si>
    <t>registro na fonte
(em breve)</t>
  </si>
  <si>
    <t>EV acb</t>
  </si>
  <si>
    <t>acb</t>
  </si>
  <si>
    <t>relativo a acessível levando em conta as pessoas (usado como complemento de "EV"; de "ITT" / "LS" / "LSB"; de "TX"; de "F escolar")</t>
  </si>
  <si>
    <t>relativo a acessível levando em conta os ciclistas (usado como complemento de "EV")</t>
  </si>
  <si>
    <t>percentual da rede viária considerada acessível para bicicletas em Lisboa/Portugal</t>
  </si>
  <si>
    <r>
      <rPr>
        <b/>
        <sz val="12"/>
        <rFont val="Times New Roman"/>
        <family val="1"/>
      </rPr>
      <t xml:space="preserve">COSTA(2016): </t>
    </r>
    <r>
      <rPr>
        <sz val="12"/>
        <rFont val="Times New Roman"/>
        <family val="1"/>
      </rPr>
      <t xml:space="preserve">COSTA, Débora. Mapa cataloga morros de BH. </t>
    </r>
    <r>
      <rPr>
        <i/>
        <sz val="12"/>
        <rFont val="Times New Roman"/>
        <family val="1"/>
      </rPr>
      <t>O Tempo</t>
    </r>
    <r>
      <rPr>
        <sz val="12"/>
        <rFont val="Times New Roman"/>
        <family val="1"/>
      </rPr>
      <t>, Belo Horizonte, 15 jun. 2016. 1º Caderno. p.26. Disponível em: &lt;http://www.otempo.com.br/cidades/mapa-cataloga-morros-de-bh-1.1319590&gt;. Acesso em: 20 jun. 2016.</t>
    </r>
  </si>
  <si>
    <t>acessibilidade para todos</t>
  </si>
  <si>
    <t>concurso Acessibilidade para Todos</t>
  </si>
  <si>
    <t>CO</t>
  </si>
  <si>
    <t>CO
(padrão)</t>
  </si>
  <si>
    <r>
      <t xml:space="preserve">padrão nacional primário e secundário do Monóxido de carbobo
</t>
    </r>
    <r>
      <rPr>
        <b/>
        <sz val="10"/>
        <rFont val="Times New Roman"/>
        <family val="1"/>
      </rPr>
      <t xml:space="preserve">obs.: </t>
    </r>
    <r>
      <rPr>
        <sz val="10"/>
        <rFont val="Times New Roman"/>
        <family val="1"/>
      </rPr>
      <t>valor = 35ppm conforme IEMA(2015a)</t>
    </r>
  </si>
  <si>
    <r>
      <rPr>
        <b/>
        <sz val="12"/>
        <color theme="1"/>
        <rFont val="Times New Roman"/>
        <family val="1"/>
      </rPr>
      <t xml:space="preserve">BHTRANS(2016r1): </t>
    </r>
    <r>
      <rPr>
        <sz val="12"/>
        <color theme="1"/>
        <rFont val="Times New Roman"/>
        <family val="1"/>
      </rPr>
      <t xml:space="preserve">EMPRESA DE TRANSPORTES E TRÂNSITO DE BELO HORIZONTE S.A - BHTRANS. </t>
    </r>
    <r>
      <rPr>
        <i/>
        <sz val="12"/>
        <color theme="1"/>
        <rFont val="Times New Roman"/>
        <family val="1"/>
      </rPr>
      <t>Concurso Acessibilidade para Todos divulga vencedores em Belo Horizonte</t>
    </r>
    <r>
      <rPr>
        <sz val="12"/>
        <color theme="1"/>
        <rFont val="Times New Roman"/>
        <family val="1"/>
      </rPr>
      <t>. Belo Horizonte, 14 jun. 2016. Disponível em: &lt;http://bhtrans.pbh.gov.br/portal/page/portal/portalpublico/Temas/Noticias/Divulga%C3%A7%C3%A3o%20dos%20vencedores%20do%20Concurso%20Acessibilidade%20para&gt;. Acesso em: 20 jun. 2016.</t>
    </r>
  </si>
  <si>
    <r>
      <rPr>
        <b/>
        <sz val="12"/>
        <color theme="1"/>
        <rFont val="Times New Roman"/>
        <family val="1"/>
      </rPr>
      <t xml:space="preserve">CREA/MG(2016): </t>
    </r>
    <r>
      <rPr>
        <sz val="12"/>
        <color theme="1"/>
        <rFont val="Times New Roman"/>
        <family val="1"/>
      </rPr>
      <t xml:space="preserve">CONSELHO REGIONAL DE ENGENHARIA E AGRONOMIA DE MINAS GERAIS - CREA/MG. </t>
    </r>
    <r>
      <rPr>
        <i/>
        <sz val="12"/>
        <color theme="1"/>
        <rFont val="Times New Roman"/>
        <family val="1"/>
      </rPr>
      <t>Concurso Acessibilidade para Todos divulga vencedores em Belo Horizonte</t>
    </r>
    <r>
      <rPr>
        <sz val="12"/>
        <color theme="1"/>
        <rFont val="Times New Roman"/>
        <family val="1"/>
      </rPr>
      <t>. Belo Horizonte, 14 jun. 2016. Disponível em: &lt;http://www.crea-mg.org.br/publicacoes/Pages/Concurso-Acessibilidade-Para-Todos-premia-vencedores.aspx&gt;. Acesso em: 20 jun. 2016.</t>
    </r>
  </si>
  <si>
    <r>
      <rPr>
        <b/>
        <sz val="12"/>
        <color theme="1"/>
        <rFont val="Times New Roman"/>
        <family val="1"/>
      </rPr>
      <t xml:space="preserve">CAU/MG(2016): </t>
    </r>
    <r>
      <rPr>
        <sz val="12"/>
        <color theme="1"/>
        <rFont val="Times New Roman"/>
        <family val="1"/>
      </rPr>
      <t xml:space="preserve">CONSELHO DE ARQUITETURA E URBANISMO DE MINAS GERAIS - CAU/MG. </t>
    </r>
    <r>
      <rPr>
        <i/>
        <sz val="12"/>
        <color theme="1"/>
        <rFont val="Times New Roman"/>
        <family val="1"/>
      </rPr>
      <t>Concurso Acessibilidade para Todos divulga vencedores em Belo Horizonte</t>
    </r>
    <r>
      <rPr>
        <sz val="12"/>
        <color theme="1"/>
        <rFont val="Times New Roman"/>
        <family val="1"/>
      </rPr>
      <t>. Belo Horizonte, 16 jun. 2016. Disponível em: &lt;http://www.caumg.gov.br/concurso-acessibilidade-para-todos-divulga-vencedores-em-belo-horizonte/&gt;. Acesso em: 20 jun. 2016.</t>
    </r>
  </si>
  <si>
    <r>
      <rPr>
        <b/>
        <sz val="12"/>
        <color theme="1"/>
        <rFont val="Times New Roman"/>
        <family val="1"/>
      </rPr>
      <t xml:space="preserve">WRI(2016b): </t>
    </r>
    <r>
      <rPr>
        <sz val="12"/>
        <color theme="1"/>
        <rFont val="Times New Roman"/>
        <family val="1"/>
      </rPr>
      <t xml:space="preserve">WORLD RESOURCES INSTITUTE - WRI BRASIL. </t>
    </r>
    <r>
      <rPr>
        <i/>
        <sz val="12"/>
        <color theme="1"/>
        <rFont val="Times New Roman"/>
        <family val="1"/>
      </rPr>
      <t>Concurso Acessibilidade para Todos divulga vencedores em Belo Horizonte</t>
    </r>
    <r>
      <rPr>
        <sz val="12"/>
        <color theme="1"/>
        <rFont val="Times New Roman"/>
        <family val="1"/>
      </rPr>
      <t>. Porto Alegre, 13 jun. 2016. Disponível em: &lt;http://wricidades.org/noticia/concurso-acessibilidade-para-todos-divulga-vencedores-em-belo-horizonte&gt;. Acesso em: 20 jun. 2016.</t>
    </r>
  </si>
  <si>
    <t>Política de Acessibilidade na Mobilidade Urbana de Belo Horizonte conforme BHTRANS(2016n), que tem "Acessibilidade para Todos" como logomarga</t>
  </si>
  <si>
    <r>
      <rPr>
        <b/>
        <sz val="12"/>
        <rFont val="Times New Roman"/>
        <family val="1"/>
      </rPr>
      <t>BHTRANS(2016r2):</t>
    </r>
    <r>
      <rPr>
        <sz val="12"/>
        <rFont val="Times New Roman"/>
        <family val="1"/>
      </rPr>
      <t xml:space="preserve"> EMPRESA DE TRANSPORTES E TRÂNSITO DE BELO HORIZONTE S.A - BHTRANS. Ideias acessíveis. In: </t>
    </r>
    <r>
      <rPr>
        <i/>
        <sz val="12"/>
        <rFont val="Times New Roman"/>
        <family val="1"/>
      </rPr>
      <t>Jogo Rápido</t>
    </r>
    <r>
      <rPr>
        <sz val="12"/>
        <rFont val="Times New Roman"/>
        <family val="1"/>
      </rPr>
      <t>, Belo Horizonte, n. 749, 20 jun. 2016.</t>
    </r>
  </si>
  <si>
    <r>
      <rPr>
        <b/>
        <sz val="12"/>
        <rFont val="Times New Roman"/>
        <family val="1"/>
      </rPr>
      <t xml:space="preserve">MG(1998a): </t>
    </r>
    <r>
      <rPr>
        <sz val="12"/>
        <rFont val="Times New Roman"/>
        <family val="1"/>
      </rPr>
      <t xml:space="preserve">MINAS GERAIS. Coordenadoria de Apoio e Assistência à Pessoa Deficiente - CAADE. Comissão de Estudos criada pelo Decreto Governamental n.º 38.433/1996. </t>
    </r>
    <r>
      <rPr>
        <i/>
        <sz val="12"/>
        <rFont val="Times New Roman"/>
        <family val="1"/>
      </rPr>
      <t>Acessibilidade para todos</t>
    </r>
    <r>
      <rPr>
        <sz val="12"/>
        <rFont val="Times New Roman"/>
        <family val="1"/>
      </rPr>
      <t>: propostas de incentivo de gerenciamento e de regulamentação no âmbito dos edifícios e espaços de uso público. Belo Horizonte, 24 mar. 1998. [83p.]</t>
    </r>
  </si>
  <si>
    <r>
      <rPr>
        <b/>
        <sz val="12"/>
        <color theme="1"/>
        <rFont val="Times New Roman"/>
        <family val="1"/>
      </rPr>
      <t xml:space="preserve">BH(2015a1): </t>
    </r>
    <r>
      <rPr>
        <sz val="12"/>
        <color theme="1"/>
        <rFont val="Times New Roman"/>
        <family val="1"/>
      </rPr>
      <t xml:space="preserve">BELO HORIZONTE. Prefeitura. Secretaria Municipal de Meio Ambiente - SMMA. </t>
    </r>
    <r>
      <rPr>
        <i/>
        <sz val="12"/>
        <color theme="1"/>
        <rFont val="Times New Roman"/>
        <family val="1"/>
      </rPr>
      <t>Inventário municipal de emissões de Gases de Efeito Estufa - 2ª atualização 2011/2012/2013 - Período de referência 2000 a 2013</t>
    </r>
    <r>
      <rPr>
        <sz val="12"/>
        <color theme="1"/>
        <rFont val="Times New Roman"/>
        <family val="1"/>
      </rPr>
      <t>. Belo Horizonte, novembro de 2015. 44p.</t>
    </r>
  </si>
  <si>
    <r>
      <rPr>
        <b/>
        <sz val="12"/>
        <color theme="1"/>
        <rFont val="Times New Roman"/>
        <family val="1"/>
      </rPr>
      <t xml:space="preserve">BH(2015a2): </t>
    </r>
    <r>
      <rPr>
        <sz val="12"/>
        <color theme="1"/>
        <rFont val="Times New Roman"/>
        <family val="1"/>
      </rPr>
      <t xml:space="preserve">BELO HORIZONTE. Prefeitura. Secretaria Municipal de Meio Ambiente - SMMA. </t>
    </r>
    <r>
      <rPr>
        <i/>
        <sz val="12"/>
        <color theme="1"/>
        <rFont val="Times New Roman"/>
        <family val="1"/>
      </rPr>
      <t>Inventário municipal de emissões de Gases de Efeito Estufa - 2ª atualização 2011/2012/2013 - Período de referência 2000 a 2013 [corrigido]</t>
    </r>
    <r>
      <rPr>
        <sz val="12"/>
        <color theme="1"/>
        <rFont val="Times New Roman"/>
        <family val="1"/>
      </rPr>
      <t>. Belo Horizonte, novembro de 2015. 44p.</t>
    </r>
  </si>
  <si>
    <r>
      <rPr>
        <b/>
        <sz val="12"/>
        <color theme="1"/>
        <rFont val="Times New Roman"/>
        <family val="1"/>
      </rPr>
      <t xml:space="preserve">BH(2015b1/b2/b3): </t>
    </r>
    <r>
      <rPr>
        <sz val="12"/>
        <color theme="1"/>
        <rFont val="Times New Roman"/>
        <family val="1"/>
      </rPr>
      <t xml:space="preserve">BELO HORIZONTE. Secretaria Municipal de Meio Ambiente - SMMA. Secretária Executiva do CMMCE - Comitê Municipal sobre Mudanças Climáticas e Ecoeficiência. </t>
    </r>
    <r>
      <rPr>
        <i/>
        <sz val="12"/>
        <color theme="1"/>
        <rFont val="Times New Roman"/>
        <family val="1"/>
      </rPr>
      <t>Planilhas "Memorial de cálculo 1990-2007", "Memorial de cálculo 2008-2010", "Memorial de cálculo 2011-2013"</t>
    </r>
    <r>
      <rPr>
        <sz val="12"/>
        <color theme="1"/>
        <rFont val="Times New Roman"/>
        <family val="1"/>
      </rPr>
      <t>. Belo Horizonte, 2 fev. 2015. [três planilhas anexas a e-mail do CMMCE ao SisMob-BH em 02/02/2015)</t>
    </r>
  </si>
  <si>
    <r>
      <rPr>
        <b/>
        <sz val="12"/>
        <color theme="1"/>
        <rFont val="Times New Roman"/>
        <family val="1"/>
      </rPr>
      <t xml:space="preserve">BH(2015b4): </t>
    </r>
    <r>
      <rPr>
        <sz val="12"/>
        <color theme="1"/>
        <rFont val="Times New Roman"/>
        <family val="1"/>
      </rPr>
      <t xml:space="preserve">BELO HORIZONTE. Secretaria Municipal de Meio Ambiente - SMMA. Gerência de Sistemas de Informações Ambientais - Gesia. </t>
    </r>
    <r>
      <rPr>
        <i/>
        <sz val="12"/>
        <color theme="1"/>
        <rFont val="Times New Roman"/>
        <family val="1"/>
      </rPr>
      <t>Planilha corrigida "Resultados inventário 2011-2013"</t>
    </r>
    <r>
      <rPr>
        <sz val="12"/>
        <color theme="1"/>
        <rFont val="Times New Roman"/>
        <family val="1"/>
      </rPr>
      <t>. Belo Horizonte, 1º jun. 2016. [enviada a pedido, anexa a e-mail da Gesia ao SisMob-BH em 01/06/2016, aqui denomidada como 2015b4 para facilitar a localização)</t>
    </r>
  </si>
  <si>
    <r>
      <rPr>
        <b/>
        <sz val="12"/>
        <color theme="1"/>
        <rFont val="Times New Roman"/>
        <family val="1"/>
      </rPr>
      <t xml:space="preserve">BH(2015b5): </t>
    </r>
    <r>
      <rPr>
        <sz val="12"/>
        <color theme="1"/>
        <rFont val="Times New Roman"/>
        <family val="1"/>
      </rPr>
      <t xml:space="preserve">BELO HORIZONTE. Secretaria Municipal de Meio Ambiente - SMMA. Gerência de Sistemas de Informações Ambientais - Gesia. </t>
    </r>
    <r>
      <rPr>
        <i/>
        <sz val="12"/>
        <color theme="1"/>
        <rFont val="Times New Roman"/>
        <family val="1"/>
      </rPr>
      <t>Planilha com tabelas e gráficos relativos ao inventário 2011-2013</t>
    </r>
    <r>
      <rPr>
        <sz val="12"/>
        <color theme="1"/>
        <rFont val="Times New Roman"/>
        <family val="1"/>
      </rPr>
      <t>. Belo Horizonte, 21 jun. 2016. [enviada a pedido, anexa a e-mail da Gesia ao SisMob-BH em 21/06/2016, aqui denomidada como 2015b5 para facilitar a localização)</t>
    </r>
  </si>
  <si>
    <t>EG por habitante
(gap da meta)</t>
  </si>
  <si>
    <r>
      <rPr>
        <b/>
        <sz val="10"/>
        <rFont val="Times New Roman"/>
        <family val="1"/>
      </rPr>
      <t xml:space="preserve">em 2011: </t>
    </r>
    <r>
      <rPr>
        <sz val="10"/>
        <rFont val="Times New Roman"/>
        <family val="1"/>
      </rPr>
      <t xml:space="preserve">"Para a consecução do objetivo da Política ora instituída, fica estabelecida, no prazo de até 4 (quatro) anos da publicação desta Lei, uma meta de redução de 30% (trinta por cento) das emissões antrópicas agregadas oriundas do Município, expressas em dióxido de carbono equivalente, dos gases de efeito estufa listados no Protocolo de Quioto em relação a patamar expresso em estudo a ser realizado pela Prefeitura de Belo Horizonte. Parágrafo Único - O Executivo deverá realizar e divulgar amplamente relatórios parciais sobre os resultados observados no estudo climático e a relação dos mesmos com as metas propostas pelo Protocolo de Quioto." (BELO HORIZONTE, 2011, art.5º)
</t>
    </r>
    <r>
      <rPr>
        <b/>
        <sz val="10"/>
        <rFont val="Times New Roman"/>
        <family val="1"/>
      </rPr>
      <t xml:space="preserve">em 2015: </t>
    </r>
    <r>
      <rPr>
        <sz val="10"/>
        <rFont val="Times New Roman"/>
        <family val="1"/>
      </rPr>
      <t xml:space="preserve">"Constituem-se metas de caráter ambiental associadas à mobilidade urbana: I - reduzir em 20% (vinte por cento) a emissão de gases de efeito estufa per capita em relação à linha de tendência de emissões."  conforme BH(2015c, art.336), mas o documento não fixa valores das metas para "EG por habitante"
</t>
    </r>
    <r>
      <rPr>
        <b/>
        <sz val="10"/>
        <rFont val="Times New Roman"/>
        <family val="1"/>
      </rPr>
      <t xml:space="preserve">em 2015: </t>
    </r>
    <r>
      <rPr>
        <sz val="10"/>
        <rFont val="Times New Roman"/>
        <family val="1"/>
      </rPr>
      <t>atualização 2011-2013 do inventário de emissão de GEE define meta para 2030 e metas intermediárias (em milhões tCO</t>
    </r>
    <r>
      <rPr>
        <vertAlign val="subscript"/>
        <sz val="10"/>
        <rFont val="Times New Roman"/>
        <family val="1"/>
      </rPr>
      <t>2</t>
    </r>
    <r>
      <rPr>
        <sz val="10"/>
        <rFont val="Times New Roman"/>
        <family val="1"/>
      </rPr>
      <t xml:space="preserve">e) que estão apresentadas em gráfico com valores contidos nos inventários e com projeções (business as usual e meta com redução) conforme BH(2015a1) corrigido em BH(2015a2, p.32)
</t>
    </r>
    <r>
      <rPr>
        <b/>
        <sz val="10"/>
        <rFont val="Times New Roman"/>
        <family val="1"/>
      </rPr>
      <t xml:space="preserve">em 2016: </t>
    </r>
    <r>
      <rPr>
        <sz val="10"/>
        <rFont val="Times New Roman"/>
        <family val="1"/>
      </rPr>
      <t>"Reduzir em 20% as emissões de gases de efeito estufa em relação ao valor projetado para 2030, resultando em um índice máximo de 1,97 toneladas de CO</t>
    </r>
    <r>
      <rPr>
        <vertAlign val="subscript"/>
        <sz val="10"/>
        <rFont val="Times New Roman"/>
        <family val="1"/>
      </rPr>
      <t>2</t>
    </r>
    <r>
      <rPr>
        <sz val="10"/>
        <rFont val="Times New Roman"/>
        <family val="1"/>
      </rPr>
      <t xml:space="preserve"> por habitante/ano." conforme BH(2016e, p.90)
</t>
    </r>
    <r>
      <rPr>
        <b/>
        <sz val="10"/>
        <rFont val="Times New Roman"/>
        <family val="1"/>
      </rPr>
      <t>obs.:</t>
    </r>
    <r>
      <rPr>
        <sz val="10"/>
        <rFont val="Times New Roman"/>
        <family val="1"/>
      </rPr>
      <t xml:space="preserve"> acesse "EG por habitante (meta)" de Belo Horizonte</t>
    </r>
  </si>
  <si>
    <t>percentual de diferença entre a meta internediária projetadas a partir de 2008 e o valor medidos em inventário do indicador "EG por habitante"</t>
  </si>
  <si>
    <t>((EG por habitante (meta em 2016) - EG por habitante) / EG por habitante (meta em 2016)) x 100</t>
  </si>
  <si>
    <t>Gráfico 51d - Evoluções dos percentuais de participação dos subsetores rodoviário, aéreo e demais no total de emissões de gases de efeito estufa (EG) em Belo Horizonte (2000 a 2013)</t>
  </si>
  <si>
    <t>Gráfico 51e - Participação atual das emissões de gases de efeito estufa (EG) por precursor (tipo de combustível) do subsetor rodoviário em Belo Horizonte (2013)</t>
  </si>
  <si>
    <t>Gráfico 51f - Evoluções das emissões de gases de efeito estufa (EG) dos dois principais precursores do subsetor rodoviário em Belo Horizonte (2000 a 2013)</t>
  </si>
  <si>
    <r>
      <t>emissão de GEE (em tCO</t>
    </r>
    <r>
      <rPr>
        <vertAlign val="subscript"/>
        <sz val="10"/>
        <rFont val="Times New Roman"/>
        <family val="1"/>
      </rPr>
      <t>2</t>
    </r>
    <r>
      <rPr>
        <sz val="10"/>
        <rFont val="Times New Roman"/>
        <family val="1"/>
      </rPr>
      <t xml:space="preserve">e) nos demais subsetores somados do inventário que não são os subsetores aéreo e rodoviário
</t>
    </r>
    <r>
      <rPr>
        <b/>
        <sz val="10"/>
        <rFont val="Times New Roman"/>
        <family val="1"/>
      </rPr>
      <t xml:space="preserve">obs.: </t>
    </r>
    <r>
      <rPr>
        <sz val="10"/>
        <rFont val="Times New Roman"/>
        <family val="1"/>
      </rPr>
      <t>resultados de 2000 a 2007 conforme BH(2009); 2008 a 2010 conforme BH(2012a); 2011 a 2013 conforme BH((2015b); 2013 corrigido conforme BH(2015b4)</t>
    </r>
  </si>
  <si>
    <t>EG por habitante
(SisMob-BH)</t>
  </si>
  <si>
    <t>EG por habitante
(inventário)</t>
  </si>
  <si>
    <r>
      <rPr>
        <b/>
        <sz val="12"/>
        <color theme="1"/>
        <rFont val="Times New Roman"/>
        <family val="1"/>
      </rPr>
      <t xml:space="preserve">MG(2016c): </t>
    </r>
    <r>
      <rPr>
        <sz val="12"/>
        <color theme="1"/>
        <rFont val="Times New Roman"/>
        <family val="1"/>
      </rPr>
      <t xml:space="preserve">MINAS GERAIS. Secretaria de Estado de Transportes e Obras Públicas - Setop/MG. </t>
    </r>
    <r>
      <rPr>
        <i/>
        <sz val="12"/>
        <color theme="1"/>
        <rFont val="Times New Roman"/>
        <family val="1"/>
      </rPr>
      <t>Concorrência Pública nº 003/2016 - Plano de Mobilidade da Região Metropolitano[sic] de Belo Horizonte - Termo de referência</t>
    </r>
    <r>
      <rPr>
        <sz val="12"/>
        <color theme="1"/>
        <rFont val="Times New Roman"/>
        <family val="1"/>
      </rPr>
      <t>. Belo Horizonte, 2016. 36p. Disponível em: &lt;http://setop.mg.gov.br/images/documentos/licitacoes/2016/edital-003-2016/01-AnexoI-Termo-de-Referencia.pdf&gt;. Acesso em: 20 jun. 2016.</t>
    </r>
  </si>
  <si>
    <r>
      <rPr>
        <b/>
        <sz val="12"/>
        <rFont val="Times New Roman"/>
        <family val="1"/>
      </rPr>
      <t xml:space="preserve">MG(2016b): </t>
    </r>
    <r>
      <rPr>
        <sz val="12"/>
        <rFont val="Times New Roman"/>
        <family val="1"/>
      </rPr>
      <t xml:space="preserve">MINAS GERAIS. Agência de Desenvolvimento da Região Metropolitamna de Belo Horizonte - ARMBH. </t>
    </r>
    <r>
      <rPr>
        <i/>
        <sz val="12"/>
        <rFont val="Times New Roman"/>
        <family val="1"/>
      </rPr>
      <t xml:space="preserve">Concorrência Pública 003/2016 – Plano de Mobilidade da Região Metropolitana de Belo Horizonte. Belo Horizonte, </t>
    </r>
    <r>
      <rPr>
        <sz val="12"/>
        <rFont val="Times New Roman"/>
        <family val="1"/>
      </rPr>
      <t>10 jun. 2016. Disponível em: &lt;http://www.agenciarmbh.mg.gov.br/concorrencia-publica-0032016-plano-de-mobilidade-da-regiao-metropolitano-de-belo-horizonte-2/&gt;. Acesso em: 22 jun. 2016.</t>
    </r>
  </si>
  <si>
    <t>2.6</t>
  </si>
  <si>
    <r>
      <t>emissão total de GEE em Belo Horizonte (em milhões de toneladas de CO</t>
    </r>
    <r>
      <rPr>
        <vertAlign val="subscript"/>
        <sz val="10"/>
        <color theme="1"/>
        <rFont val="Times New Roman"/>
        <family val="1"/>
      </rPr>
      <t>2</t>
    </r>
    <r>
      <rPr>
        <sz val="10"/>
        <color theme="1"/>
        <rFont val="Times New Roman"/>
        <family val="1"/>
      </rPr>
      <t xml:space="preserve">e)
</t>
    </r>
    <r>
      <rPr>
        <b/>
        <sz val="10"/>
        <color theme="1"/>
        <rFont val="Times New Roman"/>
        <family val="1"/>
      </rPr>
      <t xml:space="preserve">obs.1: </t>
    </r>
    <r>
      <rPr>
        <sz val="10"/>
        <color theme="1"/>
        <rFont val="Times New Roman"/>
        <family val="1"/>
      </rPr>
      <t xml:space="preserve">diferente do definido no SisMob-BH, a unidade "milhões de toneladas de CO2e" foi a escolhida pema SMMA/BH para anunciar os resultados oficiais do indicador EG conforme BH(2015a1/a2)
</t>
    </r>
    <r>
      <rPr>
        <b/>
        <sz val="10"/>
        <color theme="1"/>
        <rFont val="Times New Roman"/>
        <family val="1"/>
      </rPr>
      <t xml:space="preserve">obs.2: </t>
    </r>
    <r>
      <rPr>
        <sz val="10"/>
        <color theme="1"/>
        <rFont val="Times New Roman"/>
        <family val="1"/>
      </rPr>
      <t>como há pequenas divergências nos resultados apresentados nas fontes consultadas (BH, 2015a; 2015b), aqui foram escolhidos sempre os resultados da fonte que os apresenta mais desagregados (2.595.153 tCO</t>
    </r>
    <r>
      <rPr>
        <vertAlign val="subscript"/>
        <sz val="10"/>
        <color theme="1"/>
        <rFont val="Times New Roman"/>
        <family val="1"/>
      </rPr>
      <t>2</t>
    </r>
    <r>
      <rPr>
        <sz val="10"/>
        <color theme="1"/>
        <rFont val="Times New Roman"/>
        <family val="1"/>
      </rPr>
      <t>e  que é arredondado para 2,60 em vez de 2,59 para ano 2000 e 3.015.365 tCO</t>
    </r>
    <r>
      <rPr>
        <vertAlign val="subscript"/>
        <sz val="10"/>
        <color theme="1"/>
        <rFont val="Times New Roman"/>
        <family val="1"/>
      </rPr>
      <t>2</t>
    </r>
    <r>
      <rPr>
        <sz val="10"/>
        <color theme="1"/>
        <rFont val="Times New Roman"/>
        <family val="1"/>
      </rPr>
      <t>e que é arredondado para 3,02 em vez de 3,01 para ano 2005)</t>
    </r>
  </si>
  <si>
    <r>
      <t xml:space="preserve">metas municipais definidas no ano 2016 para o indicador "EG"
</t>
    </r>
    <r>
      <rPr>
        <b/>
        <sz val="10"/>
        <rFont val="Times New Roman"/>
        <family val="1"/>
      </rPr>
      <t xml:space="preserve">obs.1: </t>
    </r>
    <r>
      <rPr>
        <sz val="10"/>
        <rFont val="Times New Roman"/>
        <family val="1"/>
      </rPr>
      <t xml:space="preserve">atualização 2011-2013 do inventário de emissão de GEE define meta para 2030 e metas intermediárias que estão apresentadas em gráfico com valores contidos nos inventários e em projeções (business as usual e meta com redução) conforme BH(2015a1) corrigido conforme BH(2015a2, p.32)
</t>
    </r>
    <r>
      <rPr>
        <b/>
        <sz val="10"/>
        <rFont val="Times New Roman"/>
        <family val="1"/>
      </rPr>
      <t>obs.3:</t>
    </r>
    <r>
      <rPr>
        <sz val="10"/>
        <rFont val="Times New Roman"/>
        <family val="1"/>
      </rPr>
      <t xml:space="preserve"> os valores brutos das metas intermediárias anuais de 2008 a 2029, sem arredondamentos, aqui apresentados são os contidos em planilha enviada pela Gesia/SMMA/PBH ao SisMob-BH, a pedido, conforme BH(2015b5)
</t>
    </r>
    <r>
      <rPr>
        <b/>
        <sz val="10"/>
        <rFont val="Times New Roman"/>
        <family val="1"/>
      </rPr>
      <t xml:space="preserve">obs.4: </t>
    </r>
    <r>
      <rPr>
        <sz val="10"/>
        <rFont val="Times New Roman"/>
        <family val="1"/>
      </rPr>
      <t>os valores das metas anuais intermediárias começam em 2008 porque o ponto de partida é o ano 2007</t>
    </r>
  </si>
  <si>
    <t>EG
(gap da meta)</t>
  </si>
  <si>
    <r>
      <t>EG (em tCO</t>
    </r>
    <r>
      <rPr>
        <vertAlign val="subscript"/>
        <sz val="10"/>
        <color theme="1"/>
        <rFont val="Times New Roman"/>
        <family val="1"/>
      </rPr>
      <t>2</t>
    </r>
    <r>
      <rPr>
        <sz val="10"/>
        <color theme="1"/>
        <rFont val="Times New Roman"/>
        <family val="1"/>
      </rPr>
      <t>e) / 1.000.000</t>
    </r>
  </si>
  <si>
    <r>
      <t>EG (meta em tCO</t>
    </r>
    <r>
      <rPr>
        <vertAlign val="subscript"/>
        <sz val="10"/>
        <color theme="1"/>
        <rFont val="Times New Roman"/>
        <family val="1"/>
      </rPr>
      <t>2</t>
    </r>
    <r>
      <rPr>
        <sz val="10"/>
        <color theme="1"/>
        <rFont val="Times New Roman"/>
        <family val="1"/>
      </rPr>
      <t>e) / 1.000.000</t>
    </r>
  </si>
  <si>
    <r>
      <t xml:space="preserve">registro na fonte
ou
EG = </t>
    </r>
    <r>
      <rPr>
        <sz val="10"/>
        <color theme="1"/>
        <rFont val="Calibri"/>
        <family val="2"/>
      </rPr>
      <t>∑</t>
    </r>
    <r>
      <rPr>
        <sz val="10"/>
        <color theme="1"/>
        <rFont val="Times New Roman"/>
        <family val="1"/>
      </rPr>
      <t>escopos
ou
EG = ∑setores
ou
EG = ∑abrangências
ou
EG = EG aéreo + EG rodoviário + EG demais subsetores</t>
    </r>
  </si>
  <si>
    <r>
      <t>emissão total de GEE em Belo Horizonte (em toneladas de CO</t>
    </r>
    <r>
      <rPr>
        <vertAlign val="subscript"/>
        <sz val="10"/>
        <color theme="1"/>
        <rFont val="Times New Roman"/>
        <family val="1"/>
      </rPr>
      <t>2</t>
    </r>
    <r>
      <rPr>
        <sz val="10"/>
        <color theme="1"/>
        <rFont val="Times New Roman"/>
        <family val="1"/>
      </rPr>
      <t xml:space="preserve">e)
</t>
    </r>
    <r>
      <rPr>
        <b/>
        <sz val="10"/>
        <color theme="1"/>
        <rFont val="Times New Roman"/>
        <family val="1"/>
      </rPr>
      <t xml:space="preserve">obs.1: </t>
    </r>
    <r>
      <rPr>
        <sz val="10"/>
        <color theme="1"/>
        <rFont val="Times New Roman"/>
        <family val="1"/>
      </rPr>
      <t xml:space="preserve">este indicador e seus componentes, com suas fórmulas e metodologias de cálculo, estão descritos nos documentos consultados (BELO HORIZONTE, 2009, 2012a, 2015a)
</t>
    </r>
    <r>
      <rPr>
        <b/>
        <sz val="10"/>
        <color theme="1"/>
        <rFont val="Times New Roman"/>
        <family val="1"/>
      </rPr>
      <t xml:space="preserve">obs.2: </t>
    </r>
    <r>
      <rPr>
        <sz val="10"/>
        <color theme="1"/>
        <rFont val="Times New Roman"/>
        <family val="1"/>
      </rPr>
      <t xml:space="preserve">EG é apurado por escopo (1, 2, 3), por setor (unidades estacionárias, unidades móveis, resíduos), e por abrangência (governamentais e comunidade)
obs.: EG, no SisMob-BH é reagrupado por subsetor (rodoviário, aéreo, demais)
</t>
    </r>
    <r>
      <rPr>
        <b/>
        <sz val="10"/>
        <color theme="1"/>
        <rFont val="Times New Roman"/>
        <family val="1"/>
      </rPr>
      <t xml:space="preserve">obs.3: </t>
    </r>
    <r>
      <rPr>
        <sz val="10"/>
        <color theme="1"/>
        <rFont val="Times New Roman"/>
        <family val="1"/>
      </rPr>
      <t>no inventário de GEE de Belo Horizonte, que está contido em BH(2015a1/a2), os resultados de EG estão apresentados apenas em milhões de tCO2e (e não em tCO2e), o que levou à necessidade do SisMob-BH apurá-los buscando-se seus subtotais (de 2000 a 2007: EG = emissões da comunidade + emissões governamentais, onde EG comunidade é a soma dos subsetores "combustão móvel", "combustão estacionária", "eletricidade", "fugitivas", "mudança no uso do solo" e "resíduos"; de 2008 em diante: soma dos subsetores) nas demais fontes que são BH(2015b1/b2/b3/b4/b5)</t>
    </r>
  </si>
  <si>
    <r>
      <t>emissão total de GEE em Belo Horizonte (em milhões de toneladas de CO</t>
    </r>
    <r>
      <rPr>
        <vertAlign val="subscript"/>
        <sz val="10"/>
        <color theme="1"/>
        <rFont val="Times New Roman"/>
        <family val="1"/>
      </rPr>
      <t>2</t>
    </r>
    <r>
      <rPr>
        <sz val="10"/>
        <color theme="1"/>
        <rFont val="Times New Roman"/>
        <family val="1"/>
      </rPr>
      <t xml:space="preserve">e)
</t>
    </r>
    <r>
      <rPr>
        <b/>
        <sz val="10"/>
        <color theme="1"/>
        <rFont val="Times New Roman"/>
        <family val="1"/>
      </rPr>
      <t xml:space="preserve">obs.2: </t>
    </r>
    <r>
      <rPr>
        <sz val="10"/>
        <color theme="1"/>
        <rFont val="Times New Roman"/>
        <family val="1"/>
      </rPr>
      <t>como há divergências nos resultados apresentados nas diversas fontes consultadas (BH, 2015a1/a2; 2015b1/b2/b3/b4/b5) o SisMob-BH optou por sempre utilizar os resultados da fonte que os apresenta mais desagregados (2.595.153 tCO</t>
    </r>
    <r>
      <rPr>
        <vertAlign val="subscript"/>
        <sz val="10"/>
        <color theme="1"/>
        <rFont val="Times New Roman"/>
        <family val="1"/>
      </rPr>
      <t>2</t>
    </r>
    <r>
      <rPr>
        <sz val="10"/>
        <color theme="1"/>
        <rFont val="Times New Roman"/>
        <family val="1"/>
      </rPr>
      <t>e  arredondado para 2,60 em vez de 2,59 para ano 2000 e 3.015.365 tCO</t>
    </r>
    <r>
      <rPr>
        <vertAlign val="subscript"/>
        <sz val="10"/>
        <color theme="1"/>
        <rFont val="Times New Roman"/>
        <family val="1"/>
      </rPr>
      <t>2</t>
    </r>
    <r>
      <rPr>
        <sz val="10"/>
        <color theme="1"/>
        <rFont val="Times New Roman"/>
        <family val="1"/>
      </rPr>
      <t>e arredondado para 3,02 em vez de 3,01 para ano 2005)</t>
    </r>
  </si>
  <si>
    <t>Gráfico 51c - Evolução do gap (diferença entre meta e medição) relativo à emissão per capta de gases de efeito estufa (EG por habitante) em Belo Horizonte (2008 a 2013)</t>
  </si>
  <si>
    <t>Gráfico 51a - Evoluções das emissões de gases de efeito estufa (EG) em Belo Horizonte total e por subsetor (2000 a 2013)</t>
  </si>
  <si>
    <r>
      <rPr>
        <b/>
        <sz val="12"/>
        <color theme="1"/>
        <rFont val="Times New Roman"/>
        <family val="1"/>
      </rPr>
      <t xml:space="preserve">DENG-BECK(2015): </t>
    </r>
    <r>
      <rPr>
        <sz val="12"/>
        <color theme="1"/>
        <rFont val="Times New Roman"/>
        <family val="1"/>
      </rPr>
      <t xml:space="preserve">DENG-BECK, Chang; STADEN, Maryke van. </t>
    </r>
    <r>
      <rPr>
        <i/>
        <sz val="12"/>
        <color theme="1"/>
        <rFont val="Times New Roman"/>
        <family val="1"/>
      </rPr>
      <t>carbonn® Climate Registry - 5 Year Overview Report (2010 - 2015)</t>
    </r>
    <r>
      <rPr>
        <sz val="12"/>
        <color theme="1"/>
        <rFont val="Times New Roman"/>
        <family val="1"/>
      </rPr>
      <t>. Bonn: Bonn Center for Local Climate Action and Reporting (carbonn® Center); ICLEI – Local Governments for Sustainability. 2015. 36p. Disponível na em: &lt;http://e-lib.iclei.org/wp-content/uploads/2015/12/cCR2015_5Year_Report.pdf&gt;. Acesso em: 26 abr. 2016.</t>
    </r>
  </si>
  <si>
    <r>
      <t>emissão total de GEE em Curitiba (em milhões de toneladas de CO</t>
    </r>
    <r>
      <rPr>
        <vertAlign val="subscript"/>
        <sz val="10"/>
        <color theme="1"/>
        <rFont val="Times New Roman"/>
        <family val="1"/>
      </rPr>
      <t>2</t>
    </r>
    <r>
      <rPr>
        <sz val="10"/>
        <color theme="1"/>
        <rFont val="Times New Roman"/>
        <family val="1"/>
      </rPr>
      <t>e)</t>
    </r>
    <r>
      <rPr>
        <b/>
        <sz val="10"/>
        <color theme="1"/>
        <rFont val="Times New Roman"/>
        <family val="1"/>
      </rPr>
      <t/>
    </r>
  </si>
  <si>
    <r>
      <t>emissão total de GEE em Porto Alegre (em milhões de toneladas de CO</t>
    </r>
    <r>
      <rPr>
        <vertAlign val="subscript"/>
        <sz val="10"/>
        <color theme="1"/>
        <rFont val="Times New Roman"/>
        <family val="1"/>
      </rPr>
      <t>2</t>
    </r>
    <r>
      <rPr>
        <sz val="10"/>
        <color theme="1"/>
        <rFont val="Times New Roman"/>
        <family val="1"/>
      </rPr>
      <t>e)</t>
    </r>
    <r>
      <rPr>
        <b/>
        <sz val="10"/>
        <color theme="1"/>
        <rFont val="Times New Roman"/>
        <family val="1"/>
      </rPr>
      <t/>
    </r>
  </si>
  <si>
    <r>
      <t>percentual de diferença entre o valor estabelecido como meta para EG e o valor efetivamente medido do indicador "EG", ambos em tCO</t>
    </r>
    <r>
      <rPr>
        <vertAlign val="subscript"/>
        <sz val="10"/>
        <rFont val="Times New Roman"/>
        <family val="1"/>
      </rPr>
      <t>2</t>
    </r>
    <r>
      <rPr>
        <sz val="10"/>
        <rFont val="Times New Roman"/>
        <family val="1"/>
      </rPr>
      <t xml:space="preserve">e
</t>
    </r>
    <r>
      <rPr>
        <b/>
        <sz val="10"/>
        <rFont val="Times New Roman"/>
        <family val="1"/>
      </rPr>
      <t>obs.:</t>
    </r>
    <r>
      <rPr>
        <sz val="10"/>
        <rFont val="Times New Roman"/>
        <family val="1"/>
      </rPr>
      <t xml:space="preserve"> resultado negativo indica que o valor projetado como meta é menor que o valor calculado no inventário, ou seja, que a meta definida não foi alcançada no ano</t>
    </r>
  </si>
  <si>
    <r>
      <t>(EG (meta em 2016 em tCO</t>
    </r>
    <r>
      <rPr>
        <vertAlign val="subscript"/>
        <sz val="10"/>
        <color theme="1"/>
        <rFont val="Times New Roman"/>
        <family val="1"/>
      </rPr>
      <t>2</t>
    </r>
    <r>
      <rPr>
        <sz val="10"/>
        <color theme="1"/>
        <rFont val="Times New Roman"/>
        <family val="1"/>
      </rPr>
      <t>e) - EG (em tCO</t>
    </r>
    <r>
      <rPr>
        <vertAlign val="subscript"/>
        <sz val="10"/>
        <color theme="1"/>
        <rFont val="Times New Roman"/>
        <family val="1"/>
      </rPr>
      <t>2</t>
    </r>
    <r>
      <rPr>
        <sz val="10"/>
        <color theme="1"/>
        <rFont val="Times New Roman"/>
        <family val="1"/>
      </rPr>
      <t>e)) / EG (meta em 2016 em tCO</t>
    </r>
    <r>
      <rPr>
        <vertAlign val="subscript"/>
        <sz val="10"/>
        <color theme="1"/>
        <rFont val="Times New Roman"/>
        <family val="1"/>
      </rPr>
      <t>2</t>
    </r>
    <r>
      <rPr>
        <sz val="10"/>
        <color theme="1"/>
        <rFont val="Times New Roman"/>
        <family val="1"/>
      </rPr>
      <t>e)) x 100</t>
    </r>
  </si>
  <si>
    <t>Gráfico 51b - Evoluções das emissões totaia de gases de efeito estufa (EG e EG por habitante) em Belo Horizonte (2000 a 2013) e comparação com metas pós-2013 definidas em 2012 e em 2016</t>
  </si>
  <si>
    <r>
      <rPr>
        <b/>
        <sz val="12"/>
        <color theme="1"/>
        <rFont val="Times New Roman"/>
        <family val="1"/>
      </rPr>
      <t>IEMA (2015c):</t>
    </r>
    <r>
      <rPr>
        <sz val="12"/>
        <color theme="1"/>
        <rFont val="Times New Roman"/>
        <family val="1"/>
      </rPr>
      <t xml:space="preserve"> INSTITUTO DE ENERGIA E MEIO AMBIENTE - IEMA. </t>
    </r>
    <r>
      <rPr>
        <i/>
        <sz val="12"/>
        <color theme="1"/>
        <rFont val="Times New Roman"/>
        <family val="1"/>
      </rPr>
      <t>Plataforma da qualidade do ar. Saiba mais um pouco sobre os poluentes do ar</t>
    </r>
    <r>
      <rPr>
        <sz val="12"/>
        <color theme="1"/>
        <rFont val="Times New Roman"/>
        <family val="1"/>
      </rPr>
      <t xml:space="preserve">. Disponível em: &lt;http://www.energiaeambiente.org.br/index.php/2015/09/poluentes-do-ar/&gt;. Acesso em: 23 nov. 2015. </t>
    </r>
  </si>
  <si>
    <r>
      <rPr>
        <b/>
        <sz val="12"/>
        <color theme="1"/>
        <rFont val="Times New Roman"/>
        <family val="1"/>
      </rPr>
      <t>IEMA(2015a):</t>
    </r>
    <r>
      <rPr>
        <sz val="12"/>
        <color theme="1"/>
        <rFont val="Times New Roman"/>
        <family val="1"/>
      </rPr>
      <t xml:space="preserve"> INSTITUTO DE ENERGIA E MEIO AMBIENTE - IEMA. </t>
    </r>
    <r>
      <rPr>
        <i/>
        <sz val="12"/>
        <color theme="1"/>
        <rFont val="Times New Roman"/>
        <family val="1"/>
      </rPr>
      <t>Plataforma da qualidade do ar. Base de Dados da Plataforma de Qualidade do Ar (2000 - 2014)</t>
    </r>
    <r>
      <rPr>
        <sz val="12"/>
        <color theme="1"/>
        <rFont val="Times New Roman"/>
        <family val="1"/>
      </rPr>
      <t>. Setembro 2015. Planilha disponível em: &lt;http://www.qualidadedoar.org.br/&gt;. Acesso em: 22 nov. 2015.</t>
    </r>
  </si>
  <si>
    <r>
      <rPr>
        <b/>
        <sz val="12"/>
        <rFont val="Times New Roman"/>
        <family val="1"/>
      </rPr>
      <t>BH(1984a):</t>
    </r>
    <r>
      <rPr>
        <sz val="12"/>
        <rFont val="Times New Roman"/>
        <family val="1"/>
      </rPr>
      <t xml:space="preserve"> BELO HORIZONTE. Prefeitura. </t>
    </r>
    <r>
      <rPr>
        <i/>
        <sz val="12"/>
        <rFont val="Times New Roman"/>
        <family val="1"/>
      </rPr>
      <t>Lei n.º 3.753, de 25 de abril de 1984</t>
    </r>
    <r>
      <rPr>
        <sz val="12"/>
        <rFont val="Times New Roman"/>
        <family val="1"/>
      </rPr>
      <t>. Equipa os pontos de coletivos com rampas e degraus especiais para deficientes físicos. Disponível para consulta a partir de: &lt;http://www.cmbh.mg.gov.br/leis/legislacao/pesquisa&gt;. Acesso em: 23 maio 2016.</t>
    </r>
  </si>
  <si>
    <r>
      <rPr>
        <b/>
        <sz val="12"/>
        <rFont val="Times New Roman"/>
        <family val="1"/>
      </rPr>
      <t xml:space="preserve">BH(2003a1): </t>
    </r>
    <r>
      <rPr>
        <sz val="12"/>
        <rFont val="Times New Roman"/>
        <family val="1"/>
      </rPr>
      <t>BELO HORIZONTE. Câmara Municipal de Belo Horizonte. Projeto de Lei n.º 1.446/2003.  Estabelece regras de garantia ao acesso às pessoas portadoras de deficiência física no transporte coletivo por ônibus no município de Belo Horizonte. [este projeto originou a Proposição de Lei n° 664/03 que foi transformada, com veto parcial, na Lei n.º 8.686/2003]</t>
    </r>
  </si>
  <si>
    <r>
      <rPr>
        <b/>
        <sz val="12"/>
        <rFont val="Times New Roman"/>
        <family val="1"/>
      </rPr>
      <t xml:space="preserve">BH(2003a2): </t>
    </r>
    <r>
      <rPr>
        <sz val="12"/>
        <rFont val="Times New Roman"/>
        <family val="1"/>
      </rPr>
      <t>BELO HORIZONTE. Câmara Municipal de Belo Horizonte. Proposição de Lei n° 664/03 [esta proposição foi transformada, com veto parcial, na Lei n.º 8.686/2003]</t>
    </r>
  </si>
  <si>
    <r>
      <rPr>
        <b/>
        <sz val="12"/>
        <rFont val="Times New Roman"/>
        <family val="1"/>
      </rPr>
      <t xml:space="preserve">BH(2003a3): </t>
    </r>
    <r>
      <rPr>
        <sz val="12"/>
        <rFont val="Times New Roman"/>
        <family val="1"/>
      </rPr>
      <t xml:space="preserve">BELO HORIZONTE. Prefeitura. Lei n.º 8.686, de 14 de novembro de 2003. Dispõe sobre o acesso a veículo de transporte coletivo, nos casos que menciona. Razões do veto parcial. Belo Horizonte, </t>
    </r>
    <r>
      <rPr>
        <i/>
        <sz val="12"/>
        <rFont val="Times New Roman"/>
        <family val="1"/>
      </rPr>
      <t>Diário Oficial do Município - DOM</t>
    </r>
    <r>
      <rPr>
        <sz val="12"/>
        <rFont val="Times New Roman"/>
        <family val="1"/>
      </rPr>
      <t>, Ano IX - Edição n.º 1997, 17 nov. 2003. Poder Executivo. Secretaria Municipal de Governo. Disponível em: &lt;http://portal6.pbh.gov.br/dom/iniciaEdicao.do?method=DetalheArtigo&amp;pk=913827&gt;. Acesso em: 10 maio 2016.</t>
    </r>
  </si>
  <si>
    <r>
      <rPr>
        <b/>
        <sz val="12"/>
        <rFont val="Times New Roman"/>
        <family val="1"/>
      </rPr>
      <t>BH(2001c):</t>
    </r>
    <r>
      <rPr>
        <sz val="12"/>
        <rFont val="Times New Roman"/>
        <family val="1"/>
      </rPr>
      <t xml:space="preserve"> BELO HORIZONTE. Câmara Municipal. </t>
    </r>
    <r>
      <rPr>
        <i/>
        <sz val="12"/>
        <rFont val="Times New Roman"/>
        <family val="1"/>
      </rPr>
      <t>Projeto de Lei n.º 194/2001, de 13 de março de 2001</t>
    </r>
    <r>
      <rPr>
        <sz val="12"/>
        <rFont val="Times New Roman"/>
        <family val="1"/>
      </rPr>
      <t>. Dispõe sobre adaptação de veículos de transporte coletivo da cidade de Belo Horizonte. [este projeto originou a Proposição de Lei n° 280/2002 que foi integralmente vetada em 09/08/2002]</t>
    </r>
  </si>
  <si>
    <r>
      <rPr>
        <b/>
        <sz val="12"/>
        <rFont val="Times New Roman"/>
        <family val="1"/>
      </rPr>
      <t>BH(2002b):</t>
    </r>
    <r>
      <rPr>
        <sz val="12"/>
        <rFont val="Times New Roman"/>
        <family val="1"/>
      </rPr>
      <t xml:space="preserve"> BELO HORIZONTE. Câmara Municipal. </t>
    </r>
    <r>
      <rPr>
        <i/>
        <sz val="12"/>
        <rFont val="Times New Roman"/>
        <family val="1"/>
      </rPr>
      <t>Proposição de Lei n.º 280/2002, de 22 de julho de 2002.</t>
    </r>
    <r>
      <rPr>
        <sz val="12"/>
        <rFont val="Times New Roman"/>
        <family val="1"/>
      </rPr>
      <t xml:space="preserve"> Dispõe sobre adaptação de veículo de transporet coletivo. [originária do Projeto de Lei n.º 194/2001, foi integralmente vetada em 09/08/2002]</t>
    </r>
  </si>
  <si>
    <r>
      <rPr>
        <b/>
        <sz val="12"/>
        <color theme="1"/>
        <rFont val="Times New Roman"/>
        <family val="1"/>
      </rPr>
      <t>BH(1999c):</t>
    </r>
    <r>
      <rPr>
        <sz val="12"/>
        <color theme="1"/>
        <rFont val="Times New Roman"/>
        <family val="1"/>
      </rPr>
      <t xml:space="preserve"> BELO HORIZONTE. Câmara Municipal. Tramitação do Projeto de Lei n.º 782/1998, que gerou a Proposição de lei n.º 563/99, vetada totalmente pela PBH e promulgada pela CMBH após derrubada do veto como Lei n.º 7.765/1999.</t>
    </r>
  </si>
  <si>
    <r>
      <rPr>
        <b/>
        <sz val="12"/>
        <color theme="1"/>
        <rFont val="Times New Roman"/>
        <family val="1"/>
      </rPr>
      <t>BH(1999a):</t>
    </r>
    <r>
      <rPr>
        <sz val="12"/>
        <color theme="1"/>
        <rFont val="Times New Roman"/>
        <family val="1"/>
      </rPr>
      <t xml:space="preserve"> BELO HORIZONTE. Proposição de Lei n.º 563, de 20 de maio de 1999 - Razões do veto. Torna obrigatória a reserva de lugares nos coletivos para os casos que menciona.</t>
    </r>
    <r>
      <rPr>
        <i/>
        <sz val="12"/>
        <color theme="1"/>
        <rFont val="Times New Roman"/>
        <family val="1"/>
      </rPr>
      <t xml:space="preserve"> Diário Oficial do Município - DOM</t>
    </r>
    <r>
      <rPr>
        <sz val="12"/>
        <color theme="1"/>
        <rFont val="Times New Roman"/>
        <family val="1"/>
      </rPr>
      <t>, Belo Horizonte, Ano V - Edição n.º 890, 21 maio 1999. Poder Executivo. Secretaria Municipal de Governo - SMGO. Disponível em: &lt;http://portal6.pbh.gov.br/dom/iniciaEdicao.do?method=DetalheArtigo&amp;pk=864789&gt;. Acesso em: 10 maio 2016. [proposição originária do Projeto de Lei n.º 782/1998, vetada pela PBH e promulgada pela CMBH]</t>
    </r>
  </si>
  <si>
    <r>
      <rPr>
        <b/>
        <sz val="12"/>
        <color theme="1"/>
        <rFont val="Times New Roman"/>
        <family val="1"/>
      </rPr>
      <t>BH(1999b):</t>
    </r>
    <r>
      <rPr>
        <sz val="12"/>
        <color theme="1"/>
        <rFont val="Times New Roman"/>
        <family val="1"/>
      </rPr>
      <t xml:space="preserve"> BELO HORIZONTE. Câmara Municipal. Lei n.º 7.765, de 2 de julho de 1999. Torna obrigatória a reserva de lugares nos coletivos para os casos que menciona.</t>
    </r>
    <r>
      <rPr>
        <i/>
        <sz val="12"/>
        <color theme="1"/>
        <rFont val="Times New Roman"/>
        <family val="1"/>
      </rPr>
      <t xml:space="preserve"> Diário Oficial do Município - DOM</t>
    </r>
    <r>
      <rPr>
        <sz val="12"/>
        <color theme="1"/>
        <rFont val="Times New Roman"/>
        <family val="1"/>
      </rPr>
      <t>, Belo Horizonte, Ano V - Edição n.º 921, 7 jul. 1999. Poder Legislativo. Câmara Municipal. p.11. Disponível em: &lt;http://portal6.pbh.gov.br/dom/iniciaEdicao.do?method=DetalheArtigo&amp;pk=866119&gt;. Acesso em: 5 maio 2016. [lei originária do Projeto de Lei n.º 782/1998, com proposição 563/1999 vetada pela PBH e promulgada pela CMBH]</t>
    </r>
  </si>
  <si>
    <r>
      <rPr>
        <b/>
        <sz val="12"/>
        <rFont val="Times New Roman"/>
        <family val="1"/>
      </rPr>
      <t>BH(2016f):</t>
    </r>
    <r>
      <rPr>
        <sz val="12"/>
        <rFont val="Times New Roman"/>
        <family val="1"/>
      </rPr>
      <t xml:space="preserve"> BELO HORIZONTE. Prefeitura. Sala de Notícias .</t>
    </r>
    <r>
      <rPr>
        <i/>
        <sz val="12"/>
        <rFont val="Times New Roman"/>
        <family val="1"/>
      </rPr>
      <t xml:space="preserve"> Mostra retrata a rotina no transporte coletivo</t>
    </r>
    <r>
      <rPr>
        <sz val="12"/>
        <rFont val="Times New Roman"/>
        <family val="1"/>
      </rPr>
      <t>. Belo Horizonte, 25 maio 2016. Disponível em: &lt;http://portalpbh.pbh.gov.br/pbh/ecp/noticia.do?evento=portlet&amp;pAc=not&amp;idConteudo=235697&amp;pIdPlc=&amp;app=salanoticias&gt;. Acesso em: 22 jun. 2016.</t>
    </r>
  </si>
  <si>
    <t>do ônibus</t>
  </si>
  <si>
    <t>"A Prefeitura, por meio da Fundação Municipal de Cultura (FMC), apresenta a exposição ‘Do Ônibus’, em cartaz até esta terça-feira, dia 31 [de junho de 2016], no Centro Cultural Alto Vera Cruz (Rua Padre Júlio Maria, 1577 – Bairro Vera Cruz). O trabalho do fotógrafo Ricardo Laf retrata a rotina dos passageiros que utilizam o transporte público de casa para o trabalho e do trabalho para casa." conforme BH(2016f)</t>
  </si>
  <si>
    <r>
      <rPr>
        <b/>
        <sz val="12"/>
        <rFont val="Times New Roman"/>
        <family val="1"/>
      </rPr>
      <t>ANDRÉS(2016a):</t>
    </r>
    <r>
      <rPr>
        <sz val="12"/>
        <rFont val="Times New Roman"/>
        <family val="1"/>
      </rPr>
      <t xml:space="preserve"> ANDRÉS, Roberto. Abrir as portas da prefeitura. </t>
    </r>
    <r>
      <rPr>
        <i/>
        <sz val="12"/>
        <rFont val="Times New Roman"/>
        <family val="1"/>
      </rPr>
      <t xml:space="preserve">O Tempo, </t>
    </r>
    <r>
      <rPr>
        <sz val="12"/>
        <rFont val="Times New Roman"/>
        <family val="1"/>
      </rPr>
      <t>Belo Horizonte, 23 jun. 21016. 1º Caderno. p 26.</t>
    </r>
  </si>
  <si>
    <t>acessibilidade a edifícios públicos</t>
  </si>
  <si>
    <t>a acessibilidade ao edifício-sede da Prefeitura de Belo Horizonte, construído em 1938, é analisada em ANDRÉS(2016a)</t>
  </si>
  <si>
    <r>
      <rPr>
        <b/>
        <sz val="10"/>
        <color theme="1"/>
        <rFont val="Times New Roman"/>
        <family val="1"/>
      </rPr>
      <t>obs.:</t>
    </r>
    <r>
      <rPr>
        <sz val="10"/>
        <color theme="1"/>
        <rFont val="Times New Roman"/>
        <family val="1"/>
      </rPr>
      <t xml:space="preserve"> Estas informações são uma pequena parte do que começou a ser publicado em 20/06/2013 no seguinte assunto do SisMob-BH: 8) Sistema de transporte motorizado público / 8.4) Táxi. A partir de 10/08/2015 todas as tabelas e quadros até então publicados no SisMob-BH foram substituídos pelos </t>
    </r>
    <r>
      <rPr>
        <i/>
        <sz val="10"/>
        <color theme="1"/>
        <rFont val="Times New Roman"/>
        <family val="1"/>
      </rPr>
      <t xml:space="preserve">Quadros 100a/b/c - Dados abertos do SisMob-BH. </t>
    </r>
    <r>
      <rPr>
        <sz val="10"/>
        <color theme="1"/>
        <rFont val="Times New Roman"/>
        <family val="1"/>
      </rPr>
      <t>Os gráficos, por sua vez, foram republicados com novas numerações. Caso você necessite de mais informações, acesse esses quadros ou entre em contato com o Observatório da Mobilidade de Belo Horizonte - ObsMob-BH por meio do Fale Conosco da BHTrans.</t>
    </r>
  </si>
  <si>
    <t>sub-total gestão BHTrans</t>
  </si>
  <si>
    <t>TX esp gt</t>
  </si>
  <si>
    <r>
      <t xml:space="preserve">n.º de veículos da frota de táxi na modalidade "especial" sob a gestão da BHTrans
</t>
    </r>
    <r>
      <rPr>
        <b/>
        <sz val="10"/>
        <color theme="1"/>
        <rFont val="Times New Roman"/>
        <family val="1"/>
      </rPr>
      <t xml:space="preserve">obs.1: </t>
    </r>
    <r>
      <rPr>
        <sz val="10"/>
        <color theme="1"/>
        <rFont val="Times New Roman"/>
        <family val="1"/>
      </rPr>
      <t xml:space="preserve">essa categoria foi criada em dezembro de 2011 pela BHTrans com o objetivo de oferecer um serviço de melhor qualidade que o prestado pelas demais categorias
</t>
    </r>
    <r>
      <rPr>
        <b/>
        <sz val="10"/>
        <color theme="1"/>
        <rFont val="Times New Roman"/>
        <family val="1"/>
      </rPr>
      <t>obs.2:</t>
    </r>
    <r>
      <rPr>
        <sz val="10"/>
        <color theme="1"/>
        <rFont val="Times New Roman"/>
        <family val="1"/>
      </rPr>
      <t xml:space="preserve"> esta categoria é denominada "táxi especial/luxo" em ANTP(2003a, p.15 - item 2.4.1)
</t>
    </r>
    <r>
      <rPr>
        <b/>
        <sz val="10"/>
        <color theme="1"/>
        <rFont val="Times New Roman"/>
        <family val="1"/>
      </rPr>
      <t xml:space="preserve">obs.3: </t>
    </r>
    <r>
      <rPr>
        <sz val="10"/>
        <color theme="1"/>
        <rFont val="Times New Roman"/>
        <family val="1"/>
      </rPr>
      <t>em 2014 eles são apenas de Belo Horizonte e Ribeirão das Neves (TX esp = TX esp praça integrada = TX esp gestão BHTrans</t>
    </r>
  </si>
  <si>
    <t>TX lot gt</t>
  </si>
  <si>
    <t>convencional</t>
  </si>
  <si>
    <t>especial</t>
  </si>
  <si>
    <t>lotação</t>
  </si>
  <si>
    <t>Gráfico 84b - Distribuição da frota da praça integrada de táxi de Belo Horizonte por município e por modalidade de serviço (2014 e 2015)</t>
  </si>
  <si>
    <t>Gráfico 84a - Evoluções das quantidades de veículos e de condutores auxiliares do serviço de táxi sob a gestão da BHTrans (2006-2015)</t>
  </si>
  <si>
    <t>n.º de táxis por mil habitantes nas cidades brasileiras com mais de um milhão de habitantes
obs.: resultado de 2013 conforme ANTP(2015a, p.82)</t>
  </si>
  <si>
    <t>n.º de táxis por mil habitantes nas cidades brasileiras população entre 500 mil e um milhão de habitantes
obs.: resultado de 2013 conforme ANTP(2015a, p.82)</t>
  </si>
  <si>
    <t>n.º de táxis por mil habitantes nas cidades brasileiras população entre 250 e 500 mil habitantes
obs.: resultado de 2013 conforme ANTP(2015a, p.82)</t>
  </si>
  <si>
    <t>n.º de táxis por mil habitantes nas cidades brasileiras população entre 100 e 250 mil habitantes
obs.: resultado de 2013 conforme ANTP(2015a, p.82)</t>
  </si>
  <si>
    <t>n.º de táxis por mil habitantes nas cidades brasileiras população entre 60 e 100 mil habitantes
obs.: resultado de 2013 conforme ANTP(2015a, p.82)</t>
  </si>
  <si>
    <t>n.º de táxis por mil habitantes nas cidades brasileiras
obs.: resultado de 2013 conforme ANTP(2015a, p.82)</t>
  </si>
  <si>
    <t>&gt; 1 milhão habitantes</t>
  </si>
  <si>
    <t>500 mil a 1 milhão habitantes</t>
  </si>
  <si>
    <t>250 a 500 mil habitantes)</t>
  </si>
  <si>
    <t>100 a 250 mil habitantes</t>
  </si>
  <si>
    <t>60 a 100 mil habitantes</t>
  </si>
  <si>
    <t>Gráfico 84c - Comparação de "n.º de táxis por mil habitantes" de Belo Horizonte (2014) com referenciais externos de cidades brasileiras (2013)</t>
  </si>
  <si>
    <r>
      <rPr>
        <b/>
        <sz val="12"/>
        <rFont val="Times New Roman"/>
        <family val="1"/>
      </rPr>
      <t>BH(2002d):</t>
    </r>
    <r>
      <rPr>
        <sz val="12"/>
        <rFont val="Times New Roman"/>
        <family val="1"/>
      </rPr>
      <t xml:space="preserve"> BELO HORIZONTE. Prefeitura. </t>
    </r>
    <r>
      <rPr>
        <i/>
        <sz val="12"/>
        <rFont val="Times New Roman"/>
        <family val="1"/>
      </rPr>
      <t>Veto e razões do veto à Proposição de Lei n.º 280/2002.</t>
    </r>
    <r>
      <rPr>
        <sz val="12"/>
        <rFont val="Times New Roman"/>
        <family val="1"/>
      </rPr>
      <t xml:space="preserve"> Belo Horizonte, 9 ago. 2002 [tramitação completa do Projeto de Lei n.º 194/2001, sua transformação em Proposição de Lei n.º 280/2002, veto integral do prefeito em 09/08/2002 e sua conclusão, mantido o veto, na CMBH em 11/09/2002]</t>
    </r>
  </si>
  <si>
    <r>
      <rPr>
        <b/>
        <sz val="12"/>
        <rFont val="Times New Roman"/>
        <family val="1"/>
      </rPr>
      <t xml:space="preserve">BH(1998b): </t>
    </r>
    <r>
      <rPr>
        <sz val="12"/>
        <rFont val="Times New Roman"/>
        <family val="1"/>
      </rPr>
      <t>BELO HORIZONTE. Câmara Municipal. Projeto de Lei n.º 782/1998. [transformada em Proposição de Lei n.º 563/1999 e na Lei n.º 7.765/1999] faltando encontrar</t>
    </r>
  </si>
  <si>
    <r>
      <rPr>
        <b/>
        <sz val="12"/>
        <rFont val="Times New Roman"/>
        <family val="1"/>
      </rPr>
      <t>ABNT(2011c):</t>
    </r>
    <r>
      <rPr>
        <sz val="12"/>
        <rFont val="Times New Roman"/>
        <family val="1"/>
      </rPr>
      <t xml:space="preserve"> ABNT - ASSOCIAÇÃO BRASILEIRA DE NORMAS TÉCNICAS. </t>
    </r>
    <r>
      <rPr>
        <i/>
        <sz val="12"/>
        <rFont val="Times New Roman"/>
        <family val="1"/>
      </rPr>
      <t>NBR 15570: Transporte - Especificações técnicas para fabricação de veículos de características urbanas para transporte coletivo de passageiros</t>
    </r>
    <r>
      <rPr>
        <sz val="12"/>
        <rFont val="Times New Roman"/>
        <family val="1"/>
      </rPr>
      <t>. 3.ed. Rio de Janeiro: ABNT, 2011. __p. [terceira edição de 06/01/2011; válida a partir de 06/02/2011]. não encontrada na internet para baixar na busca em 28 abr. 2016.</t>
    </r>
  </si>
  <si>
    <r>
      <rPr>
        <b/>
        <sz val="12"/>
        <rFont val="Times New Roman"/>
        <family val="1"/>
      </rPr>
      <t>ABNT(2008a):</t>
    </r>
    <r>
      <rPr>
        <sz val="12"/>
        <rFont val="Times New Roman"/>
        <family val="1"/>
      </rPr>
      <t xml:space="preserve"> ABNT - ASSOCIAÇÃO BRASILEIRA DE NORMAS TÉCNICAS. </t>
    </r>
    <r>
      <rPr>
        <i/>
        <sz val="12"/>
        <rFont val="Times New Roman"/>
        <family val="1"/>
      </rPr>
      <t>NBR 15570: ___</t>
    </r>
    <r>
      <rPr>
        <sz val="12"/>
        <rFont val="Times New Roman"/>
        <family val="1"/>
      </rPr>
      <t>. 1ª edição. não encontrada na internet para baixar na busca em 28 abr. 2016.</t>
    </r>
  </si>
  <si>
    <r>
      <rPr>
        <b/>
        <sz val="12"/>
        <rFont val="Times New Roman"/>
        <family val="1"/>
      </rPr>
      <t xml:space="preserve">BH(1999d): </t>
    </r>
    <r>
      <rPr>
        <sz val="12"/>
        <rFont val="Times New Roman"/>
        <family val="1"/>
      </rPr>
      <t>BELO HORIZONTE. Câmara Municipal. Projeto de Lei (fev.1999) propõe a criação de "serviço de transporte alternativo para atender ao portador de deficiência física" (faltando encontrar)</t>
    </r>
  </si>
  <si>
    <t xml:space="preserve">BHTRANS(2012b): </t>
  </si>
  <si>
    <r>
      <rPr>
        <b/>
        <sz val="12"/>
        <rFont val="Times New Roman"/>
        <family val="1"/>
      </rPr>
      <t xml:space="preserve">BHTRANS(2012c): </t>
    </r>
    <r>
      <rPr>
        <sz val="12"/>
        <rFont val="Times New Roman"/>
        <family val="1"/>
      </rPr>
      <t xml:space="preserve">EMPRESA DE TRANSPORTES E TRÂNSITO DE BELO HORIZONTE S.A - BHTRANS. Gerência de Contratos de Concessão e Tarifas - Gecet/DTP. </t>
    </r>
    <r>
      <rPr>
        <i/>
        <sz val="12"/>
        <rFont val="Times New Roman"/>
        <family val="1"/>
      </rPr>
      <t>Portal interno  - planilha dados transporte coletivo - Anuário 2012</t>
    </r>
    <r>
      <rPr>
        <sz val="12"/>
        <rFont val="Times New Roman"/>
        <family val="1"/>
      </rPr>
      <t>. faltando baixar</t>
    </r>
  </si>
  <si>
    <r>
      <rPr>
        <b/>
        <sz val="12"/>
        <color theme="1"/>
        <rFont val="Times New Roman"/>
        <family val="1"/>
      </rPr>
      <t xml:space="preserve">BHTRANS(2013d): </t>
    </r>
    <r>
      <rPr>
        <sz val="12"/>
        <color theme="1"/>
        <rFont val="Times New Roman"/>
        <family val="1"/>
      </rPr>
      <t xml:space="preserve">EMPRESA DE TRANSPORTES E TRÂNSITO DE BELO HORIZONTE S.A - BHTRANS. Gerência de Gestão de Pessoas - Gespe/DAF (atual Geape/DAD). </t>
    </r>
    <r>
      <rPr>
        <i/>
        <sz val="12"/>
        <color theme="1"/>
        <rFont val="Times New Roman"/>
        <family val="1"/>
      </rPr>
      <t>Portal interno - Relatórios Anuais GESPE - Relatório de Atividades 2012</t>
    </r>
    <r>
      <rPr>
        <sz val="12"/>
        <color theme="1"/>
        <rFont val="Times New Roman"/>
        <family val="1"/>
      </rPr>
      <t>. Belo Horizonte: BHTrans, 2013. faltando baixar</t>
    </r>
  </si>
  <si>
    <r>
      <rPr>
        <b/>
        <sz val="12"/>
        <color theme="1"/>
        <rFont val="Times New Roman"/>
        <family val="1"/>
      </rPr>
      <t xml:space="preserve">BHTRANS(2014c): </t>
    </r>
    <r>
      <rPr>
        <sz val="12"/>
        <color theme="1"/>
        <rFont val="Times New Roman"/>
        <family val="1"/>
      </rPr>
      <t xml:space="preserve">EMPRESA DE TRANSPORTES E TRÂNSITO DE BELO HORIZONTE S/A - BHTRANS. Gerência de Pesquisa, Informação e Inovação - Gepin/DPL. </t>
    </r>
    <r>
      <rPr>
        <i/>
        <sz val="12"/>
        <color theme="1"/>
        <rFont val="Times New Roman"/>
        <family val="1"/>
      </rPr>
      <t>Planilha de monitoramento dos acidentes do Projeto Vida no Trânsito para o período 2010-2013 - base de dados da Secretaria Municipal de Saúde de BH (anexa a e-mail para SisMob-BH)</t>
    </r>
    <r>
      <rPr>
        <sz val="12"/>
        <color theme="1"/>
        <rFont val="Times New Roman"/>
        <family val="1"/>
      </rPr>
      <t>. Belo Horizonte, 25/11/2014. faltando baixar</t>
    </r>
  </si>
  <si>
    <r>
      <rPr>
        <b/>
        <sz val="12"/>
        <color theme="1"/>
        <rFont val="Times New Roman"/>
        <family val="1"/>
      </rPr>
      <t xml:space="preserve">BHTRANS(2014d): </t>
    </r>
    <r>
      <rPr>
        <sz val="12"/>
        <color theme="1"/>
        <rFont val="Times New Roman"/>
        <family val="1"/>
      </rPr>
      <t xml:space="preserve">EMPRESA DE TRANSPORTES E TRÂNSITO DE BELO HORIZONTE S.A - BHTRANS. Gerência de Pesquisa, Informação e Inovação - Gepin/DPL. </t>
    </r>
    <r>
      <rPr>
        <i/>
        <sz val="12"/>
        <color theme="1"/>
        <rFont val="Times New Roman"/>
        <family val="1"/>
      </rPr>
      <t>Informações sobre acidentes de trânsito com vítimas no município de Belo Horizonte - ano 2013</t>
    </r>
    <r>
      <rPr>
        <sz val="12"/>
        <color theme="1"/>
        <rFont val="Times New Roman"/>
        <family val="1"/>
      </rPr>
      <t>. Belo Horizonte, setembro 2014. 40p. faltando baixar</t>
    </r>
  </si>
  <si>
    <r>
      <rPr>
        <b/>
        <sz val="12"/>
        <rFont val="Times New Roman"/>
        <family val="1"/>
      </rPr>
      <t>BHTRANS(2015f):</t>
    </r>
    <r>
      <rPr>
        <sz val="12"/>
        <rFont val="Times New Roman"/>
        <family val="1"/>
      </rPr>
      <t xml:space="preserve"> EMPRESA DE TRANSPORTES E TRÂNSITO DE BELO HORIZONTE S.A - BHTRANS. Portal interno da Gerência de Diretrizes Viárias - Gediv/DPL. </t>
    </r>
    <r>
      <rPr>
        <i/>
        <sz val="12"/>
        <rFont val="Times New Roman"/>
        <family val="1"/>
      </rPr>
      <t xml:space="preserve">Histórico dos balanços [2011-2012] </t>
    </r>
    <r>
      <rPr>
        <sz val="12"/>
        <rFont val="Times New Roman"/>
        <family val="1"/>
      </rPr>
      <t xml:space="preserve">e </t>
    </r>
    <r>
      <rPr>
        <i/>
        <sz val="12"/>
        <rFont val="Times New Roman"/>
        <family val="1"/>
      </rPr>
      <t>Balanços e gráficos de desempenho das análises [2013-2014]: diretrizes diversas, postos de abastecimento, empreendimentos de impacto, projetos viários</t>
    </r>
    <r>
      <rPr>
        <sz val="12"/>
        <rFont val="Times New Roman"/>
        <family val="1"/>
      </rPr>
      <t>. Belo Horizonte: BHtrans. Acesso em: 15/06/2015. faltando baixar</t>
    </r>
  </si>
  <si>
    <r>
      <rPr>
        <b/>
        <sz val="12"/>
        <color theme="1"/>
        <rFont val="Times New Roman"/>
        <family val="1"/>
      </rPr>
      <t xml:space="preserve">BHTRANS(2015h): </t>
    </r>
    <r>
      <rPr>
        <sz val="12"/>
        <color theme="1"/>
        <rFont val="Times New Roman"/>
        <family val="1"/>
      </rPr>
      <t xml:space="preserve">EMPRESA DE TRANSPORTES E TRÂNSITO DE BELO HORIZONTE S/A - BHTRANS. Portal interno da Gerência de Educação para a Mobilidade - Geduc/DSV. </t>
    </r>
    <r>
      <rPr>
        <i/>
        <sz val="12"/>
        <color theme="1"/>
        <rFont val="Times New Roman"/>
        <family val="1"/>
      </rPr>
      <t>Dados Quantitativos dos Atendimentos GEDUC</t>
    </r>
    <r>
      <rPr>
        <sz val="12"/>
        <color theme="1"/>
        <rFont val="Times New Roman"/>
        <family val="1"/>
      </rPr>
      <t>. Belo Horizonte: BHTrans, 4 set. 2014 (relatório 2005 a 2008, 2009, 2010, 2011, 2012); 20 out.2015 (relatório 2013). faltando baixar</t>
    </r>
  </si>
  <si>
    <r>
      <rPr>
        <b/>
        <sz val="12"/>
        <color theme="1"/>
        <rFont val="Times New Roman"/>
        <family val="1"/>
      </rPr>
      <t>BHTRANS(2015j):</t>
    </r>
    <r>
      <rPr>
        <sz val="12"/>
        <color theme="1"/>
        <rFont val="Times New Roman"/>
        <family val="1"/>
      </rPr>
      <t xml:space="preserve"> EMPRESA DE TRANSPORTES E TRÂNSITO DE BELO HORIZONTE S.A - BHTRANS. Gerência de Atendimento ao Usuário - Geatu/DTP. </t>
    </r>
    <r>
      <rPr>
        <i/>
        <sz val="12"/>
        <color theme="1"/>
        <rFont val="Times New Roman"/>
        <family val="1"/>
      </rPr>
      <t>email para SisMob-BH em 03/03/2015</t>
    </r>
    <r>
      <rPr>
        <sz val="12"/>
        <color theme="1"/>
        <rFont val="Times New Roman"/>
        <family val="1"/>
      </rPr>
      <t>. faltando baixar.</t>
    </r>
  </si>
  <si>
    <r>
      <rPr>
        <b/>
        <sz val="12"/>
        <color theme="1"/>
        <rFont val="Times New Roman"/>
        <family val="1"/>
      </rPr>
      <t>BHTRANS(2015k):</t>
    </r>
    <r>
      <rPr>
        <sz val="12"/>
        <color theme="1"/>
        <rFont val="Times New Roman"/>
        <family val="1"/>
      </rPr>
      <t xml:space="preserve"> EMPRESA DE TRANSPORTES E TRÂNSITO DE BELO HORIZONTE S.A - BHTRANS. Portal interno da Gerência de Estacionamentos e Logística Urbana - Gelog/DTP (antiga Geest/DDI). </t>
    </r>
    <r>
      <rPr>
        <i/>
        <sz val="12"/>
        <color theme="1"/>
        <rFont val="Times New Roman"/>
        <family val="1"/>
      </rPr>
      <t>Relatório anual</t>
    </r>
    <r>
      <rPr>
        <sz val="12"/>
        <color theme="1"/>
        <rFont val="Times New Roman"/>
        <family val="1"/>
      </rPr>
      <t>. faltando baixar.</t>
    </r>
  </si>
  <si>
    <r>
      <rPr>
        <b/>
        <sz val="12"/>
        <color theme="1"/>
        <rFont val="Times New Roman"/>
        <family val="1"/>
      </rPr>
      <t>BHTRANS(2015n):</t>
    </r>
    <r>
      <rPr>
        <sz val="12"/>
        <color theme="1"/>
        <rFont val="Times New Roman"/>
        <family val="1"/>
      </rPr>
      <t xml:space="preserve"> EMPRESA DE TRANSPORTES E TRÂNSITO DE BELO HORIZONTE S.A - BHTRANS. Gerência de Semáforos - Gesem/DSV. </t>
    </r>
    <r>
      <rPr>
        <i/>
        <sz val="12"/>
        <color theme="1"/>
        <rFont val="Times New Roman"/>
        <family val="1"/>
      </rPr>
      <t>Planilha Consumo de energia elétrica - email para SisMob-BH de 30/03/2015.faltando baixar.</t>
    </r>
  </si>
  <si>
    <r>
      <rPr>
        <b/>
        <sz val="12"/>
        <color theme="1"/>
        <rFont val="Times New Roman"/>
        <family val="1"/>
      </rPr>
      <t>BHTRANS(2015m):</t>
    </r>
    <r>
      <rPr>
        <sz val="12"/>
        <color theme="1"/>
        <rFont val="Times New Roman"/>
        <family val="1"/>
      </rPr>
      <t xml:space="preserve"> EMPRESA DE TRANSPORTES E TRÂNSITO DE BELO HORIZONTE S.A - BHTRANS. Gerência de Estacionamentos e Logística Urbana - Gelog/DTP. </t>
    </r>
    <r>
      <rPr>
        <i/>
        <sz val="12"/>
        <color theme="1"/>
        <rFont val="Times New Roman"/>
        <family val="1"/>
      </rPr>
      <t>email para SisMob-BH de 22/02/2015.faltando baixar.</t>
    </r>
  </si>
  <si>
    <r>
      <rPr>
        <b/>
        <sz val="12"/>
        <color theme="1"/>
        <rFont val="Times New Roman"/>
        <family val="1"/>
      </rPr>
      <t xml:space="preserve">BHTRANS(2015s): </t>
    </r>
    <r>
      <rPr>
        <sz val="12"/>
        <color theme="1"/>
        <rFont val="Times New Roman"/>
        <family val="1"/>
      </rPr>
      <t xml:space="preserve">EMPRESA DE TRANSPORTES E TRÂNSITO DE BELO HORIZONTE S.A - BHTRANS. Gerência de Estudos Tarifários - Gecet/DTP. </t>
    </r>
    <r>
      <rPr>
        <i/>
        <sz val="12"/>
        <color theme="1"/>
        <rFont val="Times New Roman"/>
        <family val="1"/>
      </rPr>
      <t>Relatório "Cartões ativos por categoria" do Controlador Inteligente de Transporte - Cit-Bus</t>
    </r>
    <r>
      <rPr>
        <sz val="12"/>
        <color theme="1"/>
        <rFont val="Times New Roman"/>
        <family val="1"/>
      </rPr>
      <t>. Extração às 09h21 de 27/08/2015. faltando baixar.</t>
    </r>
  </si>
  <si>
    <r>
      <rPr>
        <b/>
        <sz val="12"/>
        <rFont val="Times New Roman"/>
        <family val="1"/>
      </rPr>
      <t xml:space="preserve">BHTRANS(2016f): </t>
    </r>
    <r>
      <rPr>
        <sz val="12"/>
        <rFont val="Times New Roman"/>
        <family val="1"/>
      </rPr>
      <t xml:space="preserve">EMPRESA DE TRANSPORTES E TRÂNSITO DE BELO HORIZONTE S.A - BHTRANS. Sistema de Informações da Mobilidade Urbana de Belo Horizonte - SisMob-BH. </t>
    </r>
    <r>
      <rPr>
        <i/>
        <sz val="12"/>
        <rFont val="Times New Roman"/>
        <family val="1"/>
      </rPr>
      <t>Compilação de resultados sobre a frota da RIT de Curitiba gerenciada pela URBS</t>
    </r>
    <r>
      <rPr>
        <sz val="12"/>
        <rFont val="Times New Roman"/>
        <family val="1"/>
      </rPr>
      <t>. Belo Horizonte, 28 abr. 2016. (planilha elaborada com base em ONIBUS DE CURITIBA, 2015; URBS, 2016b; 2016c; 2016d) - provisoriamente acesse Tabela 810_FrotaCuritiba</t>
    </r>
  </si>
  <si>
    <r>
      <rPr>
        <b/>
        <sz val="12"/>
        <color rgb="FF222222"/>
        <rFont val="Times New Roman"/>
        <family val="1"/>
      </rPr>
      <t xml:space="preserve">BITOUN(2009): </t>
    </r>
    <r>
      <rPr>
        <sz val="12"/>
        <color rgb="FF222222"/>
        <rFont val="Times New Roman"/>
        <family val="1"/>
      </rPr>
      <t>BITOUN, Jan; MIRANDA, Lívia (Orgs.). </t>
    </r>
    <r>
      <rPr>
        <i/>
        <sz val="12"/>
        <color rgb="FF222222"/>
        <rFont val="Times New Roman"/>
        <family val="1"/>
      </rPr>
      <t>Tipologia das cidades brasileiras</t>
    </r>
    <r>
      <rPr>
        <sz val="12"/>
        <color rgb="FF222222"/>
        <rFont val="Times New Roman"/>
        <family val="1"/>
      </rPr>
      <t>. 2.ed. Rio de Janeiro: Letra Capital: Observatório das Metrópoles, 2009. 270p. (Conjuntura Urbana, 2). Disponível em: &lt;http://www.observatoriodasmetropoles.net/new/images/abook_file/Vol2_tipologia_cidades_brasileiras.pdf&gt;. Acesso em: 23 maio 2016.</t>
    </r>
  </si>
  <si>
    <r>
      <rPr>
        <b/>
        <sz val="12"/>
        <rFont val="Times New Roman"/>
        <family val="1"/>
      </rPr>
      <t>CAF(2016):</t>
    </r>
    <r>
      <rPr>
        <sz val="12"/>
        <rFont val="Times New Roman"/>
        <family val="1"/>
      </rPr>
      <t xml:space="preserve"> BANCO DE DESAROLLO DE AMÉRICA LATINA - CAF. </t>
    </r>
    <r>
      <rPr>
        <i/>
        <sz val="12"/>
        <rFont val="Times New Roman"/>
        <family val="1"/>
      </rPr>
      <t>Observatorio de Movilidad para América Latina</t>
    </r>
    <r>
      <rPr>
        <sz val="12"/>
        <rFont val="Times New Roman"/>
        <family val="1"/>
      </rPr>
      <t>. Bogotá: CAF, 2016. (em breve).</t>
    </r>
  </si>
  <si>
    <r>
      <rPr>
        <b/>
        <sz val="12"/>
        <rFont val="Times New Roman"/>
        <family val="1"/>
      </rPr>
      <t xml:space="preserve">OLIVEIRA(2016f): </t>
    </r>
    <r>
      <rPr>
        <sz val="12"/>
        <rFont val="Times New Roman"/>
        <family val="1"/>
      </rPr>
      <t xml:space="preserve">OLIVEIRA, Marcos Fontoura de. Ônibus sem facilidade operando em São Paulo. </t>
    </r>
    <r>
      <rPr>
        <i/>
        <sz val="12"/>
        <rFont val="Times New Roman"/>
        <family val="1"/>
      </rPr>
      <t>Blogspot Biblioteca do Marcos Fontoura de Oliveira</t>
    </r>
    <r>
      <rPr>
        <sz val="12"/>
        <rFont val="Times New Roman"/>
        <family val="1"/>
      </rPr>
      <t>. Belo Horizonte, 10 maio 2016. Disponível em: &lt;http://marcosfontouradeoliveira.blogspot.com/2016/05/onibus-sem-facilidade-operando-em-sao.html&gt;. falta ampliar e baixar.</t>
    </r>
  </si>
  <si>
    <r>
      <rPr>
        <b/>
        <sz val="12"/>
        <rFont val="Times New Roman"/>
        <family val="1"/>
      </rPr>
      <t>WRI(2015a):</t>
    </r>
    <r>
      <rPr>
        <sz val="12"/>
        <rFont val="Times New Roman"/>
        <family val="1"/>
      </rPr>
      <t xml:space="preserve"> WORLD RESOURCES INSTITUTE - WRI BRASIL. Cobertura: </t>
    </r>
    <r>
      <rPr>
        <i/>
        <sz val="12"/>
        <rFont val="Times New Roman"/>
        <family val="1"/>
      </rPr>
      <t>Uma cidade acessível é uma cidade para todos - Seminário debateu boas práticas e ideias para o plano de acessibilidade de Belo Horizonte; Belo Horizonte: a caminho do plano de acessibilidade - Segunda parte do seminário internacional de acessibilidade na mobilidade trouxe experiências locais e do Reino Unido</t>
    </r>
    <r>
      <rPr>
        <sz val="12"/>
        <rFont val="Times New Roman"/>
        <family val="1"/>
      </rPr>
      <t>. Disponível em: &lt;http://wricidades.org/noticia/uma-cidade-acess%c3%advel-%c3%a9-uma-cidade-para-todos&gt;. Acesso em: 12 maio 2016. [acesse a cobertura em BHTRANS(2015x; 2015y) e as apresentações em LISBOA(2015c); SP(2015f), OLIVEIRA(2015e)].</t>
    </r>
  </si>
  <si>
    <r>
      <rPr>
        <b/>
        <sz val="12"/>
        <rFont val="Times New Roman"/>
        <family val="1"/>
      </rPr>
      <t xml:space="preserve">WRI(2016a): </t>
    </r>
    <r>
      <rPr>
        <sz val="12"/>
        <rFont val="Times New Roman"/>
        <family val="1"/>
      </rPr>
      <t xml:space="preserve">WORLD RESOURCES INSTITUTE - WRI BRASIL. </t>
    </r>
    <r>
      <rPr>
        <i/>
        <sz val="12"/>
        <rFont val="Times New Roman"/>
        <family val="1"/>
      </rPr>
      <t>Concurso Acessibilidade para Todos</t>
    </r>
    <r>
      <rPr>
        <sz val="12"/>
        <rFont val="Times New Roman"/>
        <family val="1"/>
      </rPr>
      <t>. (falta baixar toda a documentação, incluindo edital/regulamento relativa ao lançamento do concurso)</t>
    </r>
  </si>
  <si>
    <r>
      <rPr>
        <b/>
        <sz val="12"/>
        <color theme="1"/>
        <rFont val="Times New Roman"/>
        <family val="1"/>
      </rPr>
      <t>WRIGHT(2001b):</t>
    </r>
    <r>
      <rPr>
        <sz val="12"/>
        <color theme="1"/>
        <rFont val="Times New Roman"/>
        <family val="1"/>
      </rPr>
      <t xml:space="preserve"> WRIGHT, Charles Lloyd (Ed.). </t>
    </r>
    <r>
      <rPr>
        <i/>
        <sz val="12"/>
        <color theme="1"/>
        <rFont val="Times New Roman"/>
        <family val="1"/>
      </rPr>
      <t>Facilitando o transporte para todos</t>
    </r>
    <r>
      <rPr>
        <sz val="12"/>
        <color theme="1"/>
        <rFont val="Times New Roman"/>
        <family val="1"/>
      </rPr>
      <t>. New York: Banco Interamericano de Desenvolvimento - BID, 2001. (não encontrada para baixar)</t>
    </r>
  </si>
  <si>
    <t>NOTA METODOLÓGICA DAS ATUALIZAÇÕES DO SisMob-BH</t>
  </si>
  <si>
    <r>
      <rPr>
        <b/>
        <sz val="12"/>
        <color theme="1"/>
        <rFont val="Times New Roman"/>
        <family val="1"/>
      </rPr>
      <t>M30 (Belo Horizonte):</t>
    </r>
    <r>
      <rPr>
        <sz val="12"/>
        <color theme="1"/>
        <rFont val="Times New Roman"/>
        <family val="1"/>
      </rPr>
      <t xml:space="preserve"> deve-se consultar anualmente a intranet da BHTrans. Consulta em 29/02/2015 encontrou apenas resultados de 2011 a 2013. Próxima consulta em setembro/2016.</t>
    </r>
  </si>
  <si>
    <r>
      <rPr>
        <b/>
        <sz val="12"/>
        <color theme="1"/>
        <rFont val="Times New Roman"/>
        <family val="1"/>
      </rPr>
      <t>M30 (São Paulo):</t>
    </r>
    <r>
      <rPr>
        <sz val="12"/>
        <color theme="1"/>
        <rFont val="Times New Roman"/>
        <family val="1"/>
      </rPr>
      <t xml:space="preserve"> deve-se consultar anualmente a página http://mobilidadesegura.prefeitura.sp.gov.br/. Consulta em 29/02/2015 encontrou apenas resultados de 2013 e 2014. Próxima consulta em setembro/2016.</t>
    </r>
  </si>
  <si>
    <r>
      <rPr>
        <b/>
        <sz val="12"/>
        <color theme="1"/>
        <rFont val="Times New Roman"/>
        <family val="1"/>
      </rPr>
      <t>NAP v0 / v1 / v2 / v3 / v&gt;3 (Belo Horizonte):</t>
    </r>
    <r>
      <rPr>
        <sz val="12"/>
        <color theme="1"/>
        <rFont val="Times New Roman"/>
        <family val="1"/>
      </rPr>
      <t xml:space="preserve"> deve-se consultar anualmente a </t>
    </r>
    <r>
      <rPr>
        <i/>
        <sz val="12"/>
        <color theme="1"/>
        <rFont val="Times New Roman"/>
        <family val="1"/>
      </rPr>
      <t>intranet</t>
    </r>
    <r>
      <rPr>
        <sz val="12"/>
        <color theme="1"/>
        <rFont val="Times New Roman"/>
        <family val="1"/>
      </rPr>
      <t xml:space="preserve"> da BHTrans. Consulta em 29/02/2015 encontrou apenas resultados de 2001 a 2011. Próxima consulta em setembro/2016.</t>
    </r>
  </si>
  <si>
    <r>
      <rPr>
        <b/>
        <sz val="12"/>
        <color theme="1"/>
        <rFont val="Times New Roman"/>
        <family val="1"/>
      </rPr>
      <t>NAP v0 / v1 / v2 / v3 / v&gt;3 (São Paulo):</t>
    </r>
    <r>
      <rPr>
        <sz val="12"/>
        <color theme="1"/>
        <rFont val="Times New Roman"/>
        <family val="1"/>
      </rPr>
      <t xml:space="preserve"> deve-se consultar anualmente a página &lt;http://mobilidadesegura.prefeitura.sp.gov.br/&gt;. Consulta em 29/02/2015 encontrou apenas resultados de 2013 e 2014.  Próxima consulta em setembro/2016.</t>
    </r>
  </si>
  <si>
    <t>em elaboração</t>
  </si>
  <si>
    <r>
      <t xml:space="preserve">buscar </t>
    </r>
    <r>
      <rPr>
        <sz val="10"/>
        <rFont val="Times New Roman"/>
        <family val="1"/>
      </rPr>
      <t xml:space="preserve">(quando parece haver a informação disponível, mas ainda não foi buscada) </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</si>
  <si>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t>
    </r>
    <r>
      <rPr>
        <b/>
        <sz val="10"/>
        <rFont val="Times New Roman"/>
        <family val="1"/>
      </rPr>
      <t xml:space="preserve">Elaborado por </t>
    </r>
    <r>
      <rPr>
        <sz val="10"/>
        <rFont val="Times New Roman"/>
        <family val="1"/>
      </rPr>
      <t>Marcos Fontoura de Oliveira e publicado pela primeira vez no SisMob-BH em 10/08/2015. Atualizado em 15/11/2015 com resultado de 2015. Republicado em 11/01/2015 e 28/06/2016 com alteração de lay-out e inclusão de resultados de cidades acima de 100 mil habitantes como referencial externo.</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</si>
  <si>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15/11/2015. Republicado em 11/01/2015 e 28/02/2016 com alteração de lay-out.</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</si>
  <si>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15/11/2015. Republicado em 11/01/2015 e 28/06/2016 com alteração de lay-out.</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</si>
  <si>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28/06/2016.
</t>
    </r>
    <r>
      <rPr>
        <b/>
        <sz val="10"/>
        <rFont val="Times New Roman"/>
        <family val="1"/>
      </rPr>
      <t>obs.:</t>
    </r>
    <r>
      <rPr>
        <sz val="10"/>
        <rFont val="Times New Roman"/>
        <family val="1"/>
      </rPr>
      <t xml:space="preserve"> na pesquisa de 2015 a pergunta que vinha sendo feita desde 1995 no início do questionário (junto às avaliações da gestão da empresa no transporte e no trânsito) muda para o final como parte de bloco que avalia a imagem e o atendimento de várias instituições , o que compromete a comparabilidade (e por isto os resultados não são aqui apresentados)</t>
    </r>
  </si>
  <si>
    <r>
      <t xml:space="preserve">Gráfico 321f - Evoluções dos percentuais de avaliações "ótimo/bom", "regular" e "ruim/péssimo" relativas à </t>
    </r>
    <r>
      <rPr>
        <b/>
        <sz val="12"/>
        <color rgb="FF002060"/>
        <rFont val="Times New Roman"/>
        <family val="1"/>
      </rPr>
      <t xml:space="preserve">avaliação geral da BHTrans </t>
    </r>
    <r>
      <rPr>
        <b/>
        <sz val="12"/>
        <rFont val="Times New Roman"/>
        <family val="1"/>
      </rPr>
      <t>(1995 a 2015)</t>
    </r>
  </si>
  <si>
    <r>
      <t xml:space="preserve">Gráfico 321b - Evolução de Atc [o/b] - percentual de avaliação positiva (ótimo + bom) do </t>
    </r>
    <r>
      <rPr>
        <b/>
        <sz val="12"/>
        <color theme="3"/>
        <rFont val="Times New Roman"/>
        <family val="1"/>
      </rPr>
      <t>transporte coletivo</t>
    </r>
    <r>
      <rPr>
        <b/>
        <sz val="12"/>
        <rFont val="Times New Roman"/>
        <family val="1"/>
      </rPr>
      <t xml:space="preserve"> de Belo Horizonte (1995 a 2015), metas definidas (2014 a 2020) e referencial externo (2011)</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</si>
  <si>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Adaptado de OLIVEIRA (2014. p.364/Gráfico 73). 
Elaborado por Marcos Fontoura de Oliveira e publicado pela primeira vez no SisMob-BH em 28/06/2016.</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</si>
  <si>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Adaptado de OLIVEIRA (2014. p.364/Gráfico 73). 
</t>
    </r>
    <r>
      <rPr>
        <b/>
        <sz val="10"/>
        <rFont val="Times New Roman"/>
        <family val="1"/>
      </rPr>
      <t>obs.:</t>
    </r>
    <r>
      <rPr>
        <sz val="10"/>
        <rFont val="Times New Roman"/>
        <family val="1"/>
      </rPr>
      <t xml:space="preserve"> nas séries de pesquisas aqui analisadas, as de Belo Horizonte foram realizadas a partir de nov./1995 e as São Paulo foram realizadas de dez./1999 a nov./2012.
Elaborado por Marcos Fontoura de Oliveira e publicado pela primeira vez no SisMob-BH em 10/08/2015. Atualizado em 15/11/2015 com resultados de 2015 e alteração no lay-out.</t>
    </r>
  </si>
  <si>
    <t>referencial comparativo para o indicador "NPO" considerando a situação-ideail de realização de uma pesquisa a cada ano</t>
  </si>
  <si>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28/06/2016.</t>
    </r>
    <r>
      <rPr>
        <sz val="10"/>
        <color rgb="FFFF0000"/>
        <rFont val="Times New Roman"/>
        <family val="1"/>
      </rPr>
      <t xml:space="preserve">
</t>
    </r>
    <r>
      <rPr>
        <b/>
        <sz val="10"/>
        <rFont val="Times New Roman"/>
        <family val="1"/>
      </rPr>
      <t xml:space="preserve">obs.: </t>
    </r>
    <r>
      <rPr>
        <sz val="10"/>
        <rFont val="Times New Roman"/>
        <family val="1"/>
      </rPr>
      <t>este indicador é identificado como "NAP v0r" no Quadro 100a.</t>
    </r>
  </si>
  <si>
    <r>
      <rPr>
        <b/>
        <sz val="10"/>
        <color theme="1"/>
        <rFont val="Times New Roman"/>
        <family val="1"/>
      </rPr>
      <t>obs.:</t>
    </r>
    <r>
      <rPr>
        <sz val="10"/>
        <color theme="1"/>
        <rFont val="Times New Roman"/>
        <family val="1"/>
      </rPr>
      <t xml:space="preserve"> Estas informações são uma pequena parte do que começou a ser publicado e</t>
    </r>
    <r>
      <rPr>
        <sz val="10"/>
        <rFont val="Times New Roman"/>
        <family val="1"/>
      </rPr>
      <t>m 28/06/2016</t>
    </r>
    <r>
      <rPr>
        <sz val="10"/>
        <color rgb="FFFF0000"/>
        <rFont val="Times New Roman"/>
        <family val="1"/>
      </rPr>
      <t xml:space="preserve"> </t>
    </r>
    <r>
      <rPr>
        <sz val="10"/>
        <color theme="1"/>
        <rFont val="Times New Roman"/>
        <family val="1"/>
      </rPr>
      <t>no seguinte assunto do SisMob-BH: 4) Fiscalização e operação do sistema de mobilidade / 4.4) Infrações de trânsito. Caso você necessite de mais informações, acesse a fonte informada acima ou entre em contato com o Observatório da Mobilidade de Belo Horizonte - ObsMob-BH por meio do Fale Conosco da BHTrans.</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</si>
  <si>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10/02/2015. Republicado com correções em 15/11/2015. Atualizado em 11/01/2015 com atualizações de resultados anteriores a 2008. Republicado com correção dos resultados de 2013 (demais subsetores e total) em 28/06/2016.
obs.: os resultados aqui apresentados em milhões de toneladas estão disponíveis na fonte em toneladas.</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</si>
  <si>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15/11/2015. Republicado em 11/01/2015 com ajustes. Atualizado em 28/06/2016 com metas redefinidas em 2016 e correção do resultado de 2013.</t>
    </r>
    <r>
      <rPr>
        <sz val="10"/>
        <color rgb="FFFF0000"/>
        <rFont val="Times New Roman"/>
        <family val="1"/>
      </rPr>
      <t xml:space="preserve">
</t>
    </r>
    <r>
      <rPr>
        <b/>
        <sz val="10"/>
        <rFont val="Times New Roman"/>
        <family val="1"/>
      </rPr>
      <t xml:space="preserve">obs.1: </t>
    </r>
    <r>
      <rPr>
        <sz val="10"/>
        <rFont val="Times New Roman"/>
        <family val="1"/>
      </rPr>
      <t xml:space="preserve">em 2012 foram definidas metas para 2015 e 2030; em 2016 foi definida meta para 2030 com cálculo das projeções, ano a ano, entre 2008 e 2029.
</t>
    </r>
    <r>
      <rPr>
        <b/>
        <sz val="10"/>
        <rFont val="Times New Roman"/>
        <family val="1"/>
      </rPr>
      <t>obs.2:</t>
    </r>
    <r>
      <rPr>
        <sz val="10"/>
        <rFont val="Times New Roman"/>
        <family val="1"/>
      </rPr>
      <t xml:space="preserve"> a SMMA ainda não estabeleceu as metas por subsetor.</t>
    </r>
  </si>
  <si>
    <t>Gráfico 51d - Evolução do gap (diferença entre meta e medição) relativo à emissão total de gases de efeito estufa (EG) em Belo Horizonte (2008 a 2013)</t>
  </si>
  <si>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Elaborados por Marcos Fontoura de Oliveira e publicados pela primeira vez no SisMob-BH em28/06/2016.</t>
    </r>
    <r>
      <rPr>
        <sz val="10"/>
        <color rgb="FFFF0000"/>
        <rFont val="Times New Roman"/>
        <family val="1"/>
      </rPr>
      <t xml:space="preserve">
</t>
    </r>
    <r>
      <rPr>
        <b/>
        <sz val="10"/>
        <rFont val="Times New Roman"/>
        <family val="1"/>
      </rPr>
      <t>obs.:</t>
    </r>
    <r>
      <rPr>
        <sz val="10"/>
        <rFont val="Times New Roman"/>
        <family val="1"/>
      </rPr>
      <t xml:space="preserve"> resultados negativos indicam que a meta está abaixo do valor apurado, ou seja, que a meta definida não foi alcançada no ano.</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</si>
  <si>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10/02/2015. Republicado com correções em 15/11/2015. Atualizado em 11/01/2015 com resultados anteriores a 2008. Republicado com alteração de lay-out em d28/06/2016.</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</si>
  <si>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11/01/2015. Republicado com alteração de lay-out em 28/06/2016.</t>
    </r>
  </si>
  <si>
    <r>
      <t xml:space="preserve">aguardando atualização da fonte </t>
    </r>
    <r>
      <rPr>
        <sz val="10"/>
        <rFont val="Times New Roman"/>
        <family val="1"/>
      </rPr>
      <t xml:space="preserve">(qdo há uma fonte definida mas c/resultados atrasados) </t>
    </r>
  </si>
  <si>
    <r>
      <t xml:space="preserve">Fonte: </t>
    </r>
    <r>
      <rPr>
        <sz val="10"/>
        <rFont val="Times New Roman"/>
        <family val="1"/>
      </rPr>
      <t>BHTRANS. Sistema de Informações da Mobilidade Urbana de Belo Horizonte (SisMob-BH). Quadros 100a/b/c - Dados abertos do SisMob-BH.</t>
    </r>
    <r>
      <rPr>
        <b/>
        <sz val="10"/>
        <rFont val="Times New Roman"/>
        <family val="1"/>
      </rPr>
      <t xml:space="preserve">
</t>
    </r>
    <r>
      <rPr>
        <sz val="10"/>
        <rFont val="Times New Roman"/>
        <family val="1"/>
      </rPr>
      <t xml:space="preserve">BHTRANS. SisMob-BH - </t>
    </r>
    <r>
      <rPr>
        <i/>
        <sz val="10"/>
        <rFont val="Times New Roman"/>
        <family val="1"/>
      </rPr>
      <t xml:space="preserve">Tabelas, quadros e gráficos do assunto </t>
    </r>
    <r>
      <rPr>
        <b/>
        <sz val="10"/>
        <rFont val="Times New Roman"/>
        <family val="1"/>
      </rPr>
      <t xml:space="preserve">
</t>
    </r>
    <r>
      <rPr>
        <sz val="10"/>
        <rFont val="Times New Roman"/>
        <family val="1"/>
      </rPr>
      <t>Elaborado por Marcos Fontoura de Oliveira e publicado pela primeira vez no SisMob-BH em 20/04/2015. Atualizado com resultados de 2015 em 28/06/2016.</t>
    </r>
  </si>
  <si>
    <r>
      <t xml:space="preserve">Fonte: </t>
    </r>
    <r>
      <rPr>
        <sz val="10"/>
        <rFont val="Times New Roman"/>
        <family val="1"/>
      </rPr>
      <t>BHTRANS. Sistema de Informações da Mobilidade Urbana de Belo Horizonte (SisMob-BH). Quadros 100a/b/c - Dados abertos do SisMob-BH.</t>
    </r>
    <r>
      <rPr>
        <b/>
        <sz val="10"/>
        <rFont val="Times New Roman"/>
        <family val="1"/>
      </rPr>
      <t xml:space="preserve">
</t>
    </r>
    <r>
      <rPr>
        <sz val="10"/>
        <rFont val="Times New Roman"/>
        <family val="1"/>
      </rPr>
      <t>Elaborado por Marcos Fontoura de Oliveira e publicado pela primeira vez no SisMob-BH em 20/04/2015. Atualizado com resultados de 2015 e novo lay-out em 28/06/2016.</t>
    </r>
  </si>
  <si>
    <r>
      <t xml:space="preserve">Fonte: </t>
    </r>
    <r>
      <rPr>
        <sz val="10"/>
        <rFont val="Times New Roman"/>
        <family val="1"/>
      </rPr>
      <t>BHTRANS. Sistema de Informações da Mobilidade Urbana de Belo Horizonte (SisMob-BH). Quadros 100a/b/c - Dados abertos do SisMob-BH.</t>
    </r>
    <r>
      <rPr>
        <b/>
        <sz val="10"/>
        <rFont val="Times New Roman"/>
        <family val="1"/>
      </rPr>
      <t xml:space="preserve">
</t>
    </r>
    <r>
      <rPr>
        <sz val="10"/>
        <rFont val="Times New Roman"/>
        <family val="1"/>
      </rPr>
      <t>Elaborado por Marcos Fontoura de Oliveira e publicado pela primeira vez no SisMob-BH em 20/04/2015. Atualização de resultados e novo lay-out em 28/06/2016.</t>
    </r>
    <r>
      <rPr>
        <sz val="10"/>
        <color rgb="FFFF0000"/>
        <rFont val="Times New Roman"/>
        <family val="1"/>
      </rPr>
      <t xml:space="preserve">
</t>
    </r>
    <r>
      <rPr>
        <b/>
        <sz val="10"/>
        <rFont val="Times New Roman"/>
        <family val="1"/>
      </rPr>
      <t xml:space="preserve">obs.1: </t>
    </r>
    <r>
      <rPr>
        <sz val="10"/>
        <rFont val="Times New Roman"/>
        <family val="1"/>
      </rPr>
      <t xml:space="preserve">o SisMob-BH busca comparar resultados de mesmas datas, mas os aqui apresentados foram selecionados por serem o mais antigo de Belo Horizonte (2014) e os mais recentes publicados pela ANTP (2013)
</t>
    </r>
    <r>
      <rPr>
        <b/>
        <sz val="10"/>
        <rFont val="Times New Roman"/>
        <family val="1"/>
      </rPr>
      <t>obs.2:</t>
    </r>
    <r>
      <rPr>
        <sz val="10"/>
        <rFont val="Times New Roman"/>
        <family val="1"/>
      </rPr>
      <t xml:space="preserve"> no Brasil observa-se que há uma relação direta de táxi com população, com os resultados mostrando que quanto maior a cidade, maior é a quantidade de veículos por habitante; Belo Horizonte tem resultado (2,75) próximo do relativo às cidades com população acima de um milhão de habitantes (2,73).</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</si>
  <si>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10/08/2015. Republicado em 15/11/2015. Atualizado com resultados de 2015 em 28/06/2016.</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</si>
  <si>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28/06/2016.</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</si>
  <si>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05/01/2015. Republicado em 10/08/2015 e 15/11/2015 com alterações no lay-out da versão anterior. Atualizado em 11/01/2015 com resultados de 2014. Republicado em 28/06/2016 com alteração de </t>
    </r>
    <r>
      <rPr>
        <i/>
        <sz val="10"/>
        <rFont val="Times New Roman"/>
        <family val="1"/>
      </rPr>
      <t xml:space="preserve">lay-out e </t>
    </r>
    <r>
      <rPr>
        <sz val="10"/>
        <rFont val="Times New Roman"/>
        <family val="1"/>
      </rPr>
      <t xml:space="preserve">inclusão de resultados de M-DataSus.
</t>
    </r>
    <r>
      <rPr>
        <b/>
        <sz val="10"/>
        <rFont val="Times New Roman"/>
        <family val="1"/>
      </rPr>
      <t>M</t>
    </r>
    <r>
      <rPr>
        <sz val="10"/>
        <rFont val="Times New Roman"/>
        <family val="1"/>
      </rPr>
      <t xml:space="preserve"> = n.º de mortos em acidentes de trânsito de Belo Horizonte vitimados no próprio local apontados no Boletim de Ocorrência
</t>
    </r>
    <r>
      <rPr>
        <b/>
        <sz val="10"/>
        <rFont val="Times New Roman"/>
        <family val="1"/>
      </rPr>
      <t xml:space="preserve">M-DataSus </t>
    </r>
    <r>
      <rPr>
        <sz val="10"/>
        <rFont val="Times New Roman"/>
        <family val="1"/>
      </rPr>
      <t xml:space="preserve">= n.º de mortos em Belo Horizonte em acidentes de trânsito segundo o DataSus
</t>
    </r>
    <r>
      <rPr>
        <b/>
        <sz val="10"/>
        <rFont val="Times New Roman"/>
        <family val="1"/>
      </rPr>
      <t xml:space="preserve">M30 </t>
    </r>
    <r>
      <rPr>
        <sz val="10"/>
        <rFont val="Times New Roman"/>
        <family val="1"/>
      </rPr>
      <t xml:space="preserve">= n.º de mortos até 30 dias depois do acidente de trânsito acontecido em Belo Horizonte
</t>
    </r>
    <r>
      <rPr>
        <b/>
        <sz val="10"/>
        <rFont val="Times New Roman"/>
        <family val="1"/>
      </rPr>
      <t>obs.1:</t>
    </r>
    <r>
      <rPr>
        <sz val="10"/>
        <rFont val="Times New Roman"/>
        <family val="1"/>
      </rPr>
      <t xml:space="preserve"> as diferenças entre "M" e "M30" em Belo Horizonte variam, por trimestre, de 21% no 4º trimestre de 2014 (M=39 e M30=76) a 95% no 1º trimestre de 2011 (M=43 e M30=52).
</t>
    </r>
    <r>
      <rPr>
        <b/>
        <sz val="10"/>
        <rFont val="Times New Roman"/>
        <family val="1"/>
      </rPr>
      <t>obs.2:</t>
    </r>
    <r>
      <rPr>
        <sz val="10"/>
        <rFont val="Times New Roman"/>
        <family val="1"/>
      </rPr>
      <t xml:space="preserve"> a queda no indicador "M" observada, ano a ano, entre 2009 e 2013, foi interrompida em 2014 (com um aumento de 4,1%).
</t>
    </r>
    <r>
      <rPr>
        <b/>
        <sz val="10"/>
        <rFont val="Times New Roman"/>
        <family val="1"/>
      </rPr>
      <t>obs.3:</t>
    </r>
    <r>
      <rPr>
        <sz val="10"/>
        <rFont val="Times New Roman"/>
        <family val="1"/>
      </rPr>
      <t xml:space="preserve"> enquanto os idicadores "M" e "M30" medem o n.º de pessoas que morrem em acidentes acontecidos em Belo Horizonte, o indicador "M-DataSus" mede o n.º de pessoas que morrem no município, vítimas de um acidente de trânsito, mesmo que esse acidente tenha ocorrido fora dos limites do muncípio</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</si>
  <si>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Adaptado de OLIVEIRA, Marcos Fontoura de. </t>
    </r>
    <r>
      <rPr>
        <i/>
        <sz val="10"/>
        <rFont val="Times New Roman"/>
        <family val="1"/>
      </rPr>
      <t>Ausências, avanços e contradições da atual política de mobilidade urbana de Belo Horizonte: uma pesquisa sobre o direito de aceso amplo e democrático ao espaço urbano</t>
    </r>
    <r>
      <rPr>
        <sz val="10"/>
        <rFont val="Times New Roman"/>
        <family val="1"/>
      </rPr>
      <t xml:space="preserve">. Tese (Doutorado em Ciências Sociais) - Pontifícia Universidade Católica de Minas Gerais (PUC Minas), Belo Horizonte, 2014. p.289. Publicado pela primeira vez no SisMob-BH em 05/01/2015. Republicado em 10/08/2015 e 15/11/2015 com alterações no lay-out  da versão anterior.
Atualizado em 11/01/2015 com resultados de 2014. Atualizado em 28/06/2016 com meta para 2030.
</t>
    </r>
    <r>
      <rPr>
        <b/>
        <sz val="10"/>
        <rFont val="Times New Roman"/>
        <family val="1"/>
      </rPr>
      <t xml:space="preserve">Comentário: </t>
    </r>
    <r>
      <rPr>
        <sz val="10"/>
        <rFont val="Times New Roman"/>
        <family val="1"/>
      </rPr>
      <t>A meta para o indicador "M por 100 mil habitantes" estabelecida em 2010 pela BHTrans para ser alcançada em 2014 (M = 8,41) foi batida já em 2012 (M = 7,47) superando inclusive a meta definida para ser alcançada em 2016 (M = 7,61).</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</si>
  <si>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28/06/2016 
obs.: "[...] entre as dez cidades mais populosas do país, a que possui a maior taxa de mortes por 100 mil habitantes é Recife, com 34,7/100 mil hab., seguida de Fortaleza, com 27,1. As menos violentas são Porto Alegre (11,7/100 mil hab.) e São Paulo (11,8/100 mil hab.)." (AMBEV, 2015, p.44)</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</si>
  <si>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Quadroa 100a/b/c - Dados abertos do SisMob-BH</t>
    </r>
    <r>
      <rPr>
        <sz val="10"/>
        <rFont val="Times New Roman"/>
        <family val="1"/>
      </rPr>
      <t xml:space="preserve">.
Adaptado de OLIVEIRA (2014, p.258, Gráfico 37).
Elaborado por Marcos Fontoura de Oliveira e publicado pela primeira vez no SisMob-BH em 1º/04/2015. Republicado em 10/08/2015 e 10/06/2016 com alterações no lay-out.
</t>
    </r>
    <r>
      <rPr>
        <b/>
        <sz val="10"/>
        <rFont val="Times New Roman"/>
        <family val="1"/>
      </rPr>
      <t>obs.:</t>
    </r>
    <r>
      <rPr>
        <sz val="10"/>
        <rFont val="Times New Roman"/>
        <family val="1"/>
      </rPr>
      <t xml:space="preserve"> "Em ambas as séries pode-se observar sinais claros de resistência na melhoria dos resultados. A conclusão a que se pode chegar é que não há uma política clara no sentido de melhorar, por meio da implantação de grupos focais, a segurança nos locais semaforizados de Belo Horizonte" (OLIVEIRA, 2014, p.257). A atualização dessas duas séries com resultados de 2013/2014 corrobora essa leitura, pois em onze anos as melhorias nos resultados foram pequenas: 10% no percentual de interseções com travessia total (com acréscimo de dois pontos percentuais) e de 9% no percentual de interseções semaforizadas com foco de pedestres (com aumento de sete pontos percentuais).</t>
    </r>
  </si>
  <si>
    <r>
      <rPr>
        <b/>
        <sz val="10"/>
        <rFont val="Times New Roman"/>
        <family val="1"/>
      </rPr>
      <t>Fonte:</t>
    </r>
    <r>
      <rPr>
        <sz val="10"/>
        <rFont val="Times New Roman"/>
        <family val="1"/>
      </rPr>
      <t xml:space="preserve"> BHTRANS. Sistema de Informações da Mobilidade Urbana de Belo Horizonte (SisMob-BH). </t>
    </r>
    <r>
      <rPr>
        <i/>
        <sz val="10"/>
        <rFont val="Times New Roman"/>
        <family val="1"/>
      </rPr>
      <t>Quadro 100 - Dados abertos do SisMob-BH</t>
    </r>
    <r>
      <rPr>
        <sz val="10"/>
        <rFont val="Times New Roman"/>
        <family val="1"/>
      </rPr>
      <t xml:space="preserve">.
Adaptado de OLIVEIRA (2014, p.284, Gráfico 46) por Marcos Fontoura de Oliveira e publicado pela primeira vez no SisMob-BH em 1º/04/2015.  Republicado em 10/08/2015 e 28/06/2014 com alterações no lay-out e revisão de observações.
</t>
    </r>
    <r>
      <rPr>
        <b/>
        <sz val="10"/>
        <rFont val="Times New Roman"/>
        <family val="1"/>
      </rPr>
      <t xml:space="preserve">obs.1: </t>
    </r>
    <r>
      <rPr>
        <sz val="10"/>
        <rFont val="Times New Roman"/>
        <family val="1"/>
      </rPr>
      <t xml:space="preserve">"Se, por um lado [...] há uma clara política de dotar a cidade, ano a ano, de cada vez mais locais semaforizados, há também política bem definida de se consumir cada vez menos energia elétrica." (OLIVEIRA, 2014, p.283). A atualização dessas duas séries com resultados de 2013/2014 corrobora essa leitura: aumento de 51% no n.º total de locais semaforizados em onze anos e queda de 81% no consumo unitário de energia em dez anos. 
</t>
    </r>
    <r>
      <rPr>
        <b/>
        <sz val="10"/>
        <rFont val="Times New Roman"/>
        <family val="1"/>
      </rPr>
      <t xml:space="preserve">obs.2: </t>
    </r>
    <r>
      <rPr>
        <sz val="10"/>
        <rFont val="Times New Roman"/>
        <family val="1"/>
      </rPr>
      <t>Em 2011 anunciou-se a meta de  "Redução do consumo de energia elétrica em 86%" como efeito da troca de lâmpadas incandescentes e halógenas por LED que ocorreu de março a setembro de 2011 conforme BHTRANS(2011d).</t>
    </r>
  </si>
  <si>
    <r>
      <rPr>
        <b/>
        <sz val="10"/>
        <rFont val="Times New Roman"/>
        <family val="1"/>
      </rPr>
      <t>Fonte:</t>
    </r>
    <r>
      <rPr>
        <sz val="10"/>
        <rFont val="Times New Roman"/>
        <family val="1"/>
      </rPr>
      <t xml:space="preserve"> BHTRANS. Sistema de Informações da Mobilidade Urbana de Belo Horizonte (SisMob-BH). </t>
    </r>
    <r>
      <rPr>
        <i/>
        <sz val="10"/>
        <rFont val="Times New Roman"/>
        <family val="1"/>
      </rPr>
      <t>Quadro 100 - Dados abertos do SisMob-BH</t>
    </r>
    <r>
      <rPr>
        <sz val="10"/>
        <rFont val="Times New Roman"/>
        <family val="1"/>
      </rPr>
      <t xml:space="preserve">.
Elaborado por Marcos Fontoura de Oliveira e publicado pela primeira vez no SisMob-BH em 16/04/2015. Republicado em 10/08/2015 e com alterações no lay-out. Republicado em 28/06/2014 com revisão no lay-out (introdução/retirada de resultados).
</t>
    </r>
    <r>
      <rPr>
        <b/>
        <sz val="10"/>
        <rFont val="Times New Roman"/>
        <family val="1"/>
      </rPr>
      <t>obs.1:</t>
    </r>
    <r>
      <rPr>
        <sz val="10"/>
        <rFont val="Times New Roman"/>
        <family val="1"/>
      </rPr>
      <t xml:space="preserve"> A comparação entre os resultados de sinalização semafórica aqui apresentados deve ser feita com cautela, pois nas duas fontes de referencial externo consultadas (CAF,2010; ANTP, 2014) não se informa o que foi considerado "intersecciones semafóricas" (CAF) e "interseções semafóricas" (ANTP). Para Belo Horizonte, o SisMob-BH apresenta resultados para dois indicadores ("interseções semaforizadas" e "locais semaforizados"), ambos definidos de forma detalhada para permitir que outras cidades possam tomá-los em suas comparações. Os resultados dos indicadores aqui apresentados do município de Belo Horizonte apontam grandes disparidades (seja tomando o "n.º de interseções", seja tomando o "n.º de locais semaforizados") na comparação com resultados de áreas metropolitanas da América Latina (tomando o que foi considerado como "intersecciones semafóricas" pela CAF) e com resultados do Brasil (tomando o que foi considerado como "interseções semafóricas" pela ANTP para a média do país e para faixas de população). / </t>
    </r>
    <r>
      <rPr>
        <b/>
        <sz val="10"/>
        <rFont val="Times New Roman"/>
        <family val="1"/>
      </rPr>
      <t xml:space="preserve">obs.2: </t>
    </r>
    <r>
      <rPr>
        <sz val="10"/>
        <rFont val="Times New Roman"/>
        <family val="1"/>
      </rPr>
      <t xml:space="preserve">Os resultados das áreas metropolitanas da América Latina oscilam entre 117 (na Área Metropolitana de Lima/Peru) e 543 (na Área Metropolitana de Buenos Aires/Argentina) intersecciones semaforicas para cada milhão de habitantes. As áres metropolitanas com resultados mais próximos dos resultados de Belo Horizonte são Guadalajara e León (respectimanente, 297 e 325 intersecciones semaforicas por milhão de habitantes). / </t>
    </r>
    <r>
      <rPr>
        <b/>
        <sz val="10"/>
        <rFont val="Times New Roman"/>
        <family val="1"/>
      </rPr>
      <t xml:space="preserve">obs.3: </t>
    </r>
    <r>
      <rPr>
        <sz val="10"/>
        <rFont val="Times New Roman"/>
        <family val="1"/>
      </rPr>
      <t>Belo Horizonte possui entre 269 interseções semaforizadas e 316 locais semaforizados por milhão de habitantes (em patamar acima da Área Metropolitana de Belo Horizonte com 244). No Brasil observa-se que há uma relação direta de semáforos com população, com os resultados mostrando que quanto maior a cidade, maior é a quantidade de "interseções semafóricas" por habitante, Os resultados (310 para interseções semaforizadas e 375 para locais semaforizados, ambos por milhão de habitantes) de Belo Horizonte, no entanto, indicam valores inferiores ao do grupo de cidades com população superior a um milhão de habitantes (385 interseções semafóricas por milhão de habitantes) e no patamar do grupo de cidades com população entre 500 mil e 1 milhão de habitantes (301 interseções semafóricas por milhão de habitantes).</t>
    </r>
    <r>
      <rPr>
        <b/>
        <sz val="10"/>
        <rFont val="Times New Roman"/>
        <family val="1"/>
      </rPr>
      <t/>
    </r>
  </si>
  <si>
    <t>densidade populacional</t>
  </si>
  <si>
    <t>densidade b</t>
  </si>
  <si>
    <t>densidade b (padrão)</t>
  </si>
  <si>
    <t>Distrito Federal</t>
  </si>
  <si>
    <t>EV b por 100 mil habitantes</t>
  </si>
  <si>
    <t>Próximas atualizações - janeiro / fevereiro / março de 2017</t>
  </si>
  <si>
    <r>
      <rPr>
        <b/>
        <sz val="12"/>
        <color theme="1"/>
        <rFont val="Times New Roman"/>
        <family val="1"/>
      </rPr>
      <t>EV b(BH delta 2)</t>
    </r>
    <r>
      <rPr>
        <sz val="12"/>
        <color theme="1"/>
        <rFont val="Times New Roman"/>
        <family val="1"/>
      </rPr>
      <t xml:space="preserve">: todos os anos a PBH publica (gerelmente em janeiro) o seu </t>
    </r>
    <r>
      <rPr>
        <i/>
        <sz val="12"/>
        <color theme="1"/>
        <rFont val="Times New Roman"/>
        <family val="1"/>
      </rPr>
      <t>Demonstrativo da Execução das Metas Físicas</t>
    </r>
    <r>
      <rPr>
        <sz val="12"/>
        <color theme="1"/>
        <rFont val="Times New Roman"/>
        <family val="1"/>
      </rPr>
      <t>. Buscar a partir de jan. 2017 o balanço 2016.</t>
    </r>
  </si>
  <si>
    <r>
      <rPr>
        <b/>
        <sz val="12"/>
        <color theme="1"/>
        <rFont val="Times New Roman"/>
        <family val="1"/>
      </rPr>
      <t>EV b (BH):</t>
    </r>
    <r>
      <rPr>
        <sz val="12"/>
        <color rgb="FFFF0000"/>
        <rFont val="Times New Roman"/>
        <family val="1"/>
      </rPr>
      <t xml:space="preserve"> </t>
    </r>
    <r>
      <rPr>
        <sz val="12"/>
        <rFont val="Times New Roman"/>
        <family val="1"/>
      </rPr>
      <t>buscar junto à BH em Ciclo se há resultados anteriores a 2008 (série SisMob-BH começa em 2009)</t>
    </r>
  </si>
  <si>
    <t>área b</t>
  </si>
  <si>
    <r>
      <t xml:space="preserve">n.º de estações de um sistema de bicicletas compartilhadas
</t>
    </r>
    <r>
      <rPr>
        <b/>
        <sz val="10"/>
        <color theme="1"/>
        <rFont val="Times New Roman"/>
        <family val="1"/>
      </rPr>
      <t>obs.:</t>
    </r>
    <r>
      <rPr>
        <sz val="10"/>
        <color theme="1"/>
        <rFont val="Times New Roman"/>
        <family val="1"/>
      </rPr>
      <t xml:space="preserve"> "Número de estações: definido como o "número de locais específicos onde é possível retirar e/ou devolver uma bicicleta. Cada estação consiste de múltiplas vagas." conforme ITDP(2014, p.42)</t>
    </r>
  </si>
  <si>
    <t>resultados de "densidade b" de dezesseis cidades, incluindo o Rio de Janeiro (Londres, Paris, Barcelona, Lyon, Montreal, Washington D.C., Cidade do México, Rio de Janeiro, Buenos Aires, New York, Denver, Minneapolis, Madison, Boulder, Boston, San Antonio), estão disponíveis em ITDP(2014, p.152)</t>
  </si>
  <si>
    <r>
      <t>densidade das estações de um sistema de bicicletas compartilhadas (em n.º de estações por km</t>
    </r>
    <r>
      <rPr>
        <vertAlign val="superscript"/>
        <sz val="10"/>
        <color theme="1"/>
        <rFont val="Times New Roman"/>
        <family val="1"/>
      </rPr>
      <t>2</t>
    </r>
    <r>
      <rPr>
        <sz val="10"/>
        <color theme="1"/>
        <rFont val="Times New Roman"/>
        <family val="1"/>
      </rPr>
      <t xml:space="preserve">) calculado com a fórmula "densidade b = NE b / área b"
</t>
    </r>
    <r>
      <rPr>
        <b/>
        <sz val="10"/>
        <color theme="1"/>
        <rFont val="Times New Roman"/>
        <family val="1"/>
      </rPr>
      <t>obs.1:</t>
    </r>
    <r>
      <rPr>
        <sz val="10"/>
        <color theme="1"/>
        <rFont val="Times New Roman"/>
        <family val="1"/>
      </rPr>
      <t xml:space="preserve"> denominado "Coeficiente de Densidade de Estações: número médio de estações em determinada área" em  ITDP(2014, p.46) / </t>
    </r>
    <r>
      <rPr>
        <b/>
        <sz val="10"/>
        <color theme="1"/>
        <rFont val="Times New Roman"/>
        <family val="1"/>
      </rPr>
      <t xml:space="preserve">obs.2: </t>
    </r>
    <r>
      <rPr>
        <sz val="10"/>
        <color theme="1"/>
        <rFont val="Times New Roman"/>
        <family val="1"/>
      </rPr>
      <t xml:space="preserve"> A dimensão do sistema é determinada pelo seu número de bicicletas e seu número de estações. Do ponto de vista do usuário, a densidade de estações e a disponibilidade tanto de bicicletas como de espaços para estacioná-las são os principais pontos a se observar. Uma boa densidade de estações dentro da área de cobertura é a garantia de que, onde quer que o usuário esteja, haverá uma estação a uma distância conveniente a pé, tanto da origem como do destino de sua viagem. Uma área grande e densa de estações cria uma rede com a qual os usuários podem contar para todas as suas viagens pela cidade. Quanto mais afastadas as estações, menos conveniente é o sistema para o usuário. A falta de bicicletas ou de espaços para guardar as bicicletas resulta em usuários frustrados." conforme ITDP(2014, p.46) / </t>
    </r>
    <r>
      <rPr>
        <b/>
        <sz val="10"/>
        <color theme="1"/>
        <rFont val="Times New Roman"/>
        <family val="1"/>
      </rPr>
      <t>obs.3:</t>
    </r>
    <r>
      <rPr>
        <sz val="10"/>
        <color theme="1"/>
        <rFont val="Times New Roman"/>
        <family val="1"/>
      </rPr>
      <t xml:space="preserve"> Apesar da meta ser usar o indicador de densidade de estações para garantir uma cobertura uniforme, raramente isto é alcançado na prática, já que a infraestrutura e o spaço existente irão determinar o número e a dimensão das estações necessárias. " conforme ITDP(2014, p.60)</t>
    </r>
  </si>
  <si>
    <t>densidade das estações do sistema de bicicletas compartilhadas (em n.º de estações por km2)
obs.: resultado de 2015 em ITDP(22)</t>
  </si>
  <si>
    <t>densidade das estações do sistema de bicicletas compartilhadas (em n.º de estações por km2)
obs.: resultado de 2014 em ITDP(23)</t>
  </si>
  <si>
    <r>
      <t xml:space="preserve">índice de renovação do estacionamento rotativo, expresso em percentual de vagas ocupadas
</t>
    </r>
    <r>
      <rPr>
        <b/>
        <sz val="10"/>
        <rFont val="Times New Roman"/>
        <family val="1"/>
      </rPr>
      <t xml:space="preserve">obs.1: </t>
    </r>
    <r>
      <rPr>
        <sz val="10"/>
        <rFont val="Times New Roman"/>
        <family val="1"/>
      </rPr>
      <t xml:space="preserve">"objetivo: medir a relação de vagas adquiridas de estacionamento rotativo com a disponibilidade de vagas rotativas; fórmula = (n.º de comprovantes de vagas adquiridas / (n.º de vagas rotativas nos dias úteis x dia útil equivalente)) x 100; recomendado em ANTP(2011a, p.59)
</t>
    </r>
    <r>
      <rPr>
        <b/>
        <sz val="10"/>
        <rFont val="Times New Roman"/>
        <family val="1"/>
      </rPr>
      <t>obs.1:</t>
    </r>
    <r>
      <rPr>
        <sz val="10"/>
        <rFont val="Times New Roman"/>
        <family val="1"/>
      </rPr>
      <t xml:space="preserve"> indicador não apurado pela BHTrans</t>
    </r>
  </si>
  <si>
    <r>
      <t xml:space="preserve">"índice de disposição de resíduos sólidos
</t>
    </r>
    <r>
      <rPr>
        <b/>
        <sz val="10"/>
        <color theme="1"/>
        <rFont val="Times New Roman"/>
        <family val="1"/>
      </rPr>
      <t xml:space="preserve">obs.1: </t>
    </r>
    <r>
      <rPr>
        <sz val="10"/>
        <color theme="1"/>
        <rFont val="Times New Roman"/>
        <family val="1"/>
      </rPr>
      <t>objetivo: avaliar o tratamento dados aos resíduos sólidos gerados pelos processos da organização. / fórmula: I</t>
    </r>
    <r>
      <rPr>
        <vertAlign val="subscript"/>
        <sz val="10"/>
        <color theme="1"/>
        <rFont val="Times New Roman"/>
        <family val="1"/>
      </rPr>
      <t>RL</t>
    </r>
    <r>
      <rPr>
        <sz val="10"/>
        <color theme="1"/>
        <rFont val="Times New Roman"/>
        <family val="1"/>
      </rPr>
      <t xml:space="preserve"> = (massa em kg de resíduos sólidos dispostos de modo ambientalmente correto com destinação conforme legislação ambiental/massa total em kg de resíduos sólidos gerados pela organização) x 100 / observações: Exemplos: pneus, sucata de manutenção etc."; recomendado em ANTP(2011b, p.33)
</t>
    </r>
    <r>
      <rPr>
        <b/>
        <sz val="10"/>
        <color theme="1"/>
        <rFont val="Times New Roman"/>
        <family val="1"/>
      </rPr>
      <t>obs.2:</t>
    </r>
    <r>
      <rPr>
        <sz val="10"/>
        <color theme="1"/>
        <rFont val="Times New Roman"/>
        <family val="1"/>
      </rPr>
      <t xml:space="preserve"> indicador não apurado pela BHTrans</t>
    </r>
  </si>
  <si>
    <r>
      <rPr>
        <b/>
        <sz val="8"/>
        <rFont val="Times New Roman"/>
        <family val="1"/>
      </rPr>
      <t>Fonte:</t>
    </r>
    <r>
      <rPr>
        <sz val="8"/>
        <rFont val="Times New Roman"/>
        <family val="1"/>
      </rPr>
      <t xml:space="preserve">  BHTRANS. Sistema de Informações da Mobilidade Urbana de Belo Horizonte (SisMob-BH). </t>
    </r>
    <r>
      <rPr>
        <i/>
        <sz val="8"/>
        <rFont val="Times New Roman"/>
        <family val="1"/>
      </rPr>
      <t>Quadro 100a - Dados abertos do SisMob-BH - planilha com indicadores e seus resultados</t>
    </r>
    <r>
      <rPr>
        <sz val="8"/>
        <rFont val="Times New Roman"/>
        <family val="1"/>
      </rPr>
      <t xml:space="preserve">.
Elaborado por Marcos Fontoura de Oliveira para o Sistema de Informações da Mobilidade Urbana de Belo Horizonte (SisMob-BH) em formato de dados abertos e publicado na </t>
    </r>
    <r>
      <rPr>
        <i/>
        <sz val="8"/>
        <rFont val="Times New Roman"/>
        <family val="1"/>
      </rPr>
      <t>home page</t>
    </r>
    <r>
      <rPr>
        <sz val="8"/>
        <rFont val="Times New Roman"/>
        <family val="1"/>
      </rPr>
      <t xml:space="preserve"> da BHTrans pela primeira vez em 10/08/2015. Atualizações e correções permanentes em função, principalmente, das atualizações do Quadro 100a e dos gráficos publicados nas abas 1.1 a 9.6.</t>
    </r>
  </si>
  <si>
    <t>Access City Award 2015</t>
  </si>
  <si>
    <t>Access City Award 2014</t>
  </si>
  <si>
    <t>Access City Award 2013</t>
  </si>
  <si>
    <t>Access City Award 2010</t>
  </si>
  <si>
    <t>Access City Award</t>
  </si>
  <si>
    <t>Europa</t>
  </si>
  <si>
    <r>
      <rPr>
        <b/>
        <sz val="12"/>
        <rFont val="Times New Roman"/>
        <family val="1"/>
      </rPr>
      <t>EC(2014b):</t>
    </r>
    <r>
      <rPr>
        <sz val="12"/>
        <rFont val="Times New Roman"/>
        <family val="1"/>
      </rPr>
      <t xml:space="preserve"> EUROPEAN COMISSION. </t>
    </r>
    <r>
      <rPr>
        <i/>
        <sz val="12"/>
        <rFont val="Times New Roman"/>
        <family val="1"/>
      </rPr>
      <t>Access City Award 2015</t>
    </r>
    <r>
      <rPr>
        <sz val="12"/>
        <rFont val="Times New Roman"/>
        <family val="1"/>
      </rPr>
      <t>. Brussels, 5 July 2014. Disponível em: &lt;http://ec.europa.eu/justice/discrimination/disabilities/award/index_en.htm&gt;. Acesso em: 21 fev. 2015.</t>
    </r>
  </si>
  <si>
    <r>
      <rPr>
        <b/>
        <sz val="12"/>
        <rFont val="Times New Roman"/>
        <family val="1"/>
      </rPr>
      <t xml:space="preserve">ZAGO(2010): </t>
    </r>
    <r>
      <rPr>
        <sz val="12"/>
        <rFont val="Times New Roman"/>
        <family val="1"/>
      </rPr>
      <t xml:space="preserve">ZAGO. Fernanda. Cidade medieval ganha prêmio da UE de acessibilidade para pessoas com deficiência. </t>
    </r>
    <r>
      <rPr>
        <i/>
        <sz val="12"/>
        <rFont val="Times New Roman"/>
        <family val="1"/>
      </rPr>
      <t>Blog (D)eficiente</t>
    </r>
    <r>
      <rPr>
        <sz val="12"/>
        <rFont val="Times New Roman"/>
        <family val="1"/>
      </rPr>
      <t>, [2010]. Disponível em: &lt;http://www.fernandazago.com.br/search?q=%C3%A1vila&gt;. Acesso em: 26 jun. 2016.</t>
    </r>
  </si>
  <si>
    <t>Ávila</t>
  </si>
  <si>
    <t>Alemanha</t>
  </si>
  <si>
    <t>Barcelona</t>
  </si>
  <si>
    <t>Colônia</t>
  </si>
  <si>
    <t>Borås</t>
  </si>
  <si>
    <t>Helsinque</t>
  </si>
  <si>
    <t>Liubliana</t>
  </si>
  <si>
    <t>Logroño</t>
  </si>
  <si>
    <t>Arona</t>
  </si>
  <si>
    <t>Budapeste</t>
  </si>
  <si>
    <t>Berlim</t>
  </si>
  <si>
    <t>Nantes</t>
  </si>
  <si>
    <t>Estocolmo</t>
  </si>
  <si>
    <t>Pamplona</t>
  </si>
  <si>
    <t>Gdynia</t>
  </si>
  <si>
    <t>Tallaght</t>
  </si>
  <si>
    <t>Gotemburgo</t>
  </si>
  <si>
    <t>Grenoble</t>
  </si>
  <si>
    <t>Posnânia [Poznań]</t>
  </si>
  <si>
    <t>Belfast</t>
  </si>
  <si>
    <t>Dresden</t>
  </si>
  <si>
    <t>Málaga</t>
  </si>
  <si>
    <t>Burgos</t>
  </si>
  <si>
    <t>Cracóvia</t>
  </si>
  <si>
    <t>Marburg</t>
  </si>
  <si>
    <t>Santander</t>
  </si>
  <si>
    <t>Terrassa</t>
  </si>
  <si>
    <t>Olomouc</t>
  </si>
  <si>
    <t>Bilbao</t>
  </si>
  <si>
    <t>AV b</t>
  </si>
  <si>
    <t>AV b por 10 mil veículos</t>
  </si>
  <si>
    <t>AV b por 100 mil habitantes</t>
  </si>
  <si>
    <t>M b por mil AVb</t>
  </si>
  <si>
    <t>M b por 100 mil habit.</t>
  </si>
  <si>
    <t>M b por 10 mil veículos</t>
  </si>
  <si>
    <t>M b</t>
  </si>
  <si>
    <r>
      <t xml:space="preserve">serviço de organização e controle das permissões de táxi executado pela BHTrans para um conjunto de municípios da RMBH, que inclui o cadastro de pessoas e veículos, a emissão de documentos e a vistoria nos veículos
</t>
    </r>
    <r>
      <rPr>
        <b/>
        <sz val="10"/>
        <color theme="1"/>
        <rFont val="Times New Roman"/>
        <family val="1"/>
      </rPr>
      <t xml:space="preserve">obs.: </t>
    </r>
    <r>
      <rPr>
        <sz val="10"/>
        <color theme="1"/>
        <rFont val="Times New Roman"/>
        <family val="1"/>
      </rPr>
      <t>os indicadores que tratam da gestão da BHTrans usam o complemento "gt"</t>
    </r>
  </si>
  <si>
    <r>
      <t xml:space="preserve">gases de efeito estufa, que são os gases considerados responsáveis pelo aquecimento global 
</t>
    </r>
    <r>
      <rPr>
        <b/>
        <sz val="10"/>
        <rFont val="Times New Roman"/>
        <family val="1"/>
      </rPr>
      <t>obs.:</t>
    </r>
    <r>
      <rPr>
        <sz val="10"/>
        <rFont val="Times New Roman"/>
        <family val="1"/>
      </rPr>
      <t xml:space="preserve"> consulte "EG"</t>
    </r>
  </si>
  <si>
    <r>
      <t xml:space="preserve">tarifa média do transporte coletivo convencional
</t>
    </r>
    <r>
      <rPr>
        <b/>
        <sz val="10"/>
        <color theme="1"/>
        <rFont val="Times New Roman"/>
        <family val="1"/>
      </rPr>
      <t>obs.:</t>
    </r>
    <r>
      <rPr>
        <sz val="10"/>
        <color theme="1"/>
        <rFont val="Times New Roman"/>
        <family val="1"/>
      </rPr>
      <t xml:space="preserve"> resultados de dezembro como representativo do ano com resultados de 1993 a 1995 conforme BHTRANS(1996a, p.2)</t>
    </r>
  </si>
  <si>
    <t>Access City Award 2012</t>
  </si>
  <si>
    <r>
      <rPr>
        <b/>
        <sz val="12"/>
        <color theme="1"/>
        <rFont val="Times New Roman"/>
        <family val="1"/>
      </rPr>
      <t xml:space="preserve">EC(2012a): </t>
    </r>
    <r>
      <rPr>
        <sz val="12"/>
        <color theme="1"/>
        <rFont val="Times New Roman"/>
        <family val="1"/>
      </rPr>
      <t xml:space="preserve">EUROPEAN COMISSION - EC. </t>
    </r>
    <r>
      <rPr>
        <i/>
        <sz val="12"/>
        <color theme="1"/>
        <rFont val="Times New Roman"/>
        <family val="1"/>
      </rPr>
      <t>Access City Award 2012</t>
    </r>
    <r>
      <rPr>
        <sz val="12"/>
        <color theme="1"/>
        <rFont val="Times New Roman"/>
        <family val="1"/>
      </rPr>
      <t>: Rewarding and inspiring accessible cities across the EU. Luxembourg, 2012. 24p. Disponível em: &lt;https://www.stadt-salzburg.at/pdf/access_city_award_2012_brochure_en.pdf&gt;. Acesso em: 26 jun. 2016.</t>
    </r>
  </si>
  <si>
    <t>Berlim para todos</t>
  </si>
  <si>
    <t>Berlim para todos
(meta)</t>
  </si>
  <si>
    <t>RPI/meta</t>
  </si>
  <si>
    <t>Berlin for all in 2020</t>
  </si>
  <si>
    <r>
      <t xml:space="preserve">"Apesar de ter vencido no ano passado [o Access City Award], Berlim não se deu por satisfeita e se impôs uma nova meta: converter-se até 2020 em uma cidade para todos [como está posto no vídeo </t>
    </r>
    <r>
      <rPr>
        <i/>
        <sz val="10"/>
        <color theme="1"/>
        <rFont val="Times New Roman"/>
        <family val="1"/>
      </rPr>
      <t>Berlin for all in 2020</t>
    </r>
    <r>
      <rPr>
        <sz val="10"/>
        <color theme="1"/>
        <rFont val="Times New Roman"/>
        <family val="1"/>
      </rPr>
      <t xml:space="preserve">]. Pois é disso que se trata a inclusão. Não queremos cidades repletas de rampas, pois isso seria um remendo. É preciso pensar em uma cidade que seja construída para todos." conforme LOCH(2014)
</t>
    </r>
    <r>
      <rPr>
        <b/>
        <sz val="10"/>
        <color theme="1"/>
        <rFont val="Times New Roman"/>
        <family val="1"/>
      </rPr>
      <t xml:space="preserve">obs.: </t>
    </r>
    <r>
      <rPr>
        <sz val="10"/>
        <color theme="1"/>
        <rFont val="Times New Roman"/>
        <family val="1"/>
      </rPr>
      <t>acesse o verbete "Berlim para todos"</t>
    </r>
  </si>
  <si>
    <r>
      <rPr>
        <b/>
        <sz val="12"/>
        <color theme="1"/>
        <rFont val="Times New Roman"/>
        <family val="1"/>
      </rPr>
      <t xml:space="preserve">LOCH(2014): </t>
    </r>
    <r>
      <rPr>
        <sz val="12"/>
        <color theme="1"/>
        <rFont val="Times New Roman"/>
        <family val="1"/>
      </rPr>
      <t xml:space="preserve">LOCH, Peter. </t>
    </r>
    <r>
      <rPr>
        <i/>
        <sz val="12"/>
        <color theme="1"/>
        <rFont val="Times New Roman"/>
        <family val="1"/>
      </rPr>
      <t>Acessibilidade Universal</t>
    </r>
    <r>
      <rPr>
        <sz val="12"/>
        <color theme="1"/>
        <rFont val="Times New Roman"/>
        <family val="1"/>
      </rPr>
      <t xml:space="preserve">: Berlim para todos. Tradução de Romullo Baratto. ArchDaily Brasil, 20 dez. 2014. Disponível em: &lt;http://www.archdaily.com.br/br/759191/acessibilidade-universal-berlim-para-todos&gt;. Acesso em: 27 jun. 2016. [nesta fonte acessa-se o vídeo </t>
    </r>
    <r>
      <rPr>
        <i/>
        <sz val="12"/>
        <color theme="1"/>
        <rFont val="Times New Roman"/>
        <family val="1"/>
      </rPr>
      <t>Berlin for all in 2020</t>
    </r>
    <r>
      <rPr>
        <sz val="12"/>
        <color theme="1"/>
        <rFont val="Times New Roman"/>
        <family val="1"/>
      </rPr>
      <t>]</t>
    </r>
  </si>
  <si>
    <r>
      <rPr>
        <b/>
        <sz val="12"/>
        <color theme="1"/>
        <rFont val="Times New Roman"/>
        <family val="1"/>
      </rPr>
      <t xml:space="preserve">EIP-SCC(2015): </t>
    </r>
    <r>
      <rPr>
        <sz val="12"/>
        <color theme="1"/>
        <rFont val="Times New Roman"/>
        <family val="1"/>
      </rPr>
      <t>EUROPEAN INNOVATION PARTNERSHIP ON SMART CITIES AND COMMUNITIES - EIP-SCC.</t>
    </r>
    <r>
      <rPr>
        <i/>
        <sz val="12"/>
        <color theme="1"/>
        <rFont val="Times New Roman"/>
        <family val="1"/>
      </rPr>
      <t xml:space="preserve"> Borås Is the Winner of the Access City Award 2015!</t>
    </r>
    <r>
      <rPr>
        <sz val="12"/>
        <color theme="1"/>
        <rFont val="Times New Roman"/>
        <family val="1"/>
      </rPr>
      <t xml:space="preserve"> 2015. Disponível em: &lt;https://eu-smartcities.eu/content/bor%C3%A5s-winner-access-city-award-2015&gt;. Acesso em: 25 jun. 2016.</t>
    </r>
  </si>
  <si>
    <r>
      <rPr>
        <b/>
        <sz val="12"/>
        <color theme="1"/>
        <rFont val="Times New Roman"/>
        <family val="1"/>
      </rPr>
      <t xml:space="preserve">EC(2016a): </t>
    </r>
    <r>
      <rPr>
        <sz val="12"/>
        <color theme="1"/>
        <rFont val="Times New Roman"/>
        <family val="1"/>
      </rPr>
      <t xml:space="preserve">EUROPEAN COMISSION - EC. </t>
    </r>
    <r>
      <rPr>
        <i/>
        <sz val="12"/>
        <color theme="1"/>
        <rFont val="Times New Roman"/>
        <family val="1"/>
      </rPr>
      <t>EUROCITIES statement on the European Accessibility Act</t>
    </r>
    <r>
      <rPr>
        <sz val="12"/>
        <color theme="1"/>
        <rFont val="Times New Roman"/>
        <family val="1"/>
      </rPr>
      <t>. Brussels, January 2016. 5p. Disponível em: &lt;http://nws.eurocities.eu/MediaShell/media/FINAL%20European%20Accessibility%20Act%20statement1.pdf&gt;. Acesso em: 26 jun. 2016.</t>
    </r>
  </si>
  <si>
    <t>European Accessibility Act</t>
  </si>
  <si>
    <r>
      <t xml:space="preserve">"Directive for the European Parliament and of the Council on the approximation of the laws, regulations and administrative provisions of the Member States as regarding the accessibility requirements for products and services" conforme EC(2016a, p.1)
</t>
    </r>
    <r>
      <rPr>
        <b/>
        <sz val="10"/>
        <color theme="1"/>
        <rFont val="Times New Roman"/>
        <family val="1"/>
      </rPr>
      <t xml:space="preserve">obs.: </t>
    </r>
    <r>
      <rPr>
        <sz val="10"/>
        <color theme="1"/>
        <rFont val="Times New Roman"/>
        <family val="1"/>
      </rPr>
      <t>"Cities are the ‘lighthouses’ of better policy in accessibility: good practices and policy development at city level can prompt improvements in policy and law at national level. EUROCITIES can facilitate the transfer of knowledge and capacity building between European cities and demonstrate that change is possible and how it can be achieved." conforme EC(2016a, p.1)</t>
    </r>
  </si>
  <si>
    <r>
      <rPr>
        <b/>
        <sz val="12"/>
        <color theme="1"/>
        <rFont val="Times New Roman"/>
        <family val="1"/>
      </rPr>
      <t xml:space="preserve">ITDP(2014a): </t>
    </r>
    <r>
      <rPr>
        <sz val="12"/>
        <color theme="1"/>
        <rFont val="Times New Roman"/>
        <family val="1"/>
      </rPr>
      <t xml:space="preserve">INSTITUTO DE POLÍTICAS DE TRANSPORTE &amp; DESENVOLVIMENTO - ITDP BRASIL. </t>
    </r>
    <r>
      <rPr>
        <i/>
        <sz val="12"/>
        <color theme="1"/>
        <rFont val="Times New Roman"/>
        <family val="1"/>
      </rPr>
      <t>BRT Transoeste</t>
    </r>
    <r>
      <rPr>
        <sz val="12"/>
        <color theme="1"/>
        <rFont val="Times New Roman"/>
        <family val="1"/>
      </rPr>
      <t>: revisão da pontuação e recomendações de melhorias (conforme o padrão de qualidade BRT). [Rio de Janeiro]: ITDP, setembro 2014. 11p. Disponível em: &lt;http://2rps5v3y8o843iokettbxnya.wpengine.netdna-cdn.com/wp-content/uploads/2015/03/ITDP-Brasil_Ranking-BRT-TransOeste-2014_em-PT_vers%C3%A3o-WEB.pdf&gt;. Acesso em: 3 mar. 2016.</t>
    </r>
  </si>
  <si>
    <r>
      <rPr>
        <b/>
        <sz val="12"/>
        <rFont val="Times New Roman"/>
        <family val="1"/>
      </rPr>
      <t xml:space="preserve">ITDP(2014c): </t>
    </r>
    <r>
      <rPr>
        <sz val="12"/>
        <rFont val="Times New Roman"/>
        <family val="1"/>
      </rPr>
      <t xml:space="preserve">INSTITUTO DE POLÍTICAS DE TRANSPORTE &amp; DESENVOLVIMENTO - ITDP BRASIL. </t>
    </r>
    <r>
      <rPr>
        <i/>
        <sz val="12"/>
        <rFont val="Times New Roman"/>
        <family val="1"/>
      </rPr>
      <t>Guia de planejamento de bicicletas compartilhadas</t>
    </r>
    <r>
      <rPr>
        <sz val="12"/>
        <rFont val="Times New Roman"/>
        <family val="1"/>
      </rPr>
      <t>. [Rio de Janeiro], 10 fev. 2014. 154p. Disponível em: &lt;http://2rps5v3y8o843iokettbxnya.wpengine.netdna-cdn.com/wp-content/uploads/2014/11/ITDP-Brasil_Guia-de-Planejamento-de-Sistemas-de-Bicicletas-Compartilhadas_1a-vers%C3%A3o.pdf&gt;. Acesso em: 24 jun. 2016.</t>
    </r>
  </si>
  <si>
    <r>
      <rPr>
        <b/>
        <sz val="12"/>
        <rFont val="Times New Roman"/>
        <family val="1"/>
      </rPr>
      <t xml:space="preserve">ITDP(2016a): </t>
    </r>
    <r>
      <rPr>
        <sz val="12"/>
        <rFont val="Times New Roman"/>
        <family val="1"/>
      </rPr>
      <t xml:space="preserve">INSTITUTO DE POLÍTICAS DE TRANSPORTE &amp; DESENVOLVIMENTO - ITDP BRASIL. </t>
    </r>
    <r>
      <rPr>
        <i/>
        <sz val="12"/>
        <rFont val="Times New Roman"/>
        <family val="1"/>
      </rPr>
      <t>Sistemas de bicicletas compartilhadas em Belo Horizonte, Distrito Federal, Rio de Janeiro e São Paulo</t>
    </r>
    <r>
      <rPr>
        <sz val="12"/>
        <rFont val="Times New Roman"/>
        <family val="1"/>
      </rPr>
      <t>. [Rio de Janeiro], jun. 2016. 31p. Disponível em: &lt;http://2rps5v3y8o843iokettbxnya.wpengine.netdna-cdn.com/wp-content/uploads/2016/06/2016-ITDP-relatorio-bike-share.pdf&gt;. Acesso em: 24 jun. 2016.</t>
    </r>
  </si>
  <si>
    <r>
      <rPr>
        <b/>
        <sz val="12"/>
        <color theme="1"/>
        <rFont val="Times New Roman"/>
        <family val="1"/>
      </rPr>
      <t xml:space="preserve">ABNT(1997b): </t>
    </r>
    <r>
      <rPr>
        <sz val="12"/>
        <color theme="1"/>
        <rFont val="Times New Roman"/>
        <family val="1"/>
      </rPr>
      <t xml:space="preserve">ASSOCIAÇÃO BRASILEIRA DE NORMAS TÉCNICAS – ABNT. </t>
    </r>
    <r>
      <rPr>
        <i/>
        <sz val="12"/>
        <color theme="1"/>
        <rFont val="Times New Roman"/>
        <family val="1"/>
      </rPr>
      <t>NBR 9050: Acessibilidade de pessoas portadoras de deficiência a edificações, espaço, mobiliário e equipamento urbanos</t>
    </r>
    <r>
      <rPr>
        <sz val="12"/>
        <color theme="1"/>
        <rFont val="Times New Roman"/>
        <family val="1"/>
      </rPr>
      <t xml:space="preserve">. Rio de Janeiro: ABNT, 1997. 56p. (publicação da Associação Mineira de Paraplégicos – AMP). </t>
    </r>
    <r>
      <rPr>
        <sz val="12"/>
        <color rgb="FFFF0000"/>
        <rFont val="Times New Roman"/>
        <family val="1"/>
      </rPr>
      <t>não encontrada na internet para baixar na busca em 28 abr. 2016.</t>
    </r>
  </si>
  <si>
    <r>
      <rPr>
        <b/>
        <sz val="12"/>
        <color theme="1"/>
        <rFont val="Times New Roman"/>
        <family val="1"/>
      </rPr>
      <t>ABNT(2008a):</t>
    </r>
    <r>
      <rPr>
        <sz val="12"/>
        <color theme="1"/>
        <rFont val="Times New Roman"/>
        <family val="1"/>
      </rPr>
      <t xml:space="preserve"> ABNT - ASSOCIAÇÃO BRASILEIRA DE NORMAS TÉCNICAS. </t>
    </r>
    <r>
      <rPr>
        <i/>
        <sz val="12"/>
        <color theme="1"/>
        <rFont val="Times New Roman"/>
        <family val="1"/>
      </rPr>
      <t>NBR 15570: ___</t>
    </r>
    <r>
      <rPr>
        <sz val="12"/>
        <color theme="1"/>
        <rFont val="Times New Roman"/>
        <family val="1"/>
      </rPr>
      <t xml:space="preserve">. 1ª edição. </t>
    </r>
    <r>
      <rPr>
        <sz val="12"/>
        <color rgb="FFFF0000"/>
        <rFont val="Times New Roman"/>
        <family val="1"/>
      </rPr>
      <t>não encontrada na internet para baixar na busca em 28 abr. 2016.</t>
    </r>
  </si>
  <si>
    <r>
      <rPr>
        <b/>
        <sz val="12"/>
        <rFont val="Times New Roman"/>
        <family val="1"/>
      </rPr>
      <t xml:space="preserve">ABNT(2011b): </t>
    </r>
    <r>
      <rPr>
        <sz val="12"/>
        <rFont val="Times New Roman"/>
        <family val="1"/>
      </rPr>
      <t xml:space="preserve">ASSOCIAÇÃO BRASILEIRA DE NORMAS TÉCNICAS – ABNT. </t>
    </r>
    <r>
      <rPr>
        <i/>
        <sz val="12"/>
        <rFont val="Times New Roman"/>
        <family val="1"/>
      </rPr>
      <t>NBR 15646: Acessibilidade - plataforma elevatória veicular para acessibilidade em veículos com características urbanas para o transporte coletivo de passageiros - requisitos de desempenho, projeto, instalação e manutenção</t>
    </r>
    <r>
      <rPr>
        <sz val="12"/>
        <rFont val="Times New Roman"/>
        <family val="1"/>
      </rPr>
      <t xml:space="preserve">. 2.ed. Rio de Janeiro: ABNT, 2006. 28p. [segunda edição de 25/10/2011; válida a partir de 25/11/2011). </t>
    </r>
    <r>
      <rPr>
        <sz val="12"/>
        <color rgb="FFFF0000"/>
        <rFont val="Times New Roman"/>
        <family val="1"/>
      </rPr>
      <t>não encontrada na internet para baixar na busca em 28 abr. 2016.</t>
    </r>
  </si>
  <si>
    <r>
      <rPr>
        <b/>
        <sz val="12"/>
        <color theme="1"/>
        <rFont val="Times New Roman"/>
        <family val="1"/>
      </rPr>
      <t>ABNT(2011c):</t>
    </r>
    <r>
      <rPr>
        <sz val="12"/>
        <color theme="1"/>
        <rFont val="Times New Roman"/>
        <family val="1"/>
      </rPr>
      <t xml:space="preserve"> ABNT - ASSOCIAÇÃO BRASILEIRA DE NORMAS TÉCNICAS. </t>
    </r>
    <r>
      <rPr>
        <i/>
        <sz val="12"/>
        <color theme="1"/>
        <rFont val="Times New Roman"/>
        <family val="1"/>
      </rPr>
      <t>NBR 15570: Transporte - Especificações técnicas para fabricação de veículos de características urbanas para transporte coletivo de passageiros</t>
    </r>
    <r>
      <rPr>
        <sz val="12"/>
        <color theme="1"/>
        <rFont val="Times New Roman"/>
        <family val="1"/>
      </rPr>
      <t xml:space="preserve">. 3.ed. Rio de Janeiro: ABNT, 2011. __p. [terceira edição de 06/01/2011; válida a partir de 06/02/2011]. </t>
    </r>
    <r>
      <rPr>
        <sz val="12"/>
        <color rgb="FFFF0000"/>
        <rFont val="Times New Roman"/>
        <family val="1"/>
      </rPr>
      <t>não encontrada na internet para baixar na busca em 28 abr. 2016.</t>
    </r>
  </si>
  <si>
    <r>
      <rPr>
        <b/>
        <sz val="12"/>
        <rFont val="Times New Roman"/>
        <family val="1"/>
      </rPr>
      <t xml:space="preserve">BH(1998b): </t>
    </r>
    <r>
      <rPr>
        <sz val="12"/>
        <rFont val="Times New Roman"/>
        <family val="1"/>
      </rPr>
      <t xml:space="preserve">BELO HORIZONTE. Câmara Municipal. Projeto de Lei n.º 782/1998. [transformada em Proposição de Lei n.º 563/1999 e na Lei n.º 7.765/1999] </t>
    </r>
    <r>
      <rPr>
        <sz val="12"/>
        <color rgb="FFFF0000"/>
        <rFont val="Times New Roman"/>
        <family val="1"/>
      </rPr>
      <t>faltando encontrar</t>
    </r>
  </si>
  <si>
    <r>
      <rPr>
        <b/>
        <sz val="12"/>
        <rFont val="Times New Roman"/>
        <family val="1"/>
      </rPr>
      <t xml:space="preserve">BH(1999d): </t>
    </r>
    <r>
      <rPr>
        <sz val="12"/>
        <rFont val="Times New Roman"/>
        <family val="1"/>
      </rPr>
      <t>BELO HORIZONTE. Câmara Municipal. Projeto de Lei (fev.1999) propõe a criação de "serviço de transporte alternativo para atender ao portador de deficiência física"</t>
    </r>
    <r>
      <rPr>
        <sz val="12"/>
        <color rgb="FFFF0000"/>
        <rFont val="Times New Roman"/>
        <family val="1"/>
      </rPr>
      <t xml:space="preserve"> (faltando encontrar)</t>
    </r>
  </si>
  <si>
    <r>
      <rPr>
        <b/>
        <sz val="12"/>
        <color rgb="FFFF0000"/>
        <rFont val="Times New Roman"/>
        <family val="1"/>
      </rPr>
      <t xml:space="preserve">BH(2003_): </t>
    </r>
    <r>
      <rPr>
        <sz val="12"/>
        <color rgb="FFFF0000"/>
        <rFont val="Times New Roman"/>
        <family val="1"/>
      </rPr>
      <t>____. Projeto de Lei n.º 1503/03. [na pasta]</t>
    </r>
    <r>
      <rPr>
        <sz val="11"/>
        <color theme="1"/>
        <rFont val="Calibri"/>
        <family val="2"/>
        <scheme val="minor"/>
      </rPr>
      <t/>
    </r>
  </si>
  <si>
    <r>
      <rPr>
        <b/>
        <sz val="12"/>
        <color rgb="FFFF0000"/>
        <rFont val="Times New Roman"/>
        <family val="1"/>
      </rPr>
      <t xml:space="preserve">BH(2003_): </t>
    </r>
    <r>
      <rPr>
        <sz val="12"/>
        <color rgb="FFFF0000"/>
        <rFont val="Times New Roman"/>
        <family val="1"/>
      </rPr>
      <t>____. Projeto de Lei n.º 1504/03. [na pasta]</t>
    </r>
    <r>
      <rPr>
        <sz val="11"/>
        <color theme="1"/>
        <rFont val="Calibri"/>
        <family val="2"/>
        <scheme val="minor"/>
      </rPr>
      <t/>
    </r>
  </si>
  <si>
    <r>
      <rPr>
        <b/>
        <sz val="12"/>
        <color rgb="FFFF0000"/>
        <rFont val="Times New Roman"/>
        <family val="1"/>
      </rPr>
      <t xml:space="preserve">BH(2003_): </t>
    </r>
    <r>
      <rPr>
        <sz val="12"/>
        <color rgb="FFFF0000"/>
        <rFont val="Times New Roman"/>
        <family val="1"/>
      </rPr>
      <t>____. Projeto de Lei n° 1446/03 analisado pelo MP-MG em 29/09/2003.</t>
    </r>
  </si>
  <si>
    <r>
      <rPr>
        <b/>
        <sz val="12"/>
        <color theme="1"/>
        <rFont val="Times New Roman"/>
        <family val="1"/>
      </rPr>
      <t>BH(2013a):</t>
    </r>
    <r>
      <rPr>
        <sz val="12"/>
        <color theme="1"/>
        <rFont val="Times New Roman"/>
        <family val="1"/>
      </rPr>
      <t xml:space="preserve"> BELO HORIZONTE. Prefeitura. </t>
    </r>
    <r>
      <rPr>
        <i/>
        <sz val="12"/>
        <color theme="1"/>
        <rFont val="Times New Roman"/>
        <family val="1"/>
      </rPr>
      <t>Mensagem n.º 47 da Prefeitura de Belo Horizonte à Câmara Municipal de Belo Horizonte</t>
    </r>
    <r>
      <rPr>
        <sz val="12"/>
        <color theme="1"/>
        <rFont val="Times New Roman"/>
        <family val="1"/>
      </rPr>
      <t xml:space="preserve">. Propõe modificações ao Projeto de Lei que "Dispõe sobre o Plano Plurianual de Ação Governamental – PPAG para o período 2014- 2017" encaminhado pelo Executivo por meio da Mensagem n.º 41, de 30/09/2013. Belo Horizonte, 21 out. 2013. </t>
    </r>
    <r>
      <rPr>
        <sz val="12"/>
        <color rgb="FFFF0000"/>
        <rFont val="Times New Roman"/>
        <family val="1"/>
      </rPr>
      <t>faltando baixar.</t>
    </r>
  </si>
  <si>
    <r>
      <rPr>
        <sz val="12"/>
        <color rgb="FFFF0000"/>
        <rFont val="Times New Roman"/>
        <family val="1"/>
      </rPr>
      <t xml:space="preserve">analisar se preciso?? </t>
    </r>
    <r>
      <rPr>
        <sz val="12"/>
        <color theme="1"/>
        <rFont val="Times New Roman"/>
        <family val="1"/>
      </rPr>
      <t>Portaria DTP 083/98 citada na DTP 023/99: Parágrafo único - Os veículos novos para serem incorporados ao sistema de transporte coletivo devem estar em conformidade com as regulamentações de veículos da BHTRANS, especialmente a portaria BHTRANS DTP 083/98, os Manuais de Layout Interno e Externo da BHTRANS e o Regulamento de Carrocerias MICT/CONMETRO.</t>
    </r>
  </si>
  <si>
    <t>BHTRANS(1999g): ___. Portaria DTP n.º 25/99 [citado no histórico que fiz]</t>
  </si>
  <si>
    <t>BHTRANS(1999h): ___. Ofício DPR n.º 235/99. Responde ofício n.º 145/99 do MP encamina Paraecer Técnico ATEC n.º 049A/99 [citado no histórico que fiz]</t>
  </si>
  <si>
    <r>
      <rPr>
        <b/>
        <sz val="12"/>
        <color rgb="FFFF0000"/>
        <rFont val="Times New Roman"/>
        <family val="1"/>
      </rPr>
      <t>BHTRANS(2000c):</t>
    </r>
    <r>
      <rPr>
        <sz val="12"/>
        <color rgb="FFFF0000"/>
        <rFont val="Times New Roman"/>
        <family val="1"/>
      </rPr>
      <t xml:space="preserve"> ___. Ofício DPR n.º 067/00. Presta informações ao MP-MG [citado no histórico que fiz]</t>
    </r>
  </si>
  <si>
    <r>
      <rPr>
        <b/>
        <sz val="12"/>
        <color rgb="FFFF0000"/>
        <rFont val="Times New Roman"/>
        <family val="1"/>
      </rPr>
      <t>BHTRANS(2000d):</t>
    </r>
    <r>
      <rPr>
        <sz val="12"/>
        <color rgb="FFFF0000"/>
        <rFont val="Times New Roman"/>
        <family val="1"/>
      </rPr>
      <t xml:space="preserve"> ___. Ofício DPR n.º 483/00. Responde Ofício n.º 607/2000 do MP - 21 set. 2000 [citado no histórico que fiz]</t>
    </r>
  </si>
  <si>
    <r>
      <rPr>
        <b/>
        <sz val="12"/>
        <color rgb="FFFF0000"/>
        <rFont val="Times New Roman"/>
        <family val="1"/>
      </rPr>
      <t>BHTRANS(2003c):</t>
    </r>
    <r>
      <rPr>
        <sz val="12"/>
        <color rgb="FFFF0000"/>
        <rFont val="Times New Roman"/>
        <family val="1"/>
      </rPr>
      <t xml:space="preserve"> ____________. Informa que n.º de veículos com elevador = 23 em 13/11/2003</t>
    </r>
  </si>
  <si>
    <r>
      <rPr>
        <b/>
        <sz val="12"/>
        <color theme="1"/>
        <rFont val="Times New Roman"/>
        <family val="1"/>
      </rPr>
      <t xml:space="preserve">BHTRANS(2012c): </t>
    </r>
    <r>
      <rPr>
        <sz val="12"/>
        <color theme="1"/>
        <rFont val="Times New Roman"/>
        <family val="1"/>
      </rPr>
      <t xml:space="preserve">EMPRESA DE TRANSPORTES E TRÂNSITO DE BELO HORIZONTE S.A - BHTRANS. Gerência de Contratos de Concessão e Tarifas - Gecet/DTP. </t>
    </r>
    <r>
      <rPr>
        <i/>
        <sz val="12"/>
        <color theme="1"/>
        <rFont val="Times New Roman"/>
        <family val="1"/>
      </rPr>
      <t>Portal interno  - planilha dados transporte coletivo - Anuário 2012</t>
    </r>
    <r>
      <rPr>
        <sz val="12"/>
        <color theme="1"/>
        <rFont val="Times New Roman"/>
        <family val="1"/>
      </rPr>
      <t xml:space="preserve">. </t>
    </r>
    <r>
      <rPr>
        <sz val="12"/>
        <color rgb="FFFF0000"/>
        <rFont val="Times New Roman"/>
        <family val="1"/>
      </rPr>
      <t>faltando baixar</t>
    </r>
  </si>
  <si>
    <r>
      <rPr>
        <b/>
        <sz val="12"/>
        <color theme="1"/>
        <rFont val="Times New Roman"/>
        <family val="1"/>
      </rPr>
      <t xml:space="preserve">BHTRANS(2013d): </t>
    </r>
    <r>
      <rPr>
        <sz val="12"/>
        <color theme="1"/>
        <rFont val="Times New Roman"/>
        <family val="1"/>
      </rPr>
      <t xml:space="preserve">EMPRESA DE TRANSPORTES E TRÂNSITO DE BELO HORIZONTE S.A - BHTRANS. Gerência de Gestão de Pessoas - Gespe/DAF (atual Geape/DAD). </t>
    </r>
    <r>
      <rPr>
        <i/>
        <sz val="12"/>
        <color theme="1"/>
        <rFont val="Times New Roman"/>
        <family val="1"/>
      </rPr>
      <t>Portal interno - Relatórios Anuais GESPE - Relatório de Atividades 2012</t>
    </r>
    <r>
      <rPr>
        <sz val="12"/>
        <color theme="1"/>
        <rFont val="Times New Roman"/>
        <family val="1"/>
      </rPr>
      <t>. Belo Horizonte: BHTrans, 2013.</t>
    </r>
    <r>
      <rPr>
        <sz val="12"/>
        <color rgb="FFFF0000"/>
        <rFont val="Times New Roman"/>
        <family val="1"/>
      </rPr>
      <t xml:space="preserve"> faltando baixar</t>
    </r>
  </si>
  <si>
    <r>
      <rPr>
        <b/>
        <sz val="12"/>
        <color theme="1"/>
        <rFont val="Times New Roman"/>
        <family val="1"/>
      </rPr>
      <t xml:space="preserve">BHTRANS(2014c): </t>
    </r>
    <r>
      <rPr>
        <sz val="12"/>
        <color theme="1"/>
        <rFont val="Times New Roman"/>
        <family val="1"/>
      </rPr>
      <t xml:space="preserve">EMPRESA DE TRANSPORTES E TRÂNSITO DE BELO HORIZONTE S/A - BHTRANS. Gerência de Pesquisa, Informação e Inovação - Gepin/DPL. </t>
    </r>
    <r>
      <rPr>
        <i/>
        <sz val="12"/>
        <color theme="1"/>
        <rFont val="Times New Roman"/>
        <family val="1"/>
      </rPr>
      <t>Planilha de monitoramento dos acidentes do Projeto Vida no Trânsito para o período 2010-2013 - base de dados da Secretaria Municipal de Saúde de BH (anexa a e-mail para SisMob-BH)</t>
    </r>
    <r>
      <rPr>
        <sz val="12"/>
        <color theme="1"/>
        <rFont val="Times New Roman"/>
        <family val="1"/>
      </rPr>
      <t xml:space="preserve">. Belo Horizonte, 25/11/2014. </t>
    </r>
    <r>
      <rPr>
        <sz val="12"/>
        <color rgb="FFFF0000"/>
        <rFont val="Times New Roman"/>
        <family val="1"/>
      </rPr>
      <t>faltando baixar</t>
    </r>
  </si>
  <si>
    <r>
      <rPr>
        <b/>
        <sz val="12"/>
        <color theme="1"/>
        <rFont val="Times New Roman"/>
        <family val="1"/>
      </rPr>
      <t xml:space="preserve">BHTRANS(2014d): </t>
    </r>
    <r>
      <rPr>
        <sz val="12"/>
        <color theme="1"/>
        <rFont val="Times New Roman"/>
        <family val="1"/>
      </rPr>
      <t xml:space="preserve">EMPRESA DE TRANSPORTES E TRÂNSITO DE BELO HORIZONTE S.A - BHTRANS. Gerência de Pesquisa, Informação e Inovação - Gepin/DPL. </t>
    </r>
    <r>
      <rPr>
        <i/>
        <sz val="12"/>
        <color theme="1"/>
        <rFont val="Times New Roman"/>
        <family val="1"/>
      </rPr>
      <t>Informações sobre acidentes de trânsito com vítimas no município de Belo Horizonte - ano 2013</t>
    </r>
    <r>
      <rPr>
        <sz val="12"/>
        <color theme="1"/>
        <rFont val="Times New Roman"/>
        <family val="1"/>
      </rPr>
      <t>. Belo Horizonte, setembro 2014. 40p.</t>
    </r>
    <r>
      <rPr>
        <sz val="12"/>
        <color rgb="FFFF0000"/>
        <rFont val="Times New Roman"/>
        <family val="1"/>
      </rPr>
      <t xml:space="preserve"> faltando baixar</t>
    </r>
  </si>
  <si>
    <r>
      <rPr>
        <b/>
        <sz val="12"/>
        <rFont val="Times New Roman"/>
        <family val="1"/>
      </rPr>
      <t>BHTRANS(2015f):</t>
    </r>
    <r>
      <rPr>
        <sz val="12"/>
        <rFont val="Times New Roman"/>
        <family val="1"/>
      </rPr>
      <t xml:space="preserve"> EMPRESA DE TRANSPORTES E TRÂNSITO DE BELO HORIZONTE S.A - BHTRANS. Portal interno da Gerência de Diretrizes Viárias - Gediv/DPL. </t>
    </r>
    <r>
      <rPr>
        <i/>
        <sz val="12"/>
        <rFont val="Times New Roman"/>
        <family val="1"/>
      </rPr>
      <t xml:space="preserve">Histórico dos balanços [2011-2012] </t>
    </r>
    <r>
      <rPr>
        <sz val="12"/>
        <rFont val="Times New Roman"/>
        <family val="1"/>
      </rPr>
      <t xml:space="preserve">e </t>
    </r>
    <r>
      <rPr>
        <i/>
        <sz val="12"/>
        <rFont val="Times New Roman"/>
        <family val="1"/>
      </rPr>
      <t>Balanços e gráficos de desempenho das análises [2013-2014]: diretrizes diversas, postos de abastecimento, empreendimentos de impacto, projetos viários</t>
    </r>
    <r>
      <rPr>
        <sz val="12"/>
        <rFont val="Times New Roman"/>
        <family val="1"/>
      </rPr>
      <t xml:space="preserve">. Belo Horizonte: BHtrans. Acesso em: 15/06/2015. </t>
    </r>
    <r>
      <rPr>
        <sz val="12"/>
        <color rgb="FFFF0000"/>
        <rFont val="Times New Roman"/>
        <family val="1"/>
      </rPr>
      <t>faltando baixar</t>
    </r>
  </si>
  <si>
    <r>
      <rPr>
        <b/>
        <sz val="12"/>
        <color theme="1"/>
        <rFont val="Times New Roman"/>
        <family val="1"/>
      </rPr>
      <t xml:space="preserve">BHTRANS(2015h): </t>
    </r>
    <r>
      <rPr>
        <sz val="12"/>
        <color theme="1"/>
        <rFont val="Times New Roman"/>
        <family val="1"/>
      </rPr>
      <t xml:space="preserve">EMPRESA DE TRANSPORTES E TRÂNSITO DE BELO HORIZONTE S/A - BHTRANS. Portal interno da Gerência de Educação para a Mobilidade - Geduc/DSV. </t>
    </r>
    <r>
      <rPr>
        <i/>
        <sz val="12"/>
        <color theme="1"/>
        <rFont val="Times New Roman"/>
        <family val="1"/>
      </rPr>
      <t>Dados Quantitativos dos Atendimentos GEDUC</t>
    </r>
    <r>
      <rPr>
        <sz val="12"/>
        <color theme="1"/>
        <rFont val="Times New Roman"/>
        <family val="1"/>
      </rPr>
      <t xml:space="preserve">. Belo Horizonte: BHTrans, 4 set. 2014 (relatório 2005 a 2008, 2009, 2010, 2011, 2012); 20 out.2015 (relatório 2013). </t>
    </r>
    <r>
      <rPr>
        <sz val="12"/>
        <color rgb="FFFF0000"/>
        <rFont val="Times New Roman"/>
        <family val="1"/>
      </rPr>
      <t>faltando baixar</t>
    </r>
  </si>
  <si>
    <r>
      <rPr>
        <b/>
        <sz val="12"/>
        <color theme="1"/>
        <rFont val="Times New Roman"/>
        <family val="1"/>
      </rPr>
      <t>BHTRANS(2015j):</t>
    </r>
    <r>
      <rPr>
        <sz val="12"/>
        <color theme="1"/>
        <rFont val="Times New Roman"/>
        <family val="1"/>
      </rPr>
      <t xml:space="preserve"> EMPRESA DE TRANSPORTES E TRÂNSITO DE BELO HORIZONTE S.A - BHTRANS. Gerência de Atendimento ao Usuário - Geatu/DTP. </t>
    </r>
    <r>
      <rPr>
        <i/>
        <sz val="12"/>
        <color theme="1"/>
        <rFont val="Times New Roman"/>
        <family val="1"/>
      </rPr>
      <t>email para SisMob-BH em 03/03/2015</t>
    </r>
    <r>
      <rPr>
        <sz val="12"/>
        <color theme="1"/>
        <rFont val="Times New Roman"/>
        <family val="1"/>
      </rPr>
      <t xml:space="preserve">. </t>
    </r>
    <r>
      <rPr>
        <sz val="12"/>
        <color rgb="FFFF0000"/>
        <rFont val="Times New Roman"/>
        <family val="1"/>
      </rPr>
      <t>faltando baixar.</t>
    </r>
  </si>
  <si>
    <r>
      <rPr>
        <b/>
        <sz val="12"/>
        <color theme="1"/>
        <rFont val="Times New Roman"/>
        <family val="1"/>
      </rPr>
      <t>BHTRANS(2015k):</t>
    </r>
    <r>
      <rPr>
        <sz val="12"/>
        <color theme="1"/>
        <rFont val="Times New Roman"/>
        <family val="1"/>
      </rPr>
      <t xml:space="preserve"> EMPRESA DE TRANSPORTES E TRÂNSITO DE BELO HORIZONTE S.A - BHTRANS. Portal interno da Gerência de Estacionamentos e Logística Urbana - Gelog/DTP (antiga Geest/DDI). </t>
    </r>
    <r>
      <rPr>
        <i/>
        <sz val="12"/>
        <color theme="1"/>
        <rFont val="Times New Roman"/>
        <family val="1"/>
      </rPr>
      <t>Relatório anual</t>
    </r>
    <r>
      <rPr>
        <sz val="12"/>
        <color theme="1"/>
        <rFont val="Times New Roman"/>
        <family val="1"/>
      </rPr>
      <t xml:space="preserve">. </t>
    </r>
    <r>
      <rPr>
        <sz val="12"/>
        <color rgb="FFFF0000"/>
        <rFont val="Times New Roman"/>
        <family val="1"/>
      </rPr>
      <t>faltando baixar.</t>
    </r>
  </si>
  <si>
    <r>
      <rPr>
        <b/>
        <sz val="12"/>
        <color theme="1"/>
        <rFont val="Times New Roman"/>
        <family val="1"/>
      </rPr>
      <t>BHTRANS(2015m):</t>
    </r>
    <r>
      <rPr>
        <sz val="12"/>
        <color theme="1"/>
        <rFont val="Times New Roman"/>
        <family val="1"/>
      </rPr>
      <t xml:space="preserve"> EMPRESA DE TRANSPORTES E TRÂNSITO DE BELO HORIZONTE S.A - BHTRANS. Gerência de Estacionamentos e Logística Urbana - Gelog/DTP. </t>
    </r>
    <r>
      <rPr>
        <i/>
        <sz val="12"/>
        <color theme="1"/>
        <rFont val="Times New Roman"/>
        <family val="1"/>
      </rPr>
      <t>email para SisMob-BH de 22/02/2015.</t>
    </r>
    <r>
      <rPr>
        <i/>
        <sz val="12"/>
        <color rgb="FFFF0000"/>
        <rFont val="Times New Roman"/>
        <family val="1"/>
      </rPr>
      <t>faltando baixar.</t>
    </r>
  </si>
  <si>
    <r>
      <rPr>
        <b/>
        <sz val="12"/>
        <color theme="1"/>
        <rFont val="Times New Roman"/>
        <family val="1"/>
      </rPr>
      <t>BHTRANS(2015n):</t>
    </r>
    <r>
      <rPr>
        <sz val="12"/>
        <color theme="1"/>
        <rFont val="Times New Roman"/>
        <family val="1"/>
      </rPr>
      <t xml:space="preserve"> EMPRESA DE TRANSPORTES E TRÂNSITO DE BELO HORIZONTE S.A - BHTRANS. Gerência de Semáforos - Gesem/DSV. </t>
    </r>
    <r>
      <rPr>
        <i/>
        <sz val="12"/>
        <color theme="1"/>
        <rFont val="Times New Roman"/>
        <family val="1"/>
      </rPr>
      <t>Planilha Consumo de energia elétrica - email para SisMob-BH de 30/03/2015</t>
    </r>
    <r>
      <rPr>
        <i/>
        <sz val="12"/>
        <color rgb="FFFF0000"/>
        <rFont val="Times New Roman"/>
        <family val="1"/>
      </rPr>
      <t>.faltando baixar.</t>
    </r>
  </si>
  <si>
    <r>
      <rPr>
        <b/>
        <sz val="12"/>
        <color theme="1"/>
        <rFont val="Times New Roman"/>
        <family val="1"/>
      </rPr>
      <t>BHTRANS(2015q).</t>
    </r>
    <r>
      <rPr>
        <sz val="12"/>
        <color theme="1"/>
        <rFont val="Times New Roman"/>
        <family val="1"/>
      </rPr>
      <t xml:space="preserve"> EMPRESA DE TRANSPORTES E TRÂNSITO DE BELO HORIZONTE S.A - BHTRANS. Portal interno da Gerência da Central de Operação de Tráfego - Gecot/Suot/DRO. </t>
    </r>
    <r>
      <rPr>
        <i/>
        <sz val="12"/>
        <color theme="1"/>
        <rFont val="Times New Roman"/>
        <family val="1"/>
      </rPr>
      <t>Relatório de atividades GECOT.</t>
    </r>
    <r>
      <rPr>
        <sz val="12"/>
        <color theme="1"/>
        <rFont val="Times New Roman"/>
        <family val="1"/>
      </rPr>
      <t xml:space="preserve"> Belo Horizonte: BHTrans, dezembro 2014. 58p. Acesso em: 19 jan. 2016. </t>
    </r>
    <r>
      <rPr>
        <sz val="12"/>
        <color rgb="FFFF0000"/>
        <rFont val="Times New Roman"/>
        <family val="1"/>
      </rPr>
      <t>faltando baixar.</t>
    </r>
  </si>
  <si>
    <r>
      <rPr>
        <b/>
        <sz val="12"/>
        <color theme="1"/>
        <rFont val="Times New Roman"/>
        <family val="1"/>
      </rPr>
      <t>BHTRANS(2015r):</t>
    </r>
    <r>
      <rPr>
        <sz val="12"/>
        <color theme="1"/>
        <rFont val="Times New Roman"/>
        <family val="1"/>
      </rPr>
      <t xml:space="preserve"> EMPRESA DE TRANSPORTES E TRÂNSITO DE BELO HORIZONTE S.A - BHTRANS. Gerência de Administração de Pessoas - Geape/DAD (ex Geape/DAF). </t>
    </r>
    <r>
      <rPr>
        <i/>
        <sz val="12"/>
        <color theme="1"/>
        <rFont val="Times New Roman"/>
        <family val="1"/>
      </rPr>
      <t>e-mail de 23/02/2015 para SisMob-BH</t>
    </r>
    <r>
      <rPr>
        <sz val="12"/>
        <color theme="1"/>
        <rFont val="Times New Roman"/>
        <family val="1"/>
      </rPr>
      <t xml:space="preserve">. </t>
    </r>
    <r>
      <rPr>
        <sz val="12"/>
        <color rgb="FFFF0000"/>
        <rFont val="Times New Roman"/>
        <family val="1"/>
      </rPr>
      <t>faltando baixar.</t>
    </r>
  </si>
  <si>
    <r>
      <rPr>
        <b/>
        <sz val="12"/>
        <color theme="1"/>
        <rFont val="Times New Roman"/>
        <family val="1"/>
      </rPr>
      <t xml:space="preserve">BHTRANS(2015s): </t>
    </r>
    <r>
      <rPr>
        <sz val="12"/>
        <color theme="1"/>
        <rFont val="Times New Roman"/>
        <family val="1"/>
      </rPr>
      <t xml:space="preserve">EMPRESA DE TRANSPORTES E TRÂNSITO DE BELO HORIZONTE S.A - BHTRANS. Gerência de Estudos Tarifários - Gecet/DTP. </t>
    </r>
    <r>
      <rPr>
        <i/>
        <sz val="12"/>
        <color theme="1"/>
        <rFont val="Times New Roman"/>
        <family val="1"/>
      </rPr>
      <t>Relatório "Cartões ativos por categoria" do Controlador Inteligente de Transporte - Cit-Bus</t>
    </r>
    <r>
      <rPr>
        <sz val="12"/>
        <color theme="1"/>
        <rFont val="Times New Roman"/>
        <family val="1"/>
      </rPr>
      <t xml:space="preserve">. Extração às 09h21 de 27/08/2015. </t>
    </r>
    <r>
      <rPr>
        <sz val="12"/>
        <color rgb="FFFF0000"/>
        <rFont val="Times New Roman"/>
        <family val="1"/>
      </rPr>
      <t>faltando baixar.</t>
    </r>
  </si>
  <si>
    <r>
      <rPr>
        <b/>
        <sz val="12"/>
        <color theme="1"/>
        <rFont val="Times New Roman"/>
        <family val="1"/>
      </rPr>
      <t xml:space="preserve">BHTRANS(2016f): </t>
    </r>
    <r>
      <rPr>
        <sz val="12"/>
        <color theme="1"/>
        <rFont val="Times New Roman"/>
        <family val="1"/>
      </rPr>
      <t xml:space="preserve">EMPRESA DE TRANSPORTES E TRÂNSITO DE BELO HORIZONTE S.A - BHTRANS. Sistema de Informações da Mobilidade Urbana de Belo Horizonte - SisMob-BH. </t>
    </r>
    <r>
      <rPr>
        <i/>
        <sz val="12"/>
        <color theme="1"/>
        <rFont val="Times New Roman"/>
        <family val="1"/>
      </rPr>
      <t>Compilação de resultados sobre a frota da RIT de Curitiba gerenciada pela URBS</t>
    </r>
    <r>
      <rPr>
        <sz val="12"/>
        <color theme="1"/>
        <rFont val="Times New Roman"/>
        <family val="1"/>
      </rPr>
      <t xml:space="preserve">. Belo Horizonte, 28 abr. 2016. (planilha elaborada com base em ONIBUS DE CURITIBA, 2015; URBS, 2016b; 2016c; 2016d) </t>
    </r>
    <r>
      <rPr>
        <sz val="12"/>
        <color rgb="FFFF0000"/>
        <rFont val="Times New Roman"/>
        <family val="1"/>
      </rPr>
      <t>- provisoriamente acesse Tabela 810_FrotaCuritiba</t>
    </r>
  </si>
  <si>
    <r>
      <rPr>
        <b/>
        <sz val="12"/>
        <color rgb="FFFF0000"/>
        <rFont val="Times New Roman"/>
        <family val="1"/>
      </rPr>
      <t>MG(2000a):</t>
    </r>
    <r>
      <rPr>
        <sz val="12"/>
        <color rgb="FFFF0000"/>
        <rFont val="Times New Roman"/>
        <family val="1"/>
      </rPr>
      <t xml:space="preserve"> ___. Instaurado Inquérito Civil Público n.º 004/2000 - 2 maio 2000 [citado no histórico que fiz]</t>
    </r>
  </si>
  <si>
    <r>
      <rPr>
        <b/>
        <sz val="12"/>
        <color rgb="FFFF0000"/>
        <rFont val="Times New Roman"/>
        <family val="1"/>
      </rPr>
      <t>MG(2000b):</t>
    </r>
    <r>
      <rPr>
        <sz val="12"/>
        <color rgb="FFFF0000"/>
        <rFont val="Times New Roman"/>
        <family val="1"/>
      </rPr>
      <t xml:space="preserve"> ___. Ofício n.º 607/2000. Solicita informações - 5 set. 2000 [citado no histórico que fiz]</t>
    </r>
  </si>
  <si>
    <r>
      <rPr>
        <b/>
        <sz val="12"/>
        <rFont val="Times New Roman"/>
        <family val="1"/>
      </rPr>
      <t xml:space="preserve">OLIVEIRA(2016f): </t>
    </r>
    <r>
      <rPr>
        <sz val="12"/>
        <rFont val="Times New Roman"/>
        <family val="1"/>
      </rPr>
      <t xml:space="preserve">OLIVEIRA, Marcos Fontoura de. Ônibus sem facilidade operando em São Paulo. </t>
    </r>
    <r>
      <rPr>
        <i/>
        <sz val="12"/>
        <rFont val="Times New Roman"/>
        <family val="1"/>
      </rPr>
      <t>Blogspot Biblioteca do Marcos Fontoura de Oliveira</t>
    </r>
    <r>
      <rPr>
        <sz val="12"/>
        <rFont val="Times New Roman"/>
        <family val="1"/>
      </rPr>
      <t xml:space="preserve">. Belo Horizonte, 10 maio 2016. Disponível em: &lt;http://marcosfontouradeoliveira.blogspot.com/2016/05/onibus-sem-facilidade-operando-em-sao.html&gt;. </t>
    </r>
    <r>
      <rPr>
        <sz val="12"/>
        <color rgb="FFFF0000"/>
        <rFont val="Times New Roman"/>
        <family val="1"/>
      </rPr>
      <t>falta ampliar e baixar.</t>
    </r>
  </si>
  <si>
    <r>
      <rPr>
        <sz val="12"/>
        <rFont val="Times New Roman"/>
        <family val="1"/>
      </rPr>
      <t>SP(2015f): SÃO PAULO. Prefeitura. São Paulo Urbanismo - SP Urbanismo. Experiências de requalificação na cidade de São Paulo - Região Central - apresentação de Cristiana</t>
    </r>
    <r>
      <rPr>
        <sz val="12"/>
        <color rgb="FFFF0000"/>
        <rFont val="Times New Roman"/>
        <family val="1"/>
      </rPr>
      <t xml:space="preserve"> ___ </t>
    </r>
    <r>
      <rPr>
        <sz val="12"/>
        <rFont val="Times New Roman"/>
        <family val="1"/>
      </rPr>
      <t>no Seminário Internacional de Acessibiliddae na Mobilidade Urbana de Belo Horizonte. Belo Horizonte, 15 ago. 2015. [consulte também as outras apresentações feitas no seminário [LISBOA(2015c) e OLIVEIRA(2015e)] e as coberturas [BHTRANS(2015x; 2015y) e WRI(2015a)]</t>
    </r>
  </si>
  <si>
    <r>
      <rPr>
        <b/>
        <sz val="12"/>
        <color theme="1"/>
        <rFont val="Times New Roman"/>
        <family val="1"/>
      </rPr>
      <t xml:space="preserve">WRI(2016a): </t>
    </r>
    <r>
      <rPr>
        <sz val="12"/>
        <color theme="1"/>
        <rFont val="Times New Roman"/>
        <family val="1"/>
      </rPr>
      <t>WORLD RESOURCES INSTITUTE - WRI BRASIL.</t>
    </r>
    <r>
      <rPr>
        <sz val="12"/>
        <color rgb="FFFF0000"/>
        <rFont val="Times New Roman"/>
        <family val="1"/>
      </rPr>
      <t xml:space="preserve"> Concurso Acessibilidade para Todos. (falta baixar toda a documentação, incluindo edital/regulamento relativa ao lançamento do concurso)</t>
    </r>
  </si>
  <si>
    <r>
      <t xml:space="preserve">índice de acessibilidade física das estações de transferência do BRT do Rio de Janeiro localizadas no corredor Transoeste, expresso em percentual
</t>
    </r>
    <r>
      <rPr>
        <b/>
        <sz val="10"/>
        <color theme="1"/>
        <rFont val="Times New Roman"/>
        <family val="1"/>
      </rPr>
      <t>obs.1:</t>
    </r>
    <r>
      <rPr>
        <sz val="10"/>
        <color theme="1"/>
        <rFont val="Times New Roman"/>
        <family val="1"/>
      </rPr>
      <t xml:space="preserve"> nome do indicador tomado a partir da recomendação da ANTP(2011b, p.31) e avaliação da acessibilidade a partir de "acesso universal (máximo de pontos = 3)" conforme ITDP(2014b, p.44)
</t>
    </r>
    <r>
      <rPr>
        <b/>
        <sz val="10"/>
        <color theme="1"/>
        <rFont val="Times New Roman"/>
        <family val="1"/>
      </rPr>
      <t>obs.2:</t>
    </r>
    <r>
      <rPr>
        <sz val="10"/>
        <color theme="1"/>
        <rFont val="Times New Roman"/>
        <family val="1"/>
      </rPr>
      <t xml:space="preserve"> a </t>
    </r>
    <r>
      <rPr>
        <sz val="10"/>
        <color rgb="FFFF0000"/>
        <rFont val="Times New Roman"/>
        <family val="1"/>
      </rPr>
      <t>fonte consultada</t>
    </r>
    <r>
      <rPr>
        <sz val="10"/>
        <color theme="1"/>
        <rFont val="Times New Roman"/>
        <family val="1"/>
      </rPr>
      <t xml:space="preserve"> (ITDP,2014a, p.2) </t>
    </r>
    <r>
      <rPr>
        <sz val="10"/>
        <color rgb="FFFF0000"/>
        <rFont val="Times New Roman"/>
        <family val="1"/>
      </rPr>
      <t>não permite saber</t>
    </r>
    <r>
      <rPr>
        <sz val="10"/>
        <color theme="1"/>
        <rFont val="Times New Roman"/>
        <family val="1"/>
      </rPr>
      <t xml:space="preserve"> qual foi a pontuação no item (o SisMob-BH encaminhou solicitação de esclarecimento ao ITDP)
</t>
    </r>
    <r>
      <rPr>
        <b/>
        <sz val="10"/>
        <color theme="1"/>
        <rFont val="Times New Roman"/>
        <family val="1"/>
      </rPr>
      <t xml:space="preserve">obs.3: </t>
    </r>
    <r>
      <rPr>
        <sz val="10"/>
        <color theme="1"/>
        <rFont val="Times New Roman"/>
        <family val="1"/>
      </rPr>
      <t xml:space="preserve">o conceito de "acessibilidade" contido no indicador da ANTP e a aplicação do conceito de "acessibilidade universal" do ITDP estão dissonantes do conceito de desenho universal
</t>
    </r>
    <r>
      <rPr>
        <b/>
        <sz val="10"/>
        <color theme="1"/>
        <rFont val="Times New Roman"/>
        <family val="1"/>
      </rPr>
      <t xml:space="preserve">obs.4: </t>
    </r>
    <r>
      <rPr>
        <sz val="10"/>
        <color theme="1"/>
        <rFont val="Times New Roman"/>
        <family val="1"/>
      </rPr>
      <t>consulte "acessibilidade universal" conceituado por ANTP e ITDP</t>
    </r>
  </si>
  <si>
    <r>
      <rPr>
        <sz val="10"/>
        <color rgb="FFFF0000"/>
        <rFont val="Times New Roman"/>
        <family val="1"/>
      </rPr>
      <t>registro na fonte</t>
    </r>
    <r>
      <rPr>
        <sz val="10"/>
        <color theme="1"/>
        <rFont val="Times New Roman"/>
        <family val="1"/>
      </rPr>
      <t xml:space="preserve">
(n.º de estações acessíveis / n.º total de estações) x 100</t>
    </r>
  </si>
  <si>
    <r>
      <rPr>
        <b/>
        <sz val="12"/>
        <color theme="1"/>
        <rFont val="Times New Roman"/>
        <family val="1"/>
      </rPr>
      <t xml:space="preserve">BHTRANS(1998b): </t>
    </r>
    <r>
      <rPr>
        <sz val="12"/>
        <color theme="1"/>
        <rFont val="Times New Roman"/>
        <family val="1"/>
      </rPr>
      <t xml:space="preserve">EMPRESA DE TRANSPORTES E TRÂNSITO DE BELO HORIZONTE S.A - BHTRANS. </t>
    </r>
    <r>
      <rPr>
        <i/>
        <sz val="12"/>
        <color theme="1"/>
        <rFont val="Times New Roman"/>
        <family val="1"/>
      </rPr>
      <t>Jornal do Ônibus</t>
    </r>
    <r>
      <rPr>
        <sz val="12"/>
        <color theme="1"/>
        <rFont val="Times New Roman"/>
        <family val="1"/>
      </rPr>
      <t xml:space="preserve">, Belo Horizonte, agosto de 1998. </t>
    </r>
    <r>
      <rPr>
        <sz val="12"/>
        <color rgb="FFFF0000"/>
        <rFont val="Times New Roman"/>
        <family val="1"/>
      </rPr>
      <t>faltando</t>
    </r>
  </si>
  <si>
    <r>
      <rPr>
        <b/>
        <sz val="12"/>
        <rFont val="Times New Roman"/>
        <family val="1"/>
      </rPr>
      <t xml:space="preserve">BH(2016d): </t>
    </r>
    <r>
      <rPr>
        <sz val="12"/>
        <rFont val="Times New Roman"/>
        <family val="1"/>
      </rPr>
      <t xml:space="preserve">BELO HORIZONTE. Prefeitura. Sala de notícias. </t>
    </r>
    <r>
      <rPr>
        <i/>
        <sz val="12"/>
        <rFont val="Times New Roman"/>
        <family val="1"/>
      </rPr>
      <t>BH é finalista do Desafio das Cidades e pode conquistar pela terceira vez o título de Capital Nacional da Hora do Planeta</t>
    </r>
    <r>
      <rPr>
        <sz val="12"/>
        <rFont val="Times New Roman"/>
        <family val="1"/>
      </rPr>
      <t>. Belo Horizonte, 24 abr. 2016. Disponível em: &lt;http://portalpbh.pbh.gov.br/pbh/ecp/noticia.do?evento=portlet&amp;pAc=not&amp;idConteudo=232599&amp;&amp;pIdPlc=&amp;app=salanoticias&gt;. Acesso em: 17 jun. 2016.</t>
    </r>
  </si>
  <si>
    <r>
      <rPr>
        <b/>
        <sz val="12"/>
        <color theme="1"/>
        <rFont val="Times New Roman"/>
        <family val="1"/>
      </rPr>
      <t>BH(2015d):</t>
    </r>
    <r>
      <rPr>
        <sz val="12"/>
        <color theme="1"/>
        <rFont val="Times New Roman"/>
        <family val="1"/>
      </rPr>
      <t xml:space="preserve"> BELO HORIZONTE. Secretaria Municipal de Meio Ambiente - SMMA. Comitê Municipal sobre Mudanças Climáticas e Eco-Eficiência - CMMCE. </t>
    </r>
    <r>
      <rPr>
        <i/>
        <sz val="12"/>
        <color theme="1"/>
        <rFont val="Times New Roman"/>
        <family val="1"/>
      </rPr>
      <t>Plano de trabalho para acompanhamento das ações do eixo mobilidade do Plano de Redução de Emissões de Gases de Efeito Estufa - Pregee</t>
    </r>
    <r>
      <rPr>
        <sz val="12"/>
        <color theme="1"/>
        <rFont val="Times New Roman"/>
        <family val="1"/>
      </rPr>
      <t xml:space="preserve">. Belo Horizonte, 2 mar. 2015 [16p.]. </t>
    </r>
    <r>
      <rPr>
        <sz val="12"/>
        <color rgb="FFFF0000"/>
        <rFont val="Times New Roman"/>
        <family val="1"/>
      </rPr>
      <t>falta baixar</t>
    </r>
  </si>
  <si>
    <r>
      <rPr>
        <b/>
        <sz val="12"/>
        <color theme="1"/>
        <rFont val="Times New Roman"/>
        <family val="1"/>
      </rPr>
      <t>FEAM/MG (2015):</t>
    </r>
    <r>
      <rPr>
        <sz val="12"/>
        <color theme="1"/>
        <rFont val="Times New Roman"/>
        <family val="1"/>
      </rPr>
      <t xml:space="preserve"> FUNDAÇÃO ESTADUAL DO MEIO AMBIENTE - FEAM/MG. </t>
    </r>
    <r>
      <rPr>
        <i/>
        <sz val="12"/>
        <color theme="1"/>
        <rFont val="Times New Roman"/>
        <family val="1"/>
      </rPr>
      <t>Monitoramento da qualidade do ar na Região Metropolitana de Belo Horizonte no ano base de 2012 - Relatório Técnico</t>
    </r>
    <r>
      <rPr>
        <sz val="12"/>
        <color theme="1"/>
        <rFont val="Times New Roman"/>
        <family val="1"/>
      </rPr>
      <t>. Belo Horizonte, dezembro 2015. 52p. Disponível em: &lt;http://www.feam.br/images/stories/2016/QUALIDADE_AR/Monitoramento_da_Qualidade_do_Ar_na_RMBH_de_2012.pdf&gt;. Acesso em: 27 jun. 2016.</t>
    </r>
  </si>
  <si>
    <r>
      <t xml:space="preserve">classe "boa" de qualidade do ar, que é calculada pelo percentual de dias do ano nos quais a qualidade do ar foi classificada como boa
</t>
    </r>
    <r>
      <rPr>
        <b/>
        <sz val="10"/>
        <rFont val="Times New Roman"/>
        <family val="1"/>
      </rPr>
      <t xml:space="preserve">obs.: </t>
    </r>
    <r>
      <rPr>
        <sz val="10"/>
        <rFont val="Times New Roman"/>
        <family val="1"/>
      </rPr>
      <t>resultados de 2001 a 2011 conforme FEAM/MG(2003a; 2003b; 2005; 2006, 2007; 2008; 2009; 2010; 2011; 2013); de 2012 conforme FEAM(2015, p.42/Tabela 10)</t>
    </r>
  </si>
  <si>
    <r>
      <t xml:space="preserve">classe "inadequada" de qualidade do ar, que é calculada pelo percentual de dias do ano nos quais a qualidade do ar foi classificada como inadequada
</t>
    </r>
    <r>
      <rPr>
        <b/>
        <sz val="10"/>
        <rFont val="Times New Roman"/>
        <family val="1"/>
      </rPr>
      <t>obs.:</t>
    </r>
    <r>
      <rPr>
        <sz val="10"/>
        <rFont val="Times New Roman"/>
        <family val="1"/>
      </rPr>
      <t xml:space="preserve"> resultados de 2001 a 2011 conforme FEAM/MG(2003a; 2003b; 2005; 2006, 2007; 2008; 2009; 2010; 2011; 2013); de 2012 conforme FEAM(2015, p.42/Tabela 10)</t>
    </r>
  </si>
  <si>
    <r>
      <t xml:space="preserve">classe "má" de qualidade do ar, que é calculada pelo percentual de dias do ano nos quais a qualidade do ar foi classificada como má
</t>
    </r>
    <r>
      <rPr>
        <b/>
        <sz val="10"/>
        <rFont val="Times New Roman"/>
        <family val="1"/>
      </rPr>
      <t>obs.:</t>
    </r>
    <r>
      <rPr>
        <sz val="10"/>
        <rFont val="Times New Roman"/>
        <family val="1"/>
      </rPr>
      <t xml:space="preserve"> resultados de 2001 a 2011 conforme FEAM/MG(2003a; 2003b; 2005; 2006, 2007; 2008; 2009; 2010; 2011; 2013); de 2012 conforme FEAM(2015, p.42/Tabela 10)</t>
    </r>
  </si>
  <si>
    <r>
      <t xml:space="preserve">classe "omissos" de qualidade do ar, ou porcentagem de dados omissos, que é calculada pelo percentual de dias do ano nos quais não foi determinada a qualidade do ar
</t>
    </r>
    <r>
      <rPr>
        <b/>
        <sz val="10"/>
        <rFont val="Times New Roman"/>
        <family val="1"/>
      </rPr>
      <t xml:space="preserve">obs.: </t>
    </r>
    <r>
      <rPr>
        <sz val="10"/>
        <rFont val="Times New Roman"/>
        <family val="1"/>
      </rPr>
      <t>resultados de 2001 a 2011 conforme FEAM/MG(2003a; 2003b; 2005; 2006, 2007; 2008; 2009; 2010; 2011; 2013); de 2012 conforme FEAM(2015, p.42/Tabela 10)</t>
    </r>
  </si>
  <si>
    <r>
      <t xml:space="preserve">classe "regular" de qualidade do ar, que é calculada pelo percentual de dias do ano nos quais a qualidade do ar foi classificada como regular
</t>
    </r>
    <r>
      <rPr>
        <b/>
        <sz val="10"/>
        <rFont val="Times New Roman"/>
        <family val="1"/>
      </rPr>
      <t xml:space="preserve">obs.: </t>
    </r>
    <r>
      <rPr>
        <sz val="10"/>
        <rFont val="Times New Roman"/>
        <family val="1"/>
      </rPr>
      <t>resultados de 2001 a 2011 conforme FEAM/MG(2003a; 2003b; 2005; 2006, 2007; 2008; 2009; 2010; 2011; 2013); de 2012 conforme FEAM(2015, p.42/Tabela 10)</t>
    </r>
  </si>
  <si>
    <t>"Garantir, no mínimo, 83% de dias com qualidade do ar classificada como boa em relação ao total de dias monitorados no ano." conforme BH(2016e, p.90)</t>
  </si>
  <si>
    <t>QA boa em relação a QA monitorada
(meta)</t>
  </si>
  <si>
    <t>não há resultado</t>
  </si>
  <si>
    <r>
      <t xml:space="preserve">n.º de dias no ano nos quais não há medições de PM10 na estação RMBH/BH/Praça Rui Barbosa
</t>
    </r>
    <r>
      <rPr>
        <b/>
        <sz val="10"/>
        <color theme="1"/>
        <rFont val="Times New Roman"/>
        <family val="1"/>
      </rPr>
      <t xml:space="preserve">obs.: </t>
    </r>
    <r>
      <rPr>
        <sz val="10"/>
        <color theme="1"/>
        <rFont val="Times New Roman"/>
        <family val="1"/>
      </rPr>
      <t>resultados de 2001 a 2011 conforme FEAM/MG (2003a, 2003b; 2005; 2006; 2007; 2008; 2009; 2010; 2011; 2013); resultado de 2012 conforme FEAM(2015, p.29_</t>
    </r>
  </si>
  <si>
    <r>
      <t xml:space="preserve">avaliação se há representatividade (sim ou não) do resultado de "PM10 representativo" na estação RMBH/BH/Praça Rui Barbosa
</t>
    </r>
    <r>
      <rPr>
        <b/>
        <sz val="10"/>
        <rFont val="Times New Roman"/>
        <family val="1"/>
      </rPr>
      <t xml:space="preserve">obs.1: </t>
    </r>
    <r>
      <rPr>
        <sz val="10"/>
        <rFont val="Times New Roman"/>
        <family val="1"/>
      </rPr>
      <t xml:space="preserve">considera-se que há representatividade do monitoramento automático da qualidade do ar quando o número de registros válidos alcança pelo menos 75%; quando os 75% não são alcançados, o resultado é considerado válido para o ano, mas deve levar a ressalva de que não há representatividade
</t>
    </r>
    <r>
      <rPr>
        <b/>
        <sz val="10"/>
        <rFont val="Times New Roman"/>
        <family val="1"/>
      </rPr>
      <t xml:space="preserve">obs.2: </t>
    </r>
    <r>
      <rPr>
        <sz val="10"/>
        <rFont val="Times New Roman"/>
        <family val="1"/>
      </rPr>
      <t>resultados sim/não de 2001-2011 a partir de FEAM/MG(2003a, 2003b; 2005; 2006; 2007; 2008; 2009; 2010; 2011; 2013); de 2012 conforme FEAM/MG(2015, p.29)</t>
    </r>
  </si>
  <si>
    <r>
      <t xml:space="preserve">concentração média diária de PM10 (média de 24 horas em µg/m3) medida na estação Bairro Jardim das Alterosas em Betim/RMBH
</t>
    </r>
    <r>
      <rPr>
        <b/>
        <sz val="10"/>
        <rFont val="Times New Roman"/>
        <family val="1"/>
      </rPr>
      <t>obs.1:</t>
    </r>
    <r>
      <rPr>
        <sz val="10"/>
        <rFont val="Times New Roman"/>
        <family val="1"/>
      </rPr>
      <t xml:space="preserve"> para mais informações consulte o indicador "PM10 média (RMBH/BH em Praça da Estação)"
</t>
    </r>
    <r>
      <rPr>
        <b/>
        <sz val="10"/>
        <rFont val="Times New Roman"/>
        <family val="1"/>
      </rPr>
      <t xml:space="preserve">obs.2: </t>
    </r>
    <r>
      <rPr>
        <sz val="10"/>
        <rFont val="Times New Roman"/>
        <family val="1"/>
      </rPr>
      <t xml:space="preserve">o resultado "42,63µg/m3" não é um resultado pontual de estações de Betim e foi apresentado como sendo o resultado de Betim para o ano 2011 em relatório da Organização das Nações Unidas (ONU) que apresenta comparação de cidades de todo o mundo (veja PM10 média Betim)
</t>
    </r>
    <r>
      <rPr>
        <b/>
        <sz val="10"/>
        <rFont val="Times New Roman"/>
        <family val="1"/>
      </rPr>
      <t xml:space="preserve">obs.3: </t>
    </r>
    <r>
      <rPr>
        <sz val="10"/>
        <rFont val="Times New Roman"/>
        <family val="1"/>
      </rPr>
      <t>resultados de 2006 conforme FEAM/MG(2005, p.25); resultados de 2001-2012 exceto 2004 conforme IEMA(2015a); resultado de 2012 conformado em FEAM/MG(2015, p.29)</t>
    </r>
  </si>
  <si>
    <r>
      <t xml:space="preserve">concentração média diária de PM10 (média de 24 horas em µg/m3) medida na estação Bairro Piratininga em Ibirité/RMBH
</t>
    </r>
    <r>
      <rPr>
        <b/>
        <sz val="10"/>
        <rFont val="Times New Roman"/>
        <family val="1"/>
      </rPr>
      <t xml:space="preserve">obs.1: </t>
    </r>
    <r>
      <rPr>
        <sz val="10"/>
        <rFont val="Times New Roman"/>
        <family val="1"/>
      </rPr>
      <t xml:space="preserve">para mais informações consulte o indicador "PM10 média (RMBH/BH em Praça da Estação)"
</t>
    </r>
    <r>
      <rPr>
        <b/>
        <sz val="10"/>
        <rFont val="Times New Roman"/>
        <family val="1"/>
      </rPr>
      <t xml:space="preserve">obs.2: </t>
    </r>
    <r>
      <rPr>
        <sz val="10"/>
        <rFont val="Times New Roman"/>
        <family val="1"/>
      </rPr>
      <t xml:space="preserve">o resultado 2011 desta estação (30,7µg/m3) foi apresentado como sendo de Ibirité em relatório da Organização das Nações Unidas (ONU) que apresenta comparação de cidades de todo o mundo (veja PM10 média Ibirité)
</t>
    </r>
    <r>
      <rPr>
        <b/>
        <sz val="10"/>
        <rFont val="Times New Roman"/>
        <family val="1"/>
      </rPr>
      <t xml:space="preserve">obs3: </t>
    </r>
    <r>
      <rPr>
        <sz val="10"/>
        <rFont val="Times New Roman"/>
        <family val="1"/>
      </rPr>
      <t>resultados de 2005-2013 conforme IEMA(2015a)</t>
    </r>
  </si>
  <si>
    <r>
      <t xml:space="preserve">concentração média diária de PM10 (média de 24 horas em µg/m3) medida na estação Bairro Cascata em Ibirité/RMBH
</t>
    </r>
    <r>
      <rPr>
        <b/>
        <sz val="10"/>
        <rFont val="Times New Roman"/>
        <family val="1"/>
      </rPr>
      <t xml:space="preserve">obs.1: </t>
    </r>
    <r>
      <rPr>
        <sz val="10"/>
        <rFont val="Times New Roman"/>
        <family val="1"/>
      </rPr>
      <t xml:space="preserve">para mais informações consulte o indicador "PM10 média (RMBH/BH em Praça da Estação)"
</t>
    </r>
    <r>
      <rPr>
        <b/>
        <sz val="10"/>
        <rFont val="Times New Roman"/>
        <family val="1"/>
      </rPr>
      <t xml:space="preserve">obs.2: </t>
    </r>
    <r>
      <rPr>
        <sz val="10"/>
        <rFont val="Times New Roman"/>
        <family val="1"/>
      </rPr>
      <t xml:space="preserve">o resultado do ano 2011 desta estação (30,7µg/m3) foi apresentado como sendo de Ibirité em relatório da Organização das Nações Unidas (ONU) que apresenta comparação de cidades de todo o mundo (veja PM10 média Ibirité)
</t>
    </r>
    <r>
      <rPr>
        <b/>
        <sz val="10"/>
        <rFont val="Times New Roman"/>
        <family val="1"/>
      </rPr>
      <t xml:space="preserve">obs3: </t>
    </r>
    <r>
      <rPr>
        <sz val="10"/>
        <rFont val="Times New Roman"/>
        <family val="1"/>
      </rPr>
      <t>resultado de 2003-2013 em IEMA(2015a)</t>
    </r>
  </si>
  <si>
    <r>
      <t xml:space="preserve">concentração média diária de PM10 (média de 24 horas em µg/m3) medida na estação Centro Administrativo em Betim/RMBH
</t>
    </r>
    <r>
      <rPr>
        <b/>
        <sz val="10"/>
        <rFont val="Times New Roman"/>
        <family val="1"/>
      </rPr>
      <t>obs.1:</t>
    </r>
    <r>
      <rPr>
        <sz val="10"/>
        <rFont val="Times New Roman"/>
        <family val="1"/>
      </rPr>
      <t xml:space="preserve"> o resultado "42,63µg/m3" não é um resultado pontual de estações de Betim e foi apresentado como sendo o resultado de Betim para o ano 2011 em relatório da Organização das Nações Unidas (ONU) que apresenta comparação de cidades de todo o mundo (veja PM10 média Betim)
</t>
    </r>
    <r>
      <rPr>
        <b/>
        <sz val="10"/>
        <rFont val="Times New Roman"/>
        <family val="1"/>
      </rPr>
      <t xml:space="preserve">obs.2: </t>
    </r>
    <r>
      <rPr>
        <sz val="10"/>
        <rFont val="Times New Roman"/>
        <family val="1"/>
      </rPr>
      <t>resultados de 2005-2013 conforme IEMA(2015a)</t>
    </r>
  </si>
  <si>
    <r>
      <t xml:space="preserve">concentração média diária de PM10 (média de 24 horas em µg/m3) medida na estação Bairro Petrovale em Betim/RMBH
</t>
    </r>
    <r>
      <rPr>
        <b/>
        <sz val="10"/>
        <rFont val="Times New Roman"/>
        <family val="1"/>
      </rPr>
      <t xml:space="preserve">obs.1: </t>
    </r>
    <r>
      <rPr>
        <sz val="10"/>
        <rFont val="Times New Roman"/>
        <family val="1"/>
      </rPr>
      <t xml:space="preserve">o resultado "42,63µg/m3" não é um resultado pontual de estações de Betim e foi apresentado como sendo o resultado de Betim para o ano 2011 em relatório da Organização das Nações Unidas (ONU) que apresenta comparação de cidades de todo o mundo (veja PM10 média Betim)
</t>
    </r>
    <r>
      <rPr>
        <b/>
        <sz val="10"/>
        <rFont val="Times New Roman"/>
        <family val="1"/>
      </rPr>
      <t xml:space="preserve">obs.2: </t>
    </r>
    <r>
      <rPr>
        <sz val="10"/>
        <rFont val="Times New Roman"/>
        <family val="1"/>
      </rPr>
      <t>resultados de 2004-2013 conforme IEMA(2015a)</t>
    </r>
  </si>
  <si>
    <r>
      <t xml:space="preserve">concentração média diária de PM10 (média de 24 horas em µg/m3) medida na estação Praça Tancredo Neves em Contagem/RMBH 
</t>
    </r>
    <r>
      <rPr>
        <b/>
        <sz val="10"/>
        <rFont val="Times New Roman"/>
        <family val="1"/>
      </rPr>
      <t xml:space="preserve">obs.1: </t>
    </r>
    <r>
      <rPr>
        <sz val="10"/>
        <rFont val="Times New Roman"/>
        <family val="1"/>
      </rPr>
      <t xml:space="preserve">para mais informações consulte o indicador "PM10 média (RMBH/BH em Praça da Estação)"
</t>
    </r>
    <r>
      <rPr>
        <b/>
        <sz val="10"/>
        <rFont val="Times New Roman"/>
        <family val="1"/>
      </rPr>
      <t>obs.2:</t>
    </r>
    <r>
      <rPr>
        <sz val="10"/>
        <rFont val="Times New Roman"/>
        <family val="1"/>
      </rPr>
      <t xml:space="preserve"> resultado de 2010 conforme IEMA(2015a)</t>
    </r>
  </si>
  <si>
    <r>
      <t xml:space="preserve">percentual do n.º de dias no ano nos quais há medições de PM10 no monitoramento automático da qualidade do ar na estação RMBH/BH/Praça Rui Barbosa
</t>
    </r>
    <r>
      <rPr>
        <b/>
        <sz val="10"/>
        <rFont val="Times New Roman"/>
        <family val="1"/>
      </rPr>
      <t>obs.:</t>
    </r>
    <r>
      <rPr>
        <sz val="10"/>
        <rFont val="Times New Roman"/>
        <family val="1"/>
      </rPr>
      <t xml:space="preserve"> atenção para os anos de 2004, 2008, 2012 e 2016 são bissextos e, portanto, têm 365 dias</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</si>
  <si>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28/06/2016.
</t>
    </r>
    <r>
      <rPr>
        <b/>
        <sz val="10"/>
        <rFont val="Times New Roman"/>
        <family val="1"/>
      </rPr>
      <t xml:space="preserve">obs.1: </t>
    </r>
    <r>
      <rPr>
        <sz val="10"/>
        <rFont val="Times New Roman"/>
        <family val="1"/>
      </rPr>
      <t xml:space="preserve">indicador AB[r/p] é a soma dos percentuais de "ruim" e "péssimo" na avaliação geral da BHTrans / </t>
    </r>
    <r>
      <rPr>
        <b/>
        <sz val="10"/>
        <rFont val="Times New Roman"/>
        <family val="1"/>
      </rPr>
      <t xml:space="preserve">obs.2: </t>
    </r>
    <r>
      <rPr>
        <sz val="10"/>
        <rFont val="Times New Roman"/>
        <family val="1"/>
      </rPr>
      <t>indicador</t>
    </r>
    <r>
      <rPr>
        <b/>
        <sz val="10"/>
        <rFont val="Times New Roman"/>
        <family val="1"/>
      </rPr>
      <t xml:space="preserve"> </t>
    </r>
    <r>
      <rPr>
        <sz val="10"/>
        <rFont val="Times New Roman"/>
        <family val="1"/>
      </rPr>
      <t xml:space="preserve">AB[rg] é o percentual de "regular"(respostas "regular" ou "nota 3") na avaliação geral da BHTrans / </t>
    </r>
    <r>
      <rPr>
        <b/>
        <sz val="10"/>
        <rFont val="Times New Roman"/>
        <family val="1"/>
      </rPr>
      <t>obs.3:</t>
    </r>
    <r>
      <rPr>
        <sz val="10"/>
        <rFont val="Times New Roman"/>
        <family val="1"/>
      </rPr>
      <t xml:space="preserve"> na pesquisa de 2015 a pergunta que vinha sendo feita desde 1995 no início do questionário (junto às avaliações da gestão da empresa no transporte e no trânsito) muda para o final como parte de bloco que avalia a imagem e o atendimento de várias instituições , o que compromete a comparabilidade (e por isto os resultados não são aqui apresentados)</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</si>
  <si>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18/11/2014. Revisado em 10/08/2015 com correção de resultados de 2013. Atualizado em 15/11/2015 com resultados de 2015. Republicado com observações em 28/06/2015.
</t>
    </r>
    <r>
      <rPr>
        <b/>
        <sz val="10"/>
        <rFont val="Times New Roman"/>
        <family val="1"/>
      </rPr>
      <t xml:space="preserve">obs.: </t>
    </r>
    <r>
      <rPr>
        <sz val="10"/>
        <rFont val="Times New Roman"/>
        <family val="1"/>
      </rPr>
      <t>Analisando os resultados da série história 1995-2010 conclui-se que a data explica apenas 11,1% da evolução de Atc e a data não explica a variação de Ats (OLIVEIRA, 2014, p.350-351).</t>
    </r>
  </si>
  <si>
    <r>
      <t>EG 
(tCO</t>
    </r>
    <r>
      <rPr>
        <b/>
        <vertAlign val="subscript"/>
        <sz val="12"/>
        <rFont val="Times New Roman"/>
        <family val="1"/>
      </rPr>
      <t>2</t>
    </r>
    <r>
      <rPr>
        <b/>
        <sz val="12"/>
        <rFont val="Times New Roman"/>
        <family val="1"/>
      </rPr>
      <t>e)</t>
    </r>
  </si>
  <si>
    <r>
      <t>EG 
(milhões de tCO</t>
    </r>
    <r>
      <rPr>
        <b/>
        <vertAlign val="subscript"/>
        <sz val="12"/>
        <rFont val="Times New Roman"/>
        <family val="1"/>
      </rPr>
      <t>2</t>
    </r>
    <r>
      <rPr>
        <b/>
        <sz val="12"/>
        <rFont val="Times New Roman"/>
        <family val="1"/>
      </rPr>
      <t>e)</t>
    </r>
  </si>
  <si>
    <r>
      <t>EG 
(milhões tCO</t>
    </r>
    <r>
      <rPr>
        <b/>
        <vertAlign val="subscript"/>
        <sz val="12"/>
        <rFont val="Times New Roman"/>
        <family val="1"/>
      </rPr>
      <t>2</t>
    </r>
    <r>
      <rPr>
        <b/>
        <sz val="12"/>
        <rFont val="Times New Roman"/>
        <family val="1"/>
      </rPr>
      <t>e)</t>
    </r>
  </si>
  <si>
    <r>
      <t>EG 
(meta em tCO</t>
    </r>
    <r>
      <rPr>
        <b/>
        <vertAlign val="subscript"/>
        <sz val="12"/>
        <rFont val="Times New Roman"/>
        <family val="1"/>
      </rPr>
      <t>2</t>
    </r>
    <r>
      <rPr>
        <b/>
        <sz val="12"/>
        <rFont val="Times New Roman"/>
        <family val="1"/>
      </rPr>
      <t>e)</t>
    </r>
  </si>
  <si>
    <r>
      <t>EG 
(meta em milhões tCO</t>
    </r>
    <r>
      <rPr>
        <b/>
        <vertAlign val="subscript"/>
        <sz val="12"/>
        <rFont val="Times New Roman"/>
        <family val="1"/>
      </rPr>
      <t>2</t>
    </r>
    <r>
      <rPr>
        <b/>
        <sz val="12"/>
        <rFont val="Times New Roman"/>
        <family val="1"/>
      </rPr>
      <t>e)</t>
    </r>
  </si>
  <si>
    <r>
      <rPr>
        <b/>
        <sz val="12"/>
        <color theme="0"/>
        <rFont val="Times New Roman"/>
        <family val="1"/>
      </rPr>
      <t>EVtc/EV</t>
    </r>
    <r>
      <rPr>
        <b/>
        <sz val="12"/>
        <color theme="1"/>
        <rFont val="Times New Roman"/>
        <family val="1"/>
      </rPr>
      <t xml:space="preserve">
EV tc (%)</t>
    </r>
  </si>
  <si>
    <r>
      <rPr>
        <b/>
        <sz val="12"/>
        <color theme="0"/>
        <rFont val="Times New Roman"/>
        <family val="1"/>
      </rPr>
      <t>EVtc arterial/EV arterial</t>
    </r>
    <r>
      <rPr>
        <b/>
        <sz val="12"/>
        <color theme="1"/>
        <rFont val="Times New Roman"/>
        <family val="1"/>
      </rPr>
      <t xml:space="preserve">
% de EV tc arterial</t>
    </r>
  </si>
  <si>
    <r>
      <rPr>
        <b/>
        <sz val="12"/>
        <color theme="0"/>
        <rFont val="Times New Roman"/>
        <family val="1"/>
      </rPr>
      <t>EVtc coletora/EV coletora</t>
    </r>
    <r>
      <rPr>
        <b/>
        <sz val="12"/>
        <color theme="1"/>
        <rFont val="Times New Roman"/>
        <family val="1"/>
      </rPr>
      <t xml:space="preserve">
% de EV tc coletora</t>
    </r>
  </si>
  <si>
    <r>
      <rPr>
        <b/>
        <sz val="12"/>
        <color theme="0"/>
        <rFont val="Times New Roman"/>
        <family val="1"/>
      </rPr>
      <t>EVtc ligação regional/EV ligação regional</t>
    </r>
    <r>
      <rPr>
        <b/>
        <sz val="12"/>
        <color theme="1"/>
        <rFont val="Times New Roman"/>
        <family val="1"/>
      </rPr>
      <t xml:space="preserve">
% de EVtc ligação regional</t>
    </r>
  </si>
  <si>
    <r>
      <rPr>
        <b/>
        <sz val="12"/>
        <color theme="0"/>
        <rFont val="Times New Roman"/>
        <family val="1"/>
      </rPr>
      <t>EVtc local /EV local</t>
    </r>
    <r>
      <rPr>
        <b/>
        <sz val="12"/>
        <color theme="1"/>
        <rFont val="Times New Roman"/>
        <family val="1"/>
      </rPr>
      <t xml:space="preserve">
% de EV tc local</t>
    </r>
  </si>
  <si>
    <r>
      <rPr>
        <b/>
        <sz val="12"/>
        <color theme="0"/>
        <rFont val="Times New Roman"/>
        <family val="1"/>
      </rPr>
      <t xml:space="preserve">F escolar(ac) / F escolar </t>
    </r>
    <r>
      <rPr>
        <b/>
        <sz val="12"/>
        <color theme="1"/>
        <rFont val="Times New Roman"/>
        <family val="1"/>
      </rPr>
      <t xml:space="preserve">
% de frota acessível no transporte escolar</t>
    </r>
  </si>
  <si>
    <r>
      <rPr>
        <b/>
        <sz val="12"/>
        <color theme="0"/>
        <rFont val="Times New Roman"/>
        <family val="1"/>
      </rPr>
      <t>ICP / IS</t>
    </r>
    <r>
      <rPr>
        <b/>
        <sz val="12"/>
        <color theme="1"/>
        <rFont val="Times New Roman"/>
        <family val="1"/>
      </rPr>
      <t xml:space="preserve">
% de interseções semaforizadas com foco de pedestres</t>
    </r>
  </si>
  <si>
    <r>
      <rPr>
        <b/>
        <sz val="12"/>
        <color theme="0"/>
        <rFont val="Times New Roman"/>
        <family val="1"/>
      </rPr>
      <t>ITT em relação a ICP</t>
    </r>
    <r>
      <rPr>
        <b/>
        <sz val="12"/>
        <color theme="1"/>
        <rFont val="Times New Roman"/>
        <family val="1"/>
      </rPr>
      <t xml:space="preserve">
% de interseções com travessia total de pedestres</t>
    </r>
  </si>
  <si>
    <r>
      <rPr>
        <b/>
        <sz val="12"/>
        <color theme="0"/>
        <rFont val="Times New Roman"/>
        <family val="1"/>
      </rPr>
      <t>M30(SP)</t>
    </r>
    <r>
      <rPr>
        <b/>
        <sz val="12"/>
        <color theme="1"/>
        <rFont val="Times New Roman"/>
        <family val="1"/>
      </rPr>
      <t xml:space="preserve">
mortes no trânsito</t>
    </r>
  </si>
  <si>
    <r>
      <rPr>
        <b/>
        <sz val="12"/>
        <color theme="0"/>
        <rFont val="Times New Roman"/>
        <family val="1"/>
      </rPr>
      <t>M30(SP)</t>
    </r>
    <r>
      <rPr>
        <b/>
        <sz val="12"/>
        <color theme="1"/>
        <rFont val="Times New Roman"/>
        <family val="1"/>
      </rPr>
      <t xml:space="preserve">
mortes no trânsito por 10 mil veículos</t>
    </r>
  </si>
  <si>
    <r>
      <rPr>
        <b/>
        <sz val="12"/>
        <color theme="0"/>
        <rFont val="Times New Roman"/>
        <family val="1"/>
      </rPr>
      <t>M30(SP)</t>
    </r>
    <r>
      <rPr>
        <b/>
        <sz val="12"/>
        <color theme="1"/>
        <rFont val="Times New Roman"/>
        <family val="1"/>
      </rPr>
      <t xml:space="preserve">
mortes no trânsito por 100 mil habitantes</t>
    </r>
  </si>
  <si>
    <r>
      <rPr>
        <b/>
        <sz val="12"/>
        <color theme="0"/>
        <rFont val="Times New Roman"/>
        <family val="1"/>
      </rPr>
      <t>M30(SP)</t>
    </r>
    <r>
      <rPr>
        <b/>
        <sz val="12"/>
        <color theme="1"/>
        <rFont val="Times New Roman"/>
        <family val="1"/>
      </rPr>
      <t xml:space="preserve">
mortes no trânsito por 100 mil habitantes
(meta)</t>
    </r>
  </si>
  <si>
    <r>
      <rPr>
        <b/>
        <sz val="12"/>
        <color theme="0"/>
        <rFont val="Times New Roman"/>
        <family val="1"/>
      </rPr>
      <t>NP</t>
    </r>
    <r>
      <rPr>
        <b/>
        <sz val="12"/>
        <rFont val="Times New Roman"/>
        <family val="1"/>
      </rPr>
      <t xml:space="preserve">
% de passageiros em vilas e favelas</t>
    </r>
  </si>
  <si>
    <r>
      <rPr>
        <b/>
        <sz val="12"/>
        <color theme="0"/>
        <rFont val="Times New Roman"/>
        <family val="1"/>
      </rPr>
      <t>RT vfi / RT vf</t>
    </r>
    <r>
      <rPr>
        <b/>
        <sz val="12"/>
        <rFont val="Times New Roman"/>
        <family val="1"/>
      </rPr>
      <t xml:space="preserve">
% de vagas reservadas para idoso</t>
    </r>
  </si>
  <si>
    <r>
      <rPr>
        <b/>
        <sz val="12"/>
        <color theme="0"/>
        <rFont val="Times New Roman"/>
        <family val="1"/>
      </rPr>
      <t>RT vfdi / RT vf</t>
    </r>
    <r>
      <rPr>
        <b/>
        <sz val="12"/>
        <rFont val="Times New Roman"/>
        <family val="1"/>
      </rPr>
      <t xml:space="preserve">
% de vagas reservadas para inclusão</t>
    </r>
  </si>
  <si>
    <t>Próximas atualizações - setembro/outubro de 2016</t>
  </si>
  <si>
    <t>Próximas atualizações - novembro/desembro de 2016</t>
  </si>
  <si>
    <t>Próximas atualizações - abril/maio/junho de 2017</t>
  </si>
  <si>
    <r>
      <rPr>
        <b/>
        <sz val="10"/>
        <rFont val="Times New Roman"/>
        <family val="1"/>
      </rPr>
      <t xml:space="preserve">obs.1: a questão que apura o "atendimento sempre que precisa" é: </t>
    </r>
    <r>
      <rPr>
        <sz val="10"/>
        <rFont val="Times New Roman"/>
        <family val="1"/>
      </rPr>
      <t xml:space="preserve">"Nos serviços públicos de transporte urbano a população consegue ser atendida sempre que precisar" (IPEA, 2012, p.9); a questão que apura a percepção de facilidade por toda a cidade é: "O transporte público de sua cidade permite que as pessoas se desloquem com facilidade por toda a cidade?" (IPEA, 2012, p.9); a questão que apura a percepção de tratamento igualitário é: "O tratamento dado pelo transporte público urbano ao público é igual para todos independente de renda, cor da pele, idade, deficiência ou gênero?" (IPEA, 2012, p.11)
</t>
    </r>
    <r>
      <rPr>
        <b/>
        <sz val="10"/>
        <rFont val="Times New Roman"/>
        <family val="1"/>
      </rPr>
      <t xml:space="preserve">obs.2: </t>
    </r>
    <r>
      <rPr>
        <sz val="10"/>
        <rFont val="Times New Roman"/>
        <family val="1"/>
      </rPr>
      <t xml:space="preserve">na pesquisa Ipea (2012) essas são as três únicas questões que medem a concordância do entrevistado com afirmativas sobre a mobilidade urbana; o que pode ser destacado nas respostas é que o cidadão morador de cidades maiores tem uma percepção melhor sobre a rede de transporte público, mas isso se inverte com percepções piores nas cidades maiores quando o assunto é o atendimento sempre que ele precisa e o tratamento igualitário dado aos passageiros. </t>
    </r>
  </si>
  <si>
    <t>Belo Horizonte (2015)</t>
  </si>
  <si>
    <t>Distrito Federal (2015)</t>
  </si>
  <si>
    <t>Rio de Janeiro (2014)</t>
  </si>
  <si>
    <t>São Paulo (2014)</t>
  </si>
  <si>
    <t>densidade mínima recomendada</t>
  </si>
  <si>
    <t xml:space="preserve">Estocolmo </t>
  </si>
  <si>
    <t>População conforme EC(2013, p.14)</t>
  </si>
  <si>
    <t>População conforme EC(2013, p.5)</t>
  </si>
  <si>
    <t>População conforme EC(2013, p.10)</t>
  </si>
  <si>
    <t>População conforme EC(2013, p.19)</t>
  </si>
  <si>
    <t>População conforme EC(2013, p.21)</t>
  </si>
  <si>
    <t>População conforme EC(2013, p.23)</t>
  </si>
  <si>
    <t>População conforme EC(2013, p.25)</t>
  </si>
  <si>
    <r>
      <t xml:space="preserve">IBGE(2016b): </t>
    </r>
    <r>
      <rPr>
        <sz val="12"/>
        <rFont val="Times New Roman"/>
        <family val="1"/>
      </rPr>
      <t>IBGE.</t>
    </r>
    <r>
      <rPr>
        <i/>
        <sz val="12"/>
        <rFont val="Times New Roman"/>
        <family val="1"/>
      </rPr>
      <t xml:space="preserve"> Estimativas da população residente nos municípios brasileiros com data de referência em __ 2016</t>
    </r>
    <r>
      <rPr>
        <sz val="12"/>
        <rFont val="Times New Roman"/>
        <family val="1"/>
      </rPr>
      <t>.</t>
    </r>
    <r>
      <rPr>
        <sz val="12"/>
        <color rgb="FFFF0000"/>
        <rFont val="Times New Roman"/>
        <family val="1"/>
      </rPr>
      <t xml:space="preserve"> [contagem anual postergada pelo Governo Federal Interino] </t>
    </r>
  </si>
  <si>
    <r>
      <t xml:space="preserve">população do município, ou seja, n.º de habitantes divulgado anualmente pelo IBGE, seja pelos censos (a cada dez anos), seja por contagens populacionais (anualmente, entre os censos)
</t>
    </r>
    <r>
      <rPr>
        <b/>
        <sz val="10"/>
        <color theme="1"/>
        <rFont val="Times New Roman"/>
        <family val="1"/>
      </rPr>
      <t xml:space="preserve">obs.1: </t>
    </r>
    <r>
      <rPr>
        <sz val="10"/>
        <color theme="1"/>
        <rFont val="Times New Roman"/>
        <family val="1"/>
      </rPr>
      <t xml:space="preserve">resultados de 1991/2000/2010 conforme IBGE(2016a)
</t>
    </r>
    <r>
      <rPr>
        <b/>
        <sz val="10"/>
        <color theme="1"/>
        <rFont val="Times New Roman"/>
        <family val="1"/>
      </rPr>
      <t>obs.2:</t>
    </r>
    <r>
      <rPr>
        <sz val="10"/>
        <color theme="1"/>
        <rFont val="Times New Roman"/>
        <family val="1"/>
      </rPr>
      <t xml:space="preserve"> cidade selecionada conforme descrito no verbete "benchmarking SisMob-BH"</t>
    </r>
  </si>
  <si>
    <r>
      <t xml:space="preserve">população do município de São Paulo, ou seja, n.º de habitantes divulgado anualmente pelo IBGE, seja pelos censos (a cada dez anos), seja por contagens populacionais (anualmente, entre os censos)
</t>
    </r>
    <r>
      <rPr>
        <b/>
        <sz val="10"/>
        <color theme="1"/>
        <rFont val="Times New Roman"/>
        <family val="1"/>
      </rPr>
      <t xml:space="preserve">obs.1: </t>
    </r>
    <r>
      <rPr>
        <sz val="10"/>
        <color theme="1"/>
        <rFont val="Times New Roman"/>
        <family val="1"/>
      </rPr>
      <t xml:space="preserve">resultados de 1991 conforme IBGE(2016a); de 2000 e 2007-2014 conforme SP(2015b), a despeito de IBGE(2016a) informar 10.405.867 para ano 2000 (em vez de 10.434.252 aqui utilizado com base na fonte selecionada)
</t>
    </r>
    <r>
      <rPr>
        <b/>
        <sz val="10"/>
        <color theme="1"/>
        <rFont val="Times New Roman"/>
        <family val="1"/>
      </rPr>
      <t xml:space="preserve">obs.2: </t>
    </r>
    <r>
      <rPr>
        <sz val="10"/>
        <color theme="1"/>
        <rFont val="Times New Roman"/>
        <family val="1"/>
      </rPr>
      <t>cidade selecionada conforme descrito no verbete "benchmarking SisMob-BH"</t>
    </r>
  </si>
  <si>
    <r>
      <rPr>
        <b/>
        <sz val="12"/>
        <rFont val="Times New Roman"/>
        <family val="1"/>
      </rPr>
      <t xml:space="preserve">SP(2015f): </t>
    </r>
    <r>
      <rPr>
        <sz val="12"/>
        <rFont val="Times New Roman"/>
        <family val="1"/>
      </rPr>
      <t>SÃO PAULO. Prefeitura. São Paulo Urbanismo - SP Urbanismo. Experiências de requalificação na cidade de São Paulo - Região Central - apresentação de Cristiana ___ no Seminário Internacional de Acessibiliddae na Mobilidade Urbana de Belo Horizonte. Belo Horizonte, 15 ago. 2015. [consulte também as outras apresentações feitas no seminário [LISBOA(2015c) e OLIVEIRA(2015e)] e as coberturas [BHTRANS(2015x; 2015y) e WRI(2015a)]</t>
    </r>
  </si>
  <si>
    <r>
      <rPr>
        <b/>
        <sz val="12"/>
        <rFont val="Times New Roman"/>
        <family val="1"/>
      </rPr>
      <t xml:space="preserve">SP(2016e): </t>
    </r>
    <r>
      <rPr>
        <sz val="12"/>
        <rFont val="Times New Roman"/>
        <family val="1"/>
      </rPr>
      <t xml:space="preserve">SÃO PAULO. Prefeitura. São Paulo Transporte S.A. - SPTrans. </t>
    </r>
    <r>
      <rPr>
        <i/>
        <sz val="12"/>
        <rFont val="Times New Roman"/>
        <family val="1"/>
      </rPr>
      <t>Manual dos padrões técnicos de veículos</t>
    </r>
    <r>
      <rPr>
        <sz val="12"/>
        <rFont val="Times New Roman"/>
        <family val="1"/>
      </rPr>
      <t>. jun. 2016. 68p. [recebido, a pedido, por e-mail da Diretoria de Planejamento de Transporte - SPTrans em 28/06/2016]</t>
    </r>
  </si>
  <si>
    <t>PNDV</t>
  </si>
  <si>
    <t>piso alto</t>
  </si>
  <si>
    <t>piso baixo</t>
  </si>
  <si>
    <t>piso baixo central</t>
  </si>
  <si>
    <t>piso baixo dianteiro</t>
  </si>
  <si>
    <t>piso baixo total</t>
  </si>
  <si>
    <t>piso baixo traseiro</t>
  </si>
  <si>
    <t>modalidade "b" de veículo de piso baixo conforme ABNT(2011a,p.3-item 3.20)</t>
  </si>
  <si>
    <t>modalidade "c" de veículo de piso baixo conforme ABNT(2011a,p.3-item 3.20)</t>
  </si>
  <si>
    <r>
      <t xml:space="preserve">modalidade "d" de veículo de piso baixo conforme ABNT(2011a,p.3-item 3.20)
</t>
    </r>
    <r>
      <rPr>
        <b/>
        <sz val="10"/>
        <color theme="1"/>
        <rFont val="Times New Roman"/>
        <family val="1"/>
      </rPr>
      <t xml:space="preserve">obs.: </t>
    </r>
    <r>
      <rPr>
        <sz val="10"/>
        <color theme="1"/>
        <rFont val="Times New Roman"/>
        <family val="1"/>
      </rPr>
      <t>veículo previsto em SP(2015e, p.19)</t>
    </r>
  </si>
  <si>
    <r>
      <t xml:space="preserve">modalidade "a" de veículo de piso baixo conforme ABNT(2011a,p.3-item 3.20)
</t>
    </r>
    <r>
      <rPr>
        <b/>
        <sz val="10"/>
        <color theme="1"/>
        <rFont val="Times New Roman"/>
        <family val="1"/>
      </rPr>
      <t xml:space="preserve">obs.: </t>
    </r>
    <r>
      <rPr>
        <sz val="10"/>
        <color theme="1"/>
        <rFont val="Times New Roman"/>
        <family val="1"/>
      </rPr>
      <t>veículo previsto em SP(2015e, p.19)</t>
    </r>
  </si>
  <si>
    <r>
      <t xml:space="preserve">o </t>
    </r>
    <r>
      <rPr>
        <i/>
        <sz val="10"/>
        <color theme="1"/>
        <rFont val="Times New Roman"/>
        <family val="1"/>
      </rPr>
      <t>Manual dos padrões técnicos de veículos</t>
    </r>
    <r>
      <rPr>
        <sz val="10"/>
        <color theme="1"/>
        <rFont val="Times New Roman"/>
        <family val="1"/>
      </rPr>
      <t xml:space="preserve"> da SPTrans prevê apenas um "passageiro em cadeira de rodas no box" para todos os seis tipos de ônibus conforme SP(2015e, p.6/Tabela 1 – Resumo dos tipos de veículo)</t>
    </r>
  </si>
  <si>
    <r>
      <t xml:space="preserve">painel numérico digital indicador de velovidade
</t>
    </r>
    <r>
      <rPr>
        <b/>
        <sz val="10"/>
        <color theme="1"/>
        <rFont val="Times New Roman"/>
        <family val="1"/>
      </rPr>
      <t xml:space="preserve">obs.: </t>
    </r>
    <r>
      <rPr>
        <sz val="10"/>
        <color theme="1"/>
        <rFont val="Times New Roman"/>
        <family val="1"/>
      </rPr>
      <t>os veículos [dos ônibus gerenciados pela SPTrans] devem estar equipados com Painel Numérico Digital Indicador de Velocidade – PNDV, para informação aos usuários da velocidade aplicada no veículo" conforme SP(2016e, p.13)</t>
    </r>
  </si>
  <si>
    <t>plataforma elevatória veicular</t>
  </si>
  <si>
    <t>"O veículo deve ter assentos reservados às pessoas com deficiência ou mobilidade reduzida, posicionados antes da transposição da catraca e antes das caixas de rodas traseiras, em ambos os lados (ver Tabela 9). A quantidade poderá variar em razão do tipo de rebaixamento do piso do salão de passageiros." conforme SP(2016e, p.34)</t>
  </si>
  <si>
    <t>"Em todos os ônibus, um dos bancos duplos reservados, posicionados antes da catraca
deve ter assento e encosto inteiriços, para atendimento à pessoa obesa." conforme SP(2016e, p.34)</t>
  </si>
  <si>
    <r>
      <t xml:space="preserve">"O veículo deve ter, </t>
    </r>
    <r>
      <rPr>
        <i/>
        <sz val="10"/>
        <color theme="1"/>
        <rFont val="Times New Roman"/>
        <family val="1"/>
      </rPr>
      <t>no mínimo</t>
    </r>
    <r>
      <rPr>
        <sz val="10"/>
        <color theme="1"/>
        <rFont val="Times New Roman"/>
        <family val="1"/>
      </rPr>
      <t>, 1 área reservada (Box) para alojamento de cadeira de rodas posicionada preferencialmente no sentido de marcha do veículo, localizada próxima à porta de embarque/desembarque." conforme SP(2016e, p.44/destaque nosso)</t>
    </r>
  </si>
  <si>
    <t>"Uma pessoa com deficiência visual acompanhada de cão-guia pode ocupar essa área reservada ou o banco duplo mais próximo a esse local, caso o Box esteja ocupado por pessoa com deficiência em cadeira de rodas." conforme SP(2015e, p.45)</t>
  </si>
  <si>
    <t>"Decreto nº 43.908/03, dispondo sobre a proibição de novas aquisições de ônibus com motor dianteiro para operar no Sistema de Transporte Coletivo Urbano de Passageiros." conforme SP(2016e, p.62)</t>
  </si>
  <si>
    <r>
      <rPr>
        <b/>
        <sz val="12"/>
        <color theme="1"/>
        <rFont val="Times New Roman"/>
        <family val="1"/>
      </rPr>
      <t>EC(2014a):</t>
    </r>
    <r>
      <rPr>
        <sz val="12"/>
        <color theme="1"/>
        <rFont val="Times New Roman"/>
        <family val="1"/>
      </rPr>
      <t xml:space="preserve"> EUROPEAN COMISSION - EC. </t>
    </r>
    <r>
      <rPr>
        <i/>
        <sz val="12"/>
        <color theme="1"/>
        <rFont val="Times New Roman"/>
        <family val="1"/>
      </rPr>
      <t>Access City Award 2014</t>
    </r>
    <r>
      <rPr>
        <sz val="12"/>
        <color theme="1"/>
        <rFont val="Times New Roman"/>
        <family val="1"/>
      </rPr>
      <t>: European cities responding to the accessibility needs of ALL citizens. Luxembourg, 2014. 28p. Disponível em: &lt;http://ec.europa.eu/justice/events/access-city-award-2015/files/access-city-award-2014-brochure_en.pdf&gt;. Acesso em: 21 fev. 2015.</t>
    </r>
  </si>
  <si>
    <r>
      <rPr>
        <b/>
        <sz val="12"/>
        <color theme="1"/>
        <rFont val="Times New Roman"/>
        <family val="1"/>
      </rPr>
      <t xml:space="preserve">EC(2015a): </t>
    </r>
    <r>
      <rPr>
        <sz val="12"/>
        <color theme="1"/>
        <rFont val="Times New Roman"/>
        <family val="1"/>
      </rPr>
      <t xml:space="preserve">EUROPEAN COMISSION - EC. </t>
    </r>
    <r>
      <rPr>
        <i/>
        <sz val="12"/>
        <color theme="1"/>
        <rFont val="Times New Roman"/>
        <family val="1"/>
      </rPr>
      <t>Access City Award 2015</t>
    </r>
    <r>
      <rPr>
        <sz val="12"/>
        <color theme="1"/>
        <rFont val="Times New Roman"/>
        <family val="1"/>
      </rPr>
      <t>: Examples of best practice for making EU cities more accessible. Luxembourg, 2015. 26p. Disponível para baixar em: &lt;http://ec.europa.eu/social/main.jsp?catId=1141&gt;. Acesso em: 26 jun. 2016.</t>
    </r>
  </si>
  <si>
    <r>
      <rPr>
        <b/>
        <sz val="12"/>
        <rFont val="Times New Roman"/>
        <family val="1"/>
      </rPr>
      <t xml:space="preserve">EC(2013): </t>
    </r>
    <r>
      <rPr>
        <sz val="12"/>
        <rFont val="Times New Roman"/>
        <family val="1"/>
      </rPr>
      <t xml:space="preserve">EUROPEAN COMISSION - EC. </t>
    </r>
    <r>
      <rPr>
        <i/>
        <sz val="12"/>
        <rFont val="Times New Roman"/>
        <family val="1"/>
      </rPr>
      <t>Access City Award 2013</t>
    </r>
    <r>
      <rPr>
        <sz val="12"/>
        <rFont val="Times New Roman"/>
        <family val="1"/>
      </rPr>
      <t>: Inspiring EU cities to become more accessible. Luxembourg, 2013. 28p. Disponível em: &lt;http://ec.europa.eu/justice/discrimination/files/access_city_award_2013_brochure_en.pdf&gt;. Acesso em: 21 fev. 2015.</t>
    </r>
  </si>
  <si>
    <t>plataforma elevatória estacionária</t>
  </si>
  <si>
    <t>"dispositivo que permite a elevação de pessoa com deficiência ou mobilidade reduzida, em cadeira de rodas ou em pé, para acesso em nível à plataforma de embarque/desembarque ou ao veículo" conforme ABNT(2011a, p.2)</t>
  </si>
  <si>
    <t>desnível</t>
  </si>
  <si>
    <t>"tecnologias ou equipamentos projetados para possibilitar a transposição da fronteira" conforme ABNT(2011a, p.2)</t>
  </si>
  <si>
    <t>dispositivos para transposição de fronteira</t>
  </si>
  <si>
    <t>"condição que permite a transposição da fronteira, estando o piso interno do veículo e a área de
embarque/desembarque em nível, observadas as condições de 5.1" conforme ABNT(2011a, p.2)</t>
  </si>
  <si>
    <t>acesso em nível</t>
  </si>
  <si>
    <t>"área elevada em relação ao solo para reduzir ou eliminar o desnível no embarque ou desembarque de
passageiros, observadas as condições de 5.1" conforme ABNT(2011a, p.2)</t>
  </si>
  <si>
    <t>plataforma de embarque e desembarque</t>
  </si>
  <si>
    <t>"área localizada, ao longo do trajeto do veículo, que permite o embarque e desembarque" conforme ABNT(2011a, p.3)</t>
  </si>
  <si>
    <t>ponto de parada</t>
  </si>
  <si>
    <t>low floor</t>
  </si>
  <si>
    <r>
      <rPr>
        <b/>
        <sz val="12"/>
        <rFont val="Times New Roman"/>
        <family val="1"/>
      </rPr>
      <t xml:space="preserve">ABNT(2009a): </t>
    </r>
    <r>
      <rPr>
        <sz val="12"/>
        <rFont val="Times New Roman"/>
        <family val="1"/>
      </rPr>
      <t xml:space="preserve">ABNT - ASSOCIAÇÃO BRASILEIRA DE NORMAS TÉCNICAS. </t>
    </r>
    <r>
      <rPr>
        <i/>
        <sz val="12"/>
        <rFont val="Times New Roman"/>
        <family val="1"/>
      </rPr>
      <t>NBR 14022: Acessibilidade em veículos de características urbanas para o transporte coletivo de passageiros</t>
    </r>
    <r>
      <rPr>
        <sz val="12"/>
        <rFont val="Times New Roman"/>
        <family val="1"/>
      </rPr>
      <t>. 3.ed. Rio de Janeiro: ABNT, 2009. 19p. [terceira edição de 20/02/2009; válida a partir de 20/03/2009]. Disponível em: &lt;http://www.pessoacomdeficiencia.gov.br/app/sites/default/files/arquivos/%5Bfield_generico_imagens-filefield-description%5D_25.pdf&gt;. Acesso em: 28 abr. 2016. [verbetes lançados no Quadro 100a: acesso em nível, desnível, fronteira, piso alto/veículo de, piso baixo/veículo de, piso baixo dianteiro, piso baixo central, piso baixo total, piso baixo traseiro, plataforma de embarque e desembarque, plataforma elevatória estacionária, plataforma elevatória veicular, ponto de parada, vão]</t>
    </r>
  </si>
  <si>
    <t>e</t>
  </si>
  <si>
    <t>t</t>
  </si>
  <si>
    <t>RH e</t>
  </si>
  <si>
    <t>registro da fonte (componente de
 RH nd)</t>
  </si>
  <si>
    <t>RH t</t>
  </si>
  <si>
    <t>registro da fonte
ou
RH e + RH t
(componente de RH)</t>
  </si>
  <si>
    <t>depende de RH</t>
  </si>
  <si>
    <t>Gráfico 35a - Evolução dos recursos humanos diretos da BHTrans (1992-2015)</t>
  </si>
  <si>
    <r>
      <rPr>
        <b/>
        <sz val="12"/>
        <color theme="1"/>
        <rFont val="Times New Roman"/>
        <family val="1"/>
      </rPr>
      <t xml:space="preserve">BHTRANS(2012e): </t>
    </r>
    <r>
      <rPr>
        <sz val="12"/>
        <color theme="1"/>
        <rFont val="Times New Roman"/>
        <family val="1"/>
      </rPr>
      <t xml:space="preserve">EMPRESA DE TRANSPORTES E TRÂNSITO DE BELO HORIZONTE S.A - BHTRANS. Sistema de Informações da Mobilidade Urbana de Belo Horizonte - SisMob-BH. </t>
    </r>
    <r>
      <rPr>
        <i/>
        <sz val="12"/>
        <color theme="1"/>
        <rFont val="Times New Roman"/>
        <family val="1"/>
      </rPr>
      <t>Tabela 41a - RHd (recursos humanos relativos a empregados diretos) da BHTrans por cargo (2006-2012)</t>
    </r>
    <r>
      <rPr>
        <sz val="12"/>
        <color theme="1"/>
        <rFont val="Times New Roman"/>
        <family val="1"/>
      </rPr>
      <t>. Belo Horizonte, 7 fev. 2012.</t>
    </r>
  </si>
  <si>
    <r>
      <t xml:space="preserve">n.º de empregados não diretos (estagiários e terceirizados) da BHTrans
</t>
    </r>
    <r>
      <rPr>
        <b/>
        <sz val="10"/>
        <rFont val="Times New Roman"/>
        <family val="1"/>
      </rPr>
      <t xml:space="preserve">obs.1: </t>
    </r>
    <r>
      <rPr>
        <sz val="10"/>
        <rFont val="Times New Roman"/>
        <family val="1"/>
      </rPr>
      <t xml:space="preserve">resultados de 2006-2012  conforme BHTRANS(2012e); </t>
    </r>
    <r>
      <rPr>
        <sz val="10"/>
        <color rgb="FFFF0000"/>
        <rFont val="Times New Roman"/>
        <family val="1"/>
      </rPr>
      <t>de 2013-2014 faltando</t>
    </r>
    <r>
      <rPr>
        <sz val="10"/>
        <rFont val="Times New Roman"/>
        <family val="1"/>
      </rPr>
      <t xml:space="preserve">; de 2015 conforme fórmula
</t>
    </r>
    <r>
      <rPr>
        <b/>
        <sz val="10"/>
        <rFont val="Times New Roman"/>
        <family val="1"/>
      </rPr>
      <t xml:space="preserve">obs.2: </t>
    </r>
    <r>
      <rPr>
        <sz val="10"/>
        <rFont val="Times New Roman"/>
        <family val="1"/>
      </rPr>
      <t>indicador operacional da BHTrans com o nome "número de empregados não diretos (estagiários e terceirizados" (BHTRANS, 2015d)</t>
    </r>
  </si>
  <si>
    <r>
      <t xml:space="preserve">n.º de empregados terceirizados da BHTrans
</t>
    </r>
    <r>
      <rPr>
        <b/>
        <sz val="10"/>
        <color theme="1"/>
        <rFont val="Times New Roman"/>
        <family val="1"/>
      </rPr>
      <t xml:space="preserve">obs.: </t>
    </r>
    <r>
      <rPr>
        <sz val="10"/>
        <color theme="1"/>
        <rFont val="Times New Roman"/>
        <family val="1"/>
      </rPr>
      <t xml:space="preserve">resultados de 1992-2014 </t>
    </r>
    <r>
      <rPr>
        <sz val="10"/>
        <color rgb="FFFF0000"/>
        <rFont val="Times New Roman"/>
        <family val="1"/>
      </rPr>
      <t>(aguardando);</t>
    </r>
    <r>
      <rPr>
        <sz val="10"/>
        <color theme="1"/>
        <rFont val="Times New Roman"/>
        <family val="1"/>
      </rPr>
      <t xml:space="preserve"> de 2015 conforme BHTRANS(2016s, p.7)</t>
    </r>
  </si>
  <si>
    <r>
      <t xml:space="preserve">n.º de agentes de trânsito da BHTrans
</t>
    </r>
    <r>
      <rPr>
        <b/>
        <sz val="10"/>
        <rFont val="Times New Roman"/>
        <family val="1"/>
      </rPr>
      <t>obs.1:</t>
    </r>
    <r>
      <rPr>
        <sz val="10"/>
        <rFont val="Times New Roman"/>
        <family val="1"/>
      </rPr>
      <t xml:space="preserve"> este indicador é denominado pela ANTP como "n.º de agentes de trânsito em operação" como componente do indicador "IRA"
</t>
    </r>
    <r>
      <rPr>
        <b/>
        <sz val="10"/>
        <rFont val="Times New Roman"/>
        <family val="1"/>
      </rPr>
      <t xml:space="preserve">obs.2: </t>
    </r>
    <r>
      <rPr>
        <sz val="10"/>
        <rFont val="Times New Roman"/>
        <family val="1"/>
      </rPr>
      <t xml:space="preserve">indicador operacional da BHTrans com o nome "número total de agentes de trânsito" (BHTRANS, 2015d)
</t>
    </r>
    <r>
      <rPr>
        <b/>
        <sz val="10"/>
        <color rgb="FFFF0000"/>
        <rFont val="Times New Roman"/>
        <family val="1"/>
      </rPr>
      <t>obs.3:</t>
    </r>
    <r>
      <rPr>
        <sz val="10"/>
        <color rgb="FFFF0000"/>
        <rFont val="Times New Roman"/>
        <family val="1"/>
      </rPr>
      <t xml:space="preserve"> SisMob-BH aguarda informações solicitadas à gerência responsável pelo RH</t>
    </r>
  </si>
  <si>
    <t>rampa</t>
  </si>
  <si>
    <t>R at</t>
  </si>
  <si>
    <t>R at/RH at</t>
  </si>
  <si>
    <t>R ac</t>
  </si>
  <si>
    <t>cadeira voadora</t>
  </si>
  <si>
    <r>
      <rPr>
        <b/>
        <sz val="12"/>
        <color theme="1"/>
        <rFont val="Times New Roman"/>
        <family val="1"/>
      </rPr>
      <t xml:space="preserve">CADEIRA(2016a): </t>
    </r>
    <r>
      <rPr>
        <sz val="12"/>
        <color theme="1"/>
        <rFont val="Times New Roman"/>
        <family val="1"/>
      </rPr>
      <t xml:space="preserve">CADEIRA VOADORA. </t>
    </r>
    <r>
      <rPr>
        <i/>
        <sz val="12"/>
        <color theme="1"/>
        <rFont val="Times New Roman"/>
        <family val="1"/>
      </rPr>
      <t>Sobre o blog.</t>
    </r>
    <r>
      <rPr>
        <sz val="12"/>
        <color theme="1"/>
        <rFont val="Times New Roman"/>
        <family val="1"/>
      </rPr>
      <t xml:space="preserve"> Disponível em: &lt;http://cadeiravoadora.com.br/sobre/o-blog/&gt;. Acesso em 30 jun. 2016.</t>
    </r>
  </si>
  <si>
    <r>
      <rPr>
        <b/>
        <sz val="12"/>
        <color theme="1"/>
        <rFont val="Times New Roman"/>
        <family val="1"/>
      </rPr>
      <t xml:space="preserve">WRI(2016d): </t>
    </r>
    <r>
      <rPr>
        <sz val="12"/>
        <color theme="1"/>
        <rFont val="Times New Roman"/>
        <family val="1"/>
      </rPr>
      <t>WORLD RESOURCES INSTITUTE - WRI BRASIL.</t>
    </r>
    <r>
      <rPr>
        <i/>
        <sz val="12"/>
        <color theme="1"/>
        <rFont val="Times New Roman"/>
        <family val="1"/>
      </rPr>
      <t>Vencedores [do Concurso Acessibilidade para Todos em Belo Horizonte]</t>
    </r>
    <r>
      <rPr>
        <sz val="12"/>
        <color theme="1"/>
        <rFont val="Times New Roman"/>
        <family val="1"/>
      </rPr>
      <t>. Porto Alegre, [2016]. Disponível em: &lt;http://concursoacessibilidade.org/vencedores/&gt;. Acesso em: 30 jun. 2016.</t>
    </r>
  </si>
  <si>
    <r>
      <rPr>
        <b/>
        <sz val="12"/>
        <color theme="1"/>
        <rFont val="Times New Roman"/>
        <family val="1"/>
      </rPr>
      <t xml:space="preserve">WRI(2016c): </t>
    </r>
    <r>
      <rPr>
        <sz val="12"/>
        <color theme="1"/>
        <rFont val="Times New Roman"/>
        <family val="1"/>
      </rPr>
      <t>WORLD RESOURCES INSTITUTE - WRI BRASIL.</t>
    </r>
    <r>
      <rPr>
        <i/>
        <sz val="12"/>
        <color theme="1"/>
        <rFont val="Times New Roman"/>
        <family val="1"/>
      </rPr>
      <t>Concursos de ideias promovem a requalificação urbana de Belo Horizonte e São Paulo</t>
    </r>
    <r>
      <rPr>
        <sz val="12"/>
        <color theme="1"/>
        <rFont val="Times New Roman"/>
        <family val="1"/>
      </rPr>
      <t>. Porto Alegre, junho 2016. Disponível em: &lt;http://wricidades.org/conteudo/concursos-de-ideias-promovem-requalifica%C3%A7%C3%A3o-urbana-de-belo-horizonte-e-s%C3%A3o-paulo&gt;. Acesso em: 30 jun. 2016.</t>
    </r>
  </si>
  <si>
    <r>
      <t xml:space="preserve">o "concurso Acessibilidade para Todos" foi organizado pela WRI em 2016 com o apoio técnico da BHTrans, CAU, CREA-MG, IAB-MG e apoio institucional de Agência de Desenvolvimento da Região Metropolitana de Belo Horizonte (ARMBH); Blog Cadeira Voadora; Campanha Multa Moral de Belo Horizonte; Coordenadoria de Direitos das Pessoas com Deficiência (CDPD/BH) da Secretaria Municipal Adjunta de Direitos de Cidadania (SMADC) de Belo Horizonte; Conselho Municipal dos Direitos da Pessoa Com Deficiência (CMDPD/BH) de Belo Horizonte; Federação Nacional de Educação e Integração dos Surdos (FENEIS); Conselho Estadual de Defesa dos Direitos da Pessoa com Deficiência de Minas Gerais (CONPED/MG); Movimento Unificado de Deficientes Visuais (MUDEV); Rede Mineira de Tecnologia Assistiva da Secretaria de Estado de Ciência, Tecnologia e Ensino Superior de Minas Gerais (SECTES/MG) conforme WRI(2016a)
</t>
    </r>
    <r>
      <rPr>
        <b/>
        <sz val="10"/>
        <rFont val="Times New Roman"/>
        <family val="1"/>
      </rPr>
      <t>obs.1:</t>
    </r>
    <r>
      <rPr>
        <sz val="10"/>
        <rFont val="Times New Roman"/>
        <family val="1"/>
      </rPr>
      <t xml:space="preserve"> cobertura da premiação do concurso conforme BHTRANS(2016r1; 2016r2); CAU/MG(2016); CREA/MG(2016); WRI(2016b)
</t>
    </r>
    <r>
      <rPr>
        <b/>
        <sz val="10"/>
        <rFont val="Times New Roman"/>
        <family val="1"/>
      </rPr>
      <t xml:space="preserve">obs.2: </t>
    </r>
    <r>
      <rPr>
        <sz val="10"/>
        <rFont val="Times New Roman"/>
        <family val="1"/>
      </rPr>
      <t>propostas avaliadas pelos juízes com destaque para as que receberam prêmios ou menção honrosa em WRI(2016c)</t>
    </r>
    <r>
      <rPr>
        <sz val="10"/>
        <color rgb="FFFF0000"/>
        <rFont val="Times New Roman"/>
        <family val="1"/>
      </rPr>
      <t xml:space="preserve"> BHTRANS???</t>
    </r>
    <r>
      <rPr>
        <sz val="10"/>
        <rFont val="Times New Roman"/>
        <family val="1"/>
      </rPr>
      <t xml:space="preserve">
</t>
    </r>
    <r>
      <rPr>
        <b/>
        <sz val="10"/>
        <rFont val="Times New Roman"/>
        <family val="1"/>
      </rPr>
      <t>obs.3:</t>
    </r>
    <r>
      <rPr>
        <sz val="10"/>
        <rFont val="Times New Roman"/>
        <family val="1"/>
      </rPr>
      <t xml:space="preserve"> acesse os verbetes "acessibilidade para todos", "cadeira voadora"; "para todos" </t>
    </r>
  </si>
  <si>
    <r>
      <t xml:space="preserve">blog que "nasceu em 2011" quando sua autora "procurava um canal para expressar as situações inquietantes que viviam as pessoas com deficiência". Com "nova cara e endereço" em 2016, segundo sua autora "Permanece o desejo de estimular os cadeirantes – e outras pessoas com deficiência ou mobilidade reduzida – a confiar nas próprias asas e levantar voo. Mas agora a Cadeira Voadora vai partir para voos mais diversificados, sem esquecer as viagens, que são minha paixão. E, pelo que tenho visto, também a de muitas rodinhas voadoras por aí!" conforme CADEIRA(2016)
</t>
    </r>
    <r>
      <rPr>
        <b/>
        <sz val="10"/>
        <color theme="1"/>
        <rFont val="Times New Roman"/>
        <family val="1"/>
      </rPr>
      <t>obs.1:</t>
    </r>
    <r>
      <rPr>
        <sz val="10"/>
        <color theme="1"/>
        <rFont val="Times New Roman"/>
        <family val="1"/>
      </rPr>
      <t xml:space="preserve"> o blog foi divulgado no ambiente interno da BHTrans em BHTRANS(2016r)
</t>
    </r>
    <r>
      <rPr>
        <b/>
        <sz val="10"/>
        <color theme="1"/>
        <rFont val="Times New Roman"/>
        <family val="1"/>
      </rPr>
      <t xml:space="preserve">obs.2: </t>
    </r>
    <r>
      <rPr>
        <sz val="10"/>
        <color theme="1"/>
        <rFont val="Times New Roman"/>
        <family val="1"/>
      </rPr>
      <t>acesse o verbete "concurso Acessibilidade para Todos"</t>
    </r>
  </si>
  <si>
    <t>multa moral</t>
  </si>
  <si>
    <r>
      <rPr>
        <b/>
        <sz val="12"/>
        <color theme="1"/>
        <rFont val="Times New Roman"/>
        <family val="1"/>
      </rPr>
      <t xml:space="preserve">MG(2016d): </t>
    </r>
    <r>
      <rPr>
        <sz val="12"/>
        <color theme="1"/>
        <rFont val="Times New Roman"/>
        <family val="1"/>
      </rPr>
      <t xml:space="preserve">MINAS GERAIS. Agência de Desenvolvimento da Região Metropolitamna de Belo Horizonte - ARMBH. </t>
    </r>
    <r>
      <rPr>
        <i/>
        <sz val="12"/>
        <color theme="1"/>
        <rFont val="Times New Roman"/>
        <family val="1"/>
      </rPr>
      <t>Vencedores do Concurso Acessibilidade para Todos</t>
    </r>
    <r>
      <rPr>
        <sz val="12"/>
        <color theme="1"/>
        <rFont val="Times New Roman"/>
        <family val="1"/>
      </rPr>
      <t>. Belo Horizonte, 1º jul. 2016. Disponível em: &lt;http://www.agenciarmbh.mg.gov.br/vencedores-do-concurso-acessibilidade-para-todos/&gt;. Acesso em: 4 jul. 2016.</t>
    </r>
  </si>
  <si>
    <r>
      <rPr>
        <b/>
        <sz val="12"/>
        <color theme="1"/>
        <rFont val="Times New Roman"/>
        <family val="1"/>
      </rPr>
      <t>UFMG(2016a):</t>
    </r>
    <r>
      <rPr>
        <sz val="12"/>
        <color theme="1"/>
        <rFont val="Times New Roman"/>
        <family val="1"/>
      </rPr>
      <t xml:space="preserve"> UNIVERSIDADE FEDERAL DE MINAS GERAIS - UFMG. </t>
    </r>
    <r>
      <rPr>
        <i/>
        <sz val="12"/>
        <color theme="1"/>
        <rFont val="Times New Roman"/>
        <family val="1"/>
      </rPr>
      <t xml:space="preserve">Proposta de estudantes e professor da UFMG vence concurso sobre acessibilidade em Belo Horizonte. </t>
    </r>
    <r>
      <rPr>
        <sz val="12"/>
        <color theme="1"/>
        <rFont val="Times New Roman"/>
        <family val="1"/>
      </rPr>
      <t xml:space="preserve">Belo Horizonte, 30 de jun. 2016. Disponível em: &lt;https://www.ufmg.br/online/arquivos/044209.shtml&gt;. Acesso em: 4 jul. 2016. </t>
    </r>
  </si>
  <si>
    <r>
      <rPr>
        <b/>
        <sz val="12"/>
        <color theme="1"/>
        <rFont val="Times New Roman"/>
        <family val="1"/>
      </rPr>
      <t xml:space="preserve">PICTARAM(2016): </t>
    </r>
    <r>
      <rPr>
        <sz val="12"/>
        <color theme="1"/>
        <rFont val="Times New Roman"/>
        <family val="1"/>
      </rPr>
      <t xml:space="preserve">PICTARAM. </t>
    </r>
    <r>
      <rPr>
        <i/>
        <sz val="12"/>
        <color theme="1"/>
        <rFont val="Times New Roman"/>
        <family val="1"/>
      </rPr>
      <t xml:space="preserve">Na premiação do "Concurso Acessibilidade para Todos". </t>
    </r>
    <r>
      <rPr>
        <sz val="12"/>
        <color theme="1"/>
        <rFont val="Times New Roman"/>
        <family val="1"/>
      </rPr>
      <t>Disponível em: &lt;http://www.pictaram.com/media/1272085388402848527_1592898547&gt;. Acesso em: 4 jul. 2016.</t>
    </r>
  </si>
  <si>
    <r>
      <rPr>
        <b/>
        <sz val="12"/>
        <color theme="1"/>
        <rFont val="Times New Roman"/>
        <family val="1"/>
      </rPr>
      <t>VITRUVIUS(2016):</t>
    </r>
    <r>
      <rPr>
        <sz val="12"/>
        <color theme="1"/>
        <rFont val="Times New Roman"/>
        <family val="1"/>
      </rPr>
      <t xml:space="preserve"> VITRUVIUS. </t>
    </r>
    <r>
      <rPr>
        <i/>
        <sz val="12"/>
        <color theme="1"/>
        <rFont val="Times New Roman"/>
        <family val="1"/>
      </rPr>
      <t>Conheça as ideias vencedoras do Concurso Acessibilidade para Todos</t>
    </r>
    <r>
      <rPr>
        <sz val="12"/>
        <color theme="1"/>
        <rFont val="Times New Roman"/>
        <family val="1"/>
      </rPr>
      <t>. 27 jun. 2016. Disponível em: &lt;http://www.vitruvius.com.br/jornal/news/read/2565&gt;. Acesso em: 4 jul. 2016.</t>
    </r>
  </si>
  <si>
    <r>
      <rPr>
        <b/>
        <sz val="12"/>
        <color theme="1"/>
        <rFont val="Times New Roman"/>
        <family val="1"/>
      </rPr>
      <t>VALE(2016):</t>
    </r>
    <r>
      <rPr>
        <sz val="12"/>
        <color theme="1"/>
        <rFont val="Times New Roman"/>
        <family val="1"/>
      </rPr>
      <t xml:space="preserve"> VALE, João Henrique do. </t>
    </r>
    <r>
      <rPr>
        <i/>
        <sz val="12"/>
        <color theme="1"/>
        <rFont val="Times New Roman"/>
        <family val="1"/>
      </rPr>
      <t>Concurso vai escolher projetos de acessibilidade para Belo Horizonte</t>
    </r>
    <r>
      <rPr>
        <sz val="12"/>
        <color theme="1"/>
        <rFont val="Times New Roman"/>
        <family val="1"/>
      </rPr>
      <t>. Estado de Minas, Belo Horizonte, 19 abr. 2016. Disponível em: &lt;http://www.em.com.br/app/noticia/gerais/2016/04/19/interna_gerais,754732/concurso-vai-escolher-projetos-de-acessiblidade-para-belo-horizonte.shtml&gt;. Acesso em: 4 jul. 2016.</t>
    </r>
  </si>
  <si>
    <r>
      <rPr>
        <b/>
        <sz val="12"/>
        <rFont val="Times New Roman"/>
        <family val="1"/>
      </rPr>
      <t>BH(2002c):</t>
    </r>
    <r>
      <rPr>
        <sz val="12"/>
        <rFont val="Times New Roman"/>
        <family val="1"/>
      </rPr>
      <t xml:space="preserve"> BELO HORIZONTE. Câmara Municipal. </t>
    </r>
    <r>
      <rPr>
        <i/>
        <sz val="12"/>
        <rFont val="Times New Roman"/>
        <family val="1"/>
      </rPr>
      <t>Projeto de Lei n.º 1110/2002, de 17 de outubro de 2002</t>
    </r>
    <r>
      <rPr>
        <sz val="12"/>
        <rFont val="Times New Roman"/>
        <family val="1"/>
      </rPr>
      <t>. Proíbe o desembarque de passageiro pelça porta traseira de veículo de transporte público coletivo no caso que menciona. [histórico da tramitação de projeto rejeitado pela própria CMBH e arquivado em 23/06/2003].</t>
    </r>
  </si>
  <si>
    <r>
      <rPr>
        <b/>
        <sz val="12"/>
        <color theme="1"/>
        <rFont val="Times New Roman"/>
        <family val="1"/>
      </rPr>
      <t>FOLLADOR(2011):</t>
    </r>
    <r>
      <rPr>
        <sz val="12"/>
        <color theme="1"/>
        <rFont val="Times New Roman"/>
        <family val="1"/>
      </rPr>
      <t xml:space="preserve"> FOLLADOR, Débora Pinto. </t>
    </r>
    <r>
      <rPr>
        <i/>
        <sz val="12"/>
        <color theme="1"/>
        <rFont val="Times New Roman"/>
        <family val="1"/>
      </rPr>
      <t>Constituição do Plano Diretor de Transporte e da mobilidade: um estudo comparativo de Belo Horizonte e Curitiba</t>
    </r>
    <r>
      <rPr>
        <sz val="12"/>
        <color theme="1"/>
        <rFont val="Times New Roman"/>
        <family val="1"/>
      </rPr>
      <t>. 2011. 181p. Dissertação (Mestrado em Gestão Urbana) - Centro de Ciências Exatas e de Tecnologia (CCET) da Pró-Reitoria de Pós-Graduação e Pesquisa (PPGTU) da Pontifícia Universidade Católica do Paraná (PUCPR), Curitiba.</t>
    </r>
  </si>
  <si>
    <r>
      <rPr>
        <b/>
        <sz val="12"/>
        <rFont val="Times New Roman"/>
        <family val="1"/>
      </rPr>
      <t>BHTRANS(2016t):</t>
    </r>
    <r>
      <rPr>
        <sz val="12"/>
        <rFont val="Times New Roman"/>
        <family val="1"/>
      </rPr>
      <t xml:space="preserve"> EMPRESA DE TRANSPORTES E TRÂNSITO DE BELO HORIZONTE S.A - BHTRANS. </t>
    </r>
    <r>
      <rPr>
        <i/>
        <sz val="12"/>
        <rFont val="Times New Roman"/>
        <family val="1"/>
      </rPr>
      <t>Pesquisa apresenta Mapa de declividades de Belo Horizonte.</t>
    </r>
    <r>
      <rPr>
        <sz val="12"/>
        <rFont val="Times New Roman"/>
        <family val="1"/>
      </rPr>
      <t xml:space="preserve"> Belo Horizonte, 5 jul. 2016. Disponível em: &lt;http://www.bhtrans.pbh.gov.br/portal/page/portal/portalpublico/Temas/Noticias/Pesquisa%20apresenta%20Mapa%20de%20declividades%20de%20Belo%20Horizonte&gt;. Acesso em 7 jul. 2016.</t>
    </r>
  </si>
  <si>
    <r>
      <t xml:space="preserve">extensão total acessível do sistema viário (seja para pessoas com deficiência, seja para ciclistas; seja em km, seja em percentual da extensão total) de Belo Horizonte
</t>
    </r>
    <r>
      <rPr>
        <b/>
        <sz val="10"/>
        <color theme="1"/>
        <rFont val="Times New Roman"/>
        <family val="1"/>
      </rPr>
      <t xml:space="preserve">obs.: </t>
    </r>
    <r>
      <rPr>
        <sz val="10"/>
        <color theme="1"/>
        <rFont val="Times New Roman"/>
        <family val="1"/>
      </rPr>
      <t>acesse verbete "mapa de declividades de Belo Horizonte"</t>
    </r>
  </si>
  <si>
    <t>mapa de declividades</t>
  </si>
  <si>
    <t>IGC/UFMG</t>
  </si>
  <si>
    <t xml:space="preserve">ITDP </t>
  </si>
  <si>
    <t>BHTRANS</t>
  </si>
  <si>
    <r>
      <rPr>
        <b/>
        <sz val="12"/>
        <color theme="1"/>
        <rFont val="Times New Roman"/>
        <family val="1"/>
      </rPr>
      <t xml:space="preserve">GLOBO(2016a): </t>
    </r>
    <r>
      <rPr>
        <sz val="12"/>
        <color theme="1"/>
        <rFont val="Times New Roman"/>
        <family val="1"/>
      </rPr>
      <t xml:space="preserve">GLOBO. Bom Dia Minas. </t>
    </r>
    <r>
      <rPr>
        <i/>
        <sz val="12"/>
        <color theme="1"/>
        <rFont val="Times New Roman"/>
        <family val="1"/>
      </rPr>
      <t>BHTrans apresenta mapa da declividade de Belo Horizonte</t>
    </r>
    <r>
      <rPr>
        <sz val="12"/>
        <color theme="1"/>
        <rFont val="Times New Roman"/>
        <family val="1"/>
      </rPr>
      <t xml:space="preserve">. vídeo, 6'08''. Belo Horizonte, 6 jul. 2016. Disponível em: &lt;http://g1.globo.com/minas-gerais/videos/t/bom-dia-minas/v/bhtrans-apresenta-mapa-da-declividade-de-belo-horizonte/5144648/&gt;.  Acesso em: 7 jul. 2016. </t>
    </r>
    <r>
      <rPr>
        <sz val="12"/>
        <color rgb="FFFF0000"/>
        <rFont val="Times New Roman"/>
        <family val="1"/>
      </rPr>
      <t>baixar?</t>
    </r>
  </si>
  <si>
    <r>
      <rPr>
        <b/>
        <sz val="12"/>
        <color theme="1"/>
        <rFont val="Times New Roman"/>
        <family val="1"/>
      </rPr>
      <t xml:space="preserve">IEMA(2014a): </t>
    </r>
    <r>
      <rPr>
        <sz val="12"/>
        <color theme="1"/>
        <rFont val="Times New Roman"/>
        <family val="1"/>
      </rPr>
      <t xml:space="preserve">INSTITUTO DE ENERGIA E MEIO AMBIENTE - IEMA. </t>
    </r>
    <r>
      <rPr>
        <i/>
        <sz val="12"/>
        <color theme="1"/>
        <rFont val="Times New Roman"/>
        <family val="1"/>
      </rPr>
      <t>Estimativa de redução das emissões atmosféricas resultantes da implantação do Plano de Mobilidade Urbana de Belo Horizonte</t>
    </r>
    <r>
      <rPr>
        <sz val="12"/>
        <color theme="1"/>
        <rFont val="Times New Roman"/>
        <family val="1"/>
      </rPr>
      <t>. São Paulo: Iema, jul. 2014. 38p.</t>
    </r>
  </si>
  <si>
    <r>
      <rPr>
        <b/>
        <sz val="12"/>
        <color theme="1"/>
        <rFont val="Times New Roman"/>
        <family val="1"/>
      </rPr>
      <t xml:space="preserve">FERREIRA(2016): </t>
    </r>
    <r>
      <rPr>
        <sz val="12"/>
        <color theme="1"/>
        <rFont val="Times New Roman"/>
        <family val="1"/>
      </rPr>
      <t xml:space="preserve">FERREIRA, Bárbara. ‘Mapa das Declividades’ pode ajudar na mobilidade de BH - Projeto da UFMG criado a pedido da BHTrans mapeou morros da capital; Mapa de declives poderá ser usado para reestruturar mobilidade urbana - O documento, uma parceria entre a BHTrans e a UFMG, foi lançado nesta terça-feira e, posteriormente, também será aberto ao público. </t>
    </r>
    <r>
      <rPr>
        <i/>
        <sz val="12"/>
        <color theme="1"/>
        <rFont val="Times New Roman"/>
        <family val="1"/>
      </rPr>
      <t>O Tempo</t>
    </r>
    <r>
      <rPr>
        <sz val="12"/>
        <color theme="1"/>
        <rFont val="Times New Roman"/>
        <family val="1"/>
      </rPr>
      <t>, Belo Horizonte, 6 jul. 2016. 1º Caderno, p.27. Disponível em: &lt;http://www.otempo.com.br/cidades/mapa-das-declividades-pode-ajudar-na-mobilidade-de-bh-1.1333905&gt; e em: &lt;http://www.otempo.com.br/cidades/mapa-de-declives-poder%C3%A1-ser-usado-para-reestruturar-mobilidade-urbana-1.1333608&gt;. Acesso em: 07/07/2016.</t>
    </r>
  </si>
  <si>
    <r>
      <rPr>
        <b/>
        <sz val="12"/>
        <color theme="1"/>
        <rFont val="Times New Roman"/>
        <family val="1"/>
      </rPr>
      <t xml:space="preserve">GLOBO(2016b): </t>
    </r>
    <r>
      <rPr>
        <sz val="12"/>
        <color theme="1"/>
        <rFont val="Times New Roman"/>
        <family val="1"/>
      </rPr>
      <t xml:space="preserve">GLOBO. Bom Dia Minas. </t>
    </r>
    <r>
      <rPr>
        <i/>
        <sz val="12"/>
        <color theme="1"/>
        <rFont val="Times New Roman"/>
        <family val="1"/>
      </rPr>
      <t>BHTrans apresenta mapa da declividade de Belo Horizonte</t>
    </r>
    <r>
      <rPr>
        <sz val="12"/>
        <color theme="1"/>
        <rFont val="Times New Roman"/>
        <family val="1"/>
      </rPr>
      <t>. vídeo, 6'08''. Belo Horizonte, 6 jul. 2016. Disponível em: &lt;http://g1.globo.com/minas-gerais/videos/t/bom-dia-minas/v/bhtrans-apresenta-mapa-da-declividade-de-belo-horizonte/5144648/&gt;.  Acesso em: 7 jul. 2016.</t>
    </r>
  </si>
  <si>
    <r>
      <rPr>
        <b/>
        <sz val="12"/>
        <color theme="1"/>
        <rFont val="Times New Roman"/>
        <family val="1"/>
      </rPr>
      <t xml:space="preserve">GLOBO(2016a): </t>
    </r>
    <r>
      <rPr>
        <sz val="12"/>
        <color theme="1"/>
        <rFont val="Times New Roman"/>
        <family val="1"/>
      </rPr>
      <t xml:space="preserve">GLOBO. Estudo feito pela UFMG e BHTrans mapeia ladeiras de Belo Horizonte. Objetivo é desenvolver políticas de mobilidade urbana na capital. Quase 5 mil quilômetros de ruas e avenidas foram analisadas. </t>
    </r>
    <r>
      <rPr>
        <i/>
        <sz val="12"/>
        <color theme="1"/>
        <rFont val="Times New Roman"/>
        <family val="1"/>
      </rPr>
      <t>Portal G1</t>
    </r>
    <r>
      <rPr>
        <sz val="12"/>
        <color theme="1"/>
        <rFont val="Times New Roman"/>
        <family val="1"/>
      </rPr>
      <t>, Belo Horizonte, 5 jul. 2016.</t>
    </r>
  </si>
  <si>
    <r>
      <t xml:space="preserve">"Benchmarking é o termo utilizado para o processo de comparação de resultados. Segundo Sabino (1997[, p.12]): 'Benchmarking originou-se da palavra benchmark, que significa uma marca feita por agrimensor, indicando um ponto em uma linha de nível, um padrão ou um ponto de referência. Ou seja, é um marco cuja altura, em relação a uma dada referência, tenha sido determinada por nivelamento'." conforme OLIVEIRA(2014, p.225/nota 244)
</t>
    </r>
    <r>
      <rPr>
        <b/>
        <sz val="10"/>
        <color theme="1"/>
        <rFont val="Times New Roman"/>
        <family val="1"/>
      </rPr>
      <t>obs.:</t>
    </r>
    <r>
      <rPr>
        <sz val="10"/>
        <color theme="1"/>
        <rFont val="Times New Roman"/>
        <family val="1"/>
      </rPr>
      <t xml:space="preserve"> acesse o verbete "benchmarking SisMob-BH"</t>
    </r>
  </si>
  <si>
    <t>benchmarking SisMob-BH BR1</t>
  </si>
  <si>
    <t>benchmarking SisMob-BH BR2</t>
  </si>
  <si>
    <t>benchmarking SisMob-BH M2</t>
  </si>
  <si>
    <t>benchmarking SisMob-BH M1</t>
  </si>
  <si>
    <t>European Comission</t>
  </si>
  <si>
    <t>6) Sistema de transportes ativos (não motorizados)</t>
  </si>
  <si>
    <r>
      <rPr>
        <b/>
        <sz val="10"/>
        <color theme="1"/>
        <rFont val="Times New Roman"/>
        <family val="1"/>
      </rPr>
      <t>obs.:</t>
    </r>
    <r>
      <rPr>
        <sz val="10"/>
        <color theme="1"/>
        <rFont val="Times New Roman"/>
        <family val="1"/>
      </rPr>
      <t xml:space="preserve"> Estas informações são uma pequena parte do que começou a ser publicado em 11/11/2014 no seguinte assunto do SisMob-BH: 6) Sistema de transportes ativos (não motorizados) / 6.2) Sistema de bicicleta.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</si>
  <si>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t>BRT completo</t>
  </si>
  <si>
    <r>
      <rPr>
        <b/>
        <sz val="12"/>
        <color theme="1"/>
        <rFont val="Times New Roman"/>
        <family val="1"/>
      </rPr>
      <t>SIMI(2016):</t>
    </r>
    <r>
      <rPr>
        <sz val="12"/>
        <color theme="1"/>
        <rFont val="Times New Roman"/>
        <family val="1"/>
      </rPr>
      <t xml:space="preserve"> SISTEMA MINEIRO DE INOVAÇÃO - SIMI. </t>
    </r>
    <r>
      <rPr>
        <i/>
        <sz val="12"/>
        <color theme="1"/>
        <rFont val="Times New Roman"/>
        <family val="1"/>
      </rPr>
      <t>Publicado o edital do Concurso Acessibilidade para todos de BH - WRI Brasil Cidades Sustentáveis promove competição de ideias inovadoras para melhorar o desenho urbano de Belo Horizonte e incentivar o transporte sustentável</t>
    </r>
    <r>
      <rPr>
        <sz val="12"/>
        <color theme="1"/>
        <rFont val="Times New Roman"/>
        <family val="1"/>
      </rPr>
      <t>. Belo Horizonte, 25 abr. 2016. Disponível em: &lt;http://simi.org.br/noticias/view/publicado-o-edital-do-concurso-acessibilidade-para-todos-de-bh.html&gt;. Acesso em: 07/07/2016.</t>
    </r>
  </si>
  <si>
    <r>
      <rPr>
        <b/>
        <sz val="12"/>
        <color theme="1"/>
        <rFont val="Times New Roman"/>
        <family val="1"/>
      </rPr>
      <t xml:space="preserve">R+(2016): </t>
    </r>
    <r>
      <rPr>
        <sz val="12"/>
        <color theme="1"/>
        <rFont val="Times New Roman"/>
        <family val="1"/>
      </rPr>
      <t xml:space="preserve">RADIO POSITIVA. </t>
    </r>
    <r>
      <rPr>
        <i/>
        <sz val="12"/>
        <color theme="1"/>
        <rFont val="Times New Roman"/>
        <family val="1"/>
      </rPr>
      <t>Concurso busca propostas para transformar BH em uma cidade mais inclusiva.</t>
    </r>
    <r>
      <rPr>
        <sz val="12"/>
        <color theme="1"/>
        <rFont val="Times New Roman"/>
        <family val="1"/>
      </rPr>
      <t xml:space="preserve"> Disponível em: &lt;http://www.radiopositiva.net/site/texto-do-dia/concurso-busca-propostas-para-transformar-bh-em-uma-cidade-mais-inclusiva/&gt;. Acesso em: 07/07/2016.</t>
    </r>
  </si>
  <si>
    <r>
      <rPr>
        <b/>
        <sz val="12"/>
        <color theme="1"/>
        <rFont val="Times New Roman"/>
        <family val="1"/>
      </rPr>
      <t xml:space="preserve">SINDARQ-PB(2016): </t>
    </r>
    <r>
      <rPr>
        <sz val="12"/>
        <color theme="1"/>
        <rFont val="Times New Roman"/>
        <family val="1"/>
      </rPr>
      <t>SINDICATO DOS ARQUITETOS DA PARAÍBA - SINDARQ-PB. Concursos vão premiar ideias de qualificação do espaço urbano em SP e BH. Disponível em: &lt;http://sindarqpb.org.br/noticias/geral/concursos-vao-premiar-ideias-de-qualificacao-do-espaco-urbano-em-sp-e-bh.html&gt;. Acesso em: 7 jul. 2016.</t>
    </r>
  </si>
  <si>
    <t>cidade de todos</t>
  </si>
  <si>
    <t>PBH</t>
  </si>
  <si>
    <t>cidade com mobilidade</t>
  </si>
  <si>
    <t>cidade com mobilidade sustentável</t>
  </si>
  <si>
    <r>
      <rPr>
        <b/>
        <sz val="12"/>
        <rFont val="Times New Roman"/>
        <family val="1"/>
      </rPr>
      <t xml:space="preserve">MNBH(2016a): </t>
    </r>
    <r>
      <rPr>
        <sz val="12"/>
        <rFont val="Times New Roman"/>
        <family val="1"/>
      </rPr>
      <t xml:space="preserve">MOVIMENTO NOSSA BH - MNBH. </t>
    </r>
    <r>
      <rPr>
        <i/>
        <sz val="12"/>
        <rFont val="Times New Roman"/>
        <family val="1"/>
      </rPr>
      <t>Sistema de Indicadores Nossa BH</t>
    </r>
    <r>
      <rPr>
        <sz val="12"/>
        <rFont val="Times New Roman"/>
        <family val="1"/>
      </rPr>
      <t>. Disponível em: &lt;http://www.nossabh.org.br/indicadores/#&gt;. Acesso em: 31 maio 2016.</t>
    </r>
  </si>
  <si>
    <t>Sistema de Informações do Movimento Nossa BH conforme MNBH(2016a)</t>
  </si>
  <si>
    <t>sistema de indicadores Nossa BH</t>
  </si>
  <si>
    <r>
      <t>Sistema de Informações da Mobilidade Urbana de Belo Horizonte, que evoluiu do Sistema de Indicadores da Mobilidade Urbana de Belo Horizonte</t>
    </r>
    <r>
      <rPr>
        <sz val="10"/>
        <color rgb="FFFF0000"/>
        <rFont val="Times New Roman"/>
        <family val="1"/>
      </rPr>
      <t xml:space="preserve"> conforme ___</t>
    </r>
  </si>
  <si>
    <r>
      <rPr>
        <b/>
        <sz val="12"/>
        <color theme="1"/>
        <rFont val="Times New Roman"/>
        <family val="1"/>
      </rPr>
      <t>MNBH(2016b):</t>
    </r>
    <r>
      <rPr>
        <sz val="12"/>
        <color theme="1"/>
        <rFont val="Times New Roman"/>
        <family val="1"/>
      </rPr>
      <t xml:space="preserve"> MOVIMENTO NOSSA BH - MNBH. </t>
    </r>
    <r>
      <rPr>
        <i/>
        <sz val="12"/>
        <color theme="1"/>
        <rFont val="Times New Roman"/>
        <family val="1"/>
      </rPr>
      <t>Premiação do concurso Acessibilidade para Todos</t>
    </r>
    <r>
      <rPr>
        <sz val="12"/>
        <color theme="1"/>
        <rFont val="Times New Roman"/>
        <family val="1"/>
      </rPr>
      <t>. Belo Horizonte, 10 jun. 2016. Disponível em: &lt;http://nossabh.org.br/2016/06/premiacaoconcursoacessibilidadeparatodos/&gt;. Acesso em 7 julç. 2016.</t>
    </r>
  </si>
  <si>
    <t xml:space="preserve">"é um coletivo instituído em 2008 por cidadãos e cidadãs comprometidas com o objetivo de construir uma cidade mais justa e sustentável, com a definição clara de suas metas para a gestão pública e participação efetiva de sua sociedade" conforme MNBH(2016c) </t>
  </si>
  <si>
    <r>
      <rPr>
        <b/>
        <sz val="12"/>
        <color theme="1"/>
        <rFont val="Times New Roman"/>
        <family val="1"/>
      </rPr>
      <t>MNBH(2016d):</t>
    </r>
    <r>
      <rPr>
        <sz val="12"/>
        <color theme="1"/>
        <rFont val="Times New Roman"/>
        <family val="1"/>
      </rPr>
      <t xml:space="preserve"> MOVIMENTO NOSSA BH - MNBH. </t>
    </r>
    <r>
      <rPr>
        <i/>
        <sz val="12"/>
        <color theme="1"/>
        <rFont val="Times New Roman"/>
        <family val="1"/>
      </rPr>
      <t xml:space="preserve">Vem ai o Mapa de declividades de BH! </t>
    </r>
    <r>
      <rPr>
        <sz val="12"/>
        <color theme="1"/>
        <rFont val="Times New Roman"/>
        <family val="1"/>
      </rPr>
      <t>Belo Horizonte, 13 de junho de 2016. Disponível em: &lt;http://nossabh.org.br/2016/06/vem-ai-o-mapa-de-declividades-de-bh/&gt;. Acesso em 7 jul. 2016.</t>
    </r>
  </si>
  <si>
    <r>
      <rPr>
        <b/>
        <sz val="12"/>
        <color theme="1"/>
        <rFont val="Times New Roman"/>
        <family val="1"/>
      </rPr>
      <t>MNBH(2016c):</t>
    </r>
    <r>
      <rPr>
        <sz val="12"/>
        <color theme="1"/>
        <rFont val="Times New Roman"/>
        <family val="1"/>
      </rPr>
      <t xml:space="preserve"> MOVIMENTO NOSSA BH - MNBH. </t>
    </r>
    <r>
      <rPr>
        <i/>
        <sz val="12"/>
        <color theme="1"/>
        <rFont val="Times New Roman"/>
        <family val="1"/>
      </rPr>
      <t>Quem somos nós</t>
    </r>
    <r>
      <rPr>
        <sz val="12"/>
        <color theme="1"/>
        <rFont val="Times New Roman"/>
        <family val="1"/>
      </rPr>
      <t>. Belo Horizonte, s.d. Disponível em: &lt;http://nossabh.org.br&gt;. Acesso em 7 jul. 2016.</t>
    </r>
  </si>
  <si>
    <r>
      <rPr>
        <b/>
        <sz val="12"/>
        <color theme="1"/>
        <rFont val="Times New Roman"/>
        <family val="1"/>
      </rPr>
      <t xml:space="preserve">IPEA(2011b): </t>
    </r>
    <r>
      <rPr>
        <sz val="12"/>
        <color theme="1"/>
        <rFont val="Times New Roman"/>
        <family val="1"/>
      </rPr>
      <t xml:space="preserve">INSTITUTO DE PESQUISA ECONÔMICA APLICADA - IPEA. </t>
    </r>
    <r>
      <rPr>
        <i/>
        <sz val="12"/>
        <color theme="1"/>
        <rFont val="Times New Roman"/>
        <family val="1"/>
      </rPr>
      <t>SIPS - Sistema de indicadores de percepção social</t>
    </r>
    <r>
      <rPr>
        <sz val="12"/>
        <color theme="1"/>
        <rFont val="Times New Roman"/>
        <family val="1"/>
      </rPr>
      <t>: mobilidade urbana. Brasília: 4 de maio de 2011. 14p.</t>
    </r>
  </si>
  <si>
    <r>
      <rPr>
        <b/>
        <sz val="12"/>
        <color theme="1"/>
        <rFont val="Times New Roman"/>
        <family val="1"/>
      </rPr>
      <t xml:space="preserve">IPEA(2011b): </t>
    </r>
    <r>
      <rPr>
        <sz val="12"/>
        <color theme="1"/>
        <rFont val="Times New Roman"/>
        <family val="1"/>
      </rPr>
      <t xml:space="preserve">INSTITUTO DE PESQUISA ECONÔMICA APLICADA - IPEA. </t>
    </r>
    <r>
      <rPr>
        <i/>
        <sz val="12"/>
        <color theme="1"/>
        <rFont val="Times New Roman"/>
        <family val="1"/>
      </rPr>
      <t>SIPS - Sistema de indicadores de percepção social</t>
    </r>
    <r>
      <rPr>
        <sz val="12"/>
        <color theme="1"/>
        <rFont val="Times New Roman"/>
        <family val="1"/>
      </rPr>
      <t xml:space="preserve">: mobilidade urbana. Brasília: 4 de maio de 2011. 14p. </t>
    </r>
    <r>
      <rPr>
        <sz val="12"/>
        <color rgb="FFFF0000"/>
        <rFont val="Times New Roman"/>
        <family val="1"/>
      </rPr>
      <t>Buscar??</t>
    </r>
  </si>
  <si>
    <r>
      <rPr>
        <b/>
        <sz val="12"/>
        <color theme="1"/>
        <rFont val="Times New Roman"/>
        <family val="1"/>
      </rPr>
      <t xml:space="preserve">SP(2016f): </t>
    </r>
    <r>
      <rPr>
        <sz val="12"/>
        <color theme="1"/>
        <rFont val="Times New Roman"/>
        <family val="1"/>
      </rPr>
      <t xml:space="preserve">SÃO PAULO. Prefeitura. Secretaria Municipal da Pessoa com Deficiência e Mobilidade Reduzida - SMPED. </t>
    </r>
    <r>
      <rPr>
        <i/>
        <sz val="12"/>
        <color theme="1"/>
        <rFont val="Times New Roman"/>
        <family val="1"/>
      </rPr>
      <t>Comissão Permanente de Acessibilidade - CPA</t>
    </r>
    <r>
      <rPr>
        <sz val="12"/>
        <color theme="1"/>
        <rFont val="Times New Roman"/>
        <family val="1"/>
      </rPr>
      <t>. São Paulo, s.d. Disponível em: &lt;http://www.prefeitura.sp.gov.br/cidade/secretarias/pessoa_com_deficiencia/cpa/index.php?p=16265&gt;. Acesso em: 8 jul. 2016.</t>
    </r>
  </si>
  <si>
    <t>CPA</t>
  </si>
  <si>
    <r>
      <t xml:space="preserve">Comissão Permanente de Acessibilidade de Belo Horizonte criada em 2016
</t>
    </r>
    <r>
      <rPr>
        <b/>
        <sz val="10"/>
        <color theme="1"/>
        <rFont val="Times New Roman"/>
        <family val="1"/>
      </rPr>
      <t>obs.:</t>
    </r>
    <r>
      <rPr>
        <sz val="10"/>
        <color theme="1"/>
        <rFont val="Times New Roman"/>
        <family val="1"/>
      </rPr>
      <t xml:space="preserve"> "órgão colegiado, consultivo, vinculado à Coordenadoria de Direitos das Pessoas com Deficiência, que tem como atribuições: I - realizar vistorias técnicas e emitir pareceres sobre condições de acessibilidade de edificações, vias públicas, mobiliário urbano, transporte e comunicação; II - analisar projetos e coordenar ações integradas nos órgãos municipais para a eliminação de barreiras arquitetônicas e de comunicação na cidade; III - promover estudos, debates e material técnico de orientação sobre a promoção da acessibilidade; IV - deliberar sobre a forma de condução dos seus trabalhos (periodicidade/local/horário/pauta e outros); V - propor a elaboração de planos intersetoriais referentes à sua atuação; VI - elaborar regulamento próprio que contemple os procedimentos necessários para implementação, fiscalização e atribuições dos componentes da CPA." conforme BH(2016g)</t>
    </r>
  </si>
  <si>
    <r>
      <t xml:space="preserve">Comissão Permanente de Acessibilidade de São Paulo criada em 1996
</t>
    </r>
    <r>
      <rPr>
        <b/>
        <sz val="10"/>
        <color theme="1"/>
        <rFont val="Times New Roman"/>
        <family val="1"/>
      </rPr>
      <t>obs.:</t>
    </r>
    <r>
      <rPr>
        <sz val="10"/>
        <color theme="1"/>
        <rFont val="Times New Roman"/>
        <family val="1"/>
      </rPr>
      <t xml:space="preserve"> "é um órgão colegiado da Prefeitura do Município de São Paulo vinculado à SMPED e composto por representantes de diversas secretarias, órgãos municipais e sociedade civil. Foi instituída originalmente pelo Decreto 36.072/96 e alterada pelos Decretos 39.651/2000, 50.519/2009 e 51.733/2010. Tem papel consultivo e deliberativo nos assuntos que incluem acessibilidade em edificações, logradouros, mobiliário urbano, transporte e comunicação. Contando com engenheiros e arquitetos entre seus membros, realiza vistorias e análise de projetos e coordena ações integradas nas diversas secretarias da administração municipal para a eliminação de barreiras arquitetônicas e de comunicação na cidade." conforme SP(2016f)</t>
    </r>
  </si>
  <si>
    <t>selo de acessibilidade</t>
  </si>
  <si>
    <t>certificado de acessibilidade</t>
  </si>
  <si>
    <r>
      <rPr>
        <b/>
        <sz val="12"/>
        <color theme="1"/>
        <rFont val="Times New Roman"/>
        <family val="1"/>
      </rPr>
      <t xml:space="preserve">SP(2004a): </t>
    </r>
    <r>
      <rPr>
        <sz val="12"/>
        <color theme="1"/>
        <rFont val="Times New Roman"/>
        <family val="1"/>
      </rPr>
      <t xml:space="preserve">SÃO PAULO. Prefeitura. Secretaria Especial da Pessoa com Deficiência e Mobilidade Reduzida. Comissão Permanente de Acessibilidade - CPA. </t>
    </r>
    <r>
      <rPr>
        <i/>
        <sz val="12"/>
        <color theme="1"/>
        <rFont val="Times New Roman"/>
        <family val="1"/>
      </rPr>
      <t>Certificado e selo de acessibilidade: como adquirir - cartilha.</t>
    </r>
    <r>
      <rPr>
        <sz val="12"/>
        <color theme="1"/>
        <rFont val="Times New Roman"/>
        <family val="1"/>
      </rPr>
      <t xml:space="preserve"> São Paulo, [2004]. 7p.</t>
    </r>
  </si>
  <si>
    <t>certificação de acessibilidade
obs.: "Para colocação do símbolo internacional de acesso nos veículos, as empresas de transporte coletivo de passageiros dependem da certificação de acessibilidade emitida pelo gestor público responsável pela prestação do serviço" conforme BRASIL(2015a, art.48/§3º)</t>
  </si>
  <si>
    <r>
      <t xml:space="preserve">MONTEZUMA, Ricardo. </t>
    </r>
    <r>
      <rPr>
        <i/>
        <sz val="12"/>
        <color theme="1"/>
        <rFont val="Times New Roman"/>
        <family val="1"/>
      </rPr>
      <t>Sistemas públicos de bicicletas para América Latina</t>
    </r>
    <r>
      <rPr>
        <sz val="12"/>
        <color theme="1"/>
        <rFont val="Times New Roman"/>
        <family val="1"/>
      </rPr>
      <t>. Bogotá: Fundación Ciudad Humana, s.d. 232p.</t>
    </r>
  </si>
  <si>
    <r>
      <t xml:space="preserve">Selo de Acessibilidade para o Comércio de Belo Horizonte criado em 2016
</t>
    </r>
    <r>
      <rPr>
        <b/>
        <sz val="10"/>
        <rFont val="Times New Roman"/>
        <family val="1"/>
      </rPr>
      <t xml:space="preserve">obs.: </t>
    </r>
    <r>
      <rPr>
        <sz val="10"/>
        <rFont val="Times New Roman"/>
        <family val="1"/>
      </rPr>
      <t>"...instituído [...] com a finalidade [...] de incentivar, nas edificações existentes e nos novos projetos, a destinação de espaços que visem atender simultaneamente a todas as pessoas, com diferentes características antropométricas e sensoriais, de forma autônoma, segura e confortável, contemplando elementos ou soluções que assegurem acessibilidade. [...] O Selo de Acessibilidade para o Comércio será concedido quando o imóvel permitir a acessibilidade ampla e total às suas dependências (ambiente, elemento, equipamento, entre outros). [...] O Selo de Acessibilidade para o Comércio para as edificações não abrangidas pelo art. 8º deste Decreto, para os espaços, transportes coletivos, mobiliários e equipamentos urbanos, poderá ser atribuído por iniciativa da Secretaria Municipal de Políticas Sociais ou a pedido, pelos proprietários ou responsáveis, ficando sua concessão, obrigatoriamente, vinculada à vistoria prévia, desde que atendam..." conforme BH(2016g, art.1º, art.5º, art.11)</t>
    </r>
  </si>
  <si>
    <r>
      <t xml:space="preserve">percentual de ônibus piso baixo na frota de uma cidade/região
</t>
    </r>
    <r>
      <rPr>
        <b/>
        <sz val="10"/>
        <color theme="1"/>
        <rFont val="Times New Roman"/>
        <family val="1"/>
      </rPr>
      <t xml:space="preserve">obs.: </t>
    </r>
    <r>
      <rPr>
        <sz val="10"/>
        <color theme="1"/>
        <rFont val="Times New Roman"/>
        <family val="1"/>
      </rPr>
      <t>resultados de "County of Stockholm" conforme EMTA(2012, p.37)</t>
    </r>
  </si>
  <si>
    <r>
      <t xml:space="preserve">percentual de ônibus piso baixo na frota de uma cidade/região
</t>
    </r>
    <r>
      <rPr>
        <b/>
        <sz val="10"/>
        <color theme="1"/>
        <rFont val="Times New Roman"/>
        <family val="1"/>
      </rPr>
      <t xml:space="preserve">obs.: </t>
    </r>
    <r>
      <rPr>
        <sz val="10"/>
        <color theme="1"/>
        <rFont val="Times New Roman"/>
        <family val="1"/>
      </rPr>
      <t>resultados de "Helsinki" conforme EMTA(2012, p.37)</t>
    </r>
  </si>
  <si>
    <r>
      <t xml:space="preserve">percentual de ônibus piso baixo na frota de uma cidade/região
</t>
    </r>
    <r>
      <rPr>
        <b/>
        <sz val="10"/>
        <color theme="1"/>
        <rFont val="Times New Roman"/>
        <family val="1"/>
      </rPr>
      <t>obs.:</t>
    </r>
    <r>
      <rPr>
        <sz val="10"/>
        <color theme="1"/>
        <rFont val="Times New Roman"/>
        <family val="1"/>
      </rPr>
      <t xml:space="preserve"> resultados de "C. Hungarian Region (Budapest)" conforme EMTA(2012, p.37)</t>
    </r>
  </si>
  <si>
    <r>
      <t xml:space="preserve">percentual de ônibus piso baixo na frota de uma cidade/região
</t>
    </r>
    <r>
      <rPr>
        <b/>
        <sz val="10"/>
        <color theme="1"/>
        <rFont val="Times New Roman"/>
        <family val="1"/>
      </rPr>
      <t>obs.:</t>
    </r>
    <r>
      <rPr>
        <sz val="10"/>
        <color theme="1"/>
        <rFont val="Times New Roman"/>
        <family val="1"/>
      </rPr>
      <t xml:space="preserve"> resultados de "Barcelona Metropolitan Region" conforme EMTA(2012, p.37)</t>
    </r>
  </si>
  <si>
    <t>registro na fonte
(categoria benchmark M1)</t>
  </si>
  <si>
    <t>registro na fonte
(categoria benchmark M2)</t>
  </si>
  <si>
    <r>
      <t xml:space="preserve">percentual de ônibus piso baixo na frota de uma cidade/região
</t>
    </r>
    <r>
      <rPr>
        <b/>
        <sz val="10"/>
        <color theme="1"/>
        <rFont val="Times New Roman"/>
        <family val="1"/>
      </rPr>
      <t>obs.:</t>
    </r>
    <r>
      <rPr>
        <sz val="10"/>
        <color theme="1"/>
        <rFont val="Times New Roman"/>
        <family val="1"/>
      </rPr>
      <t xml:space="preserve"> resultados de "Stadsregio Amsterdam" conforme EMTA(2012, p.37)</t>
    </r>
  </si>
  <si>
    <t>Amsterdan</t>
  </si>
  <si>
    <t>Bruxelas</t>
  </si>
  <si>
    <r>
      <t xml:space="preserve">percentual de ônibus piso baixo na frota de uma cidade/região
</t>
    </r>
    <r>
      <rPr>
        <b/>
        <sz val="10"/>
        <color theme="1"/>
        <rFont val="Times New Roman"/>
        <family val="1"/>
      </rPr>
      <t>obs.:</t>
    </r>
    <r>
      <rPr>
        <sz val="10"/>
        <color theme="1"/>
        <rFont val="Times New Roman"/>
        <family val="1"/>
      </rPr>
      <t xml:space="preserve"> resultados de "Brussels Metropolitan" conforme EMTA(2012, p.37)</t>
    </r>
  </si>
  <si>
    <r>
      <t xml:space="preserve">percentual de ônibus piso baixo na frota de uma cidade/região
</t>
    </r>
    <r>
      <rPr>
        <b/>
        <sz val="10"/>
        <color theme="1"/>
        <rFont val="Times New Roman"/>
        <family val="1"/>
      </rPr>
      <t xml:space="preserve">obs.: </t>
    </r>
    <r>
      <rPr>
        <sz val="10"/>
        <color theme="1"/>
        <rFont val="Times New Roman"/>
        <family val="1"/>
      </rPr>
      <t>resultados de "Greater London" conforme EMTA(2012, p.37)</t>
    </r>
  </si>
  <si>
    <t>Madri</t>
  </si>
  <si>
    <r>
      <t xml:space="preserve">percentual de ônibus piso baixo na frota de uma cidade/região
</t>
    </r>
    <r>
      <rPr>
        <b/>
        <sz val="10"/>
        <color theme="1"/>
        <rFont val="Times New Roman"/>
        <family val="1"/>
      </rPr>
      <t xml:space="preserve">obs.: </t>
    </r>
    <r>
      <rPr>
        <sz val="10"/>
        <color theme="1"/>
        <rFont val="Times New Roman"/>
        <family val="1"/>
      </rPr>
      <t>resultados de "Madrid Community" conforme EMTA(2012, p.37)</t>
    </r>
  </si>
  <si>
    <r>
      <t xml:space="preserve">percentual de ônibus piso baixo na frota de uma cidade/região
</t>
    </r>
    <r>
      <rPr>
        <b/>
        <sz val="10"/>
        <color theme="1"/>
        <rFont val="Times New Roman"/>
        <family val="1"/>
      </rPr>
      <t xml:space="preserve">obs.: </t>
    </r>
    <r>
      <rPr>
        <sz val="10"/>
        <color theme="1"/>
        <rFont val="Times New Roman"/>
        <family val="1"/>
      </rPr>
      <t>resultados de "Paris Ile-de-France" conforme EMTA(2012, p.37)</t>
    </r>
  </si>
  <si>
    <t>Paris</t>
  </si>
  <si>
    <r>
      <t xml:space="preserve">percentual de ônibus piso baixo na frota de uma cidade/região
</t>
    </r>
    <r>
      <rPr>
        <b/>
        <sz val="10"/>
        <color theme="1"/>
        <rFont val="Times New Roman"/>
        <family val="1"/>
      </rPr>
      <t xml:space="preserve">obs.: </t>
    </r>
    <r>
      <rPr>
        <sz val="10"/>
        <color theme="1"/>
        <rFont val="Times New Roman"/>
        <family val="1"/>
      </rPr>
      <t>resultados de "Metropolitan Area of Seville" conforme EMTA(2012, p.37)</t>
    </r>
  </si>
  <si>
    <t>Sevilha</t>
  </si>
  <si>
    <r>
      <t xml:space="preserve">percentual de ônibus piso baixo na frota de uma cidade/região
</t>
    </r>
    <r>
      <rPr>
        <b/>
        <sz val="10"/>
        <color theme="1"/>
        <rFont val="Times New Roman"/>
        <family val="1"/>
      </rPr>
      <t xml:space="preserve">obs.: </t>
    </r>
    <r>
      <rPr>
        <sz val="10"/>
        <color theme="1"/>
        <rFont val="Times New Roman"/>
        <family val="1"/>
      </rPr>
      <t>resultados de "VOR Region (Vienna)" conforme EMTA(2012, p.37)</t>
    </r>
  </si>
  <si>
    <t>Viena</t>
  </si>
  <si>
    <r>
      <t xml:space="preserve">percentual da frota de ônibus de piso baixo de uma cidade/região 
</t>
    </r>
    <r>
      <rPr>
        <b/>
        <sz val="10"/>
        <rFont val="Times New Roman"/>
        <family val="1"/>
      </rPr>
      <t xml:space="preserve">obs.: </t>
    </r>
    <r>
      <rPr>
        <sz val="10"/>
        <rFont val="Times New Roman"/>
        <family val="1"/>
      </rPr>
      <t>acesse os verbetes "low floor" e "piso baixo"</t>
    </r>
  </si>
  <si>
    <t>F tc pb (%)</t>
  </si>
  <si>
    <t>percentual da frota de ônibus de piso baixo de Joinville</t>
  </si>
  <si>
    <t>percentual da frota de ônibus de piso baixo de Porto Alegre</t>
  </si>
  <si>
    <t>sem fonte</t>
  </si>
  <si>
    <t>percentual da frota de ônibus de piso baixo do transporte coletivo convencional de Belo Horizonte gerenciado pela BHTrans</t>
  </si>
  <si>
    <t>percentual da frota de ônibus do transporte coletivo convencional de Belo Horizonte gerenciado pela BHTrans com embarque/desembarque em nível em todos os pontos de parada, com veículo de piso baixo (de qualquer tipo) ou de piso alto (com plataforma elevada), em ambos os casos com ou sem rampa para transpor a fronteira</t>
  </si>
  <si>
    <r>
      <t xml:space="preserve">frota em n.º de ônibus do transporte coletivo convencional de Belo Horizonte gerenciado pela BHTrans equipados com elevador hidráulico acionado exclusivamente para embarque/desembarque de pessoas em cadeira de rodas , que tenham chassis fabricados até 2008 (inclusive) e que não operam em plataforma elevada (o embarque/desembarque nunca acontece em nível)
</t>
    </r>
    <r>
      <rPr>
        <b/>
        <sz val="10"/>
        <rFont val="Times New Roman"/>
        <family val="1"/>
      </rPr>
      <t>obs.1:</t>
    </r>
    <r>
      <rPr>
        <sz val="10"/>
        <rFont val="Times New Roman"/>
        <family val="1"/>
      </rPr>
      <t xml:space="preserve"> esta categoria recebe </t>
    </r>
    <r>
      <rPr>
        <sz val="10"/>
        <color rgb="FFFF0000"/>
        <rFont val="Times New Roman"/>
        <family val="1"/>
      </rPr>
      <t>peso 2</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para 2003 foi desconsiderado resultado de 11 veículos conforme BH(2003a) e adotado resultado de 21 veículos conforme BHTRANS(2003c)
</t>
    </r>
    <r>
      <rPr>
        <b/>
        <sz val="10"/>
        <rFont val="Times New Roman"/>
        <family val="1"/>
      </rPr>
      <t>obs.3:</t>
    </r>
    <r>
      <rPr>
        <sz val="10"/>
        <rFont val="Times New Roman"/>
        <family val="1"/>
      </rPr>
      <t xml:space="preserve"> não existem veículos desta categoria de 1993 a 1997 conforme "F tcc histórico"
</t>
    </r>
    <r>
      <rPr>
        <b/>
        <sz val="10"/>
        <rFont val="Times New Roman"/>
        <family val="1"/>
      </rPr>
      <t>obs.4:</t>
    </r>
    <r>
      <rPr>
        <sz val="10"/>
        <rFont val="Times New Roman"/>
        <family val="1"/>
      </rPr>
      <t xml:space="preserve"> mês de dezembro tomado como referência anual, com resultados de 2009 a 2014 conforme BHTRANS(2015c) e de 2015 conforme BHTRANS(2016c)</t>
    </r>
    <r>
      <rPr>
        <b/>
        <sz val="10"/>
        <rFont val="Times New Roman"/>
        <family val="1"/>
      </rPr>
      <t/>
    </r>
  </si>
  <si>
    <r>
      <t xml:space="preserve">frota em n.º de ônibus do transporte coletivo convencional de Belo Horizonte gerenciado pela BHTrans equipados com elevador hidráulico, que tenham chassis fabricado a partir de 2009 (inclusive) e que não operam em plataformas elevadas (o embarque/desembarque nunca acontece em nível e pessoas em pé podem utilizar o elevador para embarque/desembarque caso se sintam seguras e o operador permita)
</t>
    </r>
    <r>
      <rPr>
        <b/>
        <sz val="10"/>
        <rFont val="Times New Roman"/>
        <family val="1"/>
      </rPr>
      <t xml:space="preserve">obs.1: </t>
    </r>
    <r>
      <rPr>
        <sz val="10"/>
        <rFont val="Times New Roman"/>
        <family val="1"/>
      </rPr>
      <t xml:space="preserve">em Belo Horizonte o uso de elevador hidráulico para embarque/desembarque não exclusivo de cadeirantes está definido em portaria (BH,2011a)
</t>
    </r>
    <r>
      <rPr>
        <b/>
        <sz val="10"/>
        <rFont val="Times New Roman"/>
        <family val="1"/>
      </rPr>
      <t xml:space="preserve">obs.2: </t>
    </r>
    <r>
      <rPr>
        <sz val="10"/>
        <rFont val="Times New Roman"/>
        <family val="1"/>
      </rPr>
      <t xml:space="preserve">esta categoria recebe </t>
    </r>
    <r>
      <rPr>
        <sz val="10"/>
        <color rgb="FFFF0000"/>
        <rFont val="Times New Roman"/>
        <family val="1"/>
      </rPr>
      <t>peso 3</t>
    </r>
    <r>
      <rPr>
        <sz val="10"/>
        <rFont val="Times New Roman"/>
        <family val="1"/>
      </rPr>
      <t xml:space="preserve">, numa escala de 1 a 10, na classificação definida pelo SisMob-BH para classificar a acessibilidade - acesse "acessibilidade em ônibus urbano (escala)"
obs.3: de 1993 a 1997 pode-se afirmar que esta quantidade é zero pois a BHTrans determinou em 1997 a retirada dos dividores de fluxo das portas traseiras conforme BHTRANS(1997a/b)  
</t>
    </r>
    <r>
      <rPr>
        <b/>
        <sz val="10"/>
        <rFont val="Times New Roman"/>
        <family val="1"/>
      </rPr>
      <t xml:space="preserve">obs.3: </t>
    </r>
    <r>
      <rPr>
        <sz val="10"/>
        <rFont val="Times New Roman"/>
        <family val="1"/>
      </rPr>
      <t xml:space="preserve">mês de dezembro tomado como referência anual, com resultados de 2009 a 2014 conforme BHTRANS(2015c) e de 2015 conforme BHTRANS(2016c)
</t>
    </r>
    <r>
      <rPr>
        <b/>
        <sz val="10"/>
        <rFont val="Times New Roman"/>
        <family val="1"/>
      </rPr>
      <t xml:space="preserve">obs.4: </t>
    </r>
    <r>
      <rPr>
        <sz val="10"/>
        <rFont val="Times New Roman"/>
        <family val="1"/>
      </rPr>
      <t>este tipo de veículo não existia antes de 2009 e, portanto, não há resultadospara esta categoria de 1993 a 2008</t>
    </r>
  </si>
  <si>
    <r>
      <t xml:space="preserve">frota em n.º de ônibus do transporte coletivo convencional de Belo Horizonte gerenciado pela BHTrans, especificamente do sub-sistema BRT, equipados com elevador hidráulico para embarque/desembarque exclusivo de cadeirantes, com chassis fabricados até 2008 (inclusive), que operam em parte do itinerário no corredor de BRT (com embarque/desembarque em nível) e em parte do itinerário operam fora do corredor
</t>
    </r>
    <r>
      <rPr>
        <b/>
        <sz val="10"/>
        <rFont val="Times New Roman"/>
        <family val="1"/>
      </rPr>
      <t xml:space="preserve">obs.1: </t>
    </r>
    <r>
      <rPr>
        <sz val="10"/>
        <rFont val="Times New Roman"/>
        <family val="1"/>
      </rPr>
      <t xml:space="preserve">esta categoria recebe </t>
    </r>
    <r>
      <rPr>
        <sz val="10"/>
        <color rgb="FFFF0000"/>
        <rFont val="Times New Roman"/>
        <family val="1"/>
      </rPr>
      <t>peso 4,</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obs.2:</t>
    </r>
    <r>
      <rPr>
        <sz val="10"/>
        <rFont val="Times New Roman"/>
        <family val="1"/>
      </rPr>
      <t xml:space="preserve"> em Belo Horizonte não existem ônibus desta categoria pois o BRT foi inaugurado em 2014</t>
    </r>
  </si>
  <si>
    <r>
      <t xml:space="preserve">frota em n.º de ônibus do transporte coletivo convencional de Belo Horizonte gerenciado pela BHTrans, especificamente do sub-sistema BRT, equipados com elevador hidráulico, com chassis fabricados a partir de 2009 (inclusive), que operam em parte do itinerário no corredor de BRT (com embarque/desembarque em nível) e em parte do itinerário operam fora do corredor (usuários em pé podem utilizar o elevador para embarque/desembarque caso se sintam seguros)
</t>
    </r>
    <r>
      <rPr>
        <b/>
        <sz val="10"/>
        <rFont val="Times New Roman"/>
        <family val="1"/>
      </rPr>
      <t xml:space="preserve">obs.1: </t>
    </r>
    <r>
      <rPr>
        <sz val="10"/>
        <rFont val="Times New Roman"/>
        <family val="1"/>
      </rPr>
      <t xml:space="preserve">esta categoria recebe </t>
    </r>
    <r>
      <rPr>
        <sz val="10"/>
        <color rgb="FFFF0000"/>
        <rFont val="Times New Roman"/>
        <family val="1"/>
      </rPr>
      <t>peso 5</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em Belo Horizonte o uso de elevador hidráulico para embarque/desembarque não exclusivo de cadeirantes está definida em portaria (BH,2011a)
</t>
    </r>
    <r>
      <rPr>
        <b/>
        <sz val="10"/>
        <rFont val="Times New Roman"/>
        <family val="1"/>
      </rPr>
      <t>obs.3:</t>
    </r>
    <r>
      <rPr>
        <sz val="10"/>
        <rFont val="Times New Roman"/>
        <family val="1"/>
      </rPr>
      <t xml:space="preserve"> em Belo Horizonte todos os ônibus do BRT misto são desta categoria (elevadores fabricados a partir de 2009/inclusive) pois o BRT foi inaugurado em 2014
</t>
    </r>
    <r>
      <rPr>
        <b/>
        <sz val="10"/>
        <rFont val="Times New Roman"/>
        <family val="1"/>
      </rPr>
      <t xml:space="preserve">obs.4: </t>
    </r>
    <r>
      <rPr>
        <sz val="10"/>
        <rFont val="Times New Roman"/>
        <family val="1"/>
      </rPr>
      <t>mês de dezembro tomado como referência anual, com resultados de 2009 a 2014 conforme BHTRANS(2015c) e de 2015 conforme BHTRANS(2016c)</t>
    </r>
  </si>
  <si>
    <r>
      <t xml:space="preserve">frota em n.º de ônibus do transporte coletivo convencional de Belo Horizonte gerenciado pela BHTrans com alguma facilidade para o embarque/desembarque de pessoas com mobilidade física reduzida mesmo que essa facilidade não permita classificar a viagem ofertada como acessível
</t>
    </r>
    <r>
      <rPr>
        <b/>
        <sz val="10"/>
        <rFont val="Times New Roman"/>
        <family val="1"/>
      </rPr>
      <t xml:space="preserve">obs.1: </t>
    </r>
    <r>
      <rPr>
        <sz val="10"/>
        <rFont val="Times New Roman"/>
        <family val="1"/>
      </rPr>
      <t xml:space="preserve">acesse as definições de "acessível, ônibus" e "alguma facilidade"
</t>
    </r>
    <r>
      <rPr>
        <b/>
        <sz val="10"/>
        <rFont val="Times New Roman"/>
        <family val="1"/>
      </rPr>
      <t xml:space="preserve">obs.2: </t>
    </r>
    <r>
      <rPr>
        <sz val="10"/>
        <rFont val="Times New Roman"/>
        <family val="1"/>
      </rPr>
      <t>no transporte coletivo convencional de Belo Horizonte pelo menos até 2015 a frota com facilidade é composta pelos ônibus com elevador e os com embarque em nível, ou seja, apenas os considerados "sem faciidade" não são considerados e a tendência é que sua quantidade aumente ano a ano por força apenas das renovações</t>
    </r>
  </si>
  <si>
    <r>
      <t xml:space="preserve">percentual da frota de ônibus do transporte coletivo convencional de Belo Horizonte gerenciado pela BHTrans com alguma facilidade para o embarque/desembarque de pessoas com mobilidade física reduzida
</t>
    </r>
    <r>
      <rPr>
        <b/>
        <sz val="10"/>
        <rFont val="Times New Roman"/>
        <family val="1"/>
      </rPr>
      <t>obs.1:</t>
    </r>
    <r>
      <rPr>
        <sz val="10"/>
        <rFont val="Times New Roman"/>
        <family val="1"/>
      </rPr>
      <t xml:space="preserve"> no transporte coletivo convencional de Belo Horizonte pelo menos até 2015 a frota com facilidade é composta pelos ônibus com elevador e os com embarque em nível, ou seja, apenas os considerados "sem faciidade" não são considerados e a tendência é que sua participação percentual aumente ano a ano por força apenas das renovações
</t>
    </r>
    <r>
      <rPr>
        <b/>
        <sz val="10"/>
        <rFont val="Times New Roman"/>
        <family val="1"/>
      </rPr>
      <t>obs.2:</t>
    </r>
    <r>
      <rPr>
        <sz val="10"/>
        <rFont val="Times New Roman"/>
        <family val="1"/>
      </rPr>
      <t xml:space="preserve"> consulte também "NVR tcc fc (Belo Horizonte)" que, espera-se, apresenta resultados próximos (considerando-se que os veículos que oferecem “alguma facilidade” em uma frota urbana de ônibus são os de fabricação mais recente, o esperado é que eles façam mais viagens que os veículos mais antigos. Isto leva à hipótese de que os resultados do indicador “viagens acessíveis” devem ser superiores aos do indicador “frota com alguma facilidade”)</t>
    </r>
  </si>
  <si>
    <r>
      <t xml:space="preserve">meta a ser alcançada para o percentual da frota de ônibus do transporte coletivo convencional de Belo Horizonte gerenciado pela BHTrans com alguma facilidade para o embarque/desembarque de pessoas com mobilidade física reduzida
</t>
    </r>
    <r>
      <rPr>
        <b/>
        <sz val="10"/>
        <rFont val="Times New Roman"/>
        <family val="1"/>
      </rPr>
      <t xml:space="preserve">obs.1: </t>
    </r>
    <r>
      <rPr>
        <sz val="10"/>
        <rFont val="Times New Roman"/>
        <family val="1"/>
      </rPr>
      <t xml:space="preserve">o contratos da PBH com as empresas operadoras sempre estabeleceu idade máxima de dez anos para os ônibus do sistema, o que aponta para uma renovação anual de 10% da frota 
</t>
    </r>
    <r>
      <rPr>
        <b/>
        <sz val="10"/>
        <rFont val="Times New Roman"/>
        <family val="1"/>
      </rPr>
      <t xml:space="preserve">obs.2: </t>
    </r>
    <r>
      <rPr>
        <sz val="10"/>
        <rFont val="Times New Roman"/>
        <family val="1"/>
      </rPr>
      <t xml:space="preserve">em maio/1999 foi determinado que "A partir de 1º de março de 1999 os veículos Padron II, Padron III e Articulado que forem incorporados ao sistema de ônibus de Belo Horizonte deverão ser do tipo piso baixo (low floor) ou entrada baixa (low entry) [...]" e que "A partir de 1º de janeiro de 2000 os veículos Minibus, Microônibus, Padron I e Padron II A deverão atender às especificações" de piso baixo conforme BHTRANS(1999a), o que resulta e meta de 100% da frota com embarque em nível (portanto, com alguma faciliadde) até dezembro/1999 
</t>
    </r>
    <r>
      <rPr>
        <b/>
        <sz val="10"/>
        <rFont val="Times New Roman"/>
        <family val="1"/>
      </rPr>
      <t>obs.3:</t>
    </r>
    <r>
      <rPr>
        <sz val="10"/>
        <rFont val="Times New Roman"/>
        <family val="1"/>
      </rPr>
      <t xml:space="preserve"> metas alteradas para entrada de "veículos acessíveis ou adaptados" conforme BH(2003b)
</t>
    </r>
    <r>
      <rPr>
        <b/>
        <sz val="10"/>
        <rFont val="Times New Roman"/>
        <family val="1"/>
      </rPr>
      <t>obs.4:</t>
    </r>
    <r>
      <rPr>
        <sz val="10"/>
        <rFont val="Times New Roman"/>
        <family val="1"/>
      </rPr>
      <t xml:space="preserve"> em 13/05/2016 a BHTrans, em seu processo de revisão do PlanMob, propôs  "100% dos veículos com facilidade para o embarque e desembarque de pessoas com mobilidade física reduzida" a ser alvançado no ano 2020 onforme BHTRANS(2016k)</t>
    </r>
  </si>
  <si>
    <t>percentual da frota de ônibus do transporte coletivo convencional de Belo Horizonte gerenciado pela BHTrans equipados com  elevador hidráulico de uso exclusivo ou não para cadeirantes e que não estão aptos a operar em parte do percurso em plataforma elevada</t>
  </si>
  <si>
    <r>
      <t xml:space="preserve">frota em n.º de ônibus do transporte coletivo convencional de Belo Horizonte gerenciado pela BHTrans com embarque/desembarque em nível em todos os pontos de parada, com veículo de piso baixo (de qualquer tipo) ou de piso alto (com plataforma elevada), em ambos os casos com ou sem rampa para transpor a fronteira
 </t>
    </r>
    <r>
      <rPr>
        <b/>
        <sz val="10"/>
        <rFont val="Times New Roman"/>
        <family val="1"/>
      </rPr>
      <t xml:space="preserve">obs.1: </t>
    </r>
    <r>
      <rPr>
        <sz val="10"/>
        <rFont val="Times New Roman"/>
        <family val="1"/>
      </rPr>
      <t>em Belo Horizonte pelo menos até 2015 só há embarque em nível em todos os pontos de parada nos ônibus de piso baixo sem rampa (F tcc en s/rampa) e em ônibus de piso alto que operam no BRT puro (F tcc en c/rampa manual)</t>
    </r>
    <r>
      <rPr>
        <sz val="10"/>
        <color rgb="FFFF0000"/>
        <rFont val="Times New Roman"/>
        <family val="1"/>
      </rPr>
      <t xml:space="preserve"> 
</t>
    </r>
    <r>
      <rPr>
        <b/>
        <sz val="10"/>
        <rFont val="Times New Roman"/>
        <family val="1"/>
      </rPr>
      <t xml:space="preserve">obs.2: </t>
    </r>
    <r>
      <rPr>
        <sz val="10"/>
        <rFont val="Times New Roman"/>
        <family val="1"/>
      </rPr>
      <t>em 13/05/2016 a BHTrans, em seu processo de revisão do PlanMob, pressupôs indevidamente que todos os ônibus do BRT MOVE são considerados com embarque em nível, incluindo os que operam como BRT misto conforme BHTRANS(2016k)</t>
    </r>
  </si>
  <si>
    <t>(F tc pb / F tc) x 100</t>
  </si>
  <si>
    <t>F tc pb (n.º)</t>
  </si>
  <si>
    <t>percentual da frota de ônibus de piso baixo do transporte coletivo suplementar de Belo Horizonte gerenciado pela BHTrans</t>
  </si>
  <si>
    <t>F tcc pb (n.º)</t>
  </si>
  <si>
    <t>F tcc pb (%)</t>
  </si>
  <si>
    <t>F tcs pb (n.º)</t>
  </si>
  <si>
    <t>F tcs pb (%)</t>
  </si>
  <si>
    <t>(F tcc pb / F tcc ) x 100</t>
  </si>
  <si>
    <t>registro na fonte
 =
F tcc em s/rampa (n.º)</t>
  </si>
  <si>
    <r>
      <t xml:space="preserve">frota em n.º de ônibus de piso baixo do transporte coletivo suplementar de Belo Horizonte gerenciado pela BHTrans
</t>
    </r>
    <r>
      <rPr>
        <b/>
        <sz val="10"/>
        <rFont val="Times New Roman"/>
        <family val="1"/>
      </rPr>
      <t xml:space="preserve">obs.: </t>
    </r>
    <r>
      <rPr>
        <sz val="10"/>
        <rFont val="Times New Roman"/>
        <family val="1"/>
      </rPr>
      <t>até 2015 nunca houve ônibus de piso baixo no transporte suplementar de Belo Horizonte</t>
    </r>
  </si>
  <si>
    <t>serviço não existia antes de 2002</t>
  </si>
  <si>
    <r>
      <t xml:space="preserve">frota em n.º de ônibus de piso baixo do sistema de transporte coletivo (convencional e suplementar) de Belo Horizonte gerenciado pela BHTrans
</t>
    </r>
    <r>
      <rPr>
        <b/>
        <sz val="10"/>
        <rFont val="Times New Roman"/>
        <family val="1"/>
      </rPr>
      <t xml:space="preserve">obs.: </t>
    </r>
    <r>
      <rPr>
        <sz val="10"/>
        <rFont val="Times New Roman"/>
        <family val="1"/>
      </rPr>
      <t>até 2015 o resultado este resultado é identico ao do transporte coletivo convencional</t>
    </r>
  </si>
  <si>
    <t>percentual da frota de ônibus de piso baixo no transporte coletivo de Contagem</t>
  </si>
  <si>
    <t>frota em n.º de ônibus de piso baixo no transporet coletivo de Contagem
obs.: até 2015 nunca houve ônibus de piso baixo no transporte coletivo de Contagem</t>
  </si>
  <si>
    <t>percentual da frota de ônibus de piso baixo no transporte coletivo de Curitiba</t>
  </si>
  <si>
    <t>frota em n.º de ônibus de piso baixo de Joinvile
obs.: este resultado é idêntico ao de "F tc en c/ rampa manual", que é a "frota em n.º de ônibus do transporte coletivo de Joinville que operam em linhas trocais, com três portas do lado direito, sendo piso-alto na porta traseira e piso-baixo nas portas dianteira/central, com rampa veicular manual (com embarque/desembarque em nível) apenas na porta central (única porta por onde podem embarcar/desembarcar passageiros cadeirantes)"</t>
  </si>
  <si>
    <r>
      <t xml:space="preserve">frota em n.º de ônibus de piso baixo no transporte coletivo de Curitiba
</t>
    </r>
    <r>
      <rPr>
        <b/>
        <sz val="10"/>
        <rFont val="Times New Roman"/>
        <family val="1"/>
      </rPr>
      <t xml:space="preserve">obs.: </t>
    </r>
    <r>
      <rPr>
        <sz val="10"/>
        <rFont val="Times New Roman"/>
        <family val="1"/>
      </rPr>
      <t>em 2015 este indicador é idêntico a "F tc en c/rampa manual", que é "frota em n.º de ônibus do transporte coletivo de Curitiba de dois andares, piso baixo no andar inferior, 2 portas com rampa veicular manual na segunda porta (na qual acontece o embarque/desembarque em nível)"</t>
    </r>
  </si>
  <si>
    <r>
      <t xml:space="preserve">KNIRSCH, Thomas et al. </t>
    </r>
    <r>
      <rPr>
        <i/>
        <sz val="12"/>
        <color theme="1"/>
        <rFont val="Times New Roman"/>
        <family val="1"/>
      </rPr>
      <t>Gestão ambiental</t>
    </r>
    <r>
      <rPr>
        <sz val="12"/>
        <color theme="1"/>
        <rFont val="Times New Roman"/>
        <family val="1"/>
      </rPr>
      <t>: casos de sucesso nas capitais brasileiras. Rio de Janeiro: Konrad-Adenauer Stiftung, 2012. Belo Horizonte: a capital que encanta, p.23-25.</t>
    </r>
  </si>
  <si>
    <t>Uberlândia</t>
  </si>
  <si>
    <t>Ávila (Espanha)</t>
  </si>
  <si>
    <t>Barcelona (Espanha)</t>
  </si>
  <si>
    <t>Colônia (Alemanha)</t>
  </si>
  <si>
    <t>Turku (Finlândia)</t>
  </si>
  <si>
    <t>Salzburgo (Áustria)</t>
  </si>
  <si>
    <t>Cracóvia (Polônia)</t>
  </si>
  <si>
    <t>Marburg (Alemanha)</t>
  </si>
  <si>
    <t>Santander (Espanha)</t>
  </si>
  <si>
    <t>Terrassa (Espanha)</t>
  </si>
  <si>
    <t>Liubliana (Eslovênia)</t>
  </si>
  <si>
    <t>Olomouc (República Tcheca)</t>
  </si>
  <si>
    <t>Grenoble (França)</t>
  </si>
  <si>
    <t>Berlim (Alemanha)</t>
  </si>
  <si>
    <t>Nantes (França)</t>
  </si>
  <si>
    <t>Estocolmo (Suécia)</t>
  </si>
  <si>
    <t>Pamplona (Espanha)</t>
  </si>
  <si>
    <t>Gdynia (Polônia)</t>
  </si>
  <si>
    <t>Bilbao (Espanha)</t>
  </si>
  <si>
    <t>Tallaght (Irlanda)</t>
  </si>
  <si>
    <t>Gotemburgo (Suécia)</t>
  </si>
  <si>
    <t>Posnânia [Poznań] na Polônia</t>
  </si>
  <si>
    <t>Belfast (Irlanda do Norte)</t>
  </si>
  <si>
    <t>Dresden (Alemanha)</t>
  </si>
  <si>
    <t>Málaga (Espanha)</t>
  </si>
  <si>
    <t>Borås (Suécia)</t>
  </si>
  <si>
    <t>Helsinque (Finlândia)</t>
  </si>
  <si>
    <t>Logroño (Espanha)</t>
  </si>
  <si>
    <t>Budapeste (Hungria)</t>
  </si>
  <si>
    <t>Arona (Espanha)</t>
  </si>
  <si>
    <t>categoria</t>
  </si>
  <si>
    <t>BR2</t>
  </si>
  <si>
    <t>M1</t>
  </si>
  <si>
    <t>M2</t>
  </si>
  <si>
    <t>OM1</t>
  </si>
  <si>
    <t>OM2</t>
  </si>
  <si>
    <t>BR1</t>
  </si>
  <si>
    <t>cidade/região/AM</t>
  </si>
  <si>
    <t>benchmarking SisMob-BH CAF</t>
  </si>
  <si>
    <t>América Latina</t>
  </si>
  <si>
    <r>
      <t xml:space="preserve">frota em n.º de ônibus do transporte coletivo de Contagem com embarque/desembarque exclusivamente em nível em todos os pontos de parada
</t>
    </r>
    <r>
      <rPr>
        <b/>
        <sz val="10"/>
        <rFont val="Times New Roman"/>
        <family val="1"/>
      </rPr>
      <t xml:space="preserve">obs.: </t>
    </r>
    <r>
      <rPr>
        <sz val="10"/>
        <rFont val="Times New Roman"/>
        <family val="1"/>
      </rPr>
      <t xml:space="preserve">em Contagem, pelo menos até 2014 não existem veículos com embarque em nível e, por isto, </t>
    </r>
    <r>
      <rPr>
        <sz val="10"/>
        <color rgb="FFFF0000"/>
        <rFont val="Times New Roman"/>
        <family val="1"/>
      </rPr>
      <t xml:space="preserve">este indicador é sempre "zero" </t>
    </r>
    <r>
      <rPr>
        <sz val="10"/>
        <rFont val="Times New Roman"/>
        <family val="1"/>
      </rPr>
      <t>(VERTRAN, 2015a)</t>
    </r>
  </si>
  <si>
    <r>
      <t xml:space="preserve">frota em n.º de ônibus de piso baixo de uma cidade/região 
</t>
    </r>
    <r>
      <rPr>
        <b/>
        <sz val="10"/>
        <rFont val="Times New Roman"/>
        <family val="1"/>
      </rPr>
      <t>obs.1:</t>
    </r>
    <r>
      <rPr>
        <sz val="10"/>
        <rFont val="Times New Roman"/>
        <family val="1"/>
      </rPr>
      <t xml:space="preserve"> "Buenos Aires já definiu em legislação a obrigatoriedade de ônibus com pisos mais baixos, há cerca de dois anos. [...] 'Na verdade, sistemas semelhantes já são bastante utilizados em diversas cidades dos Estados Unidos e da Europa', afirma [...]" conforme B7R(2000, p.15)
</t>
    </r>
    <r>
      <rPr>
        <b/>
        <sz val="10"/>
        <rFont val="Times New Roman"/>
        <family val="1"/>
      </rPr>
      <t xml:space="preserve">obs.2: </t>
    </r>
    <r>
      <rPr>
        <sz val="10"/>
        <rFont val="Times New Roman"/>
        <family val="1"/>
      </rPr>
      <t xml:space="preserve">"low floor buses" nas cidades de Santiago do Chile e Nova Déli/Índia são citados como exemplo de adoção de ônibus de piso baixo em sistemas BRT em publicação produzida para o Banco Mundial conforme RICKERT(2007, p.25-26)
</t>
    </r>
    <r>
      <rPr>
        <b/>
        <sz val="10"/>
        <rFont val="Times New Roman"/>
        <family val="1"/>
      </rPr>
      <t xml:space="preserve">obs.2: </t>
    </r>
    <r>
      <rPr>
        <sz val="10"/>
        <rFont val="Times New Roman"/>
        <family val="1"/>
      </rPr>
      <t>acesse os verbetes "low floor" e "piso baixo"</t>
    </r>
  </si>
  <si>
    <r>
      <t xml:space="preserve">frota em n.º de ônibus de piso baixo do transporte coletivo convencional de Belo Horizonte gerenciado pela BHTrans
</t>
    </r>
    <r>
      <rPr>
        <b/>
        <sz val="10"/>
        <rFont val="Times New Roman"/>
        <family val="1"/>
      </rPr>
      <t>obs.1:</t>
    </r>
    <r>
      <rPr>
        <sz val="10"/>
        <rFont val="Times New Roman"/>
        <family val="1"/>
      </rPr>
      <t xml:space="preserve"> em Belo Horizonte esta frota é idêntica a "F tcc en s/rampa", que é a "frota em n.º de ônibus do transporte coletivo convencional de Belo Horizonte gerenciado pela BHTrans com piso-baixo dianteiro sem rampa veicular (com embarque/desembarque podendo acontecer em nível na porta central e na porta dianteira, mas sem o apoio de uma rampa e dependente no motorista estacionar rente ao meio-fio)"
</t>
    </r>
    <r>
      <rPr>
        <b/>
        <sz val="10"/>
        <rFont val="Times New Roman"/>
        <family val="1"/>
      </rPr>
      <t>obs.2:</t>
    </r>
    <r>
      <rPr>
        <sz val="10"/>
        <rFont val="Times New Roman"/>
        <family val="1"/>
      </rPr>
      <t xml:space="preserve"> "Para aumentar a acessibilidade, tanto física quanto social, ao sistema de transporte púlico, a BHTRANS empreendeu ações de diversos tipos voltadas a este objetivo, conforme os exemplos que destacamos abaixo: [...] A introdução dos ônibus de piso baixo no sistema municipal de transporte, facilitando o acesso às pessoas com dificuldadede locomoção, que foi estabelecido como veículo padrão do sistema" conforme BHTRANS(2000a, p.21)
</t>
    </r>
    <r>
      <rPr>
        <b/>
        <sz val="10"/>
        <rFont val="Times New Roman"/>
        <family val="1"/>
      </rPr>
      <t xml:space="preserve">obs.3: </t>
    </r>
    <r>
      <rPr>
        <sz val="10"/>
        <rFont val="Times New Roman"/>
        <family val="1"/>
      </rPr>
      <t xml:space="preserve">"Em setembro de 1999 chegaram os primeiros oito ônibus de piso baixo. [...] O seu aumento é resultado de uma portaria da BHTRANS (set./99), [conforme BHTRANS(1999b)] estabelecendo que toda substituição de ônibus, a partir de então, será feita de forma que 80% deles sejam de piso baixo. A previsão é de que até o final de 2000 é que entrem no sistema mais 26 novos pisos baixos." conforme BHTRANS(2000b, p.19)
</t>
    </r>
    <r>
      <rPr>
        <b/>
        <sz val="10"/>
        <rFont val="Times New Roman"/>
        <family val="1"/>
      </rPr>
      <t xml:space="preserve">obs.4: </t>
    </r>
    <r>
      <rPr>
        <sz val="10"/>
        <rFont val="Times New Roman"/>
        <family val="1"/>
      </rPr>
      <t xml:space="preserve">em setembro de 1999 a BHTrans anuncia que Belo Horioznte é a primeira capital do país a adotar ônibus de piso baixo conforme BHTRANS(1999d/e) 
</t>
    </r>
    <r>
      <rPr>
        <b/>
        <sz val="10"/>
        <rFont val="Times New Roman"/>
        <family val="1"/>
      </rPr>
      <t>obs.5:</t>
    </r>
    <r>
      <rPr>
        <sz val="10"/>
        <rFont val="Times New Roman"/>
        <family val="1"/>
      </rPr>
      <t xml:space="preserve"> "Belo Horizonte é a primeira cidade brasileira a adotar legislação semelhante [à de Buenos Aires]. [...] Ao encomendar a primeira unidade, que ainda estava em fase de homologação quando esta reportagem foi concluída, Belo Horizonte 'sai na frente, sendo a primeira cidade brasileira a definir em lei a exigência de ônibus com piso baixo. Mas essa tendência já se manifesta em diversas outras capitais e cidades de médio e grande porte de todo o país', observa o executivo." conforme B7R(2000, p.15)
</t>
    </r>
    <r>
      <rPr>
        <b/>
        <sz val="10"/>
        <rFont val="Times New Roman"/>
        <family val="1"/>
      </rPr>
      <t xml:space="preserve">obs.6: </t>
    </r>
    <r>
      <rPr>
        <sz val="10"/>
        <rFont val="Times New Roman"/>
        <family val="1"/>
      </rPr>
      <t xml:space="preserve">em 2003 o CMPPD/BH avalia o ônibus de piso baixo com destaque para "a preocupação com a necessidae de dotar a cidade de um sistema com desenho universal e não de um sistema que atenda apenas à categoria dos cadeirantes" conforme BH(2003a/b/c)
</t>
    </r>
    <r>
      <rPr>
        <b/>
        <sz val="10"/>
        <rFont val="Times New Roman"/>
        <family val="1"/>
      </rPr>
      <t>obs.7:</t>
    </r>
    <r>
      <rPr>
        <sz val="10"/>
        <rFont val="Times New Roman"/>
        <family val="1"/>
      </rPr>
      <t xml:space="preserve"> em Belo Horizonte pelo menos até 2015 os veículos de piso baixo nunca tiveram rampa instalada</t>
    </r>
  </si>
  <si>
    <r>
      <t xml:space="preserve">frota em n.º de ônibus do transporte coletivo convencional de Belo Horizonte gerenciado pela BHTrans com piso-alto e com rampa veicular manual em uma das portas (com embarque/desembarque em nível apenas nessa porta com o usuário dependente da abertura manual da rampa)
</t>
    </r>
    <r>
      <rPr>
        <b/>
        <sz val="10"/>
        <rFont val="Times New Roman"/>
        <family val="1"/>
      </rPr>
      <t xml:space="preserve">obs.1: </t>
    </r>
    <r>
      <rPr>
        <sz val="10"/>
        <rFont val="Times New Roman"/>
        <family val="1"/>
      </rPr>
      <t xml:space="preserve">esta categoria recebe </t>
    </r>
    <r>
      <rPr>
        <sz val="10"/>
        <color rgb="FFFF0000"/>
        <rFont val="Times New Roman"/>
        <family val="1"/>
      </rPr>
      <t>peso 8</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em Belo Horizonte pelo menos até 2015 os veículos de piso alto com rampa operam apenas no sub-sistema BRT
</t>
    </r>
    <r>
      <rPr>
        <b/>
        <sz val="10"/>
        <rFont val="Times New Roman"/>
        <family val="1"/>
      </rPr>
      <t>obs.3:</t>
    </r>
    <r>
      <rPr>
        <sz val="10"/>
        <rFont val="Times New Roman"/>
        <family val="1"/>
      </rPr>
      <t xml:space="preserve"> mês de dezembro tomado como referência anual, com resultados de 2014 conforme BHTRANS(2015c) e de 2015 conforme BHTRANS(2016c)</t>
    </r>
  </si>
  <si>
    <r>
      <t xml:space="preserve">frota em n.º de ônibus do transporte coletivo convencional de Belo Horizonte gerenciado pela BHTrans com piso-baixo dianteiro sem rampa veicular (com embarque/desembarque podendo acontecer em nível na porta central e na porta dianteira, mas sem o apoio de uma rampa e dependente no motorista estacionar rente ao meio-fio)
</t>
    </r>
    <r>
      <rPr>
        <b/>
        <sz val="10"/>
        <rFont val="Times New Roman"/>
        <family val="1"/>
      </rPr>
      <t xml:space="preserve">obs.1: </t>
    </r>
    <r>
      <rPr>
        <sz val="10"/>
        <rFont val="Times New Roman"/>
        <family val="1"/>
      </rPr>
      <t xml:space="preserve">esta categoria recebe </t>
    </r>
    <r>
      <rPr>
        <sz val="10"/>
        <color rgb="FFFF0000"/>
        <rFont val="Times New Roman"/>
        <family val="1"/>
      </rPr>
      <t>peso 6</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em Belo Horizonte pelo menos até 2015 os veículos de piso baixo nunca tiveram rampa instalada em porta (todos "sem rampa")
</t>
    </r>
    <r>
      <rPr>
        <b/>
        <sz val="10"/>
        <rFont val="Times New Roman"/>
        <family val="1"/>
      </rPr>
      <t>obs.3:</t>
    </r>
    <r>
      <rPr>
        <sz val="10"/>
        <rFont val="Times New Roman"/>
        <family val="1"/>
      </rPr>
      <t xml:space="preserve"> mês de dezembro tomado como referência anual, com resultado de 1999 conforme BHTRANS(2000b, p.19); de 2000(outubro)  a 2007 conforme BHTRANS(2016e); 2008 adotando resultado de 2007 e 2009; de 2009 a 2014 conforme BHTRANS(2015c) e de 2015 conforme BHTRANS(2016c)</t>
    </r>
  </si>
  <si>
    <r>
      <t xml:space="preserve">expressão em língua inglesa para "piso baixo" adotada na classificação de ônibus
</t>
    </r>
    <r>
      <rPr>
        <b/>
        <sz val="10"/>
        <color theme="1"/>
        <rFont val="Times New Roman"/>
        <family val="1"/>
      </rPr>
      <t>obs.1: "</t>
    </r>
    <r>
      <rPr>
        <sz val="10"/>
        <color theme="1"/>
        <rFont val="Times New Roman"/>
        <family val="1"/>
      </rPr>
      <t xml:space="preserve">low floor buses" são citados em publicação prodizida para o Banco Mundial conforme RICKERT(2007, p.25-26)
</t>
    </r>
    <r>
      <rPr>
        <b/>
        <sz val="10"/>
        <color theme="1"/>
        <rFont val="Times New Roman"/>
        <family val="1"/>
      </rPr>
      <t>obs.2:</t>
    </r>
    <r>
      <rPr>
        <sz val="10"/>
        <color theme="1"/>
        <rFont val="Times New Roman"/>
        <family val="1"/>
      </rPr>
      <t xml:space="preserve"> acesse os verbetes "F tc pb (verbete)", "low floor Europa", "piso baixo", "semi low floor"</t>
    </r>
  </si>
  <si>
    <t>semi low floor</t>
  </si>
  <si>
    <r>
      <t xml:space="preserve">expressão em língua inglesa para designar ônibus "semi piso baixo" utilizada em publicação produzida para o Banco Mundial conforme RICKERT(2007, p.26)
</t>
    </r>
    <r>
      <rPr>
        <b/>
        <sz val="10"/>
        <color theme="1"/>
        <rFont val="Times New Roman"/>
        <family val="1"/>
      </rPr>
      <t xml:space="preserve">obs.: </t>
    </r>
    <r>
      <rPr>
        <sz val="10"/>
        <color theme="1"/>
        <rFont val="Times New Roman"/>
        <family val="1"/>
      </rPr>
      <t xml:space="preserve">"If wheelchair ramps are used in “semi low-floor” buses, they should preferably not be telescoping or should have a smooth transition between ramp sections (ECMT guidelines include a maximum 6 mm transition. See also DfT, Significant Steps). If ramps are installed in the bus, they should not exceed the angle for short ramps if passengers are to board or alight unassisted ... confoeme RICKERT(2007, p.26)
</t>
    </r>
    <r>
      <rPr>
        <b/>
        <sz val="10"/>
        <color theme="1"/>
        <rFont val="Times New Roman"/>
        <family val="1"/>
      </rPr>
      <t>obs.2:</t>
    </r>
    <r>
      <rPr>
        <sz val="10"/>
        <color theme="1"/>
        <rFont val="Times New Roman"/>
        <family val="1"/>
      </rPr>
      <t xml:space="preserve"> acesse o verbete "low floor"</t>
    </r>
  </si>
  <si>
    <r>
      <rPr>
        <b/>
        <sz val="10"/>
        <color theme="1"/>
        <rFont val="Times New Roman"/>
        <family val="1"/>
      </rPr>
      <t xml:space="preserve">obs.1: </t>
    </r>
    <r>
      <rPr>
        <sz val="10"/>
        <color theme="1"/>
        <rFont val="Times New Roman"/>
        <family val="1"/>
      </rPr>
      <t xml:space="preserve">relatório da European Metropolitan Transport Authorities - EMTA conclui que 80% das frotas de ônibus urbanos na Europa são predominantemente piso baixo ("It is noticeable that 80% of the urban bus fleets are predominantly low floor." conforme EMTA(2012, p.37)
</t>
    </r>
    <r>
      <rPr>
        <b/>
        <sz val="10"/>
        <color theme="1"/>
        <rFont val="Times New Roman"/>
        <family val="1"/>
      </rPr>
      <t>obs.2:</t>
    </r>
    <r>
      <rPr>
        <sz val="10"/>
        <color theme="1"/>
        <rFont val="Times New Roman"/>
        <family val="1"/>
      </rPr>
      <t xml:space="preserve"> relatório da European Metropolitan Transport Authorities - EMTA apresenta resultados de indicadores gerais de transporte para 24 cidades/regiões - Stadsregio Amsterdam; Barcelona Metropolitan Region; Berlin-Brandenburg (sem resultado de low floor); West Midlands (Birmingham); Brussels Metropolitan; C. Hungarian Region (Budapest); Cadiz Bay; Greater Copenhagen; Helsinki; Greater London; Lyon Urban Community; Madrid Community; Greater Montreal; Paris Ile-de-France; Middle Bohemia Region (Prague); Metropolitan Area of Seville; South Yorkshire (Sheffield); County of Stockholm;  Stuttgart Region; Turin Metropolitan Area; Valencia Metropolitan Area; VOR Region (Vienna); Vilnius; Warsaw - conforme EMTA(2012, p.37)
</t>
    </r>
    <r>
      <rPr>
        <b/>
        <sz val="10"/>
        <color theme="1"/>
        <rFont val="Times New Roman"/>
        <family val="1"/>
      </rPr>
      <t>obs.3:</t>
    </r>
    <r>
      <rPr>
        <sz val="10"/>
        <color theme="1"/>
        <rFont val="Times New Roman"/>
        <family val="1"/>
      </rPr>
      <t xml:space="preserve"> acesse os verbetes "low floor" e "piso baixo" e os resultados "F tc pb" das cidades/regiões selecionadas nas categorias de benchmark do SisMob-BH </t>
    </r>
  </si>
  <si>
    <r>
      <rPr>
        <b/>
        <sz val="12"/>
        <color theme="1"/>
        <rFont val="Times New Roman"/>
        <family val="1"/>
      </rPr>
      <t xml:space="preserve">PINTO;RIBEIRO(2014): </t>
    </r>
    <r>
      <rPr>
        <sz val="12"/>
        <color theme="1"/>
        <rFont val="Times New Roman"/>
        <family val="1"/>
      </rPr>
      <t xml:space="preserve">PINTO, Ana Marcela Ardila; RIBEIRO, Letícia Parente. Espaço público e mobilidade urbana: uma análise comparada do papel do espaço público nas políticas de mobilidade urbana de Bogotá e do Rio de Janeiro: o caso dos projetos de BRT. In: SICS - SIMPÓSIO DE CIÊNCIAS SOCIAIS - SICS, 3, 2014, III SICS: Cidade e democracia, Grupo de Trabalho 3. Belo Horizonte [8 a 18 de setembro de 2014]. </t>
    </r>
    <r>
      <rPr>
        <i/>
        <sz val="12"/>
        <color theme="1"/>
        <rFont val="Times New Roman"/>
        <family val="1"/>
      </rPr>
      <t xml:space="preserve">Anais... </t>
    </r>
    <r>
      <rPr>
        <sz val="12"/>
        <color theme="1"/>
        <rFont val="Times New Roman"/>
        <family val="1"/>
      </rPr>
      <t xml:space="preserve">Belo Horizonte: PUC Minas, 2015.  Disponível no portal da PUC Minas. Acesso em: 09/07/2016. </t>
    </r>
  </si>
  <si>
    <r>
      <rPr>
        <b/>
        <sz val="12"/>
        <color theme="1"/>
        <rFont val="Times New Roman"/>
        <family val="1"/>
      </rPr>
      <t xml:space="preserve">LOBATO(2016): </t>
    </r>
    <r>
      <rPr>
        <sz val="12"/>
        <color theme="1"/>
        <rFont val="Times New Roman"/>
        <family val="1"/>
      </rPr>
      <t xml:space="preserve">LOBATO, Paulo Henrique. Altos e baixos nas ruas de BH. </t>
    </r>
    <r>
      <rPr>
        <i/>
        <sz val="12"/>
        <color theme="1"/>
        <rFont val="Times New Roman"/>
        <family val="1"/>
      </rPr>
      <t>Estado de Minas</t>
    </r>
    <r>
      <rPr>
        <sz val="12"/>
        <color theme="1"/>
        <rFont val="Times New Roman"/>
        <family val="1"/>
      </rPr>
      <t>, Belo Horizonte, 9 jul. 2016. Caderno Gerais, p.16.</t>
    </r>
  </si>
  <si>
    <r>
      <rPr>
        <b/>
        <sz val="12"/>
        <color theme="1"/>
        <rFont val="Times New Roman"/>
        <family val="1"/>
      </rPr>
      <t xml:space="preserve">FETRANSPOR(2013): </t>
    </r>
    <r>
      <rPr>
        <sz val="12"/>
        <color theme="1"/>
        <rFont val="Times New Roman"/>
        <family val="1"/>
      </rPr>
      <t xml:space="preserve">FEDERAÇÃO DAS EMPRESAS DE TRANSPORTES DE PASSAGEIROS DO ESTADO DO RIO DE JANEIRO  - FETRANSPOR. </t>
    </r>
    <r>
      <rPr>
        <i/>
        <sz val="12"/>
        <color theme="1"/>
        <rFont val="Times New Roman"/>
        <family val="1"/>
      </rPr>
      <t>Manual de implementação BRS</t>
    </r>
    <r>
      <rPr>
        <sz val="12"/>
        <color theme="1"/>
        <rFont val="Times New Roman"/>
        <family val="1"/>
      </rPr>
      <t>. Rio de Janeiro, out. 2013. 53p.</t>
    </r>
  </si>
  <si>
    <t>BRS</t>
  </si>
  <si>
    <t>"BUS RAPID SERVICE (BRS) é, em suma, um sistema que se caracteriza não apenas pelas faixas preferenciais de ônibus, mas pelo conjunto de medidas que possibilitam uma melhoria na qualidade do serviço do transporte público por ônibus, incluindo a racionalização das linhas, o escalonamento dos pontos de parada, a fiscalização eletrônica para controle de acesso de veículos particulares, e um eficaz sistema de informação ao usuário." conforme FETRANSPOR(2013, p.7)</t>
  </si>
  <si>
    <t>abreviatura de Bus Rapid Service</t>
  </si>
  <si>
    <t>consulte a experiência da implantação do BRS na cidade do Rio de Janeiro em FETRANSPOR(2013, p.7)</t>
  </si>
  <si>
    <r>
      <rPr>
        <b/>
        <sz val="12"/>
        <rFont val="Times New Roman"/>
        <family val="1"/>
      </rPr>
      <t xml:space="preserve">ALVES(2015): </t>
    </r>
    <r>
      <rPr>
        <sz val="12"/>
        <rFont val="Times New Roman"/>
        <family val="1"/>
      </rPr>
      <t xml:space="preserve">ALVES, Cleide. Designer propõe placas turísticas para a comunidade surda. </t>
    </r>
    <r>
      <rPr>
        <i/>
        <sz val="12"/>
        <rFont val="Times New Roman"/>
        <family val="1"/>
      </rPr>
      <t>Uol Notícias</t>
    </r>
    <r>
      <rPr>
        <sz val="12"/>
        <rFont val="Times New Roman"/>
        <family val="1"/>
      </rPr>
      <t>, 8 fev. 2015. Disponível em: &lt;http://m.jc.ne10.uol.com.br/canal/suplementos/jc-mais/noticia/2015/02/08/designer-propoe-placas-turisticas-para-a-comunidade-surda-167317.php&gt;. Acesso em 19 fev. 2015.</t>
    </r>
  </si>
  <si>
    <t>pictolibras</t>
  </si>
  <si>
    <t>Libras</t>
  </si>
  <si>
    <t>símbolos em Libras para utilização na sinalização indicativa de trânsito sugeridos para utilização em Recife e Olinda "em placas turísticas para a comunidade surda" conforme ALVES(2015)</t>
  </si>
  <si>
    <t>shared space</t>
  </si>
  <si>
    <r>
      <rPr>
        <b/>
        <sz val="12"/>
        <color theme="1"/>
        <rFont val="Times New Roman"/>
        <family val="1"/>
      </rPr>
      <t xml:space="preserve">HAMILTON-BAILLIE(2006): </t>
    </r>
    <r>
      <rPr>
        <sz val="12"/>
        <color theme="1"/>
        <rFont val="Times New Roman"/>
        <family val="1"/>
      </rPr>
      <t xml:space="preserve">HAMILTON-BAILLIE, Ben. </t>
    </r>
    <r>
      <rPr>
        <i/>
        <sz val="12"/>
        <color theme="1"/>
        <rFont val="Times New Roman"/>
        <family val="1"/>
      </rPr>
      <t xml:space="preserve">What is Shared Space? </t>
    </r>
    <r>
      <rPr>
        <sz val="12"/>
        <color theme="1"/>
        <rFont val="Times New Roman"/>
        <family val="1"/>
      </rPr>
      <t>August 2006. n.p. Disponível em: &lt;http://www.hamilton-baillie.co.uk/_files/_publications/6-1.pdf&gt;. Acesso em 11 jul. 2016.</t>
    </r>
  </si>
  <si>
    <r>
      <rPr>
        <b/>
        <sz val="12"/>
        <color theme="1"/>
        <rFont val="Times New Roman"/>
        <family val="1"/>
      </rPr>
      <t xml:space="preserve">HAMILTON-BAILLIE(2001): </t>
    </r>
    <r>
      <rPr>
        <sz val="12"/>
        <color theme="1"/>
        <rFont val="Times New Roman"/>
        <family val="1"/>
      </rPr>
      <t>HAMILTON-BAILLIE, Ben. </t>
    </r>
    <r>
      <rPr>
        <i/>
        <sz val="12"/>
        <color theme="1"/>
        <rFont val="Times New Roman"/>
        <family val="1"/>
      </rPr>
      <t>Home Zones – Reconciling People, Places and Transport</t>
    </r>
    <r>
      <rPr>
        <sz val="12"/>
        <color theme="1"/>
        <rFont val="Times New Roman"/>
        <family val="1"/>
      </rPr>
      <t>: Study for Denmark, Germany, Holland and Sweden - July to August 2000. Winstown Churchill Memorial Trust, 2001. 28p. Disponível em: &lt;http://www.cleanairinstitute.org/cops/bd/file/tnm/115-hamilton-homezones.pdf&gt;. Acesso em 11 jul. 2016.</t>
    </r>
  </si>
  <si>
    <r>
      <rPr>
        <b/>
        <sz val="12"/>
        <color theme="1"/>
        <rFont val="Times New Roman"/>
        <family val="1"/>
      </rPr>
      <t xml:space="preserve">MOODY;MELIA(2013): </t>
    </r>
    <r>
      <rPr>
        <sz val="12"/>
        <color theme="1"/>
        <rFont val="Times New Roman"/>
        <family val="1"/>
      </rPr>
      <t>MOODY, Simon; MELIA, Steve. Shared space – research, policy and problems. </t>
    </r>
    <r>
      <rPr>
        <i/>
        <sz val="12"/>
        <color theme="1"/>
        <rFont val="Times New Roman"/>
        <family val="1"/>
      </rPr>
      <t>Proceedings of the Institute os Civil Engineers - Transport</t>
    </r>
    <r>
      <rPr>
        <sz val="12"/>
        <color theme="1"/>
        <rFont val="Times New Roman"/>
        <family val="1"/>
      </rPr>
      <t>. 26 April 2013, p.1-9. Disponível em: &lt;http://eprints.uwe.ac.uk/17937/8/tran1200047h.pdf&gt;. Acesso em 11 jul. 2016.</t>
    </r>
  </si>
  <si>
    <r>
      <rPr>
        <b/>
        <sz val="12"/>
        <color theme="1"/>
        <rFont val="Times New Roman"/>
        <family val="1"/>
      </rPr>
      <t>KEUNINGINSTITUUT(2008):</t>
    </r>
    <r>
      <rPr>
        <sz val="12"/>
        <color theme="1"/>
        <rFont val="Times New Roman"/>
        <family val="1"/>
      </rPr>
      <t xml:space="preserve"> KEUNINGINSTITUUT. </t>
    </r>
    <r>
      <rPr>
        <i/>
        <sz val="12"/>
        <color theme="1"/>
        <rFont val="Times New Roman"/>
        <family val="1"/>
      </rPr>
      <t>Shared Space</t>
    </r>
    <r>
      <rPr>
        <sz val="12"/>
        <color theme="1"/>
        <rFont val="Times New Roman"/>
        <family val="1"/>
      </rPr>
      <t>: Final Evaluations and Results. Groningen, October 2008. 29p. Disponível em: &lt;http://www.fietsberaad.nl/library/repository/bestanden/Def.Final_Evaation31_okt.pdf&gt;. Acesso em 11 jul. 2016.</t>
    </r>
  </si>
  <si>
    <r>
      <rPr>
        <b/>
        <sz val="12"/>
        <color theme="1"/>
        <rFont val="Times New Roman"/>
        <family val="1"/>
      </rPr>
      <t>BH(2015g):</t>
    </r>
    <r>
      <rPr>
        <sz val="12"/>
        <color theme="1"/>
        <rFont val="Times New Roman"/>
        <family val="1"/>
      </rPr>
      <t xml:space="preserve"> BELO HORIZONTE. Prefeitura. </t>
    </r>
    <r>
      <rPr>
        <i/>
        <sz val="12"/>
        <color theme="1"/>
        <rFont val="Times New Roman"/>
        <family val="1"/>
      </rPr>
      <t>Frota de Veículos Automotores 2015</t>
    </r>
    <r>
      <rPr>
        <sz val="12"/>
        <color theme="1"/>
        <rFont val="Times New Roman"/>
        <family val="1"/>
      </rPr>
      <t>. Belo Horizonte, [2015]. Disponível em: &lt;http://portalpbh.pbh.gov.br/pbh/ecp/comunidade.do?evento=portlet&amp;pIdPlc=ecpTaxonomiaMenuPortal&amp;app=acessoinformacao&amp;tax=52242&amp;lang=pt_BR&amp;pg=10125&amp;taxp=0&amp;&gt;. Acesso em: 11 jul. 2016.</t>
    </r>
  </si>
  <si>
    <t>F PBH</t>
  </si>
  <si>
    <t>F t PBH + F pr PBH</t>
  </si>
  <si>
    <t>pp</t>
  </si>
  <si>
    <t>[frota] própria (ulilizado com complemento de F PBH)</t>
  </si>
  <si>
    <t>F PBH pp</t>
  </si>
  <si>
    <t>F PBH t</t>
  </si>
  <si>
    <t>terceirizado (usado como complemento de "RH" e de "F PBH")</t>
  </si>
  <si>
    <t>frota total de veículos automotores da Prefeitura de Belo Horizonte</t>
  </si>
  <si>
    <t>F tc 
(conformidade)</t>
  </si>
  <si>
    <t>F tc
(meta)</t>
  </si>
  <si>
    <r>
      <t xml:space="preserve">"Art. 337 - A redução do impacto ambiental associado à mobilidade urbana deve estar prioritariamente vinculada ao gerenciamento da demanda de transporte, consideradas, sempre que possível, as seguintes ações: [...] III - mudar a matriz energética tanto do transporte público quanto do privado, priorizando a
utilização de fontes de energia de menor impacto ambiental; [...] V - substituir, de forma gradativa, o maior percentual possível da frota de ônibus do serviço de transporte público coletivo para que esta seja constituída por veículos acessíveis e movidos a combustíveis não derivados do petróleo." conforme BH(2015c)
</t>
    </r>
    <r>
      <rPr>
        <b/>
        <sz val="10"/>
        <rFont val="Times New Roman"/>
        <family val="1"/>
      </rPr>
      <t>obs.:</t>
    </r>
    <r>
      <rPr>
        <sz val="10"/>
        <rFont val="Times New Roman"/>
        <family val="1"/>
      </rPr>
      <t xml:space="preserve"> a meta é 100%, não tendo sido especificada a data de alcance</t>
    </r>
  </si>
  <si>
    <t>População conforme DEMOGRAPHIC(2016, p.20)</t>
  </si>
  <si>
    <t>População conforme DEMOGRAPHIC(2016, p.28)</t>
  </si>
  <si>
    <t>Berlim (AM)</t>
  </si>
  <si>
    <t>Bilbao (AM)</t>
  </si>
  <si>
    <t>Estocolmo (AM)</t>
  </si>
  <si>
    <t>Barcelona (AM)</t>
  </si>
  <si>
    <t>Amsterdan (AM)</t>
  </si>
  <si>
    <t>População conforme DEMOGRAPHIC(2016, p.42)</t>
  </si>
  <si>
    <t>Belfast (AM)</t>
  </si>
  <si>
    <r>
      <t xml:space="preserve">população da área metropolitana em n.º de habitantes
</t>
    </r>
    <r>
      <rPr>
        <b/>
        <sz val="10"/>
        <color theme="1"/>
        <rFont val="Times New Roman"/>
        <family val="1"/>
      </rPr>
      <t xml:space="preserve">obs: </t>
    </r>
    <r>
      <rPr>
        <sz val="10"/>
        <color theme="1"/>
        <rFont val="Times New Roman"/>
        <family val="1"/>
      </rPr>
      <t>resultados de 2007 conforme CAF(2010, p.9/Cuadro 1. Características socioeconómicas); de 2016 conforme DEMOGRAPHIC(2016, p.19)</t>
    </r>
  </si>
  <si>
    <t>População conforme DEMOGRAPHIC(2016, p.22)</t>
  </si>
  <si>
    <t>Bruxelas (AM)</t>
  </si>
  <si>
    <t>Budapeste (AM)</t>
  </si>
  <si>
    <t>População conforme DEMOGRAPHIC(2016, p.21)</t>
  </si>
  <si>
    <t>Burgos (Espanha)</t>
  </si>
  <si>
    <t>categoria M</t>
  </si>
  <si>
    <t>categorias M</t>
  </si>
  <si>
    <t>Helsinque (AM)</t>
  </si>
  <si>
    <r>
      <t xml:space="preserve">frota terceirizada de veículos automotores da Prefeitura de Belo Horizonte
</t>
    </r>
    <r>
      <rPr>
        <b/>
        <sz val="10"/>
        <color theme="1"/>
        <rFont val="Times New Roman"/>
        <family val="1"/>
      </rPr>
      <t xml:space="preserve">obs.: </t>
    </r>
    <r>
      <rPr>
        <sz val="10"/>
        <color theme="1"/>
        <rFont val="Times New Roman"/>
        <family val="1"/>
      </rPr>
      <t>vans, picapes, motocicletas, ônibus, pás
carregadeiras, de representação, de serviço, utilitários, pesados com resultado de 2015 conforme BH(2015g)</t>
    </r>
  </si>
  <si>
    <r>
      <t xml:space="preserve">frota própria de veículos automotores da Prefeitura de Belo Horizonte
</t>
    </r>
    <r>
      <rPr>
        <b/>
        <sz val="10"/>
        <color theme="1"/>
        <rFont val="Times New Roman"/>
        <family val="1"/>
      </rPr>
      <t xml:space="preserve">obs.: </t>
    </r>
    <r>
      <rPr>
        <sz val="10"/>
        <color theme="1"/>
        <rFont val="Times New Roman"/>
        <family val="1"/>
      </rPr>
      <t>vans, picape, caminhões/carregadeiras, motocicletas e carros de serviço com resultado de 2015 conforme BH(2015g)</t>
    </r>
  </si>
  <si>
    <t>População conforme DEMOGRAPHIC(2016, p.24)</t>
  </si>
  <si>
    <t>Londres (AM)</t>
  </si>
  <si>
    <t>População conforme DEMOGRAPHIC(2016, p.19)</t>
  </si>
  <si>
    <t>Madri (AM)</t>
  </si>
  <si>
    <t>Paris (AM)</t>
  </si>
  <si>
    <t>Sevilha (AM)</t>
  </si>
  <si>
    <t>População conforme DEMOGRAPHIC(2016, p.25)</t>
  </si>
  <si>
    <t>Viena (AM)</t>
  </si>
  <si>
    <t>População conforme DEMOGRAPHIC(2016, p.38)</t>
  </si>
  <si>
    <t>categorias BR</t>
  </si>
  <si>
    <t>Gráfico 810j - Percentual da frota de ônibus do transporte coletivo (total, convencional e suplementar) de Belo Horizonte com embarque/desembarque exclusivamente em nível e comparação com outras cidades/regiões do Brasil</t>
  </si>
  <si>
    <t>RMBH metropolitano</t>
  </si>
  <si>
    <t>Amsterdan (Holanda)</t>
  </si>
  <si>
    <t>Bruxelas (Bélgica)</t>
  </si>
  <si>
    <t>Londres (Inglaterra)</t>
  </si>
  <si>
    <t>Madri (Espanha)</t>
  </si>
  <si>
    <t>Curitiba (PR)</t>
  </si>
  <si>
    <t>Joinville (SC)</t>
  </si>
  <si>
    <t>Contagem (MG)</t>
  </si>
  <si>
    <t>população CAF</t>
  </si>
  <si>
    <t>Brasília (DF)</t>
  </si>
  <si>
    <t>Fortaleza (CE)</t>
  </si>
  <si>
    <t>Porto Alegre (RS)</t>
  </si>
  <si>
    <t>Recife (PE)</t>
  </si>
  <si>
    <t>Uberlândia (MG)</t>
  </si>
  <si>
    <t>Salvador (BA)</t>
  </si>
  <si>
    <t>DESENHO ACESSIBILIDADE E INTEGRAÇÃO MODAL -
ESTUDO EXPLORATÓRIO NO TRANSPORTE COLETIVO NO RIO DE JANEIRO.
Angela Costa Werneck de Carvalho
TESE SUBMETIDA AO CORPO DOCENTE DA COORDENAÇÃO DOS
PROGRAMAS DE PÓS-GRADUAÇÃO DE ENGENHARIA DA UNIVERSIDADE
FEDERAL DO RIO DE JANEIRO COMO PARTE DOS REQUISITOS
NECESSÁRIOS PARA A OBTENÇÃO DO GRAU DE MESTRE EM CIÊNCIAS EM
ENGENHARIA DE TRANSPORTES.</t>
  </si>
  <si>
    <t>PDTMU</t>
  </si>
  <si>
    <t>Campo Grande</t>
  </si>
  <si>
    <t>Campo Grande (MS)</t>
  </si>
  <si>
    <r>
      <t xml:space="preserve">Corporacíón Andina de Fomento ou Banco de Desarrollo de América Latina
</t>
    </r>
    <r>
      <rPr>
        <b/>
        <sz val="10"/>
        <color theme="1"/>
        <rFont val="Times New Roman"/>
        <family val="1"/>
      </rPr>
      <t xml:space="preserve">obs.: </t>
    </r>
    <r>
      <rPr>
        <sz val="10"/>
        <color theme="1"/>
        <rFont val="Times New Roman"/>
        <family val="1"/>
      </rPr>
      <t>a CAF é a entidade responsável pelo Observatório de Movilidade para América Latina conforme CAF(2010)</t>
    </r>
  </si>
  <si>
    <r>
      <rPr>
        <b/>
        <sz val="12"/>
        <rFont val="Times New Roman"/>
        <family val="1"/>
      </rPr>
      <t xml:space="preserve">CAMPO GRANDE(2015a): </t>
    </r>
    <r>
      <rPr>
        <sz val="12"/>
        <rFont val="Times New Roman"/>
        <family val="1"/>
      </rPr>
      <t xml:space="preserve">CAMPO GRANDE. Decreto n.º 12.681, de 9 de julho de 2015. Aprova o Plano Diretor de Transporte e Mobilidade Urbana no Município de Campo Grande - MS: relatório final A - trânsito e sistema viário 2009. </t>
    </r>
    <r>
      <rPr>
        <i/>
        <sz val="12"/>
        <rFont val="Times New Roman"/>
        <family val="1"/>
      </rPr>
      <t>Diário Oficial de Campo Grande - MS - Diogrande</t>
    </r>
    <r>
      <rPr>
        <sz val="12"/>
        <rFont val="Times New Roman"/>
        <family val="1"/>
      </rPr>
      <t>, Campo Grande, ano XVIII, n. 4.313, 10 jul. 2015. Suplemento II, 140p. Disponível para baixar em: &lt;http://www.pmcg.ms.gov.br/planurb/canaisTexto?id_can=7137&gt;. Acesso em: 12 jul. 2016.</t>
    </r>
  </si>
  <si>
    <r>
      <rPr>
        <b/>
        <sz val="12"/>
        <rFont val="Times New Roman"/>
        <family val="1"/>
      </rPr>
      <t xml:space="preserve">CAMPO GRANDE(2015b): </t>
    </r>
    <r>
      <rPr>
        <sz val="12"/>
        <rFont val="Times New Roman"/>
        <family val="1"/>
      </rPr>
      <t xml:space="preserve">CAMPO GRANDE. Decreto n.º 12.681, de 9 de julho de 2015. Aprova o Plano Diretor de Transporte e Mobilidade Urbana no Município de Campo Grande - MS: relatório final B - transporte coletivo 2009. </t>
    </r>
    <r>
      <rPr>
        <i/>
        <sz val="12"/>
        <rFont val="Times New Roman"/>
        <family val="1"/>
      </rPr>
      <t>Diário Oficial de Campo Grande - MS - Diogrande</t>
    </r>
    <r>
      <rPr>
        <sz val="12"/>
        <rFont val="Times New Roman"/>
        <family val="1"/>
      </rPr>
      <t>, Campo Grande, ano XVIII, n. 4.313, 10 jul. 2015. Suplemento III, 147p. Disponível para baixar em: &lt;http://www.pmcg.ms.gov.br/planurb/canaisTexto?id_can=7137&gt;. Acesso em: 12 jul. 2016.</t>
    </r>
  </si>
  <si>
    <r>
      <rPr>
        <b/>
        <sz val="12"/>
        <rFont val="Times New Roman"/>
        <family val="1"/>
      </rPr>
      <t xml:space="preserve">CAMPO GRANDE(2015c): </t>
    </r>
    <r>
      <rPr>
        <sz val="12"/>
        <rFont val="Times New Roman"/>
        <family val="1"/>
      </rPr>
      <t xml:space="preserve">CAMPO GRANDE. Decreto n.º 12.681, de 9 de julho de 2015. Aprova o Plano Diretor de Transporte e Mobilidade Urbana no Município de Campo Grande - MS: relatório final C - fortalecimento institucional 2009. </t>
    </r>
    <r>
      <rPr>
        <i/>
        <sz val="12"/>
        <rFont val="Times New Roman"/>
        <family val="1"/>
      </rPr>
      <t>Diário Oficial de Campo Grande - MS - Diogrande</t>
    </r>
    <r>
      <rPr>
        <sz val="12"/>
        <rFont val="Times New Roman"/>
        <family val="1"/>
      </rPr>
      <t>, Campo Grande, ano XVIII, n. 4.313, 10 jul. 2015. Suplemento IV, 21p. Disponível para baixar em: &lt;http://www.pmcg.ms.gov.br/planurb/canaisTexto?id_can=7137&gt;. Acesso em: 12 jul. 2016.</t>
    </r>
  </si>
  <si>
    <r>
      <t xml:space="preserve">população do município, ou seja, n.º de habitantes divulgado anualmente pelo IBGE, seja pelos censos (a cada dez anos), seja por contagens populacionais (anualmente, entre os censos)
</t>
    </r>
    <r>
      <rPr>
        <b/>
        <sz val="10"/>
        <color theme="1"/>
        <rFont val="Times New Roman"/>
        <family val="1"/>
      </rPr>
      <t xml:space="preserve">obs.1: </t>
    </r>
    <r>
      <rPr>
        <sz val="10"/>
        <color theme="1"/>
        <rFont val="Times New Roman"/>
        <family val="1"/>
      </rPr>
      <t xml:space="preserve">resultados de 2010 conforme IBGE(2010)
</t>
    </r>
    <r>
      <rPr>
        <b/>
        <sz val="10"/>
        <color theme="1"/>
        <rFont val="Times New Roman"/>
        <family val="1"/>
      </rPr>
      <t xml:space="preserve">obs.2: </t>
    </r>
    <r>
      <rPr>
        <sz val="10"/>
        <color theme="1"/>
        <rFont val="Times New Roman"/>
        <family val="1"/>
      </rPr>
      <t>cidade selecionada conforme descrito no verbete "benchmarking SisMob-BH"</t>
    </r>
  </si>
  <si>
    <r>
      <rPr>
        <b/>
        <sz val="12"/>
        <color theme="1"/>
        <rFont val="Times New Roman"/>
        <family val="1"/>
      </rPr>
      <t xml:space="preserve">IGBE(2016b): </t>
    </r>
    <r>
      <rPr>
        <sz val="12"/>
        <color theme="1"/>
        <rFont val="Times New Roman"/>
        <family val="1"/>
      </rPr>
      <t>INSTITUTO BRASILEIRO DE GEOGRAFIA E ESTATÌSTICA - IBGE. Santa Catarina / Joinville / infográficos: evolução populacional e pirâmide etária. Disponível em: &lt;http://cidades.ibge.gov.br/painel/populacao.php?lang=&amp;codmun=420910&amp;search=santa-catarina|joinville|infogr%E1ficos:-evolu%E7%E3o-populacional-e-pir%E2mide-et%E1ria&gt;. Acesso em 12 jul. 2016.</t>
    </r>
  </si>
  <si>
    <r>
      <t xml:space="preserve">população do município, ou seja, n.º de habitantes divulgado anualmente pelo IBGE, seja pelos censos (a cada dez anos), seja por contagens populacionais (anualmente, entre os censos)
</t>
    </r>
    <r>
      <rPr>
        <b/>
        <sz val="10"/>
        <color theme="1"/>
        <rFont val="Times New Roman"/>
        <family val="1"/>
      </rPr>
      <t xml:space="preserve">obs.1: </t>
    </r>
    <r>
      <rPr>
        <sz val="10"/>
        <color theme="1"/>
        <rFont val="Times New Roman"/>
        <family val="1"/>
      </rPr>
      <t xml:space="preserve">resultados de 1991/2000/2010 conforme IBGE(2016b)
</t>
    </r>
    <r>
      <rPr>
        <b/>
        <sz val="10"/>
        <color theme="1"/>
        <rFont val="Times New Roman"/>
        <family val="1"/>
      </rPr>
      <t xml:space="preserve">obs.2: </t>
    </r>
    <r>
      <rPr>
        <sz val="10"/>
        <color theme="1"/>
        <rFont val="Times New Roman"/>
        <family val="1"/>
      </rPr>
      <t>cidade selecionada conforme descrito no verbete "benchmarking SisMob-BH"</t>
    </r>
  </si>
  <si>
    <t>benchmarking SisMob-BH BR3</t>
  </si>
  <si>
    <t>benchmarking SisMob-BH BR4</t>
  </si>
  <si>
    <t>benchmarking SisMob-BH M3</t>
  </si>
  <si>
    <t>destaque para os resultados a serem usados no benchmarking do SisMob-BH, alguns indexados em outra aba</t>
  </si>
  <si>
    <r>
      <t xml:space="preserve">a categoria "benchmarking SisMob-BH BR1" contém as cidades-sede das metrópoles nacionais do nível hierárquico 2 / classe A adotado pelo Observatório das Metrópoles
</t>
    </r>
    <r>
      <rPr>
        <b/>
        <sz val="10"/>
        <color theme="1"/>
        <rFont val="Times New Roman"/>
        <family val="1"/>
      </rPr>
      <t>obs.:</t>
    </r>
    <r>
      <rPr>
        <sz val="10"/>
        <color theme="1"/>
        <rFont val="Times New Roman"/>
        <family val="1"/>
      </rPr>
      <t xml:space="preserve"> "...As Metrópoles Nacionais (nível hierárquico 2) distribuem-se entre as classes A (Belo Horizonte, Brasília, Curitiba e Porto Alegre) e B..." conforme BITOUN(2009, p.51)</t>
    </r>
  </si>
  <si>
    <r>
      <t xml:space="preserve">a categoria "benchmarking SisMob-BH BR2" contém as cidades-sede das metrópoles nacionais do nível hierárquico 2 / classe A adotado pelo Observatório das Metrópoles
</t>
    </r>
    <r>
      <rPr>
        <b/>
        <sz val="10"/>
        <color theme="1"/>
        <rFont val="Times New Roman"/>
        <family val="1"/>
      </rPr>
      <t>obs.:</t>
    </r>
    <r>
      <rPr>
        <sz val="10"/>
        <color theme="1"/>
        <rFont val="Times New Roman"/>
        <family val="1"/>
      </rPr>
      <t xml:space="preserve"> "[...] As Metrópoles Nacionais (nível hierárquico 2) distribuem-se entre as classes A [...] e B (Salvador, Recife, Fortaleza)..." conforme BITOUN(2009, p.51)</t>
    </r>
  </si>
  <si>
    <t>Belo Horizonte (AM)</t>
  </si>
  <si>
    <r>
      <t xml:space="preserve">população da área metropolitana em n.º de habitantes
</t>
    </r>
    <r>
      <rPr>
        <b/>
        <sz val="10"/>
        <color theme="1"/>
        <rFont val="Times New Roman"/>
        <family val="1"/>
      </rPr>
      <t xml:space="preserve">obs: </t>
    </r>
    <r>
      <rPr>
        <sz val="10"/>
        <color theme="1"/>
        <rFont val="Times New Roman"/>
        <family val="1"/>
      </rPr>
      <t>resultados de 2007 conforme CAF(2010, p.9/Cuadro 1. Características socioeconómicas); de 2016 conforme DEMOGRAPHIC(2016, p.20), donde se observa que é preciso cuidado ans comparações pois a população em 2016 está menor que a em 2007</t>
    </r>
  </si>
  <si>
    <t>Viena (Áustria)</t>
  </si>
  <si>
    <t>Sevilha (Espanha)</t>
  </si>
  <si>
    <t>Paris (França)</t>
  </si>
  <si>
    <t xml:space="preserve">kneeler
kneeling
</t>
  </si>
  <si>
    <r>
      <rPr>
        <b/>
        <sz val="10"/>
        <color theme="1"/>
        <rFont val="Times New Roman"/>
        <family val="1"/>
      </rPr>
      <t>1)</t>
    </r>
    <r>
      <rPr>
        <sz val="10"/>
        <color theme="1"/>
        <rFont val="Times New Roman"/>
        <family val="1"/>
      </rPr>
      <t xml:space="preserve"> em São Paulo "A acessibilidade é fator determinante para a aplicação operacional e portanto, todos os veículos definidos neste manual devem ser “acessíveis”, considerando como premissa do projeto veicular com [sic] a adoção do “piso baixo”. As características específicas dos veículos de piso alto estão indicadas nos itens em que há diferenças claras em relação ao veículo de piso baixo." conforme SP(2015e, p.6)
</t>
    </r>
    <r>
      <rPr>
        <b/>
        <sz val="10"/>
        <color theme="1"/>
        <rFont val="Times New Roman"/>
        <family val="1"/>
      </rPr>
      <t>2)</t>
    </r>
    <r>
      <rPr>
        <sz val="10"/>
        <color theme="1"/>
        <rFont val="Times New Roman"/>
        <family val="1"/>
      </rPr>
      <t xml:space="preserve"> "O veículo de piso baixo deve ter rampas nas portas de embarque à esquerda e à direita, para uso de pessoas com deficiência em cadeira de rodas ou com mobilidade reduzida." SP(2015e, p.47)
</t>
    </r>
    <r>
      <rPr>
        <b/>
        <sz val="10"/>
        <color theme="1"/>
        <rFont val="Times New Roman"/>
        <family val="1"/>
      </rPr>
      <t>3)</t>
    </r>
    <r>
      <rPr>
        <sz val="10"/>
        <color theme="1"/>
        <rFont val="Times New Roman"/>
        <family val="1"/>
      </rPr>
      <t xml:space="preserve"> "Todos os veículos de piso baixo equipados com suspensão pneumática ou mista devem estar equipados com sistema de movimentação vertical [acesse verbete "kneeler"] que efetue o rebaixamento total ou parcial do carro, para facilitar o embarque e o desembarque de passageiros. Esse sistema deve efetuar o rebaixamento mínimo do veículo em 60 mm, seja para o lado esquerdo, para o lado direito ou totalmente. O sistema também deve efetuar a elevação do veículo em 60 mm, no mínimo, para transposição de obstáculos notáveis durante o trajeto, tais como, lombadas, valetas ou concordância de vias, dentre outras." conforme SP(2016e, p.21)</t>
    </r>
  </si>
  <si>
    <t>sistema de movimentação vertical</t>
  </si>
  <si>
    <t>acesse verbete "kneeler"</t>
  </si>
  <si>
    <r>
      <rPr>
        <b/>
        <sz val="10"/>
        <color theme="1"/>
        <rFont val="Times New Roman"/>
        <family val="1"/>
      </rPr>
      <t>1)</t>
    </r>
    <r>
      <rPr>
        <sz val="10"/>
        <color theme="1"/>
        <rFont val="Times New Roman"/>
        <family val="1"/>
      </rPr>
      <t xml:space="preserve"> "keneeling bus" é expressão em língua inglesa para denominar ônibus com possui um dispositivo acionado pelo motorista que permite o seu "ajoelhamento" para auxiliar os passageiros com mobilidade reduzida diminuindo o gap vertical entre o veículo e local de embarque/desembarque
</t>
    </r>
    <r>
      <rPr>
        <b/>
        <sz val="10"/>
        <color theme="1"/>
        <rFont val="Times New Roman"/>
        <family val="1"/>
      </rPr>
      <t>2)</t>
    </r>
    <r>
      <rPr>
        <sz val="10"/>
        <color theme="1"/>
        <rFont val="Times New Roman"/>
        <family val="1"/>
      </rPr>
      <t xml:space="preserve"> a característica "kneeler" permite um "ajoelhamento" de 10cm nos locais de parada do ônibus ["A kneeler feature can lower the bus suspension by approx. 10 cm at stops serving disabled persons or seniors. This feature permits more rapid boarding by all passengers if the design permits this feature to be installed. Kneeler features are popular with bus drivers in the USA because they speed the boarding process." conforme RICKERT(2007, p.29) ]
</t>
    </r>
    <r>
      <rPr>
        <b/>
        <sz val="10"/>
        <color theme="1"/>
        <rFont val="Times New Roman"/>
        <family val="1"/>
      </rPr>
      <t>3)</t>
    </r>
    <r>
      <rPr>
        <sz val="10"/>
        <color theme="1"/>
        <rFont val="Times New Roman"/>
        <family val="1"/>
      </rPr>
      <t xml:space="preserve"> "Todos os veículos de piso baixo equipados com suspensão pneumática ou mista devem estar equipados com sistema de movimentação vertical [kneeler] que efetue o rebaixamento total ou parcial do carro, para facilitar o embarque e o desembarque de passageiros. Esse sistema deve efetuar o rebaixamento mínimo do veículo em 60 mm, seja para o lado esquerdo, para o lado direito ou totalmente. O sistema também deve efetuar a elevação do veículo em 60 mm, no mínimo, para transposição de obstáculos notáveis durante o trajeto, tais como, lombadas, valetas ou concordância de vias, dentre outras." conforme SP(2016e, p.21)
</t>
    </r>
    <r>
      <rPr>
        <b/>
        <sz val="10"/>
        <color theme="1"/>
        <rFont val="Times New Roman"/>
        <family val="1"/>
      </rPr>
      <t xml:space="preserve">4) </t>
    </r>
    <r>
      <rPr>
        <sz val="10"/>
        <color theme="1"/>
        <rFont val="Times New Roman"/>
        <family val="1"/>
      </rPr>
      <t>"A utilização do sistema de movimentação vertical [kneeler] não deve retardar a operação do veículo. O acionamento deve ser efetuado pelo motorista e o tempo de ação não deve exceder 4 segundos.
O veículo não deve apresentar interferências físicas que dificultem ou impeçam a ação do dispositivo e sua utilização não pode retardar a operação ou causar desconforto aos usuários." conforme SP(2016e, p.22)</t>
    </r>
  </si>
  <si>
    <r>
      <rPr>
        <b/>
        <sz val="12"/>
        <color theme="1"/>
        <rFont val="Times New Roman"/>
        <family val="1"/>
      </rPr>
      <t xml:space="preserve">EC(2016b): </t>
    </r>
    <r>
      <rPr>
        <sz val="12"/>
        <color theme="1"/>
        <rFont val="Times New Roman"/>
        <family val="1"/>
      </rPr>
      <t xml:space="preserve">EUROPEAN COMISSION - EC. </t>
    </r>
    <r>
      <rPr>
        <i/>
        <sz val="12"/>
        <color theme="1"/>
        <rFont val="Times New Roman"/>
        <family val="1"/>
      </rPr>
      <t>What We Are</t>
    </r>
    <r>
      <rPr>
        <sz val="12"/>
        <color theme="1"/>
        <rFont val="Times New Roman"/>
        <family val="1"/>
      </rPr>
      <t>. Brussels, 07/07/2016. Disponível em: &lt;http://ec.europa.eu/about/index_en.htm&gt;. Acesso em: 12 jul. 2016.</t>
    </r>
  </si>
  <si>
    <t>"A Comissão Europeia é o órgão executivo da União Europeia. Ela representa os interesses da União Europeia como um todo (e não os interesses dos países individuais). O termo "Comissão" refere-se tanto ao Colégio de Comissários quanto à própria instituição." conforme EU(2016/tradução livre nossa)</t>
  </si>
  <si>
    <t>"Entende-se como Língua Brasileira de Sinais - Libras a forma de comunicação e expressão, em que o sistema lingüístico de natureza visual-motora, com estrutura gramatical própria, constituem um sistema lingüístico de transmissão de idéias e fatos, oriundos de comunidades de pessoas surdas do Brasil." conforme BRASIL(2002a, art.1º-parágrafo único)</t>
  </si>
  <si>
    <r>
      <rPr>
        <b/>
        <sz val="12"/>
        <color theme="1"/>
        <rFont val="Times New Roman"/>
        <family val="1"/>
      </rPr>
      <t xml:space="preserve">BRASIL(2002a): </t>
    </r>
    <r>
      <rPr>
        <sz val="12"/>
        <color theme="1"/>
        <rFont val="Times New Roman"/>
        <family val="1"/>
      </rPr>
      <t>BRASIL. Lei n.º 10.436, de24 de abril de 2002. Dispõe sobre a Língua Brasileira de Sinais - Libras e dá outras providências. Disponível em: &lt;http://www.planalto.gov.br/ccivil_03/leis/2002/L10436.htm&gt;. Acesso em: 12 jul. 2016.</t>
    </r>
  </si>
  <si>
    <t>Prefeitura de Belo Horizonte</t>
  </si>
  <si>
    <r>
      <rPr>
        <b/>
        <sz val="12"/>
        <color theme="1"/>
        <rFont val="Times New Roman"/>
        <family val="1"/>
      </rPr>
      <t>DEMOGRAPHIA(2016):</t>
    </r>
    <r>
      <rPr>
        <sz val="12"/>
        <color theme="1"/>
        <rFont val="Times New Roman"/>
        <family val="1"/>
      </rPr>
      <t xml:space="preserve"> DEMOGRAPHIA. </t>
    </r>
    <r>
      <rPr>
        <i/>
        <sz val="12"/>
        <color theme="1"/>
        <rFont val="Times New Roman"/>
        <family val="1"/>
      </rPr>
      <t>World Urban Areas - Built Up Urban Areas or World Agglomerations</t>
    </r>
    <r>
      <rPr>
        <sz val="12"/>
        <color theme="1"/>
        <rFont val="Times New Roman"/>
        <family val="1"/>
      </rPr>
      <t>. 12th Annual Edition. April 2016. Disponível em: &lt;http://www.demographia.com/db-worldua.pdf&gt;. Acesso em 11 jul. 2016.</t>
    </r>
  </si>
  <si>
    <r>
      <t xml:space="preserve">Plano de Mobilidade da Região Metropolitana de Belo Horizonte
</t>
    </r>
    <r>
      <rPr>
        <b/>
        <sz val="10"/>
        <color theme="1"/>
        <rFont val="Times New Roman"/>
        <family val="1"/>
      </rPr>
      <t xml:space="preserve">obs.1: </t>
    </r>
    <r>
      <rPr>
        <sz val="10"/>
        <color theme="1"/>
        <rFont val="Times New Roman"/>
        <family val="1"/>
      </rPr>
      <t xml:space="preserve">lançada em junho/2016 licitação para contratação da elaboração do Plano conforme MG(2016b; 2016c)
</t>
    </r>
    <r>
      <rPr>
        <b/>
        <sz val="10"/>
        <color theme="1"/>
        <rFont val="Times New Roman"/>
        <family val="1"/>
      </rPr>
      <t xml:space="preserve">obs.2: </t>
    </r>
    <r>
      <rPr>
        <sz val="10"/>
        <color theme="1"/>
        <rFont val="Times New Roman"/>
        <family val="1"/>
      </rPr>
      <t xml:space="preserve">"O Plano de Mobilidade da Região Metropolitana de Belo Horizonte se pautará pela Política Nacional de Mobilidade Urbana, que, de acordo com o Ministério das Cidades, representa “a reunião das políticas de transporte e de circulação, integrada com a política de desenvolvimento urbano, com a finalidade de proporcionar o acesso amplo e democrático ao espaço urbano, priorizando os modos de transporte coletivo e os não-motorizados, de forma segura, socialmente inclusiva e sustentável”. conforme MG(2016c, p.4)
</t>
    </r>
    <r>
      <rPr>
        <b/>
        <sz val="10"/>
        <color theme="1"/>
        <rFont val="Times New Roman"/>
        <family val="1"/>
      </rPr>
      <t>obs.3:</t>
    </r>
    <r>
      <rPr>
        <sz val="10"/>
        <color theme="1"/>
        <rFont val="Times New Roman"/>
        <family val="1"/>
      </rPr>
      <t xml:space="preserve"> a "acessibilidade universal" é tomada no edital tão somente como um dos princípios da Lei 12.587/2012 conforme MG(2016c, p.4) e a "acessibilidade" é tomada tão somente como um dos temas norteadores (junto a Sistemas Viários, Transporte Público Coletivo, Uso e Ocupação do Solo, Logística Urbana, Incentivo ao Transporte Não Motorizado, Sustentabilidade, Segurança Viária, Governança e Participação Popular) do Plano conforme MG(2016c, p.5)</t>
    </r>
  </si>
  <si>
    <t>TC ac</t>
  </si>
  <si>
    <t>outras cidades</t>
  </si>
  <si>
    <t>campanha "criada com o objetivo de conscientizar a população sobre a importância de respeitar as vagas reservadas para idosos e pessoas com deficiência. [...] inicialmente, a ação foi colocada em prática [...] no ano passado [2014], em Campo Grande (MS), através do blog 'acessibilidade na prática', com uma pequena quantidade de material custeada pelos próprios idealizadores da campanha. Percebendo o sucesso da campanha, Thiago [Helton] resolveu implantar a ideia em Belo Horizonte, com o apoio da Record Minas. A emissora criou um ponto de retirada dos cupons, na própria sede, e o resultado desse apoio é que mais de quatro mil 'multas' já estão circulando por Belo Horizonte." conforme RECORD(2015a)</t>
  </si>
  <si>
    <r>
      <rPr>
        <b/>
        <sz val="12"/>
        <color theme="1"/>
        <rFont val="Times New Roman"/>
        <family val="1"/>
      </rPr>
      <t>RECORD(2015a):</t>
    </r>
    <r>
      <rPr>
        <sz val="12"/>
        <color theme="1"/>
        <rFont val="Times New Roman"/>
        <family val="1"/>
      </rPr>
      <t xml:space="preserve"> </t>
    </r>
    <r>
      <rPr>
        <i/>
        <sz val="12"/>
        <color theme="1"/>
        <rFont val="Times New Roman"/>
        <family val="1"/>
      </rPr>
      <t>RECORD MINAS apoia a “Multa Moral”</t>
    </r>
    <r>
      <rPr>
        <sz val="12"/>
        <color theme="1"/>
        <rFont val="Times New Roman"/>
        <family val="1"/>
      </rPr>
      <t>. Belo Horizonte, 19 ago. 2015. Disponível em: &lt;http://recordminas.com/plus/modulos/noticias/ler.php?cdnoticia=1391&gt;. Acesso em: 30 jun. 2016.</t>
    </r>
  </si>
  <si>
    <t>campanha "criada com o objetivo de conscientizar a população sobre a importância de respeitar as vagas reservadas para idosos e pessoas com deficiência. [...] inicialmente, a ação foi colocada em prática [...] no ano passado [2014], em Campo Grande (MS), através do blog 'acessibilidade na prática', com uma pequena quantidade de material custeada pelos próprios idealizadores da campanha..." conforme RECORD(2015a)</t>
  </si>
  <si>
    <t>selo ambiental</t>
  </si>
  <si>
    <r>
      <rPr>
        <b/>
        <sz val="12"/>
        <color theme="1"/>
        <rFont val="Times New Roman"/>
        <family val="1"/>
      </rPr>
      <t xml:space="preserve">CURITIBA(2008a): </t>
    </r>
    <r>
      <rPr>
        <sz val="12"/>
        <color theme="1"/>
        <rFont val="Times New Roman"/>
        <family val="1"/>
      </rPr>
      <t xml:space="preserve">CURITIBA. Prefeitura. </t>
    </r>
    <r>
      <rPr>
        <i/>
        <sz val="12"/>
        <color theme="1"/>
        <rFont val="Times New Roman"/>
        <family val="1"/>
      </rPr>
      <t>Plano Municipal de Mobilidade Urbana e Transporte Integrado de Curitiba - PlanMob Curitiba</t>
    </r>
    <r>
      <rPr>
        <sz val="12"/>
        <color theme="1"/>
        <rFont val="Times New Roman"/>
        <family val="1"/>
      </rPr>
      <t>: proposta final aprovada pelo CONCITIBA em 04 de dezembro de 2008. Curitiba, 2008. 51p.</t>
    </r>
  </si>
  <si>
    <r>
      <rPr>
        <b/>
        <sz val="12"/>
        <color theme="1"/>
        <rFont val="Times New Roman"/>
        <family val="1"/>
      </rPr>
      <t xml:space="preserve">CURITIBA(2008b): </t>
    </r>
    <r>
      <rPr>
        <sz val="12"/>
        <color theme="1"/>
        <rFont val="Times New Roman"/>
        <family val="1"/>
      </rPr>
      <t xml:space="preserve">CURITIBA. Prefeitura. </t>
    </r>
    <r>
      <rPr>
        <i/>
        <sz val="12"/>
        <color theme="1"/>
        <rFont val="Times New Roman"/>
        <family val="1"/>
      </rPr>
      <t>Plano Municipal de Mobilidade Urbana e Transporte Integrado de Curitiba - PlanMob Curitiba</t>
    </r>
    <r>
      <rPr>
        <sz val="12"/>
        <color theme="1"/>
        <rFont val="Times New Roman"/>
        <family val="1"/>
      </rPr>
      <t>: proposta final aprovada pelo CONCITIBA em 04 de dezembro de 2008. Curitiba, mar. 2008. 52p. Anexo I - Diagnóstico de acessibilidade (item 4.1 do documento-base).</t>
    </r>
  </si>
  <si>
    <r>
      <t xml:space="preserve">"SITES - Sistema Integrado de Transporte do Ensino Especial. Atende aos alunos da rede de escolas especializadas para deficientes físicos e/ou mentais de Curitiba, sem custo para estes usuários." conforme URBS(2016b)
</t>
    </r>
    <r>
      <rPr>
        <b/>
        <sz val="10"/>
        <rFont val="Times New Roman"/>
        <family val="1"/>
      </rPr>
      <t>obs.:</t>
    </r>
    <r>
      <rPr>
        <sz val="10"/>
        <rFont val="Times New Roman"/>
        <family val="1"/>
      </rPr>
      <t xml:space="preserve"> O PlanMob Curitiba de 2008 estabelece como uma de suas diretrizes gerais "Adequar o atendimento do SITES - Sistema Integrado de Transporte Escolar do Ensino Especial, visando atender a demanda existente e a estimada até 2020 para o transporte escolar de ensino especial." conforme CURITIBA(2008a, p.42)</t>
    </r>
  </si>
  <si>
    <r>
      <rPr>
        <b/>
        <sz val="12"/>
        <color theme="1"/>
        <rFont val="Times New Roman"/>
        <family val="1"/>
      </rPr>
      <t xml:space="preserve">CURITIBA(2008e): </t>
    </r>
    <r>
      <rPr>
        <sz val="12"/>
        <color theme="1"/>
        <rFont val="Times New Roman"/>
        <family val="1"/>
      </rPr>
      <t xml:space="preserve">CURITIBA. Prefeitura. </t>
    </r>
    <r>
      <rPr>
        <i/>
        <sz val="12"/>
        <color theme="1"/>
        <rFont val="Times New Roman"/>
        <family val="1"/>
      </rPr>
      <t>Plano Municipal de Mobilidade Urbana e Transporte Integrado de Curitiba - PlanMob Curitiba</t>
    </r>
    <r>
      <rPr>
        <sz val="12"/>
        <color theme="1"/>
        <rFont val="Times New Roman"/>
        <family val="1"/>
      </rPr>
      <t>: proposta final aprovada pelo CONCITIBA em 04 de dezembro de 2008. Curitiba, mar. 2008. [49p.] Anexo IV - Transporte de cargas (item 4.4 do docuento-base)</t>
    </r>
  </si>
  <si>
    <r>
      <rPr>
        <b/>
        <sz val="12"/>
        <color theme="1"/>
        <rFont val="Times New Roman"/>
        <family val="1"/>
      </rPr>
      <t xml:space="preserve">CURITIBA(2008c): </t>
    </r>
    <r>
      <rPr>
        <sz val="12"/>
        <color theme="1"/>
        <rFont val="Times New Roman"/>
        <family val="1"/>
      </rPr>
      <t xml:space="preserve">CURITIBA. Prefeitura. </t>
    </r>
    <r>
      <rPr>
        <i/>
        <sz val="12"/>
        <color theme="1"/>
        <rFont val="Times New Roman"/>
        <family val="1"/>
      </rPr>
      <t>Plano Municipal de Mobilidade Urbana e Transporte Integrado de Curitiba - PlanMob Curitiba</t>
    </r>
    <r>
      <rPr>
        <sz val="12"/>
        <color theme="1"/>
        <rFont val="Times New Roman"/>
        <family val="1"/>
      </rPr>
      <t>: proposta final aprovada pelo CONCITIBA em 04 de dezembro de 2008. Curitiba, mar. 2008. 52p. Anexo IIa - Sistemas viário, de circulação e de trânsito (item 4.2 do documento-base)</t>
    </r>
  </si>
  <si>
    <r>
      <rPr>
        <b/>
        <sz val="12"/>
        <color theme="1"/>
        <rFont val="Times New Roman"/>
        <family val="1"/>
      </rPr>
      <t xml:space="preserve">CURITIBA(2008d): </t>
    </r>
    <r>
      <rPr>
        <sz val="12"/>
        <color theme="1"/>
        <rFont val="Times New Roman"/>
        <family val="1"/>
      </rPr>
      <t xml:space="preserve">CURITIBA. Prefeitura. </t>
    </r>
    <r>
      <rPr>
        <i/>
        <sz val="12"/>
        <color theme="1"/>
        <rFont val="Times New Roman"/>
        <family val="1"/>
      </rPr>
      <t>Plano Municipal de Mobilidade Urbana e Transporte Integrado de Curitiba - PlanMob Curitiba</t>
    </r>
    <r>
      <rPr>
        <sz val="12"/>
        <color theme="1"/>
        <rFont val="Times New Roman"/>
        <family val="1"/>
      </rPr>
      <t>: proposta final aprovada pelo CONCITIBA em 04 de dezembro de 2008. Curitiba, mar. 2008. 52p. Anexo III - Transporte coletivo e comercial de passageiros (item 4.3 do documento-base)</t>
    </r>
  </si>
  <si>
    <r>
      <t xml:space="preserve">Plano Municipal de Mobilidade Urbana e Transporte Integrado de Curitiba 
</t>
    </r>
    <r>
      <rPr>
        <b/>
        <sz val="10"/>
        <color theme="1"/>
        <rFont val="Times New Roman"/>
        <family val="1"/>
      </rPr>
      <t xml:space="preserve">obs.1: </t>
    </r>
    <r>
      <rPr>
        <sz val="10"/>
        <color theme="1"/>
        <rFont val="Times New Roman"/>
        <family val="1"/>
      </rPr>
      <t xml:space="preserve">plano analisado e comparado com o PlanMob-BH em FOLLADOR(2011), pesquisa que teve como objetivo "qualificar e verificar se o Plano de Mobilidade Urbana de Belo Horizonte e o Plano de Mobilidade Urbana e Transporte Integrado de Curitiba contemplam as especificações indicadas no “Caderno de Referência para Elaboração de Plano de Mobilidade” conforme FOLLADOR(2011, resumo). 
</t>
    </r>
    <r>
      <rPr>
        <b/>
        <sz val="10"/>
        <color theme="1"/>
        <rFont val="Times New Roman"/>
        <family val="1"/>
      </rPr>
      <t>obs.2:</t>
    </r>
    <r>
      <rPr>
        <sz val="10"/>
        <color theme="1"/>
        <rFont val="Times New Roman"/>
        <family val="1"/>
      </rPr>
      <t xml:space="preserve"> plano aprovado pelo Conselho da Cidade de Curitiba - Concitiba em 2008 conforme CURITIBA(2008a/b/c/d/e) onde a acessibilidade é tratada de forma específica em CURITIBA(2008a, p.2/item 2, p.15-17/item 5.1.1, p.41-43/item 6.1) e em no anexo CURITIBA(2008b)
</t>
    </r>
    <r>
      <rPr>
        <b/>
        <sz val="10"/>
        <color theme="1"/>
        <rFont val="Times New Roman"/>
        <family val="1"/>
      </rPr>
      <t xml:space="preserve">obs.3: </t>
    </r>
    <r>
      <rPr>
        <sz val="10"/>
        <color theme="1"/>
        <rFont val="Times New Roman"/>
        <family val="1"/>
      </rPr>
      <t>"A Acessibilidade talvez seja o único setor onde o cenário da Curitiba Metropolitana não tenha tamanha preponderância. Menos do que diminuir seus esforços, isso deve ser visto pelo fato que as metas da acessibilidade são universais: a acessibilidade à cidade é direito de todos. De uma análise sobre os Planos Diretores Municipais feitos para os municípios da Região Metropolitana de Curitiba (por exigência do Estatuto das Cidades), observa-se que muito pouca coisa se avançou em termos do que poderia vir a ser um plano ou meramente diretrizes para a Acessibilidade. No caso de Curitiba, a despeito de uma relativa assimilação das diretrizes trazidas por legislação federal, ainda deverão ser realizadas diversas ações. Do mesmo modo, com a crescente normatização que se observa em termos de Acessibilidade, tem-se uma garantia de que essas questões assumam uma prioridade em nível do planejamento municipal." conforme CURITIBA(2008a, p.40)</t>
    </r>
  </si>
  <si>
    <r>
      <t xml:space="preserve">Plano Diretor de Mobilidade
</t>
    </r>
    <r>
      <rPr>
        <b/>
        <sz val="10"/>
        <color theme="1"/>
        <rFont val="Times New Roman"/>
        <family val="1"/>
      </rPr>
      <t xml:space="preserve">obs.1: </t>
    </r>
    <r>
      <rPr>
        <sz val="10"/>
        <color theme="1"/>
        <rFont val="Times New Roman"/>
        <family val="1"/>
      </rPr>
      <t xml:space="preserve">"Consultando esse Caderno [de referência para elaboração do Plano de Mobilidade Urbana], o que se observa é que ele apresenta uma concepção que 'pretende ser inovadora, seguindo os princípios estabelecidos na Política Nacional de Desenvolvimento Urbano e na Política Nacional de Mobilidade Urbana Sustentável' (BRASIL, 2007, p.5). A Semob rebatiza o Plano de transporte urbano integrado previsto no Estatuto da Cidade, também conhecido como Plano de Transporte e Trânsito, como Plano Diretor de Mobilidade - PlanMob ." conforme OLIVEIRA(2014, p.106)
</t>
    </r>
    <r>
      <rPr>
        <b/>
        <sz val="10"/>
        <color theme="1"/>
        <rFont val="Times New Roman"/>
        <family val="1"/>
      </rPr>
      <t xml:space="preserve">obs.2: </t>
    </r>
    <r>
      <rPr>
        <sz val="10"/>
        <color theme="1"/>
        <rFont val="Times New Roman"/>
        <family val="1"/>
      </rPr>
      <t>no SisMob-BH são encontrados na íntegra os planos de mobilidade urbana de Belo Horizonte, Campo Grande, Contagem, Curitiba</t>
    </r>
  </si>
  <si>
    <r>
      <t xml:space="preserve">Plano Diretor de Transporte e Mobilidade Urbana (PDTMU) de Campo Grande - MS
</t>
    </r>
    <r>
      <rPr>
        <b/>
        <sz val="10"/>
        <rFont val="Times New Roman"/>
        <family val="1"/>
      </rPr>
      <t>obs.1:</t>
    </r>
    <r>
      <rPr>
        <sz val="10"/>
        <rFont val="Times New Roman"/>
        <family val="1"/>
      </rPr>
      <t xml:space="preserve"> plano de 2015 conforme CAMPO GRANDE(2015a/b/c)
</t>
    </r>
    <r>
      <rPr>
        <b/>
        <sz val="10"/>
        <rFont val="Times New Roman"/>
        <family val="1"/>
      </rPr>
      <t xml:space="preserve">obs.2: </t>
    </r>
    <r>
      <rPr>
        <sz val="10"/>
        <rFont val="Times New Roman"/>
        <family val="1"/>
      </rPr>
      <t xml:space="preserve">a acessibilidade no suplemento "trânsito e sistema viário" é tratada de forma superficial em CAMPO GRANDE(2015a, p.67-68/item 1.6, p.74/Tabela 17, p.76-77/item 2.2 e p.104-105/item 3.)
</t>
    </r>
    <r>
      <rPr>
        <b/>
        <sz val="10"/>
        <rFont val="Times New Roman"/>
        <family val="1"/>
      </rPr>
      <t xml:space="preserve">obs.3: </t>
    </r>
    <r>
      <rPr>
        <sz val="10"/>
        <rFont val="Times New Roman"/>
        <family val="1"/>
      </rPr>
      <t xml:space="preserve">a acessibilidade no suplemento "transporte coletivo" é praticamente ignorada, sendo tratada (de forma equivocada) apenas em CAMPO GRANDE(2015b, p.40/item 3.5)
</t>
    </r>
    <r>
      <rPr>
        <b/>
        <sz val="10"/>
        <rFont val="Times New Roman"/>
        <family val="1"/>
      </rPr>
      <t xml:space="preserve">obs.4: </t>
    </r>
    <r>
      <rPr>
        <sz val="10"/>
        <rFont val="Times New Roman"/>
        <family val="1"/>
      </rPr>
      <t>a acessibilidade no suplemento "fortalecimento institucional" é praticamente ignorada, sendo tratada superficialmente em CAMPO GRANDE(2015c, p.11/item 2.1)</t>
    </r>
  </si>
  <si>
    <r>
      <rPr>
        <b/>
        <sz val="12"/>
        <color theme="1"/>
        <rFont val="Times New Roman"/>
        <family val="1"/>
      </rPr>
      <t xml:space="preserve">TRENTINI(2016): </t>
    </r>
    <r>
      <rPr>
        <sz val="12"/>
        <color theme="1"/>
        <rFont val="Times New Roman"/>
        <family val="1"/>
      </rPr>
      <t xml:space="preserve">TRENTINI, Sergio. </t>
    </r>
    <r>
      <rPr>
        <i/>
        <sz val="12"/>
        <color theme="1"/>
        <rFont val="Times New Roman"/>
        <family val="1"/>
      </rPr>
      <t>Mapa de declividades: um banco de dados para pensar a acessibilidade em Belo Horizonte</t>
    </r>
    <r>
      <rPr>
        <sz val="12"/>
        <color theme="1"/>
        <rFont val="Times New Roman"/>
        <family val="1"/>
      </rPr>
      <t xml:space="preserve">. Porto Alegre, </t>
    </r>
    <r>
      <rPr>
        <i/>
        <sz val="12"/>
        <color theme="1"/>
        <rFont val="Times New Roman"/>
        <family val="1"/>
      </rPr>
      <t>The City Fix Brasil - WRI Brasil</t>
    </r>
    <r>
      <rPr>
        <sz val="12"/>
        <color theme="1"/>
        <rFont val="Times New Roman"/>
        <family val="1"/>
      </rPr>
      <t>, 12 jul. 2016. Disponível em: &lt;http://thecityfixbrasil.com/2016/07/12/mapa-de-declividades-um-banco-de-dados-para-pensar-a-acessibilidade-em-belo-horizonte/&gt;. Acesso em: 18 jul. 2016.</t>
    </r>
  </si>
  <si>
    <t>verbete
MFO</t>
  </si>
  <si>
    <r>
      <rPr>
        <b/>
        <sz val="12"/>
        <color theme="1"/>
        <rFont val="Times New Roman"/>
        <family val="1"/>
      </rPr>
      <t>IEMA (2015d):</t>
    </r>
    <r>
      <rPr>
        <sz val="12"/>
        <color theme="1"/>
        <rFont val="Times New Roman"/>
        <family val="1"/>
      </rPr>
      <t xml:space="preserve"> INSTITUTO DE ENERGIA E MEIO AMBIENTE - IEMA; LOGIT; EMPRESA DE TRANSPORTES E TRÂNSITO DE BELO HORIZONTE S.A - BHTRANS. </t>
    </r>
    <r>
      <rPr>
        <i/>
        <sz val="12"/>
        <color theme="1"/>
        <rFont val="Times New Roman"/>
        <family val="1"/>
      </rPr>
      <t xml:space="preserve">Relatório das Oficinas Participativas - Estratégia de Gestão da Demanda de Viagens no Município de Belo Horizonte. </t>
    </r>
    <r>
      <rPr>
        <sz val="12"/>
        <color theme="1"/>
        <rFont val="Times New Roman"/>
        <family val="1"/>
      </rPr>
      <t>São Paulo, jun. 2016. 48p.</t>
    </r>
  </si>
  <si>
    <t>Plano de Mobilidade Urbana</t>
  </si>
  <si>
    <r>
      <t xml:space="preserve">"Art. 24. O Plano de Mobilidade Urbana é o instrumento de efetivação da Política Nacional de Mobilidade
Urbana e deverá contemplar os princípios, os objetivos e as diretrizes desta Lei [12.587/2012], bem como:
I - os serviços de transporte público coletivo; II - a circulação viária; III - as infraestruturas do sistema de mobilidade urbana; IV - a acessibilidade para pessoas com deficiência e restrição de mobilidade; V - a integração dos modos de transporte público e destes com os privados e os não motorizados; VI - a operação e o disciplinamento do transporte de carga na infraestrutura viária; VII - os polos geradores de viagens; VIII - as áreas de estacionamentos públicos e privados, gratuitos ou onerosos; IX - as áreas e horários de acesso e circulação restrita ou controlada; X - os mecanismos e instrumentos de financiamento do transporte público coletivo e da infraestrutura de mobilidade urbana; e XI - a sistemática de avaliação, revisão e atualização periódica do Plano de Mobilidade Urbana em prazo não superior a 10 (dez) anos. § 1o Em Municípios acima de 20.000 (vinte mil) habitantes e em todos os demais obrigados, na forma da lei, à elaboração do plano diretor, deverá ser elaborado o Plano de Mobilidade Urbana, integrado e compatível com os respectivos planos diretores ou neles inserido. § 2o Nos Municípios sem sistema de transporte público coletivo ou individual, o Plano de Mobilidade Urbana deverá ter o foco no transporte não motorizado e no planejamento da infraestrutura urbana destinada aos deslocamentos a pé e por bicicleta, de acordo com a legislação vigente.
§ 3o O Plano de Mobilidade Urbana deverá ser integrado ao plano diretor municipal, existente ou em
elaboração, no prazo máximo de 3 (três) anos da vigência desta Lei. § 4o Os Municípios que não tenham elaborado o Plano de Mobilidade Urbana na data de promulgação desta Lei terão o prazo máximo de 3 (três) anos de sua vigência para elaborá-lo. Findo o prazo, ficam impedidos de receber recursos orçamentários federais destinados à mobilidade urbana até que atendam à exigência desta Lei [12.587/2012]." conforme BRASIL(2012)
</t>
    </r>
    <r>
      <rPr>
        <b/>
        <sz val="10"/>
        <color theme="1"/>
        <rFont val="Times New Roman"/>
        <family val="1"/>
      </rPr>
      <t>obs.:</t>
    </r>
    <r>
      <rPr>
        <i/>
        <sz val="10"/>
        <color theme="1"/>
        <rFont val="Times New Roman"/>
        <family val="1"/>
      </rPr>
      <t xml:space="preserve"> </t>
    </r>
    <r>
      <rPr>
        <sz val="10"/>
        <color theme="1"/>
        <rFont val="Times New Roman"/>
        <family val="1"/>
      </rPr>
      <t>acesse verbetes "PlanMob", "Plano de Acessibilidade", "PlanCal" e "PlanCiclo" de diversas cidades/regiões</t>
    </r>
  </si>
  <si>
    <t>PlanCal</t>
  </si>
  <si>
    <r>
      <rPr>
        <b/>
        <sz val="12"/>
        <color theme="1"/>
        <rFont val="Times New Roman"/>
        <family val="1"/>
      </rPr>
      <t xml:space="preserve">IPPUC(2016a): </t>
    </r>
    <r>
      <rPr>
        <sz val="12"/>
        <color theme="1"/>
        <rFont val="Times New Roman"/>
        <family val="1"/>
      </rPr>
      <t xml:space="preserve">INSTITUTO DE PESQUISA E PLANEJAMENTO URBANO DE CURITIBA - IPPUC. Plano Diretor - Planos estratégicos. </t>
    </r>
    <r>
      <rPr>
        <i/>
        <sz val="12"/>
        <color theme="1"/>
        <rFont val="Times New Roman"/>
        <family val="1"/>
      </rPr>
      <t>Plano de Acessibilidade</t>
    </r>
    <r>
      <rPr>
        <sz val="12"/>
        <color theme="1"/>
        <rFont val="Times New Roman"/>
        <family val="1"/>
      </rPr>
      <t>. Disponível em: &lt;http://ippuc.org.br/mostrarPagina.php?pagina=313&amp;idioma=1&amp;titulo=&gt;. Acesso em: 18 jul. 2016.</t>
    </r>
  </si>
  <si>
    <t>"a ser elaborado" conforme IPPUC(2016a)</t>
  </si>
  <si>
    <r>
      <rPr>
        <b/>
        <sz val="12"/>
        <color theme="1"/>
        <rFont val="Times New Roman"/>
        <family val="1"/>
      </rPr>
      <t xml:space="preserve">IPPUC(2014a): </t>
    </r>
    <r>
      <rPr>
        <sz val="12"/>
        <color theme="1"/>
        <rFont val="Times New Roman"/>
        <family val="1"/>
      </rPr>
      <t xml:space="preserve">INSTITUTO DE PESQUISA E PLANEJAMENTO URBANO DE CURITIBA - IPPUC. Plano Diretor - Planos estratégicos. </t>
    </r>
    <r>
      <rPr>
        <i/>
        <sz val="12"/>
        <color theme="1"/>
        <rFont val="Times New Roman"/>
        <family val="1"/>
      </rPr>
      <t>PlanCal - Plano Estratégico de Calçadas- Apresentação</t>
    </r>
    <r>
      <rPr>
        <sz val="12"/>
        <color theme="1"/>
        <rFont val="Times New Roman"/>
        <family val="1"/>
      </rPr>
      <t>. Curitiba, 2014. [16p.] Disponível em: &lt;http://ippuc.org.br/mostrarPagina.php?pagina=313&amp;idioma=1&amp;titulo=&gt;. Acesso em: 18 jul. 2016.</t>
    </r>
  </si>
  <si>
    <t>Plano de Pedestrianização e Calçadas de Curitiba ou Plano Estratégico de Calçadas de Curitiba conforme IPPUC(2014a/b)</t>
  </si>
  <si>
    <r>
      <rPr>
        <b/>
        <sz val="12"/>
        <color theme="1"/>
        <rFont val="Times New Roman"/>
        <family val="1"/>
      </rPr>
      <t xml:space="preserve">IPPUC(2013a): </t>
    </r>
    <r>
      <rPr>
        <sz val="12"/>
        <color theme="1"/>
        <rFont val="Times New Roman"/>
        <family val="1"/>
      </rPr>
      <t xml:space="preserve">INSTITUTO DE PESQUISA E PLANEJAMENTO URBANO DE CURITIBA - IPPUC. Plano Diretor - Planos estratégicos. </t>
    </r>
    <r>
      <rPr>
        <i/>
        <sz val="12"/>
        <color theme="1"/>
        <rFont val="Times New Roman"/>
        <family val="1"/>
      </rPr>
      <t>PlanCiclo - Plano Cicloviário - Apresentação</t>
    </r>
    <r>
      <rPr>
        <sz val="12"/>
        <color theme="1"/>
        <rFont val="Times New Roman"/>
        <family val="1"/>
      </rPr>
      <t>. Curitiba, 2013. [22p.] Disponível em: &lt;&gt;. Acesso em: 18 jul. 2016.</t>
    </r>
  </si>
  <si>
    <r>
      <rPr>
        <b/>
        <sz val="12"/>
        <color theme="1"/>
        <rFont val="Times New Roman"/>
        <family val="1"/>
      </rPr>
      <t xml:space="preserve">IPPUC(2013b): </t>
    </r>
    <r>
      <rPr>
        <sz val="12"/>
        <color theme="1"/>
        <rFont val="Times New Roman"/>
        <family val="1"/>
      </rPr>
      <t xml:space="preserve">INSTITUTO DE PESQUISA E PLANEJAMENTO URBANO DE CURITIBA - IPPUC. Plano Diretor - Planos estratégicos. </t>
    </r>
    <r>
      <rPr>
        <i/>
        <sz val="12"/>
        <color theme="1"/>
        <rFont val="Times New Roman"/>
        <family val="1"/>
      </rPr>
      <t>PlanCiclo - Plano Cicloviário - Painel</t>
    </r>
    <r>
      <rPr>
        <sz val="12"/>
        <color theme="1"/>
        <rFont val="Times New Roman"/>
        <family val="1"/>
      </rPr>
      <t>. Curitiba, 2013. [1p.] Disponível em: &lt;&gt;. Acesso em: 18 jul. 2016.</t>
    </r>
  </si>
  <si>
    <r>
      <rPr>
        <b/>
        <sz val="12"/>
        <color theme="1"/>
        <rFont val="Times New Roman"/>
        <family val="1"/>
      </rPr>
      <t xml:space="preserve">IPPUC(2014b): </t>
    </r>
    <r>
      <rPr>
        <sz val="12"/>
        <color theme="1"/>
        <rFont val="Times New Roman"/>
        <family val="1"/>
      </rPr>
      <t xml:space="preserve">INSTITUTO DE PESQUISA E PLANEJAMENTO URBANO DE CURITIBA - IPPUC. Plano Diretor - Planos estratégicos. </t>
    </r>
    <r>
      <rPr>
        <i/>
        <sz val="12"/>
        <color theme="1"/>
        <rFont val="Times New Roman"/>
        <family val="1"/>
      </rPr>
      <t>PlanCal - Plano Estratégico de Calçadas- Painel</t>
    </r>
    <r>
      <rPr>
        <sz val="12"/>
        <color theme="1"/>
        <rFont val="Times New Roman"/>
        <family val="1"/>
      </rPr>
      <t>. Curitiba, 2014. [1p.] Disponível em: &lt;http://ippuc.org.br/mostrarPagina.php?pagina=313&amp;idioma=1&amp;titulo=&gt;. Acesso em: 18 jul. 2016.</t>
    </r>
  </si>
  <si>
    <r>
      <rPr>
        <b/>
        <sz val="12"/>
        <color theme="1"/>
        <rFont val="Times New Roman"/>
        <family val="1"/>
      </rPr>
      <t xml:space="preserve">IPPUC(2013c): </t>
    </r>
    <r>
      <rPr>
        <sz val="12"/>
        <color theme="1"/>
        <rFont val="Times New Roman"/>
        <family val="1"/>
      </rPr>
      <t xml:space="preserve">INSTITUTO DE PESQUISA E PLANEJAMENTO URBANO DE CURITIBA - IPPUC. Plano Diretor - Planos estratégicos. </t>
    </r>
    <r>
      <rPr>
        <i/>
        <sz val="12"/>
        <color theme="1"/>
        <rFont val="Times New Roman"/>
        <family val="1"/>
      </rPr>
      <t>PlanCiclo - Plano Cicloviário - Paraciclos</t>
    </r>
    <r>
      <rPr>
        <sz val="12"/>
        <color theme="1"/>
        <rFont val="Times New Roman"/>
        <family val="1"/>
      </rPr>
      <t>. Curitiba, 2013. [34p.] Disponível em: &lt;&gt;. Acesso em: 18 jul. 2016.</t>
    </r>
  </si>
  <si>
    <t>PlanCiclo</t>
  </si>
  <si>
    <t>Plano Cicloviário de Curitiba conforme IPPUC(2013a/b/c)</t>
  </si>
  <si>
    <t>restante RMBH</t>
  </si>
  <si>
    <t>população da Região Metropolitana de Belo Horizonte (RMBH) sem Belo Horizonte, ou seja, somatório do n.º de habitantes de todos os municípios da RMBH exceto Belo Horizonte, com base em resultados divulgados anualmente pelo IBGE, seja pelos censos (a cada dez anos), seja por contagens populacionais (anualmente, entre os censos)</t>
  </si>
  <si>
    <t>P(RMBH) - P(Belo Horizonte)</t>
  </si>
  <si>
    <r>
      <t>área da RMBH (expressa em km</t>
    </r>
    <r>
      <rPr>
        <vertAlign val="superscript"/>
        <sz val="10"/>
        <rFont val="Times New Roman"/>
        <family val="1"/>
      </rPr>
      <t>2</t>
    </r>
    <r>
      <rPr>
        <sz val="10"/>
        <rFont val="Times New Roman"/>
        <family val="1"/>
      </rPr>
      <t>) sem Belo Horizonte</t>
    </r>
  </si>
  <si>
    <t>área(RMBH) - área(Belo Horizonte)</t>
  </si>
  <si>
    <t>restante da RMBH</t>
  </si>
  <si>
    <r>
      <rPr>
        <b/>
        <sz val="12"/>
        <color theme="0"/>
        <rFont val="Times New Roman"/>
        <family val="1"/>
      </rPr>
      <t>NP</t>
    </r>
    <r>
      <rPr>
        <b/>
        <sz val="12"/>
        <color theme="1"/>
        <rFont val="Times New Roman"/>
        <family val="1"/>
      </rPr>
      <t xml:space="preserve">
% de passageiros em transporte executivo</t>
    </r>
  </si>
  <si>
    <t>NPM</t>
  </si>
  <si>
    <t>NPM (%)</t>
  </si>
  <si>
    <t>NPM/25</t>
  </si>
  <si>
    <r>
      <t xml:space="preserve">percentual de capitais brasileiras com plano de mobilidade elaborado
</t>
    </r>
    <r>
      <rPr>
        <b/>
        <sz val="10"/>
        <color theme="1"/>
        <rFont val="Times New Roman"/>
        <family val="1"/>
      </rPr>
      <t/>
    </r>
  </si>
  <si>
    <r>
      <t xml:space="preserve">n.º de capitais brasileiras com plano de mobilidade elaborado
obs.: resultado de 2013 conforme OLIVEIRA(2014, p.163-164)
</t>
    </r>
    <r>
      <rPr>
        <b/>
        <sz val="10"/>
        <color theme="1"/>
        <rFont val="Times New Roman"/>
        <family val="1"/>
      </rPr>
      <t xml:space="preserve">obs.1: </t>
    </r>
    <r>
      <rPr>
        <sz val="10"/>
        <color theme="1"/>
        <rFont val="Times New Roman"/>
        <family val="1"/>
      </rPr>
      <t xml:space="preserve">resultados de 2013 conforme GREENPEACE citado por OLIVEIRA(2014, p.163-164) e de 2016 conforme GREENPEACE(2016)
</t>
    </r>
    <r>
      <rPr>
        <b/>
        <sz val="10"/>
        <color theme="1"/>
        <rFont val="Times New Roman"/>
        <family val="1"/>
      </rPr>
      <t xml:space="preserve">obs.2: </t>
    </r>
    <r>
      <rPr>
        <sz val="10"/>
        <color theme="1"/>
        <rFont val="Times New Roman"/>
        <family val="1"/>
      </rPr>
      <t xml:space="preserve">as capitais brasileiras consideradas pelo Greenpeace com plano concluído em 2013 são Belo Horizonte (MG), Cuiabá (MT), Porto Velho (RO), Rio Branco (AC), Rio de Janeiro (RJ), Salvador (BA), Vitória (ES) conforme OLIVEIRA(__)
</t>
    </r>
    <r>
      <rPr>
        <b/>
        <sz val="10"/>
        <color theme="1"/>
        <rFont val="Times New Roman"/>
        <family val="1"/>
      </rPr>
      <t>obs.3:</t>
    </r>
    <r>
      <rPr>
        <sz val="10"/>
        <color theme="1"/>
        <rFont val="Times New Roman"/>
        <family val="1"/>
      </rPr>
      <t xml:space="preserve"> em 2016 o Greenpeace considera que as capitais com plano concluído são (menos que em 2013) apenas Belo Horizonte, Boa Vista, Brasília e Vitória conforme OLIVEIRA(__)</t>
    </r>
  </si>
  <si>
    <r>
      <t xml:space="preserve">n.º de capitais brasileiras com plano de mobilidade elaborado
obs.: resultado de 2013 conforme OLIVEIRA(2014, p.163-164)
</t>
    </r>
    <r>
      <rPr>
        <b/>
        <sz val="10"/>
        <color theme="1"/>
        <rFont val="Times New Roman"/>
        <family val="1"/>
      </rPr>
      <t xml:space="preserve">obs.1: </t>
    </r>
    <r>
      <rPr>
        <sz val="10"/>
        <color theme="1"/>
        <rFont val="Times New Roman"/>
        <family val="1"/>
      </rPr>
      <t xml:space="preserve">resultados de 2013 conforme GREENPEACE citado por OLIVEIRA(2014, p.163-164) e de 2016 conforme GREENPEACE(2016)
</t>
    </r>
    <r>
      <rPr>
        <b/>
        <sz val="10"/>
        <color theme="1"/>
        <rFont val="Times New Roman"/>
        <family val="1"/>
      </rPr>
      <t xml:space="preserve">obs.2: </t>
    </r>
    <r>
      <rPr>
        <sz val="10"/>
        <color theme="1"/>
        <rFont val="Times New Roman"/>
        <family val="1"/>
      </rPr>
      <t xml:space="preserve">as capitais brasileiras consideradas pelo Greenpeace com plano concluído em 2013 são Belo Horizonte (MG), Cuiabá (MT), Porto Velho (RO), Rio Branco (AC), Rio de Janeiro (RJ), Salvador (BA), Vitória (ES) conforme </t>
    </r>
    <r>
      <rPr>
        <sz val="10"/>
        <color rgb="FFFF0000"/>
        <rFont val="Times New Roman"/>
        <family val="1"/>
      </rPr>
      <t>OLIVEIRA(__)</t>
    </r>
    <r>
      <rPr>
        <sz val="10"/>
        <color theme="1"/>
        <rFont val="Times New Roman"/>
        <family val="1"/>
      </rPr>
      <t xml:space="preserve">
</t>
    </r>
    <r>
      <rPr>
        <b/>
        <sz val="10"/>
        <color theme="1"/>
        <rFont val="Times New Roman"/>
        <family val="1"/>
      </rPr>
      <t>obs.3:</t>
    </r>
    <r>
      <rPr>
        <sz val="10"/>
        <color theme="1"/>
        <rFont val="Times New Roman"/>
        <family val="1"/>
      </rPr>
      <t xml:space="preserve"> em 2016 o Greenpeace considera que as capitais com plano concluído são (menos que em 2013) apenas Belo Horizonte, Boa Vista, Brasília e Vitória conforme </t>
    </r>
    <r>
      <rPr>
        <sz val="10"/>
        <color rgb="FFFF0000"/>
        <rFont val="Times New Roman"/>
        <family val="1"/>
      </rPr>
      <t>OLIVEIRA(__)</t>
    </r>
  </si>
  <si>
    <r>
      <rPr>
        <b/>
        <sz val="12"/>
        <color theme="1"/>
        <rFont val="Times New Roman"/>
        <family val="1"/>
      </rPr>
      <t xml:space="preserve">RIBEIRO(2013): </t>
    </r>
    <r>
      <rPr>
        <sz val="12"/>
        <color theme="1"/>
        <rFont val="Times New Roman"/>
        <family val="1"/>
      </rPr>
      <t xml:space="preserve">RIBEIRO, Luiz Cesar de Queiroz; RIBEIRO, Marcelo Gomes (Org.). </t>
    </r>
    <r>
      <rPr>
        <i/>
        <sz val="12"/>
        <color theme="1"/>
        <rFont val="Times New Roman"/>
        <family val="1"/>
      </rPr>
      <t>Ibeu</t>
    </r>
    <r>
      <rPr>
        <sz val="12"/>
        <color theme="1"/>
        <rFont val="Times New Roman"/>
        <family val="1"/>
      </rPr>
      <t xml:space="preserve">: índice de bem-estar urbano. Rio de Janeiro: Letra Capital, 2013. 264p. Disponível para baixar em: &lt;http://observatoriodasmetropoles.net/index.php?option=com_abook&amp;view=book&amp;catid=1%3Alivros&amp;id=135%3Aindice-de-bem-estar-urbano-ibeu&amp;Itemid=123&amp;lang=pt&gt;. Acesso em 17 jul. 2016. </t>
    </r>
  </si>
  <si>
    <t>IAFV
(Mobilize)</t>
  </si>
  <si>
    <r>
      <t xml:space="preserve">sem definição de sigla específica e aqui denominado "IAFV (Mobilize)", trata-se de um "nota atribuída" associada à "Porcentagem de ônibus municipais acessíveis a pessoas com deficiência física" conforme MOBILIZE(2016b)
</t>
    </r>
    <r>
      <rPr>
        <b/>
        <sz val="10"/>
        <color theme="1"/>
        <rFont val="Times New Roman"/>
        <family val="1"/>
      </rPr>
      <t xml:space="preserve">obs.: </t>
    </r>
    <r>
      <rPr>
        <sz val="10"/>
        <color theme="1"/>
        <rFont val="Times New Roman"/>
        <family val="1"/>
      </rPr>
      <t>a fonte consultada não fornece informações sobre como se calcula o indicador e, por isto, em 04/05 e 23/05/2016 o SisMob-BH enviou solicitação de informações aos responsáveis pela plataforma para que se possa proceder à análise</t>
    </r>
  </si>
  <si>
    <t>ibeu</t>
  </si>
  <si>
    <t>ibeu (D1)</t>
  </si>
  <si>
    <t>Velocidades, tempos e volumes</t>
  </si>
  <si>
    <t>ibeu
(D5 calçada)</t>
  </si>
  <si>
    <t>ibeu
(D5 rampa)</t>
  </si>
  <si>
    <r>
      <t xml:space="preserve">índice de bem-estar urbano
</t>
    </r>
    <r>
      <rPr>
        <b/>
        <sz val="10"/>
        <color theme="1"/>
        <rFont val="Times New Roman"/>
        <family val="1"/>
      </rPr>
      <t>obs.:</t>
    </r>
    <r>
      <rPr>
        <sz val="10"/>
        <color theme="1"/>
        <rFont val="Times New Roman"/>
        <family val="1"/>
      </rPr>
      <t xml:space="preserve"> "calculado para as principais regiões metropolitanas do Brasil", "O IBEU procura avaliar a dimensão urbana do bem-estar usufruído pelos cidadãos brasileiros promovido pelo mercado, via o consumo mercantil, e pelos serviços sociais prestados pelo Estado. Tal dimensão está relacionada com as condições coletivas de vida promovidas pelo ambiente construído da cidade, nas escalas da habitação e da sua vizinhança próxima, e pelos equipamentos e serviços urbanos. O IBEU foi calculado para os 15 grandes aglomerados urbanos que identificamos em outros estudos1 como as metrópoles brasileiras, por exercerem funções de direção, comando e coordenação dos fluxos econômicos. [...] O IBEU contém cinco dimensões: mobilidade urbana; condições ambientais urbanas; condições habitacionais urbanas; atendimento de serviços coletivos urbanos; infraestrutura urbana. E cada uma dessas dimensões é constituída por um conjunto de indicadores, construídos a partir do censo demográfico do Instituto Brasileiro de Geografia e Estatística (IBGE) de 2010." conforme RIBEIRO(2013, p.7)
obs.2: acesse "ibeu (D1)" e "ibeu (D5)"</t>
    </r>
  </si>
  <si>
    <r>
      <t xml:space="preserve">dimensão 5 (infra-estrutura) do "ibeu" conforme RIIBEIRO(2013, p.72-80)
</t>
    </r>
    <r>
      <rPr>
        <b/>
        <sz val="10"/>
        <color theme="1"/>
        <rFont val="Times New Roman"/>
        <family val="1"/>
      </rPr>
      <t>obs.1:</t>
    </r>
    <r>
      <rPr>
        <sz val="10"/>
        <color theme="1"/>
        <rFont val="Times New Roman"/>
        <family val="1"/>
      </rPr>
      <t xml:space="preserve"> dentre os sete indicadores selecionados para compor o ibeu (D5) destam-se dois que interessam particularmente ao projeto Acessibilidae para Todos/SisMob-BH; um deles é "Calçada", descrito como 
"Proporção de pessoas que moram em domicílios cujo entorno possui calçada" conforme RIBEIRO(2013, p.23)
</t>
    </r>
    <r>
      <rPr>
        <b/>
        <sz val="10"/>
        <color theme="1"/>
        <rFont val="Times New Roman"/>
        <family val="1"/>
      </rPr>
      <t>obs.2:</t>
    </r>
    <r>
      <rPr>
        <sz val="10"/>
        <color theme="1"/>
        <rFont val="Times New Roman"/>
        <family val="1"/>
      </rPr>
      <t xml:space="preserve"> acesse "ibeu", "ibeu (D1)" e "ibeu (D5 rampa)"</t>
    </r>
  </si>
  <si>
    <r>
      <t xml:space="preserve">dimensão 5 (infra-estrutura) do "ibeu" conforme RIIBEIRO(2013, p.72-80)
</t>
    </r>
    <r>
      <rPr>
        <b/>
        <sz val="10"/>
        <color theme="1"/>
        <rFont val="Times New Roman"/>
        <family val="1"/>
      </rPr>
      <t>obs.1:</t>
    </r>
    <r>
      <rPr>
        <sz val="10"/>
        <color theme="1"/>
        <rFont val="Times New Roman"/>
        <family val="1"/>
      </rPr>
      <t xml:space="preserve"> dentre os sete indicadores selecionados para compor o ibeu (D5) destam-se dois que interessam particularmente ao projeto Acessibilidae para Todos/SisMob-BH; um deles é "Rampa para cadeirante" descrito como "Proporção de pessoas que moram em domicílios cujo entorno possui rampa para cadeirante", cada qual com peso "1/35" no ibeu geral conforme RIBEIRO(2013, p.23)
</t>
    </r>
    <r>
      <rPr>
        <b/>
        <sz val="10"/>
        <color theme="1"/>
        <rFont val="Times New Roman"/>
        <family val="1"/>
      </rPr>
      <t>obs.2:</t>
    </r>
    <r>
      <rPr>
        <sz val="10"/>
        <color theme="1"/>
        <rFont val="Times New Roman"/>
        <family val="1"/>
      </rPr>
      <t xml:space="preserve"> acesse "ibeu", "ibeu (D1)" e "ibeu (D5 calçada)"</t>
    </r>
  </si>
  <si>
    <t>faltando lançar resultados de ibeu e de ibeu (D5) calçada e rampa conforme RIBEIRO</t>
  </si>
  <si>
    <t>D1</t>
  </si>
  <si>
    <t>Igarapé</t>
  </si>
  <si>
    <t>município</t>
  </si>
  <si>
    <t>acessibilidade para todos no metrô</t>
  </si>
  <si>
    <r>
      <rPr>
        <b/>
        <sz val="12"/>
        <rFont val="Times New Roman"/>
        <family val="1"/>
      </rPr>
      <t xml:space="preserve">FUNDEP(2011): </t>
    </r>
    <r>
      <rPr>
        <sz val="12"/>
        <rFont val="Times New Roman"/>
        <family val="1"/>
      </rPr>
      <t>FUNDAÇÃO DE DESENVOLVIMENTO DA PESQUISA - FUNDEP. </t>
    </r>
    <r>
      <rPr>
        <i/>
        <sz val="12"/>
        <rFont val="Times New Roman"/>
        <family val="1"/>
      </rPr>
      <t>Proposta de prestação de serviços - Consultoria técnica para uma série de 03 apresentações sobre acessibilidade no sistema de metrô de BH</t>
    </r>
    <r>
      <rPr>
        <sz val="12"/>
        <rFont val="Times New Roman"/>
        <family val="1"/>
      </rPr>
      <t>. Cliente: Companhia Brasileira de Trens Urbanos - CBTU. Belo Horizonte, novembro 2011.</t>
    </r>
  </si>
  <si>
    <r>
      <rPr>
        <b/>
        <sz val="12"/>
        <rFont val="Times New Roman"/>
        <family val="1"/>
      </rPr>
      <t xml:space="preserve">CBTU(2011): </t>
    </r>
    <r>
      <rPr>
        <sz val="12"/>
        <rFont val="Times New Roman"/>
        <family val="1"/>
      </rPr>
      <t>COMPANHIA BRASILEIRA DE TRENS URBANOS - CBTU. SUPERINTENDÊNCIA DE BELO HORIZONTE - STU/BH. GERÊNCIA REGIONAL DE OBRAS - GIOBR. COORDENADORIA OPERACIONAL DE PROJETOS - COPRO. </t>
    </r>
    <r>
      <rPr>
        <i/>
        <sz val="12"/>
        <rFont val="Times New Roman"/>
        <family val="1"/>
      </rPr>
      <t>Termo de referência - Organização de evento para instrução e orientação sobre exigências da legislação e normas técnicas relativas à acessibiliddae e consultoria com avaliação crítica em projetos de acessibilidade executados e implantados pela CBTU/STU-BH</t>
    </r>
    <r>
      <rPr>
        <sz val="12"/>
        <rFont val="Times New Roman"/>
        <family val="1"/>
      </rPr>
      <t>. Belo Horizonte, novembro 2011. 14p.</t>
    </r>
  </si>
  <si>
    <r>
      <t xml:space="preserve">"acessibilidade para todos no Metrô BH" é a denominação dada ao documento elaborado pela Escola de Arquitetura da UFMG conforme EA/UFMG(2012a/b/c) como resultado de contratação de consultoria da Companhia Brasileira de Trens Urbanos conforme FUNDEP(2011) e CBTU(2011)
</t>
    </r>
    <r>
      <rPr>
        <b/>
        <sz val="10"/>
        <rFont val="Times New Roman"/>
        <family val="1"/>
      </rPr>
      <t xml:space="preserve">obs.: </t>
    </r>
    <r>
      <rPr>
        <sz val="10"/>
        <rFont val="Times New Roman"/>
        <family val="1"/>
      </rPr>
      <t>acesse também os verbetes "para todos" e "acessibilidade para todos"</t>
    </r>
  </si>
  <si>
    <r>
      <rPr>
        <b/>
        <sz val="12"/>
        <rFont val="Times New Roman"/>
        <family val="1"/>
      </rPr>
      <t xml:space="preserve">EA/UFMG(2011a/b/c): </t>
    </r>
    <r>
      <rPr>
        <sz val="12"/>
        <rFont val="Times New Roman"/>
        <family val="1"/>
      </rPr>
      <t>ESCOLA DE ARQUITETURA DA UNIVERSIDADE FEDERAL DE MINAS GERAIS – EA/UFMG. LABORATÓRIO ADAPTSE. </t>
    </r>
    <r>
      <rPr>
        <i/>
        <sz val="12"/>
        <rFont val="Times New Roman"/>
        <family val="1"/>
      </rPr>
      <t>Design universal e acessibilidade para todos aplicados ao transporte público</t>
    </r>
    <r>
      <rPr>
        <sz val="12"/>
        <rFont val="Times New Roman"/>
        <family val="1"/>
      </rPr>
      <t>. Belo Horizonte: EA-UFMG, [2012], n.p. [a/167p.; b/132p.; c/104p.)</t>
    </r>
  </si>
  <si>
    <r>
      <t xml:space="preserve">relação entre frota e população, calculando-se a quantidade de veículos registrados no território para cada habitante, indicador por vezes expresso na forma de 1 habitante para cada x veículos
</t>
    </r>
    <r>
      <rPr>
        <b/>
        <sz val="10"/>
        <rFont val="Times New Roman"/>
        <family val="1"/>
      </rPr>
      <t xml:space="preserve">obs.: </t>
    </r>
    <r>
      <rPr>
        <sz val="10"/>
        <rFont val="Times New Roman"/>
        <family val="1"/>
      </rPr>
      <t>selecionado como indicador de referência da ação "tornar o transporte coletivo mais atrativo frente ao transporte individual" do Plano de Redução de Emissões de Gases de Efeito Estufa - Pregee do Comitê Municipal sobre Mudanças Climáticas e Ecoeficiência - CMMCE (Secretaria Municipal de Meio Ambiente - SMMA da Prefeitura de Belo Horizonte)</t>
    </r>
  </si>
  <si>
    <t>Plano de Mobilidade Urbana de Carga</t>
  </si>
  <si>
    <t>"diretrizes para subsidiar a elaboração de Planos de Mobilidade Urbana de Carga" e "um método de avaliação do grau de desenvolvimento das políticas públicas e ações municipais relacionadas à distribuição urbana de mercadorias." são propotas em ABREU(2015)</t>
  </si>
  <si>
    <t>Sistema de transporte de carga</t>
  </si>
  <si>
    <r>
      <t xml:space="preserve">qualidade boa do ar, que é dada pela quantidade de dias a cada ano nos quais a qualidade do ar foi foi classificada como "boa"
</t>
    </r>
    <r>
      <rPr>
        <b/>
        <sz val="10"/>
        <rFont val="Times New Roman"/>
        <family val="1"/>
      </rPr>
      <t xml:space="preserve">obs.1: </t>
    </r>
    <r>
      <rPr>
        <sz val="10"/>
        <rFont val="Times New Roman"/>
        <family val="1"/>
      </rPr>
      <t xml:space="preserve">resultados de 2001 a 2011 conforme FEAM/MG(2003a, 2003b; 2005; 2006; 2007; 2008; 2009; 2010; 2011; 2013)
</t>
    </r>
    <r>
      <rPr>
        <b/>
        <sz val="10"/>
        <rFont val="Times New Roman"/>
        <family val="1"/>
      </rPr>
      <t xml:space="preserve">obs.2: </t>
    </r>
    <r>
      <rPr>
        <sz val="10"/>
        <rFont val="Times New Roman"/>
        <family val="1"/>
      </rPr>
      <t>como os resultados da equação fornecem números fracionados, deve-se estar atento para que a soma dos arredondamentos gere um total de dias = n.º de dias do ano em questão (com atenção para os anos bissextos que, nesta série, são 2004/2008/2012/2016)</t>
    </r>
  </si>
  <si>
    <r>
      <t xml:space="preserve">percentual de dias com qualidade do ar boa em relação à quantidade de dias com qualidade do ar monitorada
</t>
    </r>
    <r>
      <rPr>
        <b/>
        <sz val="10"/>
        <rFont val="Times New Roman"/>
        <family val="1"/>
      </rPr>
      <t xml:space="preserve">obs.1: </t>
    </r>
    <r>
      <rPr>
        <sz val="10"/>
        <rFont val="Times New Roman"/>
        <family val="1"/>
      </rPr>
      <t xml:space="preserve">esse indicador foi especialmente criado para substituir o indicador IdAmb ou InAmb contido no Balanço da Mobilidade de Belo Horizonte (anos-base 2010 e 2011) e apresenta resultados diferentes dos lá publicados.
</t>
    </r>
    <r>
      <rPr>
        <b/>
        <sz val="10"/>
        <rFont val="Times New Roman"/>
        <family val="1"/>
      </rPr>
      <t xml:space="preserve">obs.2: </t>
    </r>
    <r>
      <rPr>
        <sz val="10"/>
        <rFont val="Times New Roman"/>
        <family val="1"/>
      </rPr>
      <t xml:space="preserve">indicador estratégico da BHTrans denominado como: "Percentual de dias com qualidade do ar boa" (BHTRANS, 2015d)
</t>
    </r>
    <r>
      <rPr>
        <b/>
        <sz val="10"/>
        <rFont val="Times New Roman"/>
        <family val="1"/>
      </rPr>
      <t xml:space="preserve">obs.3: </t>
    </r>
    <r>
      <rPr>
        <sz val="10"/>
        <rFont val="Times New Roman"/>
        <family val="1"/>
      </rPr>
      <t xml:space="preserve">resultado de 2011 confere com o apresentado em BH(2016e, p.90)
</t>
    </r>
    <r>
      <rPr>
        <b/>
        <sz val="10"/>
        <rFont val="Times New Roman"/>
        <family val="1"/>
      </rPr>
      <t>obs.4:</t>
    </r>
    <r>
      <rPr>
        <sz val="10"/>
        <rFont val="Times New Roman"/>
        <family val="1"/>
      </rPr>
      <t xml:space="preserve"> este indicador está inserido no Portal da Gestão da PBH com polaridade "Quanto Maior, Melhor", sem resultados e sem fórmula e por isto o SisMob-BH </t>
    </r>
    <r>
      <rPr>
        <sz val="10"/>
        <color rgb="FFFF0000"/>
        <rFont val="Times New Roman"/>
        <family val="1"/>
      </rPr>
      <t>enviou e-mail à DPL com as informações em dd/mm/aaaa</t>
    </r>
  </si>
  <si>
    <t>veículos leves</t>
  </si>
  <si>
    <t>veículos pesados</t>
  </si>
  <si>
    <r>
      <rPr>
        <b/>
        <sz val="12"/>
        <rFont val="Times New Roman"/>
        <family val="1"/>
      </rPr>
      <t>BRASIL(2012a):</t>
    </r>
    <r>
      <rPr>
        <sz val="12"/>
        <rFont val="Times New Roman"/>
        <family val="1"/>
      </rPr>
      <t xml:space="preserve"> BRASIL. </t>
    </r>
    <r>
      <rPr>
        <i/>
        <sz val="12"/>
        <rFont val="Times New Roman"/>
        <family val="1"/>
      </rPr>
      <t>Lei n.º 12.587, de 3 de janeiro de 2012</t>
    </r>
    <r>
      <rPr>
        <sz val="12"/>
        <rFont val="Times New Roman"/>
        <family val="1"/>
      </rPr>
      <t>. Institui as diretrizes da Política Nacional de Mobilidade Urbana; revoga dispositivos dos Decretos-Leis nos 3.326, de 3 de junho de 1941, e 5.405, de 13 de abril de 1943, da Consolidação das Leis do Trabalho (CLT), aprovada pelo Decreto-Lei no 5.452, de 1o de maio de 1943, e das Leis nos 5.917, de 10 de setembro de 1973, e 6.261, de 14 de novembro de 1975; e dá outras providências. Versão consolidada disponível em</t>
    </r>
    <r>
      <rPr>
        <i/>
        <sz val="12"/>
        <rFont val="Times New Roman"/>
        <family val="1"/>
      </rPr>
      <t xml:space="preserve">: </t>
    </r>
    <r>
      <rPr>
        <sz val="12"/>
        <rFont val="Times New Roman"/>
        <family val="1"/>
      </rPr>
      <t>&lt;http://www.planalto.gov.br/ccivil_03/_ato2011-2014/2012/lei/l12587.htm&gt;. Acesso em 20 jan. 2016.</t>
    </r>
  </si>
  <si>
    <t>"...os tipos de veículos registrados e licenciados devem estar classificados conforme as duas denominações descritas a seguir: I - “VEÍCULOS LEVES” correspondendo a ciclomotor, motoneta, motocicleta, triciclo, quadriciclo, automóvel, utilitário, caminhonete e camioneta, com peso bruto total - PBT inferior ou igual a 3.500 kg [...]" conforme BRASIL(2011a, art.8º/§ 1º)</t>
  </si>
  <si>
    <t>"...os tipos de veículos registrados e licenciados devem estar classificados conforme as duas denominações descritas a seguir: [...] II - “VEÍCULOS PESADOS” correspondendo a ônibus, micro-ônibus, caminhão,
caminhão-trator, trator de rodas, trator misto, chassi-plataforma, motor-casa, reboque ou
semirreboque e suas combinações" conforme BRASIL(2011a, art.8º/§ 1º)</t>
  </si>
  <si>
    <t>F veículos leves</t>
  </si>
  <si>
    <r>
      <t xml:space="preserve">frota de veículos leves registrados no município de Belo Horizonte
</t>
    </r>
    <r>
      <rPr>
        <b/>
        <sz val="10"/>
        <color theme="1"/>
        <rFont val="Times New Roman"/>
        <family val="1"/>
      </rPr>
      <t>obs.1:</t>
    </r>
    <r>
      <rPr>
        <sz val="10"/>
        <color theme="1"/>
        <rFont val="Times New Roman"/>
        <family val="1"/>
      </rPr>
      <t xml:space="preserve"> no Portal da Gestão da PBH há um indicador incorretamente denominado de "Frota total de veículos leves registrados no território", com fórmula "Frota de veículos leves (automóveis + caminhonetes + caminhonetas)" com polaridade "Quanto Maior, Pior" e resultados anuais de 2013 a 2015, destacando-se que além da incorreção na definição/denominação do indicador são apresentados resultados de 2013 a 32015 idênticos à frota total (indicador "F") conforme BH(2016h1/h2/h3) e por isto o SisMob-BH enviou </t>
    </r>
    <r>
      <rPr>
        <sz val="10"/>
        <color rgb="FFFF0000"/>
        <rFont val="Times New Roman"/>
        <family val="1"/>
      </rPr>
      <t>e-mail à DPL  em dd/mm/aaaa para que os erros sejam corrigidos</t>
    </r>
    <r>
      <rPr>
        <sz val="10"/>
        <color theme="1"/>
        <rFont val="Times New Roman"/>
        <family val="1"/>
      </rPr>
      <t xml:space="preserve">
</t>
    </r>
    <r>
      <rPr>
        <b/>
        <sz val="10"/>
        <color theme="1"/>
        <rFont val="Times New Roman"/>
        <family val="1"/>
      </rPr>
      <t>obs.2:</t>
    </r>
    <r>
      <rPr>
        <sz val="10"/>
        <color theme="1"/>
        <rFont val="Times New Roman"/>
        <family val="1"/>
      </rPr>
      <t xml:space="preserve"> acesse "F acc" </t>
    </r>
  </si>
  <si>
    <r>
      <t xml:space="preserve">frota de veículos pesados registrados no município de Belo Horizonte
</t>
    </r>
    <r>
      <rPr>
        <b/>
        <sz val="10"/>
        <color theme="1"/>
        <rFont val="Times New Roman"/>
        <family val="1"/>
      </rPr>
      <t xml:space="preserve">obs.: </t>
    </r>
    <r>
      <rPr>
        <sz val="10"/>
        <color theme="1"/>
        <rFont val="Times New Roman"/>
        <family val="1"/>
      </rPr>
      <t xml:space="preserve">acesse "veículos pesados"
</t>
    </r>
  </si>
  <si>
    <t>Art.1° A medição das velocidades desenvolvidas pelos veículos automotores,</t>
  </si>
  <si>
    <t>elétricos, reboques e semirreboques nas vias públicas deve ser efetuada por meio de</t>
  </si>
  <si>
    <t>instrumento ou equipamento que registre ou indique a velocidade medida, com ou sem</t>
  </si>
  <si>
    <t>dispositivo registrador de imagem dos seguintes tipos:</t>
  </si>
  <si>
    <t>I - Fixo: medidor de velocidade com registro de imagens instalado em local</t>
  </si>
  <si>
    <t>definido e em caráter permanente;</t>
  </si>
  <si>
    <t>II - Estático: medidor de velocidade com registro de imagens instalado em</t>
  </si>
  <si>
    <t>veículo parado ou em suporte apropriado;</t>
  </si>
  <si>
    <t>III - Móvel: medidor de velocidade instalado em veículo em movimento,</t>
  </si>
  <si>
    <t>procedendo a medição ao longo da via;</t>
  </si>
  <si>
    <t>IV - Portátil: medidor de velocidade direcionado manualmente para o veículo</t>
  </si>
  <si>
    <t>alvo.</t>
  </si>
  <si>
    <t>BRASIL(2011a)</t>
  </si>
  <si>
    <r>
      <rPr>
        <b/>
        <sz val="12"/>
        <color theme="0"/>
        <rFont val="Times New Roman"/>
        <family val="1"/>
      </rPr>
      <t>RT vfd / RT vf</t>
    </r>
    <r>
      <rPr>
        <b/>
        <sz val="12"/>
        <rFont val="Times New Roman"/>
        <family val="1"/>
      </rPr>
      <t xml:space="preserve">
% de vagas reservadas para PcD</t>
    </r>
  </si>
  <si>
    <t>RT vf</t>
  </si>
  <si>
    <t>RT vfd</t>
  </si>
  <si>
    <r>
      <t xml:space="preserve">percentual de vagas físicas reservadas para inclusão, ou seja, para idoso ou para pessoa com deficiência em quarteirão rotativo, em relação ao total de vagas físicas rotativas
</t>
    </r>
    <r>
      <rPr>
        <b/>
        <sz val="10"/>
        <rFont val="Times New Roman"/>
        <family val="1"/>
      </rPr>
      <t>obs.:</t>
    </r>
    <r>
      <rPr>
        <sz val="10"/>
        <rFont val="Times New Roman"/>
        <family val="1"/>
      </rPr>
      <t xml:space="preserve"> esse resultado é uma aproximação do que, efetivamente, seria o "% de vagas reservadas para inclusão", pois o correto seria usar como denominador o n.º total de vagas de estacionamento existentes (rotativas ou não) nos quarteirões rotativos (em vez de n.º de vagas físicas rotativas), mas essa é uma variável para a qual não há resultados disponíveis</t>
    </r>
  </si>
  <si>
    <t>São Paulo (SP)</t>
  </si>
  <si>
    <t>Belo Horizonte (MG)</t>
  </si>
  <si>
    <t>usados no gráfico</t>
  </si>
  <si>
    <t>index.do Quadro 100a</t>
  </si>
  <si>
    <t>Gráfico 24e - População de Belo Horizonte em comparação com as demais cidades da RMBH (2010)</t>
  </si>
  <si>
    <t>Grafico 24e</t>
  </si>
  <si>
    <t>Gráfico 24f</t>
  </si>
  <si>
    <t>Gráfico 24f - Comparação da população de Belo Horizonte com a das demais cidades brasileiras selecionadas no benchmarking SisMob-BH
(censo 2010)</t>
  </si>
  <si>
    <t>Gráfico 24g</t>
  </si>
  <si>
    <t>Gráfico 24g - Comparação da população da área metropolitana de Belo Horizonte com as das demais áreas metropolitanas da categoria "benchmarking SisMob-BH CAF" (2007)</t>
  </si>
  <si>
    <r>
      <t xml:space="preserve">a categoria "benchmarking SisMob-BH CAF" contém as áreas metropolitanas da América Latina selecionadas para análise no Observatorio de Movilidad para América Latina conforme CAF(2010)
</t>
    </r>
    <r>
      <rPr>
        <b/>
        <sz val="10"/>
        <rFont val="Times New Roman"/>
        <family val="1"/>
      </rPr>
      <t>obs.:</t>
    </r>
    <r>
      <rPr>
        <sz val="10"/>
        <rFont val="Times New Roman"/>
        <family val="1"/>
      </rPr>
      <t xml:space="preserve"> essas áreas são AM Belo Horizonte, AM Curitiba, AM Porto Alegre, AM Rio de Janeiro e AM São Paulo, além de AM Bogotá, AM Buenos Aires, AM Caracas, AM Cidade do México, AM Guadalajara, AM Leon, AM Lima, AM Montevidéu,  AM San José da Costa Rica e AM Santiago do Chile</t>
    </r>
  </si>
  <si>
    <r>
      <t xml:space="preserve">cidades/áreas metropolitanas selecionadas pelo SisMob-BH para terem seus resultados buscados para comparação com os de Belo Horizonte 
</t>
    </r>
    <r>
      <rPr>
        <b/>
        <sz val="10"/>
        <color theme="1"/>
        <rFont val="Times New Roman"/>
        <family val="1"/>
      </rPr>
      <t xml:space="preserve">obs.: </t>
    </r>
    <r>
      <rPr>
        <sz val="10"/>
        <color theme="1"/>
        <rFont val="Times New Roman"/>
        <family val="1"/>
      </rPr>
      <t>o SisMob-BH estabeleceu sete categorias de cidades para o seu benchmarking (BR1 a BR3; CAF; M1 a M3)</t>
    </r>
  </si>
  <si>
    <t>população cidade</t>
  </si>
  <si>
    <t>população AM ou região</t>
  </si>
  <si>
    <t>população do gráfico (milhões)</t>
  </si>
  <si>
    <t>Gráfico 810m</t>
  </si>
  <si>
    <t>Gráfico 24h - população</t>
  </si>
  <si>
    <t>Gráfico 24h - Comparação da população de Belo Horizonte e do restante da RMBH com a população das demais cidades/regiões selecionadas no benchmarking SisMob-BH que possuem resultados relativos à frota de ônibus piso baixo
(ano 2010 para Brasil e ano 2016 para demais)</t>
  </si>
  <si>
    <r>
      <t xml:space="preserve">a categoria "benchmarking SisMob-BH BR4" contém as cidades/regiões brasileiras para as quais foram encontrados resultados quantitativos de ônibus de piso baixo
</t>
    </r>
    <r>
      <rPr>
        <b/>
        <sz val="10"/>
        <color theme="1"/>
        <rFont val="Times New Roman"/>
        <family val="1"/>
      </rPr>
      <t>obs.:</t>
    </r>
    <r>
      <rPr>
        <sz val="10"/>
        <color theme="1"/>
        <rFont val="Times New Roman"/>
        <family val="1"/>
      </rPr>
      <t xml:space="preserve"> selecionadas Belo Horizonte, Contagem, Curitiba, Joinville, RMBH exceto BH</t>
    </r>
  </si>
  <si>
    <r>
      <rPr>
        <b/>
        <sz val="12"/>
        <color theme="1"/>
        <rFont val="Times New Roman"/>
        <family val="1"/>
      </rPr>
      <t>BH(2016i):</t>
    </r>
    <r>
      <rPr>
        <sz val="12"/>
        <color theme="1"/>
        <rFont val="Times New Roman"/>
        <family val="1"/>
      </rPr>
      <t xml:space="preserve"> BELO HORIZONTE. Prefeitura. Secretaria Municipal Adjunta de Planejamento Urbano. </t>
    </r>
    <r>
      <rPr>
        <i/>
        <sz val="12"/>
        <color theme="1"/>
        <rFont val="Times New Roman"/>
        <family val="1"/>
      </rPr>
      <t xml:space="preserve">Nota Técnica sobre principais alterações em relação aos Projetos de Lei nº 1.749/15 e 1.750/15 dadas pelos respectivos substitutivos encaminhados pelo Executivo à Câmara Municipal. </t>
    </r>
    <r>
      <rPr>
        <sz val="12"/>
        <color theme="1"/>
        <rFont val="Times New Roman"/>
        <family val="1"/>
      </rPr>
      <t>[2016]</t>
    </r>
  </si>
  <si>
    <t>Treinamento 2016: Transporte coletivo para todos. Respeitar e cuidar</t>
  </si>
  <si>
    <r>
      <t xml:space="preserve">frota de veículos leves registrados no município de Belo Horizonte
</t>
    </r>
    <r>
      <rPr>
        <b/>
        <sz val="10"/>
        <color theme="1"/>
        <rFont val="Times New Roman"/>
        <family val="1"/>
      </rPr>
      <t>obs.1:</t>
    </r>
    <r>
      <rPr>
        <sz val="10"/>
        <color theme="1"/>
        <rFont val="Times New Roman"/>
        <family val="1"/>
      </rPr>
      <t xml:space="preserve"> no Portal da Gestão da PBH há um indicador incorretamente denominado de "Frota total de veículos leves registrados no território", com fórmula "Frota de veículos leves (automóveis + caminhonetes + caminhonetas)" com polaridade (que precisa ser relativizada) "Quanto Maior, Pior" e resultados anuais de 2013 a 2015, destacando-se que além da incorreção na definição/denominação do indicador são apresentados resultados de 2013 a 32015 idênticos à frota total (indicador "F") conforme BH(2016h1/h2/h3) e por isto o SisMob-BH enviou e-mail à DPL em dd/mm/aaaa para que os erros sejam corrigidos
</t>
    </r>
    <r>
      <rPr>
        <b/>
        <sz val="10"/>
        <color theme="1"/>
        <rFont val="Times New Roman"/>
        <family val="1"/>
      </rPr>
      <t>obs.2:</t>
    </r>
    <r>
      <rPr>
        <sz val="10"/>
        <color theme="1"/>
        <rFont val="Times New Roman"/>
        <family val="1"/>
      </rPr>
      <t xml:space="preserve"> acesse "F acc" e "veículos leves"</t>
    </r>
  </si>
  <si>
    <t>F veículos leves
(n.º)</t>
  </si>
  <si>
    <t>F veículos leves
(%)</t>
  </si>
  <si>
    <t>F veículos pesados
(n.º)</t>
  </si>
  <si>
    <t>F veículos pesados
(%)</t>
  </si>
  <si>
    <t>percentual da frota de veículos leves registrados no município de Belo Horizonte</t>
  </si>
  <si>
    <t>percentual da frota de veículos pesados registrados no município de Belo Horizonte</t>
  </si>
  <si>
    <t>(F veículos leves / F) x 100</t>
  </si>
  <si>
    <t>(F veículos pesados / F) x 100</t>
  </si>
  <si>
    <t>Gráfico 96a</t>
  </si>
  <si>
    <t>RM Curitiba</t>
  </si>
  <si>
    <t>RM Recife</t>
  </si>
  <si>
    <t>RM Salvador</t>
  </si>
  <si>
    <t>RM Porto Alegre</t>
  </si>
  <si>
    <t>RM Fortaleza</t>
  </si>
  <si>
    <t>RIDE-DF</t>
  </si>
  <si>
    <r>
      <rPr>
        <b/>
        <sz val="12"/>
        <color theme="1"/>
        <rFont val="Times New Roman"/>
        <family val="1"/>
      </rPr>
      <t xml:space="preserve">BRASIL(2015c): </t>
    </r>
    <r>
      <rPr>
        <sz val="12"/>
        <color theme="1"/>
        <rFont val="Times New Roman"/>
        <family val="1"/>
      </rPr>
      <t xml:space="preserve">BRASIL. Ministério d Integração Nacional. </t>
    </r>
    <r>
      <rPr>
        <i/>
        <sz val="12"/>
        <color theme="1"/>
        <rFont val="Times New Roman"/>
        <family val="1"/>
      </rPr>
      <t>Região Integrada de Desenvolvimento do Distrito Federal e Entorno - RIDE-DF</t>
    </r>
    <r>
      <rPr>
        <sz val="12"/>
        <color theme="1"/>
        <rFont val="Times New Roman"/>
        <family val="1"/>
      </rPr>
      <t>. Brassília, 19 maio 2015. Disponível em: &lt;http://www.mi.gov.br/regioes_integradas_df_rides&gt;. Acesso em: 22 jul. 2016.</t>
    </r>
  </si>
  <si>
    <r>
      <t xml:space="preserve">Região Integrada de Desenvolvimento do Distrito Federal e Entorno
</t>
    </r>
    <r>
      <rPr>
        <b/>
        <sz val="10"/>
        <rFont val="Times New Roman"/>
        <family val="1"/>
      </rPr>
      <t xml:space="preserve">obs.: </t>
    </r>
    <r>
      <rPr>
        <sz val="10"/>
        <rFont val="Times New Roman"/>
        <family val="1"/>
      </rPr>
      <t>a RIDE-DF "foi criada pela Lei Complementar nº 94, de 19 de fevereiro de 1998 e regulamentada pelo Decreto nº 2.710, de 04 de agosto de 1998, alterado pelo Decreto nº 3.445, de 04 de maio de 2000" conforme BRASIL(2015c)</t>
    </r>
  </si>
  <si>
    <t>Região Metropolitana de São Paulo</t>
  </si>
  <si>
    <t>ibeu (D5)</t>
  </si>
  <si>
    <r>
      <t xml:space="preserve">"ibeu (D5)" é a dimensão 5 (infraestrutura urbana) do "ibeu" conforme RIBEIRO(2013, p.21)
</t>
    </r>
    <r>
      <rPr>
        <b/>
        <sz val="10"/>
        <color theme="1"/>
        <rFont val="Times New Roman"/>
        <family val="1"/>
      </rPr>
      <t>obs.1:</t>
    </r>
    <r>
      <rPr>
        <sz val="10"/>
        <color theme="1"/>
        <rFont val="Times New Roman"/>
        <family val="1"/>
      </rPr>
      <t xml:space="preserve"> são sete os indicadores que compoêm o ibeu(D5): iluminação pública, pavimentação, calçada, meio-fio/guia, bueiro ou boca de lobo, rampa para cadeirantes e logradouros, medido na escala "0,000 a 1,000" (com o maior bem-estar possível = 1,00) e peso "1/5" no ibeu geral conforme RIBEIRO(2013, p.23)
</t>
    </r>
    <r>
      <rPr>
        <b/>
        <sz val="10"/>
        <color theme="1"/>
        <rFont val="Times New Roman"/>
        <family val="1"/>
      </rPr>
      <t xml:space="preserve">obs.2: </t>
    </r>
    <r>
      <rPr>
        <sz val="10"/>
        <color theme="1"/>
        <rFont val="Times New Roman"/>
        <family val="1"/>
      </rPr>
      <t>acesse "ibeu" e "ibeu (D1)"</t>
    </r>
  </si>
  <si>
    <t>bench-marking</t>
  </si>
  <si>
    <r>
      <rPr>
        <b/>
        <sz val="12"/>
        <color theme="1"/>
        <rFont val="Times New Roman"/>
        <family val="1"/>
      </rPr>
      <t>F por categoria (BH):</t>
    </r>
    <r>
      <rPr>
        <sz val="12"/>
        <color theme="1"/>
        <rFont val="Times New Roman"/>
        <family val="1"/>
      </rPr>
      <t xml:space="preserve"> resultados de 2015 foram solicitados por e-mail ao Setor de Estatística do Detran-MG em 20/07/2016 e houve resposta em 25/07/2016 (solicitação feita à GEPIN (Cinthia) em 22/07/2016 não foi respondida). Solicitar resultados de 2016 no início do ano 2017 (já que os resultados não são encontrados na </t>
    </r>
    <r>
      <rPr>
        <i/>
        <sz val="12"/>
        <color theme="1"/>
        <rFont val="Times New Roman"/>
        <family val="1"/>
      </rPr>
      <t xml:space="preserve">home page </t>
    </r>
    <r>
      <rPr>
        <sz val="12"/>
        <color theme="1"/>
        <rFont val="Times New Roman"/>
        <family val="1"/>
      </rPr>
      <t xml:space="preserve">do Detran-MG e, surpreendentemente, são diferentes dos disponíveis na </t>
    </r>
    <r>
      <rPr>
        <i/>
        <sz val="12"/>
        <color theme="1"/>
        <rFont val="Times New Roman"/>
        <family val="1"/>
      </rPr>
      <t xml:space="preserve">home page </t>
    </r>
    <r>
      <rPr>
        <sz val="12"/>
        <color theme="1"/>
        <rFont val="Times New Roman"/>
        <family val="1"/>
      </rPr>
      <t>do Denatran).</t>
    </r>
  </si>
  <si>
    <r>
      <rPr>
        <b/>
        <sz val="12"/>
        <color theme="1"/>
        <rFont val="Times New Roman"/>
        <family val="1"/>
      </rPr>
      <t>MG(2015a):</t>
    </r>
    <r>
      <rPr>
        <sz val="12"/>
        <color theme="1"/>
        <rFont val="Times New Roman"/>
        <family val="1"/>
      </rPr>
      <t xml:space="preserve"> MINAS GERAIS. Departamento de Trânsito de Minas Gerais - Detran-MG. Setor de Estatística. </t>
    </r>
    <r>
      <rPr>
        <i/>
        <sz val="12"/>
        <color theme="1"/>
        <rFont val="Times New Roman"/>
        <family val="1"/>
      </rPr>
      <t>Frota circulante BH 2014 - área de abrangência Belo Horizonte</t>
    </r>
    <r>
      <rPr>
        <sz val="12"/>
        <color theme="1"/>
        <rFont val="Times New Roman"/>
        <family val="1"/>
      </rPr>
      <t>. Belo Horizonte, 3 fev. 2015 (planilha anexa a e-mail do Setor de Estatística do Detran/MG ao SisMob-BH em 03/02/2015).</t>
    </r>
  </si>
  <si>
    <r>
      <t xml:space="preserve">frota de veículos da categoria "reboque" registrada no município
</t>
    </r>
    <r>
      <rPr>
        <b/>
        <sz val="10"/>
        <rFont val="Times New Roman"/>
        <family val="1"/>
      </rPr>
      <t xml:space="preserve">obs.: </t>
    </r>
    <r>
      <rPr>
        <sz val="10"/>
        <rFont val="Times New Roman"/>
        <family val="1"/>
      </rPr>
      <t>resultados de 2008-2014 conforme BHTRANS(2013b); MG(2013; 2014; 2015a); de 2015 conforme MG(2015b)</t>
    </r>
  </si>
  <si>
    <r>
      <t xml:space="preserve">frota de veículos da categoria "quadriciclo" registrada no município
</t>
    </r>
    <r>
      <rPr>
        <b/>
        <sz val="10"/>
        <rFont val="Times New Roman"/>
        <family val="1"/>
      </rPr>
      <t xml:space="preserve">obs.: </t>
    </r>
    <r>
      <rPr>
        <sz val="10"/>
        <rFont val="Times New Roman"/>
        <family val="1"/>
      </rPr>
      <t>resultados de 2008-2014 conforme BHTRANS(2013b); MG(2013; 2014; 2015a); de 2015 conforme MG(2015b)</t>
    </r>
  </si>
  <si>
    <r>
      <t xml:space="preserve">frota de veículos da categoria "ônibus" registrados no município
</t>
    </r>
    <r>
      <rPr>
        <b/>
        <sz val="10"/>
        <color theme="1"/>
        <rFont val="Times New Roman"/>
        <family val="1"/>
      </rPr>
      <t>obs.:</t>
    </r>
    <r>
      <rPr>
        <sz val="10"/>
        <color theme="1"/>
        <rFont val="Times New Roman"/>
        <family val="1"/>
      </rPr>
      <t xml:space="preserve"> resultados de 1999-2014 conforme BHTRANS(2013b); MG(2013; 2014; 2015a); de 2015 conforme MG(2015b)</t>
    </r>
  </si>
  <si>
    <r>
      <t xml:space="preserve">frota de veículos da categoria "não informado" registrada no município
</t>
    </r>
    <r>
      <rPr>
        <b/>
        <sz val="10"/>
        <rFont val="Times New Roman"/>
        <family val="1"/>
      </rPr>
      <t xml:space="preserve">obs.: </t>
    </r>
    <r>
      <rPr>
        <sz val="10"/>
        <rFont val="Times New Roman"/>
        <family val="1"/>
      </rPr>
      <t>resultados de 2008-2014 conforme BHTRANS(2013b); MG(2013; 2014; 2015a); de 2015 conforme MG(2015b)</t>
    </r>
  </si>
  <si>
    <r>
      <t xml:space="preserve">frota de ciclomotores registrados no município
</t>
    </r>
    <r>
      <rPr>
        <b/>
        <sz val="10"/>
        <color theme="1"/>
        <rFont val="Times New Roman"/>
        <family val="1"/>
      </rPr>
      <t xml:space="preserve">obs.: </t>
    </r>
    <r>
      <rPr>
        <sz val="10"/>
        <color theme="1"/>
        <rFont val="Times New Roman"/>
        <family val="1"/>
      </rPr>
      <t>resultados de 2004-2014 conforme BHTRANS(2013b); MG(2013; 2014; 2015a); de 2015 conforme MG(2015b)</t>
    </r>
  </si>
  <si>
    <r>
      <t xml:space="preserve">frota de motocicletas registradas no município
</t>
    </r>
    <r>
      <rPr>
        <b/>
        <sz val="10"/>
        <color theme="1"/>
        <rFont val="Times New Roman"/>
        <family val="1"/>
      </rPr>
      <t xml:space="preserve">obs.: </t>
    </r>
    <r>
      <rPr>
        <sz val="10"/>
        <color theme="1"/>
        <rFont val="Times New Roman"/>
        <family val="1"/>
      </rPr>
      <t>resultados de 1999-2014 conforme BHTRANS(2013b); MG(2013; 2014; 2015a); de 2015 conforme MG(2015b)</t>
    </r>
  </si>
  <si>
    <r>
      <t xml:space="preserve">frota de motonetas registradas no município
</t>
    </r>
    <r>
      <rPr>
        <b/>
        <sz val="10"/>
        <color theme="1"/>
        <rFont val="Times New Roman"/>
        <family val="1"/>
      </rPr>
      <t xml:space="preserve">obs.: </t>
    </r>
    <r>
      <rPr>
        <sz val="10"/>
        <color theme="1"/>
        <rFont val="Times New Roman"/>
        <family val="1"/>
      </rPr>
      <t>resultados de 2004-2014 conforme BHTRANS(2013b); MG(2013; 2014; 2015a); de 2015 conforme MG(2015b)</t>
    </r>
  </si>
  <si>
    <r>
      <t xml:space="preserve">frota de veículos da categoria "experiência" registrada no município
</t>
    </r>
    <r>
      <rPr>
        <b/>
        <sz val="10"/>
        <rFont val="Times New Roman"/>
        <family val="1"/>
      </rPr>
      <t xml:space="preserve">obs.: </t>
    </r>
    <r>
      <rPr>
        <sz val="10"/>
        <rFont val="Times New Roman"/>
        <family val="1"/>
      </rPr>
      <t>resultados de 2008-2014 conforme BHTRANS(2013b); MG(2013; 2014; 2015a); de 2015 conforme MG(2015b)</t>
    </r>
  </si>
  <si>
    <r>
      <t xml:space="preserve">frota de veículos da categoria "fabricante" registrada no município
</t>
    </r>
    <r>
      <rPr>
        <b/>
        <sz val="10"/>
        <rFont val="Times New Roman"/>
        <family val="1"/>
      </rPr>
      <t xml:space="preserve">obs.: </t>
    </r>
    <r>
      <rPr>
        <sz val="10"/>
        <rFont val="Times New Roman"/>
        <family val="1"/>
      </rPr>
      <t>resultados de 2008-2014 conforme BHTRANS(2013b); MG(2013; 2014; 2015a); de 2015 conforme MG(2015b)</t>
    </r>
  </si>
  <si>
    <r>
      <t xml:space="preserve">frota de veículos da categoria "microônibus" registrada no município
</t>
    </r>
    <r>
      <rPr>
        <b/>
        <sz val="10"/>
        <rFont val="Times New Roman"/>
        <family val="1"/>
      </rPr>
      <t xml:space="preserve">obs.: </t>
    </r>
    <r>
      <rPr>
        <sz val="10"/>
        <rFont val="Times New Roman"/>
        <family val="1"/>
      </rPr>
      <t>resultados de 2008-2014 conforme BHTRANS(2013b); MG(2013; 2014; 2015a); de 2015 conforme MG(2015b)</t>
    </r>
  </si>
  <si>
    <r>
      <t xml:space="preserve">frota de veículos da categoria "motor casa" registrada no município
</t>
    </r>
    <r>
      <rPr>
        <b/>
        <sz val="10"/>
        <rFont val="Times New Roman"/>
        <family val="1"/>
      </rPr>
      <t>obs.:</t>
    </r>
    <r>
      <rPr>
        <sz val="10"/>
        <rFont val="Times New Roman"/>
        <family val="1"/>
      </rPr>
      <t xml:space="preserve"> resultados de 2008-2014 conforme BHTRANS(2013b); MG(2013; 2014; 2015a); de 2015 conforme MG(2015b)</t>
    </r>
  </si>
  <si>
    <r>
      <t xml:space="preserve">frota de caminhão trator registrada no município
</t>
    </r>
    <r>
      <rPr>
        <b/>
        <sz val="10"/>
        <rFont val="Times New Roman"/>
        <family val="1"/>
      </rPr>
      <t xml:space="preserve">obs.: </t>
    </r>
    <r>
      <rPr>
        <sz val="10"/>
        <rFont val="Times New Roman"/>
        <family val="1"/>
      </rPr>
      <t>resultados de 2008-2014 conforme BHTRANS(2013b); MG(2013; 2014; 2015a); de 2015 conforme MG(2015b)</t>
    </r>
  </si>
  <si>
    <r>
      <t xml:space="preserve">frota de camionetas registradas no município
</t>
    </r>
    <r>
      <rPr>
        <b/>
        <sz val="10"/>
        <color theme="1"/>
        <rFont val="Times New Roman"/>
        <family val="1"/>
      </rPr>
      <t xml:space="preserve">obs.: </t>
    </r>
    <r>
      <rPr>
        <sz val="10"/>
        <color theme="1"/>
        <rFont val="Times New Roman"/>
        <family val="1"/>
      </rPr>
      <t xml:space="preserve">resultados de 1999-2014 conforme BHTRANS(2013b); MG(2013; 2014; 2015a); de 2015 conforme MG(2015b)
</t>
    </r>
  </si>
  <si>
    <r>
      <t xml:space="preserve">frota de caminhonetes registradas no município
</t>
    </r>
    <r>
      <rPr>
        <b/>
        <sz val="10"/>
        <color theme="1"/>
        <rFont val="Times New Roman"/>
        <family val="1"/>
      </rPr>
      <t xml:space="preserve">obs.: </t>
    </r>
    <r>
      <rPr>
        <sz val="10"/>
        <color theme="1"/>
        <rFont val="Times New Roman"/>
        <family val="1"/>
      </rPr>
      <t>resultados de 2000-2014 conforme BHTRANS(2013b); MG(2013; 2014; 2015a); de 2015 conforme MG(2015b)</t>
    </r>
  </si>
  <si>
    <r>
      <t xml:space="preserve">frota de caminhões registrados no município
</t>
    </r>
    <r>
      <rPr>
        <b/>
        <sz val="10"/>
        <color theme="1"/>
        <rFont val="Times New Roman"/>
        <family val="1"/>
      </rPr>
      <t xml:space="preserve">obs.: </t>
    </r>
    <r>
      <rPr>
        <sz val="10"/>
        <color theme="1"/>
        <rFont val="Times New Roman"/>
        <family val="1"/>
      </rPr>
      <t>resultados de 1999-2014 conforme BHTRANS(2013b); MG(2013; 2014; 2015a); de 2015 conforme MG(2015b)</t>
    </r>
  </si>
  <si>
    <r>
      <t xml:space="preserve">frota de veículos da categoria "demais" registrada no município
</t>
    </r>
    <r>
      <rPr>
        <b/>
        <sz val="10"/>
        <rFont val="Times New Roman"/>
        <family val="1"/>
      </rPr>
      <t xml:space="preserve">obs.: </t>
    </r>
    <r>
      <rPr>
        <sz val="10"/>
        <rFont val="Times New Roman"/>
        <family val="1"/>
      </rPr>
      <t>resultados de 1999-2014 conforme BHTRANS(2013b); MG(2013; 2014; 2015a); de 2015 conforme MG(2015b)</t>
    </r>
  </si>
  <si>
    <r>
      <t xml:space="preserve">frota de veículos da categoria "side-car" registrada no município
</t>
    </r>
    <r>
      <rPr>
        <b/>
        <sz val="10"/>
        <rFont val="Times New Roman"/>
        <family val="1"/>
      </rPr>
      <t xml:space="preserve">obs.: </t>
    </r>
    <r>
      <rPr>
        <sz val="10"/>
        <rFont val="Times New Roman"/>
        <family val="1"/>
      </rPr>
      <t>resultados de 2008-2014 conforme BHTRANS(2013b); MG(2013; 2014; 2015a); de 2015 conforme MG(2015b)</t>
    </r>
  </si>
  <si>
    <r>
      <t xml:space="preserve">frota de veículos da categoria "semi reboque" registrada no município
</t>
    </r>
    <r>
      <rPr>
        <b/>
        <sz val="10"/>
        <rFont val="Times New Roman"/>
        <family val="1"/>
      </rPr>
      <t>obs.:</t>
    </r>
    <r>
      <rPr>
        <sz val="10"/>
        <rFont val="Times New Roman"/>
        <family val="1"/>
      </rPr>
      <t xml:space="preserve"> resultados de 2008-2014 conforme BHTRANS(2013b); MG(2013; 2014; 2015a); de 2015 conforme MG(2015b)</t>
    </r>
  </si>
  <si>
    <r>
      <t xml:space="preserve">frota de veículos da categoria "triciclo" registrada  no município
</t>
    </r>
    <r>
      <rPr>
        <b/>
        <sz val="10"/>
        <rFont val="Times New Roman"/>
        <family val="1"/>
      </rPr>
      <t xml:space="preserve">obs.: </t>
    </r>
    <r>
      <rPr>
        <sz val="10"/>
        <rFont val="Times New Roman"/>
        <family val="1"/>
      </rPr>
      <t>resultados de 2008-2014 conforme BHTRANS(2013b); MG(2013; 2014; 2015a); de 2015 conforme MG(2015b)</t>
    </r>
  </si>
  <si>
    <r>
      <t xml:space="preserve">frota de veículos da categoria "trator misto" registrada no município
</t>
    </r>
    <r>
      <rPr>
        <b/>
        <sz val="10"/>
        <rFont val="Times New Roman"/>
        <family val="1"/>
      </rPr>
      <t xml:space="preserve">obs.: </t>
    </r>
    <r>
      <rPr>
        <sz val="10"/>
        <rFont val="Times New Roman"/>
        <family val="1"/>
      </rPr>
      <t>resultados de 2008-2014 conforme BHTRANS(2013b); MG(2013; 2014; 2015a); de 2015 conforme MG(2015b)</t>
    </r>
  </si>
  <si>
    <r>
      <t xml:space="preserve">frota de veículos da categoria "trator rodas" registrada no município
</t>
    </r>
    <r>
      <rPr>
        <b/>
        <sz val="10"/>
        <rFont val="Times New Roman"/>
        <family val="1"/>
      </rPr>
      <t xml:space="preserve">obs.: </t>
    </r>
    <r>
      <rPr>
        <sz val="10"/>
        <rFont val="Times New Roman"/>
        <family val="1"/>
      </rPr>
      <t>resultados de 2008-2014 conforme BHTRANS(2013b); MG(2013; 2014; 2015a); de 2015 conforme MG(2015b)</t>
    </r>
  </si>
  <si>
    <t>F semirreboque</t>
  </si>
  <si>
    <r>
      <t xml:space="preserve">frota de veículos da categoria "utilitário" registrada no município
</t>
    </r>
    <r>
      <rPr>
        <b/>
        <sz val="10"/>
        <rFont val="Times New Roman"/>
        <family val="1"/>
      </rPr>
      <t>obs.:</t>
    </r>
    <r>
      <rPr>
        <sz val="10"/>
        <rFont val="Times New Roman"/>
        <family val="1"/>
      </rPr>
      <t xml:space="preserve"> resultados de 2008-2014 conforme BHTRANS(2013b); MG(2013; 2014; 2015a); de 2015 conforme MG(2015b)</t>
    </r>
  </si>
  <si>
    <r>
      <t xml:space="preserve">frota de automóvel registrada no município
</t>
    </r>
    <r>
      <rPr>
        <b/>
        <sz val="10"/>
        <color theme="1"/>
        <rFont val="Times New Roman"/>
        <family val="1"/>
      </rPr>
      <t>obs.:</t>
    </r>
    <r>
      <rPr>
        <sz val="10"/>
        <color theme="1"/>
        <rFont val="Times New Roman"/>
        <family val="1"/>
      </rPr>
      <t xml:space="preserve"> resultados de 1999-2014 conforme BHTRANS(2013b); MG(2013; 2014; 2015a); de 2015 conforme MG(2015b)</t>
    </r>
  </si>
  <si>
    <t>F acc / RT vr</t>
  </si>
  <si>
    <t>F a</t>
  </si>
  <si>
    <t>F a em relação a F</t>
  </si>
  <si>
    <t>F a por habitante</t>
  </si>
  <si>
    <t>Gráfico 22a - Evolução do n.º absoluto da frota de automóveis, de motocicletas e do total de veículos registrados em Belo Horizonte (1991-2015)</t>
  </si>
  <si>
    <t>Fa em milhões</t>
  </si>
  <si>
    <t>F mta em milhões</t>
  </si>
  <si>
    <t>F em milhões</t>
  </si>
  <si>
    <t>F mmm em milhões</t>
  </si>
  <si>
    <t>Gráfico 22b - Evolução do n.º absoluto da frota de agrupamentos de categorias de veículos registrados em Belo Horizonte (1991-2015)</t>
  </si>
  <si>
    <t>F acc em milhões</t>
  </si>
  <si>
    <t>Gráfico 22c - Evolução do acréscimo anual da frota de agrupamentos de categorias de veículos registrados em Belo Horizonte (1999-2015)</t>
  </si>
  <si>
    <r>
      <t xml:space="preserve">frota total de veículos automotores registrados no município de Belo Horizonte
</t>
    </r>
    <r>
      <rPr>
        <b/>
        <sz val="10"/>
        <color theme="1"/>
        <rFont val="Times New Roman"/>
        <family val="1"/>
      </rPr>
      <t xml:space="preserve">obs.1: </t>
    </r>
    <r>
      <rPr>
        <sz val="10"/>
        <color theme="1"/>
        <rFont val="Times New Roman"/>
        <family val="1"/>
      </rPr>
      <t xml:space="preserve">registro na fonte até 1998 conforme BHTRANS(2013b); soma das categorias com resultados disponíveis de 1999 a 2015
</t>
    </r>
    <r>
      <rPr>
        <b/>
        <sz val="10"/>
        <color theme="1"/>
        <rFont val="Times New Roman"/>
        <family val="1"/>
      </rPr>
      <t xml:space="preserve">obs.2: </t>
    </r>
    <r>
      <rPr>
        <sz val="10"/>
        <color theme="1"/>
        <rFont val="Times New Roman"/>
        <family val="1"/>
      </rPr>
      <t>resultado de 2015 confere com BH(2016i)</t>
    </r>
  </si>
  <si>
    <r>
      <t>acréscimo percentual anual da frota total de veículos automotores registrados no município de Belo Horizonte</t>
    </r>
    <r>
      <rPr>
        <b/>
        <sz val="10"/>
        <color theme="1"/>
        <rFont val="Times New Roman"/>
        <family val="1"/>
      </rPr>
      <t/>
    </r>
  </si>
  <si>
    <t>F
(acréscimo anual)</t>
  </si>
  <si>
    <t>F acc
(acréscimo anual)</t>
  </si>
  <si>
    <t>acrécimo percentual anual da frota da categoria "automóveis, caminhonetes e camionetas" registrada no município de Belo Horizonte</t>
  </si>
  <si>
    <t>relação entre frota de automóvel e população, calculando-se a quantidade de automóveis registrados no município de Belo Horizonte para cada habitante, indicador por vezes expresso na forma de 1 habitante para cada x automóveis</t>
  </si>
  <si>
    <t>((F acc ano - F acc ano anterior) / F acc ano) x 100</t>
  </si>
  <si>
    <t>((F ano - F ano anterior) / F ano) x 100</t>
  </si>
  <si>
    <r>
      <t>acréscimo percentual anual da frota da categoria "motociclo" registrada no município de Belo Horizonte</t>
    </r>
    <r>
      <rPr>
        <b/>
        <sz val="10"/>
        <color theme="1"/>
        <rFont val="Times New Roman"/>
        <family val="1"/>
      </rPr>
      <t/>
    </r>
  </si>
  <si>
    <t>F mmc
(acréscimo anual)</t>
  </si>
  <si>
    <t>((F mmc ano - F mmc ano anterior) / F mmc ano) x 100</t>
  </si>
  <si>
    <t>Gráfico 22d - Evolução da motorização (n.º total de veículos automotores por habitante) em Belo Horizonte (1991-2015)</t>
  </si>
  <si>
    <r>
      <rPr>
        <b/>
        <sz val="10"/>
        <color theme="1"/>
        <rFont val="Times New Roman"/>
        <family val="1"/>
      </rPr>
      <t>obs.:</t>
    </r>
    <r>
      <rPr>
        <sz val="10"/>
        <color theme="1"/>
        <rFont val="Times New Roman"/>
        <family val="1"/>
      </rPr>
      <t xml:space="preserve"> Estas informações são uma pequena parte do que começou a ser publicado em 28/01/2013 no seguinte assunto do SisMob-BH: 2) Belo Horizonte e RMBH / 2.3) Rede viária (correção do n.º/nome do assunto nesta observação em 15/10/2015).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</si>
  <si>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2"/>
        <color theme="1"/>
        <rFont val="Times New Roman"/>
        <family val="1"/>
      </rPr>
      <t>SETRABH(2016b):</t>
    </r>
    <r>
      <rPr>
        <sz val="12"/>
        <color theme="1"/>
        <rFont val="Times New Roman"/>
        <family val="1"/>
      </rPr>
      <t xml:space="preserve"> SINDICATO DAS EMPRESAS DE TRANSPORTE DE PASSAGEIROS DE BELO HORIZONTE - SETRABH. </t>
    </r>
    <r>
      <rPr>
        <i/>
        <sz val="12"/>
        <color theme="1"/>
        <rFont val="Times New Roman"/>
        <family val="1"/>
      </rPr>
      <t>Curso "Transporte coletivo para todos - respeitar e cuidar" - apresentação</t>
    </r>
    <r>
      <rPr>
        <sz val="12"/>
        <color theme="1"/>
        <rFont val="Times New Roman"/>
        <family val="1"/>
      </rPr>
      <t>. Belo Horizonte,  abril 2016. [14p.]</t>
    </r>
  </si>
  <si>
    <r>
      <rPr>
        <b/>
        <sz val="12"/>
        <color theme="1"/>
        <rFont val="Times New Roman"/>
        <family val="1"/>
      </rPr>
      <t>SETRABH(2016a):</t>
    </r>
    <r>
      <rPr>
        <sz val="12"/>
        <color theme="1"/>
        <rFont val="Times New Roman"/>
        <family val="1"/>
      </rPr>
      <t xml:space="preserve"> SINDICATO DAS EMPRESAS DE TRANSPORTE DE PASSAGEIROS DE BELO HORIZONTE - SETRABH. </t>
    </r>
    <r>
      <rPr>
        <i/>
        <sz val="12"/>
        <color theme="1"/>
        <rFont val="Times New Roman"/>
        <family val="1"/>
      </rPr>
      <t>Curso "Transporte coletivo para todos - respeitar e cuidar" - plano de aula</t>
    </r>
    <r>
      <rPr>
        <sz val="12"/>
        <color theme="1"/>
        <rFont val="Times New Roman"/>
        <family val="1"/>
      </rPr>
      <t>. Belo Horizonte,  abril 2016. [24p.]</t>
    </r>
  </si>
  <si>
    <t>transporte coletivo para todos</t>
  </si>
  <si>
    <r>
      <t xml:space="preserve">logomarca incorporada ao curso denominado "Transporte coletivo para todos - respeitar e cuidar" promovido pelo SetraBH por meio do Sest/Senat
</t>
    </r>
    <r>
      <rPr>
        <b/>
        <sz val="10"/>
        <rFont val="Times New Roman"/>
        <family val="1"/>
      </rPr>
      <t xml:space="preserve">obs.1: </t>
    </r>
    <r>
      <rPr>
        <sz val="10"/>
        <rFont val="Times New Roman"/>
        <family val="1"/>
      </rPr>
      <t xml:space="preserve">o curso com duração de quatro quatro horas é coordenado pelo SetraBH, executado pelo Sest/Senat, com meta de atingir doze mil operadores (motoristas e agentes de bordo), de segunda a quinta-feira, de abril a agosto de 2016 (quatro meses) iniciando em 11/04/2016, com 40 participantes/turno (80 operadores/dia), nas unidades Sest/Senat de Contagem, Jardim Vitória e Serra Verde conforme SETRABH(2016a/b)
</t>
    </r>
    <r>
      <rPr>
        <b/>
        <sz val="10"/>
        <rFont val="Times New Roman"/>
        <family val="1"/>
      </rPr>
      <t xml:space="preserve">obs.2: </t>
    </r>
    <r>
      <rPr>
        <sz val="10"/>
        <rFont val="Times New Roman"/>
        <family val="1"/>
      </rPr>
      <t>acesse o verbete "para todos"</t>
    </r>
  </si>
  <si>
    <t>STPBC</t>
  </si>
  <si>
    <r>
      <rPr>
        <b/>
        <sz val="12"/>
        <color theme="1"/>
        <rFont val="Times New Roman"/>
        <family val="1"/>
      </rPr>
      <t xml:space="preserve">VASCONCELOS(2009): </t>
    </r>
    <r>
      <rPr>
        <sz val="12"/>
        <color theme="1"/>
        <rFont val="Times New Roman"/>
        <family val="1"/>
      </rPr>
      <t xml:space="preserve">VASCONCELOS, Amélia Soares da Silva Vasconcelos. </t>
    </r>
    <r>
      <rPr>
        <i/>
        <sz val="12"/>
        <color theme="1"/>
        <rFont val="Times New Roman"/>
        <family val="1"/>
      </rPr>
      <t>As percepções dos usuários sobre a qualidade do transporte público [urbano de baixa capacidade – STPBC] de passageiros no município de Betim - MG</t>
    </r>
    <r>
      <rPr>
        <sz val="12"/>
        <color theme="1"/>
        <rFont val="Times New Roman"/>
        <family val="1"/>
      </rPr>
      <t>. 2009. 100f. Dissertação (Mestrado Profissional em Administração) - Faculdades Integradas Dr. Pedro Leopoldo, Pedro Leopoldo - MG.</t>
    </r>
  </si>
  <si>
    <t>Transporte de baixa capacidade</t>
  </si>
  <si>
    <r>
      <t xml:space="preserve">Sistema de Transporte Público de Baixa Capacidade de Betim
</t>
    </r>
    <r>
      <rPr>
        <b/>
        <sz val="10"/>
        <color theme="1"/>
        <rFont val="Times New Roman"/>
        <family val="1"/>
      </rPr>
      <t xml:space="preserve">obs.1: </t>
    </r>
    <r>
      <rPr>
        <sz val="10"/>
        <color theme="1"/>
        <rFont val="Times New Roman"/>
        <family val="1"/>
      </rPr>
      <t xml:space="preserve">"O sistema de transporte público coletivo urbano do Município de Betim é operado por dois sistemas característicos: o convencional e o sistema de transporte público de baixa capacidade – STPBC" conforme VASCONCELOS(2009, p.20)
</t>
    </r>
    <r>
      <rPr>
        <b/>
        <sz val="10"/>
        <color theme="1"/>
        <rFont val="Times New Roman"/>
        <family val="1"/>
      </rPr>
      <t xml:space="preserve">obs.2: </t>
    </r>
    <r>
      <rPr>
        <sz val="10"/>
        <color theme="1"/>
        <rFont val="Times New Roman"/>
        <family val="1"/>
      </rPr>
      <t xml:space="preserve">a percepção do usuários do STPBC é estudada em VASCONCELOS(2009), onde a pergunta orientadora é "Qual a percepção que os usuários do transporte público de passageiros do município de Betim, por meio do sistema de baixa capacidade, têm sobre a qualidade do serviço prestado? conforme VASCONCELOS(2009, p.21) </t>
    </r>
  </si>
  <si>
    <t>transporte público de baixa capacidade</t>
  </si>
  <si>
    <r>
      <rPr>
        <b/>
        <sz val="12"/>
        <rFont val="Times New Roman"/>
        <family val="1"/>
      </rPr>
      <t xml:space="preserve">SP(2003a): </t>
    </r>
    <r>
      <rPr>
        <sz val="12"/>
        <rFont val="Times New Roman"/>
        <family val="1"/>
      </rPr>
      <t xml:space="preserve">SÃO PAULO. Secretaria Municipal de Transportes - SMT. </t>
    </r>
    <r>
      <rPr>
        <i/>
        <sz val="12"/>
        <rFont val="Times New Roman"/>
        <family val="1"/>
      </rPr>
      <t>Portaria n.º 154/2003</t>
    </r>
    <r>
      <rPr>
        <sz val="12"/>
        <rFont val="Times New Roman"/>
        <family val="1"/>
      </rPr>
      <t>. Aprova as características de veículos, especificadas nos "Manuais dos padrões técnicos dos veículos", elaborado/mantido atualizado pela Engenharia/Inspeção veicular da SPTrans. São Paulo (Portal e Inclusão Digital). Disponível em: &lt;http://www3.prefeitura.sp.gov.br/cadlem/secretarias/negocios_juridicos/cadlem/integra.asp?alt=31072003P%20001542003SMT&gt;.Acesso em 10 mao 2016.</t>
    </r>
  </si>
  <si>
    <t>calçada compartilhada</t>
  </si>
  <si>
    <r>
      <rPr>
        <b/>
        <sz val="12"/>
        <color theme="1"/>
        <rFont val="Times New Roman"/>
        <family val="1"/>
      </rPr>
      <t xml:space="preserve">SP(2015g): </t>
    </r>
    <r>
      <rPr>
        <sz val="12"/>
        <color theme="1"/>
        <rFont val="Times New Roman"/>
        <family val="1"/>
      </rPr>
      <t xml:space="preserve">SÃO PAULO. Prefeitura. Companhia de Engenharia de Tráfego - CET São Paulo. </t>
    </r>
    <r>
      <rPr>
        <i/>
        <sz val="12"/>
        <color theme="1"/>
        <rFont val="Times New Roman"/>
        <family val="1"/>
      </rPr>
      <t>Cartilha do ciclista</t>
    </r>
    <r>
      <rPr>
        <sz val="12"/>
        <color theme="1"/>
        <rFont val="Times New Roman"/>
        <family val="1"/>
      </rPr>
      <t>. São Paulo, [2015] 52p. Disponível para baixar em &lt;http://www.cetsp.com.br/consultas/bicicleta/cartilha-do-ciclista.aspx&gt;. Acesso em: 22 mar. 2016.</t>
    </r>
  </si>
  <si>
    <t>"É o espaço sobre a calçada ou canteiro central destinado ao uso simultâneo de pedestres e ciclistas" conforme SP(2015g, p.28)</t>
  </si>
  <si>
    <r>
      <rPr>
        <b/>
        <sz val="12"/>
        <color theme="1"/>
        <rFont val="Times New Roman"/>
        <family val="1"/>
      </rPr>
      <t>PROGRAMA(2016c1):</t>
    </r>
    <r>
      <rPr>
        <sz val="12"/>
        <color theme="1"/>
        <rFont val="Times New Roman"/>
        <family val="1"/>
      </rPr>
      <t xml:space="preserve"> PROGRAMA CIDADES SUSTENTÁVEIS. </t>
    </r>
    <r>
      <rPr>
        <i/>
        <sz val="12"/>
        <color theme="1"/>
        <rFont val="Times New Roman"/>
        <family val="1"/>
      </rPr>
      <t>Indicadores - Governança - Pessoas com deficiência empregadas no governo do município - 2001 a 2015</t>
    </r>
    <r>
      <rPr>
        <sz val="12"/>
        <color theme="1"/>
        <rFont val="Times New Roman"/>
        <family val="1"/>
      </rPr>
      <t>. Disponível em : &lt;http://indicadores.cidadessustentaveis.org.br/pessoas-com-deficiencia-empregadas-no-governo-do-municipio&gt;. Acesso em: 25 jul. 2016.</t>
    </r>
  </si>
  <si>
    <r>
      <t xml:space="preserve">percentual de empregados com deficiência em relação ao total de empregados no governo municipal de Curitiba
</t>
    </r>
    <r>
      <rPr>
        <b/>
        <sz val="10"/>
        <rFont val="Times New Roman"/>
        <family val="1"/>
      </rPr>
      <t xml:space="preserve">obs.: </t>
    </r>
    <r>
      <rPr>
        <sz val="10"/>
        <rFont val="Times New Roman"/>
        <family val="1"/>
      </rPr>
      <t>resultados de 2000-2012 conforme PROGRAMA(2016c2)</t>
    </r>
  </si>
  <si>
    <r>
      <t xml:space="preserve">percentual de empregados com deficiência em relação ao total de empregados no governo municipal de Porto Alegre
</t>
    </r>
    <r>
      <rPr>
        <b/>
        <sz val="10"/>
        <rFont val="Times New Roman"/>
        <family val="1"/>
      </rPr>
      <t xml:space="preserve">obs.: </t>
    </r>
    <r>
      <rPr>
        <sz val="10"/>
        <rFont val="Times New Roman"/>
        <family val="1"/>
      </rPr>
      <t>resultados de 2006-2015 conforme PROGRAMA(2016c3)</t>
    </r>
  </si>
  <si>
    <r>
      <t xml:space="preserve">percentual de empregados com deficiência em relação ao total de empregados no governo municipal de Recife
</t>
    </r>
    <r>
      <rPr>
        <b/>
        <sz val="10"/>
        <rFont val="Times New Roman"/>
        <family val="1"/>
      </rPr>
      <t xml:space="preserve">obs.: </t>
    </r>
    <r>
      <rPr>
        <sz val="10"/>
        <rFont val="Times New Roman"/>
        <family val="1"/>
      </rPr>
      <t>resultado de 2012 conforme PROGRAMA(2016c4)</t>
    </r>
  </si>
  <si>
    <r>
      <t xml:space="preserve">percentual de empregados com deficiência em relação ao total de empregados no governo municipal de Joinville
</t>
    </r>
    <r>
      <rPr>
        <b/>
        <sz val="10"/>
        <rFont val="Times New Roman"/>
        <family val="1"/>
      </rPr>
      <t xml:space="preserve">obs.: </t>
    </r>
    <r>
      <rPr>
        <sz val="10"/>
        <rFont val="Times New Roman"/>
        <family val="1"/>
      </rPr>
      <t>resultados de 2012-2015 conforme PROGRAMA(2016c5)</t>
    </r>
  </si>
  <si>
    <r>
      <t xml:space="preserve">percentual de empregados com deficiência em relação ao total de empregados no governo municipal de Salvador
</t>
    </r>
    <r>
      <rPr>
        <b/>
        <sz val="10"/>
        <rFont val="Times New Roman"/>
        <family val="1"/>
      </rPr>
      <t xml:space="preserve">obs.: </t>
    </r>
    <r>
      <rPr>
        <sz val="10"/>
        <rFont val="Times New Roman"/>
        <family val="1"/>
      </rPr>
      <t>resultado de 2013 conforme PROGRAMA(2016c6)</t>
    </r>
  </si>
  <si>
    <r>
      <rPr>
        <b/>
        <sz val="12"/>
        <color theme="1"/>
        <rFont val="Times New Roman"/>
        <family val="1"/>
      </rPr>
      <t>PROGRAMA(2016c2/c3/c4/c5/c6):</t>
    </r>
    <r>
      <rPr>
        <sz val="12"/>
        <color theme="1"/>
        <rFont val="Times New Roman"/>
        <family val="1"/>
      </rPr>
      <t xml:space="preserve"> PROGRAMA CIDADES SUSTENTÁVEIS. </t>
    </r>
    <r>
      <rPr>
        <i/>
        <sz val="12"/>
        <color theme="1"/>
        <rFont val="Times New Roman"/>
        <family val="1"/>
      </rPr>
      <t>Indicadores - Governança - Pessoas com deficiência empregadas no governo do município - Curitiba, PR / Porto Alegre, RS / Recife, PE / Joinville / SC / Salvador, BA</t>
    </r>
    <r>
      <rPr>
        <sz val="12"/>
        <color theme="1"/>
        <rFont val="Times New Roman"/>
        <family val="1"/>
      </rPr>
      <t>. Disponível a partir de: &lt;http://indicadores.cidadessustentaveis.org.br/pessoas-com-deficiencia-empregadas-no-governo-do-municipio&gt;. Acesso em: 25 jul. 2016.</t>
    </r>
  </si>
  <si>
    <t>Salvador (2013)</t>
  </si>
  <si>
    <t>Recife (2012)</t>
  </si>
  <si>
    <t>Curitiba (2010)</t>
  </si>
  <si>
    <t>Joinville (2012)</t>
  </si>
  <si>
    <t>Porto Alegre (2015)</t>
  </si>
  <si>
    <r>
      <t xml:space="preserve">percentual de empregados com deficiência em relação ao total de empregados em um governo municipal
</t>
    </r>
    <r>
      <rPr>
        <b/>
        <sz val="10"/>
        <rFont val="Times New Roman"/>
        <family val="1"/>
      </rPr>
      <t xml:space="preserve">obs.1: </t>
    </r>
    <r>
      <rPr>
        <sz val="10"/>
        <rFont val="Times New Roman"/>
        <family val="1"/>
      </rPr>
      <t xml:space="preserve">este indicador é denominado "Percentual de pessoas com deficiência empregadas no governo do município, em relação ao total de funcionários" pelo </t>
    </r>
    <r>
      <rPr>
        <i/>
        <sz val="10"/>
        <rFont val="Times New Roman"/>
        <family val="1"/>
      </rPr>
      <t>Programa Cidades Sustentáveis</t>
    </r>
    <r>
      <rPr>
        <sz val="10"/>
        <rFont val="Times New Roman"/>
        <family val="1"/>
      </rPr>
      <t xml:space="preserve">, com "Referência de Meta: Garantir a inclusão de pessoas com deficiência no Executivo e no Legislativo do município" , com resultados anuais que retragem a até 2003 conforme PROGRAMA(2016)
</t>
    </r>
    <r>
      <rPr>
        <b/>
        <sz val="10"/>
        <rFont val="Times New Roman"/>
        <family val="1"/>
      </rPr>
      <t xml:space="preserve">obs.2: </t>
    </r>
    <r>
      <rPr>
        <sz val="10"/>
        <rFont val="Times New Roman"/>
        <family val="1"/>
      </rPr>
      <t xml:space="preserve">os resultados deste indicador são importantes para serem comparados com os resultados da BHTrans e, por isto, são aqui tomados como benchmarking e não como indicador de mobilidade propriamente dito
</t>
    </r>
    <r>
      <rPr>
        <b/>
        <sz val="10"/>
        <rFont val="Times New Roman"/>
        <family val="1"/>
      </rPr>
      <t xml:space="preserve">obs.3: </t>
    </r>
    <r>
      <rPr>
        <sz val="10"/>
        <rFont val="Times New Roman"/>
        <family val="1"/>
      </rPr>
      <t xml:space="preserve">das com resultados apresentados pelo </t>
    </r>
    <r>
      <rPr>
        <i/>
        <sz val="10"/>
        <rFont val="Times New Roman"/>
        <family val="1"/>
      </rPr>
      <t xml:space="preserve">Programa Cidades Sustentáveis </t>
    </r>
    <r>
      <rPr>
        <sz val="10"/>
        <rFont val="Times New Roman"/>
        <family val="1"/>
      </rPr>
      <t>o SisMob-BH selecionou as cidades Curitiba, Joinville, Porto Alegre, Recife e Salvador, que são intergrantes de uma das categorias "benchmarking SisMob-BH BR"</t>
    </r>
  </si>
  <si>
    <t>sociedade inclusiva</t>
  </si>
  <si>
    <t>"A Sociedade Inclusiva é um núcleo da Pró-reitoria de Extensão da PUC Minas existente desde 1999, e que formalmente foi Instituída pelo Conselho Universitário – CONSUNI, por meio de resolução n° 02/2005, no ano de 2005. Rede de Inclusão Social da PUC Minas, a Sociedade Inclusiva é formada por alunos, professores e funcionários da PUC Minas, que desenvolvem ações através de programas e projetos de extensão, que visam atender demandas da comunidade, de alunos, professores, demais profissionais e de pessoas interessadas nos temas e de alguns grupos historicamente excluídos (índios e negros, idosos, portadores de deficiência, grupo LGBT, pessoas com Altas Habilidades) promovendo a inclusão." conforme PUC MINAS(2016)</t>
  </si>
  <si>
    <r>
      <rPr>
        <b/>
        <sz val="12"/>
        <color theme="1"/>
        <rFont val="Times New Roman"/>
        <family val="1"/>
      </rPr>
      <t xml:space="preserve">PUC MINAS(2016): </t>
    </r>
    <r>
      <rPr>
        <sz val="12"/>
        <color theme="1"/>
        <rFont val="Times New Roman"/>
        <family val="1"/>
      </rPr>
      <t xml:space="preserve">PONTIFÍCIA UNIVERSIDADE CATÓLICA DE MINAS GERAIS - PUC MINAS. Núcleo de Direitos Humanos e Inclusão. </t>
    </r>
    <r>
      <rPr>
        <i/>
        <sz val="12"/>
        <color theme="1"/>
        <rFont val="Times New Roman"/>
        <family val="1"/>
      </rPr>
      <t>Sociedade inclusiva - Quem somos.</t>
    </r>
    <r>
      <rPr>
        <sz val="12"/>
        <color theme="1"/>
        <rFont val="Times New Roman"/>
        <family val="1"/>
      </rPr>
      <t xml:space="preserve"> Disponível em: &lt;http://proex.pucminas.br/sociedadeinclusiva/QuemSomos/quemsomos.php&gt;.  Acesso em 25 jul. 2016.</t>
    </r>
  </si>
  <si>
    <t>categoria CAF</t>
  </si>
  <si>
    <r>
      <t xml:space="preserve">Selo de Acessibilidade de São Paulo criado em 2004
</t>
    </r>
    <r>
      <rPr>
        <b/>
        <sz val="10"/>
        <rFont val="Times New Roman"/>
        <family val="1"/>
      </rPr>
      <t xml:space="preserve">obs.1: </t>
    </r>
    <r>
      <rPr>
        <sz val="10"/>
        <rFont val="Times New Roman"/>
        <family val="1"/>
      </rPr>
      <t xml:space="preserve">como adquirir certificado e selo de acessibilidade em SP(2004a), onde se informa que "O Selo de Acessibilidade, obrigatoriamente, deverá ser afixado nas edificações que possuam o Certificado de Acessibilidade"
</t>
    </r>
    <r>
      <rPr>
        <b/>
        <sz val="10"/>
        <rFont val="Times New Roman"/>
        <family val="1"/>
      </rPr>
      <t xml:space="preserve">obs.2: </t>
    </r>
    <r>
      <rPr>
        <sz val="10"/>
        <rFont val="Times New Roman"/>
        <family val="1"/>
      </rPr>
      <t xml:space="preserve">o selo "atesta que a edificação é adequada para pessoas com deficiência, conforme o estabelecido no Decreto 45.552/2004" conforme SP(2016f)
</t>
    </r>
    <r>
      <rPr>
        <b/>
        <sz val="10"/>
        <rFont val="Times New Roman"/>
        <family val="1"/>
      </rPr>
      <t>obs.3:</t>
    </r>
    <r>
      <rPr>
        <sz val="10"/>
        <rFont val="Times New Roman"/>
        <family val="1"/>
      </rPr>
      <t xml:space="preserve"> acesse o verbete "certificado de acessibilidsde"</t>
    </r>
  </si>
  <si>
    <r>
      <t>Certificado de Acessibilidade de São Paulo</t>
    </r>
    <r>
      <rPr>
        <b/>
        <sz val="10"/>
        <rFont val="Times New Roman"/>
        <family val="1"/>
      </rPr>
      <t xml:space="preserve">
obs.1:</t>
    </r>
    <r>
      <rPr>
        <sz val="10"/>
        <rFont val="Times New Roman"/>
        <family val="1"/>
      </rPr>
      <t xml:space="preserve"> como adquirir certificado e selo de acessibilidade em SP(2004a), onde se informa que o certificado </t>
    </r>
    <r>
      <rPr>
        <sz val="10"/>
        <rFont val="Times New Roman"/>
        <family val="1"/>
      </rPr>
      <t xml:space="preserve">"é um documento que comprova a adequação e a acessibilidade da edificação a pessoas com deficiência ou mobilidade reduzida"
</t>
    </r>
    <r>
      <rPr>
        <b/>
        <sz val="10"/>
        <rFont val="Times New Roman"/>
        <family val="1"/>
      </rPr>
      <t>obs.2:</t>
    </r>
    <r>
      <rPr>
        <sz val="10"/>
        <rFont val="Times New Roman"/>
        <family val="1"/>
      </rPr>
      <t xml:space="preserve"> acesse o verbete "selo de acessibilidsde"</t>
    </r>
  </si>
  <si>
    <r>
      <rPr>
        <b/>
        <sz val="12"/>
        <rFont val="Times New Roman"/>
        <family val="1"/>
      </rPr>
      <t>SP(2003b):</t>
    </r>
    <r>
      <rPr>
        <sz val="12"/>
        <rFont val="Times New Roman"/>
        <family val="1"/>
      </rPr>
      <t xml:space="preserve"> SÃO PAULO. Prefeitura. Secretaria de Habitação e Desenvolvimento Urbano – SeHab. Comissão Permanente de Acessibilidade - CPA;  Secretaria Municipal de Trânsito. Companhia de Engenharia de Tráfego - CET São Paulo; Secretaria Municipal de Educação. São Paulo sem barreiras - uma cidade para todos. São Paulo, [2003] 16p.</t>
    </r>
  </si>
  <si>
    <t>cidade para todos</t>
  </si>
  <si>
    <r>
      <t xml:space="preserve">a cartilha "São Paulo sem barreiras - uma cidade para todos" foi lançada em 2003 em uma parceria da CPA/Secretaria de Habitação e Desenvolvimento Urbano – SeHab, CET São Paulo/Secretaria Municipal de Trânsito e Secretaria Municipal de Educação conforme SP(2004b)
</t>
    </r>
    <r>
      <rPr>
        <b/>
        <sz val="10"/>
        <rFont val="Times New Roman"/>
        <family val="1"/>
      </rPr>
      <t>obs.:</t>
    </r>
    <r>
      <rPr>
        <sz val="10"/>
        <rFont val="Times New Roman"/>
        <family val="1"/>
      </rPr>
      <t xml:space="preserve"> acesse o verbete "para todos"</t>
    </r>
  </si>
  <si>
    <t>F caminhão</t>
  </si>
  <si>
    <r>
      <t xml:space="preserve">Comitê Municipal sobre Mudanças Climáticas e Eco-Eficiência de Belo Horizonte
</t>
    </r>
    <r>
      <rPr>
        <b/>
        <sz val="10"/>
        <rFont val="Times New Roman"/>
        <family val="1"/>
      </rPr>
      <t xml:space="preserve">obs.: </t>
    </r>
    <r>
      <rPr>
        <sz val="10"/>
        <rFont val="Times New Roman"/>
        <family val="1"/>
      </rPr>
      <t>"O CMMCE é um órgão colegiado e consultivo cujo objetivo é apoiar a implementação da política municipal de enfrentamento às mudanças climáticas, atuando na articulação das políticas públicas e da iniciativa privada para a mitigação e adaptação aos seus efeitos e na conscientização ambiental da sociedade. É formado por representantes dos governos municipal e estadual, da Câmara Municipal, da sociedade civil, de organizações não-governamentais, do setor empresarial e de universidades, garantindo uma ampla e variada participação, necessária para a legitimação das decisões tomadas em âmbito municipal relacionadas à busca da sustentabilidade ambiental.", tendo completado dez anos de sua criação em 2016 conforme BH(2016)</t>
    </r>
  </si>
  <si>
    <t>Global City Indicators Facility, The</t>
  </si>
  <si>
    <t>GCI</t>
  </si>
  <si>
    <t>sigla</t>
  </si>
  <si>
    <r>
      <t xml:space="preserve">"The Global City Indicators Facility is a an program of the Global Cities Institute (GCI)", que, por sua vez, "is created at the University of Toronto in the Daniels Faculty of Architecture, Landscape and Design to build on the strengths of a rapidly expanding global network of scholars, city leaders, design and planning professionals, key international organizations, foundations and industry innovators dedicated to securing a better future for cities." conforme GCI(2016).
</t>
    </r>
    <r>
      <rPr>
        <b/>
        <sz val="10"/>
        <color theme="1"/>
        <rFont val="Times New Roman"/>
        <family val="1"/>
      </rPr>
      <t xml:space="preserve">obs.: </t>
    </r>
    <r>
      <rPr>
        <sz val="10"/>
        <color theme="1"/>
        <rFont val="Times New Roman"/>
        <family val="1"/>
      </rPr>
      <t>acesse "indicadores urbanos globais"</t>
    </r>
  </si>
  <si>
    <t>indicadores urbanos globais</t>
  </si>
  <si>
    <t>DPM</t>
  </si>
  <si>
    <r>
      <t xml:space="preserve"> data de aprovação do Plano Diretor mais recente
</t>
    </r>
    <r>
      <rPr>
        <b/>
        <sz val="10"/>
        <color theme="1"/>
        <rFont val="Times New Roman"/>
        <family val="1"/>
      </rPr>
      <t>obs.1:</t>
    </r>
    <r>
      <rPr>
        <sz val="10"/>
        <color theme="1"/>
        <rFont val="Times New Roman"/>
        <family val="1"/>
      </rPr>
      <t xml:space="preserve"> resultados de 1996 a 2015 conforme ___
</t>
    </r>
    <r>
      <rPr>
        <b/>
        <sz val="10"/>
        <color theme="1"/>
        <rFont val="Times New Roman"/>
        <family val="1"/>
      </rPr>
      <t>obs.2:</t>
    </r>
    <r>
      <rPr>
        <sz val="10"/>
        <color theme="1"/>
        <rFont val="Times New Roman"/>
        <family val="1"/>
      </rPr>
      <t xml:space="preserve"> este indicador faz parte dos "indicadores urbanos globais" do </t>
    </r>
    <r>
      <rPr>
        <i/>
        <sz val="10"/>
        <color theme="1"/>
        <rFont val="Times New Roman"/>
        <family val="1"/>
      </rPr>
      <t>Global City Institute</t>
    </r>
    <r>
      <rPr>
        <sz val="10"/>
        <color theme="1"/>
        <rFont val="Times New Roman"/>
        <family val="1"/>
      </rPr>
      <t xml:space="preserve"> com a mesma denominação</t>
    </r>
  </si>
  <si>
    <r>
      <t xml:space="preserve"> data de aprovação do Plano Diretor mais recente
</t>
    </r>
    <r>
      <rPr>
        <b/>
        <sz val="10"/>
        <color rgb="FFFF0000"/>
        <rFont val="Times New Roman"/>
        <family val="1"/>
      </rPr>
      <t>obs.1:</t>
    </r>
    <r>
      <rPr>
        <sz val="10"/>
        <color rgb="FFFF0000"/>
        <rFont val="Times New Roman"/>
        <family val="1"/>
      </rPr>
      <t xml:space="preserve"> resultados de 1996 a 2015 conforme ___
</t>
    </r>
    <r>
      <rPr>
        <b/>
        <sz val="10"/>
        <color rgb="FFFF0000"/>
        <rFont val="Times New Roman"/>
        <family val="1"/>
      </rPr>
      <t>obs.2:</t>
    </r>
    <r>
      <rPr>
        <sz val="10"/>
        <color rgb="FFFF0000"/>
        <rFont val="Times New Roman"/>
        <family val="1"/>
      </rPr>
      <t xml:space="preserve"> este indicador faz parte dos "indicadores urbanos globais" do </t>
    </r>
    <r>
      <rPr>
        <i/>
        <sz val="10"/>
        <color rgb="FFFF0000"/>
        <rFont val="Times New Roman"/>
        <family val="1"/>
      </rPr>
      <t>Global City Institute</t>
    </r>
    <r>
      <rPr>
        <sz val="10"/>
        <color rgb="FFFF0000"/>
        <rFont val="Times New Roman"/>
        <family val="1"/>
      </rPr>
      <t xml:space="preserve"> com a mesma denominação</t>
    </r>
  </si>
  <si>
    <r>
      <t xml:space="preserve">percepção de distribuição modal, entendida como sendo a participação percentual de modos específicos de transporte mais utilizados pela população
</t>
    </r>
    <r>
      <rPr>
        <b/>
        <sz val="10"/>
        <color theme="1"/>
        <rFont val="Times New Roman"/>
        <family val="1"/>
      </rPr>
      <t xml:space="preserve">obs.1: </t>
    </r>
    <r>
      <rPr>
        <sz val="10"/>
        <color theme="1"/>
        <rFont val="Times New Roman"/>
        <family val="1"/>
      </rPr>
      <t>esses resultados são acompanhados na BHTrans por meio de pesquisas anuais de opinião, fornecendo indicadores diferentes dos obtidos em pesquisas O/D com siglas similares: DM</t>
    </r>
    <r>
      <rPr>
        <vertAlign val="subscript"/>
        <sz val="10"/>
        <color theme="1"/>
        <rFont val="Times New Roman"/>
        <family val="1"/>
      </rPr>
      <t xml:space="preserve">(O/D) </t>
    </r>
    <r>
      <rPr>
        <sz val="10"/>
        <color theme="1"/>
        <rFont val="Times New Roman"/>
        <family val="1"/>
      </rPr>
      <t>e DM</t>
    </r>
    <r>
      <rPr>
        <vertAlign val="subscript"/>
        <sz val="10"/>
        <color theme="1"/>
        <rFont val="Times New Roman"/>
        <family val="1"/>
      </rPr>
      <t xml:space="preserve">(P.Op.)
</t>
    </r>
    <r>
      <rPr>
        <b/>
        <sz val="10"/>
        <color theme="1"/>
        <rFont val="Times New Roman"/>
        <family val="1"/>
      </rPr>
      <t>obs.2:</t>
    </r>
    <r>
      <rPr>
        <sz val="10"/>
        <color theme="1"/>
        <rFont val="Times New Roman"/>
        <family val="1"/>
      </rPr>
      <t xml:space="preserve"> Para conhecer a declaração da população de Belo Horizonte sobre o assunto (distribuição modal nas pesquisas de opinião), dezesseis questões inqueriram o entrevistado sobre o meio de transporte que ele "mais utiliza" ou "utiliza na maioria das vezes"
</t>
    </r>
    <r>
      <rPr>
        <b/>
        <sz val="10"/>
        <color theme="1"/>
        <rFont val="Times New Roman"/>
        <family val="1"/>
      </rPr>
      <t>obs.3:</t>
    </r>
    <r>
      <rPr>
        <sz val="10"/>
        <color theme="1"/>
        <rFont val="Times New Roman"/>
        <family val="1"/>
      </rPr>
      <t xml:space="preserve"> por se tratar de uma pesquisa de opinião, há que sempre se analisar se a pergunta formulada não distorce os resultados que, por sua vez, devem ser analisados em sua série histórica e relativizados com os resultados do indicador "DMtc (O/D)"
</t>
    </r>
    <r>
      <rPr>
        <b/>
        <sz val="10"/>
        <color theme="1"/>
        <rFont val="Times New Roman"/>
        <family val="1"/>
      </rPr>
      <t xml:space="preserve">obs.4: </t>
    </r>
    <r>
      <rPr>
        <sz val="10"/>
        <color theme="1"/>
        <rFont val="Times New Roman"/>
        <family val="1"/>
      </rPr>
      <t xml:space="preserve">as fontes de todos os resultados DM(P.Op.) são = 1995 a 2011: OLIVEIRA (2014, Tabela 4.2/Apêndice); 2012: não houve pesquisa; 2013: DOXA (2013, p.3); 2014: não houve pesquisa; 2015: DOXA (2015, p.7, 16.)
</t>
    </r>
    <r>
      <rPr>
        <b/>
        <sz val="10"/>
        <color theme="1"/>
        <rFont val="Times New Roman"/>
        <family val="1"/>
      </rPr>
      <t>obs.5:</t>
    </r>
    <r>
      <rPr>
        <sz val="10"/>
        <color theme="1"/>
        <rFont val="Times New Roman"/>
        <family val="1"/>
      </rPr>
      <t xml:space="preserve"> os indicadores "DM" fazem parte dos "indicadores urbanos globais" do </t>
    </r>
    <r>
      <rPr>
        <i/>
        <sz val="10"/>
        <color theme="1"/>
        <rFont val="Times New Roman"/>
        <family val="1"/>
      </rPr>
      <t>Global City Institute</t>
    </r>
    <r>
      <rPr>
        <sz val="10"/>
        <color theme="1"/>
        <rFont val="Times New Roman"/>
        <family val="1"/>
      </rPr>
      <t xml:space="preserve"> com a  denominação genérica de "divisão do uso dos modos de transporte"</t>
    </r>
  </si>
  <si>
    <r>
      <t xml:space="preserve">distribuição modal, entendida como sendo a participação percentual do número de viagens diárias ou do número de deslocamentos diários em algum modo de transporte específico (ou em um conjunto de modos, se for o caso) em relação ao número total de viagens (ou de deslocamentos, se for o caso) em um conjunto ainda maior de modos de transporte.
</t>
    </r>
    <r>
      <rPr>
        <b/>
        <sz val="10"/>
        <color theme="1"/>
        <rFont val="Times New Roman"/>
        <family val="1"/>
      </rPr>
      <t xml:space="preserve">obs.1: </t>
    </r>
    <r>
      <rPr>
        <sz val="10"/>
        <color theme="1"/>
        <rFont val="Times New Roman"/>
        <family val="1"/>
      </rPr>
      <t>esses resultados são acompanhados na BHTrans por meio de pesquisas decenais de Origem/Destino, fornecendo indicadores diferentes dos obtidos em pesquisas de opinião com siglas similares: DM</t>
    </r>
    <r>
      <rPr>
        <vertAlign val="subscript"/>
        <sz val="10"/>
        <color theme="1"/>
        <rFont val="Times New Roman"/>
        <family val="1"/>
      </rPr>
      <t>(O/D)</t>
    </r>
    <r>
      <rPr>
        <sz val="10"/>
        <color theme="1"/>
        <rFont val="Times New Roman"/>
        <family val="1"/>
      </rPr>
      <t xml:space="preserve"> e DM</t>
    </r>
    <r>
      <rPr>
        <vertAlign val="subscript"/>
        <sz val="10"/>
        <color theme="1"/>
        <rFont val="Times New Roman"/>
        <family val="1"/>
      </rPr>
      <t xml:space="preserve">(P.Op.)
</t>
    </r>
    <r>
      <rPr>
        <b/>
        <sz val="10"/>
        <color theme="1"/>
        <rFont val="Times New Roman"/>
        <family val="1"/>
      </rPr>
      <t xml:space="preserve">obs.2: </t>
    </r>
    <r>
      <rPr>
        <sz val="10"/>
        <color theme="1"/>
        <rFont val="Times New Roman"/>
        <family val="1"/>
      </rPr>
      <t xml:space="preserve">enquanto a BHTrans está reorganizando, em parceria com o Cefet-MG, os resultados das pesquisas O/D realizadas na RMBH desde a década de 1970 para que sejam comparáveis ao longo do tempo, consulte os resultados do ano 2002 publicados em tabelas no SisMob-BH = 87 indicadores de deslocamentos na RMBH (Tabela 2a), 87 indicadores de viagens na RMBH (Tabela 2b), 87 indicadores de viagens de moradores de BH na RMBH (Tabela 2c) e 271 indicadores de viagens dos moradores de BH na RMBH (Tabelas 2d, 2e, 2f, 2g)
</t>
    </r>
    <r>
      <rPr>
        <b/>
        <sz val="10"/>
        <color theme="1"/>
        <rFont val="Times New Roman"/>
        <family val="1"/>
      </rPr>
      <t xml:space="preserve">obs.3: </t>
    </r>
    <r>
      <rPr>
        <sz val="10"/>
        <color theme="1"/>
        <rFont val="Times New Roman"/>
        <family val="1"/>
      </rPr>
      <t xml:space="preserve">os indicadores "DM" fazem parte dos "indicadores urbanos globais" do </t>
    </r>
    <r>
      <rPr>
        <i/>
        <sz val="10"/>
        <color theme="1"/>
        <rFont val="Times New Roman"/>
        <family val="1"/>
      </rPr>
      <t xml:space="preserve">Global City Institute </t>
    </r>
    <r>
      <rPr>
        <sz val="10"/>
        <color theme="1"/>
        <rFont val="Times New Roman"/>
        <family val="1"/>
      </rPr>
      <t>com a  denominação genérica de "divisão do uso dos modos de transporte"</t>
    </r>
  </si>
  <si>
    <t>M30 por 100 mil habitantes</t>
  </si>
  <si>
    <t>M-DataSus por 100 mil habitantes</t>
  </si>
  <si>
    <t>Belo Horizonte
(BHTrans)</t>
  </si>
  <si>
    <t>n.º de empregados diretos em relação ao total de empregados da BHTrans</t>
  </si>
  <si>
    <t>percentual de empregados não diretos (estagiários e terceirizados) em relação ao total de empregados da BHTrans</t>
  </si>
  <si>
    <t>percentual de empregados concursados em relação ao total de empregados da BHTrans</t>
  </si>
  <si>
    <r>
      <rPr>
        <b/>
        <sz val="10"/>
        <color theme="1"/>
        <rFont val="Times New Roman"/>
        <family val="1"/>
      </rPr>
      <t xml:space="preserve">1991: </t>
    </r>
    <r>
      <rPr>
        <sz val="10"/>
        <color theme="1"/>
        <rFont val="Times New Roman"/>
        <family val="1"/>
      </rPr>
      <t xml:space="preserve">"Art. 93 - A empresa com 100 (cem) ou mais empregados está obrigada a preencher de 2% (dois por cento) a 5% (cinco por cento) dos seus cargos com beneficiários reabilitados ou pessoas portadoras de deficiência, habilitadas, na seguinte proporção: I - até 200 empregados: 2%; II - de 201 a 500: 3%; III - de 501 a 1.000: 4%; IV - de 1.001 em diante: 5%." conforme BRASIL(1991)
</t>
    </r>
    <r>
      <rPr>
        <b/>
        <sz val="10"/>
        <color theme="1"/>
        <rFont val="Times New Roman"/>
        <family val="1"/>
      </rPr>
      <t xml:space="preserve">2015: </t>
    </r>
    <r>
      <rPr>
        <i/>
        <sz val="10"/>
        <color theme="1"/>
        <rFont val="Times New Roman"/>
        <family val="1"/>
      </rPr>
      <t>caput</t>
    </r>
    <r>
      <rPr>
        <sz val="10"/>
        <color theme="1"/>
        <rFont val="Times New Roman"/>
        <family val="1"/>
      </rPr>
      <t xml:space="preserve"> e incisos mantidos com alteração de parágrafos conforme BRASIL(1991/consolidada; 2015)</t>
    </r>
  </si>
  <si>
    <r>
      <rPr>
        <b/>
        <sz val="10"/>
        <color theme="1"/>
        <rFont val="Times New Roman"/>
        <family val="1"/>
      </rPr>
      <t xml:space="preserve">1994: </t>
    </r>
    <r>
      <rPr>
        <sz val="10"/>
        <color theme="1"/>
        <rFont val="Times New Roman"/>
        <family val="1"/>
      </rPr>
      <t xml:space="preserve">"Ficam reservados 5% (cinco por cento) dos cargos e empregos públicos de provimento efetivo do quadro de pessoal da Administração Direta e Indireta do Poder Executivo para pessoas portadoras de deficiência, observada a prescrição do artigo seguinte. [...] Até que seja totalmente cumprido o percentual do art. 1º, todos os concursos públicos realizados a partir da publicação desta Lei terão 10% (dez por cento) das vagas oferecidas reservadas para portadores de deficiência." conforme BH(1994a, art.1º combinado com art.5º)
</t>
    </r>
    <r>
      <rPr>
        <b/>
        <sz val="10"/>
        <color theme="1"/>
        <rFont val="Times New Roman"/>
        <family val="1"/>
      </rPr>
      <t>obs.:</t>
    </r>
    <r>
      <rPr>
        <sz val="10"/>
        <color theme="1"/>
        <rFont val="Times New Roman"/>
        <family val="1"/>
      </rPr>
      <t xml:space="preserve"> este ém um RPI para toda a administração municpal de Belo Horizonte, incluindo a BHTrans</t>
    </r>
  </si>
  <si>
    <r>
      <t xml:space="preserve">percentual de empregados com deficiência em relação ao total de empregados do governo municipal de Belo Horizonte
</t>
    </r>
    <r>
      <rPr>
        <b/>
        <sz val="10"/>
        <rFont val="Times New Roman"/>
        <family val="1"/>
      </rPr>
      <t xml:space="preserve">obs.1: </t>
    </r>
    <r>
      <rPr>
        <sz val="10"/>
        <rFont val="Times New Roman"/>
        <family val="1"/>
      </rPr>
      <t xml:space="preserve">não há resultados em PROGRAMA(2016c1)
</t>
    </r>
    <r>
      <rPr>
        <b/>
        <sz val="10"/>
        <rFont val="Times New Roman"/>
        <family val="1"/>
      </rPr>
      <t xml:space="preserve">obs.2: </t>
    </r>
    <r>
      <rPr>
        <sz val="10"/>
        <rFont val="Times New Roman"/>
        <family val="1"/>
      </rPr>
      <t>resultados solicitados por e-mail pelo SisMob-BH à CAPD-PBH em 25/07/2016 e ainda não obtidos</t>
    </r>
  </si>
  <si>
    <t>acesse o verbete "indicadores urbanos globais"</t>
  </si>
  <si>
    <t>city indicators</t>
  </si>
  <si>
    <t>bem-estar subjetivo</t>
  </si>
  <si>
    <t>Toronto</t>
  </si>
  <si>
    <t>categoria "M"</t>
  </si>
  <si>
    <r>
      <rPr>
        <b/>
        <sz val="12"/>
        <color theme="1"/>
        <rFont val="Times New Roman"/>
        <family val="1"/>
      </rPr>
      <t xml:space="preserve">índice de bem-estar subjetivo (BH e Bogotá): </t>
    </r>
    <r>
      <rPr>
        <sz val="12"/>
        <color theme="1"/>
        <rFont val="Times New Roman"/>
        <family val="1"/>
      </rPr>
      <t>solicitadas informações a Rosane Castro/PBH por e-mail em 26/07/2016. Cobrar em setembro/2016.</t>
    </r>
  </si>
  <si>
    <r>
      <rPr>
        <b/>
        <sz val="12"/>
        <color theme="1"/>
        <rFont val="Times New Roman"/>
        <family val="1"/>
      </rPr>
      <t>% de empregados com deficiência (BH):</t>
    </r>
    <r>
      <rPr>
        <sz val="12"/>
        <color theme="1"/>
        <rFont val="Times New Roman"/>
        <family val="1"/>
      </rPr>
      <t xml:space="preserve"> solicitação de resultados foi feita por e-mail pelo SisMob-BH à CAPD-PBH em 25/07/2016 que respondeu em 26/07/2016: "O levantamento foi realizado, mas a análise não foi concluída. Como se tratou </t>
    </r>
    <r>
      <rPr>
        <b/>
        <sz val="12"/>
        <color theme="1"/>
        <rFont val="Times New Roman"/>
        <family val="1"/>
      </rPr>
      <t xml:space="preserve"> </t>
    </r>
    <r>
      <rPr>
        <sz val="12"/>
        <color theme="1"/>
        <rFont val="Times New Roman"/>
        <family val="1"/>
      </rPr>
      <t>e preenchimento voluntário da ficha para o levantamento, observou-se uma baixa adesão dos servidores em participar do mesmo. Entretanto, em função do recadastramento da PBH realizado ano passado, onde havia um campo para declaração do servidor 'se possui alguma deficiência', a comissão que realizou o levantamento optou por aguardar a disponibilização destes dados para concluir o trabalho com números mais precisos. O levantamento inicial possui informações qualitativas que também serão disponibilizadas. Assim que o trabalho estiver concluído iremos disponibilizá-lo.". A solicitação à GEAPE/BHTrans não foi respondida. Cobrar em dezembro/2016.</t>
    </r>
  </si>
  <si>
    <t>indicadores urbanos globais (1)</t>
  </si>
  <si>
    <t>indicadores urbanos globais (2)</t>
  </si>
  <si>
    <t>indicadores urbanos globais (3)</t>
  </si>
  <si>
    <t>indicadores urbanos globais (4)</t>
  </si>
  <si>
    <t>indicadores urbanos globais (5)</t>
  </si>
  <si>
    <t>indicadores urbanos globais (6)</t>
  </si>
  <si>
    <t>indicadores urbanos globais (7)</t>
  </si>
  <si>
    <t>indicadores urbanos globais (8)</t>
  </si>
  <si>
    <t>indicadores urbanos globais (9)</t>
  </si>
  <si>
    <t>indicadores urbanos globais (10)</t>
  </si>
  <si>
    <t>indicadores urbanos globais (11)</t>
  </si>
  <si>
    <t>indicadores urbanos globais (12)</t>
  </si>
  <si>
    <t>indicadores urbanos globais (13)</t>
  </si>
  <si>
    <t>indicadores urbanos globais (14)</t>
  </si>
  <si>
    <t>indicadores urbanos globais (15)</t>
  </si>
  <si>
    <t>indicadores urbanos globais (16)</t>
  </si>
  <si>
    <t>indicadores urbanos globais (17)</t>
  </si>
  <si>
    <t>indicadores urbanos globais (18)</t>
  </si>
  <si>
    <t>indicadores urbanos globais (19)</t>
  </si>
  <si>
    <t>indicadores urbanos globais (20)</t>
  </si>
  <si>
    <t>indicadores urbanos globais (21)</t>
  </si>
  <si>
    <t>indicadores urbanos globais (22)</t>
  </si>
  <si>
    <t>Gráfico 35c - Comparação do percentual de pessoas com deficiência empregadas na BHTrans com resultados de cidades selecionadas pelo SisMob-BH</t>
  </si>
  <si>
    <t>Gráfico 52c</t>
  </si>
  <si>
    <t>PM10
(padrão1)</t>
  </si>
  <si>
    <t>PM10
(padrão2)</t>
  </si>
  <si>
    <r>
      <t xml:space="preserve">PM10 média
</t>
    </r>
    <r>
      <rPr>
        <b/>
        <sz val="11"/>
        <rFont val="Times New Roman"/>
        <family val="1"/>
      </rPr>
      <t>(RMBH/Betim em Centro Administrativo)</t>
    </r>
  </si>
  <si>
    <t>Pamplona/Iruña (Espanha)</t>
  </si>
  <si>
    <r>
      <t xml:space="preserve">concentração média diária de PM10 (média de 24 horas em µg/m3), que é "calculada quando pelo menos 75% do período de tempo considerado na análise apresentam dados válidos", medida na Praça da Estação em Belo Horizonte
</t>
    </r>
    <r>
      <rPr>
        <b/>
        <sz val="10"/>
        <rFont val="Times New Roman"/>
        <family val="1"/>
      </rPr>
      <t>obs.1:</t>
    </r>
    <r>
      <rPr>
        <sz val="10"/>
        <rFont val="Times New Roman"/>
        <family val="1"/>
      </rPr>
      <t xml:space="preserve"> na RMBH existem nove estações automáticas de monitoramento da qualidade do ar operadas pela FEAM/MG, sendo três em BH (Aeroporto Carlos Prates, Avenida Amazonas, Praça Rui Barbosa), uma em Contagem (Praça Tancredo Neves), três em Betim (Bairro Jardim das Alterosas, Bairro Petrovale, Centro Administrativo), duas em Ibirité (Bairro Cascata, Bairro Piratininga) (FEAM/MG, 2013, p.5-10)
</t>
    </r>
    <r>
      <rPr>
        <b/>
        <sz val="10"/>
        <rFont val="Times New Roman"/>
        <family val="1"/>
      </rPr>
      <t xml:space="preserve">obs.2: </t>
    </r>
    <r>
      <rPr>
        <sz val="10"/>
        <rFont val="Times New Roman"/>
        <family val="1"/>
      </rPr>
      <t xml:space="preserve">este indicador (relativo às medições na Praça da Estação, em Belo Horizonte) foi selecionado como indicador de referência da ação "atuar em rede com órgãos reguladores e gestores do meio ambiente para reduzir as emissões veiculares e a poluição sonora e visual" do Plano de Redução de Emissões de Gases de Efeito Estufa - Pregee do Comitê Municipal sobre Mudanças Climáticas e Ecoeficiência - CMMCE vinculado à Secretaria Municipal de Meio Ambiente - SMMA da Prefeitura de Belo Horizonte (BH, 2015a)
</t>
    </r>
    <r>
      <rPr>
        <b/>
        <sz val="10"/>
        <rFont val="Times New Roman"/>
        <family val="1"/>
      </rPr>
      <t xml:space="preserve">obs.3: </t>
    </r>
    <r>
      <rPr>
        <sz val="10"/>
        <rFont val="Times New Roman"/>
        <family val="1"/>
      </rPr>
      <t xml:space="preserve">o resultado do ano 2011 desta estação (51,7 µg/m3) foi apresentado como sendo de Belo Horizonte em relatório (WHO, 2014) da Organização das Nações Unidas (ONU) que apresenta comparação de cidades de todo o mundo (veja PM10 média Belo Horizonte)
</t>
    </r>
    <r>
      <rPr>
        <b/>
        <sz val="10"/>
        <rFont val="Times New Roman"/>
        <family val="1"/>
      </rPr>
      <t>obs.4:</t>
    </r>
    <r>
      <rPr>
        <sz val="10"/>
        <rFont val="Times New Roman"/>
        <family val="1"/>
      </rPr>
      <t xml:space="preserve"> indicador tático da BHTrans com o nome "Concentração de material particulado (PM10)" (BHTRANS, 2015d)
</t>
    </r>
    <r>
      <rPr>
        <b/>
        <sz val="10"/>
        <rFont val="Times New Roman"/>
        <family val="1"/>
      </rPr>
      <t>obs.5:</t>
    </r>
    <r>
      <rPr>
        <sz val="10"/>
        <rFont val="Times New Roman"/>
        <family val="1"/>
      </rPr>
      <t xml:space="preserve"> resultados de 2001 a 2011 conforme FEAM/MG (2003a; 2003b, p.26; 2005, p.25; 2006, p.27; 2007, p.27; 2008, p.20; 2009, p.20; 2010, p.20; 2011, p.21; 2013, p.11, 21); resultado de 2012 conforme FEAM(2015c, p.29), que está anunciado em IEMA(2015a) como 30,50 em vez de 30,4</t>
    </r>
    <r>
      <rPr>
        <b/>
        <sz val="10"/>
        <rFont val="Times New Roman"/>
        <family val="1"/>
      </rPr>
      <t/>
    </r>
  </si>
  <si>
    <t>Betim/Centro Adm. 2012</t>
  </si>
  <si>
    <t>Betim/Centro Adm. 2013</t>
  </si>
  <si>
    <t>Betim/Petrovale 2012</t>
  </si>
  <si>
    <t>Betim/Petrovale 2013</t>
  </si>
  <si>
    <t>Betim/B.J.Alterosas 2012</t>
  </si>
  <si>
    <t>Betim/B.J.Alterosas 2013</t>
  </si>
  <si>
    <t>Belo Horizonte/Pça.Rui Barbosa 2012</t>
  </si>
  <si>
    <t>Ibirité/B.Castata 2012</t>
  </si>
  <si>
    <t>Ibirité/B.Castata 2013</t>
  </si>
  <si>
    <t>Ibirité/B.Piratininga 2013</t>
  </si>
  <si>
    <t>Ibirité 2011 (ONU)</t>
  </si>
  <si>
    <t>Betim 2011 (ONU)</t>
  </si>
  <si>
    <t>Belo Horizonte 2011(ONU)</t>
  </si>
  <si>
    <t>BH 2011(ONU)</t>
  </si>
  <si>
    <r>
      <rPr>
        <b/>
        <sz val="10"/>
        <rFont val="Times New Roman"/>
        <family val="1"/>
      </rPr>
      <t>obs.1:</t>
    </r>
    <r>
      <rPr>
        <sz val="10"/>
        <rFont val="Times New Roman"/>
        <family val="1"/>
      </rPr>
      <t xml:space="preserve"> esses são os resultados de PM10 de todas as cidades brasileiras publicados pela Organização das Nações Unidas em 2014 (que não informa os nomes das estações de cada cidade e são, em sua maioria, relativos ao ano 2011); a esse gráfico foram acrescentados todos os resultados pós-2011, representativos, que foram divulgados pelo Instituto de Energia e Meio Ambiente - Iema para as estações da RMBH (consulta em 22/11/2015)
</t>
    </r>
    <r>
      <rPr>
        <b/>
        <sz val="10"/>
        <rFont val="Times New Roman"/>
        <family val="1"/>
      </rPr>
      <t xml:space="preserve">obs.2: </t>
    </r>
    <r>
      <rPr>
        <sz val="10"/>
        <rFont val="Times New Roman"/>
        <family val="1"/>
      </rPr>
      <t>com relação aos resultados apresentados pela ONU para as cidades da RMBH, todos são do ano 2011, sendo que o apresentado para Belo Horizonte (51,7 µg/m3) confere com o apresentado pela Feam/MG para a estação Praça Rui Barbosa (não representativo), o apresentado para Betim é 42,63 (que não confere com os da Feam/MG) e o apresentado para Ibirité (30,7) confere com o da Feam/MG para a estação Bairro Cascata; para melhor uso das informações contidas em sua base de dados ONU adverte: "The information in this database is provided as a service to our users. The responsibility for the interpretation and use of the material lies with the user. In no event shall the World Health Organization be liable for any damages arising from the use of the information linked to this section. The data are not necessarily the official statistics of Member States, and figures have been compiled to ensure comparability. Countries may have additional/ more up-to-date/ more accurate data. Please contact EBDassessment@who.int in view of updating the database." (WHO, 2014b).</t>
    </r>
  </si>
  <si>
    <t>Gráfico 52b</t>
  </si>
  <si>
    <t>Gráfico 52b - Concentração média anual de partículas menores que 10 microns de diâmetro - PM 10 (µg/m3) de estações de monitoramento da RMBH em comparação com as cidades brasileiras que integram a base de dados da Organização das Nações Unidas - ONU (2014)</t>
  </si>
  <si>
    <t>não há resultados na fonte consultada</t>
  </si>
  <si>
    <t>Posnânia
[Poznań] na Polônia</t>
  </si>
  <si>
    <t>Olomouc
(República Tcheca)</t>
  </si>
  <si>
    <r>
      <t xml:space="preserve">n.º de dias no ano em uma mesma estação de monitoramento da qualidade do ar existente na RMBH na qual o padrão máximo primário de  150 μg/m3 foi ultrapassado
</t>
    </r>
    <r>
      <rPr>
        <b/>
        <sz val="10"/>
        <color theme="1"/>
        <rFont val="Times New Roman"/>
        <family val="1"/>
      </rPr>
      <t xml:space="preserve">obs.1: </t>
    </r>
    <r>
      <rPr>
        <sz val="10"/>
        <color theme="1"/>
        <rFont val="Times New Roman"/>
        <family val="1"/>
      </rPr>
      <t xml:space="preserve">resultados de 2006 conforme FEAM(2007, p.21); 2007 conforme FEAM(2008, p.15); 2008 conforme FEAM(2009, p.15,20); resultado não-representativos de 2009 conforme FEAM(2010, p.15), de 2010 conforme FEAM(2011, p.15,20); de 2011 conforme FEAM(2013, p.18); de 2012 conforme FEAM(2015, p.27)
</t>
    </r>
    <r>
      <rPr>
        <b/>
        <sz val="10"/>
        <color theme="1"/>
        <rFont val="Times New Roman"/>
        <family val="1"/>
      </rPr>
      <t xml:space="preserve">obs.2: </t>
    </r>
    <r>
      <rPr>
        <sz val="10"/>
        <color theme="1"/>
        <rFont val="Times New Roman"/>
        <family val="1"/>
      </rPr>
      <t xml:space="preserve">este indicador faz parte dos "indicadores urbanos globais" do </t>
    </r>
    <r>
      <rPr>
        <i/>
        <sz val="10"/>
        <color theme="1"/>
        <rFont val="Times New Roman"/>
        <family val="1"/>
      </rPr>
      <t>Global City Institute</t>
    </r>
    <r>
      <rPr>
        <sz val="10"/>
        <color theme="1"/>
        <rFont val="Times New Roman"/>
        <family val="1"/>
      </rPr>
      <t xml:space="preserve"> com a denominação de "n.º de dias com excesso de particulas inaláveis com diâmetro inferior a 10 micra, ou PM10" </t>
    </r>
  </si>
  <si>
    <t>Tabelas para elaboração de gráficos</t>
  </si>
  <si>
    <t>"o valor de 150 μg/m3 corresponde ao padrão primário [de PM10] e não deve ser ultrapassado mais de uma vez ao ano, segundo a Resolução CONAMA nº 03/90" conforme FEAM(2015, p.27)</t>
  </si>
  <si>
    <t>bem-estar urbano</t>
  </si>
  <si>
    <t>acesse o verbete "ibeu"</t>
  </si>
  <si>
    <t>índice de bem-estar urbano</t>
  </si>
  <si>
    <t>acesse o verbete "ibeu”</t>
  </si>
  <si>
    <r>
      <t xml:space="preserve">índice de bem-estar urbano relativo à infraestrutura urbana, em escala de 0,000 a 1,000
</t>
    </r>
    <r>
      <rPr>
        <b/>
        <sz val="10"/>
        <color theme="1"/>
        <rFont val="Times New Roman"/>
        <family val="1"/>
      </rPr>
      <t xml:space="preserve">obs.1: </t>
    </r>
    <r>
      <rPr>
        <sz val="10"/>
        <color theme="1"/>
        <rFont val="Times New Roman"/>
        <family val="1"/>
      </rPr>
      <t xml:space="preserve">resultados de 2010 conforme RIBEIRO(2010, p.73)
</t>
    </r>
    <r>
      <rPr>
        <b/>
        <sz val="10"/>
        <color theme="1"/>
        <rFont val="Times New Roman"/>
        <family val="1"/>
      </rPr>
      <t xml:space="preserve">obs.2: </t>
    </r>
    <r>
      <rPr>
        <sz val="10"/>
        <color theme="1"/>
        <rFont val="Times New Roman"/>
        <family val="1"/>
      </rPr>
      <t>acesse "ibeu" e "ibeu (D1) Brasil"</t>
    </r>
  </si>
  <si>
    <r>
      <t xml:space="preserve">índice de bem-estar urbano relativo ao tempo de deslocamento casa-trabalho, em escala de 0,000 a 1,000
</t>
    </r>
    <r>
      <rPr>
        <b/>
        <sz val="10"/>
        <color theme="1"/>
        <rFont val="Times New Roman"/>
        <family val="1"/>
      </rPr>
      <t xml:space="preserve">obs.1: </t>
    </r>
    <r>
      <rPr>
        <sz val="10"/>
        <color theme="1"/>
        <rFont val="Times New Roman"/>
        <family val="1"/>
      </rPr>
      <t xml:space="preserve">resultados de 2010 conforme RIBEIRO(2010, p.102-108)
</t>
    </r>
    <r>
      <rPr>
        <b/>
        <sz val="10"/>
        <color theme="1"/>
        <rFont val="Times New Roman"/>
        <family val="1"/>
      </rPr>
      <t xml:space="preserve">obs.2: </t>
    </r>
    <r>
      <rPr>
        <sz val="10"/>
        <color theme="1"/>
        <rFont val="Times New Roman"/>
        <family val="1"/>
      </rPr>
      <t>acesse "ibeu" e "ibeu (D1) Brasil"</t>
    </r>
  </si>
  <si>
    <r>
      <t xml:space="preserve">índice de bem-estar urbano relativo ao tempo de deslocamento casa-trabalho, em escala de 0,000 a 1,000
</t>
    </r>
    <r>
      <rPr>
        <b/>
        <sz val="10"/>
        <color theme="1"/>
        <rFont val="Times New Roman"/>
        <family val="1"/>
      </rPr>
      <t xml:space="preserve">obs.1: </t>
    </r>
    <r>
      <rPr>
        <sz val="10"/>
        <color theme="1"/>
        <rFont val="Times New Roman"/>
        <family val="1"/>
      </rPr>
      <t xml:space="preserve">resultados de 2010 conforme RIBEIRO(2010, p.100)
</t>
    </r>
    <r>
      <rPr>
        <b/>
        <sz val="10"/>
        <color theme="1"/>
        <rFont val="Times New Roman"/>
        <family val="1"/>
      </rPr>
      <t xml:space="preserve">obs.2: </t>
    </r>
    <r>
      <rPr>
        <sz val="10"/>
        <color theme="1"/>
        <rFont val="Times New Roman"/>
        <family val="1"/>
      </rPr>
      <t>acesse "ibeu" e "ibeu (D1) Brasil"</t>
    </r>
  </si>
  <si>
    <r>
      <t xml:space="preserve">índice de bem-estar urbano relativo à infraestrutura urbana, em escala de 0,000 a 1,000
</t>
    </r>
    <r>
      <rPr>
        <b/>
        <sz val="10"/>
        <color theme="1"/>
        <rFont val="Times New Roman"/>
        <family val="1"/>
      </rPr>
      <t xml:space="preserve">obs.1: </t>
    </r>
    <r>
      <rPr>
        <sz val="10"/>
        <color theme="1"/>
        <rFont val="Times New Roman"/>
        <family val="1"/>
      </rPr>
      <t xml:space="preserve">resultados de 2010 conforme RIBEIRO(2010, p.170-176)
</t>
    </r>
    <r>
      <rPr>
        <b/>
        <sz val="10"/>
        <color theme="1"/>
        <rFont val="Times New Roman"/>
        <family val="1"/>
      </rPr>
      <t xml:space="preserve">obs.2: </t>
    </r>
    <r>
      <rPr>
        <sz val="10"/>
        <color theme="1"/>
        <rFont val="Times New Roman"/>
        <family val="1"/>
      </rPr>
      <t>acesse "ibeu" e "ibeu (D1) Brasil"</t>
    </r>
  </si>
  <si>
    <r>
      <rPr>
        <b/>
        <sz val="12"/>
        <color theme="1"/>
        <rFont val="Times New Roman"/>
        <family val="1"/>
      </rPr>
      <t xml:space="preserve">MG(2011a): </t>
    </r>
    <r>
      <rPr>
        <sz val="12"/>
        <color theme="1"/>
        <rFont val="Times New Roman"/>
        <family val="1"/>
      </rPr>
      <t xml:space="preserve">MINAS GERAIS. </t>
    </r>
    <r>
      <rPr>
        <i/>
        <sz val="12"/>
        <color theme="1"/>
        <rFont val="Times New Roman"/>
        <family val="1"/>
      </rPr>
      <t>Plano Diretor de Desenvolvimento Integrado da Região Metropolitana de Belo Horizonte - PDDI-RMBH</t>
    </r>
    <r>
      <rPr>
        <sz val="12"/>
        <color theme="1"/>
        <rFont val="Times New Roman"/>
        <family val="1"/>
      </rPr>
      <t>. Volume 1 - Definição das propostas de políticas setoriais, projetos e investimentos prioritários. Belo Horizonte, maio 2011. 281p.</t>
    </r>
  </si>
  <si>
    <t>Gráfico 61a - Índice de bem-estar urbano relativo à infraestrutura urbana de Belo Horizonte em comparação com demais municípios da RMBH (2010)</t>
  </si>
  <si>
    <t>Gráfico 96b - Índice de bem-estar urbano relativo ao tempo de deslocamento casa-trabalho de Belo Horizonte e RMBH em comparação com demais capitais e regiões metropolitanas brasileiras selecionadas pelo SisMob-BH (2010)</t>
  </si>
  <si>
    <t>Gráfico 96a - Índice de bem-estar urbano relativo ao tempo de deslocamento casa-trabalho de Belo Horizonte em comparação com demais municípios da RMBH (2010)</t>
  </si>
  <si>
    <r>
      <rPr>
        <b/>
        <sz val="10"/>
        <color theme="1"/>
        <rFont val="Times New Roman"/>
        <family val="1"/>
      </rPr>
      <t xml:space="preserve">obs.: </t>
    </r>
    <r>
      <rPr>
        <sz val="10"/>
        <color theme="1"/>
        <rFont val="Times New Roman"/>
        <family val="1"/>
      </rPr>
      <t>consulte os verbetes "benchmarking SisMob-BH" para conhecer os critérios adotados na seleção de cidades e regiões metropolitanas aqui apresentados</t>
    </r>
  </si>
  <si>
    <t>D5</t>
  </si>
  <si>
    <t>Gráfico 61a</t>
  </si>
  <si>
    <r>
      <rPr>
        <b/>
        <sz val="10"/>
        <color theme="1"/>
        <rFont val="Times New Roman"/>
        <family val="1"/>
      </rPr>
      <t xml:space="preserve">obs.1: </t>
    </r>
    <r>
      <rPr>
        <sz val="10"/>
        <color theme="1"/>
        <rFont val="Times New Roman"/>
        <family val="1"/>
      </rPr>
      <t xml:space="preserve">o indicador "ibeu (D5)" é a dimensão n.º 5 (infraestrutura) do "índice de bem-estar urbano - ibeu - desenvolvido pelo Observatório das Metrópoles; essa dimensão é representada por sete os indicadores (iluminação pública, pavimentação, calçada, meio-fio/guia, bueiro ou boca de lobo, rampa para cadeirantes e logradouros), seus resultados são apresentados na escala "0,000 a 1,000" (com o maior bem-estar possível = 1,00) com peso "1/5" no ibeu geral conforme descrito nos verbetes "ibeu" do </t>
    </r>
    <r>
      <rPr>
        <i/>
        <sz val="10"/>
        <color theme="1"/>
        <rFont val="Times New Roman"/>
        <family val="1"/>
      </rPr>
      <t>Quadro 100a - Dados abertos do SisMob-BH</t>
    </r>
  </si>
  <si>
    <r>
      <rPr>
        <b/>
        <sz val="10"/>
        <color theme="1"/>
        <rFont val="Times New Roman"/>
        <family val="1"/>
      </rPr>
      <t xml:space="preserve">obs.1: </t>
    </r>
    <r>
      <rPr>
        <sz val="10"/>
        <color theme="1"/>
        <rFont val="Times New Roman"/>
        <family val="1"/>
      </rPr>
      <t>o indicador "ibeu (D1)" é a dimensão n.º 1 (mobilidade urbana) do "índice de bem-estar urbano - ibeu - desenvolvido pelo Observatório das Metrópoles; essa dimensão é representada pelo "tempo de deslocamento casa-trabalho", descrito como sendo a "proporção de pessoas que trabalham fora do domicílio de residência e retornam do trabalho diariamente no período de até 1 hora", com resultados apresentados na escala "0,000 a 1,000" (com o maior bem-estar possível = 1,00) com peso "1/5" no ibeu geral conforme descrito nos verbetes "ibeu" do Quadro 100a - Dados abertos do SisMob-BH</t>
    </r>
  </si>
  <si>
    <t>Gráfico 61b - Índice de bem-estar urbano relativo à infraestrutura urbana de Belo Horizonte e RMBH em comparação com demais capitais e regiões metropolitanas brasileiras selecionadas pelo SisMob-BH (2010)</t>
  </si>
  <si>
    <t>Gráfico 96b</t>
  </si>
  <si>
    <t>Gráfico 61b</t>
  </si>
  <si>
    <r>
      <t xml:space="preserve">o "mapa declividades RMBH" está apresentado no PDDI-RMBH conforme MG(2011a, p.176)
</t>
    </r>
    <r>
      <rPr>
        <b/>
        <sz val="10"/>
        <color theme="1"/>
        <rFont val="Times New Roman"/>
        <family val="1"/>
      </rPr>
      <t xml:space="preserve">obs.: </t>
    </r>
    <r>
      <rPr>
        <sz val="10"/>
        <color theme="1"/>
        <rFont val="Times New Roman"/>
        <family val="1"/>
      </rPr>
      <t>as informações contidas na fonte consultada não permitem conhecer metodologia e resultados detalhados</t>
    </r>
  </si>
  <si>
    <t>PDDI</t>
  </si>
  <si>
    <t>Future Bus</t>
  </si>
  <si>
    <t>"ônibus do futuro" em tradução literal, de piso baixo, testado em "trajeto de linha de trânsito rápido para ônibus", que possui "uma série de sensores, radar, câmeras e GPS, para desviar de obstáculos, pedestres e fazer as paradas" conforme MOBILIZE(2016d)</t>
  </si>
  <si>
    <t>acesse os verbetes "low floor" e "Future Bus"</t>
  </si>
  <si>
    <t>indicador</t>
  </si>
  <si>
    <t>índice</t>
  </si>
  <si>
    <t>"Existe certa confusão sobre o significado de índice e indicador, onde muitas vezes são erroneamente utilizados como sinônimos. [...] entende-se o termo índice como um valor numérico que representa a correta interpretação da realidade de um sistema simples ou complexo (natural, econômico ou social), utilizando, em seu cálculo, bases científicas e métodos adequados. O índice pode servir como um instrumento de tomada de decisão e previsão, e é considerado um nível superior da junção de um jogo de indicadores ou variáveis. O termo indicador é um parâmetro selecionado e considerado isoladamente ou em combinação com outros para refletir sobre as condições do sistema em análise. Normalmente um indicador é utilizado como um pré-tratamento aos dados originais. [...] Índices ou indicadores funcionam como um sinal de alarme para manifestar a situação do sistema avaliado, pois são valores estáticos, isto é, dão uma fotografia do momento
atual." conforme SICHE(2007, p.139-140, 143)</t>
  </si>
  <si>
    <t>índice de bem-estar subjetivo</t>
  </si>
  <si>
    <t>acesse o verbete "bem-estar subjetivo”</t>
  </si>
  <si>
    <r>
      <rPr>
        <b/>
        <sz val="12"/>
        <color theme="1"/>
        <rFont val="Times New Roman"/>
        <family val="1"/>
      </rPr>
      <t xml:space="preserve">SICHE(2007): </t>
    </r>
    <r>
      <rPr>
        <sz val="12"/>
        <color theme="1"/>
        <rFont val="Times New Roman"/>
        <family val="1"/>
      </rPr>
      <t xml:space="preserve">SICHE, Raúl; AGOSTINHO, Frei; ORTEGA, Enrique; ROMEIRO, Ademar. Índices versus indicadores: precisões conceituais na discussão da sustentatbilidade de países. </t>
    </r>
    <r>
      <rPr>
        <i/>
        <sz val="12"/>
        <color theme="1"/>
        <rFont val="Times New Roman"/>
        <family val="1"/>
      </rPr>
      <t>Ambiente &amp; Sociedade</t>
    </r>
    <r>
      <rPr>
        <sz val="12"/>
        <color theme="1"/>
        <rFont val="Times New Roman"/>
        <family val="1"/>
      </rPr>
      <t>, Campinas, v. X, n.2, p.137-148, jul.-dez 2007.</t>
    </r>
  </si>
  <si>
    <t>EXT REST</t>
  </si>
  <si>
    <t>extensão da rede cicloviária conforme BHTRANS(2011a, p.20)</t>
  </si>
  <si>
    <t>EXT CICL</t>
  </si>
  <si>
    <t>EV re</t>
  </si>
  <si>
    <t>re</t>
  </si>
  <si>
    <t>rede estruturante (usado como complemento de "EV")</t>
  </si>
  <si>
    <r>
      <t xml:space="preserve">extensão da rede estruturante
</t>
    </r>
    <r>
      <rPr>
        <b/>
        <sz val="10"/>
        <color theme="1"/>
        <rFont val="Times New Roman"/>
        <family val="1"/>
      </rPr>
      <t>obs.:</t>
    </r>
    <r>
      <rPr>
        <sz val="10"/>
        <color theme="1"/>
        <rFont val="Times New Roman"/>
        <family val="1"/>
      </rPr>
      <t xml:space="preserve"> "Extensão em quilometragem e número de estações (BRT, Metrô, VLT)" conforme BHTRANS(2011a, p.12)</t>
    </r>
    <r>
      <rPr>
        <b/>
        <sz val="10"/>
        <color theme="1"/>
        <rFont val="Times New Roman"/>
        <family val="1"/>
      </rPr>
      <t/>
    </r>
  </si>
  <si>
    <t>consulte:
EV re</t>
  </si>
  <si>
    <t>EV re
(%)</t>
  </si>
  <si>
    <t>EV metrô</t>
  </si>
  <si>
    <t>EV BRT</t>
  </si>
  <si>
    <t>extensão, em km, da rede de BRT de Belo Horizonte</t>
  </si>
  <si>
    <r>
      <rPr>
        <b/>
        <sz val="12"/>
        <rFont val="Times New Roman"/>
        <family val="1"/>
      </rPr>
      <t xml:space="preserve">CBTU(2016a): </t>
    </r>
    <r>
      <rPr>
        <sz val="12"/>
        <rFont val="Times New Roman"/>
        <family val="1"/>
      </rPr>
      <t xml:space="preserve">COMPANHIA BRASILEIRA DE TRENS URBANOS - CBTU. Sistemas. </t>
    </r>
    <r>
      <rPr>
        <i/>
        <sz val="12"/>
        <rFont val="Times New Roman"/>
        <family val="1"/>
      </rPr>
      <t>Belo Horizonte - Malha viária</t>
    </r>
    <r>
      <rPr>
        <sz val="12"/>
        <rFont val="Times New Roman"/>
        <family val="1"/>
      </rPr>
      <t>. Disponível em: &lt;http://www.cbtu.gov.br/index.php/pt/sistemas-cbtu/belo-horizonte&gt;. Acesso em: 1º ago. 2016.</t>
    </r>
  </si>
  <si>
    <t>EV metrô + EV BRT</t>
  </si>
  <si>
    <t>NE metrô</t>
  </si>
  <si>
    <r>
      <t xml:space="preserve">extensão da rede estruturante de transporte coletivo, em km, constituída pelos modos de transporte coletivo metrô e BRT
</t>
    </r>
    <r>
      <rPr>
        <b/>
        <sz val="10"/>
        <color theme="1"/>
        <rFont val="Times New Roman"/>
        <family val="1"/>
      </rPr>
      <t>obs.:</t>
    </r>
    <r>
      <rPr>
        <sz val="10"/>
        <color theme="1"/>
        <rFont val="Times New Roman"/>
        <family val="1"/>
      </rPr>
      <t xml:space="preserve"> "A Rede Extruturante do Transporte Público Coletivo é uma das principais propostas do PlanMob-BH e compreende os sistemas de alta e média capacidade de transporte, operados por diferentes tecnologias (ônibus, VLT - veiculo leve sobre trilhos, metrô, etc) [...]" conforme BHTRANS(2015e, p.37)</t>
    </r>
  </si>
  <si>
    <r>
      <t xml:space="preserve">n.º de estações da rede de metrô de Belo Horizonte
</t>
    </r>
    <r>
      <rPr>
        <b/>
        <sz val="10"/>
        <color theme="1"/>
        <rFont val="Times New Roman"/>
        <family val="1"/>
      </rPr>
      <t>obs.:</t>
    </r>
    <r>
      <rPr>
        <sz val="10"/>
        <color theme="1"/>
        <rFont val="Times New Roman"/>
        <family val="1"/>
      </rPr>
      <t xml:space="preserve"> "A primeira viagem comercial do Metrô de Belo Horizonte foi realizada em 1º de agosto de 1986 [...] Na época, seis estações compunham a Linha 1 [...] [hoje] São 19 estações e 6 terminais integrados [...]  conforme CBTU(2016a)
</t>
    </r>
    <r>
      <rPr>
        <b/>
        <sz val="10"/>
        <color theme="1"/>
        <rFont val="Times New Roman"/>
        <family val="1"/>
      </rPr>
      <t>obs.2:</t>
    </r>
    <r>
      <rPr>
        <sz val="10"/>
        <color theme="1"/>
        <rFont val="Times New Roman"/>
        <family val="1"/>
      </rPr>
      <t xml:space="preserve"> em 1986 as seis primeiras estações foram Eldorado, Cidade Industrial, Gameleira, Calafate, Carlos Prates e Lagoinha; n.º 7 </t>
    </r>
    <r>
      <rPr>
        <sz val="10"/>
        <color rgb="FFFF0000"/>
        <rFont val="Times New Roman"/>
        <family val="1"/>
      </rPr>
      <t>(ano?) foi Central</t>
    </r>
    <r>
      <rPr>
        <sz val="10"/>
        <color theme="1"/>
        <rFont val="Times New Roman"/>
        <family val="1"/>
      </rPr>
      <t>; n.º 8 e 9 (em 1992) foram Santa Efigênia e Horto Florestal; n.º 10 (em 1993) foi Santa Tereza, n.º 11 (em 1994) foi Santa Inês; n.º 12 e 13 (em 1997) foram José Cândido da Silveira e Minas Shopping; n.º 14 (em 1999) foi Vila Oeste; n.º 15, 16 e 17 (em 2002) foram São Gabriel, Primeiro de Maio e Waldomiro Lobo; n.º 18 e 19</t>
    </r>
    <r>
      <rPr>
        <sz val="10"/>
        <color rgb="FFFF0000"/>
        <rFont val="Times New Roman"/>
        <family val="1"/>
      </rPr>
      <t xml:space="preserve"> (ano?) foram Floramar e Vilarinho</t>
    </r>
  </si>
  <si>
    <t>cidades inclusivas</t>
  </si>
  <si>
    <t>cidades conectadas</t>
  </si>
  <si>
    <t>cidades resilientes</t>
  </si>
  <si>
    <t>ODS</t>
  </si>
  <si>
    <r>
      <t xml:space="preserve">um dos três eixos da rede SDSN Brasil para implementação do ODS n.º 11
</t>
    </r>
    <r>
      <rPr>
        <b/>
        <sz val="10"/>
        <rFont val="Times New Roman"/>
        <family val="1"/>
      </rPr>
      <t>obs.1:</t>
    </r>
    <r>
      <rPr>
        <sz val="10"/>
        <rFont val="Times New Roman"/>
        <family val="1"/>
      </rPr>
      <t xml:space="preserve"> "Uma Cidade Inclusiva é aquela que promove... Educação, cultura e informação [...] Acesso a moradia adequada e a serviços públicos básicos [...] Participação no planejamento urbano [...] Acesso a espaços públicos e áreas verdes [...] Segurança cidadã [...] Fomento a oportunidades econômicas e ao empreendedorismo local [...] Acessibilidade universal [...]" conforme SDSN(2016c)
</t>
    </r>
    <r>
      <rPr>
        <b/>
        <sz val="10"/>
        <rFont val="Times New Roman"/>
        <family val="1"/>
      </rPr>
      <t xml:space="preserve">obs.2: </t>
    </r>
    <r>
      <rPr>
        <sz val="10"/>
        <rFont val="Times New Roman"/>
        <family val="1"/>
      </rPr>
      <t>acesse os verbetes "cidades conectadas", "cidades resilientes", "ODS", "SDSN"</t>
    </r>
  </si>
  <si>
    <r>
      <t xml:space="preserve">um dos três eixos da rede SDSN Brasil para implementação do ODS n.º 11
</t>
    </r>
    <r>
      <rPr>
        <b/>
        <sz val="10"/>
        <rFont val="Times New Roman"/>
        <family val="1"/>
      </rPr>
      <t>obs.1:</t>
    </r>
    <r>
      <rPr>
        <sz val="10"/>
        <rFont val="Times New Roman"/>
        <family val="1"/>
      </rPr>
      <t xml:space="preserve"> "Uma Cidade Resiliente é aquela que promove... Provisão, acesso e qualidade de água [...] Gestão de Resíduos Sólidos [...] Conservação de biodiversidade e serviços ecossistêmicos [...] Redução de riscos de desastres naturais [...] Melhoria da qualidade do ar [...] Edificações e infraestrutura resilientes [...] Promoção e uso de energias renováveis [...] " conforme SDSN(2016d)
</t>
    </r>
    <r>
      <rPr>
        <b/>
        <sz val="10"/>
        <rFont val="Times New Roman"/>
        <family val="1"/>
      </rPr>
      <t xml:space="preserve">obs.2: </t>
    </r>
    <r>
      <rPr>
        <sz val="10"/>
        <rFont val="Times New Roman"/>
        <family val="1"/>
      </rPr>
      <t>acesse os verbetes "cidades conectadas", "cidades inclusivas", "ODS", "SDSN"</t>
    </r>
  </si>
  <si>
    <r>
      <t xml:space="preserve">Sustainable Development Solutions Network
</t>
    </r>
    <r>
      <rPr>
        <b/>
        <sz val="10"/>
        <rFont val="Times New Roman"/>
        <family val="1"/>
      </rPr>
      <t xml:space="preserve">obs.1: </t>
    </r>
    <r>
      <rPr>
        <sz val="10"/>
        <rFont val="Times New Roman"/>
        <family val="1"/>
      </rPr>
      <t xml:space="preserve">"A SDSN Brasil é uma rede que faz parte da iniciativa global das Nações Unidas para promover o desenvolvimento sustentável por meio do trabalho coordenado entre diferentes setores: academia, sociedade civil e do setor privado. A SDSN mobiliza conhecimentos técnicos e científicos destes setores para resolução de problemas em escalas locais, nacionais e globais. O objetivo é acelerar a aprendizagem conjunta e superar a compartimentação do trabalho técnico e político, promovendo abordagens integradas para os desafios econômicos, sociais e ambientais que o mundo enfrenta. A SDSN atua em colaboração com as agências das Nações Unidas, as instituições multilaterais de financiamento, além do setor privado e a sociedade civil. 
Atualmente, as redes da SDSN trabalham para a implementação local dos Objetivos de Desenvolvimento Sustentável (ODS), adotados dia 25 de setembro [de ___] durante a Assembleia Geral da ONU. Em razão do alto índice de urbanização do Brasil, a SDSN Brasil foca especificamente no alcance do Objetivo 11, 'Tornar as cidades e os assentamentos humanos inclusivos, seguros, resilientes e sustentáveis.' ” conforme SDSN(2016b)
</t>
    </r>
    <r>
      <rPr>
        <b/>
        <sz val="10"/>
        <rFont val="Times New Roman"/>
        <family val="1"/>
      </rPr>
      <t xml:space="preserve">obs.2: </t>
    </r>
    <r>
      <rPr>
        <sz val="10"/>
        <rFont val="Times New Roman"/>
        <family val="1"/>
      </rPr>
      <t>acesse os verbetes "cidades conectadas", "cidades inclusivas", "cidades resilientes", "ODS"</t>
    </r>
  </si>
  <si>
    <t>SDSN</t>
  </si>
  <si>
    <r>
      <t xml:space="preserve">um dos três eixos da rede SDSN Brasil para implementação do ODS n.º 11
</t>
    </r>
    <r>
      <rPr>
        <b/>
        <sz val="10"/>
        <rFont val="Times New Roman"/>
        <family val="1"/>
      </rPr>
      <t xml:space="preserve">obs.1: </t>
    </r>
    <r>
      <rPr>
        <sz val="10"/>
        <rFont val="Times New Roman"/>
        <family val="1"/>
      </rPr>
      <t xml:space="preserve">"Uma Cidade Conectada é aquela que promove... Planejamento integrado do uso e ocupação do solo
[...] Segurança viária [...] Acesso ao transporte público [...] Infraestrutura para transporte não motorizado (deslocamentos a pé e em bicicleta) [...] Integração modal e tarifária [...] Meios de transporte sustentáveis
[...] Tecnologias para cidades inteligentes [...]" conforme SDSN(2016e)
</t>
    </r>
    <r>
      <rPr>
        <b/>
        <sz val="10"/>
        <rFont val="Times New Roman"/>
        <family val="1"/>
      </rPr>
      <t xml:space="preserve">obs.2: </t>
    </r>
    <r>
      <rPr>
        <sz val="10"/>
        <rFont val="Times New Roman"/>
        <family val="1"/>
      </rPr>
      <t>acesse os verbetes "cidades inclusivas", "cidades resilientes", "ODS", "SDSN"</t>
    </r>
  </si>
  <si>
    <t>ODS 11</t>
  </si>
  <si>
    <t>EV re por 100 mil habitantes</t>
  </si>
  <si>
    <t>(EV re / P) x 100.000</t>
  </si>
  <si>
    <t>NVR tc (ano)</t>
  </si>
  <si>
    <t>ainda não apurado</t>
  </si>
  <si>
    <t>n.º de viagens realizadas do transporte coletivo suplementar no ano</t>
  </si>
  <si>
    <t>NVR tcc + NVR tcs</t>
  </si>
  <si>
    <t>NVR tcc (ano)</t>
  </si>
  <si>
    <t>NVR tcc (mês)</t>
  </si>
  <si>
    <t>NVR tcs (ano)</t>
  </si>
  <si>
    <r>
      <t xml:space="preserve">"ibeu (D1)" é a dimensão 1 (mobilidade urbana) do "ibeu" conforme RIBEIRO(2013, p.40-46)
</t>
    </r>
    <r>
      <rPr>
        <b/>
        <sz val="10"/>
        <color theme="1"/>
        <rFont val="Times New Roman"/>
        <family val="1"/>
      </rPr>
      <t xml:space="preserve">obs.1: </t>
    </r>
    <r>
      <rPr>
        <sz val="10"/>
        <color theme="1"/>
        <rFont val="Times New Roman"/>
        <family val="1"/>
      </rPr>
      <t xml:space="preserve">o indicador selecionado para compor o ibeu(D1) é "Tempo de deslocamento
casa-trabalho", descrito como "Proporção de pessoas que trabalham fora do domicílio de residência e
retornam do trabalho diariamente no período de até 1 hora", medido na escala "0,000 a 1,000" (com o maior bem-estar possível = 1,00) e peso "1/5" no ibeu geral conforme RIBEIRO(2013, p.23)
</t>
    </r>
    <r>
      <rPr>
        <b/>
        <sz val="10"/>
        <color theme="1"/>
        <rFont val="Times New Roman"/>
        <family val="1"/>
      </rPr>
      <t>obs.2:</t>
    </r>
    <r>
      <rPr>
        <sz val="10"/>
        <color theme="1"/>
        <rFont val="Times New Roman"/>
        <family val="1"/>
      </rPr>
      <t xml:space="preserve"> "A utilização apenas de um único indicador na composição dessa dimensão decorre da
não existência de outras variáveis que pudessem refletir as condições de mobilidade urbana no censo
demográfico." conforme RIBEIRO(2013, p.19)
</t>
    </r>
    <r>
      <rPr>
        <b/>
        <sz val="10"/>
        <color theme="1"/>
        <rFont val="Times New Roman"/>
        <family val="1"/>
      </rPr>
      <t xml:space="preserve">obs.2: </t>
    </r>
    <r>
      <rPr>
        <sz val="10"/>
        <color theme="1"/>
        <rFont val="Times New Roman"/>
        <family val="1"/>
      </rPr>
      <t>acesse "ibeu" e "ibeu (D5)"</t>
    </r>
  </si>
  <si>
    <r>
      <rPr>
        <b/>
        <sz val="12"/>
        <color theme="1"/>
        <rFont val="Times New Roman"/>
        <family val="1"/>
      </rPr>
      <t>SP(2016g1/g2):</t>
    </r>
    <r>
      <rPr>
        <sz val="12"/>
        <color theme="1"/>
        <rFont val="Times New Roman"/>
        <family val="1"/>
      </rPr>
      <t xml:space="preserve"> SÃO PAULO. Prefeitura. Secretaria Municipal de Transportes. São Paulo Transporte S. A. - SPTrans. Gerência de Administração do Cadastro da Frota e dos Operadores e Condutores - DP/SCP/GCF. </t>
    </r>
    <r>
      <rPr>
        <i/>
        <sz val="12"/>
        <color theme="1"/>
        <rFont val="Times New Roman"/>
        <family val="1"/>
      </rPr>
      <t>Planilha Frota da concessão por tipo de acessibilidade; Planilha Frota do subsistema local por tipo de tecnologia</t>
    </r>
    <r>
      <rPr>
        <sz val="12"/>
        <color theme="1"/>
        <rFont val="Times New Roman"/>
        <family val="1"/>
      </rPr>
      <t>. São Paulo, 15 jul. 2016. [planilhas recebidas por e-mail em 1º/08/2016, após uma série de e-mail trocados, atendendo a solicitação feita pelo SisMob-BH em 1º/06/2016]</t>
    </r>
  </si>
  <si>
    <r>
      <rPr>
        <b/>
        <sz val="12"/>
        <color theme="1"/>
        <rFont val="Times New Roman"/>
        <family val="1"/>
      </rPr>
      <t>SP(2015e):</t>
    </r>
    <r>
      <rPr>
        <sz val="12"/>
        <color theme="1"/>
        <rFont val="Times New Roman"/>
        <family val="1"/>
      </rPr>
      <t xml:space="preserve"> SÃO PAULO. Prefeitura. Secretaria Municipal de Transportes. São Paulo Transporte S. A. - SPTrans; Companhia de Engenharia de Tráfego - CET. </t>
    </r>
    <r>
      <rPr>
        <i/>
        <sz val="12"/>
        <color theme="1"/>
        <rFont val="Times New Roman"/>
        <family val="1"/>
      </rPr>
      <t>PlanMob/SP 2015 - Plano de Mobilidade de São Paulo</t>
    </r>
    <r>
      <rPr>
        <sz val="12"/>
        <color theme="1"/>
        <rFont val="Times New Roman"/>
        <family val="1"/>
      </rPr>
      <t>. São Paulo, dez. 2015. 201p.+mapas.</t>
    </r>
  </si>
  <si>
    <t>transporte coletivo</t>
  </si>
  <si>
    <r>
      <rPr>
        <b/>
        <sz val="12"/>
        <color theme="1"/>
        <rFont val="Times New Roman"/>
        <family val="1"/>
      </rPr>
      <t>SP(2016h1):</t>
    </r>
    <r>
      <rPr>
        <sz val="12"/>
        <color theme="1"/>
        <rFont val="Times New Roman"/>
        <family val="1"/>
      </rPr>
      <t xml:space="preserve"> SÃO PAULO. Prefeitura. Secretaria Municipal de Transportes. São Paulo Transporte S. A. - SPTrans. Gerência de Administração do Cadastro da Frota e dos Operadores e Condutores - DP/SCP/GCF. </t>
    </r>
    <r>
      <rPr>
        <i/>
        <sz val="12"/>
        <color theme="1"/>
        <rFont val="Times New Roman"/>
        <family val="1"/>
      </rPr>
      <t xml:space="preserve">Sistema de transporte. </t>
    </r>
    <r>
      <rPr>
        <sz val="12"/>
        <color theme="1"/>
        <rFont val="Times New Roman"/>
        <family val="1"/>
      </rPr>
      <t>São Paulo, s.d. Disponível em: &lt;http://www.sptrans.com.br/a_sptrans/sistema.aspx&gt;. Acesso em: 02/08/2016.</t>
    </r>
  </si>
  <si>
    <t>transporte coletivo estrutural</t>
  </si>
  <si>
    <t>transporte coletivo local</t>
  </si>
  <si>
    <t>transporte coletivo de baixa capacidade</t>
  </si>
  <si>
    <t>acesse "transporte coletivo suplementar - Belo Horizonte"; "táxi lotação - Belo Horizonte" e "transporte coletivo de baixa capacidade - Betim"</t>
  </si>
  <si>
    <t>acesse "transporte coletivo suplementar" (sigla "tcs")</t>
  </si>
  <si>
    <t>transporte coletivo convencional (usado como complemento de "R", de "F" e de diversos indicadores de "Transporte convencional")</t>
  </si>
  <si>
    <t>São Paulo (subsistema estrutural)</t>
  </si>
  <si>
    <t>São Paulo (subsistema local)</t>
  </si>
  <si>
    <t>São Paulo (total = estrutural + local)</t>
  </si>
  <si>
    <t>tce</t>
  </si>
  <si>
    <t>tcl</t>
  </si>
  <si>
    <t>transporte coletivo estrutural (usado como complemento da sigla "F")</t>
  </si>
  <si>
    <t>complemento de sigla</t>
  </si>
  <si>
    <t>F tce nac</t>
  </si>
  <si>
    <t>F tcl nac</t>
  </si>
  <si>
    <t>F tce nac + F tcl nac</t>
  </si>
  <si>
    <t>F tce eh + F tcl eh</t>
  </si>
  <si>
    <r>
      <t xml:space="preserve">frota em n.º de ônibus do transporte coletivo (estrutural e local) de São Paulo gerenciado pela SPTrans equipados com elevador hidráulico acionado exclusivamente para embarque/desembarque de pessoas em cadeira de rodas e que não operam em plataforma elevada (o embarque/desembarque nunca acontece em nível)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2</t>
    </r>
    <r>
      <rPr>
        <sz val="10"/>
        <rFont val="Times New Roman"/>
        <family val="1"/>
      </rPr>
      <t>, numa escala de 1 a 10, na classificação definida pelo SisMob-BH para classificar a acessibilidade - acesse "acessibilidade em ônibus urbano (escala)"</t>
    </r>
    <r>
      <rPr>
        <b/>
        <sz val="10"/>
        <rFont val="Times New Roman"/>
        <family val="1"/>
      </rPr>
      <t/>
    </r>
  </si>
  <si>
    <t>F tce eh</t>
  </si>
  <si>
    <r>
      <t xml:space="preserve">frota em n.º de ônibus do transporte coletivo estrutural de São Paulo gerenciado pela SPTrans equipados com elevador hidráulico acionado exclusivamente para embarque/desembarque de pessoas em cadeira de rodas e que não operam em plataforma elevada (o embarque/desembarque nunca acontece em nível)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2</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resultado de 2015 relativo a 15/07/2016 conforme SP(2016g1)
</t>
    </r>
    <r>
      <rPr>
        <b/>
        <sz val="10"/>
        <rFont val="Times New Roman"/>
        <family val="1"/>
      </rPr>
      <t>obs.3:</t>
    </r>
    <r>
      <rPr>
        <sz val="10"/>
        <rFont val="Times New Roman"/>
        <family val="1"/>
      </rPr>
      <t xml:space="preserve"> estes ônibus foram todos considerados peso 2 na ausência de evidências de que poderia ser peso 3</t>
    </r>
  </si>
  <si>
    <r>
      <t xml:space="preserve">frota em n.º de ônibus do transporte coletivo local de São Paulo gerenciado pela SPTrans equipados com elevador hidráulico acionado exclusivamente para embarque/desembarque de pessoas em cadeira de rodas e que não operam em plataforma elevada (o embarque/desembarque nunca acontece em nível)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2</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resultado de 2015 relativo a 15/07/2016 conforme SP(2016g2)
</t>
    </r>
    <r>
      <rPr>
        <b/>
        <sz val="10"/>
        <rFont val="Times New Roman"/>
        <family val="1"/>
      </rPr>
      <t>obs.3:</t>
    </r>
    <r>
      <rPr>
        <sz val="10"/>
        <rFont val="Times New Roman"/>
        <family val="1"/>
      </rPr>
      <t xml:space="preserve"> estes ônibus foram todos considerados peso 2 na ausência de evidências de que poderia ser peso 3</t>
    </r>
  </si>
  <si>
    <t>F tcl eh</t>
  </si>
  <si>
    <t>F tce eh ec</t>
  </si>
  <si>
    <t>F tcl eh ec</t>
  </si>
  <si>
    <r>
      <t xml:space="preserve">veículos equipados com elevador hidráulico que permitem embarque/desembarque não exclusivo de usuários cadeirantes (pessoas em pé podem utuilizar o equipamento caso se sintam seguras  e o operador permita) e que não operam em plataforma elevada
</t>
    </r>
    <r>
      <rPr>
        <b/>
        <sz val="10"/>
        <rFont val="Times New Roman"/>
        <family val="1"/>
      </rPr>
      <t xml:space="preserve">obs.1: </t>
    </r>
    <r>
      <rPr>
        <sz val="10"/>
        <rFont val="Times New Roman"/>
        <family val="1"/>
      </rPr>
      <t xml:space="preserve">esta categoria só é utilizada quando o gestor local informa, claramente, que o uso sem restrições é permitido e informado aos usuários
</t>
    </r>
    <r>
      <rPr>
        <b/>
        <sz val="10"/>
        <rFont val="Times New Roman"/>
        <family val="1"/>
      </rPr>
      <t xml:space="preserve">obs.2: </t>
    </r>
    <r>
      <rPr>
        <sz val="10"/>
        <rFont val="Times New Roman"/>
        <family val="1"/>
      </rPr>
      <t>acesse informações quantitativas relativas ao indicador "IAED" das cidades/regiões já incorporadas ao SisMob-BH</t>
    </r>
  </si>
  <si>
    <t>F tce eh ecp</t>
  </si>
  <si>
    <t>F tce eh ec + F tcl eh ecp</t>
  </si>
  <si>
    <t>F tcl eh ecp</t>
  </si>
  <si>
    <r>
      <t xml:space="preserve">frota em n.º de ônibus do transporte coletivo estrutural de São Paulo gerenciado pela SPTrans equipados com elevador hidráulico que permite embarque/desembarque não exclusivo de usuários cadeirantes (pessoas em pé podem utilizar o equipamento caso se sintam seguras e o operador permita) e que não operam em plataforma elevada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3</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resultado de 2015 relativo a 15/07/2016 conforme SP(2016g1), com todos os ônibus com elevador considerados peso 2 na ausência de evidências de que poderiam ser peso 3</t>
    </r>
  </si>
  <si>
    <r>
      <t xml:space="preserve">frota em n.º de ônibus do transporte coletivo local de São Paulo gerenciado pela SPTrans equipados com elevador hidráulico que permite embarque/desembarque não exclusivo de usuários cadeirantes (pessoas em pé podem utilizar o equipamento caso se sintam seguras e o operador permita) e que não operam em plataforma elevada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3</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resultado de 2015 relativo a 15/07/2016 conforme SP(2016g1), com todos os ônibus com elevador considerados peso 2 na ausência de evidências de que poderiam ser peso 3</t>
    </r>
  </si>
  <si>
    <r>
      <t xml:space="preserve">frota em n.º de ônibus do transporte coletivo (estrutural e local) de São Paulo gerenciado pela SPTrans equipados com elevador hidráulico que permite embarque/desembarque não exclusivo de usuários cadeirantes (pessoas em pé podem utilizar o equipamento caso se sintam seguras e o operador permita) e que não operam em plataforma elevada 
</t>
    </r>
    <r>
      <rPr>
        <b/>
        <sz val="10"/>
        <rFont val="Times New Roman"/>
        <family val="1"/>
      </rPr>
      <t xml:space="preserve">obs.: </t>
    </r>
    <r>
      <rPr>
        <sz val="10"/>
        <rFont val="Times New Roman"/>
        <family val="1"/>
      </rPr>
      <t xml:space="preserve">os veículos desta categoria recebem </t>
    </r>
    <r>
      <rPr>
        <b/>
        <sz val="10"/>
        <color rgb="FFFF0000"/>
        <rFont val="Times New Roman"/>
        <family val="1"/>
      </rPr>
      <t>peso 3</t>
    </r>
    <r>
      <rPr>
        <sz val="10"/>
        <rFont val="Times New Roman"/>
        <family val="1"/>
      </rPr>
      <t>, numa escala de 1 a 10, na classificação definida pelo SisMob-BH para classificar a acessibilidade - acesse "acessibilidade em ônibus urbano (escala)"</t>
    </r>
    <r>
      <rPr>
        <b/>
        <sz val="10"/>
        <rFont val="Times New Roman"/>
        <family val="1"/>
      </rPr>
      <t/>
    </r>
  </si>
  <si>
    <t>F tce eh ec + F tce eh ecp</t>
  </si>
  <si>
    <t>frota em n.º de ônibus do transporte coletivo local de São Paulo gerenciado pela SPTrans equipados com  elevador hidráulico de uso exclusivo ou não para cadeirantes e que não estão aptos a operar em parte do percurso em plataforma elevada</t>
  </si>
  <si>
    <t>F tce en c/rampa manual</t>
  </si>
  <si>
    <r>
      <t xml:space="preserve">frota em n.º de ônibus do transporte coletivo estrutural de São Paulo com piso baixo e rampa veicular manual em uma das portas (com embarque/desembarque em nível apenas nessa porta com o usuário dependente da abertura manual da rampa)
</t>
    </r>
    <r>
      <rPr>
        <b/>
        <sz val="10"/>
        <rFont val="Times New Roman"/>
        <family val="1"/>
      </rPr>
      <t xml:space="preserve">obs.1: </t>
    </r>
    <r>
      <rPr>
        <sz val="10"/>
        <rFont val="Times New Roman"/>
        <family val="1"/>
      </rPr>
      <t>esta categoria recebe</t>
    </r>
    <r>
      <rPr>
        <b/>
        <sz val="10"/>
        <rFont val="Times New Roman"/>
        <family val="1"/>
      </rPr>
      <t xml:space="preserve"> </t>
    </r>
    <r>
      <rPr>
        <b/>
        <sz val="10"/>
        <color rgb="FFFF0000"/>
        <rFont val="Times New Roman"/>
        <family val="1"/>
      </rPr>
      <t>peso 8</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resultado de 2015 relativo a 15/07/2016 conforme SP(2016g1) </t>
    </r>
  </si>
  <si>
    <t>F tcl en c/rampa manual</t>
  </si>
  <si>
    <t>F tce en c/rampa manual + F tcl en c/rampa manual</t>
  </si>
  <si>
    <r>
      <t xml:space="preserve">frota em n.º de ônibus do transporte coletivo local de São Paulo com piso baixo e rampa veicular manual em uma das portas (com embarque/desembarque em nível apenas nessa porta com o usuário dependente da abertura manual da rampa)
</t>
    </r>
    <r>
      <rPr>
        <b/>
        <sz val="10"/>
        <rFont val="Times New Roman"/>
        <family val="1"/>
      </rPr>
      <t xml:space="preserve">obs.1: </t>
    </r>
    <r>
      <rPr>
        <sz val="10"/>
        <rFont val="Times New Roman"/>
        <family val="1"/>
      </rPr>
      <t>esta categoria recebe</t>
    </r>
    <r>
      <rPr>
        <b/>
        <sz val="10"/>
        <rFont val="Times New Roman"/>
        <family val="1"/>
      </rPr>
      <t xml:space="preserve"> </t>
    </r>
    <r>
      <rPr>
        <b/>
        <sz val="10"/>
        <color rgb="FFFF0000"/>
        <rFont val="Times New Roman"/>
        <family val="1"/>
      </rPr>
      <t>peso 8</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resultado de 2015 relativo a 15/07/2016 conforme SP(2016g2) </t>
    </r>
  </si>
  <si>
    <t>total (São Paulo subsistema estrutural)</t>
  </si>
  <si>
    <t>total (São Paulo subsistema local)</t>
  </si>
  <si>
    <t>total (São Paulo = estrutural + local)</t>
  </si>
  <si>
    <t>registro na fonte
ou
F tce + F tcl</t>
  </si>
  <si>
    <t>soma das categorias com resultado</t>
  </si>
  <si>
    <r>
      <t xml:space="preserve">frota total em n.º de ônibus do transporte coletivo local de São Paulo gerenciado pela SPTrans
</t>
    </r>
    <r>
      <rPr>
        <b/>
        <sz val="10"/>
        <rFont val="Times New Roman"/>
        <family val="1"/>
      </rPr>
      <t xml:space="preserve">obs.1: </t>
    </r>
    <r>
      <rPr>
        <sz val="10"/>
        <rFont val="Times New Roman"/>
        <family val="1"/>
      </rPr>
      <t>resultado de 2015 conforme SP(2016g1), que indica que o serviço é composto por ônibus de dois s tipos (sem elevador e com elevador), não havendo ônibus de piso baixo como no serviço estrutural</t>
    </r>
  </si>
  <si>
    <r>
      <t xml:space="preserve">frota total em n.º de ônibus do transporte coletivo do município de São Paulo gerenciado pela SPTrans
</t>
    </r>
    <r>
      <rPr>
        <b/>
        <sz val="10"/>
        <rFont val="Times New Roman"/>
        <family val="1"/>
      </rPr>
      <t xml:space="preserve">obs.1: </t>
    </r>
    <r>
      <rPr>
        <sz val="10"/>
        <rFont val="Times New Roman"/>
        <family val="1"/>
      </rPr>
      <t xml:space="preserve">este indicador é denominado "frota de ônibus cadastrada" pelo Observatório de Indicadores da Cidade de São Paulo (ObservaSampa) conforme SP(2015a)
</t>
    </r>
    <r>
      <rPr>
        <b/>
        <sz val="10"/>
        <rFont val="Times New Roman"/>
        <family val="1"/>
      </rPr>
      <t xml:space="preserve">obs.2: </t>
    </r>
    <r>
      <rPr>
        <sz val="10"/>
        <rFont val="Times New Roman"/>
        <family val="1"/>
      </rPr>
      <t xml:space="preserve">resultados de 2009 a 2011 conforme PROGRAMA(2015a); de 2012 a 2014 estão conforme SP(2015a)
</t>
    </r>
    <r>
      <rPr>
        <b/>
        <sz val="10"/>
        <rFont val="Times New Roman"/>
        <family val="1"/>
      </rPr>
      <t>obs.3:</t>
    </r>
    <r>
      <rPr>
        <sz val="10"/>
        <rFont val="Times New Roman"/>
        <family val="1"/>
      </rPr>
      <t xml:space="preserve"> os resultados de 2012 das duas fontes consultadas são diferentes, aqui optando-se pelo informado no ObservaSampa conforme SP(2015a)
</t>
    </r>
    <r>
      <rPr>
        <b/>
        <sz val="10"/>
        <rFont val="Times New Roman"/>
        <family val="1"/>
      </rPr>
      <t xml:space="preserve">obs.4: </t>
    </r>
    <r>
      <rPr>
        <sz val="10"/>
        <rFont val="Times New Roman"/>
        <family val="1"/>
      </rPr>
      <t>resultado de 2015 por fórmula</t>
    </r>
  </si>
  <si>
    <t>F tce fc
(%)</t>
  </si>
  <si>
    <t>registro na fonte
ou
F tce fc + F tcl fc</t>
  </si>
  <si>
    <t>F tcl fc
(%)</t>
  </si>
  <si>
    <t>F tce - F tce nac</t>
  </si>
  <si>
    <t>F tce fc
(n.º)</t>
  </si>
  <si>
    <t>F tcl fc
(n.º)</t>
  </si>
  <si>
    <r>
      <t xml:space="preserve">frota em n.º de ônibus do transporte coletivo da cidade de São Paulo com alguma facilidade para o embarque/desembarque de pessoas com mobilidade física reduzida mesmo que essa facilidade não permita classificar a viagem ofertada como acessível
</t>
    </r>
    <r>
      <rPr>
        <b/>
        <sz val="10"/>
        <rFont val="Times New Roman"/>
        <family val="1"/>
      </rPr>
      <t xml:space="preserve">obs.1: </t>
    </r>
    <r>
      <rPr>
        <sz val="10"/>
        <rFont val="Times New Roman"/>
        <family val="1"/>
      </rPr>
      <t xml:space="preserve">acesse as definições de "acessível, ônibus" e "alguma facilidade"
</t>
    </r>
    <r>
      <rPr>
        <b/>
        <sz val="10"/>
        <rFont val="Times New Roman"/>
        <family val="1"/>
      </rPr>
      <t xml:space="preserve">obs.2: </t>
    </r>
    <r>
      <rPr>
        <sz val="10"/>
        <rFont val="Times New Roman"/>
        <family val="1"/>
      </rPr>
      <t xml:space="preserve">esse indicador é denominado "frota de ônibus acessíveis" pelo Observatório de Indicadores da Cidade de São Paulo (ObservaSampa) conforme SP(2015a)
</t>
    </r>
    <r>
      <rPr>
        <b/>
        <sz val="10"/>
        <rFont val="Times New Roman"/>
        <family val="1"/>
      </rPr>
      <t xml:space="preserve">obs.3: </t>
    </r>
    <r>
      <rPr>
        <sz val="10"/>
        <rFont val="Times New Roman"/>
        <family val="1"/>
      </rPr>
      <t xml:space="preserve">os resultados de 2009 a 2011 estão conforme PROGRAMA(2015a) e os resultados de 2012 a 2014 estão conforme SP(2015a)
</t>
    </r>
    <r>
      <rPr>
        <b/>
        <sz val="10"/>
        <rFont val="Times New Roman"/>
        <family val="1"/>
      </rPr>
      <t>obs.4:</t>
    </r>
    <r>
      <rPr>
        <sz val="10"/>
        <rFont val="Times New Roman"/>
        <family val="1"/>
      </rPr>
      <t xml:space="preserve"> os resultados de 2012 das duas fontes consultadas são diferentes, aqui optando-se pelo informado no ObservaSampa conforme SP(2015a)
</t>
    </r>
    <r>
      <rPr>
        <b/>
        <sz val="10"/>
        <rFont val="Times New Roman"/>
        <family val="1"/>
      </rPr>
      <t xml:space="preserve">obs.5: </t>
    </r>
    <r>
      <rPr>
        <sz val="10"/>
        <rFont val="Times New Roman"/>
        <family val="1"/>
      </rPr>
      <t xml:space="preserve">"Caberá à SPTrans, conjuntamente com as Empresas Montadoras e Encarroçadoras, buscar o desenvolvimento de novas tecnologias que visem proporcionar conforto, segurança e principalmente, facilidade de acessibilidade dos usuários aos veículos." conforme SP(2003a)
</t>
    </r>
    <r>
      <rPr>
        <b/>
        <sz val="10"/>
        <rFont val="Times New Roman"/>
        <family val="1"/>
      </rPr>
      <t>obs.6:</t>
    </r>
    <r>
      <rPr>
        <sz val="10"/>
        <rFont val="Times New Roman"/>
        <family val="1"/>
      </rPr>
      <t xml:space="preserve"> resultado de 2015 conforme fórmula</t>
    </r>
  </si>
  <si>
    <r>
      <t xml:space="preserve">sem definição de sigla, trata-se do indicador "Número de ônibus com acessibilidade para pessoas com deficiência" definido pelo </t>
    </r>
    <r>
      <rPr>
        <i/>
        <sz val="10"/>
        <rFont val="Times New Roman"/>
        <family val="1"/>
      </rPr>
      <t>Programa Cidades Sustentáveis</t>
    </r>
    <r>
      <rPr>
        <sz val="10"/>
        <rFont val="Times New Roman"/>
        <family val="1"/>
      </rPr>
      <t xml:space="preserve">conforme  (PROGRAMA,2015b)
</t>
    </r>
    <r>
      <rPr>
        <b/>
        <sz val="10"/>
        <rFont val="Times New Roman"/>
        <family val="1"/>
      </rPr>
      <t xml:space="preserve">obs.: </t>
    </r>
    <r>
      <rPr>
        <sz val="10"/>
        <rFont val="Times New Roman"/>
        <family val="1"/>
      </rPr>
      <t>este indicador tem similaridade conceitual (a despeito da diferença semântica) com "F tc fc" do SisMob-BH</t>
    </r>
  </si>
  <si>
    <r>
      <t xml:space="preserve">"percentual da frota de ônibus com piso rebaixado para pessoas com deficiência"definido pelo Programa Cidades Sustentáveis conforme PROGRAMA(2015c/d/e)
</t>
    </r>
    <r>
      <rPr>
        <b/>
        <sz val="10"/>
        <color theme="1"/>
        <rFont val="Times New Roman"/>
        <family val="1"/>
      </rPr>
      <t>obs.:</t>
    </r>
    <r>
      <rPr>
        <sz val="10"/>
        <color theme="1"/>
        <rFont val="Times New Roman"/>
        <family val="1"/>
      </rPr>
      <t xml:space="preserve"> por sua similaridade conceitual (a despeito da diferença semântica) pode-se afirmar que este indicador é parte de "F tc fc (%)"</t>
    </r>
  </si>
  <si>
    <r>
      <t>sem definição de sigla, é denominado como "Porcentagem de ônibus municipais acessíveis a pessoas com deficiência física" definido pelo</t>
    </r>
    <r>
      <rPr>
        <i/>
        <sz val="10"/>
        <color theme="1"/>
        <rFont val="Times New Roman"/>
        <family val="1"/>
      </rPr>
      <t xml:space="preserve"> Mobilize - Mobilidade Urnana Sustentável Brasil </t>
    </r>
    <r>
      <rPr>
        <sz val="10"/>
        <color theme="1"/>
        <rFont val="Times New Roman"/>
        <family val="1"/>
      </rPr>
      <t xml:space="preserve">conforme MOBILIZE(2016b)
</t>
    </r>
    <r>
      <rPr>
        <b/>
        <sz val="10"/>
        <color theme="1"/>
        <rFont val="Times New Roman"/>
        <family val="1"/>
      </rPr>
      <t xml:space="preserve">obs.: </t>
    </r>
    <r>
      <rPr>
        <sz val="10"/>
        <color theme="1"/>
        <rFont val="Times New Roman"/>
        <family val="1"/>
      </rPr>
      <t xml:space="preserve">a fonte consultada não fornece informações sobre como se calcula o indicador e, por isto, </t>
    </r>
    <r>
      <rPr>
        <sz val="10"/>
        <color rgb="FFFF0000"/>
        <rFont val="Times New Roman"/>
        <family val="1"/>
      </rPr>
      <t>em 04/05 e 23/05/2016 o SisMob-BH enviou solicitação de informações aos responsáveis pela plataforma para que se possa proceder à análise</t>
    </r>
  </si>
  <si>
    <r>
      <t xml:space="preserve">frota em n.º de ônibus do transporte coletivo estrutural da cidade de São Paulo gerenciado pela SPTrans com alguma facilidade para o embarque/desembarque de pessoas com mobilidade física reduzida mesmo que essa facilidade não permita classificar a viagem ofertada como acessível
</t>
    </r>
    <r>
      <rPr>
        <b/>
        <sz val="10"/>
        <rFont val="Times New Roman"/>
        <family val="1"/>
      </rPr>
      <t xml:space="preserve">obs.1: </t>
    </r>
    <r>
      <rPr>
        <sz val="10"/>
        <rFont val="Times New Roman"/>
        <family val="1"/>
      </rPr>
      <t xml:space="preserve">acesse as definições de "acessível, ônibus" e "alguma facilidade"
</t>
    </r>
    <r>
      <rPr>
        <b/>
        <sz val="10"/>
        <rFont val="Times New Roman"/>
        <family val="1"/>
      </rPr>
      <t xml:space="preserve">obs.2: </t>
    </r>
    <r>
      <rPr>
        <sz val="10"/>
        <rFont val="Times New Roman"/>
        <family val="1"/>
      </rPr>
      <t>resultado de 2015 conforme fórmula</t>
    </r>
  </si>
  <si>
    <r>
      <t xml:space="preserve">frota em n.º de ônibus do transporte coletivo local da cidade de São Paulo gerenciado pela SPTrans com alguma facilidade para o embarque/desembarque de pessoas com mobilidade física reduzida mesmo que essa facilidade não permita classificar a viagem ofertada como acessível
</t>
    </r>
    <r>
      <rPr>
        <b/>
        <sz val="10"/>
        <rFont val="Times New Roman"/>
        <family val="1"/>
      </rPr>
      <t xml:space="preserve">obs.1: </t>
    </r>
    <r>
      <rPr>
        <sz val="10"/>
        <rFont val="Times New Roman"/>
        <family val="1"/>
      </rPr>
      <t xml:space="preserve">acesse as definições de "acessível, ônibus" e "alguma facilidade"
</t>
    </r>
    <r>
      <rPr>
        <b/>
        <sz val="10"/>
        <rFont val="Times New Roman"/>
        <family val="1"/>
      </rPr>
      <t xml:space="preserve">obs.2: </t>
    </r>
    <r>
      <rPr>
        <sz val="10"/>
        <rFont val="Times New Roman"/>
        <family val="1"/>
      </rPr>
      <t>resultado de 2015 conforme fórmula</t>
    </r>
  </si>
  <si>
    <t>F tcl - F tcl nac</t>
  </si>
  <si>
    <t>meta</t>
  </si>
  <si>
    <t>(fc) com facilidade (São Paulo subsistema estrutural)</t>
  </si>
  <si>
    <t>(fc) com facilidade (São Paulo subsistema local)</t>
  </si>
  <si>
    <t>(fc) com facilidade (São Paulo total = estrutural + local)</t>
  </si>
  <si>
    <t>(eh) com elevador (São Paulo subsistema estrutural)</t>
  </si>
  <si>
    <t>(eh) com elevador (São Paulo subsistema local)</t>
  </si>
  <si>
    <t>(eh) com elevador (São Paulo total = estrutural + local)</t>
  </si>
  <si>
    <t>(eh) com elevador</t>
  </si>
  <si>
    <t>(pb) piso baixo (São Paulo subsistema estrutural)</t>
  </si>
  <si>
    <t>(pb) piso baixo (São Paulo subsistema local)</t>
  </si>
  <si>
    <t>(pb) piso baixo (São Paulo total = estrutural + local)</t>
  </si>
  <si>
    <t>índice de acessibilidade (São Paulo subsistema estrutural)</t>
  </si>
  <si>
    <t>índice de acessibilidade (São Paulo subsistema local)</t>
  </si>
  <si>
    <t>índice de acessibilidade (São Paulo total = estrutural + local)</t>
  </si>
  <si>
    <t>índice de acessibilidade (Contagem)</t>
  </si>
  <si>
    <t>índice de acessibilidade (Curitiba)</t>
  </si>
  <si>
    <t>índice de acessibilidade (Joinville)</t>
  </si>
  <si>
    <t>índice de acessibilidade (Porto Alegre)</t>
  </si>
  <si>
    <t>índice de acessibilidade (RMBH metropolitano)</t>
  </si>
  <si>
    <t>índice de acessibilidade (Vitória, Grande)</t>
  </si>
  <si>
    <t>índice de acessibilidade (suplementar BH)</t>
  </si>
  <si>
    <t>índice de acessibilidade (total BH)</t>
  </si>
  <si>
    <t>índice de acessibilidade (convencional BH)</t>
  </si>
  <si>
    <t>F tce en
(n.º)</t>
  </si>
  <si>
    <t>F tcl en
(n.º)</t>
  </si>
  <si>
    <r>
      <t xml:space="preserve">frota em n.º de ônibus do transporte coletivo local da cidade de São Paulo gerenciado pela SPTrans com embarque/desembarque exclusivamente em nível em todos os pontos de parada, com veículo de piso baixo ou veículo de piso alto (com o uso de plataforma elevada), em ambos os casos com ou sem rampa para transpor a fronteira
</t>
    </r>
    <r>
      <rPr>
        <b/>
        <sz val="10"/>
        <rFont val="Times New Roman"/>
        <family val="1"/>
      </rPr>
      <t xml:space="preserve">obs.: </t>
    </r>
    <r>
      <rPr>
        <sz val="10"/>
        <rFont val="Times New Roman"/>
        <family val="1"/>
      </rPr>
      <t>em 2015 não há ônibus com embarque em nível neste subsistema conforme SP(2016g1/g2)</t>
    </r>
  </si>
  <si>
    <t xml:space="preserve">F tce en + F tcl en </t>
  </si>
  <si>
    <t>F tce en
(%)</t>
  </si>
  <si>
    <t>percentual da frota de ônibus do transporte coletivo estrutural da cidade de São Paulo gerenciado pela SPTrans com embarque/desembarque exclusivamente em nível em todos os pontos de parada</t>
  </si>
  <si>
    <t>F tcl en
(%)</t>
  </si>
  <si>
    <t>percentual da frota de ônibus do transporte coletivo local da cidade de São Paulo gerenciado pela SPTrans com embarque/desembarque exclusivamente em nível em todos os pontos de parada</t>
  </si>
  <si>
    <t>frota em n.º de ônibus do transporte coletivo (estrututal e local) da cidade de São Paulo gerenciado pela SPTrans com embarque/desembarque exclusivamente em nível em todos os pontos de parada, com veículo de piso baixo ou veículo de piso alto (com o uso de plataforma elevada), em ambos os casos com ou sem rampa para transpor a fronteira</t>
  </si>
  <si>
    <t>percentual da frota de ônibus do transporte coletivo (estrutural e local) da cidade de São Paulo gerenciado pela SPTrans com embarque/desembarque exclusivamente em nível em todos os pontos de parada</t>
  </si>
  <si>
    <t>(n.º F tcl en / n.º F tcl) x  100</t>
  </si>
  <si>
    <t>(n.º F tce en / n.º F tce) x  100</t>
  </si>
  <si>
    <t>F tce pb (n.º)</t>
  </si>
  <si>
    <r>
      <t xml:space="preserve">frota em n.º de ônibus de piso baixo do transporte coletivo estrutural da cidade de São Paulo gerenciado pela SPTrans
</t>
    </r>
    <r>
      <rPr>
        <b/>
        <sz val="10"/>
        <rFont val="Times New Roman"/>
        <family val="1"/>
      </rPr>
      <t xml:space="preserve">obs.: </t>
    </r>
    <r>
      <rPr>
        <sz val="10"/>
        <rFont val="Times New Roman"/>
        <family val="1"/>
      </rPr>
      <t>resultado de 2015 relativo a 15/07/2016 conforme SP(2016g1)</t>
    </r>
  </si>
  <si>
    <r>
      <t xml:space="preserve">frota em n.º de ônibus de piso baixo do transporte coletivo estrutural da cidade de São Paulo gerenciado pela SPTrans
</t>
    </r>
    <r>
      <rPr>
        <b/>
        <sz val="10"/>
        <rFont val="Times New Roman"/>
        <family val="1"/>
      </rPr>
      <t xml:space="preserve">obs.: </t>
    </r>
    <r>
      <rPr>
        <sz val="10"/>
        <rFont val="Times New Roman"/>
        <family val="1"/>
      </rPr>
      <t>em 2015 não há ônibus de piso baixo neste subsistema conforme SP(2016g2)</t>
    </r>
  </si>
  <si>
    <t>F tcl pb (n.º)</t>
  </si>
  <si>
    <t>frota em n.º de ônibus de piso baixo do transporte coletivo (estrutural e local) da cidade de São Paulo gerenciado pela SPTrans</t>
  </si>
  <si>
    <t>F tce pb + F tcl pb</t>
  </si>
  <si>
    <t>F tce pb (%)</t>
  </si>
  <si>
    <t>percentual da frota de ônibus de piso baixo do transporte coletivo estrutural da cidade de São Paulo gerenciado pela SPTrans</t>
  </si>
  <si>
    <t>(F tce pb (n.º) / F tce (n.º)) x 100</t>
  </si>
  <si>
    <t>F tcl pb (%)</t>
  </si>
  <si>
    <t>percentual da frota de ônibus de piso baixo do transporte coletivo local da cidade de São Paulo gerenciado pela SPTrans</t>
  </si>
  <si>
    <t>(F tcl pb (n.º) / F tcl (n.º)) x 100</t>
  </si>
  <si>
    <t>percentual da frota de ônibus de piso baixo do transporte coletivo (estrutural e local) da cidade de São Paulo gerenciado pela SPTrans</t>
  </si>
  <si>
    <t>(F tc pb (n.º) / F tc (n.º)) x 100</t>
  </si>
  <si>
    <t>rede criada em 2003</t>
  </si>
  <si>
    <t>IAED tce</t>
  </si>
  <si>
    <r>
      <t xml:space="preserve">índice de acessibilidade do embarque/desembarque da frota de transporte coletivo estrutural da cidade de São Paulo gerenciado pela SPTrans na escala de 1 a 10 definida pelo SisMob-BH (onde 1 é a pior situação, 6 é o "RPI de acessibilidade sem desenho universal" e 10 é a melhor situação como "RPI de desenho universal")
</t>
    </r>
    <r>
      <rPr>
        <b/>
        <sz val="10"/>
        <rFont val="Times New Roman"/>
        <family val="1"/>
      </rPr>
      <t xml:space="preserve">obs.: </t>
    </r>
    <r>
      <rPr>
        <sz val="10"/>
        <rFont val="Times New Roman"/>
        <family val="1"/>
      </rPr>
      <t>consulte "acessibilidade em ônibus urbano (escala)"</t>
    </r>
  </si>
  <si>
    <t>IAED tcl</t>
  </si>
  <si>
    <r>
      <t xml:space="preserve">índice de acessibilidade do embarque/desembarque da frota de transporte coletivo local da cidade de São Paulo gerenciado pela SPTrans na escala de 1 a 10 definida pelo SisMob-BH (onde 1 é a pior situação, 6 é o "RPI de acessibilidade sem desenho universal" e 10 é a melhor situação como "RPI de desenho universal")
</t>
    </r>
    <r>
      <rPr>
        <b/>
        <sz val="10"/>
        <rFont val="Times New Roman"/>
        <family val="1"/>
      </rPr>
      <t xml:space="preserve">obs.: </t>
    </r>
    <r>
      <rPr>
        <sz val="10"/>
        <rFont val="Times New Roman"/>
        <family val="1"/>
      </rPr>
      <t>consulte "acessibilidade em ônibus urbano (escala)"</t>
    </r>
  </si>
  <si>
    <r>
      <t xml:space="preserve">índice de acessibilidade do embarque/desembarque da frota de transporte coletivo (estrututral e local) da cidade de São Paulo gerencoiado pela SPTrans na escala de 1 a 10 definida pelo SisMob-BH (onde 1 é a pior situação, 6 é o "RPI de acessibilidade sem desenho universal" e 10 é a melhor situação como "RPI de desenho universal") 
</t>
    </r>
    <r>
      <rPr>
        <b/>
        <sz val="10"/>
        <rFont val="Times New Roman"/>
        <family val="1"/>
      </rPr>
      <t>obs.:</t>
    </r>
    <r>
      <rPr>
        <sz val="10"/>
        <rFont val="Times New Roman"/>
        <family val="1"/>
      </rPr>
      <t xml:space="preserve"> consulte "acessibilidade em ônibus urbano (escala)"</t>
    </r>
  </si>
  <si>
    <r>
      <t xml:space="preserve">veículos de piso alto operando com embarque/desembarque apenas em plataformas elevadas (BRT, por exemplo) ou veículos de piso baixo dianteiro, traseiro ou central, em ambos os caso sem rampa veicular (com embarque/desembarque podendo acontecer em nível em todas as portas ou em parte das portas, embora sem o apoio de uma rampa e dependente no motorista estacionar rente à plataforma ou rente à plataforma, sempre sem garantia de fronteira máxima conforme normas brasileiras vigentes
</t>
    </r>
    <r>
      <rPr>
        <b/>
        <sz val="10"/>
        <rFont val="Times New Roman"/>
        <family val="1"/>
      </rPr>
      <t xml:space="preserve">obs.: </t>
    </r>
    <r>
      <rPr>
        <sz val="10"/>
        <rFont val="Times New Roman"/>
        <family val="1"/>
      </rPr>
      <t>para informações e resultados de municípios/regiões já incorporados ao SisMob-BH acesse "F tc en s/rampa" (Belo Horizonte) e para informações não quantitativas acesse Cidade da Guatemala)</t>
    </r>
  </si>
  <si>
    <r>
      <t xml:space="preserve">veículos equipados com elevador hidráulico acionado exclusivamente para embarque/desembarque de pessoas em cadeira de rodas e que não operam em plataforma elevada (o embarque/desembarque nunca acontece em nível)
</t>
    </r>
    <r>
      <rPr>
        <b/>
        <sz val="10"/>
        <rFont val="Times New Roman"/>
        <family val="1"/>
      </rPr>
      <t xml:space="preserve">obs.1: </t>
    </r>
    <r>
      <rPr>
        <sz val="10"/>
        <rFont val="Times New Roman"/>
        <family val="1"/>
      </rPr>
      <t xml:space="preserve">esta categoria é também utilizada quando os resultados de frota disponíveis para determinado município/região não detalharem as quantidades de veículos nas quais o elevador hidráulido é de uso exclusivo para cadeirantes
</t>
    </r>
    <r>
      <rPr>
        <b/>
        <sz val="10"/>
        <rFont val="Times New Roman"/>
        <family val="1"/>
      </rPr>
      <t xml:space="preserve">obs.2: </t>
    </r>
    <r>
      <rPr>
        <sz val="10"/>
        <rFont val="Times New Roman"/>
        <family val="1"/>
      </rPr>
      <t>para resultados de municípios/regiões já incorporados ao SisMob-BH acesse "F tc eh ec"  (Belo Horizonte, Contagem, Joinville, RMBH metropolitano, São Paulo)</t>
    </r>
  </si>
  <si>
    <t>registro na fonte
(ainda sem resultados)</t>
  </si>
  <si>
    <t>Gráfico 810d</t>
  </si>
  <si>
    <t>Gráfico 810i</t>
  </si>
  <si>
    <t>São Paulo (total) 2015</t>
  </si>
  <si>
    <t>São Paulo (estrutural) 2015</t>
  </si>
  <si>
    <t>São Paulo (local) 2015</t>
  </si>
  <si>
    <t>(F tcl fc / F tcl) x 100</t>
  </si>
  <si>
    <t>(F tce fc / F tce) x 100</t>
  </si>
  <si>
    <t>BH (convencional) 2015</t>
  </si>
  <si>
    <t>BH (total) 2015</t>
  </si>
  <si>
    <r>
      <rPr>
        <b/>
        <sz val="12"/>
        <color theme="1"/>
        <rFont val="Times New Roman"/>
        <family val="1"/>
      </rPr>
      <t>SDSN(2016b):</t>
    </r>
    <r>
      <rPr>
        <sz val="12"/>
        <color theme="1"/>
        <rFont val="Times New Roman"/>
        <family val="1"/>
      </rPr>
      <t xml:space="preserve"> SUSTAINABLE DEVELOPMENT SOLUTIONS NETWORK - SDSN BRASIL. </t>
    </r>
    <r>
      <rPr>
        <i/>
        <sz val="12"/>
        <color theme="1"/>
        <rFont val="Times New Roman"/>
        <family val="1"/>
      </rPr>
      <t>Quem somos</t>
    </r>
    <r>
      <rPr>
        <sz val="12"/>
        <color theme="1"/>
        <rFont val="Times New Roman"/>
        <family val="1"/>
      </rPr>
      <t>. Disponível em: &lt;http://sdsnbrasil.org.br/spip.php?rubrique11&gt;. Acesso em: 3 ago. 2016.</t>
    </r>
  </si>
  <si>
    <r>
      <rPr>
        <b/>
        <sz val="12"/>
        <color theme="1"/>
        <rFont val="Times New Roman"/>
        <family val="1"/>
      </rPr>
      <t>SDSN(2016a):</t>
    </r>
    <r>
      <rPr>
        <sz val="12"/>
        <color theme="1"/>
        <rFont val="Times New Roman"/>
        <family val="1"/>
      </rPr>
      <t xml:space="preserve"> SUSTAINABLE DEVELOPMENT SOLUTIONS NETWORK - SDSN BRASIL. </t>
    </r>
    <r>
      <rPr>
        <i/>
        <sz val="12"/>
        <color theme="1"/>
        <rFont val="Times New Roman"/>
        <family val="1"/>
      </rPr>
      <t xml:space="preserve">Como trabalhamos. </t>
    </r>
    <r>
      <rPr>
        <sz val="12"/>
        <color theme="1"/>
        <rFont val="Times New Roman"/>
        <family val="1"/>
      </rPr>
      <t>Disponível em: &lt;http://sdsnbrasil.org.br/spip.php?rubrique31&gt;. Acesso em: 3 ago. 2016.</t>
    </r>
  </si>
  <si>
    <r>
      <rPr>
        <b/>
        <sz val="12"/>
        <color theme="1"/>
        <rFont val="Times New Roman"/>
        <family val="1"/>
      </rPr>
      <t>SDSN(2016c):</t>
    </r>
    <r>
      <rPr>
        <sz val="12"/>
        <color theme="1"/>
        <rFont val="Times New Roman"/>
        <family val="1"/>
      </rPr>
      <t xml:space="preserve"> SUSTAINABLE DEVELOPMENT SOLUTIONS NETWORK - SDSN BRASIL. </t>
    </r>
    <r>
      <rPr>
        <i/>
        <sz val="12"/>
        <color theme="1"/>
        <rFont val="Times New Roman"/>
        <family val="1"/>
      </rPr>
      <t xml:space="preserve">Como trabalhamos - Cidades inclusivas. </t>
    </r>
    <r>
      <rPr>
        <sz val="12"/>
        <color theme="1"/>
        <rFont val="Times New Roman"/>
        <family val="1"/>
      </rPr>
      <t>Disponível em: &lt;http://sdsnbrasil.org.br/spip.php?rubrique31&gt;. Acesso em: 3 ago. 2016.</t>
    </r>
  </si>
  <si>
    <r>
      <rPr>
        <b/>
        <sz val="12"/>
        <color theme="1"/>
        <rFont val="Times New Roman"/>
        <family val="1"/>
      </rPr>
      <t>SDSN(2016d):</t>
    </r>
    <r>
      <rPr>
        <sz val="12"/>
        <color theme="1"/>
        <rFont val="Times New Roman"/>
        <family val="1"/>
      </rPr>
      <t xml:space="preserve"> SUSTAINABLE DEVELOPMENT SOLUTIONS NETWORK - SDSN BRASIL. </t>
    </r>
    <r>
      <rPr>
        <i/>
        <sz val="12"/>
        <color theme="1"/>
        <rFont val="Times New Roman"/>
        <family val="1"/>
      </rPr>
      <t>Como trabalhamos - Cidades resilientes.</t>
    </r>
    <r>
      <rPr>
        <sz val="12"/>
        <color theme="1"/>
        <rFont val="Times New Roman"/>
        <family val="1"/>
      </rPr>
      <t xml:space="preserve"> Disponível em: &lt;http://sdsnbrasil.org.br/spip.php?rubrique31&gt;. Acesso em: 3 ago. 2016.</t>
    </r>
  </si>
  <si>
    <r>
      <rPr>
        <b/>
        <sz val="12"/>
        <color theme="1"/>
        <rFont val="Times New Roman"/>
        <family val="1"/>
      </rPr>
      <t>SDSN(2016e):</t>
    </r>
    <r>
      <rPr>
        <sz val="12"/>
        <color theme="1"/>
        <rFont val="Times New Roman"/>
        <family val="1"/>
      </rPr>
      <t xml:space="preserve"> SUSTAINABLE DEVELOPMENT SOLUTIONS NETWORK - SDSN BRASIL. </t>
    </r>
    <r>
      <rPr>
        <i/>
        <sz val="12"/>
        <color theme="1"/>
        <rFont val="Times New Roman"/>
        <family val="1"/>
      </rPr>
      <t xml:space="preserve">Como trabalhamos - Cidades conectadas. </t>
    </r>
    <r>
      <rPr>
        <sz val="12"/>
        <color theme="1"/>
        <rFont val="Times New Roman"/>
        <family val="1"/>
      </rPr>
      <t>Disponível em: &lt;http://sdsnbrasil.org.br/spip.php?rubrique31&gt;. Acesso em: 3 ago. 2016.</t>
    </r>
  </si>
  <si>
    <r>
      <rPr>
        <b/>
        <sz val="12"/>
        <color theme="1"/>
        <rFont val="Times New Roman"/>
        <family val="1"/>
      </rPr>
      <t xml:space="preserve">ODS(2016a): </t>
    </r>
    <r>
      <rPr>
        <sz val="12"/>
        <color theme="1"/>
        <rFont val="Times New Roman"/>
        <family val="1"/>
      </rPr>
      <t xml:space="preserve">PLATAFORMA ODS. </t>
    </r>
    <r>
      <rPr>
        <i/>
        <sz val="12"/>
        <color theme="1"/>
        <rFont val="Times New Roman"/>
        <family val="1"/>
      </rPr>
      <t>O que são os ODS?</t>
    </r>
    <r>
      <rPr>
        <sz val="12"/>
        <color theme="1"/>
        <rFont val="Times New Roman"/>
        <family val="1"/>
      </rPr>
      <t xml:space="preserve"> Disponível em: &lt;http://plataformaods.org.br/o-que-sao-os-ods/&gt;.  Acesso em: 3 ago. 2016.</t>
    </r>
  </si>
  <si>
    <r>
      <rPr>
        <b/>
        <sz val="12"/>
        <rFont val="Times New Roman"/>
        <family val="1"/>
      </rPr>
      <t>indicadores de solicitações urbanísticas:</t>
    </r>
    <r>
      <rPr>
        <b/>
        <sz val="12"/>
        <color theme="1"/>
        <rFont val="Times New Roman"/>
        <family val="1"/>
      </rPr>
      <t xml:space="preserve"> </t>
    </r>
    <r>
      <rPr>
        <sz val="12"/>
        <color theme="1"/>
        <rFont val="Times New Roman"/>
        <family val="1"/>
      </rPr>
      <t>buscar os resultados de 2015 em 07/2016 para atualizar a série 2011-2014 lançada no SisMob-BH (e-mail para Luciana Stubbs em 03/08/2016, que enviou planilha 2014-2015 em 04/08/2016). Atualizar ano 2016 em 2017.</t>
    </r>
  </si>
  <si>
    <r>
      <rPr>
        <b/>
        <sz val="12"/>
        <rFont val="Times New Roman"/>
        <family val="1"/>
      </rPr>
      <t>BHTRANS(2016u1/u2/u3/u4):</t>
    </r>
    <r>
      <rPr>
        <sz val="12"/>
        <rFont val="Times New Roman"/>
        <family val="1"/>
      </rPr>
      <t xml:space="preserve"> EMPRESA DE TRANSPORTES E TRÂNSITO DE BELO HORIZONTE S.A - BHTRANS. </t>
    </r>
    <r>
      <rPr>
        <sz val="12"/>
        <rFont val="Times New Roman"/>
        <family val="1"/>
      </rPr>
      <t xml:space="preserve">Gerência de Diretrizes Viárias - Gediv/DPL. </t>
    </r>
    <r>
      <rPr>
        <i/>
        <sz val="12"/>
        <rFont val="Times New Roman"/>
        <family val="1"/>
      </rPr>
      <t>Balanço das análises e diretrizes viárias 2014-2015 - ANdv; Balanço das Análises de Empreendimentos de Impacto - 2014/2015 - Anei; Balanço das Análises de Postos de Abastecimento - 2014/2015 - ANpc; Balanço das Análises de Projetos Viários - 2014/2015 - ANpv</t>
    </r>
    <r>
      <rPr>
        <sz val="12"/>
        <rFont val="Times New Roman"/>
        <family val="1"/>
      </rPr>
      <t xml:space="preserve">. Belo Horizonte: BHTrans, 4 ago. 2016. </t>
    </r>
    <r>
      <rPr>
        <sz val="12"/>
        <rFont val="Times New Roman"/>
        <family val="1"/>
      </rPr>
      <t>[quatro planilhas anexas a e-mail recebido da Gediv/DPL em resposta à solicitação do SisMob-BH feita em 03/08/2016]</t>
    </r>
  </si>
  <si>
    <t>Gráfico 15b -  Variações de AN e ANdv (2011 a 2014)</t>
  </si>
  <si>
    <t>Gráfico 15c -  Variações de AN e ANpc (2011 a 2014)</t>
  </si>
  <si>
    <t>Gráfico 15a -  Evolução anual do atendimento a solicitações urbanísticas (2011 a 2014)</t>
  </si>
  <si>
    <t>Gráfico 15d -  Variações de AN e ANei (2011 a 2014)</t>
  </si>
  <si>
    <t>Gráfico 15e -  Variações de AN e ANpv (2011 a 2014)</t>
  </si>
  <si>
    <t>análises diversas envolvendo a legislação urbanística, incluindo a emissão de diretrizes viárias</t>
  </si>
  <si>
    <t>fazer cobranças mensais até obter os resultados</t>
  </si>
  <si>
    <r>
      <rPr>
        <b/>
        <sz val="10"/>
        <color theme="1"/>
        <rFont val="Times New Roman"/>
        <family val="1"/>
      </rPr>
      <t xml:space="preserve">obs.: </t>
    </r>
    <r>
      <rPr>
        <sz val="10"/>
        <color theme="1"/>
        <rFont val="Times New Roman"/>
        <family val="1"/>
      </rPr>
      <t>a categoria "benchmarking SisMob-BH CAF" contém quinze áreas metropolitanas da América Latina selecionadas para análise no Observatorio de Movilidad para América Latina, aí incluindo Belo Horizonte</t>
    </r>
  </si>
  <si>
    <r>
      <t xml:space="preserve">frota total em n.º de ônibus do transporte coletivo urbano da RIT de Curitiba
</t>
    </r>
    <r>
      <rPr>
        <b/>
        <sz val="10"/>
        <rFont val="Times New Roman"/>
        <family val="1"/>
      </rPr>
      <t xml:space="preserve">obs.1: </t>
    </r>
    <r>
      <rPr>
        <sz val="10"/>
        <rFont val="Times New Roman"/>
        <family val="1"/>
      </rPr>
      <t xml:space="preserve">em 2015 a RIT de Curitiba é composta por dez tipos de linhas (espresso ligeirão, expresso, ligeirinho, interbairros, alimentador, troncal, circular centro, convencional, turismo e Sites) conforme URBS(2015b)
</t>
    </r>
    <r>
      <rPr>
        <b/>
        <sz val="10"/>
        <rFont val="Times New Roman"/>
        <family val="1"/>
      </rPr>
      <t xml:space="preserve">obs.2: </t>
    </r>
    <r>
      <rPr>
        <sz val="10"/>
        <rFont val="Times New Roman"/>
        <family val="1"/>
      </rPr>
      <t xml:space="preserve">resultado de 2015 conforme URBS(2016c), destacando-se que a frota do Sites que não é computada pelo SisMob-BH como parcela do indicador "F tc"
</t>
    </r>
    <r>
      <rPr>
        <b/>
        <sz val="10"/>
        <rFont val="Times New Roman"/>
        <family val="1"/>
      </rPr>
      <t xml:space="preserve">obs.3: </t>
    </r>
    <r>
      <rPr>
        <sz val="10"/>
        <rFont val="Times New Roman"/>
        <family val="1"/>
      </rPr>
      <t>frota de 1.368 veículos apresentada em URBS(2016c) "se refere a frota operante do ano de 2015, com um percentual de acessibilidade de 92,66% desse número, ou seja, 7,34% dessa frota operante (100 veículos) ainda não estava equipada com plataforma elevatória" conforme URBS(2016d1); por esse motivo, o SisMob-BH acrescentou 100 veículos ao indicador "F tc" de Curitiba, todos do tip "F tc nac"</t>
    </r>
  </si>
  <si>
    <r>
      <t xml:space="preserve">frota em n.º de ônibus do transporte coletivo de Contagem considerada pelo SisMob-BH como não "acessível", pois não fornece qualquer facilidade para o embarque/desembarque de pessoas com mobilidade (física) reduzida, ou seja, com o embarque/desembarque acontecendo exclusivamente com escada (sem elevador hidráulico , sem operação em plataforma elevada e sem piso-baixo em qualquer porta) e, portanto, tecnicamente "não-acessível"
</t>
    </r>
    <r>
      <rPr>
        <b/>
        <sz val="10"/>
        <rFont val="Times New Roman"/>
        <family val="1"/>
      </rPr>
      <t xml:space="preserve">obs.1: </t>
    </r>
    <r>
      <rPr>
        <sz val="10"/>
        <rFont val="Times New Roman"/>
        <family val="1"/>
      </rPr>
      <t xml:space="preserve">o resultado 2014 é relativo a outubro de 2014  conforme VERTRAN(2015a, p.61)
</t>
    </r>
    <r>
      <rPr>
        <b/>
        <sz val="10"/>
        <rFont val="Times New Roman"/>
        <family val="1"/>
      </rPr>
      <t>obs.2:</t>
    </r>
    <r>
      <rPr>
        <sz val="10"/>
        <rFont val="Times New Roman"/>
        <family val="1"/>
      </rPr>
      <t xml:space="preserve"> esta categoria recebe </t>
    </r>
    <r>
      <rPr>
        <sz val="10"/>
        <color rgb="FFFF0000"/>
        <rFont val="Times New Roman"/>
        <family val="1"/>
      </rPr>
      <t>peso 1</t>
    </r>
    <r>
      <rPr>
        <sz val="10"/>
        <rFont val="Times New Roman"/>
        <family val="1"/>
      </rPr>
      <t xml:space="preserve"> (escala de 1 a 10 estabelecida pelo SisMob-BH para classificar e comparar resultados) - acesse "acessibilidade em ônibus urbano (escala)"</t>
    </r>
  </si>
  <si>
    <r>
      <t xml:space="preserve">frota em n.º de ônibus  considerada pelo SisMob-BH como não "acessível", pois não fornece qualquer facilidade para o embarque/desembarque de pessoas com mobilidade (física) reduzida, ou seja, com o embarque/desembarque acontecendo exclusivamente com escada (sem elevador hidráulico, sem opração em paltaforma elevada e sem piso-baixo em qualquer porta) e, portanto, tecnicamente "não-acessível"
</t>
    </r>
    <r>
      <rPr>
        <b/>
        <sz val="10"/>
        <rFont val="Times New Roman"/>
        <family val="1"/>
      </rPr>
      <t>obs.1:</t>
    </r>
    <r>
      <rPr>
        <sz val="10"/>
        <rFont val="Times New Roman"/>
        <family val="1"/>
      </rPr>
      <t xml:space="preserve"> esta categoria recebe</t>
    </r>
    <r>
      <rPr>
        <sz val="10"/>
        <color rgb="FFFF0000"/>
        <rFont val="Times New Roman"/>
        <family val="1"/>
      </rPr>
      <t xml:space="preserve"> peso 1</t>
    </r>
    <r>
      <rPr>
        <sz val="10"/>
        <rFont val="Times New Roman"/>
        <family val="1"/>
      </rPr>
      <t xml:space="preserve"> (escala de 1 a 10 estabelecida pelo SisMob-BH para classificar e comparar resultados) - acesse "acessibilidade em ônibus urbano (escala)"
</t>
    </r>
    <r>
      <rPr>
        <b/>
        <sz val="10"/>
        <rFont val="Times New Roman"/>
        <family val="1"/>
      </rPr>
      <t>obs.2:</t>
    </r>
    <r>
      <rPr>
        <sz val="10"/>
        <rFont val="Times New Roman"/>
        <family val="1"/>
      </rPr>
      <t xml:space="preserve"> os resultados de 2012 a 2015 estão conforme PROGRAMA(2016a)</t>
    </r>
  </si>
  <si>
    <r>
      <t xml:space="preserve">frota em n.º de ônibus do transporte coletivo estrutural da cidade de São Paulo gerenciado pela SPTrans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t>
    </r>
    <r>
      <rPr>
        <b/>
        <sz val="10"/>
        <rFont val="Times New Roman"/>
        <family val="1"/>
      </rPr>
      <t>obs.1:</t>
    </r>
    <r>
      <rPr>
        <sz val="10"/>
        <rFont val="Times New Roman"/>
        <family val="1"/>
      </rPr>
      <t xml:space="preserve"> esta categoria recebe</t>
    </r>
    <r>
      <rPr>
        <sz val="10"/>
        <color rgb="FFFF0000"/>
        <rFont val="Times New Roman"/>
        <family val="1"/>
      </rPr>
      <t xml:space="preserve"> peso 1</t>
    </r>
    <r>
      <rPr>
        <sz val="10"/>
        <rFont val="Times New Roman"/>
        <family val="1"/>
      </rPr>
      <t xml:space="preserve"> (escala de 1 a 10 estabelecida pelo SisMob-BH para classificar e comparar resultados) - acesse "acessibilidade em ônibus urbano (escala)"
</t>
    </r>
    <r>
      <rPr>
        <b/>
        <sz val="10"/>
        <rFont val="Times New Roman"/>
        <family val="1"/>
      </rPr>
      <t xml:space="preserve">obs.2: </t>
    </r>
    <r>
      <rPr>
        <sz val="10"/>
        <rFont val="Times New Roman"/>
        <family val="1"/>
      </rPr>
      <t>resultado de 2016 relativo a 15/07/2016 conforme SP(2016g1)</t>
    </r>
  </si>
  <si>
    <r>
      <t xml:space="preserve">frota em n.º de ônibus do subsistema local da cidade de São Paulo gerenciado pela SPTrans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t>
    </r>
    <r>
      <rPr>
        <b/>
        <sz val="10"/>
        <rFont val="Times New Roman"/>
        <family val="1"/>
      </rPr>
      <t>obs.1:</t>
    </r>
    <r>
      <rPr>
        <sz val="10"/>
        <rFont val="Times New Roman"/>
        <family val="1"/>
      </rPr>
      <t xml:space="preserve"> esta categoria recebe</t>
    </r>
    <r>
      <rPr>
        <sz val="10"/>
        <color rgb="FFFF0000"/>
        <rFont val="Times New Roman"/>
        <family val="1"/>
      </rPr>
      <t xml:space="preserve"> peso 1</t>
    </r>
    <r>
      <rPr>
        <sz val="10"/>
        <rFont val="Times New Roman"/>
        <family val="1"/>
      </rPr>
      <t xml:space="preserve"> (escala de 1 a 10 estabelecida pelo SisMob-BH para classificar e comparar resultados) - acesse "acessibilidade em ônibus urbano (escala)"
</t>
    </r>
    <r>
      <rPr>
        <b/>
        <sz val="10"/>
        <rFont val="Times New Roman"/>
        <family val="1"/>
      </rPr>
      <t xml:space="preserve">obs.2: </t>
    </r>
    <r>
      <rPr>
        <sz val="10"/>
        <rFont val="Times New Roman"/>
        <family val="1"/>
      </rPr>
      <t>resultado de 2016 relativo a 15/07/2016 conforme SP(2016g2)</t>
    </r>
  </si>
  <si>
    <r>
      <t xml:space="preserve">frota em n.º de ônibus do transporte coletivo (estrutural e local) da cidade de São Paulo gerenciado pela SPTrans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t>
    </r>
    <r>
      <rPr>
        <b/>
        <sz val="10"/>
        <rFont val="Times New Roman"/>
        <family val="1"/>
      </rPr>
      <t>obs.1:</t>
    </r>
    <r>
      <rPr>
        <sz val="10"/>
        <rFont val="Times New Roman"/>
        <family val="1"/>
      </rPr>
      <t xml:space="preserve"> esta categoria recebe</t>
    </r>
    <r>
      <rPr>
        <sz val="10"/>
        <color rgb="FFFF0000"/>
        <rFont val="Times New Roman"/>
        <family val="1"/>
      </rPr>
      <t xml:space="preserve"> peso 1</t>
    </r>
    <r>
      <rPr>
        <sz val="10"/>
        <rFont val="Times New Roman"/>
        <family val="1"/>
      </rPr>
      <t xml:space="preserve"> (escala de 1 a 10 estabelecida pelo SisMob-BH para classificar e comparar resultados) - acesse "acessibilidade em ônibus urbano (escala)"
</t>
    </r>
    <r>
      <rPr>
        <b/>
        <sz val="10"/>
        <rFont val="Times New Roman"/>
        <family val="1"/>
      </rPr>
      <t>obs.2:</t>
    </r>
    <r>
      <rPr>
        <sz val="10"/>
        <rFont val="Times New Roman"/>
        <family val="1"/>
      </rPr>
      <t xml:space="preserve"> nesta categoria estão incluídos ônibus com duas portas à direita e ônibus com duas portas de cada lado (esquerda e direita), em ambos os casos com escadas e sem elevador conforme OLIVEIRA(2016f)
</t>
    </r>
    <r>
      <rPr>
        <b/>
        <sz val="10"/>
        <rFont val="Times New Roman"/>
        <family val="1"/>
      </rPr>
      <t xml:space="preserve">obs.3: </t>
    </r>
    <r>
      <rPr>
        <sz val="10"/>
        <rFont val="Times New Roman"/>
        <family val="1"/>
      </rPr>
      <t>resultado de 2016 relativo a 15/07/2016 conforme SP(2016g1)</t>
    </r>
  </si>
  <si>
    <r>
      <t xml:space="preserve">frota em n.º de ônibus do transporte coletivo suplementar de Belo Horizonte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t>
    </r>
    <r>
      <rPr>
        <b/>
        <sz val="10"/>
        <rFont val="Times New Roman"/>
        <family val="1"/>
      </rPr>
      <t xml:space="preserve">obs.1: </t>
    </r>
    <r>
      <rPr>
        <sz val="10"/>
        <rFont val="Times New Roman"/>
        <family val="1"/>
      </rPr>
      <t xml:space="preserve">resultado de dezembro tomado como representativo do ano com resultado de 2014 conforme BHTRANS(2015c), 2015 conforme(BHTRANS,2016p1)
</t>
    </r>
    <r>
      <rPr>
        <b/>
        <sz val="10"/>
        <rFont val="Times New Roman"/>
        <family val="1"/>
      </rPr>
      <t>obs.2:</t>
    </r>
    <r>
      <rPr>
        <sz val="10"/>
        <rFont val="Times New Roman"/>
        <family val="1"/>
      </rPr>
      <t xml:space="preserve"> esta categoria recebe </t>
    </r>
    <r>
      <rPr>
        <sz val="10"/>
        <color rgb="FFFF0000"/>
        <rFont val="Times New Roman"/>
        <family val="1"/>
      </rPr>
      <t>peso 1</t>
    </r>
    <r>
      <rPr>
        <sz val="10"/>
        <rFont val="Times New Roman"/>
        <family val="1"/>
      </rPr>
      <t>, numa escala de 1 a 10, na classificação definida pelo SisMob-BH para classificar a acessibilidade - acesse "acessibilidade em ônibus urbano (escala)"</t>
    </r>
  </si>
  <si>
    <r>
      <t xml:space="preserve">frota em n.º de ônibus de todo o sistema de transporte coletivo de Belo Horizonte (transporte convencional  e transporte suplementar)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t>
    </r>
    <r>
      <rPr>
        <b/>
        <sz val="10"/>
        <rFont val="Times New Roman"/>
        <family val="1"/>
      </rPr>
      <t>obs.1:</t>
    </r>
    <r>
      <rPr>
        <sz val="10"/>
        <rFont val="Times New Roman"/>
        <family val="1"/>
      </rPr>
      <t xml:space="preserve"> mês de dezembro tomado como referência anual conforme BHTRANS(2015c)
</t>
    </r>
    <r>
      <rPr>
        <b/>
        <sz val="10"/>
        <rFont val="Times New Roman"/>
        <family val="1"/>
      </rPr>
      <t>obs.2:</t>
    </r>
    <r>
      <rPr>
        <sz val="10"/>
        <rFont val="Times New Roman"/>
        <family val="1"/>
      </rPr>
      <t xml:space="preserve"> esta categoria recebe </t>
    </r>
    <r>
      <rPr>
        <sz val="10"/>
        <color rgb="FFFF0000"/>
        <rFont val="Times New Roman"/>
        <family val="1"/>
      </rPr>
      <t>peso 1</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obs.3:</t>
    </r>
    <r>
      <rPr>
        <sz val="10"/>
        <rFont val="Times New Roman"/>
        <family val="1"/>
      </rPr>
      <t xml:space="preserve"> pelo menos até 2015 em Belo Horizonte este indicador é idêntico a "F tcc sfc" </t>
    </r>
  </si>
  <si>
    <t>NBR</t>
  </si>
  <si>
    <r>
      <t xml:space="preserve">Norma BRasileira aprovada pela Associação Brasuleira de Norma Técnicas - ABNT
</t>
    </r>
    <r>
      <rPr>
        <b/>
        <sz val="10"/>
        <color theme="1"/>
        <rFont val="Times New Roman"/>
        <family val="1"/>
      </rPr>
      <t xml:space="preserve">obs.: </t>
    </r>
    <r>
      <rPr>
        <sz val="10"/>
        <color theme="1"/>
        <rFont val="Times New Roman"/>
        <family val="1"/>
      </rPr>
      <t>acesse o verbete "acessibilidade ABNT"</t>
    </r>
  </si>
  <si>
    <t>viagem acessível</t>
  </si>
  <si>
    <r>
      <t xml:space="preserve">no transporte coletivo por ônibus é a viagem realizada com veículo acessível
</t>
    </r>
    <r>
      <rPr>
        <b/>
        <sz val="10"/>
        <color theme="1"/>
        <rFont val="Times New Roman"/>
        <family val="1"/>
      </rPr>
      <t>obs.:</t>
    </r>
    <r>
      <rPr>
        <sz val="10"/>
        <color theme="1"/>
        <rFont val="Times New Roman"/>
        <family val="1"/>
      </rPr>
      <t xml:space="preserve"> acesse o verbete "ônibus acessível", que toma como referência a NBR 14022 (ABNT, 1997a; 2006a; 2009a; 2011a; 2015a).</t>
    </r>
  </si>
  <si>
    <t>68,2%</t>
  </si>
  <si>
    <t>75,19%</t>
  </si>
  <si>
    <r>
      <t xml:space="preserve">diferença (em pontos percentuais) entre os resultados de "F tcc fc" e "NVR tcc fc"
</t>
    </r>
    <r>
      <rPr>
        <b/>
        <sz val="10"/>
        <rFont val="Times New Roman"/>
        <family val="1"/>
      </rPr>
      <t xml:space="preserve">obs: </t>
    </r>
    <r>
      <rPr>
        <sz val="10"/>
        <rFont val="Times New Roman"/>
        <family val="1"/>
      </rPr>
      <t xml:space="preserve">essa comparação é uma busca de superação de inconsistências (tomando como hipótese que os veículos que oferecem "alguma facilidade" em uma frota urbana de ônibus são os de fabricação mais recente; o esperado é que os veículos mais novos façam mais viagens que os veículos mais antigos; isto leva à conclusão de que os resultados do indicador “viagens acessíveis” devem ser superiores aos do indicador “frota com alguma facilidade”)
</t>
    </r>
    <r>
      <rPr>
        <b/>
        <sz val="10"/>
        <rFont val="Times New Roman"/>
        <family val="1"/>
      </rPr>
      <t>obs.:</t>
    </r>
    <r>
      <rPr>
        <sz val="10"/>
        <rFont val="Times New Roman"/>
        <family val="1"/>
      </rPr>
      <t xml:space="preserve"> a despeito dessas hipóteses, aqui aponta-se uma inconsistência de resultados que deve ser superada</t>
    </r>
  </si>
  <si>
    <t>F tcc fc
(cotejamento)</t>
  </si>
  <si>
    <t>não existe</t>
  </si>
  <si>
    <t>NVR tcc fc
(gap da meta)</t>
  </si>
  <si>
    <t>NVR tcc fc
(meta)</t>
  </si>
  <si>
    <t>diferença entre a meta estabelecida e o valor apurado para o indicador "NVR tcc fc"</t>
  </si>
  <si>
    <t>NVR tcc fc
(%) - NVR tcc fc
(meta)</t>
  </si>
  <si>
    <r>
      <rPr>
        <b/>
        <sz val="12"/>
        <rFont val="Times New Roman"/>
        <family val="1"/>
      </rPr>
      <t>BH(2016h1/h2/h3):</t>
    </r>
    <r>
      <rPr>
        <sz val="12"/>
        <rFont val="Times New Roman"/>
        <family val="1"/>
      </rPr>
      <t xml:space="preserve"> BELO HORIZONTE. Prefeitura. Portal da Gestão. </t>
    </r>
    <r>
      <rPr>
        <i/>
        <sz val="12"/>
        <rFont val="Times New Roman"/>
        <family val="1"/>
      </rPr>
      <t>BHTRANS - OPE - Frota total de veículos leves registrados no território; BHTRANS - OPE - Frota total; BHTRANS - OPE - Frota total de veículos leves registrados no território/Detalhes</t>
    </r>
    <r>
      <rPr>
        <sz val="12"/>
        <rFont val="Times New Roman"/>
        <family val="1"/>
      </rPr>
      <t>. Disponível no Portal da Gestão da PBH. Acesso [restrito] em: 20 jul. 2016.</t>
    </r>
  </si>
  <si>
    <r>
      <rPr>
        <b/>
        <sz val="12"/>
        <rFont val="Times New Roman"/>
        <family val="1"/>
      </rPr>
      <t>BH(2016g):</t>
    </r>
    <r>
      <rPr>
        <sz val="12"/>
        <rFont val="Times New Roman"/>
        <family val="1"/>
      </rPr>
      <t xml:space="preserve"> BELO HORIZONTE. Prefeitura. Decreto n.º 16.363, de 4 de julho de 2016. Institui o Selo de Acessibilidade para o Comércio no Município de Belo Horizonte, e dá outras providências. </t>
    </r>
    <r>
      <rPr>
        <i/>
        <sz val="12"/>
        <rFont val="Times New Roman"/>
        <family val="1"/>
      </rPr>
      <t>Diário Oficial do Município - DOM</t>
    </r>
    <r>
      <rPr>
        <sz val="12"/>
        <rFont val="Times New Roman"/>
        <family val="1"/>
      </rPr>
      <t>, Belo Horizonte, ano XXII, edição 5081, 5 de Julho de 2016. Poder Executivo. Secretaria Municipal de Governo. Disponível em: &lt;http://portal6.pbh.gov.br/dom/iniciaEdicao.do?method=DetalheArtigo&amp;pk=1165291&gt;. Acesso em: 8 jul. 2016.</t>
    </r>
  </si>
  <si>
    <r>
      <t xml:space="preserve">meta estabelecida para o indicador NVR tcc fc (%)
</t>
    </r>
    <r>
      <rPr>
        <b/>
        <sz val="10"/>
        <rFont val="Times New Roman"/>
        <family val="1"/>
      </rPr>
      <t xml:space="preserve">obs.1: </t>
    </r>
    <r>
      <rPr>
        <sz val="10"/>
        <rFont val="Times New Roman"/>
        <family val="1"/>
      </rPr>
      <t xml:space="preserve">esta meta foi lançada no Portal da Gestão da PBH para ser alcançada em janeiro/2016 e é comparada mensalmente com os resultados apurados conforme BH(2016j3)
</t>
    </r>
    <r>
      <rPr>
        <b/>
        <sz val="10"/>
        <rFont val="Times New Roman"/>
        <family val="1"/>
      </rPr>
      <t xml:space="preserve">obs.2: </t>
    </r>
    <r>
      <rPr>
        <sz val="10"/>
        <rFont val="Times New Roman"/>
        <family val="1"/>
      </rPr>
      <t>trata-se da única meta de acessibilidade estabelecida sob a competência da BHTrans no Portal da Gestão da PBH , havendo na mesma fonte apenas outras seis metas de acessibilidade estabelecidas, todas sob a competência da Fundação Municipal de Cultura - FMC, para tornar 100% acessíveis bibliotecas, arquivos públicos, centros culturais, equipamentos de cultura em geral, museus e teatros de Belo Horizonte conforme BH(2016j4)</t>
    </r>
  </si>
  <si>
    <r>
      <t xml:space="preserve">percentual de viagens realizadas, dentre as programadas, no transporte convencional de Belo Horizonte nas quais no veículo utilizado há alguma facilidade para pessoas com deficiência, mesmo que essa facilidade não permita classificar a viagem ofertada como acessível, por meio de embarque em nível (desenho universal) ou de elevador hidráulico instalado no veículo (de uso exclusivo ou não para cadeirantes) 
</t>
    </r>
    <r>
      <rPr>
        <b/>
        <sz val="10"/>
        <rFont val="Times New Roman"/>
        <family val="1"/>
      </rPr>
      <t xml:space="preserve">obs.1: </t>
    </r>
    <r>
      <rPr>
        <sz val="10"/>
        <rFont val="Times New Roman"/>
        <family val="1"/>
      </rPr>
      <t xml:space="preserve">acesse "% de ônibus com alguma facilidade (BH)" / </t>
    </r>
    <r>
      <rPr>
        <b/>
        <sz val="10"/>
        <rFont val="Times New Roman"/>
        <family val="1"/>
      </rPr>
      <t xml:space="preserve">obs.2: </t>
    </r>
    <r>
      <rPr>
        <sz val="10"/>
        <rFont val="Times New Roman"/>
        <family val="1"/>
      </rPr>
      <t xml:space="preserve">indicador do ObsMob-BH com o nome "percentual da frota do transporte coletivo com acessibilidade" / </t>
    </r>
    <r>
      <rPr>
        <b/>
        <sz val="10"/>
        <rFont val="Times New Roman"/>
        <family val="1"/>
      </rPr>
      <t xml:space="preserve">obs.3: </t>
    </r>
    <r>
      <rPr>
        <sz val="10"/>
        <rFont val="Times New Roman"/>
        <family val="1"/>
      </rPr>
      <t>indicador estratégico da BHTrans (BHTRANS, 2015d) nomeado como "percentual de viagens com acessibilidade no transporte coletivo convencional"e resultados anuais relativos ao período 2010-2013 conforme BHTRANS(2014a; 2015e, p.49) /</t>
    </r>
    <r>
      <rPr>
        <b/>
        <sz val="10"/>
        <rFont val="Times New Roman"/>
        <family val="1"/>
      </rPr>
      <t xml:space="preserve"> obs.4:</t>
    </r>
    <r>
      <rPr>
        <sz val="10"/>
        <rFont val="Times New Roman"/>
        <family val="1"/>
      </rPr>
      <t xml:space="preserve"> indicador nomeado como "percentual de viagens com acessibilidade no transporte coletivo convencional" (mesmo nome do citado na obs. anterior) com fórmula "([Número de viagens realizadas acessíveis. ] / [Quantidade mensal de viagens especificadas no QRO]) x 100" e resultadosdo período 2014-2015 corforme BH(2016j1/j2/j5) / </t>
    </r>
    <r>
      <rPr>
        <b/>
        <sz val="10"/>
        <rFont val="Times New Roman"/>
        <family val="1"/>
      </rPr>
      <t>obs.5:</t>
    </r>
    <r>
      <rPr>
        <sz val="10"/>
        <rFont val="Times New Roman"/>
        <family val="1"/>
      </rPr>
      <t xml:space="preserve"> na busca de eliminar inconsistências, o SisMob-BH coteja os resultados deste indicador com os de "F tcc fc" (acesse) / </t>
    </r>
    <r>
      <rPr>
        <b/>
        <sz val="10"/>
        <rFont val="Times New Roman"/>
        <family val="1"/>
      </rPr>
      <t>obs.6:</t>
    </r>
    <r>
      <rPr>
        <sz val="10"/>
        <rFont val="Times New Roman"/>
        <family val="1"/>
      </rPr>
      <t xml:space="preserve"> "Em três anos, o percentual de viagens com acessibilidade dobrou, com aumento de trinta pontos percentuais. As viagens com acessibilidade são as viagens realizadas em ônibus de piso baixo ou que possuem elevador. [...] Somatório da quantidade de viagens do transporte coletivo com acessibilidade (piso baixo ou elevador) / Somatório total de viagens do transporte coletivo X 100" conforme BHTRANS(2015e, p.49) / </t>
    </r>
    <r>
      <rPr>
        <b/>
        <sz val="10"/>
        <rFont val="Times New Roman"/>
        <family val="1"/>
      </rPr>
      <t>obs.7:</t>
    </r>
    <r>
      <rPr>
        <sz val="10"/>
        <rFont val="Times New Roman"/>
        <family val="1"/>
      </rPr>
      <t xml:space="preserve"> "Quando o ObsMob-BH publica, como fez, uma análise de que os resultados do indicador de acessibilidade atestariam uma grande melhoria no quesito, estamos diante de um paradoxo. Afinal, não é isto que as pessoas com mobilidade reduzida percebem. Se o percentual de viagens acessíveis tivesse efetivamente dobrado em apenas três anos, como está afirmado no Balanço 2014, isto permitiria à sociedade concluir que as ações em curso estariam surtindo efeito. Se assim fosse, não haveria necessidade de novas ações e bastaria continuar monitorando os resultados do indicador. Como claro ficou que o indicador selecionado não é capaz de medir o que se propõe, estamos diante de uma conclusão equivocada que mais atrapalha do que ajuda no processo de inclusão social." conforme OLIVEIRA(2015c) /</t>
    </r>
    <r>
      <rPr>
        <b/>
        <sz val="10"/>
        <rFont val="Times New Roman"/>
        <family val="1"/>
      </rPr>
      <t xml:space="preserve">obs.8: </t>
    </r>
    <r>
      <rPr>
        <sz val="10"/>
        <rFont val="Times New Roman"/>
        <family val="1"/>
      </rPr>
      <t>"Os resultados publicados sobre esse assunto, portanto, precisam conter mais elementos, e seus elementos precisam estar mais desagregados, para que sejam capazes de gerar os imputs necessários à pretendida elaboração do Plano de Acessibilidade como parte integrante da revisão do PlanMob-BH" conforme OLIVEIRA(2015d, p.12)</t>
    </r>
  </si>
  <si>
    <t>embarque exclusivo em nível</t>
  </si>
  <si>
    <t>(en) embarque exclusivo em nível (São Paulo subsistema estrutural)</t>
  </si>
  <si>
    <t>(en) embarque exclusivo em nível (São Paulo subsistema local)</t>
  </si>
  <si>
    <t>(en) embarque exclusivo em nível (São Paulo total = estrutural + local)</t>
  </si>
  <si>
    <r>
      <t xml:space="preserve">veículos com desenho universal no embarque/desembarque, ou seja, veículos de piso baixo ou piso alto com embarque exclusivo em nível com fronteira máxima conforme normas brasileiras vigentes ou com rampa veicular automática em todas as portas, ou seja, com embarque/desembarque sempre em nível e autonomia garantida em todas as portas proporcionando acessibilidade universal
</t>
    </r>
    <r>
      <rPr>
        <b/>
        <sz val="10"/>
        <rFont val="Times New Roman"/>
        <family val="1"/>
      </rPr>
      <t xml:space="preserve">obs.1: </t>
    </r>
    <r>
      <rPr>
        <sz val="10"/>
        <rFont val="Times New Roman"/>
        <family val="1"/>
      </rPr>
      <t xml:space="preserve">para informações e resultados de municípios/regiões já incorporados ao SisMob-BH acesse "F tc enu" (Curitiba e Quito)
</t>
    </r>
    <r>
      <rPr>
        <b/>
        <sz val="10"/>
        <rFont val="Times New Roman"/>
        <family val="1"/>
      </rPr>
      <t xml:space="preserve">obs.2: </t>
    </r>
    <r>
      <rPr>
        <sz val="10"/>
        <rFont val="Times New Roman"/>
        <family val="1"/>
      </rPr>
      <t>é preciso confirmar se Guayaquil também está nesta categoria como parece pela fotografia em WRIGHT(2008,p.281)</t>
    </r>
  </si>
  <si>
    <t>F tce
(n.º)</t>
  </si>
  <si>
    <t>F tce
(%)</t>
  </si>
  <si>
    <r>
      <t xml:space="preserve">frota total em n.º de ônibus do transporte coletivo estrutural da cidade de São Paulo gerenciado pela SPTrans
</t>
    </r>
    <r>
      <rPr>
        <b/>
        <sz val="10"/>
        <rFont val="Times New Roman"/>
        <family val="1"/>
      </rPr>
      <t xml:space="preserve">obs.1: </t>
    </r>
    <r>
      <rPr>
        <sz val="10"/>
        <rFont val="Times New Roman"/>
        <family val="1"/>
      </rPr>
      <t>resultado de 2015 conforme SP(2016g1), que indica que o serviço é composto por ônibus de três tipos (sem elevador, com elevador e piso baixo (dianteiro, central ou total)</t>
    </r>
  </si>
  <si>
    <t>(n.º F tce / n.º F tc) x 100</t>
  </si>
  <si>
    <t>F tcl
(%)</t>
  </si>
  <si>
    <t>F tcl
(n.º)</t>
  </si>
  <si>
    <t>(n.º F tcl / n.º F tc) x 100</t>
  </si>
  <si>
    <t>F tcc
(%)</t>
  </si>
  <si>
    <t>(n.º F tcc / n.º F tc) x 100</t>
  </si>
  <si>
    <t>F tcc
(n.º)</t>
  </si>
  <si>
    <t>F tcs
(n.º)</t>
  </si>
  <si>
    <t>F tcs
(%)</t>
  </si>
  <si>
    <t>percentual da frota do transporte coletivo suplementar de Belo Horizonte em relação à frota total gerenciada pela BHTrans</t>
  </si>
  <si>
    <t>(n.º F tcs / n.º F tc) x 100</t>
  </si>
  <si>
    <t>percentual da frota do transporte coletivo convencional de Belo Horizonte em relação à frota total gerenciada pela BHTrans</t>
  </si>
  <si>
    <t>percentual da frota do transporte coletivo estrutural da cidade de São Paulo em relação à frota total gerenciada pela SPTrans</t>
  </si>
  <si>
    <t>percentual da frota do transporte coletivo local da cidade de São Paulo em relação à frota total gerenciada pela SPTrans</t>
  </si>
  <si>
    <r>
      <rPr>
        <sz val="10"/>
        <rFont val="Calibri"/>
        <family val="2"/>
      </rPr>
      <t>registro na fonte
ou
∑</t>
    </r>
    <r>
      <rPr>
        <sz val="7.5"/>
        <rFont val="Times New Roman"/>
        <family val="1"/>
      </rPr>
      <t xml:space="preserve"> (</t>
    </r>
    <r>
      <rPr>
        <sz val="10"/>
        <rFont val="Times New Roman"/>
        <family val="1"/>
      </rPr>
      <t>n.º de veículos por categoria na escala "acessibilidade em ônibus urbano")</t>
    </r>
  </si>
  <si>
    <t>ônibus urbano com alguma facilidade no E/D</t>
  </si>
  <si>
    <t>ônibus urbano com desenho universal no E/D</t>
  </si>
  <si>
    <t>ônibus urbano com acessibilidade no E/D</t>
  </si>
  <si>
    <t>ônibus urbano acessível no E/D</t>
  </si>
  <si>
    <t>ônibus urbano com E/D parcial em nível</t>
  </si>
  <si>
    <t>ônibus urbano com E/D exclusivo em nível</t>
  </si>
  <si>
    <t>ônibus urbano não acessível no E/D</t>
  </si>
  <si>
    <t>E/D</t>
  </si>
  <si>
    <t xml:space="preserve">Gráfico 810h - Evoluções dos percentuais da frota de ônibus do transporte coletivo convencional e suplementar de Belo Horizonte com alguma facilidade no embarque/desembarque (2009 a 2015) </t>
  </si>
  <si>
    <r>
      <t xml:space="preserve">percentual da frota de ônibus do transporte coletivo de Contagem com alguma facilidade no embarque/desembarque de pessoas com mobilidade física reduzida
</t>
    </r>
    <r>
      <rPr>
        <b/>
        <sz val="10"/>
        <rFont val="Times New Roman"/>
        <family val="1"/>
      </rPr>
      <t xml:space="preserve">obs.1: </t>
    </r>
    <r>
      <rPr>
        <sz val="10"/>
        <rFont val="Times New Roman"/>
        <family val="1"/>
      </rPr>
      <t xml:space="preserve">segundo o PlanMob Contagem os veículos com elevador hidráulico instalado "são considerados acessíveis" (VERTRAN, 2005a, p.60)
</t>
    </r>
    <r>
      <rPr>
        <b/>
        <sz val="10"/>
        <rFont val="Times New Roman"/>
        <family val="1"/>
      </rPr>
      <t xml:space="preserve">obs.2: </t>
    </r>
    <r>
      <rPr>
        <sz val="10"/>
        <rFont val="Times New Roman"/>
        <family val="1"/>
      </rPr>
      <t>em Contagem, pelo menos até 2014 não existem veículos com embarque em nível e, por isto, este indicador tem resultados idênticos ao "% de frota com elevador (Contagem)"</t>
    </r>
  </si>
  <si>
    <r>
      <t xml:space="preserve">percentual da frota de ônibus do transporte coletivo de Curitiba com alguma facilidade no embarque/desembarque de pessoas com mobilidade física reduzida
</t>
    </r>
    <r>
      <rPr>
        <b/>
        <sz val="10"/>
        <rFont val="Times New Roman"/>
        <family val="1"/>
      </rPr>
      <t xml:space="preserve">obs.1: </t>
    </r>
    <r>
      <rPr>
        <sz val="10"/>
        <rFont val="Times New Roman"/>
        <family val="1"/>
      </rPr>
      <t xml:space="preserve">mesmo que essa facilidade não permita classificar a viagem ofertada como acessível, por meio de embarque em nível (desenho universal) ou de elevador hidráulico instalado no veículo (de uso exclusivo ou não para cadeirantes)
</t>
    </r>
    <r>
      <rPr>
        <b/>
        <sz val="10"/>
        <rFont val="Times New Roman"/>
        <family val="1"/>
      </rPr>
      <t xml:space="preserve">obs.2: </t>
    </r>
    <r>
      <rPr>
        <sz val="10"/>
        <rFont val="Times New Roman"/>
        <family val="1"/>
      </rPr>
      <t xml:space="preserve">o resultado </t>
    </r>
    <r>
      <rPr>
        <sz val="10"/>
        <color rgb="FFFF0000"/>
        <rFont val="Times New Roman"/>
        <family val="1"/>
      </rPr>
      <t>92,69%</t>
    </r>
    <r>
      <rPr>
        <sz val="10"/>
        <rFont val="Times New Roman"/>
        <family val="1"/>
      </rPr>
      <t xml:space="preserve"> obtido com a fórmula "(n.º F tc fc / F tc) x 100" é diferente dos informados em URBS(2015c; 2016d1) de</t>
    </r>
    <r>
      <rPr>
        <sz val="10"/>
        <color rgb="FFFF0000"/>
        <rFont val="Times New Roman"/>
        <family val="1"/>
      </rPr>
      <t xml:space="preserve"> 92,66% e 93,73%</t>
    </r>
    <r>
      <rPr>
        <sz val="10"/>
        <rFont val="Times New Roman"/>
        <family val="1"/>
      </rPr>
      <t xml:space="preserve">
</t>
    </r>
    <r>
      <rPr>
        <b/>
        <sz val="10"/>
        <rFont val="Times New Roman"/>
        <family val="1"/>
      </rPr>
      <t xml:space="preserve">obs.3: </t>
    </r>
    <r>
      <rPr>
        <sz val="10"/>
        <rFont val="Times New Roman"/>
        <family val="1"/>
      </rPr>
      <t xml:space="preserve">na </t>
    </r>
    <r>
      <rPr>
        <i/>
        <sz val="10"/>
        <rFont val="Times New Roman"/>
        <family val="1"/>
      </rPr>
      <t>home page</t>
    </r>
    <r>
      <rPr>
        <sz val="10"/>
        <rFont val="Times New Roman"/>
        <family val="1"/>
      </rPr>
      <t xml:space="preserve"> da URBS fica claro que em Curitiba o conceito de acessibilidade não é o mesmo adotado no SisMob-BH: "Como parte da política de melhoria da acessibilidade no sistema de transporte, até junho de 2015, </t>
    </r>
    <r>
      <rPr>
        <sz val="10"/>
        <color rgb="FFFF0000"/>
        <rFont val="Times New Roman"/>
        <family val="1"/>
      </rPr>
      <t>92,66%</t>
    </r>
    <r>
      <rPr>
        <sz val="10"/>
        <rFont val="Times New Roman"/>
        <family val="1"/>
      </rPr>
      <t xml:space="preserve"> da frota operante de veículos do transporte coletivo possuía acessibilidade total, com elevadores nas linhas alimentadoras, interbairros, troncais e convencionais, assim como embarque em nível nos expressos e ligeirinhos. Desta forma, mais de 90% linhas da RIT - Rede Integrada de Transporte garantem a acessibilidade de cadeirantes e pessoas com mobilidade reduzida, com espaço e equipamentos para sua segurança no interior dos ônibus." conforme URBS(2015)
</t>
    </r>
    <r>
      <rPr>
        <b/>
        <sz val="10"/>
        <rFont val="Times New Roman"/>
        <family val="1"/>
      </rPr>
      <t>obs.4: "</t>
    </r>
    <r>
      <rPr>
        <sz val="10"/>
        <rFont val="Times New Roman"/>
        <family val="1"/>
      </rPr>
      <t xml:space="preserve">Como parte da política de melhoria da acessibilidade no sistema de transporte, até dezembro de 2015, </t>
    </r>
    <r>
      <rPr>
        <sz val="10"/>
        <color rgb="FFFF0000"/>
        <rFont val="Times New Roman"/>
        <family val="1"/>
      </rPr>
      <t>93,73%</t>
    </r>
    <r>
      <rPr>
        <sz val="10"/>
        <rFont val="Times New Roman"/>
        <family val="1"/>
      </rPr>
      <t xml:space="preserve"> da frota operante de veículos do transporte coletivo possuía acessibilidade total, com elevadores nas linhas alimentadoras, interbairros, troncais e convencionais, assim como embarque em nível nos expressos e ligeirinhos. Desta forma, mais de 90% linhas da RIT - Rede Integrada de Transporte garantem a acessibilidade de cadeirantes e pessoas com mobilidade reduzida, com espaço e equipamentos para sua segurança no interior dos ônibus." conforme URBS(2015c)
</t>
    </r>
    <r>
      <rPr>
        <b/>
        <sz val="10"/>
        <rFont val="Times New Roman"/>
        <family val="1"/>
      </rPr>
      <t xml:space="preserve">obs.5: </t>
    </r>
    <r>
      <rPr>
        <sz val="10"/>
        <rFont val="Times New Roman"/>
        <family val="1"/>
      </rPr>
      <t>"Ainda em relação à acessibilidade, as estações tubo equipadas com elevadores ou rampas representam mais de 85% da quantidade total existente." conforme URBS(2015)</t>
    </r>
  </si>
  <si>
    <r>
      <t xml:space="preserve">percentual da frota de ônibus do transporte coletivo de Joinville com alguma facilidade no embarque/desembarque para pessoas com mobilidade física reduzida
</t>
    </r>
    <r>
      <rPr>
        <b/>
        <sz val="10"/>
        <rFont val="Times New Roman"/>
        <family val="1"/>
      </rPr>
      <t xml:space="preserve">obs.1: </t>
    </r>
    <r>
      <rPr>
        <sz val="10"/>
        <rFont val="Times New Roman"/>
        <family val="1"/>
      </rPr>
      <t xml:space="preserve">esse indicador é denominado "percentual da frota de ônibus com acessibilidade para pessoas com deficiência" pelo Programa Cidades Sustentáveis conforme PROGRAMA(2016a) que, no caso de Joinville, incluiu os veículos da "F tes" conforme JOINVELLE(2016a)
</t>
    </r>
    <r>
      <rPr>
        <b/>
        <sz val="10"/>
        <rFont val="Times New Roman"/>
        <family val="1"/>
      </rPr>
      <t xml:space="preserve">obs.2: </t>
    </r>
    <r>
      <rPr>
        <sz val="10"/>
        <rFont val="Times New Roman"/>
        <family val="1"/>
      </rPr>
      <t>os resultados de 2012a 2015 apresentados no SisMob-BH foram calculados conforme JOINVILLE(2016a) e não são os resultados apresentados em PROGRAMA(2016a), ou seja: 52% para o ano 2012 em vez de 56%; 76% para os anos 2013 e 2014 em vez de 80% para o ano 2013; 79% para o ano 2014; 76% para o ano 2015 em vez de 80%</t>
    </r>
  </si>
  <si>
    <r>
      <t xml:space="preserve">percentual da frota de ônibus do transporte coletivo de Porto Alegre com alguma facilidade no embarque/desembarque para pessoas com mobilidade física reduzida
</t>
    </r>
    <r>
      <rPr>
        <b/>
        <sz val="10"/>
        <rFont val="Times New Roman"/>
        <family val="1"/>
      </rPr>
      <t xml:space="preserve">obs.1: </t>
    </r>
    <r>
      <rPr>
        <sz val="10"/>
        <rFont val="Times New Roman"/>
        <family val="1"/>
      </rPr>
      <t xml:space="preserve">esse indicador é denominado "percentual da frota de ônibus com acessibilidade para pessoas com deficiência" pelo Programa Cidades Sustentáveis conforme PROGRAMA(2016b)
</t>
    </r>
    <r>
      <rPr>
        <b/>
        <sz val="10"/>
        <rFont val="Times New Roman"/>
        <family val="1"/>
      </rPr>
      <t xml:space="preserve">obs.2: </t>
    </r>
    <r>
      <rPr>
        <sz val="10"/>
        <rFont val="Times New Roman"/>
        <family val="1"/>
      </rPr>
      <t>os resultados de 2001 a 2015 conforme fórmula e confirmados em PROGRAMA(2016b)</t>
    </r>
  </si>
  <si>
    <r>
      <t>percentual da frota de ônibus do transporte coletivo estrutural da cidade de São Paulo gerenciado pela SPTrans com alguma facilidade no embarque/desembarque para pessoas com mobilidade física reduzida, mesmo que essa facilidade não permita classificar a viagem como acessível, por meio de embarque em nível (desenho universal), de elevador hidráulico instalado no veículo (de uso exclusivo ou não para cadeirantes)</t>
    </r>
    <r>
      <rPr>
        <b/>
        <sz val="10"/>
        <rFont val="Times New Roman"/>
        <family val="1"/>
      </rPr>
      <t/>
    </r>
  </si>
  <si>
    <r>
      <t>percentual da frota de ônibus do transporte coletivo local da cidade de São Paulo gerenciado pela SPTrans com alguma facilidade no embarque/desembarque para pessoas com mobilidade física reduzida, mesmo que essa facilidade não permita classificar a viagem como acessível, por meio de embarque em nível (desenho universal), de elevador hidráulico instalado no veículo (de uso exclusivo ou não para cadeirantes)</t>
    </r>
    <r>
      <rPr>
        <b/>
        <sz val="10"/>
        <rFont val="Times New Roman"/>
        <family val="1"/>
      </rPr>
      <t/>
    </r>
  </si>
  <si>
    <r>
      <t xml:space="preserve">percentual da frota de ônibus do transporte coletivo de uma determinada cidade com alguma facilidade no embarque/desembarque de pessoas com mobilidade (física) reduzida mesmo que essa facilidade não permita classificar a viagem ofertada como acessível, por meio de embarque em nível (desenho universal) ou de elevador hidráulico instalado no veículo (de uso exclusivo ou não para cadeirantes)
</t>
    </r>
    <r>
      <rPr>
        <b/>
        <sz val="9"/>
        <rFont val="Times New Roman"/>
        <family val="1"/>
      </rPr>
      <t xml:space="preserve">obs.1: </t>
    </r>
    <r>
      <rPr>
        <sz val="9"/>
        <rFont val="Times New Roman"/>
        <family val="1"/>
      </rPr>
      <t xml:space="preserve">chamado de "Frota de ônibus com acessibilidade para pessoas com deficiência - Percentual da frota de ônibus com acessibilidade para pessoas com deficiência" este indicador é calculado como "Número de ônibus com acessibilidade para pessoas com deficiência / Número total de ônibus coletivos no município" pelo Programa Cidades Sustentáveis, que apresenta resultados de 58 cidades que vão de 1,40% em Santarém (2012) a 100% em Sorocaba (2012/2013/2014) conforme PROGRAMA(2015b) 
</t>
    </r>
    <r>
      <rPr>
        <b/>
        <sz val="9"/>
        <rFont val="Times New Roman"/>
        <family val="1"/>
      </rPr>
      <t xml:space="preserve">obs.2: </t>
    </r>
    <r>
      <rPr>
        <sz val="9"/>
        <rFont val="Times New Roman"/>
        <family val="1"/>
      </rPr>
      <t xml:space="preserve">os resultados desse indicador definido pelo Programa Cidades Sustentáveis são tratados no SisMob-BH como capazes de medir, tão somente, "ônibus com alguma facilidade"
</t>
    </r>
    <r>
      <rPr>
        <b/>
        <sz val="9"/>
        <rFont val="Times New Roman"/>
        <family val="1"/>
      </rPr>
      <t xml:space="preserve"> obs.3: </t>
    </r>
    <r>
      <rPr>
        <sz val="9"/>
        <rFont val="Times New Roman"/>
        <family val="1"/>
      </rPr>
      <t xml:space="preserve">Da lista de 58 cidades do Programa Cidades Sustentáveis o SisMob-BH já incorporou os resultados de </t>
    </r>
    <r>
      <rPr>
        <sz val="9"/>
        <color rgb="FFFF0000"/>
        <rFont val="Times New Roman"/>
        <family val="1"/>
      </rPr>
      <t>São Paulo</t>
    </r>
    <r>
      <rPr>
        <sz val="9"/>
        <rFont val="Times New Roman"/>
        <family val="1"/>
      </rPr>
      <t xml:space="preserve"> (maior cidade do Brasil), de </t>
    </r>
    <r>
      <rPr>
        <sz val="9"/>
        <color rgb="FFFF0000"/>
        <rFont val="Times New Roman"/>
        <family val="1"/>
      </rPr>
      <t>Joinville</t>
    </r>
    <r>
      <rPr>
        <sz val="9"/>
        <rFont val="Times New Roman"/>
        <family val="1"/>
      </rPr>
      <t xml:space="preserve"> (aproximação institucional para comparação de resultados entre cidades com apoio da WRI)  e de </t>
    </r>
    <r>
      <rPr>
        <sz val="9"/>
        <color rgb="FFFF0000"/>
        <rFont val="Times New Roman"/>
        <family val="1"/>
      </rPr>
      <t xml:space="preserve">Porto Alegre </t>
    </r>
    <r>
      <rPr>
        <sz val="9"/>
        <rFont val="Times New Roman"/>
        <family val="1"/>
      </rPr>
      <t xml:space="preserve">(benchmarking SisMob-BH), sendo que os resultados de outros locais serão incorporados à medida em que isto for sendo considerado apropriado
</t>
    </r>
    <r>
      <rPr>
        <b/>
        <sz val="9"/>
        <rFont val="Times New Roman"/>
        <family val="1"/>
      </rPr>
      <t>obs.4:</t>
    </r>
    <r>
      <rPr>
        <sz val="9"/>
        <rFont val="Times New Roman"/>
        <family val="1"/>
      </rPr>
      <t xml:space="preserve"> o SisMob-BH está estudando o indicador "Porcentagem de ônibus municipais acessíveis a pessoas com deficiência física" com resultados de nove capitas brasileiras (incluindo Belo Horizonte) proposto em MOBILIZE(2016)
</t>
    </r>
    <r>
      <rPr>
        <b/>
        <sz val="9"/>
        <rFont val="Times New Roman"/>
        <family val="1"/>
      </rPr>
      <t xml:space="preserve">obs.5: </t>
    </r>
    <r>
      <rPr>
        <sz val="9"/>
        <rFont val="Times New Roman"/>
        <family val="1"/>
      </rPr>
      <t>"Art.5º - Os veículos de transporte coletivo a serem produzidos após doze meses da publicação desta Lei serão planejados de forma a facilitar o acesso a seu interior das pessoas portadoras de deficiência. [...] §2º - Os proprietários de veículos de transporte coletivo em utilização terão o prazo de cento e oitenta dias, a contar da regulamentação desta Lei, para proceder às adaptações necessárias ao acesso facilitado das pessoas portadoras de deficiência." conforme BRASIL(2000b/art.5º)</t>
    </r>
  </si>
  <si>
    <r>
      <t xml:space="preserve">percentual da frota de ônibus do transporte coletivo suplementar de Belo Horizonte com alguma facilidade no embarque/desembarque de pessoas com mobilidade física reduzida
</t>
    </r>
    <r>
      <rPr>
        <b/>
        <sz val="10"/>
        <rFont val="Times New Roman"/>
        <family val="1"/>
      </rPr>
      <t>obs.:</t>
    </r>
    <r>
      <rPr>
        <sz val="10"/>
        <rFont val="Times New Roman"/>
        <family val="1"/>
      </rPr>
      <t xml:space="preserve"> em Belo Horizonte pelo menos até 2015 este indicador tem resultados idênticos ao "% de supementar com elevador (Belo Horizonte)" pois, criado em 2001, o serviço nunca operou com embarque em nível (seja com ônibus de piso baixo, seja com plataforma elevada) </t>
    </r>
  </si>
  <si>
    <r>
      <t>percentual da frota de ônibus do transporte coletivo (convencional e suplementar) de Belo Horizonte com alguma facilidade no embarque/desembarque de pessoas com mobilidade física reduzida</t>
    </r>
    <r>
      <rPr>
        <b/>
        <sz val="10"/>
        <rFont val="Times New Roman"/>
        <family val="1"/>
      </rPr>
      <t/>
    </r>
  </si>
  <si>
    <r>
      <t xml:space="preserve">frota em n.º de ônibus do transporte coletivo convencional de Belo Horizonte gerenciado pela BHTrans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t>
    </r>
    <r>
      <rPr>
        <b/>
        <sz val="10"/>
        <rFont val="Times New Roman"/>
        <family val="1"/>
      </rPr>
      <t>obs.1:</t>
    </r>
    <r>
      <rPr>
        <sz val="10"/>
        <rFont val="Times New Roman"/>
        <family val="1"/>
      </rPr>
      <t xml:space="preserve"> esta categoria recebe </t>
    </r>
    <r>
      <rPr>
        <sz val="10"/>
        <color rgb="FFFF0000"/>
        <rFont val="Times New Roman"/>
        <family val="1"/>
      </rPr>
      <t>peso 1</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obs.2:</t>
    </r>
    <r>
      <rPr>
        <sz val="10"/>
        <rFont val="Times New Roman"/>
        <family val="1"/>
      </rPr>
      <t xml:space="preserve"> de 1993 a 1997 todos os veículos "F tcc" são desta categoria conforme "F tcc histórico"
</t>
    </r>
    <r>
      <rPr>
        <b/>
        <sz val="10"/>
        <rFont val="Times New Roman"/>
        <family val="1"/>
      </rPr>
      <t xml:space="preserve">obs.3: </t>
    </r>
    <r>
      <rPr>
        <sz val="10"/>
        <rFont val="Times New Roman"/>
        <family val="1"/>
      </rPr>
      <t xml:space="preserve">para períodos anteriores a 2008 utiliza-se a fórmula (F tc - ∑ (n.º de veículos das demais categorias da escala "acessibilidade em ônibus urbano"))
</t>
    </r>
    <r>
      <rPr>
        <b/>
        <sz val="10"/>
        <rFont val="Times New Roman"/>
        <family val="1"/>
      </rPr>
      <t xml:space="preserve">obs.4: </t>
    </r>
    <r>
      <rPr>
        <sz val="10"/>
        <rFont val="Times New Roman"/>
        <family val="1"/>
      </rPr>
      <t xml:space="preserve">mês de dezembro tomado como referência anual, com resultados de 2009 a 2014 conforme BHTRANS(2015c) e de 2015 conforme BHTRANS(2016c)
</t>
    </r>
    <r>
      <rPr>
        <b/>
        <sz val="10"/>
        <rFont val="Times New Roman"/>
        <family val="1"/>
      </rPr>
      <t xml:space="preserve">obs.5: </t>
    </r>
    <r>
      <rPr>
        <sz val="10"/>
        <rFont val="Times New Roman"/>
        <family val="1"/>
      </rPr>
      <t xml:space="preserve">resultados de 2015 por ano de fabricação (2005 a 2008) conforme BHTRANS(2016m)
</t>
    </r>
    <r>
      <rPr>
        <b/>
        <sz val="10"/>
        <rFont val="Times New Roman"/>
        <family val="1"/>
      </rPr>
      <t>obs.6:</t>
    </r>
    <r>
      <rPr>
        <sz val="10"/>
        <rFont val="Times New Roman"/>
        <family val="1"/>
      </rPr>
      <t xml:space="preserve"> foi anunciado em maio/2016 que as empresas operadoras de Belo Horizonte substituirão todos os veículos sem facilidade (F tcc sfc) por veículos com elevador (F tcc eh) até dezembro/2016 conforme 340 ÔNIBUS(2016); BH TERÁ(2016)</t>
    </r>
  </si>
  <si>
    <t>RMBH metropolitano 2015</t>
  </si>
  <si>
    <t>São Paulo estrutural 2015</t>
  </si>
  <si>
    <t>São Paulo total 2015</t>
  </si>
  <si>
    <t>BH convencional 2015</t>
  </si>
  <si>
    <t>BH total 2015 total</t>
  </si>
  <si>
    <t>São Paulo local 2015</t>
  </si>
  <si>
    <t xml:space="preserve">BH suplementar 2015 </t>
  </si>
  <si>
    <t>Gráfico 810i - Percentuais das frotas de ônibus com alguma facilidade no embarque/desembarque no transporte coletivo (total, convencional e suplementar) de Belo Horizonte em comparação com outras cidades/regiões</t>
  </si>
  <si>
    <t>viagem com alguma facilidade no E/D</t>
  </si>
  <si>
    <r>
      <t xml:space="preserve">no transporte coletivo por ônibus é a viagem realizada com veículo com alguma facilidade no embarque/desembarque
</t>
    </r>
    <r>
      <rPr>
        <b/>
        <sz val="10"/>
        <color theme="1"/>
        <rFont val="Times New Roman"/>
        <family val="1"/>
      </rPr>
      <t xml:space="preserve">obs.: </t>
    </r>
    <r>
      <rPr>
        <sz val="10"/>
        <color theme="1"/>
        <rFont val="Times New Roman"/>
        <family val="1"/>
      </rPr>
      <t>acesse o indicador "NVR tcc fc"</t>
    </r>
  </si>
  <si>
    <t>embarque/desembarque (sigla usada em denominações de "ônibus urbano" e de "viagem"</t>
  </si>
  <si>
    <r>
      <t xml:space="preserve">frota em n.º de ônibus no transporte coletivo de Curitiba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t>
    </r>
    <r>
      <rPr>
        <b/>
        <sz val="10"/>
        <rFont val="Times New Roman"/>
        <family val="1"/>
      </rPr>
      <t>obs.1:</t>
    </r>
    <r>
      <rPr>
        <sz val="10"/>
        <rFont val="Times New Roman"/>
        <family val="1"/>
      </rPr>
      <t xml:space="preserve"> esta categoria recebe</t>
    </r>
    <r>
      <rPr>
        <sz val="10"/>
        <color rgb="FFFF0000"/>
        <rFont val="Times New Roman"/>
        <family val="1"/>
      </rPr>
      <t xml:space="preserve"> </t>
    </r>
    <r>
      <rPr>
        <b/>
        <sz val="10"/>
        <color rgb="FFFF0000"/>
        <rFont val="Times New Roman"/>
        <family val="1"/>
      </rPr>
      <t>peso 1</t>
    </r>
    <r>
      <rPr>
        <b/>
        <sz val="10"/>
        <rFont val="Times New Roman"/>
        <family val="1"/>
      </rPr>
      <t xml:space="preserve"> </t>
    </r>
    <r>
      <rPr>
        <sz val="10"/>
        <rFont val="Times New Roman"/>
        <family val="1"/>
      </rPr>
      <t xml:space="preserve">(escala de 1 a 10 estabelecida pelo SisMob-BH para classificar e comparar resultados) - acesse "acessibilidade em ônibus urbano (escala)"
</t>
    </r>
    <r>
      <rPr>
        <b/>
        <sz val="10"/>
        <rFont val="Times New Roman"/>
        <family val="1"/>
      </rPr>
      <t>obs.2:</t>
    </r>
    <r>
      <rPr>
        <sz val="10"/>
        <rFont val="Times New Roman"/>
        <family val="1"/>
      </rPr>
      <t xml:space="preserve"> não mais existem ônibus nesta categoria em 2015 conforme BHTRANS(2016f) elaborado com base na frota de 1.368 veículos apresentada em URBS(2016c), mas essa quantidade "se refere a frota operante do ano de 2015, com um percentual de acessibilidade de 92,66% desse número, ou seja, 7,34% dessa frota operante (100 veículos) ainda não estava equipada com plataforma elevatória" confrorme URBS(2016d1); por esse motivo, o SisMob-BH acrescentou 100 veículos aos indicadores "F tc" e "F tc nac" de Curitiba</t>
    </r>
  </si>
  <si>
    <r>
      <t xml:space="preserve">veículos considerados pelo SisMob-BH como "não acessíveis", pois não fornecem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t>
    </r>
    <r>
      <rPr>
        <b/>
        <sz val="10"/>
        <rFont val="Times New Roman"/>
        <family val="1"/>
      </rPr>
      <t>obs.:</t>
    </r>
    <r>
      <rPr>
        <sz val="10"/>
        <rFont val="Times New Roman"/>
        <family val="1"/>
      </rPr>
      <t xml:space="preserve"> para informações e resultados de municípios/regiões já incorporados ao SisMob-BH acesse "F tc nac" (Belo Horizonte, Contagem, Joinville, RMBH metropolitano, São Paulo)</t>
    </r>
  </si>
  <si>
    <t>idem anterior</t>
  </si>
  <si>
    <t>ônibus urbano com elevador hidráulico</t>
  </si>
  <si>
    <t>ônibus urbano com piso baixo</t>
  </si>
  <si>
    <t>acesse anterior</t>
  </si>
  <si>
    <t>acesse mais adiante</t>
  </si>
  <si>
    <t>Belo Horizonte total 2015</t>
  </si>
  <si>
    <t>Belo Horizonte (convencional) 2006</t>
  </si>
  <si>
    <t>Belo Horizonte convencional 2015</t>
  </si>
  <si>
    <t>Belo Horizonte suplementar 2015</t>
  </si>
  <si>
    <t>registro na fonte
=
F tcc en (n.º convencional)</t>
  </si>
  <si>
    <t>n.º F tc en (%) / n.º F tc</t>
  </si>
  <si>
    <t>BH (convencional) 2006</t>
  </si>
  <si>
    <r>
      <t xml:space="preserve">frota em n.º de ônibus do transporte coletivo estrutural da cidade de São Paulo gerenciado pela SPTrans com embarque/desembarque exclusivamente em nível em todos os pontos de parada, com veículo de piso baixo ou veículo de piso alto (com o uso de plataforma elevada), em ambos os casos com ou sem rampa para transpor a fronteira
</t>
    </r>
    <r>
      <rPr>
        <b/>
        <sz val="10"/>
        <rFont val="Times New Roman"/>
        <family val="1"/>
      </rPr>
      <t xml:space="preserve">obs.: </t>
    </r>
    <r>
      <rPr>
        <sz val="10"/>
        <rFont val="Times New Roman"/>
        <family val="1"/>
      </rPr>
      <t>na fonte consultada SP(2016g1/g2) não é possível saber em quantos, dentre os ônibus de piso baixo existentes o embarque/desembarque acontece exclusivamente em nível (unicos com essa possibilidade) e por isto, o SisMob-BH assume a hipótese de que são 100% e adverte que seu resultado deve ser tomado como provisório até que seja obtida confirmação</t>
    </r>
  </si>
  <si>
    <t>registro na fonte 
=
F tc pb</t>
  </si>
  <si>
    <t>BH (suplementar) 2015</t>
  </si>
  <si>
    <t>CMDPD-BH</t>
  </si>
  <si>
    <r>
      <rPr>
        <b/>
        <sz val="12"/>
        <rFont val="Times New Roman"/>
        <family val="1"/>
      </rPr>
      <t xml:space="preserve">OLIVEIRA(2015f): </t>
    </r>
    <r>
      <rPr>
        <sz val="12"/>
        <rFont val="Times New Roman"/>
        <family val="1"/>
      </rPr>
      <t xml:space="preserve">OLIVEIRA, Marcos Fontoura de. </t>
    </r>
    <r>
      <rPr>
        <i/>
        <sz val="12"/>
        <rFont val="Times New Roman"/>
        <family val="1"/>
      </rPr>
      <t>CMDPD/BH</t>
    </r>
    <r>
      <rPr>
        <sz val="12"/>
        <rFont val="Times New Roman"/>
        <family val="1"/>
      </rPr>
      <t>. Belo Horizonte, 11 mar. 2015. Disponível [acesso restrito] no portal interno da BHTrans. Acesso em: 9 ago. 2016.</t>
    </r>
  </si>
  <si>
    <t>CMPPD-BH</t>
  </si>
  <si>
    <r>
      <t xml:space="preserve">Conselho Municipal dos Direitos da Pessoa com Deficiência de Belo Horizonte, sucessor do CMPPD-BH
</t>
    </r>
    <r>
      <rPr>
        <b/>
        <sz val="10"/>
        <color theme="1"/>
        <rFont val="Times New Roman"/>
        <family val="1"/>
      </rPr>
      <t xml:space="preserve">obs.: </t>
    </r>
    <r>
      <rPr>
        <sz val="10"/>
        <color theme="1"/>
        <rFont val="Times New Roman"/>
        <family val="1"/>
      </rPr>
      <t>acesse OLIVEIRA(2015f) para conhecer como esse assunto foi tratado pelo SisMob-BH no portal interno da BHTrans de 2012 a 2015</t>
    </r>
  </si>
  <si>
    <r>
      <t xml:space="preserve">Conselho Municipal de Pessoas Portadoras de Deficiência de Belo Horizonte, que antecedeu o CMDPD-BH
</t>
    </r>
    <r>
      <rPr>
        <b/>
        <sz val="10"/>
        <color theme="1"/>
        <rFont val="Times New Roman"/>
        <family val="1"/>
      </rPr>
      <t xml:space="preserve">obs.: </t>
    </r>
    <r>
      <rPr>
        <sz val="10"/>
        <color theme="1"/>
        <rFont val="Times New Roman"/>
        <family val="1"/>
      </rPr>
      <t>acesse OLIVEIRA(2015f) para conhecer como esse assunto foi tratado pelo SisMob-BH no portal interno da BHTrans de 2012 a 2016</t>
    </r>
    <r>
      <rPr>
        <sz val="11"/>
        <color theme="1"/>
        <rFont val="Calibri"/>
        <family val="2"/>
        <scheme val="minor"/>
      </rPr>
      <t/>
    </r>
  </si>
  <si>
    <t>BRT misto c/elevador não exclusivo</t>
  </si>
  <si>
    <t>BRT misto c/elevador exclusivo</t>
  </si>
  <si>
    <t>BH suplementar 2015</t>
  </si>
  <si>
    <t>BH total 2015</t>
  </si>
  <si>
    <r>
      <t xml:space="preserve">percentual de diferença anual do IAED
</t>
    </r>
    <r>
      <rPr>
        <b/>
        <sz val="10"/>
        <rFont val="Times New Roman"/>
        <family val="1"/>
      </rPr>
      <t>obs.:</t>
    </r>
    <r>
      <rPr>
        <sz val="10"/>
        <rFont val="Times New Roman"/>
        <family val="1"/>
      </rPr>
      <t xml:space="preserve"> resultados positivos indicam melhoria no índice</t>
    </r>
  </si>
  <si>
    <t>(IAED ano - IAED ano anteior) / IAED ano) x 100</t>
  </si>
  <si>
    <t>IAED tcc
(incremento anual)</t>
  </si>
  <si>
    <t>1 = não acessível</t>
  </si>
  <si>
    <t>pesos</t>
  </si>
  <si>
    <t>conferências nacionais da PcD</t>
  </si>
  <si>
    <t>2016: anais da 4ª Conferência conforme BRASIL(2016)</t>
  </si>
  <si>
    <t>conferências estaduais da PcD</t>
  </si>
  <si>
    <t>conferências municipais da PcD</t>
  </si>
  <si>
    <r>
      <rPr>
        <b/>
        <sz val="12"/>
        <rFont val="Times New Roman"/>
        <family val="1"/>
      </rPr>
      <t xml:space="preserve">OLIVEIRA(2015c): </t>
    </r>
    <r>
      <rPr>
        <sz val="12"/>
        <rFont val="Times New Roman"/>
        <family val="1"/>
      </rPr>
      <t xml:space="preserve">OLIVEIRA, Marcos Fontoura de. </t>
    </r>
    <r>
      <rPr>
        <i/>
        <sz val="12"/>
        <rFont val="Times New Roman"/>
        <family val="1"/>
      </rPr>
      <t>Contribuições para elaboração do texto de análise do objetivo 6 - Balanço da Mobilidade Urbana de Belo Horizonte 2015 (ano base 2014)</t>
    </r>
    <r>
      <rPr>
        <sz val="12"/>
        <rFont val="Times New Roman"/>
        <family val="1"/>
      </rPr>
      <t>. Belo Horizonte, [2015]. 2p. (mimeo)</t>
    </r>
  </si>
  <si>
    <r>
      <rPr>
        <b/>
        <sz val="12"/>
        <rFont val="Times New Roman"/>
        <family val="1"/>
      </rPr>
      <t xml:space="preserve">OLIVEIRA(2014b): </t>
    </r>
    <r>
      <rPr>
        <sz val="12"/>
        <rFont val="Times New Roman"/>
        <family val="1"/>
      </rPr>
      <t xml:space="preserve">OLIVEIRA, Marcos Fontoura de. </t>
    </r>
    <r>
      <rPr>
        <i/>
        <sz val="12"/>
        <rFont val="Times New Roman"/>
        <family val="1"/>
      </rPr>
      <t xml:space="preserve">A construção de um sistema de informações da mobilidade urbana como condição para sustentar a revisão permanente do Plano de Mobilidade Urbana de Belo Horizonte (PlanMob-BH). </t>
    </r>
    <r>
      <rPr>
        <sz val="12"/>
        <rFont val="Times New Roman"/>
        <family val="1"/>
      </rPr>
      <t>Belo Horizonte, ago. 2014. 15p. [mimeo]</t>
    </r>
  </si>
  <si>
    <r>
      <t xml:space="preserve">n.º de passageiros/ano registrados no M.C.O. do transporte coletivo convencional 
</t>
    </r>
    <r>
      <rPr>
        <b/>
        <sz val="10"/>
        <rFont val="Times New Roman"/>
        <family val="1"/>
      </rPr>
      <t xml:space="preserve">obs.: </t>
    </r>
    <r>
      <rPr>
        <sz val="10"/>
        <rFont val="Times New Roman"/>
        <family val="1"/>
      </rPr>
      <t xml:space="preserve">resultados de 1996 a 2012 em BHTRANS (2013e); de 2013-2015 conforme BHTRANS(2016v1),  onde também há resultados mês a mês de 2008 a 2015 </t>
    </r>
  </si>
  <si>
    <r>
      <rPr>
        <b/>
        <sz val="12"/>
        <rFont val="Times New Roman"/>
        <family val="1"/>
      </rPr>
      <t xml:space="preserve">BHTRANS(2016v1): </t>
    </r>
    <r>
      <rPr>
        <sz val="12"/>
        <rFont val="Times New Roman"/>
        <family val="1"/>
      </rPr>
      <t>EMPRESA DE TRANSPORTES E TRÂNSITO DE BELO HORIZONTE S.A - BHTRANS</t>
    </r>
    <r>
      <rPr>
        <i/>
        <sz val="12"/>
        <rFont val="Times New Roman"/>
        <family val="1"/>
      </rPr>
      <t>. 2.3 - Distribuição anual [e mensal] dos passageiros registrados.</t>
    </r>
    <r>
      <rPr>
        <sz val="12"/>
        <rFont val="Times New Roman"/>
        <family val="1"/>
      </rPr>
      <t xml:space="preserve"> Disponível em: &lt;http://www.bhtrans.pbh.gov.br/portal/page/portal/portalpublicodl/Temas/Onibus/gestao-transporte-onibus-2013/PASSAGEIRO%20REGISTRADO%20ANUAL%20-%20ATUALIZA%20PORTAL.pdf&gt;. Acesso em: 10 ago. 2016.</t>
    </r>
  </si>
  <si>
    <r>
      <rPr>
        <b/>
        <sz val="12"/>
        <color theme="1"/>
        <rFont val="Times New Roman"/>
        <family val="1"/>
      </rPr>
      <t>geral sobre tc(BH):</t>
    </r>
    <r>
      <rPr>
        <sz val="12"/>
        <color theme="1"/>
        <rFont val="Times New Roman"/>
        <family val="1"/>
      </rPr>
      <t xml:space="preserve"> cobrar em julho/2016 os resultados a partir de 2013 para completar as séries já publicadas no SisMob-BH (por e-mail: solicitação em 19/04/2016; cobranças em 27/6/2016, 22/07/2016). Cobrado em 04/08/2016. Cobrar novamente em setembro. </t>
    </r>
    <r>
      <rPr>
        <sz val="12"/>
        <color rgb="FFFF0000"/>
        <rFont val="Times New Roman"/>
        <family val="1"/>
      </rPr>
      <t>Recebidos dois arquivos em 09/08/2016.</t>
    </r>
  </si>
  <si>
    <t>TCC $</t>
  </si>
  <si>
    <t xml:space="preserve">receita do transporte coletivo convencional de Belo Horizonte gerenciado pela BHTtans
obs.: esse valor é resultante da soma de receita em dinheiro e em créditos eletrônicos conforme BHTRANS(2016v2) </t>
  </si>
  <si>
    <t>registro na fonte
ainda não incorporado</t>
  </si>
  <si>
    <r>
      <rPr>
        <b/>
        <sz val="12"/>
        <rFont val="Times New Roman"/>
        <family val="1"/>
      </rPr>
      <t xml:space="preserve">BHTRANS(2016v2): </t>
    </r>
    <r>
      <rPr>
        <sz val="12"/>
        <rFont val="Times New Roman"/>
        <family val="1"/>
      </rPr>
      <t>EMPRESA DE TRANSPORTES E TRÂNSITO DE BELO HORIZONTE S.A - BHTRANS</t>
    </r>
    <r>
      <rPr>
        <i/>
        <sz val="12"/>
        <rFont val="Times New Roman"/>
        <family val="1"/>
      </rPr>
      <t>. Receitas mensais de nov. 2008 a dez. 2015.</t>
    </r>
    <r>
      <rPr>
        <sz val="12"/>
        <rFont val="Times New Roman"/>
        <family val="1"/>
      </rPr>
      <t xml:space="preserve"> Disponível em: &lt;http://www.bhtrans.pbh.gov.br/portal/page/portal/portalpublicodl/Temas/Onibus/gestao-transporte-onibus-2013/PASSAGEIRO%20REGISTRADO%20ANUAL%20-%20ATUALIZA%20PORTAL.pdf&gt;. Acesso em: 10 ago. 2016.</t>
    </r>
  </si>
  <si>
    <r>
      <rPr>
        <b/>
        <sz val="12"/>
        <color theme="1"/>
        <rFont val="Times New Roman"/>
        <family val="1"/>
      </rPr>
      <t xml:space="preserve">BHTRANS(2015t1/t2): </t>
    </r>
    <r>
      <rPr>
        <sz val="12"/>
        <color theme="1"/>
        <rFont val="Times New Roman"/>
        <family val="1"/>
      </rPr>
      <t xml:space="preserve">EMPRESA DE TRANSPORTES E TRÂNSITO DE BELO HORIZONTE S.A - BHTRANS. Gerência de Estudos Tarifários - Gecet/DTP. </t>
    </r>
    <r>
      <rPr>
        <i/>
        <sz val="12"/>
        <color theme="1"/>
        <rFont val="Times New Roman"/>
        <family val="1"/>
      </rPr>
      <t xml:space="preserve">Relatório gerencial - Sistema de transporte coletivo convencional de passageiros por ônibus - Resultados operacionais dezembro/2014. </t>
    </r>
    <r>
      <rPr>
        <sz val="12"/>
        <color theme="1"/>
        <rFont val="Times New Roman"/>
        <family val="1"/>
      </rPr>
      <t xml:space="preserve">Belo Horizonte: BHTrans, [2015] - relatório em excell (t1) e pdf(t2) </t>
    </r>
  </si>
  <si>
    <r>
      <t xml:space="preserve">número total de alunos atendidos em todos os programas de ações educativas de mobilidade urbana da BHTrans </t>
    </r>
    <r>
      <rPr>
        <b/>
        <sz val="10"/>
        <rFont val="Times New Roman"/>
        <family val="1"/>
      </rPr>
      <t xml:space="preserve">obs.: </t>
    </r>
    <r>
      <rPr>
        <sz val="10"/>
        <rFont val="Times New Roman"/>
        <family val="1"/>
      </rPr>
      <t>resultados de 2005-2013 conforme BHTRANS(2015h); de 2014-2015 conforme BHTRANS(2016y)</t>
    </r>
  </si>
  <si>
    <r>
      <t xml:space="preserve">número total de alunos atendidos no programa "O jovem e a mobilidade" (BHTRANS, 2015h)
</t>
    </r>
    <r>
      <rPr>
        <b/>
        <sz val="10"/>
        <rFont val="Times New Roman"/>
        <family val="1"/>
      </rPr>
      <t xml:space="preserve">obs.: </t>
    </r>
    <r>
      <rPr>
        <sz val="10"/>
        <rFont val="Times New Roman"/>
        <family val="1"/>
      </rPr>
      <t>resultados de 2010-2013 conforme BHTRANS(2015h); de 2014-2015 conforme BHTRANS(2016y)</t>
    </r>
  </si>
  <si>
    <r>
      <t xml:space="preserve">número de escolas atendidas em todos os programas de ações educativas de mobilidade urbana da BHTrans
</t>
    </r>
    <r>
      <rPr>
        <b/>
        <sz val="10"/>
        <rFont val="Times New Roman"/>
        <family val="1"/>
      </rPr>
      <t>obs.:</t>
    </r>
    <r>
      <rPr>
        <sz val="10"/>
        <rFont val="Times New Roman"/>
        <family val="1"/>
      </rPr>
      <t xml:space="preserve"> resultados de 2005-2013 conforme BHTRANS(2015h); de 2014-2015 conforme BHTRANS(2016y)</t>
    </r>
  </si>
  <si>
    <r>
      <t xml:space="preserve">número de escolas atendidas especificamente no programa "O jovem e a mobilidade"
</t>
    </r>
    <r>
      <rPr>
        <b/>
        <sz val="10"/>
        <rFont val="Times New Roman"/>
        <family val="1"/>
      </rPr>
      <t xml:space="preserve">obs.: </t>
    </r>
    <r>
      <rPr>
        <sz val="10"/>
        <rFont val="Times New Roman"/>
        <family val="1"/>
      </rPr>
      <t>resultados de 2010-2013 conforme BHTRANS(2015h); de 2014-2015 conforme BHTRANS(2016y)</t>
    </r>
  </si>
  <si>
    <r>
      <t xml:space="preserve">percentual de participantes em ações de educação para jovens futuros condutores
</t>
    </r>
    <r>
      <rPr>
        <b/>
        <sz val="10"/>
        <color theme="1"/>
        <rFont val="Times New Roman"/>
        <family val="1"/>
      </rPr>
      <t>obs.1:</t>
    </r>
    <r>
      <rPr>
        <sz val="10"/>
        <color theme="1"/>
        <rFont val="Times New Roman"/>
        <family val="1"/>
      </rPr>
      <t xml:space="preserve"> indicador estratégico da BHTrans (BHTRANS, 2015d)
</t>
    </r>
    <r>
      <rPr>
        <b/>
        <sz val="10"/>
        <color theme="1"/>
        <rFont val="Times New Roman"/>
        <family val="1"/>
      </rPr>
      <t xml:space="preserve">obs.2: </t>
    </r>
    <r>
      <rPr>
        <sz val="10"/>
        <color theme="1"/>
        <rFont val="Times New Roman"/>
        <family val="1"/>
      </rPr>
      <t>apuração com a fórmula "(∑ quantidade de participantes do programa “O Jovem e a Mobilidade” / ∑ total de alunos do 2º ano do ensino médio (redes pública e privada) de Belo Horizonte) ) x 100", com resultados de 2014-2014 conforme BHTRANS(2016y)</t>
    </r>
  </si>
  <si>
    <t>NCP</t>
  </si>
  <si>
    <t>NCM</t>
  </si>
  <si>
    <r>
      <t xml:space="preserve">n.º de campanhas realizadas pela BHTrans com foco no respeito ao pedestre
</t>
    </r>
    <r>
      <rPr>
        <b/>
        <sz val="10"/>
        <color theme="1"/>
        <rFont val="Times New Roman"/>
        <family val="1"/>
      </rPr>
      <t>obs.1:</t>
    </r>
    <r>
      <rPr>
        <sz val="10"/>
        <color theme="1"/>
        <rFont val="Times New Roman"/>
        <family val="1"/>
      </rPr>
      <t xml:space="preserve"> indicador estratégico da BHTrans (BHTRANS, 2015d)
</t>
    </r>
    <r>
      <rPr>
        <b/>
        <sz val="10"/>
        <color theme="1"/>
        <rFont val="Times New Roman"/>
        <family val="1"/>
      </rPr>
      <t xml:space="preserve">obs.2: </t>
    </r>
    <r>
      <rPr>
        <sz val="10"/>
        <color theme="1"/>
        <rFont val="Times New Roman"/>
        <family val="1"/>
      </rPr>
      <t>resultados de 2014-2014 conforme BHTRANS(2016y)</t>
    </r>
  </si>
  <si>
    <r>
      <t xml:space="preserve">n.º de campanhas realizadas pela BHTrans com foco em motociclistas
</t>
    </r>
    <r>
      <rPr>
        <b/>
        <sz val="10"/>
        <color theme="1"/>
        <rFont val="Times New Roman"/>
        <family val="1"/>
      </rPr>
      <t>obs.1:</t>
    </r>
    <r>
      <rPr>
        <sz val="10"/>
        <color theme="1"/>
        <rFont val="Times New Roman"/>
        <family val="1"/>
      </rPr>
      <t xml:space="preserve"> indicador estratégico da BHTrans (BHTRANS, 2015d)
</t>
    </r>
    <r>
      <rPr>
        <b/>
        <sz val="10"/>
        <color theme="1"/>
        <rFont val="Times New Roman"/>
        <family val="1"/>
      </rPr>
      <t>obs.2:</t>
    </r>
    <r>
      <rPr>
        <sz val="10"/>
        <color theme="1"/>
        <rFont val="Times New Roman"/>
        <family val="1"/>
      </rPr>
      <t xml:space="preserve"> resultados de 2014-2014 conforme BHTRANS(2016y)</t>
    </r>
  </si>
  <si>
    <t>NCF (%)</t>
  </si>
  <si>
    <r>
      <t xml:space="preserve">receita bruta média mensal do sistema de estacionamento rotativo de Belo Horizonte proveniente da venda de talões
</t>
    </r>
    <r>
      <rPr>
        <b/>
        <sz val="10"/>
        <rFont val="Times New Roman"/>
        <family val="1"/>
      </rPr>
      <t xml:space="preserve">obs.: </t>
    </r>
    <r>
      <rPr>
        <sz val="10"/>
        <rFont val="Times New Roman"/>
        <family val="1"/>
      </rPr>
      <t>resultados de 2001-2014 conforme BHTRANS(2015k; 2015m); de 2014-2015 conforme BHTRANS(2016z)</t>
    </r>
  </si>
  <si>
    <r>
      <t xml:space="preserve">n.º de talões (com dez folhas/cada) de estacionamento rotativo vendidos no ano
</t>
    </r>
    <r>
      <rPr>
        <b/>
        <sz val="10"/>
        <rFont val="Times New Roman"/>
        <family val="1"/>
      </rPr>
      <t>obs.:</t>
    </r>
    <r>
      <rPr>
        <sz val="10"/>
        <rFont val="Times New Roman"/>
        <family val="1"/>
      </rPr>
      <t xml:space="preserve"> resultados de 2001-2014 conforme BHTRANS(2015k; 2015m); de 2014-2015 conforme BHTRANS(2016z)</t>
    </r>
  </si>
  <si>
    <r>
      <t xml:space="preserve">n.º de quarteirões de estacionamento rotativo
</t>
    </r>
    <r>
      <rPr>
        <b/>
        <sz val="10"/>
        <rFont val="Times New Roman"/>
        <family val="1"/>
      </rPr>
      <t xml:space="preserve">obs.1: </t>
    </r>
    <r>
      <rPr>
        <sz val="10"/>
        <rFont val="Times New Roman"/>
        <family val="1"/>
      </rPr>
      <t xml:space="preserve">"quarteirão", nesse indicador é considerado como cada face de uma quadra 
</t>
    </r>
    <r>
      <rPr>
        <b/>
        <sz val="10"/>
        <rFont val="Times New Roman"/>
        <family val="1"/>
      </rPr>
      <t xml:space="preserve">obs.2: </t>
    </r>
    <r>
      <rPr>
        <sz val="10"/>
        <rFont val="Times New Roman"/>
        <family val="1"/>
      </rPr>
      <t>o valor anual é tomado como sendo o valor apurado em dezembro de cada ano, com resultados de 2001-2014 conforme BHTRANS(2015k; 2015m); de 2014-2015 conforme BHTRANS(2016z)</t>
    </r>
  </si>
  <si>
    <r>
      <t xml:space="preserve">n.º de vagas físicas para veículos da categoria "Facc"
</t>
    </r>
    <r>
      <rPr>
        <b/>
        <sz val="10"/>
        <rFont val="Times New Roman"/>
        <family val="1"/>
      </rPr>
      <t xml:space="preserve">obs.: </t>
    </r>
    <r>
      <rPr>
        <sz val="10"/>
        <rFont val="Times New Roman"/>
        <family val="1"/>
      </rPr>
      <t>o valor anual é tomado como sendo o valor apurado em dezembro de cada ano, com resultados de 2001-2014 conforme BHTRANS(2015k; 2015m); de 2014-2015 conforme BHTRANS(2016z)</t>
    </r>
  </si>
  <si>
    <r>
      <t xml:space="preserve">n.º de vagas rotativas
</t>
    </r>
    <r>
      <rPr>
        <b/>
        <sz val="10"/>
        <rFont val="Times New Roman"/>
        <family val="1"/>
      </rPr>
      <t xml:space="preserve">obs.: </t>
    </r>
    <r>
      <rPr>
        <sz val="10"/>
        <rFont val="Times New Roman"/>
        <family val="1"/>
      </rPr>
      <t>o valor anual é tomado como sendo o valor apurado em dezembro de cada ano, com resultados de 2001-2014 conforme BHTRANS(2015k; 2015m); de 2014-2015 conforme BHTRANS(2016z)</t>
    </r>
  </si>
  <si>
    <t>rotatividade média no estacionamento rotativo (expressa em n.º de veículos estacionados por vaga)
obs.1: o "n.º de veículos diferentes estacionados" é o valor apurado em cada pesquisa, em determinado trecho e em determinado período; o "n.º de vagas físicas existentes" é o valor apurado no trecho pesquisado; o "n.º de pesquisas realizadas" é o valor apurado em todos os trechos de um mesmo período
obs.2: o valor anual é tomado como sendo o valor apurado em dezembro de cada ano, com resultados de 2001-2014 conforme BHTRANS(2015k; 2015m); de 2014-2015 conforme BHTRANS(2016z)</t>
  </si>
  <si>
    <t>ocupação média no estacionamento rotativo (expressa em % de vagas ocupadas)
obs.1: o "n.º de veículos estacionados" é o valor apurado em cada pesquisa, em determinado trecho e em determinado período; o "n.º de vagas físicas existentes" é o valor apurado no trecho pesquisado; o "n.º de pesquisas realizadas" é o valor apurado em todos os trechos de um mesmo período
obs.2: o valor anual é tomado como sendo o valor apurado em dezembro de cada ano, com resultados de 2001-2014 conforme BHTRANS(2015k; 2015m); de 2014-2015 conforme BHTRANS(2016z)</t>
  </si>
  <si>
    <r>
      <t xml:space="preserve">veículos infratores no estacionamento rotativo (expresso em %)
</t>
    </r>
    <r>
      <rPr>
        <b/>
        <sz val="10"/>
        <rFont val="Times New Roman"/>
        <family val="1"/>
      </rPr>
      <t xml:space="preserve">obs.1: </t>
    </r>
    <r>
      <rPr>
        <sz val="10"/>
        <rFont val="Times New Roman"/>
        <family val="1"/>
      </rPr>
      <t>indicador denominado pela ANTP como "IER"</t>
    </r>
    <r>
      <rPr>
        <i/>
        <sz val="10"/>
        <rFont val="Times New Roman"/>
        <family val="1"/>
      </rPr>
      <t xml:space="preserve">
</t>
    </r>
    <r>
      <rPr>
        <b/>
        <sz val="10"/>
        <rFont val="Times New Roman"/>
        <family val="1"/>
      </rPr>
      <t>obs.2:</t>
    </r>
    <r>
      <rPr>
        <sz val="10"/>
        <rFont val="Times New Roman"/>
        <family val="1"/>
      </rPr>
      <t xml:space="preserve"> o "n.º de veículos infratores" é o valor apurado em cada pesquisa, em determinado trecho e em determinado período; o "n.º de veículos estacionados" é o valor apurado no trecho pesquisado; o "n.º de pesquisas realizadas" é o valor apurado em todos os trechos de um mesmo período
</t>
    </r>
    <r>
      <rPr>
        <b/>
        <sz val="10"/>
        <rFont val="Times New Roman"/>
        <family val="1"/>
      </rPr>
      <t xml:space="preserve">obs.3: </t>
    </r>
    <r>
      <rPr>
        <sz val="10"/>
        <rFont val="Times New Roman"/>
        <family val="1"/>
      </rPr>
      <t>o valor anual é tomado como sendo o valor apurado em dezembro de cada ano, com resultados de 2001-2014 conforme BHTRANS(2015k; 2015m); de 2014-2015 conforme BHTRANS(2016z)</t>
    </r>
  </si>
  <si>
    <t>média de veículos estacionados nos quarteirões regulamentados como estacionamento rotativo (expressa em n.º de veículos/dia)
obs.1: o "n.º de veículos estacionados" é o valor apurado em cada pesquisa, em determinado trecho e em determinado período; o "n.º de pesquisas realizadas" é o valor apurado em todos os trechos de um mesmo período
obs.2: o valor anual é tomado como sendo o valor apurado em dezembro de cada ano, com resultados de 2001-2014 conforme BHTRANS(2015k; 2015m); de 2014-2015 conforme BHTRANS(2016z)</t>
  </si>
  <si>
    <t xml:space="preserve">n.º de credenciais para pessoa com deficiência para cada vaga física reservada para uso exclusivo de pessoa com deficiência </t>
  </si>
  <si>
    <r>
      <rPr>
        <b/>
        <sz val="12"/>
        <color theme="1"/>
        <rFont val="Times New Roman"/>
        <family val="1"/>
      </rPr>
      <t xml:space="preserve">DUTRA(2009): </t>
    </r>
    <r>
      <rPr>
        <sz val="12"/>
        <color theme="1"/>
        <rFont val="Times New Roman"/>
        <family val="1"/>
      </rPr>
      <t xml:space="preserve">DUTRA, Cristiane Biazzono; VECCHIATTI, Simone de Oliveira Fernandes. “Calçada para todos” - um programa de acessibilidade para a cidade de Londrina. </t>
    </r>
    <r>
      <rPr>
        <i/>
        <sz val="12"/>
        <color theme="1"/>
        <rFont val="Times New Roman"/>
        <family val="1"/>
      </rPr>
      <t>Revista dos Transportes Públicos - ANTP</t>
    </r>
    <r>
      <rPr>
        <sz val="12"/>
        <color theme="1"/>
        <rFont val="Times New Roman"/>
        <family val="1"/>
      </rPr>
      <t>, ano 31, n.121, p.111-123, 1º quadrimestre 2009.</t>
    </r>
  </si>
  <si>
    <r>
      <t xml:space="preserve">logomarca adotada em programa de acessibilidade da Prefeitura de Londrina/PR 
</t>
    </r>
    <r>
      <rPr>
        <b/>
        <sz val="10"/>
        <rFont val="Times New Roman"/>
        <family val="1"/>
      </rPr>
      <t xml:space="preserve">obs.1: </t>
    </r>
    <r>
      <rPr>
        <sz val="10"/>
        <rFont val="Times New Roman"/>
        <family val="1"/>
      </rPr>
      <t xml:space="preserve">programa analisado em DUTRA(2009); logomarca citada em OLIVEIRA(2014, p.81)
</t>
    </r>
    <r>
      <rPr>
        <b/>
        <sz val="10"/>
        <rFont val="Times New Roman"/>
        <family val="1"/>
      </rPr>
      <t xml:space="preserve">obs.2: </t>
    </r>
    <r>
      <rPr>
        <sz val="10"/>
        <rFont val="Times New Roman"/>
        <family val="1"/>
      </rPr>
      <t>acesse o verbete "para todos"</t>
    </r>
  </si>
  <si>
    <r>
      <t xml:space="preserve">frota em n.º de ônibus de todo o sistema de transporte coletivo de Belo Horizonte (convencional e suplementar) que tenham chassis fabricado a partir de 2009 (inclusive) e que não operam em plataformas elevadas (o embarque/desembarque nunca acontece em nível e pessoas em pé podem utilizar o elevador para embarque/desembarque caso se sintam seguras e o operador permita)
</t>
    </r>
    <r>
      <rPr>
        <b/>
        <sz val="10"/>
        <rFont val="Times New Roman"/>
        <family val="1"/>
      </rPr>
      <t>obs.:</t>
    </r>
    <r>
      <rPr>
        <sz val="10"/>
        <rFont val="Times New Roman"/>
        <family val="1"/>
      </rPr>
      <t xml:space="preserve"> esta categoria recebe </t>
    </r>
    <r>
      <rPr>
        <sz val="10"/>
        <color rgb="FFFF0000"/>
        <rFont val="Times New Roman"/>
        <family val="1"/>
      </rPr>
      <t>peso 3</t>
    </r>
    <r>
      <rPr>
        <sz val="10"/>
        <rFont val="Times New Roman"/>
        <family val="1"/>
      </rPr>
      <t>, numa escala de 1 a 10, na classificação definida pelo SisMob-BH para classificar a acessibilidade - acesse "acessibilidade em ônibus urbano (escala)"</t>
    </r>
    <r>
      <rPr>
        <b/>
        <sz val="10"/>
        <rFont val="Times New Roman"/>
        <family val="1"/>
      </rPr>
      <t/>
    </r>
  </si>
  <si>
    <t>F tcc eh ecp + F tcs eh ecp</t>
  </si>
  <si>
    <t>F tcc nac + F tcs nac</t>
  </si>
  <si>
    <t>em nível exclusivo s/desenho universal</t>
  </si>
  <si>
    <t>com desenho universal</t>
  </si>
  <si>
    <r>
      <rPr>
        <b/>
        <sz val="12"/>
        <color theme="1"/>
        <rFont val="Times New Roman"/>
        <family val="1"/>
      </rPr>
      <t>BHTRANS(2016w):</t>
    </r>
    <r>
      <rPr>
        <sz val="12"/>
        <color theme="1"/>
        <rFont val="Times New Roman"/>
        <family val="1"/>
      </rPr>
      <t xml:space="preserve"> EMPRESA DE TRANSPORTES E TRÂNSITO DE BELO HORIZONTE S.A - BHTRANS. Gerência de Atendimento ao Usuário - Geatu/SRTP/DTP. </t>
    </r>
    <r>
      <rPr>
        <i/>
        <sz val="12"/>
        <color theme="1"/>
        <rFont val="Times New Roman"/>
        <family val="1"/>
      </rPr>
      <t>Relatório GEATU 2015.</t>
    </r>
    <r>
      <rPr>
        <sz val="12"/>
        <color theme="1"/>
        <rFont val="Times New Roman"/>
        <family val="1"/>
      </rPr>
      <t xml:space="preserve"> Belo Horizonte, [16 mar. 2016]. 58p.</t>
    </r>
  </si>
  <si>
    <r>
      <t xml:space="preserve">n.º de credenciais para utilização de estacionamento reservado por pessoa com deficiência física
</t>
    </r>
    <r>
      <rPr>
        <b/>
        <sz val="10"/>
        <color theme="1"/>
        <rFont val="Times New Roman"/>
        <family val="1"/>
      </rPr>
      <t xml:space="preserve">obs.: </t>
    </r>
    <r>
      <rPr>
        <sz val="10"/>
        <color theme="1"/>
        <rFont val="Times New Roman"/>
        <family val="1"/>
      </rPr>
      <t>resultados de 2003-2014 conforme BHTRANS(2015j); de 2015 conforme BHTRANS(2016w, p.45)</t>
    </r>
  </si>
  <si>
    <r>
      <t xml:space="preserve">n.º de credenciais para utilização de estacionamento reservado por pessoa com deficiência visual
</t>
    </r>
    <r>
      <rPr>
        <b/>
        <sz val="10"/>
        <color theme="1"/>
        <rFont val="Times New Roman"/>
        <family val="1"/>
      </rPr>
      <t xml:space="preserve">obs.: </t>
    </r>
    <r>
      <rPr>
        <sz val="10"/>
        <color theme="1"/>
        <rFont val="Times New Roman"/>
        <family val="1"/>
      </rPr>
      <t>resultados de 2003-2014 conforme BHTRANS(2015j); de 2015 conforme BHTRANS(2016w, p.45)</t>
    </r>
  </si>
  <si>
    <t>sigla ou nome do registro</t>
  </si>
  <si>
    <r>
      <rPr>
        <b/>
        <sz val="12"/>
        <rFont val="Times New Roman"/>
        <family val="1"/>
      </rPr>
      <t>BHTRANS(2015z):</t>
    </r>
    <r>
      <rPr>
        <sz val="12"/>
        <rFont val="Times New Roman"/>
        <family val="1"/>
      </rPr>
      <t xml:space="preserve"> EMPRESA DE TRANSPORTES E TRÂNSITO DE BELO HORIZONTE S.A - BHTRANS.</t>
    </r>
    <r>
      <rPr>
        <i/>
        <sz val="12"/>
        <rFont val="Times New Roman"/>
        <family val="1"/>
      </rPr>
      <t xml:space="preserve"> 4ª Reunião do Observatório da Mobilidade Urbana de BH</t>
    </r>
    <r>
      <rPr>
        <sz val="12"/>
        <rFont val="Times New Roman"/>
        <family val="1"/>
      </rPr>
      <t>. Belo Horizonte: BHTrans, novembro 2015 (convite e programação). Disponível em: &lt;http://www.bhtrans.pbh.gov.br/portal/page/portal/portalpublico/Temas/ObservatorioMobilidade/FiquePorDentro/4%C2%AA%20Reuni%C3%A3o%20do%20Observat%C3%B3rio%20da%20Mobilidade%20Urbana&gt;. Acesso em 25 maio 2016.</t>
    </r>
  </si>
  <si>
    <r>
      <t xml:space="preserve">veículos com operação diferente em cada um dos lados: do lado esquerdo operação em corredor de BRT com plataforma elevada e embarque/desembarque em nível com o apoio ou não de plataforma manual em uma das portas; do lado direito operação em vias comuns fora do corredor de BRT, equipados com elevador hidráulico em uma das portas que permite embarque/desembarque exclusivo de cadeirante [esta categoria de BRT misto também recebe veículos de piso alto que, em determinadas viagens, operam fora de estações com plataforma elevada com, para permitir o desembarque com a utilização de escadas implantadas na calçada] 
</t>
    </r>
    <r>
      <rPr>
        <b/>
        <sz val="9"/>
        <rFont val="Times New Roman"/>
        <family val="1"/>
      </rPr>
      <t xml:space="preserve">obs.1: </t>
    </r>
    <r>
      <rPr>
        <sz val="9"/>
        <rFont val="Times New Roman"/>
        <family val="1"/>
      </rPr>
      <t>para informações e resultados de municípios/regiões já incorporados ao SisMob-BH acesse "F tc BRTmisto eh ec" (Bogotá e Quito)</t>
    </r>
    <r>
      <rPr>
        <b/>
        <sz val="10"/>
        <rFont val="Times New Roman"/>
        <family val="1"/>
      </rPr>
      <t/>
    </r>
  </si>
  <si>
    <r>
      <t xml:space="preserve">veículos com operação diferente em cada um dos lados: do lado esquerdo operação em corredor de BRT com plataforma elevada e embarque/desembarque em nível com o apoio de plataforma manual em uma das portas; do lado direito operação em vias comuns fora do corredor de BRT, equipados com elevador hidráulico em uma das portas que permite embarque/desembarque não exclusivo de usuários cadeirantes (pessoas em pé podem utilizar o equipamento caso se sintam seguras e o operador permita)
</t>
    </r>
    <r>
      <rPr>
        <b/>
        <sz val="9"/>
        <rFont val="Times New Roman"/>
        <family val="1"/>
      </rPr>
      <t xml:space="preserve">obs.: </t>
    </r>
    <r>
      <rPr>
        <sz val="9"/>
        <rFont val="Times New Roman"/>
        <family val="1"/>
      </rPr>
      <t>para informações e resultados de municípios/regiões já incorporados ao SisMob-BH acesse "F tc BRTmisto eh ecp" (Belo Horizonte)</t>
    </r>
  </si>
  <si>
    <r>
      <rPr>
        <b/>
        <sz val="12"/>
        <color theme="1"/>
        <rFont val="Times New Roman"/>
        <family val="1"/>
      </rPr>
      <t xml:space="preserve">BRASIL(1985a): </t>
    </r>
    <r>
      <rPr>
        <sz val="12"/>
        <color theme="1"/>
        <rFont val="Times New Roman"/>
        <family val="1"/>
      </rPr>
      <t>BRASIL.</t>
    </r>
    <r>
      <rPr>
        <i/>
        <sz val="12"/>
        <color theme="1"/>
        <rFont val="Times New Roman"/>
        <family val="1"/>
      </rPr>
      <t xml:space="preserve"> Lei n.º 7.405, de 12 de novembro de 1985. Torna obrigatória a colocação do "Símbolo Internacional de Acesso” em todos os locais e serviços que permitam sua utilização por pessoas portadoras de deficiência e dá outras providências.</t>
    </r>
    <r>
      <rPr>
        <sz val="12"/>
        <color theme="1"/>
        <rFont val="Times New Roman"/>
        <family val="1"/>
      </rPr>
      <t xml:space="preserve"> Brasília, 12 de novembro de 1988. Versão consolidada disponível em [extraído de]: &lt;http://www.planalto.gov.br/ccivil_03/leis/1980-1988/L7405.htm&gt;. Acesso em: 23 maio 2016.</t>
    </r>
  </si>
  <si>
    <r>
      <rPr>
        <b/>
        <sz val="12"/>
        <rFont val="Times New Roman"/>
        <family val="1"/>
      </rPr>
      <t xml:space="preserve">BH(2003c/d/e): </t>
    </r>
    <r>
      <rPr>
        <sz val="12"/>
        <rFont val="Times New Roman"/>
        <family val="1"/>
      </rPr>
      <t xml:space="preserve">BELO HORIZONTE. Secretaria Municipal de Direitos de Cidadania. Conselho Municipal da Pessoa Portadora de Deficiência - CMPPD/BH. </t>
    </r>
    <r>
      <rPr>
        <i/>
        <sz val="12"/>
        <rFont val="Times New Roman"/>
        <family val="1"/>
      </rPr>
      <t>OF.CMPPD 20/03, de 28 de abril de 2003; OF.CMPPD/BH 13/03, de 31 de março de 2003; Percepção [relatório] dos cadeirantes sobre o ônibus de piso baixo</t>
    </r>
    <r>
      <rPr>
        <sz val="12"/>
        <rFont val="Times New Roman"/>
        <family val="1"/>
      </rPr>
      <t>. 28 abr. 2003; 31 mar. 2003; 26 maio 2003.</t>
    </r>
  </si>
  <si>
    <r>
      <rPr>
        <b/>
        <sz val="12"/>
        <color theme="1"/>
        <rFont val="Times New Roman"/>
        <family val="1"/>
      </rPr>
      <t xml:space="preserve">PNUD(2015): </t>
    </r>
    <r>
      <rPr>
        <sz val="12"/>
        <color theme="1"/>
        <rFont val="Times New Roman"/>
        <family val="1"/>
      </rPr>
      <t xml:space="preserve">PROGRAMA DAS NAÇÕES UNIDAS PARA O DESENVOLVIMENTO - PNUD. </t>
    </r>
    <r>
      <rPr>
        <i/>
        <sz val="12"/>
        <color theme="1"/>
        <rFont val="Times New Roman"/>
        <family val="1"/>
      </rPr>
      <t>Acompanhando a agenda 2030 para o desenvolvimento sustentável</t>
    </r>
    <r>
      <rPr>
        <sz val="12"/>
        <color theme="1"/>
        <rFont val="Times New Roman"/>
        <family val="1"/>
      </rPr>
      <t>: subsídios iniciais do Sistema das Nações Unidas no Brasil sobre a identificação de indicadores nacionais referentes aos objetivos de desenvolvimento sustentável. Brasília: Pnud, 2015. 291p.</t>
    </r>
  </si>
  <si>
    <t>desenho universal
(RPI tc 2)</t>
  </si>
  <si>
    <t>desenho universal
(RPI tc 1)</t>
  </si>
  <si>
    <t>EV acb
(%)</t>
  </si>
  <si>
    <r>
      <t xml:space="preserve">rede viária (em km) com inclinação entre 0% e 4% considerada acessível para bicicletas em Lisboa/Portugal
</t>
    </r>
    <r>
      <rPr>
        <b/>
        <sz val="10"/>
        <color theme="1"/>
        <rFont val="Times New Roman"/>
        <family val="1"/>
      </rPr>
      <t xml:space="preserve">obs.: </t>
    </r>
    <r>
      <rPr>
        <sz val="10"/>
        <color theme="1"/>
        <rFont val="Times New Roman"/>
        <family val="1"/>
      </rPr>
      <t>resultado de 2015 conforme LISBOA (2015a)</t>
    </r>
  </si>
  <si>
    <r>
      <t xml:space="preserve">extensão total do sistema viário (em km) de Lisboa (Portugal)
</t>
    </r>
    <r>
      <rPr>
        <b/>
        <sz val="10"/>
        <color theme="1"/>
        <rFont val="Times New Roman"/>
        <family val="1"/>
      </rPr>
      <t xml:space="preserve">obs.1: </t>
    </r>
    <r>
      <rPr>
        <sz val="10"/>
        <color theme="1"/>
        <rFont val="Times New Roman"/>
        <family val="1"/>
      </rPr>
      <t xml:space="preserve">"A partir da principal característica geográfica de Lisboa, que lhe rende o apelido de 'cidade das 7 colinas', o escritório de arquitetura e paisagismo BXLX propôs uma rede de ciclovias acessíveis e planas inspirada em um sistema de metrô. Para isso, foi realizado um estudo topográfico que permitiu classificar as ruas da cidade em: horizontais (com inclinação entre 0 e 4%); recomendadas para distâncias curtas (com inclinação entre 5% e 6%); e as menos acessíveis (com inclinação superior a 7%)." conforme LISBOA (2015b)
</t>
    </r>
    <r>
      <rPr>
        <b/>
        <sz val="10"/>
        <color theme="1"/>
        <rFont val="Times New Roman"/>
        <family val="1"/>
      </rPr>
      <t xml:space="preserve">obs.2: </t>
    </r>
    <r>
      <rPr>
        <sz val="10"/>
        <color theme="1"/>
        <rFont val="Times New Roman"/>
        <family val="1"/>
      </rPr>
      <t>resultado de 2015 conforme LISBOA (2015a)</t>
    </r>
  </si>
  <si>
    <r>
      <rPr>
        <b/>
        <sz val="12"/>
        <color theme="1"/>
        <rFont val="Times New Roman"/>
        <family val="1"/>
      </rPr>
      <t xml:space="preserve">LISBOA(2015b): </t>
    </r>
    <r>
      <rPr>
        <sz val="12"/>
        <color theme="1"/>
        <rFont val="Times New Roman"/>
        <family val="1"/>
      </rPr>
      <t>LISBOA HORIZONTAL, uma rede de ciclovias planas para uma cidade de colinas. 16 out. 2015. Disponível em: &lt;http://www.archdaily.com.br/br/764971/video-lisboa-horizontal-uma-rede-de-ciclovias-planas-para-uma-cidade-de-colinas&gt;. Acesso em: 16 ago. 2016. [Por: Constanza Martínez Gaete. Tradução de: Romullo Baratto]</t>
    </r>
  </si>
  <si>
    <r>
      <rPr>
        <b/>
        <sz val="12"/>
        <color theme="1"/>
        <rFont val="Times New Roman"/>
        <family val="1"/>
      </rPr>
      <t xml:space="preserve">ECONOMIST(2014): </t>
    </r>
    <r>
      <rPr>
        <sz val="12"/>
        <color theme="1"/>
        <rFont val="Times New Roman"/>
        <family val="1"/>
      </rPr>
      <t xml:space="preserve">ECONOMIST, THE. </t>
    </r>
    <r>
      <rPr>
        <i/>
        <sz val="12"/>
        <color theme="1"/>
        <rFont val="Times New Roman"/>
        <family val="1"/>
      </rPr>
      <t>A Summary of the Liveability Ranking and Overview</t>
    </r>
    <r>
      <rPr>
        <sz val="12"/>
        <color theme="1"/>
        <rFont val="Times New Roman"/>
        <family val="1"/>
      </rPr>
      <t>. London:  The Economist Intelligence Unit Ltd., August 2014. 13p. Disponível em: &lt;http://pages.eiu.com/rs/eiu2/images/Liveability_rankings_2014.pdf&gt;. Acesso em: 15 ago. 2016.</t>
    </r>
  </si>
  <si>
    <r>
      <rPr>
        <b/>
        <sz val="12"/>
        <color theme="1"/>
        <rFont val="Times New Roman"/>
        <family val="1"/>
      </rPr>
      <t>ECONOMIST(2015):</t>
    </r>
    <r>
      <rPr>
        <sz val="12"/>
        <color theme="1"/>
        <rFont val="Times New Roman"/>
        <family val="1"/>
      </rPr>
      <t xml:space="preserve"> ECONOMIST, THE. </t>
    </r>
    <r>
      <rPr>
        <i/>
        <sz val="12"/>
        <color theme="1"/>
        <rFont val="Times New Roman"/>
        <family val="1"/>
      </rPr>
      <t>A Summary of the Liveability Ranking and Overview</t>
    </r>
    <r>
      <rPr>
        <sz val="12"/>
        <color theme="1"/>
        <rFont val="Times New Roman"/>
        <family val="1"/>
      </rPr>
      <t>. London:  The Economist Intelligence Unit Ltd., August 2015. 13p. Disponível em: &lt;http://www.vancouvereconomic.com/wp-content/uploads/2015/08/EIU-Liveability-Ranking-Aug-2015.pdf&gt;. Acesso em: 15 ago. 2016.</t>
    </r>
  </si>
  <si>
    <r>
      <rPr>
        <b/>
        <sz val="12"/>
        <color theme="1"/>
        <rFont val="Times New Roman"/>
        <family val="1"/>
      </rPr>
      <t>EMTA(2012):</t>
    </r>
    <r>
      <rPr>
        <sz val="12"/>
        <color theme="1"/>
        <rFont val="Times New Roman"/>
        <family val="1"/>
      </rPr>
      <t xml:space="preserve"> EUROPEAN METROPOLITAN TRANSPORT AUTHORITIES - EMTA. </t>
    </r>
    <r>
      <rPr>
        <i/>
        <sz val="12"/>
        <color theme="1"/>
        <rFont val="Times New Roman"/>
        <family val="1"/>
      </rPr>
      <t>EMTA Barometer of Public Transport in the European Metropolitan Areas in 2009</t>
    </r>
    <r>
      <rPr>
        <sz val="12"/>
        <color theme="1"/>
        <rFont val="Times New Roman"/>
        <family val="1"/>
      </rPr>
      <t>. February, 2012. 57p. Disponível em: &lt;http://www.emta.com/IMG/pdf/barometer_report_2012_data_2009_.pdf&gt;. Acesso em: 08/07/2016.</t>
    </r>
  </si>
  <si>
    <r>
      <rPr>
        <b/>
        <sz val="12"/>
        <color theme="1"/>
        <rFont val="Times New Roman"/>
        <family val="1"/>
      </rPr>
      <t xml:space="preserve">EMTA(2014): </t>
    </r>
    <r>
      <rPr>
        <sz val="12"/>
        <color theme="1"/>
        <rFont val="Times New Roman"/>
        <family val="1"/>
      </rPr>
      <t xml:space="preserve">EUROPEAN METROPOLITAN TRANSPORT AUTHORITIES - EMTA. </t>
    </r>
    <r>
      <rPr>
        <i/>
        <sz val="12"/>
        <color theme="1"/>
        <rFont val="Times New Roman"/>
        <family val="1"/>
      </rPr>
      <t>2014 Barometer</t>
    </r>
    <r>
      <rPr>
        <sz val="12"/>
        <color theme="1"/>
        <rFont val="Times New Roman"/>
        <family val="1"/>
      </rPr>
      <t>. s.d. [30p.] Disponível em: &lt;http://www.emta.com/IMG/pdf/2014_barometer_brochure.pdf&gt;. Acesso em: 08/07/2016.</t>
    </r>
  </si>
  <si>
    <t>habitabilidade</t>
  </si>
  <si>
    <t>liveability</t>
  </si>
  <si>
    <t>liveability ranking</t>
  </si>
  <si>
    <r>
      <t xml:space="preserve">expressão em língua inglesa traduzida no SisMob-BH como "escala de habitabilidade"
</t>
    </r>
    <r>
      <rPr>
        <b/>
        <sz val="10"/>
        <rFont val="Times New Roman"/>
        <family val="1"/>
      </rPr>
      <t xml:space="preserve">obs.: </t>
    </r>
    <r>
      <rPr>
        <sz val="10"/>
        <rFont val="Times New Roman"/>
        <family val="1"/>
      </rPr>
      <t>acesse "habitabilidade"</t>
    </r>
  </si>
  <si>
    <r>
      <t xml:space="preserve">expressão em língua inglesa traduzida no SisMob-BH como "habitabilidade"
</t>
    </r>
    <r>
      <rPr>
        <b/>
        <sz val="10"/>
        <rFont val="Times New Roman"/>
        <family val="1"/>
      </rPr>
      <t xml:space="preserve">obs.: </t>
    </r>
    <r>
      <rPr>
        <sz val="10"/>
        <rFont val="Times New Roman"/>
        <family val="1"/>
      </rPr>
      <t>acesse "habitabilidade"</t>
    </r>
  </si>
  <si>
    <t>liveability score</t>
  </si>
  <si>
    <t>índice de habitabilidade</t>
  </si>
  <si>
    <t>acesse "habitabilidade"</t>
  </si>
  <si>
    <r>
      <t xml:space="preserve">expressão em língua inglesa traduzida no SisMob-BH como "índice de habitabilidade" ou simplesmente "habitabilidade"
</t>
    </r>
    <r>
      <rPr>
        <b/>
        <sz val="10"/>
        <rFont val="Times New Roman"/>
        <family val="1"/>
      </rPr>
      <t>obs.1: "</t>
    </r>
    <r>
      <rPr>
        <sz val="10"/>
        <rFont val="Times New Roman"/>
        <family val="1"/>
      </rPr>
      <t xml:space="preserve">The liveability score is reached through category weights, which are equally divided into relevant subcategories to ensure that the score covers as many indicators as possible. Indicators are scored as acceptable, tolerable, uncomfortable, undesirable or intolerable. These are then weighted to produce a rating, where 100 means that liveability in a city is ideal and 1 means that it is intolerable." conforme ECONOMIST(2014, p.5)
</t>
    </r>
    <r>
      <rPr>
        <b/>
        <sz val="10"/>
        <rFont val="Times New Roman"/>
        <family val="1"/>
      </rPr>
      <t xml:space="preserve">obs.2: </t>
    </r>
    <r>
      <rPr>
        <sz val="10"/>
        <rFont val="Times New Roman"/>
        <family val="1"/>
      </rPr>
      <t>acesse "habitabilidade"</t>
    </r>
  </si>
  <si>
    <r>
      <t xml:space="preserve">índice de habitabilidade, que tem como um de seus cinco componentes a "infraestutura" da cidade (que, por sua vez, tem como um de seus sete componentes a "qualidade do transporte público" como indicador qualitativo) 
</t>
    </r>
    <r>
      <rPr>
        <b/>
        <sz val="10"/>
        <rFont val="Times New Roman"/>
        <family val="1"/>
      </rPr>
      <t>obs.1:</t>
    </r>
    <r>
      <rPr>
        <sz val="10"/>
        <rFont val="Times New Roman"/>
        <family val="1"/>
      </rPr>
      <t xml:space="preserve"> "The concept of liveability is simple: it assesses which locations around the world provide the best or the worst living conditions. Assessing liveability has a broad range of uses, from benchmarking perceptions of development levels to assigning a hardship allowance as part of expatriate relocation packages." conforme ECONOMIST(2014, p.1)
</t>
    </r>
    <r>
      <rPr>
        <b/>
        <sz val="10"/>
        <rFont val="Times New Roman"/>
        <family val="1"/>
      </rPr>
      <t>obs.2:</t>
    </r>
    <r>
      <rPr>
        <sz val="10"/>
        <rFont val="Times New Roman"/>
        <family val="1"/>
      </rPr>
      <t xml:space="preserve"> "Every city is assigned a rating of relative comfort for over 30 qualitative and quantitative factors across
five broad categories: stability; healthcare; culture and environment; education; and infrastructure.
Each factor in a city is rated as acceptable, tolerable, uncomfortable, undesirable or intolerable. For
quali¬tative indicators, a rating is awarded based on the judgment of in-house analysts and in-city
contributors. For quantitative indicators, a rating is calcul¬ated based on the relative performance of a
number of external data points." conforme ECONOMIST(2014, p.5)
</t>
    </r>
    <r>
      <rPr>
        <b/>
        <sz val="10"/>
        <rFont val="Times New Roman"/>
        <family val="1"/>
      </rPr>
      <t>obs.3:</t>
    </r>
    <r>
      <rPr>
        <sz val="10"/>
        <rFont val="Times New Roman"/>
        <family val="1"/>
      </rPr>
      <t xml:space="preserve"> acesse "liveability ranking", "liveability score"</t>
    </r>
  </si>
  <si>
    <t>benchmarking SisMob-BH M4</t>
  </si>
  <si>
    <t>Melbourne</t>
  </si>
  <si>
    <t>Sidney</t>
  </si>
  <si>
    <t>Perth</t>
  </si>
  <si>
    <t xml:space="preserve">Melbourne </t>
  </si>
  <si>
    <r>
      <t xml:space="preserve">cidade da Austrália incluída em pelo menos uma das categorias de "benchmarking SisMob-BH"
</t>
    </r>
    <r>
      <rPr>
        <b/>
        <sz val="10"/>
        <color theme="1"/>
        <rFont val="Times New Roman"/>
        <family val="1"/>
      </rPr>
      <t xml:space="preserve">obs.: </t>
    </r>
    <r>
      <rPr>
        <sz val="10"/>
        <color theme="1"/>
        <rFont val="Times New Roman"/>
        <family val="1"/>
      </rPr>
      <t xml:space="preserve">classificada como n.º 7 no ranking 2014 de "habitabilidade" do </t>
    </r>
    <r>
      <rPr>
        <i/>
        <sz val="10"/>
        <color theme="1"/>
        <rFont val="Times New Roman"/>
        <family val="1"/>
      </rPr>
      <t>The Economist</t>
    </r>
    <r>
      <rPr>
        <sz val="10"/>
        <color theme="1"/>
        <rFont val="Times New Roman"/>
        <family val="1"/>
      </rPr>
      <t>, tendo recebido nota máxima no componente "infraestrutura" (que, por conseguinte, significa ter recebido nota máxima em "qualidade do transporte público"</t>
    </r>
  </si>
  <si>
    <r>
      <t xml:space="preserve">cidade da Austrália incluída em pelo menos uma das categorias de "benchmarking SisMob-BH"
obs.: classificada como n.º 1 no ranking 2014 de "habitabilidade" do </t>
    </r>
    <r>
      <rPr>
        <i/>
        <sz val="10"/>
        <color theme="1"/>
        <rFont val="Times New Roman"/>
        <family val="1"/>
      </rPr>
      <t>The Economist</t>
    </r>
    <r>
      <rPr>
        <sz val="10"/>
        <color theme="1"/>
        <rFont val="Times New Roman"/>
        <family val="1"/>
      </rPr>
      <t>, tendo recebido nota máxima no componente "infraestrutura" (que, por conseguinte, significa ter recebido nota máxima em "qualidade do transporte público"</t>
    </r>
  </si>
  <si>
    <r>
      <t xml:space="preserve">cidade da Austrália incluída em pelo menos uma das categorias de "benchmarking SisMob-BH"
</t>
    </r>
    <r>
      <rPr>
        <b/>
        <sz val="10"/>
        <color theme="1"/>
        <rFont val="Times New Roman"/>
        <family val="1"/>
      </rPr>
      <t xml:space="preserve">obs.: </t>
    </r>
    <r>
      <rPr>
        <sz val="10"/>
        <color theme="1"/>
        <rFont val="Times New Roman"/>
        <family val="1"/>
      </rPr>
      <t xml:space="preserve">classificada como n.º 9 no ranking 2014 de "habitabilidade" do </t>
    </r>
    <r>
      <rPr>
        <i/>
        <sz val="10"/>
        <color theme="1"/>
        <rFont val="Times New Roman"/>
        <family val="1"/>
      </rPr>
      <t>The Economist</t>
    </r>
    <r>
      <rPr>
        <sz val="10"/>
        <color theme="1"/>
        <rFont val="Times New Roman"/>
        <family val="1"/>
      </rPr>
      <t>, tendo recebido nota máxima no componente "infraestrutura" (que, por conseguinte, significa ter recebido nota máxima em "qualidade do transporte público"</t>
    </r>
  </si>
  <si>
    <t>Turfu</t>
  </si>
  <si>
    <t>Salzburgo</t>
  </si>
  <si>
    <t>Posnânia</t>
  </si>
  <si>
    <r>
      <t xml:space="preserve">cidade da Espanha incluída em pelo menos uma das categorias de "benchmarking SisMob-BH"
</t>
    </r>
    <r>
      <rPr>
        <b/>
        <sz val="10"/>
        <rFont val="Times New Roman"/>
        <family val="1"/>
      </rPr>
      <t>obs.1:</t>
    </r>
    <r>
      <rPr>
        <sz val="10"/>
        <rFont val="Times New Roman"/>
        <family val="1"/>
      </rPr>
      <t xml:space="preserve"> cidade premiada no "Access City Award 2015" (a premiação ___ [completar com informações do relatório])</t>
    </r>
    <r>
      <rPr>
        <b/>
        <sz val="10"/>
        <color theme="1"/>
        <rFont val="Times New Roman"/>
        <family val="1"/>
      </rPr>
      <t/>
    </r>
  </si>
  <si>
    <r>
      <t xml:space="preserve">cidade da Irlanda do Norte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2014"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</si>
  <si>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Espanha incluída em pelo menos uma das categorias de "benchmarking SisMob-BH"
</t>
    </r>
    <r>
      <rPr>
        <b/>
        <sz val="10"/>
        <color theme="1"/>
        <rFont val="Times New Roman"/>
        <family val="1"/>
      </rPr>
      <t>obs.1:</t>
    </r>
    <r>
      <rPr>
        <sz val="10"/>
        <color theme="1"/>
        <rFont val="Times New Roman"/>
        <family val="1"/>
      </rPr>
      <t xml:space="preserve"> cidade premiada no</t>
    </r>
    <r>
      <rPr>
        <i/>
        <sz val="10"/>
        <color theme="1"/>
        <rFont val="Times New Roman"/>
        <family val="1"/>
      </rPr>
      <t xml:space="preserve"> </t>
    </r>
    <r>
      <rPr>
        <sz val="10"/>
        <color theme="1"/>
        <rFont val="Times New Roman"/>
        <family val="1"/>
      </rPr>
      <t>"Access City Award 2010"</t>
    </r>
    <r>
      <rPr>
        <i/>
        <sz val="10"/>
        <color theme="1"/>
        <rFont val="Times New Roman"/>
        <family val="1"/>
      </rPr>
      <t xml:space="preserve"> </t>
    </r>
    <r>
      <rPr>
        <sz val="10"/>
        <color theme="1"/>
        <rFont val="Times New Roman"/>
        <family val="1"/>
      </rPr>
      <t>(</t>
    </r>
    <r>
      <rPr>
        <sz val="10"/>
        <color rgb="FFFF0000"/>
        <rFont val="Times New Roman"/>
        <family val="1"/>
      </rPr>
      <t>a premiação ___</t>
    </r>
    <r>
      <rPr>
        <sz val="10"/>
        <color theme="1"/>
        <rFont val="Times New Roman"/>
        <family val="1"/>
      </rPr>
      <t xml:space="preserve"> [completar com informações do relatório])
</t>
    </r>
    <r>
      <rPr>
        <b/>
        <sz val="10"/>
        <color theme="1"/>
        <rFont val="Times New Roman"/>
        <family val="1"/>
      </rPr>
      <t xml:space="preserve">obs.2: </t>
    </r>
    <r>
      <rPr>
        <sz val="10"/>
        <color theme="1"/>
        <rFont val="Times New Roman"/>
        <family val="1"/>
      </rPr>
      <t xml:space="preserve">cidade com frota 100% de ônibus piso baixo no </t>
    </r>
    <r>
      <rPr>
        <i/>
        <sz val="10"/>
        <color theme="1"/>
        <rFont val="Times New Roman"/>
        <family val="1"/>
      </rPr>
      <t xml:space="preserve">Eurobarometer 2012 </t>
    </r>
    <r>
      <rPr>
        <sz val="10"/>
        <color theme="1"/>
        <rFont val="Times New Roman"/>
        <family val="1"/>
      </rPr>
      <t>conforme EMTA(2012, p.37)</t>
    </r>
    <r>
      <rPr>
        <i/>
        <sz val="10"/>
        <color theme="1"/>
        <rFont val="Times New Roman"/>
        <family val="1"/>
      </rPr>
      <t xml:space="preserve">
</t>
    </r>
    <r>
      <rPr>
        <b/>
        <sz val="10"/>
        <color theme="1"/>
        <rFont val="Times New Roman"/>
        <family val="1"/>
      </rPr>
      <t>obs.3:</t>
    </r>
    <r>
      <rPr>
        <sz val="10"/>
        <color theme="1"/>
        <rFont val="Times New Roman"/>
        <family val="1"/>
      </rPr>
      <t xml:space="preserve"> cidade considerada "referência de meta" de acessibilidade pelo </t>
    </r>
    <r>
      <rPr>
        <i/>
        <sz val="10"/>
        <color theme="1"/>
        <rFont val="Times New Roman"/>
        <family val="1"/>
      </rPr>
      <t>Programa Cidades Sustentáveis</t>
    </r>
  </si>
  <si>
    <r>
      <t xml:space="preserve">cidade da Bélgica incluída em pelo menos uma das categorias de "benchmarking SisMob-BH"
</t>
    </r>
    <r>
      <rPr>
        <b/>
        <sz val="10"/>
        <color theme="1"/>
        <rFont val="Times New Roman"/>
        <family val="1"/>
      </rPr>
      <t xml:space="preserve">obs.: </t>
    </r>
    <r>
      <rPr>
        <sz val="10"/>
        <color theme="1"/>
        <rFont val="Times New Roman"/>
        <family val="1"/>
      </rPr>
      <t xml:space="preserve">cidade com frota 100% de ônibus piso baixo no </t>
    </r>
    <r>
      <rPr>
        <i/>
        <sz val="10"/>
        <color theme="1"/>
        <rFont val="Times New Roman"/>
        <family val="1"/>
      </rPr>
      <t xml:space="preserve">Eurobarometer 2012 </t>
    </r>
    <r>
      <rPr>
        <sz val="10"/>
        <color theme="1"/>
        <rFont val="Times New Roman"/>
        <family val="1"/>
      </rPr>
      <t>conforme EMTA(2012, p.37)</t>
    </r>
  </si>
  <si>
    <r>
      <t xml:space="preserve">cidade da Áustria incluída em pelo menos uma das categorias de "benchmarking SisMob-BH"
</t>
    </r>
    <r>
      <rPr>
        <b/>
        <sz val="10"/>
        <color theme="1"/>
        <rFont val="Times New Roman"/>
        <family val="1"/>
      </rPr>
      <t>obs.1:</t>
    </r>
    <r>
      <rPr>
        <sz val="10"/>
        <color theme="1"/>
        <rFont val="Times New Roman"/>
        <family val="1"/>
      </rPr>
      <t xml:space="preserve"> cidade com frota 100% de ônibus piso baixo no </t>
    </r>
    <r>
      <rPr>
        <i/>
        <sz val="10"/>
        <color theme="1"/>
        <rFont val="Times New Roman"/>
        <family val="1"/>
      </rPr>
      <t>Eurobarometer 2012</t>
    </r>
    <r>
      <rPr>
        <sz val="10"/>
        <color theme="1"/>
        <rFont val="Times New Roman"/>
        <family val="1"/>
      </rPr>
      <t xml:space="preserve">conforme EMTA(2012, p.37)
</t>
    </r>
    <r>
      <rPr>
        <b/>
        <sz val="10"/>
        <color theme="1"/>
        <rFont val="Times New Roman"/>
        <family val="1"/>
      </rPr>
      <t>obs.2:</t>
    </r>
    <r>
      <rPr>
        <sz val="10"/>
        <color theme="1"/>
        <rFont val="Times New Roman"/>
        <family val="1"/>
      </rPr>
      <t xml:space="preserve"> classificada como n.º 2 no ranking 2014 de "habitabilidade" do </t>
    </r>
    <r>
      <rPr>
        <i/>
        <sz val="10"/>
        <color theme="1"/>
        <rFont val="Times New Roman"/>
        <family val="1"/>
      </rPr>
      <t>The Economist</t>
    </r>
    <r>
      <rPr>
        <sz val="10"/>
        <color theme="1"/>
        <rFont val="Times New Roman"/>
        <family val="1"/>
      </rPr>
      <t>, tendo recebido nota máxima no componente "infraestrutura" (que, por conseguinte, significa ter recebido nota máxima em "qualidade do transporte público"</t>
    </r>
  </si>
  <si>
    <r>
      <t xml:space="preserve">cidade da Espanha incluída em pelo menos uma das categorias de "benchmarking SisMob-BH"
</t>
    </r>
    <r>
      <rPr>
        <b/>
        <sz val="10"/>
        <color theme="1"/>
        <rFont val="Times New Roman"/>
        <family val="1"/>
      </rPr>
      <t xml:space="preserve">obs.: </t>
    </r>
    <r>
      <rPr>
        <sz val="10"/>
        <color theme="1"/>
        <rFont val="Times New Roman"/>
        <family val="1"/>
      </rPr>
      <t xml:space="preserve">cidade com frota 100% de ônibus piso baixo no </t>
    </r>
    <r>
      <rPr>
        <i/>
        <sz val="10"/>
        <color theme="1"/>
        <rFont val="Times New Roman"/>
        <family val="1"/>
      </rPr>
      <t xml:space="preserve">Eurobarometer 2012 </t>
    </r>
    <r>
      <rPr>
        <sz val="10"/>
        <color theme="1"/>
        <rFont val="Times New Roman"/>
        <family val="1"/>
      </rPr>
      <t>conforme EMTA(2012, p.37)</t>
    </r>
  </si>
  <si>
    <r>
      <t xml:space="preserve">cidade da Inglaterra incluída em pelo menos uma das categorias de "benchmarking SisMob-BH"
</t>
    </r>
    <r>
      <rPr>
        <b/>
        <sz val="10"/>
        <color theme="1"/>
        <rFont val="Times New Roman"/>
        <family val="1"/>
      </rPr>
      <t xml:space="preserve">obs.: </t>
    </r>
    <r>
      <rPr>
        <sz val="10"/>
        <color theme="1"/>
        <rFont val="Times New Roman"/>
        <family val="1"/>
      </rPr>
      <t xml:space="preserve">cidade com frota 100% de ônibus piso baixo no </t>
    </r>
    <r>
      <rPr>
        <i/>
        <sz val="10"/>
        <color theme="1"/>
        <rFont val="Times New Roman"/>
        <family val="1"/>
      </rPr>
      <t xml:space="preserve">Eurobarometer 2012 </t>
    </r>
    <r>
      <rPr>
        <sz val="10"/>
        <color theme="1"/>
        <rFont val="Times New Roman"/>
        <family val="1"/>
      </rPr>
      <t>conforme EMTA(2012, p.37)</t>
    </r>
  </si>
  <si>
    <t>cidade da Espanha incluída em pelo menos uma das categorias de "benchmarking SisMob-BH"
obs.: cidade com frota 100% de ônibus piso baixo no Eurobarometer 2012 conforme EMTA(2012, p.37)</t>
  </si>
  <si>
    <r>
      <t xml:space="preserve">cidade da França incluída em pelo menos uma das categorias de "benchmarking SisMob-BH"
</t>
    </r>
    <r>
      <rPr>
        <b/>
        <sz val="10"/>
        <color theme="1"/>
        <rFont val="Times New Roman"/>
        <family val="1"/>
      </rPr>
      <t xml:space="preserve">obs.: </t>
    </r>
    <r>
      <rPr>
        <sz val="10"/>
        <color theme="1"/>
        <rFont val="Times New Roman"/>
        <family val="1"/>
      </rPr>
      <t xml:space="preserve">cidade com frota 100% de ônibus piso baixo no </t>
    </r>
    <r>
      <rPr>
        <i/>
        <sz val="10"/>
        <color theme="1"/>
        <rFont val="Times New Roman"/>
        <family val="1"/>
      </rPr>
      <t xml:space="preserve">Eurobarometer 2012 </t>
    </r>
    <r>
      <rPr>
        <sz val="10"/>
        <color theme="1"/>
        <rFont val="Times New Roman"/>
        <family val="1"/>
      </rPr>
      <t>conforme EMTA(2012, p.37)</t>
    </r>
  </si>
  <si>
    <r>
      <t xml:space="preserve">cidade da Espanha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2015</t>
    </r>
    <r>
      <rPr>
        <i/>
        <sz val="10"/>
        <color theme="1"/>
        <rFont val="Times New Roman"/>
        <family val="1"/>
      </rPr>
      <t>"</t>
    </r>
    <r>
      <rPr>
        <sz val="10"/>
        <color theme="1"/>
        <rFont val="Times New Roman"/>
        <family val="1"/>
      </rPr>
      <t xml:space="preserve">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</si>
  <si>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Espanha incluída em pelo menos uma das categorias de "benchmarking SisMob-BH"
</t>
    </r>
    <r>
      <rPr>
        <b/>
        <sz val="10"/>
        <color theme="1"/>
        <rFont val="Times New Roman"/>
        <family val="1"/>
      </rPr>
      <t xml:space="preserve">obs.1: </t>
    </r>
    <r>
      <rPr>
        <sz val="10"/>
        <color theme="1"/>
        <rFont val="Times New Roman"/>
        <family val="1"/>
      </rPr>
      <t>cidade premiada no "Access City Award 2014"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</si>
  <si>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Alemanha incluída em pelo menos uma das categorias de "benchmarking SisMob-BH"
</t>
    </r>
    <r>
      <rPr>
        <b/>
        <sz val="10"/>
        <color theme="1"/>
        <rFont val="Times New Roman"/>
        <family val="1"/>
      </rPr>
      <t xml:space="preserve">obs.1: </t>
    </r>
    <r>
      <rPr>
        <sz val="10"/>
        <color theme="1"/>
        <rFont val="Times New Roman"/>
        <family val="1"/>
      </rPr>
      <t>cidade premiada no "Access City Award 2012</t>
    </r>
    <r>
      <rPr>
        <i/>
        <sz val="10"/>
        <color theme="1"/>
        <rFont val="Times New Roman"/>
        <family val="1"/>
      </rPr>
      <t>"</t>
    </r>
    <r>
      <rPr>
        <sz val="10"/>
        <color theme="1"/>
        <rFont val="Times New Roman"/>
        <family val="1"/>
      </rPr>
      <t xml:space="preserve">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</si>
  <si>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República Tcheca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2012</t>
    </r>
    <r>
      <rPr>
        <i/>
        <sz val="10"/>
        <color theme="1"/>
        <rFont val="Times New Roman"/>
        <family val="1"/>
      </rPr>
      <t>"</t>
    </r>
    <r>
      <rPr>
        <sz val="10"/>
        <color theme="1"/>
        <rFont val="Times New Roman"/>
        <family val="1"/>
      </rPr>
      <t xml:space="preserve">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</si>
  <si>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Espanha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2013</t>
    </r>
    <r>
      <rPr>
        <i/>
        <sz val="10"/>
        <color theme="1"/>
        <rFont val="Times New Roman"/>
        <family val="1"/>
      </rPr>
      <t>"</t>
    </r>
    <r>
      <rPr>
        <sz val="10"/>
        <color theme="1"/>
        <rFont val="Times New Roman"/>
        <family val="1"/>
      </rPr>
      <t xml:space="preserve">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</si>
  <si>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Espanha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2012"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</si>
  <si>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Irlanda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2013</t>
    </r>
    <r>
      <rPr>
        <i/>
        <sz val="10"/>
        <color theme="1"/>
        <rFont val="Times New Roman"/>
        <family val="1"/>
      </rPr>
      <t>"</t>
    </r>
    <r>
      <rPr>
        <sz val="10"/>
        <color theme="1"/>
        <rFont val="Times New Roman"/>
        <family val="1"/>
      </rPr>
      <t xml:space="preserve">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</si>
  <si>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Finlândia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2010"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</si>
  <si>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Espanha incluída em pelo menos uma das categorias de "benchmarking SisMob-BH"
</t>
    </r>
    <r>
      <rPr>
        <b/>
        <sz val="10"/>
        <rFont val="Times New Roman"/>
        <family val="1"/>
      </rPr>
      <t>obs.1:</t>
    </r>
    <r>
      <rPr>
        <sz val="10"/>
        <rFont val="Times New Roman"/>
        <family val="1"/>
      </rPr>
      <t xml:space="preserve"> cidade premiada no "Access City Award 2015" (</t>
    </r>
    <r>
      <rPr>
        <sz val="10"/>
        <color rgb="FFFF0000"/>
        <rFont val="Times New Roman"/>
        <family val="1"/>
      </rPr>
      <t>a premiação ___</t>
    </r>
    <r>
      <rPr>
        <sz val="10"/>
        <rFont val="Times New Roman"/>
        <family val="1"/>
      </rPr>
      <t xml:space="preserve"> [completar com informações do relatório])</t>
    </r>
    <r>
      <rPr>
        <b/>
        <sz val="10"/>
        <color theme="1"/>
        <rFont val="Times New Roman"/>
        <family val="1"/>
      </rPr>
      <t/>
    </r>
  </si>
  <si>
    <r>
      <t xml:space="preserve">cidade da Espanha incluída em pelo menos uma das categorias de "benchmarking SisMob-BH"
</t>
    </r>
    <r>
      <rPr>
        <b/>
        <sz val="10"/>
        <color theme="1"/>
        <rFont val="Times New Roman"/>
        <family val="1"/>
      </rPr>
      <t xml:space="preserve">obs.1: </t>
    </r>
    <r>
      <rPr>
        <sz val="10"/>
        <color theme="1"/>
        <rFont val="Times New Roman"/>
        <family val="1"/>
      </rPr>
      <t xml:space="preserve">cidade premiada com o 1º lugar no </t>
    </r>
    <r>
      <rPr>
        <i/>
        <sz val="10"/>
        <color theme="1"/>
        <rFont val="Times New Roman"/>
        <family val="1"/>
      </rPr>
      <t>Access City Award 2010</t>
    </r>
    <r>
      <rPr>
        <sz val="10"/>
        <color theme="1"/>
        <rFont val="Times New Roman"/>
        <family val="1"/>
      </rPr>
      <t xml:space="preserve">conforme EC(2014b)
</t>
    </r>
    <r>
      <rPr>
        <b/>
        <sz val="10"/>
        <color theme="1"/>
        <rFont val="Times New Roman"/>
        <family val="1"/>
      </rPr>
      <t>obs.2:</t>
    </r>
    <r>
      <rPr>
        <sz val="10"/>
        <color theme="1"/>
        <rFont val="Times New Roman"/>
        <family val="1"/>
      </rPr>
      <t xml:space="preserve"> "A Comissão elogiou Ávila pelo plano de longo prazo que vem implementando, desde 2002, a fim de tornar-se mais acessível e agradável a pessoas com deficiência. Ele inclui a melhoria da acessibilidade aos edifícios públicos e a criação de incentivos para a iniciativa privada, além de desenvolvimento de instalações turísticas acessíveis e de mais oportunidades de emprego. Pessoas com deficiência também estão incluídas no processo de planejamento. [...]  A arquitetura medieval, com muitas ruas estreitas e calçamento de pedras, faz com que adaptações de acessibilidade sejam relativamente difíceis em Ávila. Noelia Cuenca Galán enfatizou a necessidade de criatividade na busca de soluções para um desafio como este, já que os lugares históricos não devem ser danificados no processo de alteração.  Uma das melhorias inclui elevadores e rampas especiais, instalados nas famosas muralhas medievais da cidade, para que os visitantes de cadeira de rodas possam chegar ao seu topo. [...] A funcionária [Noelia Cuenca Galán, encarregada de acessibilidade de Ávila] admite que não é Ávila, de maneira alguma, uma cidade "perfeita", mas diz que está determinada a prosseguir o projeto de desenvolvimento de acessibilidade." conforme ZAGO(2010)</t>
    </r>
    <r>
      <rPr>
        <b/>
        <sz val="10"/>
        <color theme="1"/>
        <rFont val="Times New Roman"/>
        <family val="1"/>
      </rPr>
      <t/>
    </r>
  </si>
  <si>
    <r>
      <t xml:space="preserve">cidade da Espanha incluída em pelo menos uma das categorias de "benchmarking SisMob-BH"
</t>
    </r>
    <r>
      <rPr>
        <b/>
        <sz val="10"/>
        <rFont val="Times New Roman"/>
        <family val="1"/>
      </rPr>
      <t>obs.1:</t>
    </r>
    <r>
      <rPr>
        <sz val="10"/>
        <rFont val="Times New Roman"/>
        <family val="1"/>
      </rPr>
      <t xml:space="preserve"> cidade premiada no</t>
    </r>
    <r>
      <rPr>
        <i/>
        <sz val="10"/>
        <rFont val="Times New Roman"/>
        <family val="1"/>
      </rPr>
      <t xml:space="preserve"> </t>
    </r>
    <r>
      <rPr>
        <sz val="10"/>
        <rFont val="Times New Roman"/>
        <family val="1"/>
      </rPr>
      <t>"Access City Award 2010"</t>
    </r>
    <r>
      <rPr>
        <i/>
        <sz val="10"/>
        <rFont val="Times New Roman"/>
        <family val="1"/>
      </rPr>
      <t xml:space="preserve"> </t>
    </r>
    <r>
      <rPr>
        <sz val="10"/>
        <rFont val="Times New Roman"/>
        <family val="1"/>
      </rPr>
      <t xml:space="preserve">(a premiação ___ [completar com informações do relatório])
</t>
    </r>
    <r>
      <rPr>
        <b/>
        <sz val="10"/>
        <rFont val="Times New Roman"/>
        <family val="1"/>
      </rPr>
      <t xml:space="preserve">obs.2: </t>
    </r>
    <r>
      <rPr>
        <sz val="10"/>
        <rFont val="Times New Roman"/>
        <family val="1"/>
      </rPr>
      <t xml:space="preserve">cidade com frota 100% de ônibus piso baixo no </t>
    </r>
    <r>
      <rPr>
        <i/>
        <sz val="10"/>
        <rFont val="Times New Roman"/>
        <family val="1"/>
      </rPr>
      <t xml:space="preserve">Eurobarometer 2012 </t>
    </r>
    <r>
      <rPr>
        <sz val="10"/>
        <rFont val="Times New Roman"/>
        <family val="1"/>
      </rPr>
      <t>conforme EMTA(2012, p.37)</t>
    </r>
    <r>
      <rPr>
        <i/>
        <sz val="10"/>
        <rFont val="Times New Roman"/>
        <family val="1"/>
      </rPr>
      <t xml:space="preserve">
</t>
    </r>
    <r>
      <rPr>
        <b/>
        <sz val="10"/>
        <rFont val="Times New Roman"/>
        <family val="1"/>
      </rPr>
      <t>obs.3:</t>
    </r>
    <r>
      <rPr>
        <sz val="10"/>
        <rFont val="Times New Roman"/>
        <family val="1"/>
      </rPr>
      <t xml:space="preserve"> cidade considerada "referência de meta" de acessibilidade pelo </t>
    </r>
    <r>
      <rPr>
        <i/>
        <sz val="10"/>
        <rFont val="Times New Roman"/>
        <family val="1"/>
      </rPr>
      <t>Programa Cidades Sustentáveis</t>
    </r>
  </si>
  <si>
    <r>
      <t xml:space="preserve">cidade da Irlanda do Norte incluída em pelo menos uma das categorias de "benchmarking SisMob-BH"
</t>
    </r>
    <r>
      <rPr>
        <b/>
        <sz val="10"/>
        <rFont val="Times New Roman"/>
        <family val="1"/>
      </rPr>
      <t>obs.1:</t>
    </r>
    <r>
      <rPr>
        <sz val="10"/>
        <rFont val="Times New Roman"/>
        <family val="1"/>
      </rPr>
      <t xml:space="preserve"> cidade premiada no "Access City Award 2014" (a premiação ___ [completar com informações do relatório])</t>
    </r>
    <r>
      <rPr>
        <b/>
        <sz val="10"/>
        <color theme="1"/>
        <rFont val="Times New Roman"/>
        <family val="1"/>
      </rPr>
      <t/>
    </r>
  </si>
  <si>
    <r>
      <t xml:space="preserve">cidade da Alemanha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2013" (</t>
    </r>
    <r>
      <rPr>
        <sz val="10"/>
        <color rgb="FFFF0000"/>
        <rFont val="Times New Roman"/>
        <family val="1"/>
      </rPr>
      <t>a premiação ___</t>
    </r>
    <r>
      <rPr>
        <sz val="10"/>
        <color theme="1"/>
        <rFont val="Times New Roman"/>
        <family val="1"/>
      </rPr>
      <t xml:space="preserve"> [completar com informações do relatório])
</t>
    </r>
    <r>
      <rPr>
        <b/>
        <sz val="10"/>
        <color theme="1"/>
        <rFont val="Times New Roman"/>
        <family val="1"/>
      </rPr>
      <t>obs.2:</t>
    </r>
    <r>
      <rPr>
        <sz val="10"/>
        <color theme="1"/>
        <rFont val="Times New Roman"/>
        <family val="1"/>
      </rPr>
      <t xml:space="preserve"> acesse o verbete "Berlim para todos"</t>
    </r>
  </si>
  <si>
    <r>
      <t xml:space="preserve">cidade da Alemanha incluída em pelo menos uma das categorias de "benchmarking SisMob-BH"
</t>
    </r>
    <r>
      <rPr>
        <b/>
        <sz val="10"/>
        <rFont val="Times New Roman"/>
        <family val="1"/>
      </rPr>
      <t>obs.1:</t>
    </r>
    <r>
      <rPr>
        <sz val="10"/>
        <rFont val="Times New Roman"/>
        <family val="1"/>
      </rPr>
      <t xml:space="preserve"> cidade premiada no "Access City Award 2013" (a premiação ___ [completar com informações do relatório])
</t>
    </r>
    <r>
      <rPr>
        <b/>
        <sz val="10"/>
        <rFont val="Times New Roman"/>
        <family val="1"/>
      </rPr>
      <t>obs.2:</t>
    </r>
    <r>
      <rPr>
        <sz val="10"/>
        <rFont val="Times New Roman"/>
        <family val="1"/>
      </rPr>
      <t xml:space="preserve"> acesse o verbete "Berlim para todos"</t>
    </r>
  </si>
  <si>
    <r>
      <t xml:space="preserve">cidade da Espanha incluída em pelo menos uma das categorias de "benchmarking SisMob-BH"
</t>
    </r>
    <r>
      <rPr>
        <b/>
        <sz val="10"/>
        <color theme="1"/>
        <rFont val="Times New Roman"/>
        <family val="1"/>
      </rPr>
      <t>obs.1:</t>
    </r>
    <r>
      <rPr>
        <sz val="10"/>
        <color theme="1"/>
        <rFont val="Times New Roman"/>
        <family val="1"/>
      </rPr>
      <t xml:space="preserve"> cidade premiada com menção especial no "Access City Award 2013"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</si>
  <si>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Espanha incluída em pelo menos uma das categorias de "benchmarking SisMob-BH"
</t>
    </r>
    <r>
      <rPr>
        <b/>
        <sz val="10"/>
        <rFont val="Times New Roman"/>
        <family val="1"/>
      </rPr>
      <t>obs.1:</t>
    </r>
    <r>
      <rPr>
        <sz val="10"/>
        <rFont val="Times New Roman"/>
        <family val="1"/>
      </rPr>
      <t xml:space="preserve"> cidade premiada com menção especial no "Access City Award 2013" (a premiação ___ [completar com informações do relatório])</t>
    </r>
    <r>
      <rPr>
        <b/>
        <sz val="10"/>
        <color theme="1"/>
        <rFont val="Times New Roman"/>
        <family val="1"/>
      </rPr>
      <t/>
    </r>
  </si>
  <si>
    <r>
      <t xml:space="preserve">cidade da Suécia incluída em pelo menos uma das categorias de "benchmarking SisMob-BH"
</t>
    </r>
    <r>
      <rPr>
        <b/>
        <sz val="10"/>
        <color theme="1"/>
        <rFont val="Times New Roman"/>
        <family val="1"/>
      </rPr>
      <t xml:space="preserve">obs.1: </t>
    </r>
    <r>
      <rPr>
        <sz val="10"/>
        <color theme="1"/>
        <rFont val="Times New Roman"/>
        <family val="1"/>
      </rPr>
      <t xml:space="preserve">cidade premiada com o 1º lugar no "Access City Award 2015" conforme EIP-SCC(2015); EC(2015a)
</t>
    </r>
    <r>
      <rPr>
        <b/>
        <sz val="10"/>
        <color theme="1"/>
        <rFont val="Times New Roman"/>
        <family val="1"/>
      </rPr>
      <t>obs.2:</t>
    </r>
    <r>
      <rPr>
        <sz val="10"/>
        <color theme="1"/>
        <rFont val="Times New Roman"/>
        <family val="1"/>
      </rPr>
      <t xml:space="preserve"> a premiação reconhece a "abordagem estratégica [da cidade] para a criação de uma área urbana acessível a todos", tendo sido "eleita como um bom exemplo de ção local para ajudar a remover as miuitas barreiras que pessoas comd eficiência deparam todos os dias" conforme EIP-SCC(2015 - tradução livre nossa) 
</t>
    </r>
    <r>
      <rPr>
        <b/>
        <sz val="10"/>
        <color theme="1"/>
        <rFont val="Times New Roman"/>
        <family val="1"/>
      </rPr>
      <t>obs.3:</t>
    </r>
    <r>
      <rPr>
        <sz val="10"/>
        <color theme="1"/>
        <rFont val="Times New Roman"/>
        <family val="1"/>
      </rPr>
      <t xml:space="preserve"> Marianne Thyssen (Commissioner for Employment, Social Affairs, Skills and Labour) destacou na premiação que " gostaria de parabenizar Borås por liderar o caminho para tornar a vida mais acessível para todos " conforme EIP-SCC(2015 - tradução livre nossa).
</t>
    </r>
    <r>
      <rPr>
        <b/>
        <sz val="10"/>
        <color theme="1"/>
        <rFont val="Times New Roman"/>
        <family val="1"/>
      </rPr>
      <t>obs.4:</t>
    </r>
    <r>
      <rPr>
        <sz val="10"/>
        <color theme="1"/>
        <rFont val="Times New Roman"/>
        <family val="1"/>
      </rPr>
      <t xml:space="preserve"> acesse os verbetes sobre cada premiação anual do Access City Award e de cada cidade premiada</t>
    </r>
  </si>
  <si>
    <r>
      <t xml:space="preserve">cidade da Hungria incluída em pelo menos uma das categorias de "benchmarking SisMob-BH"
</t>
    </r>
    <r>
      <rPr>
        <b/>
        <sz val="10"/>
        <color theme="1"/>
        <rFont val="Times New Roman"/>
        <family val="1"/>
      </rPr>
      <t>obs.1:</t>
    </r>
    <r>
      <rPr>
        <sz val="10"/>
        <color theme="1"/>
        <rFont val="Times New Roman"/>
        <family val="1"/>
      </rPr>
      <t xml:space="preserve"> cidade premiada com menção especial no "Access City Award 2015" conforme EIP-SCC(2015); EC(2015a)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</si>
  <si>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Hungria incluída em pelo menos uma das categorias de "benchmarking SisMob-BH"
</t>
    </r>
    <r>
      <rPr>
        <b/>
        <sz val="10"/>
        <rFont val="Times New Roman"/>
        <family val="1"/>
      </rPr>
      <t>obs.1:</t>
    </r>
    <r>
      <rPr>
        <sz val="10"/>
        <rFont val="Times New Roman"/>
        <family val="1"/>
      </rPr>
      <t xml:space="preserve"> cidade premiada com menção especial no "Access City Award 2015" conforme EIP-SCC(2015); EC(2015a) (a premiação ___ [completar com informações do relatório])</t>
    </r>
    <r>
      <rPr>
        <b/>
        <sz val="10"/>
        <color theme="1"/>
        <rFont val="Times New Roman"/>
        <family val="1"/>
      </rPr>
      <t/>
    </r>
  </si>
  <si>
    <r>
      <t xml:space="preserve">cidade da Espanha incluída em pelo menos uma das categorias de "benchmarking SisMob-BH"
</t>
    </r>
    <r>
      <rPr>
        <b/>
        <sz val="10"/>
        <color theme="1"/>
        <rFont val="Times New Roman"/>
        <family val="1"/>
      </rPr>
      <t>obs.1:</t>
    </r>
    <r>
      <rPr>
        <sz val="10"/>
        <color theme="1"/>
        <rFont val="Times New Roman"/>
        <family val="1"/>
      </rPr>
      <t xml:space="preserve"> cidade classificada como finalista no "Access City Award 2014" conforme EC(2014a)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</si>
  <si>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Espanha incluída em pelo menos uma das categorias de "benchmarking SisMob-BH"
</t>
    </r>
    <r>
      <rPr>
        <b/>
        <sz val="10"/>
        <rFont val="Times New Roman"/>
        <family val="1"/>
      </rPr>
      <t>obs.1:</t>
    </r>
    <r>
      <rPr>
        <sz val="10"/>
        <rFont val="Times New Roman"/>
        <family val="1"/>
      </rPr>
      <t xml:space="preserve"> cidade classificada como finalista no "Access City Award 2014" conforme EC(2014a) (a premiação ___ [completar com informações do relatório])</t>
    </r>
    <r>
      <rPr>
        <b/>
        <sz val="10"/>
        <color theme="1"/>
        <rFont val="Times New Roman"/>
        <family val="1"/>
      </rPr>
      <t/>
    </r>
  </si>
  <si>
    <r>
      <t xml:space="preserve">cidade da Alemanha incluída em pelo menos uma das categorias de "benchmarking SisMob-BH"
</t>
    </r>
    <r>
      <rPr>
        <b/>
        <sz val="10"/>
        <color theme="1"/>
        <rFont val="Times New Roman"/>
        <family val="1"/>
      </rPr>
      <t xml:space="preserve">obs.1: </t>
    </r>
    <r>
      <rPr>
        <sz val="10"/>
        <color theme="1"/>
        <rFont val="Times New Roman"/>
        <family val="1"/>
      </rPr>
      <t>cidade premiada como finalista no "Access City Award 2010" conforme EC(2014b)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</si>
  <si>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Alemanha incluída em pelo menos uma das categorias de "benchmarking SisMob-BH"
</t>
    </r>
    <r>
      <rPr>
        <b/>
        <sz val="10"/>
        <rFont val="Times New Roman"/>
        <family val="1"/>
      </rPr>
      <t xml:space="preserve">obs.1: </t>
    </r>
    <r>
      <rPr>
        <sz val="10"/>
        <rFont val="Times New Roman"/>
        <family val="1"/>
      </rPr>
      <t>cidade premiada como finalista no "Access City Award 2010" conforme EC(2014b) (a premiação ___ [completar com informações do relatório])</t>
    </r>
    <r>
      <rPr>
        <b/>
        <sz val="10"/>
        <color theme="1"/>
        <rFont val="Times New Roman"/>
        <family val="1"/>
      </rPr>
      <t/>
    </r>
  </si>
  <si>
    <r>
      <t xml:space="preserve">cidade da Polônia incluída em pelo menos uma das categorias de "benchmarking SisMob-BH"
</t>
    </r>
    <r>
      <rPr>
        <b/>
        <sz val="10"/>
        <color theme="1"/>
        <rFont val="Times New Roman"/>
        <family val="1"/>
      </rPr>
      <t>obs.1:</t>
    </r>
    <r>
      <rPr>
        <sz val="10"/>
        <color theme="1"/>
        <rFont val="Times New Roman"/>
        <family val="1"/>
      </rPr>
      <t xml:space="preserve"> cidade classificada como finalista no "Access City Award 2012" conforme EC(2014b); EC(2012a) 
</t>
    </r>
    <r>
      <rPr>
        <b/>
        <sz val="10"/>
        <color theme="1"/>
        <rFont val="Times New Roman"/>
        <family val="1"/>
      </rPr>
      <t xml:space="preserve">obs.2: </t>
    </r>
    <r>
      <rPr>
        <sz val="10"/>
        <color theme="1"/>
        <rFont val="Times New Roman"/>
        <family val="1"/>
      </rPr>
      <t>(</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</si>
  <si>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Polônia incluída em pelo menos uma das categorias de "benchmarking SisMob-BH"
</t>
    </r>
    <r>
      <rPr>
        <b/>
        <sz val="10"/>
        <rFont val="Times New Roman"/>
        <family val="1"/>
      </rPr>
      <t>obs.1:</t>
    </r>
    <r>
      <rPr>
        <sz val="10"/>
        <rFont val="Times New Roman"/>
        <family val="1"/>
      </rPr>
      <t xml:space="preserve"> cidade classificada como finalista no "Access City Award 2012" conforme EC(2014b); EC(2012a) 
</t>
    </r>
    <r>
      <rPr>
        <b/>
        <sz val="10"/>
        <rFont val="Times New Roman"/>
        <family val="1"/>
      </rPr>
      <t xml:space="preserve">obs.2: </t>
    </r>
    <r>
      <rPr>
        <sz val="10"/>
        <rFont val="Times New Roman"/>
        <family val="1"/>
      </rPr>
      <t>(a premiação ___ [completar com informações do relatório])</t>
    </r>
    <r>
      <rPr>
        <b/>
        <sz val="10"/>
        <color theme="1"/>
        <rFont val="Times New Roman"/>
        <family val="1"/>
      </rPr>
      <t/>
    </r>
  </si>
  <si>
    <r>
      <t xml:space="preserve">cidade da Alemanha incluída em pelo menos uma das categorias de "benchmarking SisMob-BH"
</t>
    </r>
    <r>
      <rPr>
        <b/>
        <sz val="10"/>
        <color theme="1"/>
        <rFont val="Times New Roman"/>
        <family val="1"/>
      </rPr>
      <t>obs.1:</t>
    </r>
    <r>
      <rPr>
        <sz val="10"/>
        <color theme="1"/>
        <rFont val="Times New Roman"/>
        <family val="1"/>
      </rPr>
      <t xml:space="preserve"> cidade classificada como finalista no "Access City Award 2014" conforme EC(2014a)
</t>
    </r>
    <r>
      <rPr>
        <b/>
        <sz val="10"/>
        <color theme="1"/>
        <rFont val="Times New Roman"/>
        <family val="1"/>
      </rPr>
      <t>obs.2:</t>
    </r>
    <r>
      <rPr>
        <sz val="10"/>
        <color theme="1"/>
        <rFont val="Times New Roman"/>
        <family val="1"/>
      </rPr>
      <t xml:space="preserve">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</si>
  <si>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Alemanha incluída em pelo menos uma das categorias de "benchmarking SisMob-BH"
</t>
    </r>
    <r>
      <rPr>
        <b/>
        <sz val="10"/>
        <rFont val="Times New Roman"/>
        <family val="1"/>
      </rPr>
      <t>obs.1:</t>
    </r>
    <r>
      <rPr>
        <sz val="10"/>
        <rFont val="Times New Roman"/>
        <family val="1"/>
      </rPr>
      <t xml:space="preserve"> cidade classificada como finalista no "Access City Award 2014" conforme EC(2014a)
</t>
    </r>
    <r>
      <rPr>
        <b/>
        <sz val="10"/>
        <rFont val="Times New Roman"/>
        <family val="1"/>
      </rPr>
      <t>obs.2:</t>
    </r>
    <r>
      <rPr>
        <sz val="10"/>
        <rFont val="Times New Roman"/>
        <family val="1"/>
      </rPr>
      <t xml:space="preserve"> (a premiação ___ [completar com informações do relatório])</t>
    </r>
    <r>
      <rPr>
        <b/>
        <sz val="10"/>
        <color theme="1"/>
        <rFont val="Times New Roman"/>
        <family val="1"/>
      </rPr>
      <t/>
    </r>
  </si>
  <si>
    <r>
      <t xml:space="preserve">cidade da Suécia incluída em pelo menos uma das categorias de "benchmarking SisMob-BH"
</t>
    </r>
    <r>
      <rPr>
        <b/>
        <sz val="10"/>
        <color theme="1"/>
        <rFont val="Times New Roman"/>
        <family val="1"/>
      </rPr>
      <t xml:space="preserve">obs.1: </t>
    </r>
    <r>
      <rPr>
        <sz val="10"/>
        <color theme="1"/>
        <rFont val="Times New Roman"/>
        <family val="1"/>
      </rPr>
      <t xml:space="preserve">cidade  premiada como 2º lugar no "Access City Award 2013" conforme EC(2013) </t>
    </r>
    <r>
      <rPr>
        <sz val="10"/>
        <color theme="1"/>
        <rFont val="Times New Roman"/>
        <family val="1"/>
      </rPr>
      <t>(</t>
    </r>
    <r>
      <rPr>
        <sz val="10"/>
        <color rgb="FFFF0000"/>
        <rFont val="Times New Roman"/>
        <family val="1"/>
      </rPr>
      <t>a premiação ___</t>
    </r>
    <r>
      <rPr>
        <sz val="10"/>
        <color theme="1"/>
        <rFont val="Times New Roman"/>
        <family val="1"/>
      </rPr>
      <t xml:space="preserve"> [completar com informações do relatório])
</t>
    </r>
    <r>
      <rPr>
        <b/>
        <sz val="10"/>
        <color theme="1"/>
        <rFont val="Times New Roman"/>
        <family val="1"/>
      </rPr>
      <t xml:space="preserve">obs.2: </t>
    </r>
    <r>
      <rPr>
        <sz val="10"/>
        <color theme="1"/>
        <rFont val="Times New Roman"/>
        <family val="1"/>
      </rPr>
      <t xml:space="preserve">cidade com frota 100% de ônibus piso baixo no </t>
    </r>
    <r>
      <rPr>
        <i/>
        <sz val="10"/>
        <color theme="1"/>
        <rFont val="Times New Roman"/>
        <family val="1"/>
      </rPr>
      <t xml:space="preserve">Eurobarometer 2012 </t>
    </r>
    <r>
      <rPr>
        <sz val="10"/>
        <color theme="1"/>
        <rFont val="Times New Roman"/>
        <family val="1"/>
      </rPr>
      <t>conforme EMTA(2012, p.37)</t>
    </r>
    <r>
      <rPr>
        <i/>
        <sz val="10"/>
        <color theme="1"/>
        <rFont val="Times New Roman"/>
        <family val="1"/>
      </rPr>
      <t xml:space="preserve">
</t>
    </r>
    <r>
      <rPr>
        <b/>
        <sz val="10"/>
        <color theme="1"/>
        <rFont val="Times New Roman"/>
        <family val="1"/>
      </rPr>
      <t xml:space="preserve">obs.3: </t>
    </r>
    <r>
      <rPr>
        <sz val="10"/>
        <color theme="1"/>
        <rFont val="Times New Roman"/>
        <family val="1"/>
      </rPr>
      <t>cidade considerada "referência de meta" de acessibilidade pelo Programa Cidades Sustentáveis</t>
    </r>
  </si>
  <si>
    <r>
      <t xml:space="preserve">cidade da Suécia incluída em pelo menos uma das categorias de "benchmarking SisMob-BH"
</t>
    </r>
    <r>
      <rPr>
        <b/>
        <sz val="10"/>
        <rFont val="Times New Roman"/>
        <family val="1"/>
      </rPr>
      <t xml:space="preserve">obs.1: </t>
    </r>
    <r>
      <rPr>
        <sz val="10"/>
        <rFont val="Times New Roman"/>
        <family val="1"/>
      </rPr>
      <t xml:space="preserve">cidade  premiada como 2º lugar no "Access City Award 2013" conforme EC(2013) (a premiação ___ [completar com informações do relatório])
</t>
    </r>
    <r>
      <rPr>
        <b/>
        <sz val="10"/>
        <rFont val="Times New Roman"/>
        <family val="1"/>
      </rPr>
      <t xml:space="preserve">obs.2: </t>
    </r>
    <r>
      <rPr>
        <sz val="10"/>
        <rFont val="Times New Roman"/>
        <family val="1"/>
      </rPr>
      <t xml:space="preserve">cidade com frota 100% de ônibus piso baixo no </t>
    </r>
    <r>
      <rPr>
        <i/>
        <sz val="10"/>
        <rFont val="Times New Roman"/>
        <family val="1"/>
      </rPr>
      <t xml:space="preserve">Eurobarometer 2012 </t>
    </r>
    <r>
      <rPr>
        <sz val="10"/>
        <rFont val="Times New Roman"/>
        <family val="1"/>
      </rPr>
      <t>conforme EMTA(2012, p.37)</t>
    </r>
    <r>
      <rPr>
        <i/>
        <sz val="10"/>
        <rFont val="Times New Roman"/>
        <family val="1"/>
      </rPr>
      <t xml:space="preserve">
</t>
    </r>
    <r>
      <rPr>
        <b/>
        <sz val="10"/>
        <rFont val="Times New Roman"/>
        <family val="1"/>
      </rPr>
      <t xml:space="preserve">obs.3: </t>
    </r>
    <r>
      <rPr>
        <sz val="10"/>
        <rFont val="Times New Roman"/>
        <family val="1"/>
      </rPr>
      <t>cidade considerada "referência de meta" de acessibilidade pelo Programa Cidades Sustentáveis</t>
    </r>
  </si>
  <si>
    <r>
      <t xml:space="preserve">cidade da Polônia incluída em pelo menos uma das categorias de "benchmarking SisMob-BH"
</t>
    </r>
    <r>
      <rPr>
        <b/>
        <sz val="10"/>
        <color theme="1"/>
        <rFont val="Times New Roman"/>
        <family val="1"/>
      </rPr>
      <t>obs.1:</t>
    </r>
    <r>
      <rPr>
        <sz val="10"/>
        <color theme="1"/>
        <rFont val="Times New Roman"/>
        <family val="1"/>
      </rPr>
      <t xml:space="preserve"> cidade premiada com menção especial no "Access City Award 2013"  coforme EC(2013) 
</t>
    </r>
    <r>
      <rPr>
        <b/>
        <sz val="10"/>
        <color theme="1"/>
        <rFont val="Times New Roman"/>
        <family val="1"/>
      </rPr>
      <t>obs.2:</t>
    </r>
    <r>
      <rPr>
        <sz val="10"/>
        <color theme="1"/>
        <rFont val="Times New Roman"/>
        <family val="1"/>
      </rPr>
      <t xml:space="preserve">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</si>
  <si>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Polônia incluída em pelo menos uma das categorias de "benchmarking SisMob-BH"
</t>
    </r>
    <r>
      <rPr>
        <b/>
        <sz val="10"/>
        <rFont val="Times New Roman"/>
        <family val="1"/>
      </rPr>
      <t>obs.1:</t>
    </r>
    <r>
      <rPr>
        <sz val="10"/>
        <rFont val="Times New Roman"/>
        <family val="1"/>
      </rPr>
      <t xml:space="preserve"> cidade premiada com menção especial no "Access City Award 2013"  coforme EC(2013) 
</t>
    </r>
    <r>
      <rPr>
        <b/>
        <sz val="10"/>
        <rFont val="Times New Roman"/>
        <family val="1"/>
      </rPr>
      <t>obs.2:</t>
    </r>
    <r>
      <rPr>
        <sz val="10"/>
        <rFont val="Times New Roman"/>
        <family val="1"/>
      </rPr>
      <t xml:space="preserve"> (a premiação ___ [completar com informações do relatório])</t>
    </r>
    <r>
      <rPr>
        <b/>
        <sz val="10"/>
        <color theme="1"/>
        <rFont val="Times New Roman"/>
        <family val="1"/>
      </rPr>
      <t/>
    </r>
  </si>
  <si>
    <r>
      <t xml:space="preserve">cidade da Suécia incluída em pelo menos uma das categorias de "benchmarking SisMob-BH"
</t>
    </r>
    <r>
      <rPr>
        <b/>
        <sz val="10"/>
        <color theme="1"/>
        <rFont val="Times New Roman"/>
        <family val="1"/>
      </rPr>
      <t>obs.1:</t>
    </r>
    <r>
      <rPr>
        <sz val="10"/>
        <color theme="1"/>
        <rFont val="Times New Roman"/>
        <family val="1"/>
      </rPr>
      <t xml:space="preserve"> cidade premiada com o 1º lugar no "Access City Award 2014" conforme EC(2014a) (</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</si>
  <si>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Suécia incluída em pelo menos uma das categorias de "benchmarking SisMob-BH"
</t>
    </r>
    <r>
      <rPr>
        <b/>
        <sz val="10"/>
        <rFont val="Times New Roman"/>
        <family val="1"/>
      </rPr>
      <t>obs.1:</t>
    </r>
    <r>
      <rPr>
        <sz val="10"/>
        <rFont val="Times New Roman"/>
        <family val="1"/>
      </rPr>
      <t xml:space="preserve"> cidade premiada com o 1º lugar no "Access City Award 2014" conforme EC(2014a) (a premiação ___ [completar com informações do relatório])</t>
    </r>
    <r>
      <rPr>
        <b/>
        <sz val="10"/>
        <color theme="1"/>
        <rFont val="Times New Roman"/>
        <family val="1"/>
      </rPr>
      <t/>
    </r>
  </si>
  <si>
    <r>
      <t xml:space="preserve">cidade da França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2012" conforme EC(2014b); EC(2012a) e no "Access City Award 2014" conforme EC(2014a) </t>
    </r>
    <r>
      <rPr>
        <i/>
        <sz val="10"/>
        <color theme="1"/>
        <rFont val="Times New Roman"/>
        <family val="1"/>
      </rPr>
      <t xml:space="preserve"> </t>
    </r>
    <r>
      <rPr>
        <sz val="10"/>
        <color theme="1"/>
        <rFont val="Times New Roman"/>
        <family val="1"/>
      </rPr>
      <t>(</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</si>
  <si>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França incluída em pelo menos uma das categorias de "benchmarking SisMob-BH"
</t>
    </r>
    <r>
      <rPr>
        <b/>
        <sz val="10"/>
        <rFont val="Times New Roman"/>
        <family val="1"/>
      </rPr>
      <t>obs.1:</t>
    </r>
    <r>
      <rPr>
        <sz val="10"/>
        <rFont val="Times New Roman"/>
        <family val="1"/>
      </rPr>
      <t xml:space="preserve"> cidade premiada no "Access City Award 2012" conforme EC(2014b); EC(2012a) e no "Access City Award 2014" conforme EC(2014a) </t>
    </r>
    <r>
      <rPr>
        <i/>
        <sz val="10"/>
        <rFont val="Times New Roman"/>
        <family val="1"/>
      </rPr>
      <t xml:space="preserve"> </t>
    </r>
    <r>
      <rPr>
        <sz val="10"/>
        <rFont val="Times New Roman"/>
        <family val="1"/>
      </rPr>
      <t>(a premiação ___ [completar com informações do relatório])</t>
    </r>
    <r>
      <rPr>
        <b/>
        <sz val="10"/>
        <color theme="1"/>
        <rFont val="Times New Roman"/>
        <family val="1"/>
      </rPr>
      <t/>
    </r>
  </si>
  <si>
    <r>
      <t xml:space="preserve">cidade da Finlândia incluída em pelo menos uma das categorias de "benchmarking SisMob-BH"
</t>
    </r>
    <r>
      <rPr>
        <b/>
        <sz val="10"/>
        <color theme="1"/>
        <rFont val="Times New Roman"/>
        <family val="1"/>
      </rPr>
      <t xml:space="preserve">obs.1: </t>
    </r>
    <r>
      <rPr>
        <sz val="10"/>
        <color theme="1"/>
        <rFont val="Times New Roman"/>
        <family val="1"/>
      </rPr>
      <t>cidade premiada no 2º lugar no "Access City Award 2015" conforme EIP-SCC(2015); EC(2015a)"</t>
    </r>
    <r>
      <rPr>
        <sz val="10"/>
        <color theme="1"/>
        <rFont val="Times New Roman"/>
        <family val="1"/>
      </rPr>
      <t>(</t>
    </r>
    <r>
      <rPr>
        <sz val="10"/>
        <color rgb="FFFF0000"/>
        <rFont val="Times New Roman"/>
        <family val="1"/>
      </rPr>
      <t>a premiação ___</t>
    </r>
    <r>
      <rPr>
        <sz val="10"/>
        <color theme="1"/>
        <rFont val="Times New Roman"/>
        <family val="1"/>
      </rPr>
      <t xml:space="preserve"> [completar com informações do relatório])
</t>
    </r>
    <r>
      <rPr>
        <b/>
        <sz val="10"/>
        <color theme="1"/>
        <rFont val="Times New Roman"/>
        <family val="1"/>
      </rPr>
      <t xml:space="preserve">obs.2: </t>
    </r>
    <r>
      <rPr>
        <sz val="10"/>
        <color theme="1"/>
        <rFont val="Times New Roman"/>
        <family val="1"/>
      </rPr>
      <t xml:space="preserve">cidade com frota 100% de ônibus piso baixo no </t>
    </r>
    <r>
      <rPr>
        <i/>
        <sz val="10"/>
        <color theme="1"/>
        <rFont val="Times New Roman"/>
        <family val="1"/>
      </rPr>
      <t xml:space="preserve">Eurobarometer 2012 </t>
    </r>
    <r>
      <rPr>
        <sz val="10"/>
        <color theme="1"/>
        <rFont val="Times New Roman"/>
        <family val="1"/>
      </rPr>
      <t>conforme EMTA(2012, p.37)</t>
    </r>
  </si>
  <si>
    <r>
      <t xml:space="preserve">cidade da Finlândia incluída em pelo menos uma das categorias de "benchmarking SisMob-BH"
</t>
    </r>
    <r>
      <rPr>
        <b/>
        <sz val="10"/>
        <rFont val="Times New Roman"/>
        <family val="1"/>
      </rPr>
      <t xml:space="preserve">obs.1: </t>
    </r>
    <r>
      <rPr>
        <sz val="10"/>
        <rFont val="Times New Roman"/>
        <family val="1"/>
      </rPr>
      <t xml:space="preserve">cidade premiada no 2º lugar no "Access City Award 2015" conforme EIP-SCC(2015); EC(2015a)"(a premiação ___ [completar com informações do relatório])
</t>
    </r>
    <r>
      <rPr>
        <b/>
        <sz val="10"/>
        <rFont val="Times New Roman"/>
        <family val="1"/>
      </rPr>
      <t xml:space="preserve">obs.2: </t>
    </r>
    <r>
      <rPr>
        <sz val="10"/>
        <rFont val="Times New Roman"/>
        <family val="1"/>
      </rPr>
      <t xml:space="preserve">cidade com frota 100% de ônibus piso baixo no </t>
    </r>
    <r>
      <rPr>
        <i/>
        <sz val="10"/>
        <rFont val="Times New Roman"/>
        <family val="1"/>
      </rPr>
      <t xml:space="preserve">Eurobarometer 2012 </t>
    </r>
    <r>
      <rPr>
        <sz val="10"/>
        <rFont val="Times New Roman"/>
        <family val="1"/>
      </rPr>
      <t>conforme EMTA(2012, p.37)</t>
    </r>
  </si>
  <si>
    <r>
      <t xml:space="preserve">cidade da Eslovênia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2012" conforme EC(2014b); EC(2012a) e no "Access City Award 2015" conforme EIP-SCC(2015); EC(2015a)(</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</si>
  <si>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Eslovênia incluída em pelo menos uma das categorias de "benchmarking SisMob-BH"
</t>
    </r>
    <r>
      <rPr>
        <b/>
        <sz val="10"/>
        <rFont val="Times New Roman"/>
        <family val="1"/>
      </rPr>
      <t>obs.1:</t>
    </r>
    <r>
      <rPr>
        <sz val="10"/>
        <rFont val="Times New Roman"/>
        <family val="1"/>
      </rPr>
      <t xml:space="preserve"> cidade premiada no "Access City Award 2012" conforme EC(2014b); EC(2012a) e no "Access City Award 2015" conforme EIP-SCC(2015); EC(2015a)(a premiação ___ [completar com informações do relatório])</t>
    </r>
    <r>
      <rPr>
        <b/>
        <sz val="10"/>
        <color theme="1"/>
        <rFont val="Times New Roman"/>
        <family val="1"/>
      </rPr>
      <t/>
    </r>
  </si>
  <si>
    <r>
      <t xml:space="preserve">cidade da Espanha incluída em pelo menos uma das categorias de "benchmarking SisMob-BH"
</t>
    </r>
    <r>
      <rPr>
        <b/>
        <sz val="10"/>
        <rFont val="Times New Roman"/>
        <family val="1"/>
      </rPr>
      <t>obs.1:</t>
    </r>
    <r>
      <rPr>
        <sz val="10"/>
        <rFont val="Times New Roman"/>
        <family val="1"/>
      </rPr>
      <t xml:space="preserve"> cidade premiada no "Access City Award 2015</t>
    </r>
    <r>
      <rPr>
        <i/>
        <sz val="10"/>
        <rFont val="Times New Roman"/>
        <family val="1"/>
      </rPr>
      <t>"</t>
    </r>
    <r>
      <rPr>
        <sz val="10"/>
        <rFont val="Times New Roman"/>
        <family val="1"/>
      </rPr>
      <t xml:space="preserve"> (a premiação ___ [completar com informações do relatório])</t>
    </r>
    <r>
      <rPr>
        <b/>
        <sz val="10"/>
        <color theme="1"/>
        <rFont val="Times New Roman"/>
        <family val="1"/>
      </rPr>
      <t/>
    </r>
  </si>
  <si>
    <r>
      <t xml:space="preserve">cidade da Espanha incluída em pelo menos uma das categorias de "benchmarking SisMob-BH"
</t>
    </r>
    <r>
      <rPr>
        <b/>
        <sz val="10"/>
        <rFont val="Times New Roman"/>
        <family val="1"/>
      </rPr>
      <t xml:space="preserve">obs.1: </t>
    </r>
    <r>
      <rPr>
        <sz val="10"/>
        <rFont val="Times New Roman"/>
        <family val="1"/>
      </rPr>
      <t>cidade premiada no "Access City Award 2014" (a premiação ___ [completar com informações do relatório])</t>
    </r>
    <r>
      <rPr>
        <b/>
        <sz val="10"/>
        <color theme="1"/>
        <rFont val="Times New Roman"/>
        <family val="1"/>
      </rPr>
      <t/>
    </r>
  </si>
  <si>
    <r>
      <t xml:space="preserve">cidade da Alemanha incluída em pelo menos uma das categorias de "benchmarking SisMob-BH"
</t>
    </r>
    <r>
      <rPr>
        <b/>
        <sz val="10"/>
        <rFont val="Times New Roman"/>
        <family val="1"/>
      </rPr>
      <t xml:space="preserve">obs.1: </t>
    </r>
    <r>
      <rPr>
        <sz val="10"/>
        <rFont val="Times New Roman"/>
        <family val="1"/>
      </rPr>
      <t>cidade premiada no "Access City Award 2012</t>
    </r>
    <r>
      <rPr>
        <i/>
        <sz val="10"/>
        <rFont val="Times New Roman"/>
        <family val="1"/>
      </rPr>
      <t>"</t>
    </r>
    <r>
      <rPr>
        <sz val="10"/>
        <rFont val="Times New Roman"/>
        <family val="1"/>
      </rPr>
      <t xml:space="preserve"> (a premiação ___ [completar com informações do relatório])</t>
    </r>
    <r>
      <rPr>
        <b/>
        <sz val="10"/>
        <color theme="1"/>
        <rFont val="Times New Roman"/>
        <family val="1"/>
      </rPr>
      <t/>
    </r>
  </si>
  <si>
    <r>
      <t xml:space="preserve">cidade da França incluída em pelo menos uma das categorias de "benchmarking SisMob-BH"
</t>
    </r>
    <r>
      <rPr>
        <b/>
        <sz val="10"/>
        <color theme="1"/>
        <rFont val="Times New Roman"/>
        <family val="1"/>
      </rPr>
      <t>obs.1:</t>
    </r>
    <r>
      <rPr>
        <sz val="10"/>
        <color theme="1"/>
        <rFont val="Times New Roman"/>
        <family val="1"/>
      </rPr>
      <t xml:space="preserve"> cidade premiada com o 2º lugar no "Access City Award 2013" conforme EC(2013) </t>
    </r>
    <r>
      <rPr>
        <sz val="10"/>
        <color theme="1"/>
        <rFont val="Times New Roman"/>
        <family val="1"/>
      </rPr>
      <t>(</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</si>
  <si>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França incluída em pelo menos uma das categorias de "benchmarking SisMob-BH"
</t>
    </r>
    <r>
      <rPr>
        <b/>
        <sz val="10"/>
        <rFont val="Times New Roman"/>
        <family val="1"/>
      </rPr>
      <t>obs.1:</t>
    </r>
    <r>
      <rPr>
        <sz val="10"/>
        <rFont val="Times New Roman"/>
        <family val="1"/>
      </rPr>
      <t xml:space="preserve"> cidade premiada com o 2º lugar no "Access City Award 2013" conforme EC(2013) (a premiação ___ [completar com informações do relatório])</t>
    </r>
    <r>
      <rPr>
        <b/>
        <sz val="10"/>
        <color theme="1"/>
        <rFont val="Times New Roman"/>
        <family val="1"/>
      </rPr>
      <t/>
    </r>
  </si>
  <si>
    <r>
      <t xml:space="preserve">cidade da República Tcheca incluída em pelo menos uma das categorias de "benchmarking SisMob-BH"
</t>
    </r>
    <r>
      <rPr>
        <b/>
        <sz val="10"/>
        <rFont val="Times New Roman"/>
        <family val="1"/>
      </rPr>
      <t>obs.1:</t>
    </r>
    <r>
      <rPr>
        <sz val="10"/>
        <rFont val="Times New Roman"/>
        <family val="1"/>
      </rPr>
      <t xml:space="preserve"> cidade premiada no "Access City Award 2012</t>
    </r>
    <r>
      <rPr>
        <i/>
        <sz val="10"/>
        <rFont val="Times New Roman"/>
        <family val="1"/>
      </rPr>
      <t>"</t>
    </r>
    <r>
      <rPr>
        <sz val="10"/>
        <rFont val="Times New Roman"/>
        <family val="1"/>
      </rPr>
      <t xml:space="preserve"> (a premiação ___ [completar com informações do relatório])</t>
    </r>
    <r>
      <rPr>
        <b/>
        <sz val="10"/>
        <color theme="1"/>
        <rFont val="Times New Roman"/>
        <family val="1"/>
      </rPr>
      <t/>
    </r>
  </si>
  <si>
    <r>
      <t xml:space="preserve">cidade da Espanha incluída em pelo menos uma das categorias de "benchmarking SisMob-BH"
</t>
    </r>
    <r>
      <rPr>
        <b/>
        <sz val="10"/>
        <rFont val="Times New Roman"/>
        <family val="1"/>
      </rPr>
      <t>obs.1:</t>
    </r>
    <r>
      <rPr>
        <sz val="10"/>
        <rFont val="Times New Roman"/>
        <family val="1"/>
      </rPr>
      <t xml:space="preserve"> cidade premiada no "Access City Award 2013</t>
    </r>
    <r>
      <rPr>
        <i/>
        <sz val="10"/>
        <rFont val="Times New Roman"/>
        <family val="1"/>
      </rPr>
      <t>"</t>
    </r>
    <r>
      <rPr>
        <sz val="10"/>
        <rFont val="Times New Roman"/>
        <family val="1"/>
      </rPr>
      <t xml:space="preserve"> (a premiação ___ [completar com informações do relatório])</t>
    </r>
    <r>
      <rPr>
        <b/>
        <sz val="10"/>
        <color theme="1"/>
        <rFont val="Times New Roman"/>
        <family val="1"/>
      </rPr>
      <t/>
    </r>
  </si>
  <si>
    <r>
      <t xml:space="preserve">cidade da Polônia incluída em pelo menos uma das categorias de "benchmarking SisMob-BH"
</t>
    </r>
    <r>
      <rPr>
        <b/>
        <sz val="10"/>
        <color theme="1"/>
        <rFont val="Times New Roman"/>
        <family val="1"/>
      </rPr>
      <t>obs.1:</t>
    </r>
    <r>
      <rPr>
        <sz val="10"/>
        <color theme="1"/>
        <rFont val="Times New Roman"/>
        <family val="1"/>
      </rPr>
      <t xml:space="preserve"> cidade premiada com o 3º lugar no "Access City Award 2014" conforme EC(2014a) </t>
    </r>
    <r>
      <rPr>
        <sz val="10"/>
        <color theme="1"/>
        <rFont val="Times New Roman"/>
        <family val="1"/>
      </rPr>
      <t>(</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</si>
  <si>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Polônia incluída em pelo menos uma das categorias de "benchmarking SisMob-BH"
</t>
    </r>
    <r>
      <rPr>
        <b/>
        <sz val="10"/>
        <rFont val="Times New Roman"/>
        <family val="1"/>
      </rPr>
      <t>obs.1:</t>
    </r>
    <r>
      <rPr>
        <sz val="10"/>
        <rFont val="Times New Roman"/>
        <family val="1"/>
      </rPr>
      <t xml:space="preserve"> cidade premiada com o 3º lugar no "Access City Award 2014" conforme EC(2014a) (a premiação ___ [completar com informações do relatório])</t>
    </r>
    <r>
      <rPr>
        <b/>
        <sz val="10"/>
        <color theme="1"/>
        <rFont val="Times New Roman"/>
        <family val="1"/>
      </rPr>
      <t/>
    </r>
  </si>
  <si>
    <r>
      <t xml:space="preserve">cidade da Áustria incluída em pelo menos uma das categorias de "benchmarking SisMob-BH"
</t>
    </r>
    <r>
      <rPr>
        <b/>
        <sz val="10"/>
        <color theme="1"/>
        <rFont val="Times New Roman"/>
        <family val="1"/>
      </rPr>
      <t>obs.1:</t>
    </r>
    <r>
      <rPr>
        <sz val="10"/>
        <color theme="1"/>
        <rFont val="Times New Roman"/>
        <family val="1"/>
      </rPr>
      <t xml:space="preserve"> cidade premiada com o 1º lugar no "Access City Award 2012" conforme EC(2014b); EC(2012a) </t>
    </r>
    <r>
      <rPr>
        <sz val="10"/>
        <color theme="1"/>
        <rFont val="Times New Roman"/>
        <family val="1"/>
      </rPr>
      <t>(</t>
    </r>
    <r>
      <rPr>
        <sz val="10"/>
        <color rgb="FFFF0000"/>
        <rFont val="Times New Roman"/>
        <family val="1"/>
      </rPr>
      <t>a premiação ___</t>
    </r>
    <r>
      <rPr>
        <sz val="10"/>
        <color theme="1"/>
        <rFont val="Times New Roman"/>
        <family val="1"/>
      </rPr>
      <t xml:space="preserve"> [completar com informações do relatório])</t>
    </r>
    <r>
      <rPr>
        <b/>
        <sz val="10"/>
        <color theme="1"/>
        <rFont val="Times New Roman"/>
        <family val="1"/>
      </rPr>
      <t/>
    </r>
  </si>
  <si>
    <r>
      <t xml:space="preserve">cidade da Áustria incluída em pelo menos uma das categorias de "benchmarking SisMob-BH"
</t>
    </r>
    <r>
      <rPr>
        <b/>
        <sz val="10"/>
        <rFont val="Times New Roman"/>
        <family val="1"/>
      </rPr>
      <t>obs.1:</t>
    </r>
    <r>
      <rPr>
        <sz val="10"/>
        <rFont val="Times New Roman"/>
        <family val="1"/>
      </rPr>
      <t xml:space="preserve"> cidade premiada com o 1º lugar no "Access City Award 2012" conforme EC(2014b); EC(2012a) (a premiação ___ [completar com informações do relatório])</t>
    </r>
    <r>
      <rPr>
        <b/>
        <sz val="10"/>
        <color theme="1"/>
        <rFont val="Times New Roman"/>
        <family val="1"/>
      </rPr>
      <t/>
    </r>
  </si>
  <si>
    <r>
      <t xml:space="preserve">cidade da Espanha incluída em pelo menos uma das categorias de "benchmarking SisMob-BH"
</t>
    </r>
    <r>
      <rPr>
        <b/>
        <sz val="10"/>
        <rFont val="Times New Roman"/>
        <family val="1"/>
      </rPr>
      <t>obs.1:</t>
    </r>
    <r>
      <rPr>
        <sz val="10"/>
        <rFont val="Times New Roman"/>
        <family val="1"/>
      </rPr>
      <t xml:space="preserve"> cidade premiada no "Access City Award 2012" (a premiação ___ [completar com informações do relatório])</t>
    </r>
    <r>
      <rPr>
        <b/>
        <sz val="10"/>
        <color theme="1"/>
        <rFont val="Times New Roman"/>
        <family val="1"/>
      </rPr>
      <t/>
    </r>
  </si>
  <si>
    <r>
      <t xml:space="preserve">cidade da Irlanda incluída em pelo menos uma das categorias de "benchmarking SisMob-BH"
</t>
    </r>
    <r>
      <rPr>
        <b/>
        <sz val="10"/>
        <rFont val="Times New Roman"/>
        <family val="1"/>
      </rPr>
      <t>obs.1:</t>
    </r>
    <r>
      <rPr>
        <sz val="10"/>
        <rFont val="Times New Roman"/>
        <family val="1"/>
      </rPr>
      <t xml:space="preserve"> cidade premiada no "Access City Award 2013</t>
    </r>
    <r>
      <rPr>
        <i/>
        <sz val="10"/>
        <rFont val="Times New Roman"/>
        <family val="1"/>
      </rPr>
      <t>"</t>
    </r>
    <r>
      <rPr>
        <sz val="10"/>
        <rFont val="Times New Roman"/>
        <family val="1"/>
      </rPr>
      <t xml:space="preserve"> (a premiação ___ [completar com informações do relatório])</t>
    </r>
    <r>
      <rPr>
        <b/>
        <sz val="10"/>
        <color theme="1"/>
        <rFont val="Times New Roman"/>
        <family val="1"/>
      </rPr>
      <t/>
    </r>
  </si>
  <si>
    <r>
      <t xml:space="preserve">cidade da Finlândia incluída em pelo menos uma das categorias de "benchmarking SisMob-BH"
</t>
    </r>
    <r>
      <rPr>
        <b/>
        <sz val="10"/>
        <rFont val="Times New Roman"/>
        <family val="1"/>
      </rPr>
      <t>obs.1:</t>
    </r>
    <r>
      <rPr>
        <sz val="10"/>
        <rFont val="Times New Roman"/>
        <family val="1"/>
      </rPr>
      <t xml:space="preserve"> cidade premiada no "Access City Award 2010" (a premiação ___ [completar com informações do relatório])</t>
    </r>
    <r>
      <rPr>
        <b/>
        <sz val="10"/>
        <color theme="1"/>
        <rFont val="Times New Roman"/>
        <family val="1"/>
      </rPr>
      <t/>
    </r>
  </si>
  <si>
    <t>faltando lançar as AM da CAF</t>
  </si>
  <si>
    <r>
      <rPr>
        <b/>
        <sz val="12"/>
        <color theme="1"/>
        <rFont val="Times New Roman"/>
        <family val="1"/>
      </rPr>
      <t xml:space="preserve">PORTUGAL(2006): </t>
    </r>
    <r>
      <rPr>
        <sz val="12"/>
        <color theme="1"/>
        <rFont val="Times New Roman"/>
        <family val="1"/>
      </rPr>
      <t xml:space="preserve">PORTUGAL. Secretariado Nacional de Reabilitação e Integração das Pessoas com Deficiência. </t>
    </r>
    <r>
      <rPr>
        <i/>
        <sz val="12"/>
        <color theme="1"/>
        <rFont val="Times New Roman"/>
        <family val="1"/>
      </rPr>
      <t>Guia Acessibilidade e Mobilidade para Todos: apontamentos para uma melhor interpretação do DL 163/2006 de 8 de agosto</t>
    </r>
    <r>
      <rPr>
        <sz val="12"/>
        <color theme="1"/>
        <rFont val="Times New Roman"/>
        <family val="1"/>
      </rPr>
      <t>. Coordenação geral de Paula Teles. [Lisboa, 2006.] 276p.  Disponível em: &lt;http://www.inr.pt/uploads/docs/acessibilidade/GuiaAcessEmobi.pdf&gt;. Acesso em: 14 ago. 2016.</t>
    </r>
  </si>
  <si>
    <t>logomarca adotada pela Transbetim conforme OLIVEIRA(2014, p.81) e pelo Secretariado Nacional de Reabilitação e Integração das Pessoas com Deficiência de Portugal conforme PORTUGAL(2006)
obs.: acesse o verbete "para todos"</t>
  </si>
  <si>
    <t>acessibilidade e mobilidade para todos</t>
  </si>
  <si>
    <t>Portugal</t>
  </si>
  <si>
    <r>
      <t xml:space="preserve">logomarca adotada pelo Secretariado Nacional de Reabilitação e Integração das Pessoas com Deficiência de Portugal conforme PORTUGAL(2006)
</t>
    </r>
    <r>
      <rPr>
        <b/>
        <sz val="10"/>
        <rFont val="Times New Roman"/>
        <family val="1"/>
      </rPr>
      <t xml:space="preserve">obs.: </t>
    </r>
    <r>
      <rPr>
        <sz val="10"/>
        <rFont val="Times New Roman"/>
        <family val="1"/>
      </rPr>
      <t>acesse o verbete "para todos"</t>
    </r>
  </si>
  <si>
    <t>Bogotá para todos</t>
  </si>
  <si>
    <r>
      <rPr>
        <b/>
        <sz val="12"/>
        <color theme="1"/>
        <rFont val="Times New Roman"/>
        <family val="1"/>
      </rPr>
      <t xml:space="preserve">ENPIEZA(2016): </t>
    </r>
    <r>
      <rPr>
        <sz val="12"/>
        <color theme="1"/>
        <rFont val="Times New Roman"/>
        <family val="1"/>
      </rPr>
      <t xml:space="preserve">ENPIEZA la “Bogotá, mejor para todos" de Peñalosa. Bogotá, </t>
    </r>
    <r>
      <rPr>
        <i/>
        <sz val="12"/>
        <color theme="1"/>
        <rFont val="Times New Roman"/>
        <family val="1"/>
      </rPr>
      <t>Confidencial Bogotá</t>
    </r>
    <r>
      <rPr>
        <sz val="12"/>
        <color theme="1"/>
        <rFont val="Times New Roman"/>
        <family val="1"/>
      </rPr>
      <t>, s.d. Disponível em: &lt;http://confidencialcolombia.com/es/1/bogota/20259/Empieza-la-%E2%80%9CBogot%C3%A1-mejor-para-todos-de-Pe%C3%B1alosa.htm&gt;. Acesso em: 18 ago. 2016.</t>
    </r>
  </si>
  <si>
    <t>a logomarca "Bogotá, mejor para todos" foi adotada pela Alcaldía Mayor de Bogotá D.C na gestão 2016-2019 do prefeito Enrique Peñalosa conforme ENPIEZA(2016)
obs.: acesse o verbete "para todos"</t>
  </si>
  <si>
    <r>
      <t xml:space="preserve">cidade da Colômbia incluída em pelo menos uma das categorias de "benchmarking SisMob-BH"
</t>
    </r>
    <r>
      <rPr>
        <b/>
        <sz val="10"/>
        <color theme="1"/>
        <rFont val="Times New Roman"/>
        <family val="1"/>
      </rPr>
      <t xml:space="preserve">obs.: </t>
    </r>
    <r>
      <rPr>
        <sz val="10"/>
        <color theme="1"/>
        <rFont val="Times New Roman"/>
        <family val="1"/>
      </rPr>
      <t>Bogotá foi selecionada por possuir um sistema de "BRT completo" e fazer parte do projeto-piloto de medição do índice de "bem-estar subjetivo" (acesse verbetes)</t>
    </r>
  </si>
  <si>
    <r>
      <rPr>
        <b/>
        <sz val="12"/>
        <color theme="1"/>
        <rFont val="Times New Roman"/>
        <family val="1"/>
      </rPr>
      <t>GUIMARÃES(1995):</t>
    </r>
    <r>
      <rPr>
        <sz val="12"/>
        <color theme="1"/>
        <rFont val="Times New Roman"/>
        <family val="1"/>
      </rPr>
      <t xml:space="preserve"> GUIMARÃES, Marcelo Pinto.</t>
    </r>
    <r>
      <rPr>
        <i/>
        <sz val="12"/>
        <color theme="1"/>
        <rFont val="Times New Roman"/>
        <family val="1"/>
      </rPr>
      <t xml:space="preserve"> A norma NBR 9050 - 1994</t>
    </r>
    <r>
      <rPr>
        <sz val="12"/>
        <color theme="1"/>
        <rFont val="Times New Roman"/>
        <family val="1"/>
      </rPr>
      <t>: uma análise de conteúdo. Belo Horizonte: Centro de Vida Independente - CVI/BH, 1995. 77p.</t>
    </r>
  </si>
  <si>
    <r>
      <rPr>
        <b/>
        <sz val="12"/>
        <color theme="1"/>
        <rFont val="Times New Roman"/>
        <family val="1"/>
      </rPr>
      <t>OLIVEIRA(1995):</t>
    </r>
    <r>
      <rPr>
        <sz val="12"/>
        <color theme="1"/>
        <rFont val="Times New Roman"/>
        <family val="1"/>
      </rPr>
      <t xml:space="preserve"> OLIVEIRA, Marcos Fontoura de. Introdução. In: GUIMARÃES, Marcelo Pinto. </t>
    </r>
    <r>
      <rPr>
        <i/>
        <sz val="12"/>
        <color theme="1"/>
        <rFont val="Times New Roman"/>
        <family val="1"/>
      </rPr>
      <t>A norma NBR 9050 - 1994</t>
    </r>
    <r>
      <rPr>
        <sz val="12"/>
        <color theme="1"/>
        <rFont val="Times New Roman"/>
        <family val="1"/>
      </rPr>
      <t>: uma análise de conteúdo. Belo Horizonte: Centro de Vida Independente - CVI/BH, 1995. 77p.</t>
    </r>
  </si>
  <si>
    <t>NVO tcc(ano)
(% de viagens omitidas)</t>
  </si>
  <si>
    <t>(NVO tcc(ano) / NVE (ano)) x 100</t>
  </si>
  <si>
    <t>NVO tcc(ano)
(n.º)</t>
  </si>
  <si>
    <t>Gráfico 810d - Resultados de IAED de cidades/regiões já incorporadas ao SisMob-BH e comparação com requisitos de parte interessada</t>
  </si>
  <si>
    <t>Gráfico 810n - Percentual da frota de ônibus com piso baixo do transporte coletivo de Belo Horizonte em comparação com resultados de outras cidades/regiões do Brasil e do mundo</t>
  </si>
  <si>
    <t>Gráfico 810p - Evoluções das participações das frotas de transporte coletivo convencional e suplementar de Belo Horizonte (2001-2015)</t>
  </si>
  <si>
    <r>
      <rPr>
        <b/>
        <sz val="12"/>
        <color theme="1"/>
        <rFont val="Times New Roman"/>
        <family val="1"/>
      </rPr>
      <t xml:space="preserve">RODRIGUES(2012): </t>
    </r>
    <r>
      <rPr>
        <sz val="12"/>
        <color theme="1"/>
        <rFont val="Times New Roman"/>
        <family val="1"/>
      </rPr>
      <t xml:space="preserve">RODRIGUES, Juciano Martins. </t>
    </r>
    <r>
      <rPr>
        <i/>
        <sz val="12"/>
        <color theme="1"/>
        <rFont val="Times New Roman"/>
        <family val="1"/>
      </rPr>
      <t>Crescimento da frota de automóveis e motocicletas nas metrópoles brasileiras 2001/2011</t>
    </r>
    <r>
      <rPr>
        <sz val="12"/>
        <color theme="1"/>
        <rFont val="Times New Roman"/>
        <family val="1"/>
      </rPr>
      <t>. Rio de Janeiro: INCT - Institutos Nacionais de Ciência e Tecnologia; Observatório das Metrópoles, 2012. n.p. Disponível em: &lt;http://observatoriodasmetropoles.net/download/relatorio_automotos.pdf&gt;. Acesso em: 14 ago. 2016.</t>
    </r>
  </si>
  <si>
    <r>
      <rPr>
        <b/>
        <sz val="12"/>
        <rFont val="Times New Roman"/>
        <family val="1"/>
      </rPr>
      <t xml:space="preserve">OLIVEIRA(2016g): </t>
    </r>
    <r>
      <rPr>
        <sz val="12"/>
        <rFont val="Times New Roman"/>
        <family val="1"/>
      </rPr>
      <t xml:space="preserve">OLIVEIRA, Marcos Fontoura de. Entrevista concedida: "CIPA é: conhecer sobre acessibilidade". Belo Horizonte, </t>
    </r>
    <r>
      <rPr>
        <i/>
        <sz val="12"/>
        <rFont val="Times New Roman"/>
        <family val="1"/>
      </rPr>
      <t>Noticipa</t>
    </r>
    <r>
      <rPr>
        <sz val="12"/>
        <rFont val="Times New Roman"/>
        <family val="1"/>
      </rPr>
      <t>, n.4, p.1-2, ago. 2016. [informativo da Cipa BHTrans - gestão 2016/2017]</t>
    </r>
  </si>
  <si>
    <r>
      <t xml:space="preserve">percentual de empregados com deficiência em relação ao total de empregados diretos da BHTrans
</t>
    </r>
    <r>
      <rPr>
        <b/>
        <sz val="10"/>
        <rFont val="Times New Roman"/>
        <family val="1"/>
      </rPr>
      <t xml:space="preserve">obs.: </t>
    </r>
    <r>
      <rPr>
        <sz val="10"/>
        <rFont val="Times New Roman"/>
        <family val="1"/>
      </rPr>
      <t>resultado apresentado em OLIVEIRA(2015e) e analisado em OLIVEIRA(2016g)</t>
    </r>
  </si>
  <si>
    <r>
      <t xml:space="preserve">frota da categoria "automóveis, caminhonetes e camionetas" registrada no município de Belo Horizonte
</t>
    </r>
    <r>
      <rPr>
        <b/>
        <sz val="10"/>
        <color theme="1"/>
        <rFont val="Times New Roman"/>
        <family val="1"/>
      </rPr>
      <t>obs.1:</t>
    </r>
    <r>
      <rPr>
        <sz val="10"/>
        <color theme="1"/>
        <rFont val="Times New Roman"/>
        <family val="1"/>
      </rPr>
      <t xml:space="preserve"> acesse, para comparar, "F veículos leves", que não pode ser confundido com este indicador
</t>
    </r>
    <r>
      <rPr>
        <b/>
        <sz val="10"/>
        <color theme="1"/>
        <rFont val="Times New Roman"/>
        <family val="1"/>
      </rPr>
      <t>obs.2</t>
    </r>
    <r>
      <rPr>
        <sz val="10"/>
        <color theme="1"/>
        <rFont val="Times New Roman"/>
        <family val="1"/>
      </rPr>
      <t>: esta categoria é denominada simplesmente como "automóveis" em estudo de pesquisador do INCT Observatório das Metrópoles conforme RODRIGUES(2012, p.3): "Incluímos na categoria automóvel as camionetes e camionetas, pressupondo que são veículos particulares que compõem o tráfego urbano".</t>
    </r>
  </si>
  <si>
    <r>
      <t xml:space="preserve">frota da categoria "motociclo" registrada no município de Belo Horizonte
</t>
    </r>
    <r>
      <rPr>
        <b/>
        <sz val="10"/>
        <color theme="1"/>
        <rFont val="Times New Roman"/>
        <family val="1"/>
      </rPr>
      <t xml:space="preserve">obs.1: </t>
    </r>
    <r>
      <rPr>
        <sz val="10"/>
        <color theme="1"/>
        <rFont val="Times New Roman"/>
        <family val="1"/>
      </rPr>
      <t xml:space="preserve">"motociclos" é a denominação utilizada pela Associação Brasileira dos Fabricantes de Motocicletas, Ciclomotores, motonetas, bicicletas e similares - Abraciclo para designar a soma de ciclomotor, cub/motoneta, custom, motocicleta, naked, off road, scooter, sposrt, street, touring, trail (on/off road), bigtrail, triciclo, quadriciclo (ABRACICLO, 2014. p.14-15p.)
</t>
    </r>
    <r>
      <rPr>
        <b/>
        <sz val="10"/>
        <color theme="1"/>
        <rFont val="Times New Roman"/>
        <family val="1"/>
      </rPr>
      <t>obs.2:</t>
    </r>
    <r>
      <rPr>
        <sz val="10"/>
        <color theme="1"/>
        <rFont val="Times New Roman"/>
        <family val="1"/>
      </rPr>
      <t xml:space="preserve"> esta categoria, sem os ciclomotores, é denominada simplesmente como "motocicletas" em estudo de pesquisador do INCT Observatório das Metrópoles conforme RODRIGUES(2012, p.3): "Na categoria motocicletas foram consideradas também as motonetas".</t>
    </r>
  </si>
  <si>
    <t>metrópole</t>
  </si>
  <si>
    <t>"entende-se metrópole com[o] espaços urbanos de grande porte com fortes relacionamentos entre si e que possuem uma extensa área de influência direta. Estes espaços são concentradores das atividades econômicas e constituem centros de gestão pública e privada." conforme RODRIGUES(2012, p.3)</t>
  </si>
  <si>
    <r>
      <rPr>
        <b/>
        <sz val="12"/>
        <color theme="1"/>
        <rFont val="Times New Roman"/>
        <family val="1"/>
      </rPr>
      <t>VERTRAN(2015b):</t>
    </r>
    <r>
      <rPr>
        <sz val="12"/>
        <color theme="1"/>
        <rFont val="Times New Roman"/>
        <family val="1"/>
      </rPr>
      <t xml:space="preserve"> VERTRAN.</t>
    </r>
    <r>
      <rPr>
        <i/>
        <sz val="12"/>
        <color theme="1"/>
        <rFont val="Times New Roman"/>
        <family val="1"/>
      </rPr>
      <t xml:space="preserve"> Plano de Mobilidade Urbana de Contagem 2015-2030 - PlanMob Contagem</t>
    </r>
    <r>
      <rPr>
        <sz val="12"/>
        <color theme="1"/>
        <rFont val="Times New Roman"/>
        <family val="1"/>
      </rPr>
      <t>. Contagem, junho de 2015. v.2 - Plano de Comunicação, 204p.</t>
    </r>
  </si>
  <si>
    <r>
      <rPr>
        <b/>
        <sz val="12"/>
        <color theme="1"/>
        <rFont val="Times New Roman"/>
        <family val="1"/>
      </rPr>
      <t>VERTRAN(2015c):</t>
    </r>
    <r>
      <rPr>
        <sz val="12"/>
        <color theme="1"/>
        <rFont val="Times New Roman"/>
        <family val="1"/>
      </rPr>
      <t xml:space="preserve"> VERTRAN.</t>
    </r>
    <r>
      <rPr>
        <i/>
        <sz val="12"/>
        <color theme="1"/>
        <rFont val="Times New Roman"/>
        <family val="1"/>
      </rPr>
      <t xml:space="preserve"> Plano de Mobilidade Urbana de Contagem 2015-2030 - PlanMob Contagem</t>
    </r>
    <r>
      <rPr>
        <sz val="12"/>
        <color theme="1"/>
        <rFont val="Times New Roman"/>
        <family val="1"/>
      </rPr>
      <t>. Contagem, junho de 2015. v.3 - Pré-diagnóstico, 134p.</t>
    </r>
  </si>
  <si>
    <r>
      <rPr>
        <b/>
        <sz val="12"/>
        <color theme="1"/>
        <rFont val="Times New Roman"/>
        <family val="1"/>
      </rPr>
      <t>VERTRAN(2015d):</t>
    </r>
    <r>
      <rPr>
        <sz val="12"/>
        <color theme="1"/>
        <rFont val="Times New Roman"/>
        <family val="1"/>
      </rPr>
      <t xml:space="preserve"> VERTRAN.</t>
    </r>
    <r>
      <rPr>
        <i/>
        <sz val="12"/>
        <color theme="1"/>
        <rFont val="Times New Roman"/>
        <family val="1"/>
      </rPr>
      <t xml:space="preserve"> Plano de Mobilidade Urbana de Contagem 2015-2030 - PlanMob Contagem</t>
    </r>
    <r>
      <rPr>
        <sz val="12"/>
        <color theme="1"/>
        <rFont val="Times New Roman"/>
        <family val="1"/>
      </rPr>
      <t>. Contagem, junho de 2015. v.4 - Consulta pública, 70p.</t>
    </r>
  </si>
  <si>
    <r>
      <rPr>
        <b/>
        <sz val="12"/>
        <color theme="1"/>
        <rFont val="Times New Roman"/>
        <family val="1"/>
      </rPr>
      <t>VERTRAN(2015e):</t>
    </r>
    <r>
      <rPr>
        <sz val="12"/>
        <color theme="1"/>
        <rFont val="Times New Roman"/>
        <family val="1"/>
      </rPr>
      <t xml:space="preserve"> VERTRAN.</t>
    </r>
    <r>
      <rPr>
        <i/>
        <sz val="12"/>
        <color theme="1"/>
        <rFont val="Times New Roman"/>
        <family val="1"/>
      </rPr>
      <t xml:space="preserve"> Plano de Mobilidade Urbana de Contagem 2015-2030 - PlanMob Contagem</t>
    </r>
    <r>
      <rPr>
        <sz val="12"/>
        <color theme="1"/>
        <rFont val="Times New Roman"/>
        <family val="1"/>
      </rPr>
      <t>. Contagem, junho de 2015. v.5 - Olhar das regionais, 40p.</t>
    </r>
  </si>
  <si>
    <r>
      <rPr>
        <b/>
        <sz val="12"/>
        <color theme="1"/>
        <rFont val="Times New Roman"/>
        <family val="1"/>
      </rPr>
      <t>VERTRAN(2015f):</t>
    </r>
    <r>
      <rPr>
        <sz val="12"/>
        <color theme="1"/>
        <rFont val="Times New Roman"/>
        <family val="1"/>
      </rPr>
      <t xml:space="preserve"> VERTRAN.</t>
    </r>
    <r>
      <rPr>
        <i/>
        <sz val="12"/>
        <color theme="1"/>
        <rFont val="Times New Roman"/>
        <family val="1"/>
      </rPr>
      <t xml:space="preserve"> Plano de Mobilidade Urbana de Contagem 2015-2030 - PlanMob Contagem</t>
    </r>
    <r>
      <rPr>
        <sz val="12"/>
        <color theme="1"/>
        <rFont val="Times New Roman"/>
        <family val="1"/>
      </rPr>
      <t>. Contagem, junho de 2015. v.6 - Diagnóstico, 441p.</t>
    </r>
  </si>
  <si>
    <r>
      <rPr>
        <b/>
        <sz val="12"/>
        <color theme="1"/>
        <rFont val="Times New Roman"/>
        <family val="1"/>
      </rPr>
      <t>VERTRAN(2015g):</t>
    </r>
    <r>
      <rPr>
        <sz val="12"/>
        <color theme="1"/>
        <rFont val="Times New Roman"/>
        <family val="1"/>
      </rPr>
      <t xml:space="preserve"> VERTRAN.</t>
    </r>
    <r>
      <rPr>
        <i/>
        <sz val="12"/>
        <color theme="1"/>
        <rFont val="Times New Roman"/>
        <family val="1"/>
      </rPr>
      <t xml:space="preserve"> Plano de Mobilidade Urbana de Contagem 2015-2030 - PlanMob Contagem</t>
    </r>
    <r>
      <rPr>
        <sz val="12"/>
        <color theme="1"/>
        <rFont val="Times New Roman"/>
        <family val="1"/>
      </rPr>
      <t>. Contagem, junho de 2015. v.7 - Educação para mobilidade, 91p.</t>
    </r>
  </si>
  <si>
    <r>
      <rPr>
        <b/>
        <sz val="12"/>
        <color theme="1"/>
        <rFont val="Times New Roman"/>
        <family val="1"/>
      </rPr>
      <t>VERTRAN(2015h):</t>
    </r>
    <r>
      <rPr>
        <sz val="12"/>
        <color theme="1"/>
        <rFont val="Times New Roman"/>
        <family val="1"/>
      </rPr>
      <t xml:space="preserve"> VERTRAN.</t>
    </r>
    <r>
      <rPr>
        <i/>
        <sz val="12"/>
        <color theme="1"/>
        <rFont val="Times New Roman"/>
        <family val="1"/>
      </rPr>
      <t xml:space="preserve"> Plano de Mobilidade Urbana de Contagem 2015-2030 - PlanMob Contagem</t>
    </r>
    <r>
      <rPr>
        <sz val="12"/>
        <color theme="1"/>
        <rFont val="Times New Roman"/>
        <family val="1"/>
      </rPr>
      <t>. Contagem, junho de 2015. v.8 - Banco de dados, 3p.</t>
    </r>
  </si>
  <si>
    <r>
      <rPr>
        <b/>
        <sz val="12"/>
        <color theme="1"/>
        <rFont val="Times New Roman"/>
        <family val="1"/>
      </rPr>
      <t>VERTRAN(2015i):</t>
    </r>
    <r>
      <rPr>
        <sz val="12"/>
        <color theme="1"/>
        <rFont val="Times New Roman"/>
        <family val="1"/>
      </rPr>
      <t xml:space="preserve"> VERTRAN.</t>
    </r>
    <r>
      <rPr>
        <i/>
        <sz val="12"/>
        <color theme="1"/>
        <rFont val="Times New Roman"/>
        <family val="1"/>
      </rPr>
      <t xml:space="preserve"> Plano de Mobilidade Urbana de Contagem 2015-2030 - PlanMob Contagem</t>
    </r>
    <r>
      <rPr>
        <sz val="12"/>
        <color theme="1"/>
        <rFont val="Times New Roman"/>
        <family val="1"/>
      </rPr>
      <t>. Contagem, junho de 2015. v.9 - Minuta de lei, 16p.</t>
    </r>
  </si>
  <si>
    <r>
      <rPr>
        <b/>
        <sz val="12"/>
        <color theme="1"/>
        <rFont val="Times New Roman"/>
        <family val="1"/>
      </rPr>
      <t>VERTRAN(2015j):</t>
    </r>
    <r>
      <rPr>
        <sz val="12"/>
        <color theme="1"/>
        <rFont val="Times New Roman"/>
        <family val="1"/>
      </rPr>
      <t xml:space="preserve"> VERTRAN.</t>
    </r>
    <r>
      <rPr>
        <i/>
        <sz val="12"/>
        <color theme="1"/>
        <rFont val="Times New Roman"/>
        <family val="1"/>
      </rPr>
      <t xml:space="preserve"> Plano de Mobilidade Urbana de Contagem 2015-2030 - PlanMob Contagem</t>
    </r>
    <r>
      <rPr>
        <sz val="12"/>
        <color theme="1"/>
        <rFont val="Times New Roman"/>
        <family val="1"/>
      </rPr>
      <t>. Contagem, junho de 2015. v.10 - Plano consolidado, 60p.</t>
    </r>
  </si>
  <si>
    <r>
      <t xml:space="preserve">Plano de Mobilidade Urbana de Contagem 2015-2030
</t>
    </r>
    <r>
      <rPr>
        <b/>
        <sz val="10"/>
        <color theme="1"/>
        <rFont val="Times New Roman"/>
        <family val="1"/>
      </rPr>
      <t xml:space="preserve">obs.: </t>
    </r>
    <r>
      <rPr>
        <sz val="10"/>
        <color theme="1"/>
        <rFont val="Times New Roman"/>
        <family val="1"/>
      </rPr>
      <t>plano de 2015 em dez volumes conforme VERTRAN(2015a; 2015b; 2015c; 2015d; 2015e; 2015f; 2015g; 2015h; 2015i; 2015j)</t>
    </r>
  </si>
  <si>
    <t>MFO</t>
  </si>
  <si>
    <r>
      <rPr>
        <b/>
        <sz val="12"/>
        <rFont val="Times New Roman"/>
        <family val="1"/>
      </rPr>
      <t>Elaborado por</t>
    </r>
    <r>
      <rPr>
        <sz val="12"/>
        <rFont val="Times New Roman"/>
        <family val="1"/>
      </rPr>
      <t xml:space="preserve"> Marcos Fontoura de Oliveira para o Sistema de Informações da Mobilidade Urbana de Belo Horizonte (SisMob-BH) e publicado na </t>
    </r>
    <r>
      <rPr>
        <i/>
        <sz val="12"/>
        <rFont val="Times New Roman"/>
        <family val="1"/>
      </rPr>
      <t>home page</t>
    </r>
    <r>
      <rPr>
        <sz val="12"/>
        <rFont val="Times New Roman"/>
        <family val="1"/>
      </rPr>
      <t xml:space="preserve"> da BHTrans pela primeira vez em 10/08/2015. Republicado em 10/12/1015, 11/01/2015 e 28/06/2016 com novos formatos. A partir de 28/06/2016: atualizações e correções permanentes em função, principalmente, das atualizações do Quadro 100a e dos gráficos publicados nas abas 1.1 a 9.6.</t>
    </r>
  </si>
  <si>
    <t>BH/Pça.Rui Barbosa 2012</t>
  </si>
  <si>
    <t>rota acessível</t>
  </si>
  <si>
    <r>
      <t>"trajeto contínuo, desobstruído e sinalizado, que conecte os ambientes externos ou internos de espaços e edificações, e que possa ser utilizado de forma autônoma e segura por todas as pessoas, inclusive aquelas com deficiência e mobilidade reduzida. A rota acessível pode incorporar estacionamentos, calçadas rebaixadas, faixas de travessia de pedestres, pisos, corredores, escadas e rampas, entre outros" conforme ABNT(2015a, p.5)</t>
    </r>
    <r>
      <rPr>
        <b/>
        <sz val="10"/>
        <rFont val="Times New Roman"/>
        <family val="1"/>
      </rPr>
      <t xml:space="preserve">
obs.:</t>
    </r>
    <r>
      <rPr>
        <sz val="10"/>
        <rFont val="Times New Roman"/>
        <family val="1"/>
      </rPr>
      <t xml:space="preserve"> o assunto é estudado em BRAGA(2016)</t>
    </r>
  </si>
  <si>
    <t>"inclinação da superfície de piso, longitudinal ao sentido de caminhamento, com declividade igual ou superior a 5 %"; "São consideradas rampas as superfícies de piso com declividade igual ou superior a 5 %." conforme ABNT(2015a, p.5, p.58)</t>
  </si>
  <si>
    <t>piso tátil</t>
  </si>
  <si>
    <t>"piso caracterizado por textura e cor contrastantes em relação ao piso adjacente, destinado a constituir alerta ou linha-guia, servindo de orientação, principalmente, às pessoas com deficiência visual ou baixa visão. São de dois tipos: piso tátil de alerta e piso tátil direcional" conforme ABNT(2015a, p.5)</t>
  </si>
  <si>
    <r>
      <t xml:space="preserve">um dos dois subsistemas de transporte público coletivo de Betim (o outro é o "transporte coletivo de baixa capacidade'
</t>
    </r>
    <r>
      <rPr>
        <b/>
        <sz val="10"/>
        <rFont val="Times New Roman"/>
        <family val="1"/>
      </rPr>
      <t xml:space="preserve">obs.: </t>
    </r>
    <r>
      <rPr>
        <sz val="10"/>
        <rFont val="Times New Roman"/>
        <family val="1"/>
      </rPr>
      <t>"O sistema de transporte público coletivo urbano do Município de Betim é operado por dois sistemas característicos: o convencional e o sistema de transporte público de baixa capacidade – STPBC" conforme VASCONCELOS(2009, p.20)</t>
    </r>
  </si>
  <si>
    <r>
      <t xml:space="preserve">um dos dois subsistemas de transporte público coletivo de Betim (o outro é o "transporte coletivo convencional")
</t>
    </r>
    <r>
      <rPr>
        <b/>
        <sz val="10"/>
        <rFont val="Times New Roman"/>
        <family val="1"/>
      </rPr>
      <t xml:space="preserve">obs.: </t>
    </r>
    <r>
      <rPr>
        <sz val="10"/>
        <rFont val="Times New Roman"/>
        <family val="1"/>
      </rPr>
      <t>"O sistema de transporte público coletivo urbano do Município de Betim é operado por dois sistemas característicos: o convencional e o sistema de transporte público de baixa capacidade – STPBC" conforme VASCONCELOS(2009, p.20)</t>
    </r>
  </si>
  <si>
    <r>
      <t xml:space="preserve">um dos dois subsistemas de transporte público coletivo de Belo Horizonte (o outro é o "transporte coletivo suplementar")
</t>
    </r>
    <r>
      <rPr>
        <b/>
        <sz val="10"/>
        <rFont val="Times New Roman"/>
        <family val="1"/>
      </rPr>
      <t xml:space="preserve">obs.: </t>
    </r>
    <r>
      <rPr>
        <sz val="10"/>
        <rFont val="Times New Roman"/>
        <family val="1"/>
      </rPr>
      <t>oficialmente denominado como "serviços de transporte público coletivo e convencional de passageiros por ônibus do Município de Belo Horizonte" conforme BH(2008a) com sigla "tcc" no SisMob-BH, é gerenciado pela BHTrans desde 1993</t>
    </r>
  </si>
  <si>
    <t>o sistema de transporte público coletivo de Belo Horizonte é formado por dois subsistemas: convencional e suplementar</t>
  </si>
  <si>
    <t>o sistema de transporte público coletivo de Betim é formado por dois subsistemas: convencional e de baixa capacidade</t>
  </si>
  <si>
    <t>o sistema de transporte público coletivo de São Paulo [auto denominado Sistema Municipal de Transporte] "é composto por uma rede integrada, criada pela Secretaria Municipal de Transportes, em conjunto com a SPTrans, em 2003. [...] Esse sistema é composto por dois subsistemas: estrutural e local" conforme SP(2016h)</t>
  </si>
  <si>
    <t>transporte urbano de cargas</t>
  </si>
  <si>
    <t>acesse "transporte de cargas"</t>
  </si>
  <si>
    <t>transporte de cargas</t>
  </si>
  <si>
    <t>"transporte urbano de cargas: serviço de transporte de bens, animais ou mercadorias" conforme definição contida na Política Nacional de Mobilidade Urbana (BRASIL, 2012a, art.45/inciso IX )</t>
  </si>
  <si>
    <r>
      <t xml:space="preserve">"modos de transporte não motorizado: modalidades que se utilizam do esforço humano ou tração animal"
</t>
    </r>
    <r>
      <rPr>
        <b/>
        <sz val="10"/>
        <color theme="1"/>
        <rFont val="Times New Roman"/>
        <family val="1"/>
      </rPr>
      <t xml:space="preserve">obs.: </t>
    </r>
    <r>
      <rPr>
        <sz val="10"/>
        <color theme="1"/>
        <rFont val="Times New Roman"/>
        <family val="1"/>
      </rPr>
      <t>definição contida na Política Nacional de Mobilidade Urbana em BRASIL(2012a, art.45/inciso V)</t>
    </r>
  </si>
  <si>
    <r>
      <t xml:space="preserve">"transporte motorizado privado: meio motorizado de transporte de passageiros utilizado para a realização de viagens individualizadas por intermédio de veículos particulares"
</t>
    </r>
    <r>
      <rPr>
        <b/>
        <sz val="10"/>
        <color theme="1"/>
        <rFont val="Times New Roman"/>
        <family val="1"/>
      </rPr>
      <t xml:space="preserve">obs.: </t>
    </r>
    <r>
      <rPr>
        <sz val="10"/>
        <color theme="1"/>
        <rFont val="Times New Roman"/>
        <family val="1"/>
      </rPr>
      <t>definição contida na Política Nacional de Mobilidade Urbana em BRASIL(2012a, art.45/inciso X)</t>
    </r>
  </si>
  <si>
    <r>
      <t xml:space="preserve">"modos de transporte motorizado: modalidades que se utilizam de veículos automotores" 
</t>
    </r>
    <r>
      <rPr>
        <b/>
        <sz val="10"/>
        <color theme="1"/>
        <rFont val="Times New Roman"/>
        <family val="1"/>
      </rPr>
      <t xml:space="preserve">obs.: </t>
    </r>
    <r>
      <rPr>
        <sz val="10"/>
        <color theme="1"/>
        <rFont val="Times New Roman"/>
        <family val="1"/>
      </rPr>
      <t>definição contida na Política Nacional de Mobilidade Urbana em BRASIL(2012a, art.45/inciso IV)</t>
    </r>
  </si>
  <si>
    <r>
      <t xml:space="preserve">"transporte privado coletivo: serviço de transporte de passageiros não aberto ao público para a realização de viagens com características operacionais exclusivas para cada linha e demanda"
</t>
    </r>
    <r>
      <rPr>
        <b/>
        <sz val="10"/>
        <color theme="1"/>
        <rFont val="Times New Roman"/>
        <family val="1"/>
      </rPr>
      <t xml:space="preserve">obs.: </t>
    </r>
    <r>
      <rPr>
        <sz val="10"/>
        <color theme="1"/>
        <rFont val="Times New Roman"/>
        <family val="1"/>
      </rPr>
      <t>definição contida na Política Nacional de Mobilidade Urbana em BRASIL(2012a, art.45/inciso VII)</t>
    </r>
  </si>
  <si>
    <r>
      <t xml:space="preserve">"transporte público coletivo: serviço público de transporte de passageiros acessível a toda a população mediante pagamento individualizado, com itinerários e preços fixados pelo poder público"
</t>
    </r>
    <r>
      <rPr>
        <b/>
        <sz val="10"/>
        <color theme="1"/>
        <rFont val="Times New Roman"/>
        <family val="1"/>
      </rPr>
      <t xml:space="preserve">obs.: </t>
    </r>
    <r>
      <rPr>
        <sz val="10"/>
        <color theme="1"/>
        <rFont val="Times New Roman"/>
        <family val="1"/>
      </rPr>
      <t>definição contida na Política Nacional de Mobilidade Urbana em BRASIL(2012a, art.45/inciso VI)</t>
    </r>
  </si>
  <si>
    <r>
      <t xml:space="preserve">"transporte público individual: serviço remunerado de transporte de passageiros aberto ao público, por intermédio de veículos de aluguel, para a realização de viagens individualizadas"
</t>
    </r>
    <r>
      <rPr>
        <b/>
        <sz val="10"/>
        <color theme="1"/>
        <rFont val="Times New Roman"/>
        <family val="1"/>
      </rPr>
      <t xml:space="preserve">obs.: </t>
    </r>
    <r>
      <rPr>
        <sz val="10"/>
        <color theme="1"/>
        <rFont val="Times New Roman"/>
        <family val="1"/>
      </rPr>
      <t>definição contida na Política Nacional de Mobilidade Urbana em BRASIL(2012a, art.45/VIII)</t>
    </r>
  </si>
  <si>
    <r>
      <t xml:space="preserve">"transporte urbano: conjunto dos modos e serviços de transporte público e privado utilizados para o deslocamento de pessoas e cargas nas cidades integrantes da Política Nacional de Mobilidade Urbana"
</t>
    </r>
    <r>
      <rPr>
        <b/>
        <sz val="10"/>
        <color theme="1"/>
        <rFont val="Times New Roman"/>
        <family val="1"/>
      </rPr>
      <t>obs.:</t>
    </r>
    <r>
      <rPr>
        <sz val="10"/>
        <color theme="1"/>
        <rFont val="Times New Roman"/>
        <family val="1"/>
      </rPr>
      <t xml:space="preserve"> conforme BRASIL(2012a,art.45/inciso I)</t>
    </r>
  </si>
  <si>
    <r>
      <t xml:space="preserve">"transporte público coletivo intermunicipal de caráter urbano: serviço de transporte público coletivo entre Municípios que tenham contiguidade nos seus perímetros urbanos"
</t>
    </r>
    <r>
      <rPr>
        <b/>
        <sz val="10"/>
        <color theme="1"/>
        <rFont val="Times New Roman"/>
        <family val="1"/>
      </rPr>
      <t xml:space="preserve">obs.: </t>
    </r>
    <r>
      <rPr>
        <sz val="10"/>
        <color theme="1"/>
        <rFont val="Times New Roman"/>
        <family val="1"/>
      </rPr>
      <t>definição contida na Política Nacional de Mobilidade Urbana em BRASIL(2012a, art.45/inciso XI)</t>
    </r>
  </si>
  <si>
    <t>transporte público coletivo intermunici-pal de caráter urbano</t>
  </si>
  <si>
    <r>
      <rPr>
        <b/>
        <sz val="12"/>
        <color theme="1"/>
        <rFont val="Times New Roman"/>
        <family val="1"/>
      </rPr>
      <t xml:space="preserve">APE(2012): </t>
    </r>
    <r>
      <rPr>
        <sz val="12"/>
        <color theme="1"/>
        <rFont val="Times New Roman"/>
        <family val="1"/>
      </rPr>
      <t xml:space="preserve">AÇÕES PREVENTIVAS NA ESCOLA - APE; DIRETORIA DE ENSINO DE SANTOS/SP - DE SANTOS. </t>
    </r>
    <r>
      <rPr>
        <i/>
        <sz val="12"/>
        <color theme="1"/>
        <rFont val="Times New Roman"/>
        <family val="1"/>
      </rPr>
      <t>Direito à acessibilidade</t>
    </r>
    <r>
      <rPr>
        <sz val="12"/>
        <color theme="1"/>
        <rFont val="Times New Roman"/>
        <family val="1"/>
      </rPr>
      <t>. 10 dez. 2012. Disponível em: &lt;http://projetoapesantos.blogspot.com.br/2012/12/direito-acessibilidade-quando-se-fala.html&gt;. Acesso em 22 ago. 2016.</t>
    </r>
  </si>
  <si>
    <r>
      <rPr>
        <b/>
        <sz val="12"/>
        <rFont val="Times New Roman"/>
        <family val="1"/>
      </rPr>
      <t>BRASIL(2011b):</t>
    </r>
    <r>
      <rPr>
        <sz val="12"/>
        <rFont val="Times New Roman"/>
        <family val="1"/>
      </rPr>
      <t xml:space="preserve"> BRASIL. </t>
    </r>
    <r>
      <rPr>
        <i/>
        <sz val="12"/>
        <rFont val="Times New Roman"/>
        <family val="1"/>
      </rPr>
      <t>Lei n.º 12.527, de 18 de novembro de 2011</t>
    </r>
    <r>
      <rPr>
        <sz val="12"/>
        <rFont val="Times New Roman"/>
        <family val="1"/>
      </rPr>
      <t>. Regula o acesso a informações previsto no inciso XXXIII do art. 5o, no inciso II do § 3o do art. 37 e no § 2o do art. 216 da Constituição Federal; altera a Lei no 8.112, de 11 de dezembro de 1990; revoga a Lei no 11.111, de 5 de maio de 2005, e dispositivos da Lei no 8.159, de 8 de janeiro de 1991; e dá outras providências. Versão consolidada disponível em: &lt;http://www.planalto.gov.br/ccivil_03/_ato2011-2014/2011/lei/l12527.htm&gt;. Acesso em: 22 ago. 2016.</t>
    </r>
  </si>
  <si>
    <t>"Veículo automotor de transporte coletivo, com capacidade para mais de 20 passageiros sentados, ainda que,
em virtude de adaptações com vista à maior comodidade destes, transporte número menores" conforme ABNT(2009b, p.6)</t>
  </si>
  <si>
    <r>
      <t xml:space="preserve">frota em n.º de ônibus do transporte público coletivo de uma cidade/região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1</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acesse informações quantitativas relativas ao indicador "IAED" das cidades/regiões já incorporadas ao SisMob-BH
</t>
    </r>
    <r>
      <rPr>
        <b/>
        <sz val="10"/>
        <rFont val="Times New Roman"/>
        <family val="1"/>
      </rPr>
      <t/>
    </r>
  </si>
  <si>
    <r>
      <t xml:space="preserve">frota em n.º de ônibus do transporte público coletivo de uma cidade/região equipados com elevador hidráulico acionado exclusivamente para embarque/desembarque de pessoas em cadeira de rodas e que não operam em plataforma elevada (o embarque/desembarque nunca acontece em nível)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2</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obs.2:</t>
    </r>
    <r>
      <rPr>
        <sz val="10"/>
        <rFont val="Times New Roman"/>
        <family val="1"/>
      </rPr>
      <t xml:space="preserve"> acesse informações quantitativas relativas ao indicador "IAED" das cidades/regiões já incorporadas ao SisMob-BH
</t>
    </r>
    <r>
      <rPr>
        <b/>
        <sz val="10"/>
        <rFont val="Times New Roman"/>
        <family val="1"/>
      </rPr>
      <t/>
    </r>
  </si>
  <si>
    <r>
      <t xml:space="preserve">frota em n.º de ônibus do transporte público coletivo de uma cidade/região equipados com elevador hidráulico que permitem embarque/desembarque não exclusivo de usuários cadeirantes (pessoas em pé podem utilizar o equipamento caso se sintam seguras e o operador permita) e que não operam em plataforma elevada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3</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para informações e resultados de municípios/regiões já incorporados ao SisMob-BH acesse "F tc eh ecp" (Belo Horizonte, Curitiba, Joinville, RMBH metropolitano e São Paulo)
</t>
    </r>
    <r>
      <rPr>
        <b/>
        <sz val="10"/>
        <rFont val="Times New Roman"/>
        <family val="1"/>
      </rPr>
      <t/>
    </r>
  </si>
  <si>
    <r>
      <t xml:space="preserve">frota em n.º de ônibus do transporte público coletivo de uma cidade/região com operação diferente em cada um dos lados: do lado esquerdo operação em corredor de BRT com plataforma elevada e embarque/desembarque em nível com o apoio ou não de plataforma manual em uma das portas; do lado direito operação em vias comuns fora do corredor de BRT, equipados com elevador hidráulico em uma das portas que permite embarque/desembarque exclusivo de cadeirante [esta categoria de BRT misto também recebe veículos de piso alto que, em determinadas viagens, operam fora de estações com plataforma elevada com, para permitir o desembarque, a utilização de escadas implantadas na calçada] 
</t>
    </r>
    <r>
      <rPr>
        <b/>
        <sz val="9"/>
        <rFont val="Times New Roman"/>
        <family val="1"/>
      </rPr>
      <t xml:space="preserve">obs.1: </t>
    </r>
    <r>
      <rPr>
        <sz val="9"/>
        <rFont val="Times New Roman"/>
        <family val="1"/>
      </rPr>
      <t xml:space="preserve">os veículos desta categoria recebem </t>
    </r>
    <r>
      <rPr>
        <b/>
        <sz val="9"/>
        <color rgb="FFFF0000"/>
        <rFont val="Times New Roman"/>
        <family val="1"/>
      </rPr>
      <t>peso 4</t>
    </r>
    <r>
      <rPr>
        <sz val="9"/>
        <rFont val="Times New Roman"/>
        <family val="1"/>
      </rPr>
      <t xml:space="preserve">, numa escala de 1 a 10, na classificação definida pelo SisMob-BH para classificar a acessibilidade - acesse "acessibilidade em ônibus urbano (escala)"
</t>
    </r>
    <r>
      <rPr>
        <b/>
        <sz val="9"/>
        <rFont val="Times New Roman"/>
        <family val="1"/>
      </rPr>
      <t xml:space="preserve">obs.2: </t>
    </r>
    <r>
      <rPr>
        <sz val="9"/>
        <rFont val="Times New Roman"/>
        <family val="1"/>
      </rPr>
      <t>acesse informações quantitativas relativas ao indicador "IAED" das cidades/regiões já incorporadas ao SisMob-BH</t>
    </r>
  </si>
  <si>
    <r>
      <t xml:space="preserve">frota em n.º de ônibus do transporte público coletivo de uma cidade/região com operação diferente em cada um dos lados: do lado esquerdo operação em corredor de BRT com plataforma elevada e embarque/desembarque em nível com o apoio de plataforma manual em uma das portas; do lado direito operação em vias comuns fora do corredor de BRT, equipados com elevador hidráulico em uma das portas que permite embarque/desembarque não exclusivo de usuários cadeirantes (pessoas em pé podem utilizar o equipamento caso se sintam seguras)
</t>
    </r>
    <r>
      <rPr>
        <b/>
        <sz val="9"/>
        <rFont val="Times New Roman"/>
        <family val="1"/>
      </rPr>
      <t xml:space="preserve">obs.1: </t>
    </r>
    <r>
      <rPr>
        <sz val="9"/>
        <rFont val="Times New Roman"/>
        <family val="1"/>
      </rPr>
      <t xml:space="preserve">os veículos desta categoria recebem </t>
    </r>
    <r>
      <rPr>
        <b/>
        <sz val="9"/>
        <color rgb="FFFF0000"/>
        <rFont val="Times New Roman"/>
        <family val="1"/>
      </rPr>
      <t>peso 5</t>
    </r>
    <r>
      <rPr>
        <sz val="9"/>
        <rFont val="Times New Roman"/>
        <family val="1"/>
      </rPr>
      <t xml:space="preserve">, numa escala de 1 a 10, na classificação definida pelo SisMob-BH para classificar a acessibilidade - acesse "acessibilidade em ônibus urbano (escala)"
</t>
    </r>
    <r>
      <rPr>
        <b/>
        <sz val="9"/>
        <rFont val="Times New Roman"/>
        <family val="1"/>
      </rPr>
      <t>obs.2:</t>
    </r>
    <r>
      <rPr>
        <sz val="9"/>
        <rFont val="Times New Roman"/>
        <family val="1"/>
      </rPr>
      <t xml:space="preserve"> acesse informações quantitativas relativas ao indicador "IAED" das cidades/regiões já incorporadas ao SisMob-BH</t>
    </r>
  </si>
  <si>
    <r>
      <t xml:space="preserve">frota em n.º de ônibus do transporte público coletivo de uma cidade/região de piso alto operando com embarque/desembarque apenas em plataformas elevadas (BRT, por exemplo) ou veículos de piso baixo dianteiro, traseiro ou central, em ambos os casos sem rampa veicular (com embarque/desembarque podendo acontecer em nível em todas as portas ou em parte das portas, embora sem o apoio de uma rampa e dependente no motorista estacionar rente à plataforma ou rente à plataforma, sempre sem garantia de fronteira máxima conforme normas brasileiras vigentes
</t>
    </r>
    <r>
      <rPr>
        <b/>
        <sz val="10"/>
        <rFont val="Times New Roman"/>
        <family val="1"/>
      </rPr>
      <t xml:space="preserve">obs.1: </t>
    </r>
    <r>
      <rPr>
        <sz val="10"/>
        <rFont val="Times New Roman"/>
        <family val="1"/>
      </rPr>
      <t>os veículos desta categoria recebem</t>
    </r>
    <r>
      <rPr>
        <b/>
        <sz val="10"/>
        <color rgb="FFFF0000"/>
        <rFont val="Times New Roman"/>
        <family val="1"/>
      </rPr>
      <t xml:space="preserve"> peso 6</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acesse informações quantitativas relativas ao indicador "IAED" das cidades/regiões já incorporadas ao SisMob-BH</t>
    </r>
  </si>
  <si>
    <r>
      <t xml:space="preserve">frota em n.º de ônibus do transporte público coletivo de uma cidade/região de piso-baixo total sem rampa veicular (com embarque/desembarque podendo acontecer sempre em nível e em qualquer porta, mas sem o apoio de uma rampa e dependente no motorista estacionar rente ao meio-fio)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7</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acesse informações quantitativas relativas ao indicador "IAED" das cidades/regiões já incorporadas ao SisMob-BH</t>
    </r>
  </si>
  <si>
    <r>
      <t xml:space="preserve">frota em n.º de ônibus do transporte público coletivo de uma cidade/região de piso baixo (dianteiro, traseiro, central ou total) ou piso alto com rampa veicular não automática em pelo menos uma das portas (com embarque/desembarque sempre em nível, mas dependente da abertura manual da rampa)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8</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acesse informações quantitativas relativas ao indicador "IAED" das cidades/regiões já incorporadas ao SisMob-BH
</t>
    </r>
    <r>
      <rPr>
        <b/>
        <sz val="10"/>
        <rFont val="Times New Roman"/>
        <family val="1"/>
      </rPr>
      <t/>
    </r>
  </si>
  <si>
    <r>
      <t xml:space="preserve">frota em n.º de ônibus do transporte público coletivo de uma cidade/região de piso baixo (dianteiro, traseiro, central ou total) ou piso alto com rampa veicular automática em parte das portas (com embarque/desembarque sempre em nível e autonomia garantida desde que se utilize a porta certa)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9</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acesse informações quantitativas relativas ao indicador "IAED" das cidades/regiões já incorporadas ao SisMob-BH</t>
    </r>
  </si>
  <si>
    <r>
      <t xml:space="preserve">frota total em n.º de ônibus do transporte público coletivo de uma cidade/região
</t>
    </r>
    <r>
      <rPr>
        <b/>
        <sz val="10"/>
        <rFont val="Times New Roman"/>
        <family val="1"/>
      </rPr>
      <t>obs.:</t>
    </r>
    <r>
      <rPr>
        <sz val="10"/>
        <rFont val="Times New Roman"/>
        <family val="1"/>
      </rPr>
      <t xml:space="preserve"> indicador (sem sigla própria) usado pelo </t>
    </r>
    <r>
      <rPr>
        <i/>
        <sz val="10"/>
        <rFont val="Times New Roman"/>
        <family val="1"/>
      </rPr>
      <t>Programa de Cidades Sustentáveis</t>
    </r>
    <r>
      <rPr>
        <sz val="10"/>
        <rFont val="Times New Roman"/>
        <family val="1"/>
      </rPr>
      <t xml:space="preserve"> para compor o "percentual da frota de ônibus com acessibilidade para pessoas com deficiência" conforme  (PROGRAMA,2015b)
obs.3: Da lista de 58 cidades do </t>
    </r>
    <r>
      <rPr>
        <i/>
        <sz val="10"/>
        <rFont val="Times New Roman"/>
        <family val="1"/>
      </rPr>
      <t>Programa Cidades Sustentáveis</t>
    </r>
    <r>
      <rPr>
        <sz val="10"/>
        <rFont val="Times New Roman"/>
        <family val="1"/>
      </rPr>
      <t xml:space="preserve"> o SisMob-BH já incorporou os resultados de </t>
    </r>
    <r>
      <rPr>
        <sz val="10"/>
        <color rgb="FFFF0000"/>
        <rFont val="Times New Roman"/>
        <family val="1"/>
      </rPr>
      <t>São Paulo</t>
    </r>
    <r>
      <rPr>
        <sz val="10"/>
        <rFont val="Times New Roman"/>
        <family val="1"/>
      </rPr>
      <t xml:space="preserve"> (maior cidade do Brasil), de </t>
    </r>
    <r>
      <rPr>
        <sz val="10"/>
        <color rgb="FFFF0000"/>
        <rFont val="Times New Roman"/>
        <family val="1"/>
      </rPr>
      <t>Joinville</t>
    </r>
    <r>
      <rPr>
        <sz val="10"/>
        <rFont val="Times New Roman"/>
        <family val="1"/>
      </rPr>
      <t xml:space="preserve"> (aproximação institucional para comparação de resultados entre cidades com apoio da WRI) e de</t>
    </r>
    <r>
      <rPr>
        <sz val="10"/>
        <color rgb="FFFF0000"/>
        <rFont val="Times New Roman"/>
        <family val="1"/>
      </rPr>
      <t xml:space="preserve"> Porto Alegre</t>
    </r>
    <r>
      <rPr>
        <sz val="10"/>
        <rFont val="Times New Roman"/>
        <family val="1"/>
      </rPr>
      <t xml:space="preserve"> (benchmarking SisMob-BH), sendo que os resultados de outros locais serão incorporados à medida em que isto for sendo considerado apropriado</t>
    </r>
  </si>
  <si>
    <r>
      <t xml:space="preserve">frota em n.º de ônibus do transporte público coletivo de uma cidade/região com alguma facilidade para o embarque/desembarque de pessoas com mobilidade física reduzida mesmo que essa facilidade não permita classificar a viagem ofertada como acessível
</t>
    </r>
    <r>
      <rPr>
        <b/>
        <sz val="10"/>
        <rFont val="Times New Roman"/>
        <family val="1"/>
      </rPr>
      <t>obs.1:</t>
    </r>
    <r>
      <rPr>
        <sz val="10"/>
        <rFont val="Times New Roman"/>
        <family val="1"/>
      </rPr>
      <t xml:space="preserve"> o resultado de cada cidade/região é a ∑ n.º de veículos com alguma facilidade
</t>
    </r>
    <r>
      <rPr>
        <b/>
        <sz val="10"/>
        <rFont val="Times New Roman"/>
        <family val="1"/>
      </rPr>
      <t xml:space="preserve">obs.2: </t>
    </r>
    <r>
      <rPr>
        <sz val="10"/>
        <rFont val="Times New Roman"/>
        <family val="1"/>
      </rPr>
      <t xml:space="preserve">o SisMob-BH considera um ônibus como "acessível" apenas se o embarque/desembarque for em nível com base no desenho universal e, no caso de utilização de elevador hidráulico, se a região/município atestar, de forma inquestionável, a impossibilidade de se adotar qualquer das alternativas principais previstas na NBR 14022 (ABNT, 1997a; 2006a; 2009a; 2011a; 2015a), quais sejam: ônibus de piso baixo e ônibus de piso alto com acesso realizado por plataforma de embarque/desembarque
</t>
    </r>
    <r>
      <rPr>
        <b/>
        <sz val="10"/>
        <rFont val="Times New Roman"/>
        <family val="1"/>
      </rPr>
      <t xml:space="preserve">obs.3: </t>
    </r>
    <r>
      <rPr>
        <sz val="10"/>
        <rFont val="Times New Roman"/>
        <family val="1"/>
      </rPr>
      <t>o SisMob-BH considera um ônibus “com alguma facilidade” se o embarque/desembarque se dá em nível com base no desenho universal ou por meio de qualquer tipo de rampa ou elevador hidráulico instalado no veículo, ou seja, apenas os ônibus mais antigos são "sem facilidade" e sua participação deve cair ano a ano</t>
    </r>
  </si>
  <si>
    <r>
      <t xml:space="preserve">percentual da frota de ônibus do transporte público coletivo de uma cidade/região com alguma facilidade no embarque/desembarque de pessoas com mobilidade física reduzida mesmo que essa facilidade não permita classificar a viagem ofertada como acessível
</t>
    </r>
    <r>
      <rPr>
        <b/>
        <sz val="10"/>
        <rFont val="Times New Roman"/>
        <family val="1"/>
      </rPr>
      <t>obs.1:</t>
    </r>
    <r>
      <rPr>
        <sz val="10"/>
        <rFont val="Times New Roman"/>
        <family val="1"/>
      </rPr>
      <t xml:space="preserve"> o resultado de cada município/região é (∑ n.º de veículos com alguma facilidade / n.º de veículos) x 100
</t>
    </r>
    <r>
      <rPr>
        <b/>
        <sz val="10"/>
        <rFont val="Times New Roman"/>
        <family val="1"/>
      </rPr>
      <t>obs.2:</t>
    </r>
    <r>
      <rPr>
        <sz val="10"/>
        <rFont val="Times New Roman"/>
        <family val="1"/>
      </rPr>
      <t xml:space="preserve"> o SisMob-BH considera um ônibus “com alguma facilidade” se o embarque/desembarque se dá em nível com base no desenho universal ou por meio de qualquer tipo de rampa ou elevador hidráulico instalado no veículo
</t>
    </r>
    <r>
      <rPr>
        <b/>
        <sz val="10"/>
        <rFont val="Times New Roman"/>
        <family val="1"/>
      </rPr>
      <t xml:space="preserve">obs.3: </t>
    </r>
    <r>
      <rPr>
        <sz val="10"/>
        <rFont val="Times New Roman"/>
        <family val="1"/>
      </rPr>
      <t xml:space="preserve">por sua similaridade conceitual (a despeito da diferença semântica), o resultado de cada cidade/região calculado no SisMob-BH para este indicador deve ser cotejado com o (sem sigla) disponibilizado pelo </t>
    </r>
    <r>
      <rPr>
        <i/>
        <sz val="10"/>
        <rFont val="Times New Roman"/>
        <family val="1"/>
      </rPr>
      <t>Programa Cidades Sustentáveis</t>
    </r>
    <r>
      <rPr>
        <sz val="10"/>
        <rFont val="Times New Roman"/>
        <family val="1"/>
      </rPr>
      <t xml:space="preserve"> para o indicador "Frota de ônibus com acessibilidade para pessoas com deficiência" conforme  (PROGRAMA,2015b)</t>
    </r>
  </si>
  <si>
    <t>percentual da frota de ônibus do transporte público coletivo de uma cidade/região equipados com  elevador hidráulico de uso exclusivo ou não para cadeirantes e que não estão aptos a operar em parte do percurso em plataforma elevada</t>
  </si>
  <si>
    <t>meta de percentual da frota de ônibus do transporte público coletivo de uma cidade/região a serem equipados com  elevador hidráulico de uso exclusivo ou não para cadeirantes e que não estão aptos a operar em parte do percurso em plataforma elevada
obs.: Em Campo Grande (MS) considerou-se equivocadamente que "A adequação de veículos para usuários de cadeiras de rodas (mediante a instalação de elevadores no ônibus) é uma medida cara, que se levada às últimas conseqüências implicará em aumento dos custos da passagem e exclusão de usuários de baixa renda do sistema. Contudo, certamente uma parcela dos veículos – de 20 a 25%¨- necessita ser adaptada." conforme CAMPO GRANDE(2015b, p.40)</t>
  </si>
  <si>
    <r>
      <t xml:space="preserve">frota em n.º de ônibus do transporte público coletivo de uma cidade/região com embarque/desembarque exclusivamente em nível em todos os pontos de parada, seja com veículo de piso alto (com o uso de plataforma elevada) ou veículo de piso baixo, em ambos os casos com ou sem rampa para transpor a fronteira
</t>
    </r>
    <r>
      <rPr>
        <b/>
        <sz val="10"/>
        <rFont val="Times New Roman"/>
        <family val="1"/>
      </rPr>
      <t xml:space="preserve">obs.: </t>
    </r>
    <r>
      <rPr>
        <sz val="10"/>
        <rFont val="Times New Roman"/>
        <family val="1"/>
      </rPr>
      <t xml:space="preserve">este indicador é obtido com base nos resultados relativos aos veículos que se enquadrarem nas categorias de peso 6, 7, 8, 9 e 10 na escala "acessibilidade em ônibus urbano", ou seja, o resultado de cada cidade/região é a  ∑ n.º de veículos com embarque em nível
</t>
    </r>
    <r>
      <rPr>
        <b/>
        <sz val="10"/>
        <rFont val="Times New Roman"/>
        <family val="1"/>
      </rPr>
      <t xml:space="preserve">obs.2:  </t>
    </r>
    <r>
      <rPr>
        <sz val="10"/>
        <rFont val="Times New Roman"/>
        <family val="1"/>
      </rPr>
      <t>para resultados deste indicador acesse Belo Horizonte, Contagem, Curitiba, Joinvile, RMBH</t>
    </r>
    <r>
      <rPr>
        <b/>
        <sz val="10"/>
        <rFont val="Times New Roman"/>
        <family val="1"/>
      </rPr>
      <t/>
    </r>
  </si>
  <si>
    <r>
      <t xml:space="preserve">percentual da frota de ônibus do transporte público coletivo urbano de uma cidade/região com embarque/desembarque exclusivamente em nível em todos os pontos de parada, seja com veículo de piso alto (com o uso de plataforma elevada) ou veículo de piso baixo, em ambos os casos com ou sem rampa para transpor a fronteira
</t>
    </r>
    <r>
      <rPr>
        <b/>
        <sz val="10"/>
        <rFont val="Times New Roman"/>
        <family val="1"/>
      </rPr>
      <t xml:space="preserve">obs.1: </t>
    </r>
    <r>
      <rPr>
        <sz val="10"/>
        <rFont val="Times New Roman"/>
        <family val="1"/>
      </rPr>
      <t xml:space="preserve">o resultado de cada cidade/região é (∑ n.º de veículos com algum embarque em nível / n.º total de veículos) x 100
</t>
    </r>
    <r>
      <rPr>
        <b/>
        <sz val="10"/>
        <rFont val="Times New Roman"/>
        <family val="1"/>
      </rPr>
      <t xml:space="preserve">obs.2: </t>
    </r>
    <r>
      <rPr>
        <sz val="10"/>
        <rFont val="Times New Roman"/>
        <family val="1"/>
      </rPr>
      <t>Em Campo Grande (MS) considera-se que "Outra medida a ser implementada, nas linhas onde forem implementados os corredores de transporte, é o embarque em nível, na qual o passageiro de cadeira de rodas já é elevado ao nível do piso do ônibus antes do embarque – mediante elevadores e/ou rampas, conforme projeto a ser elaborado." conforme CAMPO GRANDE(2015b, p.40)</t>
    </r>
  </si>
  <si>
    <r>
      <rPr>
        <b/>
        <sz val="12"/>
        <color theme="1"/>
        <rFont val="Times New Roman"/>
        <family val="1"/>
      </rPr>
      <t xml:space="preserve">WRI(2016e): </t>
    </r>
    <r>
      <rPr>
        <sz val="12"/>
        <color theme="1"/>
        <rFont val="Times New Roman"/>
        <family val="1"/>
      </rPr>
      <t xml:space="preserve">WORLD RESOURCES INSTITUTE - WRI BRASIL. </t>
    </r>
    <r>
      <rPr>
        <i/>
        <sz val="12"/>
        <color theme="1"/>
        <rFont val="Times New Roman"/>
        <family val="1"/>
      </rPr>
      <t>Global BRT Data</t>
    </r>
    <r>
      <rPr>
        <sz val="12"/>
        <color theme="1"/>
        <rFont val="Times New Roman"/>
        <family val="1"/>
      </rPr>
      <t>. s.l. Disponível para consulta em &lt;http://brtdata.org/&gt;. Acesso em: 20 jun. 2016.</t>
    </r>
  </si>
  <si>
    <r>
      <t xml:space="preserve">frota em n.º de ônibus do transporte coletivo (convencional e suplementar) de Belo Horizonte com alguma facilidade para o embarque/desembarque de pessoas com mobilidade física reduzida mesmo que essa facilidade não permita classificar a viagem ofertada como acessível
</t>
    </r>
    <r>
      <rPr>
        <b/>
        <sz val="10"/>
        <rFont val="Times New Roman"/>
        <family val="1"/>
      </rPr>
      <t xml:space="preserve">obs.1: </t>
    </r>
    <r>
      <rPr>
        <sz val="10"/>
        <rFont val="Times New Roman"/>
        <family val="1"/>
      </rPr>
      <t xml:space="preserve">embora sem resultados apresentados, este indicador equivale ao proposto pelo ObsMob-BH em BHTRANS (2011, p.4; 2012, p.6),
</t>
    </r>
    <r>
      <rPr>
        <b/>
        <sz val="10"/>
        <rFont val="Times New Roman"/>
        <family val="1"/>
      </rPr>
      <t xml:space="preserve">obs.2: </t>
    </r>
    <r>
      <rPr>
        <sz val="10"/>
        <rFont val="Times New Roman"/>
        <family val="1"/>
      </rPr>
      <t>acesse as definições de "ônibus com alguma facilidade" e os resultados de "NVR tcc fc (%)"</t>
    </r>
  </si>
  <si>
    <t>QRO</t>
  </si>
  <si>
    <t>"O quadro de horários, denominado QRO – Quadro de Referência Operacional, estabelece o cronograma de saída dos ônibus de um determinado ponto de controle (PC), organizando a operação da linha e informando aos usuários o horário de partida de cada viagem deste PC." conforme BHTRANS(2015)</t>
  </si>
  <si>
    <r>
      <rPr>
        <b/>
        <sz val="12"/>
        <rFont val="Times New Roman"/>
        <family val="1"/>
      </rPr>
      <t>BHTRANS(2015w):</t>
    </r>
    <r>
      <rPr>
        <sz val="12"/>
        <rFont val="Times New Roman"/>
        <family val="1"/>
      </rPr>
      <t xml:space="preserve"> EMPRESA DE TRANSPORTES E TRÂNSITO DE BELO HORIZONTE S.A - BHTRANS.</t>
    </r>
    <r>
      <rPr>
        <i/>
        <sz val="12"/>
        <rFont val="Times New Roman"/>
        <family val="1"/>
      </rPr>
      <t xml:space="preserve"> Como é feito o quadro de horários de viagens por ônibus.</t>
    </r>
    <r>
      <rPr>
        <sz val="12"/>
        <rFont val="Times New Roman"/>
        <family val="1"/>
      </rPr>
      <t xml:space="preserve"> Belo Horizonte: BHTrans, 16 jan. 2015. Disponível em: &lt;http://www.bhtrans.pbh.gov.br/portal/page/portal/portalpublico/Temas/Onibus/Como%20%C3%A9%20feito%20o%20Quadro%20de%20Hor%C3%A1rios%20de%20Viagens%20por%20%C3%94nibus&gt;. Acesso em 22 ago. 2016.</t>
    </r>
  </si>
  <si>
    <r>
      <rPr>
        <b/>
        <sz val="12"/>
        <color theme="1"/>
        <rFont val="Times New Roman"/>
        <family val="1"/>
      </rPr>
      <t>PROGRAMA(2015c/d/e):</t>
    </r>
    <r>
      <rPr>
        <sz val="12"/>
        <color theme="1"/>
        <rFont val="Times New Roman"/>
        <family val="1"/>
      </rPr>
      <t xml:space="preserve"> PROGRAMA CIDADES SUSTENTÁVEIS. </t>
    </r>
    <r>
      <rPr>
        <i/>
        <sz val="12"/>
        <color theme="1"/>
        <rFont val="Times New Roman"/>
        <family val="1"/>
      </rPr>
      <t>Prêmio Mobilidade; Manual Prêmio Mobilidade - texto; Manual Prêmio Mobilidade - planilha</t>
    </r>
    <r>
      <rPr>
        <sz val="12"/>
        <color theme="1"/>
        <rFont val="Times New Roman"/>
        <family val="1"/>
      </rPr>
      <t>. Disponível em: a) &lt;http://www.cidadessustentaveis.org.br/premio-mobilidade&gt;; b) &lt;http://www.cidadessustentaveis.org.br/arquivos/premio2016/manual-mobilidade.pdf&gt;; c) baixado em: &lt;http://www.cidadessustentaveis.org.br/premio-mobilidade&gt;. Acesso em: 2 maio 2016.</t>
    </r>
  </si>
  <si>
    <t>acessibilidade em ônibus urbano</t>
  </si>
  <si>
    <t>nota técnica de acessibilidade</t>
  </si>
  <si>
    <t>Nossa BH</t>
  </si>
  <si>
    <t>motofretista</t>
  </si>
  <si>
    <r>
      <rPr>
        <b/>
        <sz val="12"/>
        <color theme="1"/>
        <rFont val="Times New Roman"/>
        <family val="1"/>
      </rPr>
      <t>BHTRANS(2014f2):</t>
    </r>
    <r>
      <rPr>
        <sz val="12"/>
        <color theme="1"/>
        <rFont val="Times New Roman"/>
        <family val="1"/>
      </rPr>
      <t xml:space="preserve"> EMPRESA DE TRANSPORTES E TRÂNSITO DE BELO HORIZONTE S.A - BHTRANS. Gerência de Estacionamentos e Logística Urbana - Gelog/SIMP/DTP. </t>
    </r>
    <r>
      <rPr>
        <i/>
        <sz val="12"/>
        <color theme="1"/>
        <rFont val="Times New Roman"/>
        <family val="1"/>
      </rPr>
      <t>Áreas regulamentadas para o estacionamento rotativo de motofrete - tempo máximo de permanência 1 hora - atualizado em 19/12/2014</t>
    </r>
    <r>
      <rPr>
        <sz val="12"/>
        <color theme="1"/>
        <rFont val="Times New Roman"/>
        <family val="1"/>
      </rPr>
      <t>. Belo Horizonte, 19 dez. 2014. [planilha anexa a e-mail respondendo solicitação feira em 16/08/2016 pelo SisMob-BH]</t>
    </r>
  </si>
  <si>
    <r>
      <rPr>
        <b/>
        <sz val="12"/>
        <color theme="1"/>
        <rFont val="Times New Roman"/>
        <family val="1"/>
      </rPr>
      <t>BHTRANS(2015m2):</t>
    </r>
    <r>
      <rPr>
        <sz val="12"/>
        <color theme="1"/>
        <rFont val="Times New Roman"/>
        <family val="1"/>
      </rPr>
      <t xml:space="preserve"> EMPRESA DE TRANSPORTES E TRÂNSITO DE BELO HORIZONTE S.A - BHTRANS. Gerência de Estacionamentos e Logística Urbana - Gelog/SIMP/DTP. </t>
    </r>
    <r>
      <rPr>
        <i/>
        <sz val="12"/>
        <color theme="1"/>
        <rFont val="Times New Roman"/>
        <family val="1"/>
      </rPr>
      <t>Áreas regulamentadas para o estacionamento rotativo de motofrete - tempo máximo de permanência 1 hora - atualizado em 11/12/15.</t>
    </r>
    <r>
      <rPr>
        <sz val="12"/>
        <color theme="1"/>
        <rFont val="Times New Roman"/>
        <family val="1"/>
      </rPr>
      <t xml:space="preserve"> Belo Horizonte, 11 dez. 2015. [planilha anexa a e-mail respondendo solicitação feira em 16/08/2016 pelo SisMob-BH]</t>
    </r>
  </si>
  <si>
    <r>
      <rPr>
        <b/>
        <sz val="12"/>
        <rFont val="Times New Roman"/>
        <family val="1"/>
      </rPr>
      <t>BHTRANS(2014f1):</t>
    </r>
    <r>
      <rPr>
        <sz val="12"/>
        <rFont val="Times New Roman"/>
        <family val="1"/>
      </rPr>
      <t xml:space="preserve"> EMPRESA DE TRANSPORTES E TRÂNSITO DE BELO HORIZONTE S.A - BHTRANS. </t>
    </r>
    <r>
      <rPr>
        <i/>
        <sz val="12"/>
        <rFont val="Times New Roman"/>
        <family val="1"/>
      </rPr>
      <t>Vagas de estacionamento rotativo para motofretistas</t>
    </r>
    <r>
      <rPr>
        <sz val="12"/>
        <rFont val="Times New Roman"/>
        <family val="1"/>
      </rPr>
      <t>. Belo Horizonte: BHTrans, 30 maio 2014. Disponível em: &lt;http://bhtrans.pbh.gov.br/portal/page/portal/portalpublico/Temas/Noticias/estacionamento-motofretistas-300514&gt;. Acesso em: 30 maio 2014.</t>
    </r>
  </si>
  <si>
    <r>
      <t xml:space="preserve">n.º de vagas físicas reservadas para motofretistas
</t>
    </r>
    <r>
      <rPr>
        <b/>
        <sz val="10"/>
        <rFont val="Times New Roman"/>
        <family val="1"/>
      </rPr>
      <t>obs.1:</t>
    </r>
    <r>
      <rPr>
        <sz val="10"/>
        <rFont val="Times New Roman"/>
        <family val="1"/>
      </rPr>
      <t xml:space="preserve"> essa tipologia surge em Belo Horizonte em 02/06/2014 com a criação de "360 vagas de estacionamento para motofretistas em 17 locais da Área Central, cujo período máximo de permanência é de uma hora, nos dias úteis, de 8h às 18h, e no sábado, de 8h às 13h. Para essas vagas de estacionamento rotativo para motocicletas não será necessário o uso da folha do rotativo." conforme (BHTRANS, 2014f1)
</t>
    </r>
    <r>
      <rPr>
        <b/>
        <sz val="10"/>
        <rFont val="Times New Roman"/>
        <family val="1"/>
      </rPr>
      <t xml:space="preserve">obs.2: </t>
    </r>
    <r>
      <rPr>
        <sz val="10"/>
        <rFont val="Times New Roman"/>
        <family val="1"/>
      </rPr>
      <t>o valor anual é tomado como sendo o valor apurado em dezembro de cada ano, com resultado de 2014 conforme BHTRANS(2014f2); de 2015 conforme BHTRANS(2015m2)</t>
    </r>
    <r>
      <rPr>
        <b/>
        <sz val="10"/>
        <rFont val="Times New Roman"/>
        <family val="1"/>
      </rPr>
      <t/>
    </r>
  </si>
  <si>
    <r>
      <t xml:space="preserve">"motociclistas registrados na categoria aluguel (placa vermelha)" conforme BHTRANS(2014f1)
</t>
    </r>
    <r>
      <rPr>
        <b/>
        <sz val="10"/>
        <rFont val="Times New Roman"/>
        <family val="1"/>
      </rPr>
      <t xml:space="preserve">obs.: </t>
    </r>
    <r>
      <rPr>
        <sz val="10"/>
        <rFont val="Times New Roman"/>
        <family val="1"/>
      </rPr>
      <t>acesse resultados em "RT vfm"</t>
    </r>
  </si>
  <si>
    <r>
      <rPr>
        <b/>
        <sz val="12"/>
        <rFont val="Times New Roman"/>
        <family val="1"/>
      </rPr>
      <t>indicadores de estacionamento rotativo (BH):</t>
    </r>
    <r>
      <rPr>
        <b/>
        <sz val="12"/>
        <color theme="1"/>
        <rFont val="Times New Roman"/>
        <family val="1"/>
      </rPr>
      <t xml:space="preserve"> </t>
    </r>
    <r>
      <rPr>
        <sz val="12"/>
        <color theme="1"/>
        <rFont val="Times New Roman"/>
        <family val="1"/>
      </rPr>
      <t>buscar os resultados de 2016 no início de 2017 para atualizar a série 2001-2015 (os resultados de 2015 foram recebidos de Anete A. Gomes da Gelog/DSV após e-mail enviado em 03/08 respondido em 08/08 e e-mail enviado em 10/08 respondido em 16/08  (e-mail enviado originalmente para Sérgio Rocha e em seguida para Silvana Barcelos, ambos da Gelog/DSV)</t>
    </r>
  </si>
  <si>
    <r>
      <rPr>
        <b/>
        <sz val="10"/>
        <color theme="1"/>
        <rFont val="Times New Roman"/>
        <family val="1"/>
      </rPr>
      <t xml:space="preserve">obs.1: </t>
    </r>
    <r>
      <rPr>
        <sz val="10"/>
        <color theme="1"/>
        <rFont val="Times New Roman"/>
        <family val="1"/>
      </rPr>
      <t xml:space="preserve">Ao analisar a série 2001-2012, OLIVEIRA (2014, p.239) aponta para um paradoxo. A atualização 2013-2014 indica que esse paradoxo parece ter chegado a um ponto de ruptura., pois: a) a partir de 2009 observa-se uma queda anual sistemática, por cinco anos seguidos, da rotatividade média no estacionamento rotativo: no ano de 2014 aconteceu o pior resultado (2,92 veículos estacionados por vaga) em uma série que teve seu melhor resultado em 2004 (3,98 veículos estacionados por vaga); b) os resultados indicam um crescimento sistemátido do índice de infrações no estacionamento rotativo, alcançando a marca histórica de 80% em 2013 e 79% em 2014 em uma série que teve seu melhor resultado em 2002 (52%); c) quebrando uma tendência de pequenas oscilações, a partir de 2012 há uma queda por dois anos consecutivos na quantidade de talões de rotativo vendidos, que chegam a 579.651 em 2014: quantidade quase igual à vendida em 2005; e) em 2012 registrou-se o maior resultado de receita bruta arrecadada com R$1.690.981/mês, quando se dá uma ruptura nos resultados até então crescentes: em 2014 a receita é 7% menor que a de 2012 (R$1.574.796/mês); </t>
    </r>
    <r>
      <rPr>
        <b/>
        <sz val="10"/>
        <color theme="1"/>
        <rFont val="Times New Roman"/>
        <family val="1"/>
      </rPr>
      <t>obs.2:</t>
    </r>
    <r>
      <rPr>
        <sz val="10"/>
        <color theme="1"/>
        <rFont val="Times New Roman"/>
        <family val="1"/>
      </rPr>
      <t xml:space="preserve"> os resultados de 2015 apontam o terceiro ano consecutivo de queda na venda de talões, mas a receita subiu.</t>
    </r>
  </si>
  <si>
    <t>RMBH exceto BH</t>
  </si>
  <si>
    <r>
      <t xml:space="preserve">média do n.º de passageiros transportados por dia útil no metrô de Belo Horizonte
</t>
    </r>
    <r>
      <rPr>
        <b/>
        <sz val="10"/>
        <rFont val="Times New Roman"/>
        <family val="1"/>
      </rPr>
      <t>obs.:</t>
    </r>
    <r>
      <rPr>
        <sz val="10"/>
        <rFont val="Times New Roman"/>
        <family val="1"/>
      </rPr>
      <t xml:space="preserve"> resultados de 2001-2005 conforme BHTRANS(2006a, p.11/Tabela 12); de 2006-2009 conforme BHTRANS(2011b, [p.11] Tabela 13)</t>
    </r>
  </si>
  <si>
    <r>
      <t xml:space="preserve">taxa de passageiros em transporte coletivo (por 100 habitantes)
</t>
    </r>
    <r>
      <rPr>
        <b/>
        <sz val="10"/>
        <rFont val="Times New Roman"/>
        <family val="1"/>
      </rPr>
      <t xml:space="preserve">obs1: </t>
    </r>
    <r>
      <rPr>
        <sz val="10"/>
        <rFont val="Times New Roman"/>
        <family val="1"/>
      </rPr>
      <t xml:space="preserve">indicador estratégico da BHTrans (BHTRANS, 2015d)
</t>
    </r>
    <r>
      <rPr>
        <b/>
        <sz val="10"/>
        <rFont val="Times New Roman"/>
        <family val="1"/>
      </rPr>
      <t xml:space="preserve">obs.2: </t>
    </r>
    <r>
      <rPr>
        <sz val="10"/>
        <rFont val="Times New Roman"/>
        <family val="1"/>
      </rPr>
      <t>resultados relativos ao período 1996-2013 disponíveis em BHTRANS (2015e, p.34)</t>
    </r>
  </si>
  <si>
    <r>
      <t xml:space="preserve">percentual de passageiros [do transporte coletivo] utilizando a rede estruturante
</t>
    </r>
    <r>
      <rPr>
        <b/>
        <sz val="10"/>
        <color theme="1"/>
        <rFont val="Times New Roman"/>
        <family val="1"/>
      </rPr>
      <t>obs1:</t>
    </r>
    <r>
      <rPr>
        <sz val="10"/>
        <color theme="1"/>
        <rFont val="Times New Roman"/>
        <family val="1"/>
      </rPr>
      <t xml:space="preserve"> indicador estratégico da BHTrans (BHTRANS, 2015d)
</t>
    </r>
    <r>
      <rPr>
        <b/>
        <sz val="10"/>
        <color theme="1"/>
        <rFont val="Times New Roman"/>
        <family val="1"/>
      </rPr>
      <t>obs.2:</t>
    </r>
    <r>
      <rPr>
        <sz val="10"/>
        <color theme="1"/>
        <rFont val="Times New Roman"/>
        <family val="1"/>
      </rPr>
      <t xml:space="preserve"> resultados relativos ao período 1996-2013 disponíveis em BHTRANS (2015e, p.37)</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</si>
  <si>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Elaborados por Marcos Fontoura de Oliveira e publicados pela primeira vez no SisMob-BH em 10/02/2015. Republicados em 15/11/2015 e 25/08/2016 com novos lay-out.</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</si>
  <si>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publicados pela primeira vez no SisMob-BH em 25/08/2016.</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</si>
  <si>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Elaborados por Marcos Fontoura de Oliveira e publicados pela primeira vez no SisMob-BH em 25/08/2016</t>
    </r>
    <r>
      <rPr>
        <sz val="10"/>
        <rFont val="Times New Roman"/>
        <family val="1"/>
      </rPr>
      <t xml:space="preserve">.
</t>
    </r>
    <r>
      <rPr>
        <b/>
        <sz val="10"/>
        <rFont val="Times New Roman"/>
        <family val="1"/>
      </rPr>
      <t xml:space="preserve">obs.: </t>
    </r>
    <r>
      <rPr>
        <sz val="10"/>
        <rFont val="Times New Roman"/>
        <family val="1"/>
      </rPr>
      <t>consulte os verbetes "benchmarking SisMob-BH" para conhecer os critérios adotados na seleção das cidades/regiões brasileiras selecionadas para comparação com Belo Horizonte.</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</si>
  <si>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25/08/2016</t>
    </r>
    <r>
      <rPr>
        <sz val="10"/>
        <rFont val="Times New Roman"/>
        <family val="1"/>
      </rPr>
      <t>.</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</si>
  <si>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Elaborados por Marcos Fontoura de Oliveira e publicados pela primeira vez no SisMob-BH em 25/08/2016</t>
    </r>
    <r>
      <rPr>
        <sz val="10"/>
        <rFont val="Times New Roman"/>
        <family val="1"/>
      </rPr>
      <t xml:space="preserve">.
</t>
    </r>
    <r>
      <rPr>
        <b/>
        <sz val="10"/>
        <rFont val="Times New Roman"/>
        <family val="1"/>
      </rPr>
      <t xml:space="preserve">obs.: </t>
    </r>
    <r>
      <rPr>
        <sz val="10"/>
        <rFont val="Times New Roman"/>
        <family val="1"/>
      </rPr>
      <t>consulte os verbetes "benchmarking SisMob-BH" para conhecer os critérios adotados na seleção das cidades/regiões selecionadas para comparação com Belo Horizonte, destacando-se que as aqui apresentadas são apenas as para as quais já foram encontrados resultados de indicadores de acessibilidade no transporte coletivo.</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</si>
  <si>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15/06/2015. Republicado em 10/08/2015, 15/11/2015 e 11/01/2015 com alterações no lay-out. Alteração de lay-out e atualização com resultados de 2015 em 25/08/2016.
</t>
    </r>
    <r>
      <rPr>
        <b/>
        <sz val="10"/>
        <rFont val="Times New Roman"/>
        <family val="1"/>
      </rPr>
      <t xml:space="preserve">obs.1: </t>
    </r>
    <r>
      <rPr>
        <sz val="10"/>
        <rFont val="Times New Roman"/>
        <family val="1"/>
      </rPr>
      <t xml:space="preserve">AN = análises de solicitações que envolvem a legislação urbanística, que são atualmente divididas em quatro tipos: ANdv (diretrizes viárias), ANei (empreendimento de impacto), ANpc (posto de abastecimento de combustíveis ) e ANpv (projeto viário)
</t>
    </r>
    <r>
      <rPr>
        <b/>
        <sz val="10"/>
        <rFont val="Times New Roman"/>
        <family val="1"/>
      </rPr>
      <t xml:space="preserve">obs.2: </t>
    </r>
    <r>
      <rPr>
        <sz val="10"/>
        <rFont val="Times New Roman"/>
        <family val="1"/>
      </rPr>
      <t xml:space="preserve">há resultados apurados mensalmente nos resultados gerenciais da área responsável, com o resultado anual sendo tomado no SisMob-BH como sendo o apurado em dezembro
</t>
    </r>
    <r>
      <rPr>
        <b/>
        <sz val="10"/>
        <rFont val="Times New Roman"/>
        <family val="1"/>
      </rPr>
      <t xml:space="preserve">obs.3: </t>
    </r>
    <r>
      <rPr>
        <sz val="10"/>
        <rFont val="Times New Roman"/>
        <family val="1"/>
      </rPr>
      <t>os resultados de ANpv iniciam-se em 2013 e os demais iniciam-se em 2011</t>
    </r>
  </si>
  <si>
    <r>
      <rPr>
        <b/>
        <sz val="10"/>
        <rFont val="Times New Roman"/>
        <family val="1"/>
      </rPr>
      <t>Fonte:</t>
    </r>
    <r>
      <rPr>
        <sz val="10"/>
        <rFont val="Times New Roman"/>
        <family val="1"/>
      </rPr>
      <t xml:space="preserve"> BHTRANS. Sistema de Informações da Mobilidade Urbana de Belo Horizonte (SisMob-BH). </t>
    </r>
    <r>
      <rPr>
        <i/>
        <sz val="10"/>
        <rFont val="Times New Roman"/>
        <family val="1"/>
      </rPr>
      <t xml:space="preserve">Quadros 100a/b/c - Dados abertos do SisMob-BH. </t>
    </r>
    <r>
      <rPr>
        <sz val="10"/>
        <rFont val="Times New Roman"/>
        <family val="1"/>
      </rPr>
      <t xml:space="preserve">
Elaborado por Marcos Fontoura de Oliveira e publicado pela primeira vez no SisMob-BH em 25/08/2016.
</t>
    </r>
    <r>
      <rPr>
        <b/>
        <sz val="10"/>
        <rFont val="Times New Roman"/>
        <family val="1"/>
      </rPr>
      <t xml:space="preserve">obs.1: </t>
    </r>
    <r>
      <rPr>
        <sz val="10"/>
        <rFont val="Times New Roman"/>
        <family val="1"/>
      </rPr>
      <t xml:space="preserve">AN = análises de solicitações que envolvem a legislação urbanística; ANpv = análises de projetos viários para licenciamento ambiental e urbanístico
</t>
    </r>
    <r>
      <rPr>
        <b/>
        <sz val="10"/>
        <rFont val="Times New Roman"/>
        <family val="1"/>
      </rPr>
      <t xml:space="preserve">obs.2: </t>
    </r>
    <r>
      <rPr>
        <sz val="10"/>
        <rFont val="Times New Roman"/>
        <family val="1"/>
      </rPr>
      <t>há resultados apurados mensalmente nos resultados gerenciais da área responsável, com o resultado anual sendo tomado no SisMob-BH como sendo o apurado em dezembro
obs.3: os resultados de ANpv iniciam-se em 2013 e os demais iniciam-se em 2011</t>
    </r>
  </si>
  <si>
    <r>
      <rPr>
        <b/>
        <sz val="10"/>
        <rFont val="Times New Roman"/>
        <family val="1"/>
      </rPr>
      <t>Fonte:</t>
    </r>
    <r>
      <rPr>
        <sz val="10"/>
        <rFont val="Times New Roman"/>
        <family val="1"/>
      </rPr>
      <t xml:space="preserve"> BHTRANS. Sistema de Informações da Mobilidade Urbana de Belo Horizonte (SisMob-BH). </t>
    </r>
    <r>
      <rPr>
        <i/>
        <sz val="10"/>
        <rFont val="Times New Roman"/>
        <family val="1"/>
      </rPr>
      <t xml:space="preserve">Quadros 100a/b/c - Dados abertos do SisMob-BH. </t>
    </r>
    <r>
      <rPr>
        <sz val="10"/>
        <rFont val="Times New Roman"/>
        <family val="1"/>
      </rPr>
      <t xml:space="preserve">
Elaborado por Marcos Fontoura de Oliveira e publicado pela primeira vez no SisMob-BH em 25/08/2016.
</t>
    </r>
    <r>
      <rPr>
        <b/>
        <sz val="10"/>
        <rFont val="Times New Roman"/>
        <family val="1"/>
      </rPr>
      <t>obs.1:</t>
    </r>
    <r>
      <rPr>
        <sz val="10"/>
        <rFont val="Times New Roman"/>
        <family val="1"/>
      </rPr>
      <t xml:space="preserve"> AN = análises de solicitações que envolvem a legislação urbanística; ANei = análises de empreendimentos de impacto para licenciamento ambiental e urbanístico
</t>
    </r>
    <r>
      <rPr>
        <b/>
        <sz val="10"/>
        <rFont val="Times New Roman"/>
        <family val="1"/>
      </rPr>
      <t xml:space="preserve">obs.2: </t>
    </r>
    <r>
      <rPr>
        <sz val="10"/>
        <rFont val="Times New Roman"/>
        <family val="1"/>
      </rPr>
      <t>há resultados apurados mensalmente nos resultados gerenciais da área responsável, com o resultado anual sendo tomado no SisMob-BH como sendo o apurado em dezembro</t>
    </r>
  </si>
  <si>
    <r>
      <rPr>
        <b/>
        <sz val="10"/>
        <rFont val="Times New Roman"/>
        <family val="1"/>
      </rPr>
      <t>Fonte:</t>
    </r>
    <r>
      <rPr>
        <sz val="10"/>
        <rFont val="Times New Roman"/>
        <family val="1"/>
      </rPr>
      <t xml:space="preserve"> BHTRANS. Sistema de Informações da Mobilidade Urbana de Belo Horizonte (SisMob-BH). </t>
    </r>
    <r>
      <rPr>
        <i/>
        <sz val="10"/>
        <rFont val="Times New Roman"/>
        <family val="1"/>
      </rPr>
      <t xml:space="preserve">Quadros 100a/b/c - Dados abertos do SisMob-BH. </t>
    </r>
    <r>
      <rPr>
        <sz val="10"/>
        <rFont val="Times New Roman"/>
        <family val="1"/>
      </rPr>
      <t xml:space="preserve">
Elaborado por Marcos Fontoura de Oliveira e publicado pela primeira vez no SisMob-BH em 25/08/2016.
</t>
    </r>
    <r>
      <rPr>
        <b/>
        <sz val="10"/>
        <rFont val="Times New Roman"/>
        <family val="1"/>
      </rPr>
      <t xml:space="preserve">obs.1: </t>
    </r>
    <r>
      <rPr>
        <sz val="10"/>
        <rFont val="Times New Roman"/>
        <family val="1"/>
      </rPr>
      <t xml:space="preserve">AN = análises de solicitações que envolvem a legislação urbanística; ANpc = análises de projetos de postos de abastecimento de combustíveis para licenciamento ambiental e urbanístico
</t>
    </r>
    <r>
      <rPr>
        <b/>
        <sz val="10"/>
        <rFont val="Times New Roman"/>
        <family val="1"/>
      </rPr>
      <t xml:space="preserve">obs.2: </t>
    </r>
    <r>
      <rPr>
        <sz val="10"/>
        <rFont val="Times New Roman"/>
        <family val="1"/>
      </rPr>
      <t>há resultados apurados mensalmente nos resultados gerenciais da área responsável, com o resultado anual sendo tomado no SisMob-BH como sendo o apurado em dezembro</t>
    </r>
  </si>
  <si>
    <r>
      <rPr>
        <b/>
        <sz val="10"/>
        <rFont val="Times New Roman"/>
        <family val="1"/>
      </rPr>
      <t>Fonte:</t>
    </r>
    <r>
      <rPr>
        <sz val="10"/>
        <rFont val="Times New Roman"/>
        <family val="1"/>
      </rPr>
      <t xml:space="preserve"> BHTRANS. Sistema de Informações da Mobilidade Urbana de Belo Horizonte (SisMob-BH). </t>
    </r>
    <r>
      <rPr>
        <i/>
        <sz val="10"/>
        <rFont val="Times New Roman"/>
        <family val="1"/>
      </rPr>
      <t xml:space="preserve">Quadros 100a/b/c - Dados abertos do SisMob-BH. </t>
    </r>
    <r>
      <rPr>
        <sz val="10"/>
        <rFont val="Times New Roman"/>
        <family val="1"/>
      </rPr>
      <t xml:space="preserve">
Elaborado por Marcos Fontoura de Oliveira e publicado pela primeira vez no SisMob-BH em 25/08/2016.
</t>
    </r>
    <r>
      <rPr>
        <b/>
        <sz val="10"/>
        <rFont val="Times New Roman"/>
        <family val="1"/>
      </rPr>
      <t xml:space="preserve">obs.1: </t>
    </r>
    <r>
      <rPr>
        <sz val="10"/>
        <rFont val="Times New Roman"/>
        <family val="1"/>
      </rPr>
      <t xml:space="preserve">AN = análises de solicitações que envolvem a legislação urbanística; ANdv = análises diversas envolvendo a legislação urbanística, incluindo a emissão de diretrizes viárias 
</t>
    </r>
    <r>
      <rPr>
        <b/>
        <sz val="10"/>
        <rFont val="Times New Roman"/>
        <family val="1"/>
      </rPr>
      <t xml:space="preserve">obs.2: </t>
    </r>
    <r>
      <rPr>
        <sz val="10"/>
        <rFont val="Times New Roman"/>
        <family val="1"/>
      </rPr>
      <t>há resultados apurados mensalmente nos resultados gerenciais da área responsável, com o resultado anual sendo tomado no SisMob-BH como sendo o apurado em dezembro</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</si>
  <si>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25/08/2016.</t>
    </r>
  </si>
  <si>
    <r>
      <rPr>
        <b/>
        <sz val="10"/>
        <color theme="1"/>
        <rFont val="Times New Roman"/>
        <family val="1"/>
      </rPr>
      <t>obs.:</t>
    </r>
    <r>
      <rPr>
        <sz val="10"/>
        <color theme="1"/>
        <rFont val="Times New Roman"/>
        <family val="1"/>
      </rPr>
      <t xml:space="preserve"> Estas informações são uma pequena parte do que começ</t>
    </r>
    <r>
      <rPr>
        <sz val="10"/>
        <rFont val="Times New Roman"/>
        <family val="1"/>
      </rPr>
      <t xml:space="preserve">ou a ser publicado em 25/08/2016 </t>
    </r>
    <r>
      <rPr>
        <sz val="10"/>
        <color theme="1"/>
        <rFont val="Times New Roman"/>
        <family val="1"/>
      </rPr>
      <t>no seguinte assunto do SisMob-BH: 9) Trânsito e sistema viário / 9.6) Velocidades, tempos e volumes. Caso você necessite de mais informações, acesse esses quadros ou entre em contato com o Observatório da Mobilidade de Belo Horizonte - ObsMob-BH por meio do Fale Conosco da BHTrans.</t>
    </r>
  </si>
  <si>
    <r>
      <rPr>
        <b/>
        <sz val="10"/>
        <rFont val="Times New Roman"/>
        <family val="1"/>
      </rPr>
      <t>obs.:</t>
    </r>
    <r>
      <rPr>
        <sz val="10"/>
        <rFont val="Times New Roman"/>
        <family val="1"/>
      </rPr>
      <t xml:space="preserve"> Estas informações são uma pequena parte do que começou a ser publicado em 25/08/2016 no seguinte assunto do SisMob-BH: 9) Trânsito e sistema viário / 9.6) Velocidades, tempos e volumes. Caso você necessite de mais informações, acesse esses quadros ou entre em contato com o Observatório da Mobilidade de Belo Horizonte - ObsMob-BH por meio do Fale Conosco da BHTrans.</t>
    </r>
  </si>
  <si>
    <r>
      <rPr>
        <b/>
        <sz val="12"/>
        <color theme="1"/>
        <rFont val="Times New Roman"/>
        <family val="1"/>
      </rPr>
      <t xml:space="preserve">WRI(2016f): </t>
    </r>
    <r>
      <rPr>
        <sz val="12"/>
        <color theme="1"/>
        <rFont val="Times New Roman"/>
        <family val="1"/>
      </rPr>
      <t xml:space="preserve">WORLD RESOURCES INSTITUTE - WRI BRASIL. </t>
    </r>
    <r>
      <rPr>
        <i/>
        <sz val="12"/>
        <color theme="1"/>
        <rFont val="Times New Roman"/>
        <family val="1"/>
      </rPr>
      <t xml:space="preserve">Virada Sustentável: é amanhã! </t>
    </r>
    <r>
      <rPr>
        <sz val="12"/>
        <color theme="1"/>
        <rFont val="Times New Roman"/>
        <family val="1"/>
      </rPr>
      <t>Porto Alegre, 25 ago. 2016. Disponível em &lt;http://wricidades.org/conteudo/virada-sustent%C3%A1vel-%C3%A9-amanh%C3%A3&gt;. Acesso em: 25 ago. 2016.</t>
    </r>
  </si>
  <si>
    <t>rua para todos</t>
  </si>
  <si>
    <r>
      <t xml:space="preserve">"Nessa sexta-feira (26[/08/2016]), a Rua Para Todos reserva um espaço especial para os moradores de São Miguel Paulista. O bairro comporta a primeira Área 40 implementada em São Paulo que receberá intervenções de desenho urbano a fim de melhorar a segurança e a qualidade dos deslocamentos para os pedestres." conforme WRI(2016f)
</t>
    </r>
    <r>
      <rPr>
        <b/>
        <sz val="10"/>
        <rFont val="Times New Roman"/>
        <family val="1"/>
      </rPr>
      <t xml:space="preserve">obs.: </t>
    </r>
    <r>
      <rPr>
        <sz val="10"/>
        <rFont val="Times New Roman"/>
        <family val="1"/>
      </rPr>
      <t>acesse o verbete "para todos"</t>
    </r>
  </si>
  <si>
    <r>
      <t xml:space="preserve">logomarca adotada pela Prefeitura de Montevidéu / Uruguai conforme OLIVEIRA(2014, p.81)
</t>
    </r>
    <r>
      <rPr>
        <b/>
        <sz val="10"/>
        <rFont val="Times New Roman"/>
        <family val="1"/>
      </rPr>
      <t>obs.:</t>
    </r>
    <r>
      <rPr>
        <sz val="10"/>
        <rFont val="Times New Roman"/>
        <family val="1"/>
      </rPr>
      <t xml:space="preserve"> acesse o verbete "para todos"</t>
    </r>
  </si>
  <si>
    <r>
      <rPr>
        <b/>
        <sz val="12"/>
        <color theme="1"/>
        <rFont val="Times New Roman"/>
        <family val="1"/>
      </rPr>
      <t xml:space="preserve">BARATTO(2016): </t>
    </r>
    <r>
      <rPr>
        <sz val="12"/>
        <color theme="1"/>
        <rFont val="Times New Roman"/>
        <family val="1"/>
      </rPr>
      <t xml:space="preserve">BARATTO, Romullo. Site mapeia os estacionamentos para pessoas com deficiência em Lisboa. </t>
    </r>
    <r>
      <rPr>
        <i/>
        <sz val="12"/>
        <color theme="1"/>
        <rFont val="Times New Roman"/>
        <family val="1"/>
      </rPr>
      <t>Archdaily</t>
    </r>
    <r>
      <rPr>
        <sz val="12"/>
        <color theme="1"/>
        <rFont val="Times New Roman"/>
        <family val="1"/>
      </rPr>
      <t>, 23 ago. 2016. Disponível em: &lt;http://www.archdaily.com.br/br/793822/site-mapeia-os-estacionamentos-para-pessoas-com-deficiencia-em-lisboa&gt;. Acesso em: 25 ago. 2016.</t>
    </r>
  </si>
  <si>
    <t>mapa de estacionamen-tos reservados</t>
  </si>
  <si>
    <t>website para consulta de estacionamentos reservados para pessoas com deficiência em Lisboa, que "mostra o ponto exato onde as vagas se encontram e ainda informa se um estacionamento privativo ou público". conforme BARATTO(2016)</t>
  </si>
  <si>
    <t>RL vfd</t>
  </si>
  <si>
    <t>RL vfi</t>
  </si>
  <si>
    <t>RL vfdi</t>
  </si>
  <si>
    <r>
      <t xml:space="preserve">n.º total de vagas físicas de estacionamento reservadas para pessoa com deficiência em Lisboa (Portugal)
</t>
    </r>
    <r>
      <rPr>
        <b/>
        <sz val="10"/>
        <rFont val="Times New Roman"/>
        <family val="1"/>
      </rPr>
      <t>obs.:</t>
    </r>
    <r>
      <rPr>
        <sz val="10"/>
        <rFont val="Times New Roman"/>
        <family val="1"/>
      </rPr>
      <t xml:space="preserve"> resultado de 2016 conforme BARATTO(2016)</t>
    </r>
  </si>
  <si>
    <r>
      <rPr>
        <b/>
        <sz val="12"/>
        <rFont val="Times New Roman"/>
        <family val="1"/>
      </rPr>
      <t xml:space="preserve">OLIVEIRA(2016h2): </t>
    </r>
    <r>
      <rPr>
        <sz val="12"/>
        <rFont val="Times New Roman"/>
        <family val="1"/>
      </rPr>
      <t>OLIVEIRA, Marcos Fontoura de.</t>
    </r>
    <r>
      <rPr>
        <i/>
        <sz val="12"/>
        <rFont val="Times New Roman"/>
        <family val="1"/>
      </rPr>
      <t xml:space="preserve"> Nota técnica de acessibilidade n.º 1 - Acessibilidade em ônibus urbano do transporte público coletivo - versão A corrigida. </t>
    </r>
    <r>
      <rPr>
        <sz val="12"/>
        <rFont val="Times New Roman"/>
        <family val="1"/>
      </rPr>
      <t>Belo Horizonte, 25 ago.2016. 38p. + apêndice + anexo [parte integrante do projeto Acessibilidade na mobilidade urbana de Belo Horizonte (Pamu-BH)]</t>
    </r>
  </si>
  <si>
    <r>
      <rPr>
        <b/>
        <sz val="12"/>
        <rFont val="Times New Roman"/>
        <family val="1"/>
      </rPr>
      <t xml:space="preserve">OLIVEIRA(2016h1): </t>
    </r>
    <r>
      <rPr>
        <sz val="12"/>
        <rFont val="Times New Roman"/>
        <family val="1"/>
      </rPr>
      <t>OLIVEIRA, Marcos Fontoura de.</t>
    </r>
    <r>
      <rPr>
        <i/>
        <sz val="12"/>
        <rFont val="Times New Roman"/>
        <family val="1"/>
      </rPr>
      <t xml:space="preserve"> Nota técnica de acessibilidade n.º 1 - Acessibilidade em ônibus urbano do transporte público coletivo - versão A. </t>
    </r>
    <r>
      <rPr>
        <sz val="12"/>
        <rFont val="Times New Roman"/>
        <family val="1"/>
      </rPr>
      <t>Belo Horizonte, 22 ago.2016. 38p. + apêndice + anexo [parte integrante do projeto Acessibilidade na mobilidade urbana de Belo Horizonte (Pamu-BH)]</t>
    </r>
  </si>
  <si>
    <t>para controle</t>
  </si>
  <si>
    <r>
      <rPr>
        <b/>
        <sz val="12"/>
        <color theme="1"/>
        <rFont val="Times New Roman"/>
        <family val="1"/>
      </rPr>
      <t>OMS(2015):</t>
    </r>
    <r>
      <rPr>
        <sz val="12"/>
        <color theme="1"/>
        <rFont val="Times New Roman"/>
        <family val="1"/>
      </rPr>
      <t xml:space="preserve"> ORGANIZAÇÃO MUNDIAL DA SAÚDE - OMS. Gestão das Doenças Não Transmissíveis, Incapacidades, Violência e Prevenção de Traumatismos (NVI). </t>
    </r>
    <r>
      <rPr>
        <i/>
        <sz val="12"/>
        <color theme="1"/>
        <rFont val="Times New Roman"/>
        <family val="1"/>
      </rPr>
      <t>Relatório global sobre o estado da segurança viária 2015 - sumário</t>
    </r>
    <r>
      <rPr>
        <sz val="12"/>
        <color theme="1"/>
        <rFont val="Times New Roman"/>
        <family val="1"/>
      </rPr>
      <t>. Geneva: OMS, 2015. 12p. Disponível em: &lt;http://www.who.int/violence_injury_prevention/road_safety_status/2015/Summary_GSRRS2015_POR.pdf?ua=1&gt;. Acesso em: 7 ago. 2016. [relatório completo em WHO, 2015]</t>
    </r>
  </si>
  <si>
    <r>
      <rPr>
        <b/>
        <sz val="12"/>
        <color theme="1"/>
        <rFont val="Times New Roman"/>
        <family val="1"/>
      </rPr>
      <t>WHO(2015):</t>
    </r>
    <r>
      <rPr>
        <sz val="12"/>
        <color theme="1"/>
        <rFont val="Times New Roman"/>
        <family val="1"/>
      </rPr>
      <t xml:space="preserve"> WORLD HEALTH ORGANIZATION - WHO. Management of Noncommunicable Diseases, Disability, Violence and Injury Prevention - NVI. </t>
    </r>
    <r>
      <rPr>
        <i/>
        <sz val="12"/>
        <color theme="1"/>
        <rFont val="Times New Roman"/>
        <family val="1"/>
      </rPr>
      <t>Global status report on road safety 2015</t>
    </r>
    <r>
      <rPr>
        <sz val="12"/>
        <color theme="1"/>
        <rFont val="Times New Roman"/>
        <family val="1"/>
      </rPr>
      <t>. Geneva: WHO, 2015. 323p. Disponível em: &lt;http://apps.who.int/iris/bitstream/10665/189242/1/9789241565066_eng.pdf?ua=1&gt;. Acesso em: 7 ago. 2013. [sumário em português em OMS, 2015]</t>
    </r>
  </si>
  <si>
    <t>DOC</t>
  </si>
  <si>
    <t>dw(a/b)</t>
  </si>
  <si>
    <t>LOGIT ENGENHARIA CONSULTIVA LTDA. Diagnóstico e prognóstico preliminar [do] Plano de Mobilidade Urbana de Belo Horizonte. Belo Horizonte, outubro/2008 [2008a]. 291p. [a versão pdf com 290p. [onde a p.12 inexiste] está disponível na internet da BHTrans em Observatório / dw(a)=290p e dw(b)= 291p]</t>
  </si>
  <si>
    <t>LOGIT ENGENHARIA CONSULTIVA LTDA. Figuras e tabelas do Diagnóstico e prognóstico preliminar [do] Plano de Mobilidade Urbana de Belo Horizonte. Belo Horizonte, outubro/2008 [2008b]. (publicação exclusiva na intranet da BHTrans em 19/11/2012). </t>
  </si>
  <si>
    <t>dw</t>
  </si>
  <si>
    <t>LOGIT ENGENHARIA CONSULTIVA LTDA. Plano de gerenciamento da demanda e diretrizes para melhoria da oferta [do] Plano de Mobilidade Urbana de Belo Horizonte – Revisão. Belo Horizonte, junho/2009. 208p. (IMPRESSO/partes)</t>
  </si>
  <si>
    <t>LOGIT ENGENHARIA CONSULTIVA LTDA. Plano de implantação, gestão e monitoramento [do] Plano de Mobilidade Urbana de Belo Horizonte – Relatório etapa 5. Belo Horizonte, março/2010. 31p.</t>
  </si>
  <si>
    <t>LOGIT ENGENHARIA CONSULTIVA LTDA - LOGIT. Apresentação [dos] resultados finais [do] Plano de Mobilidade Urbana de Belo Horizonte. Belo Horizonte, junho/2010. 61p. (disponível para download na home page da BHTrans)</t>
  </si>
  <si>
    <t>LOGIT ENGENHARIA CONSULTIVA LTDA - LOGIT. Plano de melhoria da oferta [do] Plano de Mobilidade Urbana de Belo Horizonte – Relatório etapa 4. Belo Horizonte,agosto/2010. 278p. [pdf download e disponível na internet da BHTrans em Observatório]</t>
  </si>
  <si>
    <t>LOGIT ENGENHARIA CONSULTIVA LTDA - LOGIT. Diagnóstico e prognóstico preliminar [do] Plano de Mobilidade Urbana de Belo Horizonte - Sumário executivo. Belo Horizonte, dezembro/2010.  127p. (disponível para download na home page da BHTrans)</t>
  </si>
  <si>
    <r>
      <rPr>
        <b/>
        <sz val="12"/>
        <color theme="1"/>
        <rFont val="Times New Roman"/>
        <family val="1"/>
      </rPr>
      <t xml:space="preserve">SILVA(2015): </t>
    </r>
    <r>
      <rPr>
        <sz val="12"/>
        <color theme="1"/>
        <rFont val="Times New Roman"/>
        <family val="1"/>
      </rPr>
      <t xml:space="preserve">SILVA, Maria Isabel da. </t>
    </r>
    <r>
      <rPr>
        <i/>
        <sz val="12"/>
        <color theme="1"/>
        <rFont val="Times New Roman"/>
        <family val="1"/>
      </rPr>
      <t>Estudo comparado da Lei Brasileira de Inclusão da Pessoa com Deficiência</t>
    </r>
    <r>
      <rPr>
        <sz val="12"/>
        <color theme="1"/>
        <rFont val="Times New Roman"/>
        <family val="1"/>
      </rPr>
      <t>. São Paulo: SEDPcD, 2015. 136p. Disponível em: &lt;http://www.pessoacomdeficiencia.sp.gov.br/Content/uploads/20151117113523_Estudo_Comparado_Lei_Brasileira_Inclusao_Pessoa_Deficiencia.pdf&gt;. Acesso em: 15 ago. 2015.</t>
    </r>
  </si>
  <si>
    <r>
      <rPr>
        <b/>
        <sz val="12"/>
        <color theme="1"/>
        <rFont val="Times New Roman"/>
        <family val="1"/>
      </rPr>
      <t xml:space="preserve">WRI(2016g): </t>
    </r>
    <r>
      <rPr>
        <sz val="12"/>
        <color theme="1"/>
        <rFont val="Times New Roman"/>
        <family val="1"/>
      </rPr>
      <t xml:space="preserve">WORLD RESOURCES INSTITUTE - WRI BRASIL. </t>
    </r>
    <r>
      <rPr>
        <i/>
        <sz val="12"/>
        <color theme="1"/>
        <rFont val="Times New Roman"/>
        <family val="1"/>
      </rPr>
      <t>Mobilidade corporativa: relatório final de diagnóstico da CAMG</t>
    </r>
    <r>
      <rPr>
        <sz val="12"/>
        <color theme="1"/>
        <rFont val="Times New Roman"/>
        <family val="1"/>
      </rPr>
      <t>. 2016. 69 slides [apresentação de Guillermo Petzhold]</t>
    </r>
  </si>
  <si>
    <r>
      <rPr>
        <b/>
        <sz val="12"/>
        <color theme="1"/>
        <rFont val="Times New Roman"/>
        <family val="1"/>
      </rPr>
      <t xml:space="preserve">BHTRANS(2016s2): </t>
    </r>
    <r>
      <rPr>
        <sz val="12"/>
        <color theme="1"/>
        <rFont val="Times New Roman"/>
        <family val="1"/>
      </rPr>
      <t xml:space="preserve">EMPRESA DE TRANSPORTES E TRÂNSITO DE BELO HORIZONTE S.A - BHTRANS. Diretoria de Administração e Recursos Humanos - DAD. Gerência de Gestão e Desenvolvimento de Pessoas - Geape/SARH/DAD. </t>
    </r>
    <r>
      <rPr>
        <i/>
        <sz val="12"/>
        <color theme="1"/>
        <rFont val="Times New Roman"/>
        <family val="1"/>
      </rPr>
      <t>Relatório [completo] com dados sobre pessoal e folha de pagamento referente ao mês de dezembro/2015</t>
    </r>
    <r>
      <rPr>
        <sz val="12"/>
        <color theme="1"/>
        <rFont val="Times New Roman"/>
        <family val="1"/>
      </rPr>
      <t>. Belo Horizonte: BHTrans, [2016]. p.20 - item 6.6 - Cargos comissionados.</t>
    </r>
  </si>
  <si>
    <r>
      <rPr>
        <b/>
        <sz val="12"/>
        <rFont val="Times New Roman"/>
        <family val="1"/>
      </rPr>
      <t xml:space="preserve">WRI(2015b): </t>
    </r>
    <r>
      <rPr>
        <sz val="12"/>
        <rFont val="Times New Roman"/>
        <family val="1"/>
      </rPr>
      <t xml:space="preserve">WORLD RESOURCES INSTITUTE - WRI BRASIL. </t>
    </r>
    <r>
      <rPr>
        <i/>
        <sz val="12"/>
        <rFont val="Times New Roman"/>
        <family val="1"/>
      </rPr>
      <t>Mobilidade corporativa: relatório final de diagnóstico da CAMG</t>
    </r>
    <r>
      <rPr>
        <sz val="12"/>
        <rFont val="Times New Roman"/>
        <family val="1"/>
      </rPr>
      <t>. Porto Alegre, dez. 2015. 44p.</t>
    </r>
  </si>
  <si>
    <t>mobilidade corporativa</t>
  </si>
  <si>
    <t>ra</t>
  </si>
  <si>
    <t>rl</t>
  </si>
  <si>
    <t>fazer ??</t>
  </si>
  <si>
    <t>RH ra</t>
  </si>
  <si>
    <t>RH rl</t>
  </si>
  <si>
    <t xml:space="preserve">registro da fonte
</t>
  </si>
  <si>
    <t>RH cc</t>
  </si>
  <si>
    <t>cc</t>
  </si>
  <si>
    <t>RH rac</t>
  </si>
  <si>
    <t>RH cc - RH rl</t>
  </si>
  <si>
    <t>n.º de empregados diretos concursados ocupando cargo de recrutamento amplo de confiança na BHTrans</t>
  </si>
  <si>
    <t>RH rac + RH ran</t>
  </si>
  <si>
    <t>n.º de empregados diretos (concursados e  não concursados) ocupando cargo de recrutamento amplo de confiança na BHTrans</t>
  </si>
  <si>
    <r>
      <t xml:space="preserve">n.º de empregados diretos não concursados ocupando cargo de confiança na BHTrans
</t>
    </r>
    <r>
      <rPr>
        <b/>
        <sz val="10"/>
        <color theme="1"/>
        <rFont val="Times New Roman"/>
        <family val="1"/>
      </rPr>
      <t xml:space="preserve">obs.1: </t>
    </r>
    <r>
      <rPr>
        <sz val="10"/>
        <color theme="1"/>
        <rFont val="Times New Roman"/>
        <family val="1"/>
      </rPr>
      <t xml:space="preserve">os empregados não concursados só podem ocupar os chamados cargos de recrutamento amplo
</t>
    </r>
    <r>
      <rPr>
        <b/>
        <sz val="10"/>
        <color theme="1"/>
        <rFont val="Times New Roman"/>
        <family val="1"/>
      </rPr>
      <t xml:space="preserve">obs.2: </t>
    </r>
    <r>
      <rPr>
        <sz val="10"/>
        <color theme="1"/>
        <rFont val="Times New Roman"/>
        <family val="1"/>
      </rPr>
      <t>resultados de 2006 a 2012</t>
    </r>
    <r>
      <rPr>
        <sz val="10"/>
        <rFont val="Times New Roman"/>
        <family val="1"/>
      </rPr>
      <t xml:space="preserve"> conforme BHTRANS(2012e); de 2013 conforme BHTRANS(2014j); de 2014 conforme BHTRANS(2015r3); de 2015 conforme BHTRANS(2016s2, p.20)</t>
    </r>
    <r>
      <rPr>
        <sz val="10"/>
        <color theme="1"/>
        <rFont val="Times New Roman"/>
        <family val="1"/>
      </rPr>
      <t xml:space="preserve">
</t>
    </r>
    <r>
      <rPr>
        <b/>
        <sz val="10"/>
        <color theme="1"/>
        <rFont val="Times New Roman"/>
        <family val="1"/>
      </rPr>
      <t>obs.3:</t>
    </r>
    <r>
      <rPr>
        <sz val="10"/>
        <color theme="1"/>
        <rFont val="Times New Roman"/>
        <family val="1"/>
      </rPr>
      <t xml:space="preserve"> indicador operacional da BHTrans com o nome "número de empregados não concursados em cargo de confiança" (BHTRANS, 2015d3)</t>
    </r>
  </si>
  <si>
    <r>
      <t xml:space="preserve">n.º total de empregados da BHTrans
</t>
    </r>
    <r>
      <rPr>
        <b/>
        <sz val="10"/>
        <color theme="1"/>
        <rFont val="Times New Roman"/>
        <family val="1"/>
      </rPr>
      <t>obs.:</t>
    </r>
    <r>
      <rPr>
        <sz val="10"/>
        <color theme="1"/>
        <rFont val="Times New Roman"/>
        <family val="1"/>
      </rPr>
      <t xml:space="preserve"> indicador operacional da BHTrans com o nome "número total de empregados" conforme BHTRANS(2015d3)</t>
    </r>
  </si>
  <si>
    <r>
      <t xml:space="preserve">n.º de empregados não diretos (estagiários e terceirizados) da BHTrans
</t>
    </r>
    <r>
      <rPr>
        <b/>
        <sz val="10"/>
        <rFont val="Times New Roman"/>
        <family val="1"/>
      </rPr>
      <t xml:space="preserve">obs.1: </t>
    </r>
    <r>
      <rPr>
        <sz val="10"/>
        <rFont val="Times New Roman"/>
        <family val="1"/>
      </rPr>
      <t xml:space="preserve">resultados de 2006-2012  conforme BHTRANS(2012e); de 2013-2014 faltando; de 2015 conforme fórmula
</t>
    </r>
    <r>
      <rPr>
        <b/>
        <sz val="10"/>
        <rFont val="Times New Roman"/>
        <family val="1"/>
      </rPr>
      <t xml:space="preserve">obs.2: </t>
    </r>
    <r>
      <rPr>
        <sz val="10"/>
        <rFont val="Times New Roman"/>
        <family val="1"/>
      </rPr>
      <t>indicador operacional da BHTrans com o nome "número de empregados não diretos (estagiários e terceirizados" (BHTRANS, 2015d3)</t>
    </r>
  </si>
  <si>
    <t>registro na fonte
ou
RH c + RH ran</t>
  </si>
  <si>
    <t>RH ran</t>
  </si>
  <si>
    <r>
      <t xml:space="preserve">percentual de empregados diretos não concursados em cargo de confiança da BHTrans em relação ao total de empregados ocupando cargo de recrutamento amplo de confiança
</t>
    </r>
    <r>
      <rPr>
        <b/>
        <sz val="10"/>
        <rFont val="Times New Roman"/>
        <family val="1"/>
      </rPr>
      <t xml:space="preserve">obs.1: </t>
    </r>
    <r>
      <rPr>
        <sz val="10"/>
        <rFont val="Times New Roman"/>
        <family val="1"/>
      </rPr>
      <t>indicador operacional da BHTrans (BHTRANS, 2015d3) com a denominação "percentual de empregados não concursados em cargos de confiança"</t>
    </r>
  </si>
  <si>
    <t>(RH ran / RH ra) x 100</t>
  </si>
  <si>
    <t>RH c em relação a RH</t>
  </si>
  <si>
    <t>RH dr em relação a RH</t>
  </si>
  <si>
    <t>RH nd em relação a RH</t>
  </si>
  <si>
    <t>(RH nd / RH) x 100</t>
  </si>
  <si>
    <t>concursado ocupando cargo de confiança (usado como compleneto de "RH")</t>
  </si>
  <si>
    <t>empregado direto (usado como complemento de RH)</t>
  </si>
  <si>
    <t>estagiário (usado como complemento de "RH")</t>
  </si>
  <si>
    <t>recrutamento amplo (usado como complemento de "RH")</t>
  </si>
  <si>
    <t>rac</t>
  </si>
  <si>
    <t>concursados ocupando cargo de recrutamento amplo de confiança</t>
  </si>
  <si>
    <t>não concursados ocupando cargo de recrutamento amplo de confiança</t>
  </si>
  <si>
    <t>ran</t>
  </si>
  <si>
    <t>empregado direto concursado ocupando cargo de recrutamento limitado de confiança (usado como complemento de "RH")</t>
  </si>
  <si>
    <t>empregado não direto (usado como complemento de "RH")</t>
  </si>
  <si>
    <r>
      <rPr>
        <b/>
        <sz val="12"/>
        <color theme="0"/>
        <rFont val="Times New Roman"/>
        <family val="1"/>
      </rPr>
      <t>RH d/RH dr (RPI)</t>
    </r>
    <r>
      <rPr>
        <b/>
        <sz val="12"/>
        <color theme="1"/>
        <rFont val="Times New Roman"/>
        <family val="1"/>
      </rPr>
      <t xml:space="preserve">
</t>
    </r>
    <r>
      <rPr>
        <b/>
        <sz val="10"/>
        <color theme="1"/>
        <rFont val="Times New Roman"/>
        <family val="1"/>
      </rPr>
      <t>% de empregados diretos com deficiência (RPI)</t>
    </r>
  </si>
  <si>
    <r>
      <rPr>
        <b/>
        <sz val="12"/>
        <color theme="0"/>
        <rFont val="Times New Roman"/>
        <family val="1"/>
      </rPr>
      <t>RH d/RH dr</t>
    </r>
    <r>
      <rPr>
        <b/>
        <sz val="12"/>
        <rFont val="Times New Roman"/>
        <family val="1"/>
      </rPr>
      <t xml:space="preserve">
</t>
    </r>
    <r>
      <rPr>
        <b/>
        <sz val="10"/>
        <rFont val="Times New Roman"/>
        <family val="1"/>
      </rPr>
      <t xml:space="preserve">% de empregados com deficiência </t>
    </r>
  </si>
  <si>
    <r>
      <rPr>
        <b/>
        <sz val="12"/>
        <color theme="0"/>
        <rFont val="Times New Roman"/>
        <family val="1"/>
      </rPr>
      <t>RH d / RH dr</t>
    </r>
    <r>
      <rPr>
        <b/>
        <sz val="12"/>
        <rFont val="Times New Roman"/>
        <family val="1"/>
      </rPr>
      <t xml:space="preserve">
</t>
    </r>
    <r>
      <rPr>
        <b/>
        <sz val="10"/>
        <rFont val="Times New Roman"/>
        <family val="1"/>
      </rPr>
      <t>% de empregados diretos com deficiência</t>
    </r>
  </si>
  <si>
    <t>RH ran em relação a RH ra</t>
  </si>
  <si>
    <r>
      <rPr>
        <b/>
        <sz val="12"/>
        <color theme="1"/>
        <rFont val="Times New Roman"/>
        <family val="1"/>
      </rPr>
      <t xml:space="preserve">WRI(2016h1): </t>
    </r>
    <r>
      <rPr>
        <sz val="12"/>
        <color theme="1"/>
        <rFont val="Times New Roman"/>
        <family val="1"/>
      </rPr>
      <t xml:space="preserve">WORLD RESOURCES INSTITUTE - WRI BRASIL. </t>
    </r>
    <r>
      <rPr>
        <i/>
        <sz val="12"/>
        <color theme="1"/>
        <rFont val="Times New Roman"/>
        <family val="1"/>
      </rPr>
      <t xml:space="preserve">Mobilidade corporativa: relatório da BHTrans. </t>
    </r>
    <r>
      <rPr>
        <sz val="12"/>
        <color theme="1"/>
        <rFont val="Times New Roman"/>
        <family val="1"/>
      </rPr>
      <t>jun. 2016. 49p. + apêndice.</t>
    </r>
  </si>
  <si>
    <r>
      <rPr>
        <b/>
        <sz val="12"/>
        <color theme="1"/>
        <rFont val="Times New Roman"/>
        <family val="1"/>
      </rPr>
      <t xml:space="preserve">WRI(2016h2): </t>
    </r>
    <r>
      <rPr>
        <sz val="12"/>
        <color theme="1"/>
        <rFont val="Times New Roman"/>
        <family val="1"/>
      </rPr>
      <t xml:space="preserve">WORLD RESOURCES INSTITUTE - WRI BRASIL. </t>
    </r>
    <r>
      <rPr>
        <i/>
        <sz val="12"/>
        <color theme="1"/>
        <rFont val="Times New Roman"/>
        <family val="1"/>
      </rPr>
      <t>Mobilidade corporativa: apresentação do relatório de diagnóstico da BHTrans</t>
    </r>
    <r>
      <rPr>
        <sz val="12"/>
        <color theme="1"/>
        <rFont val="Times New Roman"/>
        <family val="1"/>
      </rPr>
      <t>. 2016. 90 slides [apresentação de Guillermo Petzhold]</t>
    </r>
  </si>
  <si>
    <t>GDV</t>
  </si>
  <si>
    <r>
      <rPr>
        <b/>
        <sz val="12"/>
        <color theme="1"/>
        <rFont val="Times New Roman"/>
        <family val="1"/>
      </rPr>
      <t xml:space="preserve">EMBARQ(2015): </t>
    </r>
    <r>
      <rPr>
        <sz val="12"/>
        <color theme="1"/>
        <rFont val="Times New Roman"/>
        <family val="1"/>
      </rPr>
      <t xml:space="preserve">EMBARQ BRASIL. </t>
    </r>
    <r>
      <rPr>
        <i/>
        <sz val="12"/>
        <color theme="1"/>
        <rFont val="Times New Roman"/>
        <family val="1"/>
      </rPr>
      <t>GDV - Gestão da demanda de viagens e mobilidade corporativa</t>
    </r>
    <r>
      <rPr>
        <sz val="12"/>
        <color theme="1"/>
        <rFont val="Times New Roman"/>
        <family val="1"/>
      </rPr>
      <t>. Porto Alegre, [2015]. [folder, 6p.]</t>
    </r>
  </si>
  <si>
    <t>idoso</t>
  </si>
  <si>
    <t>pessoa com idade igual ou superior a 60 (sessenta) anos, conforme estabelecido no Estatuto do Idoso em BRASIL(2003a, art.1º)</t>
  </si>
  <si>
    <t>pessoa com deficiência</t>
  </si>
  <si>
    <t>relativo a pessoa física (usado como complemento de "TX")</t>
  </si>
  <si>
    <r>
      <rPr>
        <b/>
        <sz val="12"/>
        <rFont val="Times New Roman"/>
        <family val="1"/>
      </rPr>
      <t xml:space="preserve">OLIVEIRA(2015g): </t>
    </r>
    <r>
      <rPr>
        <sz val="12"/>
        <rFont val="Times New Roman"/>
        <family val="1"/>
      </rPr>
      <t xml:space="preserve">OLIVEIRA, Marcos Fontoura de. Mobilidade urbana sustentável como meta local de Belo Horizonte nos Objetivos de Desenvolvimento do Milênio: uma crítica aos indicadores selecionados. </t>
    </r>
    <r>
      <rPr>
        <i/>
        <sz val="12"/>
        <rFont val="Times New Roman"/>
        <family val="1"/>
      </rPr>
      <t>Revista do Observatório do Milênio de Belo Horizonte</t>
    </r>
    <r>
      <rPr>
        <sz val="12"/>
        <rFont val="Times New Roman"/>
        <family val="1"/>
      </rPr>
      <t>, Belo Horizonte, ano 6, n.4, p.84-100, agosto 2015. Disponível [revista completa] em: &lt;http://portalpbh.pbh.gov.br/pbh/ecp/files.do?evento=download&amp;urlArqPlc=revista_om_4_web.pdf&gt;. Acesso em: 30 ago. 2016.</t>
    </r>
  </si>
  <si>
    <t>ODM</t>
  </si>
  <si>
    <t>ODM 7</t>
  </si>
  <si>
    <r>
      <t xml:space="preserve">Objetivos de Desenvolvimento do Milênio
</t>
    </r>
    <r>
      <rPr>
        <b/>
        <sz val="10"/>
        <rFont val="Times New Roman"/>
        <family val="1"/>
      </rPr>
      <t xml:space="preserve">obs.: </t>
    </r>
    <r>
      <rPr>
        <sz val="10"/>
        <rFont val="Times New Roman"/>
        <family val="1"/>
      </rPr>
      <t>acesse os verbetes "ODS" e "ODM 7"</t>
    </r>
  </si>
  <si>
    <r>
      <rPr>
        <b/>
        <sz val="12"/>
        <rFont val="Times New Roman"/>
        <family val="1"/>
      </rPr>
      <t xml:space="preserve">ODM-BH(2015): </t>
    </r>
    <r>
      <rPr>
        <sz val="12"/>
        <rFont val="Times New Roman"/>
        <family val="1"/>
      </rPr>
      <t xml:space="preserve">OBSERVATÓRIO DO MILÊNIO DE BELO HORIZONTE - ODM-BH. </t>
    </r>
    <r>
      <rPr>
        <i/>
        <sz val="12"/>
        <rFont val="Times New Roman"/>
        <family val="1"/>
      </rPr>
      <t>Relatório de acompanhamento dos Objetivos de Desenvolvimento do Milênio 2014</t>
    </r>
    <r>
      <rPr>
        <sz val="12"/>
        <rFont val="Times New Roman"/>
        <family val="1"/>
      </rPr>
      <t>. Belo Horizonte: ODM-BH, [2015]. p.158-173 - Objetivo 7 / Meta 9A - Garantir a mobilidade urbana sustentável. Disponível [relatório completo] em: &lt;http://portalpbh.pbh.gov.br/pbh/ecp/files.do?evento=download&amp;urlArqPlc=relatorio_odm_2014_web.pdf&gt;. Acesso em: 30 ago. 2016.</t>
    </r>
  </si>
  <si>
    <r>
      <rPr>
        <b/>
        <sz val="12"/>
        <color theme="1"/>
        <rFont val="Times New Roman"/>
        <family val="1"/>
      </rPr>
      <t xml:space="preserve">UMA(2001): </t>
    </r>
    <r>
      <rPr>
        <sz val="12"/>
        <color theme="1"/>
        <rFont val="Times New Roman"/>
        <family val="1"/>
      </rPr>
      <t xml:space="preserve">UMA CHANCE ao passageiro. </t>
    </r>
    <r>
      <rPr>
        <i/>
        <sz val="12"/>
        <color theme="1"/>
        <rFont val="Times New Roman"/>
        <family val="1"/>
      </rPr>
      <t>Rei da Estrada</t>
    </r>
    <r>
      <rPr>
        <sz val="12"/>
        <color theme="1"/>
        <rFont val="Times New Roman"/>
        <family val="1"/>
      </rPr>
      <t>, São Bernardo do Campo, ano X, n.º 92, p.8-9, maio/junho 2001. [publicação da Scania Latin America]</t>
    </r>
  </si>
  <si>
    <r>
      <rPr>
        <b/>
        <sz val="12"/>
        <rFont val="Times New Roman"/>
        <family val="1"/>
      </rPr>
      <t>MG(2009a):</t>
    </r>
    <r>
      <rPr>
        <sz val="12"/>
        <rFont val="Times New Roman"/>
        <family val="1"/>
      </rPr>
      <t xml:space="preserve"> MINAS GERAIS. </t>
    </r>
    <r>
      <rPr>
        <i/>
        <sz val="12"/>
        <rFont val="Times New Roman"/>
        <family val="1"/>
      </rPr>
      <t>Lei Complementar n.º 107, de 12 de janeiro de 2009</t>
    </r>
    <r>
      <rPr>
        <sz val="12"/>
        <rFont val="Times New Roman"/>
        <family val="1"/>
      </rPr>
      <t>. Cria a Agência de Desenvolvimento da Região Metropolitana de Belo Horizonte - AGÊNCIA RMBH. Disponível em: &lt;https://www.almg.gov.br/consulte/legislacao/completa/completa.html?tipo=LCP&amp;num=107&amp;comp=&amp;ano=2009&gt;. Acesso em: 30 ago. 2016.</t>
    </r>
  </si>
  <si>
    <r>
      <t xml:space="preserve">"...autarquia territorial e especial, com caráter técnico e executivo, para fins de planejamento, assessoramento e regulação urbana, viabilização de instrumentos de desenvolvimento integrado da Região Metropolitana de Belo Horizonte - RMBH - e apoio à execução de funções públicas de interesse comum, com autonomia administrativa e financeira, personalidade jurídica de direito público, prazo de duração indeterminado..." conforme MG(2009/art.1º)
</t>
    </r>
    <r>
      <rPr>
        <b/>
        <sz val="10"/>
        <rFont val="Times New Roman"/>
        <family val="1"/>
      </rPr>
      <t>obs.:</t>
    </r>
    <r>
      <rPr>
        <sz val="10"/>
        <rFont val="Times New Roman"/>
        <family val="1"/>
      </rPr>
      <t xml:space="preserve"> apoiadora do concurso "Acessibilidade para Todos"</t>
    </r>
  </si>
  <si>
    <t>Agência RMBH</t>
  </si>
  <si>
    <r>
      <rPr>
        <b/>
        <sz val="12"/>
        <rFont val="Times New Roman"/>
        <family val="1"/>
      </rPr>
      <t xml:space="preserve">ABNT(2011b): </t>
    </r>
    <r>
      <rPr>
        <sz val="12"/>
        <rFont val="Times New Roman"/>
        <family val="1"/>
      </rPr>
      <t xml:space="preserve">ASSOCIAÇÃO BRASILEIRA DE NORMAS TÉCNICAS – ABNT. </t>
    </r>
    <r>
      <rPr>
        <i/>
        <sz val="12"/>
        <rFont val="Times New Roman"/>
        <family val="1"/>
      </rPr>
      <t>NBR 15646: Acessibilidade - plataforma elevatória veicular para acessibilidade em veículos com características urbanas para o transporte coletivo de passageiros - requisitos de desempenho, projeto, instalação e manutenção</t>
    </r>
    <r>
      <rPr>
        <sz val="12"/>
        <rFont val="Times New Roman"/>
        <family val="1"/>
      </rPr>
      <t>. 2.ed. Rio de Janeiro: ABNT, 2011. 28p. [segunda edição de 25/10/2011; válida a partir de 25/11/2011). não encontrada na internet para baixar na busca em 28 abr. 2016.</t>
    </r>
  </si>
  <si>
    <r>
      <rPr>
        <b/>
        <sz val="12"/>
        <rFont val="Times New Roman"/>
        <family val="1"/>
      </rPr>
      <t xml:space="preserve">ABNT(1997b): </t>
    </r>
    <r>
      <rPr>
        <sz val="12"/>
        <rFont val="Times New Roman"/>
        <family val="1"/>
      </rPr>
      <t xml:space="preserve">ASSOCIAÇÃO BRASILEIRA DE NORMAS TÉCNICAS – ABNT. </t>
    </r>
    <r>
      <rPr>
        <i/>
        <sz val="12"/>
        <rFont val="Times New Roman"/>
        <family val="1"/>
      </rPr>
      <t>NBR 9050: Acessibilidade de pessoas portadoras de deficiência a edificações, espaço, mobiliário e equipamento urbanos</t>
    </r>
    <r>
      <rPr>
        <sz val="12"/>
        <rFont val="Times New Roman"/>
        <family val="1"/>
      </rPr>
      <t>. Rio de Janeiro: ABNT, 1997. 56p. [1ª edição] (publicação da Associação Mineira de Paraplégicos – AMP). não encontrada na internet para baixar na busca em 28 abr. 2016.</t>
    </r>
  </si>
  <si>
    <r>
      <rPr>
        <b/>
        <sz val="12"/>
        <rFont val="Times New Roman"/>
        <family val="1"/>
      </rPr>
      <t xml:space="preserve">ABNT(2016f): </t>
    </r>
    <r>
      <rPr>
        <sz val="12"/>
        <rFont val="Times New Roman"/>
        <family val="1"/>
      </rPr>
      <t xml:space="preserve">ASSOCIAÇÃO BRASILEIRA DE NORMAS TÉCNICAS - ABNT. </t>
    </r>
    <r>
      <rPr>
        <i/>
        <sz val="12"/>
        <rFont val="Times New Roman"/>
        <family val="1"/>
      </rPr>
      <t>Busca Normas ABNT - consulta "14021"</t>
    </r>
    <r>
      <rPr>
        <sz val="12"/>
        <rFont val="Times New Roman"/>
        <family val="1"/>
      </rPr>
      <t>. Busca possível em: &lt;http://www.abntcolecao.com.br/mpf/default.aspx?T=9BC37A821F0D&gt;. Acesso em 30 ago. 2016.</t>
    </r>
  </si>
  <si>
    <r>
      <rPr>
        <b/>
        <sz val="12"/>
        <rFont val="Times New Roman"/>
        <family val="1"/>
      </rPr>
      <t xml:space="preserve">ABNT(2005b): </t>
    </r>
    <r>
      <rPr>
        <sz val="12"/>
        <rFont val="Times New Roman"/>
        <family val="1"/>
      </rPr>
      <t xml:space="preserve">ASSOCIAÇÃO BRASILEIRA DE NORMAS TÉCNICAS – ABNT. </t>
    </r>
    <r>
      <rPr>
        <i/>
        <sz val="12"/>
        <rFont val="Times New Roman"/>
        <family val="1"/>
      </rPr>
      <t>NBR 14021: Transporte - Acessibilidade no sistema de trem urbano ou metropolitano</t>
    </r>
    <r>
      <rPr>
        <sz val="12"/>
        <rFont val="Times New Roman"/>
        <family val="1"/>
      </rPr>
      <t>. 2.ed. Rio de Janeiro: ABNT, 2005. 39p. [segunda edição 30/06/2005; válida a partir de 31/07/2005]. Disponível em: &lt;http://www.pessoacomdeficiencia.gov.br/app/sites/default/files/arquivos/%5Bfield_generico_imagens-filefield-description%5D_11.pdf&gt;. Acesso em 30 ago. 2016.</t>
    </r>
  </si>
  <si>
    <r>
      <rPr>
        <b/>
        <sz val="12"/>
        <rFont val="Times New Roman"/>
        <family val="1"/>
      </rPr>
      <t xml:space="preserve">ABNT(2005c): </t>
    </r>
    <r>
      <rPr>
        <sz val="12"/>
        <rFont val="Times New Roman"/>
        <family val="1"/>
      </rPr>
      <t xml:space="preserve">ASSOCIAÇÃO BRASILEIRA DE NORMAS TÉCNICAS – ABNT. </t>
    </r>
    <r>
      <rPr>
        <i/>
        <sz val="12"/>
        <rFont val="Times New Roman"/>
        <family val="1"/>
      </rPr>
      <t>NBR 14021: Transporte - Acessibilidade no sistema de trem urbano ou metropolitano</t>
    </r>
    <r>
      <rPr>
        <sz val="12"/>
        <rFont val="Times New Roman"/>
        <family val="1"/>
      </rPr>
      <t>. 2.ed. errata 1. Rio de Janeiro: ABNT, 2005. 1p. [publicada em 31/08/2005]. Disponível em: &lt;https://www.mpes.mp.br/Arquivos/Anexos/8325b751-d90b-4dab-86d4-dcdee86ef92e.pdf&gt;. Acesso em 30 ago. 2016.</t>
    </r>
  </si>
  <si>
    <r>
      <t xml:space="preserve">As normas da ABNT que tratam de acessibilidade na mobilidade urbana e estão incorporadas no SisMob-BH são:
</t>
    </r>
    <r>
      <rPr>
        <b/>
        <sz val="10"/>
        <color theme="1"/>
        <rFont val="Times New Roman"/>
        <family val="1"/>
      </rPr>
      <t>NBR 9050 :</t>
    </r>
    <r>
      <rPr>
        <sz val="10"/>
        <color theme="1"/>
        <rFont val="Times New Roman"/>
        <family val="1"/>
      </rPr>
      <t xml:space="preserve"> Acessibilidade a edificações, mobiliário, espaços e equipamentos urbanos conforme  ABNT (1997b [1ª edição]; 2004a [2ª edição]; 2005a [2ª edição corrigida]; 2015a [3ª edição]; a 1ª edição é analisada em GUIMARÃES(1995) com apresentação em OLIVEIRA(1995);
</t>
    </r>
    <r>
      <rPr>
        <b/>
        <sz val="10"/>
        <color theme="1"/>
        <rFont val="Times New Roman"/>
        <family val="1"/>
      </rPr>
      <t xml:space="preserve">NBR 14021 </t>
    </r>
    <r>
      <rPr>
        <sz val="10"/>
        <color theme="1"/>
        <rFont val="Times New Roman"/>
        <family val="1"/>
      </rPr>
      <t>: Transporte - Acessibilidade no sistema de trem urbano ou metropolitano conforme ABNT(</t>
    </r>
    <r>
      <rPr>
        <sz val="10"/>
        <color rgb="FFFF0000"/>
        <rFont val="Times New Roman"/>
        <family val="1"/>
      </rPr>
      <t>não localizada</t>
    </r>
    <r>
      <rPr>
        <sz val="10"/>
        <color theme="1"/>
        <rFont val="Times New Roman"/>
        <family val="1"/>
      </rPr>
      <t xml:space="preserve"> [1ª edição]; 2005b[2ª edição]; 2005c [2ª edição - errata])
</t>
    </r>
    <r>
      <rPr>
        <b/>
        <sz val="10"/>
        <color theme="1"/>
        <rFont val="Times New Roman"/>
        <family val="1"/>
      </rPr>
      <t>NBR 14022</t>
    </r>
    <r>
      <rPr>
        <sz val="10"/>
        <color theme="1"/>
        <rFont val="Times New Roman"/>
        <family val="1"/>
      </rPr>
      <t xml:space="preserve"> : Acessibilidade em veículos de características urbanas para o transporte coletivo de passageiros conforme ABNT(1997a [1ª edição]; 2006a [2ª edição]; 2009a [3ª edição] ; 2011a [4ª edição]);
</t>
    </r>
    <r>
      <rPr>
        <b/>
        <sz val="10"/>
        <color theme="1"/>
        <rFont val="Times New Roman"/>
        <family val="1"/>
      </rPr>
      <t>NBR 15570</t>
    </r>
    <r>
      <rPr>
        <sz val="10"/>
        <color theme="1"/>
        <rFont val="Times New Roman"/>
        <family val="1"/>
      </rPr>
      <t xml:space="preserve"> : Transporte - Especificações técnicas para fabricação de veículos de características urbanas para transporte coletivo de passageiros (2008a [1ª edição]; 2009b [2ª edição] ; 2009c [2ª edição emenda]; 2011c [3ª edição]);
</t>
    </r>
    <r>
      <rPr>
        <b/>
        <sz val="10"/>
        <color theme="1"/>
        <rFont val="Times New Roman"/>
        <family val="1"/>
      </rPr>
      <t xml:space="preserve">NBR 15646 </t>
    </r>
    <r>
      <rPr>
        <sz val="10"/>
        <color theme="1"/>
        <rFont val="Times New Roman"/>
        <family val="1"/>
      </rPr>
      <t xml:space="preserve">: Acessibilidade  -  Plataforma elevatória veicular e rampa de acesso veicular para acessibilidade
de pessoas com deficiência ou mobilidade reduzida, em veículo de transporte de passageiros de categorias M1, M2 e M3  - Requisitos (2008b [1ª edição]; 2011b [2ª edição]; 2016e [3ª edição]);
</t>
    </r>
    <r>
      <rPr>
        <b/>
        <sz val="10"/>
        <color theme="1"/>
        <rFont val="Times New Roman"/>
        <family val="1"/>
      </rPr>
      <t>obs.:</t>
    </r>
    <r>
      <rPr>
        <sz val="10"/>
        <color theme="1"/>
        <rFont val="Times New Roman"/>
        <family val="1"/>
      </rPr>
      <t xml:space="preserve"> normas existentes conforme ABNT(2016a; 2016b; 2016c; 2016d; 2016f) </t>
    </r>
  </si>
  <si>
    <r>
      <rPr>
        <b/>
        <sz val="12"/>
        <rFont val="Times New Roman"/>
        <family val="1"/>
      </rPr>
      <t xml:space="preserve">ABNT(1997c): </t>
    </r>
    <r>
      <rPr>
        <sz val="12"/>
        <rFont val="Times New Roman"/>
        <family val="1"/>
      </rPr>
      <t xml:space="preserve">ASSOCIAÇÃO BRASILEIRA DE NORMAS TÉCNICAS – ABNT. </t>
    </r>
    <r>
      <rPr>
        <i/>
        <sz val="12"/>
        <rFont val="Times New Roman"/>
        <family val="1"/>
      </rPr>
      <t>NBR 14021: Transporte - Acessibilidade à pessoa portadora de deficiência - Trem metropolitano</t>
    </r>
    <r>
      <rPr>
        <sz val="12"/>
        <rFont val="Times New Roman"/>
        <family val="1"/>
      </rPr>
      <t>. Rio de Janeiro: ABNT, 1997. 6p. [1ª edição]. Disponível em: &lt;https://www.mpes.mp.br/Arquivos/Anexos/cc211c45-24a8-4b0e-b171-419e94085e0b.pdf&gt;. Acesso em: 30 ago. 2016.</t>
    </r>
  </si>
  <si>
    <r>
      <rPr>
        <b/>
        <sz val="12"/>
        <color theme="1"/>
        <rFont val="Times New Roman"/>
        <family val="1"/>
      </rPr>
      <t xml:space="preserve">ABNT(2008b): </t>
    </r>
    <r>
      <rPr>
        <sz val="12"/>
        <color theme="1"/>
        <rFont val="Times New Roman"/>
        <family val="1"/>
      </rPr>
      <t xml:space="preserve">ASSOCIAÇÃO BRASILEIRA DE NORMAS TÉCNICAS – ABNT. </t>
    </r>
    <r>
      <rPr>
        <i/>
        <sz val="12"/>
        <color theme="1"/>
        <rFont val="Times New Roman"/>
        <family val="1"/>
      </rPr>
      <t>NBR 15646: Acessibilidade - plataforma elevatória veicular e rampa de acesso veicular para acessibilidade em veículos com características urbanas para o transporte coletivo de passageiros - requisitos de desempenho, projeto, instalação e manutenção</t>
    </r>
    <r>
      <rPr>
        <sz val="12"/>
        <color theme="1"/>
        <rFont val="Times New Roman"/>
        <family val="1"/>
      </rPr>
      <t>. Rio de Janeiro: ABNT, 2008. 26p. [primeira edição de 15/12/2008; válida a partir de 15/01/2009]. Disponível em: &lt;http://www.cnmp.mp.br/portal/images/Comissoes/DireitosFundamentais/Acessibilidade/NBR_15646-2008_Plataforma_veicular.pdf&gt;. Acesso em 30 ago. 2016.</t>
    </r>
  </si>
  <si>
    <r>
      <rPr>
        <b/>
        <sz val="12"/>
        <color theme="1"/>
        <rFont val="Times New Roman"/>
        <family val="1"/>
      </rPr>
      <t xml:space="preserve">BRASIL(1997a): </t>
    </r>
    <r>
      <rPr>
        <sz val="12"/>
        <color theme="1"/>
        <rFont val="Times New Roman"/>
        <family val="1"/>
      </rPr>
      <t xml:space="preserve">BRASIL. </t>
    </r>
    <r>
      <rPr>
        <i/>
        <sz val="12"/>
        <color theme="1"/>
        <rFont val="Times New Roman"/>
        <family val="1"/>
      </rPr>
      <t>Lei n.º 9.503, de 23 de setembro de 1997</t>
    </r>
    <r>
      <rPr>
        <sz val="12"/>
        <color theme="1"/>
        <rFont val="Times New Roman"/>
        <family val="1"/>
      </rPr>
      <t>. Institui o Código de Trânsito Brasileiro. Versão consolidada disponível em: &lt;http://www.planalto.gov.br/ccivil_03/Leis/L9503Compilado.htm&gt;. Acesso em: 26 jan. 2016.</t>
    </r>
  </si>
  <si>
    <r>
      <rPr>
        <b/>
        <sz val="10"/>
        <color theme="1"/>
        <rFont val="Times New Roman"/>
        <family val="1"/>
      </rPr>
      <t>1997:</t>
    </r>
    <r>
      <rPr>
        <sz val="10"/>
        <color theme="1"/>
        <rFont val="Times New Roman"/>
        <family val="1"/>
      </rPr>
      <t xml:space="preserve"> "São vias terrestres urbanas e rurais as ruas, as avenidas, os logradouros, os caminhos, as passagens, as estradas e as rodovias, que terão seu uso regulamentado pelo órgão ou entidade com circunscrição sobre elas, de acordo com as peculiaridades locais e as circunstâncias especiais." (BRASIL, 1997a, rt.2º).
</t>
    </r>
    <r>
      <rPr>
        <b/>
        <sz val="10"/>
        <color theme="1"/>
        <rFont val="Times New Roman"/>
        <family val="1"/>
      </rPr>
      <t>2015:</t>
    </r>
    <r>
      <rPr>
        <sz val="10"/>
        <color theme="1"/>
        <rFont val="Times New Roman"/>
        <family val="1"/>
      </rPr>
      <t xml:space="preserve"> "Para os efeitos deste Código [o CTB de BRASIL(1997a)], são consideradas vias terrestres as praias abertas à circulação pública, as vias internas pertencentes aos condomínios constituídos por unidades autônomas e as vias e áreas de estacionamento de estabelecimentos privados de uso coletivo." conforme BRASIL(2015a, art.109)</t>
    </r>
  </si>
  <si>
    <r>
      <rPr>
        <b/>
        <sz val="12"/>
        <color theme="1"/>
        <rFont val="Times New Roman"/>
        <family val="1"/>
      </rPr>
      <t xml:space="preserve">BHTRANS(2009b): </t>
    </r>
    <r>
      <rPr>
        <sz val="12"/>
        <color theme="1"/>
        <rFont val="Times New Roman"/>
        <family val="1"/>
      </rPr>
      <t xml:space="preserve">EMPRESA DE TRANSPORTES E TRÂNSITO DE BELO HORIZONTE S.A. - BHTRANS. Portaria BHTRANS DPR n.º 139/2009, de 18 de dezembro de 2009. Define regras e procedimentos relativos à emissão de Credencial para Estacionamento Especial para Idosos. </t>
    </r>
    <r>
      <rPr>
        <i/>
        <sz val="12"/>
        <color theme="1"/>
        <rFont val="Times New Roman"/>
        <family val="1"/>
      </rPr>
      <t>Diário Oficial do Município - DOM</t>
    </r>
    <r>
      <rPr>
        <sz val="12"/>
        <color theme="1"/>
        <rFont val="Times New Roman"/>
        <family val="1"/>
      </rPr>
      <t>, Belo Horizonte, Ano XV - Edição n.º 3488, 19 dez. 2009. Poder Executivo. Secretaria Municipal da Coordenação de Política Urbana e Ambiental - BHTRANS. Disponível em: &lt;http://portal6.pbh.gov.br/dom/iniciaEdicao.do?method=DetalheArtigo&amp;pk=1019140&gt;  Acesso em: 30 ago. 2016.</t>
    </r>
  </si>
  <si>
    <r>
      <rPr>
        <b/>
        <sz val="12"/>
        <color theme="1"/>
        <rFont val="Times New Roman"/>
        <family val="1"/>
      </rPr>
      <t>BHTRANS(2011f):</t>
    </r>
    <r>
      <rPr>
        <sz val="12"/>
        <color theme="1"/>
        <rFont val="Times New Roman"/>
        <family val="1"/>
      </rPr>
      <t xml:space="preserve"> EMPRESA DE TRANSPORTES E TRÂNSITO DE BELO HORIZONTE S.A - BHTRANS. Portaria BHTRANS DPR n.º 137/2011, de 30 de dezembro de 2011. Altera e consolida regras e procedimentos relativos à emissão de “Credencial de Estacionamento Especial para Pessoas com Deficiência”, para uso das vagas de estacionamento reservadas a pessoas portadoras de deficiência física ou visual com dificuldade de locomoção. </t>
    </r>
    <r>
      <rPr>
        <i/>
        <sz val="12"/>
        <color theme="1"/>
        <rFont val="Times New Roman"/>
        <family val="1"/>
      </rPr>
      <t>Diário Oficial do Município - DOM</t>
    </r>
    <r>
      <rPr>
        <sz val="12"/>
        <color theme="1"/>
        <rFont val="Times New Roman"/>
        <family val="1"/>
      </rPr>
      <t>, Belo Horizonte, Ano XVIII - Edição n.º 3981, 3 jan. 2012. Poder Executivo. Secretaria Municipal de Serviços Urbanos - BHTRANS. Disponível em: &lt;http://portal6.pbh.gov.br/dom/iniciaEdicao.do?method=DetalheArtigo&amp;pk=1072533&gt;  Acesso em: 30 ago. 2016.</t>
    </r>
  </si>
  <si>
    <r>
      <rPr>
        <b/>
        <sz val="12"/>
        <rFont val="Times New Roman"/>
        <family val="1"/>
      </rPr>
      <t>BRASIL(2008a):</t>
    </r>
    <r>
      <rPr>
        <sz val="12"/>
        <rFont val="Times New Roman"/>
        <family val="1"/>
      </rPr>
      <t xml:space="preserve"> BRASIL. Conselho Nacional de Trânsito. </t>
    </r>
    <r>
      <rPr>
        <i/>
        <sz val="12"/>
        <rFont val="Times New Roman"/>
        <family val="1"/>
      </rPr>
      <t>Resolução Contran n.º 303, de 18 de dezembro de 2008</t>
    </r>
    <r>
      <rPr>
        <sz val="12"/>
        <rFont val="Times New Roman"/>
        <family val="1"/>
      </rPr>
      <t>. Dispõe sobre as vagas de estacionamento de veículos destinadas exclusivamente às pessoas idosas. Disponível em: &lt;http://www.denatran.gov.br/download/Resolucoes/(Resolu%C3%A7%C3%A3o%20303.2008).pdf&gt;. Acesso em: 21 jul. 2016.</t>
    </r>
  </si>
  <si>
    <r>
      <rPr>
        <b/>
        <sz val="12"/>
        <rFont val="Times New Roman"/>
        <family val="1"/>
      </rPr>
      <t>BRASIL(2008b):</t>
    </r>
    <r>
      <rPr>
        <sz val="12"/>
        <rFont val="Times New Roman"/>
        <family val="1"/>
      </rPr>
      <t xml:space="preserve"> BRASIL. Conselho Nacional de Trânsito. </t>
    </r>
    <r>
      <rPr>
        <i/>
        <sz val="12"/>
        <rFont val="Times New Roman"/>
        <family val="1"/>
      </rPr>
      <t>Resolução Contran n.º 304, de 18 de dezembro de 2008</t>
    </r>
    <r>
      <rPr>
        <sz val="12"/>
        <rFont val="Times New Roman"/>
        <family val="1"/>
      </rPr>
      <t>. Dispõe sobre as vagas de estacionamento destinadas exclusivamente a veículos que transportem pessoas portadoras de deficiência e com dificuldade de locomoção. Disponível em: &lt;http://www.denatran.gov.br/download/Resolucoes/RESOLUCAO_CONTRAN_304.pdf&gt;. Acesso em: 21 jul. 2016.</t>
    </r>
  </si>
  <si>
    <r>
      <rPr>
        <b/>
        <sz val="12"/>
        <color theme="1"/>
        <rFont val="Times New Roman"/>
        <family val="1"/>
      </rPr>
      <t xml:space="preserve">BRASIL(2016a): </t>
    </r>
    <r>
      <rPr>
        <sz val="12"/>
        <color theme="1"/>
        <rFont val="Times New Roman"/>
        <family val="1"/>
      </rPr>
      <t xml:space="preserve">BRASIL. Conselho Nacional dos Direitos da Pessoa com Deficiência - Conade. </t>
    </r>
    <r>
      <rPr>
        <i/>
        <sz val="12"/>
        <color theme="1"/>
        <rFont val="Times New Roman"/>
        <family val="1"/>
      </rPr>
      <t>Anais da 4ª Conferência Nacional dos Direitos da Pessoa com Deficiência</t>
    </r>
    <r>
      <rPr>
        <sz val="12"/>
        <color theme="1"/>
        <rFont val="Times New Roman"/>
        <family val="1"/>
      </rPr>
      <t>. Brasília: Conade, maio de 2016. 58p. Disponível em: &lt;http://dh.sdh.gov.br/download/conferencias/anais/anais.pdf&gt;. Acesso em: 9 ago. 2016.</t>
    </r>
  </si>
  <si>
    <r>
      <rPr>
        <b/>
        <sz val="12"/>
        <color theme="1"/>
        <rFont val="Times New Roman"/>
        <family val="1"/>
      </rPr>
      <t xml:space="preserve">BRASIL(2016b): </t>
    </r>
    <r>
      <rPr>
        <sz val="12"/>
        <color theme="1"/>
        <rFont val="Times New Roman"/>
        <family val="1"/>
      </rPr>
      <t xml:space="preserve">BRASIL. Departamento Nacional de Trânsito - Denatran. </t>
    </r>
    <r>
      <rPr>
        <i/>
        <sz val="12"/>
        <color theme="1"/>
        <rFont val="Times New Roman"/>
        <family val="1"/>
      </rPr>
      <t>Resoluções do Contran</t>
    </r>
    <r>
      <rPr>
        <sz val="12"/>
        <color theme="1"/>
        <rFont val="Times New Roman"/>
        <family val="1"/>
      </rPr>
      <t>. Disponível em: &lt;http://www.denatran.gov.br/resolucoes.htm&gt;. Acesso em: 1º/09/2016.</t>
    </r>
  </si>
  <si>
    <r>
      <t xml:space="preserve">n.º de credenciais para utilização de estacionamento reservado por idoso
</t>
    </r>
    <r>
      <rPr>
        <b/>
        <sz val="10"/>
        <color theme="1"/>
        <rFont val="Times New Roman"/>
        <family val="1"/>
      </rPr>
      <t xml:space="preserve">obs.: </t>
    </r>
    <r>
      <rPr>
        <sz val="10"/>
        <color theme="1"/>
        <rFont val="Times New Roman"/>
        <family val="1"/>
      </rPr>
      <t>resultados de 2003-2008 e 2009-2014 conforme BHTRANS(2015j); de 2015 conforme BHTRANS(2016w, p.45)</t>
    </r>
  </si>
  <si>
    <t>CRE df + CRE dv</t>
  </si>
  <si>
    <t>CREd</t>
  </si>
  <si>
    <t>CRE df</t>
  </si>
  <si>
    <t>CRE dv</t>
  </si>
  <si>
    <t>EL vfd</t>
  </si>
  <si>
    <r>
      <t xml:space="preserve">n.º de vagas físicas reservadas para pessoa com deficiência em quarteirão de estacionamento livre 
</t>
    </r>
    <r>
      <rPr>
        <b/>
        <sz val="10"/>
        <rFont val="Times New Roman"/>
        <family val="1"/>
      </rPr>
      <t xml:space="preserve">obs.: </t>
    </r>
    <r>
      <rPr>
        <sz val="10"/>
        <rFont val="Times New Roman"/>
        <family val="1"/>
      </rPr>
      <t>resultados de 2002-2014 conforme BHTRANS(2015k; 2015m); 2002-2015 conforme BHTRANS(2016z2)</t>
    </r>
  </si>
  <si>
    <r>
      <t xml:space="preserve">n.º de vagas físicas reservadas para pessoa com deficiência em quarteirão rotativo (BHTRANS, 2015k; 2015m)
</t>
    </r>
    <r>
      <rPr>
        <b/>
        <sz val="10"/>
        <rFont val="Times New Roman"/>
        <family val="1"/>
      </rPr>
      <t xml:space="preserve">obs.: </t>
    </r>
    <r>
      <rPr>
        <sz val="10"/>
        <rFont val="Times New Roman"/>
        <family val="1"/>
      </rPr>
      <t>resultados de 2002-2014 conforme BHTRANS(2015k; 2015m); 2002-2015 conforme BHTRANS(2016z2)</t>
    </r>
  </si>
  <si>
    <t>EL vfi</t>
  </si>
  <si>
    <t>EL vfdi</t>
  </si>
  <si>
    <r>
      <t xml:space="preserve">n.º total de vagas físicas (rotativas e livres) de estacionamento reservado para pessoa com deficiência em Belo Horizonte
</t>
    </r>
    <r>
      <rPr>
        <b/>
        <sz val="10"/>
        <rFont val="Times New Roman"/>
        <family val="1"/>
      </rPr>
      <t>obs.:</t>
    </r>
    <r>
      <rPr>
        <sz val="10"/>
        <rFont val="Times New Roman"/>
        <family val="1"/>
      </rPr>
      <t xml:space="preserve"> "Em set/2002 já estavam implantadas 100 vagas para pessoas com deficiência" conforme BHTRANS(2016z2)</t>
    </r>
  </si>
  <si>
    <r>
      <t xml:space="preserve">n.º total de vagas físicas (rotativas e livres) reservadas para idoso
</t>
    </r>
    <r>
      <rPr>
        <b/>
        <sz val="10"/>
        <rFont val="Times New Roman"/>
        <family val="1"/>
      </rPr>
      <t xml:space="preserve">obs.: </t>
    </r>
    <r>
      <rPr>
        <sz val="10"/>
        <rFont val="Times New Roman"/>
        <family val="1"/>
      </rPr>
      <t>"As primeiras vagas de Idosos foram implantadas em nov/2009" conforme BHTRANS(2016z2)</t>
    </r>
  </si>
  <si>
    <t>RT vfi + EL vfi</t>
  </si>
  <si>
    <t>RL vfd + RL vfi</t>
  </si>
  <si>
    <t>RT vfd + EL vfd</t>
  </si>
  <si>
    <t>EL vfd + EL vfi</t>
  </si>
  <si>
    <r>
      <rPr>
        <b/>
        <sz val="12"/>
        <color theme="1"/>
        <rFont val="Times New Roman"/>
        <family val="1"/>
      </rPr>
      <t xml:space="preserve">LINKE(2016): </t>
    </r>
    <r>
      <rPr>
        <sz val="12"/>
        <color theme="1"/>
        <rFont val="Times New Roman"/>
        <family val="1"/>
      </rPr>
      <t xml:space="preserve">LINKE, Clarisse Cunha. Índice de caminhabilidade permite avaliar ruas sob ótica do pedestre. </t>
    </r>
    <r>
      <rPr>
        <i/>
        <sz val="12"/>
        <color theme="1"/>
        <rFont val="Times New Roman"/>
        <family val="1"/>
      </rPr>
      <t>Archdaily,</t>
    </r>
    <r>
      <rPr>
        <sz val="12"/>
        <color theme="1"/>
        <rFont val="Times New Roman"/>
        <family val="1"/>
      </rPr>
      <t xml:space="preserve"> 2 set. 2016. Disponível em: &lt;http://www.archdaily.com.br/br/794537/indice-de-caminhabilidade-permite-avaliar-ruas-sob-otica-do-pedestre&gt;. Acesso em 2 set. 2016.</t>
    </r>
  </si>
  <si>
    <t>centro para todos</t>
  </si>
  <si>
    <r>
      <t xml:space="preserve">"Uma das nove áreas de atuação do Programa Centro para Todos, no centro do Rio de Janeiro (chamada Área Praça Tiradentes), foi utilizada como piloto para o desenvolvimento dos indicadores que compõem o Índice. “O Programa Centro para Todos tem como proposta principal reestruturar o espaço da região central da cidade, beneficiando-se do ímpeto criado pelas diversas iniciativas de revitalização desta área, tais como a implantação do Veículo Leve sobre Trilhos (VLT), recuperação do conjunto arquitetônico tombado, atração de setores da indústria criativa, requalificação dos espaços públicos”, reforça Fajardo." conforme LINKE(2016)
</t>
    </r>
    <r>
      <rPr>
        <b/>
        <sz val="10"/>
        <rFont val="Times New Roman"/>
        <family val="1"/>
      </rPr>
      <t>obs.:</t>
    </r>
    <r>
      <rPr>
        <sz val="10"/>
        <rFont val="Times New Roman"/>
        <family val="1"/>
      </rPr>
      <t xml:space="preserve"> acesso o verbete "para todos"</t>
    </r>
  </si>
  <si>
    <t>caminhabilida-de, índice de</t>
  </si>
  <si>
    <r>
      <rPr>
        <b/>
        <sz val="12"/>
        <rFont val="Times New Roman"/>
        <family val="1"/>
      </rPr>
      <t xml:space="preserve">ITDP(2016b): </t>
    </r>
    <r>
      <rPr>
        <sz val="12"/>
        <rFont val="Times New Roman"/>
        <family val="1"/>
      </rPr>
      <t xml:space="preserve">INSTITUTO DE POLÍTICAS DE TRANSPORTE &amp; DESENVOLVIMENTO - ITDP BRASIL. </t>
    </r>
    <r>
      <rPr>
        <i/>
        <sz val="12"/>
        <rFont val="Times New Roman"/>
        <family val="1"/>
      </rPr>
      <t xml:space="preserve">Índice de caminhabilidade - ferramenta. </t>
    </r>
    <r>
      <rPr>
        <sz val="12"/>
        <rFont val="Times New Roman"/>
        <family val="1"/>
      </rPr>
      <t>[Rio de Janeiro], 2016. 47p. Disponível em: &lt;http://2rps5v3y8o843iokettbxnya.wpengine.netdna-cdn.com/wp-content/uploads/2016/09/2016-09-ITDP-caminhabilidade-ferramenta.pdf&gt;. Acesso em: 2 set. 2016.</t>
    </r>
  </si>
  <si>
    <t>índice de caminhabilida-de</t>
  </si>
  <si>
    <t>acesse o verbete "caminhabilidade”</t>
  </si>
  <si>
    <r>
      <t xml:space="preserve">"O Índice de Caminhabilidade [...] é fruto de uma parceria entre o Instituto de Políticas de Transporte e Desenvolvimento (ITDP Brasil) e o Instituto Rio Patrimônio da Humanidade (IRPH), órgão da Prefeitura do Rio de Janeiro, com a colaboração da Publica Arquitetos. Seu desenvolvimento ocorreu no marco do programa Centro para Todosvi, coordenado pelo IRPH. Ele permite avaliar as condições do espaço urbano e monitorar o impacto de ações de qualificação do espaço público, indicando em que medida favorecem ou não os deslocamentos a pé. A sua construção teve como propósito promover um novo olhar sobre o meio urbano sob a ótica do pedestre.  [...] O índice é composto por 21 indicadoresviii agrupados em seis diferentes categorias. Cada uma delas incorpora uma dimensão da experiência do caminhar." conforme ITDP(2016b)
</t>
    </r>
    <r>
      <rPr>
        <b/>
        <sz val="10"/>
        <rFont val="Times New Roman"/>
        <family val="1"/>
      </rPr>
      <t xml:space="preserve">obs.: </t>
    </r>
    <r>
      <rPr>
        <sz val="10"/>
        <rFont val="Times New Roman"/>
        <family val="1"/>
      </rPr>
      <t>acesse o verbete "walkability"</t>
    </r>
  </si>
  <si>
    <t>walkability</t>
  </si>
  <si>
    <t>estacionamen-to reservado para idoso</t>
  </si>
  <si>
    <t>estacionamen-to reservado para PcD</t>
  </si>
  <si>
    <r>
      <rPr>
        <b/>
        <sz val="12"/>
        <color theme="0"/>
        <rFont val="Times New Roman"/>
        <family val="1"/>
      </rPr>
      <t>RT vfi / RT vf</t>
    </r>
    <r>
      <rPr>
        <b/>
        <sz val="12"/>
        <rFont val="Times New Roman"/>
        <family val="1"/>
      </rPr>
      <t xml:space="preserve">
% de vagas reservadas para idoso (RPI)</t>
    </r>
  </si>
  <si>
    <r>
      <rPr>
        <b/>
        <sz val="12"/>
        <color theme="0"/>
        <rFont val="Times New Roman"/>
        <family val="1"/>
      </rPr>
      <t>RT vfd / RT vf</t>
    </r>
    <r>
      <rPr>
        <b/>
        <sz val="12"/>
        <rFont val="Times New Roman"/>
        <family val="1"/>
      </rPr>
      <t xml:space="preserve">
% de vagas reservadas para PcD
(RPI)</t>
    </r>
  </si>
  <si>
    <t>estacionamen-to reservado para o prefeito</t>
  </si>
  <si>
    <t>Estados Unidos</t>
  </si>
  <si>
    <r>
      <t xml:space="preserve">percentual de vagas físicas reservadas para PcD em quarteirão rotativo, em relação ao total de vagas físicas rotativas
</t>
    </r>
    <r>
      <rPr>
        <b/>
        <sz val="10"/>
        <rFont val="Times New Roman"/>
        <family val="1"/>
      </rPr>
      <t xml:space="preserve">obs.1: </t>
    </r>
    <r>
      <rPr>
        <sz val="10"/>
        <rFont val="Times New Roman"/>
        <family val="1"/>
      </rPr>
      <t xml:space="preserve">esse resultado é uma aproximação do que, efetivamente, seria o "% de vagas reservadas para PcD", pois o correto seria usar como denominador o n.º total de vagas de estacionamento existentes (rotativas ou não) nos quarteirões rotativos (em vez de n.º de vagas físicas rotativas), mas essa é uma variável para a qual não há resultados disponíveis
</t>
    </r>
    <r>
      <rPr>
        <b/>
        <sz val="10"/>
        <rFont val="Times New Roman"/>
        <family val="1"/>
      </rPr>
      <t xml:space="preserve">obs.2: </t>
    </r>
    <r>
      <rPr>
        <sz val="10"/>
        <rFont val="Times New Roman"/>
        <family val="1"/>
      </rPr>
      <t>acesse o verbete "estacionamento reservado para PcD"</t>
    </r>
  </si>
  <si>
    <r>
      <rPr>
        <b/>
        <sz val="10"/>
        <rFont val="Times New Roman"/>
        <family val="1"/>
      </rPr>
      <t xml:space="preserve">2000: </t>
    </r>
    <r>
      <rPr>
        <sz val="10"/>
        <rFont val="Times New Roman"/>
        <family val="1"/>
      </rPr>
      <t xml:space="preserve">"Art.7º  - Em todas as áreas de estacionamento de veículos, localizadas em vias ou em espaços públicos, deverão ser reservadas vagas próximas dos acessos de circulação de pedestres, devidamente sinalizadas, para veículos que transportem pessoas portadoras de deficiência com dificuldade de locomoção. Parágrafo único. As vagas a que se refere o caput deste artigo deverão ser em número equivalente a dois por cento do total, garantida, no mínimo, uma vaga, devidamente sinalizada e com as especificações técnicas de desenho e traçado de acordo com as normas técnicas vigentes." conforme BRASIL(2000a).
</t>
    </r>
    <r>
      <rPr>
        <b/>
        <sz val="10"/>
        <rFont val="Times New Roman"/>
        <family val="1"/>
      </rPr>
      <t>2004:</t>
    </r>
    <r>
      <rPr>
        <sz val="10"/>
        <rFont val="Times New Roman"/>
        <family val="1"/>
      </rPr>
      <t xml:space="preserve"> "Art.25 - Nos estacionamentos externos ou internos das edificações de uso público ou de uso coletivo, ou naqueles localizados nas vias públicas, serão reservados, pelo menos, dois por cento do total de vagas para veículos que transportem pessoa portadora de deficiência física ou visual definidas neste Decreto, sendo assegurada, no mínimo, uma vaga, em locais próximos à entrada principal ou ao elevador, de fácil acesso à circulação de pedestres, com especificações técnicas de desenho e traçado conforme o estabelecido nas normas técnicas de acessibilidade da ABNT. §1º - Os veículos estacionados nas vagas reservadas deverão portar identificação a ser colocada em local de ampla visibilidade, confeccionado e fornecido pelos órgãos de trânsito, que disciplinarão sobre suas características e condições de uso, [...] §3º - Aplica-se o disposto no caput aos estacionamentos localizados em áreas públicas e de uso coletivo." conforme BRASIL(2004a)
</t>
    </r>
    <r>
      <rPr>
        <b/>
        <sz val="10"/>
        <rFont val="Times New Roman"/>
        <family val="1"/>
      </rPr>
      <t>2008:</t>
    </r>
    <r>
      <rPr>
        <sz val="10"/>
        <rFont val="Times New Roman"/>
        <family val="1"/>
      </rPr>
      <t xml:space="preserve"> emitida resolução do Contran "Considerando a necessidade de uniformizar, em âmbito nacional, os procedimentos para sinalização e fiscalização do uso de vagas regulamentadas para estacionamento exclusivo de veículos utilizados no transporte de pessoas portadoras de deficiência e com dificuldade de
locomoção" conforme BRASIL(2008b)
</t>
    </r>
    <r>
      <rPr>
        <b/>
        <sz val="10"/>
        <rFont val="Times New Roman"/>
        <family val="1"/>
      </rPr>
      <t>2015:</t>
    </r>
    <r>
      <rPr>
        <sz val="10"/>
        <rFont val="Times New Roman"/>
        <family val="1"/>
      </rPr>
      <t xml:space="preserve"> "Art.47 - Em todas as áreas de estacionamento aberto ao público, de uso público ou privado de uso coletivo e em vias públicas, devem ser reservadas vagas próximas aos acessos de circulação de pedestres, devidamente sinalizadas, para veículos que transportem pessoa com deficiência com comprometimento de mobilidade, desde que devidamente identificados. § 1o  As vagas a que se refere o caput deste artigo devem equivaler a 2% (dois por cento) do total, garantida, no mínimo, 1 (uma) vaga devidamente sinalizada e com as especificações de desenho e traçado de acordo com as normas técnicas vigentes de acessibilidade." conforme BRASIL (2015a)
</t>
    </r>
    <r>
      <rPr>
        <b/>
        <sz val="10"/>
        <rFont val="Times New Roman"/>
        <family val="1"/>
      </rPr>
      <t xml:space="preserve">obs.: </t>
    </r>
    <r>
      <rPr>
        <sz val="10"/>
        <rFont val="Times New Roman"/>
        <family val="1"/>
      </rPr>
      <t>acesse o verbete "estacionamento reservado para PcD"</t>
    </r>
  </si>
  <si>
    <r>
      <t xml:space="preserve">percentual de vagas físicas reservadas para idoso em quarteirão rotativo, em relação ao total de vagas físicas rotativas
</t>
    </r>
    <r>
      <rPr>
        <b/>
        <sz val="10"/>
        <rFont val="Times New Roman"/>
        <family val="1"/>
      </rPr>
      <t>obs.1:</t>
    </r>
    <r>
      <rPr>
        <sz val="10"/>
        <rFont val="Times New Roman"/>
        <family val="1"/>
      </rPr>
      <t xml:space="preserve"> esse resultado é uma aproximação do que, efetivamente, seria o "% de vagas reservadas para idoso", pois o correto seria usar como denominador o n.º total de vagas de estacionamento existentes (rotativas ou não) nos quarteirões rotativos (em vez de n.º de vagas físicas rotativas), mas essa é uma variável para a qual não há resultados disponíveis
</t>
    </r>
    <r>
      <rPr>
        <b/>
        <sz val="10"/>
        <rFont val="Times New Roman"/>
        <family val="1"/>
      </rPr>
      <t>obs.2:</t>
    </r>
    <r>
      <rPr>
        <sz val="10"/>
        <rFont val="Times New Roman"/>
        <family val="1"/>
      </rPr>
      <t xml:space="preserve"> acesse o verbete "estacionamento reservado para PcD"</t>
    </r>
  </si>
  <si>
    <r>
      <rPr>
        <b/>
        <sz val="10"/>
        <color theme="1"/>
        <rFont val="Times New Roman"/>
        <family val="1"/>
      </rPr>
      <t>2003:</t>
    </r>
    <r>
      <rPr>
        <sz val="10"/>
        <color theme="1"/>
        <rFont val="Times New Roman"/>
        <family val="1"/>
      </rPr>
      <t xml:space="preserve"> </t>
    </r>
    <r>
      <rPr>
        <sz val="10"/>
        <rFont val="Times New Roman"/>
        <family val="1"/>
      </rPr>
      <t xml:space="preserve">"Art.41 - É assegurada a reserva, para os idosos, nos termos da lei local, de 5% (cinco por cento) das vagas nos estacionamentos públicos e privados, as quais deverão ser posicionadas de forma a garantir a melhor comodidade ao idoso." conforme BRASIL(2003a, Capítulo X)
</t>
    </r>
    <r>
      <rPr>
        <b/>
        <sz val="10"/>
        <rFont val="Times New Roman"/>
        <family val="1"/>
      </rPr>
      <t xml:space="preserve">2008: </t>
    </r>
    <r>
      <rPr>
        <sz val="10"/>
        <rFont val="Times New Roman"/>
        <family val="1"/>
      </rPr>
      <t xml:space="preserve">emitida resolução do Contran "Considerando a necessidade de uniformizar, em âmbito nacional, os procedimentos para sinalização e fiscalização do uso de vagas regulamentadas para estacionamento exclusivo de veículos utilizados por idosos" conforme BRASIL(2008a)
</t>
    </r>
    <r>
      <rPr>
        <b/>
        <sz val="10"/>
        <rFont val="Times New Roman"/>
        <family val="1"/>
      </rPr>
      <t xml:space="preserve">obs.: </t>
    </r>
    <r>
      <rPr>
        <sz val="10"/>
        <rFont val="Times New Roman"/>
        <family val="1"/>
      </rPr>
      <t>acesse o verbete "estacionamento reservado para PcD"</t>
    </r>
  </si>
  <si>
    <r>
      <rPr>
        <b/>
        <sz val="12"/>
        <color theme="1"/>
        <rFont val="Times New Roman"/>
        <family val="1"/>
      </rPr>
      <t xml:space="preserve">NTU(2009): </t>
    </r>
    <r>
      <rPr>
        <sz val="12"/>
        <color theme="1"/>
        <rFont val="Times New Roman"/>
        <family val="1"/>
      </rPr>
      <t xml:space="preserve">ASSOCIAÇÃO NACIONAL DAS EMPRESAS DE TRANSPORTES URBANOS - NTU. </t>
    </r>
    <r>
      <rPr>
        <i/>
        <sz val="12"/>
        <color theme="1"/>
        <rFont val="Times New Roman"/>
        <family val="1"/>
      </rPr>
      <t>Cartilha da acessibilidade no transporte público</t>
    </r>
    <r>
      <rPr>
        <sz val="12"/>
        <color theme="1"/>
        <rFont val="Times New Roman"/>
        <family val="1"/>
      </rPr>
      <t>. Brasília: NTU, dez. 2009. 140p.</t>
    </r>
  </si>
  <si>
    <r>
      <t xml:space="preserve">escrever um verbete 
</t>
    </r>
    <r>
      <rPr>
        <b/>
        <sz val="10"/>
        <rFont val="Times New Roman"/>
        <family val="1"/>
      </rPr>
      <t xml:space="preserve">obs.1: </t>
    </r>
    <r>
      <rPr>
        <sz val="10"/>
        <rFont val="Times New Roman"/>
        <family val="1"/>
      </rPr>
      <t xml:space="preserve">diagnóstico sobre a Cidade Administrativa de Minas Gerais - CAMG em WRI(2015b; 2016g)
</t>
    </r>
    <r>
      <rPr>
        <b/>
        <sz val="10"/>
        <rFont val="Times New Roman"/>
        <family val="1"/>
      </rPr>
      <t xml:space="preserve">obs.2: </t>
    </r>
    <r>
      <rPr>
        <sz val="10"/>
        <rFont val="Times New Roman"/>
        <family val="1"/>
      </rPr>
      <t xml:space="preserve">diagnóstico sobre a BHTrans em </t>
    </r>
    <r>
      <rPr>
        <sz val="10"/>
        <color rgb="FFFF0000"/>
        <rFont val="Times New Roman"/>
        <family val="1"/>
      </rPr>
      <t>BHTRANS(</t>
    </r>
    <r>
      <rPr>
        <sz val="10"/>
        <rFont val="Times New Roman"/>
        <family val="1"/>
      </rPr>
      <t>2016h1;</t>
    </r>
    <r>
      <rPr>
        <sz val="10"/>
        <color rgb="FFFF0000"/>
        <rFont val="Times New Roman"/>
        <family val="1"/>
      </rPr>
      <t xml:space="preserve"> h2)</t>
    </r>
  </si>
  <si>
    <r>
      <t xml:space="preserve">sigla para Global Cities Institute 
</t>
    </r>
    <r>
      <rPr>
        <b/>
        <sz val="10"/>
        <rFont val="Times New Roman"/>
        <family val="1"/>
      </rPr>
      <t xml:space="preserve">obs.: </t>
    </r>
    <r>
      <rPr>
        <sz val="10"/>
        <rFont val="Times New Roman"/>
        <family val="1"/>
      </rPr>
      <t>acesse o verbete "Global City Indicators Facility, The"</t>
    </r>
  </si>
  <si>
    <t>assinatura</t>
  </si>
  <si>
    <t>ciudad para todos</t>
  </si>
  <si>
    <t>Guadalajara</t>
  </si>
  <si>
    <r>
      <t xml:space="preserve">logomarca de movimento surgido em 2007 na cidade de Guadalajara (México) que, segundo seus integrantes se converteu em um agenda política que semeou uma semente em acadêmicos, estudantes, empresários e jornalistas, dentre outros, conforme CIUDAD(2015)
</t>
    </r>
    <r>
      <rPr>
        <b/>
        <sz val="10"/>
        <rFont val="Times New Roman"/>
        <family val="1"/>
      </rPr>
      <t>obs.:</t>
    </r>
    <r>
      <rPr>
        <sz val="10"/>
        <rFont val="Times New Roman"/>
        <family val="1"/>
      </rPr>
      <t xml:space="preserve"> acesse o verbete "para todos"</t>
    </r>
  </si>
  <si>
    <r>
      <rPr>
        <b/>
        <sz val="12"/>
        <color theme="1"/>
        <rFont val="Times New Roman"/>
        <family val="1"/>
      </rPr>
      <t xml:space="preserve">CIUDAD(2015): </t>
    </r>
    <r>
      <rPr>
        <sz val="12"/>
        <color theme="1"/>
        <rFont val="Times New Roman"/>
        <family val="1"/>
      </rPr>
      <t xml:space="preserve">CIUDAD PARA TODOS. </t>
    </r>
    <r>
      <rPr>
        <i/>
        <sz val="12"/>
        <color theme="1"/>
        <rFont val="Times New Roman"/>
        <family val="1"/>
      </rPr>
      <t>Una ciudad para todos se construye desde todos los frentes</t>
    </r>
    <r>
      <rPr>
        <sz val="12"/>
        <color theme="1"/>
        <rFont val="Times New Roman"/>
        <family val="1"/>
      </rPr>
      <t>. Guadalajara, 28 septiembre 2015. Disponível em: &lt;http://www.ciudadparatodos.org/&gt;. Acesso em: 5 set. 2016.</t>
    </r>
  </si>
  <si>
    <t>símbolo internacional de acesso</t>
  </si>
  <si>
    <t>acesse o verbete "SIA"</t>
  </si>
  <si>
    <t>símbolo internacional de pessoas com deficiência visual</t>
  </si>
  <si>
    <t>símbolo internacional de pessoas com deficiência auditiva</t>
  </si>
  <si>
    <t>"O símbolo internacional de pessoas com deficiência auditiva deve ser utilizado em todos os locais que destinem equipamentos, produtos, procedimentos ou serviços para pessoas com deficiência auditiva, em locais [...]" conforme ABNT(2015a, p.40-41)</t>
  </si>
  <si>
    <t>"O símbolo internacional de pessoas com deficiência visual deve indicar a existência de equipamentos, mobiliário e serviços para pessoas com deficiência visual, em locais [...]" conforme ABNT(2015a, p.40)</t>
  </si>
  <si>
    <r>
      <t xml:space="preserve">benefício com implantação iniciada em Belo Horizonte em novembro/2009 conforme BHTRANS(2016z2)
</t>
    </r>
    <r>
      <rPr>
        <b/>
        <sz val="10"/>
        <color theme="1"/>
        <rFont val="Times New Roman"/>
        <family val="1"/>
      </rPr>
      <t xml:space="preserve">obs.: </t>
    </r>
    <r>
      <rPr>
        <sz val="10"/>
        <color theme="1"/>
        <rFont val="Times New Roman"/>
        <family val="1"/>
      </rPr>
      <t>acesse "RT vfi / RT vf"</t>
    </r>
  </si>
  <si>
    <r>
      <t xml:space="preserve">benefício com implantação iniciada em Belo Horizonte em setembro/2002 conforme BHTRANS(2016z2)
</t>
    </r>
    <r>
      <rPr>
        <b/>
        <sz val="10"/>
        <color theme="1"/>
        <rFont val="Times New Roman"/>
        <family val="1"/>
      </rPr>
      <t xml:space="preserve">obs.: </t>
    </r>
    <r>
      <rPr>
        <sz val="10"/>
        <color theme="1"/>
        <rFont val="Times New Roman"/>
        <family val="1"/>
      </rPr>
      <t>acesse "RT vfid/ RT vf"</t>
    </r>
  </si>
  <si>
    <t>acesse o verbete "Berlim para todos"</t>
  </si>
  <si>
    <r>
      <t xml:space="preserve">logomarca adotada pela Prefeitura de Berlim/Alemanha no escopo da premiação </t>
    </r>
    <r>
      <rPr>
        <i/>
        <sz val="10"/>
        <color theme="1"/>
        <rFont val="Times New Roman"/>
        <family val="1"/>
      </rPr>
      <t>Access City Award 2013</t>
    </r>
    <r>
      <rPr>
        <sz val="10"/>
        <color theme="1"/>
        <rFont val="Times New Roman"/>
        <family val="1"/>
      </rPr>
      <t xml:space="preserve">
</t>
    </r>
    <r>
      <rPr>
        <b/>
        <sz val="10"/>
        <color theme="1"/>
        <rFont val="Times New Roman"/>
        <family val="1"/>
      </rPr>
      <t xml:space="preserve">obs.: </t>
    </r>
    <r>
      <rPr>
        <sz val="10"/>
        <color theme="1"/>
        <rFont val="Times New Roman"/>
        <family val="1"/>
      </rPr>
      <t>acesse o verbete "para todos"</t>
    </r>
  </si>
  <si>
    <r>
      <t xml:space="preserve">cidade de Santa Catarina (Brasil) incluída em pelo menos uma das categorias de "benchmarking SisMob-BH"
</t>
    </r>
    <r>
      <rPr>
        <b/>
        <sz val="10"/>
        <rFont val="Times New Roman"/>
        <family val="1"/>
      </rPr>
      <t xml:space="preserve">obs.: </t>
    </r>
    <r>
      <rPr>
        <sz val="10"/>
        <rFont val="Times New Roman"/>
        <family val="1"/>
      </rPr>
      <t>a acessibilidade espacial no transporte público urbano de Joinville é analisada em SILVEIRA(2012)</t>
    </r>
  </si>
  <si>
    <t>ObservaSampa</t>
  </si>
  <si>
    <t>ODR</t>
  </si>
  <si>
    <r>
      <rPr>
        <b/>
        <sz val="12"/>
        <rFont val="Times New Roman"/>
        <family val="1"/>
      </rPr>
      <t xml:space="preserve">ODR(2009): </t>
    </r>
    <r>
      <rPr>
        <sz val="12"/>
        <rFont val="Times New Roman"/>
        <family val="1"/>
      </rPr>
      <t>OBSERVATÓRIO DO RECIFE. </t>
    </r>
    <r>
      <rPr>
        <i/>
        <sz val="12"/>
        <rFont val="Times New Roman"/>
        <family val="1"/>
      </rPr>
      <t>Indicadores do Recife 2009</t>
    </r>
    <r>
      <rPr>
        <sz val="12"/>
        <rFont val="Times New Roman"/>
        <family val="1"/>
      </rPr>
      <t>. Recife, 28 de maio de 2009. Disponível em: &lt;http://www.observatoriodorecife.org.br/site/wp-content/uploads/cartilhas/cartilha_odr_2009.pdf&gt;. Acesso em: 5 jul. 2016.</t>
    </r>
  </si>
  <si>
    <r>
      <rPr>
        <b/>
        <sz val="12"/>
        <rFont val="Times New Roman"/>
        <family val="1"/>
      </rPr>
      <t xml:space="preserve">ODR(2010): </t>
    </r>
    <r>
      <rPr>
        <sz val="12"/>
        <rFont val="Times New Roman"/>
        <family val="1"/>
      </rPr>
      <t>OBSERVATÓRIO DO RECIFE. </t>
    </r>
    <r>
      <rPr>
        <i/>
        <sz val="12"/>
        <rFont val="Times New Roman"/>
        <family val="1"/>
      </rPr>
      <t>Indicadores do Recife 2010</t>
    </r>
    <r>
      <rPr>
        <sz val="12"/>
        <rFont val="Times New Roman"/>
        <family val="1"/>
      </rPr>
      <t>. Recife, 14 de dezembro de 2010. 122p. Disponível em: &lt;http://www.observatoriodorecife.org.br/site/wp-content/uploads/cartilhas/cartilha_odr_2010.pdf&gt;. Acesso em 6 jun. 2011 e 5 jul. 2016.</t>
    </r>
  </si>
  <si>
    <r>
      <rPr>
        <b/>
        <sz val="12"/>
        <rFont val="Times New Roman"/>
        <family val="1"/>
      </rPr>
      <t xml:space="preserve">ODR(2011): </t>
    </r>
    <r>
      <rPr>
        <sz val="12"/>
        <rFont val="Times New Roman"/>
        <family val="1"/>
      </rPr>
      <t>OBSERVATÓRIO DO RECIFE. </t>
    </r>
    <r>
      <rPr>
        <i/>
        <sz val="12"/>
        <rFont val="Times New Roman"/>
        <family val="1"/>
      </rPr>
      <t>Indicadores do Recife 2011 - Apresentação</t>
    </r>
    <r>
      <rPr>
        <sz val="12"/>
        <rFont val="Times New Roman"/>
        <family val="1"/>
      </rPr>
      <t>. Recife, s.d. Disponível em: &lt;http://www.observatoriodorecife.org.br/cartilha2011/&gt;. Acesso em: 5 jul. 2016.</t>
    </r>
  </si>
  <si>
    <r>
      <rPr>
        <b/>
        <sz val="12"/>
        <rFont val="Times New Roman"/>
        <family val="1"/>
      </rPr>
      <t xml:space="preserve">ODR(2013): </t>
    </r>
    <r>
      <rPr>
        <sz val="12"/>
        <rFont val="Times New Roman"/>
        <family val="1"/>
      </rPr>
      <t>OBSERVATÓRIO DO RECIFE. </t>
    </r>
    <r>
      <rPr>
        <i/>
        <sz val="12"/>
        <rFont val="Times New Roman"/>
        <family val="1"/>
      </rPr>
      <t>Indicadores do Recife 2013</t>
    </r>
    <r>
      <rPr>
        <sz val="12"/>
        <rFont val="Times New Roman"/>
        <family val="1"/>
      </rPr>
      <t>. Recife, s;d. Disponível em: &lt;http://www.observatoriodorecife.org.br/site/wp-content/uploads/indicadores-2013.pdf&gt;. Acesso em: 5 jul. 2016.</t>
    </r>
  </si>
  <si>
    <r>
      <rPr>
        <b/>
        <sz val="12"/>
        <rFont val="Times New Roman"/>
        <family val="1"/>
      </rPr>
      <t xml:space="preserve">ODR(2014): </t>
    </r>
    <r>
      <rPr>
        <sz val="12"/>
        <rFont val="Times New Roman"/>
        <family val="1"/>
      </rPr>
      <t>OBSERVATÓRIO DO RECIFE. </t>
    </r>
    <r>
      <rPr>
        <i/>
        <sz val="12"/>
        <rFont val="Times New Roman"/>
        <family val="1"/>
      </rPr>
      <t>Indicadores do Recife 2014</t>
    </r>
    <r>
      <rPr>
        <sz val="12"/>
        <rFont val="Times New Roman"/>
        <family val="1"/>
      </rPr>
      <t>. Recife, s.d. Disponível para baixar em: &lt;http://www.observatoriodorecife.org.br/indicadoresdorecife/&gt;. Acesso em: 5 jul. 2016.</t>
    </r>
  </si>
  <si>
    <r>
      <rPr>
        <b/>
        <sz val="12"/>
        <rFont val="Times New Roman"/>
        <family val="1"/>
      </rPr>
      <t xml:space="preserve">ODR(2016a): </t>
    </r>
    <r>
      <rPr>
        <sz val="12"/>
        <rFont val="Times New Roman"/>
        <family val="1"/>
      </rPr>
      <t>OBSERVATÓRIO DO RECIFE. </t>
    </r>
    <r>
      <rPr>
        <i/>
        <sz val="12"/>
        <rFont val="Times New Roman"/>
        <family val="1"/>
      </rPr>
      <t xml:space="preserve">Quem somos. </t>
    </r>
    <r>
      <rPr>
        <sz val="12"/>
        <rFont val="Times New Roman"/>
        <family val="1"/>
      </rPr>
      <t>Recife, s.d. Disponível em: &lt;http://www.observatoriodorecife.org.br/sobre/&gt;. Acesso em: 6 set. 2016.</t>
    </r>
  </si>
  <si>
    <t>observatórios</t>
  </si>
  <si>
    <r>
      <rPr>
        <sz val="10"/>
        <color rgb="FFFF0000"/>
        <rFont val="Times New Roman"/>
        <family val="1"/>
      </rPr>
      <t>definir</t>
    </r>
    <r>
      <rPr>
        <sz val="10"/>
        <rFont val="Times New Roman"/>
        <family val="1"/>
      </rPr>
      <t xml:space="preserve">
acesse os verbetes "ObsMob-BH", "ODR"</t>
    </r>
  </si>
  <si>
    <t>cidade de Pernambuco (Brasil) incluída em pelo menos uma das categorias de "benchmarking SisMob-BH"</t>
  </si>
  <si>
    <r>
      <t xml:space="preserve">"A missão a que se propõe o Observatório do Recife é mobilizar a sociedade para selecionar, propor e monitorar um conjunto de indicadores e metas que se constituam numa agenda de desenvolvimento sustentável para o Recife e que a levem a se transformar numa cidade melhor para se viver, socialmente justa, ambientalmente equilibrada e economicamente viável." conforme ODR(2016a)
</t>
    </r>
    <r>
      <rPr>
        <b/>
        <sz val="10"/>
        <rFont val="Times New Roman"/>
        <family val="1"/>
      </rPr>
      <t>obs.:</t>
    </r>
    <r>
      <rPr>
        <sz val="10"/>
        <rFont val="Times New Roman"/>
        <family val="1"/>
      </rPr>
      <t xml:space="preserve"> indicadores disponiblizados em publicações como ODR(2009; 2010, 2011; 2013; 2014)</t>
    </r>
  </si>
  <si>
    <t>acesse os verbetes "ObservaSampa", ObsMob-BH", "ODR"</t>
  </si>
  <si>
    <r>
      <t xml:space="preserve">Observatório da Mobilidade Urbana de Belo Horizonte
</t>
    </r>
    <r>
      <rPr>
        <b/>
        <sz val="10"/>
        <color theme="1"/>
        <rFont val="Times New Roman"/>
        <family val="1"/>
      </rPr>
      <t xml:space="preserve">obs.: </t>
    </r>
    <r>
      <rPr>
        <sz val="10"/>
        <color theme="1"/>
        <rFont val="Times New Roman"/>
        <family val="1"/>
      </rPr>
      <t>indicadores disponiblizados em publicações como BHTRANS(2011a, 2012a, 2015e)</t>
    </r>
  </si>
  <si>
    <r>
      <t xml:space="preserve">percentual da frota de ônibus do transporte coletivo da cidade de São Paulo com alguma facilidade no embarque/desembarque para pessoas com mobilidade física reduzida, mesmo que essa facilidade não permita classificar a viagem como acessível, por meio de embarque em nível (desenho universal), de elevador hidráulico instalado no veículo (de uso exclusivo ou não para cadeirantes) 
</t>
    </r>
    <r>
      <rPr>
        <b/>
        <sz val="10"/>
        <rFont val="Times New Roman"/>
        <family val="1"/>
      </rPr>
      <t xml:space="preserve">obs.1: </t>
    </r>
    <r>
      <rPr>
        <sz val="10"/>
        <rFont val="Times New Roman"/>
        <family val="1"/>
      </rPr>
      <t xml:space="preserve">esse indicador é denominado "frota de ônibus com acessibilidade para pessoas com mobilidade reduzida (%)" pelo Observatório de Indicadores da Cidade de São Paulo (ObservaSampa)
</t>
    </r>
    <r>
      <rPr>
        <b/>
        <sz val="10"/>
        <rFont val="Times New Roman"/>
        <family val="1"/>
      </rPr>
      <t xml:space="preserve">obs.2: </t>
    </r>
    <r>
      <rPr>
        <sz val="10"/>
        <rFont val="Times New Roman"/>
        <family val="1"/>
      </rPr>
      <t xml:space="preserve">na fonte consultada para 2014 (ObservaSampa), os resultados desse indicador tiveram arredondamentos abandonando os resultados a partir da terceira casa decimal (diferente do arredondamento-padrão que é adotado no SisMob-BH): por isso aqui encontra-se 78,96% em vez de 78,95% ou 78,9%
</t>
    </r>
    <r>
      <rPr>
        <b/>
        <sz val="10"/>
        <rFont val="Times New Roman"/>
        <family val="1"/>
      </rPr>
      <t xml:space="preserve">obs.3: </t>
    </r>
    <r>
      <rPr>
        <sz val="10"/>
        <rFont val="Times New Roman"/>
        <family val="1"/>
      </rPr>
      <t xml:space="preserve">os resultados de 2012 das duas fontes consultadas são diferentes, aqui optando-se pelo informado no ObservaSampa
</t>
    </r>
    <r>
      <rPr>
        <b/>
        <sz val="10"/>
        <rFont val="Times New Roman"/>
        <family val="1"/>
      </rPr>
      <t xml:space="preserve">obs.4: </t>
    </r>
    <r>
      <rPr>
        <sz val="10"/>
        <rFont val="Times New Roman"/>
        <family val="1"/>
      </rPr>
      <t>deve-se comparar o resultado de 2015 aqui calculado com o informado no Observa Sampa</t>
    </r>
  </si>
  <si>
    <r>
      <rPr>
        <b/>
        <sz val="12"/>
        <color theme="1"/>
        <rFont val="Times New Roman"/>
        <family val="1"/>
      </rPr>
      <t>SP(2015h):</t>
    </r>
    <r>
      <rPr>
        <sz val="12"/>
        <color theme="1"/>
        <rFont val="Times New Roman"/>
        <family val="1"/>
      </rPr>
      <t xml:space="preserve"> SÃO PAULO. Observatório de Indicadores da Cidade de São Paulo - ObservaSampa. </t>
    </r>
    <r>
      <rPr>
        <i/>
        <sz val="12"/>
        <color theme="1"/>
        <rFont val="Times New Roman"/>
        <family val="1"/>
      </rPr>
      <t>Novos indicadores mostram melhoria na mobilidade - Previsões</t>
    </r>
    <r>
      <rPr>
        <sz val="12"/>
        <color theme="1"/>
        <rFont val="Times New Roman"/>
        <family val="1"/>
      </rPr>
      <t>. São Paulo, 13 mar. 2015. Disponível em: &lt;http://observasampa.prefeitura.sp.gov.br/index.php/publicacao/novos-indicadores-mostram-melhoria-na-mobilidade/&gt;. Acesso em: 6 set. 2016.</t>
    </r>
  </si>
  <si>
    <r>
      <t xml:space="preserve">Observatório de Indicadores da Cidade de São Paulo
</t>
    </r>
    <r>
      <rPr>
        <b/>
        <sz val="10"/>
        <rFont val="Times New Roman"/>
        <family val="1"/>
      </rPr>
      <t xml:space="preserve">obs.1: </t>
    </r>
    <r>
      <rPr>
        <sz val="10"/>
        <rFont val="Times New Roman"/>
        <family val="1"/>
      </rPr>
      <t xml:space="preserve">"O Observatório de Indicadores da Cidade de São Paulo, previsto na meta 118 do Programa de Metas 2013-2016, é um portal com sistema de indicadores georreferenciados da prefeitura e da cidade, acompanhado de análises setoriais importantes para a elaboração e avaliação de políticas públicas. Lançado em 15 de dezembro de 2014, o Observa Sampa oferece atualmente cerca de 290 indicadores – em séries históricas e mapas –, muitos deles regionalizados por subprefeituras e distritos. Mas esse número pode aumentar, uma vez que todos os órgãos municipais estão sendo incentivados a criar novos. Dentre os objetivos do observatório estão o aperfeiçoamento das formas de participação popular no monitoramento das políticas públicas, a ampliação dos mecanismos de acesso à informação e a disseminação e produção de estudos e dados que facilitem a cooperação entre os órgãos da prefeitura." conforme SP(2015h)
</t>
    </r>
    <r>
      <rPr>
        <b/>
        <sz val="10"/>
        <rFont val="Times New Roman"/>
        <family val="1"/>
      </rPr>
      <t>obs.2:</t>
    </r>
    <r>
      <rPr>
        <sz val="10"/>
        <rFont val="Times New Roman"/>
        <family val="1"/>
      </rPr>
      <t xml:space="preserve"> "Periodicamente, assim como esses [citados], outros indicadores também passarão por atualização em datas predeterminadas, num moto-contínuo. A proposta da Coordenadoria de Atendimento ao Cidadão e Inovação em Serviços Públicos (Cacisp), responsável pelo observatório, é atualizar indicadores no mês seguinte ao da atualização da execução das metas do Programa de Metas 2013-2016, ou seja, em fevereiro, maio e setembro. Mas não todos de uma única vez, pois cada secretaria e cada base de dados tem uma data diferente de atualização. Saúde e Educação, por exemplo, divulgam seus novos índices no mês de maio de cada ano." conforme SP(2015h)
</t>
    </r>
    <r>
      <rPr>
        <b/>
        <sz val="10"/>
        <rFont val="Times New Roman"/>
        <family val="1"/>
      </rPr>
      <t>obs.3:</t>
    </r>
    <r>
      <rPr>
        <sz val="10"/>
        <rFont val="Times New Roman"/>
        <family val="1"/>
      </rPr>
      <t xml:space="preserve"> indicadores disponibilizados em publicações como SP(2015a/b/c/d)</t>
    </r>
  </si>
  <si>
    <r>
      <rPr>
        <b/>
        <sz val="12"/>
        <rFont val="Times New Roman"/>
        <family val="1"/>
      </rPr>
      <t>OLIVEIRA(2016i):</t>
    </r>
    <r>
      <rPr>
        <sz val="12"/>
        <rFont val="Times New Roman"/>
        <family val="1"/>
      </rPr>
      <t xml:space="preserve"> OLIVEIRA, Marcos Fontoura de. Avanços e obstáculos na formulação da política de mobilidade urbana em Belo Horizonte. In: FARIA, Carlos Aurélio Pimenta de; ROCHA, Carlos Vasconcelos; FILGUEIRAS, Cristina Almeida Cunha; SOUKI, Léa Guimarães Souki. </t>
    </r>
    <r>
      <rPr>
        <i/>
        <sz val="12"/>
        <rFont val="Times New Roman"/>
        <family val="1"/>
      </rPr>
      <t>Políticas públicas na América Latina</t>
    </r>
    <r>
      <rPr>
        <sz val="12"/>
        <rFont val="Times New Roman"/>
        <family val="1"/>
      </rPr>
      <t>: novas territorialidades e processos. Porto Alegre: UFRGS/CEGOV, 2016. p.293-317.</t>
    </r>
  </si>
  <si>
    <t>micro-ônibus</t>
  </si>
  <si>
    <t>micro-ônibus ou van (usado como complemento de "IM escolar")</t>
  </si>
  <si>
    <r>
      <rPr>
        <b/>
        <sz val="12"/>
        <color theme="1"/>
        <rFont val="Times New Roman"/>
        <family val="1"/>
      </rPr>
      <t>ONU-BR(2016a):</t>
    </r>
    <r>
      <rPr>
        <sz val="12"/>
        <color theme="1"/>
        <rFont val="Times New Roman"/>
        <family val="1"/>
      </rPr>
      <t xml:space="preserve"> NAÇÕES UNIDAS NO BRASIL - ONU BR. </t>
    </r>
    <r>
      <rPr>
        <i/>
        <sz val="12"/>
        <color theme="1"/>
        <rFont val="Times New Roman"/>
        <family val="1"/>
      </rPr>
      <t>Objetivo 11. Tornar as cidades e os assentamentos humanos inclusivos, seguros, resilientes e sustentáveis</t>
    </r>
    <r>
      <rPr>
        <sz val="12"/>
        <color theme="1"/>
        <rFont val="Times New Roman"/>
        <family val="1"/>
      </rPr>
      <t xml:space="preserve">. Disponível em: &lt;https://nacoesunidas.org/pos2015/ods11/&gt;. Acesso em 30 set. 2016. </t>
    </r>
  </si>
  <si>
    <t>denominação atribuída pelo SisMob-BH para designar o sistema de transporte coletivo por ônibus gerenciado pelo Setop-MG que opera nos municípios da RMBH, abrangento linhas intra e intermunicipais</t>
  </si>
  <si>
    <t>transporte coletivo local (usado como complemento da sigla "F")</t>
  </si>
  <si>
    <r>
      <t xml:space="preserve">um dos dois subsistemas de trasporte público coletivo de São Paulo (o outro é o "transporte coletivo local")
</t>
    </r>
    <r>
      <rPr>
        <b/>
        <sz val="10"/>
        <rFont val="Times New Roman"/>
        <family val="1"/>
      </rPr>
      <t>obs.:</t>
    </r>
    <r>
      <rPr>
        <sz val="10"/>
        <rFont val="Times New Roman"/>
        <family val="1"/>
      </rPr>
      <t xml:space="preserve"> "linhas operadas por veículos de médio e grande porte (articulados, biarticulados e comuns), destinadas a atender altas demandas elevadas e integrar diversas regiões às áreas centrais da cidade. É a espinha dorsal do transporte coletivo." conforme SP(2016h1)</t>
    </r>
  </si>
  <si>
    <r>
      <t xml:space="preserve">um dos dois subsistemas de trasporte público coletivo de São Paulo (o outro é o "transporte coletivo estrutural")
</t>
    </r>
    <r>
      <rPr>
        <b/>
        <sz val="10"/>
        <rFont val="Times New Roman"/>
        <family val="1"/>
      </rPr>
      <t xml:space="preserve">obs.: </t>
    </r>
    <r>
      <rPr>
        <sz val="10"/>
        <rFont val="Times New Roman"/>
        <family val="1"/>
      </rPr>
      <t>o coletivo local "alimenta a malha estrutural e atende aos deslocamentos internos nos subcentros com linhas operadas por ônibus comuns e veículos de menor porte, como micro e mini ônibus."  conforme SP(2016h1)</t>
    </r>
  </si>
  <si>
    <r>
      <t xml:space="preserve">n.º de agentes de trânsito
</t>
    </r>
    <r>
      <rPr>
        <b/>
        <sz val="10"/>
        <rFont val="Times New Roman"/>
        <family val="1"/>
      </rPr>
      <t>obs.1:</t>
    </r>
    <r>
      <rPr>
        <sz val="10"/>
        <rFont val="Times New Roman"/>
        <family val="1"/>
      </rPr>
      <t xml:space="preserve"> este indicador é denominado pela ANTP como "n.º de agentes de trânsito em operação" como componente do indicador "IRA"
</t>
    </r>
    <r>
      <rPr>
        <b/>
        <sz val="10"/>
        <rFont val="Times New Roman"/>
        <family val="1"/>
      </rPr>
      <t xml:space="preserve">obs.2: </t>
    </r>
    <r>
      <rPr>
        <sz val="10"/>
        <rFont val="Times New Roman"/>
        <family val="1"/>
      </rPr>
      <t xml:space="preserve">indicador operacional da BHTrans com o nome "número total de agentes de trânsito" (BHTRANS, 2015d3)
</t>
    </r>
    <r>
      <rPr>
        <b/>
        <sz val="10"/>
        <rFont val="Times New Roman"/>
        <family val="1"/>
      </rPr>
      <t>obs.3:</t>
    </r>
    <r>
      <rPr>
        <sz val="10"/>
        <rFont val="Times New Roman"/>
        <family val="1"/>
      </rPr>
      <t xml:space="preserve"> SisMob-BH aguarda informações solicitadas à gerência responsável pelo RH</t>
    </r>
  </si>
  <si>
    <r>
      <rPr>
        <b/>
        <sz val="12"/>
        <color theme="1"/>
        <rFont val="Times New Roman"/>
        <family val="1"/>
      </rPr>
      <t xml:space="preserve">BHTRANS(2016s): </t>
    </r>
    <r>
      <rPr>
        <sz val="12"/>
        <color theme="1"/>
        <rFont val="Times New Roman"/>
        <family val="1"/>
      </rPr>
      <t xml:space="preserve">EMPRESA DE TRANSPORTES E TRÂNSITO DE BELO HORIZONTE S.A - BHTRANS. Diretoria de Administração e Recursos Humanos - DAD. Gerência de Gestão e Desenvolvimento de Pessoas - Geape/SARH/DAD. </t>
    </r>
    <r>
      <rPr>
        <i/>
        <sz val="12"/>
        <color theme="1"/>
        <rFont val="Times New Roman"/>
        <family val="1"/>
      </rPr>
      <t>Relatório [resumo] com dados sobre pessoal e folha de pagamento referente ao mês de dezembro/2015</t>
    </r>
    <r>
      <rPr>
        <sz val="12"/>
        <color theme="1"/>
        <rFont val="Times New Roman"/>
        <family val="1"/>
      </rPr>
      <t>. Belo Horizonte: BHTrans, [2016]. 16p.</t>
    </r>
  </si>
  <si>
    <r>
      <rPr>
        <b/>
        <sz val="12"/>
        <color theme="1"/>
        <rFont val="Times New Roman"/>
        <family val="1"/>
      </rPr>
      <t xml:space="preserve">BHTRANS(2016s3): </t>
    </r>
    <r>
      <rPr>
        <sz val="12"/>
        <color theme="1"/>
        <rFont val="Times New Roman"/>
        <family val="1"/>
      </rPr>
      <t xml:space="preserve">EMPRESA DE TRANSPORTES E TRÂNSITO DE BELO HORIZONTE S.A - BHTRANS. Diretoria de Administração e Recursos Humanos - DAD. Gerência de Gestão e Desenvolvimento de Pessoas - Geape/SARH/DAD. </t>
    </r>
    <r>
      <rPr>
        <i/>
        <sz val="12"/>
        <color theme="1"/>
        <rFont val="Times New Roman"/>
        <family val="1"/>
      </rPr>
      <t>Relatório [completo em planilha excell] com dados sobre pessoal e folha de pagamento referente ao mês de dezembro/2015[e referente ao ano 2015]</t>
    </r>
    <r>
      <rPr>
        <sz val="12"/>
        <color theme="1"/>
        <rFont val="Times New Roman"/>
        <family val="1"/>
      </rPr>
      <t>. Belo Horizonte: BHTrans, [2016].</t>
    </r>
  </si>
  <si>
    <t>RH estagiários</t>
  </si>
  <si>
    <t>RH terceirizados</t>
  </si>
  <si>
    <t>RH concursados</t>
  </si>
  <si>
    <t>RH não concursados em cargo de confiança</t>
  </si>
  <si>
    <t>registro da fonte (componente de RH dr)</t>
  </si>
  <si>
    <r>
      <rPr>
        <b/>
        <sz val="12"/>
        <color theme="1"/>
        <rFont val="Times New Roman"/>
        <family val="1"/>
      </rPr>
      <t xml:space="preserve">BHTRANS(2016s4): </t>
    </r>
    <r>
      <rPr>
        <sz val="12"/>
        <color theme="1"/>
        <rFont val="Times New Roman"/>
        <family val="1"/>
      </rPr>
      <t xml:space="preserve">EMPRESA DE TRANSPORTES E TRÂNSITO DE BELO HORIZONTE S.A - BHTRANS. Diretoria de Administração e Recursos Humanos - DAD. Gerência de Gestão e Desenvolvimento de Pessoas - Geape/SARH/DAD. </t>
    </r>
    <r>
      <rPr>
        <i/>
        <sz val="12"/>
        <color theme="1"/>
        <rFont val="Times New Roman"/>
        <family val="1"/>
      </rPr>
      <t>Relatório [completo] com dados sobre pessoal e folha de pagamento referente ao mês de dezembro/2015[e referente ao ano 2015]</t>
    </r>
    <r>
      <rPr>
        <sz val="12"/>
        <color theme="1"/>
        <rFont val="Times New Roman"/>
        <family val="1"/>
      </rPr>
      <t>. Belo Horizonte: BHTrans, [2016]. p.4 - item 1.4 Salário médio por cargo.</t>
    </r>
  </si>
  <si>
    <r>
      <rPr>
        <b/>
        <sz val="12"/>
        <color theme="1"/>
        <rFont val="Times New Roman"/>
        <family val="1"/>
      </rPr>
      <t>BHTRANS(2015r):</t>
    </r>
    <r>
      <rPr>
        <sz val="12"/>
        <color theme="1"/>
        <rFont val="Times New Roman"/>
        <family val="1"/>
      </rPr>
      <t xml:space="preserve"> EMPRESA DE TRANSPORTES E TRÂNSITO DE BELO HORIZONTE S.A - BHTRANS. Diretoria de Administração e Recursos Humanos - DAD. Gerência de Gestão e Desenvolvimento de Pessoas - Geape/DAD (ex Geape/DAF). </t>
    </r>
    <r>
      <rPr>
        <i/>
        <sz val="12"/>
        <color theme="1"/>
        <rFont val="Times New Roman"/>
        <family val="1"/>
      </rPr>
      <t>Tabela n.º de empregados com deficiência</t>
    </r>
    <r>
      <rPr>
        <sz val="12"/>
        <color theme="1"/>
        <rFont val="Times New Roman"/>
        <family val="1"/>
      </rPr>
      <t>. Belo Horizonte, 8 abr. 2015. [anexo de e-mail Geape de 08/04/2015 para SisMob-BH]</t>
    </r>
  </si>
  <si>
    <r>
      <rPr>
        <b/>
        <sz val="12"/>
        <color theme="1"/>
        <rFont val="Times New Roman"/>
        <family val="1"/>
      </rPr>
      <t>BHTRANS(2015r3):</t>
    </r>
    <r>
      <rPr>
        <sz val="12"/>
        <color theme="1"/>
        <rFont val="Times New Roman"/>
        <family val="1"/>
      </rPr>
      <t xml:space="preserve"> EMPRESA DE TRANSPORTES E TRÂNSITO DE BELO HORIZONTE S.A - BHTRANS. Diretoria de Administração e Recursos Humanos - DAD. Gerência de Gestão e Desenvolvimento de Pessoas - Geape/DAD. </t>
    </r>
    <r>
      <rPr>
        <i/>
        <sz val="12"/>
        <color theme="1"/>
        <rFont val="Times New Roman"/>
        <family val="1"/>
      </rPr>
      <t>Relatório com dados sobre pessoal e folha de pagamento referente ao mês de Dezembro/2014</t>
    </r>
    <r>
      <rPr>
        <sz val="12"/>
        <color theme="1"/>
        <rFont val="Times New Roman"/>
        <family val="1"/>
      </rPr>
      <t>. Belo Horizonte, 2015. p.20 (item 6.6 - Cargos comissionados)</t>
    </r>
  </si>
  <si>
    <r>
      <rPr>
        <b/>
        <sz val="12"/>
        <color theme="1"/>
        <rFont val="Times New Roman"/>
        <family val="1"/>
      </rPr>
      <t>BHTRANS(2015r4):</t>
    </r>
    <r>
      <rPr>
        <sz val="12"/>
        <color theme="1"/>
        <rFont val="Times New Roman"/>
        <family val="1"/>
      </rPr>
      <t xml:space="preserve"> EMPRESA DE TRANSPORTES E TRÂNSITO DE BELO HORIZONTE S.A - BHTRANS. Diretoria de Administração e Recursos Humanos - DAD. Gerência de Gestão e Desenvolvimento de Pessoas - Geape/DAD. </t>
    </r>
    <r>
      <rPr>
        <i/>
        <sz val="12"/>
        <color theme="1"/>
        <rFont val="Times New Roman"/>
        <family val="1"/>
      </rPr>
      <t>Relatório [completo em planilha excell] com dados sobre pessoal e folha de pagamento referente ao mês de Dezembro/2014</t>
    </r>
    <r>
      <rPr>
        <sz val="12"/>
        <color theme="1"/>
        <rFont val="Times New Roman"/>
        <family val="1"/>
      </rPr>
      <t>. Belo Horizonte, [2015].</t>
    </r>
  </si>
  <si>
    <r>
      <rPr>
        <b/>
        <sz val="12"/>
        <color theme="1"/>
        <rFont val="Times New Roman"/>
        <family val="1"/>
      </rPr>
      <t>BHTRANS(2015r5):</t>
    </r>
    <r>
      <rPr>
        <sz val="12"/>
        <color theme="1"/>
        <rFont val="Times New Roman"/>
        <family val="1"/>
      </rPr>
      <t xml:space="preserve"> EMPRESA DE TRANSPORTES E TRÂNSITO DE BELO HORIZONTE S.A - BHTRANS. Diretoria de Administração e Recursos Humanos - DAD. Gerência de Gestão e Desenvolvimento de Pessoas - Geape/DAD. </t>
    </r>
    <r>
      <rPr>
        <i/>
        <sz val="12"/>
        <color theme="1"/>
        <rFont val="Times New Roman"/>
        <family val="1"/>
      </rPr>
      <t>Relatório [completo] com dados sobre pessoal e folha de pagamento referente ao mês de Dezembro/2014</t>
    </r>
    <r>
      <rPr>
        <sz val="12"/>
        <color theme="1"/>
        <rFont val="Times New Roman"/>
        <family val="1"/>
      </rPr>
      <t>. Belo Horizonte, [2015]. p.20 - item 6.6 Cargos comissionados</t>
    </r>
  </si>
  <si>
    <r>
      <rPr>
        <b/>
        <sz val="12"/>
        <color theme="1"/>
        <rFont val="Times New Roman"/>
        <family val="1"/>
      </rPr>
      <t>BHTRANS(2015r2):</t>
    </r>
    <r>
      <rPr>
        <sz val="12"/>
        <color theme="1"/>
        <rFont val="Times New Roman"/>
        <family val="1"/>
      </rPr>
      <t xml:space="preserve"> EMPRESA DE TRANSPORTES E TRÂNSITO DE BELO HORIZONTE S.A - BHTRANS. Diretoria de Administração e Recursos Humanos - DAD. Gerência de Gestão e Desenvolvimento de Pessoas - Geape/DAD. </t>
    </r>
    <r>
      <rPr>
        <i/>
        <sz val="12"/>
        <color theme="1"/>
        <rFont val="Times New Roman"/>
        <family val="1"/>
      </rPr>
      <t>Relatório [completo] com dados sobre pessoal e folha de pagamento referente ao mês de Dezembro/2014</t>
    </r>
    <r>
      <rPr>
        <sz val="12"/>
        <color theme="1"/>
        <rFont val="Times New Roman"/>
        <family val="1"/>
      </rPr>
      <t>. Belo Horizonte, 2015. p.7 (item 1.8 - Quadro BHTrans e terrceirizados)</t>
    </r>
  </si>
  <si>
    <r>
      <rPr>
        <b/>
        <sz val="12"/>
        <color theme="1"/>
        <rFont val="Times New Roman"/>
        <family val="1"/>
      </rPr>
      <t>BHTRANS(2015r6):</t>
    </r>
    <r>
      <rPr>
        <sz val="12"/>
        <color theme="1"/>
        <rFont val="Times New Roman"/>
        <family val="1"/>
      </rPr>
      <t xml:space="preserve"> EMPRESA DE TRANSPORTES E TRÂNSITO DE BELO HORIZONTE S.A - BHTRANS. Diretoria de Administração e Recursos Humanos - DAD. Gerência de Gestão e Desenvolvimento de Pessoas - Geape/DAD. </t>
    </r>
    <r>
      <rPr>
        <i/>
        <sz val="12"/>
        <color theme="1"/>
        <rFont val="Times New Roman"/>
        <family val="1"/>
      </rPr>
      <t>Relatório [completo] com dados sobre pessoal e folha de pagamento referente ao mês de Dezembro/2014</t>
    </r>
    <r>
      <rPr>
        <sz val="12"/>
        <color theme="1"/>
        <rFont val="Times New Roman"/>
        <family val="1"/>
      </rPr>
      <t>. Belo Horizonte, [2015]. p.4 - item Salário médio por cargo</t>
    </r>
  </si>
  <si>
    <r>
      <t xml:space="preserve">n.º de empregados concursados (diretos) da BHTrans
</t>
    </r>
    <r>
      <rPr>
        <b/>
        <sz val="10"/>
        <color theme="1"/>
        <rFont val="Times New Roman"/>
        <family val="1"/>
      </rPr>
      <t>obs.1:</t>
    </r>
    <r>
      <rPr>
        <sz val="10"/>
        <color theme="1"/>
        <rFont val="Times New Roman"/>
        <family val="1"/>
      </rPr>
      <t xml:space="preserve"> resultados de 2006-2012 conforme BHTRANS(2012e)
</t>
    </r>
    <r>
      <rPr>
        <b/>
        <sz val="10"/>
        <color theme="1"/>
        <rFont val="Times New Roman"/>
        <family val="1"/>
      </rPr>
      <t>obs.2:</t>
    </r>
    <r>
      <rPr>
        <sz val="10"/>
        <color theme="1"/>
        <rFont val="Times New Roman"/>
        <family val="1"/>
      </rPr>
      <t xml:space="preserve"> resultados de 2013 conforme</t>
    </r>
    <r>
      <rPr>
        <sz val="10"/>
        <color rgb="FFFF0000"/>
        <rFont val="Times New Roman"/>
        <family val="1"/>
      </rPr>
      <t xml:space="preserve"> BHTRANS(2014___, p.4)</t>
    </r>
    <r>
      <rPr>
        <sz val="10"/>
        <rFont val="Times New Roman"/>
        <family val="1"/>
      </rPr>
      <t xml:space="preserve">; de </t>
    </r>
    <r>
      <rPr>
        <sz val="10"/>
        <color theme="1"/>
        <rFont val="Times New Roman"/>
        <family val="1"/>
      </rPr>
      <t xml:space="preserve">2014 conforme BHTRANS(2015r6, p.4); de 2015 conforme BHTRANS(2016s4,p.4)
</t>
    </r>
    <r>
      <rPr>
        <b/>
        <sz val="10"/>
        <color theme="1"/>
        <rFont val="Times New Roman"/>
        <family val="1"/>
      </rPr>
      <t xml:space="preserve">obs.3: </t>
    </r>
    <r>
      <rPr>
        <sz val="10"/>
        <color theme="1"/>
        <rFont val="Times New Roman"/>
        <family val="1"/>
      </rPr>
      <t>indicador operacional da BHTrans com o nome "número de empregados concursados" (BHTRANS, 2015d3)</t>
    </r>
  </si>
  <si>
    <r>
      <t xml:space="preserve">n.º total de empregados diretos concursados ocupando cargo de confiança na BHTrans
</t>
    </r>
    <r>
      <rPr>
        <b/>
        <sz val="10"/>
        <rFont val="Times New Roman"/>
        <family val="1"/>
      </rPr>
      <t xml:space="preserve">obs.: </t>
    </r>
    <r>
      <rPr>
        <sz val="10"/>
        <rFont val="Times New Roman"/>
        <family val="1"/>
      </rPr>
      <t>resultado de 2013 conforme BHTARNS(2014j, p.20); 2014 conforme BHTRANS(2015r5, p.20); 2015 conforme BHTRANS(2016s2, p.20) como somatório de todos os cargos (recrutamento amplo + recrutamento limitado) ocupados por empregados concursados lançado na coluna "cargo ocupado por empregado concursado"</t>
    </r>
  </si>
  <si>
    <r>
      <rPr>
        <b/>
        <sz val="12"/>
        <rFont val="Times New Roman"/>
        <family val="1"/>
      </rPr>
      <t>BHTRANS(2014j4):</t>
    </r>
    <r>
      <rPr>
        <sz val="12"/>
        <rFont val="Times New Roman"/>
        <family val="1"/>
      </rPr>
      <t xml:space="preserve"> EMPRESA DE TRANSPORTES E TRÂNSITO DE BELO HORIZONTE S.A - BHTRANS. Gerência de Gestão e Desenvolvimento de Pessoas - Geape/SARH/DAF. </t>
    </r>
    <r>
      <rPr>
        <i/>
        <sz val="12"/>
        <rFont val="Times New Roman"/>
        <family val="1"/>
      </rPr>
      <t>Relatório [completo] com dados sobre pessoal e folha de pagamento referente ao mês de Dezembro/2013</t>
    </r>
    <r>
      <rPr>
        <sz val="12"/>
        <rFont val="Times New Roman"/>
        <family val="1"/>
      </rPr>
      <t>. Belo Horizonte, 2014. p.7 (item Quadro BHTrans e terceirizados )</t>
    </r>
  </si>
  <si>
    <r>
      <rPr>
        <b/>
        <sz val="12"/>
        <rFont val="Times New Roman"/>
        <family val="1"/>
      </rPr>
      <t>BHTRANS(2014j3):</t>
    </r>
    <r>
      <rPr>
        <sz val="12"/>
        <rFont val="Times New Roman"/>
        <family val="1"/>
      </rPr>
      <t xml:space="preserve"> EMPRESA DE TRANSPORTES E TRÂNSITO DE BELO HORIZONTE S.A - BHTRANS. Gerência de Gestão e Desenvolvimento de Pessoas - Geape/SARH/DAF. </t>
    </r>
    <r>
      <rPr>
        <i/>
        <sz val="12"/>
        <rFont val="Times New Roman"/>
        <family val="1"/>
      </rPr>
      <t>Relatório [completo] com dados sobre pessoal e folha de pagamento referente ao mês de Dezembro/2013</t>
    </r>
    <r>
      <rPr>
        <sz val="12"/>
        <rFont val="Times New Roman"/>
        <family val="1"/>
      </rPr>
      <t>. Belo Horizonte, 2014. p.4 (item 1.4 Salário médio por cargo)</t>
    </r>
  </si>
  <si>
    <r>
      <rPr>
        <b/>
        <sz val="12"/>
        <color theme="1"/>
        <rFont val="Times New Roman"/>
        <family val="1"/>
      </rPr>
      <t>BHTRANS(2014j2):</t>
    </r>
    <r>
      <rPr>
        <sz val="12"/>
        <color theme="1"/>
        <rFont val="Times New Roman"/>
        <family val="1"/>
      </rPr>
      <t xml:space="preserve"> EMPRESA DE TRANSPORTES E TRÂNSITO DE BELO HORIZONTE S.A - BHTRANS. Gerência de Gestão e Desenvolvimento de Pessoas - Geape/SARH/DAF. </t>
    </r>
    <r>
      <rPr>
        <i/>
        <sz val="12"/>
        <color theme="1"/>
        <rFont val="Times New Roman"/>
        <family val="1"/>
      </rPr>
      <t>Relatório [completo em planilha excell] com dados sobre pessoal e folha de pagamento referente ao mês de Dezembro/2013 [e referente ano de 2014]</t>
    </r>
    <r>
      <rPr>
        <sz val="12"/>
        <color theme="1"/>
        <rFont val="Times New Roman"/>
        <family val="1"/>
      </rPr>
      <t>. Belo Horizonte, 2014.</t>
    </r>
  </si>
  <si>
    <r>
      <rPr>
        <b/>
        <sz val="12"/>
        <rFont val="Times New Roman"/>
        <family val="1"/>
      </rPr>
      <t>BHTRANS(2014j):</t>
    </r>
    <r>
      <rPr>
        <sz val="12"/>
        <rFont val="Times New Roman"/>
        <family val="1"/>
      </rPr>
      <t xml:space="preserve"> EMPRESA DE TRANSPORTES E TRÂNSITO DE BELO HORIZONTE S.A - BHTRANS. Gerência de Gestão e Desenvolvimento de Pessoas - Geape/SARH/DAF. </t>
    </r>
    <r>
      <rPr>
        <i/>
        <sz val="12"/>
        <rFont val="Times New Roman"/>
        <family val="1"/>
      </rPr>
      <t>Relatório [completo] com dados sobre pessoal e folha de pagamento referente ao mês de Dezembro/2013</t>
    </r>
    <r>
      <rPr>
        <sz val="12"/>
        <rFont val="Times New Roman"/>
        <family val="1"/>
      </rPr>
      <t>. Belo Horizonte, 2014. p.20 (item 6.6 - Cargos comissionados)</t>
    </r>
  </si>
  <si>
    <r>
      <t xml:space="preserve">n.º de empregados diretos da BHTrans
</t>
    </r>
    <r>
      <rPr>
        <b/>
        <sz val="10"/>
        <color theme="1"/>
        <rFont val="Times New Roman"/>
        <family val="1"/>
      </rPr>
      <t xml:space="preserve">obs.1: </t>
    </r>
    <r>
      <rPr>
        <sz val="10"/>
        <color theme="1"/>
        <rFont val="Times New Roman"/>
        <family val="1"/>
      </rPr>
      <t>resultados de 1992-1995 com registro em BHTRANS(2011e, p.3); de 1996-2005 com registro em BHTRANS(2015r); resultados de 200</t>
    </r>
    <r>
      <rPr>
        <sz val="10"/>
        <rFont val="Times New Roman"/>
        <family val="1"/>
      </rPr>
      <t xml:space="preserve">6-2015 </t>
    </r>
    <r>
      <rPr>
        <sz val="10"/>
        <color theme="1"/>
        <rFont val="Times New Roman"/>
        <family val="1"/>
      </rPr>
      <t>com uso da fórmula</t>
    </r>
    <r>
      <rPr>
        <sz val="10"/>
        <color theme="1"/>
        <rFont val="Times New Roman"/>
        <family val="1"/>
      </rPr>
      <t xml:space="preserve"> 
</t>
    </r>
    <r>
      <rPr>
        <b/>
        <sz val="10"/>
        <color theme="1"/>
        <rFont val="Times New Roman"/>
        <family val="1"/>
      </rPr>
      <t>obs.2:</t>
    </r>
    <r>
      <rPr>
        <sz val="10"/>
        <color theme="1"/>
        <rFont val="Times New Roman"/>
        <family val="1"/>
      </rPr>
      <t xml:space="preserve"> indicador operacional da BHTrans com o nome "número de empregados diretos"(BHTRANS, 2015d3)</t>
    </r>
  </si>
  <si>
    <r>
      <rPr>
        <b/>
        <sz val="12"/>
        <color theme="1"/>
        <rFont val="Times New Roman"/>
        <family val="1"/>
      </rPr>
      <t xml:space="preserve">BHTRANS(2016s5): </t>
    </r>
    <r>
      <rPr>
        <sz val="12"/>
        <color theme="1"/>
        <rFont val="Times New Roman"/>
        <family val="1"/>
      </rPr>
      <t xml:space="preserve">EMPRESA DE TRANSPORTES E TRÂNSITO DE BELO HORIZONTE S.A - BHTRANS. Diretoria de Administração e Recursos Humanos - DAD. Gerência de Gestão e Desenvolvimento de Pessoas - Geape/SARH/DAD. </t>
    </r>
    <r>
      <rPr>
        <i/>
        <sz val="12"/>
        <color theme="1"/>
        <rFont val="Times New Roman"/>
        <family val="1"/>
      </rPr>
      <t xml:space="preserve">e-mail da Geape ao SisMob-BH em resposta a solicitação feita em 04/10/2016. </t>
    </r>
    <r>
      <rPr>
        <sz val="12"/>
        <color theme="1"/>
        <rFont val="Times New Roman"/>
        <family val="1"/>
      </rPr>
      <t>Belo Horizonte, 4 out. 2016.</t>
    </r>
  </si>
  <si>
    <r>
      <t xml:space="preserve">n.º de empregados diretos com deficiência da BHTrans
</t>
    </r>
    <r>
      <rPr>
        <b/>
        <sz val="10"/>
        <color theme="1"/>
        <rFont val="Times New Roman"/>
        <family val="1"/>
      </rPr>
      <t xml:space="preserve">obs.: </t>
    </r>
    <r>
      <rPr>
        <sz val="10"/>
        <color theme="1"/>
        <rFont val="Times New Roman"/>
        <family val="1"/>
      </rPr>
      <t>resultados de 1996 a 2014 em BHTRANS (2015r); de 2015 conforme BHTRANS(2016s5)</t>
    </r>
  </si>
  <si>
    <t>BHTrans (2015)</t>
  </si>
  <si>
    <t>BHTrans (2005)</t>
  </si>
  <si>
    <r>
      <t xml:space="preserve">n.º de empregados terceirizados da BHTrans
</t>
    </r>
    <r>
      <rPr>
        <b/>
        <sz val="10"/>
        <rFont val="Times New Roman"/>
        <family val="1"/>
      </rPr>
      <t xml:space="preserve">obs.: </t>
    </r>
    <r>
      <rPr>
        <sz val="10"/>
        <rFont val="Times New Roman"/>
        <family val="1"/>
      </rPr>
      <t xml:space="preserve">resultados de 1992-2014 (buscar em cada relatório)
</t>
    </r>
    <r>
      <rPr>
        <b/>
        <sz val="10"/>
        <rFont val="Times New Roman"/>
        <family val="1"/>
      </rPr>
      <t xml:space="preserve">obs.: </t>
    </r>
    <r>
      <rPr>
        <sz val="10"/>
        <rFont val="Times New Roman"/>
        <family val="1"/>
      </rPr>
      <t>resultados de 2013 conforme BHTRANS(2014j4, p.7); 2014 conforme BHTRANS(2015r2, p.7); de 2015 conforme BHTRANS(2016s, p.7), sempre como resultado de Assprom+Aprendizes+APPA+CincoEstrelas+Conservo+Essencial no mês de dezembro</t>
    </r>
  </si>
  <si>
    <t>RH t em relação a RH</t>
  </si>
  <si>
    <t>(RH t/ RH) x 100</t>
  </si>
  <si>
    <t>RH e em relação a RH</t>
  </si>
  <si>
    <t>(RH e / RH) x 100</t>
  </si>
  <si>
    <t>(RH c / RH) x 100</t>
  </si>
  <si>
    <t>RH ran em relação a RH</t>
  </si>
  <si>
    <t>percentual de empregados diretos não concursados ocupando cargo de confiança na BHTrans em relação ao total de empregados</t>
  </si>
  <si>
    <t>(RH ran / RH) x 100</t>
  </si>
  <si>
    <r>
      <t>percentual de estagiários da BHTrans em relação ao total de empregados</t>
    </r>
    <r>
      <rPr>
        <b/>
        <sz val="10"/>
        <color theme="1"/>
        <rFont val="Times New Roman"/>
        <family val="1"/>
      </rPr>
      <t/>
    </r>
  </si>
  <si>
    <r>
      <rPr>
        <b/>
        <sz val="12"/>
        <color theme="1"/>
        <rFont val="Times New Roman"/>
        <family val="1"/>
      </rPr>
      <t xml:space="preserve">BHTRANS(2013d2): </t>
    </r>
    <r>
      <rPr>
        <sz val="12"/>
        <color theme="1"/>
        <rFont val="Times New Roman"/>
        <family val="1"/>
      </rPr>
      <t xml:space="preserve">EMPRESA DE TRANSPORTES E TRÂNSITO DE BELO HORIZONTE S.A - BHTRANS. Gerência de Gestão de Pessoas - Gespe/DAF. </t>
    </r>
    <r>
      <rPr>
        <i/>
        <sz val="12"/>
        <color theme="1"/>
        <rFont val="Times New Roman"/>
        <family val="1"/>
      </rPr>
      <t>Dados [completo em planilha excell] sobre pessoal e folha de pagamento - dezembro/2012</t>
    </r>
    <r>
      <rPr>
        <sz val="12"/>
        <color theme="1"/>
        <rFont val="Times New Roman"/>
        <family val="1"/>
      </rPr>
      <t>. Belo Horizonte: BHTrans, 2013.</t>
    </r>
  </si>
  <si>
    <r>
      <t xml:space="preserve">n.º de empregados diretos ocupando cargo de recrutamento limitado de confiança na BHTrans, ou seja, n.º de empregados concursados ocupando cargo de confiança que só pode ser preenchido por empregado concursado 
</t>
    </r>
    <r>
      <rPr>
        <b/>
        <sz val="10"/>
        <rFont val="Times New Roman"/>
        <family val="1"/>
      </rPr>
      <t xml:space="preserve">obs.: </t>
    </r>
    <r>
      <rPr>
        <sz val="10"/>
        <rFont val="Times New Roman"/>
        <family val="1"/>
      </rPr>
      <t>resultados de 2012 conforme BHTRANS(2013d3, p.25); 2013 conforme BHTRANS(2014j,p.20); de 2014 conforme BHTRANS(2015r5, p.20); de 2015 conforme BHTRANS(2016s2, p.20), em ambos os anos como somatório de todos cargos de recrutamento limitado (coordenador de equipe + coordenador de regional + pregoeiro + presidente da CPPAD + supervisor) ocupados por empregados concursados</t>
    </r>
  </si>
  <si>
    <r>
      <rPr>
        <b/>
        <sz val="12"/>
        <color theme="1"/>
        <rFont val="Times New Roman"/>
        <family val="1"/>
      </rPr>
      <t xml:space="preserve">BHTRANS(2013d3): </t>
    </r>
    <r>
      <rPr>
        <sz val="12"/>
        <color theme="1"/>
        <rFont val="Times New Roman"/>
        <family val="1"/>
      </rPr>
      <t xml:space="preserve">EMPRESA DE TRANSPORTES E TRÂNSITO DE BELO HORIZONTE S.A - BHTRANS. Gerência de Gestão de Pessoas - Gespe/DAF. </t>
    </r>
    <r>
      <rPr>
        <i/>
        <sz val="12"/>
        <color theme="1"/>
        <rFont val="Times New Roman"/>
        <family val="1"/>
      </rPr>
      <t>Dados [completo em planilha excell] sobre pessoal e folha de pagamento - dezembro/2012</t>
    </r>
    <r>
      <rPr>
        <sz val="12"/>
        <color theme="1"/>
        <rFont val="Times New Roman"/>
        <family val="1"/>
      </rPr>
      <t>. Belo Horizonte: BHTrans, 2013. p.24 (relação de cargos comissionados)</t>
    </r>
  </si>
  <si>
    <r>
      <t xml:space="preserve">n.º de estagiários da BHTrans
</t>
    </r>
    <r>
      <rPr>
        <b/>
        <sz val="10"/>
        <color theme="1"/>
        <rFont val="Times New Roman"/>
        <family val="1"/>
      </rPr>
      <t xml:space="preserve">obs.: </t>
    </r>
    <r>
      <rPr>
        <sz val="10"/>
        <color theme="1"/>
        <rFont val="Times New Roman"/>
        <family val="1"/>
      </rPr>
      <t xml:space="preserve">resultados de 1992-2012 (buscar)
</t>
    </r>
    <r>
      <rPr>
        <b/>
        <sz val="10"/>
        <color theme="1"/>
        <rFont val="Times New Roman"/>
        <family val="1"/>
      </rPr>
      <t xml:space="preserve">obs.: </t>
    </r>
    <r>
      <rPr>
        <sz val="10"/>
        <color theme="1"/>
        <rFont val="Times New Roman"/>
        <family val="1"/>
      </rPr>
      <t>resultados de 2012 conforme BHTRANS(2013d4, p.8);  de 2013 conforme BHTRANS(2014j4, p.7); de 2014 conforme BHTRANS (2015r2, p.7); de 2015 conforme BHTRANS(2016s, p.7), sempre tomando o mês de dezembro</t>
    </r>
  </si>
  <si>
    <r>
      <t xml:space="preserve">percentual de empregados terceirizados da BHTrans em relação ao total de empregados
</t>
    </r>
    <r>
      <rPr>
        <b/>
        <sz val="10"/>
        <rFont val="Times New Roman"/>
        <family val="1"/>
      </rPr>
      <t xml:space="preserve">obs.: </t>
    </r>
    <r>
      <rPr>
        <sz val="10"/>
        <rFont val="Times New Roman"/>
        <family val="1"/>
      </rPr>
      <t xml:space="preserve">resultados de 1992-2014 (buscar em cada relatório)
</t>
    </r>
    <r>
      <rPr>
        <b/>
        <sz val="10"/>
        <rFont val="Times New Roman"/>
        <family val="1"/>
      </rPr>
      <t xml:space="preserve">obs.: </t>
    </r>
    <r>
      <rPr>
        <sz val="10"/>
        <rFont val="Times New Roman"/>
        <family val="1"/>
      </rPr>
      <t>resultados de 2013 conforme BHTRANS(2014j4, p.7); 2014 conforme BHTRANS(2015r2, p.7); de 2015 conforme BHTRANS(2016s, p.7), sempre como resultado de (dependendo das contratadas a cada ano): Amas+Assprom+Aprendizes+APPA+Equipe+Esquadra+CincoEstrelas+Conservo+Protegido+Essencial no mês de dezembro</t>
    </r>
  </si>
  <si>
    <r>
      <rPr>
        <b/>
        <sz val="12"/>
        <color theme="1"/>
        <rFont val="Times New Roman"/>
        <family val="1"/>
      </rPr>
      <t>TREVISAN(2011):</t>
    </r>
    <r>
      <rPr>
        <sz val="12"/>
        <color theme="1"/>
        <rFont val="Times New Roman"/>
        <family val="1"/>
      </rPr>
      <t xml:space="preserve"> TREVISAN, Eveline Prado. Interseções entre o Plano de Mobilidade Urbana e a nova Lei de Parcelamento, Ocupação e Uso do Sole de Belo Horizonte. In: CONGRESSO BRASILEIRO DE TRANSPORTE E TRÂNSITO - ANTP, 18, 2011, Rio de Janeiro. </t>
    </r>
    <r>
      <rPr>
        <i/>
        <sz val="12"/>
        <color theme="1"/>
        <rFont val="Times New Roman"/>
        <family val="1"/>
      </rPr>
      <t xml:space="preserve">Anais... </t>
    </r>
    <r>
      <rPr>
        <sz val="12"/>
        <color theme="1"/>
        <rFont val="Times New Roman"/>
        <family val="1"/>
      </rPr>
      <t>Rio de Janeiro: Coppe/UFRJ, 2011 [19 a 21 de outubro de 2011]. Comunicação Técnica n.20, p.192-200.</t>
    </r>
  </si>
  <si>
    <r>
      <t xml:space="preserve">símbolo internacional de acesso
</t>
    </r>
    <r>
      <rPr>
        <b/>
        <sz val="10"/>
        <rFont val="Times New Roman"/>
        <family val="1"/>
      </rPr>
      <t xml:space="preserve">obs.1: </t>
    </r>
    <r>
      <rPr>
        <sz val="10"/>
        <rFont val="Times New Roman"/>
        <family val="1"/>
      </rPr>
      <t xml:space="preserve">"É obrigatória a colocação, de forma visível, do “Símbolo Internacional de Acesso”, em todos os locais que possibilitem acesso, circulação e utilização por pessoas portadoras de deficiência, e em todos os serviços que forem postos à sua disposição ou que possibilitem o seu uso" conforme BRASIL(1985a, art.1º)
</t>
    </r>
    <r>
      <rPr>
        <b/>
        <sz val="10"/>
        <rFont val="Times New Roman"/>
        <family val="1"/>
      </rPr>
      <t xml:space="preserve">obs.2: </t>
    </r>
    <r>
      <rPr>
        <sz val="10"/>
        <rFont val="Times New Roman"/>
        <family val="1"/>
      </rPr>
      <t xml:space="preserve"> "Para colocação do símbolo internacional de acesso nos veículos, as empresas de transporte coletivo de passageiros dependem da certificação de acessibilidade emitida pelo gestor público responsável pela prestação do serviço" conforme BRASIL(2015a, art.48/§3º)
</t>
    </r>
    <r>
      <rPr>
        <b/>
        <sz val="10"/>
        <rFont val="Times New Roman"/>
        <family val="1"/>
      </rPr>
      <t xml:space="preserve">obs.3: </t>
    </r>
    <r>
      <rPr>
        <sz val="10"/>
        <rFont val="Times New Roman"/>
        <family val="1"/>
      </rPr>
      <t xml:space="preserve">"O poder público, após certificar a acessibilidade de edificação ou de serviço, determinará a colocação, em espaços ou em locais de ampla visibilidade, do símbolo internacional de acesso, na forma prevista em legislação e em normas técnicas correlatas" conforme BRASIL(2015, art.56/§3º)
</t>
    </r>
    <r>
      <rPr>
        <b/>
        <sz val="10"/>
        <rFont val="Times New Roman"/>
        <family val="1"/>
      </rPr>
      <t>obs.4:</t>
    </r>
    <r>
      <rPr>
        <sz val="10"/>
        <rFont val="Times New Roman"/>
        <family val="1"/>
      </rPr>
      <t xml:space="preserve"> símbolo com "forma A" e "forma B" conforme ABNT(2015a, p.39/Figuras 31 e 32)
</t>
    </r>
    <r>
      <rPr>
        <b/>
        <sz val="10"/>
        <rFont val="Times New Roman"/>
        <family val="1"/>
      </rPr>
      <t xml:space="preserve">obs.5: </t>
    </r>
    <r>
      <rPr>
        <sz val="10"/>
        <rFont val="Times New Roman"/>
        <family val="1"/>
      </rPr>
      <t>"O símbolo internacional de acesso deve indicar a acessibilidade aos serviços e identificar espaços, edificações, mobiliário e equipamentos urbanos, onde existem elementos acessíveis ou utilizáveis por pessoas com deficiência ou com mobilidade reduzida." conforme ABNT(2015a, p.39)</t>
    </r>
  </si>
  <si>
    <t>IMORT</t>
  </si>
  <si>
    <t>IMGI</t>
  </si>
  <si>
    <r>
      <t xml:space="preserve">índice de mortalidade
</t>
    </r>
    <r>
      <rPr>
        <b/>
        <sz val="10"/>
        <color theme="1"/>
        <rFont val="Times New Roman"/>
        <family val="1"/>
      </rPr>
      <t xml:space="preserve">obs.: </t>
    </r>
    <r>
      <rPr>
        <sz val="10"/>
        <color theme="1"/>
        <rFont val="Times New Roman"/>
        <family val="1"/>
      </rPr>
      <t>conforme BHTRANS(2011a, p.16)</t>
    </r>
  </si>
  <si>
    <r>
      <t xml:space="preserve">índice de emissões atmosféricas
</t>
    </r>
    <r>
      <rPr>
        <b/>
        <sz val="10"/>
        <color theme="1"/>
        <rFont val="Times New Roman"/>
        <family val="1"/>
      </rPr>
      <t xml:space="preserve">obs.: </t>
    </r>
    <r>
      <rPr>
        <sz val="10"/>
        <color theme="1"/>
        <rFont val="Times New Roman"/>
        <family val="1"/>
      </rPr>
      <t>conforme BHTRANS(2011a, p.21-23;  2012a, p.25-26)</t>
    </r>
  </si>
  <si>
    <r>
      <t xml:space="preserve">emissão total de GEE em relação à população (em toneladas de CO2e/habitante) com resultado obtido diretamente no inventário conforme BH(2015a2, p.16)
</t>
    </r>
    <r>
      <rPr>
        <b/>
        <sz val="10"/>
        <rFont val="Times New Roman"/>
        <family val="1"/>
      </rPr>
      <t>obs.:</t>
    </r>
    <r>
      <rPr>
        <sz val="10"/>
        <rFont val="Times New Roman"/>
        <family val="1"/>
      </rPr>
      <t xml:space="preserve"> acesse "EG por habitante (SisMob-BH)" para comparar resultados , destacando-se que há diferenças pois o inventário utiliza dados de populaçao que não são os utiilizados pelo SisMob-BH (divulgados pelo IBGE)</t>
    </r>
  </si>
  <si>
    <r>
      <t>emissão total de GEE em relação à população (em toneladas de CO</t>
    </r>
    <r>
      <rPr>
        <vertAlign val="subscript"/>
        <sz val="10"/>
        <rFont val="Times New Roman"/>
        <family val="1"/>
      </rPr>
      <t>2</t>
    </r>
    <r>
      <rPr>
        <sz val="10"/>
        <rFont val="Times New Roman"/>
        <family val="1"/>
      </rPr>
      <t xml:space="preserve">e/habitante)
</t>
    </r>
    <r>
      <rPr>
        <b/>
        <sz val="10"/>
        <rFont val="Times New Roman"/>
        <family val="1"/>
      </rPr>
      <t xml:space="preserve">obs.1: </t>
    </r>
    <r>
      <rPr>
        <sz val="10"/>
        <rFont val="Times New Roman"/>
        <family val="1"/>
      </rPr>
      <t xml:space="preserve">como há divergências nos resultados apresentados nas fontes consultadas (BELO HORIZONTE, 2015a, 2015b), o SisMob-BH escolheu como resultados os obtidos por aplicação da fórmula, levando a obtenção de 1,26 em vez de 1,27 (2002); 1,25 em vez de 1,26 (2003); 1,26 em vez de 1,30 (2004); 1,27 em vez de 1,31 (2005); 1,30 em vez de 1,35 (2006); 1,32 em vez de 1,36 (2007); 1,41 em vez de 1,46 (2008); 1,41 em vez de 1,47 (2009); 1,66 em vez de 1,65 (2011); 1,77 em vez de 1,74 (2012); 1,77 em vez de 1,79 (2013)
</t>
    </r>
    <r>
      <rPr>
        <b/>
        <sz val="10"/>
        <rFont val="Times New Roman"/>
        <family val="1"/>
      </rPr>
      <t>obs.2:</t>
    </r>
    <r>
      <rPr>
        <sz val="10"/>
        <rFont val="Times New Roman"/>
        <family val="1"/>
      </rPr>
      <t xml:space="preserve"> acesse "EG por habitante (inventário)" para comparar resultados, destacando-se que há diferenças pois o inventário utiliza dados de populaçao que não são os utiilizados pelo SisMob-BH (divulgados pelo IBGE)
</t>
    </r>
    <r>
      <rPr>
        <b/>
        <sz val="10"/>
        <rFont val="Times New Roman"/>
        <family val="1"/>
      </rPr>
      <t xml:space="preserve">obs.3: </t>
    </r>
    <r>
      <rPr>
        <sz val="10"/>
        <rFont val="Times New Roman"/>
        <family val="1"/>
      </rPr>
      <t xml:space="preserve">indicador tático da BHTrans com o nome "emissões de gases de efeito estufa per capita" (BHTRANS, 2015d)
</t>
    </r>
    <r>
      <rPr>
        <b/>
        <sz val="10"/>
        <rFont val="Times New Roman"/>
        <family val="1"/>
      </rPr>
      <t>obs.3:</t>
    </r>
    <r>
      <rPr>
        <sz val="10"/>
        <rFont val="Times New Roman"/>
        <family val="1"/>
      </rPr>
      <t xml:space="preserve"> indicador com metas anuais definidas (acesse)
</t>
    </r>
    <r>
      <rPr>
        <b/>
        <sz val="10"/>
        <rFont val="Times New Roman"/>
        <family val="1"/>
      </rPr>
      <t>obs.4:</t>
    </r>
    <r>
      <rPr>
        <sz val="10"/>
        <rFont val="Times New Roman"/>
        <family val="1"/>
      </rPr>
      <t xml:space="preserve"> este indicador faz parte dos "indicadores urbanos globais" do Global City Institute com a denominação de " emissões de gases estufa em toneladas per capita" </t>
    </r>
  </si>
  <si>
    <t>PRM</t>
  </si>
  <si>
    <r>
      <t xml:space="preserve">"pessoa com mobilidade reduzida" conforme ABNT(2015a, p.6/item 3-Abreviaturas)
</t>
    </r>
    <r>
      <rPr>
        <b/>
        <sz val="10"/>
        <rFont val="Times New Roman"/>
        <family val="1"/>
      </rPr>
      <t>obs.:</t>
    </r>
    <r>
      <rPr>
        <sz val="10"/>
        <rFont val="Times New Roman"/>
        <family val="1"/>
      </rPr>
      <t xml:space="preserve"> acesse o verbete "PRM"</t>
    </r>
  </si>
  <si>
    <t>países de língua inglesa</t>
  </si>
  <si>
    <r>
      <t xml:space="preserve">expressão em língua ínglesa para "People with Reduced Mobility" que, em português, é traduzido como "pessoa com mobilidade reduzida
</t>
    </r>
    <r>
      <rPr>
        <b/>
        <sz val="10"/>
        <color theme="1"/>
        <rFont val="Times New Roman"/>
        <family val="1"/>
      </rPr>
      <t xml:space="preserve">obs.: </t>
    </r>
    <r>
      <rPr>
        <sz val="10"/>
        <color theme="1"/>
        <rFont val="Times New Roman"/>
        <family val="1"/>
      </rPr>
      <t xml:space="preserve">"People with reduced mobility (PRM) make up around a third of the European population and include people with disabilities, people with temporal impairments, people with small children, older people, people with heavy or bulky luggage, people with communication problems, etc." conforme ISEMOA(2016a)
</t>
    </r>
    <r>
      <rPr>
        <b/>
        <sz val="10"/>
        <color theme="1"/>
        <rFont val="Times New Roman"/>
        <family val="1"/>
      </rPr>
      <t xml:space="preserve">obs.: </t>
    </r>
    <r>
      <rPr>
        <sz val="10"/>
        <color theme="1"/>
        <rFont val="Times New Roman"/>
        <family val="1"/>
      </rPr>
      <t>acesse o verbete "P.M.R."</t>
    </r>
  </si>
  <si>
    <t>verbete
MFO/GLCT</t>
  </si>
  <si>
    <r>
      <t xml:space="preserve">densidade mínima recomendada para um sistema de bicicletas compartilhadas
</t>
    </r>
    <r>
      <rPr>
        <b/>
        <sz val="10"/>
        <color theme="1"/>
        <rFont val="Times New Roman"/>
        <family val="1"/>
      </rPr>
      <t>obs.:</t>
    </r>
    <r>
      <rPr>
        <sz val="10"/>
        <color theme="1"/>
        <rFont val="Times New Roman"/>
        <family val="1"/>
      </rPr>
      <t xml:space="preserve"> "A densidade ideal está entre 10 a 16 estações por quilômetro quadrado. 14 estações por quilômetro quadrado é equivalente a: • 1 estação a cada 300 metros • 36 estações por milha quadrada (equivalente a 2,59 km2)" conforme ITDP(2014, p.47)</t>
    </r>
  </si>
  <si>
    <r>
      <t xml:space="preserve">percentual da extensão da rede cicloviária em relação ao planejado (estratégico)
</t>
    </r>
    <r>
      <rPr>
        <b/>
        <sz val="10"/>
        <color theme="1"/>
        <rFont val="Times New Roman"/>
        <family val="1"/>
      </rPr>
      <t xml:space="preserve">obs: </t>
    </r>
    <r>
      <rPr>
        <sz val="10"/>
        <color theme="1"/>
        <rFont val="Times New Roman"/>
        <family val="1"/>
      </rPr>
      <t>indicador estratégico da BHTrans (BHTRANS, 2015d)</t>
    </r>
  </si>
  <si>
    <t>Gráficos 35d - Distribuição percentual dos empregados da BHTrans por tipo de contratação (2015)</t>
  </si>
  <si>
    <t>Gráficos 35e - Distribuição em números absolutos dos empregados da BHTrans por tipo de contratação (2015)</t>
  </si>
  <si>
    <r>
      <rPr>
        <b/>
        <sz val="12"/>
        <color theme="1"/>
        <rFont val="Times New Roman"/>
        <family val="1"/>
      </rPr>
      <t>ISEMOA(2016a):</t>
    </r>
    <r>
      <rPr>
        <sz val="12"/>
        <color theme="1"/>
        <rFont val="Times New Roman"/>
        <family val="1"/>
      </rPr>
      <t xml:space="preserve"> IMPROVING SEAMLESS ENERGI-EFFICIENT MOBILITY CHAIMS FOR ALL - ISEMOA. </t>
    </r>
    <r>
      <rPr>
        <i/>
        <sz val="12"/>
        <color theme="1"/>
        <rFont val="Times New Roman"/>
        <family val="1"/>
      </rPr>
      <t>Accessible and energy-efficient mobility for all!</t>
    </r>
    <r>
      <rPr>
        <sz val="12"/>
        <color theme="1"/>
        <rFont val="Times New Roman"/>
        <family val="1"/>
      </rPr>
      <t xml:space="preserve"> Disponível em: &lt;http://www.isemoa.eu/&gt;. Acesso em: 6 out. 2016.</t>
    </r>
  </si>
  <si>
    <r>
      <rPr>
        <b/>
        <sz val="12"/>
        <color theme="1"/>
        <rFont val="Times New Roman"/>
        <family val="1"/>
      </rPr>
      <t>ISEMOA(2016b):</t>
    </r>
    <r>
      <rPr>
        <sz val="12"/>
        <color theme="1"/>
        <rFont val="Times New Roman"/>
        <family val="1"/>
      </rPr>
      <t xml:space="preserve"> IMPROVING SEAMLESS ENERGI-EFFICIENT MOBILITY CHAIMS FOR ALL - ISEMOA. </t>
    </r>
    <r>
      <rPr>
        <i/>
        <sz val="12"/>
        <color theme="1"/>
        <rFont val="Times New Roman"/>
        <family val="1"/>
      </rPr>
      <t xml:space="preserve">Accessible and energy-efficient mobility for all!. </t>
    </r>
    <r>
      <rPr>
        <sz val="12"/>
        <color theme="1"/>
        <rFont val="Times New Roman"/>
        <family val="1"/>
      </rPr>
      <t>Apresentação em 18 slides. s/l. s/d.</t>
    </r>
  </si>
  <si>
    <t>accessible and energy-efficient mobility for all</t>
  </si>
  <si>
    <r>
      <t xml:space="preserve">expressão em língua ínglesa para "mobilidade com acessibilidade e energia eficiente para todos"
</t>
    </r>
    <r>
      <rPr>
        <b/>
        <sz val="10"/>
        <rFont val="Times New Roman"/>
        <family val="1"/>
      </rPr>
      <t xml:space="preserve">obs.: </t>
    </r>
    <r>
      <rPr>
        <sz val="10"/>
        <rFont val="Times New Roman"/>
        <family val="1"/>
      </rPr>
      <t xml:space="preserve">mensagem transmitida pela organização </t>
    </r>
    <r>
      <rPr>
        <i/>
        <sz val="10"/>
        <rFont val="Times New Roman"/>
        <family val="1"/>
      </rPr>
      <t xml:space="preserve">Improving Seamless Ernegy-Efficient Mobility Chaims for All </t>
    </r>
    <r>
      <rPr>
        <sz val="10"/>
        <rFont val="Times New Roman"/>
        <family val="1"/>
      </rPr>
      <t>conforme ISEMOA(2016a; 2016b)</t>
    </r>
  </si>
  <si>
    <t>mobilidade com acessibilidade e energia eficiente para todos</t>
  </si>
  <si>
    <r>
      <t xml:space="preserve">tradução livre para "accessible and energy-efficient mobility for all"
</t>
    </r>
    <r>
      <rPr>
        <b/>
        <sz val="10"/>
        <rFont val="Times New Roman"/>
        <family val="1"/>
      </rPr>
      <t xml:space="preserve">obs.: </t>
    </r>
    <r>
      <rPr>
        <sz val="10"/>
        <rFont val="Times New Roman"/>
        <family val="1"/>
      </rPr>
      <t>acesse o verbete para todos</t>
    </r>
  </si>
  <si>
    <r>
      <rPr>
        <b/>
        <sz val="12"/>
        <color theme="1"/>
        <rFont val="Times New Roman"/>
        <family val="1"/>
      </rPr>
      <t xml:space="preserve">BH(2014b): </t>
    </r>
    <r>
      <rPr>
        <sz val="12"/>
        <color theme="1"/>
        <rFont val="Times New Roman"/>
        <family val="1"/>
      </rPr>
      <t xml:space="preserve">BELO HORIZONTE. Prefeitura. Secretaria Municipal de Planejamento Urbano. </t>
    </r>
    <r>
      <rPr>
        <i/>
        <sz val="12"/>
        <color theme="1"/>
        <rFont val="Times New Roman"/>
        <family val="1"/>
      </rPr>
      <t>Resultado final das votações dos dias 25/07, 19/07 e 02/08/2014 da 4ª Conferência Municipal de Política Urbana</t>
    </r>
    <r>
      <rPr>
        <sz val="12"/>
        <color theme="1"/>
        <rFont val="Times New Roman"/>
        <family val="1"/>
      </rPr>
      <t>. Belo Horizonte, ago. 2014. capa + p.9-532. Disponível para baixar em: &lt;http://portalpbh.pbh.gov.br/pbh/ecp/files.do?evento=download&amp;urlArqPlc=resultado_final_das_votacoes_ivcmpu.pdf&gt;. Acesso em: 10 out. 2016.</t>
    </r>
  </si>
  <si>
    <t>mapa de classificação de calçadas</t>
  </si>
  <si>
    <t>conferências da PcD</t>
  </si>
  <si>
    <t>conferências de política urbana</t>
  </si>
  <si>
    <t>Gráficos "Transporte de baixa capacidade (antigo Transporte suplementar)"</t>
  </si>
  <si>
    <t>faixa elevada</t>
  </si>
  <si>
    <t>"elevação do nível do leito carroçável composto de área plana elevada, sinalizada com faixa para travessia de pedestres e rampa de transposição para veículos, destinada a nivelar o leito carroçável às calçadas em ambos os lados da via" conforme ABNT(2015a, p.4)</t>
  </si>
  <si>
    <t>fator de rotatividade (usado como complemento de "RT")</t>
  </si>
  <si>
    <r>
      <t xml:space="preserve">"indicação luminosa de permissão ou impedimento de locomoção na faixa apropriada"
</t>
    </r>
    <r>
      <rPr>
        <b/>
        <sz val="10"/>
        <color theme="1"/>
        <rFont val="Times New Roman"/>
        <family val="1"/>
      </rPr>
      <t xml:space="preserve">obs.: </t>
    </r>
    <r>
      <rPr>
        <sz val="10"/>
        <color theme="1"/>
        <rFont val="Times New Roman"/>
        <family val="1"/>
      </rPr>
      <t>conforme BRASIL (1997a/Anexo I) e ABNT (2015a, p.4)</t>
    </r>
  </si>
  <si>
    <t>"sinalização transversal ao leito carroçável, destinada a ordenar e indicar os deslocamentos dos pedestres para a travessia da via" conforme ABNT(2015a, p.4)</t>
  </si>
  <si>
    <t>faixa de travessia de pedestres</t>
  </si>
  <si>
    <t>considera-se "6" o requisito de parte interessada (RPI) sem desenho universal para os ônibus que operam no transporte coletivo urbano pois esse é nível da escala IAED na qual se enquadram os veículos da "frota em n.º de ônibus do transporte coletivo urbano de uma cidade/região de piso alto operando com embarque/desembarque apenas em plataformas elevadas (BRT, por exemplo) ou veículos de piso baixo dianteiro, traseiro ou central, em ambos os casos sem rampa veicular (com embarque/desembarque podendo acontecer em nível em todas as portas ou em parte das portas, embora sem o apoio de uma rampa e dependente no motorista estacionar rente à plataforma ou rente à plataforma, sempre sem garantia de fronteira máxima conforme normas brasileiras vigentes"</t>
  </si>
  <si>
    <t>considera-se "10" o requisito de parte interessada (RPI) com desenho universal para os ônibus que operam no transporte coletivo urbano pois esse é nível máximo da escala IAED na qual se enquadram os veículos da "frota em n.º de ônibus com desenho universal no embarque/desembarque"</t>
  </si>
  <si>
    <r>
      <rPr>
        <b/>
        <sz val="12"/>
        <color theme="1"/>
        <rFont val="Times New Roman"/>
        <family val="1"/>
      </rPr>
      <t xml:space="preserve">SUGRANYES(2010): </t>
    </r>
    <r>
      <rPr>
        <sz val="12"/>
        <color theme="1"/>
        <rFont val="Times New Roman"/>
        <family val="1"/>
      </rPr>
      <t xml:space="preserve">SUGRANYES, Ana; MATHIVET, Charlotte (Ed.). </t>
    </r>
    <r>
      <rPr>
        <i/>
        <sz val="12"/>
        <color theme="1"/>
        <rFont val="Times New Roman"/>
        <family val="1"/>
      </rPr>
      <t>Ciudades para tod@s</t>
    </r>
    <r>
      <rPr>
        <sz val="12"/>
        <color theme="1"/>
        <rFont val="Times New Roman"/>
        <family val="1"/>
      </rPr>
      <t>: por el derecho a la cirdad, propuestas y experiencias. Santiago de Chile: Habitat International Coalition - HIC, 2010. 343p. Disponível para acesso em: &lt;http://www.hic-al.org/documento.cfm?id_documento=1402&gt;. Acesso em: 9 out. 2016.</t>
    </r>
  </si>
  <si>
    <t>ciudad para tod@s</t>
  </si>
  <si>
    <r>
      <t xml:space="preserve">título de livro publicado em Santiago do Chile em 2010, editado pela Habitat International Coalition - HIC
</t>
    </r>
    <r>
      <rPr>
        <b/>
        <sz val="10"/>
        <rFont val="Times New Roman"/>
        <family val="1"/>
      </rPr>
      <t xml:space="preserve">obs.: </t>
    </r>
    <r>
      <rPr>
        <sz val="10"/>
        <rFont val="Times New Roman"/>
        <family val="1"/>
      </rPr>
      <t>"Este libro responde a esta esperanza [de David Harvey] y este llamado a unirse bajo la bandera del derecho a la ciudad, dándoles la palabra a actores muy diversos que luchan por el derecho a la ciudad. Esta diversidad de puntos de vista, discursos, culturas, experiencias es el hilo conductor de esta publicación. " conforme SUGRANEES(2010)</t>
    </r>
  </si>
  <si>
    <r>
      <rPr>
        <b/>
        <sz val="12"/>
        <color theme="1"/>
        <rFont val="Times New Roman"/>
        <family val="1"/>
      </rPr>
      <t>CIVITAS(2008):</t>
    </r>
    <r>
      <rPr>
        <sz val="12"/>
        <color theme="1"/>
        <rFont val="Times New Roman"/>
        <family val="1"/>
      </rPr>
      <t xml:space="preserve"> CIVITAS INICIATIVE, THE. Projecto Europe CiViTas ELAN. </t>
    </r>
    <r>
      <rPr>
        <i/>
        <sz val="12"/>
        <color theme="1"/>
        <rFont val="Times New Roman"/>
        <family val="1"/>
      </rPr>
      <t>Cleaner and better - transporte for all 2008-2012</t>
    </r>
    <r>
      <rPr>
        <sz val="12"/>
        <color theme="1"/>
        <rFont val="Times New Roman"/>
        <family val="1"/>
      </rPr>
      <t>. Porto, [2008]. 7p. (prospecto)</t>
    </r>
  </si>
  <si>
    <t>GLTC</t>
  </si>
  <si>
    <t xml:space="preserve">verbete assinado por Guilherme Lara Camargos Tampieri
​gestor ambiental, membro do Movimento Nossa BH, BH em Ciclo, está diretor administrativo da UCB - União de Ciclistas do Brasil e conselheiro de Mobilidade Urbana de BH; enquanto ator social, acredita que o cidadão é capaz de participar da vida política e incidir na tomada de decisão dos gestor públicos, dentro e fora das esferas institucionais. </t>
  </si>
  <si>
    <t>verbete assinado por Marcos Fontoura de Oliveira
graduado em Engenharia Civil pela EE-UFMG (1983); especialista em Urbanismo pela EA-UFMG (1988), especialista em Percepção Ambiental e Espaço Urbano pelo IGC-UFMG (1996), pós-graduado em Desenvolvimento Gerencial pela FIA/USP (2000), mestre em Administração Pública pela EG-FJP (2000), doutor em Ciências Sociais pela PUC Minas (2014); atualmente é analista de transportes e trânsito lotado na Diretoria de Planejamento da BHTrans</t>
  </si>
  <si>
    <r>
      <rPr>
        <b/>
        <sz val="12"/>
        <color theme="1"/>
        <rFont val="Times New Roman"/>
        <family val="1"/>
      </rPr>
      <t>BH(2016k):</t>
    </r>
    <r>
      <rPr>
        <sz val="12"/>
        <color theme="1"/>
        <rFont val="Times New Roman"/>
        <family val="1"/>
      </rPr>
      <t xml:space="preserve"> BELO HORIZONTE. Prefeitura. </t>
    </r>
    <r>
      <rPr>
        <i/>
        <sz val="12"/>
        <color theme="1"/>
        <rFont val="Times New Roman"/>
        <family val="1"/>
      </rPr>
      <t>Demonstrativo da execução das metas físicas - terceiro quadrimestre 2015</t>
    </r>
    <r>
      <rPr>
        <sz val="12"/>
        <color theme="1"/>
        <rFont val="Times New Roman"/>
        <family val="1"/>
      </rPr>
      <t>. Belo Horizonte, 23 fev. 2016. 300p.</t>
    </r>
  </si>
  <si>
    <r>
      <rPr>
        <b/>
        <sz val="12"/>
        <rFont val="Times New Roman"/>
        <family val="1"/>
      </rPr>
      <t>EV b(BH delta 2)</t>
    </r>
    <r>
      <rPr>
        <sz val="12"/>
        <rFont val="Times New Roman"/>
        <family val="1"/>
      </rPr>
      <t>: deve-se consultar anualmente a home page da BHTrans em busca do que será o</t>
    </r>
    <r>
      <rPr>
        <i/>
        <sz val="12"/>
        <rFont val="Times New Roman"/>
        <family val="1"/>
      </rPr>
      <t xml:space="preserve"> Demonstrativo da Execução das Metas Físicas</t>
    </r>
    <r>
      <rPr>
        <sz val="12"/>
        <rFont val="Times New Roman"/>
        <family val="1"/>
      </rPr>
      <t>. Consulta em 29/02/2015, repetida em 25/06/2016, encontrou relatórios de 2011 a 2014, ficando faltando 2010 e 2015. (solicitar informação por e-mail à PBH em jul. 2017: não solicitei. Fazer isto em agosto/2016). Em 10/10/2016 encontrei o Demonstrativo 2015 na internet. Próxima atualização (resultados de 2016) em: abril/2017.</t>
    </r>
  </si>
  <si>
    <t>(eh) com elevador (BH = convencional)</t>
  </si>
  <si>
    <t>(eh) com elevador (BH = suplementar)</t>
  </si>
  <si>
    <t>(eh) com elevador (BH = total = convencional + suplementar)</t>
  </si>
  <si>
    <t>percentual da frota de ônibus do transporte coletivo de Contagem equipados com  elevador hidráulico de uso exclusivo ou não para cadeirantes e que não estão aptos a operar em parte do percurso em plataforma elevada</t>
  </si>
  <si>
    <t>percentual da frota de ônibus do transporte coletivo de Curitiba de equipados com  elevador hidráulico de uso exclusivo ou não para cadeirantes e que não estão aptos a operar em parte do percurso em plataforma elevada</t>
  </si>
  <si>
    <t>percentual da frota de ônibus do transporte coletivo de Joinville equipados com  elevador hidráulico de uso exclusivo ou não para cadeirantes e que não estão aptos a operar em parte do percurso em plataforma elevada</t>
  </si>
  <si>
    <r>
      <t xml:space="preserve">"Diz-se que um serviço de uso público a possui quando é oferecido de forma que leve em conta a dificuldade que as pessoas podem ter, garantindo-lhes ou facilitando-lhes o acesso físico com segurança e autonomia. Assim, pode-se dizer que o transporte coletivo de uma cidade é acessível às pessoas com deficiência auditiva quando os sinais e mensagens sonoros direcionados aos usuários são acompanhados por sinais e mensagens visuais [lembrando que mensagens escritas não são acessíveis a quem for alfabetizado apenas em llibras]. Do mesmo modo, se o som da </t>
    </r>
    <r>
      <rPr>
        <i/>
        <sz val="10"/>
        <rFont val="Times New Roman"/>
        <family val="1"/>
      </rPr>
      <t>campainha</t>
    </r>
    <r>
      <rPr>
        <sz val="10"/>
        <rFont val="Times New Roman"/>
        <family val="1"/>
      </rPr>
      <t xml:space="preserve"> dos ônibus é meramente substituído por uma mensagem visual de </t>
    </r>
    <r>
      <rPr>
        <i/>
        <sz val="10"/>
        <rFont val="Times New Roman"/>
        <family val="1"/>
      </rPr>
      <t>parada solicitada</t>
    </r>
    <r>
      <rPr>
        <sz val="10"/>
        <rFont val="Times New Roman"/>
        <family val="1"/>
      </rPr>
      <t>, o sistema torna-se menos acessível às pessoas com deficiência visual." conforme OLIVEIRA(2002, p.163)</t>
    </r>
    <r>
      <rPr>
        <b/>
        <sz val="10"/>
        <rFont val="Times New Roman"/>
        <family val="1"/>
      </rPr>
      <t xml:space="preserve">
obs.1: </t>
    </r>
    <r>
      <rPr>
        <sz val="10"/>
        <rFont val="Times New Roman"/>
        <family val="1"/>
      </rPr>
      <t>consulte "acessibilidade" e "acessibilidade social"</t>
    </r>
    <r>
      <rPr>
        <b/>
        <sz val="10"/>
        <rFont val="Times New Roman"/>
        <family val="1"/>
      </rPr>
      <t xml:space="preserve">
obs.2:</t>
    </r>
    <r>
      <rPr>
        <sz val="10"/>
        <rFont val="Times New Roman"/>
        <family val="1"/>
      </rPr>
      <t xml:space="preserve"> conceito citado em "acessibilidade em ônibus urbano (escala)"</t>
    </r>
  </si>
  <si>
    <r>
      <rPr>
        <b/>
        <sz val="12"/>
        <color theme="1"/>
        <rFont val="Times New Roman"/>
        <family val="1"/>
      </rPr>
      <t xml:space="preserve">BH(2016m): </t>
    </r>
    <r>
      <rPr>
        <sz val="12"/>
        <color theme="1"/>
        <rFont val="Times New Roman"/>
        <family val="1"/>
      </rPr>
      <t xml:space="preserve">BELO HORIZONTE. Prefeitura. Secretaria Municipal Adjunta de Direitos de Cidadania. Conselho Municipal dos Direitos da Pessoa com Deficiência - CMDPD/BH. </t>
    </r>
    <r>
      <rPr>
        <i/>
        <sz val="12"/>
        <color theme="1"/>
        <rFont val="Times New Roman"/>
        <family val="1"/>
      </rPr>
      <t>Ata da plenária n.º 239</t>
    </r>
    <r>
      <rPr>
        <sz val="12"/>
        <color theme="1"/>
        <rFont val="Times New Roman"/>
        <family val="1"/>
      </rPr>
      <t>. Belo Horizonte, 11 de julho de 2016. 4p.</t>
    </r>
  </si>
  <si>
    <t>ajuda técnica</t>
  </si>
  <si>
    <t>tecnologia assistiva</t>
  </si>
  <si>
    <t>barreiras</t>
  </si>
  <si>
    <t>comunicação</t>
  </si>
  <si>
    <t>"forma de interação dos cidadãos que abrange, entre outras opções, as línguas, inclusive a Língua Brasileira de Sinais (Libras), a visualização de textos, o Braille, o sistema de sinalização ou de comunicação tátil, os caracteres ampliados, os dispositivos multimídia, assim como a linguagem simples, escrita e oral, os sistemas auditivos e os meios de voz digitalizados e os modos, meios e formatos aumentativos e alternativos de comunicação, incluindo as tecnologias da informação e das comunicações" conforme BRASIL(2015a, incliso V do art.3º)</t>
  </si>
  <si>
    <t>adaptações razoáveis</t>
  </si>
  <si>
    <t>"adaptações, modificações e ajustes necessários e adequados que não acarretem ônus desproporcional e indevido, quando requeridos em cada caso, a fim de assegurar que a pessoa com deficiência possa gozar ou exercer, em igualdade de condições e oportunidades com as demais pessoas, todos os direitos e liberdades fundamentais" conforme BRASIL(2015a, inciso VI do art.3º)</t>
  </si>
  <si>
    <t>"conjunto de objetos existentes nas vias e nos espaços públicos, superpostos ou adicionados aos elementos de urbanização ou de edificação, de forma que sua modificação ou seu traslado não provoque alterações substanciais nesses elementos, tais como semáforos, postes de sinalização e similares, terminais e pontos de acesso coletivo às telecomunicações, fontes de água, lixeiras, toldos, marquises, bancos, quiosques e quaisquer outros de natureza análoga" conforme BRASIL(2015a, inciso VIII do art. 3º)</t>
  </si>
  <si>
    <t>mobiliário urbano</t>
  </si>
  <si>
    <t>"Art.2º - Considera-se pessoa com deficiência aquela que tem impedimento de longo prazo de natureza física, mental, intelectual ou sensorial, o qual, em interação com uma ou mais barreiras, pode obstruir sua participação plena e efetiva na sociedade em igualdade de condições com as demais pessoas.
§1º - A avaliação da deficiência, quando necessária, será biopsicossocial, realizada por equipe multiprofissional e interdisciplinar e considerará: I - os impedimentos nas funções e nas estruturas do corpo; II - os fatores socioambientais, psicológicos e pessoais; III - a limitação no desempenho de atividades; e IV - a restrição de participação. 
§2º - O Poder Executivo criará instrumentos para avaliação da deficiência." 
conforme BRASIL(2015a)</t>
  </si>
  <si>
    <t>"quaisquer componentes de obras de urbanização, tais como os referentes a pavimentação, saneamento, encanamento para esgotos, distribuição de energia elétrica e de gás, iluminação pública, serviços de comunicação, abastecimento e distribuição de água, paisagismo e os que materializam as indicações do planejamento urbanístico" conforme BRASIL(2015a, inciso VII do art.3º)</t>
  </si>
  <si>
    <t>elemento de urbanização</t>
  </si>
  <si>
    <t>"aquele que acompanha a pessoa com deficiência, podendo ou não desempenhar as funções de atendente pessoal" conforme BRASIL(2015a, inciso XIV do art.3º)</t>
  </si>
  <si>
    <t>acompanhante</t>
  </si>
  <si>
    <t>atendente pessoal</t>
  </si>
  <si>
    <r>
      <t xml:space="preserve">"pessoa, membro ou não da família, que, com ou sem remuneração, assiste ou presta cuidados básicos e essenciais à pessoa com deficiência no exercício de suas atividades diárias, excluídas as técnicas ou os procedimentos identificados com profissões legalmente estabelecidas" conforme BRASIL(2015a, inciso XII do art.3º)
</t>
    </r>
    <r>
      <rPr>
        <b/>
        <sz val="10"/>
        <color theme="1"/>
        <rFont val="Times New Roman"/>
        <family val="1"/>
      </rPr>
      <t xml:space="preserve">obs.: </t>
    </r>
    <r>
      <rPr>
        <sz val="10"/>
        <color theme="1"/>
        <rFont val="Times New Roman"/>
        <family val="1"/>
      </rPr>
      <t>acesse o verbete "acompanhante"</t>
    </r>
  </si>
  <si>
    <t>discriminação</t>
  </si>
  <si>
    <t>"Art. 4º - Toda pessoa com deficiência tem direito à igualdade de oportunidades com as demais pessoas e não sofrerá nenhuma espécie de discriminação.
§1º - Considera-se discriminação em razão da deficiência toda forma de distinção, restrição ou exclusão, por ação ou omissão, que tenha o propósito ou o efeito de prejudicar, impedir ou anular o reconhecimento ou o exercício dos direitos e das liberdades fundamentais de pessoa com deficiência, incluindo a recusa de adaptações razoáveis e de fornecimento de tecnologias assistivas.
§2º - A pessoa com deficiência não está obrigada à fruição de benefícios decorrentes de ação afirmativa."
conforme BRASIL(2015a)</t>
  </si>
  <si>
    <t>atendimento prioritário para PcD</t>
  </si>
  <si>
    <t>direito ao transporte</t>
  </si>
  <si>
    <t>"Art. 46 - O direito ao transporte e à mobilidade da pessoa com deficiência ou com mobilidade reduzida será
assegurado em igualdade de oportunidades com as demais pessoas, por meio de identificação e de eliminação
de todos os obstáculos e barreiras ao seu acesso.
§1º - Para fins de acessibilidade aos serviços de transporte coletivo terrestre, aquaviário e aéreo, em todas as jurisdições, consideram-se como integrantes desses serviços os veículos, os terminais, as estações, os pontos de parada, o sistema viário e a prestação do serviço.
§2º - São sujeitas ao cumprimento das disposições desta Lei, sempre que houver interação com a matéria nela regulada, a outorga, a concessão, a permissão, a autorização, a renovação ou a habilitação de linhas e de serviços de transporte coletivo.
§3º - Para colocação do símbolo internacional de acesso nos veículos, as empresas de transporte coletivo de passageiros dependem da certificação de acessibilidade emitida pelo gestor público responsável pela prestação do serviço."
conforma BRASIL(2015a)</t>
  </si>
  <si>
    <r>
      <t xml:space="preserve">direito instituído no Brasil em outubro/2003 pelo Estatuto do Idoso e uniformizado pelo Contran em 2008
</t>
    </r>
    <r>
      <rPr>
        <b/>
        <sz val="10"/>
        <color theme="1"/>
        <rFont val="Times New Roman"/>
        <family val="1"/>
      </rPr>
      <t xml:space="preserve">em out.2003: </t>
    </r>
    <r>
      <rPr>
        <sz val="10"/>
        <color theme="1"/>
        <rFont val="Times New Roman"/>
        <family val="1"/>
      </rPr>
      <t xml:space="preserve">"É assegurada a reserva, para os idosos, nos termos da lei local, de 5% (cinco por cento) das vagas nos estacionamentos públicos e privados, as quais deverão ser posicionadas de forma a garantir a melhor comodidade ao idoso." conforme BRASIL(2003a, art.41)
</t>
    </r>
    <r>
      <rPr>
        <b/>
        <sz val="10"/>
        <color theme="1"/>
        <rFont val="Times New Roman"/>
        <family val="1"/>
      </rPr>
      <t xml:space="preserve">em dez.2000: </t>
    </r>
    <r>
      <rPr>
        <sz val="10"/>
        <color theme="1"/>
        <rFont val="Times New Roman"/>
        <family val="1"/>
      </rPr>
      <t xml:space="preserve">uniformização dos procedimentos em âmbito nacional conforme BRASIL(2008a)
</t>
    </r>
    <r>
      <rPr>
        <b/>
        <sz val="10"/>
        <color theme="1"/>
        <rFont val="Times New Roman"/>
        <family val="1"/>
      </rPr>
      <t xml:space="preserve">obs.: </t>
    </r>
    <r>
      <rPr>
        <sz val="10"/>
        <color theme="1"/>
        <rFont val="Times New Roman"/>
        <family val="1"/>
      </rPr>
      <t>acesse "RT vfi / RT vf"</t>
    </r>
  </si>
  <si>
    <r>
      <t xml:space="preserve">direito instituído no Brasil por lei federal no ano 2000 e uniformizado pelo Contran no ano 2008
</t>
    </r>
    <r>
      <rPr>
        <b/>
        <sz val="10"/>
        <color theme="1"/>
        <rFont val="Times New Roman"/>
        <family val="1"/>
      </rPr>
      <t xml:space="preserve">em jul.2015: </t>
    </r>
    <r>
      <rPr>
        <sz val="10"/>
        <color theme="1"/>
        <rFont val="Times New Roman"/>
        <family val="1"/>
      </rPr>
      <t xml:space="preserve">"Art. 47 - Em todas as áreas de estacionamento aberto ao público, de uso público ou privado de uso coletivo e em vias públicas, devem ser reservadas vagas próximas aos acessos de circulação de pedestres, devidamente sinalizadas, para veículos que transportem pessoa com deficiência com comprometimento de mobilidade, desde que devidamente identificados. §1º - As vagas a que se refere o caput deste artigo devem equivaler a 2% (dois por cento) do total, garantida, no mínimo, 1 (uma) vaga devidamente sinalizada e com as especificações de desenho e traçado de acordo com as normas técnicas vigentes de acessibilidade. §2º - Os veículos estacionados nas vagas reservadas devem exibir, em local de ampla visibilidade, a credencial de beneficiário, a ser confeccionada e fornecida pelos órgãos de trânsito, que disciplinarão suas características e condições de uso. §3º - A utilização indevida das vagas de que trata este artigo sujeita os infratores às sanções previstas no inciso XVII do art. 181 da Lei no 9.503, de 23 de setembro de 1997 (Código de Trânsito Brasileiro). §4º - A credencial a que se refere o §2º deste artigo é vinculada à pessoa com deficiência que possui comprometimento de mobilidade e é válida em todo o território nacional." conforme BRASIL(2015a)
</t>
    </r>
    <r>
      <rPr>
        <b/>
        <sz val="10"/>
        <color theme="1"/>
        <rFont val="Times New Roman"/>
        <family val="1"/>
      </rPr>
      <t xml:space="preserve">em dez.2008: </t>
    </r>
    <r>
      <rPr>
        <sz val="10"/>
        <color theme="1"/>
        <rFont val="Times New Roman"/>
        <family val="1"/>
      </rPr>
      <t xml:space="preserve">uniformização dos procedimentos em âmbito nacional conforme BRASIL(2008b)
</t>
    </r>
    <r>
      <rPr>
        <b/>
        <sz val="10"/>
        <color theme="1"/>
        <rFont val="Times New Roman"/>
        <family val="1"/>
      </rPr>
      <t xml:space="preserve">em dez.2000: </t>
    </r>
    <r>
      <rPr>
        <sz val="10"/>
        <color theme="1"/>
        <rFont val="Times New Roman"/>
        <family val="1"/>
      </rPr>
      <t xml:space="preserve">"Art.7º - Em todas as áreas de estacionamento de veículos, localizadas em vias ou em espaços públicos, deverão ser reservadas vagas próximas dos acessos de circulação de pedestres, devidamente sinalizadas, para veículos que transportem pessoas portadoras de deficiência com dificuldade de locomoção.
Parágrafo único. As vagas a que se refere o caput deste artigo deverão ser em número equivalente a dois por cento do total, garantida, no mínimo, uma vaga, devidamente sinalizada e com as especificações técnicas de desenho e traçado de acordo com as normas técnicas vigentes." conforme BRASIL(2000a)
</t>
    </r>
    <r>
      <rPr>
        <b/>
        <sz val="10"/>
        <color theme="1"/>
        <rFont val="Times New Roman"/>
        <family val="1"/>
      </rPr>
      <t xml:space="preserve">em dez.2000: </t>
    </r>
    <r>
      <rPr>
        <sz val="10"/>
        <color theme="1"/>
        <rFont val="Times New Roman"/>
        <family val="1"/>
      </rPr>
      <t xml:space="preserve">"nas áreas externas ou internas da edificação, destinadas a garagem e a estacionamento de uso público,
deverão ser reservadas vagas próximas dos acessos de circulação de pedestres, devidamente sinalizadas, para
veículos que transportem pessoas portadoras de deficiência com dificuldade de locomoção permanente" conforme BRASIL(2000a, inciso I do parágrafo único do art.11)
</t>
    </r>
    <r>
      <rPr>
        <b/>
        <sz val="10"/>
        <color theme="1"/>
        <rFont val="Times New Roman"/>
        <family val="1"/>
      </rPr>
      <t xml:space="preserve">obs.: </t>
    </r>
    <r>
      <rPr>
        <sz val="10"/>
        <color theme="1"/>
        <rFont val="Times New Roman"/>
        <family val="1"/>
      </rPr>
      <t>acesse "RT vfid/ RT vf"</t>
    </r>
  </si>
  <si>
    <t>atendimento preferencial</t>
  </si>
  <si>
    <t>comunicação acessível</t>
  </si>
  <si>
    <t xml:space="preserve">"Os veículos e as estruturas de que trata o caput deste artigo [de transporte coletivo terrestre, aquaviário e aéreo, as instalações, as estações, os portos e os terminais em operação no País] devem dispor de sistema de comunicação acessível que disponibilize informações sobre todos os pontos do itinerário." conforme BRASIL(2015a, §1º do art. 48) </t>
  </si>
  <si>
    <r>
      <t xml:space="preserve">característica do ônibus que opera no sistema de transporte coletivo urbano de alguma cidade/região que possibilita a sua utilização, com segurança e autonomia, por pessoa com deficiência ou com mobilidade reduzida
</t>
    </r>
    <r>
      <rPr>
        <b/>
        <sz val="10"/>
        <rFont val="Times New Roman"/>
        <family val="1"/>
      </rPr>
      <t xml:space="preserve">em out.2015: </t>
    </r>
    <r>
      <rPr>
        <sz val="10"/>
        <rFont val="Times New Roman"/>
        <family val="1"/>
      </rPr>
      <t xml:space="preserve">"espaços, mobiliários, equipamentos urbanos, edificações, transportes, informação e comunicação, inclusive seus sistemas e tecnologias ou elemento que possa ser alcançado, acionado, utilizado e vivenciado por qualquer pessoa" conforme ABNT(2015a, p.2)
</t>
    </r>
    <r>
      <rPr>
        <b/>
        <sz val="10"/>
        <rFont val="Times New Roman"/>
        <family val="1"/>
      </rPr>
      <t xml:space="preserve">jul.2015: </t>
    </r>
    <r>
      <rPr>
        <sz val="10"/>
        <rFont val="Times New Roman"/>
        <family val="1"/>
      </rPr>
      <t xml:space="preserve">"Os veículos de transporte coletivo terrestre, aquaviário e aéreo, as instalações, as estações, os
portos e os terminais em operação no País devem ser acessíveis, de forma a garantir o seu uso por todas as
pessoas." conforme BRASIL(2015a, caput do art.48)
</t>
    </r>
    <r>
      <rPr>
        <b/>
        <sz val="10"/>
        <rFont val="Times New Roman"/>
        <family val="1"/>
      </rPr>
      <t xml:space="preserve">obs.: </t>
    </r>
    <r>
      <rPr>
        <sz val="10"/>
        <rFont val="Times New Roman"/>
        <family val="1"/>
      </rPr>
      <t>a diferença entre acessível e desenho universal é ilustrada em ALVAREZ(2014)</t>
    </r>
  </si>
  <si>
    <r>
      <rPr>
        <b/>
        <sz val="10"/>
        <color theme="1"/>
        <rFont val="Times New Roman"/>
        <family val="1"/>
      </rPr>
      <t xml:space="preserve">1) </t>
    </r>
    <r>
      <rPr>
        <sz val="10"/>
        <color theme="1"/>
        <rFont val="Times New Roman"/>
        <family val="1"/>
      </rPr>
      <t xml:space="preserve">"Art. 9º - A pessoa com deficiência tem direito a receber atendimento prioritário, sobretudo com a finalidade
de: I - proteção e socorro em quaisquer circunstâncias; II - atendimento em todas as instituições e serviços de atendimento ao público; III - disponibilização de recursos, tanto humanos quanto tecnológicos, que garantam atendimento em igualdade de condições com as demais pessoas; IV - disponibilização de pontos de parada, estações e terminais acessíveis de transporte coletivo de passageiros e garantia de segurança no embarque e no desembarque; V - acesso a informações e disponibilização de recursos de comunicação acessíveis; VI - recebimento de restituição de imposto de renda; VII - tramitação processual e procedimentos judiciais e administrativos em que for parte ou interessada, em todos os atos e diligências. §1º - Os direitos previstos neste artigo são extensivos ao acompanhante da pessoa com deficiência ou ao seu atendente pessoal, exceto quanto ao disposto nos incisos VI e VII deste artigo. §2º - Nos serviços de emergência públicos e privados, a prioridade conferida por esta Lei é condicionada aos protocolos de atendimento médico." conforme BRASIL(2015a)
</t>
    </r>
    <r>
      <rPr>
        <b/>
        <sz val="10"/>
        <color theme="1"/>
        <rFont val="Times New Roman"/>
        <family val="1"/>
      </rPr>
      <t xml:space="preserve">2) </t>
    </r>
    <r>
      <rPr>
        <sz val="10"/>
        <color theme="1"/>
        <rFont val="Times New Roman"/>
        <family val="1"/>
      </rPr>
      <t xml:space="preserve">"São asseguradas à pessoa com deficiência prioridade e segurança nos procedimentos de embarque e de desembarque nos veículos de transporte coletivo, de acordo com as normas técnicas." conforme BRASIL(2015a, </t>
    </r>
    <r>
      <rPr>
        <sz val="10"/>
        <color theme="1"/>
        <rFont val="Calibri"/>
        <family val="2"/>
      </rPr>
      <t>§2</t>
    </r>
    <r>
      <rPr>
        <sz val="10"/>
        <color theme="1"/>
        <rFont val="Times New Roman"/>
        <family val="1"/>
      </rPr>
      <t>º do art.48)</t>
    </r>
  </si>
  <si>
    <t>táxi acessível</t>
  </si>
  <si>
    <t>"Art. 50. O poder público incentivará a fabricação de veículos acessíveis e a sua utilização como táxis e vans, de forma a garantir o seu uso por todas as pessoas. Art. 51. As frotas de empresas de táxi devem reservar 10% (dez por cento) de seus veículos acessíveis à pessoa com deficiência. § 1o É proibida a cobrança diferenciada de tarifas ou de valores adicionais pelo serviço de táxi prestado à pessoa com deficiência. § 2o O poder público é autorizado a instituir incentivos fiscais com vistas a possibilitar a acessibilidade dos veículos a que se refere o caput deste artigo." conforme BRASIL(2015a)</t>
  </si>
  <si>
    <t>táxi acessível
(meta)</t>
  </si>
  <si>
    <t>"As frotas de empresas de táxi devem reservar 10% (dez por cento) de seus veículos acessíveis à pessoa com deficiência" conforme BRASIL(2015a, caput do art. 51)</t>
  </si>
  <si>
    <t>verbete a elaborar</t>
  </si>
  <si>
    <r>
      <t xml:space="preserve">n.º de veículos da frota de táxi na modalidade "acessível" com placa de Belo Horizonte
</t>
    </r>
    <r>
      <rPr>
        <b/>
        <sz val="10"/>
        <color theme="1"/>
        <rFont val="Times New Roman"/>
        <family val="1"/>
      </rPr>
      <t>obs.1:</t>
    </r>
    <r>
      <rPr>
        <sz val="10"/>
        <color theme="1"/>
        <rFont val="Times New Roman"/>
        <family val="1"/>
      </rPr>
      <t xml:space="preserve"> o SisMob-BH assume que de 1991 a 2005 os resultados são iguais aos de 2006
</t>
    </r>
    <r>
      <rPr>
        <b/>
        <sz val="10"/>
        <color theme="1"/>
        <rFont val="Times New Roman"/>
        <family val="1"/>
      </rPr>
      <t xml:space="preserve">obs.2: </t>
    </r>
    <r>
      <rPr>
        <sz val="10"/>
        <color theme="1"/>
        <rFont val="Times New Roman"/>
        <family val="1"/>
      </rPr>
      <t xml:space="preserve">valores de dezembro usados para representar o ano com resultados de 2006-2012 conforme BHTRANS(2013g); de 2013 conforme BHTRANS(2014h); de 2014 conforme BHTRANS(2015a); de 2015 conforme BHTRANS(2016p3)
</t>
    </r>
    <r>
      <rPr>
        <b/>
        <sz val="10"/>
        <color theme="1"/>
        <rFont val="Times New Roman"/>
        <family val="1"/>
      </rPr>
      <t>obs.3:</t>
    </r>
    <r>
      <rPr>
        <sz val="10"/>
        <color theme="1"/>
        <rFont val="Times New Roman"/>
        <family val="1"/>
      </rPr>
      <t xml:space="preserve"> acesse verbete "táxi acessível"</t>
    </r>
  </si>
  <si>
    <t>táxi convencional</t>
  </si>
  <si>
    <r>
      <t xml:space="preserve">n.º de veículos da frota de táxi na modalidade "convencional" com placa de Belo Horizonte
</t>
    </r>
    <r>
      <rPr>
        <b/>
        <sz val="10"/>
        <color theme="1"/>
        <rFont val="Times New Roman"/>
        <family val="1"/>
      </rPr>
      <t xml:space="preserve">obs.1: </t>
    </r>
    <r>
      <rPr>
        <sz val="10"/>
        <color theme="1"/>
        <rFont val="Times New Roman"/>
        <family val="1"/>
      </rPr>
      <t xml:space="preserve">valores de dezembro usados para representar o ano com resultados de 2014 conforme BHTRANS(2015a); de 2015 conforme BHTRANS(2015p3)
</t>
    </r>
    <r>
      <rPr>
        <b/>
        <sz val="10"/>
        <color theme="1"/>
        <rFont val="Times New Roman"/>
        <family val="1"/>
      </rPr>
      <t xml:space="preserve">obs.2: </t>
    </r>
    <r>
      <rPr>
        <sz val="10"/>
        <color theme="1"/>
        <rFont val="Times New Roman"/>
        <family val="1"/>
      </rPr>
      <t>acesse o verbete "táxi convencional"</t>
    </r>
  </si>
  <si>
    <r>
      <t xml:space="preserve">n.º de veículos da frota de táxi na modalidade "convencional" com placa de Ribeirão das Neves
</t>
    </r>
    <r>
      <rPr>
        <b/>
        <sz val="10"/>
        <color theme="1"/>
        <rFont val="Times New Roman"/>
        <family val="1"/>
      </rPr>
      <t xml:space="preserve">obs.1: </t>
    </r>
    <r>
      <rPr>
        <sz val="10"/>
        <color theme="1"/>
        <rFont val="Times New Roman"/>
        <family val="1"/>
      </rPr>
      <t xml:space="preserve">valores de dezembro usados para representar o ano com resultados de 2014 conforme BHTRANS(2015a); de 2015 conforme BHTRANS(2015p3)
</t>
    </r>
    <r>
      <rPr>
        <b/>
        <sz val="10"/>
        <color theme="1"/>
        <rFont val="Times New Roman"/>
        <family val="1"/>
      </rPr>
      <t xml:space="preserve">obs.2: </t>
    </r>
    <r>
      <rPr>
        <sz val="10"/>
        <color theme="1"/>
        <rFont val="Times New Roman"/>
        <family val="1"/>
      </rPr>
      <t>acesse o verbete "táxi convencional"</t>
    </r>
  </si>
  <si>
    <r>
      <t xml:space="preserve">n.º de veículos da frota de táxi na modalidade "convencional"  sob a gestão da BHTrans
</t>
    </r>
    <r>
      <rPr>
        <b/>
        <sz val="10"/>
        <color theme="1"/>
        <rFont val="Times New Roman"/>
        <family val="1"/>
      </rPr>
      <t>obs.1:</t>
    </r>
    <r>
      <rPr>
        <sz val="10"/>
        <color theme="1"/>
        <rFont val="Times New Roman"/>
        <family val="1"/>
      </rPr>
      <t xml:space="preserve"> esta categoria, também conhecida como "comum" é destinada à prestação do serviço geral de táxi que não atende a necessidade específicas de deslocamento
</t>
    </r>
    <r>
      <rPr>
        <b/>
        <sz val="10"/>
        <color theme="1"/>
        <rFont val="Times New Roman"/>
        <family val="1"/>
      </rPr>
      <t>obs.2:</t>
    </r>
    <r>
      <rPr>
        <sz val="10"/>
        <color theme="1"/>
        <rFont val="Times New Roman"/>
        <family val="1"/>
      </rPr>
      <t xml:space="preserve"> acesse o verbete "táxi convencional"</t>
    </r>
  </si>
  <si>
    <r>
      <t xml:space="preserve">n.º de veículos da frota de táxi na modalidade "convencional" da praça integrada de Belo Horizonte
</t>
    </r>
    <r>
      <rPr>
        <b/>
        <sz val="10"/>
        <color theme="1"/>
        <rFont val="Times New Roman"/>
        <family val="1"/>
      </rPr>
      <t xml:space="preserve">obs.1: </t>
    </r>
    <r>
      <rPr>
        <sz val="10"/>
        <color theme="1"/>
        <rFont val="Times New Roman"/>
        <family val="1"/>
      </rPr>
      <t xml:space="preserve">esta categoria, também conhecida como "comum" é destinada à prestação do serviço geral de táxi que não atende a necessidades específicas de deslocamento
</t>
    </r>
    <r>
      <rPr>
        <b/>
        <sz val="10"/>
        <color theme="1"/>
        <rFont val="Times New Roman"/>
        <family val="1"/>
      </rPr>
      <t>obs.2:</t>
    </r>
    <r>
      <rPr>
        <sz val="10"/>
        <color theme="1"/>
        <rFont val="Times New Roman"/>
        <family val="1"/>
      </rPr>
      <t xml:space="preserve"> acesse o verbete "táxi convencional"</t>
    </r>
  </si>
  <si>
    <t>TX ac
(%)</t>
  </si>
  <si>
    <t>TX ac gt
(%)</t>
  </si>
  <si>
    <t>TX ac pi
(%)</t>
  </si>
  <si>
    <r>
      <t xml:space="preserve">n.º de veículos da frota de táxi na modalidade "lotação" com placa de Belo Horizonte
</t>
    </r>
    <r>
      <rPr>
        <b/>
        <sz val="10"/>
        <color theme="1"/>
        <rFont val="Times New Roman"/>
        <family val="1"/>
      </rPr>
      <t xml:space="preserve">obs.1: </t>
    </r>
    <r>
      <rPr>
        <sz val="10"/>
        <color theme="1"/>
        <rFont val="Times New Roman"/>
        <family val="1"/>
      </rPr>
      <t xml:space="preserve">valores de dezembro usados para representar o ano com resultados de 2014 conforme BHTRANS(2015a); de 2015 conforme BHTRANS(2015p3)
</t>
    </r>
    <r>
      <rPr>
        <b/>
        <sz val="10"/>
        <color theme="1"/>
        <rFont val="Times New Roman"/>
        <family val="1"/>
      </rPr>
      <t xml:space="preserve">obs.2: </t>
    </r>
    <r>
      <rPr>
        <sz val="10"/>
        <color theme="1"/>
        <rFont val="Times New Roman"/>
        <family val="1"/>
      </rPr>
      <t>acesse o verbete "táxi lotação"</t>
    </r>
  </si>
  <si>
    <r>
      <t xml:space="preserve">n.º de veículos da frota de táxi na modalidade "lotação" da praça integrada de Belo Horizonte
</t>
    </r>
    <r>
      <rPr>
        <b/>
        <sz val="10"/>
        <color theme="1"/>
        <rFont val="Times New Roman"/>
        <family val="1"/>
      </rPr>
      <t xml:space="preserve">obs.1: </t>
    </r>
    <r>
      <rPr>
        <sz val="10"/>
        <color theme="1"/>
        <rFont val="Times New Roman"/>
        <family val="1"/>
      </rPr>
      <t xml:space="preserve">essa categoria opera apenas no município de Belo Horizonte em rotas fixas e tarifa pré-fixada
</t>
    </r>
    <r>
      <rPr>
        <b/>
        <sz val="10"/>
        <color theme="1"/>
        <rFont val="Times New Roman"/>
        <family val="1"/>
      </rPr>
      <t>obs.2:</t>
    </r>
    <r>
      <rPr>
        <sz val="10"/>
        <color theme="1"/>
        <rFont val="Times New Roman"/>
        <family val="1"/>
      </rPr>
      <t xml:space="preserve"> até 2015 todos são de Belo Horizonte (TX lot = TX lot praça integrada = TX lot gestão BHTrans)
</t>
    </r>
    <r>
      <rPr>
        <b/>
        <sz val="10"/>
        <color theme="1"/>
        <rFont val="Times New Roman"/>
        <family val="1"/>
      </rPr>
      <t xml:space="preserve">obs.3: </t>
    </r>
    <r>
      <rPr>
        <sz val="10"/>
        <color theme="1"/>
        <rFont val="Times New Roman"/>
        <family val="1"/>
      </rPr>
      <t>acesse o verbete "táxi lotação"</t>
    </r>
  </si>
  <si>
    <r>
      <t xml:space="preserve">n.º de veículos da frota de táxi na modalidade "lotação" sob a gestão da BHTrans
</t>
    </r>
    <r>
      <rPr>
        <b/>
        <sz val="10"/>
        <color theme="1"/>
        <rFont val="Times New Roman"/>
        <family val="1"/>
      </rPr>
      <t xml:space="preserve">obs.1: </t>
    </r>
    <r>
      <rPr>
        <sz val="10"/>
        <color theme="1"/>
        <rFont val="Times New Roman"/>
        <family val="1"/>
      </rPr>
      <t xml:space="preserve">essa categoria opera apenas no município de Belo Horizonte em rotas fixas e tarifa pré-fixada
</t>
    </r>
    <r>
      <rPr>
        <b/>
        <sz val="10"/>
        <color theme="1"/>
        <rFont val="Times New Roman"/>
        <family val="1"/>
      </rPr>
      <t>obs.2:</t>
    </r>
    <r>
      <rPr>
        <sz val="10"/>
        <color theme="1"/>
        <rFont val="Times New Roman"/>
        <family val="1"/>
      </rPr>
      <t xml:space="preserve"> até 2015 todos são de Belo Horizonte (TX lot = TX lot praça integrada = TX lot gestão BHTrans)
</t>
    </r>
    <r>
      <rPr>
        <b/>
        <sz val="10"/>
        <color theme="1"/>
        <rFont val="Times New Roman"/>
        <family val="1"/>
      </rPr>
      <t xml:space="preserve">obs.3: </t>
    </r>
    <r>
      <rPr>
        <sz val="10"/>
        <color theme="1"/>
        <rFont val="Times New Roman"/>
        <family val="1"/>
      </rPr>
      <t>acesse o verbete "táxi lotação"</t>
    </r>
  </si>
  <si>
    <r>
      <t xml:space="preserve">n.º de veículos da frota de táxi na modalidade "lotação" com placa de Ribeirão das Neves
</t>
    </r>
    <r>
      <rPr>
        <b/>
        <sz val="10"/>
        <color theme="1"/>
        <rFont val="Times New Roman"/>
        <family val="1"/>
      </rPr>
      <t xml:space="preserve">obs.1: </t>
    </r>
    <r>
      <rPr>
        <sz val="10"/>
        <color theme="1"/>
        <rFont val="Times New Roman"/>
        <family val="1"/>
      </rPr>
      <t xml:space="preserve">valores de dezembro usados para representar o ano com resultados de 2014 conforme BHTRANS(2015a); de 2015 conforme BHTRANS(2015p3)
</t>
    </r>
    <r>
      <rPr>
        <b/>
        <sz val="10"/>
        <color theme="1"/>
        <rFont val="Times New Roman"/>
        <family val="1"/>
      </rPr>
      <t xml:space="preserve">obs.2: </t>
    </r>
    <r>
      <rPr>
        <sz val="10"/>
        <color theme="1"/>
        <rFont val="Times New Roman"/>
        <family val="1"/>
      </rPr>
      <t>acesse o verbete "táxi lotação"</t>
    </r>
  </si>
  <si>
    <t>táxi lotação</t>
  </si>
  <si>
    <t>táxi premium</t>
  </si>
  <si>
    <t>AT</t>
  </si>
  <si>
    <t>Autorização de Tráfego</t>
  </si>
  <si>
    <r>
      <rPr>
        <b/>
        <sz val="12"/>
        <rFont val="Times New Roman"/>
        <family val="1"/>
      </rPr>
      <t>BHTRANS(2015wa1/wa2):</t>
    </r>
    <r>
      <rPr>
        <sz val="12"/>
        <rFont val="Times New Roman"/>
        <family val="1"/>
      </rPr>
      <t xml:space="preserve"> EMPRESA DE TRANSPORTES E TRÂNSITO DE BELO HORIZONTE S.A - BHTRANS. Portaria BHTRANS DPR n.º 156/2015, de 16 [sic] de dezembro de 2015. Dispõe sobre o Serviço Público de Transporte por Táxi do Município de Belo Horizonte e dá outras providências [anexo: Regulamento do Serviço Público de Transporte por Táxi no Município de Belo Horizonte]. </t>
    </r>
    <r>
      <rPr>
        <i/>
        <sz val="12"/>
        <rFont val="Times New Roman"/>
        <family val="1"/>
      </rPr>
      <t>Diário Oficial do Município de Belo Horizonte - DOM</t>
    </r>
    <r>
      <rPr>
        <sz val="12"/>
        <rFont val="Times New Roman"/>
        <family val="1"/>
      </rPr>
      <t>, Belo Horizonte, 15 dez. 2015, ano 21, n.4946. Poder Executivo. Secretaria Municipal de Serviços Urbanos - BHTRANS. 
Portaria (wa1) disponível em: &lt;http://portal6.pbh.gov.br/dom/view/jsp/artigo_impressao.jsp&gt;. Acesso em: 17 out. 2016. Regulamento (wa2) disponível em: &lt;http://www.bhtrans.pbh.gov.br/portal/page/portal/portalpublicodl/Temas/Taxi/legislacao-taxi-2013/Regulamento%20T%C3%A1xi%20PORTARIA%20BHTRANS%20DPR%20N.%C2%BA%20156_2015%20(1).pdf&gt;. Acesso em: 17 out. 2016.</t>
    </r>
  </si>
  <si>
    <r>
      <t xml:space="preserve">ato administrativo discricionário, unilateral e precário, pelo qual o poder público (a BHTrans, no caso) delega a terceiro a execução do Serviço Público de Transporte por Táxi nas condições estabelecidas em processo licitatório, no regulamento específico e em normas complementares em duas modalidades: permissão de táxi pessoa física ou permissão de táxi pessoa jurídica)
</t>
    </r>
    <r>
      <rPr>
        <b/>
        <sz val="10"/>
        <color theme="1"/>
        <rFont val="Times New Roman"/>
        <family val="1"/>
      </rPr>
      <t>obs.:</t>
    </r>
    <r>
      <rPr>
        <sz val="10"/>
        <color theme="1"/>
        <rFont val="Times New Roman"/>
        <family val="1"/>
      </rPr>
      <t xml:space="preserve"> "Permissão: ato administrativo discricionário e unilateral pelo qual a BHTRANS delega a terceiros a execução do Serviço Público de Transporte por Táxi nas condições estabelecidas em edital licitatório, neste Regulamento e/ou em normas complementares" conforme BHTRANS(2015wa2, inciso XXIV do art.2º)</t>
    </r>
  </si>
  <si>
    <r>
      <t xml:space="preserve">pessoa física ou jurídica detentora de permissão de táxi
</t>
    </r>
    <r>
      <rPr>
        <b/>
        <sz val="10"/>
        <color theme="1"/>
        <rFont val="Times New Roman"/>
        <family val="1"/>
      </rPr>
      <t>obs.:</t>
    </r>
    <r>
      <rPr>
        <sz val="10"/>
        <color theme="1"/>
        <rFont val="Times New Roman"/>
        <family val="1"/>
      </rPr>
      <t xml:space="preserve"> "Permissionário: pessoa física ou jurídica detentora de permissão e inscrita no cadastro da BHTRANS" conforme BHTRANS(2015wa2, inciso XXV do art.2º)</t>
    </r>
  </si>
  <si>
    <r>
      <t xml:space="preserve">pessoa natural detentora de permissão de táxi
</t>
    </r>
    <r>
      <rPr>
        <b/>
        <sz val="10"/>
        <color theme="1"/>
        <rFont val="Times New Roman"/>
        <family val="1"/>
      </rPr>
      <t xml:space="preserve">obs.: </t>
    </r>
    <r>
      <rPr>
        <sz val="10"/>
        <color theme="1"/>
        <rFont val="Times New Roman"/>
        <family val="1"/>
      </rPr>
      <t>"Permissionário Pessoa Física: pessoa detentora de permissão e inscrita no cadastro da BHTRANS" conforme BHTRANS(2015wa2, inciso XXVI do art.2º)</t>
    </r>
  </si>
  <si>
    <r>
      <t xml:space="preserve">pessoa jurídica detentora de permissão de táxi, também conhecida em Belo Horizonte como empresa de táxi
</t>
    </r>
    <r>
      <rPr>
        <b/>
        <sz val="10"/>
        <color theme="1"/>
        <rFont val="Times New Roman"/>
        <family val="1"/>
      </rPr>
      <t>obs.:</t>
    </r>
    <r>
      <rPr>
        <sz val="10"/>
        <color theme="1"/>
        <rFont val="Times New Roman"/>
        <family val="1"/>
      </rPr>
      <t xml:space="preserve"> "Permissionário Pessoa Jurídica: empresa detentora de permissões e inscrita no cadastro da BHTRANS" conforme BHTRANS(2015wa2, inciso XXVII do art.2º)</t>
    </r>
  </si>
  <si>
    <t>"categoria destinada à prestação do serviço de táxi para atender às necessidades de deslocamento de usuários com deficiência ou mobilidade reduzida, temporária ou permanente" conforme BHTRANS(2015wa2, inciso XLI do art.2º)</t>
  </si>
  <si>
    <t>"categoria destinada à prestação do serviço de táxi para atender às necessidades de deslocamento de usuários" conforme BHTRANS(2015wa2, inciso XLII do art.2º)</t>
  </si>
  <si>
    <t>"modalidade destinada à prestação do serviço de táxi com tarifa fixa; lotação máxima definida; rota definida
e modelos específicos homologados" conforme BHTRANS(2015wa2, inciso XLIV do art.2º)</t>
  </si>
  <si>
    <t>"categoria destinada à prestação do serviço de táxi para atender às necessidades de deslocamento de usuários, com veículo equipado com tecnologias que oferecem maior conforto" conforme BHTRANS(2015wa2, inciso XLIII do art.2º)</t>
  </si>
  <si>
    <r>
      <rPr>
        <b/>
        <sz val="12"/>
        <color theme="1"/>
        <rFont val="Times New Roman"/>
        <family val="1"/>
      </rPr>
      <t xml:space="preserve">KALIL(s.d): </t>
    </r>
    <r>
      <rPr>
        <sz val="12"/>
        <color theme="1"/>
        <rFont val="Times New Roman"/>
        <family val="1"/>
      </rPr>
      <t xml:space="preserve">KALIL, Rosa Maria Locatelli; GOSH, Luiz Roberto Medeiros; GELPI, Adriana Gelpi. </t>
    </r>
    <r>
      <rPr>
        <i/>
        <sz val="12"/>
        <color theme="1"/>
        <rFont val="Times New Roman"/>
        <family val="1"/>
      </rPr>
      <t>Acessibilidade e desenho universal: conceitos, legislação e métodos aplicáveis à arquitetura de interiores.</t>
    </r>
    <r>
      <rPr>
        <sz val="12"/>
        <color theme="1"/>
        <rFont val="Times New Roman"/>
        <family val="1"/>
      </rPr>
      <t xml:space="preserve"> s.d. [10p.]. Disponível para baixar em: &lt;https://www.google.com.br/url?sa=t&amp;rct=j&amp;q=&amp;esrc=s&amp;source=web&amp;cd=8&amp;cad=rja&amp;uact=8&amp;ved=0ahUKEwjWqrePluLPAhVEx5AKHTj1A-QQFghCMAc&amp;url=http%3A%2F%2Fwww.usp.br%2Fnutau%2Fsem_nutau_2010%2Fmetodologias%2Fgelpi_adriana.pdf&amp;usg=AFQjCNGXQCTbWILb3_r6XJy36iQD4-vchg&amp;bvm=bv.135974163,d.Y2I&gt;. Acesso em: 17 out. 2016</t>
    </r>
  </si>
  <si>
    <r>
      <rPr>
        <b/>
        <sz val="12"/>
        <color theme="1"/>
        <rFont val="Times New Roman"/>
        <family val="1"/>
      </rPr>
      <t>FERNANDES(2013)</t>
    </r>
    <r>
      <rPr>
        <sz val="12"/>
        <color theme="1"/>
        <rFont val="Times New Roman"/>
        <family val="1"/>
      </rPr>
      <t xml:space="preserve">: FERNANDES, Idilia; LIPPO, Humberto. Política de acessibilidade universal na sociedade contemporânea. </t>
    </r>
    <r>
      <rPr>
        <i/>
        <sz val="12"/>
        <color theme="1"/>
        <rFont val="Times New Roman"/>
        <family val="1"/>
      </rPr>
      <t>Textos &amp; Contextos</t>
    </r>
    <r>
      <rPr>
        <sz val="12"/>
        <color theme="1"/>
        <rFont val="Times New Roman"/>
        <family val="1"/>
      </rPr>
      <t>, Porto Alegre, v. 12, n. 2, p. 281 - 291, jul./dez. 2013.</t>
    </r>
  </si>
  <si>
    <r>
      <t xml:space="preserve">"Ao contrário do que estabelece a norma, que considera uma exceção, os operadores, na prática, estão comprando majoritariamente, quando não exclusivamente, veículos com piso alto equipados com elevador. Esse fato pode ser observado em várias capitais brasileiras. </t>
    </r>
    <r>
      <rPr>
        <sz val="11"/>
        <color rgb="FFFF0000"/>
        <rFont val="Times New Roman"/>
        <family val="1"/>
      </rPr>
      <t>Brasília,</t>
    </r>
    <r>
      <rPr>
        <sz val="11"/>
        <color theme="1"/>
        <rFont val="Times New Roman"/>
        <family val="1"/>
      </rPr>
      <t xml:space="preserve"> por exemplo, renovou praticamente toda sua frota com essa tecnologia (cerca de 1.900 ônibus desde 2007), com exceção de dois veículos com piso baixo traseiro. [...] No </t>
    </r>
    <r>
      <rPr>
        <sz val="11"/>
        <color rgb="FFFF0000"/>
        <rFont val="Times New Roman"/>
        <family val="1"/>
      </rPr>
      <t>Rio de Janeiro,</t>
    </r>
    <r>
      <rPr>
        <sz val="11"/>
        <color theme="1"/>
        <rFont val="Times New Roman"/>
        <family val="1"/>
      </rPr>
      <t xml:space="preserve"> os veículos com elevador também têm sido os preferidos, tanto é que, neste ano, isso ensejou que o governo do estado editasse o Decreto no 42.241/2010, pelo qual a alíquota de ICMS dos ônibus de piso baixo produzidos no estado foi reduzida para 6%. A expectativa é que esta medida comece a formar uma demanda mínima por esses veículos pelas empresas operadoras. Em </t>
    </r>
    <r>
      <rPr>
        <sz val="11"/>
        <color rgb="FFFF0000"/>
        <rFont val="Times New Roman"/>
        <family val="1"/>
      </rPr>
      <t>Recife,</t>
    </r>
    <r>
      <rPr>
        <sz val="11"/>
        <color theme="1"/>
        <rFont val="Times New Roman"/>
        <family val="1"/>
      </rPr>
      <t xml:space="preserve"> os veículos acessíveis que entraram no sistema são todos com piso alto com elevador, assim como nas demais capitais nordestinas." conforme IPEA(2010, p.421)</t>
    </r>
  </si>
  <si>
    <r>
      <t xml:space="preserve">"Acessibilidade em ônibus urbano do transporte público coletivo" é o título da nota n.º 1 da série "Notas técnicas de acessibilidade" </t>
    </r>
    <r>
      <rPr>
        <i/>
        <sz val="10"/>
        <rFont val="Times New Roman"/>
        <family val="1"/>
      </rPr>
      <t xml:space="preserve">
</t>
    </r>
    <r>
      <rPr>
        <b/>
        <sz val="10"/>
        <rFont val="Times New Roman"/>
        <family val="1"/>
      </rPr>
      <t xml:space="preserve">obs.1:  </t>
    </r>
    <r>
      <rPr>
        <sz val="10"/>
        <rFont val="Times New Roman"/>
        <family val="1"/>
      </rPr>
      <t xml:space="preserve">a versão "A" desta nota foi concluída em 22 ago. 2016 conforme OLIVEIRA(2016h1), a versão "A corrigida" foi concluída em 25 ago. 2015 coforme OLIVEIRA(2016h2) ; está em curso a elaboração da versão "B"
</t>
    </r>
    <r>
      <rPr>
        <b/>
        <sz val="10"/>
        <rFont val="Times New Roman"/>
        <family val="1"/>
      </rPr>
      <t xml:space="preserve">obs.2: </t>
    </r>
    <r>
      <rPr>
        <sz val="10"/>
        <rFont val="Times New Roman"/>
        <family val="1"/>
      </rPr>
      <t>"Na prática, o resultado esperado com a implementação da política de melhoria da acessibilidade pela facilidade de acesso aos veículos urbanos não atinge sua plenitude em função da exceção se tornar regra. Para mudar esse quadro, deve haver uma política pública de incentivo à compra dos veículos verdadeiramente acessíveis por parte dos sistemas de transporte. Para isso, as prefeituras têm de investir na melhoria da infraestrutura viária, principalmente das vias utilizadas como itinerários dos ônibus. Além disso, também há necessidade de se implementar uma política nacional de redução dos preços dos veículos de piso baixo para torná-los mais atrativos economicamente." conforme IPEA(2010, p.421)</t>
    </r>
  </si>
  <si>
    <r>
      <rPr>
        <b/>
        <sz val="12"/>
        <color theme="1"/>
        <rFont val="Times New Roman"/>
        <family val="1"/>
      </rPr>
      <t xml:space="preserve">BHTRANS(2016wa): </t>
    </r>
    <r>
      <rPr>
        <sz val="12"/>
        <color theme="1"/>
        <rFont val="Times New Roman"/>
        <family val="1"/>
      </rPr>
      <t xml:space="preserve">EMPRESA DE TRANSPORTES E TRÂNSITO DE BELO HORIZONTE S.A - BHTRANS. Diretoria de Planejamento - DPL. Gerência de Planejamento da Mobilidade- Gemob//DPL. </t>
    </r>
    <r>
      <rPr>
        <i/>
        <sz val="12"/>
        <color theme="1"/>
        <rFont val="Times New Roman"/>
        <family val="1"/>
      </rPr>
      <t>Plano Diretor de Mobilidade Urbana de Belo Horizonte - PlanMob-BH: revisão 2015 - Relatório Plano de Gestão da Demanda e Melhoria da Oferta</t>
    </r>
    <r>
      <rPr>
        <sz val="12"/>
        <color theme="1"/>
        <rFont val="Times New Roman"/>
        <family val="1"/>
      </rPr>
      <t>. Belo Horizonte: BHTrans, junho 2016. 85p. Disponível em: &lt;http://www.bhtrans.pbh.gov.br/portal/pls/portal/!PORTAL.wwpob_page.show?_docname=10480276.PDF&gt;. Acesso em: 17 out. 2016.</t>
    </r>
  </si>
  <si>
    <r>
      <t xml:space="preserve">como todo conceito, este também está em permanente mutação e, portanto, suas definições mais importantes são aqui apresentadas em ordem cronológica
</t>
    </r>
    <r>
      <rPr>
        <b/>
        <sz val="9"/>
        <color theme="1"/>
        <rFont val="Times New Roman"/>
        <family val="1"/>
      </rPr>
      <t>jun.2016:</t>
    </r>
    <r>
      <rPr>
        <sz val="9"/>
        <color theme="1"/>
        <rFont val="Times New Roman"/>
        <family val="1"/>
      </rPr>
      <t xml:space="preserve"> a "acessibilidade" é tomada como um dos nove temas temas norteadores, quais sejam, Sistemas Viários / Transporte Público Coletivo / Uso e Ocupação do Solo / Logística Urbana / Incentivo ao Transporte Não Motorizado / Sustentabilidade / Segurança Viária / Acessibilidade / Governança e Participação Popular) do Plano conforme MG(2016c, p.4-5)
</t>
    </r>
    <r>
      <rPr>
        <b/>
        <sz val="9"/>
        <color theme="1"/>
        <rFont val="Times New Roman"/>
        <family val="1"/>
      </rPr>
      <t xml:space="preserve">jun.2016: </t>
    </r>
    <r>
      <rPr>
        <sz val="9"/>
        <color theme="1"/>
        <rFont val="Times New Roman"/>
        <family val="1"/>
      </rPr>
      <t xml:space="preserve">o eixo "acessibilidade universal" para revisão do PlanMob 2030 é definido pela BHTrans com três programas, quais sejam, "acessibilidade no transporte urbano", "acessibilidade em calçadas e travessias" e "inclusão social"
</t>
    </r>
    <r>
      <rPr>
        <b/>
        <sz val="9"/>
        <color theme="1"/>
        <rFont val="Times New Roman"/>
        <family val="1"/>
      </rPr>
      <t>out. 2015: "</t>
    </r>
    <r>
      <rPr>
        <sz val="9"/>
        <color theme="1"/>
        <rFont val="Times New Roman"/>
        <family val="1"/>
      </rPr>
      <t xml:space="preserve">possibilidade e condição de alcance, percepção e entendimento para utilização, com segurança e autonomia, de espaços, mobiliários, equipamentos urbanos, edificações, transportes, informação e comunicação, inclusive seus sistemas e tecnologias, bem como outros serviços e instalações abertos ao público, de uso público ou privado de uso coletivo, tanto na zona urbana como na rural, por pessoa com deficiência ou mobilidade reduzida" conforme definição estabelecida em ABNT(2015a, p.2)
</t>
    </r>
    <r>
      <rPr>
        <b/>
        <sz val="9"/>
        <color theme="1"/>
        <rFont val="Times New Roman"/>
        <family val="1"/>
      </rPr>
      <t xml:space="preserve">jul.2015: </t>
    </r>
    <r>
      <rPr>
        <sz val="9"/>
        <color theme="1"/>
        <rFont val="Times New Roman"/>
        <family val="1"/>
      </rPr>
      <t xml:space="preserve">"possibilidade e condição de alcance para utilização, com segurança e autonomia, de espaços, mobiliários, equipamentos urbanos, edificações, transportes, informação e comunicação, inclusive seus sistemas e tecnologias, bem como de outros serviços e instalações abertos ao público, de uso público ou privados de uso coletivo, tanto na zona urbana como na rural, por pessoa com deficiência ou com mobilidade reduzida" conforme definição estabelecida em BRASIL(2015a, art.3º/inciso I)
</t>
    </r>
    <r>
      <rPr>
        <b/>
        <sz val="9"/>
        <color theme="1"/>
        <rFont val="Times New Roman"/>
        <family val="1"/>
      </rPr>
      <t xml:space="preserve">jul.2015: </t>
    </r>
    <r>
      <rPr>
        <sz val="9"/>
        <color theme="1"/>
        <rFont val="Times New Roman"/>
        <family val="1"/>
      </rPr>
      <t xml:space="preserve">"A acessibilidade é direito que garante à pessoa com deficiência ou com mobilidade reduzida viver de forma independente e exercer seus direitos de cidadania e de participação social" conforme BRASIL(2015a, art.53)
</t>
    </r>
    <r>
      <rPr>
        <b/>
        <sz val="9"/>
        <color theme="1"/>
        <rFont val="Times New Roman"/>
        <family val="1"/>
      </rPr>
      <t xml:space="preserve">jan.2012: </t>
    </r>
    <r>
      <rPr>
        <sz val="9"/>
        <color theme="1"/>
        <rFont val="Times New Roman"/>
        <family val="1"/>
      </rPr>
      <t xml:space="preserve">"A Política Nacional de Mobilidade Urbana é instrumento da política de desenvolvimento urbano de que tratam o inciso XX do art. 21 e o art. 182 da Constituição Federal, objetivando a integração entre os diferentes modos de transporte e a melhoria da acessibilidade e mobilidade das pessoas e cargas no território do Município." conforme BRASIL(2012a, caput do art.1º)
</t>
    </r>
    <r>
      <rPr>
        <b/>
        <sz val="9"/>
        <color theme="1"/>
        <rFont val="Times New Roman"/>
        <family val="1"/>
      </rPr>
      <t xml:space="preserve">jan.2012: </t>
    </r>
    <r>
      <rPr>
        <sz val="9"/>
        <color theme="1"/>
        <rFont val="Times New Roman"/>
        <family val="1"/>
      </rPr>
      <t xml:space="preserve">acessibilidade é "facilidade disponibilizada às pessoas que possibilite a todos autonomia nos deslocamentos desejados, respeitando-se a legislação em vigor" conforme BRASIL(2012a, inciso III do art.4º)
</t>
    </r>
    <r>
      <rPr>
        <b/>
        <sz val="9"/>
        <color theme="1"/>
        <rFont val="Times New Roman"/>
        <family val="1"/>
      </rPr>
      <t xml:space="preserve">2002: </t>
    </r>
    <r>
      <rPr>
        <sz val="9"/>
        <color theme="1"/>
        <rFont val="Times New Roman"/>
        <family val="1"/>
      </rPr>
      <t>"existem dois tipos de acessibilidade aos sistema de transporte de uma cidade: a acessibilidade social e a acessibilidade física" conforme OLIVEIRA(2002, p.163)</t>
    </r>
    <r>
      <rPr>
        <b/>
        <sz val="10"/>
        <color theme="1"/>
        <rFont val="Times New Roman"/>
        <family val="1"/>
      </rPr>
      <t/>
    </r>
  </si>
  <si>
    <t>acessibilidade universal
(2016)</t>
  </si>
  <si>
    <t>acessibilidade universal
(até 2015)</t>
  </si>
  <si>
    <r>
      <t xml:space="preserve">acessibilidade com desenho universal (definição do SisMob-BH) que, como todo conceito, está em permanente mutação e, portanto, suas definições mais importantes são aqui apresentadas em ordem cronológica
</t>
    </r>
    <r>
      <rPr>
        <b/>
        <sz val="10"/>
        <rFont val="Times New Roman"/>
        <family val="1"/>
      </rPr>
      <t xml:space="preserve">ago.2016: </t>
    </r>
    <r>
      <rPr>
        <sz val="10"/>
        <rFont val="Times New Roman"/>
        <family val="1"/>
      </rPr>
      <t xml:space="preserve">é proposto o IAED como indicador-chave do programa "acessibilidade no transporte urbano" do eixo "acessibilidade universal" da revisão do PlanMob 2030 conforme OLIVEIRA(2016h1/h2)
</t>
    </r>
    <r>
      <rPr>
        <b/>
        <sz val="10"/>
        <rFont val="Times New Roman"/>
        <family val="1"/>
      </rPr>
      <t>jun.2016:</t>
    </r>
    <r>
      <rPr>
        <sz val="10"/>
        <rFont val="Times New Roman"/>
        <family val="1"/>
      </rPr>
      <t xml:space="preserve"> um dos oito eixos da estruturação do projeto "Plano de Gestão da Demanda e Melhoria da Oferta", parte integrante da revisão do PlanMob 2030, que são Mobilidade Ativa / Mobilidade Coletiva / Circulação Calma / Mobilidade Individual Motorizada / Logística Urbana / Cidade Sustentável / Acessibilidade Universal / Gestão, Operação e Fiscalização, cujo objetivo é "Promover o acesso amplo e democrático ao espaço urbano, através de um sistema de transporte coletivo acessível a todas as pessoas, independentemente da mobilidade, diversidade física, sensorial, idade e renda, contribuindo para a redução das desigualdades e para a inclusão social, com tratamento adequado das vias e caminhamento de pedestres, pontos de parada de ônibus e estacionamentos, bem como o estabelecimento de mecanismos que possibilitem o acesso de todos ao serviço de transporte público."  conforme IEMA(2016); BHTRANS(2016wa, p.1, p.67); o eixo "acessibilidade universal" para revisão do PlanMob 2030 tem três programas, quais sejam, "acessibilidade no transporte urbano", "acessibilidade em calçadas e travessias" e "inclusão social"; a BHTrans propõe quatro indicadores-chave para o eixo "acessibilidade universal", quais sejam: "percentual de veículos da frota com desenho universal", "percentual de avaliação positiva das condições das calçadas e travessias na Área Central de Belo Horizonte", "percentual de avaliação positiva das condições das calçadas e travessias nos bairros Belo Horizonte" e "percentual de gasto com transporte coletivo em relação ao salário mínimo" conforme BHTRANS(2016wa, p.67-68); outros dois indicadores são definidos para o eixo "acessibilidade universal", quais sejam, "n.º de estações com acessibilidade adequada", "extensão de calçadas - com pontos de ônibus, com acessibilidade universal em corredores estruturantes" conforme BHTRANS(2016wa, p.69-70)
</t>
    </r>
    <r>
      <rPr>
        <b/>
        <sz val="10"/>
        <rFont val="Times New Roman"/>
        <family val="1"/>
      </rPr>
      <t>jun. 2016:</t>
    </r>
    <r>
      <rPr>
        <sz val="10"/>
        <rFont val="Times New Roman"/>
        <family val="1"/>
      </rPr>
      <t xml:space="preserve"> a "acessibilidade universal" é tomada no edital para contratação do PlanMob RMBH como um dos princípios da Lei 12.587/2012 conforme MG(2016c, p.4)
</t>
    </r>
    <r>
      <rPr>
        <b/>
        <sz val="10"/>
        <rFont val="Times New Roman"/>
        <family val="1"/>
      </rPr>
      <t xml:space="preserve">obs.: </t>
    </r>
    <r>
      <rPr>
        <sz val="10"/>
        <rFont val="Times New Roman"/>
        <family val="1"/>
      </rPr>
      <t>acesse o verbete "acessibilidade universal (até 2015) e os verbetes "acessibilidade" e "desenho universal"</t>
    </r>
  </si>
  <si>
    <t>adaptável</t>
  </si>
  <si>
    <t>"espaço, edificação, mobiliário, equipamento urbano ou elemento cujas características possam ser alteradas para que se torne acessível" conforme BRASIL(2015a, p.2)</t>
  </si>
  <si>
    <t>adaptado</t>
  </si>
  <si>
    <t>"espaço, edificação, mobiliário, equipamento urbano ou elemento cujas características originais foram alteradas posteriormente para serem acessíveis" conforme BRASIL(2015a, p.2)</t>
  </si>
  <si>
    <t>adequado</t>
  </si>
  <si>
    <t>"espaço, edificação, mobiliário, equipamento urbano ou elemento cujas características foram originalmente planejadas para serem acessíveis" conforme BRASIL(2015a, p.2)</t>
  </si>
  <si>
    <r>
      <rPr>
        <b/>
        <sz val="10"/>
        <rFont val="Times New Roman"/>
        <family val="1"/>
      </rPr>
      <t xml:space="preserve">1) </t>
    </r>
    <r>
      <rPr>
        <sz val="10"/>
        <rFont val="Times New Roman"/>
        <family val="1"/>
      </rPr>
      <t xml:space="preserve">equivalente a "tecnologia assistiva", é definida como "produtos, equipamentos, dispositivos, recursos, metodologias, estratégias, práticas e serviços que objetivem promover a funcionalidade, relacionada à atividade e à participação da pessoa com deficiência ou com mobilidade reduzida, visando à sua autonomia, independência, qualidade de vida e inclusão social" conforme BRASIL (2015a, inciso III do art.3)
</t>
    </r>
    <r>
      <rPr>
        <b/>
        <sz val="10"/>
        <rFont val="Times New Roman"/>
        <family val="1"/>
      </rPr>
      <t xml:space="preserve">2) </t>
    </r>
    <r>
      <rPr>
        <sz val="10"/>
        <rFont val="Times New Roman"/>
        <family val="1"/>
      </rPr>
      <t>"produtos, equipamentos, dispositivos, recursos, metodologias, estratégias, práticas e serviços que objetivem promover a funcionalidade, relacionada à atividade e à participação da pessoa com deficiência ou mobilidade reduzida, visando a sua autonomia, independência, qualidade de vida e inclusão social" conforme ABNT(2015a, p.3), onde també está informado que "Esse termo [ajuda técnica] também pode ser denominado “tecnologia assistiva”."</t>
    </r>
  </si>
  <si>
    <r>
      <rPr>
        <b/>
        <sz val="10"/>
        <rFont val="Times New Roman"/>
        <family val="1"/>
      </rPr>
      <t xml:space="preserve">1) </t>
    </r>
    <r>
      <rPr>
        <sz val="10"/>
        <rFont val="Times New Roman"/>
        <family val="1"/>
      </rPr>
      <t xml:space="preserve">equivalente a "ajuda técnica", é definida como "produtos, equipamentos, dispositivos, recursos, metodologias, estratégias, práticas e serviços que objetivem promover a funcionalidade, relacionada à atividade e à participação da pessoa com deficiência ou com mobilidade reduzida, visando à sua autonomia, independência, qualidade de vida e inclusão social" conforme BRASIL (2015a, inciso III do art.3)
</t>
    </r>
    <r>
      <rPr>
        <b/>
        <sz val="10"/>
        <rFont val="Times New Roman"/>
        <family val="1"/>
      </rPr>
      <t xml:space="preserve">2) </t>
    </r>
    <r>
      <rPr>
        <sz val="10"/>
        <rFont val="Times New Roman"/>
        <family val="1"/>
      </rPr>
      <t>"ajuda técnica - produtos, equipamentos, dispositivos, recursos, metodologias, estratégias, práticas e serviços que objetivem promover a funcionalidade, relacionada à atividade e à participação da pessoa com deficiência ou mobilidade reduzida, visando a sua autonomia, independência, qualidade de vida e inclusão social" conforme ABNT(2015a, p.3), onde também está informado que "Esse termo [ajuda técnica] também pode ser denominado “tecnologia assistiva”."</t>
    </r>
  </si>
  <si>
    <t>contraste</t>
  </si>
  <si>
    <t>"diferença perceptível visual, tátil ou sonora" conforme ABNT(2015a, p.4)</t>
  </si>
  <si>
    <t>"rampa construída ou implantada na calçada, destinada a promover a concordância de nível entre
estes e o leito carroçável" conforme ABNT(2015a, p.3)</t>
  </si>
  <si>
    <t>calçada rebaixada</t>
  </si>
  <si>
    <t>passeio</t>
  </si>
  <si>
    <r>
      <rPr>
        <b/>
        <sz val="10"/>
        <color theme="1"/>
        <rFont val="Times New Roman"/>
        <family val="1"/>
      </rPr>
      <t xml:space="preserve">1) </t>
    </r>
    <r>
      <rPr>
        <sz val="10"/>
        <color theme="1"/>
        <rFont val="Times New Roman"/>
        <family val="1"/>
      </rPr>
      <t xml:space="preserve">Em Campo Grande no PDMTU considera-se uma ameaça a "Falta de padronização dos passeios, cuja
conservação fica a cargo dos proprietários dos lotes" e uma oportunidade a "Boa faixa do sistema viário destinada aos pedestres, bastando poucas adequações para adequá-las ao que se considera 'desenho universal' de acessibilidade" conforme CAMPO GRANDE(2015a, p.74)
</t>
    </r>
    <r>
      <rPr>
        <b/>
        <sz val="10"/>
        <color theme="1"/>
        <rFont val="Times New Roman"/>
        <family val="1"/>
      </rPr>
      <t xml:space="preserve">2) </t>
    </r>
    <r>
      <rPr>
        <sz val="10"/>
        <color theme="1"/>
        <rFont val="Times New Roman"/>
        <family val="1"/>
      </rPr>
      <t xml:space="preserve">Em Campo Grande, no PDTMU "como diretrizes para os passeios, propõe-se: • Viabilizar a implantação de calçadas em vias pavimentadas e que não dispõem de espaço adequado para a circulação de pedestres. / • Melhorar a qualidade dos passeios mediante a construção ou reconstrução do pavimento, incluindo rampas para acesso de pessoas portadoras de necessidades especiais, conforme normas especificas da ABNT. / • Definir padrões de revestimento de passeios. / • Compatibilizar a arborização viária com a acessibilidade nos passeios." conforme CAMPO GRANDE(2015a, p.76-77)
</t>
    </r>
    <r>
      <rPr>
        <b/>
        <sz val="10"/>
        <color theme="1"/>
        <rFont val="Times New Roman"/>
        <family val="1"/>
      </rPr>
      <t xml:space="preserve">obs.: </t>
    </r>
    <r>
      <rPr>
        <sz val="10"/>
        <color theme="1"/>
        <rFont val="Times New Roman"/>
        <family val="1"/>
      </rPr>
      <t>acesse o verbete: "calçada - Campo Grande"</t>
    </r>
  </si>
  <si>
    <r>
      <t xml:space="preserve">Em Campo Grande, no PDTMU "como diretrizes para os passeios, propõe-se: • Viabilizar a implantação de calçadas em vias pavimentadas e que não dispõem de espaço adequado para a circulação de pedestres. / • Melhorar a qualidade dos passeios mediante a construção ou reconstrução do pavimento, incluindo rampas para acesso de pessoas portadoras de necessidades especiais, conforme normas especificas da ABNT. / • Definir padrões de revestimento de passeios. / • Compatibilizar a arborização viária com a acessibilidade nos passeios." conforme CAMPO GRANDE(2015a, p.76-77)
</t>
    </r>
    <r>
      <rPr>
        <b/>
        <sz val="10"/>
        <color theme="1"/>
        <rFont val="Times New Roman"/>
        <family val="1"/>
      </rPr>
      <t xml:space="preserve">obs.: </t>
    </r>
    <r>
      <rPr>
        <sz val="10"/>
        <color theme="1"/>
        <rFont val="Times New Roman"/>
        <family val="1"/>
      </rPr>
      <t>acesse o verbete: "passeio - Campo Grande"</t>
    </r>
  </si>
  <si>
    <r>
      <rPr>
        <b/>
        <sz val="10"/>
        <rFont val="Times New Roman"/>
        <family val="1"/>
      </rPr>
      <t xml:space="preserve">1) </t>
    </r>
    <r>
      <rPr>
        <sz val="10"/>
        <rFont val="Times New Roman"/>
        <family val="1"/>
      </rPr>
      <t xml:space="preserve">"veículo automotor de transporte coletivo com capacidade para até vinte passageiros." conforme BRASIL(1991a, Anexo I-microônibus)
</t>
    </r>
    <r>
      <rPr>
        <b/>
        <sz val="10"/>
        <rFont val="Times New Roman"/>
        <family val="1"/>
      </rPr>
      <t xml:space="preserve">2) </t>
    </r>
    <r>
      <rPr>
        <sz val="10"/>
        <rFont val="Times New Roman"/>
        <family val="1"/>
      </rPr>
      <t xml:space="preserve">"Veículo automotor destinado ao transporte de passageiros, projetado e construído com a finalidade exclusiva de
transporte de pessoas, com lotação entre 10 e 20 passageiros sentados, dotado de corredor interno para livre
circulação" conforme ABNT(2009b, p.6)
</t>
    </r>
    <r>
      <rPr>
        <b/>
        <sz val="10"/>
        <rFont val="Times New Roman"/>
        <family val="1"/>
      </rPr>
      <t xml:space="preserve">obs.: </t>
    </r>
    <r>
      <rPr>
        <sz val="10"/>
        <rFont val="Times New Roman"/>
        <family val="1"/>
      </rPr>
      <t>categoria designada tanto por Denatran quanto por Detran-MG na categorização da frota de veículos automotores</t>
    </r>
  </si>
  <si>
    <t>"inobservância a qualquer preceito da legislação de trânsito, às normas emanadas do Código de Trânsito, do Conselho Nacional de Trânsito e a regulamentação estabelecida pelo órgão ou entidade executiva do trânsito" conforme BRASIL(1997a, Anexo I -infração)</t>
  </si>
  <si>
    <t>infração</t>
  </si>
  <si>
    <t>agente</t>
  </si>
  <si>
    <t>"AGENTE DA AUTORIDADE DE TRÂNSITO - pessoa, civil ou policial militar, credenciada pela autoridade de trânsito para o exercício das atividades de fiscalização, operação, policiamento ostensivo de trânsito ou patrulhamento" conforme BRASIL(1997a, Anexo I)</t>
  </si>
  <si>
    <t>agente de inspeção do trabalho (usado como complemento de "CB")</t>
  </si>
  <si>
    <t>autoridade de trânsito</t>
  </si>
  <si>
    <t>"dirigente máximo de órgão ou entidade executivo integrante do Sistema Nacional de Trânsito ou pessoa por ele expressamente credenciada" conforme BRASIL(1997a, Anexo I - autoridade de trânsito)</t>
  </si>
  <si>
    <r>
      <t xml:space="preserve">"veículo automotor destinado ao transporte de passageiros, com capacidade para até oito pessoas, exclusive o condutor"
</t>
    </r>
    <r>
      <rPr>
        <b/>
        <sz val="10"/>
        <color rgb="FF000000"/>
        <rFont val="Arial"/>
        <family val="2"/>
      </rPr>
      <t xml:space="preserve">obs.: </t>
    </r>
    <r>
      <rPr>
        <sz val="10"/>
        <color rgb="FF000000"/>
        <rFont val="Arial"/>
        <family val="2"/>
      </rPr>
      <t>conforme BRASIL (1997a, Anexo I - automóvel)</t>
    </r>
  </si>
  <si>
    <t>"veículo de propulsão humana, dotado de duas rodas, não sendo, para efeito deste Código [CTB], similar à motocicleta, motoneta e ciclomotor" conforme BRASIL(1997a, Anexo I - bicicleta)</t>
  </si>
  <si>
    <t>bicicleta</t>
  </si>
  <si>
    <r>
      <rPr>
        <b/>
        <sz val="12"/>
        <color theme="1"/>
        <rFont val="Times New Roman"/>
        <family val="1"/>
      </rPr>
      <t xml:space="preserve">BHTRANS(2016wb): </t>
    </r>
    <r>
      <rPr>
        <sz val="12"/>
        <color theme="1"/>
        <rFont val="Times New Roman"/>
        <family val="1"/>
      </rPr>
      <t xml:space="preserve">EMPRESA DE TRANSPORTES E TRÂNSITO DE BELO HORIZONTE S.A - BHTRANS. </t>
    </r>
    <r>
      <rPr>
        <i/>
        <sz val="12"/>
        <color theme="1"/>
        <rFont val="Times New Roman"/>
        <family val="1"/>
      </rPr>
      <t>Programa Pedala BH - bicicletário/paraciclos - situação em agosto de 2016</t>
    </r>
    <r>
      <rPr>
        <sz val="12"/>
        <color theme="1"/>
        <rFont val="Times New Roman"/>
        <family val="1"/>
      </rPr>
      <t>. Belo Horizonte: BHTrans, setembro 2016. 3p.</t>
    </r>
  </si>
  <si>
    <r>
      <rPr>
        <sz val="10"/>
        <color theme="1"/>
        <rFont val="Calibri"/>
        <family val="2"/>
      </rPr>
      <t>∑</t>
    </r>
    <r>
      <rPr>
        <sz val="7.5"/>
        <color theme="1"/>
        <rFont val="Times New Roman"/>
        <family val="1"/>
      </rPr>
      <t xml:space="preserve"> n.º de bicicletários ano a ano</t>
    </r>
  </si>
  <si>
    <t>Belo Horizonte (PBH)</t>
  </si>
  <si>
    <r>
      <rPr>
        <b/>
        <sz val="12"/>
        <color theme="1"/>
        <rFont val="Times New Roman"/>
        <family val="1"/>
      </rPr>
      <t xml:space="preserve">BH EM CICLO(2015): </t>
    </r>
    <r>
      <rPr>
        <sz val="12"/>
        <color theme="1"/>
        <rFont val="Times New Roman"/>
        <family val="1"/>
      </rPr>
      <t xml:space="preserve">ASSOCIAÇÃO DOS CICLISTAS URBANOS DE BELO HORIZONTE - BH EM CICLO. </t>
    </r>
    <r>
      <rPr>
        <i/>
        <sz val="12"/>
        <color theme="1"/>
        <rFont val="Times New Roman"/>
        <family val="1"/>
      </rPr>
      <t>Estatuto Social da BH em ciclo</t>
    </r>
    <r>
      <rPr>
        <sz val="12"/>
        <color theme="1"/>
        <rFont val="Times New Roman"/>
        <family val="1"/>
      </rPr>
      <t>. Belo Horizonte, 9 de outubro de 2015. Disponível em: &lt;http://bhemciclo.org/o-que-e-bh-em-ciclo/estatuto/&gt;. Acesso em: 18 out. 2016.</t>
    </r>
  </si>
  <si>
    <t>BH em Ciclo</t>
  </si>
  <si>
    <t>Pedala BH</t>
  </si>
  <si>
    <t>relativo à cidade de Belo Horizonte (usado como complemento de diversos indicadores e siglas, inclusive "CMDPD-BH", "CMPPD-BH", "SisMob-BH", "PlanMob-BH", "Pamu-BH", "Pedala BH" e ObsMob-BH")</t>
  </si>
  <si>
    <r>
      <t xml:space="preserve">Associação dos Ciclistas Urbanos de Belo Horizonte - BH em Ciclo
</t>
    </r>
    <r>
      <rPr>
        <b/>
        <sz val="10"/>
        <rFont val="Times New Roman"/>
        <family val="1"/>
      </rPr>
      <t>obs.1:</t>
    </r>
    <r>
      <rPr>
        <sz val="10"/>
        <rFont val="Times New Roman"/>
        <family val="1"/>
      </rPr>
      <t xml:space="preserve"> "A BH em Ciclo [...] constituída em 08 de dezembro de 2012, é uma pessoa jurídica de direito privado, sem fins lucrativos, apartidária e com duração por tempo indeterminado, com sede na [...] Belo Horizonte, Minas Gerais" que "tem por finalidade: I – Realizar articulação intersetorial, através de eventos e ações com diversos agentes envolvidos na temática da bicicleta em Belo Horizonte e dialogando com diversos grupos de pedalada da cidade e realização de atividades que fomentem e promovam o uso da bicicleta no contexto urbano; II – Articular e promover a comunicação interna, entre a Associação e os associados, e externa, entre a Associação e os inúmeros agentes sociais que, de alguma maneira, estão envolvidos no uso urbano da bicicleta; III – Fomentar o uso da bicicleta através da participação em Conselhos, Grupos de Trabalho, Audiências Públicas e demais arenas de discussão com o poder público e com outros tantos atores sociais; IV – Exercer o controle social, através do monitoramento e análise da execução orçamentária, das políticas públicas e demais ações do poder Executivo e Legislativo; da produção de relatórios sobre a condição da infraestrutura cicloviária de Belo Horizonte e da colaboração com o poder público no planejamento cicloviário da cidade e sua implementação; V – Promover a educação com relação ao uso da bicicleta através da formação de motoristas, profissionais ou não, da participação em seminários, palestras, workshops; da elaboração de materiais que versam sobre o uso da bicicleta e têm por objetivo levar conhecimentos sobre a bicicleta aos ciclistas, motoristas, crianças, jovens, como agentes de mudança e demais atores sociais; VI – Realizar intervenções urbanas que têm por objetivo tornar Belo Horizonte uma cidade que acolhe, compreende e respeita o ciclista; prestar serviços que concernem a temática da bicicleta; participar e promover ações culturais que fomentam o uso da bicicleta e o respeito ao ciclista; VII – Participar e realizar  pesquisas, aplicar questionários e formulários que pretendam levantar dados sobre o uso da bicicleta na cidade e, a partir deles, subsidiar ações que estimulem e facilitem a vida de quem opta pelo deslocamento por bicicleta." conforme BH EM CICLO(2015, art.1º, art.2º)
</t>
    </r>
    <r>
      <rPr>
        <b/>
        <sz val="10"/>
        <rFont val="Times New Roman"/>
        <family val="1"/>
      </rPr>
      <t xml:space="preserve">obs.2: </t>
    </r>
    <r>
      <rPr>
        <sz val="10"/>
        <rFont val="Times New Roman"/>
        <family val="1"/>
      </rPr>
      <t xml:space="preserve">"Como exemplo de entidade genuinamente não estatal em sua composição que também pode, quando age em sintonia com o Estado, ser considerada como produtora de ação pública, pode ser citada a Associação dos Ciclistas Urbanos de Belo Horizonte - BH em Ciclo. [...] Ora, os resultados das ações da BH em Ciclo e, em especial, do GT Pedala BH, que impactarem a mobilidade urbana devem ser considerados como parte integrante da política de mobilidade urbana de Belo Horizonte " conforme OLIVEIRA(2014, p.68)
</t>
    </r>
    <r>
      <rPr>
        <b/>
        <sz val="10"/>
        <rFont val="Times New Roman"/>
        <family val="1"/>
      </rPr>
      <t xml:space="preserve">obs.3: </t>
    </r>
    <r>
      <rPr>
        <sz val="10"/>
        <rFont val="Times New Roman"/>
        <family val="1"/>
      </rPr>
      <t xml:space="preserve">"Uma curiosidade: a BH em Ciclo, após aceitar convite da PBH, foi designada a integrar o Conselho Municipal de Mobilidade Urbana de Belo Horizonte - Comurb, em dezembro de 2013, como integrante do grupo de “representantes dos Operadores dos Serviços de Transporte no Município” [...] conforme OLIVEIRA(2014, p.68/nota 33)
</t>
    </r>
    <r>
      <rPr>
        <b/>
        <sz val="10"/>
        <rFont val="Times New Roman"/>
        <family val="1"/>
      </rPr>
      <t xml:space="preserve">obs.4: </t>
    </r>
    <r>
      <rPr>
        <sz val="10"/>
        <rFont val="Times New Roman"/>
        <family val="1"/>
      </rPr>
      <t>acesse o verbete "Pedala BH"</t>
    </r>
  </si>
  <si>
    <t>curriculum dos editores da rede SisMob-BH</t>
  </si>
  <si>
    <t>Assinaturas</t>
  </si>
  <si>
    <r>
      <rPr>
        <b/>
        <sz val="12"/>
        <color theme="1"/>
        <rFont val="Times New Roman"/>
        <family val="1"/>
      </rPr>
      <t>EV b(BH):</t>
    </r>
    <r>
      <rPr>
        <sz val="12"/>
        <color theme="1"/>
        <rFont val="Times New Roman"/>
        <family val="1"/>
      </rPr>
      <t xml:space="preserve"> deve-se consultar anualmente a</t>
    </r>
    <r>
      <rPr>
        <i/>
        <sz val="12"/>
        <color theme="1"/>
        <rFont val="Times New Roman"/>
        <family val="1"/>
      </rPr>
      <t xml:space="preserve"> home page </t>
    </r>
    <r>
      <rPr>
        <sz val="12"/>
        <color theme="1"/>
        <rFont val="Times New Roman"/>
        <family val="1"/>
      </rPr>
      <t xml:space="preserve">da BHTrans em busca do que será o </t>
    </r>
    <r>
      <rPr>
        <i/>
        <sz val="12"/>
        <color theme="1"/>
        <rFont val="Times New Roman"/>
        <family val="1"/>
      </rPr>
      <t>Balanço anual da mobilidade urbana de Belo Horizonte 2015 - ano base 2014</t>
    </r>
    <r>
      <rPr>
        <sz val="12"/>
        <color theme="1"/>
        <rFont val="Times New Roman"/>
        <family val="1"/>
      </rPr>
      <t>. Consulta em 29/02/2015 encontrou apenas o Balanço anual da mobilidade urbana de Belo Horizonte 2014 - ano base 2013 (BHTRANS,2015e) com resultados de 2009-2014. Consulta em julho: nada. Consulta em 07/2016: nada. Acatando sugestão da BH em Ciclo, em 11/10/2015 foi solicitada informação à SDEP/DSV/BHTRANS por e-mail. Informação recebida em 14/10/2016. Próxima atualização em maço/2017.</t>
    </r>
  </si>
  <si>
    <r>
      <rPr>
        <b/>
        <sz val="12"/>
        <color theme="1"/>
        <rFont val="Times New Roman"/>
        <family val="1"/>
      </rPr>
      <t xml:space="preserve">F tc por acessibilidade (SP): </t>
    </r>
    <r>
      <rPr>
        <sz val="12"/>
        <color theme="1"/>
        <rFont val="Times New Roman"/>
        <family val="1"/>
      </rPr>
      <t>feita solicitação à SPTrans em 01/06/2016, iniciando-se uma sequência de trocas de e-mail. Última cobrança a Fagundes em 22/07/2016. Recebida informação em 02/08/2016. Próxima atualização em março/2017.</t>
    </r>
  </si>
  <si>
    <r>
      <rPr>
        <b/>
        <sz val="12"/>
        <rFont val="Times New Roman"/>
        <family val="1"/>
      </rPr>
      <t xml:space="preserve">indicadores de RH(BHTrans): </t>
    </r>
    <r>
      <rPr>
        <sz val="12"/>
        <rFont val="Times New Roman"/>
        <family val="1"/>
      </rPr>
      <t>cobrar em julho/2016 resultados de diversos anos incluindo (por e-mail: solicitação em 24/06/2016, recebida resposta parcial em 29/06/2016, solicitação ratificada em 29/06/2016) para atualizar sete séries. Cobrança em 22/07/2016. Cobrar novamente em agosto. Em 02/08/2016 Guadalupe me respondeu que enviará o que encontrou. Relatórios dispersos recebidos em set./2016 e informaçâo faltante (RH d) solicitada/recebida por e-mail coma secretária da GEAPE/BHTrans (não consta no relatório anual). Próxima atualização em março/2017.</t>
    </r>
  </si>
  <si>
    <r>
      <rPr>
        <b/>
        <sz val="12"/>
        <color theme="1"/>
        <rFont val="Times New Roman"/>
        <family val="1"/>
      </rPr>
      <t xml:space="preserve">indicadores de sinalização semafórica(BH): </t>
    </r>
    <r>
      <rPr>
        <sz val="12"/>
        <color theme="1"/>
        <rFont val="Times New Roman"/>
        <family val="1"/>
      </rPr>
      <t>cobrar os resultados de 2015 em 07/2016 para atualizar a série 2003-2014 lançada no SisMob-BH (solicitação feita por e-mail em 24/06/2016 a Fernando Pessoa). Em 03/08/2016 perguntei a João Almeida em 03/08/2016, por e-mail, de quem é a atual atribuição por atualizar (Fernando Pessoa não em respondeu). Reenviei o e-mail para José Maurício em 04/08/2016 pois o e-mail voltou informando que João está de férias. Recebi relatórios diversos (falta estudar para verificar se resultados são suficientes).</t>
    </r>
  </si>
  <si>
    <t>outubro/2016: não há cobranças a fazer, pois todas as solicitações todas atendidas</t>
  </si>
  <si>
    <r>
      <rPr>
        <b/>
        <sz val="12"/>
        <color theme="1"/>
        <rFont val="Times New Roman"/>
        <family val="1"/>
      </rPr>
      <t>IDO(BH):</t>
    </r>
    <r>
      <rPr>
        <sz val="12"/>
        <color theme="1"/>
        <rFont val="Times New Roman"/>
        <family val="1"/>
      </rPr>
      <t xml:space="preserve"> deve-se consultar anualmente a</t>
    </r>
    <r>
      <rPr>
        <i/>
        <sz val="12"/>
        <color theme="1"/>
        <rFont val="Times New Roman"/>
        <family val="1"/>
      </rPr>
      <t xml:space="preserve"> home page </t>
    </r>
    <r>
      <rPr>
        <sz val="12"/>
        <color theme="1"/>
        <rFont val="Times New Roman"/>
        <family val="1"/>
      </rPr>
      <t xml:space="preserve">da BHTrans em busca do que será o </t>
    </r>
    <r>
      <rPr>
        <i/>
        <sz val="12"/>
        <color theme="1"/>
        <rFont val="Times New Roman"/>
        <family val="1"/>
      </rPr>
      <t>Balanço anual da mobilidade urbana de Belo Horizonte 2015 - ano base 2014</t>
    </r>
    <r>
      <rPr>
        <sz val="12"/>
        <color theme="1"/>
        <rFont val="Times New Roman"/>
        <family val="1"/>
      </rPr>
      <t>. Consulta em 29/02/2015 encontrou apenas o Balanço anual da mobilidade urbana de Belo Horizonte 2014 - ano base 2013 (BHTRANS,2015e) com resultados de 2012 e 2013. Consulta em julho: nada. Próxima consulta em 07/2016. Próxima consulta em nov./2016 (após o 2º turno das eleições municipais)</t>
    </r>
  </si>
  <si>
    <r>
      <rPr>
        <b/>
        <sz val="12"/>
        <color theme="1"/>
        <rFont val="Times New Roman"/>
        <family val="1"/>
      </rPr>
      <t>NVR tcc fc(BH):</t>
    </r>
    <r>
      <rPr>
        <sz val="12"/>
        <color theme="1"/>
        <rFont val="Times New Roman"/>
        <family val="1"/>
      </rPr>
      <t xml:space="preserve"> deve-se consultar anualmente a</t>
    </r>
    <r>
      <rPr>
        <i/>
        <sz val="12"/>
        <color theme="1"/>
        <rFont val="Times New Roman"/>
        <family val="1"/>
      </rPr>
      <t xml:space="preserve"> home page </t>
    </r>
    <r>
      <rPr>
        <sz val="12"/>
        <color theme="1"/>
        <rFont val="Times New Roman"/>
        <family val="1"/>
      </rPr>
      <t xml:space="preserve">da BHTrans em busca do que será o </t>
    </r>
    <r>
      <rPr>
        <i/>
        <sz val="12"/>
        <color theme="1"/>
        <rFont val="Times New Roman"/>
        <family val="1"/>
      </rPr>
      <t>Balanço anual da mobilidade urbana de Belo Horizonte 2015 - ano base 2014</t>
    </r>
    <r>
      <rPr>
        <sz val="12"/>
        <color theme="1"/>
        <rFont val="Times New Roman"/>
        <family val="1"/>
      </rPr>
      <t>. Consulta em 29/02/2015 encontrou apenas o Balanço anual da mobilidade urbana de Belo Horizonte 2014 - ano base 2013 (BHTRANS,2015e) com resultados de 2012 e 2013. Próxima consulta em 07/2016. Próxima consulta em nov./2016 (após o 2º turno das eleições municipais)</t>
    </r>
  </si>
  <si>
    <t>pendências do próprio SisMob-BH</t>
  </si>
  <si>
    <r>
      <rPr>
        <b/>
        <sz val="12"/>
        <rFont val="Times New Roman"/>
        <family val="1"/>
      </rPr>
      <t>NPO(RMSP)</t>
    </r>
    <r>
      <rPr>
        <b/>
        <sz val="12"/>
        <color theme="1"/>
        <rFont val="Times New Roman"/>
        <family val="1"/>
      </rPr>
      <t xml:space="preserve">: </t>
    </r>
    <r>
      <rPr>
        <sz val="12"/>
        <color theme="1"/>
        <rFont val="Times New Roman"/>
        <family val="1"/>
      </rPr>
      <t>pesquisar em 07/2016 se há pesquisa de opinião ANTP a partir de 2013 (última lançada no SisMob-BH: de 2012): não fiz.</t>
    </r>
  </si>
  <si>
    <r>
      <rPr>
        <b/>
        <sz val="12"/>
        <rFont val="Times New Roman"/>
        <family val="1"/>
      </rPr>
      <t>indicadores de pesquisa Ipea</t>
    </r>
    <r>
      <rPr>
        <b/>
        <sz val="12"/>
        <color theme="1"/>
        <rFont val="Times New Roman"/>
        <family val="1"/>
      </rPr>
      <t xml:space="preserve">: </t>
    </r>
    <r>
      <rPr>
        <sz val="12"/>
        <color theme="1"/>
        <rFont val="Times New Roman"/>
        <family val="1"/>
      </rPr>
      <t>pesquisar em 07/2016 se há pesquisa de opinião Ipea sobre mobilidade urbana a partir de 2013 (única lançada no SisMob-BH: de 2012).</t>
    </r>
  </si>
  <si>
    <r>
      <rPr>
        <b/>
        <sz val="12"/>
        <rFont val="Times New Roman"/>
        <family val="1"/>
      </rPr>
      <t>indicadores de ações educativas:</t>
    </r>
    <r>
      <rPr>
        <b/>
        <sz val="12"/>
        <color theme="1"/>
        <rFont val="Times New Roman"/>
        <family val="1"/>
      </rPr>
      <t xml:space="preserve"> </t>
    </r>
    <r>
      <rPr>
        <sz val="12"/>
        <color theme="1"/>
        <rFont val="Times New Roman"/>
        <family val="1"/>
      </rPr>
      <t>buscar os resultados de 2014/2015 em 07/2016 para atualizar a série 2005-2013 lançada no SisMob-BH (e-mail para Humberto/Marina em 03/08/2016, e-mail para Paula em 04/08/2016). Tudo recebido de Paula, falta checar se falta algo.</t>
    </r>
  </si>
  <si>
    <r>
      <rPr>
        <b/>
        <sz val="12"/>
        <color theme="1"/>
        <rFont val="Times New Roman"/>
        <family val="1"/>
      </rPr>
      <t>geral sobre bicicletas:</t>
    </r>
    <r>
      <rPr>
        <sz val="12"/>
        <color theme="1"/>
        <rFont val="Times New Roman"/>
        <family val="1"/>
      </rPr>
      <t xml:space="preserve"> feito contato com BH em Ciclo / GT Pedala BH para saber onde podem ser encontrados mais resultados que os já publicados no SisMob-BH (aguardando resposta)</t>
    </r>
  </si>
  <si>
    <r>
      <rPr>
        <b/>
        <sz val="12"/>
        <color theme="1"/>
        <rFont val="Times New Roman"/>
        <family val="1"/>
      </rPr>
      <t xml:space="preserve">BHTRANS(2016wc): </t>
    </r>
    <r>
      <rPr>
        <sz val="12"/>
        <color theme="1"/>
        <rFont val="Times New Roman"/>
        <family val="1"/>
      </rPr>
      <t xml:space="preserve">EMPRESA DE TRANSPORTES E TRÂNSITO DE BELO HORIZONTE S.A - BHTRANS. </t>
    </r>
    <r>
      <rPr>
        <i/>
        <sz val="12"/>
        <color theme="1"/>
        <rFont val="Times New Roman"/>
        <family val="1"/>
      </rPr>
      <t>Programa Pedala BH - rotas cicloviárias implantadas</t>
    </r>
    <r>
      <rPr>
        <sz val="12"/>
        <color theme="1"/>
        <rFont val="Times New Roman"/>
        <family val="1"/>
      </rPr>
      <t>. Belo Horizonte: BHTrans, fevereiro de 2016. 5p.</t>
    </r>
  </si>
  <si>
    <t>paraciclo</t>
  </si>
  <si>
    <r>
      <rPr>
        <b/>
        <sz val="12"/>
        <color theme="1"/>
        <rFont val="Times New Roman"/>
        <family val="1"/>
      </rPr>
      <t>BICICLETADAPOA(2007):</t>
    </r>
    <r>
      <rPr>
        <sz val="12"/>
        <color theme="1"/>
        <rFont val="Times New Roman"/>
        <family val="1"/>
      </rPr>
      <t xml:space="preserve"> BLOG BICICLETADA PORTO ALEGRE.</t>
    </r>
    <r>
      <rPr>
        <i/>
        <sz val="12"/>
        <color theme="1"/>
        <rFont val="Times New Roman"/>
        <family val="1"/>
      </rPr>
      <t xml:space="preserve"> Estacionamentos de bicicletas: paraciclos e bicicletários.</t>
    </r>
    <r>
      <rPr>
        <sz val="12"/>
        <color theme="1"/>
        <rFont val="Times New Roman"/>
        <family val="1"/>
      </rPr>
      <t xml:space="preserve"> Porto Alegre, janeiro de 2007. Disponível em: &lt;http://bicicletadapoa.blogspot.com.br/2007/01/estacionamentos-de-bicicletas.html&gt;. Acesso em: 20 out. 2016.</t>
    </r>
  </si>
  <si>
    <t>"Os paraciclos são caracterizados como estacionamentos de curta ou média duração (até 2h, em qualquer período do dia), com até 25 vagas (correspondente à área de duas vagas de automóveis), de uso público e sem qualquer controle de acesso. A facilidade de acesso constitui uma das principais características dos paraciclos. Em virtude dessa condição, devem se situar o mais próximo possível do local de destino dos ciclistas, e também do sistema viário ou do sistema cicloviário. Dentre os fatores fundamentais à garantia da maior sensação de conforto dos ciclistas, cita-se como essenciais os seguintes: visibilidade, sinalização, elmentos de projeto do paraciclo e adequação em número de vagas. A visibilidade é aspecto essencial à garantia de um estacionamento rápido dos ciclistas. O uso de pintura com cores vivas é um dos aspectos favoráveis. Iluminação noturna também é importante. A sinalização deve ser executada, quaisquer que sejam as condições de visibilidade. É imprescindível a colocação de placas indicativas (preferencialmente observando o padrão vigente - consulte o órgão responsável pelo trânsito na sua cidade, ou o Manual de
Planejamento Cicloviário). No projeto dos paraciclos, deve-se evitar o uso de soluções complexas com as quais a população não está acostumada, como travas especiais e encaixes não-comuns. Também no projeto, deve-se considerar a necessidade do ajustamento do número de vagas, conforme a demanda. Tanto é prejudicial o excesso quanto a falta de vagas." conforme BICICLETADAPOA(2007)</t>
  </si>
  <si>
    <r>
      <rPr>
        <b/>
        <sz val="10"/>
        <rFont val="Times New Roman"/>
        <family val="1"/>
      </rPr>
      <t>1)</t>
    </r>
    <r>
      <rPr>
        <sz val="10"/>
        <rFont val="Times New Roman"/>
        <family val="1"/>
      </rPr>
      <t xml:space="preserve"> "local, na via ou fora dela, destinado ao estacionamento de bicicletas" conforme BRASIL(1997a, Anexo I - bicicletário)
</t>
    </r>
    <r>
      <rPr>
        <b/>
        <sz val="10"/>
        <rFont val="Times New Roman"/>
        <family val="1"/>
      </rPr>
      <t>2)</t>
    </r>
    <r>
      <rPr>
        <sz val="10"/>
        <rFont val="Times New Roman"/>
        <family val="1"/>
      </rPr>
      <t xml:space="preserve"> "[...] bicicletários são caracterizados como estacionamentos [de bicicletas] de longa duração, grande número de vagas, controle de acesso, podendo ser públicos ou privados. Muitas das exigências definidas para implantação dos paraciclos são também necessárias à organização dos bicicletários. Uma das diferenças significativas em relação aos paraciclos, além do tempo da guarda, são os picos de movimentação dos ciclistas - aspecto fundamental a considerar na elaboração do projeto, pois interfere diretamente no dimensionamento dos acessos e da circulação interna do próprio bicicletário. Os bicicletários devem ser, preferencialmente, cobertos, vigiados e dotados de alguns equipamentos como, por exemplo: bombas de ar comprimido, borracheiro e, eventualmente, banheiros e telefones públicos. Se os paraciclos se caracterizam por serem gratuitos e pulverizados nos espaços urbanos, os bicicletários, devido aos seus custos, somente se viabilizam no caso de utilização intensa por grande número de ciclistas. Nesse caso, admite-se que sejam pagos, mesmo aqueles localizados em áreas públicas." conforme BICICLETADAPOA(2007)</t>
    </r>
  </si>
  <si>
    <t>meta PBH
(Evb acréscimo / EVb meta estabelecida) x 100</t>
  </si>
  <si>
    <t>paraciclo
(n.º)</t>
  </si>
  <si>
    <t>paraciclo
(delta)</t>
  </si>
  <si>
    <r>
      <t xml:space="preserve">acréscimo anual do n.º de paraciclos implantados pela PBH no escopo do programa Pedala BH 
</t>
    </r>
    <r>
      <rPr>
        <b/>
        <sz val="10"/>
        <color theme="1"/>
        <rFont val="Times New Roman"/>
        <family val="1"/>
      </rPr>
      <t xml:space="preserve">obs.: </t>
    </r>
    <r>
      <rPr>
        <sz val="10"/>
        <color theme="1"/>
        <rFont val="Times New Roman"/>
        <family val="1"/>
      </rPr>
      <t xml:space="preserve">resultados de 2011-2015 conforme BHTRANS(2016wb); resultados de 2014-2015 confirmados em </t>
    </r>
    <r>
      <rPr>
        <i/>
        <sz val="10"/>
        <color theme="1"/>
        <rFont val="Times New Roman"/>
        <family val="1"/>
      </rPr>
      <t>Demonstrativo de execução das metas físicas da Prefeitura de Belo Horizonte</t>
    </r>
    <r>
      <rPr>
        <sz val="10"/>
        <color theme="1"/>
        <rFont val="Times New Roman"/>
        <family val="1"/>
      </rPr>
      <t>, quais sejam, de 2014 conforme (BH, 2015e, p.270); de 2015 conforme BH(2016k, p.281)</t>
    </r>
  </si>
  <si>
    <t>paraciclo (meta)</t>
  </si>
  <si>
    <t>paraciclo 
(eficácia)</t>
  </si>
  <si>
    <r>
      <t xml:space="preserve">n.º de paraciclos implantados por um determinado responsável em uma cidade/região ao longo de um ano
</t>
    </r>
    <r>
      <rPr>
        <b/>
        <sz val="10"/>
        <rFont val="Times New Roman"/>
        <family val="1"/>
      </rPr>
      <t/>
    </r>
  </si>
  <si>
    <r>
      <t xml:space="preserve">n.º total acumulado de paraciclos implantados em Belo Horizonte pela PBH no escopo do programa Pedala BH 
</t>
    </r>
    <r>
      <rPr>
        <b/>
        <sz val="10"/>
        <color theme="1"/>
        <rFont val="Times New Roman"/>
        <family val="1"/>
      </rPr>
      <t xml:space="preserve">obs.: </t>
    </r>
    <r>
      <rPr>
        <sz val="10"/>
        <color theme="1"/>
        <rFont val="Times New Roman"/>
        <family val="1"/>
      </rPr>
      <t xml:space="preserve">em relatórios da BHTrans e da PBH, pelo menos os consultados pelo SisMob-BH até o ano 2015, os indicadores "paraciclo" têm a denominação de "bicicletário/paraciclo" como se fossem relativos à soma de n.º de bicicletários e n.º de paraciclos mas os resultados devem ser sempre tomados como sendo, apenas, relativos ao n.º de paraciclos
</t>
    </r>
    <r>
      <rPr>
        <b/>
        <sz val="10"/>
        <color theme="1"/>
        <rFont val="Times New Roman"/>
        <family val="1"/>
      </rPr>
      <t xml:space="preserve">obs.: </t>
    </r>
    <r>
      <rPr>
        <sz val="10"/>
        <color theme="1"/>
        <rFont val="Times New Roman"/>
        <family val="1"/>
      </rPr>
      <t>os primeiros paraciclos no escopo do programa Pedala BH foram implantados pela PBH em 2011 conforme BHTRANS(2016wb)</t>
    </r>
  </si>
  <si>
    <r>
      <t xml:space="preserve">índice de eficácia do resultado do indicador "paraciclo (delta)" de Belo Horizonte (PBH) em relação à meta estabelecida pela PBH
</t>
    </r>
    <r>
      <rPr>
        <b/>
        <sz val="10"/>
        <color theme="1"/>
        <rFont val="Times New Roman"/>
        <family val="1"/>
      </rPr>
      <t xml:space="preserve">obs.1: </t>
    </r>
    <r>
      <rPr>
        <sz val="10"/>
        <color theme="1"/>
        <rFont val="Times New Roman"/>
        <family val="1"/>
      </rPr>
      <t xml:space="preserve">em relatórios da BHTrans e da PBH, pelo menos os consultados pelo SisMob-BH até o ano 2015, os indicadores "paraciclo" têm a denominação de "bicicletário/paraciclo" como se fossem relativos à soma de n.º de bicicletários e n.º de paraciclos mas os resultados devem ser sempre tomados como sendo, apenas, relativos ao n.º de paraciclos
</t>
    </r>
    <r>
      <rPr>
        <b/>
        <sz val="10"/>
        <color theme="1"/>
        <rFont val="Times New Roman"/>
        <family val="1"/>
      </rPr>
      <t xml:space="preserve">obs.2: </t>
    </r>
    <r>
      <rPr>
        <sz val="10"/>
        <color theme="1"/>
        <rFont val="Times New Roman"/>
        <family val="1"/>
      </rPr>
      <t xml:space="preserve">resultados da fórmula confirmados em documentos: de 2014 em BH(2015e, p.270); de 2015 em BH(2016k, p.281)
</t>
    </r>
    <r>
      <rPr>
        <b/>
        <sz val="10"/>
        <color theme="1"/>
        <rFont val="Times New Roman"/>
        <family val="1"/>
      </rPr>
      <t>obs.3:</t>
    </r>
    <r>
      <rPr>
        <sz val="10"/>
        <color theme="1"/>
        <rFont val="Times New Roman"/>
        <family val="1"/>
      </rPr>
      <t xml:space="preserve"> observe-se que os resultados foram muito superiores às metas estabebelecidas (+ em 2014 e + em 2015)</t>
    </r>
  </si>
  <si>
    <r>
      <t xml:space="preserve">extensão total da rede cicloviária (em km) de Belo Horizonte
</t>
    </r>
    <r>
      <rPr>
        <b/>
        <sz val="10"/>
        <color theme="1"/>
        <rFont val="Times New Roman"/>
        <family val="1"/>
      </rPr>
      <t>obs.:</t>
    </r>
    <r>
      <rPr>
        <sz val="10"/>
        <color theme="1"/>
        <rFont val="Times New Roman"/>
        <family val="1"/>
      </rPr>
      <t xml:space="preserve"> resultados da fórmula confirmados de 2009-2013 com algum arredondamento em BHTRANS (2015e, p.29) e de 2014 em BHTRANS (2015g)</t>
    </r>
    <r>
      <rPr>
        <b/>
        <sz val="10"/>
        <color theme="1"/>
        <rFont val="Times New Roman"/>
        <family val="1"/>
      </rPr>
      <t/>
    </r>
  </si>
  <si>
    <r>
      <t xml:space="preserve">extensão da rede cicloviária (em km) de Brasília
</t>
    </r>
    <r>
      <rPr>
        <b/>
        <sz val="10"/>
        <rFont val="Times New Roman"/>
        <family val="1"/>
      </rPr>
      <t xml:space="preserve">obs.: </t>
    </r>
    <r>
      <rPr>
        <sz val="10"/>
        <rFont val="Times New Roman"/>
        <family val="1"/>
      </rPr>
      <t>resultado de 2015 conforme MOBILIZE(2016a)</t>
    </r>
  </si>
  <si>
    <r>
      <t xml:space="preserve">extensão da rede cicloviária (em km) de Curitiba
</t>
    </r>
    <r>
      <rPr>
        <b/>
        <sz val="10"/>
        <rFont val="Times New Roman"/>
        <family val="1"/>
      </rPr>
      <t xml:space="preserve">obs.: </t>
    </r>
    <r>
      <rPr>
        <sz val="10"/>
        <rFont val="Times New Roman"/>
        <family val="1"/>
      </rPr>
      <t>resultado de 2015 conforme MOBILIZE(2016a)</t>
    </r>
  </si>
  <si>
    <r>
      <t xml:space="preserve">extensão da rede cicloviária (em km) de Porto Alegra
</t>
    </r>
    <r>
      <rPr>
        <b/>
        <sz val="10"/>
        <rFont val="Times New Roman"/>
        <family val="1"/>
      </rPr>
      <t xml:space="preserve">obs.: </t>
    </r>
    <r>
      <rPr>
        <sz val="10"/>
        <rFont val="Times New Roman"/>
        <family val="1"/>
      </rPr>
      <t>resultado de 2015 conforme MOBILIZE(2016a)</t>
    </r>
  </si>
  <si>
    <r>
      <t xml:space="preserve">extensão da rede cicloviária de diversas outras cidades/regiões
</t>
    </r>
    <r>
      <rPr>
        <b/>
        <sz val="10"/>
        <color theme="1"/>
        <rFont val="Times New Roman"/>
        <family val="1"/>
      </rPr>
      <t>obs.:</t>
    </r>
    <r>
      <rPr>
        <sz val="10"/>
        <color theme="1"/>
        <rFont val="Times New Roman"/>
        <family val="1"/>
      </rPr>
      <t xml:space="preserve"> existem resultados de "EV b" relativos a dezenove cidades (incluindo Belo Horizonte, Brasília, Curitiba e Porto Alegre) para benchmarking com a denominação de "Extensão de vias adequadas ao trânsito de bicicletas" em MOBILIZE(2016a)</t>
    </r>
  </si>
  <si>
    <r>
      <t xml:space="preserve">extensão total da rede cicloviária (em km) de uma cidade/região, tomada como sendo a soma da quilometragem de ciclovias e ciclofaixas
</t>
    </r>
    <r>
      <rPr>
        <b/>
        <sz val="10"/>
        <color theme="1"/>
        <rFont val="Times New Roman"/>
        <family val="1"/>
      </rPr>
      <t xml:space="preserve">obs.: </t>
    </r>
    <r>
      <rPr>
        <sz val="10"/>
        <color theme="1"/>
        <rFont val="Times New Roman"/>
        <family val="1"/>
      </rPr>
      <t>este indicador é denominado "Extensão de vias adequadas ao trânsito de bicicletas" em MOBILIZE(2016a)</t>
    </r>
  </si>
  <si>
    <r>
      <t xml:space="preserve">percentual da extensão da rede cicloviária de Belo Horizonte em relação à extensão viária total de Belo Horizonte
</t>
    </r>
    <r>
      <rPr>
        <b/>
        <sz val="10"/>
        <color theme="1"/>
        <rFont val="Times New Roman"/>
        <family val="1"/>
      </rPr>
      <t xml:space="preserve">obs.: </t>
    </r>
    <r>
      <rPr>
        <sz val="10"/>
        <color theme="1"/>
        <rFont val="Times New Roman"/>
        <family val="1"/>
      </rPr>
      <t>utiliza-se em toda esta série a extensão da rede viária total de Belo Horizonte calculada para o ano 2010, pois este é o único resultado encontrado pelo SisMob-BH até o momento</t>
    </r>
  </si>
  <si>
    <t>EV b (diferença de deltas)</t>
  </si>
  <si>
    <t>EV b
(eficácia)</t>
  </si>
  <si>
    <r>
      <t xml:space="preserve">índice de eficácia do resultado do indicador "paraciclo (delta)" em relação ao indicador "paraciclo (meta)" 
</t>
    </r>
    <r>
      <rPr>
        <b/>
        <sz val="10"/>
        <color theme="1"/>
        <rFont val="Times New Roman"/>
        <family val="1"/>
      </rPr>
      <t xml:space="preserve">obs.1: </t>
    </r>
    <r>
      <rPr>
        <sz val="10"/>
        <color theme="1"/>
        <rFont val="Times New Roman"/>
        <family val="1"/>
      </rPr>
      <t>este tipo de indicador, com a fórmula de cálculo aqui apresentada, é denominado "índice de eficácia" e utilizado para medir todos os resultados contidos no Demonstrativo de Execução das Metas Físicas da PBH</t>
    </r>
  </si>
  <si>
    <r>
      <t xml:space="preserve">índice de eficácia do resultado do indicador "EV b (delta)" em relação ao indicador "EV b (meta)" 
</t>
    </r>
    <r>
      <rPr>
        <b/>
        <sz val="10"/>
        <color theme="1"/>
        <rFont val="Times New Roman"/>
        <family val="1"/>
      </rPr>
      <t xml:space="preserve">obs.1: </t>
    </r>
    <r>
      <rPr>
        <sz val="10"/>
        <color theme="1"/>
        <rFont val="Times New Roman"/>
        <family val="1"/>
      </rPr>
      <t>este tipo de indicador, com a fórmula de cálculo aqui apresentada, é denominado "índice de eficácia" e utilizado para medir todos os resultados contidos no Demonstrativo de Execução das Metas Físicas da PBH</t>
    </r>
  </si>
  <si>
    <t>meta BHTrans
( (Evb (delta 2) / EVb meta) ) x 100</t>
  </si>
  <si>
    <r>
      <t xml:space="preserve">índice de eficácia do resultado de "EV b (informado pela PBH) de Belo Horizonte em relação à meta estabelecida pela PBH
</t>
    </r>
    <r>
      <rPr>
        <b/>
        <sz val="10"/>
        <color theme="1"/>
        <rFont val="Times New Roman"/>
        <family val="1"/>
      </rPr>
      <t xml:space="preserve">obs.: </t>
    </r>
    <r>
      <rPr>
        <sz val="10"/>
        <color theme="1"/>
        <rFont val="Times New Roman"/>
        <family val="1"/>
      </rPr>
      <t>resultados da fórmula confirmados: de 2014 em BH(2015e, p.269); de 2015 em BH(2016k, p.281)</t>
    </r>
  </si>
  <si>
    <t>ciclovia</t>
  </si>
  <si>
    <t>ciclofaixa</t>
  </si>
  <si>
    <r>
      <t xml:space="preserve">"parte da pista de rolamento destinada à circulação exclusiva de ciclos, delimitada por sinalização específica" conforme BRASIL(1997a, Anexo I - ciclofaixa)
</t>
    </r>
    <r>
      <rPr>
        <b/>
        <sz val="10"/>
        <rFont val="Times New Roman"/>
        <family val="1"/>
      </rPr>
      <t xml:space="preserve">obs.: </t>
    </r>
    <r>
      <rPr>
        <sz val="10"/>
        <rFont val="Times New Roman"/>
        <family val="1"/>
      </rPr>
      <t>Art. 58. Nas vias urbanas e nas rurais de pista dupla, a circulação de bicicletas deverá ocorrer, quando não
houver ciclovia, ciclofaixa, ou acostamento, ou quando não for possível a utilização destes, nos bordos da pista
de rolamento, no mesmo sentido de circulação regulamentado para a via, com preferência sobre os veículos
automotores. Parágrafo único. A autoridade de trânsito com circunscrição sobre a via poderá autorizar a circulação de
bicicletas no sentido contrário ao fluxo dos veículos automotores, desde que dotado o trecho com ciclofaixa. Art. 59. Desde que autorizado e devidamente sinalizado pelo órgão ou entidade com circunscrição sobre a via, será permitida a circulação de bicicletas nos passeios." conforme BRASIL(1997a)</t>
    </r>
  </si>
  <si>
    <r>
      <t xml:space="preserve">"pista própria destinada à circulação de ciclos, separada fisicamente do tráfego comum" conforme BRASIL(1997a, Anexo I - ciclovia)
</t>
    </r>
    <r>
      <rPr>
        <b/>
        <sz val="10"/>
        <rFont val="Times New Roman"/>
        <family val="1"/>
      </rPr>
      <t xml:space="preserve">obs.: </t>
    </r>
    <r>
      <rPr>
        <sz val="10"/>
        <rFont val="Times New Roman"/>
        <family val="1"/>
      </rPr>
      <t>Art. 58. Nas vias urbanas e nas rurais de pista dupla, a circulação de bicicletas deverá ocorrer, quando não
houver ciclovia, ciclofaixa, ou acostamento, ou quando não for possível a utilização destes, nos bordos da pista
de rolamento, no mesmo sentido de circulação regulamentado para a via, com preferência sobre os veículos
automotores. Parágrafo único. A autoridade de trânsito com circunscrição sobre a via poderá autorizar a circulação de
bicicletas no sentido contrário ao fluxo dos veículos automotores, desde que dotado o trecho com ciclofaixa. Art. 59. Desde que autorizado e devidamente sinalizado pelo órgão ou entidade com circunscrição sobre a via, será permitida a circulação de bicicletas nos passeios." conforme BRASIL(1997a)</t>
    </r>
  </si>
  <si>
    <r>
      <t>área de cobertura (em km</t>
    </r>
    <r>
      <rPr>
        <vertAlign val="superscript"/>
        <sz val="10"/>
        <color theme="1"/>
        <rFont val="Times New Roman"/>
        <family val="1"/>
      </rPr>
      <t>2</t>
    </r>
    <r>
      <rPr>
        <sz val="10"/>
        <color theme="1"/>
        <rFont val="Times New Roman"/>
        <family val="1"/>
      </rPr>
      <t xml:space="preserve">) de um sistema de bicicletas compartilhadas de uma cidade/região
</t>
    </r>
    <r>
      <rPr>
        <b/>
        <sz val="10"/>
        <color theme="1"/>
        <rFont val="Times New Roman"/>
        <family val="1"/>
      </rPr>
      <t>obs.:</t>
    </r>
    <r>
      <rPr>
        <sz val="10"/>
        <color theme="1"/>
        <rFont val="Times New Roman"/>
        <family val="1"/>
      </rPr>
      <t xml:space="preserve"> "Área de cobertura do sistema: definida como a área contínua, em quilômetros quadrados, onde estão localizadas as estações do sistema. Ela é calculada a partir de um raio de 500 metros em torno de cada estação."  conforme ITDP(2014, p.42)</t>
    </r>
  </si>
  <si>
    <t>AMC</t>
  </si>
  <si>
    <r>
      <t>emissão de GEE (em milhões de tCO</t>
    </r>
    <r>
      <rPr>
        <vertAlign val="subscript"/>
        <sz val="10"/>
        <rFont val="Times New Roman"/>
        <family val="1"/>
      </rPr>
      <t>2</t>
    </r>
    <r>
      <rPr>
        <sz val="10"/>
        <rFont val="Times New Roman"/>
        <family val="1"/>
      </rPr>
      <t>e) nos demais subsetores somados do inventário que não são os subsetores aéreo e rodoviário (em milhões de tCO2e)</t>
    </r>
  </si>
  <si>
    <t>motofrete</t>
  </si>
  <si>
    <r>
      <rPr>
        <b/>
        <sz val="12"/>
        <rFont val="Times New Roman"/>
        <family val="1"/>
      </rPr>
      <t>BRASIL(2010a):</t>
    </r>
    <r>
      <rPr>
        <sz val="12"/>
        <rFont val="Times New Roman"/>
        <family val="1"/>
      </rPr>
      <t xml:space="preserve"> BRASIL. Conselho Nacional de Trânsito. </t>
    </r>
    <r>
      <rPr>
        <i/>
        <sz val="12"/>
        <rFont val="Times New Roman"/>
        <family val="1"/>
      </rPr>
      <t xml:space="preserve">Resolução Contran n.º 356, de 2 de agosto de 2010. </t>
    </r>
    <r>
      <rPr>
        <sz val="12"/>
        <rFont val="Times New Roman"/>
        <family val="1"/>
      </rPr>
      <t>Estabelece requisitos mínimos de segurança para o transporte remunerado de passageiros (mototáxi) e de cargas (motofrete) em motocicleta e motoneta, e dá outras providências. Disponível em: &lt;http://www.denatran.gov.br/download/Resolucoes/RESOLUCAO_CONTRAN_356_10.pdf&gt;. Acesso em: 20 out. 2016.</t>
    </r>
  </si>
  <si>
    <t>"Os veículos tipo motocicleta ou motoneta, quando autorizados pelo poder concedente para transporte remunerado de cargas (motofrete) e de passageiros (mototáxi), deverão ser registrados pelo Órgão Executivo de Trânsito do Estado e do Distrito Federal na categoria de aluguel, atendendo ao disposto no artigo 135 do CTB e legislação complementar." conforme BRASIL(2010a, art.1º)</t>
  </si>
  <si>
    <t>mototáxi</t>
  </si>
  <si>
    <r>
      <rPr>
        <b/>
        <sz val="12"/>
        <rFont val="Times New Roman"/>
        <family val="1"/>
      </rPr>
      <t>BRASIL(2009a):</t>
    </r>
    <r>
      <rPr>
        <sz val="12"/>
        <rFont val="Times New Roman"/>
        <family val="1"/>
      </rPr>
      <t xml:space="preserve"> BRASIL. </t>
    </r>
    <r>
      <rPr>
        <i/>
        <sz val="12"/>
        <rFont val="Times New Roman"/>
        <family val="1"/>
      </rPr>
      <t>Lei n.º 12.009, de 29 de julho de 2009</t>
    </r>
    <r>
      <rPr>
        <sz val="12"/>
        <rFont val="Times New Roman"/>
        <family val="1"/>
      </rPr>
      <t>. Regulamenta o exercício das atividades dos profissionais em transporte de passageiros, “mototaxista”, em entrega de mercadorias e em serviço comunitário de rua, e “motoboy”, com o uso de motocicleta, altera a Lei no 9.503, de 23 de setembro de 1997, para dispor sobre regras de segurança dos serviços de transporte remunerado de mercadorias em motocicletas e motonetas – moto-frete –, estabelece regras gerais para a regulação deste serviço e dá outras providências. Disponível em: &lt;http://www.planalto.gov.br/ccivil_03/_ato2007-2010/2009/lei/l12009.htm&gt;. Acesso em: 20 out. 2016.</t>
    </r>
  </si>
  <si>
    <t>"Esta Lei regulamenta o exercício das atividades dos profissionais em transportes de passageiros, “mototaxista”, em entrega de mercadorias e em serviço comunitário de rua, e “motoboy”, com o uso de motocicleta, dispõe sobre regras de segurança dos serviços de transporte remunerado de mercadorias em motocicletas e motonetas – moto-frete –, estabelece regras gerais para a regulação deste serviço e dá outras providências." conforme BRASIL(2009a, art.1º)</t>
  </si>
  <si>
    <t>mototaxista</t>
  </si>
  <si>
    <t>motoboy</t>
  </si>
  <si>
    <r>
      <rPr>
        <b/>
        <sz val="12"/>
        <color theme="1"/>
        <rFont val="Times New Roman"/>
        <family val="1"/>
      </rPr>
      <t>BH(2015e):</t>
    </r>
    <r>
      <rPr>
        <sz val="12"/>
        <color theme="1"/>
        <rFont val="Times New Roman"/>
        <family val="1"/>
      </rPr>
      <t xml:space="preserve"> BELO HORIZONTE. Prefeitura. </t>
    </r>
    <r>
      <rPr>
        <i/>
        <sz val="12"/>
        <color theme="1"/>
        <rFont val="Times New Roman"/>
        <family val="1"/>
      </rPr>
      <t>Demonstrativo da execução das metas físicas - terceiro quadrimestre 2014</t>
    </r>
    <r>
      <rPr>
        <sz val="12"/>
        <color theme="1"/>
        <rFont val="Times New Roman"/>
        <family val="1"/>
      </rPr>
      <t>. Belo Horizonte, 12 mar. 2015 - 16:53:17. 297p. Disponível para baixar em: &lt;http://portalpbh.pbh.gov.br/pbh/ecp/files.do?evento=download&amp;urlArqPlc=execucao_metas_fisicas_3_quadrimestre2014.pdf&gt;. Acesso em: 20 out. 2016.</t>
    </r>
  </si>
  <si>
    <r>
      <rPr>
        <b/>
        <sz val="12"/>
        <rFont val="Times New Roman"/>
        <family val="1"/>
      </rPr>
      <t>BH(2015f):</t>
    </r>
    <r>
      <rPr>
        <sz val="12"/>
        <rFont val="Times New Roman"/>
        <family val="1"/>
      </rPr>
      <t xml:space="preserve"> BELO HORIZONTE. Prefeitura. </t>
    </r>
    <r>
      <rPr>
        <i/>
        <sz val="12"/>
        <rFont val="Times New Roman"/>
        <family val="1"/>
      </rPr>
      <t>Demonstrativo da execução das metas físicas - exercício 2013</t>
    </r>
    <r>
      <rPr>
        <sz val="12"/>
        <rFont val="Times New Roman"/>
        <family val="1"/>
      </rPr>
      <t>. Belo Horizonte, 29 jan. 2015 - 14:03:31. 146p. Disponível para baixar em &lt;http://portalpbh.pbh.gov.br/pbh/ecp/files.do?evento=download&amp;urlArqPlc=RelatorioDemonstrativodaExecucaodasMetasFisicasAnual_2013.pdf&gt;. Acesso em: 25 jun. 2016.</t>
    </r>
  </si>
  <si>
    <r>
      <rPr>
        <b/>
        <sz val="12"/>
        <rFont val="Times New Roman"/>
        <family val="1"/>
      </rPr>
      <t xml:space="preserve">BH(2016a): </t>
    </r>
    <r>
      <rPr>
        <sz val="12"/>
        <rFont val="Times New Roman"/>
        <family val="1"/>
      </rPr>
      <t xml:space="preserve">BELO HORIZONTE. Prefeitura. Comitê Municipal sobre Mudanças Climáticas e Ecoeficiência completa 10 anos. </t>
    </r>
    <r>
      <rPr>
        <i/>
        <sz val="12"/>
        <rFont val="Times New Roman"/>
        <family val="1"/>
      </rPr>
      <t>Diário Oficial do Município - DOM</t>
    </r>
    <r>
      <rPr>
        <sz val="12"/>
        <rFont val="Times New Roman"/>
        <family val="1"/>
      </rPr>
      <t>, Belo Horizonte, Ano XXII, edição n.º 5.038, 3 maio 2016. Poder Executivo. p.16 [última da edição]. Disponível em: &lt;http://portal6.pbh.gov.br/dom/iniciaEdicao.do?method=DetalheArtigo&amp;pk=1162027&gt;.  Acesso em: 10 maio 2016.</t>
    </r>
  </si>
  <si>
    <r>
      <rPr>
        <b/>
        <sz val="12"/>
        <rFont val="Times New Roman"/>
        <family val="1"/>
      </rPr>
      <t>BH(2012d):</t>
    </r>
    <r>
      <rPr>
        <sz val="12"/>
        <rFont val="Times New Roman"/>
        <family val="1"/>
      </rPr>
      <t xml:space="preserve"> BELO HORIZONTE. Prefeitura. </t>
    </r>
    <r>
      <rPr>
        <i/>
        <sz val="12"/>
        <rFont val="Times New Roman"/>
        <family val="1"/>
      </rPr>
      <t>Demonstrativo da execução das metas físicas - exercício 2011</t>
    </r>
    <r>
      <rPr>
        <sz val="12"/>
        <rFont val="Times New Roman"/>
        <family val="1"/>
      </rPr>
      <t>. Belo Horizonte, [2012]. 200p. Disponível para baixar em: &lt;http://portalpbh.pbh.gov.br/pbh/ecp/files.do?evento=download&amp;urlArqPlc=demonstrativo_da_execucao_metas_fisicas_2011.pdf&gt;. Acesso em: 20 out. 2016.</t>
    </r>
  </si>
  <si>
    <r>
      <rPr>
        <b/>
        <sz val="12"/>
        <color theme="1"/>
        <rFont val="Times New Roman"/>
        <family val="1"/>
      </rPr>
      <t>BH(2013b):</t>
    </r>
    <r>
      <rPr>
        <sz val="12"/>
        <color theme="1"/>
        <rFont val="Times New Roman"/>
        <family val="1"/>
      </rPr>
      <t xml:space="preserve"> BELO HORIZONTE. Prefeitura. </t>
    </r>
    <r>
      <rPr>
        <i/>
        <sz val="12"/>
        <color theme="1"/>
        <rFont val="Times New Roman"/>
        <family val="1"/>
      </rPr>
      <t>Demonstrativo da execução das metas físicas - exercício 2012</t>
    </r>
    <r>
      <rPr>
        <sz val="12"/>
        <color theme="1"/>
        <rFont val="Times New Roman"/>
        <family val="1"/>
      </rPr>
      <t>. Belo Horizonte, 25 jan. 2013 - 11:23:16. 135</t>
    </r>
    <r>
      <rPr>
        <sz val="12"/>
        <rFont val="Times New Roman"/>
        <family val="1"/>
      </rPr>
      <t xml:space="preserve">p. Disponível para baixar em &lt;https://www.google.com.br/webhp?sourceid=chrome-instant&amp;ion=1&amp;espv=2&amp;ie=UTF-8#q=Demonstrativo+da+execu%C3%A7%C3%A3o+das+metas+f%C3%ADsicas+2012.+25%2F01%2F2013+11:23:16+Entidade:+200-MUNIC%C3%8DPIO+DE+BELO+HORIZONTE&gt;. </t>
    </r>
    <r>
      <rPr>
        <sz val="12"/>
        <color theme="1"/>
        <rFont val="Times New Roman"/>
        <family val="1"/>
      </rPr>
      <t>Acesso em: 25 jun. 2016.</t>
    </r>
  </si>
  <si>
    <r>
      <t>ônibus de piso-baixo total sem rampa veicular (com embarque/desembarque podendo acontecer sempre em nível e em qualquer porta, mas sem o apoio de uma rampa e dependente no motorista estacionar rente ao meio-fio)</t>
    </r>
    <r>
      <rPr>
        <b/>
        <sz val="10"/>
        <color theme="1"/>
        <rFont val="Times New Roman"/>
        <family val="1"/>
      </rPr>
      <t/>
    </r>
  </si>
  <si>
    <r>
      <t xml:space="preserve">ônibus com embarque em nível em todas as portas com rampa veicular manual em uma porta
</t>
    </r>
    <r>
      <rPr>
        <b/>
        <sz val="10"/>
        <rFont val="Times New Roman"/>
        <family val="1"/>
      </rPr>
      <t xml:space="preserve">obs.1: </t>
    </r>
    <r>
      <rPr>
        <sz val="10"/>
        <rFont val="Times New Roman"/>
        <family val="1"/>
      </rPr>
      <t>esta categoria recebe</t>
    </r>
    <r>
      <rPr>
        <sz val="10"/>
        <color rgb="FFFF0000"/>
        <rFont val="Times New Roman"/>
        <family val="1"/>
      </rPr>
      <t xml:space="preserve"> </t>
    </r>
    <r>
      <rPr>
        <b/>
        <sz val="10"/>
        <color rgb="FFFF0000"/>
        <rFont val="Times New Roman"/>
        <family val="1"/>
      </rPr>
      <t>peso 8</t>
    </r>
    <r>
      <rPr>
        <sz val="10"/>
        <rFont val="Times New Roman"/>
        <family val="1"/>
      </rPr>
      <t xml:space="preserve"> (escala de 1 a 10 estabelecida pelo SisMob-BH para classificar e comparar resultados) - acesse "acessibilidade em ônibus urbano (escala)"
</t>
    </r>
    <r>
      <rPr>
        <b/>
        <sz val="10"/>
        <rFont val="Times New Roman"/>
        <family val="1"/>
      </rPr>
      <t xml:space="preserve">obs.2: </t>
    </r>
    <r>
      <rPr>
        <sz val="10"/>
        <rFont val="Times New Roman"/>
        <family val="1"/>
      </rPr>
      <t>em Salzburgo/Áustria os ônibus são de três portas com rampa manual na porta central conforme JAN(2012); OLIVEIRA(2016c)</t>
    </r>
    <r>
      <rPr>
        <b/>
        <sz val="10"/>
        <rFont val="Times New Roman"/>
        <family val="1"/>
      </rPr>
      <t/>
    </r>
  </si>
  <si>
    <r>
      <t xml:space="preserve">veículos de piso baixo (dianteiro, traseiro, central ou total) ou piso alto com rampa veicular não automática em pelo menos uma das portas (com embarque/desembarque sempre em nível, mas dependente da abertura manual da rampa)
</t>
    </r>
    <r>
      <rPr>
        <b/>
        <sz val="10"/>
        <rFont val="Times New Roman"/>
        <family val="1"/>
      </rPr>
      <t>obs.:</t>
    </r>
    <r>
      <rPr>
        <sz val="10"/>
        <rFont val="Times New Roman"/>
        <family val="1"/>
      </rPr>
      <t xml:space="preserve"> para informações e resultados de municípios/regiões já incorporados ao SisMob-BH acesse "F tc en c/rampa manual" (Belo Horizonte, Curitiba, Joinville, RMBH metropolitano, São Paulo) e para informações não quantitativas acesse RM Curitiba e Salzburgo</t>
    </r>
    <r>
      <rPr>
        <b/>
        <sz val="10"/>
        <rFont val="Times New Roman"/>
        <family val="1"/>
      </rPr>
      <t/>
    </r>
  </si>
  <si>
    <r>
      <t xml:space="preserve">veículos de piso baixo (dianteiro, traseiro, central ou total) ou piso alto com rampa veicular automática em parte das portas (com embarque/desembarque sempre em nível e autonomia garantida desde que se utilize a porta certa)
</t>
    </r>
    <r>
      <rPr>
        <b/>
        <sz val="10"/>
        <rFont val="Times New Roman"/>
        <family val="1"/>
      </rPr>
      <t>obs.1:</t>
    </r>
    <r>
      <rPr>
        <sz val="10"/>
        <rFont val="Times New Roman"/>
        <family val="1"/>
      </rPr>
      <t xml:space="preserve"> para informações não quantitativas de municípios/regiões já incorporados ao SisMob-BH acesse "F tc en c/uma rampa aut." (Nova York, Winnipeg)
</t>
    </r>
    <r>
      <rPr>
        <b/>
        <sz val="10"/>
        <rFont val="Times New Roman"/>
        <family val="1"/>
      </rPr>
      <t xml:space="preserve">obs.2: </t>
    </r>
    <r>
      <rPr>
        <sz val="10"/>
        <rFont val="Times New Roman"/>
        <family val="1"/>
      </rPr>
      <t>para informações não quantitativas de municípios/regiões já incorporados ao SisMob-BH acesse "F tc en c/uma rampa aut." (Barcelona, Parma, Metz)</t>
    </r>
  </si>
  <si>
    <r>
      <rPr>
        <b/>
        <sz val="12"/>
        <rFont val="Times New Roman"/>
        <family val="1"/>
      </rPr>
      <t xml:space="preserve">CONCURSO(2016b): </t>
    </r>
    <r>
      <rPr>
        <sz val="12"/>
        <rFont val="Times New Roman"/>
        <family val="1"/>
      </rPr>
      <t xml:space="preserve">CONCURSO Acessibilidade para Todos em Belo Horizonte. </t>
    </r>
    <r>
      <rPr>
        <i/>
        <sz val="12"/>
        <rFont val="Times New Roman"/>
        <family val="1"/>
      </rPr>
      <t>Archdaily Brasil</t>
    </r>
    <r>
      <rPr>
        <sz val="12"/>
        <rFont val="Times New Roman"/>
        <family val="1"/>
      </rPr>
      <t>. 18 abr. 2016. Disponível em: &lt;http://www.archdaily.com.br/br/785768/concurso-acessibilidade-para-todos-em-belo-horizonte&gt;. Acesso em 21 out. 2016.</t>
    </r>
  </si>
  <si>
    <r>
      <rPr>
        <b/>
        <sz val="12"/>
        <rFont val="Times New Roman"/>
        <family val="1"/>
      </rPr>
      <t xml:space="preserve">CONCURSO(2016a): </t>
    </r>
    <r>
      <rPr>
        <sz val="12"/>
        <rFont val="Times New Roman"/>
        <family val="1"/>
      </rPr>
      <t xml:space="preserve">CONCURSO estimula transporte não motorizado em BH. </t>
    </r>
    <r>
      <rPr>
        <i/>
        <sz val="12"/>
        <rFont val="Times New Roman"/>
        <family val="1"/>
      </rPr>
      <t>Hoje em Dia</t>
    </r>
    <r>
      <rPr>
        <sz val="12"/>
        <rFont val="Times New Roman"/>
        <family val="1"/>
      </rPr>
      <t>, Belo Horizonte, 26 maio 2016. Disponível em: &lt;http://hojeemdia.com.br/horizontes/concurso-estimula-transporte-n%C3%A3o-motorizado-em-bh-1.387069&gt;. Acesso em 7 jul. 2016.</t>
    </r>
  </si>
  <si>
    <r>
      <rPr>
        <b/>
        <sz val="12"/>
        <rFont val="Times New Roman"/>
        <family val="1"/>
      </rPr>
      <t xml:space="preserve">FERBER(2016): </t>
    </r>
    <r>
      <rPr>
        <sz val="12"/>
        <rFont val="Times New Roman"/>
        <family val="1"/>
      </rPr>
      <t xml:space="preserve">FERBER, Amanda. Conheça as propostas vencedoras do Concurso "Acessibilidade para Todos" do WRI Brasil Cidades Sustentáveis. </t>
    </r>
    <r>
      <rPr>
        <i/>
        <sz val="12"/>
        <rFont val="Times New Roman"/>
        <family val="1"/>
      </rPr>
      <t>Archdaily Brasil</t>
    </r>
    <r>
      <rPr>
        <sz val="12"/>
        <rFont val="Times New Roman"/>
        <family val="1"/>
      </rPr>
      <t>. 26 jun. 2016. Disponível em: &lt;http://www.archdaily.com.br/br/790164/conheca-as-propostas-vencedoras-do-concurso-acessibilidade-para-todos-do-wri-brasil-cidades-sustentaveis&gt;. Acesso em 21 out. 2016.</t>
    </r>
  </si>
  <si>
    <r>
      <rPr>
        <b/>
        <sz val="12"/>
        <color theme="1"/>
        <rFont val="Times New Roman"/>
        <family val="1"/>
      </rPr>
      <t>WRI(2012a)</t>
    </r>
    <r>
      <rPr>
        <sz val="12"/>
        <color theme="1"/>
        <rFont val="Times New Roman"/>
        <family val="1"/>
      </rPr>
      <t xml:space="preserve">: WORLD RESOURCES INSTITUTE - WRI BRASIL. Vida longa aos trólebus e um presente a São Paulo. By Kaiodê Biague. </t>
    </r>
    <r>
      <rPr>
        <i/>
        <sz val="12"/>
        <color theme="1"/>
        <rFont val="Times New Roman"/>
        <family val="1"/>
      </rPr>
      <t>The City Fix Brasil - WRI Brasil</t>
    </r>
    <r>
      <rPr>
        <sz val="12"/>
        <color theme="1"/>
        <rFont val="Times New Roman"/>
        <family val="1"/>
      </rPr>
      <t>, 25 de janeiro de 2012. Disponível em: &lt;http://thecityfixbrasil.com/2012/01/25/vida-longa-aos-trolebus-e-um-presente-a-sao-paulo/&gt; . Acesso em: 30 abr. 2016.</t>
    </r>
  </si>
  <si>
    <r>
      <rPr>
        <b/>
        <sz val="12"/>
        <color theme="1"/>
        <rFont val="Times New Roman"/>
        <family val="1"/>
      </rPr>
      <t xml:space="preserve">BOEK(2016): </t>
    </r>
    <r>
      <rPr>
        <sz val="12"/>
        <color theme="1"/>
        <rFont val="Times New Roman"/>
        <family val="1"/>
      </rPr>
      <t xml:space="preserve">BOEK, Aloha. Ideias vencedoras do Concurso Acessibilidade para Todos buscam uma Belo Horizonte mais inclusiva. </t>
    </r>
    <r>
      <rPr>
        <i/>
        <sz val="12"/>
        <color theme="1"/>
        <rFont val="Times New Roman"/>
        <family val="1"/>
      </rPr>
      <t>The City Fix Brasil - WRI Brasil</t>
    </r>
    <r>
      <rPr>
        <sz val="12"/>
        <color theme="1"/>
        <rFont val="Times New Roman"/>
        <family val="1"/>
      </rPr>
      <t>, 20 jun. 2016. Disponível em: &lt;http://thecityfixbrasil.com/2016/06/20/ideias-vencedoras-do-concurso-acessibilidade-para-todos-buscam-uma-belo-horizonte-mais-inclusiva/&gt;. Acesso em: 21 out. 2016.</t>
    </r>
  </si>
  <si>
    <r>
      <rPr>
        <b/>
        <sz val="12"/>
        <color theme="1"/>
        <rFont val="Times New Roman"/>
        <family val="1"/>
      </rPr>
      <t>SDSN(2016f):</t>
    </r>
    <r>
      <rPr>
        <sz val="12"/>
        <color theme="1"/>
        <rFont val="Times New Roman"/>
        <family val="1"/>
      </rPr>
      <t xml:space="preserve"> SUSTAINABLE DEVELOPMENT SOLUTIONS NETWORK - SDSN. </t>
    </r>
    <r>
      <rPr>
        <i/>
        <sz val="12"/>
        <color theme="1"/>
        <rFont val="Times New Roman"/>
        <family val="1"/>
      </rPr>
      <t xml:space="preserve">Goal 11 - Make cities and human settlements inclusive, safe, resilient and sustainable. </t>
    </r>
    <r>
      <rPr>
        <sz val="12"/>
        <color theme="1"/>
        <rFont val="Times New Roman"/>
        <family val="1"/>
      </rPr>
      <t>Disponível em: &lt;http://indicators.report/goals/goal-11/&gt;. Acesso em: 21 ago. 2016.</t>
    </r>
  </si>
  <si>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</si>
  <si>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11.6 by 2030, reduce the adverse per capita environmental impact of cities, including by paying special attention to air quality, municipal and other waste management</t>
  </si>
  <si>
    <t>resultados existentes no SisMob-BH</t>
  </si>
  <si>
    <t>PNT</t>
  </si>
  <si>
    <t>PNT
(projeção)</t>
  </si>
  <si>
    <t>diversos, com várias metodologias diferentes</t>
  </si>
  <si>
    <t>68. [Ratio of land consumption rate to population growth rate, at comparable scale] – to be developed</t>
  </si>
  <si>
    <t>69. Mean urban air pollution of particulate matter (PM10 and PM2.5)</t>
  </si>
  <si>
    <t>71. Percentage of urban solid waste regularly collected and well managed</t>
  </si>
  <si>
    <t>25. Road traffic deaths per 100,000 population</t>
  </si>
  <si>
    <t xml:space="preserve">
58. Access to all-weather road (% access within [x] km distance to road)</t>
  </si>
  <si>
    <t>11.6 - Até 2030, reduzir o impacto ambiental negativo per capita das cidades, inclusive prestando especial atenção à qualidade do ar, gestão de resíduos municipais e outros</t>
  </si>
  <si>
    <t>11.2 - Até 2030, proporcionar o acesso a sistemas de transporte seguros, acessíveis, sustentáveis e a preço acessível para todos, melhorando a segurança rodoviária por meio da expansão dos transportes públicos, com especial atenção para as necessidades das pessoas em situação de vulnerabilidade, mulheres, crianças, pessoas com deficiência e idosos</t>
  </si>
  <si>
    <t>ODS 11
(metas)</t>
  </si>
  <si>
    <r>
      <t xml:space="preserve">um dos três indicadores do ODS 11.2, proposto conforme SDSN(2016f/inglês) como:
"25. Road traffic deaths per 100,000 population" 
</t>
    </r>
    <r>
      <rPr>
        <b/>
        <sz val="10"/>
        <rFont val="Times New Roman"/>
        <family val="1"/>
      </rPr>
      <t xml:space="preserve">obs.: </t>
    </r>
    <r>
      <rPr>
        <sz val="10"/>
        <rFont val="Times New Roman"/>
        <family val="1"/>
      </rPr>
      <t>há diversos indicadores similares no SisMob-BH, com várias metodologias diferentes (acesse a aba "ODS 11")</t>
    </r>
  </si>
  <si>
    <r>
      <t xml:space="preserve">um dos três indicadores do ODS 11.2, proposto conforme SDSN(2016f/inglês) como:
"67. Percentage of people within 0.5km of public transit running at least every 20 minutes"
</t>
    </r>
    <r>
      <rPr>
        <b/>
        <sz val="10"/>
        <rFont val="Times New Roman"/>
        <family val="1"/>
      </rPr>
      <t>obs.:</t>
    </r>
    <r>
      <rPr>
        <sz val="10"/>
        <rFont val="Times New Roman"/>
        <family val="1"/>
      </rPr>
      <t xml:space="preserve"> similar ao "PNT" do SisMob-BH (acesse a aba "ODS 11")</t>
    </r>
  </si>
  <si>
    <t>67. Percentage of people within 0.5km of public transit running at least every 20 minutes</t>
  </si>
  <si>
    <t>relação entre taxas de consumo de terras e de crescimento da população, em escala comparável - indicador a ser desenvolvido</t>
  </si>
  <si>
    <t>resultados de diversas cidades, inclusive de Belo Horizonte (séries históricas desde o ano 2000 de várias estações de medição da RMBH)</t>
  </si>
  <si>
    <t>70. Area of public and green space as a proportion of total city space</t>
  </si>
  <si>
    <r>
      <t xml:space="preserve">é a meta numerada como 11.7 do ODS 11 
</t>
    </r>
    <r>
      <rPr>
        <b/>
        <sz val="10"/>
        <rFont val="Times New Roman"/>
        <family val="1"/>
      </rPr>
      <t xml:space="preserve">obs.1: </t>
    </r>
    <r>
      <rPr>
        <sz val="10"/>
        <rFont val="Times New Roman"/>
        <family val="1"/>
      </rPr>
      <t xml:space="preserve">"11.7 - Até 2030,  proporcionar o acesso universal a espaços públicos seguros, inclusivos, acessíveis e verdes,
particularmente para as mulheres e crianças, pessoas idosas e pessoas com deficiência" conforme ONU-BR(2016a) e "by 2030, provide universal access to safe, inclusive and accessible, green and public spaces, particularly for women and children, older persons and persons with disabilities" conforme SDSN(2016f/inglês)
</t>
    </r>
    <r>
      <rPr>
        <b/>
        <sz val="10"/>
        <rFont val="Times New Roman"/>
        <family val="1"/>
      </rPr>
      <t>obs.2:</t>
    </r>
    <r>
      <rPr>
        <sz val="10"/>
        <rFont val="Times New Roman"/>
        <family val="1"/>
      </rPr>
      <t xml:space="preserve"> à meta ODS 11.7 estão associados dois indicadores conforme SDSN(2016f/inglês), quais sejam, os numerados como 68 e 70</t>
    </r>
  </si>
  <si>
    <r>
      <t xml:space="preserve">um dos quatro indicadores do ODS 11.6 e um dos dois indicadores ODS 11.7, proposto conforme SDSN(2016f/inglês) como:
"68. [Ratio of land consumption rate to population growth rate, at comparable scale] – to be developed"
</t>
    </r>
    <r>
      <rPr>
        <b/>
        <sz val="10"/>
        <rFont val="Times New Roman"/>
        <family val="1"/>
      </rPr>
      <t xml:space="preserve">obs.: </t>
    </r>
    <r>
      <rPr>
        <sz val="10"/>
        <rFont val="Times New Roman"/>
        <family val="1"/>
      </rPr>
      <t>deve-se aguardar a definição do indicador, pois ainda ele está bem vago (acesse a aba "ODS 11")</t>
    </r>
  </si>
  <si>
    <t>ODS 11
(indicador 69)</t>
  </si>
  <si>
    <t>ODS 11
(indicador 25)</t>
  </si>
  <si>
    <t>ODS 11
(indicador 58)</t>
  </si>
  <si>
    <t>ODS 11
(indicador 67)</t>
  </si>
  <si>
    <t>ODS 11
(indicador 68)</t>
  </si>
  <si>
    <t>ODS 11
(indicador 70)</t>
  </si>
  <si>
    <t>percentual de área verde pública em relação à área total da cidade</t>
  </si>
  <si>
    <r>
      <t xml:space="preserve">um dos três indicadores do ODS 11.2, proposto conforme SDSN(2016f/inglês) como:
"58. Access to all-weather road (% access within [x] km distance to road)"que, em tradução livre seria 
</t>
    </r>
    <r>
      <rPr>
        <b/>
        <sz val="10"/>
        <rFont val="Times New Roman"/>
        <family val="1"/>
      </rPr>
      <t xml:space="preserve">obs.: </t>
    </r>
    <r>
      <rPr>
        <sz val="10"/>
        <rFont val="Times New Roman"/>
        <family val="1"/>
      </rPr>
      <t>não há nada sequer parecido no SisMob-BH: deve-se consultar a Defesa Civil da PBH (acesse a aba "ODS 11")</t>
    </r>
  </si>
  <si>
    <t>já tratado na meta 11.6</t>
  </si>
  <si>
    <t>mortos em acidente de trânsito por 100 mil habitantes</t>
  </si>
  <si>
    <t>acesso a uma rede viária protegida de todas as intempéries a menos de x km de distância (não entendo bem o que seja isso)</t>
  </si>
  <si>
    <t>percentual de pessoas a menos de 500 metros de distância da rede de transporte público que oferece serviço ao menos a cada vinte minutos</t>
  </si>
  <si>
    <t>percentual de resíduo sólido urbano recolhido regularmente e bem tratado</t>
  </si>
  <si>
    <t>ODS 11
(indicador 71)</t>
  </si>
  <si>
    <r>
      <t xml:space="preserve">um dos quatro indicadores do ODS 11.6, proposto conforme SDSN(2016f/inglês) como:
"71. Percentage of urban solid waste regularly collected and well managed"
</t>
    </r>
    <r>
      <rPr>
        <b/>
        <sz val="10"/>
        <rFont val="Times New Roman"/>
        <family val="1"/>
      </rPr>
      <t>obs.:</t>
    </r>
    <r>
      <rPr>
        <sz val="10"/>
        <rFont val="Times New Roman"/>
        <family val="1"/>
      </rPr>
      <t xml:space="preserve"> o SisMob-BH ainda não possui indicadores deste assunto: deve-se buscar resultados na SLU (acesse a aba "ODS 11")</t>
    </r>
  </si>
  <si>
    <r>
      <rPr>
        <b/>
        <sz val="12"/>
        <rFont val="Times New Roman"/>
        <family val="1"/>
      </rPr>
      <t>BH(2016e2):</t>
    </r>
    <r>
      <rPr>
        <sz val="12"/>
        <rFont val="Times New Roman"/>
        <family val="1"/>
      </rPr>
      <t xml:space="preserve"> BELO HORIZONTE. Prefeitura. </t>
    </r>
    <r>
      <rPr>
        <i/>
        <sz val="12"/>
        <rFont val="Times New Roman"/>
        <family val="1"/>
      </rPr>
      <t>Plano Estratégico BH 2030 - 2ª versão</t>
    </r>
    <r>
      <rPr>
        <sz val="12"/>
        <rFont val="Times New Roman"/>
        <family val="1"/>
      </rPr>
      <t>. Belo Horizonte, [2016]. 104p. Disponível em: &lt;https://bhmetaseresultados.pbh.gov.br/sites/all/themes/metas/pdf/planejamento_2030.pdf&gt;. Acesso em: 25 out. 2016.</t>
    </r>
  </si>
  <si>
    <r>
      <rPr>
        <b/>
        <sz val="12"/>
        <color theme="1"/>
        <rFont val="Times New Roman"/>
        <family val="1"/>
      </rPr>
      <t xml:space="preserve">CAMINHO(2016): </t>
    </r>
    <r>
      <rPr>
        <sz val="12"/>
        <color theme="1"/>
        <rFont val="Times New Roman"/>
        <family val="1"/>
      </rPr>
      <t xml:space="preserve">CAMINHO para a cidadania. </t>
    </r>
    <r>
      <rPr>
        <i/>
        <sz val="12"/>
        <color theme="1"/>
        <rFont val="Times New Roman"/>
        <family val="1"/>
      </rPr>
      <t>29 horas</t>
    </r>
    <r>
      <rPr>
        <sz val="12"/>
        <color theme="1"/>
        <rFont val="Times New Roman"/>
        <family val="1"/>
      </rPr>
      <t>, São Paulo, n.84, p.8-10, outubro 2016. (revista mensal de distribuição gratuita no Aeroporto de Congonhas)</t>
    </r>
  </si>
  <si>
    <t>carona a pé</t>
  </si>
  <si>
    <t>"programa que reúne pais e crianças para percorrerem juntos, em uma rota pré-determinada, o trajeto de ida e volta da escola" conforme CAMINHO(2016, p.8)</t>
  </si>
  <si>
    <t>deve-se aguardar a definição do indicador, pois ele ainda está bem vago</t>
  </si>
  <si>
    <t>nada sequer parecido:  devemos consultar a defesa civil</t>
  </si>
  <si>
    <t>47. Percentage of wastewater flows treated to national standards [and reused] – to be developed</t>
  </si>
  <si>
    <t>percentual de água residual tratada segundo padrões nacionais [e reutilizada] - a ser desenvolvido</t>
  </si>
  <si>
    <t>nada sequer parecido: mesmo não estando ainda finalizado, deve-se procupar a Copasa</t>
  </si>
  <si>
    <t>ODS 11
(indicador 47)</t>
  </si>
  <si>
    <r>
      <t xml:space="preserve">um dos quatro indicadores do ODS 11.6 conforme SDSN(2016f/inglês) como:
"47. Percentage of wastewater flows treated to national standards [and reused] – to be developed"
</t>
    </r>
    <r>
      <rPr>
        <b/>
        <sz val="10"/>
        <rFont val="Times New Roman"/>
        <family val="1"/>
      </rPr>
      <t xml:space="preserve">obs.: </t>
    </r>
    <r>
      <rPr>
        <sz val="10"/>
        <rFont val="Times New Roman"/>
        <family val="1"/>
      </rPr>
      <t>nada sequer parecido existe noSisMob-BH, mas mesmo não estando ainda finalizado deve-se procupar a Copasa para buscar resultados disponíveis (acesse a aba "ODS 11")</t>
    </r>
  </si>
  <si>
    <t>3 metas</t>
  </si>
  <si>
    <t>9 indicadores</t>
  </si>
  <si>
    <t>Quadro 100d - Metas e indicadores do ODS 11 como apoio ao Quadro 100a de dados abertos do SisMob-BH</t>
  </si>
  <si>
    <t>verbete assinado por Ana Maria Caetano
graduada em Ciências Sociais, com ênfase em Ciência Política; especialista em Gestão Pública pela FGV/EBAPE; atualmente é analista de políticas públicas da Prefeitura de Belo Horizonte lotada na Gerência de Informação e Acompanhamento Técnico da Secretaria Municipal de Meio Ambiente onde responde pela coordenação da Secretaria Executiva do Comitê Municipal sobre Mudanças Climáticas e Ecoeficiência</t>
  </si>
  <si>
    <t>ODS 11
(meta 11.2)</t>
  </si>
  <si>
    <t>ODS 11
(meta 11.6)</t>
  </si>
  <si>
    <t>ODS 11
(meta 11.7)</t>
  </si>
  <si>
    <t>ODS 11
(indicadores)</t>
  </si>
  <si>
    <r>
      <t xml:space="preserve">são oito os indicadores associados às três metas do ODS 11 mais diretamente relacionadas à mobilidade urbana, quais sejam: 25, 47, 58, 67, 68, 69, 70 e 71
</t>
    </r>
    <r>
      <rPr>
        <b/>
        <sz val="10"/>
        <rFont val="Times New Roman"/>
        <family val="1"/>
      </rPr>
      <t xml:space="preserve">obs.: </t>
    </r>
    <r>
      <rPr>
        <sz val="10"/>
        <rFont val="Times New Roman"/>
        <family val="1"/>
      </rPr>
      <t>acesse o registro "ODS 11 (metas)"</t>
    </r>
  </si>
  <si>
    <r>
      <t xml:space="preserve">são dez as metas do ODS 11 (numeradas de 1 a 7, seguidas de 11a, 11b e 11c) conforme ONU-BR(2016a/português) e SDSN(2016f/inglês)
</t>
    </r>
    <r>
      <rPr>
        <b/>
        <sz val="10"/>
        <rFont val="Times New Roman"/>
        <family val="1"/>
      </rPr>
      <t xml:space="preserve">obs.1: </t>
    </r>
    <r>
      <rPr>
        <sz val="10"/>
        <rFont val="Times New Roman"/>
        <family val="1"/>
      </rPr>
      <t xml:space="preserve">três dentre as dez metas do ODS 11 estão mais diretamente relacionadas à mobilidade urbana, quais sejam: 11.2, 11.6 e 11.7
</t>
    </r>
    <r>
      <rPr>
        <b/>
        <sz val="10"/>
        <rFont val="Times New Roman"/>
        <family val="1"/>
      </rPr>
      <t xml:space="preserve">obs.2: </t>
    </r>
    <r>
      <rPr>
        <sz val="10"/>
        <rFont val="Times New Roman"/>
        <family val="1"/>
      </rPr>
      <t xml:space="preserve">as metas 11.2, 11.6 e 11.7, juntas, possuem nove indicadores (sendo oito diferentes) associados, quais sejam: 25, 47, 58, 67, 68, 69, 70 e 71
</t>
    </r>
    <r>
      <rPr>
        <b/>
        <sz val="10"/>
        <rFont val="Times New Roman"/>
        <family val="1"/>
      </rPr>
      <t>obs.3:</t>
    </r>
    <r>
      <rPr>
        <sz val="10"/>
        <rFont val="Times New Roman"/>
        <family val="1"/>
      </rPr>
      <t xml:space="preserve"> acesse o registro "ODS 11 (indicadores)"</t>
    </r>
  </si>
  <si>
    <r>
      <rPr>
        <b/>
        <sz val="12"/>
        <color theme="1"/>
        <rFont val="Times New Roman"/>
        <family val="1"/>
      </rPr>
      <t xml:space="preserve">PNUD(2016a): </t>
    </r>
    <r>
      <rPr>
        <sz val="12"/>
        <color theme="1"/>
        <rFont val="Times New Roman"/>
        <family val="1"/>
      </rPr>
      <t xml:space="preserve">PROGRAMA DAS NAÇÕES UNIDAS PARA O DESENVOLVIMENTO - PNUD. </t>
    </r>
    <r>
      <rPr>
        <i/>
        <sz val="12"/>
        <color theme="1"/>
        <rFont val="Times New Roman"/>
        <family val="1"/>
      </rPr>
      <t>Plataforma agenda 2030 - objetivo 11</t>
    </r>
    <r>
      <rPr>
        <sz val="12"/>
        <color theme="1"/>
        <rFont val="Times New Roman"/>
        <family val="1"/>
      </rPr>
      <t xml:space="preserve">. Brasília: Pnud. Disponível em: &lt;http://agenda2030.com.br/meta.php?ods=11&gt;. Acesso em: 21 out. 2016. </t>
    </r>
  </si>
  <si>
    <r>
      <t xml:space="preserve">é o objetivo n.º 11 da lista de dezessete objetivos dos Objetivos de Desenvolvimento Sustentável - ODS
</t>
    </r>
    <r>
      <rPr>
        <b/>
        <sz val="10"/>
        <rFont val="Times New Roman"/>
        <family val="1"/>
      </rPr>
      <t>obs.1:</t>
    </r>
    <r>
      <rPr>
        <sz val="10"/>
        <rFont val="Times New Roman"/>
        <family val="1"/>
      </rPr>
      <t xml:space="preserve"> em inglês o ODS 11 é "Goal 11. Make cities and human settlements inclusive, safe, resilient and sustainable" conforme SDSN(2016f)
</t>
    </r>
    <r>
      <rPr>
        <b/>
        <sz val="10"/>
        <rFont val="Times New Roman"/>
        <family val="1"/>
      </rPr>
      <t xml:space="preserve">obs.2: </t>
    </r>
    <r>
      <rPr>
        <sz val="10"/>
        <rFont val="Times New Roman"/>
        <family val="1"/>
      </rPr>
      <t xml:space="preserve">em português o ODS 11 é "Tornar as cidades e os assentamentos humanos inclusivos, seguros, resilientes e sustentáveis" são definidas conforme ONU-BR(2016a) 
</t>
    </r>
    <r>
      <rPr>
        <b/>
        <sz val="10"/>
        <rFont val="Times New Roman"/>
        <family val="1"/>
      </rPr>
      <t xml:space="preserve">obs.3: </t>
    </r>
    <r>
      <rPr>
        <sz val="10"/>
        <rFont val="Times New Roman"/>
        <family val="1"/>
      </rPr>
      <t xml:space="preserve">"O ODS 11 é o único Objetivo claramente focado em cidades e assentamentos humanos. Por conta disso, priorizou-se a seleção de indicadores com nível de desagregação municipal. [...] De forma geral, o Brasil possui diversos dados sobre os temas urbanos, em especial sobre o acesso aos serviços básicos. Com relação às metas deste Objetivo, notou-se a insuficiência de dados e informações, sobretudo no âmbito da resiliência e das políticas e do acesso para pessoas portadoras (sic) de deficiências. A desagregação por gênero, raça e idade, assim como por tamanho de município e caracterização urbana ou rural, igualmente não está presente em todos os indicadores, sendo, portanto, um desafio." conforme PNUD(2015, p.172)
obs.: existem sete "ODM relacionados" ao ODS 11 conforme PNUD(2016a)
</t>
    </r>
    <r>
      <rPr>
        <b/>
        <sz val="10"/>
        <rFont val="Times New Roman"/>
        <family val="1"/>
      </rPr>
      <t xml:space="preserve">obs.4: </t>
    </r>
    <r>
      <rPr>
        <sz val="10"/>
        <rFont val="Times New Roman"/>
        <family val="1"/>
      </rPr>
      <t>acesse os registros "ODS 11 (metas)" e "ODS 11 (indicadores)"</t>
    </r>
  </si>
  <si>
    <r>
      <t xml:space="preserve">é a meta numerada como 11.2 do ODS 11  
</t>
    </r>
    <r>
      <rPr>
        <b/>
        <sz val="10"/>
        <rFont val="Times New Roman"/>
        <family val="1"/>
      </rPr>
      <t xml:space="preserve">obs1.: </t>
    </r>
    <r>
      <rPr>
        <sz val="10"/>
        <rFont val="Times New Roman"/>
        <family val="1"/>
      </rPr>
      <t xml:space="preserve">"Até 2030, proporcionar o acesso a sistemas de transporte seguros, acessíveis, sustentáveis e a preço acessível para todos, melhorando a segurança rodoviária por meio da expansão dos transportes públicos, com especial atenção para as necessidades das pessoas em situação de vulnerabilidade, mulheres, crianças, pessoas com deficiência e idosos" conforme ONU-BR(2016a/português) e "11.2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 conforme SDSN(2016f/inglês)
</t>
    </r>
    <r>
      <rPr>
        <b/>
        <sz val="10"/>
        <rFont val="Times New Roman"/>
        <family val="1"/>
      </rPr>
      <t>obs.2:</t>
    </r>
    <r>
      <rPr>
        <sz val="10"/>
        <rFont val="Times New Roman"/>
        <family val="1"/>
      </rPr>
      <t xml:space="preserve"> esta meta "Não possui indicadores" conforme PNUD(2016b)
</t>
    </r>
    <r>
      <rPr>
        <b/>
        <sz val="10"/>
        <rFont val="Times New Roman"/>
        <family val="1"/>
      </rPr>
      <t xml:space="preserve">obs.3: </t>
    </r>
    <r>
      <rPr>
        <sz val="10"/>
        <rFont val="Times New Roman"/>
        <family val="1"/>
      </rPr>
      <t>à meta ODS 11.2 estão associados três indicadores numerados como 23, 58 e 67 conforme SDSN(2016f/inglês)</t>
    </r>
  </si>
  <si>
    <r>
      <t xml:space="preserve">é a meta numerada como 11.6 do ODS 11  
</t>
    </r>
    <r>
      <rPr>
        <b/>
        <sz val="10"/>
        <rFont val="Times New Roman"/>
        <family val="1"/>
      </rPr>
      <t xml:space="preserve">obs.1: </t>
    </r>
    <r>
      <rPr>
        <sz val="10"/>
        <rFont val="Times New Roman"/>
        <family val="1"/>
      </rPr>
      <t xml:space="preserve">"Até 2030, reduzir o impacto ambiental negativo per capita das cidades, inclusive prestando especial atenção à qualidade do ar, gestão de resíduos municipais e outros" conforme ONU-BR(2016a/português) e "by 2030, reduce the adverse per capita environmental impact of cities, including by paying special attention to air quality, municipal and other waste management" conforme SDSN(2016f/inglês)
</t>
    </r>
    <r>
      <rPr>
        <b/>
        <sz val="10"/>
        <rFont val="Times New Roman"/>
        <family val="1"/>
      </rPr>
      <t>obs.2:</t>
    </r>
    <r>
      <rPr>
        <sz val="10"/>
        <rFont val="Times New Roman"/>
        <family val="1"/>
      </rPr>
      <t xml:space="preserve"> apenas um indicador associado conforme PNUD(2016c1): acesse "ODS 11 (indicador 69)"
</t>
    </r>
    <r>
      <rPr>
        <b/>
        <sz val="10"/>
        <rFont val="Times New Roman"/>
        <family val="1"/>
      </rPr>
      <t xml:space="preserve">obs.3: </t>
    </r>
    <r>
      <rPr>
        <sz val="10"/>
        <rFont val="Times New Roman"/>
        <family val="1"/>
      </rPr>
      <t xml:space="preserve">à meta ODS 11.6 estão associados quatro indicadores conforme SDSN(2016f/inglês), quais sejam, os numerados como 47, 68, 69 e 70 </t>
    </r>
  </si>
  <si>
    <t>não possui indicadores</t>
  </si>
  <si>
    <t>Níveis médios anuais de partículas finas (PM2.5) em
cidades (população ponderada)</t>
  </si>
  <si>
    <t>similar aos indicadores PM10 e/ou PM2,5 do SisMob-BH com resultados de muitas cidades, incluindo de várias estações localizadas na RMBH</t>
  </si>
  <si>
    <t>média da concentração de material particulado da poluição urbana do ar (PM10 e PM2,5)</t>
  </si>
  <si>
    <t>PM 2,5</t>
  </si>
  <si>
    <t>PM 2,5
(RMBH/BH em Praça da Estação)</t>
  </si>
  <si>
    <t>"pico da manhã" ou "particulate material = material particulado"</t>
  </si>
  <si>
    <t>Gráfico 52d - PM2,5</t>
  </si>
  <si>
    <t>Mundo (2014)</t>
  </si>
  <si>
    <t>América Latina (2014)</t>
  </si>
  <si>
    <t>Brasil (2014)</t>
  </si>
  <si>
    <t>BH (2001)</t>
  </si>
  <si>
    <t>BH (2002)</t>
  </si>
  <si>
    <t>BH (2003)</t>
  </si>
  <si>
    <t>BH (2004)</t>
  </si>
  <si>
    <t>BH (2005)</t>
  </si>
  <si>
    <t>BH (2006)</t>
  </si>
  <si>
    <t>BH (2007)</t>
  </si>
  <si>
    <t>BH (2008)</t>
  </si>
  <si>
    <t>BH (2009)</t>
  </si>
  <si>
    <t>BH (2010)</t>
  </si>
  <si>
    <t>BH (2011)</t>
  </si>
  <si>
    <t>BH (2012)</t>
  </si>
  <si>
    <t>Gráfico 52d - Concentração média anual de partículas menores que 2,5 microns de diâmetro - PM 2,5 (µg/m3) na estação Praça Rui Barbosa em Belo Horizonte/RMBH (2001-2012) em comparação com resultados globais divulgados pelo Pnud (2014) para os ODS</t>
  </si>
  <si>
    <t>Gráfico 52e - Evolução do percentual de dias com qualidade do ar boa em relação à quantidade de dias com qualidade do ar monitorada na estação Praça Rui Barbosa em Belo Horizonte (2001 a 2012)</t>
  </si>
  <si>
    <t>Gráfico 52f - Evolução do n.º de dias em uma mesma estação de monitoramento da qualidade do ar existente na RMBH na qual PM10 média ultrapassou o padrão máximo primário de 150 μg/m3 (2008-2012)</t>
  </si>
  <si>
    <r>
      <rPr>
        <b/>
        <sz val="12"/>
        <color theme="1"/>
        <rFont val="Times New Roman"/>
        <family val="1"/>
      </rPr>
      <t xml:space="preserve">PNUD(2016b): </t>
    </r>
    <r>
      <rPr>
        <sz val="12"/>
        <color theme="1"/>
        <rFont val="Times New Roman"/>
        <family val="1"/>
      </rPr>
      <t xml:space="preserve">PROGRAMA DAS NAÇÕES UNIDAS PARA O DESENVOLVIMENTO - PNUD. </t>
    </r>
    <r>
      <rPr>
        <i/>
        <sz val="12"/>
        <color theme="1"/>
        <rFont val="Times New Roman"/>
        <family val="1"/>
      </rPr>
      <t>Plataforma agenda 2030 - objetivo 11 - indicadores 11.2</t>
    </r>
    <r>
      <rPr>
        <sz val="12"/>
        <color theme="1"/>
        <rFont val="Times New Roman"/>
        <family val="1"/>
      </rPr>
      <t xml:space="preserve">. Brasília: Pnud. Disponível em: &lt;http://agenda2030.com.br/meta.php?ods=11&gt;. Acesso em: 21 out. 2016. </t>
    </r>
  </si>
  <si>
    <r>
      <rPr>
        <b/>
        <sz val="12"/>
        <color theme="1"/>
        <rFont val="Times New Roman"/>
        <family val="1"/>
      </rPr>
      <t xml:space="preserve">PNUD(2016c1): </t>
    </r>
    <r>
      <rPr>
        <sz val="12"/>
        <color theme="1"/>
        <rFont val="Times New Roman"/>
        <family val="1"/>
      </rPr>
      <t xml:space="preserve">PROGRAMA DAS NAÇÕES UNIDAS PARA O DESENVOLVIMENTO - PNUD. </t>
    </r>
    <r>
      <rPr>
        <i/>
        <sz val="12"/>
        <color theme="1"/>
        <rFont val="Times New Roman"/>
        <family val="1"/>
      </rPr>
      <t>Plataforma agenda 2030 - objetivo 11 - indicadores 11.6</t>
    </r>
    <r>
      <rPr>
        <sz val="12"/>
        <color theme="1"/>
        <rFont val="Times New Roman"/>
        <family val="1"/>
      </rPr>
      <t xml:space="preserve">. Brasília: Pnud. Disponível em: &lt;http://agenda2030.com.br/meta.php?ods=11&gt;. Acesso em: 21 out. 2016. </t>
    </r>
  </si>
  <si>
    <r>
      <rPr>
        <b/>
        <sz val="12"/>
        <color theme="1"/>
        <rFont val="Times New Roman"/>
        <family val="1"/>
      </rPr>
      <t xml:space="preserve">PNUD(2016c2): </t>
    </r>
    <r>
      <rPr>
        <sz val="12"/>
        <color theme="1"/>
        <rFont val="Times New Roman"/>
        <family val="1"/>
      </rPr>
      <t xml:space="preserve">PROGRAMA DAS NAÇÕES UNIDAS PARA O DESENVOLVIMENTO - PNUD. </t>
    </r>
    <r>
      <rPr>
        <i/>
        <sz val="12"/>
        <color theme="1"/>
        <rFont val="Times New Roman"/>
        <family val="1"/>
      </rPr>
      <t>Plataforma agenda 2030 - objetivo 11 - Indicador: Níveis médios anuais de partículas finas (PM2.5) em
cidades (população ponderada)</t>
    </r>
    <r>
      <rPr>
        <sz val="12"/>
        <color theme="1"/>
        <rFont val="Times New Roman"/>
        <family val="1"/>
      </rPr>
      <t xml:space="preserve">. Brasília: Pnud. Disponível em: &lt;http://agenda2030.com.br/meta.php?ods=11&gt;. Acesso em: 21 out. 2016. </t>
    </r>
  </si>
  <si>
    <r>
      <rPr>
        <b/>
        <sz val="12"/>
        <color theme="1"/>
        <rFont val="Times New Roman"/>
        <family val="1"/>
      </rPr>
      <t xml:space="preserve">PNUD(2016d): </t>
    </r>
    <r>
      <rPr>
        <sz val="12"/>
        <color theme="1"/>
        <rFont val="Times New Roman"/>
        <family val="1"/>
      </rPr>
      <t xml:space="preserve">PROGRAMA DAS NAÇÕES UNIDAS PARA O DESENVOLVIMENTO - PNUD. </t>
    </r>
    <r>
      <rPr>
        <i/>
        <sz val="12"/>
        <color theme="1"/>
        <rFont val="Times New Roman"/>
        <family val="1"/>
      </rPr>
      <t xml:space="preserve">Plataforma agenda 2030 - indicadores 11.7. </t>
    </r>
    <r>
      <rPr>
        <sz val="12"/>
        <color theme="1"/>
        <rFont val="Times New Roman"/>
        <family val="1"/>
      </rPr>
      <t xml:space="preserve">Brasília: Pnud. Disponível em: &lt;http://agenda2030.com.br/meta.php?ods=11&gt;. Acesso em: 21 out. 2016. </t>
    </r>
  </si>
  <si>
    <r>
      <t xml:space="preserve">concentração média anual (em µg/m3) de partículas menores que 2,5 microns de diâmetro
</t>
    </r>
    <r>
      <rPr>
        <b/>
        <sz val="10"/>
        <color theme="1"/>
        <rFont val="Times New Roman"/>
        <family val="1"/>
      </rPr>
      <t>obs.1:</t>
    </r>
    <r>
      <rPr>
        <sz val="10"/>
        <color theme="1"/>
        <rFont val="Times New Roman"/>
        <family val="1"/>
      </rPr>
      <t xml:space="preserve"> resultado de 2014 conforme PNUD(2016c2)
</t>
    </r>
    <r>
      <rPr>
        <b/>
        <sz val="10"/>
        <color theme="1"/>
        <rFont val="Times New Roman"/>
        <family val="1"/>
      </rPr>
      <t xml:space="preserve">obs.2: </t>
    </r>
    <r>
      <rPr>
        <sz val="10"/>
        <color theme="1"/>
        <rFont val="Times New Roman"/>
        <family val="1"/>
      </rPr>
      <t>acesse o registro "ODS 11 (indicador 69)"</t>
    </r>
  </si>
  <si>
    <r>
      <t xml:space="preserve">concentração média anual (em µg/m3) de partículas menores que 2,5 microns de diâmetro
</t>
    </r>
    <r>
      <rPr>
        <b/>
        <sz val="10"/>
        <color theme="1"/>
        <rFont val="Times New Roman"/>
        <family val="1"/>
      </rPr>
      <t xml:space="preserve">obs.1: </t>
    </r>
    <r>
      <rPr>
        <sz val="10"/>
        <color theme="1"/>
        <rFont val="Times New Roman"/>
        <family val="1"/>
      </rPr>
      <t xml:space="preserve">resultado de 2014 conforme PNUD(2016c2)
</t>
    </r>
    <r>
      <rPr>
        <b/>
        <sz val="10"/>
        <color theme="1"/>
        <rFont val="Times New Roman"/>
        <family val="1"/>
      </rPr>
      <t xml:space="preserve">obs.2: </t>
    </r>
    <r>
      <rPr>
        <sz val="10"/>
        <color theme="1"/>
        <rFont val="Times New Roman"/>
        <family val="1"/>
      </rPr>
      <t>acesse o registro "ODS 11 (indicador 69)"</t>
    </r>
  </si>
  <si>
    <t>PM 10</t>
  </si>
  <si>
    <t>PM 10 média</t>
  </si>
  <si>
    <t>PM 10 média
(Campinas-Centro)</t>
  </si>
  <si>
    <t>PM 10 média
(Grande Vitoria)</t>
  </si>
  <si>
    <t>PM 10
(ND)</t>
  </si>
  <si>
    <t>PM 10
(ND padrão)</t>
  </si>
  <si>
    <t>o SisMob-BH ainda não possui indicadores deste assunto: deve-se consultar a SLU</t>
  </si>
  <si>
    <r>
      <rPr>
        <b/>
        <sz val="12"/>
        <rFont val="Times New Roman"/>
        <family val="1"/>
      </rPr>
      <t xml:space="preserve">ALVAREZ(2014): </t>
    </r>
    <r>
      <rPr>
        <sz val="12"/>
        <rFont val="Times New Roman"/>
        <family val="1"/>
      </rPr>
      <t xml:space="preserve">ALVAREZ, Eduardo; CAMISÃO, Verônica. </t>
    </r>
    <r>
      <rPr>
        <i/>
        <sz val="12"/>
        <rFont val="Times New Roman"/>
        <family val="1"/>
      </rPr>
      <t>Guia operacional de acessibilidade [do Banco Interamericano de Desenvolvimento - BID] para projetos de desenvolvimento urbano com critérios de desenho universal</t>
    </r>
    <r>
      <rPr>
        <sz val="12"/>
        <rFont val="Times New Roman"/>
        <family val="1"/>
      </rPr>
      <t>. Rio de Janeiro: José Brakarz e Tomás Engles (Ed.), 2014. 47p.</t>
    </r>
  </si>
  <si>
    <t>Fontes específicas:</t>
  </si>
  <si>
    <t>Indicadores propostos
(tradução livre, minha)</t>
  </si>
  <si>
    <r>
      <rPr>
        <b/>
        <sz val="11"/>
        <color theme="1"/>
        <rFont val="Times New Roman"/>
        <family val="1"/>
      </rPr>
      <t>ONU-BR(2016a):</t>
    </r>
    <r>
      <rPr>
        <sz val="11"/>
        <color theme="1"/>
        <rFont val="Times New Roman"/>
        <family val="1"/>
      </rPr>
      <t xml:space="preserve"> NAÇÕES UNIDAS NO BRASIL - ONU BR. </t>
    </r>
    <r>
      <rPr>
        <i/>
        <sz val="11"/>
        <color theme="1"/>
        <rFont val="Times New Roman"/>
        <family val="1"/>
      </rPr>
      <t>Objetivo 11. Tornar as cidades e os assentamentos humanos inclusivos, seguros, resilientes e sustentáveis</t>
    </r>
    <r>
      <rPr>
        <sz val="11"/>
        <color theme="1"/>
        <rFont val="Times New Roman"/>
        <family val="1"/>
      </rPr>
      <t xml:space="preserve">. Disponível em: &lt;https://nacoesunidas.org/pos2015/ods11/&gt;. Acesso em 30 set. 2016. </t>
    </r>
  </si>
  <si>
    <r>
      <rPr>
        <b/>
        <sz val="11"/>
        <color theme="1"/>
        <rFont val="Times New Roman"/>
        <family val="1"/>
      </rPr>
      <t xml:space="preserve">PNUD(2016a): </t>
    </r>
    <r>
      <rPr>
        <sz val="11"/>
        <color theme="1"/>
        <rFont val="Times New Roman"/>
        <family val="1"/>
      </rPr>
      <t xml:space="preserve">PROGRAMA DAS NAÇÕES UNIDAS PARA O DESENVOLVIMENTO - PNUD. </t>
    </r>
    <r>
      <rPr>
        <i/>
        <sz val="11"/>
        <color theme="1"/>
        <rFont val="Times New Roman"/>
        <family val="1"/>
      </rPr>
      <t>Plataforma agenda 2030 - objetivo 11</t>
    </r>
    <r>
      <rPr>
        <sz val="11"/>
        <color theme="1"/>
        <rFont val="Times New Roman"/>
        <family val="1"/>
      </rPr>
      <t xml:space="preserve">. Brasília: Pnud. Disponível em: &lt;http://agenda2030.com.br/meta.php?ods=11&gt;. Acesso em: 21 out. 2016. </t>
    </r>
  </si>
  <si>
    <r>
      <rPr>
        <b/>
        <sz val="11"/>
        <color theme="1"/>
        <rFont val="Times New Roman"/>
        <family val="1"/>
      </rPr>
      <t>SDSN(2016f):</t>
    </r>
    <r>
      <rPr>
        <sz val="11"/>
        <color theme="1"/>
        <rFont val="Times New Roman"/>
        <family val="1"/>
      </rPr>
      <t xml:space="preserve"> SUSTAINABLE DEVELOPMENT SOLUTIONS NETWORK - SDSN. </t>
    </r>
    <r>
      <rPr>
        <i/>
        <sz val="11"/>
        <color theme="1"/>
        <rFont val="Times New Roman"/>
        <family val="1"/>
      </rPr>
      <t xml:space="preserve">Goal 11 - Make cities and human settlements inclusive, safe, resilient and sustainable. </t>
    </r>
    <r>
      <rPr>
        <sz val="11"/>
        <color theme="1"/>
        <rFont val="Times New Roman"/>
        <family val="1"/>
      </rPr>
      <t>Disponível em: &lt;http://indicators.report/goals/goal-11/&gt;. Acesso em: 21 ago. 2016.</t>
    </r>
  </si>
  <si>
    <t>Indicadores propostos PNUD(2016a)</t>
  </si>
  <si>
    <t>Proposed Indicators
SDSN(2016f)</t>
  </si>
  <si>
    <t>META
ONU-BR(2016a)</t>
  </si>
  <si>
    <t>TARGET
SDSN(2016f)</t>
  </si>
  <si>
    <t>indicadores similares existentes no SisMob-BH</t>
  </si>
  <si>
    <t>"11.7 by 2030, provide universal access to safe, inclusive and accessible, green and public spaces, particularly for women and children, older persons and persons with disabilities"</t>
  </si>
  <si>
    <t>"11.7 - Até 2030,  proporcionar o acesso universal a espaços públicos seguros, inclusivos, acessíveis e verdes, particularmente para as mulheres e crianças, pessoas idosas e pessoas com deficiência"</t>
  </si>
  <si>
    <r>
      <rPr>
        <b/>
        <sz val="12"/>
        <color theme="1"/>
        <rFont val="Times New Roman"/>
        <family val="1"/>
      </rPr>
      <t xml:space="preserve">BHTRANS(2016wd): </t>
    </r>
    <r>
      <rPr>
        <sz val="12"/>
        <color theme="1"/>
        <rFont val="Times New Roman"/>
        <family val="1"/>
      </rPr>
      <t xml:space="preserve">EMPRESA DE TRANSPORTES E TRÂNSITO DE BELO HORIZONTE S.A - BHTRANS. </t>
    </r>
    <r>
      <rPr>
        <i/>
        <sz val="12"/>
        <color theme="1"/>
        <rFont val="Times New Roman"/>
        <family val="1"/>
      </rPr>
      <t xml:space="preserve">Ofício BHTRANS-DPR/ CMDPD-BH n.º 834/2016. </t>
    </r>
    <r>
      <rPr>
        <sz val="12"/>
        <color theme="1"/>
        <rFont val="Times New Roman"/>
        <family val="1"/>
      </rPr>
      <t>Belo Horizonte, 29 de setembro de 2016.</t>
    </r>
  </si>
  <si>
    <r>
      <rPr>
        <b/>
        <sz val="12"/>
        <color theme="1"/>
        <rFont val="Times New Roman"/>
        <family val="1"/>
      </rPr>
      <t xml:space="preserve">BHTRANS(2016we): </t>
    </r>
    <r>
      <rPr>
        <sz val="12"/>
        <color theme="1"/>
        <rFont val="Times New Roman"/>
        <family val="1"/>
      </rPr>
      <t xml:space="preserve">EMPRESA DE TRANSPORTES E TRÂNSITO DE BELO HORIZONTE S.A - BHTRANS. Comunicado de adiamento - Concorrência pública n.º 01/2016. </t>
    </r>
    <r>
      <rPr>
        <i/>
        <sz val="12"/>
        <color theme="1"/>
        <rFont val="Times New Roman"/>
        <family val="1"/>
      </rPr>
      <t>Diário Oficial do Município - DOM</t>
    </r>
    <r>
      <rPr>
        <sz val="12"/>
        <color theme="1"/>
        <rFont val="Times New Roman"/>
        <family val="1"/>
      </rPr>
      <t>. Belo Horizonte, Ano XXII - Edição n.º 5124, 3 set. 2016. Poder Executivo. Secretaria Municipal de Serviços Urbanos - BHTRANS. Disponível em: &lt;http://portal6.pbh.gov.br/dom/iniciaEdicao.do?method=DetalheArtigo&amp;pk=1168153</t>
    </r>
    <r>
      <rPr>
        <i/>
        <sz val="12"/>
        <color theme="1"/>
        <rFont val="Times New Roman"/>
        <family val="1"/>
      </rPr>
      <t xml:space="preserve">&gt;. </t>
    </r>
    <r>
      <rPr>
        <sz val="12"/>
        <color theme="1"/>
        <rFont val="Times New Roman"/>
        <family val="1"/>
      </rPr>
      <t>Acesso em: 25 out. 2016.</t>
    </r>
  </si>
  <si>
    <r>
      <t xml:space="preserve">percentual da frota total de ônibus de todo o sistema de transporte coletivo de Belo Horizonte, incluindo o transporte convencional (operado por empresas concessionárias, em conformidade com as diretrizes estabelecidas no Plano Diretor de Belo Horizonte, ou seja, "constituída por veículos acessíveis e movidos a combustíveis não derivados do petróleo" conforme BH(2015c, art.337-inciso V)
</t>
    </r>
    <r>
      <rPr>
        <b/>
        <sz val="10"/>
        <rFont val="Times New Roman"/>
        <family val="1"/>
      </rPr>
      <t>obs.1:</t>
    </r>
    <r>
      <rPr>
        <sz val="10"/>
        <rFont val="Times New Roman"/>
        <family val="1"/>
      </rPr>
      <t xml:space="preserve"> o projeto de lei que contém o novo Plano Diretor de Belo Horizonte foi remetido pela PBH à CMBH em 2015 conforme BH(2015c) e BH(2016i)
</t>
    </r>
    <r>
      <rPr>
        <b/>
        <sz val="10"/>
        <rFont val="Times New Roman"/>
        <family val="1"/>
      </rPr>
      <t xml:space="preserve">obs.2: </t>
    </r>
    <r>
      <rPr>
        <sz val="10"/>
        <rFont val="Times New Roman"/>
        <family val="1"/>
      </rPr>
      <t xml:space="preserve">até 2015 o resultado deste indicador é sempre zero%
</t>
    </r>
    <r>
      <rPr>
        <b/>
        <sz val="10"/>
        <rFont val="Times New Roman"/>
        <family val="1"/>
      </rPr>
      <t xml:space="preserve">obs.3: </t>
    </r>
    <r>
      <rPr>
        <sz val="10"/>
        <rFont val="Times New Roman"/>
        <family val="1"/>
      </rPr>
      <t>acesse o verbete "F tc (meta)"</t>
    </r>
  </si>
  <si>
    <r>
      <t xml:space="preserve">frota em n.º de ônibus do transporte coletivo suplementar de Belo Horizonte com alguma facilidade para o embarque/desembarque de pessoas com mobilidade física reduzida mesmo que essa facilidade não permita classificar a viagem ofertada como acessível
</t>
    </r>
    <r>
      <rPr>
        <b/>
        <sz val="10"/>
        <color theme="1"/>
        <rFont val="Times New Roman"/>
        <family val="1"/>
      </rPr>
      <t xml:space="preserve">obs.1: </t>
    </r>
    <r>
      <rPr>
        <sz val="10"/>
        <color theme="1"/>
        <rFont val="Times New Roman"/>
        <family val="1"/>
      </rPr>
      <t xml:space="preserve">acesse as definições de "acessível, ônibus" e "alguma facilidade"
</t>
    </r>
    <r>
      <rPr>
        <b/>
        <sz val="10"/>
        <color theme="1"/>
        <rFont val="Times New Roman"/>
        <family val="1"/>
      </rPr>
      <t xml:space="preserve">obs.2: </t>
    </r>
    <r>
      <rPr>
        <sz val="10"/>
        <color theme="1"/>
        <rFont val="Times New Roman"/>
        <family val="1"/>
      </rPr>
      <t xml:space="preserve">em Belo Horizonte pelo menos até 2015 este indicador tem resultados idênticos ao da frota de ônibus com elevador pois, criado em 2001, o serviço suplementar nunca operou com embarque em nível, seja com ônibus de piso baixo, seja com plataforma elevada (esta frota com facilidade é, portanto, composta apenas por ônibus com elevador)
</t>
    </r>
    <r>
      <rPr>
        <b/>
        <sz val="10"/>
        <color theme="1"/>
        <rFont val="Times New Roman"/>
        <family val="1"/>
      </rPr>
      <t xml:space="preserve">obs.3: </t>
    </r>
    <r>
      <rPr>
        <sz val="10"/>
        <color theme="1"/>
        <rFont val="Times New Roman"/>
        <family val="1"/>
      </rPr>
      <t>licitação para todo o serviço lançada em 2016 conforme BHTRANS(2016h) quando se considerou que todos os veículos do serviço "são acessíveis à [sic] pessoas com mobilidade reduzida" conforme BHTRANS(2016i)</t>
    </r>
  </si>
  <si>
    <r>
      <rPr>
        <b/>
        <sz val="12"/>
        <color theme="1"/>
        <rFont val="Times New Roman"/>
        <family val="1"/>
      </rPr>
      <t xml:space="preserve">BHTRANS(2016h2): </t>
    </r>
    <r>
      <rPr>
        <sz val="12"/>
        <color theme="1"/>
        <rFont val="Times New Roman"/>
        <family val="1"/>
      </rPr>
      <t xml:space="preserve">EMPRESA DE TRANSPORTES E TRÂNSITO DE BELO HORIZONTE S/A - BHTRANS. Abertura de licitação - Concorrência pública n.º 01/2016. </t>
    </r>
    <r>
      <rPr>
        <i/>
        <sz val="12"/>
        <color theme="1"/>
        <rFont val="Times New Roman"/>
        <family val="1"/>
      </rPr>
      <t>Diário Oficial do Município - DOM.</t>
    </r>
    <r>
      <rPr>
        <sz val="12"/>
        <color theme="1"/>
        <rFont val="Times New Roman"/>
        <family val="1"/>
      </rPr>
      <t xml:space="preserve"> Belo Horizonte, Ano XXII - Edição n.º 5009, 17 mar. 2016. Poder Executivo. Secretaria Municipal de Serviços Urbanos - BHTRANS. Disponível em: &lt;http://portal6.pbh.gov.br/dom/iniciaEdicao.do?method=DetalheArtigo&amp;pk=1159649&gt;. Acesso em: 25 out. 2016.</t>
    </r>
  </si>
  <si>
    <r>
      <rPr>
        <b/>
        <sz val="12"/>
        <color theme="1"/>
        <rFont val="Times New Roman"/>
        <family val="1"/>
      </rPr>
      <t xml:space="preserve">BHTRANS(2016h3): </t>
    </r>
    <r>
      <rPr>
        <sz val="12"/>
        <color theme="1"/>
        <rFont val="Times New Roman"/>
        <family val="1"/>
      </rPr>
      <t xml:space="preserve">EMPRESA DE TRANSPORTES E TRÂNSITO DE BELO HORIZONTE S/A - BHTRANS. Retificação de edital - Concorrência pública n.º 01/2016. </t>
    </r>
    <r>
      <rPr>
        <i/>
        <sz val="12"/>
        <color theme="1"/>
        <rFont val="Times New Roman"/>
        <family val="1"/>
      </rPr>
      <t>Diário Oficial do Município - DOM.</t>
    </r>
    <r>
      <rPr>
        <sz val="12"/>
        <color theme="1"/>
        <rFont val="Times New Roman"/>
        <family val="1"/>
      </rPr>
      <t xml:space="preserve"> Belo Horizonte, Ano XXII - Edição n.º 5015, 29 mar. 2016. Poder Executivo. Secretaria Municipal de Serviços Urbanos - BHTRANS. Disponível em: &lt;http://portal6.pbh.gov.br/dom/iniciaEdicao.do?method=DetalheArtigo&amp;pk=1160165&gt;. Acesso em: 25 out. 2016.</t>
    </r>
  </si>
  <si>
    <r>
      <rPr>
        <b/>
        <sz val="12"/>
        <color theme="1"/>
        <rFont val="Times New Roman"/>
        <family val="1"/>
      </rPr>
      <t xml:space="preserve">BHTRANS(2016h4): </t>
    </r>
    <r>
      <rPr>
        <sz val="12"/>
        <color theme="1"/>
        <rFont val="Times New Roman"/>
        <family val="1"/>
      </rPr>
      <t xml:space="preserve">EMPRESA DE TRANSPORTES E TRÂNSITO DE BELO HORIZONTE S/A - BHTRANS. Esclarecimento - Concorrência pública n.º 01/2016. </t>
    </r>
    <r>
      <rPr>
        <i/>
        <sz val="12"/>
        <color theme="1"/>
        <rFont val="Times New Roman"/>
        <family val="1"/>
      </rPr>
      <t>Diário Oficial do Município - DOM.</t>
    </r>
    <r>
      <rPr>
        <sz val="12"/>
        <color theme="1"/>
        <rFont val="Times New Roman"/>
        <family val="1"/>
      </rPr>
      <t xml:space="preserve"> Belo Horizonte, Ano XXII - Edição n.º 5018, 1º abr. 2016. Poder Executivo. Secretaria Municipal de Serviços Urbanos - BHTRANS. Disponível em: &lt;http://portal6.pbh.gov.br/dom/iniciaEdicao.do?method=DetalheArtigo&amp;pk=1160428&gt;. Acesso em: 25 out. 2016.</t>
    </r>
  </si>
  <si>
    <r>
      <rPr>
        <b/>
        <sz val="12"/>
        <color theme="1"/>
        <rFont val="Times New Roman"/>
        <family val="1"/>
      </rPr>
      <t xml:space="preserve">BH(2016n): </t>
    </r>
    <r>
      <rPr>
        <sz val="12"/>
        <color theme="1"/>
        <rFont val="Times New Roman"/>
        <family val="1"/>
      </rPr>
      <t xml:space="preserve">BELO HORIZONTE. Prefeitura. Estatísticas e indicadores - Meio Ambiente. </t>
    </r>
    <r>
      <rPr>
        <i/>
        <sz val="12"/>
        <color theme="1"/>
        <rFont val="Times New Roman"/>
        <family val="1"/>
      </rPr>
      <t>Taxa de área vegetada e Índice de áreas verdes por habitante por Região Administrativa (novo limite)</t>
    </r>
    <r>
      <rPr>
        <sz val="12"/>
        <color theme="1"/>
        <rFont val="Times New Roman"/>
        <family val="1"/>
      </rPr>
      <t>. Disponível (excell) para baixar em: &lt;http://portalpbh.pbh.gov.br/pbh/ecp/files.do?evento=download&amp;urlArqPlc=hta-t011.xls&gt;. Acesso em: 25 out. 2016.</t>
    </r>
  </si>
  <si>
    <t>AVD</t>
  </si>
  <si>
    <t>AVD por habitante</t>
  </si>
  <si>
    <t>AVD
(%)</t>
  </si>
  <si>
    <t>(AVD / área) x 100</t>
  </si>
  <si>
    <r>
      <t xml:space="preserve">percentual de área verde protegida em Belo Horizonte em relação à área total do município
</t>
    </r>
    <r>
      <rPr>
        <b/>
        <sz val="10"/>
        <rFont val="Times New Roman"/>
        <family val="1"/>
      </rPr>
      <t xml:space="preserve">obs.1: </t>
    </r>
    <r>
      <rPr>
        <sz val="10"/>
        <rFont val="Times New Roman"/>
        <family val="1"/>
      </rPr>
      <t>o resultado de 13,6% relativo a 2010 conforme fórmula que não confere com resultado de 13,7% informado em BH(2016n) pois nessa fonte foi utilizada área = 331,19km</t>
    </r>
    <r>
      <rPr>
        <vertAlign val="superscript"/>
        <sz val="10"/>
        <rFont val="Times New Roman"/>
        <family val="1"/>
      </rPr>
      <t>2</t>
    </r>
    <r>
      <rPr>
        <sz val="10"/>
        <rFont val="Times New Roman"/>
        <family val="1"/>
      </rPr>
      <t xml:space="preserve"> e o SisMob-BH considera 331,40km</t>
    </r>
    <r>
      <rPr>
        <vertAlign val="superscript"/>
        <sz val="10"/>
        <rFont val="Times New Roman"/>
        <family val="1"/>
      </rPr>
      <t>2</t>
    </r>
    <r>
      <rPr>
        <sz val="10"/>
        <rFont val="Times New Roman"/>
        <family val="1"/>
      </rPr>
      <t xml:space="preserve"> conforme IBGE(2010)
</t>
    </r>
    <r>
      <rPr>
        <b/>
        <sz val="10"/>
        <rFont val="Times New Roman"/>
        <family val="1"/>
      </rPr>
      <t xml:space="preserve">obs.2: </t>
    </r>
    <r>
      <rPr>
        <sz val="10"/>
        <rFont val="Times New Roman"/>
        <family val="1"/>
      </rPr>
      <t>em BH(2016n) estão disponíveis resultados separados das nove regiões administrativas de Belo Horizonte, podendo-se constatar que este indicador varia de 1,82% na região Noroeste a 30,93% na região Barreiro)</t>
    </r>
  </si>
  <si>
    <t>resultados de BH para 2010</t>
  </si>
  <si>
    <t>área verde</t>
  </si>
  <si>
    <t>consulte os registros: "AVD", "ave", "avo" e "indicadores urbanos globais (8)" e "ODS 11 (indicador 70)"</t>
  </si>
  <si>
    <t>indicadores urbanos globais (23)</t>
  </si>
  <si>
    <t>indicadores urbanos globais (24)</t>
  </si>
  <si>
    <r>
      <t xml:space="preserve">extensão, em km, da rede de metrô de Belo Horizonte (que tem uma estação no município de Contagem)
</t>
    </r>
    <r>
      <rPr>
        <b/>
        <sz val="10"/>
        <color theme="1"/>
        <rFont val="Times New Roman"/>
        <family val="1"/>
      </rPr>
      <t>obs.:</t>
    </r>
    <r>
      <rPr>
        <sz val="10"/>
        <color theme="1"/>
        <rFont val="Times New Roman"/>
        <family val="1"/>
      </rPr>
      <t xml:space="preserve"> "A primeira viagem comercial do Metrô de Belo Horizonte foi realizada em 1º de agosto de 1986" com resultados de 1991-2015 conforme CBTU(2016a), que não deveriam mas são diferentes do informado em BHTRANS(2011a, p.12) e em BHTRANS(2015e, p.37)</t>
    </r>
  </si>
  <si>
    <t>indicadores urbanos globais (25)</t>
  </si>
  <si>
    <t>indicadores urbanos globais (26)</t>
  </si>
  <si>
    <t>indicadores urbanos globais (27)</t>
  </si>
  <si>
    <t>indicadores urbanos globais (28)</t>
  </si>
  <si>
    <t>indicadores urbanos globais (29)</t>
  </si>
  <si>
    <t>indicadores urbanos globais (30)</t>
  </si>
  <si>
    <t>NVR tc (ano) por habitante</t>
  </si>
  <si>
    <r>
      <t>n.º de viagens realizadas do sistema de transporte coletivo, incluindo convencional e suplementar, no ano</t>
    </r>
    <r>
      <rPr>
        <b/>
        <sz val="10"/>
        <rFont val="Times New Roman"/>
        <family val="1"/>
      </rPr>
      <t/>
    </r>
  </si>
  <si>
    <t>NVR tc (ano) / P</t>
  </si>
  <si>
    <t>similar ao "AVD (%)" da PBH e ao "AVD por habitante" do GCI e da PBH</t>
  </si>
  <si>
    <r>
      <rPr>
        <b/>
        <sz val="12"/>
        <rFont val="Times New Roman"/>
        <family val="1"/>
      </rPr>
      <t xml:space="preserve">BHTRANS(2016h5): </t>
    </r>
    <r>
      <rPr>
        <sz val="12"/>
        <rFont val="Times New Roman"/>
        <family val="1"/>
      </rPr>
      <t xml:space="preserve">EMPRESA DE TRANSPORTES E TRÂNSITO DE BELO HORIZONTE S/A - BHTRANS. Comunicado de adiamento de sessão pública - Concorrência Pública n.º 01/2016. </t>
    </r>
    <r>
      <rPr>
        <i/>
        <sz val="12"/>
        <rFont val="Times New Roman"/>
        <family val="1"/>
      </rPr>
      <t>Diário Oficial do Município - DOM</t>
    </r>
    <r>
      <rPr>
        <sz val="12"/>
        <rFont val="Times New Roman"/>
        <family val="1"/>
      </rPr>
      <t>. Belo Horizonte, Ano XXII - Edição n.º 5040, 5 maio 2016. Poder Executivo. Secretaria Municipal de Serviços Urbanos - BHTRANS. Disponível em: &lt;http://portal6.pbh.gov.br/dom/iniciaEdicao.do?method=DetalheArtigo&amp;pk=1168153&gt;. Acesso em: 25 out. 2016.</t>
    </r>
  </si>
  <si>
    <r>
      <rPr>
        <b/>
        <sz val="12"/>
        <rFont val="Times New Roman"/>
        <family val="1"/>
      </rPr>
      <t xml:space="preserve">BHTRANS(2016h6): </t>
    </r>
    <r>
      <rPr>
        <sz val="12"/>
        <rFont val="Times New Roman"/>
        <family val="1"/>
      </rPr>
      <t xml:space="preserve">EMPRESA DE TRANSPORTES E TRÂNSITO DE BELO HORIZONTE S/A - BHTRANS. </t>
    </r>
    <r>
      <rPr>
        <i/>
        <sz val="12"/>
        <rFont val="Times New Roman"/>
        <family val="1"/>
      </rPr>
      <t>Regulamento - Serviço Público de Transporte Coletivo Suplementar de Passageiros do Município de Belo Horizonte</t>
    </r>
    <r>
      <rPr>
        <sz val="12"/>
        <rFont val="Times New Roman"/>
        <family val="1"/>
      </rPr>
      <t xml:space="preserve">, seguido de </t>
    </r>
    <r>
      <rPr>
        <i/>
        <sz val="12"/>
        <rFont val="Times New Roman"/>
        <family val="1"/>
      </rPr>
      <t xml:space="preserve">Anexo I - Padrão Técnico dos Veículos do Serviço de Transporte Suplementar </t>
    </r>
    <r>
      <rPr>
        <sz val="12"/>
        <rFont val="Times New Roman"/>
        <family val="1"/>
      </rPr>
      <t xml:space="preserve">seguido de </t>
    </r>
    <r>
      <rPr>
        <i/>
        <sz val="12"/>
        <rFont val="Times New Roman"/>
        <family val="1"/>
      </rPr>
      <t>Anexo II - Identidade Visual dos Veículos do Serviço de Transporte Suplementar</t>
    </r>
    <r>
      <rPr>
        <sz val="12"/>
        <rFont val="Times New Roman"/>
        <family val="1"/>
      </rPr>
      <t>. Disponível em: &lt;http://www.bhtrans.pbh.gov.br/portal/page/portal/portalpublicodl/Temas/Suplementar/legislacao-suplementar-2013/Regulamento%20Suplementar%20Licita%C3%A7%C3%A3o.pdf&gt;. Acesso em: 25 out. 2016.</t>
    </r>
  </si>
  <si>
    <r>
      <rPr>
        <b/>
        <sz val="12"/>
        <color theme="1"/>
        <rFont val="Times New Roman"/>
        <family val="1"/>
      </rPr>
      <t xml:space="preserve">ITDP(2015b): </t>
    </r>
    <r>
      <rPr>
        <sz val="12"/>
        <color theme="1"/>
        <rFont val="Times New Roman"/>
        <family val="1"/>
      </rPr>
      <t xml:space="preserve">INSTITUTO DE POLÍTICAS DE TRANSPORTE &amp; DESENVOLVIMENTO - ITDP BRASIL. </t>
    </r>
    <r>
      <rPr>
        <i/>
        <sz val="12"/>
        <color theme="1"/>
        <rFont val="Times New Roman"/>
        <family val="1"/>
      </rPr>
      <t>ITDP lança o indicador PNT (People Near Transit)</t>
    </r>
    <r>
      <rPr>
        <sz val="12"/>
        <color theme="1"/>
        <rFont val="Times New Roman"/>
        <family val="1"/>
      </rPr>
      <t>. Rio de Janeiro: ITDP, 24 ago. 2015. Disponível em: &lt;http://itdpbrasil.org.br/pnt/&gt;. Acesso em: 21 out. 2016.</t>
    </r>
  </si>
  <si>
    <r>
      <rPr>
        <b/>
        <sz val="12"/>
        <rFont val="Times New Roman"/>
        <family val="1"/>
      </rPr>
      <t xml:space="preserve">ITDP(2016c): </t>
    </r>
    <r>
      <rPr>
        <sz val="12"/>
        <rFont val="Times New Roman"/>
        <family val="1"/>
      </rPr>
      <t xml:space="preserve">THE INSTITUTE FOR TRANSPORTATION AND DEVELOPMENT POLICY - ITDP. Author: Michael Marks. Contributors: Jacob Mason, Gabriel Oliveira. </t>
    </r>
    <r>
      <rPr>
        <i/>
        <sz val="12"/>
        <rFont val="Times New Roman"/>
        <family val="1"/>
      </rPr>
      <t>People Near Transit: Improving Accessibility and Rapid Transit Coverage in Large Cities</t>
    </r>
    <r>
      <rPr>
        <sz val="12"/>
        <rFont val="Times New Roman"/>
        <family val="1"/>
      </rPr>
      <t>. New York: ITDP, October 2016. 31p.</t>
    </r>
  </si>
  <si>
    <t>muitos resultados de muitas cidades, inclusive BH (séries históricas desde 1991) - a BHTrans possui bancos de dados bem completos sobre o assunto</t>
  </si>
  <si>
    <t>de 26 cidades  incluindo BH (2015)</t>
  </si>
  <si>
    <r>
      <t xml:space="preserve">a categoria "benchmarking SisMob-BH M4" contém as cidades que fazem parte da lista de dez melhores cidades do ranking 2014 de "habitabilidade" do </t>
    </r>
    <r>
      <rPr>
        <i/>
        <sz val="10"/>
        <color theme="1"/>
        <rFont val="Times New Roman"/>
        <family val="1"/>
      </rPr>
      <t>The Economist</t>
    </r>
    <r>
      <rPr>
        <sz val="10"/>
        <color theme="1"/>
        <rFont val="Times New Roman"/>
        <family val="1"/>
      </rPr>
      <t xml:space="preserve"> que receberam nota máxima no componente "infraestrutura" (que, por conseguinte, receberam nota máxima em "qualidade do transporte público") conforme ECONOMIST(2012, p.4)
</t>
    </r>
    <r>
      <rPr>
        <b/>
        <sz val="10"/>
        <color theme="1"/>
        <rFont val="Times New Roman"/>
        <family val="1"/>
      </rPr>
      <t>obs.1:</t>
    </r>
    <r>
      <rPr>
        <sz val="10"/>
        <color theme="1"/>
        <rFont val="Times New Roman"/>
        <family val="1"/>
      </rPr>
      <t xml:space="preserve"> selecionadas Melbourne (n.1), Viena (n.2), Sidney (n.7), Perth (n.9) 
</t>
    </r>
    <r>
      <rPr>
        <b/>
        <sz val="10"/>
        <color theme="1"/>
        <rFont val="Times New Roman"/>
        <family val="1"/>
      </rPr>
      <t xml:space="preserve">obs.2: </t>
    </r>
    <r>
      <rPr>
        <sz val="10"/>
        <color theme="1"/>
        <rFont val="Times New Roman"/>
        <family val="1"/>
      </rPr>
      <t>em 2015 Melbourne continuou sendo a n.º 1 , Viena continuou sendo a n.º 2, conforme ECONOMIST(2015, p.6) que apresentou resultados apenas das cinco primeiras</t>
    </r>
  </si>
  <si>
    <t>categoria BR</t>
  </si>
  <si>
    <t>categoria BR1</t>
  </si>
  <si>
    <t>categoria BR3</t>
  </si>
  <si>
    <t>categoria M2</t>
  </si>
  <si>
    <t>cidade</t>
  </si>
  <si>
    <t>%</t>
  </si>
  <si>
    <t>similar ao "PNT - People Near Transit" denominado no SisMob-BH como "percentual da população localizada no raio de 1km de distância de uma estação da rede de transporte público coletivo de média ou alta de capacidade de uma cidade/região"</t>
  </si>
  <si>
    <r>
      <t xml:space="preserve">percentual da população localizada no raio de 1km de distância de uma estação da rede de transporte público coletivo de média ou alta de capacidade de Belo Horizonte
</t>
    </r>
    <r>
      <rPr>
        <b/>
        <sz val="10"/>
        <color theme="1"/>
        <rFont val="Times New Roman"/>
        <family val="1"/>
      </rPr>
      <t xml:space="preserve">obs.: </t>
    </r>
    <r>
      <rPr>
        <sz val="10"/>
        <color theme="1"/>
        <rFont val="Times New Roman"/>
        <family val="1"/>
      </rPr>
      <t>resultado de 2015 conforme ITDP(2016c, p.12)</t>
    </r>
  </si>
  <si>
    <r>
      <t xml:space="preserve">percentual da população localizada no raio de 1km de distância de uma estação da rede de transporte público coletivo de média ou alta de capacidade de Brasília
</t>
    </r>
    <r>
      <rPr>
        <b/>
        <sz val="10"/>
        <color theme="1"/>
        <rFont val="Times New Roman"/>
        <family val="1"/>
      </rPr>
      <t xml:space="preserve">obs.: </t>
    </r>
    <r>
      <rPr>
        <sz val="10"/>
        <color theme="1"/>
        <rFont val="Times New Roman"/>
        <family val="1"/>
      </rPr>
      <t>resultado de 2015 conforme ITDP(2016c, p.12)</t>
    </r>
  </si>
  <si>
    <r>
      <t xml:space="preserve">percentual da população localizada no raio de 1km de distância de uma estação da rede de transporte público coletivo de média ou alta de capacidade no município do Rio de Janeiro
</t>
    </r>
    <r>
      <rPr>
        <b/>
        <sz val="10"/>
        <color theme="1"/>
        <rFont val="Times New Roman"/>
        <family val="1"/>
      </rPr>
      <t xml:space="preserve">obs.1: </t>
    </r>
    <r>
      <rPr>
        <sz val="10"/>
        <color theme="1"/>
        <rFont val="Times New Roman"/>
        <family val="1"/>
      </rPr>
      <t xml:space="preserve">resultados de 2010 / Metrô e SuperVia e de 2015 / Metrô, SuperVia, BRT (TransCarioca e TransOeste) conforme ITDP(2015b)
</t>
    </r>
    <r>
      <rPr>
        <b/>
        <sz val="10"/>
        <color theme="1"/>
        <rFont val="Times New Roman"/>
        <family val="1"/>
      </rPr>
      <t xml:space="preserve">obs.2: </t>
    </r>
    <r>
      <rPr>
        <sz val="10"/>
        <color theme="1"/>
        <rFont val="Times New Roman"/>
        <family val="1"/>
      </rPr>
      <t>resultado de 2015 também conforme ITDP(2015c, p.12)</t>
    </r>
  </si>
  <si>
    <r>
      <t xml:space="preserve">projeção do percentual da população localizada no raio de 1km de distância de uma estação da rede de transporte público coletivo de média ou alta de capacidade no município do Rio de Janeiro
</t>
    </r>
    <r>
      <rPr>
        <b/>
        <sz val="10"/>
        <color theme="1"/>
        <rFont val="Times New Roman"/>
        <family val="1"/>
      </rPr>
      <t xml:space="preserve">obs.: </t>
    </r>
    <r>
      <rPr>
        <sz val="10"/>
        <color theme="1"/>
        <rFont val="Times New Roman"/>
        <family val="1"/>
      </rPr>
      <t>projeção para 2020 com Metrô (+ linha 4), SuperVia, BRT (TransCarioca, TransOeste + fase 0, TransOlímpica, TransBrasil)  econforme ITDP(2015b)</t>
    </r>
  </si>
  <si>
    <r>
      <t xml:space="preserve">percentual da população localizada no raio de 1km de distância de uma estação da rede de transporte público coletivo de média ou alta de capacidade do município de São Paulo
</t>
    </r>
    <r>
      <rPr>
        <b/>
        <sz val="10"/>
        <color theme="1"/>
        <rFont val="Times New Roman"/>
        <family val="1"/>
      </rPr>
      <t xml:space="preserve">obs.: </t>
    </r>
    <r>
      <rPr>
        <sz val="10"/>
        <color theme="1"/>
        <rFont val="Times New Roman"/>
        <family val="1"/>
      </rPr>
      <t>resultado de 2015 conforme ITDP(2016c, p.12)</t>
    </r>
  </si>
  <si>
    <t>Gráfico 810q - Percentual da população localizada no raio de 1km de distância de uma estação da rede de transporte público coletivo de média ou alta de capacidade (PNT) de Belo Horizonte em comparação com o percentual de outras cidades/regiões do Brasil e do mundo (2015)</t>
  </si>
  <si>
    <r>
      <t xml:space="preserve">um dos quatro indicadores da meta ODS 11.6 conforme SDSN(2016f/inglês) e único indicador da meta ODS 11.6 conforme PNUD(2016c1):
</t>
    </r>
    <r>
      <rPr>
        <b/>
        <sz val="10"/>
        <rFont val="Times New Roman"/>
        <family val="1"/>
      </rPr>
      <t>obs.1:</t>
    </r>
    <r>
      <rPr>
        <sz val="10"/>
        <rFont val="Times New Roman"/>
        <family val="1"/>
      </rPr>
      <t xml:space="preserve"> "69. Mean urban air pollution of particulate matter (PM10 and PM2.5)" conforme SDSN(2016f/inglês)
</t>
    </r>
    <r>
      <rPr>
        <b/>
        <sz val="10"/>
        <rFont val="Times New Roman"/>
        <family val="1"/>
      </rPr>
      <t>obs.2:</t>
    </r>
    <r>
      <rPr>
        <sz val="10"/>
        <rFont val="Times New Roman"/>
        <family val="1"/>
      </rPr>
      <t xml:space="preserve"> "Níveis médios anuais de partículas finas (PM2.5) em cidades (população ponderada)" conforme PNUD(2016c2), fonte que apresenta resultados médios de "Mundo", "América Latina" e "Brasil" em 2014
</t>
    </r>
    <r>
      <rPr>
        <b/>
        <sz val="10"/>
        <rFont val="Times New Roman"/>
        <family val="1"/>
      </rPr>
      <t>obs.3:</t>
    </r>
    <r>
      <rPr>
        <sz val="10"/>
        <rFont val="Times New Roman"/>
        <family val="1"/>
      </rPr>
      <t xml:space="preserve"> similar aos indicadores "PM 10" e/ou "PM 2,5" do SisMob-BH com resultados de muitas cidades, incluindo de várias estações localizadas na RMBH (acesse a aba "ODS 11")</t>
    </r>
  </si>
  <si>
    <r>
      <t xml:space="preserve">um dos dois indicadores do ODS 11.7, proposto conforme SDSN(2016f/inglês) como:
"70. Area of public and green space as a proportion of total city space"
</t>
    </r>
    <r>
      <rPr>
        <b/>
        <sz val="10"/>
        <rFont val="Times New Roman"/>
        <family val="1"/>
      </rPr>
      <t>obs.1:</t>
    </r>
    <r>
      <rPr>
        <sz val="10"/>
        <rFont val="Times New Roman"/>
        <family val="1"/>
      </rPr>
      <t xml:space="preserve"> similar ao indicador "AVD (%)"
</t>
    </r>
    <r>
      <rPr>
        <b/>
        <sz val="10"/>
        <rFont val="Times New Roman"/>
        <family val="1"/>
      </rPr>
      <t xml:space="preserve">obs.: </t>
    </r>
    <r>
      <rPr>
        <sz val="10"/>
        <rFont val="Times New Roman"/>
        <family val="1"/>
      </rPr>
      <t>acesse os registros "AVD", "AVD(%)", "AVD por 100 mil habitantes", "ave", "avo" , "indicadores urbanos globais (8)" e "ODS 11 (indicador 70)"</t>
    </r>
  </si>
  <si>
    <r>
      <rPr>
        <b/>
        <sz val="12"/>
        <color theme="1"/>
        <rFont val="Times New Roman"/>
        <family val="1"/>
      </rPr>
      <t>BH(2013a1):</t>
    </r>
    <r>
      <rPr>
        <sz val="12"/>
        <color theme="1"/>
        <rFont val="Times New Roman"/>
        <family val="1"/>
      </rPr>
      <t xml:space="preserve"> BELO HORIZONTE. Prefeitura. </t>
    </r>
    <r>
      <rPr>
        <i/>
        <sz val="12"/>
        <color theme="1"/>
        <rFont val="Times New Roman"/>
        <family val="1"/>
      </rPr>
      <t>Projeto de Lei n.º 749/2013, de 30/09/2013, que Dispõe sobre o Plano Plurianual de Ação Governamental – PPAG para o período 2014- 2017</t>
    </r>
    <r>
      <rPr>
        <sz val="12"/>
        <color theme="1"/>
        <rFont val="Times New Roman"/>
        <family val="1"/>
      </rPr>
      <t xml:space="preserve">, seguido da </t>
    </r>
    <r>
      <rPr>
        <i/>
        <sz val="12"/>
        <color theme="1"/>
        <rFont val="Times New Roman"/>
        <family val="1"/>
      </rPr>
      <t>Mensagem n.º 41, de 30/09/2013, da Prefeitura de Belo Horizonte à Câmara Municipal de Belo Horizonte</t>
    </r>
    <r>
      <rPr>
        <sz val="12"/>
        <color theme="1"/>
        <rFont val="Times New Roman"/>
        <family val="1"/>
      </rPr>
      <t xml:space="preserve">, seguida da </t>
    </r>
    <r>
      <rPr>
        <i/>
        <sz val="12"/>
        <color theme="1"/>
        <rFont val="Times New Roman"/>
        <family val="1"/>
      </rPr>
      <t xml:space="preserve">Mensagem n.º 47, de 21/10/2013, da Prefeitura de Belo Horizonte à Câmara Municipal de Belo Horizonte. </t>
    </r>
    <r>
      <rPr>
        <sz val="12"/>
        <color theme="1"/>
        <rFont val="Times New Roman"/>
        <family val="1"/>
      </rPr>
      <t>[pdf recebido da Ouvidoria da Câmara Municipal de Belo Horizonte, por e-mail, após solicitação telefônica do SisMob-BH com o argumento de que não havia sido encontrado na internet).​</t>
    </r>
  </si>
  <si>
    <r>
      <rPr>
        <b/>
        <sz val="12"/>
        <color theme="1"/>
        <rFont val="Times New Roman"/>
        <family val="1"/>
      </rPr>
      <t>BH(2013a4):</t>
    </r>
    <r>
      <rPr>
        <sz val="12"/>
        <color theme="1"/>
        <rFont val="Times New Roman"/>
        <family val="1"/>
      </rPr>
      <t xml:space="preserve"> BELO HORIZONTE. Câmara. </t>
    </r>
    <r>
      <rPr>
        <i/>
        <sz val="12"/>
        <color theme="1"/>
        <rFont val="Times New Roman"/>
        <family val="1"/>
      </rPr>
      <t>Proposição de Lei n.º 119/2013, de 23/12/2013, que Dispõe sobre o Plano Plurianual de Ação Governamental – PPAG para o quadriênio 2014- 2017</t>
    </r>
    <r>
      <rPr>
        <sz val="12"/>
        <color theme="1"/>
        <rFont val="Times New Roman"/>
        <family val="1"/>
      </rPr>
      <t xml:space="preserve">, precedido do </t>
    </r>
    <r>
      <rPr>
        <i/>
        <sz val="12"/>
        <color theme="1"/>
        <rFont val="Times New Roman"/>
        <family val="1"/>
      </rPr>
      <t>OF.DIRLEG 4.908/2013, de 23/12/2013 da CMBH à PBH</t>
    </r>
    <r>
      <rPr>
        <sz val="12"/>
        <color theme="1"/>
        <rFont val="Times New Roman"/>
        <family val="1"/>
      </rPr>
      <t>. [pdf recebido da Ouvidoria da Câmara Municipal de Belo Horizonte, por e-mail, após solicitação telefônica do SisMob-BH com o argumento de que não havia sido encontrado na internet).​</t>
    </r>
  </si>
  <si>
    <r>
      <rPr>
        <b/>
        <sz val="12"/>
        <color theme="1"/>
        <rFont val="Times New Roman"/>
        <family val="1"/>
      </rPr>
      <t>BH(2013a2):</t>
    </r>
    <r>
      <rPr>
        <sz val="12"/>
        <color theme="1"/>
        <rFont val="Times New Roman"/>
        <family val="1"/>
      </rPr>
      <t xml:space="preserve"> BELO HORIZONTE. Prefeitura. Secretaria Municipal de Planejamento, Orçamento e Informação. Secretaria Municipal Adjunta de Orçamento. </t>
    </r>
    <r>
      <rPr>
        <i/>
        <sz val="12"/>
        <color theme="1"/>
        <rFont val="Times New Roman"/>
        <family val="1"/>
      </rPr>
      <t xml:space="preserve">Plano Plurianual de Ação Governamental - PPAG 2014-2017 - Volume I. </t>
    </r>
    <r>
      <rPr>
        <sz val="12"/>
        <color theme="1"/>
        <rFont val="Times New Roman"/>
        <family val="1"/>
      </rPr>
      <t>Belo Horizonte: PBH, 2013. 335p. (parte integrante do Projeto de Lei n.º 749/2013, de 30/09/2013,). [pdf recebido da Ouvidoria da Câmara Municipal de Belo Horizonte, por e-mail, após solicitação telefônica do SisMob-BH com o argumento de que não havia sido encontrado na internet).​</t>
    </r>
  </si>
  <si>
    <r>
      <rPr>
        <b/>
        <sz val="12"/>
        <color theme="1"/>
        <rFont val="Times New Roman"/>
        <family val="1"/>
      </rPr>
      <t>BH(2013a3):</t>
    </r>
    <r>
      <rPr>
        <sz val="12"/>
        <color theme="1"/>
        <rFont val="Times New Roman"/>
        <family val="1"/>
      </rPr>
      <t xml:space="preserve"> BELO HORIZONTE. Prefeitura. Secretaria Municipal de Planejamento, Orçamento e Informação. Secretaria Municipal Adjunta de Orçamento. </t>
    </r>
    <r>
      <rPr>
        <i/>
        <sz val="12"/>
        <color theme="1"/>
        <rFont val="Times New Roman"/>
        <family val="1"/>
      </rPr>
      <t xml:space="preserve">Plano Plurianual de Ação Governamental - PPAG 2014-2017 - Volume 2. </t>
    </r>
    <r>
      <rPr>
        <sz val="12"/>
        <color theme="1"/>
        <rFont val="Times New Roman"/>
        <family val="1"/>
      </rPr>
      <t>Belo Horizonte: PBH, 2013. 418p. (parte integrante do Projeto de Lei n.º 749/2013, de 30/09/2013,). [pdf recebido da Ouvidoria da Câmara Municipal de Belo Horizonte, por e-mail, após solicitação telefônica do SisMob-BH com o argumento de que não havia sido encontrado na internet).​</t>
    </r>
  </si>
  <si>
    <r>
      <t xml:space="preserve">meta estabelecida pela PBH para o indicador "paraciclo (delta)"
</t>
    </r>
    <r>
      <rPr>
        <b/>
        <sz val="10"/>
        <color theme="1"/>
        <rFont val="Times New Roman"/>
        <family val="1"/>
      </rPr>
      <t xml:space="preserve">obs.1: </t>
    </r>
    <r>
      <rPr>
        <sz val="10"/>
        <color theme="1"/>
        <rFont val="Times New Roman"/>
        <family val="1"/>
      </rPr>
      <t xml:space="preserve">no PPAG 2014-2017, conforme BH(2013a1, p.185), foi prevista a subação "Implantação de bicicletários/paraciclos ", da área de resultado "Cidade com Mobilidade", do programa "Transporte Seguro e Sustentável", da unidade orçamentária "FUNDO MUNICIPAL DE TRANSPORTES URBANOS" (produto: Bicicletário/paraciclo implantado, unidade: unidade, metas anuais de 2014 a 2017)
</t>
    </r>
    <r>
      <rPr>
        <b/>
        <sz val="10"/>
        <color theme="1"/>
        <rFont val="Times New Roman"/>
        <family val="1"/>
      </rPr>
      <t xml:space="preserve">obs.: </t>
    </r>
    <r>
      <rPr>
        <sz val="10"/>
        <color theme="1"/>
        <rFont val="Times New Roman"/>
        <family val="1"/>
      </rPr>
      <t>meta de 2014 confirmada em BH(2015e, p.270); meta de 2015 confirmada em BH(2016k, p.281)</t>
    </r>
  </si>
  <si>
    <r>
      <t xml:space="preserve">percentual da população localizada no raio de 1km de distância de uma estação da rede de transporte público coletivo de média ou alta de capacidade de Barcelona/Espanha
</t>
    </r>
    <r>
      <rPr>
        <b/>
        <sz val="10"/>
        <color theme="1"/>
        <rFont val="Times New Roman"/>
        <family val="1"/>
      </rPr>
      <t xml:space="preserve">obs.: </t>
    </r>
    <r>
      <rPr>
        <sz val="10"/>
        <color theme="1"/>
        <rFont val="Times New Roman"/>
        <family val="1"/>
      </rPr>
      <t>resultado de 2015 conforme ITDP(2016c, p.11)</t>
    </r>
  </si>
  <si>
    <t>Pequim</t>
  </si>
  <si>
    <t>Manila</t>
  </si>
  <si>
    <r>
      <t xml:space="preserve">percentual da população localizada no raio de 1km de distância de uma estação da rede de transporte público coletivo de média ou alta de capacidade de Jacarta/Indonésia
</t>
    </r>
    <r>
      <rPr>
        <b/>
        <sz val="10"/>
        <color theme="1"/>
        <rFont val="Times New Roman"/>
        <family val="1"/>
      </rPr>
      <t xml:space="preserve">obs.: </t>
    </r>
    <r>
      <rPr>
        <sz val="10"/>
        <color theme="1"/>
        <rFont val="Times New Roman"/>
        <family val="1"/>
      </rPr>
      <t>resultado de 2015 conforme ITDP(2016c, p.12)</t>
    </r>
  </si>
  <si>
    <r>
      <t xml:space="preserve">percentual da população localizada no raio de 1km de distância de uma estação da rede de transporte público coletivo de média ou alta de capacidade da Cidade do México/México
</t>
    </r>
    <r>
      <rPr>
        <b/>
        <sz val="10"/>
        <color theme="1"/>
        <rFont val="Times New Roman"/>
        <family val="1"/>
      </rPr>
      <t xml:space="preserve">obs.: </t>
    </r>
    <r>
      <rPr>
        <sz val="10"/>
        <color theme="1"/>
        <rFont val="Times New Roman"/>
        <family val="1"/>
      </rPr>
      <t>resultado de 2015 conforme ITDP(2016c, p.12)</t>
    </r>
  </si>
  <si>
    <r>
      <t xml:space="preserve">percentual da população localizada no raio de 1km de distância de uma estação da rede de transporte público coletivo de média ou alta de capacidade de Buenos Aires/Argentina
</t>
    </r>
    <r>
      <rPr>
        <b/>
        <sz val="10"/>
        <color theme="1"/>
        <rFont val="Times New Roman"/>
        <family val="1"/>
      </rPr>
      <t xml:space="preserve">obs.: </t>
    </r>
    <r>
      <rPr>
        <sz val="10"/>
        <color theme="1"/>
        <rFont val="Times New Roman"/>
        <family val="1"/>
      </rPr>
      <t>resultado de 2015 conforme ITDP(2016c, p.12)</t>
    </r>
  </si>
  <si>
    <t>Seul</t>
  </si>
  <si>
    <r>
      <t xml:space="preserve">percentual da população localizada no raio de 1km de distância de uma estação da rede de transporte público coletivo de média ou alta de capacidade de Madri/Espanha
</t>
    </r>
    <r>
      <rPr>
        <b/>
        <sz val="10"/>
        <color theme="1"/>
        <rFont val="Times New Roman"/>
        <family val="1"/>
      </rPr>
      <t xml:space="preserve">obs.: </t>
    </r>
    <r>
      <rPr>
        <sz val="10"/>
        <color theme="1"/>
        <rFont val="Times New Roman"/>
        <family val="1"/>
      </rPr>
      <t>resultado de 2015 conforme ITDP(2016c, p.11)</t>
    </r>
  </si>
  <si>
    <r>
      <t xml:space="preserve">percentual da população localizada no raio de 1km de distância de uma estação da rede de transporte público coletivo de média ou alta de capacidade de Manila/Filipinas
</t>
    </r>
    <r>
      <rPr>
        <b/>
        <sz val="10"/>
        <color theme="1"/>
        <rFont val="Times New Roman"/>
        <family val="1"/>
      </rPr>
      <t xml:space="preserve">obs.: </t>
    </r>
    <r>
      <rPr>
        <sz val="10"/>
        <color theme="1"/>
        <rFont val="Times New Roman"/>
        <family val="1"/>
      </rPr>
      <t>resultado de 2015 conforme ITDP(2016c, p.12)</t>
    </r>
  </si>
  <si>
    <r>
      <t xml:space="preserve">percentual da população localizada no raio de 1km de distância de uma estação da rede de transporte público coletivo de média ou alta de capacidade de Paris/França
</t>
    </r>
    <r>
      <rPr>
        <b/>
        <sz val="10"/>
        <color theme="1"/>
        <rFont val="Times New Roman"/>
        <family val="1"/>
      </rPr>
      <t xml:space="preserve">obs.: </t>
    </r>
    <r>
      <rPr>
        <sz val="10"/>
        <color theme="1"/>
        <rFont val="Times New Roman"/>
        <family val="1"/>
      </rPr>
      <t>resultado de 2015 conforme ITDP(2016c, p.11)</t>
    </r>
  </si>
  <si>
    <r>
      <t xml:space="preserve">percentual da população localizada no raio de 1km de distância de uma estação da rede de transporte público coletivo de média ou alta de capacidade de Pequim/China
</t>
    </r>
    <r>
      <rPr>
        <b/>
        <sz val="10"/>
        <color theme="1"/>
        <rFont val="Times New Roman"/>
        <family val="1"/>
      </rPr>
      <t xml:space="preserve">obs.: </t>
    </r>
    <r>
      <rPr>
        <sz val="10"/>
        <color theme="1"/>
        <rFont val="Times New Roman"/>
        <family val="1"/>
      </rPr>
      <t>resultado de 2015 conforme ITDP(2016c, p.12)</t>
    </r>
  </si>
  <si>
    <r>
      <t xml:space="preserve">percentual da população localizada no raio de 1km de distância de uma estação da rede de transporte público coletivo de média ou alta de capacidade de Quito/Equador
</t>
    </r>
    <r>
      <rPr>
        <b/>
        <sz val="10"/>
        <color theme="1"/>
        <rFont val="Times New Roman"/>
        <family val="1"/>
      </rPr>
      <t xml:space="preserve">obs.: </t>
    </r>
    <r>
      <rPr>
        <sz val="10"/>
        <color theme="1"/>
        <rFont val="Times New Roman"/>
        <family val="1"/>
      </rPr>
      <t>resultado de 2015 conforme ITDP(2016c, p.12)</t>
    </r>
  </si>
  <si>
    <r>
      <t xml:space="preserve">percentual da população localizada no raio de 1km de distância de uma estação da rede de transporte público coletivo de média ou alta de capacidade de Seul/Coreia do Sul
</t>
    </r>
    <r>
      <rPr>
        <b/>
        <sz val="10"/>
        <color theme="1"/>
        <rFont val="Times New Roman"/>
        <family val="1"/>
      </rPr>
      <t xml:space="preserve">obs.: </t>
    </r>
    <r>
      <rPr>
        <sz val="10"/>
        <color theme="1"/>
        <rFont val="Times New Roman"/>
        <family val="1"/>
      </rPr>
      <t>resultado de 2015 conforme ITDP(2016c, p.12)</t>
    </r>
  </si>
  <si>
    <r>
      <t xml:space="preserve">percentual da população localizada no raio de 1km de distância de uma estação da rede de transporte público coletivo de média ou alta de capacidade de Londres/Inglaterra
</t>
    </r>
    <r>
      <rPr>
        <b/>
        <sz val="10"/>
        <color theme="1"/>
        <rFont val="Times New Roman"/>
        <family val="1"/>
      </rPr>
      <t xml:space="preserve">obs.: </t>
    </r>
    <r>
      <rPr>
        <sz val="10"/>
        <color theme="1"/>
        <rFont val="Times New Roman"/>
        <family val="1"/>
      </rPr>
      <t>resultado de 2015 conforme ITDP(2016c, p.11)</t>
    </r>
  </si>
  <si>
    <t>Vancouver</t>
  </si>
  <si>
    <r>
      <t xml:space="preserve">percentual da população localizada no raio de 1km de distância de uma estação da rede de transporte público coletivo de média ou alta de capacidade de Vancouver/Canadá
</t>
    </r>
    <r>
      <rPr>
        <b/>
        <sz val="10"/>
        <color theme="1"/>
        <rFont val="Times New Roman"/>
        <family val="1"/>
      </rPr>
      <t xml:space="preserve">obs.: </t>
    </r>
    <r>
      <rPr>
        <sz val="10"/>
        <color theme="1"/>
        <rFont val="Times New Roman"/>
        <family val="1"/>
      </rPr>
      <t>resultado de 2015 conforme ITDP(2016c, p.11)</t>
    </r>
  </si>
  <si>
    <r>
      <t xml:space="preserve">percentual da população localizada no raio de 1km de distância de uma estação da rede de transporte público coletivo de média ou alta de capacidade da Nova York/Estados Unidos
</t>
    </r>
    <r>
      <rPr>
        <b/>
        <sz val="10"/>
        <color theme="1"/>
        <rFont val="Times New Roman"/>
        <family val="1"/>
      </rPr>
      <t xml:space="preserve">obs.: </t>
    </r>
    <r>
      <rPr>
        <sz val="10"/>
        <color theme="1"/>
        <rFont val="Times New Roman"/>
        <family val="1"/>
      </rPr>
      <t>resultado de 2015 conforme ITDP(2016c, p.11)</t>
    </r>
  </si>
  <si>
    <t>Chennai</t>
  </si>
  <si>
    <r>
      <t xml:space="preserve">percentual da população localizada no raio de 1km de distância de uma estação da rede de transporte público coletivo de média ou alta de capacidade de Chenai/Índia
</t>
    </r>
    <r>
      <rPr>
        <b/>
        <sz val="10"/>
        <color theme="1"/>
        <rFont val="Times New Roman"/>
        <family val="1"/>
      </rPr>
      <t xml:space="preserve">obs.: </t>
    </r>
    <r>
      <rPr>
        <sz val="10"/>
        <color theme="1"/>
        <rFont val="Times New Roman"/>
        <family val="1"/>
      </rPr>
      <t>resultado de 2015 conforme ITDP(2016c, p.12)</t>
    </r>
  </si>
  <si>
    <t>Guangzhou</t>
  </si>
  <si>
    <r>
      <t xml:space="preserve">percentual da população localizada no raio de 1km de distância de uma estação da rede de transporte público coletivo de média ou alta de capacidade de Guangzhou/China
</t>
    </r>
    <r>
      <rPr>
        <b/>
        <sz val="10"/>
        <color theme="1"/>
        <rFont val="Times New Roman"/>
        <family val="1"/>
      </rPr>
      <t xml:space="preserve">obs.: </t>
    </r>
    <r>
      <rPr>
        <sz val="10"/>
        <color theme="1"/>
        <rFont val="Times New Roman"/>
        <family val="1"/>
      </rPr>
      <t>resultado de 2015 conforme ITDP(2016c, p.12)</t>
    </r>
  </si>
  <si>
    <t>Joanesburgo</t>
  </si>
  <si>
    <r>
      <t xml:space="preserve">percentual da população localizada no raio de 1km de distância de uma estação da rede de transporte público coletivo de média ou alta de capacidade de Joanesburgo/África do Sul
</t>
    </r>
    <r>
      <rPr>
        <b/>
        <sz val="10"/>
        <color theme="1"/>
        <rFont val="Times New Roman"/>
        <family val="1"/>
      </rPr>
      <t xml:space="preserve">obs.: </t>
    </r>
    <r>
      <rPr>
        <sz val="10"/>
        <color theme="1"/>
        <rFont val="Times New Roman"/>
        <family val="1"/>
      </rPr>
      <t>resultado de 2015 conforme ITDP(2016c, p.12)</t>
    </r>
  </si>
  <si>
    <t>Roterdan</t>
  </si>
  <si>
    <r>
      <t xml:space="preserve">percentual da população localizada no raio de 1km de distância de uma estação da rede de transporte público coletivo de média ou alta de capacidade de Roterdan/Holanda
</t>
    </r>
    <r>
      <rPr>
        <b/>
        <sz val="10"/>
        <color theme="1"/>
        <rFont val="Times New Roman"/>
        <family val="1"/>
      </rPr>
      <t xml:space="preserve">obs.: </t>
    </r>
    <r>
      <rPr>
        <sz val="10"/>
        <color theme="1"/>
        <rFont val="Times New Roman"/>
        <family val="1"/>
      </rPr>
      <t>resultado de 2015 conforme ITDP(2016c, p.11)</t>
    </r>
  </si>
  <si>
    <t>Boston</t>
  </si>
  <si>
    <r>
      <t xml:space="preserve">percentual da população localizada no raio de 1km de distância de uma estação da rede de transporte público coletivo de média ou alta de capacidade de Boston/Estados Unidos
</t>
    </r>
    <r>
      <rPr>
        <b/>
        <sz val="10"/>
        <color theme="1"/>
        <rFont val="Times New Roman"/>
        <family val="1"/>
      </rPr>
      <t xml:space="preserve">obs.: </t>
    </r>
    <r>
      <rPr>
        <sz val="10"/>
        <color theme="1"/>
        <rFont val="Times New Roman"/>
        <family val="1"/>
      </rPr>
      <t>resultado de 2015 conforme ITDP(2016c, p.11)</t>
    </r>
  </si>
  <si>
    <t>Washington D.C.</t>
  </si>
  <si>
    <r>
      <t xml:space="preserve">percentual da população localizada no raio de 1km de distância de uma estação da rede de transporte público coletivo de média ou alta de capacidade de Washington D.C./Estados Unidos
</t>
    </r>
    <r>
      <rPr>
        <b/>
        <sz val="10"/>
        <color theme="1"/>
        <rFont val="Times New Roman"/>
        <family val="1"/>
      </rPr>
      <t xml:space="preserve">obs.: </t>
    </r>
    <r>
      <rPr>
        <sz val="10"/>
        <color theme="1"/>
        <rFont val="Times New Roman"/>
        <family val="1"/>
      </rPr>
      <t>resultado de 2015 conforme ITDP(2016c, p.11)</t>
    </r>
  </si>
  <si>
    <t>Chicago</t>
  </si>
  <si>
    <r>
      <t xml:space="preserve">percentual da população localizada no raio de 1km de distância de uma estação da rede de transporte público coletivo de média ou alta de capacidade de Chicago/Estados Unidos
</t>
    </r>
    <r>
      <rPr>
        <b/>
        <sz val="10"/>
        <color theme="1"/>
        <rFont val="Times New Roman"/>
        <family val="1"/>
      </rPr>
      <t xml:space="preserve">obs.: </t>
    </r>
    <r>
      <rPr>
        <sz val="10"/>
        <color theme="1"/>
        <rFont val="Times New Roman"/>
        <family val="1"/>
      </rPr>
      <t>resultado de 2015 conforme ITDP(2016c, p.11)</t>
    </r>
  </si>
  <si>
    <t>Los Angeles</t>
  </si>
  <si>
    <r>
      <t xml:space="preserve">percentual da população localizada no raio de 1km de distância de uma estação da rede de transporte público coletivo de média ou alta de capacidade de Los Angeles/Estados Unidos
</t>
    </r>
    <r>
      <rPr>
        <b/>
        <sz val="10"/>
        <color theme="1"/>
        <rFont val="Times New Roman"/>
        <family val="1"/>
      </rPr>
      <t xml:space="preserve">obs.: </t>
    </r>
    <r>
      <rPr>
        <sz val="10"/>
        <color theme="1"/>
        <rFont val="Times New Roman"/>
        <family val="1"/>
      </rPr>
      <t>resultado de 2015 conforme ITDP(2016c, p.11)</t>
    </r>
  </si>
  <si>
    <t>San Francisco</t>
  </si>
  <si>
    <r>
      <t xml:space="preserve">percentual da população localizada no raio de 1km de distância de uma estação da rede de transporte público coletivo de média ou alta de capacidade de San Francisco/Estados Unidos
</t>
    </r>
    <r>
      <rPr>
        <b/>
        <sz val="10"/>
        <color theme="1"/>
        <rFont val="Times New Roman"/>
        <family val="1"/>
      </rPr>
      <t xml:space="preserve">obs.: </t>
    </r>
    <r>
      <rPr>
        <sz val="10"/>
        <color theme="1"/>
        <rFont val="Times New Roman"/>
        <family val="1"/>
      </rPr>
      <t>resultado de 2015 conforme ITDP(2016c, p.11)</t>
    </r>
  </si>
  <si>
    <r>
      <t xml:space="preserve">People Near Transit, denominado no SisMob-BH como percentual da população localizada no raio de 1km de distância de uma estação da rede de transporte público coletivo de média ou alta de capacidade de uma cidade/região
obs.: indicador lançado pelo ITDP em 2015: "Fruto dessa pesquisa [sobre as regiões das cidades e seus entornos, localização dos destinos e a relação deles com as redes de transporte], a equipe técnica do ITDP desenvolveu o Indicador de proximidade ao transporte de média e alta de capacidade (PNT, sigla para o termo original em inglês People Near Transit). Esse
indicador aponta a percentagem calculada a partir do número de pessoas residentes em um raio de até 1km nos entornos das estações de transportes de média e alta capacidade, dividido pelo total da população da cidade ou município. [...] O ITDP considera
razoável a distância de 1 km, percorrida entre 10 a 15 minutos de caminhada, para que os usuários tenham acesso ao transporte de média e alta capacidade. (BRT, metrô, trens e VLT), capaz de atrair e manter usuários do transporte de média e alta capacidade e reduzindo a dependência do automóvel. [...] Os dados do PNT serão úteis para auxiliar gestores públicos e planejadores urbanos na avaliação de sistemas e políticas habitacionais, incluindo comparações entre cidades ou mudanças ao longo do tempo." conforme ITDP(2015b) 
</t>
    </r>
    <r>
      <rPr>
        <b/>
        <sz val="10"/>
        <color theme="1"/>
        <rFont val="Times New Roman"/>
        <family val="1"/>
      </rPr>
      <t xml:space="preserve">obs.1: </t>
    </r>
    <r>
      <rPr>
        <sz val="10"/>
        <color theme="1"/>
        <rFont val="Times New Roman"/>
        <family val="1"/>
      </rPr>
      <t xml:space="preserve">o SisMob-BH denominou este indicador como "PNT - percentual da população localizada no raio de 1km de distância de uma estação da rede de transporte público coletivo de média ou alta de capacidade"
</t>
    </r>
    <r>
      <rPr>
        <b/>
        <sz val="10"/>
        <color theme="1"/>
        <rFont val="Times New Roman"/>
        <family val="1"/>
      </rPr>
      <t xml:space="preserve">obs.2: </t>
    </r>
    <r>
      <rPr>
        <sz val="10"/>
        <color theme="1"/>
        <rFont val="Times New Roman"/>
        <family val="1"/>
      </rPr>
      <t>em ITDP(2016c, p.11-12) estão disponíveis resultados de 26 cidades/regiões do mundo, sendo 4 do Brasil (acesse resultados no SisMob-BH de Belo Horizonte, Brasília, Rio de Janeiro. São Paulo), 3 do restante da América Latina (acesse resultados no SisMob-BH de Buenos Aires, México, Quito), 1 da África (acesse resultado no SisMob-BH de Joanesburgo, ), 6 dos EUA (acesse resultados no SisMob-BH de Boston, Chicago, Los Angeles, Nova York, San Francisco, Washington D.C.), 1 do Canadá (acesse resultados no SisMob-BH de Vancouver),  6 da Ásia (acesse resultados no SisMob-BH de Chennai, Jacarta, Guangzhou, Manila, Pequim, Seul) e 5 da Europa (acesse Barcelona, Londres, Madri, Paris, Roterdan)</t>
    </r>
  </si>
  <si>
    <t>Gráfico 810q/r</t>
  </si>
  <si>
    <t>Gráfico 810r - Percentual da população localizada no raio de 1km de distância de uma estação da rede de transporte público coletivo de média ou alta de capacidade (PNT) de Belo Horizonte em comparação com o percentual de outras cidades/regiões selecionadas (2015)</t>
  </si>
  <si>
    <r>
      <rPr>
        <b/>
        <sz val="12"/>
        <color theme="1"/>
        <rFont val="Times New Roman"/>
        <family val="1"/>
      </rPr>
      <t xml:space="preserve">WRI(2016d2): </t>
    </r>
    <r>
      <rPr>
        <sz val="12"/>
        <color theme="1"/>
        <rFont val="Times New Roman"/>
        <family val="1"/>
      </rPr>
      <t xml:space="preserve">WORLD RESOURCES INSTITUTE - WRI BRASIL. </t>
    </r>
    <r>
      <rPr>
        <i/>
        <sz val="12"/>
        <color theme="1"/>
        <rFont val="Times New Roman"/>
        <family val="1"/>
      </rPr>
      <t>Vencedores dos concursos Acessibilidade para Todos e SP Áreas 40 participam de jornada de aprendizados na Cidade do México</t>
    </r>
    <r>
      <rPr>
        <sz val="12"/>
        <color theme="1"/>
        <rFont val="Times New Roman"/>
        <family val="1"/>
      </rPr>
      <t>. Porto Alegre, set. 2016. Disponível em: &lt;http://wricidades.org/conteudo/vencedores-dos-concursos-acessibilidade-para-todos-e-sp-%C3%A1reas-40-participam-de-jornada-de&gt;. Acesso em 23 set. 2016.</t>
    </r>
  </si>
  <si>
    <r>
      <t xml:space="preserve">sigla para Gestão da Demanda de Viagens
</t>
    </r>
    <r>
      <rPr>
        <b/>
        <sz val="10"/>
        <color theme="1"/>
        <rFont val="Times New Roman"/>
        <family val="1"/>
      </rPr>
      <t>obs.1:</t>
    </r>
    <r>
      <rPr>
        <sz val="10"/>
        <color theme="1"/>
        <rFont val="Times New Roman"/>
        <family val="1"/>
      </rPr>
      <t xml:space="preserve"> conceito contido em EMBARQ(2015)
</t>
    </r>
    <r>
      <rPr>
        <b/>
        <sz val="10"/>
        <color theme="1"/>
        <rFont val="Times New Roman"/>
        <family val="1"/>
      </rPr>
      <t xml:space="preserve">obs.2: </t>
    </r>
    <r>
      <rPr>
        <sz val="10"/>
        <color theme="1"/>
        <rFont val="Times New Roman"/>
        <family val="1"/>
      </rPr>
      <t>acesse o registro "mobilidade corporativa"</t>
    </r>
  </si>
  <si>
    <t>acesse o registro "pessoa com mobilidade reduzida"</t>
  </si>
  <si>
    <r>
      <rPr>
        <b/>
        <sz val="12"/>
        <color theme="1"/>
        <rFont val="Times New Roman"/>
        <family val="1"/>
      </rPr>
      <t>WHO(2016a):</t>
    </r>
    <r>
      <rPr>
        <sz val="12"/>
        <color theme="1"/>
        <rFont val="Times New Roman"/>
        <family val="1"/>
      </rPr>
      <t xml:space="preserve"> WORLD HEALTH ORGANIZATION - WHO. </t>
    </r>
    <r>
      <rPr>
        <i/>
        <sz val="12"/>
        <color theme="1"/>
        <rFont val="Times New Roman"/>
        <family val="1"/>
      </rPr>
      <t>Public health, environmental and social determinants of health (PHE) - Ambient (outdoor) air pollution in cities database 2016</t>
    </r>
    <r>
      <rPr>
        <sz val="12"/>
        <color theme="1"/>
        <rFont val="Times New Roman"/>
        <family val="1"/>
      </rPr>
      <t>. Planilha "Ambient (outdoor) air pollution database 2016 [20/mai/2016]". Disponível para baixar em: &lt;http://www.who.int/entity/phe/health_topics/outdoorair/databases/WHO_AAP_database_May2016_v3web.xlsx?ua=1&gt;. Acesso em 28 out. 2016.</t>
    </r>
  </si>
  <si>
    <r>
      <t xml:space="preserve">PM10 (Annual mean, ug/m3) apresentado em relatório da Organização das Nações Unidas (ONU) - DataBase 2014 - com resultados de 1.624 cidades ao redor do mundo conforme WHO(2014a)
</t>
    </r>
    <r>
      <rPr>
        <b/>
        <sz val="10"/>
        <rFont val="Times New Roman"/>
        <family val="1"/>
      </rPr>
      <t>obs.1:</t>
    </r>
    <r>
      <rPr>
        <sz val="10"/>
        <rFont val="Times New Roman"/>
        <family val="1"/>
      </rPr>
      <t xml:space="preserve"> o SisMob-BH selecionou os resultados de todas as cidades brasileiras e os das cidades fora do Brasil que integram alguma das categorias "benchmarking M"
</t>
    </r>
    <r>
      <rPr>
        <b/>
        <sz val="10"/>
        <rFont val="Times New Roman"/>
        <family val="1"/>
      </rPr>
      <t xml:space="preserve">obs.2: </t>
    </r>
    <r>
      <rPr>
        <sz val="10"/>
        <rFont val="Times New Roman"/>
        <family val="1"/>
      </rPr>
      <t>planilha atualizada pela WHO em 2016 conforme WHO(2016a) sem novos resultados de cidades brasileiras</t>
    </r>
  </si>
  <si>
    <r>
      <rPr>
        <b/>
        <sz val="12"/>
        <rFont val="Times New Roman"/>
        <family val="1"/>
      </rPr>
      <t xml:space="preserve">ABNT(2016e): </t>
    </r>
    <r>
      <rPr>
        <sz val="12"/>
        <rFont val="Times New Roman"/>
        <family val="1"/>
      </rPr>
      <t xml:space="preserve">ASSOCIAÇÃO BRASILEIRA DE NORMAS TÉCNICAS – ABNT. </t>
    </r>
    <r>
      <rPr>
        <i/>
        <sz val="12"/>
        <rFont val="Times New Roman"/>
        <family val="1"/>
      </rPr>
      <t>NBR 15646: Acessibilidade - plataforma elevatória veicular e rampa de acesso veicular para acessibilidade
de pessoas com deficiência ou mobilidade reduzida, em veículo de transporte de passageiros de categorias M1, M2 e M3 - Requisitos</t>
    </r>
    <r>
      <rPr>
        <sz val="12"/>
        <rFont val="Times New Roman"/>
        <family val="1"/>
      </rPr>
      <t>. 3.ed. Rio de Janeiro: ABNT, 2016. 28p. [terceira edição de 12/01/2016).</t>
    </r>
  </si>
  <si>
    <t>vilas e favelas</t>
  </si>
  <si>
    <r>
      <t xml:space="preserve">denominação dada a regiões de Belo Horizonte que foram alvo do "Programa de Melhoria da Mobilidade para Moradores de Vilas e Favelas de Belo Horizonte"
</t>
    </r>
    <r>
      <rPr>
        <b/>
        <sz val="10"/>
        <color theme="1"/>
        <rFont val="Times New Roman"/>
        <family val="1"/>
      </rPr>
      <t>obs.:</t>
    </r>
    <r>
      <rPr>
        <sz val="10"/>
        <color theme="1"/>
        <rFont val="Times New Roman"/>
        <family val="1"/>
      </rPr>
      <t xml:space="preserve"> este programa foi premiado em 2005 pela Fundação Getúlio Vargas como experiência inovadora de gestão pública e cidadania conforme GODOY et al (2005).</t>
    </r>
  </si>
  <si>
    <r>
      <t xml:space="preserve">n.º de linhas do ssitema de transporte em linhas de vilas e favelas
</t>
    </r>
    <r>
      <rPr>
        <b/>
        <sz val="10"/>
        <rFont val="Times New Roman"/>
        <family val="1"/>
      </rPr>
      <t>obs.1:</t>
    </r>
    <r>
      <rPr>
        <sz val="10"/>
        <rFont val="Times New Roman"/>
        <family val="1"/>
      </rPr>
      <t xml:space="preserve"> "In 1993, with the start of line operation 7902S – Set Taquaril, the BHTRANS establishes a new public policy planning and management of urban public transport system and contributes decisively to improving the quality of life and social inclusion of its residents. That was the first line of transportation circulating in the city of Belo Horizonte in the informal city." conforme OLIVEIRA(2012, p.7)
</t>
    </r>
    <r>
      <rPr>
        <b/>
        <sz val="10"/>
        <rFont val="Times New Roman"/>
        <family val="1"/>
      </rPr>
      <t>obs.2:</t>
    </r>
    <r>
      <rPr>
        <sz val="10"/>
        <rFont val="Times New Roman"/>
        <family val="1"/>
      </rPr>
      <t xml:space="preserve"> "O primeiro micro-ônibus [do que foi estruturado como um novo serviço] veio em 1996 [...]. A passagem é subsidiada pelo Sistema de Transporte Coletivo de Belo Horizonte" conforme BHTRANS(2000b, p.18)
</t>
    </r>
    <r>
      <rPr>
        <b/>
        <sz val="10"/>
        <rFont val="Times New Roman"/>
        <family val="1"/>
      </rPr>
      <t xml:space="preserve">obs.3: </t>
    </r>
    <r>
      <rPr>
        <sz val="10"/>
        <rFont val="Times New Roman"/>
        <family val="1"/>
      </rPr>
      <t xml:space="preserve">o resultado deste indicador é parte integrante de NL tcc; resultado de 1996 conforme BHTRANS(2000b, p.18); de 2009 conforme BHTRANS(2011b, [p.9]/Tabela 6)
</t>
    </r>
    <r>
      <rPr>
        <b/>
        <sz val="10"/>
        <rFont val="Times New Roman"/>
        <family val="1"/>
      </rPr>
      <t xml:space="preserve">obs.4: </t>
    </r>
    <r>
      <rPr>
        <sz val="10"/>
        <rFont val="Times New Roman"/>
        <family val="1"/>
      </rPr>
      <t>acesse o registro "vilas e favelas"</t>
    </r>
  </si>
  <si>
    <r>
      <t xml:space="preserve">n.º de passageiros/mês transportados no sistema de linhas de transporte coletivo que atendem vilas e favelas de Belo Horizonte
</t>
    </r>
    <r>
      <rPr>
        <b/>
        <sz val="10"/>
        <rFont val="Times New Roman"/>
        <family val="1"/>
      </rPr>
      <t xml:space="preserve">obs.1: </t>
    </r>
    <r>
      <rPr>
        <sz val="10"/>
        <rFont val="Times New Roman"/>
        <family val="1"/>
      </rPr>
      <t xml:space="preserve">o resultado deste indicador é parte integrante de NP tcc
</t>
    </r>
    <r>
      <rPr>
        <b/>
        <sz val="10"/>
        <rFont val="Times New Roman"/>
        <family val="1"/>
      </rPr>
      <t xml:space="preserve">obs.2: </t>
    </r>
    <r>
      <rPr>
        <sz val="10"/>
        <rFont val="Times New Roman"/>
        <family val="1"/>
      </rPr>
      <t xml:space="preserve">resultados de 1993-199out.2000 conforme BHTRANS(2000b); de jun.2001 a jun.2005 conforme BHTRANS(2006a, p.7/Tabela 5); de jun.2006 a jun.2009 conforme BHTRANS(2011b, [p.8-9]/Tabela 6
</t>
    </r>
    <r>
      <rPr>
        <b/>
        <sz val="10"/>
        <rFont val="Times New Roman"/>
        <family val="1"/>
      </rPr>
      <t xml:space="preserve">obs.3: </t>
    </r>
    <r>
      <rPr>
        <sz val="10"/>
        <rFont val="Times New Roman"/>
        <family val="1"/>
      </rPr>
      <t xml:space="preserve">como o relatório-fonte foi descontinuado há que se buscar outra fonte para atualizar os resultados
</t>
    </r>
    <r>
      <rPr>
        <b/>
        <sz val="10"/>
        <rFont val="Times New Roman"/>
        <family val="1"/>
      </rPr>
      <t>obs.4:</t>
    </r>
    <r>
      <rPr>
        <sz val="10"/>
        <rFont val="Times New Roman"/>
        <family val="1"/>
      </rPr>
      <t xml:space="preserve"> acesse o registro "vilas e favelas"</t>
    </r>
  </si>
  <si>
    <t>elevador hidráulico</t>
  </si>
  <si>
    <t>acesse o registro "plataforma elevatória veicular"</t>
  </si>
  <si>
    <r>
      <t xml:space="preserve">frota em n.º de ônibus na RMBH do serviço gerenciado pela Setop-MG, com 2 ou 3 portas à direita,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t>
    </r>
    <r>
      <rPr>
        <b/>
        <sz val="10"/>
        <rFont val="Times New Roman"/>
        <family val="1"/>
      </rPr>
      <t>obs.1:</t>
    </r>
    <r>
      <rPr>
        <sz val="10"/>
        <rFont val="Times New Roman"/>
        <family val="1"/>
      </rPr>
      <t xml:space="preserve"> esta categoria recebe</t>
    </r>
    <r>
      <rPr>
        <sz val="10"/>
        <color rgb="FFFF0000"/>
        <rFont val="Times New Roman"/>
        <family val="1"/>
      </rPr>
      <t xml:space="preserve"> peso 1</t>
    </r>
    <r>
      <rPr>
        <sz val="10"/>
        <rFont val="Times New Roman"/>
        <family val="1"/>
      </rPr>
      <t xml:space="preserve"> (escala de 1 a 10 estabelecida pelo SisMob-BH para classificar e comparar resultados) - acesse "acessibilidade em ônibus urbano (escala)"
</t>
    </r>
    <r>
      <rPr>
        <b/>
        <sz val="10"/>
        <rFont val="Times New Roman"/>
        <family val="1"/>
      </rPr>
      <t xml:space="preserve">obs.2: </t>
    </r>
    <r>
      <rPr>
        <sz val="10"/>
        <rFont val="Times New Roman"/>
        <family val="1"/>
      </rPr>
      <t>resultado de outubro/2015 conforme MG(2016a)</t>
    </r>
  </si>
  <si>
    <r>
      <t xml:space="preserve">frota em n.º de ônibus do transporte coletivo na RMBH do serviço gerenciado pela Setop-MG equipados com elevador hidráulico ["O uso do elevador é exclusivo para cadeirantes" conforme MG(2016a)] e que não operam em plataforma elevada 
</t>
    </r>
    <r>
      <rPr>
        <b/>
        <sz val="10"/>
        <rFont val="Times New Roman"/>
        <family val="1"/>
      </rPr>
      <t xml:space="preserve">obs.1: </t>
    </r>
    <r>
      <rPr>
        <sz val="10"/>
        <rFont val="Times New Roman"/>
        <family val="1"/>
      </rPr>
      <t xml:space="preserve">esta categoria recebe </t>
    </r>
    <r>
      <rPr>
        <sz val="10"/>
        <color rgb="FFFF0000"/>
        <rFont val="Times New Roman"/>
        <family val="1"/>
      </rPr>
      <t xml:space="preserve">peso 2 </t>
    </r>
    <r>
      <rPr>
        <sz val="10"/>
        <rFont val="Times New Roman"/>
        <family val="1"/>
      </rPr>
      <t xml:space="preserve">(escala de 1 a 10 estabelecida pelo SisMob-BH para classificar e comparar resultados) - acesse "acessibilidade em ônibus urbano (escala)"
</t>
    </r>
    <r>
      <rPr>
        <b/>
        <sz val="10"/>
        <rFont val="Times New Roman"/>
        <family val="1"/>
      </rPr>
      <t xml:space="preserve">obs.2: </t>
    </r>
    <r>
      <rPr>
        <sz val="10"/>
        <rFont val="Times New Roman"/>
        <family val="1"/>
      </rPr>
      <t>resultado de outubro/2015 conforme MG(2016a)</t>
    </r>
  </si>
  <si>
    <r>
      <t xml:space="preserve">frota em n.º de ônibus do transporte coletivo na RMBH do serviço gerenciado pela Setop-MG equipados com elevador hidráulico que permitem embarque/desembarque não exclusivo de usuários cadeirantes (pessoas em pé podem utilizar o equipamento caso se sintam seguras e o operador permita) e que não operam em plataforma elevada 
</t>
    </r>
    <r>
      <rPr>
        <b/>
        <sz val="10"/>
        <color theme="1"/>
        <rFont val="Times New Roman"/>
        <family val="1"/>
      </rPr>
      <t xml:space="preserve">obs.1: </t>
    </r>
    <r>
      <rPr>
        <sz val="10"/>
        <color theme="1"/>
        <rFont val="Times New Roman"/>
        <family val="1"/>
      </rPr>
      <t xml:space="preserve">esta categoria recebe </t>
    </r>
    <r>
      <rPr>
        <sz val="10"/>
        <color rgb="FFFF0000"/>
        <rFont val="Times New Roman"/>
        <family val="1"/>
      </rPr>
      <t>peso 3</t>
    </r>
    <r>
      <rPr>
        <sz val="10"/>
        <color theme="1"/>
        <rFont val="Times New Roman"/>
        <family val="1"/>
      </rPr>
      <t xml:space="preserve"> (escala de 1 a 10 estabelecida pelo SisMob-BH para classificar e comparar resultados) - acesse "acessibilidade em ônibus urbano (escala)"
</t>
    </r>
    <r>
      <rPr>
        <b/>
        <sz val="10"/>
        <color theme="1"/>
        <rFont val="Times New Roman"/>
        <family val="1"/>
      </rPr>
      <t xml:space="preserve">obs.2: </t>
    </r>
    <r>
      <rPr>
        <sz val="10"/>
        <color theme="1"/>
        <rFont val="Times New Roman"/>
        <family val="1"/>
      </rPr>
      <t>pelo menos até 2015 não há ônibus desta categoria no transporte coletivo RMBH metropolitano pois em todos os ônibus "O uso do elevador é exclusivo para cadeirantes" conforme MG(2016a)</t>
    </r>
  </si>
  <si>
    <r>
      <t xml:space="preserve">frota em n.º de ônibus do transporte coletivo na RMBH do serviço gerenciado pela Setop-MG, especificamente do sub-sistema BRT, equipados com elevador hidráulico para embarque/desembarque exclusivo de cadeirantes, que operam em parte do itinerário no corredor de BRT (com embarque/desembarque em nível) e em parte do itinerário operam fora do corredor
</t>
    </r>
    <r>
      <rPr>
        <b/>
        <sz val="10"/>
        <rFont val="Times New Roman"/>
        <family val="1"/>
      </rPr>
      <t xml:space="preserve">obs.1: </t>
    </r>
    <r>
      <rPr>
        <sz val="10"/>
        <rFont val="Times New Roman"/>
        <family val="1"/>
      </rPr>
      <t xml:space="preserve">esta categoria recebe </t>
    </r>
    <r>
      <rPr>
        <sz val="10"/>
        <color rgb="FFFF0000"/>
        <rFont val="Times New Roman"/>
        <family val="1"/>
      </rPr>
      <t>peso 4,</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obs.2:</t>
    </r>
    <r>
      <rPr>
        <sz val="10"/>
        <rFont val="Times New Roman"/>
        <family val="1"/>
      </rPr>
      <t xml:space="preserve"> no serviço da RMBH gerenciado pelo Setop-MG "O uso do elevador é exclusivo para cadeirantes" conforme MG(2016a)
</t>
    </r>
    <r>
      <rPr>
        <b/>
        <sz val="10"/>
        <rFont val="Times New Roman"/>
        <family val="1"/>
      </rPr>
      <t xml:space="preserve">obs.3: </t>
    </r>
    <r>
      <rPr>
        <sz val="10"/>
        <rFont val="Times New Roman"/>
        <family val="1"/>
      </rPr>
      <t>serviço inaugurado em 2014 e resultado de outubro/2015 conforme MG(2016a)</t>
    </r>
  </si>
  <si>
    <r>
      <t xml:space="preserve">frota em n.º de ônibus do transporte coletivo na RMBH do serviço gerenciado pela Setop-MG, especificamente do sub-sistema BRT, equipados com elevador hidráulico, com chassis fabricados a partir de 2009 (inclusive), que operam em parte do itinerário no corredor de BRT (com embarque/desembarque em nível) e em parte do itinerário operam fora do corredor (usuários em pé podem utilizar o elevador para embarque/desembarque caso se sintam seguros)
</t>
    </r>
    <r>
      <rPr>
        <b/>
        <sz val="10"/>
        <rFont val="Times New Roman"/>
        <family val="1"/>
      </rPr>
      <t xml:space="preserve">obs.1: </t>
    </r>
    <r>
      <rPr>
        <sz val="10"/>
        <rFont val="Times New Roman"/>
        <family val="1"/>
      </rPr>
      <t xml:space="preserve">esta categoria recebe </t>
    </r>
    <r>
      <rPr>
        <sz val="10"/>
        <color rgb="FFFF0000"/>
        <rFont val="Times New Roman"/>
        <family val="1"/>
      </rPr>
      <t>peso 5</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a despeito dos veículos serem dos mesmos tipos, diferente do BRT gerenciado pela BHTrans no serviço da RMBH gerenciado pelo Setop-MG "O uso do elevador é exclusivo para cadeirantes" conforme MG(2016a)</t>
    </r>
    <r>
      <rPr>
        <b/>
        <sz val="10"/>
        <rFont val="Times New Roman"/>
        <family val="1"/>
      </rPr>
      <t xml:space="preserve">
obs.3: </t>
    </r>
    <r>
      <rPr>
        <sz val="10"/>
        <rFont val="Times New Roman"/>
        <family val="1"/>
      </rPr>
      <t>serviço inaugurado em 2014 e resultado (zero) de outubro/2015 conforme MG(2016a)</t>
    </r>
  </si>
  <si>
    <r>
      <rPr>
        <b/>
        <sz val="11"/>
        <color rgb="FFFF0000"/>
        <rFont val="Times New Roman"/>
        <family val="1"/>
      </rPr>
      <t>peso 6:</t>
    </r>
    <r>
      <rPr>
        <sz val="11"/>
        <color rgb="FFFF0000"/>
        <rFont val="Times New Roman"/>
        <family val="1"/>
      </rPr>
      <t xml:space="preserve"> </t>
    </r>
    <r>
      <rPr>
        <sz val="11"/>
        <rFont val="Times New Roman"/>
        <family val="1"/>
      </rPr>
      <t>não existem na RMBH gerenciados pela Setop-MG conforme MG(2016a)</t>
    </r>
  </si>
  <si>
    <r>
      <rPr>
        <b/>
        <sz val="11"/>
        <color rgb="FFFF0000"/>
        <rFont val="Times New Roman"/>
        <family val="1"/>
      </rPr>
      <t>peso 7:</t>
    </r>
    <r>
      <rPr>
        <sz val="11"/>
        <color rgb="FFFF0000"/>
        <rFont val="Times New Roman"/>
        <family val="1"/>
      </rPr>
      <t xml:space="preserve"> </t>
    </r>
    <r>
      <rPr>
        <sz val="11"/>
        <rFont val="Times New Roman"/>
        <family val="1"/>
      </rPr>
      <t>não existem na RMBH gerenciados pela Setop-MG conforme MG(2016a)</t>
    </r>
  </si>
  <si>
    <r>
      <t xml:space="preserve">frota em n.º de ônibus do transporte coletivo na RMBH do serviço gerenciado pela Setop-MG com piso-alto e com rampa veicular manual em uma das portas (com embarque/desembarque em nível apenas nessa porta com o usuário dependente da abertura manual da rampa)
</t>
    </r>
    <r>
      <rPr>
        <b/>
        <sz val="10"/>
        <rFont val="Times New Roman"/>
        <family val="1"/>
      </rPr>
      <t xml:space="preserve">obs.1: </t>
    </r>
    <r>
      <rPr>
        <sz val="10"/>
        <rFont val="Times New Roman"/>
        <family val="1"/>
      </rPr>
      <t xml:space="preserve">esta categoria recebe </t>
    </r>
    <r>
      <rPr>
        <sz val="10"/>
        <color rgb="FFFF0000"/>
        <rFont val="Times New Roman"/>
        <family val="1"/>
      </rPr>
      <t>peso 8</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obs.2:</t>
    </r>
    <r>
      <rPr>
        <sz val="10"/>
        <rFont val="Times New Roman"/>
        <family val="1"/>
      </rPr>
      <t xml:space="preserve"> no serviço da RMBH gerenciado pelo Setop-MG pelo menos até 2015 os veículos de piso-alto com rampa operam apenas no sub-sistema BRT
</t>
    </r>
    <r>
      <rPr>
        <b/>
        <sz val="10"/>
        <rFont val="Times New Roman"/>
        <family val="1"/>
      </rPr>
      <t>obs.3:</t>
    </r>
    <r>
      <rPr>
        <sz val="10"/>
        <rFont val="Times New Roman"/>
        <family val="1"/>
      </rPr>
      <t xml:space="preserve"> serviço inaugurado em 2014 e resultado de outubro/2015 conforme MG(2016a)</t>
    </r>
  </si>
  <si>
    <r>
      <rPr>
        <b/>
        <sz val="11"/>
        <color rgb="FFFF0000"/>
        <rFont val="Times New Roman"/>
        <family val="1"/>
      </rPr>
      <t>peso 9:</t>
    </r>
    <r>
      <rPr>
        <sz val="11"/>
        <color rgb="FFFF0000"/>
        <rFont val="Times New Roman"/>
        <family val="1"/>
      </rPr>
      <t xml:space="preserve"> </t>
    </r>
    <r>
      <rPr>
        <sz val="11"/>
        <rFont val="Times New Roman"/>
        <family val="1"/>
      </rPr>
      <t>não existem na RMBH gerenciados pela Setop-MG conforme MG(2016a)</t>
    </r>
  </si>
  <si>
    <r>
      <rPr>
        <b/>
        <sz val="11"/>
        <color rgb="FFFF0000"/>
        <rFont val="Times New Roman"/>
        <family val="1"/>
      </rPr>
      <t>peso 10:</t>
    </r>
    <r>
      <rPr>
        <sz val="11"/>
        <color rgb="FFFF0000"/>
        <rFont val="Times New Roman"/>
        <family val="1"/>
      </rPr>
      <t xml:space="preserve"> </t>
    </r>
    <r>
      <rPr>
        <sz val="11"/>
        <rFont val="Times New Roman"/>
        <family val="1"/>
      </rPr>
      <t>não existem na RMBH gerenciados pela Setop-MG conforme MG(2016a)</t>
    </r>
  </si>
  <si>
    <r>
      <t xml:space="preserve">frota total em n.º de ônibus do transporte coletivo na RMBH do serviço gerenciado pela Setop-MG 
</t>
    </r>
    <r>
      <rPr>
        <b/>
        <sz val="10"/>
        <rFont val="Times New Roman"/>
        <family val="1"/>
      </rPr>
      <t xml:space="preserve">obs.3: </t>
    </r>
    <r>
      <rPr>
        <sz val="10"/>
        <rFont val="Times New Roman"/>
        <family val="1"/>
      </rPr>
      <t>resultado de outubro/2015 conforme MG(2016a)</t>
    </r>
  </si>
  <si>
    <r>
      <t xml:space="preserve">frota em n.º de ônibus do transporte coletivo na RMBH do serviço gerenciado pela Setop-MG com alguma facilidade para o embarque/desembarque de pessoas com mobilidade física reduzida mesmo que essa facilidade não permita classificar a viagem ofertada como acessível
</t>
    </r>
    <r>
      <rPr>
        <b/>
        <sz val="10"/>
        <rFont val="Times New Roman"/>
        <family val="1"/>
      </rPr>
      <t xml:space="preserve">obs.1: </t>
    </r>
    <r>
      <rPr>
        <sz val="10"/>
        <rFont val="Times New Roman"/>
        <family val="1"/>
      </rPr>
      <t>acesse as definições de "acessível, ônibus" e "alguma facilidade"</t>
    </r>
  </si>
  <si>
    <r>
      <t>percentual da frota de ônibus do transporte coletivo na RMBH do serviço gerenciado pela Setop-MG com alguma facilidade no embarque/desembarque para pessoas com mobilidade física reduzida</t>
    </r>
    <r>
      <rPr>
        <b/>
        <sz val="10"/>
        <rFont val="Times New Roman"/>
        <family val="1"/>
      </rPr>
      <t/>
    </r>
  </si>
  <si>
    <t>percentual da frota de ônibus do transporte coletivo na RMBH do serviço gerenciado pela Setop-MG  equipados com  elevador hidráulico de uso exclusivo ou não para cadeirantes e que não estão aptos a operar em parte do percurso em plataforma elevada</t>
  </si>
  <si>
    <r>
      <t xml:space="preserve">frota em n.º de ônibus do transporte coletivo na RMBH do serviço gerenciado pela Setop-MG  com embarque/desembarque exclusivamente em nível em todos os pontos de parada, com veículo de piso baixo ou veículo de piso alto (com o uso de plataforma elevada), em ambos os casos com ou sem rampa para transpor a fronteira
</t>
    </r>
    <r>
      <rPr>
        <b/>
        <sz val="10"/>
        <rFont val="Times New Roman"/>
        <family val="1"/>
      </rPr>
      <t xml:space="preserve">obs.: </t>
    </r>
    <r>
      <rPr>
        <sz val="10"/>
        <rFont val="Times New Roman"/>
        <family val="1"/>
      </rPr>
      <t>na frota RMBH do serviço gerenciado pelo Setop-MG , pelo menos até 2015, os ônibus com embarque em nível são apenas os que operam no BRT Move puro</t>
    </r>
  </si>
  <si>
    <t>percentual da frota de ônibus do transporte coletivo na RMBH do serviço gerenciado pela Setop-MG  com embarque/desembarque exclusivamente em nível em todos os pontos de parada</t>
  </si>
  <si>
    <t>frota em n.º de ônibus de piso baixo na RMBH do serviço de transporte coletivo gerenciado pela Setop-MG
obs.: em 2015 não existe ônibus de piso baixo no serviço de transporte coletivo gerenciado pela Setop-MG</t>
  </si>
  <si>
    <t xml:space="preserve">percentual da frota de ônibus de piso baixo na RMBH do serviço gerenciado pela Setop-MG  </t>
  </si>
  <si>
    <r>
      <t xml:space="preserve">índice de acessibilidade do embarque/desembarque da frota de transporte coletivo por ônibus urbano na RMBH do serviço gerenciado pela Setop-MG na escala de 1 a 10 definida pelo SisMob-BH (onde 1 é a pior situação, 6 é o "RPI de acessibilidade sem desenho universal" e 10 é a melhor situação como "RPI de desenho universal")
</t>
    </r>
    <r>
      <rPr>
        <b/>
        <sz val="10"/>
        <rFont val="Times New Roman"/>
        <family val="1"/>
      </rPr>
      <t xml:space="preserve">obs.: </t>
    </r>
    <r>
      <rPr>
        <sz val="10"/>
        <rFont val="Times New Roman"/>
        <family val="1"/>
      </rPr>
      <t>consulte "acessibilidade em ônibus urbano (escala)"</t>
    </r>
  </si>
  <si>
    <t>ônibus urbano acessível</t>
  </si>
  <si>
    <r>
      <t xml:space="preserve">aquele que opera no sistema de transporte coletivo urbano de uma cidade/região oferecendo embarque/desembarque em nível com autonomia e segurança para todos os passageiros e, no caso de utilização de elevador hidráulico, apenas se a cidade/região atestar, de forma inquestionável, a impossibilidade de se adotar qualquer das alternativas principais previstas na NBR 14022 (ABNT, 1997a; 2006a; 2009a; 2011a; 2015a), quais sejam: ônibus de piso baixo e ônibus de piso alto com acesso realizado por plataforma de embarque/desembarque
</t>
    </r>
    <r>
      <rPr>
        <b/>
        <sz val="10"/>
        <rFont val="Times New Roman"/>
        <family val="1"/>
      </rPr>
      <t xml:space="preserve">obs.1: </t>
    </r>
    <r>
      <rPr>
        <sz val="10"/>
        <rFont val="Times New Roman"/>
        <family val="1"/>
      </rPr>
      <t xml:space="preserve">como é sabido que, por vezes, pode haver alguma dificuldade para operação do veículo acessível em determinadas vias de uma cidade, as normas permitem a utilização de veículo de piso alto adaptado com plataforma elevatória como uma exceção, não devendo esse veículo ser considerado como acessível e sua utilização devendo ser tomada sempre como temporária, pois a superação das dificuldades deve ser permanente na busca do desenho universal
</t>
    </r>
    <r>
      <rPr>
        <b/>
        <sz val="10"/>
        <rFont val="Times New Roman"/>
        <family val="1"/>
      </rPr>
      <t>obs.2:</t>
    </r>
    <r>
      <rPr>
        <sz val="10"/>
        <rFont val="Times New Roman"/>
        <family val="1"/>
      </rPr>
      <t xml:space="preserve"> consulte OLIVEIRA(2015a; 2015b) para conhecer a fundamentação completa deste verbete 
</t>
    </r>
    <r>
      <rPr>
        <b/>
        <sz val="10"/>
        <rFont val="Times New Roman"/>
        <family val="1"/>
      </rPr>
      <t>obs.3:</t>
    </r>
    <r>
      <rPr>
        <sz val="10"/>
        <rFont val="Times New Roman"/>
        <family val="1"/>
      </rPr>
      <t xml:space="preserve"> dada a diversidade de veículos que podem se enquadrar nesta definição, cada qual oferecendo um grau de acessibilidade bem diferente, para evitar conclusões apressadas e equivocadas o SisMob-BH não definiu um indicador quantitativo associado a "ônibus acessível", pois o indicador quantitativo de "ônibus com facilidade" supre essa lacuna de forma mais apropriada (consulte "F tc fc")
</t>
    </r>
    <r>
      <rPr>
        <b/>
        <sz val="10"/>
        <rFont val="Times New Roman"/>
        <family val="1"/>
      </rPr>
      <t xml:space="preserve">obs.4: </t>
    </r>
    <r>
      <rPr>
        <sz val="10"/>
        <rFont val="Times New Roman"/>
        <family val="1"/>
      </rPr>
      <t>acesse os diversos outros registros de "ônibus urbano" que tratam da acessibilidade</t>
    </r>
  </si>
  <si>
    <r>
      <t xml:space="preserve">aquele que opera no sistema de transporte público coletivo de alguma cidade/região oferecendo alguma facilidade para o embarque/desembarque de pessoas com mobilidade física reduzida, quer seja com operação em nível com base no desenho universal, seja com o apoio de algum mecanismo como rampa (seja móvel ou automática, seja instalada no veículo ou na plataforma) para transposição de fronteira ou elevador hidráulico instalado no veículo
</t>
    </r>
    <r>
      <rPr>
        <b/>
        <sz val="10"/>
        <rFont val="Times New Roman"/>
        <family val="1"/>
      </rPr>
      <t xml:space="preserve">obs.1: </t>
    </r>
    <r>
      <rPr>
        <sz val="10"/>
        <rFont val="Times New Roman"/>
        <family val="1"/>
      </rPr>
      <t xml:space="preserve">resultados quantitativos de Belo Horizonte obtidos nos indicadores "F tc sfc" / "F tcc sfc" / "F tcs sfc" e dos indicadores "F tc sfc" das demais cidades/regiões já incluídas no SisMob-BH
</t>
    </r>
    <r>
      <rPr>
        <b/>
        <sz val="10"/>
        <rFont val="Times New Roman"/>
        <family val="1"/>
      </rPr>
      <t xml:space="preserve">obs.2: </t>
    </r>
    <r>
      <rPr>
        <sz val="10"/>
        <rFont val="Times New Roman"/>
        <family val="1"/>
      </rPr>
      <t>acesse os diversos outros registros de "ônibus urbano" que tratam da acessibilidade</t>
    </r>
  </si>
  <si>
    <r>
      <t xml:space="preserve">aquele que opera no sistema de transporte público coletivo de uma cidade/região oferecendo, em todos os pontos de parada, a possibilidade de embarque/desembarque exclusivamente em nível com base no desenho universal ou com o apoio de algum mecanismo como rampa (seja móvel ou automática, seja instalada no veículo ou na plataforma) para transposição de fronteira
</t>
    </r>
    <r>
      <rPr>
        <b/>
        <sz val="10"/>
        <rFont val="Times New Roman"/>
        <family val="1"/>
      </rPr>
      <t>obs.1:</t>
    </r>
    <r>
      <rPr>
        <sz val="10"/>
        <rFont val="Times New Roman"/>
        <family val="1"/>
      </rPr>
      <t xml:space="preserve"> não é considerado embarque em nível o ônibus que opera no chamado "BRT misto", pois nesse tipo de sistema há embarque/desembarque em nível apenas nas plataformas elevadas ao longo do corredor de transporte, obrigando o usuário ao embarque/desembarque com escada/elevador hidráulico na porção do itinerário que opera fora do corregor em pontos de parada na calçada
</t>
    </r>
    <r>
      <rPr>
        <b/>
        <sz val="10"/>
        <rFont val="Times New Roman"/>
        <family val="1"/>
      </rPr>
      <t xml:space="preserve">obs.2: </t>
    </r>
    <r>
      <rPr>
        <sz val="10"/>
        <rFont val="Times New Roman"/>
        <family val="1"/>
      </rPr>
      <t xml:space="preserve">resultados quantitativos de Belo Horizonte obtidos nos indicadores "F tc sfc" / "F tcc sfc" / "F tcs sfc" e dos indicadores "F tc sfc" das demais cidades/regiões já incluídas no SisMob-BH
</t>
    </r>
    <r>
      <rPr>
        <b/>
        <sz val="10"/>
        <rFont val="Times New Roman"/>
        <family val="1"/>
      </rPr>
      <t xml:space="preserve">obs.3: </t>
    </r>
    <r>
      <rPr>
        <sz val="10"/>
        <rFont val="Times New Roman"/>
        <family val="1"/>
      </rPr>
      <t>acesse os diversos outros registros de "ônibus urbano" que tratam da acessibilidade</t>
    </r>
  </si>
  <si>
    <r>
      <t xml:space="preserve">aquele que opera no sistema de transporte público coletivo de uma cidade/região com  piso baixo de qualquer tipo (total, central, dianteiro, traseiro)
</t>
    </r>
    <r>
      <rPr>
        <b/>
        <sz val="10"/>
        <rFont val="Times New Roman"/>
        <family val="1"/>
      </rPr>
      <t xml:space="preserve">obs.: </t>
    </r>
    <r>
      <rPr>
        <sz val="10"/>
        <rFont val="Times New Roman"/>
        <family val="1"/>
      </rPr>
      <t>acesse os diversos outros registros de "ônibus urbano" que tratam da acessibilidade</t>
    </r>
  </si>
  <si>
    <r>
      <t xml:space="preserve">aquele que opera no sistema de transporte público coletivo de uma cidade/região sem oferecer qualquer facilidade para o embarque/desembarque de pessoas com mobilidade física reduzida, ou seja, sem operação em nível com base no desenho universal e sem o apoio de qualquer mecanismo como rampa para transposição de fronteira ou elevador hidráulico
</t>
    </r>
    <r>
      <rPr>
        <b/>
        <sz val="10"/>
        <rFont val="Times New Roman"/>
        <family val="1"/>
      </rPr>
      <t xml:space="preserve">obs.1: </t>
    </r>
    <r>
      <rPr>
        <sz val="10"/>
        <rFont val="Times New Roman"/>
        <family val="1"/>
      </rPr>
      <t xml:space="preserve">acesse o verbete "não acessível"
</t>
    </r>
    <r>
      <rPr>
        <b/>
        <sz val="10"/>
        <rFont val="Times New Roman"/>
        <family val="1"/>
      </rPr>
      <t xml:space="preserve">obs.2: </t>
    </r>
    <r>
      <rPr>
        <sz val="10"/>
        <rFont val="Times New Roman"/>
        <family val="1"/>
      </rPr>
      <t xml:space="preserve">resultados quantitativos de Belo Horizonte obtidos nos indicadores "F tc sfc" / "F tcc sfc" / "F tcs sfc" e dos indicadores "F tc sfc" das demais cidades/regiões já incluídas no SisMob-BH
</t>
    </r>
    <r>
      <rPr>
        <b/>
        <sz val="10"/>
        <rFont val="Times New Roman"/>
        <family val="1"/>
      </rPr>
      <t xml:space="preserve">obs.3: </t>
    </r>
    <r>
      <rPr>
        <sz val="10"/>
        <rFont val="Times New Roman"/>
        <family val="1"/>
      </rPr>
      <t>acesse os diversos outros registros de "ônibus urbano" que tratam da acessibilidade</t>
    </r>
  </si>
  <si>
    <r>
      <t xml:space="preserve">aquele que opera no sistema de transporte público coletivo de uma cidade/região oferecendo a possibilidade de embarque/desembarque em nível apenas em parte dos pontos de parada, em plataformas elevadas ao longo de parte do itinerário localizado em um corredor de transporte, impondo ao usuário um embarque/desembarque com escada/elevador hidráulico na porção do itinerário que opera fora do corredor em pontos de parada na calçada
</t>
    </r>
    <r>
      <rPr>
        <b/>
        <sz val="10"/>
        <rFont val="Times New Roman"/>
        <family val="1"/>
      </rPr>
      <t>obs.1:</t>
    </r>
    <r>
      <rPr>
        <sz val="10"/>
        <rFont val="Times New Roman"/>
        <family val="1"/>
      </rPr>
      <t xml:space="preserve"> acesse "ônibus com embarque em nível"
</t>
    </r>
    <r>
      <rPr>
        <b/>
        <sz val="10"/>
        <rFont val="Times New Roman"/>
        <family val="1"/>
      </rPr>
      <t xml:space="preserve">obs.2: </t>
    </r>
    <r>
      <rPr>
        <sz val="10"/>
        <rFont val="Times New Roman"/>
        <family val="1"/>
      </rPr>
      <t xml:space="preserve">o BRT misto é um exemplo onde opera um ônibus com embarque parcial em nível, onde há uma clara opção pela flexibilidade da operação do sistema de transporte em detrimento do direito ao desenho universal ao longo de todo o itinerário 
</t>
    </r>
    <r>
      <rPr>
        <b/>
        <sz val="10"/>
        <rFont val="Times New Roman"/>
        <family val="1"/>
      </rPr>
      <t>obs.3:</t>
    </r>
    <r>
      <rPr>
        <sz val="10"/>
        <rFont val="Times New Roman"/>
        <family val="1"/>
      </rPr>
      <t xml:space="preserve"> o elevavor utilizado tipo de ônibus por ser de de uso exclusivo ao não de cadeirantes ("ec" ou "ecp") e, por isto, os indicadores associados são "F tc BRT misto eh ec" e "F tc BRT misto eh ecp) 
</t>
    </r>
    <r>
      <rPr>
        <b/>
        <sz val="10"/>
        <rFont val="Times New Roman"/>
        <family val="1"/>
      </rPr>
      <t xml:space="preserve">obs.4: </t>
    </r>
    <r>
      <rPr>
        <sz val="10"/>
        <rFont val="Times New Roman"/>
        <family val="1"/>
      </rPr>
      <t>acesse os diversos outros registros de "ônibus urbano" que tratam da acessibilidade</t>
    </r>
  </si>
  <si>
    <r>
      <t xml:space="preserve">aquele que opera no sistema de transporte público coletivo de uma cidade/região oferecendo, em todos os pontos de parada e a todas as pessoas, independente da dificuldade que cada uma possa ter, a possibilidade de embarque/desembarque exclusivamente em nível com base no desenho universal, ou seja, com todos os passageiros embarcando e desembarcando pelas mesmas portas
</t>
    </r>
    <r>
      <rPr>
        <b/>
        <sz val="10"/>
        <rFont val="Times New Roman"/>
        <family val="1"/>
      </rPr>
      <t xml:space="preserve">obs.1: </t>
    </r>
    <r>
      <rPr>
        <sz val="10"/>
        <rFont val="Times New Roman"/>
        <family val="1"/>
      </rPr>
      <t xml:space="preserve">resultados quantitativos de Belo Horizonte obtidos nos indicadores "F tc sfc" / "F tcc sfc" / "F tcs sfc" e dos indicadores "F tc sfc" das demais cidades/regiões já incluídas no SisMob-BH
</t>
    </r>
    <r>
      <rPr>
        <b/>
        <sz val="10"/>
        <rFont val="Times New Roman"/>
        <family val="1"/>
      </rPr>
      <t>obs.2:</t>
    </r>
    <r>
      <rPr>
        <sz val="10"/>
        <rFont val="Times New Roman"/>
        <family val="1"/>
      </rPr>
      <t xml:space="preserve"> acesse os diversos outros registros de "ônibus urbano" que tratam da acessibilidade</t>
    </r>
  </si>
  <si>
    <r>
      <rPr>
        <b/>
        <sz val="12"/>
        <color theme="1"/>
        <rFont val="Times New Roman"/>
        <family val="1"/>
      </rPr>
      <t>BH(2016j1/j2/j3/j4/j5):</t>
    </r>
    <r>
      <rPr>
        <sz val="12"/>
        <color theme="1"/>
        <rFont val="Times New Roman"/>
        <family val="1"/>
      </rPr>
      <t xml:space="preserve"> BELO HORIZONTE. Prefeitura. Portal da Gestão. </t>
    </r>
    <r>
      <rPr>
        <i/>
        <sz val="12"/>
        <color theme="1"/>
        <rFont val="Times New Roman"/>
        <family val="1"/>
      </rPr>
      <t>Análises - Percentual de viagens com acessibilidade no transporte coletivo convencional; Análises - Percentual de viagens com acessibilidade no transporte coletivo convencional; Atualização de Metas - Percentual de viagens com acessibilidade no transporte coletivo convencional</t>
    </r>
    <r>
      <rPr>
        <sz val="12"/>
        <color theme="1"/>
        <rFont val="Times New Roman"/>
        <family val="1"/>
      </rPr>
      <t>;</t>
    </r>
    <r>
      <rPr>
        <i/>
        <sz val="12"/>
        <color theme="1"/>
        <rFont val="Times New Roman"/>
        <family val="1"/>
      </rPr>
      <t xml:space="preserve"> Painel de Metas Estratégicas - busca por "acessibilidade"; Resultados mensais (01/2014 a 01/2015) de viagens com acessibilidade no transporte coletivo convencional.</t>
    </r>
    <r>
      <rPr>
        <sz val="12"/>
        <color theme="1"/>
        <rFont val="Times New Roman"/>
        <family val="1"/>
      </rPr>
      <t xml:space="preserve"> Disponível no Portal da Gestão da PBH. Acesso [restrito] em: 4 ago. 2016.</t>
    </r>
  </si>
  <si>
    <r>
      <t xml:space="preserve">frota do transporte coletivo suplementar de Belo Horizonte em n.º de veículos com elevador, que tenham chassis fabricado a partir de 2009 (inclusive) e que não operam em plataformas elevadas (o embarque/desembarque nunca acontece em nível e pessoas em pé podem utilizar o elevador para embarque/desembarque caso se sintam seguras e o operador permita)
</t>
    </r>
    <r>
      <rPr>
        <b/>
        <sz val="10"/>
        <rFont val="Times New Roman"/>
        <family val="1"/>
      </rPr>
      <t>obs.1:</t>
    </r>
    <r>
      <rPr>
        <sz val="10"/>
        <rFont val="Times New Roman"/>
        <family val="1"/>
      </rPr>
      <t xml:space="preserve"> esta categoria recebe </t>
    </r>
    <r>
      <rPr>
        <sz val="10"/>
        <color rgb="FFFF0000"/>
        <rFont val="Times New Roman"/>
        <family val="1"/>
      </rPr>
      <t>peso 3</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xml:space="preserve">obs.2: </t>
    </r>
    <r>
      <rPr>
        <sz val="10"/>
        <rFont val="Times New Roman"/>
        <family val="1"/>
      </rPr>
      <t xml:space="preserve">o edital de licitação do serviço em 2016 estabelece que "Todos os veículos com o chassi fabricado a partir de 31/01/2009, dotados de plataforma elevatória fa-bricada de acordo com a norma ABNT NBR 15646, devem ser identificados com o adesivo apresentado no Anexo - Manual de Identidade Visual do Veículo - MIVV, de forma a diferenciar os veículos cujo elevador permite a utilização por pessoas com deficiência ou mobilidade reduzida (em pé), dos veículos cujo elevador é acessível apenas para usuários de cadeira de rodas." conforme BHTRANS(2016h, p.64)
</t>
    </r>
    <r>
      <rPr>
        <b/>
        <sz val="10"/>
        <rFont val="Times New Roman"/>
        <family val="1"/>
      </rPr>
      <t xml:space="preserve">obs.3: </t>
    </r>
    <r>
      <rPr>
        <sz val="10"/>
        <rFont val="Times New Roman"/>
        <family val="1"/>
      </rPr>
      <t>resultado de dezembro tomado como representativo do ano com resultado de 2014 conforme BHTRANS(2015c), 2015 conforme(BHTRANS,2016p1)</t>
    </r>
  </si>
  <si>
    <r>
      <t xml:space="preserve">frota do transporte coletivo suplementar de Belo Horizonte em n.º de veículos com elevador hidráulico acionado exclusivamente para embarque/desembarque de pessoas em cadeira de rodas, que tenham chassis fabricados até 2008 (inclusive) e que não operam em plataformas elevadas (o embarque/desembarque nunca acontece em nível) 
</t>
    </r>
    <r>
      <rPr>
        <b/>
        <sz val="10"/>
        <rFont val="Times New Roman"/>
        <family val="1"/>
      </rPr>
      <t xml:space="preserve">obs.1: </t>
    </r>
    <r>
      <rPr>
        <sz val="10"/>
        <rFont val="Times New Roman"/>
        <family val="1"/>
      </rPr>
      <t xml:space="preserve">resultado de dezembro tomado como representativo do ano com resultado de 2014 conforme BHTRANS(2015c), 2015 conforme(BHTRANS,2016p1)
</t>
    </r>
    <r>
      <rPr>
        <b/>
        <sz val="10"/>
        <rFont val="Times New Roman"/>
        <family val="1"/>
      </rPr>
      <t xml:space="preserve">obs.2: </t>
    </r>
    <r>
      <rPr>
        <sz val="10"/>
        <rFont val="Times New Roman"/>
        <family val="1"/>
      </rPr>
      <t xml:space="preserve">em função dos resultados de "F tcc eh ec " para 2003, assume-se que F tcs ec" é zero de 2001 a 2003
</t>
    </r>
    <r>
      <rPr>
        <b/>
        <sz val="10"/>
        <rFont val="Times New Roman"/>
        <family val="1"/>
      </rPr>
      <t>obs.3:</t>
    </r>
    <r>
      <rPr>
        <sz val="10"/>
        <rFont val="Times New Roman"/>
        <family val="1"/>
      </rPr>
      <t xml:space="preserve"> o edital de licitação do serviço em 2016 estabelece que "Todos os veículos com o chassi fabricado a partir de 31/01/2009, dotados de plataforma elevatória fa-bricada de acordo com a norma ABNT NBR 15646, devem ser identificados com o adesivo apresentado no Anexo - Manual de Identidade Visual do Veículo - MIVV, de forma a diferenciar os veículos cujo elevador permite a utilização por pessoas com deficiência ou mobilidade reduzida (em pé), dos veículos cujo elevador é acessível apenas para usuários de cadeira de rodas." conforme BHTRANS(2016h, p.64)
</t>
    </r>
    <r>
      <rPr>
        <b/>
        <sz val="10"/>
        <rFont val="Times New Roman"/>
        <family val="1"/>
      </rPr>
      <t>obs.4:</t>
    </r>
    <r>
      <rPr>
        <sz val="10"/>
        <rFont val="Times New Roman"/>
        <family val="1"/>
      </rPr>
      <t xml:space="preserve"> esta categoria recebe</t>
    </r>
    <r>
      <rPr>
        <sz val="10"/>
        <color rgb="FFFF0000"/>
        <rFont val="Times New Roman"/>
        <family val="1"/>
      </rPr>
      <t xml:space="preserve"> peso 2,</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
    </r>
  </si>
  <si>
    <r>
      <rPr>
        <b/>
        <sz val="10"/>
        <color theme="1"/>
        <rFont val="Times New Roman"/>
        <family val="1"/>
      </rPr>
      <t xml:space="preserve">1983: </t>
    </r>
    <r>
      <rPr>
        <sz val="10"/>
        <color theme="1"/>
        <rFont val="Times New Roman"/>
        <family val="1"/>
      </rPr>
      <t xml:space="preserve">legislação municipal determina que "Ficam as concessionárias dos transportes coletivos municipais autorizadas a permitir a entrada nos coletivos, pela porta da frente, de pessoas com dificuldade de locomoção, temporária ou permanente" conforme BH(1983a) / </t>
    </r>
    <r>
      <rPr>
        <b/>
        <sz val="10"/>
        <color theme="1"/>
        <rFont val="Times New Roman"/>
        <family val="1"/>
      </rPr>
      <t xml:space="preserve">1984: </t>
    </r>
    <r>
      <rPr>
        <sz val="10"/>
        <color theme="1"/>
        <rFont val="Times New Roman"/>
        <family val="1"/>
      </rPr>
      <t xml:space="preserve">legislação municipal "Autoriza o Executivo a equipar os pontos de coletivos da cidade com rampas e degraus especiais, para acesso dos deficientes físicos a estes veículos" conforme BH(1984a) / </t>
    </r>
    <r>
      <rPr>
        <b/>
        <sz val="10"/>
        <color theme="1"/>
        <rFont val="Times New Roman"/>
        <family val="1"/>
      </rPr>
      <t>1989:</t>
    </r>
    <r>
      <rPr>
        <sz val="10"/>
        <color theme="1"/>
        <rFont val="Times New Roman"/>
        <family val="1"/>
      </rPr>
      <t xml:space="preserve"> a legislação determina que "A Prefeitura Municipal de Belo Horizonte garantirá o acesso de pessoas portadoras de deficiências físicas e com dificuldade de locomoção aos veículos de transportes coletivos." com "a instalação de elevadores hidráulicos, portas largas e a eliminação de obstáculos internos que dificultem o acesso dos portadores de deficiências físicas, inclusive os que utilizam cadeiras de roda." conforme BH(1989a) 
</t>
    </r>
    <r>
      <rPr>
        <b/>
        <sz val="10"/>
        <rFont val="Times New Roman"/>
        <family val="1"/>
      </rPr>
      <t xml:space="preserve">VERBETE EM CONSTRUÇÃO: </t>
    </r>
    <r>
      <rPr>
        <sz val="10"/>
        <rFont val="Times New Roman"/>
        <family val="1"/>
      </rPr>
      <t>sistematização do SisMob-BH iniciada em maio/2016 (aqui está sendo publicado em ordem cronológica tudo que se for encontrando sobre acessibilidade na frota de ônibus do transporte coletivo de Belo Horizonte)</t>
    </r>
  </si>
  <si>
    <r>
      <rPr>
        <b/>
        <sz val="10"/>
        <rFont val="Times New Roman"/>
        <family val="1"/>
      </rPr>
      <t xml:space="preserve">13 mar.2001: </t>
    </r>
    <r>
      <rPr>
        <sz val="10"/>
        <rFont val="Times New Roman"/>
        <family val="1"/>
      </rPr>
      <t xml:space="preserve">projeto de lei municipal de iniciativa da CMBH propõe prazo de 180 dias para "adaptação de toda a frota para que seja viabilizado o embarque, permanência e desembarque de pessoas portadoras de deficiência, nos termos e padrões da legislação vigente" conforme BH(2001c) / </t>
    </r>
    <r>
      <rPr>
        <b/>
        <sz val="10"/>
        <rFont val="Times New Roman"/>
        <family val="1"/>
      </rPr>
      <t>2001:</t>
    </r>
    <r>
      <rPr>
        <sz val="10"/>
        <rFont val="Times New Roman"/>
        <family val="1"/>
      </rPr>
      <t xml:space="preserve"> publicação do BID questiona o uso de elevadores hidráulicos em ônibus urbanos conforme WRIGHT(2001a) /  </t>
    </r>
    <r>
      <rPr>
        <b/>
        <sz val="10"/>
        <rFont val="Times New Roman"/>
        <family val="1"/>
      </rPr>
      <t>10 jun.2002:</t>
    </r>
    <r>
      <rPr>
        <sz val="10"/>
        <rFont val="Times New Roman"/>
        <family val="1"/>
      </rPr>
      <t xml:space="preserve"> a BHTrans propõe ao MP-BH "como alternativa à substituição de todos os veículos com idade de dez anos por ônibus de piso baixo, o atendimento programado e domiciliar de pessoas com grave dificuldade de locomoção" conforme MG(2002a) /  </t>
    </r>
    <r>
      <rPr>
        <b/>
        <sz val="10"/>
        <rFont val="Times New Roman"/>
        <family val="1"/>
      </rPr>
      <t>22 jul. 2002:</t>
    </r>
    <r>
      <rPr>
        <sz val="10"/>
        <rFont val="Times New Roman"/>
        <family val="1"/>
      </rPr>
      <t xml:space="preserve">  proposição de lei com base em projeto de lei de 13 mar. 2001 pretende determinar a adaptação de toda a frota do transporte coletivo em 180 dias conforme BH(2002b) / </t>
    </r>
    <r>
      <rPr>
        <b/>
        <sz val="10"/>
        <rFont val="Times New Roman"/>
        <family val="1"/>
      </rPr>
      <t xml:space="preserve">1º ago. 2002: </t>
    </r>
    <r>
      <rPr>
        <sz val="10"/>
        <rFont val="Times New Roman"/>
        <family val="1"/>
      </rPr>
      <t xml:space="preserve">para atender ao MP-MG é emitido parecer técnico sobre o uso de elevadores hidráulicos em micro-ônibus conforme OLIVEIRA(2002b) citando WRIGHT(2001b) / </t>
    </r>
    <r>
      <rPr>
        <b/>
        <sz val="10"/>
        <rFont val="Times New Roman"/>
        <family val="1"/>
      </rPr>
      <t>11 jun. 2002:</t>
    </r>
    <r>
      <rPr>
        <sz val="10"/>
        <rFont val="Times New Roman"/>
        <family val="1"/>
      </rPr>
      <t xml:space="preserve"> BHTrans assina Termo de Declaração junto ao MP-MG com explicações diversas sobre substituições de ônibus </t>
    </r>
    <r>
      <rPr>
        <sz val="10"/>
        <color rgb="FFFF0000"/>
        <rFont val="Times New Roman"/>
        <family val="1"/>
      </rPr>
      <t>conforme cccc</t>
    </r>
    <r>
      <rPr>
        <sz val="10"/>
        <rFont val="Times New Roman"/>
        <family val="1"/>
      </rPr>
      <t xml:space="preserve"> / </t>
    </r>
    <r>
      <rPr>
        <b/>
        <sz val="10"/>
        <rFont val="Times New Roman"/>
        <family val="1"/>
      </rPr>
      <t>9 ago. 2002:</t>
    </r>
    <r>
      <rPr>
        <sz val="10"/>
        <rFont val="Times New Roman"/>
        <family val="1"/>
      </rPr>
      <t xml:space="preserve"> prefeito veta integramente proposição de lei de 22 jul. 2002 que pretendia determinar a adaptação de toda a frota em 180 dias conforme BH(2002d) alegando não ser tecnicamente viável adaptar veículos usados conforme BH(2002d) / </t>
    </r>
    <r>
      <rPr>
        <b/>
        <sz val="10"/>
        <rFont val="Times New Roman"/>
        <family val="1"/>
      </rPr>
      <t>11 set.2002:</t>
    </r>
    <r>
      <rPr>
        <sz val="10"/>
        <rFont val="Times New Roman"/>
        <family val="1"/>
      </rPr>
      <t xml:space="preserve"> BHTrans altera preços do "low entry" para efeito de cálculo dos custos conforme BHTRANS(2002b) / </t>
    </r>
    <r>
      <rPr>
        <b/>
        <sz val="10"/>
        <rFont val="Times New Roman"/>
        <family val="1"/>
      </rPr>
      <t>13 set.2002:</t>
    </r>
    <r>
      <rPr>
        <sz val="10"/>
        <rFont val="Times New Roman"/>
        <family val="1"/>
      </rPr>
      <t xml:space="preserve"> BHTrans revoga alteração de preços do "low entry" conforme BHTRANS(2002c) / </t>
    </r>
    <r>
      <rPr>
        <b/>
        <sz val="10"/>
        <rFont val="Times New Roman"/>
        <family val="1"/>
      </rPr>
      <t xml:space="preserve">17 set. 2002: </t>
    </r>
    <r>
      <rPr>
        <sz val="10"/>
        <rFont val="Times New Roman"/>
        <family val="1"/>
      </rPr>
      <t xml:space="preserve">proposto por vereador da CMBH projeto de lei que pretendia proibir o desembarque traseiro, que foi rejeitado pela própria CMBH e arquivado conforme BH(2002c) / </t>
    </r>
    <r>
      <rPr>
        <b/>
        <sz val="10"/>
        <rFont val="Times New Roman"/>
        <family val="1"/>
      </rPr>
      <t>mar.2003:</t>
    </r>
    <r>
      <rPr>
        <sz val="10"/>
        <rFont val="Times New Roman"/>
        <family val="1"/>
      </rPr>
      <t xml:space="preserve"> BHTrans compromete-se a "apresentar um estudo alternativo sobre a renovação de frota com fins à acessibilidade [...]" conforme MG(2003b)</t>
    </r>
    <r>
      <rPr>
        <sz val="10"/>
        <color theme="1"/>
        <rFont val="Times New Roman"/>
        <family val="1"/>
      </rPr>
      <t xml:space="preserve">
</t>
    </r>
    <r>
      <rPr>
        <b/>
        <sz val="10"/>
        <rFont val="Times New Roman"/>
        <family val="1"/>
      </rPr>
      <t>VERBETE EM CONSTRUÇÃO:</t>
    </r>
    <r>
      <rPr>
        <sz val="10"/>
        <rFont val="Times New Roman"/>
        <family val="1"/>
      </rPr>
      <t xml:space="preserve"> sistematização do SisMob-BH iniciada em maio/2016 (aqui está sendo publicado em ordem cronológica tudo que se for encontrando sobre acessibilidade na frota de ônibus do transporte coletivo de Belo Horizonte)</t>
    </r>
  </si>
  <si>
    <t>"qualquer diferença de altura entre dois planos" conforme ABNT(2011a, p.2) e ABNT(2016a, p.2)</t>
  </si>
  <si>
    <t>PEV</t>
  </si>
  <si>
    <t>sigla para "plataforma elevatória veicular"</t>
  </si>
  <si>
    <r>
      <rPr>
        <b/>
        <sz val="10"/>
        <color theme="1"/>
        <rFont val="Times New Roman"/>
        <family val="1"/>
      </rPr>
      <t>jan.2016)</t>
    </r>
    <r>
      <rPr>
        <sz val="10"/>
        <color theme="1"/>
        <rFont val="Times New Roman"/>
        <family val="1"/>
      </rPr>
      <t xml:space="preserve"> com a abreviatura "PEV" é definida como sendo "equipamento instalado no veículo para transposição de fronteira, que permite a elevação de pessoa com deﬁciência ou mobilidade reduzida, para acesso em nível ao interior do veículo" conforme ABNT(2016a, p.3)</t>
    </r>
    <r>
      <rPr>
        <b/>
        <sz val="10"/>
        <color theme="1"/>
        <rFont val="Times New Roman"/>
        <family val="1"/>
      </rPr>
      <t xml:space="preserve">
jan.2011) </t>
    </r>
    <r>
      <rPr>
        <sz val="10"/>
        <color theme="1"/>
        <rFont val="Times New Roman"/>
        <family val="1"/>
      </rPr>
      <t xml:space="preserve">"dispositivo instalado no veículo para transposição de fronteira, que permite a elevação de pessoa com deficiência ou mobilidade reduzida, em cadeira de rodas ou em pé, para acesso em nível ao interior do veículo" conforme ABNT(2011a, p.2)
</t>
    </r>
    <r>
      <rPr>
        <b/>
        <sz val="10"/>
        <color theme="1"/>
        <rFont val="Times New Roman"/>
        <family val="1"/>
      </rPr>
      <t xml:space="preserve">obs.: </t>
    </r>
    <r>
      <rPr>
        <sz val="10"/>
        <color theme="1"/>
        <rFont val="Times New Roman"/>
        <family val="1"/>
      </rPr>
      <t>este equipamento é denominado "elevador hidráulico" como uma simplificação de sua denominação em OLIVEIRA(2016h1/h2)</t>
    </r>
  </si>
  <si>
    <t>RAV</t>
  </si>
  <si>
    <t>abreviatura de "rampa de acesso veicular"</t>
  </si>
  <si>
    <t>rampa de acesso veicular</t>
  </si>
  <si>
    <t>com a abreviatura "RAV" é definida como "dispositivo instalado no veículo para transposição de fronteira que permite o acesso de pessoa com deﬁciência ou mobilidade reduzida, para acesso ao interior do veículo pelo plano inclinado" conforme ABNT(2016a, p.3)</t>
  </si>
  <si>
    <t>"veículos projetados e construídos para o transporte de passageiros, que não tenham mais que oito assentos, além do assento do motorista" conforme ABNT(23016a, p.3)</t>
  </si>
  <si>
    <t>"veículos projetados e construídos para o transporte de passageiros, que tenham mais que oito assentos, além do assento do motorista, e que tenham uma massa não superior a 5 t" conforme ABNT(23016a, p.3)</t>
  </si>
  <si>
    <t>"veículos projetados e construídos para o transporte de passageiros, que tenham mais que oito assentos, além do assento do motorista, e que tenham uma massa máxima superior a 5 t" conforme ABNT(23016a, p.4)</t>
  </si>
  <si>
    <t>M3</t>
  </si>
  <si>
    <t>veículo de piso alto</t>
  </si>
  <si>
    <t>veículo de piso baixo</t>
  </si>
  <si>
    <t>acesse o registro "piso baixo"</t>
  </si>
  <si>
    <t>acesse o registro "piso alto"</t>
  </si>
  <si>
    <r>
      <rPr>
        <b/>
        <sz val="10"/>
        <color theme="1"/>
        <rFont val="Times New Roman"/>
        <family val="1"/>
      </rPr>
      <t xml:space="preserve">jan.2016) </t>
    </r>
    <r>
      <rPr>
        <sz val="10"/>
        <color theme="1"/>
        <rFont val="Times New Roman"/>
        <family val="1"/>
      </rPr>
      <t>"veículo de piso baixo - veículo que possui como característica construtiva o piso do compartimento interno rebaixado em qualquer uma de suas seções (dianteira, central, traseira ou total)" conforme ABNT(2016a, p.4)</t>
    </r>
    <r>
      <rPr>
        <b/>
        <sz val="10"/>
        <color theme="1"/>
        <rFont val="Times New Roman"/>
        <family val="1"/>
      </rPr>
      <t xml:space="preserve">
jan.2011) </t>
    </r>
    <r>
      <rPr>
        <sz val="10"/>
        <color theme="1"/>
        <rFont val="Times New Roman"/>
        <family val="1"/>
      </rPr>
      <t xml:space="preserve">"veículo de piso baixo - aquele que possui como característica construtiva o piso do compartimento interno rebaixado em qualquer uma de suas seções (dianteira, central, traseira ou total) em relação ao plano formado entre as linhas do centro das rodas" conforme ABNT(2011a,p.3-item 3.20)
</t>
    </r>
    <r>
      <rPr>
        <b/>
        <sz val="10"/>
        <color theme="1"/>
        <rFont val="Times New Roman"/>
        <family val="1"/>
      </rPr>
      <t>obs.:</t>
    </r>
    <r>
      <rPr>
        <sz val="10"/>
        <color theme="1"/>
        <rFont val="Times New Roman"/>
        <family val="1"/>
      </rPr>
      <t xml:space="preserve"> acesse os verbetes "piso alto", "piso baixo central", "piso baixo dianteiro", "piso baixo total" e "piso baixo traseiro"</t>
    </r>
  </si>
  <si>
    <r>
      <rPr>
        <b/>
        <sz val="10"/>
        <rFont val="Times New Roman"/>
        <family val="1"/>
      </rPr>
      <t>1)</t>
    </r>
    <r>
      <rPr>
        <sz val="10"/>
        <rFont val="Times New Roman"/>
        <family val="1"/>
      </rPr>
      <t xml:space="preserve"> logomarca premiada no 4º Prêmio Mídia Bus de Criação em 2012 (Salvador / Categoria Social e Governo) conforme OLIVEIRA(2014, p.81)
</t>
    </r>
    <r>
      <rPr>
        <b/>
        <sz val="10"/>
        <rFont val="Times New Roman"/>
        <family val="1"/>
      </rPr>
      <t>2)</t>
    </r>
    <r>
      <rPr>
        <sz val="10"/>
        <rFont val="Times New Roman"/>
        <family val="1"/>
      </rPr>
      <t xml:space="preserve"> parte integrante da logomarca do projeto "Cleaner and better - transporte for all 2008-2012" do </t>
    </r>
    <r>
      <rPr>
        <i/>
        <sz val="10"/>
        <rFont val="Times New Roman"/>
        <family val="1"/>
      </rPr>
      <t xml:space="preserve">Projecto Europe CiViTas ELAN </t>
    </r>
    <r>
      <rPr>
        <sz val="10"/>
        <rFont val="Times New Roman"/>
        <family val="1"/>
      </rPr>
      <t xml:space="preserve">conforme CIVITAS(2008)
</t>
    </r>
    <r>
      <rPr>
        <b/>
        <sz val="10"/>
        <rFont val="Times New Roman"/>
        <family val="1"/>
      </rPr>
      <t xml:space="preserve">obs.: </t>
    </r>
    <r>
      <rPr>
        <sz val="10"/>
        <rFont val="Times New Roman"/>
        <family val="1"/>
      </rPr>
      <t>acesse o verbete "para todos"</t>
    </r>
  </si>
  <si>
    <t>Quadro 100c - Fontes dos dados abertos do SisMob-BH</t>
  </si>
  <si>
    <r>
      <rPr>
        <b/>
        <sz val="12"/>
        <color theme="1"/>
        <rFont val="Times New Roman"/>
        <family val="1"/>
      </rPr>
      <t xml:space="preserve">LEGENDA DESTA ABA </t>
    </r>
    <r>
      <rPr>
        <sz val="12"/>
        <color theme="1"/>
        <rFont val="Times New Roman"/>
        <family val="1"/>
      </rPr>
      <t>(células destacadas em cinza): documento com endereço eletrônico informado para acesso e/ou em arquivo que pode ser remetido, a pedido, para qualquer interessado.</t>
    </r>
  </si>
  <si>
    <t>F tc
(histórico)
anos 2010</t>
  </si>
  <si>
    <t>F tc
(histórico)
anos 
2000-2002</t>
  </si>
  <si>
    <t>F tc
(histórico)
anos
2002-2009</t>
  </si>
  <si>
    <t>indicador-chave</t>
  </si>
  <si>
    <t>indicador de apoio</t>
  </si>
  <si>
    <t>core indicator</t>
  </si>
  <si>
    <t>supporting indicator</t>
  </si>
  <si>
    <t>acesse o registro "indicador de apoio"</t>
  </si>
  <si>
    <r>
      <t xml:space="preserve">acesse o registro "indicador-chave"
</t>
    </r>
    <r>
      <rPr>
        <b/>
        <sz val="10"/>
        <color theme="1"/>
        <rFont val="Times New Roman"/>
        <family val="1"/>
      </rPr>
      <t xml:space="preserve">obs.: </t>
    </r>
    <r>
      <rPr>
        <sz val="10"/>
        <color theme="1"/>
        <rFont val="Times New Roman"/>
        <family val="1"/>
      </rPr>
      <t>para o National Core Indicators (Estados Unidos), "The core indicators are standard measures used across states to assess the outcomes of services provided to individuals and families.  Indicators address key areas of concern including employment, rights, service planning, community inclusion, choice, and health and safety." conforme NCI(2016)</t>
    </r>
  </si>
  <si>
    <r>
      <t xml:space="preserve">frota em n.º de ônibus com desenho universal no embarque/desembarque, ou seja, frota em n.º de ônibus de piso-alto para operação na RIT de Curitiba, na modalidade BRT com embarque exclusivo em nível com rampas veiculares automáticas em todas as portas, ou seja, com embarque/desembarque sempre em nível promovendo autonomia em todas as portas a todos os usuários, ou seja, com acessibilidade universal
</t>
    </r>
    <r>
      <rPr>
        <b/>
        <sz val="10"/>
        <rFont val="Times New Roman"/>
        <family val="1"/>
      </rPr>
      <t xml:space="preserve">obs.1: </t>
    </r>
    <r>
      <rPr>
        <sz val="10"/>
        <rFont val="Times New Roman"/>
        <family val="1"/>
      </rPr>
      <t xml:space="preserve">esta categoria recebe </t>
    </r>
    <r>
      <rPr>
        <b/>
        <sz val="10"/>
        <color rgb="FFFF0000"/>
        <rFont val="Times New Roman"/>
        <family val="1"/>
      </rPr>
      <t>peso 10</t>
    </r>
    <r>
      <rPr>
        <sz val="10"/>
        <rFont val="Times New Roman"/>
        <family val="1"/>
      </rPr>
      <t xml:space="preserve"> (escala de 1 a 10 estabelecida pelo SisMob-BH para classificar e comparar resultados) - acesse "acessibilidade em ônibus urbano (escala)"
</t>
    </r>
    <r>
      <rPr>
        <b/>
        <sz val="10"/>
        <rFont val="Times New Roman"/>
        <family val="1"/>
      </rPr>
      <t xml:space="preserve">obs.2: </t>
    </r>
    <r>
      <rPr>
        <sz val="10"/>
        <rFont val="Times New Roman"/>
        <family val="1"/>
      </rPr>
      <t xml:space="preserve">"Cidades como Curitiba e Quito obtiveram muito sucesso com pontes de embarque. Uma ponte de embarque típica tem de 40 a 50 centímetros de largura, o que quer dizer que o veículo só precisa se alinhar dentro de 35 a 45 centímetros de distância da plataforma (Figura 8.23). Assim, há muito mais espaço para erro usando a ponte de embarque." conforme WRIGHT(2008, p.281)
</t>
    </r>
    <r>
      <rPr>
        <b/>
        <sz val="10"/>
        <rFont val="Times New Roman"/>
        <family val="1"/>
      </rPr>
      <t xml:space="preserve">obs.3: </t>
    </r>
    <r>
      <rPr>
        <sz val="10"/>
        <rFont val="Times New Roman"/>
        <family val="1"/>
      </rPr>
      <t xml:space="preserve">Enquadram-se nesta categoria toda a frota de ônibus biarticulados que operam no "expresso ligeirão", os biarticulados e os articulados que operam no "expresso" e os articulados e padron que operam no "ligeirinho" conforme BHTRANS(2016f)
</t>
    </r>
    <r>
      <rPr>
        <b/>
        <sz val="10"/>
        <rFont val="Times New Roman"/>
        <family val="1"/>
      </rPr>
      <t xml:space="preserve">obs.4: </t>
    </r>
    <r>
      <rPr>
        <sz val="10"/>
        <rFont val="Times New Roman"/>
        <family val="1"/>
      </rPr>
      <t>fotos que ilustram a Nota de acessibilidade n.º 2 em BLOG MEU TRANSPORTE(2010)</t>
    </r>
  </si>
  <si>
    <r>
      <rPr>
        <b/>
        <sz val="12"/>
        <color theme="1"/>
        <rFont val="Times New Roman"/>
        <family val="1"/>
      </rPr>
      <t xml:space="preserve">BLOG MEU TRANSPORTE(2010a): </t>
    </r>
    <r>
      <rPr>
        <sz val="12"/>
        <color theme="1"/>
        <rFont val="Times New Roman"/>
        <family val="1"/>
      </rPr>
      <t xml:space="preserve">BLOG MEU TRANSPORTE. </t>
    </r>
    <r>
      <rPr>
        <i/>
        <sz val="12"/>
        <color theme="1"/>
        <rFont val="Times New Roman"/>
        <family val="1"/>
      </rPr>
      <t>Em Curitiba, Integração por cartão será mais uma novidade no transporte público da capital</t>
    </r>
    <r>
      <rPr>
        <sz val="12"/>
        <color theme="1"/>
        <rFont val="Times New Roman"/>
        <family val="1"/>
      </rPr>
      <t>. Curitiba, 29 mar. 2010. Disponível em: &lt;http://meutransporte.blogspot.com.br/2010/04/curitiba-dobra-indice-de-acessibilidade.html&gt; Acesso em: 31 out. 2016.</t>
    </r>
  </si>
  <si>
    <r>
      <rPr>
        <b/>
        <sz val="12"/>
        <color theme="1"/>
        <rFont val="Times New Roman"/>
        <family val="1"/>
      </rPr>
      <t xml:space="preserve">BLOG MEU TRANSPORTE(2010b): </t>
    </r>
    <r>
      <rPr>
        <sz val="12"/>
        <color theme="1"/>
        <rFont val="Times New Roman"/>
        <family val="1"/>
      </rPr>
      <t xml:space="preserve">BLOG MEU TRANSPORTE. </t>
    </r>
    <r>
      <rPr>
        <i/>
        <sz val="12"/>
        <color theme="1"/>
        <rFont val="Times New Roman"/>
        <family val="1"/>
      </rPr>
      <t>Curitiba dobra índice de acessibilidade no transporte público</t>
    </r>
    <r>
      <rPr>
        <sz val="12"/>
        <color theme="1"/>
        <rFont val="Times New Roman"/>
        <family val="1"/>
      </rPr>
      <t>. Curitiba, 27 abr. 2010. Disponível em: &lt;&gt;. Acesso em: 31 out. 2016.</t>
    </r>
  </si>
  <si>
    <r>
      <rPr>
        <b/>
        <sz val="10"/>
        <color theme="1"/>
        <rFont val="Times New Roman"/>
        <family val="1"/>
      </rPr>
      <t>jan.2016)</t>
    </r>
    <r>
      <rPr>
        <sz val="10"/>
        <color theme="1"/>
        <rFont val="Times New Roman"/>
        <family val="1"/>
      </rPr>
      <t xml:space="preserve"> "veículo de piso alto - veículo que possui como característica construtiva todo o piso do compartimento interno acima do plano formado entre as linhas do centro das rodas" conforme ABNT(2016a, p.4)
</t>
    </r>
    <r>
      <rPr>
        <b/>
        <sz val="10"/>
        <color theme="1"/>
        <rFont val="Times New Roman"/>
        <family val="1"/>
      </rPr>
      <t xml:space="preserve">jan.2011) </t>
    </r>
    <r>
      <rPr>
        <sz val="10"/>
        <color theme="1"/>
        <rFont val="Times New Roman"/>
        <family val="1"/>
      </rPr>
      <t xml:space="preserve">"veículo de piso alto - aquele que possui como característica construtiva todo o piso do compartimento interno acima do plano formado entre as linhas do centro das rodas" conforme ABNT(2011a,p.3-item 3.19)
</t>
    </r>
    <r>
      <rPr>
        <b/>
        <sz val="10"/>
        <color theme="1"/>
        <rFont val="Times New Roman"/>
        <family val="1"/>
      </rPr>
      <t xml:space="preserve">obs.: </t>
    </r>
    <r>
      <rPr>
        <sz val="10"/>
        <color theme="1"/>
        <rFont val="Times New Roman"/>
        <family val="1"/>
      </rPr>
      <t>acesse o verbete "piso baixo"</t>
    </r>
  </si>
  <si>
    <r>
      <t xml:space="preserve">aquele que opera no sistema de transporte público coletivo de uma cidade/região equipados com  elevador hidráulico (plataforma elevatória veicular) de uso exclusivo ou não para cadeirantes e que não estão aptos a operar em parte do percurso em plataforma elevada
</t>
    </r>
    <r>
      <rPr>
        <b/>
        <sz val="10"/>
        <rFont val="Times New Roman"/>
        <family val="1"/>
      </rPr>
      <t xml:space="preserve">obs.2: </t>
    </r>
    <r>
      <rPr>
        <sz val="10"/>
        <rFont val="Times New Roman"/>
        <family val="1"/>
      </rPr>
      <t xml:space="preserve">resultados quantitativos como soma dos veículos com as duas modalidades de elevador, quais sejam, exclusivo para cadeirantes e permitido a pessoas em pé caso o operador pemita e caso se sintam seguras
</t>
    </r>
    <r>
      <rPr>
        <b/>
        <sz val="10"/>
        <rFont val="Times New Roman"/>
        <family val="1"/>
      </rPr>
      <t xml:space="preserve">obs.2: </t>
    </r>
    <r>
      <rPr>
        <sz val="10"/>
        <rFont val="Times New Roman"/>
        <family val="1"/>
      </rPr>
      <t>acesse os diversos outros registros de "ônibus urbano" que tratam da acessibilidade</t>
    </r>
  </si>
  <si>
    <r>
      <t xml:space="preserve">frota em n.º de ônibus do transporte público coletivo de uma cidade/região equipados com  elevador hidráulico (plataforma elevatória veicular) de uso exclusivo ou não para cadeirantes e que não estão aptos a operar em parte do percurso em plataforma elevada, calculado como "F tc eh ec + F tc eh ecp"
</t>
    </r>
    <r>
      <rPr>
        <b/>
        <sz val="10"/>
        <rFont val="Times New Roman"/>
        <family val="1"/>
      </rPr>
      <t xml:space="preserve">obs.1: </t>
    </r>
    <r>
      <rPr>
        <sz val="10"/>
        <rFont val="Times New Roman"/>
        <family val="1"/>
      </rPr>
      <t xml:space="preserve">"Ao contrário do que estabelece a norma, que considera uma exceção, os operadores, na prática, estão comprando majoritariamente, quando não exclusivamente, veículos com piso alto equipados com elevador. Esse fato pode ser observado em várias capitais brasileiras. [...]" conforme IPEA(2010, p.421)
</t>
    </r>
    <r>
      <rPr>
        <b/>
        <sz val="10"/>
        <rFont val="Times New Roman"/>
        <family val="1"/>
      </rPr>
      <t xml:space="preserve">obs.2: </t>
    </r>
    <r>
      <rPr>
        <sz val="10"/>
        <rFont val="Times New Roman"/>
        <family val="1"/>
      </rPr>
      <t>acesse verbetes de "F tc eh" de Belo Horizonte, Brasília, Rio de Janeiro, Recife, São Paulo</t>
    </r>
  </si>
  <si>
    <r>
      <t>frota em n.º de ônibus do transporte coletivo de Contagem equipados com  elevador hidráulico (plataforma elevatória veicular) de uso exclusivo ou não para cadeirantes e que não operam em plataforma elevada</t>
    </r>
    <r>
      <rPr>
        <b/>
        <sz val="10"/>
        <rFont val="Times New Roman"/>
        <family val="1"/>
      </rPr>
      <t/>
    </r>
  </si>
  <si>
    <r>
      <t>frota em n.º de ônibus do transporte coletivo de Curitiba equipados com  elevador hidráulico (plataforma elevatória veicular) de uso exclusivo ou não para cadeirantes e que não operam em plataforma elevada</t>
    </r>
    <r>
      <rPr>
        <b/>
        <sz val="10"/>
        <rFont val="Times New Roman"/>
        <family val="1"/>
      </rPr>
      <t/>
    </r>
  </si>
  <si>
    <r>
      <t xml:space="preserve">frota em n.º de ônibus do transporte coletivo de Joinville equipados com  elevador hidráulico (plataforma elevatória veicular) de uso exclusivo ou não para cadeirantes e que não operam em plataforma elevada
</t>
    </r>
    <r>
      <rPr>
        <b/>
        <sz val="10"/>
        <rFont val="Times New Roman"/>
        <family val="1"/>
      </rPr>
      <t>obs.1:</t>
    </r>
    <r>
      <rPr>
        <sz val="10"/>
        <rFont val="Times New Roman"/>
        <family val="1"/>
      </rPr>
      <t xml:space="preserve"> em Joinvile este resultado é idêntico a "F tc eh ec" pois o elevador hidráulico existente nos veículos é "utilizado apenas na presença de uma pessoa em cadeira de rodas" conforme JOINVILLE(2016a)</t>
    </r>
    <r>
      <rPr>
        <b/>
        <sz val="10"/>
        <rFont val="Times New Roman"/>
        <family val="1"/>
      </rPr>
      <t/>
    </r>
  </si>
  <si>
    <r>
      <t xml:space="preserve">frota em n.º de ônibus do transporte coletivo na RMBH do serviço gerenciado pela Setop-MG equipados com  elevador hidráulico (plataforma elevatória veicular) de uso exclusivo ou não para cadeirantes e que não operam em plataforma elevada
</t>
    </r>
    <r>
      <rPr>
        <b/>
        <sz val="10"/>
        <rFont val="Times New Roman"/>
        <family val="1"/>
      </rPr>
      <t>obs.1:</t>
    </r>
    <r>
      <rPr>
        <sz val="10"/>
        <rFont val="Times New Roman"/>
        <family val="1"/>
      </rPr>
      <t xml:space="preserve"> pelo menos até 2015 no transporet coletivo RMBH metropolitano este resultado é idêntico a "F tc eh ec" pois "O uso do elevador é exclusivo para cadeirantes" conforme MG(2016a)</t>
    </r>
    <r>
      <rPr>
        <b/>
        <sz val="10"/>
        <rFont val="Times New Roman"/>
        <family val="1"/>
      </rPr>
      <t/>
    </r>
  </si>
  <si>
    <t>frota em n.º de ônibus do transporte coletivo estrutural de São Paulo gerenciado pela SPTrans equipados com  elevador hidráulico (plataforma elevatória veicular) de uso exclusivo ou não para cadeirantes e que não estão aptos a operar em parte do percurso em plataforma elevada</t>
  </si>
  <si>
    <r>
      <t xml:space="preserve">frota em n.º de ônibus do transporte coletivo (estrutural e local) de São Paulo gerenciado pela SPTrans equipados com  elevador hidráulico (plataforma elevatória veicular) de uso exclusivo ou não para cadeirantes e que não estão aptos a operar em parte do percurso em plataforma elevada
</t>
    </r>
    <r>
      <rPr>
        <b/>
        <sz val="10"/>
        <rFont val="Times New Roman"/>
        <family val="1"/>
      </rPr>
      <t>obs.:</t>
    </r>
    <r>
      <rPr>
        <sz val="10"/>
        <rFont val="Times New Roman"/>
        <family val="1"/>
      </rPr>
      <t xml:space="preserve"> "Ao contrário do que estabelece a norma, que considera uma exceção, os operadores, na prática, estão comprando majoritariamente, quando não exclusivamente, veículos com piso alto equipados com elevador. Esse fato pode ser observado em várias capitais brasileiras. [...] São Paulo é a única capital que pode ser considerada uma exceção nesse perfil de renovação de frota, visto que, antes mesmo de começarem a valer as exigências federais, o estado já dispunha de uma legislação municipal rígida e uma política de renovação da frota do sistema estrutural por veículos de piso baixo, inclusive com estímulo remuneratório para as empresas que adquirissem estes veículos." conforme IPEA(2010, p.421)</t>
    </r>
  </si>
  <si>
    <r>
      <t xml:space="preserve">frota em n.º de ônibus do transporte coletivo (convencional e suplementar) de Belo Horizonte equipados com elevador hidráulico (plataforma elevatória veicular) de uso exclusivo ou não para cadeirantes e que não operam em plataforma elevada
</t>
    </r>
    <r>
      <rPr>
        <b/>
        <sz val="10"/>
        <rFont val="Times New Roman"/>
        <family val="1"/>
      </rPr>
      <t xml:space="preserve">obs.: </t>
    </r>
    <r>
      <rPr>
        <sz val="10"/>
        <rFont val="Times New Roman"/>
        <family val="1"/>
      </rPr>
      <t>"Ao contrário do que estabelece a norma, que considera uma exceção, os operadores, na prática, estão comprando majoritariamente, quando não exclusivamente, veículos com piso alto equipados com elevador. Esse fato pode ser observado em várias capitais brasileiras. [...] Belo Horizonte, segundo dados da BHTRANS, de janeiro de 2009 a julho de 2010, substituiu 672 veículos por veículos de piso alto com elevador. [...]" conforem IPEA(2010, p.421)</t>
    </r>
  </si>
  <si>
    <r>
      <t xml:space="preserve">frota em n.º de ônibus do transporte coletivo suplementar de Belo Horizonte equipados com  elevador hidráulico (plataforma elevatória veicular) de uso exclusivo ou não para cadeirantes e que não operam em plataforma elevada
</t>
    </r>
    <r>
      <rPr>
        <b/>
        <sz val="10"/>
        <rFont val="Times New Roman"/>
        <family val="1"/>
      </rPr>
      <t>obs.:</t>
    </r>
    <r>
      <rPr>
        <sz val="10"/>
        <rFont val="Times New Roman"/>
        <family val="1"/>
      </rPr>
      <t xml:space="preserve"> a despeito da não existência de veículos com embarque em nível no transporte suplementar de Belo Horizonte, em 28/03/2016 o gestor do serviço atesta que "Todos os veículos do Transporte Suplementar são acessíveis a pessoas com mobilidade reduzida e possuem capacidade para transportar até 34 passageiros (sentados e em pé)" conforme BHTRANS(2016d)</t>
    </r>
  </si>
  <si>
    <r>
      <rPr>
        <b/>
        <sz val="10"/>
        <rFont val="Times New Roman"/>
        <family val="1"/>
      </rPr>
      <t xml:space="preserve">mar.2003: </t>
    </r>
    <r>
      <rPr>
        <sz val="10"/>
        <rFont val="Times New Roman"/>
        <family val="1"/>
      </rPr>
      <t>BHTrans compromete-se a "apresentar um estudo alternativo sobre a renovação de frota com fins à acessibilidade [...]" conforme MG(2003b) /   1</t>
    </r>
    <r>
      <rPr>
        <b/>
        <sz val="10"/>
        <rFont val="Times New Roman"/>
        <family val="1"/>
      </rPr>
      <t>1 abr.2003: a</t>
    </r>
    <r>
      <rPr>
        <sz val="10"/>
        <rFont val="Times New Roman"/>
        <family val="1"/>
      </rPr>
      <t>tendendo compromisso firmado em mar.2003 com o MP-MG, a BHTrans informa que "diante da dificuldade em continuarmos exigindo das empresas subconcessionárias uma substituição dos ônibus atuais [...] passaremos a exigir dessas empresas, no acso de veículos novos, que estes tenham elevador hidráulico conforme determina a lei" conforme BHTRANS(2003) /  3</t>
    </r>
    <r>
      <rPr>
        <b/>
        <sz val="10"/>
        <rFont val="Times New Roman"/>
        <family val="1"/>
      </rPr>
      <t xml:space="preserve">1 mar./28 abr./26 maio 2003: </t>
    </r>
    <r>
      <rPr>
        <sz val="10"/>
        <rFont val="Times New Roman"/>
        <family val="1"/>
      </rPr>
      <t>convocações do CMPPD/BH e posicionamento que "os cadeirantes de Belo Horizonte consideram que, para se deslocarem pela cidade com autonomia e segurança, não devem ser tratados como uma categoria isolada e, sim, como um grupo de pessoas com necessidades que não podem ser ignoradas" conforme BH(2003c/d/e) / 8</t>
    </r>
    <r>
      <rPr>
        <b/>
        <sz val="10"/>
        <rFont val="Times New Roman"/>
        <family val="1"/>
      </rPr>
      <t xml:space="preserve"> maio 2003: </t>
    </r>
    <r>
      <rPr>
        <sz val="10"/>
        <rFont val="Times New Roman"/>
        <family val="1"/>
      </rPr>
      <t xml:space="preserve">BHTrans firma compromisso com o MP-MG de somente permitir a inclusão de ônibus ou micro-ônibus no sistema de transporte convencional com piso baixo ou elevador hidráulico de fábrica conforme MG(2003a) / </t>
    </r>
    <r>
      <rPr>
        <b/>
        <sz val="10"/>
        <rFont val="Times New Roman"/>
        <family val="1"/>
      </rPr>
      <t xml:space="preserve">21 ago. 2003: </t>
    </r>
    <r>
      <rPr>
        <sz val="10"/>
        <rFont val="Times New Roman"/>
        <family val="1"/>
      </rPr>
      <t xml:space="preserve">projeto de lei de iniciativa da CMBH propõe que 5% da frota de ônibus do transporte coletivo tenham elevador hidráulico conforme BH(2003a1) / </t>
    </r>
    <r>
      <rPr>
        <b/>
        <sz val="10"/>
        <rFont val="Times New Roman"/>
        <family val="1"/>
      </rPr>
      <t xml:space="preserve">11 set. 2003: </t>
    </r>
    <r>
      <rPr>
        <sz val="10"/>
        <rFont val="Times New Roman"/>
        <family val="1"/>
      </rPr>
      <t>proposição de lei com base em projeto de 21 ago. 2003 pretende estabelecer que 5% da frota de ônibus do transporte coletivo tenham elevador hidráulico é encaminhada ao prefeito para sanção/veto conforme BH(2003a2) /  1</t>
    </r>
    <r>
      <rPr>
        <b/>
        <sz val="10"/>
        <color theme="1"/>
        <rFont val="Times New Roman"/>
        <family val="1"/>
      </rPr>
      <t xml:space="preserve">4 nov.2003: </t>
    </r>
    <r>
      <rPr>
        <sz val="10"/>
        <color theme="1"/>
        <rFont val="Times New Roman"/>
        <family val="1"/>
      </rPr>
      <t>sob várias argumentações, dentre elas a de que "A meta, portanto, é criar condições para que, a médio prazo, as linhas de transporte urbano estejam dotadas de veículos cujo projeto não interfira na liberdade de locomoção dos cidadãos de Belo Horizonte" a PBH opõe veto parcial à proposição de lei de 11 set. 2003 mantendo a revogação da legislação de 1989 que exigia elevadores conforme BH(2003a3) / 1</t>
    </r>
    <r>
      <rPr>
        <b/>
        <sz val="10"/>
        <color theme="1"/>
        <rFont val="Times New Roman"/>
        <family val="1"/>
      </rPr>
      <t xml:space="preserve">4 nov.2003: </t>
    </r>
    <r>
      <rPr>
        <sz val="10"/>
        <color theme="1"/>
        <rFont val="Times New Roman"/>
        <family val="1"/>
      </rPr>
      <t xml:space="preserve">decreto estabelece "As metas de expansão da frota de ônibus adaptados" de 2004 a 2006 com substituições mínimas "da frota de veículos convencionais do sistema por veículos acessíveis ou adaptados com elevador hidráulico" de 10% até 2004, 5% até 2005 e 8% até 2006 conforme BH(2003b)
</t>
    </r>
    <r>
      <rPr>
        <b/>
        <sz val="10"/>
        <rFont val="Times New Roman"/>
        <family val="1"/>
      </rPr>
      <t xml:space="preserve">VERBETE EM CONSTRUÇÃO: </t>
    </r>
    <r>
      <rPr>
        <sz val="10"/>
        <rFont val="Times New Roman"/>
        <family val="1"/>
      </rPr>
      <t>sistematização do SisMob-BH iniciada em maio/2016 (aqui está sendo publicado em ordem cronológica tudo que se for encontrando sobre acessibilidade na frota de ônibus do transporte coletivo de Belo Horizonte)</t>
    </r>
  </si>
  <si>
    <r>
      <rPr>
        <b/>
        <sz val="12"/>
        <color theme="1"/>
        <rFont val="Times New Roman"/>
        <family val="1"/>
      </rPr>
      <t>BH(2013c):</t>
    </r>
    <r>
      <rPr>
        <sz val="12"/>
        <color theme="1"/>
        <rFont val="Times New Roman"/>
        <family val="1"/>
      </rPr>
      <t xml:space="preserve"> BELO HORIZONTE. Prefeitura. Decreto n.º 15.317, de 2 de setembro de 2013. Institui o Plano Diretor de Mobilidade Urbana de Belo Horizonte - PlanMob-BH - e estabelece as diretrizes para o acompanhamento e o monitoramento de sua implementação, avaliação e revisão periódica. </t>
    </r>
    <r>
      <rPr>
        <i/>
        <sz val="12"/>
        <color theme="1"/>
        <rFont val="Times New Roman"/>
        <family val="1"/>
      </rPr>
      <t>Diário Oficial do Município - DOM</t>
    </r>
    <r>
      <rPr>
        <sz val="12"/>
        <color theme="1"/>
        <rFont val="Times New Roman"/>
        <family val="1"/>
      </rPr>
      <t>, Belo Horizonte, ano XIX, edição, n.4385, 3 set. 2013. Poder Executivo. Secretaria Municipal de Governo. Disponível em: &lt;http://portal6.pbh.gov.br/dom/iniciaEdicao.do?method=DetalheArtigo&amp;pk=1106431&gt;. Acesso em: 12 jul. 2016.</t>
    </r>
  </si>
  <si>
    <t>Gráfico 810b1 - Exemplos (I) de enquadramento de veículos para benchmarking com base na escala IAED</t>
  </si>
  <si>
    <t>Gráfico 810b2 - Exemplos (II) de enquadramento de veículos para benchmarking com base na escala IAED</t>
  </si>
  <si>
    <t>Setop-MG</t>
  </si>
  <si>
    <t>Secretaria de Estado de Transportes e Obras Públicas de Minas Gerais</t>
  </si>
  <si>
    <r>
      <rPr>
        <b/>
        <sz val="12"/>
        <color theme="1"/>
        <rFont val="Times New Roman"/>
        <family val="1"/>
      </rPr>
      <t xml:space="preserve">IPEA(2010): </t>
    </r>
    <r>
      <rPr>
        <sz val="12"/>
        <color theme="1"/>
        <rFont val="Times New Roman"/>
        <family val="1"/>
      </rPr>
      <t xml:space="preserve">INSTITUTO DE PESQUISA ECONÔMICA APLICADA - IPEA. </t>
    </r>
    <r>
      <rPr>
        <i/>
        <sz val="12"/>
        <color theme="1"/>
        <rFont val="Times New Roman"/>
        <family val="1"/>
      </rPr>
      <t xml:space="preserve">Brasil em desenvolvimento 2010: </t>
    </r>
    <r>
      <rPr>
        <sz val="12"/>
        <color theme="1"/>
        <rFont val="Times New Roman"/>
        <family val="1"/>
      </rPr>
      <t>Estado, planejamento e políticas públicas. Brasília: Ipea, 2010. v.2, cap.15-Acessibilidade no transporte urbano de passageiros: um panorama da política pública federal, p.407-428.</t>
    </r>
  </si>
  <si>
    <r>
      <rPr>
        <b/>
        <sz val="12"/>
        <color theme="1"/>
        <rFont val="Times New Roman"/>
        <family val="1"/>
      </rPr>
      <t xml:space="preserve">PINTO(2011): </t>
    </r>
    <r>
      <rPr>
        <sz val="12"/>
        <color theme="1"/>
        <rFont val="Times New Roman"/>
        <family val="1"/>
      </rPr>
      <t>PINTO, Ana Marcela Ardila. A construção dos espaços públicos em Bogotá e no Rio de Janeiro: uma análise comparada. 2011. 334f. Tese (Doutorado em Geografia) - Universidade Federal do Rio de Janeiro (UFRJ). Disponível em: &lt;http://objdig.ufrj.br/16/teses/772415.pdf&gt;. Acesso em: 2 nov. 2016.</t>
    </r>
  </si>
  <si>
    <t>convenção PcD</t>
  </si>
  <si>
    <r>
      <rPr>
        <b/>
        <sz val="12"/>
        <rFont val="Times New Roman"/>
        <family val="1"/>
      </rPr>
      <t xml:space="preserve">BRASIL(2008c): </t>
    </r>
    <r>
      <rPr>
        <sz val="12"/>
        <rFont val="Times New Roman"/>
        <family val="1"/>
      </rPr>
      <t xml:space="preserve">BRASIL. Presidência da República. Secretaria Especial dos Direitos Humanos. Coordenadoria Nacional para Integração da Pessoa Portadora de Deficiência - CORDE. </t>
    </r>
    <r>
      <rPr>
        <i/>
        <sz val="12"/>
        <rFont val="Times New Roman"/>
        <family val="1"/>
      </rPr>
      <t>A Convenção sobre os Direitos das Pessoas com Deficiência Comentada</t>
    </r>
    <r>
      <rPr>
        <sz val="12"/>
        <rFont val="Times New Roman"/>
        <family val="1"/>
      </rPr>
      <t>. Organização: Ana Paula Crosara de Resende, Flavia Maria de Paiva Vital. Brasília: CORDE, 2008. 164p. Disponível em: &lt;http://www.governoeletronico.gov.br/documentos-e-arquivos/A%20Convencao%20sobre%20os%20Direitos%20das%20Pessoas%20com%20Deficiencia%20Comentada.pdf&gt;. Acesso em: 3 nov. 2016.</t>
    </r>
  </si>
  <si>
    <r>
      <rPr>
        <b/>
        <sz val="12"/>
        <color theme="1"/>
        <rFont val="Times New Roman"/>
        <family val="1"/>
      </rPr>
      <t xml:space="preserve">BRASIL(2014a): </t>
    </r>
    <r>
      <rPr>
        <sz val="12"/>
        <color theme="1"/>
        <rFont val="Times New Roman"/>
        <family val="1"/>
      </rPr>
      <t>BRASIL. Secretaria de Direitos Humanos da Presidência da República (SDH-PR); Secretaria Nacional de Promoção dos Direitos da Pessoa com Deficiência (SNPD). Novos comentários à Convenção sobre os direitos das pessoas com deficiência: protocolo facultativo à Convenção sobre os direitos das pessoas com deficiência: decreto legislativo n.º 186, de 9 de julho de 2008: decreto n.º 6.949, de 25 de agosto de 2009. Organizadores: Joelson Dias, Laíssa da Costa Ferreira, Maria Aparecida Gugel e Waldir Macieira da Costa Filho. 3. ed. rev. e atual. Brasília: SNDP; SDH-PR, 2014. 256p. Disponível em: &lt;http://www.pessoacomdeficiencia.gov.br/app/sites/default/files/publicacoes/convencao-sdpcd-novos-comentarios.pdf&gt;. Acesso em: 3 nov. 2016.</t>
    </r>
  </si>
  <si>
    <t>marco legal de acessibilidade</t>
  </si>
  <si>
    <t>Belo Horizonte (BHTrans)</t>
  </si>
  <si>
    <r>
      <t xml:space="preserve">índice de maturidade em gestão inclusiva
</t>
    </r>
    <r>
      <rPr>
        <b/>
        <sz val="10"/>
        <rFont val="Times New Roman"/>
        <family val="1"/>
      </rPr>
      <t xml:space="preserve">obs.: </t>
    </r>
    <r>
      <rPr>
        <sz val="10"/>
        <rFont val="Times New Roman"/>
        <family val="1"/>
      </rPr>
      <t>ferramenta criada pelo Instituto Ester Assumpção "com o objetivo de desenvolver a implantação de ações inclusivas" em empresas conforme ESTER(2016a)</t>
    </r>
  </si>
  <si>
    <r>
      <rPr>
        <b/>
        <sz val="12"/>
        <color theme="1"/>
        <rFont val="Times New Roman"/>
        <family val="1"/>
      </rPr>
      <t>ESTER(2016b):</t>
    </r>
    <r>
      <rPr>
        <sz val="12"/>
        <color theme="1"/>
        <rFont val="Times New Roman"/>
        <family val="1"/>
      </rPr>
      <t xml:space="preserve"> INSTITUTO ESTER ASSUNPÇÃO. </t>
    </r>
    <r>
      <rPr>
        <i/>
        <sz val="12"/>
        <color theme="1"/>
        <rFont val="Times New Roman"/>
        <family val="1"/>
      </rPr>
      <t>Questionário para cálculo do IMGI</t>
    </r>
    <r>
      <rPr>
        <sz val="12"/>
        <color theme="1"/>
        <rFont val="Times New Roman"/>
        <family val="1"/>
      </rPr>
      <t>. 2016. [8p.]</t>
    </r>
  </si>
  <si>
    <r>
      <rPr>
        <b/>
        <sz val="12"/>
        <color theme="1"/>
        <rFont val="Times New Roman"/>
        <family val="1"/>
      </rPr>
      <t xml:space="preserve">ESTER(2016a): </t>
    </r>
    <r>
      <rPr>
        <sz val="12"/>
        <color theme="1"/>
        <rFont val="Times New Roman"/>
        <family val="1"/>
      </rPr>
      <t>INSTITUTO ESTER ASSUNPÇÃO. C</t>
    </r>
    <r>
      <rPr>
        <i/>
        <sz val="12"/>
        <color theme="1"/>
        <rFont val="Times New Roman"/>
        <family val="1"/>
      </rPr>
      <t>onheça o Índice de Maturidade em Gestão Inclusiva (IMGI)</t>
    </r>
    <r>
      <rPr>
        <sz val="12"/>
        <color theme="1"/>
        <rFont val="Times New Roman"/>
        <family val="1"/>
      </rPr>
      <t>. February 15, 2016. Disponível em: &lt;http://www.ester.org.br/single-post/2016/02/15/Conhe%C3%A7a-o-%C3%8Dndice-de-Maturidade-em-Gest%C3%A3o-Inclusiva-IMGI&gt;. Acesso em: 2 nov. 2016.</t>
    </r>
  </si>
  <si>
    <r>
      <t xml:space="preserve">percentual de dias com qualidade do ar boa em relação à quantidade de dias com qualidade do ar monitorada
</t>
    </r>
    <r>
      <rPr>
        <b/>
        <sz val="10"/>
        <rFont val="Times New Roman"/>
        <family val="1"/>
      </rPr>
      <t xml:space="preserve">obs.1: </t>
    </r>
    <r>
      <rPr>
        <sz val="10"/>
        <rFont val="Times New Roman"/>
        <family val="1"/>
      </rPr>
      <t xml:space="preserve">esse indicador foi especialmente criado para substituir o indicador IdAmb ou InAmb contido no Balanço da Mobilidade de Belo Horizonte (anos-base 2010 e 2011) e apresenta resultados diferentes dos lá publicados.
</t>
    </r>
    <r>
      <rPr>
        <b/>
        <sz val="10"/>
        <rFont val="Times New Roman"/>
        <family val="1"/>
      </rPr>
      <t xml:space="preserve">obs.2: </t>
    </r>
    <r>
      <rPr>
        <sz val="10"/>
        <rFont val="Times New Roman"/>
        <family val="1"/>
      </rPr>
      <t xml:space="preserve">indicador estratégico da BHTrans denominado como: "Percentual de dias com qualidade do ar boa" (BHTRANS, 2015d)
</t>
    </r>
    <r>
      <rPr>
        <b/>
        <sz val="10"/>
        <rFont val="Times New Roman"/>
        <family val="1"/>
      </rPr>
      <t xml:space="preserve">obs.3: </t>
    </r>
    <r>
      <rPr>
        <sz val="10"/>
        <rFont val="Times New Roman"/>
        <family val="1"/>
      </rPr>
      <t xml:space="preserve">indicador do BH 2030 denominado "Número de dias em que a qualidade do ar em Belo Horizonte foi classificada como boa dividida pelo total de dias monitorados", com resultado de 2011 exatamente como apresentado no SisMob-BH (citado como fonte) conforme BH(2016e1, p.90)
</t>
    </r>
    <r>
      <rPr>
        <b/>
        <sz val="10"/>
        <rFont val="Times New Roman"/>
        <family val="1"/>
      </rPr>
      <t>obs.4:</t>
    </r>
    <r>
      <rPr>
        <sz val="10"/>
        <rFont val="Times New Roman"/>
        <family val="1"/>
      </rPr>
      <t xml:space="preserve"> este indicador está inserido no Portal da Gestão da PBH com denominação "% de dias com qualidade do ar boa", polaridade "Quanto Maior, Melhor", sem resultados e sem fórmula e por isto o SisMob-BH enviou e-mail à DPL com as informações em dd/mm/aaaa</t>
    </r>
  </si>
  <si>
    <t>metas 2030</t>
  </si>
  <si>
    <r>
      <rPr>
        <b/>
        <sz val="12"/>
        <rFont val="Times New Roman"/>
        <family val="1"/>
      </rPr>
      <t>BH(2016e1):</t>
    </r>
    <r>
      <rPr>
        <sz val="12"/>
        <rFont val="Times New Roman"/>
        <family val="1"/>
      </rPr>
      <t xml:space="preserve"> BELO HORIZONTE. Prefeitura. </t>
    </r>
    <r>
      <rPr>
        <i/>
        <sz val="12"/>
        <rFont val="Times New Roman"/>
        <family val="1"/>
      </rPr>
      <t>Plano Estratégico BH 2030</t>
    </r>
    <r>
      <rPr>
        <sz val="12"/>
        <rFont val="Times New Roman"/>
        <family val="1"/>
      </rPr>
      <t>. Belo Horizonte, maio 2016. 341p. Disponível para ser baixado em: &lt;home page PBH&gt;. Acesso em: 15 jun. 2016.</t>
    </r>
  </si>
  <si>
    <t>acesse registros "ODS"</t>
  </si>
  <si>
    <r>
      <t xml:space="preserve">é o objetivo n.º 7 da lista de oito Objetivos do Desenvolvimento do Milênio - ODM
</t>
    </r>
    <r>
      <rPr>
        <b/>
        <sz val="10"/>
        <rFont val="Times New Roman"/>
        <family val="1"/>
      </rPr>
      <t xml:space="preserve">obs.1: </t>
    </r>
    <r>
      <rPr>
        <sz val="10"/>
        <rFont val="Times New Roman"/>
        <family val="1"/>
      </rPr>
      <t xml:space="preserve">o ODM 7 é "Garantir a sustentabilidade ambiental" conforme ODM-BH(2015, p.9)
</t>
    </r>
    <r>
      <rPr>
        <b/>
        <sz val="10"/>
        <rFont val="Times New Roman"/>
        <family val="1"/>
      </rPr>
      <t>obs.2:</t>
    </r>
    <r>
      <rPr>
        <sz val="10"/>
        <rFont val="Times New Roman"/>
        <family val="1"/>
      </rPr>
      <t xml:space="preserve"> em Belo Horizonte, o ODM 7 possui duas metas globais (identificadas como 9 e 10) e uma meta local (identificada como 9A) conforme ODM-BH(2015, p.142-143)
</t>
    </r>
    <r>
      <rPr>
        <b/>
        <sz val="10"/>
        <rFont val="Times New Roman"/>
        <family val="1"/>
      </rPr>
      <t xml:space="preserve">obs.3: </t>
    </r>
    <r>
      <rPr>
        <sz val="10"/>
        <rFont val="Times New Roman"/>
        <family val="1"/>
      </rPr>
      <t xml:space="preserve">a meta 9 do ODM 7 é "Integrar os princípios de desenvolvimento sustentável nas políticas e programas nacionais e reverter a perda de recursos naturais" conforme ODM-BH(2015, p.142)
</t>
    </r>
    <r>
      <rPr>
        <b/>
        <sz val="10"/>
        <rFont val="Times New Roman"/>
        <family val="1"/>
      </rPr>
      <t xml:space="preserve">obs.4: </t>
    </r>
    <r>
      <rPr>
        <sz val="10"/>
        <rFont val="Times New Roman"/>
        <family val="1"/>
      </rPr>
      <t xml:space="preserve">para acompanhar a meta 9 existem quatro indicadores, com um mais diretamente relacionado com a mobilidade urbana, qual seja:  "Emissões per capita de dióxido de carbono" conforme ODM-BH(2015, p.142)
</t>
    </r>
    <r>
      <rPr>
        <b/>
        <sz val="10"/>
        <rFont val="Times New Roman"/>
        <family val="1"/>
      </rPr>
      <t>obs.5:</t>
    </r>
    <r>
      <rPr>
        <sz val="10"/>
        <rFont val="Times New Roman"/>
        <family val="1"/>
      </rPr>
      <t xml:space="preserve"> a avaliação oficial de acompanhamento dos quatro indicadores relacionados à meta 9 está contida em ODM-BH(2015, p.144-157)
</t>
    </r>
    <r>
      <rPr>
        <b/>
        <sz val="10"/>
        <rFont val="Times New Roman"/>
        <family val="1"/>
      </rPr>
      <t xml:space="preserve">obs.6: </t>
    </r>
    <r>
      <rPr>
        <sz val="10"/>
        <rFont val="Times New Roman"/>
        <family val="1"/>
      </rPr>
      <t xml:space="preserve">a meta 9A do ODM 7 é "garantir a mobilidade urbana sustentável" conforme ODM-BH(2015, p.142).
</t>
    </r>
    <r>
      <rPr>
        <b/>
        <sz val="10"/>
        <rFont val="Times New Roman"/>
        <family val="1"/>
      </rPr>
      <t xml:space="preserve">obs.7: </t>
    </r>
    <r>
      <rPr>
        <sz val="10"/>
        <rFont val="Times New Roman"/>
        <family val="1"/>
      </rPr>
      <t xml:space="preserve">para acompanhar a meta local 9A, a Prefeitura de Belo Horizonte selecionou quatro indicadores, que têm sua relevância, em especial a capacidade que têm para medir o alcance da meta estabelecida, analisada por OLIVEIRA(2015g)
</t>
    </r>
    <r>
      <rPr>
        <b/>
        <sz val="10"/>
        <rFont val="Times New Roman"/>
        <family val="1"/>
      </rPr>
      <t xml:space="preserve">obs.8: </t>
    </r>
    <r>
      <rPr>
        <sz val="10"/>
        <rFont val="Times New Roman"/>
        <family val="1"/>
      </rPr>
      <t xml:space="preserve">a avaliação oficial de acompanhamento da meta 9A do objetivo 7 está contida em ODM-BH(2015, p.158-172) 
</t>
    </r>
    <r>
      <rPr>
        <b/>
        <sz val="10"/>
        <rFont val="Times New Roman"/>
        <family val="1"/>
      </rPr>
      <t xml:space="preserve">obs.5: </t>
    </r>
    <r>
      <rPr>
        <sz val="10"/>
        <rFont val="Times New Roman"/>
        <family val="1"/>
      </rPr>
      <t>acesse os verbetes "ODM" e "ODS"</t>
    </r>
  </si>
  <si>
    <t>uma das onze áreas de resultado do Plano Estratégico BH 2030 conforme BH(2016e1, 94-95, 100, 110, 189-200, 333)</t>
  </si>
  <si>
    <t>metas globais 2030</t>
  </si>
  <si>
    <r>
      <rPr>
        <b/>
        <sz val="10"/>
        <color theme="1"/>
        <rFont val="Times New Roman"/>
        <family val="1"/>
      </rPr>
      <t xml:space="preserve">em 2016 (BH 2030): </t>
    </r>
    <r>
      <rPr>
        <sz val="10"/>
        <color theme="1"/>
        <rFont val="Times New Roman"/>
        <family val="1"/>
      </rPr>
      <t>"Aumentar o Índice de Mobilidade em modos de transporte coletivos para 70% até 2030" conforme BH(2016e2, p.20): acesse o registro "metas globais 2030"</t>
    </r>
    <r>
      <rPr>
        <b/>
        <sz val="10"/>
        <color theme="1"/>
        <rFont val="Times New Roman"/>
        <family val="1"/>
      </rPr>
      <t xml:space="preserve">
em 2015: </t>
    </r>
    <r>
      <rPr>
        <sz val="10"/>
        <color theme="1"/>
        <rFont val="Times New Roman"/>
        <family val="1"/>
      </rPr>
      <t xml:space="preserve">"São objetivos estratégicos do PlanMob-BH para promoção da mobilidade urbana: I - tornar o transporte coletivo mais atrativo do que o transporte individual, tendo como meta ampliar o percentual de viagens em modos de transporte coletivos em relação ao total de viagens em modos motorizados" conforme BH(2015, art.331)
</t>
    </r>
    <r>
      <rPr>
        <b/>
        <sz val="10"/>
        <color theme="1"/>
        <rFont val="Times New Roman"/>
        <family val="1"/>
      </rPr>
      <t>em 2012 (BH 2030): "</t>
    </r>
    <r>
      <rPr>
        <sz val="10"/>
        <color theme="1"/>
        <rFont val="Times New Roman"/>
        <family val="1"/>
      </rPr>
      <t xml:space="preserve">Aumentar o Índice de Mobilidade em modo de transporte coletivo para 70%", medido pelo indicador  "Percentual de viagens em modos coletivos em relação ao total de viagens em modos motorizados" conforme BH(2012b/indicador n.º 10) </t>
    </r>
  </si>
  <si>
    <r>
      <rPr>
        <b/>
        <sz val="10"/>
        <color theme="1"/>
        <rFont val="Times New Roman"/>
        <family val="1"/>
      </rPr>
      <t xml:space="preserve">em 2016 (BH 2030): </t>
    </r>
    <r>
      <rPr>
        <sz val="10"/>
        <color theme="1"/>
        <rFont val="Times New Roman"/>
        <family val="1"/>
      </rPr>
      <t xml:space="preserve">"Reduzir a taxa de mortalidade por acidentes de trânsito por 100 mil habitantes para 5 até 2030" conforme BH(2016e2, p.20): acesse o registro "metas globais 2030"
</t>
    </r>
    <r>
      <rPr>
        <b/>
        <sz val="10"/>
        <color theme="1"/>
        <rFont val="Times New Roman"/>
        <family val="1"/>
      </rPr>
      <t>em 2013:</t>
    </r>
    <r>
      <rPr>
        <sz val="10"/>
        <color theme="1"/>
        <rFont val="Times New Roman"/>
        <family val="1"/>
      </rPr>
      <t xml:space="preserve"> "Reduzir a quantidade de vítimas fatais, ponderada por 100.000 habitantes, de 11,21 em 2008, para 7,61 em 2016 e 6,31 em 2020" (BHTRANS, 2013a, p.21)
</t>
    </r>
    <r>
      <rPr>
        <b/>
        <sz val="10"/>
        <color theme="1"/>
        <rFont val="Times New Roman"/>
        <family val="1"/>
      </rPr>
      <t>em 2012 (BH 2030):</t>
    </r>
    <r>
      <rPr>
        <sz val="10"/>
        <color theme="1"/>
        <rFont val="Times New Roman"/>
        <family val="1"/>
      </rPr>
      <t xml:space="preserve"> "Reduzir a taxa de mortalidade por acidentes de trânsito por 100 mil habitantes para 5" (BH, 2012b/indicador n.º 12)
</t>
    </r>
    <r>
      <rPr>
        <b/>
        <sz val="10"/>
        <color theme="1"/>
        <rFont val="Times New Roman"/>
        <family val="1"/>
      </rPr>
      <t xml:space="preserve">em 2010: </t>
    </r>
    <r>
      <rPr>
        <sz val="10"/>
        <color theme="1"/>
        <rFont val="Times New Roman"/>
        <family val="1"/>
      </rPr>
      <t>"Reduzir a quantidade de vítimas fatais, por 100.000 habitantes, de 11,21 em 2008, para 8,41 em 2014 e 6,31 em 2020" (BHTRANS, 2010a, p.23)</t>
    </r>
  </si>
  <si>
    <t>AVD por habitante
(meta)</t>
  </si>
  <si>
    <r>
      <t xml:space="preserve">metas municipais definidas no ano 2016 para o indicador
</t>
    </r>
    <r>
      <rPr>
        <b/>
        <sz val="10"/>
        <rFont val="Times New Roman"/>
        <family val="1"/>
      </rPr>
      <t xml:space="preserve">obs.1: </t>
    </r>
    <r>
      <rPr>
        <sz val="10"/>
        <rFont val="Times New Roman"/>
        <family val="1"/>
      </rPr>
      <t>atualização 2011-2013 do inventário de emissão de GEE define meta para 2030 e metas intermediárias (em milhões tCO</t>
    </r>
    <r>
      <rPr>
        <vertAlign val="subscript"/>
        <sz val="10"/>
        <rFont val="Times New Roman"/>
        <family val="1"/>
      </rPr>
      <t>2</t>
    </r>
    <r>
      <rPr>
        <sz val="10"/>
        <rFont val="Times New Roman"/>
        <family val="1"/>
      </rPr>
      <t xml:space="preserve">e/habitante) que estão apresentadas em gráfico com valores contidos nos inventários e com projeções (business as usual e meta com redução) conforme BH(2015a1) corrigido em BH(2015a2, p.32)
</t>
    </r>
    <r>
      <rPr>
        <b/>
        <sz val="10"/>
        <rFont val="Times New Roman"/>
        <family val="1"/>
      </rPr>
      <t xml:space="preserve">obs.2: </t>
    </r>
    <r>
      <rPr>
        <sz val="10"/>
        <rFont val="Times New Roman"/>
        <family val="1"/>
      </rPr>
      <t>meta de "Reduzir em 20% as emissões de gases de efeito estufa em relação ao valor projetado para 2030, resultando em um índice máximo de 1,97 toneladas de CO</t>
    </r>
    <r>
      <rPr>
        <vertAlign val="subscript"/>
        <sz val="10"/>
        <rFont val="Times New Roman"/>
        <family val="1"/>
      </rPr>
      <t>2</t>
    </r>
    <r>
      <rPr>
        <sz val="10"/>
        <rFont val="Times New Roman"/>
        <family val="1"/>
      </rPr>
      <t xml:space="preserve"> por habitante/ano. [sic = a unidade correta é CO</t>
    </r>
    <r>
      <rPr>
        <vertAlign val="subscript"/>
        <sz val="10"/>
        <rFont val="Times New Roman"/>
        <family val="1"/>
      </rPr>
      <t>2</t>
    </r>
    <r>
      <rPr>
        <sz val="10"/>
        <rFont val="Times New Roman"/>
        <family val="1"/>
      </rPr>
      <t xml:space="preserve">e por habitante.ano]" conforme BH(2016e, p.90)
</t>
    </r>
    <r>
      <rPr>
        <b/>
        <sz val="10"/>
        <rFont val="Times New Roman"/>
        <family val="1"/>
      </rPr>
      <t>obs.3:</t>
    </r>
    <r>
      <rPr>
        <sz val="10"/>
        <rFont val="Times New Roman"/>
        <family val="1"/>
      </rPr>
      <t xml:space="preserve"> os valores exatos das metas intermediárias anuais de 2008 a 2029 estão em planilha enviada pela Gesia/SMMA/PBH ao SisMob-BH, a pedido, conforme BH(2015b5)
</t>
    </r>
    <r>
      <rPr>
        <b/>
        <sz val="10"/>
        <rFont val="Times New Roman"/>
        <family val="1"/>
      </rPr>
      <t xml:space="preserve">obs.4: </t>
    </r>
    <r>
      <rPr>
        <sz val="10"/>
        <rFont val="Times New Roman"/>
        <family val="1"/>
      </rPr>
      <t xml:space="preserve">os valores das metas anuais intermediárias começam em 2008 porque o ponto de partida é o ano 2007
</t>
    </r>
    <r>
      <rPr>
        <b/>
        <sz val="10"/>
        <rFont val="Times New Roman"/>
        <family val="1"/>
      </rPr>
      <t>obs.5:</t>
    </r>
    <r>
      <rPr>
        <sz val="10"/>
        <rFont val="Times New Roman"/>
        <family val="1"/>
      </rPr>
      <t xml:space="preserve"> meta de "Reduzir a emissão de gases causadores do efeito estufa para 1,05 toneladas de CO² por habitante [sic = a unidade correta é CO2e por habitante.ano], até 2030" conforme BH(2016e2, p.20), que já era um valor considerado não-possível de alcançar quando foi publicado o documento
</t>
    </r>
    <r>
      <rPr>
        <b/>
        <sz val="10"/>
        <rFont val="Times New Roman"/>
        <family val="1"/>
      </rPr>
      <t>obs.6:</t>
    </r>
    <r>
      <rPr>
        <sz val="10"/>
        <rFont val="Times New Roman"/>
        <family val="1"/>
      </rPr>
      <t xml:space="preserve"> acesse o registro "metas globais 2030"</t>
    </r>
  </si>
  <si>
    <r>
      <t xml:space="preserve">metas municipais definidas no ano 2012 para o indicador
</t>
    </r>
    <r>
      <rPr>
        <b/>
        <sz val="10"/>
        <rFont val="Times New Roman"/>
        <family val="1"/>
      </rPr>
      <t xml:space="preserve">obs.1: </t>
    </r>
    <r>
      <rPr>
        <sz val="10"/>
        <rFont val="Times New Roman"/>
        <family val="1"/>
      </rPr>
      <t>meta de "Reduzir a emissão de gases causadores do efeito estufa para 1,05 t de CO</t>
    </r>
    <r>
      <rPr>
        <vertAlign val="subscript"/>
        <sz val="10"/>
        <rFont val="Times New Roman"/>
        <family val="1"/>
      </rPr>
      <t>2</t>
    </r>
    <r>
      <rPr>
        <sz val="10"/>
        <rFont val="Times New Roman"/>
        <family val="1"/>
      </rPr>
      <t xml:space="preserve">/ano por habitante [sic = a unidade correta é CO2e por habitante.ano]; BH hoje = 1,32 (2007); meta 2015 = 1,2; meta 2030 = 1,05 conforme BH(2012b/indicador n.º 15; 2012c/considerandos)
</t>
    </r>
    <r>
      <rPr>
        <b/>
        <sz val="10"/>
        <rFont val="Times New Roman"/>
        <family val="1"/>
      </rPr>
      <t xml:space="preserve">obs.2: </t>
    </r>
    <r>
      <rPr>
        <sz val="10"/>
        <rFont val="Times New Roman"/>
        <family val="1"/>
      </rPr>
      <t xml:space="preserve">acesse o registro "EG por habitante (metas em 2016)" </t>
    </r>
  </si>
  <si>
    <t>EG por habitante
(metas em 2016)</t>
  </si>
  <si>
    <t>EG por habitante
(metas em 2012)</t>
  </si>
  <si>
    <r>
      <rPr>
        <b/>
        <sz val="12"/>
        <color theme="1"/>
        <rFont val="Times New Roman"/>
        <family val="1"/>
      </rPr>
      <t>BH(2012b1):</t>
    </r>
    <r>
      <rPr>
        <sz val="12"/>
        <color theme="1"/>
        <rFont val="Times New Roman"/>
        <family val="1"/>
      </rPr>
      <t xml:space="preserve"> BELO HORIZONTE. Prefeitura. </t>
    </r>
    <r>
      <rPr>
        <i/>
        <sz val="12"/>
        <color theme="1"/>
        <rFont val="Times New Roman"/>
        <family val="1"/>
      </rPr>
      <t>Decreto n.º 14.791, de 9 de janeiro de 2012</t>
    </r>
    <r>
      <rPr>
        <sz val="12"/>
        <color theme="1"/>
        <rFont val="Times New Roman"/>
        <family val="1"/>
      </rPr>
      <t>. Institui o Planejamento Estratégico BH 2030 - A cidade que queremos. Diário Oficial do Município de Belo Horizonte - DOM, Belo Horizonte, 11 jan. 2012, ano 18, n.3987. Poder Executivo. Secretaria Municipal de Governo. Disponível em: &lt;http://portal6.pbh.gov.br/dom/iniciaEdicao.do?method=DetalheArtigo&amp;pk=1073045&gt;. Acesso em: 3 nov. 2016.</t>
    </r>
  </si>
  <si>
    <t>metas de longo prazo 2030</t>
  </si>
  <si>
    <r>
      <rPr>
        <b/>
        <sz val="12"/>
        <color theme="1"/>
        <rFont val="Times New Roman"/>
        <family val="1"/>
      </rPr>
      <t>BH(2012b2):</t>
    </r>
    <r>
      <rPr>
        <sz val="12"/>
        <color theme="1"/>
        <rFont val="Times New Roman"/>
        <family val="1"/>
      </rPr>
      <t xml:space="preserve"> BELO HORIZONTE. Prefeitura. </t>
    </r>
    <r>
      <rPr>
        <i/>
        <sz val="12"/>
        <color theme="1"/>
        <rFont val="Times New Roman"/>
        <family val="1"/>
      </rPr>
      <t>Decreto n.º 14.791, de 9 de janeiro de 2012</t>
    </r>
    <r>
      <rPr>
        <sz val="12"/>
        <color theme="1"/>
        <rFont val="Times New Roman"/>
        <family val="1"/>
      </rPr>
      <t>. Institui o Planejamento Estratégico BH 2030 - A cidade que queremos. Anexo único [com metas]. [ratificado por: BH, 2012c]</t>
    </r>
  </si>
  <si>
    <t>79 pontos</t>
  </si>
  <si>
    <t>12 pontos</t>
  </si>
  <si>
    <r>
      <rPr>
        <b/>
        <sz val="10"/>
        <color theme="1"/>
        <rFont val="Times New Roman"/>
        <family val="1"/>
      </rPr>
      <t xml:space="preserve">2016: </t>
    </r>
    <r>
      <rPr>
        <sz val="10"/>
        <color theme="1"/>
        <rFont val="Times New Roman"/>
        <family val="1"/>
      </rPr>
      <t xml:space="preserve">meta de "Universalizar, até 2030, o acesso da população à rede sem fio (hotspots) em áreas públicas (praças, parques, vilas e prédios públicos)" conforme BH(2016e2, p.21)
</t>
    </r>
    <r>
      <rPr>
        <b/>
        <sz val="10"/>
        <color theme="1"/>
        <rFont val="Times New Roman"/>
        <family val="1"/>
      </rPr>
      <t xml:space="preserve">2012: </t>
    </r>
    <r>
      <rPr>
        <sz val="10"/>
        <color theme="1"/>
        <rFont val="Times New Roman"/>
        <family val="1"/>
      </rPr>
      <t xml:space="preserve">meta quantitativa para 2015 e meta de "Universalizar o acesso da população à rede sem fio em áreas públicas" conforme BH(2012b2)
</t>
    </r>
    <r>
      <rPr>
        <b/>
        <sz val="10"/>
        <color theme="1"/>
        <rFont val="Times New Roman"/>
        <family val="1"/>
      </rPr>
      <t xml:space="preserve">obs.: </t>
    </r>
    <r>
      <rPr>
        <sz val="10"/>
        <color theme="1"/>
        <rFont val="Times New Roman"/>
        <family val="1"/>
      </rPr>
      <t>a meta para 2030 e o indicador têm unidades de medida diferentes, inviabilizando a aferição do seu alcance: meta definida quantitativamente como "ptos em todo o espaço urbano" conforme BH(2012b2)</t>
    </r>
  </si>
  <si>
    <r>
      <rPr>
        <b/>
        <sz val="10"/>
        <color theme="1"/>
        <rFont val="Times New Roman"/>
        <family val="1"/>
      </rPr>
      <t xml:space="preserve">2016: </t>
    </r>
    <r>
      <rPr>
        <sz val="10"/>
        <color theme="1"/>
        <rFont val="Times New Roman"/>
        <family val="1"/>
      </rPr>
      <t xml:space="preserve">"Situação atual: 12 pontos em áreas públicas de acesso a Internet sem fio em 2008. (Fonte: Prodabel)" conforme BH(2016e2, p.21)
</t>
    </r>
    <r>
      <rPr>
        <b/>
        <sz val="10"/>
        <color theme="1"/>
        <rFont val="Times New Roman"/>
        <family val="1"/>
      </rPr>
      <t>2012:</t>
    </r>
    <r>
      <rPr>
        <sz val="10"/>
        <color theme="1"/>
        <rFont val="Times New Roman"/>
        <family val="1"/>
      </rPr>
      <t xml:space="preserve"> resultado de 2008 confirmado em BH(2012b2) para o indicador "Número de áreas públicas com acesso à internet sem fio"
</t>
    </r>
    <r>
      <rPr>
        <b/>
        <sz val="10"/>
        <color theme="1"/>
        <rFont val="Times New Roman"/>
        <family val="1"/>
      </rPr>
      <t xml:space="preserve">obs.: </t>
    </r>
    <r>
      <rPr>
        <sz val="10"/>
        <color theme="1"/>
        <rFont val="Times New Roman"/>
        <family val="1"/>
      </rPr>
      <t>a meta para 2030 e o indicador têm unidades de medida diferentes, inviabilizando a aferição do alcance da meta</t>
    </r>
  </si>
  <si>
    <t>"Número de áreas públicas com acesso à internet sem fio" conforme BH(2012b2/indicador n.º 19)</t>
  </si>
  <si>
    <r>
      <t>área verde protegida (em km</t>
    </r>
    <r>
      <rPr>
        <vertAlign val="superscript"/>
        <sz val="10"/>
        <rFont val="Times New Roman"/>
        <family val="1"/>
      </rPr>
      <t>2</t>
    </r>
    <r>
      <rPr>
        <sz val="10"/>
        <rFont val="Times New Roman"/>
        <family val="1"/>
      </rPr>
      <t xml:space="preserve">)
</t>
    </r>
    <r>
      <rPr>
        <b/>
        <sz val="10"/>
        <rFont val="Times New Roman"/>
        <family val="1"/>
      </rPr>
      <t>obs.:</t>
    </r>
    <r>
      <rPr>
        <sz val="10"/>
        <rFont val="Times New Roman"/>
        <family val="1"/>
      </rPr>
      <t xml:space="preserve"> este indicador é denominado pela PBH como "Índice de áreas verdes" conforme BH(2016n), onde está informado que "No cálculo do índice [de áreas verdes] são computadas somente as áreas verdes protegidas no município. Área Protegida é aquela de propriedade particular ou pública, com cobertura vegetal significativa total ou parcial, e que tem, portanto, seu uso/manutenção assegurados na forma de parques, praças e outros. Para as áreas protegidas municipais, foram computadas as áreas dos parques, praças, espaços livres de uso público municipais e das Reservas Particulares Ecológicas (RPE), além das áreas definidas como Zona de Preservação Ambiental (ZPAM) pela Lei de Parcelamento, Ocupação e Uso do Solo (Lei 7166/96 e alterações posteriores). Também foram computadas as áreas geradoras de Transferência do Direito de Construir (TDC) destinadas à proteção ambiental (Plano Diretor de Belo Horizonte, Lei 7165/96 - Art. 61, Inciso I). Para as áreas protegidas estaduais, foram computadas as áreas dos parques, estação ecológica e reserva particular do patrimônio natural (RPPN) estaduais."</t>
    </r>
    <r>
      <rPr>
        <b/>
        <sz val="10"/>
        <rFont val="Times New Roman"/>
        <family val="1"/>
      </rPr>
      <t/>
    </r>
  </si>
  <si>
    <r>
      <t>área verde protegida em Belo Horizonte (km</t>
    </r>
    <r>
      <rPr>
        <vertAlign val="superscript"/>
        <sz val="10"/>
        <rFont val="Times New Roman"/>
        <family val="1"/>
      </rPr>
      <t>2</t>
    </r>
    <r>
      <rPr>
        <sz val="10"/>
        <rFont val="Times New Roman"/>
        <family val="1"/>
      </rPr>
      <t xml:space="preserve">)
</t>
    </r>
    <r>
      <rPr>
        <b/>
        <sz val="10"/>
        <rFont val="Times New Roman"/>
        <family val="1"/>
      </rPr>
      <t xml:space="preserve">obs.: </t>
    </r>
    <r>
      <rPr>
        <sz val="10"/>
        <rFont val="Times New Roman"/>
        <family val="1"/>
      </rPr>
      <t>resultado de 2010 conforme BH(2016n), sendo que nessa fonte estão também disponíveis resultados separados das nove regiões administrativas de Belo Horizonte, podendo-se constatar que este indicador varia de 0,55km</t>
    </r>
    <r>
      <rPr>
        <vertAlign val="superscript"/>
        <sz val="10"/>
        <rFont val="Times New Roman"/>
        <family val="1"/>
      </rPr>
      <t>2</t>
    </r>
    <r>
      <rPr>
        <sz val="10"/>
        <rFont val="Times New Roman"/>
        <family val="1"/>
      </rPr>
      <t xml:space="preserve"> na região Noroeste a 16,53km</t>
    </r>
    <r>
      <rPr>
        <vertAlign val="superscript"/>
        <sz val="10"/>
        <rFont val="Times New Roman"/>
        <family val="1"/>
      </rPr>
      <t>2</t>
    </r>
    <r>
      <rPr>
        <sz val="10"/>
        <rFont val="Times New Roman"/>
        <family val="1"/>
      </rPr>
      <t xml:space="preserve"> na região Barreiro</t>
    </r>
  </si>
  <si>
    <t>registro na fonte 
ou
(AVD / P) x 1.000.000</t>
  </si>
  <si>
    <r>
      <t xml:space="preserve">"As metas de longo prazo que compõem o Planejamento Estratégico 2030 são as definidas no Anexo Único deste Decreto, as quais deverão ser perseguidas e priorizadas por meio de ações e atividades voltadas para o seu alcance, previstas nos Projetos Sustentadores, nas Políticas Públicas e nos Programas implementados pelo Município." conforme BH(2012b1/art.2º): elas estão apresentadas em BH(2012b2)
</t>
    </r>
    <r>
      <rPr>
        <b/>
        <sz val="10"/>
        <color theme="1"/>
        <rFont val="Times New Roman"/>
        <family val="1"/>
      </rPr>
      <t xml:space="preserve">obs.: </t>
    </r>
    <r>
      <rPr>
        <sz val="10"/>
        <color theme="1"/>
        <rFont val="Times New Roman"/>
        <family val="1"/>
      </rPr>
      <t>acesso o registro "metas globais 2030" que é a nova denominação do indicador "metas de longo prazo - Belo Horizonte"</t>
    </r>
  </si>
  <si>
    <r>
      <t xml:space="preserve">denominadas "metas de longo prazo 2030 - Belo Horizonte" em 2012, as "metas globais [2030] para Belo Horizonte, cujo alcance fará da capital mineira uma cidade de oportunidades, sustentável e com qualidade de vida até 2030" conforme BH(2016e2, p.19) são um conjunto de 25 metas formalizadas pela PBH conforme BH(2012b1/b2) e BH(2016e2, p.19-21)
</t>
    </r>
    <r>
      <rPr>
        <b/>
        <sz val="10"/>
        <color theme="1"/>
        <rFont val="Times New Roman"/>
        <family val="1"/>
      </rPr>
      <t xml:space="preserve">obs.: </t>
    </r>
    <r>
      <rPr>
        <sz val="10"/>
        <color theme="1"/>
        <rFont val="Times New Roman"/>
        <family val="1"/>
      </rPr>
      <t>são cinco as metas globais que, de alguma forma, relacionam-se com a mobilidade urbana: acesse os registros "DM coletivos em motorizados (meta)"; "M por 100 mil habitantes (meta)"; "AVD por habitante (meta)";  "EG por habitante (metas em 2016)"; "hotspots (meta)"</t>
    </r>
  </si>
  <si>
    <r>
      <rPr>
        <b/>
        <sz val="10"/>
        <color theme="1"/>
        <rFont val="Times New Roman"/>
        <family val="1"/>
      </rPr>
      <t xml:space="preserve">set.2016: </t>
    </r>
    <r>
      <rPr>
        <sz val="10"/>
        <color theme="1"/>
        <rFont val="Times New Roman"/>
        <family val="1"/>
      </rPr>
      <t xml:space="preserve">"Agora, apresentamos o Plano Estratégico BH 2030 revisto, em função da experiência destes 22 meses em que estamos à frente do governo municipal, procurando conjugar as necessidades do dia a dia e o planejamento do futuro, tão cheio de desafios e oportunidades." conforme BH(201622, p.2) que é uma revisão de BH(2016e1)
</t>
    </r>
    <r>
      <rPr>
        <b/>
        <sz val="10"/>
        <color theme="1"/>
        <rFont val="Times New Roman"/>
        <family val="1"/>
      </rPr>
      <t xml:space="preserve">maio 2016: </t>
    </r>
    <r>
      <rPr>
        <sz val="10"/>
        <color theme="1"/>
        <rFont val="Times New Roman"/>
        <family val="1"/>
      </rPr>
      <t xml:space="preserve">"[...] Plano Estratégico BH 2030 que agora lançamos nesta nova versão: produzir um marco de referência, farol orientador do curso da realidade rumo ao futuro desejado, tanto mais eficaz quanto menos improvisado for." conforme BH(2016e1, p.17) que está revisto em BH(2016e2)
</t>
    </r>
    <r>
      <rPr>
        <b/>
        <sz val="10"/>
        <color theme="1"/>
        <rFont val="Times New Roman"/>
        <family val="1"/>
      </rPr>
      <t xml:space="preserve">obs.: </t>
    </r>
    <r>
      <rPr>
        <sz val="10"/>
        <color theme="1"/>
        <rFont val="Times New Roman"/>
        <family val="1"/>
      </rPr>
      <t>acesse o registro "metas globais 2030"</t>
    </r>
  </si>
  <si>
    <t>metas ODS</t>
  </si>
  <si>
    <t>metas ODM</t>
  </si>
  <si>
    <t>acesse registros "ODM"</t>
  </si>
  <si>
    <t>fotografia ilustrativa de verbete</t>
  </si>
  <si>
    <r>
      <rPr>
        <b/>
        <sz val="12"/>
        <color theme="1"/>
        <rFont val="Times New Roman"/>
        <family val="1"/>
      </rPr>
      <t xml:space="preserve">TURISMO(2010a): </t>
    </r>
    <r>
      <rPr>
        <sz val="12"/>
        <color theme="1"/>
        <rFont val="Times New Roman"/>
        <family val="1"/>
      </rPr>
      <t xml:space="preserve">TURISMO EM CURITIBA. </t>
    </r>
    <r>
      <rPr>
        <i/>
        <sz val="12"/>
        <color theme="1"/>
        <rFont val="Times New Roman"/>
        <family val="1"/>
      </rPr>
      <t>Acessibilidade ao Transporte Coletivo de Curitiba</t>
    </r>
    <r>
      <rPr>
        <sz val="12"/>
        <color theme="1"/>
        <rFont val="Times New Roman"/>
        <family val="1"/>
      </rPr>
      <t>. 2010. Disponível em: &lt;http://www.guiaturismocuritiba.com/2010/10/acessibilidade-transporte-coletivo.html&gt;. Acesso em: 2 nov. 2016.</t>
    </r>
  </si>
  <si>
    <r>
      <rPr>
        <b/>
        <sz val="12"/>
        <color theme="1"/>
        <rFont val="Times New Roman"/>
        <family val="1"/>
      </rPr>
      <t xml:space="preserve">TURISMO(2010b): </t>
    </r>
    <r>
      <rPr>
        <sz val="12"/>
        <color theme="1"/>
        <rFont val="Times New Roman"/>
        <family val="1"/>
      </rPr>
      <t xml:space="preserve">TURISMO EM CURITIBA. </t>
    </r>
    <r>
      <rPr>
        <i/>
        <sz val="12"/>
        <color theme="1"/>
        <rFont val="Times New Roman"/>
        <family val="1"/>
      </rPr>
      <t>Fotografia de plataforma elevatória estacionária no transporte coletivo de Curitiba</t>
    </r>
    <r>
      <rPr>
        <sz val="12"/>
        <color theme="1"/>
        <rFont val="Times New Roman"/>
        <family val="1"/>
      </rPr>
      <t>. Disponível em: &lt;http://www.guiaturismocuritiba.com/2010/10/acessibilidade-transporte-coletivo.html&gt;. Acesso em: 2 nov. 2016.</t>
    </r>
  </si>
  <si>
    <t>fotografia de plataforma elevatória estacionária em Curitiba conforme TURISMO(2010a1/a2)</t>
  </si>
  <si>
    <r>
      <t xml:space="preserve">sem definição de sigla, é o indicador "Percentual da frota de ônibus com acessibilidade para pessoas com deficiência" definido pelo Programa Cidades Sustentáveis conforme  (PROGRAMA,2015b)
</t>
    </r>
    <r>
      <rPr>
        <b/>
        <sz val="10"/>
        <rFont val="Times New Roman"/>
        <family val="1"/>
      </rPr>
      <t xml:space="preserve">obs.: </t>
    </r>
    <r>
      <rPr>
        <sz val="10"/>
        <rFont val="Times New Roman"/>
        <family val="1"/>
      </rPr>
      <t>por sua similaridade conceitual (a despeito da diferença semântica) com "F tc fc", o resultado de cada cidade/região calculado no SisMob-BH é cotejado com o (sem sigla) disponibilizado pelo Programa Cidades Sustentáveis</t>
    </r>
  </si>
  <si>
    <r>
      <t xml:space="preserve">sem definição de sigla, é o indicador "percentual da frota de ônibus com elevador para pessoas com deficiência"definido pelo Programa Cidades Sustentáveis conforme PROGRAMA(2015c/d/e)
</t>
    </r>
    <r>
      <rPr>
        <b/>
        <sz val="10"/>
        <color theme="1"/>
        <rFont val="Times New Roman"/>
        <family val="1"/>
      </rPr>
      <t>obs.:</t>
    </r>
    <r>
      <rPr>
        <sz val="10"/>
        <color theme="1"/>
        <rFont val="Times New Roman"/>
        <family val="1"/>
      </rPr>
      <t xml:space="preserve"> por sua similaridade conceitual (a despeito da diferença semântica) pode-se afirmar que este indicador é parte de "F tc fc (%)"</t>
    </r>
  </si>
  <si>
    <t>Winnipeg</t>
  </si>
  <si>
    <r>
      <rPr>
        <b/>
        <sz val="12"/>
        <color theme="1"/>
        <rFont val="Times New Roman"/>
        <family val="1"/>
      </rPr>
      <t>WINNIPEG(2016a1)</t>
    </r>
    <r>
      <rPr>
        <sz val="12"/>
        <color theme="1"/>
        <rFont val="Times New Roman"/>
        <family val="1"/>
      </rPr>
      <t xml:space="preserve">: WINNIPEG. City of Winnipeg. </t>
    </r>
    <r>
      <rPr>
        <i/>
        <sz val="12"/>
        <color theme="1"/>
        <rFont val="Times New Roman"/>
        <family val="1"/>
      </rPr>
      <t>Winnipeg Transit - Accessible Transit</t>
    </r>
    <r>
      <rPr>
        <sz val="12"/>
        <color theme="1"/>
        <rFont val="Times New Roman"/>
        <family val="1"/>
      </rPr>
      <t>. Disponível em: &lt;http://winnipegtransit.com/en/rider-guide/accessible-transit/&gt;. Acesso em: 30 abr. 2016.</t>
    </r>
  </si>
  <si>
    <r>
      <rPr>
        <b/>
        <sz val="10"/>
        <color theme="1"/>
        <rFont val="Times New Roman"/>
        <family val="1"/>
      </rPr>
      <t xml:space="preserve">obs.: </t>
    </r>
    <r>
      <rPr>
        <sz val="10"/>
        <color theme="1"/>
        <rFont val="Times New Roman"/>
        <family val="1"/>
      </rPr>
      <t>as cidades aqui apresentadas integram as categorias "benchmarking SisMob-BH BR" e são as únicas para as quais foram encontrados resultados do indicador, tendo sido selecionados para elaboração deste gráfico apenas os maiores resultados de cada série histórica disponível; para efeito de comparação com Belo Horizonte, foram selecionados o maior resultado (ano 2005) e o mais recente resultado (2015) da BHTrans.</t>
    </r>
  </si>
  <si>
    <r>
      <rPr>
        <b/>
        <sz val="10"/>
        <rFont val="Times New Roman"/>
        <family val="1"/>
      </rPr>
      <t>Fonte:</t>
    </r>
    <r>
      <rPr>
        <sz val="10"/>
        <rFont val="Times New Roman"/>
        <family val="1"/>
      </rPr>
      <t xml:space="preserve"> 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11/11/2014. Atualizado em 11/02/2015 com resultados de 2012 e 2013 e referenciais comparativos. Republicado em 28/06/2016 e 25/08/2016 com novos lay-out. Republicado em 04/11/2016.
obs.1: não são representativos (identificados com "nr" no gráfico) os resultados dos anos 2000, 2004, 2009, 2010 e 2011.
obs.2: não houve medições nessa estação em 2013.</t>
    </r>
  </si>
  <si>
    <r>
      <rPr>
        <b/>
        <sz val="10"/>
        <rFont val="Times New Roman"/>
        <family val="1"/>
      </rPr>
      <t>Fonte:</t>
    </r>
    <r>
      <rPr>
        <sz val="10"/>
        <rFont val="Times New Roman"/>
        <family val="1"/>
      </rPr>
      <t xml:space="preserve"> 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11/11/2014. Republicado em 11/01/2015 com inclusão de novos resultados de estações da RMBH e novas observações. Republicado com novo lay-out e título ajustado em 25/08/2016. Ajuste no lay-out em 04/11/2016.</t>
    </r>
  </si>
  <si>
    <r>
      <rPr>
        <b/>
        <sz val="10"/>
        <rFont val="Times New Roman"/>
        <family val="1"/>
      </rPr>
      <t>Fonte:</t>
    </r>
    <r>
      <rPr>
        <sz val="10"/>
        <rFont val="Times New Roman"/>
        <family val="1"/>
      </rPr>
      <t xml:space="preserve"> 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25/08/2016. Ajuste no lay-out em 04/11/2016.</t>
    </r>
  </si>
  <si>
    <r>
      <rPr>
        <b/>
        <sz val="10"/>
        <rFont val="Times New Roman"/>
        <family val="1"/>
      </rPr>
      <t>Fonte:</t>
    </r>
    <r>
      <rPr>
        <sz val="10"/>
        <rFont val="Times New Roman"/>
        <family val="1"/>
      </rPr>
      <t xml:space="preserve"> 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04/11/2016.</t>
    </r>
  </si>
  <si>
    <r>
      <rPr>
        <b/>
        <sz val="10"/>
        <rFont val="Times New Roman"/>
        <family val="1"/>
      </rPr>
      <t>Fonte:</t>
    </r>
    <r>
      <rPr>
        <sz val="10"/>
        <rFont val="Times New Roman"/>
        <family val="1"/>
      </rPr>
      <t xml:space="preserve"> 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28/06/2016. Republicado com novo lay-out em 25/08/2016 e em 04/11/2016.
</t>
    </r>
    <r>
      <rPr>
        <b/>
        <sz val="10"/>
        <rFont val="Times New Roman"/>
        <family val="1"/>
      </rPr>
      <t xml:space="preserve">obs.: </t>
    </r>
    <r>
      <rPr>
        <sz val="10"/>
        <rFont val="Times New Roman"/>
        <family val="1"/>
      </rPr>
      <t xml:space="preserve">a meta de 83% foi definida pela PBH em 2016. </t>
    </r>
  </si>
  <si>
    <t>Gráfico 52c - Concentração média anual de partículas menores que 10 microns de diâmetro - PM 10 (µg/m3) de estações de monitoramento da RMBH em comparação com as cidades selecionadas pelo SisMob-BH que integram a base de dados da Organização das Nações Unidas - ONU (2014)</t>
  </si>
  <si>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t>
    </r>
    <r>
      <rPr>
        <b/>
        <sz val="10"/>
        <rFont val="Times New Roman"/>
        <family val="1"/>
      </rPr>
      <t xml:space="preserve">
</t>
    </r>
    <r>
      <rPr>
        <sz val="10"/>
        <rFont val="Times New Roman"/>
        <family val="1"/>
      </rPr>
      <t xml:space="preserve">Adaptado de OLIVEIRA, Marcos Fontoura de. </t>
    </r>
    <r>
      <rPr>
        <i/>
        <sz val="10"/>
        <rFont val="Times New Roman"/>
        <family val="1"/>
      </rPr>
      <t>Ausências, avanços e contradições da atual política de mobilidade urbana de Belo Horizonte: uma pesquisa sobre o direito de acesso amplo e democrático ao espaço urbano</t>
    </r>
    <r>
      <rPr>
        <sz val="10"/>
        <rFont val="Times New Roman"/>
        <family val="1"/>
      </rPr>
      <t xml:space="preserve">. 2014. Tese (Doutorado em Ciências Sociais) - Pontifícia Universidade Católica de Minas Gerais (PUC Minas). Belo Horizonte, 2014. p.238/Gráfico 28. Publicado pela primeira vez no SisMob-BH em 26/03/2015. Republicado em 10/08/2015 com observações analíticas e alterações no lay-out da versão anterior. Republicado em 11/01/2015 com revisão de lay-out. Atualizado com resultados de 2015 e revisão de lay-out em 19/08/2016. Republicado em 04/11/2016. </t>
    </r>
    <r>
      <rPr>
        <b/>
        <sz val="10"/>
        <rFont val="Times New Roman"/>
        <family val="1"/>
      </rPr>
      <t xml:space="preserve">obs.1: </t>
    </r>
    <r>
      <rPr>
        <sz val="10"/>
        <rFont val="Times New Roman"/>
        <family val="1"/>
      </rPr>
      <t xml:space="preserve">A variável RTvr apresenta queda no ano 2005 em relação a 2004 por causa da alteração do horário de funcionamento do Estacionamento Rotativo a partir de 05/12/2005 (passou de 7h às 19h para 8h às 18h); </t>
    </r>
    <r>
      <rPr>
        <b/>
        <sz val="10"/>
        <rFont val="Times New Roman"/>
        <family val="1"/>
      </rPr>
      <t xml:space="preserve">obs.2: </t>
    </r>
    <r>
      <rPr>
        <sz val="10"/>
        <rFont val="Times New Roman"/>
        <family val="1"/>
      </rPr>
      <t xml:space="preserve">Os valores similares de RTvr em 2011 (90.949) e 2012 (90.950) são apenas uma coincidência: em 2012 foram implantados 22 novos quarteirões de "Estacionamento Rotativo" e foram extintos outros dois, aumentando a variável RTqr em 20 quarteirões, aumentando a variável RTvf em 187 vagas e aumentando a variável RTvr em apenas uma vaga. Segundo observa a Geest/DDI (atual Gelog/DSV), quando há um aumento no número de vagas físicas no "Estacionamento Rotativo" não há, necessariamente, um aumento no número de vagas rotativas, pois isso depende do tempo de permanência dos quarteirões implantados e dos extintos (ex: numa implantação de quarteirões de 5 horas simultânea a uma extinção de quarteirões de 1 hora, pode haver até redução no número de vagas rotativas). Outros fatores que contribuem para diminuir as vagas rotativas são: os aumentos do tempo de permanência de quarteirões já existentes e as intervenções normais do dia-a-dia, tais como a transformação de vagas para uso como local para carga/Descarga, ponto de taxi, estacionamento de motocicleta etc.; </t>
    </r>
    <r>
      <rPr>
        <b/>
        <sz val="10"/>
        <rFont val="Times New Roman"/>
        <family val="1"/>
      </rPr>
      <t xml:space="preserve">obs.3: </t>
    </r>
    <r>
      <rPr>
        <sz val="10"/>
        <rFont val="Times New Roman"/>
        <family val="1"/>
      </rPr>
      <t>Os resultados de 2014 indicam crescimentos persistentes da oferta de vagas em longo do tempo (+83% de quarteirões regulamentados, +70% de vagas físicas e +50% de vagas rotativas). Os resultados de 2015 indicam a primeira queda no n.º de vagas rotativas desde 2005.</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</si>
  <si>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Adaptado de OLIVEIRA, Marcos Fontoura de. </t>
    </r>
    <r>
      <rPr>
        <i/>
        <sz val="10"/>
        <rFont val="Times New Roman"/>
        <family val="1"/>
      </rPr>
      <t>Ausências, avanços e contradições da atual política de mobilidade urbana de Belo Horizonte: uma pesquisa sobre o direito de acesso amplo e democrático ao espaço urbano</t>
    </r>
    <r>
      <rPr>
        <sz val="10"/>
        <rFont val="Times New Roman"/>
        <family val="1"/>
      </rPr>
      <t xml:space="preserve">. Tese (Doutorado em Ciências Sociais) - Pontifícia Universidade Católica de Minas Gerais (PUC Minas). Belo Horizonte, 2014. p.240/Gráfico 29. 
Publicado pela primeira vez no SisMob-BH em 26/03/2015. Republicado em 10/08/2015 e 11/01/2015 com revisão de lay-out. Atualizado com resultados de 2015 e novas observações m 19/08/2016. Republicado em 04/11/2016.
</t>
    </r>
    <r>
      <rPr>
        <b/>
        <sz val="10"/>
        <rFont val="Times New Roman"/>
        <family val="1"/>
      </rPr>
      <t xml:space="preserve">obs.1: </t>
    </r>
    <r>
      <rPr>
        <sz val="10"/>
        <rFont val="Times New Roman"/>
        <family val="1"/>
      </rPr>
      <t xml:space="preserve">a atualização de 2015 aponta que continua acontecendo, ano a ano, a queda da rotatividade iniciada em 2010, alcançando-se mais um pior resultado em quinze anos (desde 2001, quando inicia a série); o percentual de infratores, por sua vez, estabilizou-se no alto índice de 79%; </t>
    </r>
    <r>
      <rPr>
        <b/>
        <sz val="10"/>
        <rFont val="Times New Roman"/>
        <family val="1"/>
      </rPr>
      <t xml:space="preserve">obs.2: </t>
    </r>
    <r>
      <rPr>
        <sz val="10"/>
        <rFont val="Times New Roman"/>
        <family val="1"/>
      </rPr>
      <t xml:space="preserve"> veja as análises contidas nas observações do Gráfico 92c.</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</si>
  <si>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26/03/2015.  Republicado em 10/08/2015 e 11/01/2015 com revisão de lay-out. Atualizado com resultados de 2015 e novas observações em 19/08/2016. Republicado em 04/11/2016.</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</si>
  <si>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26/03/2015. Republicado em 10/08/2015 e 11/01/2015 com revisão de lay-out. Atualizado com resultados de 2015 e novas observações em 19/08/2016. Republicado com revisão de lay-out em 04/11/2016.
</t>
    </r>
    <r>
      <rPr>
        <b/>
        <sz val="10"/>
        <rFont val="Times New Roman"/>
        <family val="1"/>
      </rPr>
      <t xml:space="preserve">obs.1: </t>
    </r>
    <r>
      <rPr>
        <sz val="10"/>
        <rFont val="Times New Roman"/>
        <family val="1"/>
      </rPr>
      <t xml:space="preserve">resultados de 2014 indicam que houve um crescimento no n.º de vagas da ordem de 595% desde 2002 e um crescimento no n.º de credenciais da ordem de 4.484% desde 2003; </t>
    </r>
    <r>
      <rPr>
        <b/>
        <sz val="10"/>
        <rFont val="Times New Roman"/>
        <family val="1"/>
      </rPr>
      <t>obs.2:</t>
    </r>
    <r>
      <rPr>
        <sz val="10"/>
        <rFont val="Times New Roman"/>
        <family val="1"/>
      </rPr>
      <t xml:space="preserve"> resultados de 2015 apontam que as tendências de crescimentos desproporcionais dos dois indicadores permanecem.</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</si>
  <si>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26/03/2015. Republicado em 10/08/2015 e 11/01/2015 com revisão de lay-out. Atualizado com resultados de 2015 em 19/08/2016. Republicado em 04/11/2016.</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</si>
  <si>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10/08/2015</t>
    </r>
    <r>
      <rPr>
        <i/>
        <sz val="10"/>
        <rFont val="Times New Roman"/>
        <family val="1"/>
      </rPr>
      <t xml:space="preserve">. </t>
    </r>
    <r>
      <rPr>
        <sz val="10"/>
        <rFont val="Times New Roman"/>
        <family val="1"/>
      </rPr>
      <t xml:space="preserve">Republicado em 11/01/2015 com revisão de lay-out. Atualizado com revisão de lay-out e resultados de 2015 em 19/08/2016. Republicado em 04/11/2016.
</t>
    </r>
    <r>
      <rPr>
        <b/>
        <sz val="10"/>
        <rFont val="Times New Roman"/>
        <family val="1"/>
      </rPr>
      <t xml:space="preserve">obs.: </t>
    </r>
    <r>
      <rPr>
        <sz val="10"/>
        <rFont val="Times New Roman"/>
        <family val="1"/>
      </rPr>
      <t>RPI = Requisito de Parte Interessada (nestes dois casos, os requisitos são os mínimos estabelecidos na legislação federal).</t>
    </r>
  </si>
  <si>
    <r>
      <rPr>
        <b/>
        <sz val="10"/>
        <color theme="1"/>
        <rFont val="Times New Roman"/>
        <family val="1"/>
      </rPr>
      <t>obs.:</t>
    </r>
    <r>
      <rPr>
        <sz val="10"/>
        <color theme="1"/>
        <rFont val="Times New Roman"/>
        <family val="1"/>
      </rPr>
      <t xml:space="preserve"> Estas informações são uma pequena parte do que começou a ser publicado em  28/03/2013 no seguinte assunto do SisMob-BH: 9) Trânsito e sistema viário / 9.2) Estacionamento.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xml:space="preserve">. Os gráficos desta aba 9.2 estão sendo construídos para dar suporte à primeira versão (A) da </t>
    </r>
    <r>
      <rPr>
        <i/>
        <sz val="10"/>
        <color theme="1"/>
        <rFont val="Times New Roman"/>
        <family val="1"/>
      </rPr>
      <t xml:space="preserve">Nota técnica de acessibilidade n.º 3 </t>
    </r>
    <r>
      <rPr>
        <sz val="10"/>
        <color theme="1"/>
        <rFont val="Times New Roman"/>
        <family val="1"/>
      </rPr>
      <t>da Pamu-BH</t>
    </r>
    <r>
      <rPr>
        <sz val="10"/>
        <color theme="1"/>
        <rFont val="Times New Roman"/>
        <family val="1"/>
      </rPr>
      <t>. Caso você necessite de mais informações, acesse esses quadros ou entre em contato com o Observatório da Mobilidade de Belo Horizonte - ObsMob-BH por meio do Fale Conosco da BHTrans.</t>
    </r>
  </si>
  <si>
    <r>
      <t xml:space="preserve">Elaborado por Marcos Fontoura de Oliveira para o Sistema de Informações da Mobilidade Urbana de Belo Horizonte (SisMob-BH) e publicado pela primeira vez em 04/11/2016.
</t>
    </r>
    <r>
      <rPr>
        <b/>
        <sz val="11"/>
        <color theme="1"/>
        <rFont val="Times New Roman"/>
        <family val="1"/>
      </rPr>
      <t xml:space="preserve">obs.: </t>
    </r>
    <r>
      <rPr>
        <sz val="11"/>
        <color theme="1"/>
        <rFont val="Times New Roman"/>
        <family val="1"/>
      </rPr>
      <t>todas estas informações estão contidas em registros do Quadro 100a do SisMob-BH (esta aba foi construída para oferecer uma melhor visualização de metas e indicadores do ODS 11)</t>
    </r>
  </si>
  <si>
    <t>anais da 2ª Conferência em BH(2002e)
4ª Conferência em 2014 conforme BH(2016a; 2016b)
VERBETE EM ELABORAÇÃO para receber ordenação da documentação necessária à sua compreensão</t>
  </si>
  <si>
    <r>
      <rPr>
        <b/>
        <sz val="10"/>
        <color theme="1"/>
        <rFont val="Times New Roman"/>
        <family val="1"/>
      </rPr>
      <t xml:space="preserve">2016: </t>
    </r>
    <r>
      <rPr>
        <sz val="10"/>
        <color theme="1"/>
        <rFont val="Times New Roman"/>
        <family val="1"/>
      </rPr>
      <t>a 4ª "Conferência Nacional dos Direitos da Pessoa com Deficiência ocorreu nos dias 24 a 27 de
abril de 2016, em Brasília, e reuniu 841 delegados e delegadas de todos os estados brasileiros e do
Distrito Federal.  [...] Participaram desta construção aproximadamente 2 mil municípios através de conferências locais e regionais em todo o Brasil" conforme anais da conferência em BRASIL(2016a, p.2)
VERBETE EM ELABORAÇÃO para receber ordenação da documentação necessária à sua compreensão</t>
    </r>
  </si>
  <si>
    <t>VERBETE EM ELABORAÇÃO para receber ordenação da documentação necessária à sua compreensão</t>
  </si>
  <si>
    <r>
      <rPr>
        <b/>
        <sz val="12"/>
        <color rgb="FFFF0000"/>
        <rFont val="Times New Roman"/>
        <family val="1"/>
      </rPr>
      <t xml:space="preserve">BH(2014c): </t>
    </r>
    <r>
      <rPr>
        <sz val="12"/>
        <color rgb="FFFF0000"/>
        <rFont val="Times New Roman"/>
        <family val="1"/>
      </rPr>
      <t xml:space="preserve">BELO HORIZONTE. Prefeitura. Secretaria Municipal de Planejamento Urbano. 4ª Conferência Municipal de Política Urbana. </t>
    </r>
    <r>
      <rPr>
        <i/>
        <sz val="12"/>
        <color rgb="FFFF0000"/>
        <rFont val="Times New Roman"/>
        <family val="1"/>
      </rPr>
      <t>Conferência Municipal de Política Urbana: isso é assunto seu</t>
    </r>
    <r>
      <rPr>
        <sz val="12"/>
        <color rgb="FFFF0000"/>
        <rFont val="Times New Roman"/>
        <family val="1"/>
      </rPr>
      <t>. Belo Horizonte, [mar. 2014]. 1p. (não encontrada após a citação)</t>
    </r>
  </si>
  <si>
    <r>
      <rPr>
        <b/>
        <sz val="12"/>
        <color theme="1"/>
        <rFont val="Times New Roman"/>
        <family val="1"/>
      </rPr>
      <t>BH(2015d):</t>
    </r>
    <r>
      <rPr>
        <sz val="12"/>
        <color theme="1"/>
        <rFont val="Times New Roman"/>
        <family val="1"/>
      </rPr>
      <t xml:space="preserve"> BELO HORIZONTE. Secretaria Municipal de Meio Ambiente - SMMA. Comitê Municipal sobre Mudanças Climáticas e Eco-Eficiência - CMMCE. </t>
    </r>
    <r>
      <rPr>
        <i/>
        <sz val="12"/>
        <color theme="1"/>
        <rFont val="Times New Roman"/>
        <family val="1"/>
      </rPr>
      <t>Plano de trabalho para acompanhamento das ações do eixo mobilidade do Plano de Redução de Emissões de Gases de Efeito Estufa - Pregee</t>
    </r>
    <r>
      <rPr>
        <sz val="12"/>
        <color theme="1"/>
        <rFont val="Times New Roman"/>
        <family val="1"/>
      </rPr>
      <t>. Belo Horizonte, 2 mar. 2015. [16p.]. faltando baixar</t>
    </r>
  </si>
  <si>
    <r>
      <rPr>
        <b/>
        <sz val="12"/>
        <color theme="1"/>
        <rFont val="Times New Roman"/>
        <family val="1"/>
      </rPr>
      <t xml:space="preserve">BHTRANS(1998b): </t>
    </r>
    <r>
      <rPr>
        <sz val="12"/>
        <color theme="1"/>
        <rFont val="Times New Roman"/>
        <family val="1"/>
      </rPr>
      <t xml:space="preserve">EMPRESA DE TRANSPORTES E TRÂNSITO DE BELO HORIZONTE S.A - BHTRANS. </t>
    </r>
    <r>
      <rPr>
        <i/>
        <sz val="12"/>
        <color theme="1"/>
        <rFont val="Times New Roman"/>
        <family val="1"/>
      </rPr>
      <t>Jornal do Ônibus</t>
    </r>
    <r>
      <rPr>
        <sz val="12"/>
        <color theme="1"/>
        <rFont val="Times New Roman"/>
        <family val="1"/>
      </rPr>
      <t>, Belo Horizonte, agosto de 1998. faltando encontrar arquivo.</t>
    </r>
  </si>
  <si>
    <r>
      <rPr>
        <b/>
        <sz val="12"/>
        <color theme="1"/>
        <rFont val="Times New Roman"/>
        <family val="1"/>
      </rPr>
      <t xml:space="preserve">DUARTE;COHEN(2013): </t>
    </r>
    <r>
      <rPr>
        <sz val="12"/>
        <color theme="1"/>
        <rFont val="Times New Roman"/>
        <family val="1"/>
      </rPr>
      <t xml:space="preserve">DUARTE, Cristiane Rose de S.; COHEN, Regina (Org.). </t>
    </r>
    <r>
      <rPr>
        <i/>
        <sz val="12"/>
        <color theme="1"/>
        <rFont val="Times New Roman"/>
        <family val="1"/>
      </rPr>
      <t>Metodologia para diagnóstico de acessibilidade em centros urbanos</t>
    </r>
    <r>
      <rPr>
        <sz val="12"/>
        <color theme="1"/>
        <rFont val="Times New Roman"/>
        <family val="1"/>
      </rPr>
      <t>: análise da área central da cidade do Rio de Janeiro. Assis: Triunfal; Rio de Janeiro: UFRJ, 2013. 216p. buscar arquivo eletrônico.</t>
    </r>
  </si>
  <si>
    <t>Quadro 100e - Informações sobre ônibus urbanos (quadro especialmente oerganizada para ancorar registros e apoiar e elaboração do indicador "IAED" do Quadro 100a de dados abertos do SisMob-BH</t>
  </si>
  <si>
    <t>plataforma de embarque e desembarque com piso baixo</t>
  </si>
  <si>
    <t>low level plataform</t>
  </si>
  <si>
    <t>expressão em língua inglesa para identificar "plataforma de embarque/desembarque com piso baixo"</t>
  </si>
  <si>
    <t>plataforma de embarque e desembarque com piso alto</t>
  </si>
  <si>
    <t>plataforma de embarque e desembarque com nível baixo</t>
  </si>
  <si>
    <t>acesse o registro "plataforma de embarque/desembarque com piso baixo"</t>
  </si>
  <si>
    <t>plataforma de embarque e desembarque com nível alto</t>
  </si>
  <si>
    <t>acesse o registro "plataforma de embarque/desembarque com piso alto"</t>
  </si>
  <si>
    <r>
      <rPr>
        <b/>
        <sz val="12"/>
        <color theme="1"/>
        <rFont val="Times New Roman"/>
        <family val="1"/>
      </rPr>
      <t xml:space="preserve">WRI(2016e2): </t>
    </r>
    <r>
      <rPr>
        <sz val="12"/>
        <color theme="1"/>
        <rFont val="Times New Roman"/>
        <family val="1"/>
      </rPr>
      <t xml:space="preserve">WORLD RESOURCES INSTITUTE - WRI BRASIL. </t>
    </r>
    <r>
      <rPr>
        <i/>
        <sz val="12"/>
        <color theme="1"/>
        <rFont val="Times New Roman"/>
        <family val="1"/>
      </rPr>
      <t>Global BRT Data - nível de embarque das estações - Característica de embarque no sistema</t>
    </r>
    <r>
      <rPr>
        <sz val="12"/>
        <color theme="1"/>
        <rFont val="Times New Roman"/>
        <family val="1"/>
      </rPr>
      <t>. s.l. (pesquisa na base: "pelo indicador" + "estações". Disponível para consulta em &lt;http://brtdata.org/indicators/corridors/station_boarding_level_corridor&gt;. Acesso em: 20 jun. 2016.</t>
    </r>
  </si>
  <si>
    <r>
      <rPr>
        <b/>
        <sz val="10"/>
        <color theme="1"/>
        <rFont val="Times New Roman"/>
        <family val="1"/>
      </rPr>
      <t xml:space="preserve">1) </t>
    </r>
    <r>
      <rPr>
        <sz val="10"/>
        <color theme="1"/>
        <rFont val="Times New Roman"/>
        <family val="1"/>
      </rPr>
      <t xml:space="preserve">existem pelo menos 33 cidades/regiões de doze países nas quais o sistema de BRT local é classificado na categoria "plataforma de nível alto", quais sejam: uma na Tanzânia (Dar es Salaam); quatro no Brasil (Criciúma, Olinda, Sumaré e Uberaba); seis na Colômbia (Barranquilla, Bogotá, Bucaramanga, Cali, Cartagena e Pereira), duas no Equador (Guayaquil e Quito), uma em El Salvador (Gran San Salvador),  uma na Guatema (Cidade da Guatemala), oito no México (Acapulco, Chihuahua, Guadalajara, Guadalupe, Juárez, León de los Aldama, Nezahualcoyotl e Puebla), uma no Peru (Lima), duas na Venezuela (Caracas e Merida), cinco na Índia (Ahmedabad, Indore, Pune- Primpi-Chinchwad, Rajkot e Surat), uma na Indonésia (Jacarta), duas no Paquistão (Islamabad-Rawalpindi e Lahore) segundo o BRT DATA em WRI(2016e2)
</t>
    </r>
    <r>
      <rPr>
        <b/>
        <sz val="10"/>
        <color theme="1"/>
        <rFont val="Times New Roman"/>
        <family val="1"/>
      </rPr>
      <t xml:space="preserve">2) </t>
    </r>
    <r>
      <rPr>
        <sz val="10"/>
        <color theme="1"/>
        <rFont val="Times New Roman"/>
        <family val="1"/>
      </rPr>
      <t xml:space="preserve">existem pelo menos  sete cidades/regiões de dois países nas quais o sistema de BRT local é classificado na categoria "plataforma de nível alto &amp; na rua, sem embarque em nível", quais sejam: seis no Brasil (Belo Horizonte, Campinas, Curitiba, Goiânia, Porto Alegre e Recife), uma na Colômbia (Medellin) segundo o BRT DATA em WRI(2016e2) 
</t>
    </r>
    <r>
      <rPr>
        <b/>
        <sz val="10"/>
        <color theme="1"/>
        <rFont val="Times New Roman"/>
        <family val="1"/>
      </rPr>
      <t xml:space="preserve">obs.: </t>
    </r>
    <r>
      <rPr>
        <sz val="10"/>
        <color theme="1"/>
        <rFont val="Times New Roman"/>
        <family val="1"/>
      </rPr>
      <t>a fonte consultada (WRI, 2016e2) classifica Ecapetec e Cidade do México (México) como "Plataforma de nível alto &amp; Plataforma de nível baixo"</t>
    </r>
  </si>
  <si>
    <r>
      <rPr>
        <b/>
        <sz val="10"/>
        <color theme="1"/>
        <rFont val="Times New Roman"/>
        <family val="1"/>
      </rPr>
      <t xml:space="preserve">1) </t>
    </r>
    <r>
      <rPr>
        <sz val="10"/>
        <color theme="1"/>
        <rFont val="Times New Roman"/>
        <family val="1"/>
      </rPr>
      <t xml:space="preserve">existem pelo menos 48 cidades/regiões de 21 países nas quais o sistema de BRT local é classificado na categoria "plataforma de nível baixo" ou "low level plataform", quais sejam: uma na África do Sul (Joanesburgo), duas no Canadá (Gatineau, York Regional Municipality); doze nos Estados Unidos (Alexandria-Arlington, Chicago, Cleveland, Eugene, Fort Collins, Hartford County, Kansas City, Las Vegas, Los Angeles,  San Bernardino, San Diego e Snohomish County); uma na Argentina (Buenos Aires);  uma no Brasil (Uberlândia); uma no Chile (Concepción); duas no Méxco (Monterrey e Pachuca); uma na Venezuela (Barquisimeto); cinco na China (Chengdu, Guangzhou, Iínan, Pequim e Yichang); uma na Índia (Bhopal); uma no Irã (Teerã), uma em Israel (Haifa); uma na Malásia (Subang Jaya); uma em Taiwan (Chiayi e Taichung); uma na República Tcheca (Praga); sete na França (Cannes, Le Mans, Metz, Nantes, Nîmes, Rouen e Saint-Lazare); duas na Alemanha (Essen e Oberhausen); uma na Itália (Bréscia); uma na Holanda (Amsterdan), duas na Espanha (Castellón e Granada); uma na Suécia (Jonkoping); uma na Turquia (Istambul); quatro no Reino Unido (Bradford, Cambridge, Fareham-Gosport e Manchester) segundo o BRT DATA em WRI(2016e2)
</t>
    </r>
    <r>
      <rPr>
        <b/>
        <sz val="10"/>
        <color theme="1"/>
        <rFont val="Times New Roman"/>
        <family val="1"/>
      </rPr>
      <t xml:space="preserve">2) </t>
    </r>
    <r>
      <rPr>
        <sz val="10"/>
        <color theme="1"/>
        <rFont val="Times New Roman"/>
        <family val="1"/>
      </rPr>
      <t xml:space="preserve">existem pelo menos sete cidades/regiões de quatro países nas quais o sistema de BRT local é classificado na categoria "plataforma de nível baixo &amp; na rua, sem embarque em nível" ou na categoria "low-level platform or on-street"quais sejam: uma no Canadá (Otawa); quatro no Brasil (Brasília, Recife, Salvador, São Paulo), uma no Chile (Santiago), uma em Taiwan (Taipei) segundo o BRT DATA em WRI(2016e2)
</t>
    </r>
    <r>
      <rPr>
        <b/>
        <sz val="10"/>
        <color theme="1"/>
        <rFont val="Times New Roman"/>
        <family val="1"/>
      </rPr>
      <t>obs.:</t>
    </r>
    <r>
      <rPr>
        <sz val="10"/>
        <color theme="1"/>
        <rFont val="Times New Roman"/>
        <family val="1"/>
      </rPr>
      <t xml:space="preserve"> a fonte consultada (WRI, 2016e2) classifica Ecapetec e Cidade do México (México) como "Plataforma de nível alto &amp; Plataforma de nível baixo"</t>
    </r>
  </si>
  <si>
    <r>
      <rPr>
        <b/>
        <sz val="12"/>
        <color rgb="FFFF0000"/>
        <rFont val="Times New Roman"/>
        <family val="1"/>
      </rPr>
      <t xml:space="preserve">WRI(2016e3): </t>
    </r>
    <r>
      <rPr>
        <sz val="12"/>
        <color rgb="FFFF0000"/>
        <rFont val="Times New Roman"/>
        <family val="1"/>
      </rPr>
      <t xml:space="preserve">WORLD RESOURCES INSTITUTE - WRI BRASIL. </t>
    </r>
    <r>
      <rPr>
        <i/>
        <sz val="12"/>
        <color rgb="FFFF0000"/>
        <rFont val="Times New Roman"/>
        <family val="1"/>
      </rPr>
      <t>Global BRT Data - nível de embarque das estações - Característica de embarque no sistema</t>
    </r>
    <r>
      <rPr>
        <sz val="12"/>
        <color rgb="FFFF0000"/>
        <rFont val="Times New Roman"/>
        <family val="1"/>
      </rPr>
      <t>. s.l. (pesquisa na base: "pelo indicador" + "estações". Disponível para consulta em &lt;http://brtdata.org/indicators/corridors/station_boarding_level_corridor&gt;. Acesso em: 4 nov. 2016.</t>
    </r>
  </si>
  <si>
    <t>acesse "ônibus urbano acessível no E/D"</t>
  </si>
  <si>
    <t>acesse o registro "ônibus urbano acessível"</t>
  </si>
  <si>
    <t>tipos de acessibilidade em ônibus</t>
  </si>
  <si>
    <t>prêmio Eduardo Campos - Governarte</t>
  </si>
  <si>
    <r>
      <rPr>
        <b/>
        <sz val="12"/>
        <color theme="1"/>
        <rFont val="Times New Roman"/>
        <family val="1"/>
      </rPr>
      <t xml:space="preserve">BID(2015): </t>
    </r>
    <r>
      <rPr>
        <sz val="12"/>
        <color theme="1"/>
        <rFont val="Times New Roman"/>
        <family val="1"/>
      </rPr>
      <t xml:space="preserve">BANCO INTERAMERICANO DE DESENVOLVIMENTO. </t>
    </r>
    <r>
      <rPr>
        <i/>
        <sz val="12"/>
        <color theme="1"/>
        <rFont val="Times New Roman"/>
        <family val="1"/>
      </rPr>
      <t>BID lança terceira edição do concurso Governarte para premiar inovações na administração pública municipal</t>
    </r>
    <r>
      <rPr>
        <sz val="12"/>
        <color theme="1"/>
        <rFont val="Times New Roman"/>
        <family val="1"/>
      </rPr>
      <t>. 1º set. 2015. Disponível em: &lt;http://www.iadb.org/pt/noticias/anuncios/2015-09-01/premio-governarte-para-governos-subnacionais,11230.html&gt;. Acesso em: 4 nov. 2016.</t>
    </r>
  </si>
  <si>
    <r>
      <t xml:space="preserve">cidade da Holanda incluída em pelo menos uma das categorias de "benchmarking SisMob-BH"
</t>
    </r>
    <r>
      <rPr>
        <b/>
        <sz val="10"/>
        <color theme="1"/>
        <rFont val="Times New Roman"/>
        <family val="1"/>
      </rPr>
      <t xml:space="preserve">obs.: </t>
    </r>
    <r>
      <rPr>
        <sz val="10"/>
        <color theme="1"/>
        <rFont val="Times New Roman"/>
        <family val="1"/>
      </rPr>
      <t>cidade com frota 100% de ônibus piso baixo no Eurobarometer 2012 conforme EMTA(2012, p.37)</t>
    </r>
  </si>
  <si>
    <r>
      <rPr>
        <b/>
        <sz val="10"/>
        <color theme="1"/>
        <rFont val="Times New Roman"/>
        <family val="1"/>
      </rPr>
      <t xml:space="preserve">Belo Horizonte: </t>
    </r>
    <r>
      <rPr>
        <sz val="10"/>
        <color theme="1"/>
        <rFont val="Times New Roman"/>
        <family val="1"/>
      </rPr>
      <t xml:space="preserve">Capital Nacional da Hora do Planeta (2014/2015) / Connected Smart Cities (2015/2016) / Prêmio Eduardo Campos (2016)
</t>
    </r>
    <r>
      <rPr>
        <b/>
        <sz val="10"/>
        <color theme="1"/>
        <rFont val="Times New Roman"/>
        <family val="1"/>
      </rPr>
      <t xml:space="preserve">BHTrans: </t>
    </r>
    <r>
      <rPr>
        <sz val="10"/>
        <color theme="1"/>
        <rFont val="Times New Roman"/>
        <family val="1"/>
      </rPr>
      <t xml:space="preserve">Prêmio Eduardo Campos (2016)
</t>
    </r>
    <r>
      <rPr>
        <b/>
        <sz val="10"/>
        <color theme="1"/>
        <rFont val="Times New Roman"/>
        <family val="1"/>
      </rPr>
      <t>obs.:</t>
    </r>
    <r>
      <rPr>
        <sz val="10"/>
        <color theme="1"/>
        <rFont val="Times New Roman"/>
        <family val="1"/>
      </rPr>
      <t xml:space="preserve"> este verbete é uma sistematização iniciada em junho/2016 dos prêmios recebidos pela cidade de de Belo Horizonte que tenham alguma interface com a mobilidade urbana e pela BHTrans</t>
    </r>
  </si>
  <si>
    <r>
      <rPr>
        <b/>
        <sz val="12"/>
        <color theme="1"/>
        <rFont val="Times New Roman"/>
        <family val="1"/>
      </rPr>
      <t>MAN(2016):</t>
    </r>
    <r>
      <rPr>
        <sz val="12"/>
        <color theme="1"/>
        <rFont val="Times New Roman"/>
        <family val="1"/>
      </rPr>
      <t xml:space="preserve"> MAN LATIN AMAERICA. </t>
    </r>
    <r>
      <rPr>
        <i/>
        <sz val="12"/>
        <color theme="1"/>
        <rFont val="Times New Roman"/>
        <family val="1"/>
      </rPr>
      <t>Programa Caminho da Escola - Ônibus Urbano Escolar Acessível - ONUREA - Piso Baixo</t>
    </r>
    <r>
      <rPr>
        <sz val="12"/>
        <color theme="1"/>
        <rFont val="Times New Roman"/>
        <family val="1"/>
      </rPr>
      <t>. folder.</t>
    </r>
  </si>
  <si>
    <t>"A MAN Latin America apresenta o ONUREA PISO BAIXO – Ônibus Urbano Escolar Acessível com piso baixo central, a grande novidade do mercado feita para atender ao Programa Caminho da Escola. Idealizado para o transporte escolar de todos os alunos, este veículo promove a inclusão, autonomia e independência, além de encurtar a distância entre a sala de aula e o aluno." conforme MAN(2016)</t>
  </si>
  <si>
    <t>ônibus escolar com piso baixo</t>
  </si>
  <si>
    <r>
      <rPr>
        <b/>
        <sz val="12"/>
        <color theme="1"/>
        <rFont val="Times New Roman"/>
        <family val="1"/>
      </rPr>
      <t>FUNDEP(2016a):</t>
    </r>
    <r>
      <rPr>
        <sz val="12"/>
        <color theme="1"/>
        <rFont val="Times New Roman"/>
        <family val="1"/>
      </rPr>
      <t xml:space="preserve"> FUNDAÇÃO DE DESENVOLVIMENTO DA PESQUISA - FUNDEP. </t>
    </r>
    <r>
      <rPr>
        <i/>
        <sz val="12"/>
        <color theme="1"/>
        <rFont val="Times New Roman"/>
        <family val="1"/>
      </rPr>
      <t>Proposta de prestação de serviço - Desenvolvimento de um mapa de declividade média e máxima dos segmentos da malha viária de Belo Horizonte</t>
    </r>
    <r>
      <rPr>
        <sz val="12"/>
        <color theme="1"/>
        <rFont val="Times New Roman"/>
        <family val="1"/>
      </rPr>
      <t>. Cliente: Instituto de Políticas de Transporte &amp; Desenvolvimento - ITDP. Belo Horizonte, 13 abr. 2016 [assinado em 25 abr. 2016]</t>
    </r>
  </si>
  <si>
    <r>
      <rPr>
        <b/>
        <sz val="12"/>
        <color theme="1"/>
        <rFont val="Times New Roman"/>
        <family val="1"/>
      </rPr>
      <t>FUNDEP(2016b):</t>
    </r>
    <r>
      <rPr>
        <sz val="12"/>
        <color theme="1"/>
        <rFont val="Times New Roman"/>
        <family val="1"/>
      </rPr>
      <t xml:space="preserve"> FUNDAÇÃO DE DESENVOLVIMENTO DA PESQUISA - FUNDEP. </t>
    </r>
    <r>
      <rPr>
        <i/>
        <sz val="12"/>
        <color theme="1"/>
        <rFont val="Times New Roman"/>
        <family val="1"/>
      </rPr>
      <t>Proposta de prestação de serviço - Edição de refinamento do mapa de declividade das vias de Belo Horizonte</t>
    </r>
    <r>
      <rPr>
        <sz val="12"/>
        <color theme="1"/>
        <rFont val="Times New Roman"/>
        <family val="1"/>
      </rPr>
      <t>. Cliente: Instituto de Políticas de Transporte &amp; Desenvolvimento - ITDP. Belo Horizonte, 3 out. 2016 [assinado em 7 out. 2016]</t>
    </r>
  </si>
  <si>
    <r>
      <t xml:space="preserve">mapa que apresenta as declividades mínima/média/máxima de todos os trechos de via de Belo Horizonte, construído pelo IGC/UFMG em parceria com ITDP e BHTrans
</t>
    </r>
    <r>
      <rPr>
        <b/>
        <sz val="10"/>
        <color theme="1"/>
        <rFont val="Times New Roman"/>
        <family val="1"/>
      </rPr>
      <t xml:space="preserve">obs.1: </t>
    </r>
    <r>
      <rPr>
        <sz val="10"/>
        <color theme="1"/>
        <rFont val="Times New Roman"/>
        <family val="1"/>
      </rPr>
      <t xml:space="preserve">contratos de prestação de serviços entre IGC/UFMG e FUNDEP conforme FUNDEP(2016a; 2016b)
</t>
    </r>
    <r>
      <rPr>
        <b/>
        <sz val="10"/>
        <color theme="1"/>
        <rFont val="Times New Roman"/>
        <family val="1"/>
      </rPr>
      <t xml:space="preserve">obs.2: </t>
    </r>
    <r>
      <rPr>
        <sz val="10"/>
        <color theme="1"/>
        <rFont val="Times New Roman"/>
        <family val="1"/>
      </rPr>
      <t xml:space="preserve">divulgação dos primeiros resultados e mapas em julho/2016
 </t>
    </r>
    <r>
      <rPr>
        <b/>
        <sz val="10"/>
        <color theme="1"/>
        <rFont val="Times New Roman"/>
        <family val="1"/>
      </rPr>
      <t xml:space="preserve">obs.3: </t>
    </r>
    <r>
      <rPr>
        <sz val="10"/>
        <color theme="1"/>
        <rFont val="Times New Roman"/>
        <family val="1"/>
      </rPr>
      <t>divulgação oficial e repercussões iniciais conforme BHTRANS(2016t); COSTA(2016); FERREIRA(2016a/b); GLOBO(2016a; 2016b); LOBATO(2016); MNBH(2016d); TRENTINI(2016)</t>
    </r>
  </si>
  <si>
    <r>
      <rPr>
        <b/>
        <sz val="12"/>
        <color theme="1"/>
        <rFont val="Times New Roman"/>
        <family val="1"/>
      </rPr>
      <t xml:space="preserve">FREITAS(2014a1): </t>
    </r>
    <r>
      <rPr>
        <sz val="12"/>
        <color theme="1"/>
        <rFont val="Times New Roman"/>
        <family val="1"/>
      </rPr>
      <t xml:space="preserve">FREITAS, Bruno. Vão entre estação do BRT e ônibus exige atenção. </t>
    </r>
    <r>
      <rPr>
        <i/>
        <sz val="12"/>
        <color theme="1"/>
        <rFont val="Times New Roman"/>
        <family val="1"/>
      </rPr>
      <t>Estado de Minas</t>
    </r>
    <r>
      <rPr>
        <sz val="12"/>
        <color theme="1"/>
        <rFont val="Times New Roman"/>
        <family val="1"/>
      </rPr>
      <t>, Belo Horizonte, 10 mar. 2014. Disponível em: &lt;http://www.em.com.br/app/noticia/gerais/2014/03/10/interna_gerais,506104/vao-entre-estacao-do-brt-e-onibus-exige-atencao.shtml&gt;. Acesso em 1º nov. 2016.</t>
    </r>
  </si>
  <si>
    <r>
      <rPr>
        <b/>
        <sz val="12"/>
        <rFont val="Times New Roman"/>
        <family val="1"/>
      </rPr>
      <t xml:space="preserve">FREITAS(2014a2): </t>
    </r>
    <r>
      <rPr>
        <sz val="12"/>
        <rFont val="Times New Roman"/>
        <family val="1"/>
      </rPr>
      <t xml:space="preserve">FREITAS, Bruno. </t>
    </r>
    <r>
      <rPr>
        <i/>
        <sz val="12"/>
        <rFont val="Times New Roman"/>
        <family val="1"/>
      </rPr>
      <t>Fotografia de rampa veicular manual (fechada) no BRT Move</t>
    </r>
    <r>
      <rPr>
        <sz val="12"/>
        <rFont val="Times New Roman"/>
        <family val="1"/>
      </rPr>
      <t>. Disponível em: &lt;http://www.em.com.br/app/noticia/gerais/2014/03/10/interna_gerais,506104/vao-entre-estacao-do-brt-e-onibus-exige-atencao.shtml&gt;. Acesso em 1º nov. 2016.</t>
    </r>
  </si>
  <si>
    <r>
      <rPr>
        <b/>
        <sz val="12"/>
        <color theme="1"/>
        <rFont val="Times New Roman"/>
        <family val="1"/>
      </rPr>
      <t xml:space="preserve">UNIVERSO BH(2013a): </t>
    </r>
    <r>
      <rPr>
        <sz val="12"/>
        <color theme="1"/>
        <rFont val="Times New Roman"/>
        <family val="1"/>
      </rPr>
      <t xml:space="preserve">BLOG UNIVERSO BH. </t>
    </r>
    <r>
      <rPr>
        <i/>
        <sz val="12"/>
        <color theme="1"/>
        <rFont val="Times New Roman"/>
        <family val="1"/>
      </rPr>
      <t>Região Metropolitana começa a operar o “Frescão” de Contagem</t>
    </r>
    <r>
      <rPr>
        <sz val="12"/>
        <color theme="1"/>
        <rFont val="Times New Roman"/>
        <family val="1"/>
      </rPr>
      <t>. Belo Horizonte, 10 dez. 2013. Disponível em: &lt;https://universobh.wordpress.com/2013/12/10/regiao-metropolitana-comeca-a-operar-o-frescao-de-contagem/&gt;. Acesso em: 1º nov. 2016.</t>
    </r>
  </si>
  <si>
    <r>
      <rPr>
        <b/>
        <sz val="12"/>
        <color theme="1"/>
        <rFont val="Times New Roman"/>
        <family val="1"/>
      </rPr>
      <t xml:space="preserve">UNIVERSO BH(2013b): </t>
    </r>
    <r>
      <rPr>
        <sz val="12"/>
        <color theme="1"/>
        <rFont val="Times New Roman"/>
        <family val="1"/>
      </rPr>
      <t xml:space="preserve">BLOG UNIVERSO BH. </t>
    </r>
    <r>
      <rPr>
        <i/>
        <sz val="12"/>
        <color theme="1"/>
        <rFont val="Times New Roman"/>
        <family val="1"/>
      </rPr>
      <t>Fotografia de ônibus com piso alto e elevador hidráulico em linha do transporte metropolitano da RMBH</t>
    </r>
    <r>
      <rPr>
        <sz val="12"/>
        <color theme="1"/>
        <rFont val="Times New Roman"/>
        <family val="1"/>
      </rPr>
      <t>. Disponível em: &lt;https://universobh.wordpress.com/2013/12/10/regiao-metropolitana-comeca-a-operar-o-frescao-de-contagem/&gt;. Acesso em: 1º nov. 2016.</t>
    </r>
  </si>
  <si>
    <r>
      <rPr>
        <b/>
        <sz val="12"/>
        <color theme="1"/>
        <rFont val="Times New Roman"/>
        <family val="1"/>
      </rPr>
      <t xml:space="preserve">AUGUSTO(2011a): </t>
    </r>
    <r>
      <rPr>
        <sz val="12"/>
        <color theme="1"/>
        <rFont val="Times New Roman"/>
        <family val="1"/>
      </rPr>
      <t xml:space="preserve">Augusto, Cádmo. Viação Euclásio – Veículo EX02931 - ano 1998. </t>
    </r>
    <r>
      <rPr>
        <i/>
        <sz val="12"/>
        <color theme="1"/>
        <rFont val="Times New Roman"/>
        <family val="1"/>
      </rPr>
      <t>Blog Ônibus de Belo Horizonte</t>
    </r>
    <r>
      <rPr>
        <sz val="12"/>
        <color theme="1"/>
        <rFont val="Times New Roman"/>
        <family val="1"/>
      </rPr>
      <t>, Belo Horizonte, 4 set. 2011. Disponível em: &lt;https://onibusdebh.wordpress.com/2011/09/04/viacao-euclasio-veiculo-ex02931/&gt;. Acesso em: 1º nov. 2016.</t>
    </r>
  </si>
  <si>
    <r>
      <rPr>
        <b/>
        <sz val="12"/>
        <color theme="1"/>
        <rFont val="Times New Roman"/>
        <family val="1"/>
      </rPr>
      <t xml:space="preserve">MELO(2015a): </t>
    </r>
    <r>
      <rPr>
        <sz val="12"/>
        <color theme="1"/>
        <rFont val="Times New Roman"/>
        <family val="1"/>
      </rPr>
      <t xml:space="preserve">MELO, Rodrigo. Comissão pede suspensão de proposta de licitação de ônibus suplementares em BH. </t>
    </r>
    <r>
      <rPr>
        <i/>
        <sz val="12"/>
        <color theme="1"/>
        <rFont val="Times New Roman"/>
        <family val="1"/>
      </rPr>
      <t>Estado de Minas</t>
    </r>
    <r>
      <rPr>
        <sz val="12"/>
        <color theme="1"/>
        <rFont val="Times New Roman"/>
        <family val="1"/>
      </rPr>
      <t>, Belo Horizonte, 26 mar. 2015. Disponível em: &lt;http://www.em.com.br/app/noticia/gerais/2015/03/26/interna_gerais,631708/comissao-pede-suspensao-de-proposta-de-licitacao-de-onibus-suplementar.shtml&gt; acesso em: 1º nov. 2016.</t>
    </r>
  </si>
  <si>
    <r>
      <rPr>
        <b/>
        <sz val="12"/>
        <color theme="1"/>
        <rFont val="Times New Roman"/>
        <family val="1"/>
      </rPr>
      <t xml:space="preserve">MELO(2015b): </t>
    </r>
    <r>
      <rPr>
        <sz val="12"/>
        <color theme="1"/>
        <rFont val="Times New Roman"/>
        <family val="1"/>
      </rPr>
      <t xml:space="preserve">MELO, Rodrigo. </t>
    </r>
    <r>
      <rPr>
        <i/>
        <sz val="12"/>
        <color theme="1"/>
        <rFont val="Times New Roman"/>
        <family val="1"/>
      </rPr>
      <t>Fotografia de ônibus não acessível no suplementar de Belo Horizonte</t>
    </r>
    <r>
      <rPr>
        <sz val="12"/>
        <color theme="1"/>
        <rFont val="Times New Roman"/>
        <family val="1"/>
      </rPr>
      <t>. Disponível em: &lt;http://www.em.com.br/app/noticia/gerais/2015/03/26/interna_gerais,631708/comissao-pede-suspensao-de-proposta-de-licitacao-de-onibus-suplementar.shtml&gt; acesso em: 1º nov. 2016.</t>
    </r>
  </si>
  <si>
    <t>rampa de acesso veicular automática</t>
  </si>
  <si>
    <t>rampa de acesso veicular manual</t>
  </si>
  <si>
    <t>é a RAV (rampa de acesso veicular) acionada de forma automática</t>
  </si>
  <si>
    <t>é a RAV (rampa de acesso veicular) acionada de forma manual</t>
  </si>
  <si>
    <r>
      <rPr>
        <b/>
        <sz val="12"/>
        <color theme="1"/>
        <rFont val="Times New Roman"/>
        <family val="1"/>
      </rPr>
      <t xml:space="preserve">GIL(2014): </t>
    </r>
    <r>
      <rPr>
        <sz val="12"/>
        <color theme="1"/>
        <rFont val="Times New Roman"/>
        <family val="1"/>
      </rPr>
      <t xml:space="preserve">GIL, Mariana/EMBARQ Brasil. </t>
    </r>
    <r>
      <rPr>
        <i/>
        <sz val="12"/>
        <color theme="1"/>
        <rFont val="Times New Roman"/>
        <family val="1"/>
      </rPr>
      <t>Fotografia de embarque em BRT "Belo Horizonte - MOVE Sistema BRT MOVE - Belo Horizonte/MG - 16 e 17 de junho de 2014"</t>
    </r>
    <r>
      <rPr>
        <sz val="12"/>
        <color theme="1"/>
        <rFont val="Times New Roman"/>
        <family val="1"/>
      </rPr>
      <t>. Disponível em: &lt;https://www.flickr.com/photos/embarqbrasil/14512154765/&gt;. Acesso em: 1º nov. 2016.</t>
    </r>
  </si>
  <si>
    <r>
      <rPr>
        <b/>
        <sz val="12"/>
        <color theme="1"/>
        <rFont val="Times New Roman"/>
        <family val="1"/>
      </rPr>
      <t>ARAÚJO-WRI(2016a/b/c/d/e):</t>
    </r>
    <r>
      <rPr>
        <sz val="12"/>
        <color theme="1"/>
        <rFont val="Times New Roman"/>
        <family val="1"/>
      </rPr>
      <t xml:space="preserve"> </t>
    </r>
    <r>
      <rPr>
        <i/>
        <sz val="12"/>
        <color theme="1"/>
        <rFont val="Times New Roman"/>
        <family val="1"/>
      </rPr>
      <t>Fotografias com crédito para Marcelo Vasconcelos Araújo/WRI Brasil Cidades Sustentáveis</t>
    </r>
    <r>
      <rPr>
        <sz val="12"/>
        <color theme="1"/>
        <rFont val="Times New Roman"/>
        <family val="1"/>
      </rPr>
      <t>. Belo Horizonte, 9 mar. 2016.</t>
    </r>
  </si>
  <si>
    <r>
      <rPr>
        <b/>
        <sz val="12"/>
        <color theme="1"/>
        <rFont val="Times New Roman"/>
        <family val="1"/>
      </rPr>
      <t xml:space="preserve">FREITAS(2013): </t>
    </r>
    <r>
      <rPr>
        <sz val="12"/>
        <color theme="1"/>
        <rFont val="Times New Roman"/>
        <family val="1"/>
      </rPr>
      <t xml:space="preserve">FREITAS, Cíntia/EMBARQ Brasil. </t>
    </r>
    <r>
      <rPr>
        <i/>
        <sz val="12"/>
        <color theme="1"/>
        <rFont val="Times New Roman"/>
        <family val="1"/>
      </rPr>
      <t>Fotografia de adesivo em ônibus "III Congresso As Melhores Práticas SIBRT na América Latina - Belo Horizonte, 4 a 7 de junho de 2013 - visita às obra do BRT"</t>
    </r>
    <r>
      <rPr>
        <sz val="12"/>
        <color theme="1"/>
        <rFont val="Times New Roman"/>
        <family val="1"/>
      </rPr>
      <t>. Disponível em: &lt;https://www.flickr.com/photos/embarqbrasil/9026084068/&gt;. Acesso em: 1º nov. 2016.</t>
    </r>
  </si>
  <si>
    <r>
      <rPr>
        <b/>
        <sz val="12"/>
        <color theme="1"/>
        <rFont val="Times New Roman"/>
        <family val="1"/>
      </rPr>
      <t>WINNIPEG(2016a2)</t>
    </r>
    <r>
      <rPr>
        <sz val="12"/>
        <color theme="1"/>
        <rFont val="Times New Roman"/>
        <family val="1"/>
      </rPr>
      <t xml:space="preserve">: WINNIPEG. City of Winnipeg. </t>
    </r>
    <r>
      <rPr>
        <i/>
        <sz val="12"/>
        <color theme="1"/>
        <rFont val="Times New Roman"/>
        <family val="1"/>
      </rPr>
      <t>Fotografia de ônibus com rampa automática na porta dianteira do veículo</t>
    </r>
    <r>
      <rPr>
        <sz val="12"/>
        <color theme="1"/>
        <rFont val="Times New Roman"/>
        <family val="1"/>
      </rPr>
      <t>. Disponível em: &lt;http://winnipegtransit.com/en/rider-guide/accessible-transit/&gt;. Acesso em: 30 abr. 2016.</t>
    </r>
  </si>
  <si>
    <r>
      <t xml:space="preserve">expressão em língua inglesa para "caminhabilidade"
</t>
    </r>
    <r>
      <rPr>
        <b/>
        <sz val="10"/>
        <rFont val="Times New Roman"/>
        <family val="1"/>
      </rPr>
      <t xml:space="preserve">obs.: </t>
    </r>
    <r>
      <rPr>
        <sz val="10"/>
        <rFont val="Times New Roman"/>
        <family val="1"/>
      </rPr>
      <t>os índices de caminhabilidade Walkscore e Global Walkability Index são apresentados em ITDP(2016b, p.42)</t>
    </r>
  </si>
  <si>
    <r>
      <rPr>
        <b/>
        <sz val="12"/>
        <color theme="1"/>
        <rFont val="Times New Roman"/>
        <family val="1"/>
      </rPr>
      <t xml:space="preserve">ARUP(20163): </t>
    </r>
    <r>
      <rPr>
        <sz val="12"/>
        <color theme="1"/>
        <rFont val="Times New Roman"/>
        <family val="1"/>
      </rPr>
      <t xml:space="preserve">ARUP. </t>
    </r>
    <r>
      <rPr>
        <i/>
        <sz val="12"/>
        <color theme="1"/>
        <rFont val="Times New Roman"/>
        <family val="1"/>
      </rPr>
      <t>Cities Alive: Towards a walking world</t>
    </r>
    <r>
      <rPr>
        <sz val="12"/>
        <color theme="1"/>
        <rFont val="Times New Roman"/>
        <family val="1"/>
      </rPr>
      <t xml:space="preserve">. London, June 2016. </t>
    </r>
  </si>
  <si>
    <t>modal split</t>
  </si>
  <si>
    <t>expressão em língua inglesa para "divisão modal"</t>
  </si>
  <si>
    <t xml:space="preserve">divisão modal </t>
  </si>
  <si>
    <t>"A divisão modal, sabe-se, é um aspecto crucial para se conhecer a mobilidade urbana de uma cidade. Segundo Bruton (1979, p.195-196), “é talvez a parte menos conhecida do processo do planejamento dos transportes. Na RMBH, sabe-se que pesquisas dessa natureza foram realizadas sob a coordenação de órgãos estaduais nas décadas de 1970, 1980, 1990, 2000 e 2010." conforme OLIVEIRA(2014, p.210).
obs.: acesse os registros "DM (O/D)" e DM (P.Op.)"</t>
  </si>
  <si>
    <t>diversos mundo</t>
  </si>
  <si>
    <r>
      <t xml:space="preserve">relatório da ARUP compara, em gráfico, a divisão modal de cidades do mundo (as cidades brasileiras são Rio de Janeiro e São Paulo)
</t>
    </r>
    <r>
      <rPr>
        <b/>
        <sz val="10"/>
        <color theme="1"/>
        <rFont val="Times New Roman"/>
        <family val="1"/>
      </rPr>
      <t xml:space="preserve">obs.: </t>
    </r>
    <r>
      <rPr>
        <sz val="10"/>
        <color theme="1"/>
        <rFont val="Times New Roman"/>
        <family val="1"/>
      </rPr>
      <t xml:space="preserve">os resultados das participações do modo a pé (journeys by walking) em São Paulo e no Rio de Janeiro ficam entre as cidades de Mumbai, Estocolmo e Madri; Madri e Estocolmo tenham participações do modo automóvel (journeys by car) em patamartes superiores a Rio e São Paulo; no modo automóvel o resultado de Bogotá fica entre os de Rio de Janeiro e São Paulo; no modo a pé o resultado de Bogotá é em patamar muito inferior das duas cidades brasileiras: conforme ARUP(2016, p.16) </t>
    </r>
  </si>
  <si>
    <t>journeys by car (%)</t>
  </si>
  <si>
    <t>journeys by walking (%)</t>
  </si>
  <si>
    <r>
      <t xml:space="preserve">expressão em língua inglesa tomada no SisMob-BH como "percentual de viagens por automóvel em pesquisa de divisão modal"
</t>
    </r>
    <r>
      <rPr>
        <b/>
        <sz val="10"/>
        <rFont val="Times New Roman"/>
        <family val="1"/>
      </rPr>
      <t xml:space="preserve">obs.: </t>
    </r>
    <r>
      <rPr>
        <sz val="10"/>
        <rFont val="Times New Roman"/>
        <family val="1"/>
      </rPr>
      <t>acesse os registros "DM automóvel"</t>
    </r>
  </si>
  <si>
    <r>
      <t xml:space="preserve">expressão em língua inglesa tomada no SisMob-BH como "percentual de viagens a pé em pesquisa de divisão modal"
</t>
    </r>
    <r>
      <rPr>
        <b/>
        <sz val="10"/>
        <rFont val="Times New Roman"/>
        <family val="1"/>
      </rPr>
      <t xml:space="preserve">obs.: </t>
    </r>
    <r>
      <rPr>
        <sz val="10"/>
        <rFont val="Times New Roman"/>
        <family val="1"/>
      </rPr>
      <t>acesse os registros "DM pé"</t>
    </r>
  </si>
  <si>
    <t>caminháveis, cidades</t>
  </si>
  <si>
    <t>walkable cities</t>
  </si>
  <si>
    <r>
      <t xml:space="preserve">expressão em língua inglesa para "cidades caminháveis"
</t>
    </r>
    <r>
      <rPr>
        <b/>
        <sz val="10"/>
        <rFont val="Times New Roman"/>
        <family val="1"/>
      </rPr>
      <t xml:space="preserve">obs.: </t>
    </r>
    <r>
      <rPr>
        <sz val="10"/>
        <rFont val="Times New Roman"/>
        <family val="1"/>
      </rPr>
      <t>assunto tratado em ITDP(2016b); ARUP(2016)</t>
    </r>
  </si>
  <si>
    <t>cidades caminháveis</t>
  </si>
  <si>
    <r>
      <rPr>
        <b/>
        <sz val="12"/>
        <color theme="1"/>
        <rFont val="Times New Roman"/>
        <family val="1"/>
      </rPr>
      <t xml:space="preserve">PURDUE(2016): </t>
    </r>
    <r>
      <rPr>
        <sz val="12"/>
        <color theme="1"/>
        <rFont val="Times New Roman"/>
        <family val="1"/>
      </rPr>
      <t xml:space="preserve">PURDUE, Madeline. </t>
    </r>
    <r>
      <rPr>
        <i/>
        <sz val="12"/>
        <color theme="1"/>
        <rFont val="Times New Roman"/>
        <family val="1"/>
      </rPr>
      <t>Universal Design New Standard in Accessibility</t>
    </r>
    <r>
      <rPr>
        <sz val="12"/>
        <color theme="1"/>
        <rFont val="Times New Roman"/>
        <family val="1"/>
      </rPr>
      <t xml:space="preserve">. </t>
    </r>
    <r>
      <rPr>
        <i/>
        <sz val="12"/>
        <color theme="1"/>
        <rFont val="Times New Roman"/>
        <family val="1"/>
      </rPr>
      <t>The Nevada Sagebrush Newspaper</t>
    </r>
    <r>
      <rPr>
        <sz val="12"/>
        <color theme="1"/>
        <rFont val="Times New Roman"/>
        <family val="1"/>
      </rPr>
      <t>, University of Nevada, Reno, September 6, 2016. Disponível em: &lt;http://nevadasagebrush.com/blog/2016/09/06/universal-design-new-standard-in-accessibility/?utm_content=bufferb7453&amp;utm_medium=social&amp;utm_source=twitter.com&amp;utm_campaign=buffer&gt;. Acesso em: 7 nov. 2016.</t>
    </r>
  </si>
  <si>
    <t>passarela com desenho universal</t>
  </si>
  <si>
    <r>
      <rPr>
        <b/>
        <sz val="12"/>
        <color theme="1"/>
        <rFont val="Times New Roman"/>
        <family val="1"/>
      </rPr>
      <t xml:space="preserve">SENDIN(2016a): </t>
    </r>
    <r>
      <rPr>
        <sz val="12"/>
        <color theme="1"/>
        <rFont val="Times New Roman"/>
        <family val="1"/>
      </rPr>
      <t xml:space="preserve">SENDIN, Patricia. 10 Great Things About Rocinha, Rio's Notorious Favela. [blog] </t>
    </r>
    <r>
      <rPr>
        <i/>
        <sz val="12"/>
        <color theme="1"/>
        <rFont val="Times New Roman"/>
        <family val="1"/>
      </rPr>
      <t>Not Only About Architecture</t>
    </r>
    <r>
      <rPr>
        <sz val="12"/>
        <color theme="1"/>
        <rFont val="Times New Roman"/>
        <family val="1"/>
      </rPr>
      <t>. Monday, 17 February 2014. Disponível em: &lt;http://www.patriciasendin.com/2014/02/10-great-things-about-rocinha-rios.html&gt;. Acesso em: 7 nov. 2016.</t>
    </r>
  </si>
  <si>
    <t>vision zero policies</t>
  </si>
  <si>
    <t>20,00
(ignorando a meta de 12,00)</t>
  </si>
  <si>
    <t>10,3
(valor a ser ignorado)</t>
  </si>
  <si>
    <t>9,4
(resultado a ser ignorado)</t>
  </si>
  <si>
    <t>desenho inclusivo</t>
  </si>
  <si>
    <t>inclusive design</t>
  </si>
  <si>
    <t>expressão em língua inglesa para "desenho inclusivo"</t>
  </si>
  <si>
    <t>espaço compartilhado</t>
  </si>
  <si>
    <t>rua compartilhada</t>
  </si>
  <si>
    <t>road share</t>
  </si>
  <si>
    <r>
      <t>expressão em língua inglesa para "rua compartilhada"</t>
    </r>
    <r>
      <rPr>
        <b/>
        <sz val="10"/>
        <color theme="1"/>
        <rFont val="Times New Roman"/>
        <family val="1"/>
      </rPr>
      <t/>
    </r>
  </si>
  <si>
    <t>visão zero</t>
  </si>
  <si>
    <t>inclusivity</t>
  </si>
  <si>
    <r>
      <t>expressão em língua inglesa para "política de visão zero" ou, simplesmente, "visão zero"</t>
    </r>
    <r>
      <rPr>
        <b/>
        <sz val="10"/>
        <color theme="1"/>
        <rFont val="Times New Roman"/>
        <family val="1"/>
      </rPr>
      <t/>
    </r>
  </si>
  <si>
    <t>acesse o verbete "visão zero"</t>
  </si>
  <si>
    <t>uma das quarenta ações propostas por Arup(2016, p.115-127) para se conseguir uma cidade caminhável 
"Accessibility and inclusivity - Digital technology has the potential to make cities more inclusive and accessible, especially through access to accurate, real-time data and planning. Crowdsourcing can be used to map wheelchair accessible routes and places; apps can provide tailored guidance and help to visually impaired users; and providers of public services can publish accessible route information. The result is a city in which it is easier for everyone to explore, roam and move." conforme ARUP(2016, p.126)</t>
  </si>
  <si>
    <r>
      <t>expressão em língua inglesa para designar "espaço compartilhado"</t>
    </r>
    <r>
      <rPr>
        <b/>
        <sz val="10"/>
        <rFont val="Times New Roman"/>
        <family val="1"/>
      </rPr>
      <t/>
    </r>
  </si>
  <si>
    <t>tradução literal de "shared space"
obs.1: " 'Shared space' is a term used to describe an emerging approach to urban design, traffic engineering and road safety in Europe and, increasingly, in North America. It was coined in 2003 following research by the author in 2000 that identified a common thread in the approach of a number of countries on how to reduce the adverse impacts of traffic in towns." conforme HAMILTON-BAILLIE(2006)
obs.2: consulte HAMILTON-BAILLIE(2001; 2006); KEUNINGINSTITUUT(2008); MOODY;MELIA(2013)
obs.: acesse o verbete "rua compartilhada"</t>
  </si>
  <si>
    <t>tradução literal de "road share", é conceito tomado no SisMob-BH como tendo o mesmo significado de "espaço compartilhado", é uma das quarenta ações propostas por Arup(2016, p.115-127) para se conseguir uma cidade caminhável 
"Road share - Shared-space, where there is little segregation between pedestrians, cyclists and drivers, is a holistic approach towards traffic calming and space activation. In shared spaces, the uncertainty or a lack of traffic rules encourages drivers to slow down, creating a pedestrian-oriented environment where people are aware of fellow road users. This is a common approach in Danish and Dutch traffic design, which can also be observed in places like Leonard Circus in London." conforme ARUP(2016, p.120)</t>
  </si>
  <si>
    <r>
      <t>tradução literal de "walkable cities"</t>
    </r>
    <r>
      <rPr>
        <b/>
        <sz val="10"/>
        <rFont val="Times New Roman"/>
        <family val="1"/>
      </rPr>
      <t xml:space="preserve">
1) </t>
    </r>
    <r>
      <rPr>
        <sz val="10"/>
        <rFont val="Times New Roman"/>
        <family val="1"/>
      </rPr>
      <t xml:space="preserve">"divisão modal" como atributo de cidades caminháveis apresentado em ARUP(2016, p.16) </t>
    </r>
    <r>
      <rPr>
        <b/>
        <sz val="10"/>
        <rFont val="Times New Roman"/>
        <family val="1"/>
      </rPr>
      <t xml:space="preserve">
1) </t>
    </r>
    <r>
      <rPr>
        <sz val="10"/>
        <rFont val="Times New Roman"/>
        <family val="1"/>
      </rPr>
      <t>"two main factors can determine different scenarios for walkable cities: - the economic development is directly proportional to the level of motorisation; - the patterns of urban density assume a different range of possible interventions." conforme ARUP(2016, p.19) com gráfico "density vs gdp" incluindo as cidades brasileiras de Rio de Janeiro e São Paulo</t>
    </r>
    <r>
      <rPr>
        <b/>
        <sz val="10"/>
        <rFont val="Times New Roman"/>
        <family val="1"/>
      </rPr>
      <t xml:space="preserve">
2) </t>
    </r>
    <r>
      <rPr>
        <sz val="10"/>
        <rFont val="Times New Roman"/>
        <family val="1"/>
      </rPr>
      <t xml:space="preserve">são quarenta as ações propostas para alcance de uma cidade caminhável em ARUP(2016, p.115-127) aí incluindo "desenho inclusivo", "inclusivity", "rua compartilhada", "visão zero"
</t>
    </r>
    <r>
      <rPr>
        <b/>
        <sz val="10"/>
        <rFont val="Times New Roman"/>
        <family val="1"/>
      </rPr>
      <t xml:space="preserve">3) </t>
    </r>
    <r>
      <rPr>
        <sz val="10"/>
        <rFont val="Times New Roman"/>
        <family val="1"/>
      </rPr>
      <t xml:space="preserve">"The Walkable City is a city that puts people first and shapes itself in accordance to its citizens’ needs and desires." conforme ARUP(2016, p.115)
</t>
    </r>
    <r>
      <rPr>
        <b/>
        <sz val="10"/>
        <rFont val="Times New Roman"/>
        <family val="1"/>
      </rPr>
      <t xml:space="preserve">4) </t>
    </r>
    <r>
      <rPr>
        <sz val="10"/>
        <rFont val="Times New Roman"/>
        <family val="1"/>
      </rPr>
      <t xml:space="preserve">estudo de caso da cidade do Rio de Janeiro (Favela Pedestrian Footbridge Connectivity Scheme - Rio de Janeiro, Brazil. Brazilian Federal Government for public use) na busca de uma cidade caminhável em ARUP(2016, p.137), com uma passarela sendo tomada nop SisMob-BH como exemplo de "passarela com desenho universal"
</t>
    </r>
    <r>
      <rPr>
        <b/>
        <sz val="10"/>
        <rFont val="Times New Roman"/>
        <family val="1"/>
      </rPr>
      <t>obs.:</t>
    </r>
    <r>
      <rPr>
        <sz val="10"/>
        <rFont val="Times New Roman"/>
        <family val="1"/>
      </rPr>
      <t xml:space="preserve"> acesse o verbete "caminhabilidade, índice de"</t>
    </r>
  </si>
  <si>
    <t>acesse o verbete "caminháveis, cidades"</t>
  </si>
  <si>
    <r>
      <t xml:space="preserve">tradução literal de "inclusive design", é uma das quarenta ações propostas por Arup(2016, p.115-127) para se conseguir uma cidade caminhável 
</t>
    </r>
    <r>
      <rPr>
        <b/>
        <sz val="10"/>
        <color theme="1"/>
        <rFont val="Times New Roman"/>
        <family val="1"/>
      </rPr>
      <t xml:space="preserve">obs.: </t>
    </r>
    <r>
      <rPr>
        <sz val="10"/>
        <color theme="1"/>
        <rFont val="Times New Roman"/>
        <family val="1"/>
      </rPr>
      <t>"Inclusive design - Design can remove barriers between physical space and communities. The elderly, people with a disability and those with mobility issues often need more help than others to conquer physical barriers in cities. By providing public services such as public elevators or wayfinding aids, barriers can be overcome for people with different needs, allowing or assisting with walking and personal mobility." conforme ARUP(2016, p.125)</t>
    </r>
  </si>
  <si>
    <r>
      <t xml:space="preserve">tradução literal de "vision zero", a política de visão zero é uma das quarenta ações propostas por Arup(2016, p.115-127) para se conseguir uma cidade caminhável 
</t>
    </r>
    <r>
      <rPr>
        <b/>
        <sz val="10"/>
        <color theme="1"/>
        <rFont val="Times New Roman"/>
        <family val="1"/>
      </rPr>
      <t xml:space="preserve">obs.: </t>
    </r>
    <r>
      <rPr>
        <sz val="10"/>
        <color theme="1"/>
        <rFont val="Times New Roman"/>
        <family val="1"/>
      </rPr>
      <t>" 'Vision Zero policies' - 'Vision Zero' is an international movement that began in Sweden, which aims to eliminate road-traffic fatalities through speed-reduction and safety measures. As pedestrians are the most vulnerable users of space, adopting this type of vision could dramatically improve safety for users. " conforme ARUP(2016, p.118)</t>
    </r>
  </si>
  <si>
    <t>política de visão zero</t>
  </si>
  <si>
    <r>
      <rPr>
        <b/>
        <sz val="12"/>
        <color theme="1"/>
        <rFont val="Times New Roman"/>
        <family val="1"/>
      </rPr>
      <t xml:space="preserve">GODOY;MANOSALVA(2005): </t>
    </r>
    <r>
      <rPr>
        <sz val="12"/>
        <color theme="1"/>
        <rFont val="Times New Roman"/>
        <family val="1"/>
      </rPr>
      <t xml:space="preserve">GODOY, Melissa Giacometti de; MANOSALVA, Andrés. Programa de melhoria da mobilidade para moradores de vilas e favelas de Belo Horizonte. In: TEIXEIRA, Marco Antonio Carvalho; Melissa Giacometti de Godoy; Roberta Clemente.  </t>
    </r>
    <r>
      <rPr>
        <i/>
        <sz val="12"/>
        <color theme="1"/>
        <rFont val="Times New Roman"/>
        <family val="1"/>
      </rPr>
      <t>20 Experiências de Gestão Pública e Cidadania - Ciclo de Premiação 2005</t>
    </r>
    <r>
      <rPr>
        <sz val="12"/>
        <color theme="1"/>
        <rFont val="Times New Roman"/>
        <family val="1"/>
      </rPr>
      <t xml:space="preserve">. Rio de Janeiro: Fundação Getúlio Vargas, 2005. p.95-104. Disponível em: &lt;http://prattein.com.br/home/images/stories/Gestao_publica/GestoPublica-Cidadania_FGV-ciclo_2005.pdf&gt;. Acesso em: 8 nov. 2016. </t>
    </r>
  </si>
  <si>
    <r>
      <rPr>
        <b/>
        <sz val="12"/>
        <color theme="1"/>
        <rFont val="Times New Roman"/>
        <family val="1"/>
      </rPr>
      <t>ESTER(2016c):</t>
    </r>
    <r>
      <rPr>
        <sz val="12"/>
        <color theme="1"/>
        <rFont val="Times New Roman"/>
        <family val="1"/>
      </rPr>
      <t xml:space="preserve"> INSTITUTO ESTER ASSUNPÇÃO. </t>
    </r>
    <r>
      <rPr>
        <i/>
        <sz val="12"/>
        <color theme="1"/>
        <rFont val="Times New Roman"/>
        <family val="1"/>
      </rPr>
      <t>Gráfico do IMGI - BHTrans</t>
    </r>
    <r>
      <rPr>
        <sz val="12"/>
        <color theme="1"/>
        <rFont val="Times New Roman"/>
        <family val="1"/>
      </rPr>
      <t>. 2016. [1p.]</t>
    </r>
  </si>
  <si>
    <r>
      <rPr>
        <b/>
        <sz val="12"/>
        <rFont val="Times New Roman"/>
        <family val="1"/>
      </rPr>
      <t xml:space="preserve">BRASIL(2010b): </t>
    </r>
    <r>
      <rPr>
        <sz val="12"/>
        <color theme="1"/>
        <rFont val="Times New Roman"/>
        <family val="1"/>
      </rPr>
      <t xml:space="preserve">BRASIL. Conselho Nacional de Trânsito. </t>
    </r>
    <r>
      <rPr>
        <i/>
        <sz val="12"/>
        <color theme="1"/>
        <rFont val="Times New Roman"/>
        <family val="1"/>
      </rPr>
      <t>Deliberação n.º 104 , de 24 de dezembro de 2010</t>
    </r>
    <r>
      <rPr>
        <sz val="12"/>
        <color theme="1"/>
        <rFont val="Times New Roman"/>
        <family val="1"/>
      </rPr>
      <t>. Estabelece procedimentos para a indicação no CRV/CRLV das características de acessibilidade para os veículos de transporte coletivos de passageiros e dá outras providências. Disponível em: &lt;http://www.denatran.gov.br/images/Deliberacoes/DELIBERACAO104.pdf&gt;. Acesso em: 5 nov. 2016.</t>
    </r>
  </si>
  <si>
    <r>
      <rPr>
        <b/>
        <sz val="12"/>
        <color theme="1"/>
        <rFont val="Times New Roman"/>
        <family val="1"/>
      </rPr>
      <t>MOBILIZE(2016a):</t>
    </r>
    <r>
      <rPr>
        <sz val="12"/>
        <color theme="1"/>
        <rFont val="Times New Roman"/>
        <family val="1"/>
      </rPr>
      <t xml:space="preserve"> MOBILIZE BRASIL -  MOBILIDADE URBANA SUSTENTÁVEL. </t>
    </r>
    <r>
      <rPr>
        <i/>
        <sz val="12"/>
        <color theme="1"/>
        <rFont val="Times New Roman"/>
        <family val="1"/>
      </rPr>
      <t>Estrutura cicloviária em cidades do Brasil (km) - Extensão de vias adequadas ao trânsito de bicicletas em cidades do Brasil</t>
    </r>
    <r>
      <rPr>
        <sz val="12"/>
        <color theme="1"/>
        <rFont val="Times New Roman"/>
        <family val="1"/>
      </rPr>
      <t>. Disponível em: &lt;http://www.mobilize.org.br/estatisticas/28/estrutura-cicloviaria-em-cidades-do-brasil-km.html&gt;. Acesso em: 4 maio 2016.</t>
    </r>
  </si>
  <si>
    <r>
      <rPr>
        <b/>
        <sz val="12"/>
        <color theme="1"/>
        <rFont val="Times New Roman"/>
        <family val="1"/>
      </rPr>
      <t>MOBILIZE(2016b):</t>
    </r>
    <r>
      <rPr>
        <sz val="12"/>
        <color theme="1"/>
        <rFont val="Times New Roman"/>
        <family val="1"/>
      </rPr>
      <t xml:space="preserve"> MOBILIZE BRASIL -  MOBILIDADE URBANA SUSTENTÁVEL. </t>
    </r>
    <r>
      <rPr>
        <i/>
        <sz val="12"/>
        <color theme="1"/>
        <rFont val="Times New Roman"/>
        <family val="1"/>
      </rPr>
      <t>Ônibus acessíveis - Porcentagem de ônibus municipais acessíveis a pessoas com deficiência física</t>
    </r>
    <r>
      <rPr>
        <sz val="12"/>
        <color theme="1"/>
        <rFont val="Times New Roman"/>
        <family val="1"/>
      </rPr>
      <t>. Disponível em: &lt;http://www.mobilize.org.br/estatisticas/21/onibus-acessiveis.html&gt;. Acesso em: 4 maio 2016.</t>
    </r>
  </si>
  <si>
    <r>
      <rPr>
        <b/>
        <sz val="12"/>
        <color theme="1"/>
        <rFont val="Times New Roman"/>
        <family val="1"/>
      </rPr>
      <t>MOBILIZE(2016c):</t>
    </r>
    <r>
      <rPr>
        <sz val="12"/>
        <color theme="1"/>
        <rFont val="Times New Roman"/>
        <family val="1"/>
      </rPr>
      <t xml:space="preserve"> MOBILIZE BRASIL -  MOBILIDADE URBANA SUSTENTÁVEL. </t>
    </r>
    <r>
      <rPr>
        <i/>
        <sz val="12"/>
        <color theme="1"/>
        <rFont val="Times New Roman"/>
        <family val="1"/>
      </rPr>
      <t>Concurso vai escolher projetos de acessiblidade para BH</t>
    </r>
    <r>
      <rPr>
        <sz val="12"/>
        <color theme="1"/>
        <rFont val="Times New Roman"/>
        <family val="1"/>
      </rPr>
      <t>. 19 abr. 2016. Disponível em: &lt;http://www.mobilize.org.br/noticias/9436/concurso-vai-escolher-projetos-de-acessiblidade-para-belo-horizonte.html?print=s&gt;. Acesso em: 7 jul. 2016.</t>
    </r>
  </si>
  <si>
    <r>
      <rPr>
        <b/>
        <sz val="12"/>
        <color theme="1"/>
        <rFont val="Times New Roman"/>
        <family val="1"/>
      </rPr>
      <t>MOBILIZE(2016d):</t>
    </r>
    <r>
      <rPr>
        <sz val="12"/>
        <color theme="1"/>
        <rFont val="Times New Roman"/>
        <family val="1"/>
      </rPr>
      <t xml:space="preserve"> MOBILIZE BRASIL -  MOBILIDADE URBANA SUSTENTÁVEL. </t>
    </r>
    <r>
      <rPr>
        <i/>
        <sz val="12"/>
        <color theme="1"/>
        <rFont val="Times New Roman"/>
        <family val="1"/>
      </rPr>
      <t>Mercedes-Benz apresenta ônibus autônomo na Holanda</t>
    </r>
    <r>
      <rPr>
        <sz val="12"/>
        <color theme="1"/>
        <rFont val="Times New Roman"/>
        <family val="1"/>
      </rPr>
      <t>. 26 jul. 2016. Disponível em: &lt;http://www.mobilize.org.br/noticias/9787/mercedesbenz-apresenta-onibus-autonomo-na-holanda.html&gt;. Acesso em: 27 jul. 2016.</t>
    </r>
  </si>
  <si>
    <r>
      <rPr>
        <b/>
        <sz val="12"/>
        <color theme="1"/>
        <rFont val="Times New Roman"/>
        <family val="1"/>
      </rPr>
      <t>MOBILIZE(2016e):</t>
    </r>
    <r>
      <rPr>
        <sz val="12"/>
        <color theme="1"/>
        <rFont val="Times New Roman"/>
        <family val="1"/>
      </rPr>
      <t xml:space="preserve"> MOBILIZE BRASIL -  MOBILIDADE URBANA SUSTENTÁVEL.</t>
    </r>
    <r>
      <rPr>
        <i/>
        <sz val="12"/>
        <color theme="1"/>
        <rFont val="Times New Roman"/>
        <family val="1"/>
      </rPr>
      <t xml:space="preserve"> Quem somos</t>
    </r>
    <r>
      <rPr>
        <sz val="12"/>
        <color theme="1"/>
        <rFont val="Times New Roman"/>
        <family val="1"/>
      </rPr>
      <t>. Disponível em: &lt;http://www.mobilize.org.br/sobre-o-portal/quem-somos/&gt;. Acesso em: 4 nov. 2016.</t>
    </r>
  </si>
  <si>
    <r>
      <rPr>
        <b/>
        <sz val="12"/>
        <color theme="1"/>
        <rFont val="Times New Roman"/>
        <family val="1"/>
      </rPr>
      <t xml:space="preserve">ETHOS(2016a): </t>
    </r>
    <r>
      <rPr>
        <i/>
        <sz val="12"/>
        <color theme="1"/>
        <rFont val="Times New Roman"/>
        <family val="1"/>
      </rPr>
      <t>Cidades sustentáveis</t>
    </r>
    <r>
      <rPr>
        <sz val="12"/>
        <color theme="1"/>
        <rFont val="Times New Roman"/>
        <family val="1"/>
      </rPr>
      <t>. Disponível em: &lt;https://www3.ethos.org.br/conteudo/projetos/mudanca-do-clima/empresas-e-cidades-sustentaveis/#.WCWzxtQrJ9g&gt;. Acesso em: 11 nov. 2016.</t>
    </r>
  </si>
  <si>
    <r>
      <rPr>
        <b/>
        <sz val="12"/>
        <color theme="1"/>
        <rFont val="Times New Roman"/>
        <family val="1"/>
      </rPr>
      <t xml:space="preserve">AUGUSTO(2011b): </t>
    </r>
    <r>
      <rPr>
        <sz val="12"/>
        <color theme="1"/>
        <rFont val="Times New Roman"/>
        <family val="1"/>
      </rPr>
      <t xml:space="preserve">Augusto, Cádmo. </t>
    </r>
    <r>
      <rPr>
        <i/>
        <sz val="12"/>
        <color theme="1"/>
        <rFont val="Times New Roman"/>
        <family val="1"/>
      </rPr>
      <t>Fotografia de ônibus de piso baixo sem rampa em Belo Horizonte</t>
    </r>
    <r>
      <rPr>
        <sz val="12"/>
        <color theme="1"/>
        <rFont val="Times New Roman"/>
        <family val="1"/>
      </rPr>
      <t>. Disponível em: &lt;https://onibusdebh.wordpress.com/2011/09/04/viacao-euclasio-veiculo-ex02931/&gt;. Acesso em: 1º nov. 2016.</t>
    </r>
  </si>
  <si>
    <r>
      <rPr>
        <b/>
        <sz val="12"/>
        <color theme="1"/>
        <rFont val="Times New Roman"/>
        <family val="1"/>
      </rPr>
      <t xml:space="preserve">WRI(2016i1): </t>
    </r>
    <r>
      <rPr>
        <sz val="12"/>
        <color theme="1"/>
        <rFont val="Times New Roman"/>
        <family val="1"/>
      </rPr>
      <t xml:space="preserve">WORLD RESOURCES INSTITUTE - WRI BRASIL. </t>
    </r>
    <r>
      <rPr>
        <i/>
        <sz val="12"/>
        <color theme="1"/>
        <rFont val="Times New Roman"/>
        <family val="1"/>
      </rPr>
      <t>Mobilidade corporativa: questionário-padrão.</t>
    </r>
    <r>
      <rPr>
        <sz val="12"/>
        <color theme="1"/>
        <rFont val="Times New Roman"/>
        <family val="1"/>
      </rPr>
      <t xml:space="preserve"> Porto Alegre, [2016]. 119p.</t>
    </r>
  </si>
  <si>
    <r>
      <rPr>
        <b/>
        <sz val="12"/>
        <color theme="1"/>
        <rFont val="Times New Roman"/>
        <family val="1"/>
      </rPr>
      <t xml:space="preserve">WRI(2016i2): </t>
    </r>
    <r>
      <rPr>
        <sz val="12"/>
        <color theme="1"/>
        <rFont val="Times New Roman"/>
        <family val="1"/>
      </rPr>
      <t xml:space="preserve">WORLD RESOURCES INSTITUTE - WRI BRASIL. </t>
    </r>
    <r>
      <rPr>
        <i/>
        <sz val="12"/>
        <color theme="1"/>
        <rFont val="Times New Roman"/>
        <family val="1"/>
      </rPr>
      <t>Mobilidade corporativa: questionário aplicado na BHTrans.</t>
    </r>
    <r>
      <rPr>
        <sz val="12"/>
        <color theme="1"/>
        <rFont val="Times New Roman"/>
        <family val="1"/>
      </rPr>
      <t xml:space="preserve"> Porto Alegre, [2016]. 119p.</t>
    </r>
  </si>
  <si>
    <r>
      <rPr>
        <b/>
        <sz val="12"/>
        <color theme="1"/>
        <rFont val="Times New Roman"/>
        <family val="1"/>
      </rPr>
      <t xml:space="preserve">WRI(2016i3): </t>
    </r>
    <r>
      <rPr>
        <sz val="12"/>
        <color theme="1"/>
        <rFont val="Times New Roman"/>
        <family val="1"/>
      </rPr>
      <t xml:space="preserve">WORLD RESOURCES INSTITUTE - WRI BRASIL. </t>
    </r>
    <r>
      <rPr>
        <i/>
        <sz val="12"/>
        <color theme="1"/>
        <rFont val="Times New Roman"/>
        <family val="1"/>
      </rPr>
      <t>Mobilidade corporativa: questionário aplicado na CAMG.</t>
    </r>
    <r>
      <rPr>
        <sz val="12"/>
        <color theme="1"/>
        <rFont val="Times New Roman"/>
        <family val="1"/>
      </rPr>
      <t xml:space="preserve"> Porto Alegre, [2016]. 119p.</t>
    </r>
  </si>
  <si>
    <r>
      <rPr>
        <b/>
        <sz val="10"/>
        <rFont val="Times New Roman"/>
        <family val="1"/>
      </rPr>
      <t xml:space="preserve">obs.1: </t>
    </r>
    <r>
      <rPr>
        <sz val="10"/>
        <rFont val="Times New Roman"/>
        <family val="1"/>
      </rPr>
      <t xml:space="preserve">diagnóstico (relatório e apresentação) sobre a Cidade Administrativa de Minas Gerais - CAMG em WRI(2015b; 2016g)
</t>
    </r>
    <r>
      <rPr>
        <b/>
        <sz val="10"/>
        <rFont val="Times New Roman"/>
        <family val="1"/>
      </rPr>
      <t xml:space="preserve">obs.2: </t>
    </r>
    <r>
      <rPr>
        <sz val="10"/>
        <rFont val="Times New Roman"/>
        <family val="1"/>
      </rPr>
      <t xml:space="preserve">diagnóstico (relatório e apresentação) sobre a BHTrans em BHTRANS(2016h1; h2)
</t>
    </r>
    <r>
      <rPr>
        <b/>
        <sz val="10"/>
        <rFont val="Times New Roman"/>
        <family val="1"/>
      </rPr>
      <t>obs.3:</t>
    </r>
    <r>
      <rPr>
        <sz val="10"/>
        <rFont val="Times New Roman"/>
        <family val="1"/>
      </rPr>
      <t xml:space="preserve"> questionários pré diagnóstico: padrão conforme WRI(2016i1), BHTrans conforme WRI(2016i2); CAMG conforme WRI(2016i3)
</t>
    </r>
    <r>
      <rPr>
        <b/>
        <sz val="10"/>
        <rFont val="Times New Roman"/>
        <family val="1"/>
      </rPr>
      <t xml:space="preserve">obs.4: </t>
    </r>
    <r>
      <rPr>
        <sz val="10"/>
        <rFont val="Times New Roman"/>
        <family val="1"/>
      </rPr>
      <t>acesse o registro "GDV"</t>
    </r>
  </si>
  <si>
    <r>
      <rPr>
        <b/>
        <sz val="12"/>
        <color theme="1"/>
        <rFont val="Times New Roman"/>
        <family val="1"/>
      </rPr>
      <t xml:space="preserve">BRASIL(2016c): </t>
    </r>
    <r>
      <rPr>
        <sz val="12"/>
        <color theme="1"/>
        <rFont val="Times New Roman"/>
        <family val="1"/>
      </rPr>
      <t xml:space="preserve">BRASIL. Presidência da República. </t>
    </r>
    <r>
      <rPr>
        <i/>
        <sz val="12"/>
        <color theme="1"/>
        <rFont val="Times New Roman"/>
        <family val="1"/>
      </rPr>
      <t>Decreto n.º 8.892, de 27 de outubro de 2016</t>
    </r>
    <r>
      <rPr>
        <sz val="12"/>
        <color theme="1"/>
        <rFont val="Times New Roman"/>
        <family val="1"/>
      </rPr>
      <t>. Cria a Comissão Nacional para os Objetivos de Desenvolvimento Sustentável. Disponível em: &lt;http://www.planalto.gov.br/ccivil_03/_Ato2015-2018/2016/Decreto/D8892.htm&gt;. Acesso em: 14 nov. 2016.</t>
    </r>
  </si>
  <si>
    <r>
      <t xml:space="preserve">Objetivos de Desenvolvimento Sustentável
</t>
    </r>
    <r>
      <rPr>
        <b/>
        <sz val="10"/>
        <rFont val="Times New Roman"/>
        <family val="1"/>
      </rPr>
      <t>obs.1:</t>
    </r>
    <r>
      <rPr>
        <sz val="10"/>
        <rFont val="Times New Roman"/>
        <family val="1"/>
      </rPr>
      <t xml:space="preserve"> os ODS "são uma agenda mundial com 17 objetivos e 169 metas. [...] De acordo com os objetivos e metas, são previstas ações mundiais nas áreas de erradicação da pobreza, segurança alimentar, agricultura, saúde, educação, igualdade de gênero, redução das desigualdades, energia, água e saneamento, padrões sustentáveis de produção e de consumo, mudança do clima, cidades sustentáveis, proteção e uso sustentável dos oceanos e dos ecossistemas terrestres, crescimento econômico inclusivo, infraestrutura, industrialização, entre outros. Os temas podem ser divididos em quatro dimensões principais: Social [...] Ambiental [...] Econômica [...] Institucional [...] Os ODS vêm sendo construídos em um processo de negociação mundial, que começou em 2013. O Brasil vem participando das discussões e definições sobre os ODS, e tem como posição defender a erradicação da pobreza como prioridade nas iniciativas para o desenvolvimento sustentável." conforme ODS(2016a)
</t>
    </r>
    <r>
      <rPr>
        <b/>
        <sz val="10"/>
        <rFont val="Times New Roman"/>
        <family val="1"/>
      </rPr>
      <t xml:space="preserve">obs.2: </t>
    </r>
    <r>
      <rPr>
        <sz val="10"/>
        <rFont val="Times New Roman"/>
        <family val="1"/>
      </rPr>
      <t xml:space="preserve">em outubro de 2016 foi criada a Comissão Nacional para os Objetivos de Desenvolvimento Sustentável conforme BRASIL(2016c)
</t>
    </r>
    <r>
      <rPr>
        <b/>
        <sz val="10"/>
        <rFont val="Times New Roman"/>
        <family val="1"/>
      </rPr>
      <t xml:space="preserve">obs.3: </t>
    </r>
    <r>
      <rPr>
        <sz val="10"/>
        <rFont val="Times New Roman"/>
        <family val="1"/>
      </rPr>
      <t>acesse os verbetes "cidades conectadas", "cidades inclusivas", "cidades resilientes", "ODM", "ODS 11" "SDSN"</t>
    </r>
  </si>
  <si>
    <r>
      <t xml:space="preserve">"As recomendações aqui apresentadas para um Plano Nacional compreendem um conjunto de medidas que visa, a curto, médio e longo prazos, reduzir os níveis atuais de mortalidade e lesões por acidentes de trânsito no país, tendo como meta o índice de redução proposto pela Resolução da ONU de 50% em 10 anos, por meio de ações eficientes dos governos, em todos os níveis e âmbitos de competência." conforme ANTP(2011c)
</t>
    </r>
    <r>
      <rPr>
        <b/>
        <sz val="10"/>
        <rFont val="Times New Roman"/>
        <family val="1"/>
      </rPr>
      <t xml:space="preserve">obs.1: </t>
    </r>
    <r>
      <rPr>
        <sz val="10"/>
        <rFont val="Times New Roman"/>
        <family val="1"/>
      </rPr>
      <t xml:space="preserve">em 2010 a ONU "Proclama el período 2011-2020 “Decenio de Acción para la Seguridad Vial”, con el objetivo de estabilizar y, posteriormente, reducir las cifras previstas de víctimas mortales en accidentes de tránsito en todo el mundo aumentando las actividades en los planos nacional, regional y mundial" e "Invita a todos los Estados Miembros a fijar sus propios objetivos de reducción de las víctimas de accidentes de tránsito con miras a su consecución para el final del Decenio, en consonancia con el plan de acción" conforme ONU(2010a, p.4, 5)
</t>
    </r>
    <r>
      <rPr>
        <b/>
        <sz val="10"/>
        <rFont val="Times New Roman"/>
        <family val="1"/>
      </rPr>
      <t xml:space="preserve">obs.2: </t>
    </r>
    <r>
      <rPr>
        <sz val="10"/>
        <rFont val="Times New Roman"/>
        <family val="1"/>
      </rPr>
      <t xml:space="preserve">a meta proposta pela Organização das Nações Unidas - ONU, se entendida como redução no n.º de mortos e rebatida para Belo Horizonte, leva à necessidade de chegar a 2020 com 50% de mortos a menos que o medido em 2010; para tanto, é necessário reduzir 5 % ao ano entre 2011 e 2020
</t>
    </r>
    <r>
      <rPr>
        <b/>
        <sz val="10"/>
        <rFont val="Times New Roman"/>
        <family val="1"/>
      </rPr>
      <t xml:space="preserve">obs.3: </t>
    </r>
    <r>
      <rPr>
        <sz val="10"/>
        <rFont val="Times New Roman"/>
        <family val="1"/>
      </rPr>
      <t xml:space="preserve">se a meta de 50% em dez anos for repetida para o período 2021-2030, será necessário reduzir 5% ao ano a partir do resultado de 2020 (que para efeito de simulação é aqui tomado como a meta estabelecida)
</t>
    </r>
    <r>
      <rPr>
        <b/>
        <sz val="10"/>
        <rFont val="Times New Roman"/>
        <family val="1"/>
      </rPr>
      <t>obs.4:</t>
    </r>
    <r>
      <rPr>
        <sz val="10"/>
        <rFont val="Times New Roman"/>
        <family val="1"/>
      </rPr>
      <t xml:space="preserve"> as metas aqui calculadas para 2011 a 2030 são apenas simulações interpretando-se (como cima descrito) a recomendação da ONU (o SisMob-BH não fez a mesma simulação para M30 pois não há resultado do indicador para 2010)</t>
    </r>
  </si>
  <si>
    <r>
      <rPr>
        <b/>
        <sz val="12"/>
        <color theme="1"/>
        <rFont val="Times New Roman"/>
        <family val="1"/>
      </rPr>
      <t>ONU(2010a):</t>
    </r>
    <r>
      <rPr>
        <sz val="12"/>
        <color theme="1"/>
        <rFont val="Times New Roman"/>
        <family val="1"/>
      </rPr>
      <t xml:space="preserve"> NACIONES UNIDAS. Asamblea General. </t>
    </r>
    <r>
      <rPr>
        <i/>
        <sz val="12"/>
        <color theme="1"/>
        <rFont val="Times New Roman"/>
        <family val="1"/>
      </rPr>
      <t xml:space="preserve">A/RES/64/255, de 2 de marzo de 2010 (dist.general 10 de mayo de 2010). </t>
    </r>
    <r>
      <rPr>
        <sz val="12"/>
        <color theme="1"/>
        <rFont val="Times New Roman"/>
        <family val="1"/>
      </rPr>
      <t xml:space="preserve">Mejoramiento de la seguridad vial en el mundo. Disponível em: &lt;http://www.who.int/violence_injury_prevention/publications/road_traffic/UN_GA_resolution-54-255-es.pdf&gt;. Acesso em: 14 nov. 2016. </t>
    </r>
  </si>
  <si>
    <r>
      <rPr>
        <b/>
        <sz val="12"/>
        <color theme="1"/>
        <rFont val="Times New Roman"/>
        <family val="1"/>
      </rPr>
      <t>ONU(2012a):</t>
    </r>
    <r>
      <rPr>
        <sz val="12"/>
        <color theme="1"/>
        <rFont val="Times New Roman"/>
        <family val="1"/>
      </rPr>
      <t xml:space="preserve"> NACIONES UNIDAS. Asamblea General. </t>
    </r>
    <r>
      <rPr>
        <i/>
        <sz val="12"/>
        <color theme="1"/>
        <rFont val="Times New Roman"/>
        <family val="1"/>
      </rPr>
      <t xml:space="preserve">A/RES/66/260, de 19 de abril de 2012 (dist.general 23 de mayo de 2012). </t>
    </r>
    <r>
      <rPr>
        <sz val="12"/>
        <color theme="1"/>
        <rFont val="Times New Roman"/>
        <family val="1"/>
      </rPr>
      <t xml:space="preserve">Mejoramiento de la seguridad vial en el mundo. Disponível em: &lt;http://www.un.org/ga/search/view_doc.asp?symbol=A/RES/66/260&amp;Lang=S&gt;. Acesso em: 14 nov. 2016. </t>
    </r>
  </si>
  <si>
    <t>Europa sem barreiras</t>
  </si>
  <si>
    <t>Europa sem barreiras para todos</t>
  </si>
  <si>
    <r>
      <t>"qualquer entrave, obstáculo, atitude ou comportamento que limite ou impeça a participação social da pessoa, bem como o gozo, a fruição e o exercício de seus direitos à acessibilidade, à liberdade de movimento e de expressão, à comunicação, ao acesso à informação, à compreensão, à circulação com segurança, entre outros, classificadas em: a) barreiras urbanísticas: as existentes nas vias e nos espaços públicos e privados abertos ao público ou de uso coletivo; b) barreiras arquitetônicas: as existentes nos edifícios públicos e privados; c) barreiras nos transportes: as existentes nos sistemas e meios de transportes; d) barreiras nas comunicações e na informação: qualquer entrave, obstáculo, atitude ou comportamento que dificulte ou impossibilite a expressão ou o recebimento de mensagens e de informações por intermédio de sistemas de comunicação e de tecnologia da informação; e) barreiras atitudinais: atitudes ou comportamentos que impeçam ou prejudiquem a participação social da pessoa com deficiência em igualdade de condições e oportunidades com as demais pessoas; f) barreiras tecnológicas: as que dificultam ou impedem o acesso da pessoa com deficiência às tecnologias" conforme BRASIL(2015a, inciso IV do art. 3º)</t>
    </r>
    <r>
      <rPr>
        <b/>
        <sz val="10"/>
        <rFont val="Times New Roman"/>
        <family val="1"/>
      </rPr>
      <t/>
    </r>
  </si>
  <si>
    <r>
      <rPr>
        <b/>
        <sz val="10"/>
        <rFont val="Times New Roman"/>
        <family val="1"/>
      </rPr>
      <t xml:space="preserve">obs.: </t>
    </r>
    <r>
      <rPr>
        <sz val="10"/>
        <rFont val="Times New Roman"/>
        <family val="1"/>
      </rPr>
      <t>acesse o verbete "Europa sem barreiras para todos"</t>
    </r>
  </si>
  <si>
    <r>
      <t xml:space="preserve">Em 2010 a Comissão Europeia emitiu uma comunicação ao Parlamento Europeu, ao Conselho, ao Comitê Econômico e Social Europeu e ao Comitê das Regiões, onde apresenta o seu "compromisso renovado a favor de uma Europa sem barreiras" sob a forma de uma "Estratégia Europeia para a Deficiência 2010-2020" conforme EC(2010a)
</t>
    </r>
    <r>
      <rPr>
        <b/>
        <sz val="10"/>
        <color theme="1"/>
        <rFont val="Times New Roman"/>
        <family val="1"/>
      </rPr>
      <t>obs.1:</t>
    </r>
    <r>
      <rPr>
        <sz val="10"/>
        <color theme="1"/>
        <rFont val="Times New Roman"/>
        <family val="1"/>
      </rPr>
      <t xml:space="preserve"> "O principal objectivo da presente estratégia é capacitar as pessoas com deficiência para que possam usufruir de todos os seus direitos e beneficiar plenamente da sua participação na sociedade e na economia europeias, designadamente através do mercado único. [...] A Comissão identificou oito grandes áreas de acção: </t>
    </r>
    <r>
      <rPr>
        <b/>
        <sz val="10"/>
        <color theme="1"/>
        <rFont val="Times New Roman"/>
        <family val="1"/>
      </rPr>
      <t>acessibilidade,</t>
    </r>
    <r>
      <rPr>
        <sz val="10"/>
        <color theme="1"/>
        <rFont val="Times New Roman"/>
        <family val="1"/>
      </rPr>
      <t xml:space="preserve"> participação, igualdade, emprego, educação e formação, protecção social, saúde e acção externa" conforme EC(2010a, p.4 - grifo nosso)
</t>
    </r>
    <r>
      <rPr>
        <b/>
        <sz val="10"/>
        <color theme="1"/>
        <rFont val="Times New Roman"/>
        <family val="1"/>
      </rPr>
      <t xml:space="preserve">obs.2: </t>
    </r>
    <r>
      <rPr>
        <sz val="10"/>
        <color theme="1"/>
        <rFont val="Times New Roman"/>
        <family val="1"/>
      </rPr>
      <t xml:space="preserve">"A acção da UE apoiará e complementará os esforços dos Estados-Membros para </t>
    </r>
    <r>
      <rPr>
        <b/>
        <sz val="10"/>
        <color theme="1"/>
        <rFont val="Times New Roman"/>
        <family val="1"/>
      </rPr>
      <t xml:space="preserve">recolher dados e estatísticas </t>
    </r>
    <r>
      <rPr>
        <sz val="10"/>
        <color theme="1"/>
        <rFont val="Times New Roman"/>
        <family val="1"/>
      </rPr>
      <t xml:space="preserve">ilustrativos das barreiras que impedem as pessoas com deficiência de exercerem os seus direitos." conforme EC(2010a, p.12 - grifo nosso)
</t>
    </r>
    <r>
      <rPr>
        <b/>
        <sz val="10"/>
        <color theme="1"/>
        <rFont val="Times New Roman"/>
        <family val="1"/>
      </rPr>
      <t xml:space="preserve">obs.3: </t>
    </r>
    <r>
      <rPr>
        <sz val="10"/>
        <color theme="1"/>
        <rFont val="Times New Roman"/>
        <family val="1"/>
      </rPr>
      <t xml:space="preserve">"A Comissão apoiar-se-á na </t>
    </r>
    <r>
      <rPr>
        <b/>
        <sz val="10"/>
        <color theme="1"/>
        <rFont val="Times New Roman"/>
        <family val="1"/>
      </rPr>
      <t>recolha de estatísticas e de dados</t>
    </r>
    <r>
      <rPr>
        <sz val="10"/>
        <color theme="1"/>
        <rFont val="Times New Roman"/>
        <family val="1"/>
      </rPr>
      <t xml:space="preserve"> para ilustrar mudanças no padrão de disparidades entre as pessoas com deficiência e o conjunto da população e para definir indicadores associados às metas da estratégia Europa 2020 em matéria de educação, emprego e redução da pobreza." conforme EC(2010a, p.12-13 - grifo nosso)
</t>
    </r>
    <r>
      <rPr>
        <b/>
        <sz val="10"/>
        <color theme="1"/>
        <rFont val="Times New Roman"/>
        <family val="1"/>
      </rPr>
      <t xml:space="preserve">obs.4: </t>
    </r>
    <r>
      <rPr>
        <sz val="10"/>
        <color theme="1"/>
        <rFont val="Times New Roman"/>
        <family val="1"/>
      </rPr>
      <t>acesse o verbete "convenção PcD"</t>
    </r>
  </si>
  <si>
    <t>"As instituições europeias e os Estados-Membros são chamados a trabalhar em conjunto no âmbito da presente
estratégia para construir uma Europa sem barreiras para todos." conforme EC(2010a, p.13)</t>
  </si>
  <si>
    <r>
      <t xml:space="preserve">"«Acessibilidade» significa que as pessoas com deficiência têm acesso, em condições de igualdade com os demais cidadãos, ao ambiente físico, </t>
    </r>
    <r>
      <rPr>
        <b/>
        <sz val="9"/>
        <color theme="1"/>
        <rFont val="Times New Roman"/>
        <family val="1"/>
      </rPr>
      <t>aos transportes</t>
    </r>
    <r>
      <rPr>
        <sz val="9"/>
        <color theme="1"/>
        <rFont val="Times New Roman"/>
        <family val="1"/>
      </rPr>
      <t xml:space="preserve">, aos sistemas e tecnologias da informação e comunicação (TIC) e a outras instalações e serviços." conforme EC(2010a, p.6 - grifo nosso)
</t>
    </r>
    <r>
      <rPr>
        <b/>
        <sz val="9"/>
        <color theme="1"/>
        <rFont val="Times New Roman"/>
        <family val="1"/>
      </rPr>
      <t xml:space="preserve">obs.: </t>
    </r>
    <r>
      <rPr>
        <sz val="9"/>
        <color theme="1"/>
        <rFont val="Times New Roman"/>
        <family val="1"/>
      </rPr>
      <t>acesse o verbete "Europa sem barreiras"</t>
    </r>
  </si>
  <si>
    <r>
      <rPr>
        <b/>
        <sz val="12"/>
        <color theme="1"/>
        <rFont val="Times New Roman"/>
        <family val="1"/>
      </rPr>
      <t xml:space="preserve">EC(2010b): </t>
    </r>
    <r>
      <rPr>
        <sz val="12"/>
        <color theme="1"/>
        <rFont val="Times New Roman"/>
        <family val="1"/>
      </rPr>
      <t xml:space="preserve">EUROPEAN COMISSION - EC. THE COMMISSION TO THE EUROPEAN PARLIAMENT, THE COUNCIL, THE EUROPEAN ECONOMIC AND SOCIAL COMMITTEE AND THE COMMITTEE OF THE REGIONS. Communicatio. </t>
    </r>
    <r>
      <rPr>
        <i/>
        <sz val="12"/>
        <color theme="1"/>
        <rFont val="Times New Roman"/>
        <family val="1"/>
      </rPr>
      <t>European Disability Strategy 2010-2020: A Renewed Commitment to a Barrier-Free Europe</t>
    </r>
    <r>
      <rPr>
        <sz val="12"/>
        <color theme="1"/>
        <rFont val="Times New Roman"/>
        <family val="1"/>
      </rPr>
      <t>. Bruxelas, 15 nov. 2010. Disponível em: &lt;http://eur-lex.europa.eu/LexUriServ/LexUriServ.do?uri=COM:2010:0636:FIN:en:PDF&gt;. Acesso em: 14 nov. 2016.</t>
    </r>
  </si>
  <si>
    <r>
      <rPr>
        <b/>
        <sz val="12"/>
        <color theme="1"/>
        <rFont val="Times New Roman"/>
        <family val="1"/>
      </rPr>
      <t xml:space="preserve">EC(2010a): </t>
    </r>
    <r>
      <rPr>
        <sz val="12"/>
        <color theme="1"/>
        <rFont val="Times New Roman"/>
        <family val="1"/>
      </rPr>
      <t xml:space="preserve">COMISSÃO EUROPEIA - EC. COMUNICAÇÃO DA COMISSÃO AO PARLAMENTO EUROPEU, AO CONSELHO, AO COMITÉ ECONÓMICO E SOCIAL EUROPEU E AO COMITÉ DAS REGIÕES. Comunicação. </t>
    </r>
    <r>
      <rPr>
        <i/>
        <sz val="12"/>
        <color theme="1"/>
        <rFont val="Times New Roman"/>
        <family val="1"/>
      </rPr>
      <t>Estratégia Europeia para a Deficiência 2010-2020: Compromisso renovado a favor de uma Europa sem barreiras</t>
    </r>
    <r>
      <rPr>
        <sz val="12"/>
        <color theme="1"/>
        <rFont val="Times New Roman"/>
        <family val="1"/>
      </rPr>
      <t>. Bruxelas, 15 nov. 2010. Disponível em: &lt;http://eur-lex.europa.eu/legal-content/PT/TXT/PDF/?uri=CELEX:52010DC0636&amp;from=PT&gt;. Acesso em: 14 nov. 2016.</t>
    </r>
  </si>
  <si>
    <r>
      <rPr>
        <b/>
        <sz val="12"/>
        <color theme="1"/>
        <rFont val="Times New Roman"/>
        <family val="1"/>
      </rPr>
      <t xml:space="preserve">NAHAS(2006): </t>
    </r>
    <r>
      <rPr>
        <sz val="12"/>
        <color theme="1"/>
        <rFont val="Times New Roman"/>
        <family val="1"/>
      </rPr>
      <t xml:space="preserve">NAHAS, Maria Inês Pedrosa; PEREIRA, Maria Aparecida Machado; ESTEVES, Otávio de Avelar; GONÇALVEZ, Éber. </t>
    </r>
    <r>
      <rPr>
        <i/>
        <sz val="12"/>
        <color theme="1"/>
        <rFont val="Times New Roman"/>
        <family val="1"/>
      </rPr>
      <t>Metodologia de construção do Índice de Qualidade de Vida Urbana do Municípios Brasileiros (IQVU-BR)</t>
    </r>
    <r>
      <rPr>
        <sz val="12"/>
        <color theme="1"/>
        <rFont val="Times New Roman"/>
        <family val="1"/>
      </rPr>
      <t>. 2006. Disponível em: &lt;http://www.abep.nepo.unicamp.br/encontro2006/docspdf/ABEP2006_420.pdf&gt;. Acesso em: 14 nov. 2016.</t>
    </r>
  </si>
  <si>
    <t>IQVU-BH</t>
  </si>
  <si>
    <t>IQVU-BR</t>
  </si>
  <si>
    <r>
      <t xml:space="preserve">Índice de Qualidade de Vida Urbana dos Municípios Brasileiros
</t>
    </r>
    <r>
      <rPr>
        <b/>
        <sz val="10"/>
        <color theme="1"/>
        <rFont val="Times New Roman"/>
        <family val="1"/>
      </rPr>
      <t xml:space="preserve">obs.1: </t>
    </r>
    <r>
      <rPr>
        <sz val="10"/>
        <color theme="1"/>
        <rFont val="Times New Roman"/>
        <family val="1"/>
      </rPr>
      <t xml:space="preserve">"O IQVU-BR é resultado de uma parceria entre o Ministério das Cidades e o Instituto de Desenvolvimento Humano Sustentável da Pontifícia Universidade Católica de Minas Gerais (IDHS/PUC Minas – Belo Horizonte/MG), através do Programa das Nações Unidas para o Desenvolvimento (PNUD)." NAHAS(2006, p.1)
</t>
    </r>
    <r>
      <rPr>
        <b/>
        <sz val="10"/>
        <color theme="1"/>
        <rFont val="Times New Roman"/>
        <family val="1"/>
      </rPr>
      <t>obs.2:</t>
    </r>
    <r>
      <rPr>
        <sz val="10"/>
        <color theme="1"/>
        <rFont val="Times New Roman"/>
        <family val="1"/>
      </rPr>
      <t xml:space="preserve"> "transportes" é uma das onze variáveis do IQVU-BR, com três componentes, cada qual com um indicador associado, quais sejam: "11.1. TRANSPORTE COLETIVO = 11.1.1. Motoristas de Ônibus Urbanos, Metropolitanos e Rodoviários / 11.2. OUTROS TIPOS DE TRANSPORTE = 11.2.1. Motorização no município: Número de veículos motorizados de pequeno e médio portes / 11.3. INFRA-ESTRUTURA DE TRANSPORTES = 11.3.1. Percentual de domicílios em vias pavimentadas" conforme NAHAS(2006, p.14),</t>
    </r>
  </si>
  <si>
    <r>
      <t xml:space="preserve">Índice de Qualidade de Vida Urbana do Município de Belo Horizonte
</t>
    </r>
    <r>
      <rPr>
        <b/>
        <sz val="10"/>
        <color theme="1"/>
        <rFont val="Times New Roman"/>
        <family val="1"/>
      </rPr>
      <t xml:space="preserve">obs.: </t>
    </r>
    <r>
      <rPr>
        <sz val="10"/>
        <color theme="1"/>
        <rFont val="Times New Roman"/>
        <family val="1"/>
      </rPr>
      <t xml:space="preserve">"O IQVU-BH foi desenvolvido em 1996 pela Prefeitura de Belo Horizonte, em parceria com a PUC Minas, e, desde 2000 é empregado como critério para distribuição de recursos do Orçamento Participativo [...]. É um índice intra-urbano composto por indicadores georreferenciados em Unidades de Planejamento Municipal da cidade. Foi calculado primeiramente com dados de 1994,
oriundos principalmente de fontes locais, e já foi atualizado duas vezes, com dados de 1996 e 2000. Em sua primeira versão, está composto por indicadores que expressam a oferta de serviços e recursos urbanos de 11 setores6: Abastecimento Alimentar,
Assistência Social; Cultura, Educação, Esportes, Habitação, </t>
    </r>
    <r>
      <rPr>
        <b/>
        <sz val="10"/>
        <color theme="1"/>
        <rFont val="Times New Roman"/>
        <family val="1"/>
      </rPr>
      <t>Infra-estrutura Urbana</t>
    </r>
    <r>
      <rPr>
        <sz val="10"/>
        <color theme="1"/>
        <rFont val="Times New Roman"/>
        <family val="1"/>
      </rPr>
      <t xml:space="preserve">, Meio Ambiente, Saúde, Segurança Urbana, </t>
    </r>
    <r>
      <rPr>
        <b/>
        <sz val="10"/>
        <color theme="1"/>
        <rFont val="Times New Roman"/>
        <family val="1"/>
      </rPr>
      <t>Serviços Urbanos</t>
    </r>
    <r>
      <rPr>
        <sz val="10"/>
        <color theme="1"/>
        <rFont val="Times New Roman"/>
        <family val="1"/>
      </rPr>
      <t>." conforme NAHAS(2006, p.4 - grifo nosso)</t>
    </r>
  </si>
  <si>
    <r>
      <t xml:space="preserve">a logomarca "Acessibilidade para Todos" refere-se ao projeto da BHTrans denominado "Política de Acessibilidade na Mobilidade Urbana de Belo Horizonte (Pamu-BH) formalmente anunciado no "Seminário Internacional de Acessibilidade na Mobilidade Urbana de Belo Horizonte" lançado em 15/08/2015 que "marcou o início das discussões para elaboração do Projeto Acessibilidade Para Todos" conforme BHTRANS(2015x; 2015y) e WRI(2015a)
</t>
    </r>
    <r>
      <rPr>
        <b/>
        <sz val="10"/>
        <rFont val="Times New Roman"/>
        <family val="1"/>
      </rPr>
      <t>obs.2:</t>
    </r>
    <r>
      <rPr>
        <sz val="10"/>
        <rFont val="Times New Roman"/>
        <family val="1"/>
      </rPr>
      <t xml:space="preserve"> esta logomarca foi utilizada em 1996 pela Comissão de Estudos criada pelo Decreto Governamental MG n.º 38.433/1996 para apresentar suas propostas de incentivo de gerenciamento e de regulamentação no âmbito dos edifícios e espaços de uso público conforme MG(1998a)
</t>
    </r>
    <r>
      <rPr>
        <b/>
        <sz val="10"/>
        <rFont val="Times New Roman"/>
        <family val="1"/>
      </rPr>
      <t>obs.3:</t>
    </r>
    <r>
      <rPr>
        <sz val="10"/>
        <rFont val="Times New Roman"/>
        <family val="1"/>
      </rPr>
      <t xml:space="preserve"> a logomarca "acessibilidade e mobilidade para todos" foi utlizada pelo Secretariado Nacional de Reabilitação e Integração das Pessoas com Deficiência de Portugal conforme PORTUGAL(2006)
</t>
    </r>
    <r>
      <rPr>
        <b/>
        <sz val="10"/>
        <rFont val="Times New Roman"/>
        <family val="1"/>
      </rPr>
      <t xml:space="preserve">obs.4: </t>
    </r>
    <r>
      <rPr>
        <sz val="10"/>
        <rFont val="Times New Roman"/>
        <family val="1"/>
      </rPr>
      <t xml:space="preserve">esta logomarca foi usada em 2012 por APE/DE Santos conforme APE(2012)
</t>
    </r>
    <r>
      <rPr>
        <b/>
        <sz val="10"/>
        <rFont val="Times New Roman"/>
        <family val="1"/>
      </rPr>
      <t xml:space="preserve">obs.5: </t>
    </r>
    <r>
      <rPr>
        <sz val="10"/>
        <rFont val="Times New Roman"/>
        <family val="1"/>
      </rPr>
      <t xml:space="preserve">esta logomarca foi utilizada em 2016 no "concurso Acessibilidade para Todos" (acesse verbete)
</t>
    </r>
    <r>
      <rPr>
        <b/>
        <sz val="10"/>
        <rFont val="Times New Roman"/>
        <family val="1"/>
      </rPr>
      <t xml:space="preserve">obs.6: </t>
    </r>
    <r>
      <rPr>
        <sz val="10"/>
        <rFont val="Times New Roman"/>
        <family val="1"/>
      </rPr>
      <t xml:space="preserve">apresentação do "Workshop Acessibilidade para Todos" relativo ao BRT de BH conforme WRI(2016j)
</t>
    </r>
    <r>
      <rPr>
        <b/>
        <sz val="10"/>
        <rFont val="Times New Roman"/>
        <family val="1"/>
      </rPr>
      <t>obs.7:</t>
    </r>
    <r>
      <rPr>
        <sz val="10"/>
        <rFont val="Times New Roman"/>
        <family val="1"/>
      </rPr>
      <t xml:space="preserve"> acesse também os verbetes "para todos" e "acessibilidade para todos no metrô"</t>
    </r>
  </si>
  <si>
    <t>acessibilidade no BRT</t>
  </si>
  <si>
    <t>PIM</t>
  </si>
  <si>
    <r>
      <rPr>
        <b/>
        <sz val="12"/>
        <color theme="1"/>
        <rFont val="Times New Roman"/>
        <family val="1"/>
      </rPr>
      <t xml:space="preserve">ROSARIO(2011): </t>
    </r>
    <r>
      <rPr>
        <sz val="12"/>
        <color theme="1"/>
        <rFont val="Times New Roman"/>
        <family val="1"/>
      </rPr>
      <t xml:space="preserve">ROSARIO. Municipalidad. </t>
    </r>
    <r>
      <rPr>
        <i/>
        <sz val="12"/>
        <color theme="1"/>
        <rFont val="Times New Roman"/>
        <family val="1"/>
      </rPr>
      <t>Plan Integral de Movilidad - PIM</t>
    </r>
    <r>
      <rPr>
        <sz val="12"/>
        <color theme="1"/>
        <rFont val="Times New Roman"/>
        <family val="1"/>
      </rPr>
      <t>. Rosario, abril 2011. 361p. Disponível em: &lt;http://www.cleanairinstitute.org/ciudades/download/Plan_Integral_de_Movilidad_Rosario.pdf&gt;. Acesso em: 11 nov. 2016.</t>
    </r>
  </si>
  <si>
    <t>Rosário</t>
  </si>
  <si>
    <r>
      <t xml:space="preserve">Plan Integral de Movilidad - PIM da cidade de Rosário, na Argentina
</t>
    </r>
    <r>
      <rPr>
        <b/>
        <sz val="10"/>
        <color theme="1"/>
        <rFont val="Times New Roman"/>
        <family val="1"/>
      </rPr>
      <t xml:space="preserve">obs.1: </t>
    </r>
    <r>
      <rPr>
        <sz val="10"/>
        <color theme="1"/>
        <rFont val="Times New Roman"/>
        <family val="1"/>
      </rPr>
      <t xml:space="preserve">plano conforme ROSARI(2011)
</t>
    </r>
    <r>
      <rPr>
        <b/>
        <sz val="10"/>
        <color theme="1"/>
        <rFont val="Times New Roman"/>
        <family val="1"/>
      </rPr>
      <t>obs.2:</t>
    </r>
    <r>
      <rPr>
        <sz val="10"/>
        <color theme="1"/>
        <rFont val="Times New Roman"/>
        <family val="1"/>
      </rPr>
      <t xml:space="preserve"> artigo sobre o plano foi premiado em 2016 pela Revista Vial como "mejor trabajo técnico em movilidad sustentable" conforme TAZZIOLI(25016)</t>
    </r>
  </si>
  <si>
    <r>
      <t xml:space="preserve">"Contemporáneamente, el Municipio de Rosario adhiere al Plan Nacional de Accesibilidad, y por intermedio de la Comisión Asesora Municipal de Entidades de Discapacitados, ha elaborado un </t>
    </r>
    <r>
      <rPr>
        <b/>
        <sz val="10"/>
        <color theme="1"/>
        <rFont val="Times New Roman"/>
        <family val="1"/>
      </rPr>
      <t xml:space="preserve">Plan Municipal de Accesibilidad Urbana </t>
    </r>
    <r>
      <rPr>
        <sz val="10"/>
        <color theme="1"/>
        <rFont val="Times New Roman"/>
        <family val="1"/>
      </rPr>
      <t>en el cual se definen acciones estratégicas sobre el medio físico de la ciudad. Esta mirada estratégica se complementa con una mirada más territorializada que, desde los distritos, interactúa con los vecinos y se actualiza en forma permanente." conforme ROSARIO(2011, p.262 - grifo nosso)</t>
    </r>
  </si>
  <si>
    <t>Argentina</t>
  </si>
  <si>
    <r>
      <t xml:space="preserve">"Contemporáneamente, el Municipio de Rosario adhiere al </t>
    </r>
    <r>
      <rPr>
        <b/>
        <sz val="10"/>
        <color theme="1"/>
        <rFont val="Times New Roman"/>
        <family val="1"/>
      </rPr>
      <t>Plan Nacional de Accesibilidad</t>
    </r>
    <r>
      <rPr>
        <sz val="10"/>
        <color theme="1"/>
        <rFont val="Times New Roman"/>
        <family val="1"/>
      </rPr>
      <t>, y por intermedio de la Comisión Asesora Municipal de Entidades de Discapacitados, ha elaborado un Plan Municipal de Accesibilidad Urbana</t>
    </r>
    <r>
      <rPr>
        <b/>
        <sz val="10"/>
        <color theme="1"/>
        <rFont val="Times New Roman"/>
        <family val="1"/>
      </rPr>
      <t xml:space="preserve"> </t>
    </r>
    <r>
      <rPr>
        <sz val="10"/>
        <color theme="1"/>
        <rFont val="Times New Roman"/>
        <family val="1"/>
      </rPr>
      <t>en el cual se definen acciones estratégicas sobre el medio físico de la ciudad. Esta mirada estratégica se complementa con una mirada más territorializada que, desde los distritos, interactúa con los vecinos y se actualiza en forma permanente." conforme ROSARIO(2011, p.262 - grifo nosso)</t>
    </r>
  </si>
  <si>
    <r>
      <rPr>
        <b/>
        <sz val="12"/>
        <color theme="1"/>
        <rFont val="Times New Roman"/>
        <family val="1"/>
      </rPr>
      <t xml:space="preserve">LUSKI(2006): </t>
    </r>
    <r>
      <rPr>
        <sz val="12"/>
        <color theme="1"/>
        <rFont val="Times New Roman"/>
        <family val="1"/>
      </rPr>
      <t xml:space="preserve">LUSKI, Eduardo Elkouss. La accesibilidad: hacia la plena integración socil del discapacitado em el entorno urbano natural. </t>
    </r>
    <r>
      <rPr>
        <i/>
        <sz val="12"/>
        <color theme="1"/>
        <rFont val="Times New Roman"/>
        <family val="1"/>
      </rPr>
      <t>Cuadernos de Investigación Urbanística</t>
    </r>
    <r>
      <rPr>
        <sz val="12"/>
        <color theme="1"/>
        <rFont val="Times New Roman"/>
        <family val="1"/>
      </rPr>
      <t xml:space="preserve">, Madrid. n.46, Enero 2006, 89p. </t>
    </r>
  </si>
  <si>
    <r>
      <rPr>
        <b/>
        <sz val="12"/>
        <color theme="1"/>
        <rFont val="Times New Roman"/>
        <family val="1"/>
      </rPr>
      <t xml:space="preserve">BH(2016p): </t>
    </r>
    <r>
      <rPr>
        <sz val="12"/>
        <color theme="1"/>
        <rFont val="Times New Roman"/>
        <family val="1"/>
      </rPr>
      <t xml:space="preserve">BELO HORIZONTE. Prefeitura. </t>
    </r>
    <r>
      <rPr>
        <i/>
        <sz val="12"/>
        <color theme="1"/>
        <rFont val="Times New Roman"/>
        <family val="1"/>
      </rPr>
      <t>Operação Oxigênio: monitoramento da poluição atmosférica provocada por veículos a diesel.</t>
    </r>
    <r>
      <rPr>
        <sz val="12"/>
        <color theme="1"/>
        <rFont val="Times New Roman"/>
        <family val="1"/>
      </rPr>
      <t xml:space="preserve"> Disponível em: &lt;http://portalpbh.pbh.gov.br/pbh/ecp/contents.do?evento=conteudo&amp;idConteudo=88221&amp;chPlc=88221&amp;viewbusca=s&gt;. Acesso em: 14 nov. 2016.</t>
    </r>
  </si>
  <si>
    <t>operação oxigênio</t>
  </si>
  <si>
    <r>
      <t xml:space="preserve">"Controlar a emissão de fumaça preta dos veículos movidos a óleo diesel em circulação na capital é o objetivo do programa </t>
    </r>
    <r>
      <rPr>
        <b/>
        <sz val="10"/>
        <rFont val="Times New Roman"/>
        <family val="1"/>
      </rPr>
      <t>Operação Oxigênio</t>
    </r>
    <r>
      <rPr>
        <sz val="10"/>
        <rFont val="Times New Roman"/>
        <family val="1"/>
      </rPr>
      <t>. Criado em 1988, por meio de convênio firmado entre a Prefeitura de Belo Horizonte e o Governo do Estado de Minas Gerais, a iniciativa foi adotada em consonância com o Programa Nacional de Controle da Poluição por Veículos Automotores (Proconve), instituído em 1986, pelo Conselho Nacional de Meio Ambiente (Conama). [...] A Operação Oxigênio tem caráter punitivo e flagrante (vistorias não programadas), além de realizar ações educativas. O programa é coordenado e executado pela Secretaria Municipal Adjunta de Fiscalização e conta com a parceria da Empresa de Transportes e Trânsito de Belo Horizonte (BHTrans), do Departamento de Trânsito Minas Gerais (Detran-MG), da Polícia Militar de Minas Gerais (PMMG), da Fundação Estadual do Meio Ambiente (Feam) e do Departamento de Estradas de Rodagem do Estado de Minas Gerais (DER)." conforme BH(2016p - grifo nosso)</t>
    </r>
  </si>
  <si>
    <r>
      <t xml:space="preserve">População conforme DEMOGRAPHIC(2016, p.23)
</t>
    </r>
    <r>
      <rPr>
        <b/>
        <sz val="10"/>
        <color theme="1"/>
        <rFont val="Times New Roman"/>
        <family val="1"/>
      </rPr>
      <t>obs.:</t>
    </r>
    <r>
      <rPr>
        <sz val="10"/>
        <color theme="1"/>
        <rFont val="Times New Roman"/>
        <family val="1"/>
      </rPr>
      <t xml:space="preserve"> "Amsterdam, Netherlands Includes Haarlem"</t>
    </r>
  </si>
  <si>
    <t>nota técnica de acessibilidade n.º 1</t>
  </si>
  <si>
    <t>nota técnica de acessibilidade n.º 2</t>
  </si>
  <si>
    <r>
      <rPr>
        <b/>
        <sz val="12"/>
        <rFont val="Times New Roman"/>
        <family val="1"/>
      </rPr>
      <t>WRI(2015c):</t>
    </r>
    <r>
      <rPr>
        <sz val="12"/>
        <rFont val="Times New Roman"/>
        <family val="1"/>
      </rPr>
      <t xml:space="preserve"> WORLD RESOURCES INSTITUTE; EMBARQ BRASIL. WRI Ross Center for Sustainable Cities. </t>
    </r>
    <r>
      <rPr>
        <i/>
        <sz val="12"/>
        <rFont val="Times New Roman"/>
        <family val="1"/>
      </rPr>
      <t>O desenho de cidades seguras</t>
    </r>
    <r>
      <rPr>
        <sz val="12"/>
        <rFont val="Times New Roman"/>
        <family val="1"/>
      </rPr>
      <t>: diretrizes e exemplos para promover a segurança viária a partir do desenho urbano. Autores: Bem Welle et al. Revisão e adaptação da versão em português: Brenda Medeiros et al. Washington; Porto Alegre: WRI, 2015. 100p.  Disponível para baixar em: &lt;http://d.pr/f/1lLiQ&gt;. Acesso em: 28 jul. 2016.</t>
    </r>
  </si>
  <si>
    <r>
      <rPr>
        <b/>
        <sz val="12"/>
        <rFont val="Times New Roman"/>
        <family val="1"/>
      </rPr>
      <t>WRI(2015d):</t>
    </r>
    <r>
      <rPr>
        <sz val="12"/>
        <rFont val="Times New Roman"/>
        <family val="1"/>
      </rPr>
      <t xml:space="preserve"> WORLD RESOURCES INSTITUTE - WRI BRASIL. Coordenação de Paula Manoela dos Santos da Rocha. </t>
    </r>
    <r>
      <rPr>
        <i/>
        <sz val="12"/>
        <rFont val="Times New Roman"/>
        <family val="1"/>
      </rPr>
      <t xml:space="preserve">Os 8 princípios da calçada para desenvolver cidades mais ativas. </t>
    </r>
    <r>
      <rPr>
        <sz val="12"/>
        <rFont val="Times New Roman"/>
        <family val="1"/>
      </rPr>
      <t>Porto Alegre: WRI, 2015. [apresentação com 41 slides].</t>
    </r>
  </si>
  <si>
    <r>
      <t xml:space="preserve">acessibilidade com desenho universal (definição do SisMob-BH) que, como todo conceito, está em permanente mutação e, portanto, suas definições mais importantes são aqui apresentadas em ordem cronológica
</t>
    </r>
    <r>
      <rPr>
        <b/>
        <sz val="8.5"/>
        <rFont val="Times New Roman"/>
        <family val="1"/>
      </rPr>
      <t>2015:</t>
    </r>
    <r>
      <rPr>
        <sz val="8.5"/>
        <rFont val="Times New Roman"/>
        <family val="1"/>
      </rPr>
      <t xml:space="preserve"> um dos oito princípios apresentados pelo WRI "para desenvolver cidades mais ativas" conforme WRI(2015d)
</t>
    </r>
    <r>
      <rPr>
        <b/>
        <sz val="8.5"/>
        <rFont val="Times New Roman"/>
        <family val="1"/>
      </rPr>
      <t>2013:</t>
    </r>
    <r>
      <rPr>
        <sz val="8.5"/>
        <rFont val="Times New Roman"/>
        <family val="1"/>
      </rPr>
      <t xml:space="preserve"> [...] Acessibilidade que precisa ser universal, ou seja, para todas as pessoas e não um “lugar especial” designado para pessoas com deficiência, como uma marca para determinados sujeitos que precisam deste espaço. Propõe-se aqui, neste conceito de acessibilidade universal, que não seja o sujeito unicamente pela sua diferença que precisa de um lugar especial marcado no social. É a sociedade que precisa, por meio de suas diferentes instituições e instâncias, adequar-se às diferenças singulares dos sujeitos que a compõem." conforme FERNANDES(2013, p.287)
</t>
    </r>
    <r>
      <rPr>
        <b/>
        <sz val="8.5"/>
        <rFont val="Times New Roman"/>
        <family val="1"/>
      </rPr>
      <t xml:space="preserve">jan.2012: </t>
    </r>
    <r>
      <rPr>
        <sz val="8.5"/>
        <rFont val="Times New Roman"/>
        <family val="1"/>
      </rPr>
      <t xml:space="preserve">um dos nove princípios nos quais está fundamentada a Política Nacional de Mobilidade Urbana, quais sejam, acessibilidade universal / desenvolvimento sustentável das cidades, nas dimensões socioeconômicas e ambientais / equidade no acesso dos cidadãos ao transporte público coletivo / eficiência, eficácia e efetividade na prestação dos serviços de transporte urbano / gestão democrática e controle social do planejamento e avaliação da Política Nacional de Mobilidade Urbana / segurança nos deslocamentos das pessoas / justa distribuição dos benefícios e ônus decorrentes do uso dos diferentes modos e serviços / equidade no uso do espaço público de circulação, vias e logradouros / eficiência, eficácia e efetividade na circulação urbana" conforme BRASIL(2012a, incisos I a IX do art.5º)
</t>
    </r>
    <r>
      <rPr>
        <b/>
        <sz val="8.5"/>
        <rFont val="Times New Roman"/>
        <family val="1"/>
      </rPr>
      <t xml:space="preserve">jan. 2012: </t>
    </r>
    <r>
      <rPr>
        <sz val="8.5"/>
        <rFont val="Times New Roman"/>
        <family val="1"/>
      </rPr>
      <t xml:space="preserve">um dos cinco objetivos da Política Nacional de Mobilidade Urbana é "proporcionar melhoria nas condições urbanas da população no que se refere à acessibilidade e à mobilidade;" conforme BRASIL(2012a, inciso III do art.7])
</t>
    </r>
    <r>
      <rPr>
        <b/>
        <sz val="8.5"/>
        <rFont val="Times New Roman"/>
        <family val="1"/>
      </rPr>
      <t>s.d:</t>
    </r>
    <r>
      <rPr>
        <sz val="8.5"/>
        <rFont val="Times New Roman"/>
        <family val="1"/>
      </rPr>
      <t xml:space="preserve"> "Entende-se acessibilidade universal ou integral como o direito de ir e vir de todos os cidadãos, inclusive daquelas pessoas com deficiências permanentes ou ocasionais, quer seja cadeirantes, deficientes visuais ou auditivos, gestantes ou idosos, e de transitar e acessar todos os espaços da cidade, prédios públicos e institucionais, de usar transporte e equipamentos públicos, como telefones, sanitários, rede bancária, etc." conforme KALIL(s.d., p.2)
</t>
    </r>
    <r>
      <rPr>
        <b/>
        <sz val="8.5"/>
        <rFont val="Times New Roman"/>
        <family val="1"/>
      </rPr>
      <t xml:space="preserve">obs.9: </t>
    </r>
    <r>
      <rPr>
        <sz val="8.5"/>
        <rFont val="Times New Roman"/>
        <family val="1"/>
      </rPr>
      <t>acesse o verbete "acessibilidade universal (2016) e os verbetes "acessibilidade" e "desenho universal"</t>
    </r>
  </si>
  <si>
    <r>
      <rPr>
        <b/>
        <sz val="12"/>
        <color theme="1"/>
        <rFont val="Times New Roman"/>
        <family val="1"/>
      </rPr>
      <t>WRIGHT(2001b):</t>
    </r>
    <r>
      <rPr>
        <sz val="12"/>
        <color theme="1"/>
        <rFont val="Times New Roman"/>
        <family val="1"/>
      </rPr>
      <t xml:space="preserve"> WRIGHT, Charles Lloyd (Ed.). </t>
    </r>
    <r>
      <rPr>
        <i/>
        <sz val="12"/>
        <color theme="1"/>
        <rFont val="Times New Roman"/>
        <family val="1"/>
      </rPr>
      <t>Facilitando o transporte para todos</t>
    </r>
    <r>
      <rPr>
        <sz val="12"/>
        <color theme="1"/>
        <rFont val="Times New Roman"/>
        <family val="1"/>
      </rPr>
      <t xml:space="preserve">. New York: Banco Interamericano de Desenvolvimento - BID, 2001. </t>
    </r>
    <r>
      <rPr>
        <sz val="12"/>
        <color rgb="FFFF0000"/>
        <rFont val="Times New Roman"/>
        <family val="1"/>
      </rPr>
      <t>(não encontrado para baixar)</t>
    </r>
  </si>
  <si>
    <r>
      <t xml:space="preserve">um dos dois subsistemas de transporte coletivo de Belo Horizonte (o outro é o "transporte coletivo convencional")
</t>
    </r>
    <r>
      <rPr>
        <b/>
        <sz val="10"/>
        <color theme="1"/>
        <rFont val="Times New Roman"/>
        <family val="1"/>
      </rPr>
      <t xml:space="preserve">obs.1: </t>
    </r>
    <r>
      <rPr>
        <sz val="10"/>
        <color theme="1"/>
        <rFont val="Times New Roman"/>
        <family val="1"/>
      </rPr>
      <t xml:space="preserve">"Considera-se Serviço Público de Transporte Coletivo Suplementar de Passageiros a modalidade que, sob parâmetros diferenciados [sic], complementa o sistema municipal de transporte público coletivo de passageiros. Criado em 14 de setembro de 2001, o sistema começou a operar em 15 de setembro, quando a linha S60 (Circular Venda Nova) passou a circular. No processo licitatório foram classificados 300 concorrentes, de um total de 1.264 inscritos, para trabalhar nas linhas criadas. Todas as linhas fazem ligação entre bairros sem passar pelo centro da cidade, cumprindo horários e itinerários determinados pela BHTRANS." conforme BHTRANS(2016a)
</t>
    </r>
    <r>
      <rPr>
        <b/>
        <sz val="10"/>
        <color theme="1"/>
        <rFont val="Times New Roman"/>
        <family val="1"/>
      </rPr>
      <t xml:space="preserve">obs.2: </t>
    </r>
    <r>
      <rPr>
        <sz val="10"/>
        <color theme="1"/>
        <rFont val="Times New Roman"/>
        <family val="1"/>
      </rPr>
      <t xml:space="preserve">a instituição do serviço é analisada em CARDOSO(2003)
</t>
    </r>
    <r>
      <rPr>
        <b/>
        <sz val="10"/>
        <color theme="1"/>
        <rFont val="Times New Roman"/>
        <family val="1"/>
      </rPr>
      <t>obs.2:</t>
    </r>
    <r>
      <rPr>
        <sz val="10"/>
        <color theme="1"/>
        <rFont val="Times New Roman"/>
        <family val="1"/>
      </rPr>
      <t xml:space="preserve"> o mesmo que "transporte suplementar" com sigla "tcs" no SisMob-BH, é gerenciado pela BHTrans desde sua criação</t>
    </r>
  </si>
  <si>
    <r>
      <rPr>
        <b/>
        <sz val="12"/>
        <rFont val="Times New Roman"/>
        <family val="1"/>
      </rPr>
      <t xml:space="preserve">CARDOSO(2003): </t>
    </r>
    <r>
      <rPr>
        <sz val="12"/>
        <rFont val="Times New Roman"/>
        <family val="1"/>
      </rPr>
      <t>CARDOSO, Leandro. Transporte alternativo: riscos e possibilidades; reflexões sobre o caso de Belo Horizonte. 2003. 162f. Dissertação (Mestrado em Geografia) - Instituto de Geociências (IGC) da Universidade Federal de Minas Gerais (UFMG), Belo Horizonte. [área de concentração: Geografia e Organização Humana do Espaço] buscar arquivo eletrônico</t>
    </r>
  </si>
  <si>
    <r>
      <rPr>
        <b/>
        <sz val="12"/>
        <color theme="1"/>
        <rFont val="Times New Roman"/>
        <family val="1"/>
      </rPr>
      <t xml:space="preserve">DUARTE;COHEN(2013): </t>
    </r>
    <r>
      <rPr>
        <sz val="12"/>
        <color theme="1"/>
        <rFont val="Times New Roman"/>
        <family val="1"/>
      </rPr>
      <t xml:space="preserve">DUARTE, Cristiane Rose de S.; COHEN, Regina (Org.). </t>
    </r>
    <r>
      <rPr>
        <i/>
        <sz val="12"/>
        <color theme="1"/>
        <rFont val="Times New Roman"/>
        <family val="1"/>
      </rPr>
      <t>Metodologia para diagnóstico de acessibilidade em centros urbanos</t>
    </r>
    <r>
      <rPr>
        <sz val="12"/>
        <color theme="1"/>
        <rFont val="Times New Roman"/>
        <family val="1"/>
      </rPr>
      <t xml:space="preserve">: análise da área central da cidade do Rio de Janeiro. Assis: Triunfal; Rio de Janeiro: UFRJ, 2013. 216p. </t>
    </r>
    <r>
      <rPr>
        <sz val="12"/>
        <color rgb="FFFF0000"/>
        <rFont val="Times New Roman"/>
        <family val="1"/>
      </rPr>
      <t>buscar arquivo eletrônico.</t>
    </r>
  </si>
  <si>
    <r>
      <rPr>
        <b/>
        <sz val="12"/>
        <rFont val="Times New Roman"/>
        <family val="1"/>
      </rPr>
      <t xml:space="preserve">CARDOSO(2003): </t>
    </r>
    <r>
      <rPr>
        <sz val="12"/>
        <rFont val="Times New Roman"/>
        <family val="1"/>
      </rPr>
      <t xml:space="preserve">CARDOSO, Leandro. Transporte alternativo: riscos e possibilidades; reflexões sobre o caso de Belo Horizonte. 2003. 162f. Dissertação (Mestrado em Geografia) - Instituto de Geociências (IGC) da Universidade Federal de Minas Gerais (UFMG), Belo Horizonte. [área de concentração: Geografia e Organização Humana do Espaço] </t>
    </r>
    <r>
      <rPr>
        <sz val="12"/>
        <color rgb="FFFF0000"/>
        <rFont val="Times New Roman"/>
        <family val="1"/>
      </rPr>
      <t>buscar arquivo eletrônico.</t>
    </r>
  </si>
  <si>
    <r>
      <rPr>
        <b/>
        <sz val="12"/>
        <rFont val="Times New Roman"/>
        <family val="1"/>
      </rPr>
      <t>MG(2016a):</t>
    </r>
    <r>
      <rPr>
        <sz val="12"/>
        <rFont val="Times New Roman"/>
        <family val="1"/>
      </rPr>
      <t xml:space="preserve"> MINAS GERAIS. Secretaria de Estado de Transportes e Obras Públicas - Setop/MG. Superintendência de Transporte Metropolitano. </t>
    </r>
    <r>
      <rPr>
        <i/>
        <sz val="12"/>
        <rFont val="Times New Roman"/>
        <family val="1"/>
      </rPr>
      <t>Quantitativo de frota do transporte coletivo urbano da RMBH gerenciada pelo Setop, por tipo de veículo, em outubro/2015</t>
    </r>
    <r>
      <rPr>
        <sz val="12"/>
        <rFont val="Times New Roman"/>
        <family val="1"/>
      </rPr>
      <t xml:space="preserve">. Belo Horizonte, 12 maio 2016. (e-mail de resposta à solicitação do SisMob-BH feita por e-mail em 03/05/2016) </t>
    </r>
  </si>
  <si>
    <r>
      <rPr>
        <b/>
        <sz val="12"/>
        <color theme="1"/>
        <rFont val="Times New Roman"/>
        <family val="1"/>
      </rPr>
      <t>MG(2015b):</t>
    </r>
    <r>
      <rPr>
        <sz val="12"/>
        <color theme="1"/>
        <rFont val="Times New Roman"/>
        <family val="1"/>
      </rPr>
      <t xml:space="preserve"> MINAS GERAIS. Departamento de Trânsito de Minas Gerais - Detran-MG. Setor de Estatística. </t>
    </r>
    <r>
      <rPr>
        <i/>
        <sz val="12"/>
        <color theme="1"/>
        <rFont val="Times New Roman"/>
        <family val="1"/>
      </rPr>
      <t>Frota circulante em Belo Horizonte 2015 - Armazém de Veículos</t>
    </r>
    <r>
      <rPr>
        <sz val="12"/>
        <color theme="1"/>
        <rFont val="Times New Roman"/>
        <family val="1"/>
      </rPr>
      <t>. Belo Horizonte, 31 dez. 2015 (planilha anexa a e-mail de resposta à solicitação do SisMob-BH: solicitação em 20/07/2016 e resposta em 25/07/2016).</t>
    </r>
  </si>
  <si>
    <t>bb no provisório</t>
  </si>
  <si>
    <r>
      <rPr>
        <b/>
        <sz val="12"/>
        <color theme="1"/>
        <rFont val="Times New Roman"/>
        <family val="1"/>
      </rPr>
      <t xml:space="preserve">BHTRANS(2000c): </t>
    </r>
    <r>
      <rPr>
        <sz val="12"/>
        <color theme="1"/>
        <rFont val="Times New Roman"/>
        <family val="1"/>
      </rPr>
      <t>EMPRESA DE TRANSPORTES E TRÂNSITO DE BELO HORIZONTE S/A - BHTRANS.</t>
    </r>
    <r>
      <rPr>
        <i/>
        <sz val="12"/>
        <color theme="1"/>
        <rFont val="Times New Roman"/>
        <family val="1"/>
      </rPr>
      <t xml:space="preserve"> Manual de Medidas Moderadoras de Tráfeg.</t>
    </r>
    <r>
      <rPr>
        <sz val="12"/>
        <color theme="1"/>
        <rFont val="Times New Roman"/>
        <family val="1"/>
      </rPr>
      <t xml:space="preserve"> Belo Horizonte: BHTrans, [2000]. 275p.</t>
    </r>
  </si>
  <si>
    <t>traffic calm</t>
  </si>
  <si>
    <t>"Manual de medidas moderadoras de tráfego - traffic calm" conforme BHTRANS(2000c)</t>
  </si>
  <si>
    <t>cidade com qualidade de vida para todos</t>
  </si>
  <si>
    <r>
      <t xml:space="preserve">objetivo expresso no prefácio do "Manual de medidas moderadoras de tráfego - traffic calm" em BHTRANS(2000c, p.3)
</t>
    </r>
    <r>
      <rPr>
        <b/>
        <sz val="10"/>
        <rFont val="Times New Roman"/>
        <family val="1"/>
      </rPr>
      <t xml:space="preserve">obs.: </t>
    </r>
    <r>
      <rPr>
        <sz val="10"/>
        <rFont val="Times New Roman"/>
        <family val="1"/>
      </rPr>
      <t>acesse verbete "para todos"</t>
    </r>
  </si>
  <si>
    <r>
      <t xml:space="preserve">"[...] o apelo para que a mobilidade urbana seja um direito já está incorporado aos discursos, tanto do Estado quanto da sociedade, e não apenas no Brasil. [...] O direito à mobilidade urbana para todos e, de maneira mais ampla, a uma cidade para todos também já estão anunciados [...]. No entanto, ainda que a mobilidade urbana – com suas ruas, calçadas, transportes – tenha alcançado o status de ser um direito, isso não significa que a política pública de mobilidade urbana esteja sendo capaz de garanti-lo." conforme OLIVEIRA(2014, p.78-79)
</t>
    </r>
    <r>
      <rPr>
        <b/>
        <sz val="10"/>
        <rFont val="Times New Roman"/>
        <family val="1"/>
      </rPr>
      <t xml:space="preserve">obs.1: </t>
    </r>
    <r>
      <rPr>
        <sz val="10"/>
        <rFont val="Times New Roman"/>
        <family val="1"/>
      </rPr>
      <t xml:space="preserve">este verbete é uma sistematização iniciada em maio/2016 de logomarcas que usam as expressões "para todos" ou "de todos" que tenham, efetivamente, um compromisso com a busca do "direito à cidade para todos"
</t>
    </r>
    <r>
      <rPr>
        <b/>
        <sz val="10"/>
        <rFont val="Times New Roman"/>
        <family val="1"/>
      </rPr>
      <t>obs.2:</t>
    </r>
    <r>
      <rPr>
        <sz val="10"/>
        <rFont val="Times New Roman"/>
        <family val="1"/>
      </rPr>
      <t xml:space="preserve"> para análise mais completa do tema acesse OLIVEIRA(2014, p.79-83)
</t>
    </r>
    <r>
      <rPr>
        <b/>
        <sz val="10"/>
        <rFont val="Times New Roman"/>
        <family val="1"/>
      </rPr>
      <t>obs.3:</t>
    </r>
    <r>
      <rPr>
        <sz val="10"/>
        <rFont val="Times New Roman"/>
        <family val="1"/>
      </rPr>
      <t xml:space="preserve"> verbetes já lançados no SisMob-BH são "acessibilidade para todos", "acessibilidade e mobilidade para todos", "Berlim para todos", "bicicleta para todos", "Bogotá para todos", "calçada para todos", "centro para todos", "cidade com qualidade de vida para todos", "cidade de todos", "cidade para todos", ciudad para tod@s, "ciudad para todos", "concurso Acessibilidade para Todos", "espaço para todos", "Europa sem barreiras para todos", "mobilidade com acessibilidade e energia eficiente para todos", "mobilidade para todos", "Montevideo de todos", "São Paulo para todos", "transporte para todos", "transporte coletivo para todos", "rua de todos", "rua para todos".</t>
    </r>
  </si>
  <si>
    <t>qualidade de vida para todos</t>
  </si>
  <si>
    <t>acesse o verbete "cidade com qualidade de vida para todos"</t>
  </si>
  <si>
    <r>
      <rPr>
        <b/>
        <sz val="12"/>
        <color theme="1"/>
        <rFont val="Times New Roman"/>
        <family val="1"/>
      </rPr>
      <t>BRASIL(2004a):</t>
    </r>
    <r>
      <rPr>
        <sz val="12"/>
        <color theme="1"/>
        <rFont val="Times New Roman"/>
        <family val="1"/>
      </rPr>
      <t xml:space="preserve"> BRASIL. </t>
    </r>
    <r>
      <rPr>
        <i/>
        <sz val="12"/>
        <color theme="1"/>
        <rFont val="Times New Roman"/>
        <family val="1"/>
      </rPr>
      <t>Decreto n.º 5.296, de 2 de dezembro de 2004</t>
    </r>
    <r>
      <rPr>
        <sz val="12"/>
        <color theme="1"/>
        <rFont val="Times New Roman"/>
        <family val="1"/>
      </rPr>
      <t>. Regulamenta as Leis nº 10.048, de 8 de novembro de 2000, que dá prioridade de atendimento às pessoas que especifica, e 10.098, de 19 de dezembro de 2000, que estabelece normas gerais e critérios básicos para a promoção da acessibilidade das pessoas portadoras de deficiência ou com mobilidade reduzida, e dá outras providências. Versão consolidada disponível em: &lt;http://www.planalto.gov.br/ccivil_03/_ato2004-2006/2004/decreto/d5296.htm&gt;.  Acesso em: 1º jun. 2016.</t>
    </r>
  </si>
  <si>
    <r>
      <t xml:space="preserve">verbete em construção, iniciado em novembro/2016, para listar os principais instrumentos que constituem o marco legal de acessibilidade
</t>
    </r>
    <r>
      <rPr>
        <b/>
        <sz val="10"/>
        <rFont val="Times New Roman"/>
        <family val="1"/>
      </rPr>
      <t>2012:</t>
    </r>
    <r>
      <rPr>
        <sz val="10"/>
        <rFont val="Times New Roman"/>
        <family val="1"/>
      </rPr>
      <t xml:space="preserve"> Política Nacional de Mobilidade Urbana conforme BRASIL(2012a)
</t>
    </r>
    <r>
      <rPr>
        <b/>
        <sz val="10"/>
        <rFont val="Times New Roman"/>
        <family val="1"/>
      </rPr>
      <t>2011:</t>
    </r>
    <r>
      <rPr>
        <sz val="10"/>
        <rFont val="Times New Roman"/>
        <family val="1"/>
      </rPr>
      <t xml:space="preserve"> Lei de acesso à informação conforme BRASIL(2011b)
</t>
    </r>
    <r>
      <rPr>
        <b/>
        <sz val="10"/>
        <rFont val="Times New Roman"/>
        <family val="1"/>
      </rPr>
      <t>2008:</t>
    </r>
    <r>
      <rPr>
        <sz val="10"/>
        <rFont val="Times New Roman"/>
        <family val="1"/>
      </rPr>
      <t xml:space="preserve"> recepção da Convenção da ONU sobre os Direitos das Pessoas com Deficiência pela legislação brasileira (acesse também o registro "convenção PcD") </t>
    </r>
    <r>
      <rPr>
        <sz val="10"/>
        <color rgb="FFFF0000"/>
        <rFont val="Times New Roman"/>
        <family val="1"/>
      </rPr>
      <t>conforme ___</t>
    </r>
    <r>
      <rPr>
        <sz val="10"/>
        <rFont val="Times New Roman"/>
        <family val="1"/>
      </rPr>
      <t xml:space="preserve">
</t>
    </r>
    <r>
      <rPr>
        <b/>
        <sz val="10"/>
        <rFont val="Times New Roman"/>
        <family val="1"/>
      </rPr>
      <t xml:space="preserve">2007: </t>
    </r>
    <r>
      <rPr>
        <sz val="10"/>
        <rFont val="Times New Roman"/>
        <family val="1"/>
      </rPr>
      <t xml:space="preserve">Aprovação da Convenção da ONU sobre os Direitos das Pessoas com Deficiência (acesse também o registro "convenção PcD") </t>
    </r>
    <r>
      <rPr>
        <sz val="10"/>
        <color rgb="FFFF0000"/>
        <rFont val="Times New Roman"/>
        <family val="1"/>
      </rPr>
      <t>conforme ___</t>
    </r>
    <r>
      <rPr>
        <sz val="10"/>
        <rFont val="Times New Roman"/>
        <family val="1"/>
      </rPr>
      <t xml:space="preserve">
</t>
    </r>
    <r>
      <rPr>
        <b/>
        <sz val="10"/>
        <rFont val="Times New Roman"/>
        <family val="1"/>
      </rPr>
      <t xml:space="preserve">2004: </t>
    </r>
    <r>
      <rPr>
        <sz val="10"/>
        <rFont val="Times New Roman"/>
        <family val="1"/>
      </rPr>
      <t xml:space="preserve">Definição de prazo para acessibilidade conforme BRASIL(2004a)
</t>
    </r>
    <r>
      <rPr>
        <b/>
        <sz val="10"/>
        <rFont val="Times New Roman"/>
        <family val="1"/>
      </rPr>
      <t xml:space="preserve">2001: </t>
    </r>
    <r>
      <rPr>
        <sz val="10"/>
        <rFont val="Times New Roman"/>
        <family val="1"/>
      </rPr>
      <t xml:space="preserve">Estatuto da Cidade </t>
    </r>
    <r>
      <rPr>
        <sz val="10"/>
        <color rgb="FFFF0000"/>
        <rFont val="Times New Roman"/>
        <family val="1"/>
      </rPr>
      <t xml:space="preserve"> conforme ___</t>
    </r>
    <r>
      <rPr>
        <sz val="10"/>
        <rFont val="Times New Roman"/>
        <family val="1"/>
      </rPr>
      <t xml:space="preserve">
</t>
    </r>
    <r>
      <rPr>
        <b/>
        <sz val="10"/>
        <rFont val="Times New Roman"/>
        <family val="1"/>
      </rPr>
      <t xml:space="preserve">2000: </t>
    </r>
    <r>
      <rPr>
        <sz val="10"/>
        <rFont val="Times New Roman"/>
        <family val="1"/>
      </rPr>
      <t xml:space="preserve">Leis n.º 10.048 e 10.098 conforme BRASIL(2000a; 2000b)
</t>
    </r>
    <r>
      <rPr>
        <b/>
        <sz val="10"/>
        <rFont val="Times New Roman"/>
        <family val="1"/>
      </rPr>
      <t>1988:</t>
    </r>
    <r>
      <rPr>
        <sz val="10"/>
        <rFont val="Times New Roman"/>
        <family val="1"/>
      </rPr>
      <t xml:space="preserve"> Constituição cidadã </t>
    </r>
    <r>
      <rPr>
        <sz val="10"/>
        <color rgb="FFFF0000"/>
        <rFont val="Times New Roman"/>
        <family val="1"/>
      </rPr>
      <t>conforme ___</t>
    </r>
  </si>
  <si>
    <r>
      <t xml:space="preserve">índice de maturidade em gestão inclusiva da BHTrans
</t>
    </r>
    <r>
      <rPr>
        <b/>
        <sz val="10"/>
        <rFont val="Times New Roman"/>
        <family val="1"/>
      </rPr>
      <t xml:space="preserve">obs.: </t>
    </r>
    <r>
      <rPr>
        <sz val="10"/>
        <rFont val="Times New Roman"/>
        <family val="1"/>
      </rPr>
      <t xml:space="preserve">calculado em 2016 pelo Instituto Ester Assunção em 26/10/2016: questionário conforme ESTER(2016b) e gráfico com resultados conforme ESTER(2016c)
</t>
    </r>
    <r>
      <rPr>
        <b/>
        <sz val="10"/>
        <rFont val="Times New Roman"/>
        <family val="1"/>
      </rPr>
      <t xml:space="preserve">obs.: </t>
    </r>
    <r>
      <rPr>
        <sz val="10"/>
        <rFont val="Times New Roman"/>
        <family val="1"/>
      </rPr>
      <t>esse assunto será objeto de uma "nota técnica de acessibilidade" da Pamu-BH</t>
    </r>
  </si>
  <si>
    <r>
      <rPr>
        <b/>
        <sz val="12"/>
        <color theme="1"/>
        <rFont val="Times New Roman"/>
        <family val="1"/>
      </rPr>
      <t xml:space="preserve">SILVA(2009): </t>
    </r>
    <r>
      <rPr>
        <sz val="12"/>
        <color theme="1"/>
        <rFont val="Times New Roman"/>
        <family val="1"/>
      </rPr>
      <t xml:space="preserve">SILVA, Claudio Oliveira da. </t>
    </r>
    <r>
      <rPr>
        <i/>
        <sz val="12"/>
        <color theme="1"/>
        <rFont val="Times New Roman"/>
        <family val="1"/>
      </rPr>
      <t>Cidades concebidas para o automóvel: mobilidade urbana nos planos diretores posteriores ao Estatuto da Cidade</t>
    </r>
    <r>
      <rPr>
        <sz val="12"/>
        <color theme="1"/>
        <rFont val="Times New Roman"/>
        <family val="1"/>
      </rPr>
      <t>. 2009. 174f. Dissertação (Mestrado em Arquitetura e Urbanismo) - Universidade de Brasília (UnB), Brasília. Disponível em: &lt;http://www.ciclovida.ufpr.br/wp-content/uploads/2014/11/2009_ClaudioOliveiradaSilva.pdf&gt;.  Acesso em: 15 nov. 2016.</t>
    </r>
  </si>
  <si>
    <r>
      <rPr>
        <b/>
        <sz val="12"/>
        <color theme="1"/>
        <rFont val="Times New Roman"/>
        <family val="1"/>
      </rPr>
      <t>BRASIL(2001a):</t>
    </r>
    <r>
      <rPr>
        <sz val="12"/>
        <color theme="1"/>
        <rFont val="Times New Roman"/>
        <family val="1"/>
      </rPr>
      <t xml:space="preserve"> BRASIL. </t>
    </r>
    <r>
      <rPr>
        <i/>
        <sz val="12"/>
        <color theme="1"/>
        <rFont val="Times New Roman"/>
        <family val="1"/>
      </rPr>
      <t>Lei n.º 10.257, de 10 de julho de 2001</t>
    </r>
    <r>
      <rPr>
        <sz val="12"/>
        <color theme="1"/>
        <rFont val="Times New Roman"/>
        <family val="1"/>
      </rPr>
      <t>. Regulamenta os arts. 182 e 183 da Constituição Federal,
estabelece diretrizes gerais da política urbana e dá outras providências. Disponível em: &lt;http://www.planalto.gov.br/ccivil_03/leis/LEIS_2001/L10257.htm&gt;. Acesso em: 16 nov. 2016.</t>
    </r>
  </si>
  <si>
    <r>
      <rPr>
        <b/>
        <sz val="12"/>
        <color theme="1"/>
        <rFont val="Times New Roman"/>
        <family val="1"/>
      </rPr>
      <t xml:space="preserve">WRI(2016j3): </t>
    </r>
    <r>
      <rPr>
        <sz val="12"/>
        <color theme="1"/>
        <rFont val="Times New Roman"/>
        <family val="1"/>
      </rPr>
      <t>WORLD RESOURCES INSTITUTE - WRI BRASIL.</t>
    </r>
    <r>
      <rPr>
        <i/>
        <sz val="12"/>
        <color theme="1"/>
        <rFont val="Times New Roman"/>
        <family val="1"/>
      </rPr>
      <t xml:space="preserve"> Checklist de acessibilidade [para] corredores ônibus e BRT - Workshop Acessibilidade para Todos.</t>
    </r>
    <r>
      <rPr>
        <sz val="12"/>
        <color theme="1"/>
        <rFont val="Times New Roman"/>
        <family val="1"/>
      </rPr>
      <t xml:space="preserve"> Porto Alegre, 8 de março de 2016. [48p.]</t>
    </r>
  </si>
  <si>
    <r>
      <rPr>
        <b/>
        <sz val="12"/>
        <color theme="1"/>
        <rFont val="Times New Roman"/>
        <family val="1"/>
      </rPr>
      <t xml:space="preserve">WRI(2016j1): </t>
    </r>
    <r>
      <rPr>
        <sz val="12"/>
        <color theme="1"/>
        <rFont val="Times New Roman"/>
        <family val="1"/>
      </rPr>
      <t>WORLD RESOURCES INSTITUTE - WRI BRASIL.</t>
    </r>
    <r>
      <rPr>
        <i/>
        <sz val="12"/>
        <color theme="1"/>
        <rFont val="Times New Roman"/>
        <family val="1"/>
      </rPr>
      <t xml:space="preserve"> Workshop Acessibilidade para Todos.</t>
    </r>
    <r>
      <rPr>
        <sz val="12"/>
        <color theme="1"/>
        <rFont val="Times New Roman"/>
        <family val="1"/>
      </rPr>
      <t xml:space="preserve"> Porto Alegre, março de 2016. [47slides - apresentação de Paula Santos Rocha em 08/03/2016]</t>
    </r>
  </si>
  <si>
    <r>
      <rPr>
        <b/>
        <sz val="12"/>
        <color theme="1"/>
        <rFont val="Times New Roman"/>
        <family val="1"/>
      </rPr>
      <t xml:space="preserve">WRI(2016j4/j5): </t>
    </r>
    <r>
      <rPr>
        <sz val="12"/>
        <color theme="1"/>
        <rFont val="Times New Roman"/>
        <family val="1"/>
      </rPr>
      <t xml:space="preserve">WORLD RESOURCES INSTITUTE - WRI BRASIL; EMPRESA DE TRANSPORTES E TRÂNSITO DE BELO HORIZONTE S.A - BHTRANS. </t>
    </r>
    <r>
      <rPr>
        <i/>
        <sz val="12"/>
        <color theme="1"/>
        <rFont val="Times New Roman"/>
        <family val="1"/>
      </rPr>
      <t>Convite para participação no Workshop Acessibilidade para Todos.</t>
    </r>
    <r>
      <rPr>
        <sz val="12"/>
        <color theme="1"/>
        <rFont val="Times New Roman"/>
        <family val="1"/>
      </rPr>
      <t xml:space="preserve"> Belo Horizonte, março de 2016. 1p. [j4 = turma manhã / j5 = turma tarde]</t>
    </r>
  </si>
  <si>
    <r>
      <rPr>
        <b/>
        <sz val="12"/>
        <color theme="1"/>
        <rFont val="Times New Roman"/>
        <family val="1"/>
      </rPr>
      <t xml:space="preserve">WRI(2016j2): </t>
    </r>
    <r>
      <rPr>
        <sz val="12"/>
        <color theme="1"/>
        <rFont val="Times New Roman"/>
        <family val="1"/>
      </rPr>
      <t>WORLD RESOURCES INSTITUTE - WRI BRASIL.</t>
    </r>
    <r>
      <rPr>
        <i/>
        <sz val="12"/>
        <color theme="1"/>
        <rFont val="Times New Roman"/>
        <family val="1"/>
      </rPr>
      <t xml:space="preserve"> </t>
    </r>
    <r>
      <rPr>
        <sz val="12"/>
        <color theme="1"/>
        <rFont val="Times New Roman"/>
        <family val="1"/>
      </rPr>
      <t xml:space="preserve">WRI Ross Center for Sustainable Cities. </t>
    </r>
    <r>
      <rPr>
        <i/>
        <sz val="12"/>
        <color theme="1"/>
        <rFont val="Times New Roman"/>
        <family val="1"/>
      </rPr>
      <t>Inspeção de acessibilidade [do] BRT MOVE - Resultado - Workshop Acessibilidade para Todos.</t>
    </r>
    <r>
      <rPr>
        <sz val="12"/>
        <color theme="1"/>
        <rFont val="Times New Roman"/>
        <family val="1"/>
      </rPr>
      <t xml:space="preserve"> Porto Alegre, novembro de 2016. [64 slides - apresentação de Paula Santos Rocha e Ariadne Samios na BHTrans/Belo Horizonte em 16/11/2016]</t>
    </r>
  </si>
  <si>
    <r>
      <rPr>
        <b/>
        <sz val="12"/>
        <color theme="1"/>
        <rFont val="Times New Roman"/>
        <family val="1"/>
      </rPr>
      <t xml:space="preserve">WRI(2016j6): </t>
    </r>
    <r>
      <rPr>
        <sz val="12"/>
        <color theme="1"/>
        <rFont val="Times New Roman"/>
        <family val="1"/>
      </rPr>
      <t>WORLD RESOURCES INSTITUTE - WRI BRASIL.</t>
    </r>
    <r>
      <rPr>
        <i/>
        <sz val="12"/>
        <color theme="1"/>
        <rFont val="Times New Roman"/>
        <family val="1"/>
      </rPr>
      <t xml:space="preserve"> Inspeção de acessibilidade do Move Belo Horizonte - Workshop Acessibilidade para Todos.</t>
    </r>
    <r>
      <rPr>
        <sz val="12"/>
        <color theme="1"/>
        <rFont val="Times New Roman"/>
        <family val="1"/>
      </rPr>
      <t xml:space="preserve"> Porto Alegre, novembro de 2016. 192p.</t>
    </r>
  </si>
  <si>
    <r>
      <rPr>
        <b/>
        <sz val="12"/>
        <color theme="1"/>
        <rFont val="Times New Roman"/>
        <family val="1"/>
      </rPr>
      <t xml:space="preserve">WRI(2016j7): </t>
    </r>
    <r>
      <rPr>
        <sz val="12"/>
        <color theme="1"/>
        <rFont val="Times New Roman"/>
        <family val="1"/>
      </rPr>
      <t>WORLD RESOURCES INSTITUTE - WRI BRASIL.</t>
    </r>
    <r>
      <rPr>
        <i/>
        <sz val="12"/>
        <color theme="1"/>
        <rFont val="Times New Roman"/>
        <family val="1"/>
      </rPr>
      <t xml:space="preserve"> Inspeção de acessibilidade do Move Belo Horizonte - Workshop Acessibilidade para Todos.</t>
    </r>
    <r>
      <rPr>
        <sz val="12"/>
        <color theme="1"/>
        <rFont val="Times New Roman"/>
        <family val="1"/>
      </rPr>
      <t xml:space="preserve"> Porto Alegre, novembro de 2016. - tabela qualitativa p.39.</t>
    </r>
  </si>
  <si>
    <t>Estatudo da Cidade</t>
  </si>
  <si>
    <t>Estatuto da PcD</t>
  </si>
  <si>
    <t>lei aprovada em 2015 que faz parte do "marco legal de acessibilidade"</t>
  </si>
  <si>
    <r>
      <t xml:space="preserve">verbete em construção, iniciado em novembro/2016, para listar os principais instrumentos que constituem o marco legal de acessibilidade
</t>
    </r>
    <r>
      <rPr>
        <b/>
        <sz val="10"/>
        <rFont val="Times New Roman"/>
        <family val="1"/>
      </rPr>
      <t>2015:</t>
    </r>
    <r>
      <rPr>
        <sz val="10"/>
        <rFont val="Times New Roman"/>
        <family val="1"/>
      </rPr>
      <t xml:space="preserve"> "Lei Brasileira de Inclusão da Pessoa com Deficiência (Estatuto da Pessoa com Deficiência)" conforme BRASIL(2015a)
</t>
    </r>
    <r>
      <rPr>
        <b/>
        <sz val="10"/>
        <rFont val="Times New Roman"/>
        <family val="1"/>
      </rPr>
      <t>2012:</t>
    </r>
    <r>
      <rPr>
        <sz val="10"/>
        <rFont val="Times New Roman"/>
        <family val="1"/>
      </rPr>
      <t xml:space="preserve"> "Política Nacional de Mobilidade Urbana" conforme BRASIL(2012a)
</t>
    </r>
    <r>
      <rPr>
        <b/>
        <sz val="10"/>
        <rFont val="Times New Roman"/>
        <family val="1"/>
      </rPr>
      <t>2011:</t>
    </r>
    <r>
      <rPr>
        <sz val="10"/>
        <rFont val="Times New Roman"/>
        <family val="1"/>
      </rPr>
      <t xml:space="preserve"> "Lei de acesso à informação" conforme BRASIL(2011b)
</t>
    </r>
    <r>
      <rPr>
        <b/>
        <sz val="10"/>
        <rFont val="Times New Roman"/>
        <family val="1"/>
      </rPr>
      <t>2008:</t>
    </r>
    <r>
      <rPr>
        <sz val="10"/>
        <rFont val="Times New Roman"/>
        <family val="1"/>
      </rPr>
      <t xml:space="preserve"> recepção da "Convenção da ONU sobre os Direitos das Pessoas com Deficiência" pela legislação brasileira conforme ___ (acesse também o registro "convenção PcD")
</t>
    </r>
    <r>
      <rPr>
        <b/>
        <sz val="10"/>
        <rFont val="Times New Roman"/>
        <family val="1"/>
      </rPr>
      <t xml:space="preserve">2007: </t>
    </r>
    <r>
      <rPr>
        <sz val="10"/>
        <rFont val="Times New Roman"/>
        <family val="1"/>
      </rPr>
      <t xml:space="preserve">Aprovação da "Convenção da ONU sobre os Direitos das Pessoas com Deficiência" conforme ___ (acesse também o registro "convenção PcD")
</t>
    </r>
    <r>
      <rPr>
        <b/>
        <sz val="10"/>
        <rFont val="Times New Roman"/>
        <family val="1"/>
      </rPr>
      <t xml:space="preserve">2004: </t>
    </r>
    <r>
      <rPr>
        <sz val="10"/>
        <rFont val="Times New Roman"/>
        <family val="1"/>
      </rPr>
      <t xml:space="preserve">Definição de prazos para promoção da acessibilidade conforme BRASIL(2004a)
</t>
    </r>
    <r>
      <rPr>
        <b/>
        <sz val="10"/>
        <rFont val="Times New Roman"/>
        <family val="1"/>
      </rPr>
      <t xml:space="preserve">2001: </t>
    </r>
    <r>
      <rPr>
        <sz val="10"/>
        <rFont val="Times New Roman"/>
        <family val="1"/>
      </rPr>
      <t xml:space="preserve">"Estatuto da Cidade" conforme BRASIL(20011a)
</t>
    </r>
    <r>
      <rPr>
        <b/>
        <sz val="10"/>
        <rFont val="Times New Roman"/>
        <family val="1"/>
      </rPr>
      <t xml:space="preserve">2000: </t>
    </r>
    <r>
      <rPr>
        <sz val="10"/>
        <rFont val="Times New Roman"/>
        <family val="1"/>
      </rPr>
      <t xml:space="preserve">Leis n.º 10.048 e 10.098 conforme BRASIL(2000a; 2000b)
</t>
    </r>
    <r>
      <rPr>
        <b/>
        <sz val="10"/>
        <rFont val="Times New Roman"/>
        <family val="1"/>
      </rPr>
      <t>1988:</t>
    </r>
    <r>
      <rPr>
        <sz val="10"/>
        <rFont val="Times New Roman"/>
        <family val="1"/>
      </rPr>
      <t xml:space="preserve"> "Constituição cidadã" conforme ___</t>
    </r>
  </si>
  <si>
    <r>
      <t xml:space="preserve">lei aprovada em 2001 que faz parte do "marco legal de acessibilidade"
</t>
    </r>
    <r>
      <rPr>
        <b/>
        <sz val="10"/>
        <color theme="1"/>
        <rFont val="Times New Roman"/>
        <family val="1"/>
      </rPr>
      <t xml:space="preserve">obs.: </t>
    </r>
    <r>
      <rPr>
        <sz val="10"/>
        <color theme="1"/>
        <rFont val="Times New Roman"/>
        <family val="1"/>
      </rPr>
      <t>"levantamento qualitativo" e análise das "abordagens sobre mobilidade urbana contidas nos planos diretores participativos posteriores à aprovação do Estatuto da Cidade" em em SILVA(2009)</t>
    </r>
  </si>
  <si>
    <r>
      <rPr>
        <b/>
        <sz val="10"/>
        <rFont val="Times New Roman"/>
        <family val="1"/>
      </rPr>
      <t xml:space="preserve">pós maio/2016: </t>
    </r>
    <r>
      <rPr>
        <sz val="10"/>
        <rFont val="Times New Roman"/>
        <family val="1"/>
      </rPr>
      <t xml:space="preserve">meta (lançada e ignorada) de "Ampliar as áreas de preservação, proteção e de interesse ambiental para 12 m² de área verde por munícipe até 2030" conforme BH(2016e2, p.20)
</t>
    </r>
    <r>
      <rPr>
        <b/>
        <sz val="10"/>
        <rFont val="Times New Roman"/>
        <family val="1"/>
      </rPr>
      <t xml:space="preserve">maio 2016: </t>
    </r>
    <r>
      <rPr>
        <sz val="10"/>
        <rFont val="Times New Roman"/>
        <family val="1"/>
      </rPr>
      <t xml:space="preserve">meta (lançada a assumida) de "Ampliar as áreas de preservação, proteção e de interesse ambiental, alcançando pelo menos 20 m2/hab." conforme BH(2016e1)
</t>
    </r>
    <r>
      <rPr>
        <b/>
        <sz val="10"/>
        <rFont val="Times New Roman"/>
        <family val="1"/>
      </rPr>
      <t xml:space="preserve">2012: </t>
    </r>
    <r>
      <rPr>
        <sz val="10"/>
        <rFont val="Times New Roman"/>
        <family val="1"/>
      </rPr>
      <t xml:space="preserve">meta (lançada e ignorada) de "Ampliar [até 2030] as áreas de preservação, proteção e de interesse ambiental para 12m² de área verde por munícipe" conforme BH(2012b2)
</t>
    </r>
    <r>
      <rPr>
        <b/>
        <sz val="10"/>
        <rFont val="Times New Roman"/>
        <family val="1"/>
      </rPr>
      <t xml:space="preserve">obs.1: </t>
    </r>
    <r>
      <rPr>
        <sz val="10"/>
        <rFont val="Times New Roman"/>
        <family val="1"/>
      </rPr>
      <t>metas (lançadas e ignoradas pelo SisMob-BH) para 2015 e 2030 conforme BH(2012b2), com meta para 2030 (lançada e ignorada pelo SisMob-BH) confirmada em BH(2016e2, p.20)</t>
    </r>
    <r>
      <rPr>
        <b/>
        <sz val="10"/>
        <rFont val="Times New Roman"/>
        <family val="1"/>
      </rPr>
      <t xml:space="preserve">
obs.2: </t>
    </r>
    <r>
      <rPr>
        <sz val="10"/>
        <rFont val="Times New Roman"/>
        <family val="1"/>
      </rPr>
      <t>as metas [10,3m2 para 2015 e 12,00m</t>
    </r>
    <r>
      <rPr>
        <vertAlign val="superscript"/>
        <sz val="10"/>
        <rFont val="Times New Roman"/>
        <family val="1"/>
      </rPr>
      <t>2</t>
    </r>
    <r>
      <rPr>
        <sz val="10"/>
        <rFont val="Times New Roman"/>
        <family val="1"/>
      </rPr>
      <t xml:space="preserve"> para 2030 conforme BH(2012b2) ] são menores que o resultado de "ADV por habitante" de 18,22m</t>
    </r>
    <r>
      <rPr>
        <vertAlign val="superscript"/>
        <sz val="10"/>
        <rFont val="Times New Roman"/>
        <family val="1"/>
      </rPr>
      <t>2</t>
    </r>
    <r>
      <rPr>
        <sz val="10"/>
        <rFont val="Times New Roman"/>
        <family val="1"/>
      </rPr>
      <t xml:space="preserve"> informado como relativo a 2010 e por isto o SisMob-BH assume a meta para 2030 como sendo a descrita em BH(2016e1), mesmo esse documento sendo anterior a BH(2016e2)
</t>
    </r>
    <r>
      <rPr>
        <b/>
        <sz val="10"/>
        <rFont val="Times New Roman"/>
        <family val="1"/>
      </rPr>
      <t xml:space="preserve">obs.3: </t>
    </r>
    <r>
      <rPr>
        <sz val="10"/>
        <rFont val="Times New Roman"/>
        <family val="1"/>
      </rPr>
      <t xml:space="preserve">metas ignoradas com base em VITAL(2016) onde também está apresentada a meta de "Melhorar o índice de áreas verdes por habitante nos territórios de gestão compartilhada onde eles se mostram abaixo de 12 m2/hab."
</t>
    </r>
    <r>
      <rPr>
        <b/>
        <sz val="10"/>
        <rFont val="Times New Roman"/>
        <family val="1"/>
      </rPr>
      <t xml:space="preserve">obs.4: </t>
    </r>
    <r>
      <rPr>
        <sz val="10"/>
        <rFont val="Times New Roman"/>
        <family val="1"/>
      </rPr>
      <t>acesso o registro "metas globais 2030"</t>
    </r>
  </si>
  <si>
    <r>
      <rPr>
        <b/>
        <sz val="12"/>
        <color theme="1"/>
        <rFont val="Times New Roman"/>
        <family val="1"/>
      </rPr>
      <t>VITAL(2016):</t>
    </r>
    <r>
      <rPr>
        <sz val="12"/>
        <color theme="1"/>
        <rFont val="Times New Roman"/>
        <family val="1"/>
      </rPr>
      <t xml:space="preserve"> VITAL, Marcia Mourao Parreira Vital. </t>
    </r>
    <r>
      <rPr>
        <i/>
        <sz val="12"/>
        <color theme="1"/>
        <rFont val="Times New Roman"/>
        <family val="1"/>
      </rPr>
      <t>e-mail da SMMA-BH ao SisMob-BH em resposta a solicitação de informações sobre o índice AVD feita em 07/11/2016</t>
    </r>
    <r>
      <rPr>
        <sz val="12"/>
        <color theme="1"/>
        <rFont val="Times New Roman"/>
        <family val="1"/>
      </rPr>
      <t>. Belo Horizionte, 7 de novembro de 2016.</t>
    </r>
  </si>
  <si>
    <r>
      <rPr>
        <b/>
        <sz val="12"/>
        <color theme="1"/>
        <rFont val="Times New Roman"/>
        <family val="1"/>
      </rPr>
      <t xml:space="preserve">GABRILLI(2010): </t>
    </r>
    <r>
      <rPr>
        <sz val="12"/>
        <color theme="1"/>
        <rFont val="Times New Roman"/>
        <family val="1"/>
      </rPr>
      <t xml:space="preserve">GABRILLI, Mara. </t>
    </r>
    <r>
      <rPr>
        <i/>
        <sz val="12"/>
        <color theme="1"/>
        <rFont val="Times New Roman"/>
        <family val="1"/>
      </rPr>
      <t>Cartilha da calçada cidadã</t>
    </r>
    <r>
      <rPr>
        <sz val="12"/>
        <color theme="1"/>
        <rFont val="Times New Roman"/>
        <family val="1"/>
      </rPr>
      <t>. São Paulo, 2010. 20p. Disponível em: &lt;http://www.mobilize.org.br/midias/pesquisas/cartilha-calcada-cidada---mara-gabrilli---2010.pdf&gt;. Acesso em 17 nov. 2016.</t>
    </r>
  </si>
  <si>
    <t>"A Prefeitura, por exemplo, tem de reformar os passeios das edificações públicas municipais, adequar as calçadas das vias estruturais (que são as grandes avenidas de tráfego intenso e que foram determinadas no Plano Diretor) e, desde janeiro de 2008, o Executivo Municipal - depois da lei Mara Gabrilli (14.675/08) - também deve reformar e adequar
as calçadas que estejam estipuladas pelas Rotas Estratégicas e de Segurança, que são circuitos determinados em todas as 31 subprefeituras da cidade de São Paulo que agregam o maior número de serviços, meios de transportes públicos, circulação de pedestres, hospitais, centros de saúde, escolas..." conforme GABRILLI(2010a)</t>
  </si>
  <si>
    <t>calçada cidadã</t>
  </si>
  <si>
    <r>
      <rPr>
        <b/>
        <sz val="12"/>
        <color theme="1"/>
        <rFont val="Times New Roman"/>
        <family val="1"/>
      </rPr>
      <t xml:space="preserve">MENDES(2016): </t>
    </r>
    <r>
      <rPr>
        <sz val="12"/>
        <color theme="1"/>
        <rFont val="Times New Roman"/>
        <family val="1"/>
      </rPr>
      <t xml:space="preserve">MENDES, Alessandra. Metrô de BH não deve implantar vagão rosa até sexta-feira. </t>
    </r>
    <r>
      <rPr>
        <i/>
        <sz val="12"/>
        <color theme="1"/>
        <rFont val="Times New Roman"/>
        <family val="1"/>
      </rPr>
      <t>Hoje em Dia</t>
    </r>
    <r>
      <rPr>
        <sz val="12"/>
        <color theme="1"/>
        <rFont val="Times New Roman"/>
        <family val="1"/>
      </rPr>
      <t>, Belo Horizonte, 13 nov. 2016. Disponível em: &lt;http://hojeemdia.com.br/horizontes/metr%C3%B4-de-bh-n%C3%A3o-deve-implantar-vag%C3%A3o-rosa-at%C3%A9-sexta-feira-1.426980&gt;. Acesso em: 22 nov. 2016.
Alessandra Mendes</t>
    </r>
  </si>
  <si>
    <t>vagão rosa</t>
  </si>
  <si>
    <t>mulheres</t>
  </si>
  <si>
    <r>
      <rPr>
        <b/>
        <sz val="12"/>
        <rFont val="Times New Roman"/>
        <family val="1"/>
      </rPr>
      <t xml:space="preserve">ARDILA(2016): </t>
    </r>
    <r>
      <rPr>
        <sz val="12"/>
        <rFont val="Times New Roman"/>
        <family val="1"/>
      </rPr>
      <t xml:space="preserve">ARDILA, Ana Marcela. Sociabilidad en movimiento: el uso de los espacios públicos de la movilidad en Río de Janeiro y Bogotá. In: MARTINEZ, Alexandra; SERRUDO, Nelson Antonio Gómez. </t>
    </r>
    <r>
      <rPr>
        <i/>
        <sz val="12"/>
        <rFont val="Times New Roman"/>
        <family val="1"/>
      </rPr>
      <t>La sociabilidad y lo público</t>
    </r>
    <r>
      <rPr>
        <sz val="12"/>
        <rFont val="Times New Roman"/>
        <family val="1"/>
      </rPr>
      <t>: experiencias de investigación. Bogotá: Editorial Pontificia Universidad Javeriana, 2016. p.304-334.</t>
    </r>
  </si>
  <si>
    <r>
      <rPr>
        <b/>
        <sz val="12"/>
        <rFont val="Times New Roman"/>
        <family val="1"/>
      </rPr>
      <t xml:space="preserve">OLIVEIRA;SOUSA(2016): </t>
    </r>
    <r>
      <rPr>
        <sz val="12"/>
        <rFont val="Times New Roman"/>
        <family val="1"/>
      </rPr>
      <t>SOUSA, Candice Vidal; OLIVEIRA, Marcos Fontoura de.</t>
    </r>
    <r>
      <rPr>
        <i/>
        <sz val="12"/>
        <rFont val="Times New Roman"/>
        <family val="1"/>
      </rPr>
      <t xml:space="preserve"> </t>
    </r>
    <r>
      <rPr>
        <sz val="12"/>
        <rFont val="Times New Roman"/>
        <family val="1"/>
      </rPr>
      <t xml:space="preserve">Los espacios de movilidad urbana de las mujeres y los significados de las restricciones sociales, culturales y materiales. Traducción: Ana Marcela Ardila. In: MARTINEZ, Alexandra; SERRUDO, Nelson Antonio Gómez. </t>
    </r>
    <r>
      <rPr>
        <i/>
        <sz val="12"/>
        <rFont val="Times New Roman"/>
        <family val="1"/>
      </rPr>
      <t>La sociabilidad y lo público</t>
    </r>
    <r>
      <rPr>
        <sz val="12"/>
        <rFont val="Times New Roman"/>
        <family val="1"/>
      </rPr>
      <t>: experiencias de investigación. Bogotá: Editorial Pontificia Universidad Javeriana, 2016. p.336-370.</t>
    </r>
  </si>
  <si>
    <t>executivo</t>
  </si>
  <si>
    <r>
      <t xml:space="preserve">fotografia de passarela (crédito: Yann Arthus-Bertrand) sem escadas, onde todos os pedestres a utilizam juntos, sem separações em função da capacidade de cada um caminhar: conforme SENDIN(2016a/b) 
</t>
    </r>
    <r>
      <rPr>
        <b/>
        <sz val="10"/>
        <color theme="1"/>
        <rFont val="Times New Roman"/>
        <family val="1"/>
      </rPr>
      <t xml:space="preserve">obs.: </t>
    </r>
    <r>
      <rPr>
        <sz val="10"/>
        <color theme="1"/>
        <rFont val="Times New Roman"/>
        <family val="1"/>
      </rPr>
      <t xml:space="preserve">essa passarela, projetada por Oscar Niemeyer, ilustra o subtítulo "Encouraging inclusiveness" (incentivo à inclusão) do relatório "Cities Alive" em ARUP(2016, p.51) </t>
    </r>
  </si>
  <si>
    <r>
      <rPr>
        <b/>
        <sz val="12"/>
        <color theme="1"/>
        <rFont val="Times New Roman"/>
        <family val="1"/>
      </rPr>
      <t xml:space="preserve">SENDIN(2016b): </t>
    </r>
    <r>
      <rPr>
        <sz val="12"/>
        <color theme="1"/>
        <rFont val="Times New Roman"/>
        <family val="1"/>
      </rPr>
      <t xml:space="preserve">SENDIN, Patricia. </t>
    </r>
    <r>
      <rPr>
        <i/>
        <sz val="12"/>
        <color theme="1"/>
        <rFont val="Times New Roman"/>
        <family val="1"/>
      </rPr>
      <t>Fotografia de passarela com desenho universal na Favela da Rocinha - Rio de Janeiro</t>
    </r>
    <r>
      <rPr>
        <sz val="12"/>
        <color theme="1"/>
        <rFont val="Times New Roman"/>
        <family val="1"/>
      </rPr>
      <t xml:space="preserve">. In: SENDIN, Patricia. 10 Great Things About Rocinha, Rio's Notorious Favela. [blog] </t>
    </r>
    <r>
      <rPr>
        <i/>
        <sz val="12"/>
        <color theme="1"/>
        <rFont val="Times New Roman"/>
        <family val="1"/>
      </rPr>
      <t>Not Only About Architecture</t>
    </r>
    <r>
      <rPr>
        <sz val="12"/>
        <color theme="1"/>
        <rFont val="Times New Roman"/>
        <family val="1"/>
      </rPr>
      <t>. Monday, 17 February 2014. Disponível em: &lt;http://www.patriciasendin.com/2014/02/10-great-things-about-rocinha-rios.html&gt;. Acesso em: 7 nov. 2016.</t>
    </r>
  </si>
  <si>
    <t>"Figura 1 - ônibus do nível 10 da escala IAED com rampa veicular automática projetada para a plataforma de uma estação-tubo do sistema de transporte público de Curitiba permitindo o embarque/desembarque em nível de todos os passageiros, com autonomia e segurança, por todas as portas" conforme OLIVEIRA (2016k, p.11) com base em BLOG MEU TRANSPORTE (2010a1/a2)</t>
  </si>
  <si>
    <t>"Figura 2 - plataformas de uma estação-tubo do sistema de transporte público de Curitiba, vendo-se ao fundo um ônibus do nível 10 da escala IAED parado para permitir o embarque/desembarque em nível de todos os passageiros, com autonomia e segurança, por todas as portas" conforme OLIVEIRA (2016k, p.12) com base em BLOG MEU TRANSPORTE (2010b1/b2)</t>
  </si>
  <si>
    <t>"Figura 4 - ônibus do nível 8 da escala IAED em operação no BRT Move de Belo Horizonte com destaque para a porta única onde há rampa veicular manual (fechada) instalada na porta central do veículo permitindo, quando basculada, o embarque/desembarque em nível dos passageiros na plataforma de uma estação de integração ou de transferência" conforme OLIVEIRA (2016k, p.13) com base em FREITAS (2014a1/a2).</t>
  </si>
  <si>
    <t>"Figura 5 - ônibus do nível 8 da escala IAED em operação no BRT Move de Belo Horizonte com destaque para segundo modelo de rampa veicular manual fechada instalada na porta central do veículo permitindo, quando basculada, o embarque/desembarque em nível dos passageiros na plataforma de uma estação de integração ou de transferência" conforme OLIVEIRA (2016k, p.13) - Crédito: Marcelo Vasconcelos Araújo/WRI Brasil Cidades Sustentáveis (9 mar. 2016) em ARAÚJO/WRI(2016a).</t>
  </si>
  <si>
    <t>Figura 6 - ônibus do nível 8 da escala IAED em operação no BRT Move de Belo Horizonte com destaque para terceiro modelo de rampa veicular manual fechada instalada na porta central do veículo permitindo, quando basculada, o embarque/desembarque em nível dos passageiros na plataforma de uma estação de integração ou de transferência." conforme OLIVEIRA (2016k, p.14) - Crédito: Mariana Gil/WRI Brasil Cidades Sustentáveis (jun. 2014) em GIL (2014).</t>
  </si>
  <si>
    <t>"Figura 7 - ônibus articulado do nível 8 da escala IAED em operação na linha 50 (direta Estação Pampulha/Centro) do BRT Move de Belo Horizonte (detalhes da fotografia: do lado direito do ônibus não há portas para embarque/desembarque de passageiros e a única porta existente desse lado do veículo é para acesso exclusivo do operador; cadeirante e seu acompanhante circulam na ciclovia)." conforme OLIVEIRA (2016k, p.14) - Crédito: Marcelo Vasconcelos Araújo/WRI Brasil Cidades Sustentáveis (9 mar. 2016) com base em ARAÚJO/WRI(2016b).</t>
  </si>
  <si>
    <t>"Figura 8 - ônibus do nível 6 da escala IAED com piso baixo dianteiro/central sem rampa veicular em linha do transporte convencional de Belo Horizonte, permitindo o embarque/desembarque em nível de todos os passageiros com autonomia e segurança se o motorista alinhar completamente o veículo com a calçada (detalhes da fotografia: inscrição PISO BAIXO na dianteira e na lateral da carroceria). "conforme OLIVEIRA (2016k, p.15) com base em AUGUSTO (2011a/b).</t>
  </si>
  <si>
    <t>"Figura 9 - ônibus do nível 5 da escala IAED com piso alto operando no BRT (misto) Move de Belo Horizonte, condicionando o embarque/desembarque dos passageiros com mobilidade reduzida, no percurso fora do corredores de transporte, ao uso de elevador, lembrando que todos os veículos do BRT misto Move de Belo Horizonte possuem elevador hidráulico e seu uso não é exclusivo para cadeirantes (detalhes do primeiro ônibus da fotografia: letreiro luminoso com AV. AUGUSTO DE LIMA HOSPITAIS na parte frontal inferior esquerda do veículo indicando tratar-se de veículo que atende passageiros fora do corredor de transporte; aplicação do símbolo SIA na parte frontal inferior direita do veículo; três portas laterais na direita do veículo, sendo que na central há elevador hidráulico instalado e nas outras duas há escada para o embarque/desembarque de passageiros)." conforme OLIVEIRA (2016k, p.16) - Crédito: Marcelo Vasconcelos Araújo/WRI Brasil Cidades Sustentáveis (9 mar. 2016) em ARAÚJO/WRI(2016c).</t>
  </si>
  <si>
    <t>"Figura 10 - ônibus articulado do nível 5 da escala IAED em operação no BRT Move de Belo Horizonte com destaque para uma das portas do lado esquerdo sem a rampa veicular (detalhe da fotografia: do lado oposto a essa porta sem a rampa há outra porta, do lado direito do veículo, por onde acontece o embarque/desembarque dos passageiros por uma escada)." conforme OLIVEIRA (2016k, p.17) - Crédito: Marcelo Vasconcelos Araújo/WRI Brasil Cidades Sustentáveis (9 mar. 2016) em ARAÚJO/WRI(2016d).</t>
  </si>
  <si>
    <t>"Figura 11 - ônibus do nível 4 da escala IAED com piso alto operando no BRT (misto) Move da RMBH, condicionando o embarque/desembarque dos passageiros com mobilidade reduzida, no percurso fora dos corredores de transporte, ao uso de elevador, lembrando que todos os veículos do BRT misto Move da RMBH possuem elevador hidráulico e seu uso é exclusivo para cadeirantes (detalhes da fotografia: inscrição da palavra ELEVADOR e aplicação do símbolo SIA na parte frontal inferior direita do veículo)." conforme OLIVEIRA (2016k, p.18) - Crédito: Marcelo Vasconcelos Araújo/WRI Brasil Cidades Sustentáveis (9 mar. 2016) em ARAÚJO/WRI(2016d).</t>
  </si>
  <si>
    <t>"Figura 12 - ônibus do nível 3 da escala IAED com piso alto e elevador hidráulico instalado na porta central, lembrando que todos os ônibus fabricados a partir do ano 2009 que operam no sistema gerenciado pela BHTrans são equipados com elevador hidráulico e seu uso não é exclusivo para cadeirantes (detalhes da fotografia: inscrição ELEVADOR na lateral esquerda junto à porta central e na parte frontal inferior esquerda; aplicação do SIA na parte inferior do vidro dianteiro do veículo)." conforme OLIVEIRA (2016k, p.19) - Crédito: Assessoria de Comunicação e Marketing da BHTrans (15 set. 2011).</t>
  </si>
  <si>
    <t>"Figura 13 - detalhe de elevador hidráulico em ônibus do nível 3 da escala IAED com piso alto e equipamento instalado na porta central, lembrando que todos os ônibus fabricados a partir do ano 2009 que operam no sistema gerenciado pela BHTrans são equipados com elevador hidráulico e seu uso não é exclusivo para cadeirantes." conforme OLIVEIRA (2016k, p.20) - Crédito: Assessoria de Comunicação e Marketing da BHTrans (6 set. 2012).</t>
  </si>
  <si>
    <t>"Figura 14 - detalhe de adesivo fixado na carroceria de ônibus do nível 3 da escala IAED com piso alto operando em linha do transporte convencional de Belo Horizonte (inscrição determinada pela BHTrans em 2011 para indicar ao passageiro tratar-se de veículo equipado com elevador hidráulico de uso não exclusivo para cadeirantes)." conforme OLIVEIRA (2016k, p.20) - Crédito: Cíntia Freitas/EMBARQ Brasil (jun. 2013) em FREITAS (2013).</t>
  </si>
  <si>
    <t>"Figura 15 - ônibus do nível 2 da escala IAED com piso alto e elevador hidráulico instalado na porta traseira, operando em linha do transporte metropolitano da RMBH, lembrando que em todos os ônibus urbanos do sistema gerenciado pela Setop-MG o equipamento é sempre de exclusivo para cadeirantes (detalhes da fotografia: inscrição ELEVADOR na lateral esquerda e na parte frontal inferior esquerda do veículo; aplicação do SIA ao lado da porta traseira e na parte superior do vidro dianteiro do veículo)"  conforme OLIVEIRA(2016k, p.21 com base em UNIVERSO BH (2013a/b).</t>
  </si>
  <si>
    <t>"Figura 16 - ônibus do nível 1 da escala IAED com piso alto e sem elevador hidráulico da linha 53 do transporte suplementar de Belo Horizonte." conforme OLIVEIRA(2016k, p.21) com base em MELO (2015a/b).</t>
  </si>
  <si>
    <r>
      <rPr>
        <b/>
        <sz val="10"/>
        <color theme="1"/>
        <rFont val="Times New Roman"/>
        <family val="1"/>
      </rPr>
      <t xml:space="preserve">1) </t>
    </r>
    <r>
      <rPr>
        <sz val="10"/>
        <color theme="1"/>
        <rFont val="Times New Roman"/>
        <family val="1"/>
      </rPr>
      <t>"</t>
    </r>
    <r>
      <rPr>
        <b/>
        <sz val="10"/>
        <color theme="1"/>
        <rFont val="Times New Roman"/>
        <family val="1"/>
      </rPr>
      <t>Quando necessária</t>
    </r>
    <r>
      <rPr>
        <i/>
        <sz val="10"/>
        <color theme="1"/>
        <rFont val="Times New Roman"/>
        <family val="1"/>
      </rPr>
      <t xml:space="preserve"> </t>
    </r>
    <r>
      <rPr>
        <sz val="10"/>
        <color theme="1"/>
        <rFont val="Times New Roman"/>
        <family val="1"/>
      </rPr>
      <t xml:space="preserve">a instalação de Plataforma Elevatória Veicular, esta deve ocorrer conforme descrita a seguir: Miniônibus: Junto à porta dianteira. / Midiônibus, Básico: Junto à porta localizada no entre - eixos." conforme SP(2016e, p.28 - grifo nosso)
</t>
    </r>
    <r>
      <rPr>
        <b/>
        <sz val="10"/>
        <color theme="1"/>
        <rFont val="Times New Roman"/>
        <family val="1"/>
      </rPr>
      <t xml:space="preserve">2) </t>
    </r>
    <r>
      <rPr>
        <sz val="10"/>
        <color theme="1"/>
        <rFont val="Times New Roman"/>
        <family val="1"/>
      </rPr>
      <t xml:space="preserve">"Nas situações em que não seja possível a utilização de veículos de piso baixo, </t>
    </r>
    <r>
      <rPr>
        <i/>
        <sz val="10"/>
        <color theme="1"/>
        <rFont val="Times New Roman"/>
        <family val="1"/>
      </rPr>
      <t>e</t>
    </r>
    <r>
      <rPr>
        <b/>
        <sz val="10"/>
        <color theme="1"/>
        <rFont val="Times New Roman"/>
        <family val="1"/>
      </rPr>
      <t>m decorrência de impedimentos técnicos operacionais</t>
    </r>
    <r>
      <rPr>
        <sz val="10"/>
        <color theme="1"/>
        <rFont val="Times New Roman"/>
        <family val="1"/>
      </rPr>
      <t>, os veículos de piso alto devem estar equipados com Plataforma Elevatória Veicular." SP(2015e, p.47 - grifo nosso)</t>
    </r>
  </si>
  <si>
    <t>"Figura 5 - ônibus do nível 8 da escala IAED em operação no BRT Move de Belo Horizonte com destaque para segundo modelo de rampa veicular manual fechada instalada na porta central do veículo permitindo, quando basculada, o embarque/desembarque em nível dos passageiros na plataforma de uma estação de integração ou de transferência": conforme OLIVEIRA (2016k, p.13) - Crédito: Marcelo Vasconcelos Araújo/WRI Brasil Cidades Sustentáveis (9 mar. 2016) em ARAÚJO/WRI(2016a).</t>
  </si>
  <si>
    <t>não encontrado resultado</t>
  </si>
  <si>
    <r>
      <t xml:space="preserve">meta de extensão total da rede cicloviária (em km) de Belo Horizonte
</t>
    </r>
    <r>
      <rPr>
        <b/>
        <sz val="10"/>
        <color theme="1"/>
        <rFont val="Times New Roman"/>
        <family val="1"/>
      </rPr>
      <t>obs.:</t>
    </r>
    <r>
      <rPr>
        <sz val="10"/>
        <color theme="1"/>
        <rFont val="Times New Roman"/>
        <family val="1"/>
      </rPr>
      <t xml:space="preserve"> as metas anunciadas pela PBH são obtidas no PPAG e referem-se ao acréscimo anual informado pelo indicador "EV b (meta delta 1)" e não foi encontrada uma meta ajustada para o indicador "EV b (meta)" que permita seu acompanhamento</t>
    </r>
  </si>
  <si>
    <t>siglas, abreviaturas, fotografias e verbetes</t>
  </si>
  <si>
    <t>n.º de indicadores de BH e RMBH
(com e sem resultados)</t>
  </si>
  <si>
    <r>
      <rPr>
        <b/>
        <sz val="12"/>
        <color theme="1"/>
        <rFont val="Times New Roman"/>
        <family val="1"/>
      </rPr>
      <t xml:space="preserve">BHTRANS(2016wf1): </t>
    </r>
    <r>
      <rPr>
        <sz val="12"/>
        <color theme="1"/>
        <rFont val="Times New Roman"/>
        <family val="1"/>
      </rPr>
      <t xml:space="preserve">EMPRESA DE TRANSPORTES E TRÂNSITO DE BELO HORIZONTE S/A - BHTRANS. Mobicentro premiado. </t>
    </r>
    <r>
      <rPr>
        <i/>
        <sz val="12"/>
        <color theme="1"/>
        <rFont val="Times New Roman"/>
        <family val="1"/>
      </rPr>
      <t>Jogo Rápido</t>
    </r>
    <r>
      <rPr>
        <sz val="12"/>
        <color theme="1"/>
        <rFont val="Times New Roman"/>
        <family val="1"/>
      </rPr>
      <t>, Belo Horizonte, n.751, 31 out. 2016.</t>
    </r>
  </si>
  <si>
    <r>
      <rPr>
        <b/>
        <sz val="10"/>
        <color theme="1"/>
        <rFont val="Times New Roman"/>
        <family val="1"/>
      </rPr>
      <t xml:space="preserve">1) </t>
    </r>
    <r>
      <rPr>
        <sz val="10"/>
        <color theme="1"/>
        <rFont val="Times New Roman"/>
        <family val="1"/>
      </rPr>
      <t xml:space="preserve">"O concurso Governarte dedica-se a identificar, premiar, documentar e divulgar iniciativas de governos municipais que tenham avançado na agenda de modernização do Estado rumo a governos mais efetivos, eficientes e abertos, aprimorando serviços públicos. Por meio deste prêmio, o BID busca disseminar experiências, facilitando a cooperação e fomentando o intercâmbio de boas práticas entre governos locais e outros atores na América Latina e Caribe. " conforme BID(2015)
</t>
    </r>
    <r>
      <rPr>
        <b/>
        <sz val="10"/>
        <color theme="1"/>
        <rFont val="Times New Roman"/>
        <family val="1"/>
      </rPr>
      <t xml:space="preserve">2) </t>
    </r>
    <r>
      <rPr>
        <sz val="10"/>
        <color theme="1"/>
        <rFont val="Times New Roman"/>
        <family val="1"/>
      </rPr>
      <t xml:space="preserve">A PBH e a BHTrans foram premiadas na 4ª edição (2016) do prêmio conforme BHTRANS(2016wf1)
</t>
    </r>
    <r>
      <rPr>
        <b/>
        <sz val="10"/>
        <color theme="1"/>
        <rFont val="Times New Roman"/>
        <family val="1"/>
      </rPr>
      <t>obs.:</t>
    </r>
    <r>
      <rPr>
        <sz val="10"/>
        <color theme="1"/>
        <rFont val="Times New Roman"/>
        <family val="1"/>
      </rPr>
      <t xml:space="preserve"> acesse o verbete "prêmios"</t>
    </r>
  </si>
  <si>
    <r>
      <rPr>
        <b/>
        <sz val="12"/>
        <color theme="1"/>
        <rFont val="Times New Roman"/>
        <family val="1"/>
      </rPr>
      <t xml:space="preserve">BHTRANS(2016wf2): </t>
    </r>
    <r>
      <rPr>
        <sz val="12"/>
        <color theme="1"/>
        <rFont val="Times New Roman"/>
        <family val="1"/>
      </rPr>
      <t xml:space="preserve">EMPRESA DE TRANSPORTES E TRÂNSITO DE BELO HORIZONTE S/A - BHTRANS. Concurso Acessibilidade para Todos. </t>
    </r>
    <r>
      <rPr>
        <i/>
        <sz val="12"/>
        <color theme="1"/>
        <rFont val="Times New Roman"/>
        <family val="1"/>
      </rPr>
      <t>Jogo Rápido</t>
    </r>
    <r>
      <rPr>
        <sz val="12"/>
        <color theme="1"/>
        <rFont val="Times New Roman"/>
        <family val="1"/>
      </rPr>
      <t>, Belo Horizonte, n.740, 18 abr. 2016.</t>
    </r>
  </si>
  <si>
    <r>
      <rPr>
        <b/>
        <sz val="12"/>
        <color theme="1"/>
        <rFont val="Times New Roman"/>
        <family val="1"/>
      </rPr>
      <t xml:space="preserve">BHTRANS(2016wf3): </t>
    </r>
    <r>
      <rPr>
        <sz val="12"/>
        <color theme="1"/>
        <rFont val="Times New Roman"/>
        <family val="1"/>
      </rPr>
      <t xml:space="preserve">EMPRESA DE TRANSPORTES E TRÂNSITO DE BELO HORIZONTE S/A - BHTRANS. Valorizando o patrimônio. </t>
    </r>
    <r>
      <rPr>
        <i/>
        <sz val="12"/>
        <color theme="1"/>
        <rFont val="Times New Roman"/>
        <family val="1"/>
      </rPr>
      <t>Jogo Rápido</t>
    </r>
    <r>
      <rPr>
        <sz val="12"/>
        <color theme="1"/>
        <rFont val="Times New Roman"/>
        <family val="1"/>
      </rPr>
      <t>, Belo Horizonte, n.741, 25 abr. 2016.</t>
    </r>
  </si>
  <si>
    <r>
      <rPr>
        <b/>
        <sz val="12"/>
        <color theme="1"/>
        <rFont val="Times New Roman"/>
        <family val="1"/>
      </rPr>
      <t xml:space="preserve">BHTRANS(2016wf4): </t>
    </r>
    <r>
      <rPr>
        <sz val="12"/>
        <color theme="1"/>
        <rFont val="Times New Roman"/>
        <family val="1"/>
      </rPr>
      <t xml:space="preserve">EMPRESA DE TRANSPORTES E TRÂNSITO DE BELO HORIZONTE S/A - BHTRANS. Acessibilidade para Todos. </t>
    </r>
    <r>
      <rPr>
        <i/>
        <sz val="12"/>
        <color theme="1"/>
        <rFont val="Times New Roman"/>
        <family val="1"/>
      </rPr>
      <t>Jogo Rápido</t>
    </r>
    <r>
      <rPr>
        <sz val="12"/>
        <color theme="1"/>
        <rFont val="Times New Roman"/>
        <family val="1"/>
      </rPr>
      <t>, Belo Horizonte, n.753, 14 nov. 2016.</t>
    </r>
  </si>
  <si>
    <t>com a criação de linhas diretas da CAMG para a Savassi foi extinta a linha SE01 em novembro/2016 conforme BHTRANS(2016wf5)</t>
  </si>
  <si>
    <r>
      <rPr>
        <b/>
        <sz val="12"/>
        <color theme="1"/>
        <rFont val="Times New Roman"/>
        <family val="1"/>
      </rPr>
      <t xml:space="preserve">BHTRANS(2016wf5): </t>
    </r>
    <r>
      <rPr>
        <sz val="12"/>
        <color theme="1"/>
        <rFont val="Times New Roman"/>
        <family val="1"/>
      </rPr>
      <t xml:space="preserve">EMPRESA DE TRANSPORTES E TRÂNSITO DE BELO HORIZONTE S/A - BHTRANS. Move Cidade Administrativa. </t>
    </r>
    <r>
      <rPr>
        <i/>
        <sz val="12"/>
        <color theme="1"/>
        <rFont val="Times New Roman"/>
        <family val="1"/>
      </rPr>
      <t>Jogo Rápido</t>
    </r>
    <r>
      <rPr>
        <sz val="12"/>
        <color theme="1"/>
        <rFont val="Times New Roman"/>
        <family val="1"/>
      </rPr>
      <t>, Belo Horizonte, n.754, 21 nov. 2016.</t>
    </r>
  </si>
  <si>
    <r>
      <rPr>
        <b/>
        <sz val="12"/>
        <color theme="1"/>
        <rFont val="Times New Roman"/>
        <family val="1"/>
      </rPr>
      <t xml:space="preserve">BHTRANS(2016wg1): </t>
    </r>
    <r>
      <rPr>
        <sz val="12"/>
        <color theme="1"/>
        <rFont val="Times New Roman"/>
        <family val="1"/>
      </rPr>
      <t xml:space="preserve">EMPRESA DE TRANSPORTES E TRÂNSITO DE BELO HORIZONTE S/A - BHTRANS. </t>
    </r>
    <r>
      <rPr>
        <i/>
        <sz val="12"/>
        <color theme="1"/>
        <rFont val="Times New Roman"/>
        <family val="1"/>
      </rPr>
      <t>e-mail da coordenação do SisMob-BH ao WRI encaminhando notas técnicas de acessibilidade n.º 1 e n.º 2 da Pamu-BH</t>
    </r>
    <r>
      <rPr>
        <sz val="12"/>
        <color theme="1"/>
        <rFont val="Times New Roman"/>
        <family val="1"/>
      </rPr>
      <t>. Belo Horizonte, 16 nov. 2016.</t>
    </r>
  </si>
  <si>
    <r>
      <rPr>
        <b/>
        <sz val="12"/>
        <color theme="1"/>
        <rFont val="Times New Roman"/>
        <family val="1"/>
      </rPr>
      <t xml:space="preserve">BHTRANS(2016wg2): </t>
    </r>
    <r>
      <rPr>
        <sz val="12"/>
        <color theme="1"/>
        <rFont val="Times New Roman"/>
        <family val="1"/>
      </rPr>
      <t xml:space="preserve">EMPRESA DE TRANSPORTES E TRÂNSITO DE BELO HORIZONTE S/A - BHTRANS. </t>
    </r>
    <r>
      <rPr>
        <i/>
        <sz val="12"/>
        <color theme="1"/>
        <rFont val="Times New Roman"/>
        <family val="1"/>
      </rPr>
      <t>e-mail da coordenação do SisMob-BH ao IPPUJ encaminhando notas técnicas de acessibilidade n.º 1 e n.º 2 da Pamu-BH</t>
    </r>
    <r>
      <rPr>
        <sz val="12"/>
        <color theme="1"/>
        <rFont val="Times New Roman"/>
        <family val="1"/>
      </rPr>
      <t>. Belo Horizonte, 22 nov. 2016.</t>
    </r>
  </si>
  <si>
    <r>
      <t>denominação dada a grupo de trabalho sobre uso da bicicleta como meio de transporte instituído em 2013 em Belo Horizonte</t>
    </r>
    <r>
      <rPr>
        <b/>
        <sz val="10"/>
        <rFont val="Times New Roman"/>
        <family val="1"/>
      </rPr>
      <t xml:space="preserve">
obs.1:</t>
    </r>
    <r>
      <rPr>
        <sz val="10"/>
        <rFont val="Times New Roman"/>
        <family val="1"/>
      </rPr>
      <t xml:space="preserve"> "Em negociação com a BHTrans, a entidade [BH em Ciclo] pactuou a criação de um grupo de trabalho denominado GT Pedala BH que vem se reunindo pelo menos uma vez por mês desde o início do ano de 2013. Suas reuniões são transmitidas ao vivo pela internet. O GT Pedala BH é autodenominado um “grupo aberto e sem líderes que serve de espaço para o diálogo entre poder público e cidadãos interessados em fomentar o uso da bicicleta na cidade como meio de transporte” [...]. Ora, os resultados das ações da BH em Ciclo e, em especial, do GT Pedala BH, que impactarem a mobilidade urbana devem ser considerados como parte integrante da política de mobilidade urbana de Belo Horizonte."conforme OLIVEIRA(2014, p.68)
</t>
    </r>
    <r>
      <rPr>
        <b/>
        <sz val="10"/>
        <rFont val="Times New Roman"/>
        <family val="1"/>
      </rPr>
      <t>obs.2:</t>
    </r>
    <r>
      <rPr>
        <sz val="10"/>
        <rFont val="Times New Roman"/>
        <family val="1"/>
      </rPr>
      <t xml:space="preserve"> acesse o verberte "BH em Ciclo"</t>
    </r>
  </si>
  <si>
    <t>Gráfico 62a - Evolução da extensão total (Evb) da rede cicloviária de Belo Horizonte (2003 a 2016)</t>
  </si>
  <si>
    <t>Gráfico 62b - Comparação entre implantações e metas estabelecidas de expansão da rede cicloviária de Belo Horizonte (2003 a 2016)</t>
  </si>
  <si>
    <t>Gráfico 62c - Comparação da extensão cicloviária de Belo Horizonte (2014) com outras cidades do Brasil selecionadas por Mobilize</t>
  </si>
  <si>
    <t>Gráfico 62d - Comparação da densidade das estações do sistema de bicicletas compartilhadas de Belo Horizonte com outras cidades do Brasil e com o mínimo recomendado (2014/2015)</t>
  </si>
  <si>
    <t>EV b (delta BHTrans)</t>
  </si>
  <si>
    <t>EV b (delta PBH)</t>
  </si>
  <si>
    <t>EV b
(meta delta)</t>
  </si>
  <si>
    <r>
      <t xml:space="preserve">acréscimo anual da extensão da rede cicloviária" (em km) de Belo Horizonte na fonte PBH
</t>
    </r>
    <r>
      <rPr>
        <b/>
        <sz val="10"/>
        <color theme="1"/>
        <rFont val="Times New Roman"/>
        <family val="1"/>
      </rPr>
      <t>obs.1</t>
    </r>
    <r>
      <rPr>
        <sz val="10"/>
        <color theme="1"/>
        <rFont val="Times New Roman"/>
        <family val="1"/>
      </rPr>
      <t xml:space="preserve">: resultados conforme "Demonstrativo de execução das metas físicas" da Prefeitura de Belo Horizonte (subação "implantação do programa Pedala BH"/produto "ciclovia implantada"), quais sejam: </t>
    </r>
    <r>
      <rPr>
        <sz val="10"/>
        <rFont val="Times New Roman"/>
        <family val="1"/>
      </rPr>
      <t>de 2011 em BHTRANS(2012d, p.51);</t>
    </r>
    <r>
      <rPr>
        <sz val="10"/>
        <color rgb="FFFF0000"/>
        <rFont val="Times New Roman"/>
        <family val="1"/>
      </rPr>
      <t xml:space="preserve"> </t>
    </r>
    <r>
      <rPr>
        <sz val="10"/>
        <color theme="1"/>
        <rFont val="Times New Roman"/>
        <family val="1"/>
      </rPr>
      <t xml:space="preserve">de 2012 em BH(2013b, p.130); de 2013 conforme BH(2015f, p.145); de 2014 conforme (BH, 2015e, p.269); de 2015 conforme BH(2016k, p.281)
</t>
    </r>
    <r>
      <rPr>
        <b/>
        <sz val="10"/>
        <color theme="1"/>
        <rFont val="Times New Roman"/>
        <family val="1"/>
      </rPr>
      <t xml:space="preserve">obs.2: </t>
    </r>
    <r>
      <rPr>
        <sz val="10"/>
        <color theme="1"/>
        <rFont val="Times New Roman"/>
        <family val="1"/>
      </rPr>
      <t>esses resultados deveriam mas não conferem com os de "EV b (delta BHTrans)"</t>
    </r>
  </si>
  <si>
    <r>
      <t xml:space="preserve">acréscimo anual da extensão da rede cicloviária (em km) de Belo Horizonte na fonte BHTrans
</t>
    </r>
    <r>
      <rPr>
        <b/>
        <sz val="10"/>
        <color theme="1"/>
        <rFont val="Times New Roman"/>
        <family val="1"/>
      </rPr>
      <t xml:space="preserve">obs.1: </t>
    </r>
    <r>
      <rPr>
        <sz val="10"/>
        <color theme="1"/>
        <rFont val="Times New Roman"/>
        <family val="1"/>
      </rPr>
      <t xml:space="preserve">as primeiras ciclovias foram implantadas em Belo Horizonte em dez.2003 conforme BHTRANS(2016wc)
</t>
    </r>
    <r>
      <rPr>
        <b/>
        <sz val="10"/>
        <color theme="1"/>
        <rFont val="Times New Roman"/>
        <family val="1"/>
      </rPr>
      <t xml:space="preserve">obs.2: </t>
    </r>
    <r>
      <rPr>
        <sz val="10"/>
        <color theme="1"/>
        <rFont val="Times New Roman"/>
        <family val="1"/>
      </rPr>
      <t xml:space="preserve">resultados de 2003-2015 conforme BHTRANS(2016wc)
</t>
    </r>
    <r>
      <rPr>
        <b/>
        <sz val="10"/>
        <color theme="1"/>
        <rFont val="Times New Roman"/>
        <family val="1"/>
      </rPr>
      <t>obs.3:</t>
    </r>
    <r>
      <rPr>
        <sz val="10"/>
        <color theme="1"/>
        <rFont val="Times New Roman"/>
        <family val="1"/>
      </rPr>
      <t xml:space="preserve"> esses resultados deveriam mas não conferem (todos) com os de "EV b (delta PBH)"</t>
    </r>
  </si>
  <si>
    <r>
      <rPr>
        <sz val="10"/>
        <rFont val="Calibri"/>
        <family val="2"/>
      </rPr>
      <t>∑</t>
    </r>
    <r>
      <rPr>
        <sz val="7.5"/>
        <rFont val="Times New Roman"/>
        <family val="1"/>
      </rPr>
      <t xml:space="preserve"> EV b (delta BHTrans)</t>
    </r>
  </si>
  <si>
    <r>
      <t xml:space="preserve">meta estabelecida pela PBH para a expansão anual da rede cicloviária de Belo Horizonte 
</t>
    </r>
    <r>
      <rPr>
        <b/>
        <sz val="10"/>
        <color theme="1"/>
        <rFont val="Times New Roman"/>
        <family val="1"/>
      </rPr>
      <t>obs.1:</t>
    </r>
    <r>
      <rPr>
        <sz val="10"/>
        <color theme="1"/>
        <rFont val="Times New Roman"/>
        <family val="1"/>
      </rPr>
      <t xml:space="preserve"> resultado de 2011-2013 no Demonstrativo de da Execução das Metas Físicas: de 2011 conforme BH(2012d, p.51); de 2012 conforme BH(2013b, p.130), de 2013 conforme BH(2015f, p.145), onde está informado que "Observação a Respeito da Meta: incapacidade operacional e financeira para cumprir a meta anual nessa dimensão, acrescida das dificuldades de implantação das ciclovias em vias com tráfego elevado. Restrição: Erro no dimensionamento da meta".
</t>
    </r>
    <r>
      <rPr>
        <b/>
        <sz val="10"/>
        <color theme="1"/>
        <rFont val="Times New Roman"/>
        <family val="1"/>
      </rPr>
      <t>obs.2:</t>
    </r>
    <r>
      <rPr>
        <sz val="10"/>
        <color theme="1"/>
        <rFont val="Times New Roman"/>
        <family val="1"/>
      </rPr>
      <t xml:space="preserve"> resultados de 2014-2017 no PPAG 2014-2017, conforme BH(2013a1, p.185):</t>
    </r>
    <r>
      <rPr>
        <b/>
        <sz val="10"/>
        <color theme="1"/>
        <rFont val="Times New Roman"/>
        <family val="1"/>
      </rPr>
      <t xml:space="preserve"> </t>
    </r>
    <r>
      <rPr>
        <sz val="10"/>
        <color theme="1"/>
        <rFont val="Times New Roman"/>
        <family val="1"/>
      </rPr>
      <t>subação "Implantação do Projeto Pedala BH", da área de resultado "Cidade com Mobilidade", do programa "Transporte Seguro e Sustentável", da unidade orçamentária "FUNDO MUNICIPAL DE TRANSPORTES URBANOS" (produto: ciclovia implantada, unidade: km, metas anuais de 2014 a 2017)</t>
    </r>
  </si>
  <si>
    <r>
      <t xml:space="preserve">diferença percentual entre EV (delta 1 ) e EV (delta 2)
</t>
    </r>
    <r>
      <rPr>
        <b/>
        <sz val="10"/>
        <color theme="1"/>
        <rFont val="Times New Roman"/>
        <family val="1"/>
      </rPr>
      <t xml:space="preserve">obs.: </t>
    </r>
    <r>
      <rPr>
        <sz val="10"/>
        <color theme="1"/>
        <rFont val="Times New Roman"/>
        <family val="1"/>
      </rPr>
      <t>trata-se de um indicador de controle (que deve ser sempre 0,00%), no qual resultados negativos indicam que o resultado informado pela BHTrans é menor que o resultado informado no "Demonstrativo de execução de metas físicas" da PBH e vice-versa</t>
    </r>
  </si>
  <si>
    <t>( EV (delta BHTrans) - EV (delta PBH) ) / EV (delta BHTrans)</t>
  </si>
  <si>
    <r>
      <rPr>
        <b/>
        <sz val="12"/>
        <color theme="1"/>
        <rFont val="Times New Roman"/>
        <family val="1"/>
      </rPr>
      <t>BH(2011a):</t>
    </r>
    <r>
      <rPr>
        <sz val="12"/>
        <color theme="1"/>
        <rFont val="Times New Roman"/>
        <family val="1"/>
      </rPr>
      <t xml:space="preserve"> BELO HORIZONTE. Prefeitura. Lei n.º 10.175, de 6 de maio de 2011. Institui a Política Municipal de Mitigação dos efeitos da mudança climática. </t>
    </r>
    <r>
      <rPr>
        <i/>
        <sz val="12"/>
        <color theme="1"/>
        <rFont val="Times New Roman"/>
        <family val="1"/>
      </rPr>
      <t>Diário Oficial do Município - DOM</t>
    </r>
    <r>
      <rPr>
        <sz val="12"/>
        <color theme="1"/>
        <rFont val="Times New Roman"/>
        <family val="1"/>
      </rPr>
      <t>, Belo Horizonte, 6 de maio de 2011. Disponível em: &lt;http://portal6.pbh.gov.br/dom/iniciaEdicao.do?method=DetalheArtigo&amp;pk=1057490&gt;. Acesso em: 20 jan. 2016.</t>
    </r>
  </si>
  <si>
    <r>
      <rPr>
        <b/>
        <sz val="12"/>
        <rFont val="Times New Roman"/>
        <family val="1"/>
      </rPr>
      <t>BH(2011c):</t>
    </r>
    <r>
      <rPr>
        <sz val="12"/>
        <rFont val="Times New Roman"/>
        <family val="1"/>
      </rPr>
      <t xml:space="preserve"> BELO HORIZONTE. Prefeitura. Lei n.º 10.134, de 18 de março de 2011. Institui a Política Municipal de Mobilidade Urbana. </t>
    </r>
    <r>
      <rPr>
        <i/>
        <sz val="12"/>
        <rFont val="Times New Roman"/>
        <family val="1"/>
      </rPr>
      <t>Diário Oficial do Município - DOM</t>
    </r>
    <r>
      <rPr>
        <sz val="12"/>
        <rFont val="Times New Roman"/>
        <family val="1"/>
      </rPr>
      <t>, Belo Horizonte, ano XVII - Edição n.º 3788, 19 mar. 2011. Poder Executivo. Secretaria Municipal de Governo. Disponível em: &lt;http://portal6.pbh.gov.br/dom/iniciaEdicao.do?method=DetalheArtigo&amp;pk=1054553&gt;. Acesso em: 23 nov. 2016.</t>
    </r>
  </si>
  <si>
    <t>política de mobilidade urbana</t>
  </si>
  <si>
    <r>
      <rPr>
        <b/>
        <sz val="12"/>
        <color theme="1"/>
        <rFont val="Times New Roman"/>
        <family val="1"/>
      </rPr>
      <t xml:space="preserve">BHTRANS(2016wg3): </t>
    </r>
    <r>
      <rPr>
        <sz val="12"/>
        <color theme="1"/>
        <rFont val="Times New Roman"/>
        <family val="1"/>
      </rPr>
      <t xml:space="preserve">EMPRESA DE TRANSPORTES E TRÂNSITO DE BELO HORIZONTE S/A - BHTRANS. </t>
    </r>
    <r>
      <rPr>
        <i/>
        <sz val="12"/>
        <color theme="1"/>
        <rFont val="Times New Roman"/>
        <family val="1"/>
      </rPr>
      <t>e-mail da coordenação do SisMob-BH à Secretaria Especial dos Direitos da Pessoa com Deficiência da Prefeitura Municipal de Curitiba encaminhando notas técnicas de acessibilidade n.º 1 e n.º 2 da Pamu-BH</t>
    </r>
    <r>
      <rPr>
        <sz val="12"/>
        <color theme="1"/>
        <rFont val="Times New Roman"/>
        <family val="1"/>
      </rPr>
      <t>. Belo Horizonte, 22 nov. 2016.</t>
    </r>
  </si>
  <si>
    <r>
      <rPr>
        <b/>
        <sz val="12"/>
        <color theme="1"/>
        <rFont val="Times New Roman"/>
        <family val="1"/>
      </rPr>
      <t xml:space="preserve">BHTRANS(2016wg4): </t>
    </r>
    <r>
      <rPr>
        <sz val="12"/>
        <color theme="1"/>
        <rFont val="Times New Roman"/>
        <family val="1"/>
      </rPr>
      <t xml:space="preserve">EMPRESA DE TRANSPORTES E TRÂNSITO DE BELO HORIZONTE S/A - BHTRANS. </t>
    </r>
    <r>
      <rPr>
        <i/>
        <sz val="12"/>
        <color theme="1"/>
        <rFont val="Times New Roman"/>
        <family val="1"/>
      </rPr>
      <t>e-mail da coordenação do SisMob-BH à Unidade de Obras da Urbanização de Curitiba (Urbs) encaminhando notas técnicas de acessibilidade n.º 1 e n.º 2 da Pamu-BH</t>
    </r>
    <r>
      <rPr>
        <sz val="12"/>
        <color theme="1"/>
        <rFont val="Times New Roman"/>
        <family val="1"/>
      </rPr>
      <t>. Belo Horizonte, 24 nov. 2016.</t>
    </r>
  </si>
  <si>
    <r>
      <rPr>
        <b/>
        <sz val="12"/>
        <color theme="1"/>
        <rFont val="Times New Roman"/>
        <family val="1"/>
      </rPr>
      <t xml:space="preserve">BHTRANS(2016wg6/7): </t>
    </r>
    <r>
      <rPr>
        <sz val="12"/>
        <color theme="1"/>
        <rFont val="Times New Roman"/>
        <family val="1"/>
      </rPr>
      <t xml:space="preserve">EMPRESA DE TRANSPORTES E TRÂNSITO DE BELO HORIZONTE S/A - BHTRANS. </t>
    </r>
    <r>
      <rPr>
        <i/>
        <sz val="12"/>
        <color theme="1"/>
        <rFont val="Times New Roman"/>
        <family val="1"/>
      </rPr>
      <t>e-mail da coordenação do SisMob-BH ao Movimento Nossa BH encaminhando notas técnicas de acessibilidade n.º 1 e n.º 2 da Pamu-BH</t>
    </r>
    <r>
      <rPr>
        <sz val="12"/>
        <color theme="1"/>
        <rFont val="Times New Roman"/>
        <family val="1"/>
      </rPr>
      <t>. Belo Horizonte, 24 nov. 2016.</t>
    </r>
  </si>
  <si>
    <r>
      <rPr>
        <b/>
        <sz val="12"/>
        <color theme="1"/>
        <rFont val="Times New Roman"/>
        <family val="1"/>
      </rPr>
      <t xml:space="preserve">BHTRANS(2016wg8): </t>
    </r>
    <r>
      <rPr>
        <sz val="12"/>
        <color theme="1"/>
        <rFont val="Times New Roman"/>
        <family val="1"/>
      </rPr>
      <t xml:space="preserve">EMPRESA DE TRANSPORTES E TRÂNSITO DE BELO HORIZONTE S/A - BHTRANS. </t>
    </r>
    <r>
      <rPr>
        <i/>
        <sz val="12"/>
        <color theme="1"/>
        <rFont val="Times New Roman"/>
        <family val="1"/>
      </rPr>
      <t>e-mail da coordenação do SisMob-BH ao Programa Cidades Sustentáveis/Rede Nossa São Paulo encaminhando notas técnicas de acessibilidade n.º 1 e n.º 2 da Pamu-BH</t>
    </r>
    <r>
      <rPr>
        <sz val="12"/>
        <color theme="1"/>
        <rFont val="Times New Roman"/>
        <family val="1"/>
      </rPr>
      <t>. Belo Horizonte, 24 nov. 2016.</t>
    </r>
  </si>
  <si>
    <r>
      <rPr>
        <b/>
        <sz val="12"/>
        <color theme="1"/>
        <rFont val="Times New Roman"/>
        <family val="1"/>
      </rPr>
      <t xml:space="preserve">BHTRANS(2016wg9): </t>
    </r>
    <r>
      <rPr>
        <sz val="12"/>
        <color theme="1"/>
        <rFont val="Times New Roman"/>
        <family val="1"/>
      </rPr>
      <t xml:space="preserve">EMPRESA DE TRANSPORTES E TRÂNSITO DE BELO HORIZONTE S/A - BHTRANS. </t>
    </r>
    <r>
      <rPr>
        <i/>
        <sz val="12"/>
        <color theme="1"/>
        <rFont val="Times New Roman"/>
        <family val="1"/>
      </rPr>
      <t>e-mail da coordenação do SisMob-BH ao Mobilize Brasil – Mobilidade Urbana Sustentável encaminhando notas técnicas de acessibilidade n.º 1 e n.º 2 da Pamu-BH</t>
    </r>
    <r>
      <rPr>
        <sz val="12"/>
        <color theme="1"/>
        <rFont val="Times New Roman"/>
        <family val="1"/>
      </rPr>
      <t>. Belo Horizonte, 24 nov. 2016.</t>
    </r>
  </si>
  <si>
    <r>
      <rPr>
        <b/>
        <sz val="12"/>
        <color theme="1"/>
        <rFont val="Times New Roman"/>
        <family val="1"/>
      </rPr>
      <t xml:space="preserve">BHTRANS(2016wg10): </t>
    </r>
    <r>
      <rPr>
        <sz val="12"/>
        <color theme="1"/>
        <rFont val="Times New Roman"/>
        <family val="1"/>
      </rPr>
      <t xml:space="preserve">EMPRESA DE TRANSPORTES E TRÂNSITO DE BELO HORIZONTE S/A - BHTRANS. </t>
    </r>
    <r>
      <rPr>
        <i/>
        <sz val="12"/>
        <color theme="1"/>
        <rFont val="Times New Roman"/>
        <family val="1"/>
      </rPr>
      <t>e-mail da coordenação do SisMob-BH à Superintendência de Transporte Metropolitano da Secretaria de
Estado de Transportes e Obras Públicas (Setop) do Governo do Estado de Minas Gerais encaminhando notas técnicas de acessibilidade n.º 1 e n.º 2 da Pamu-BH</t>
    </r>
    <r>
      <rPr>
        <sz val="12"/>
        <color theme="1"/>
        <rFont val="Times New Roman"/>
        <family val="1"/>
      </rPr>
      <t>. Belo Horizonte, 24 nov. 2016.</t>
    </r>
  </si>
  <si>
    <r>
      <rPr>
        <b/>
        <sz val="12"/>
        <color theme="1"/>
        <rFont val="Times New Roman"/>
        <family val="1"/>
      </rPr>
      <t xml:space="preserve">BHTRANS(2016wg11): </t>
    </r>
    <r>
      <rPr>
        <sz val="12"/>
        <color theme="1"/>
        <rFont val="Times New Roman"/>
        <family val="1"/>
      </rPr>
      <t xml:space="preserve">EMPRESA DE TRANSPORTES E TRÂNSITO DE BELO HORIZONTE S/A - BHTRANS. </t>
    </r>
    <r>
      <rPr>
        <i/>
        <sz val="12"/>
        <color theme="1"/>
        <rFont val="Times New Roman"/>
        <family val="1"/>
      </rPr>
      <t>e-mail da coordenação do SisMob-BH a setores diversos da BHTrans agradecendo apoio e encaminhando notas técnicas de acessibilidade n.º 1 e n.º 2 da Pamu-BH</t>
    </r>
    <r>
      <rPr>
        <sz val="12"/>
        <color theme="1"/>
        <rFont val="Times New Roman"/>
        <family val="1"/>
      </rPr>
      <t>. Belo Horizonte, 24 nov. 2016.</t>
    </r>
  </si>
  <si>
    <r>
      <rPr>
        <b/>
        <sz val="12"/>
        <color theme="1"/>
        <rFont val="Times New Roman"/>
        <family val="1"/>
      </rPr>
      <t xml:space="preserve">BHTRANS(2016wg12): </t>
    </r>
    <r>
      <rPr>
        <sz val="12"/>
        <color theme="1"/>
        <rFont val="Times New Roman"/>
        <family val="1"/>
      </rPr>
      <t xml:space="preserve">EMPRESA DE TRANSPORTES E TRÂNSITO DE BELO HORIZONTE S/A - BHTRANS. </t>
    </r>
    <r>
      <rPr>
        <i/>
        <sz val="12"/>
        <color theme="1"/>
        <rFont val="Times New Roman"/>
        <family val="1"/>
      </rPr>
      <t>e-mail da coordenação do SisMob-BH à Transcon - Contagem encaminhando notas técnicas de acessibilidade n.º 1 e n.º 2 da Pamu-BH</t>
    </r>
    <r>
      <rPr>
        <sz val="12"/>
        <color theme="1"/>
        <rFont val="Times New Roman"/>
        <family val="1"/>
      </rPr>
      <t>. Belo Horizonte, 24 nov. 2016.</t>
    </r>
  </si>
  <si>
    <r>
      <rPr>
        <b/>
        <sz val="12"/>
        <color theme="1"/>
        <rFont val="Times New Roman"/>
        <family val="1"/>
      </rPr>
      <t xml:space="preserve">BHTRANS(2016wg5/14/15/16): </t>
    </r>
    <r>
      <rPr>
        <sz val="12"/>
        <color theme="1"/>
        <rFont val="Times New Roman"/>
        <family val="1"/>
      </rPr>
      <t xml:space="preserve">EMPRESA DE TRANSPORTES E TRÂNSITO DE BELO HORIZONTE S/A - BHTRANS. </t>
    </r>
    <r>
      <rPr>
        <i/>
        <sz val="12"/>
        <color theme="1"/>
        <rFont val="Times New Roman"/>
        <family val="1"/>
      </rPr>
      <t>e-mail da coordenação do SisMob-BH a setores diversos da São Paulo Transporte S.A. (SPTrans) encaminhando notas técnicas de acessibilidade n.º 1 e n.º 2 da Pamu-BH</t>
    </r>
    <r>
      <rPr>
        <sz val="12"/>
        <color theme="1"/>
        <rFont val="Times New Roman"/>
        <family val="1"/>
      </rPr>
      <t>. Belo Horizonte, 24 nov. 2016.</t>
    </r>
  </si>
  <si>
    <r>
      <t xml:space="preserve">uma das doze áreas de resultado do programa que concorreu à PBH (e venceu) em 2012 conforme BH SEGUE (2012, p.180-209) e uma das onze áreas de resultado do Plano Estratégico BH 2030 conforme BH(2016e1, p.94, 95, 99, 110, 154, 160)
</t>
    </r>
    <r>
      <rPr>
        <b/>
        <sz val="10"/>
        <rFont val="Times New Roman"/>
        <family val="1"/>
      </rPr>
      <t>obs.1:</t>
    </r>
    <r>
      <rPr>
        <sz val="10"/>
        <rFont val="Times New Roman"/>
        <family val="1"/>
      </rPr>
      <t xml:space="preserve"> "Importante considerar que uma “cidade de todos” não se limita aos habitantes de Belo Horizonte. Há um verdadeiro e contínuo movimento pendular e diário de milhares de pessoas entre Belo Horizonte e as cidades da Região Metropolitana. Este perfil cosmopolita impõe a Belo Horizonte que seu papel de capital e metrópole ofereça resposta às necessidades dessa população, seja para estudar, trabalhar ou se divertir. Estas pessoas, de uma forma ou de outra, compartilham os mesmos serviços e benefícios que a cidade propicia e precisam, necessariamente, ser contabilizados nas políticas de desenvolvimento humano." conforme BH(2016e1, p.147)
</t>
    </r>
    <r>
      <rPr>
        <b/>
        <sz val="10"/>
        <rFont val="Times New Roman"/>
        <family val="1"/>
      </rPr>
      <t>obs.2: "</t>
    </r>
    <r>
      <rPr>
        <sz val="10"/>
        <rFont val="Times New Roman"/>
        <family val="1"/>
      </rPr>
      <t xml:space="preserve">Desse modo, Belo Horizonte como “Cidade de Todos” incorpora em suas premissas a transversalidade e intersetorialidade das políticas pertinentes, a coordenação e aglutinação sistemática dos programas decorrentes e considera como relevantes o caráter heterogêneo da população belo-horizontina, as transformações demográficas e sociais ocorridas nos últimos anos, bem como as tendências já delimitadas para o futuro. E é deste modo que se propõe a continuar atuando com vistas ao horizonte de 2030." conforme BH(2016e1, p.148)
</t>
    </r>
    <r>
      <rPr>
        <b/>
        <sz val="10"/>
        <rFont val="Times New Roman"/>
        <family val="1"/>
      </rPr>
      <t>obs.3:</t>
    </r>
    <r>
      <rPr>
        <sz val="10"/>
        <rFont val="Times New Roman"/>
        <family val="1"/>
      </rPr>
      <t xml:space="preserve"> "Assim, são imprescindíveis, para a construção de uma “cidade de todos”, a explicitação de políticas públicas voltadas à proteção social e à promoção da cidadania a todos os estratos da população, com respeito à diversidade, e o combate à discriminação de qualquer natureza." conforme BH(2016e1, p.155)
</t>
    </r>
    <r>
      <rPr>
        <b/>
        <sz val="10"/>
        <rFont val="Times New Roman"/>
        <family val="1"/>
      </rPr>
      <t xml:space="preserve">obs.: </t>
    </r>
    <r>
      <rPr>
        <sz val="10"/>
        <rFont val="Times New Roman"/>
        <family val="1"/>
      </rPr>
      <t>acesse o verbete "para todos"</t>
    </r>
  </si>
  <si>
    <t>uma das doze áreas de resultado do programa que concorreu à PBH (e venceu) em 2012 conforme BH SEGUE(2012, p.46-73)</t>
  </si>
  <si>
    <r>
      <rPr>
        <b/>
        <sz val="12"/>
        <color theme="1"/>
        <rFont val="Times New Roman"/>
        <family val="1"/>
      </rPr>
      <t>BH SEGUE(2012):</t>
    </r>
    <r>
      <rPr>
        <sz val="12"/>
        <color theme="1"/>
        <rFont val="Times New Roman"/>
        <family val="1"/>
      </rPr>
      <t xml:space="preserve"> PROGRAMA DE GOVERNO BH SEGUE EM FRENTE 2013-2016. </t>
    </r>
    <r>
      <rPr>
        <i/>
        <sz val="12"/>
        <color theme="1"/>
        <rFont val="Times New Roman"/>
        <family val="1"/>
      </rPr>
      <t>Belo Horizonte: Coligação BH segue em frente</t>
    </r>
    <r>
      <rPr>
        <sz val="12"/>
        <color theme="1"/>
        <rFont val="Times New Roman"/>
        <family val="1"/>
      </rPr>
      <t>. Belo Horizonte, 2012. capítulo “Cidade com mobilidade”, p.46-73.  Disponível em: &lt;http://www.marciolacerdabh.com.br/downloads/programa-de-governo.pdf&gt;. Acesso em 2 maio 2013.</t>
    </r>
  </si>
  <si>
    <t>verbete
MFO/AMC</t>
  </si>
  <si>
    <r>
      <t xml:space="preserve">Belo Horizonte faz parte de um conjunto de 608 entidades sub-nacionais ao redor do mundo que reportam seus resultados de gases de efeito estufa ao Local Governments for Sustainability - Iclei, resultados esses que  podem ser utilizados no benckmarking do SisMob-BH
</t>
    </r>
    <r>
      <rPr>
        <b/>
        <sz val="10"/>
        <color theme="1"/>
        <rFont val="Times New Roman"/>
        <family val="1"/>
      </rPr>
      <t xml:space="preserve">obs.1: </t>
    </r>
    <r>
      <rPr>
        <sz val="10"/>
        <color theme="1"/>
        <rFont val="Times New Roman"/>
        <family val="1"/>
      </rPr>
      <t xml:space="preserve">"Until November 2015, carbonn® Climate Registry has received reporting from 608 subnational
entities around the global, especially from small sized local entities around the globe. Below the full list is provided, also indicating if they are participating in any specific partnership using the cCR as reporting platform. The partnerships are indicated with the numbers listed below" conforme DENG-BECK(2015, p.29)
</t>
    </r>
    <r>
      <rPr>
        <b/>
        <sz val="10"/>
        <color theme="1"/>
        <rFont val="Times New Roman"/>
        <family val="1"/>
      </rPr>
      <t xml:space="preserve">obs.2: </t>
    </r>
    <r>
      <rPr>
        <sz val="10"/>
        <color theme="1"/>
        <rFont val="Times New Roman"/>
        <family val="1"/>
      </rPr>
      <t>é fundamental buscar os resultados das cidades com os quais os resultados de Belo Horizonte podem/devem ser comparados, destacando-se que diversas cidades brasileiras que fazem parte do "benchmarking SisMob-BH" integram a lista apresentada em DENG-BECK(2015,p.29)</t>
    </r>
  </si>
  <si>
    <t>automóvel (usado como complemento de "DM (P.Op.)" e de "F"</t>
  </si>
  <si>
    <r>
      <rPr>
        <b/>
        <sz val="12"/>
        <color theme="1"/>
        <rFont val="Times New Roman"/>
        <family val="1"/>
      </rPr>
      <t xml:space="preserve">PROGRAMA(2012a): </t>
    </r>
    <r>
      <rPr>
        <sz val="12"/>
        <color theme="1"/>
        <rFont val="Times New Roman"/>
        <family val="1"/>
      </rPr>
      <t xml:space="preserve">PROGRAMA CIDADES SUSTENTÁVEIS. </t>
    </r>
    <r>
      <rPr>
        <i/>
        <sz val="12"/>
        <color theme="1"/>
        <rFont val="Times New Roman"/>
        <family val="1"/>
      </rPr>
      <t>Metas de sustentabilidade para os municípios brasileiros (indicadores e referências)</t>
    </r>
    <r>
      <rPr>
        <sz val="12"/>
        <color theme="1"/>
        <rFont val="Times New Roman"/>
        <family val="1"/>
      </rPr>
      <t>. São Paulo: Secretaria Executiva da Rede Nossa São Paulo, agosto 2012. 72p. Disponível em: &lt; http://www.cidadessustentaveis.org.br/downloads/publicacoes/publicacao-metas-de-sustentabilidade-municipios-brasileiros.pdf&gt;. Acesso em: 25 nov. 2016.</t>
    </r>
  </si>
  <si>
    <r>
      <rPr>
        <b/>
        <sz val="12"/>
        <color theme="1"/>
        <rFont val="Times New Roman"/>
        <family val="1"/>
      </rPr>
      <t>PROGRAMA(2016d):</t>
    </r>
    <r>
      <rPr>
        <sz val="12"/>
        <color theme="1"/>
        <rFont val="Times New Roman"/>
        <family val="1"/>
      </rPr>
      <t xml:space="preserve"> PROGRAMA CIDADES SUSTENTÁVEIS. </t>
    </r>
    <r>
      <rPr>
        <i/>
        <sz val="12"/>
        <color theme="1"/>
        <rFont val="Times New Roman"/>
        <family val="1"/>
      </rPr>
      <t>Uberlândia é destaque em acessibilidade</t>
    </r>
    <r>
      <rPr>
        <sz val="12"/>
        <color theme="1"/>
        <rFont val="Times New Roman"/>
        <family val="1"/>
      </rPr>
      <t>. Disponível em: &lt;http://www.cidadessustentaveis.org.br/boas-praticas/uberlandia-e-destaque-em-acessibilidade&gt;. Acesso em: 24 nov. 2016.</t>
    </r>
  </si>
  <si>
    <r>
      <rPr>
        <b/>
        <sz val="12"/>
        <color theme="1"/>
        <rFont val="Times New Roman"/>
        <family val="1"/>
      </rPr>
      <t xml:space="preserve">HELTON(2016b): </t>
    </r>
    <r>
      <rPr>
        <sz val="12"/>
        <color theme="1"/>
        <rFont val="Times New Roman"/>
        <family val="1"/>
      </rPr>
      <t xml:space="preserve">RIBEIRO, Thiago Helton. </t>
    </r>
    <r>
      <rPr>
        <i/>
        <sz val="12"/>
        <color theme="1"/>
        <rFont val="Times New Roman"/>
        <family val="1"/>
      </rPr>
      <t>O direito fundamental à acessibilidade e suas implicações no trânsito</t>
    </r>
    <r>
      <rPr>
        <sz val="12"/>
        <color theme="1"/>
        <rFont val="Times New Roman"/>
        <family val="1"/>
      </rPr>
      <t>. Palestra na XXI SIPAT nos 25 anos da BHTrans. Belo Horizonte, Auditório do Centro de Operações da Prefeitura de Belo Horizonte - COP, 24 nov. 2016.</t>
    </r>
  </si>
  <si>
    <t>trânsito acessível</t>
  </si>
  <si>
    <t>9.7</t>
  </si>
  <si>
    <t>Outras questões sobre trânsito</t>
  </si>
  <si>
    <t>"Trânsito acessível é a garantia de utilização igualitária das vias públicas e dos serviços correlatos, de forma isonômica, a todo cidadão conforme as suas necessidades." conforme HELTON(2016b)</t>
  </si>
  <si>
    <r>
      <rPr>
        <b/>
        <sz val="12"/>
        <color theme="1"/>
        <rFont val="Times New Roman"/>
        <family val="1"/>
      </rPr>
      <t xml:space="preserve">BHTRANS(2016wg13): </t>
    </r>
    <r>
      <rPr>
        <sz val="12"/>
        <color theme="1"/>
        <rFont val="Times New Roman"/>
        <family val="1"/>
      </rPr>
      <t xml:space="preserve">EMPRESA DE TRANSPORTES E TRÂNSITO DE BELO HORIZONTE S/A - BHTRANS. </t>
    </r>
    <r>
      <rPr>
        <i/>
        <sz val="12"/>
        <color theme="1"/>
        <rFont val="Times New Roman"/>
        <family val="1"/>
      </rPr>
      <t>e-mail da coordenação do SisMob-BH à ANTP encaminhando notas técnicas de acessibilidade n.º 1 e n.º 2 da Pamu-BH</t>
    </r>
    <r>
      <rPr>
        <sz val="12"/>
        <color theme="1"/>
        <rFont val="Times New Roman"/>
        <family val="1"/>
      </rPr>
      <t>. Belo Horizonte, 25 nov. 2016.</t>
    </r>
  </si>
  <si>
    <r>
      <t xml:space="preserve">Plano de Mobilidade Urbana de Contagem 2015-2030
</t>
    </r>
    <r>
      <rPr>
        <b/>
        <sz val="10"/>
        <color theme="1"/>
        <rFont val="Times New Roman"/>
        <family val="1"/>
      </rPr>
      <t xml:space="preserve">obs.: </t>
    </r>
    <r>
      <rPr>
        <sz val="10"/>
        <color theme="1"/>
        <rFont val="Times New Roman"/>
        <family val="1"/>
      </rPr>
      <t>plano de 2015</t>
    </r>
    <r>
      <rPr>
        <sz val="10"/>
        <rFont val="Times New Roman"/>
        <family val="1"/>
      </rPr>
      <t xml:space="preserve"> conforme VERTRAN(ok),</t>
    </r>
    <r>
      <rPr>
        <sz val="10"/>
        <color rgb="FFFF0000"/>
        <rFont val="Times New Roman"/>
        <family val="1"/>
      </rPr>
      <t xml:space="preserve"> com a acessibilidade sendo tratada _____ </t>
    </r>
  </si>
  <si>
    <r>
      <rPr>
        <b/>
        <sz val="12"/>
        <rFont val="Times New Roman"/>
        <family val="1"/>
      </rPr>
      <t>JOINVILLE(2016a):</t>
    </r>
    <r>
      <rPr>
        <sz val="12"/>
        <rFont val="Times New Roman"/>
        <family val="1"/>
      </rPr>
      <t xml:space="preserve"> JOINVILLE. Prefeitura. Fundação Instituto de Pesquisa e Planejamento para o Desenvolvimento Sustentável de Joinville - Ippuj. </t>
    </r>
    <r>
      <rPr>
        <i/>
        <sz val="12"/>
        <rFont val="Times New Roman"/>
        <family val="1"/>
      </rPr>
      <t>Informações diversas sobre indicadores de acessibilidade em Joinville/SC</t>
    </r>
    <r>
      <rPr>
        <sz val="12"/>
        <rFont val="Times New Roman"/>
        <family val="1"/>
      </rPr>
      <t>. Joinville, 31 mar. 2016 (informações contidas em e-mail trocados entre Ippuj e SisMob-BH de 16 a 31/03/2016).</t>
    </r>
  </si>
  <si>
    <r>
      <rPr>
        <b/>
        <sz val="12"/>
        <rFont val="Times New Roman"/>
        <family val="1"/>
      </rPr>
      <t>JOINVILLE(2015a):</t>
    </r>
    <r>
      <rPr>
        <sz val="12"/>
        <rFont val="Times New Roman"/>
        <family val="1"/>
      </rPr>
      <t xml:space="preserve"> JOINVILLE. Prefeitura. Fundação Instituto de Pesquisa e Planejamento para o Desenvolvimento Sustentável de Joinville - Ippuj (Org.). </t>
    </r>
    <r>
      <rPr>
        <i/>
        <sz val="12"/>
        <rFont val="Times New Roman"/>
        <family val="1"/>
      </rPr>
      <t xml:space="preserve">Caderno Prévio: Plano de Mobilidade Sustentável de Joinville (PlanMOB). </t>
    </r>
    <r>
      <rPr>
        <sz val="12"/>
        <rFont val="Times New Roman"/>
        <family val="1"/>
      </rPr>
      <t>Joinville: Prefeitura Municipal, 2015, 119p.</t>
    </r>
  </si>
  <si>
    <r>
      <rPr>
        <b/>
        <sz val="12"/>
        <rFont val="Times New Roman"/>
        <family val="1"/>
      </rPr>
      <t>JOINVILLE(2014a):</t>
    </r>
    <r>
      <rPr>
        <sz val="12"/>
        <rFont val="Times New Roman"/>
        <family val="1"/>
      </rPr>
      <t xml:space="preserve"> JOINVILLE. Prefeitura. Fundação Instituto de Pesquisa e Planejamento para o Desenvolvimento Sustentável de Joinville - Ippuj (Org.). </t>
    </r>
    <r>
      <rPr>
        <i/>
        <sz val="12"/>
        <rFont val="Times New Roman"/>
        <family val="1"/>
      </rPr>
      <t xml:space="preserve">Plano de Mobilidade Sustentável de Joinville (PlanMOB) - Diagnóstico. </t>
    </r>
    <r>
      <rPr>
        <sz val="12"/>
        <rFont val="Times New Roman"/>
        <family val="1"/>
      </rPr>
      <t>Joinville: Prefeitura Municipal, maio 2014, 107p.</t>
    </r>
  </si>
  <si>
    <r>
      <t xml:space="preserve">Plano de Mobilidade Sustentável de Joinville (PlanMob Joinvillle)
</t>
    </r>
    <r>
      <rPr>
        <b/>
        <sz val="10"/>
        <color theme="1"/>
        <rFont val="Times New Roman"/>
        <family val="1"/>
      </rPr>
      <t xml:space="preserve">obs.1: </t>
    </r>
    <r>
      <rPr>
        <sz val="10"/>
        <color theme="1"/>
        <rFont val="Times New Roman"/>
        <family val="1"/>
      </rPr>
      <t xml:space="preserve">Diagnóstico conforme JOINVILLE(2014a); Caderno Prévio conforme JOINVILLE(2015a)
</t>
    </r>
    <r>
      <rPr>
        <b/>
        <sz val="10"/>
        <color theme="1"/>
        <rFont val="Times New Roman"/>
        <family val="1"/>
      </rPr>
      <t xml:space="preserve">obs.2: </t>
    </r>
    <r>
      <rPr>
        <sz val="10"/>
        <color theme="1"/>
        <rFont val="Times New Roman"/>
        <family val="1"/>
      </rPr>
      <t>sobre o plano em WRI(2016k)</t>
    </r>
  </si>
  <si>
    <r>
      <t xml:space="preserve">Plano de Mobilidade Sustentável de Joinville (PlanMob Joinvillle)
</t>
    </r>
    <r>
      <rPr>
        <b/>
        <sz val="10"/>
        <color theme="1"/>
        <rFont val="Times New Roman"/>
        <family val="1"/>
      </rPr>
      <t xml:space="preserve">obs.1: </t>
    </r>
    <r>
      <rPr>
        <sz val="10"/>
        <color theme="1"/>
        <rFont val="Times New Roman"/>
        <family val="1"/>
      </rPr>
      <t xml:space="preserve">Diagnóstico conforme JOINVILLE(2014a); Caderno Prévio conforme JOINVILLE(2015a) </t>
    </r>
    <r>
      <rPr>
        <sz val="10"/>
        <color rgb="FFFF0000"/>
        <rFont val="Times New Roman"/>
        <family val="1"/>
      </rPr>
      <t xml:space="preserve">com a acessibilidade sendo tratada _____ </t>
    </r>
    <r>
      <rPr>
        <sz val="10"/>
        <color theme="1"/>
        <rFont val="Times New Roman"/>
        <family val="1"/>
      </rPr>
      <t xml:space="preserve">
</t>
    </r>
    <r>
      <rPr>
        <b/>
        <sz val="10"/>
        <color theme="1"/>
        <rFont val="Times New Roman"/>
        <family val="1"/>
      </rPr>
      <t xml:space="preserve">obs.2: </t>
    </r>
    <r>
      <rPr>
        <sz val="10"/>
        <color theme="1"/>
        <rFont val="Times New Roman"/>
        <family val="1"/>
      </rPr>
      <t>sobre o plano em WRI(2016k)</t>
    </r>
  </si>
  <si>
    <t>PlanMob Joinville</t>
  </si>
  <si>
    <r>
      <t xml:space="preserve">Plan Integral de Movilidad
</t>
    </r>
    <r>
      <rPr>
        <b/>
        <sz val="10"/>
        <color theme="1"/>
        <rFont val="Times New Roman"/>
        <family val="1"/>
      </rPr>
      <t xml:space="preserve">obs.: </t>
    </r>
    <r>
      <rPr>
        <sz val="10"/>
        <color theme="1"/>
        <rFont val="Times New Roman"/>
        <family val="1"/>
      </rPr>
      <t>acesse o verbete PlanMob da cidade/região Rosário</t>
    </r>
  </si>
  <si>
    <r>
      <t>Plano Diretor de Transporte e Mobilidade Urbana de Campo Grande - MS
obs: acesse o verbete "PlanMob" da cidade/região Campo Grande</t>
    </r>
    <r>
      <rPr>
        <b/>
        <sz val="10"/>
        <rFont val="Times New Roman"/>
        <family val="1"/>
      </rPr>
      <t/>
    </r>
  </si>
  <si>
    <r>
      <t xml:space="preserve">Plano Diretor de Desenvolvimento Integrado da Região Metropolitana de Belo Horizonte
</t>
    </r>
    <r>
      <rPr>
        <b/>
        <sz val="10"/>
        <rFont val="Times New Roman"/>
        <family val="1"/>
      </rPr>
      <t xml:space="preserve">obs.: </t>
    </r>
    <r>
      <rPr>
        <sz val="10"/>
        <rFont val="Times New Roman"/>
        <family val="1"/>
      </rPr>
      <t>o plano está contido em diversos volumes, todos disponíveis na home page &lt;http://www.rmbh.org.br/pddi/&gt;</t>
    </r>
  </si>
  <si>
    <t>sigla do Plano de Mobilidade Urbana de Belo Horizonte ou Plano Diretor de Mobilidade Urbana de Belo Horizonte: acesse o verbete "PlanMob" da cidade/região Belo Horizonte</t>
  </si>
  <si>
    <t>sigla do Plano de Mobilidade Sustentável de Joinville: acesse o verbete "PlanMob" da cidade/região Joinville</t>
  </si>
  <si>
    <t>Musal</t>
  </si>
  <si>
    <t>MOVILIDAD URBANA DE ALTA CALIDAD
PARA TODOS Y TODAS (libro blanco)</t>
  </si>
  <si>
    <t>Simus</t>
  </si>
  <si>
    <t>"Para calificar, estandarizar y diseminar los modelos de Sistemas Integrados de Movilidad Urbana Sustentable, se fundó en 15 de abril de 2010, en Curitiba, la Asociación Latinoamericana de Sistemas Integrados y BRT – SIBRT, con la participación de 14 entes gestores de transporte público de Brasil, México, Colombia, Ecuador, Chile y Perú, bajo un período de gran influencia y apogeo de los BRT y poco predominio de los sistemas integrados multimodales (SI). Hoy la integración multimodal es la tendencia de la movilidad en América Latina y el mundo." conforme SIMUS(2016a)</t>
  </si>
  <si>
    <r>
      <t xml:space="preserve">Cumbre de Ciudades Líderes en Movilidad Urbana Sustentable
</t>
    </r>
    <r>
      <rPr>
        <b/>
        <sz val="10"/>
        <color theme="1"/>
        <rFont val="Times New Roman"/>
        <family val="1"/>
      </rPr>
      <t xml:space="preserve">obs.: </t>
    </r>
    <r>
      <rPr>
        <sz val="10"/>
        <color theme="1"/>
        <rFont val="Times New Roman"/>
        <family val="1"/>
      </rPr>
      <t>"La Cumbre de Ciudades Líderes en Movilidad Urbana Sustentable - MUSAL - reúne a los mandatarios de las principales ciudades de América Latina para trabajar específicamente el tema de la movilidad. MUSAL es una plataforma para compartir visiones y experiencias, captando las mejores prácticas internacionales, definiendo un plan de acción común para cambiar paradigmas, estableciendo mecanismos de cooperación permanente, como tienen el Grupo de Ciudades C40 y las ciudades de la Unión Europea." conforme MUSAL(2016a)</t>
    </r>
  </si>
  <si>
    <r>
      <rPr>
        <b/>
        <sz val="12"/>
        <color theme="1"/>
        <rFont val="Times New Roman"/>
        <family val="1"/>
      </rPr>
      <t>MUSAL(2016a):</t>
    </r>
    <r>
      <rPr>
        <sz val="12"/>
        <color theme="1"/>
        <rFont val="Times New Roman"/>
        <family val="1"/>
      </rPr>
      <t xml:space="preserve"> CUMBRE DE CIUDADES LÍDERES EM MOVILIDAD URBANA SUSTENTABLE. </t>
    </r>
    <r>
      <rPr>
        <i/>
        <sz val="12"/>
        <color theme="1"/>
        <rFont val="Times New Roman"/>
        <family val="1"/>
      </rPr>
      <t>Acerca de Musal.</t>
    </r>
    <r>
      <rPr>
        <sz val="12"/>
        <color theme="1"/>
        <rFont val="Times New Roman"/>
        <family val="1"/>
      </rPr>
      <t xml:space="preserve"> Disponível em: &lt;http://musalonline.org/acerca-de-musal/&gt;. Acesso em: 25 nov. 2016.</t>
    </r>
  </si>
  <si>
    <r>
      <rPr>
        <b/>
        <sz val="12"/>
        <color theme="1"/>
        <rFont val="Times New Roman"/>
        <family val="1"/>
      </rPr>
      <t xml:space="preserve">SIMUS(2016a): </t>
    </r>
    <r>
      <rPr>
        <sz val="12"/>
        <color theme="1"/>
        <rFont val="Times New Roman"/>
        <family val="1"/>
      </rPr>
      <t xml:space="preserve">SISTEMAS INTEGRADOS DE MOVILIDAD URBANA SUSTENTABLE - SIMUS. </t>
    </r>
    <r>
      <rPr>
        <i/>
        <sz val="12"/>
        <color theme="1"/>
        <rFont val="Times New Roman"/>
        <family val="1"/>
      </rPr>
      <t>Quiénes somos</t>
    </r>
    <r>
      <rPr>
        <sz val="12"/>
        <color theme="1"/>
        <rFont val="Times New Roman"/>
        <family val="1"/>
      </rPr>
      <t>. Disponível em: &lt;http://alasimus.org/acerca/&gt;. Acesso em: 25 nov. 2016.</t>
    </r>
  </si>
  <si>
    <r>
      <rPr>
        <b/>
        <sz val="12"/>
        <color theme="1"/>
        <rFont val="Times New Roman"/>
        <family val="1"/>
      </rPr>
      <t xml:space="preserve">ITDP(2015a): </t>
    </r>
    <r>
      <rPr>
        <sz val="12"/>
        <color theme="1"/>
        <rFont val="Times New Roman"/>
        <family val="1"/>
      </rPr>
      <t xml:space="preserve">INSTITUTO DE POLÍTICAS DE TRANSPORTE &amp; DESENVOLVIMENTO - ITDP BRASIL. </t>
    </r>
    <r>
      <rPr>
        <i/>
        <sz val="12"/>
        <color theme="1"/>
        <rFont val="Times New Roman"/>
        <family val="1"/>
      </rPr>
      <t>BRT MOVE Antônio Carlos Belo Horizonte MG</t>
    </r>
    <r>
      <rPr>
        <sz val="12"/>
        <color theme="1"/>
        <rFont val="Times New Roman"/>
        <family val="1"/>
      </rPr>
      <t>: relatório de recomendações segundo o padrão de qualidade de BRT. [Rio de Janeiro]: ITDP, junho 2015. 30p.</t>
    </r>
  </si>
  <si>
    <t>ATC</t>
  </si>
  <si>
    <t>CMC</t>
  </si>
  <si>
    <t>Avenida Antônio Carlos (utilizado como complemento de indicadores "BRT"</t>
  </si>
  <si>
    <t>Avenida Cristiano Machado (utilizado como complemento de indicadores "BRT"</t>
  </si>
  <si>
    <t>Área Central de Belo Horizonte (também utilizado como complemento de indicadores "BRT")</t>
  </si>
  <si>
    <r>
      <rPr>
        <sz val="10"/>
        <color theme="1"/>
        <rFont val="Calibri"/>
        <family val="2"/>
      </rPr>
      <t>∑</t>
    </r>
    <r>
      <rPr>
        <sz val="7.5"/>
        <color theme="1"/>
        <rFont val="Times New Roman"/>
        <family val="1"/>
      </rPr>
      <t xml:space="preserve"> extensões dos corredores</t>
    </r>
  </si>
  <si>
    <r>
      <t xml:space="preserve">percentual de viagens nas quais a fronteira de um sistema de BRT apresenta distância incompatível
</t>
    </r>
    <r>
      <rPr>
        <b/>
        <sz val="10"/>
        <rFont val="Times New Roman"/>
        <family val="1"/>
      </rPr>
      <t xml:space="preserve">obs.: </t>
    </r>
    <r>
      <rPr>
        <sz val="10"/>
        <rFont val="Times New Roman"/>
        <family val="1"/>
      </rPr>
      <t>há que se definir melhor esse indicador pois há incompatibilidade conceitual entre o que propõe o ITDP e o que estabelece a ABNT (acesse o verbete "fronteira sem rampa (escala)"</t>
    </r>
  </si>
  <si>
    <t>fronteira sem rampa
BRT ATC
(%)</t>
  </si>
  <si>
    <r>
      <t xml:space="preserve">pontuação em escala (-1 a -5) onde o desejado é que o sistema não perca pontos 
</t>
    </r>
    <r>
      <rPr>
        <b/>
        <sz val="10"/>
        <rFont val="Times New Roman"/>
        <family val="1"/>
      </rPr>
      <t xml:space="preserve">obs.1: </t>
    </r>
    <r>
      <rPr>
        <sz val="10"/>
        <rFont val="Times New Roman"/>
        <family val="1"/>
      </rPr>
      <t xml:space="preserve">esta escala está definida em ITDP(2014b,p.52) 
</t>
    </r>
    <r>
      <rPr>
        <b/>
        <sz val="10"/>
        <rFont val="Times New Roman"/>
        <family val="1"/>
      </rPr>
      <t xml:space="preserve">obs.2: </t>
    </r>
    <r>
      <rPr>
        <sz val="10"/>
        <rFont val="Times New Roman"/>
        <family val="1"/>
      </rPr>
      <t xml:space="preserve">Para avaliação quantitativa da fronteira sem rampa, no item "vão considerável entre o piso do ônibus e a plataforma da estação" do manual "Padrão de Qualidade BRT", é apresentada a escala "Minimização do Vão"conforme ITDP(2014b,p.52)
</t>
    </r>
    <r>
      <rPr>
        <b/>
        <sz val="10"/>
        <rFont val="Times New Roman"/>
        <family val="1"/>
      </rPr>
      <t xml:space="preserve">obs.3: </t>
    </r>
    <r>
      <rPr>
        <sz val="10"/>
        <rFont val="Times New Roman"/>
        <family val="1"/>
      </rPr>
      <t xml:space="preserve">essa escala estabelece uma perda de pontos (de -1 a -5), com perda máxima de 5 pontos e desejável que não se perca qualquer ponto com a seguinte régua:
"Vãos maiores ou necessidade de ônibus de piso rebaixável para minimizar os vãos = -5
Vãos menores ainda existem em algumas estações, vãos maiores nas estações restantes = -4
Vãos menores na maioria das estações = -3
Nenhum vão em algumas estações, vãos menores nas estações restantes  = -2
Nenhum vão na maioria das estações, vãos menores nas estações restantes = -1"
</t>
    </r>
    <r>
      <rPr>
        <b/>
        <sz val="10"/>
        <rFont val="Times New Roman"/>
        <family val="1"/>
      </rPr>
      <t>obs.4:</t>
    </r>
    <r>
      <rPr>
        <sz val="10"/>
        <rFont val="Times New Roman"/>
        <family val="1"/>
      </rPr>
      <t xml:space="preserve"> o estabelecimento de uma escala é uma forma interessante de facilitar a medição da fronteira, mas esta escala precisa ser redefinida pois há incompatibilidade conceitual entre o que propõe o ITDP e o que estabelece a ABNT (acesse o verbete "fronteira sem rampa (%)"</t>
    </r>
  </si>
  <si>
    <r>
      <t xml:space="preserve">percentual de viagens nas quais a fronteira do corredor Antonio Carlos do BRT de Belo Horizonte apresenta distância incompatível
</t>
    </r>
    <r>
      <rPr>
        <b/>
        <sz val="10"/>
        <rFont val="Times New Roman"/>
        <family val="1"/>
      </rPr>
      <t xml:space="preserve">obs.1: </t>
    </r>
    <r>
      <rPr>
        <sz val="10"/>
        <rFont val="Times New Roman"/>
        <family val="1"/>
      </rPr>
      <t xml:space="preserve">Belo Horizonte concebeu seu sistema de BRT sem o uso de ponte de embarque
</t>
    </r>
    <r>
      <rPr>
        <b/>
        <sz val="10"/>
        <rFont val="Times New Roman"/>
        <family val="1"/>
      </rPr>
      <t xml:space="preserve">obs.2: </t>
    </r>
    <r>
      <rPr>
        <sz val="10"/>
        <rFont val="Times New Roman"/>
        <family val="1"/>
      </rPr>
      <t>o BRT do corredor Antônio Carlos de Belo Horizonte recebeu pontuação máxima (3) na sub-categoria "acesso universal", que é integrante da categoria "Acesso e integração" (que recebe 14 dos 100 pontos positivos e 42 pontos negativos revistos no</t>
    </r>
    <r>
      <rPr>
        <i/>
        <sz val="10"/>
        <rFont val="Times New Roman"/>
        <family val="1"/>
      </rPr>
      <t xml:space="preserve"> </t>
    </r>
    <r>
      <rPr>
        <sz val="10"/>
        <rFont val="Times New Roman"/>
        <family val="1"/>
      </rPr>
      <t xml:space="preserve">"Padrão de Qualidade BRT" conforme ITDP(2015a, p.20)
</t>
    </r>
    <r>
      <rPr>
        <b/>
        <sz val="10"/>
        <rFont val="Times New Roman"/>
        <family val="1"/>
      </rPr>
      <t>obs.3:</t>
    </r>
    <r>
      <rPr>
        <sz val="10"/>
        <rFont val="Times New Roman"/>
        <family val="1"/>
      </rPr>
      <t xml:space="preserve"> "o BRT do corredor Antônio Carlos de Belo Horizonte "perdeu 3 de 5 pontos"no quesito "vão considerável entre o piso do ônibus e a plataforma" conforme ITDP(2015a,p.24): acesse o verbete "Fronteira sem rampa (escala)"
</t>
    </r>
    <r>
      <rPr>
        <b/>
        <sz val="10"/>
        <rFont val="Times New Roman"/>
        <family val="1"/>
      </rPr>
      <t xml:space="preserve">obs.4: </t>
    </r>
    <r>
      <rPr>
        <sz val="10"/>
        <rFont val="Times New Roman"/>
        <family val="1"/>
      </rPr>
      <t xml:space="preserve">"Em aproximadamente 20% dos ônibus verificados durante a visita [sem amostra definida esse resultado % fica frágil], foi notado um vão importante (mais de um pé de distância) entre o veículo e a plataforma, o que representa um risco para os passageiros e representou 3 pontos perdidos na avaliação. Campanhas educativas de atenção ao vão entre o veículo e plataforma colocam a culpa por eventuais acidentes no passageiro. Sugere-se, para remediar este ponto, a adoção de pontes de embarque como existentes no BRT de Curitiba ou o delineamento no pavimento do movimento de parada conjugado a um melhor treinamento dos motoristas." levando à avaliação de "perdeu 3 de 5 pontos"no quesito "vão considerável entre o piso do ônibus e a plataforma" conforme ITDP(2015a,p.24)
</t>
    </r>
    <r>
      <rPr>
        <b/>
        <sz val="10"/>
        <rFont val="Times New Roman"/>
        <family val="1"/>
      </rPr>
      <t xml:space="preserve">obs.5: </t>
    </r>
    <r>
      <rPr>
        <sz val="10"/>
        <rFont val="Times New Roman"/>
        <family val="1"/>
      </rPr>
      <t>há que se definir melhor esse indicador pois há incompatibilidade conceitual entre ITDP e ABNT (acesse o verbete "fronteira sem rampa (%)"</t>
    </r>
  </si>
  <si>
    <t>nimby</t>
  </si>
  <si>
    <t>"Mas o nimbyismo atua contra gama ampla de empreendimentos públicos e privados, e nem sempre as decisões derivadas desse tipo de pressão refletem o melhor interesse geral." conforme YANG(2016)</t>
  </si>
  <si>
    <t>nimbysmo</t>
  </si>
  <si>
    <r>
      <t xml:space="preserve">"iniciais de "Not in My Backyard" (no meu quintal, não)" conforme YANG(2016)
</t>
    </r>
    <r>
      <rPr>
        <b/>
        <sz val="10"/>
        <color theme="1"/>
        <rFont val="Times New Roman"/>
        <family val="1"/>
      </rPr>
      <t xml:space="preserve">obs.: </t>
    </r>
    <r>
      <rPr>
        <sz val="10"/>
        <color theme="1"/>
        <rFont val="Times New Roman"/>
        <family val="1"/>
      </rPr>
      <t>essa expressão é utilizada em artigo de YANG(2016), para analisar o comportamneto e as ações de moradores contra a implantação de serviços tipos como indesejáveis por alguns e desejáveis por outros, que se inicia com: "Moradores de Higienópolis e Georgetown, bairros em São Paulo e Washington, respectivamente, opuseram-se à implantação de estações de metrô em suas vizinhanças, e as gares acabaram sendo construídas fora do coração de tais perímetros, o que privou as comunidades desse meio de transporte." e termina com "O Nimby, ainda que às vezes legítimo, trata apenas da parte negativa –daquilo que não queremos. A parte afirmativa, aquilo que efetivamente queremos em nossas vidas urbanas, está ainda por ser construído."</t>
    </r>
  </si>
  <si>
    <t>IAFI
BRT ATC</t>
  </si>
  <si>
    <t>fazer obs. em todos os indicadores citados em nota</t>
  </si>
  <si>
    <r>
      <t xml:space="preserve">índice de acessibilidade física de instalações [de transporte], expresso em percentual
</t>
    </r>
    <r>
      <rPr>
        <b/>
        <sz val="10"/>
        <color theme="1"/>
        <rFont val="Times New Roman"/>
        <family val="1"/>
      </rPr>
      <t>obs.1:</t>
    </r>
    <r>
      <rPr>
        <sz val="10"/>
        <color theme="1"/>
        <rFont val="Times New Roman"/>
        <family val="1"/>
      </rPr>
      <t xml:space="preserve"> "OBJETIVO (definição): Avaliar o grau de acessibilidade de instalações, terminais e pontos de
parada para pessoas portadoras [sic] de deficiência"; "Número de instalações acessíveis = número de instalações dotadas de rampas de acesso e/ou elevadores, que possibilitam o acesso de cadeirantes e outros passageiros com mobilidade reduzida"; indicador recomendado em ANTP(2011b, p.31)
</t>
    </r>
    <r>
      <rPr>
        <b/>
        <sz val="10"/>
        <color theme="1"/>
        <rFont val="Times New Roman"/>
        <family val="1"/>
      </rPr>
      <t>obs.2:</t>
    </r>
    <r>
      <rPr>
        <sz val="10"/>
        <color theme="1"/>
        <rFont val="Times New Roman"/>
        <family val="1"/>
      </rPr>
      <t xml:space="preserve"> a fórmula proposta pela ANTP é "(n.º de instalações acessíveis / n.º total de instalações) x 100"
</t>
    </r>
    <r>
      <rPr>
        <b/>
        <sz val="10"/>
        <color theme="1"/>
        <rFont val="Times New Roman"/>
        <family val="1"/>
      </rPr>
      <t xml:space="preserve">obs.3: </t>
    </r>
    <r>
      <rPr>
        <sz val="10"/>
        <color theme="1"/>
        <rFont val="Times New Roman"/>
        <family val="1"/>
      </rPr>
      <t>o conceito de acessibilidade contido neste indicador está defasado do conceito de desenho universal estabelecido pela legislação brasileira em vigor</t>
    </r>
  </si>
  <si>
    <r>
      <t xml:space="preserve">índice de acessibilidade física de instalações [de trânsito de pessoas], expresso em percentual
</t>
    </r>
    <r>
      <rPr>
        <b/>
        <sz val="10"/>
        <color theme="1"/>
        <rFont val="Times New Roman"/>
        <family val="1"/>
      </rPr>
      <t>obs.1:</t>
    </r>
    <r>
      <rPr>
        <sz val="10"/>
        <color theme="1"/>
        <rFont val="Times New Roman"/>
        <family val="1"/>
      </rPr>
      <t xml:space="preserve"> "OBJETIVO (definição): Avaliar o grau de acessibilidade das áreas de circulação – passeios, travessias - para pessoas portadoras [sic] de deficiência."; "Número de áreas acessíveis = número de logradouros com travessias rebaixadas e com instalações para pessoas portadoras [sic] de deficiência"; indicador recomendado em ANTP(2011a, p.27)
</t>
    </r>
    <r>
      <rPr>
        <b/>
        <sz val="10"/>
        <color theme="1"/>
        <rFont val="Times New Roman"/>
        <family val="1"/>
      </rPr>
      <t>obs.2:</t>
    </r>
    <r>
      <rPr>
        <sz val="10"/>
        <color theme="1"/>
        <rFont val="Times New Roman"/>
        <family val="1"/>
      </rPr>
      <t xml:space="preserve"> a fórmula proposta pela ANTP é "(n.º de áreas acessíveis / n.º total de áreas) x 100"</t>
    </r>
  </si>
  <si>
    <t>IAFI (transporte)</t>
  </si>
  <si>
    <t>IAFI
(trânsito)</t>
  </si>
  <si>
    <r>
      <t xml:space="preserve">índice de acessibilidade física das estações de transferência do BRT do Rio de Janeiro localizadas no corredor Transoeste, expresso em percentual
</t>
    </r>
    <r>
      <rPr>
        <b/>
        <sz val="10"/>
        <rFont val="Times New Roman"/>
        <family val="1"/>
      </rPr>
      <t>obs.1:</t>
    </r>
    <r>
      <rPr>
        <sz val="10"/>
        <rFont val="Times New Roman"/>
        <family val="1"/>
      </rPr>
      <t xml:space="preserve"> nome do indicador tomado a partir da recomendação da ANTP(2011b, p.31) e avaliação da acessibilidade a partir de "acesso universal (máximo de pontos = 3)" conforme ITDP(2014b, p.44)
</t>
    </r>
    <r>
      <rPr>
        <b/>
        <sz val="10"/>
        <rFont val="Times New Roman"/>
        <family val="1"/>
      </rPr>
      <t>obs.2:</t>
    </r>
    <r>
      <rPr>
        <sz val="10"/>
        <rFont val="Times New Roman"/>
        <family val="1"/>
      </rPr>
      <t xml:space="preserve"> a fonte consultada (ITDP,2014a, p.2) não permite saber qual foi a pontuação no item (o SisMob-BH encaminhou solicitação de esclarecimento ao ITDP) para aplicação da fórmula "(n.º de estações acessíveis / n.º total de estações) x 100"
</t>
    </r>
    <r>
      <rPr>
        <b/>
        <sz val="10"/>
        <rFont val="Times New Roman"/>
        <family val="1"/>
      </rPr>
      <t xml:space="preserve">obs.3: </t>
    </r>
    <r>
      <rPr>
        <sz val="10"/>
        <rFont val="Times New Roman"/>
        <family val="1"/>
      </rPr>
      <t xml:space="preserve">o conceito de "acessibilidade" contido no indicador da ANTP e a aplicação do conceito de "acessibilidade universal" do ITDP estão dissonantes do conceito de desenho universal
</t>
    </r>
    <r>
      <rPr>
        <b/>
        <sz val="10"/>
        <rFont val="Times New Roman"/>
        <family val="1"/>
      </rPr>
      <t xml:space="preserve">obs.4: </t>
    </r>
    <r>
      <rPr>
        <sz val="10"/>
        <rFont val="Times New Roman"/>
        <family val="1"/>
      </rPr>
      <t>consulte "acessibilidade universal" conceituado por ANTP e ITDP</t>
    </r>
  </si>
  <si>
    <t>registro na fonte
(aguardando resposta)</t>
  </si>
  <si>
    <r>
      <t xml:space="preserve">índice de acessibilidade física de veículos, expresso em percentual
</t>
    </r>
    <r>
      <rPr>
        <b/>
        <sz val="10"/>
        <color theme="1"/>
        <rFont val="Times New Roman"/>
        <family val="1"/>
      </rPr>
      <t>obs.1:</t>
    </r>
    <r>
      <rPr>
        <sz val="10"/>
        <color theme="1"/>
        <rFont val="Times New Roman"/>
        <family val="1"/>
      </rPr>
      <t xml:space="preserve"> "OBJETIVO (definição): "Avaliar o grau de acessibilidade de veículos para pessoas portadoras [sic] de deficiência."; fórmula = (número de veículos acessíveis / n.º total de veículos) x 100; sendo: "Número de veículos acessíveis = número de veículos dotados de piso baixo, rampas de acesso e/ou elevadores, que possibilitam o acesso de cadeirantes e outros passageiros com mobilidade reduzida" conforme ANTP(2011b, p.30)
</t>
    </r>
    <r>
      <rPr>
        <b/>
        <sz val="10"/>
        <color theme="1"/>
        <rFont val="Times New Roman"/>
        <family val="1"/>
      </rPr>
      <t xml:space="preserve">obs.2: </t>
    </r>
    <r>
      <rPr>
        <sz val="10"/>
        <color theme="1"/>
        <rFont val="Times New Roman"/>
        <family val="1"/>
      </rPr>
      <t xml:space="preserve">o conceito de acessibilidade contido neste indicador está defasado do conceito de desenho universal estabelecido pela legislação brasileira em vigor
</t>
    </r>
    <r>
      <rPr>
        <b/>
        <sz val="10"/>
        <color theme="1"/>
        <rFont val="Times New Roman"/>
        <family val="1"/>
      </rPr>
      <t xml:space="preserve">obs.3: </t>
    </r>
    <r>
      <rPr>
        <sz val="10"/>
        <color theme="1"/>
        <rFont val="Times New Roman"/>
        <family val="1"/>
      </rPr>
      <t>consulte o verbete "acessibilidade em ônibus urbano"</t>
    </r>
  </si>
  <si>
    <r>
      <rPr>
        <b/>
        <sz val="12"/>
        <color theme="1"/>
        <rFont val="Times New Roman"/>
        <family val="1"/>
      </rPr>
      <t xml:space="preserve">BHTRANS(2016wg17): </t>
    </r>
    <r>
      <rPr>
        <sz val="12"/>
        <color theme="1"/>
        <rFont val="Times New Roman"/>
        <family val="1"/>
      </rPr>
      <t xml:space="preserve">EMPRESA DE TRANSPORTES E TRÂNSITO DE BELO HORIZONTE S/A - BHTRANS. </t>
    </r>
    <r>
      <rPr>
        <i/>
        <sz val="12"/>
        <color theme="1"/>
        <rFont val="Times New Roman"/>
        <family val="1"/>
      </rPr>
      <t>e-mail da coordenação do SisMob-BH ao ITDP encaminhando notas técnicas de acessibilidade n.º 1 e n.º 2 da Pamu-BH</t>
    </r>
    <r>
      <rPr>
        <sz val="12"/>
        <color theme="1"/>
        <rFont val="Times New Roman"/>
        <family val="1"/>
      </rPr>
      <t>. Belo Horizonte, 1º dez. 2016.</t>
    </r>
  </si>
  <si>
    <r>
      <rPr>
        <b/>
        <sz val="12"/>
        <color theme="1"/>
        <rFont val="Times New Roman"/>
        <family val="1"/>
      </rPr>
      <t xml:space="preserve">BHTRANS(2016wg19): </t>
    </r>
    <r>
      <rPr>
        <sz val="12"/>
        <color theme="1"/>
        <rFont val="Times New Roman"/>
        <family val="1"/>
      </rPr>
      <t xml:space="preserve">EMPRESA DE TRANSPORTES E TRÂNSITO DE BELO HORIZONTE S/A - BHTRANS. </t>
    </r>
    <r>
      <rPr>
        <i/>
        <sz val="12"/>
        <color theme="1"/>
        <rFont val="Times New Roman"/>
        <family val="1"/>
      </rPr>
      <t>e-mail da coordenação do SisMob-BH ao Adaptese-UFMG encaminhando notas técnicas de acessibilidade n.º 1 e n.º 2 da Pamu-BH</t>
    </r>
    <r>
      <rPr>
        <sz val="12"/>
        <color theme="1"/>
        <rFont val="Times New Roman"/>
        <family val="1"/>
      </rPr>
      <t>. Belo Horizonte, 1º dez. 2016.</t>
    </r>
  </si>
  <si>
    <r>
      <rPr>
        <b/>
        <sz val="12"/>
        <color theme="1"/>
        <rFont val="Times New Roman"/>
        <family val="1"/>
      </rPr>
      <t xml:space="preserve">BHTRANS(2016wg18): </t>
    </r>
    <r>
      <rPr>
        <sz val="12"/>
        <color theme="1"/>
        <rFont val="Times New Roman"/>
        <family val="1"/>
      </rPr>
      <t xml:space="preserve">EMPRESA DE TRANSPORTES E TRÂNSITO DE BELO HORIZONTE S/A - BHTRANS. </t>
    </r>
    <r>
      <rPr>
        <i/>
        <sz val="12"/>
        <color theme="1"/>
        <rFont val="Times New Roman"/>
        <family val="1"/>
      </rPr>
      <t>e-mail da coordenação do SisMob-BH ao Ceurb-UFMG encaminhando notas técnicas de acessibilidade n.º 1 e n.º 2 da Pamu-BH</t>
    </r>
    <r>
      <rPr>
        <sz val="12"/>
        <color theme="1"/>
        <rFont val="Times New Roman"/>
        <family val="1"/>
      </rPr>
      <t>. Belo Horizonte, 29 nov. 2016.</t>
    </r>
  </si>
  <si>
    <r>
      <rPr>
        <b/>
        <sz val="10"/>
        <rFont val="Times New Roman"/>
        <family val="1"/>
      </rPr>
      <t xml:space="preserve">nov.dez.2016: </t>
    </r>
    <r>
      <rPr>
        <sz val="10"/>
        <rFont val="Times New Roman"/>
        <family val="1"/>
      </rPr>
      <t>"Proposição de um índice-chave de acessibilidade em ônibus urbano do transporte público coletivo" (versão A) concluída em 4 nov. 2016 conforme OLIVEIRA*(2016k) e encaminhada para os seguintes órgãos/entidades: WRI conforme BHTRANS(2016wg1); para IPPUJ conforme BHTRANS(2016wg2); para Secretaria Especial dos Direitos da Pessoa com Deficiência da Prefeitura Municipal de Curitiba conforme BHTRANS(2016wg3); para URBS conforme BHTRANS(2016wg4); para SPTrans conforme BHTRANS(2016wg5; 2016wg14; 2016wg15; 2016wg16); para Nossa BH conforme BHTRANS(2016wg6; 2016wg7); para Programa Cidades Sustentáveis conforme BHTRANS(2016wg8); para Mobilize conforme BHTRANS(2016wg9); para Setop-MG conforme BHTRANS(2016wg10); para Transcon conforme BHTRANS(2016wg12); para ANTP conforme BHTRANS(2016wg13); para ITDP conforme BHTRANS(2016wg17); para UFMG-Sociologia conforme BHTRANS(2016wg18); para UFMG-Adaptse conforme BHTRANS(2016wg19)</t>
    </r>
  </si>
  <si>
    <r>
      <rPr>
        <b/>
        <sz val="10"/>
        <rFont val="Times New Roman"/>
        <family val="1"/>
      </rPr>
      <t xml:space="preserve">nov.dez.2016: </t>
    </r>
    <r>
      <rPr>
        <sz val="10"/>
        <rFont val="Times New Roman"/>
        <family val="1"/>
      </rPr>
      <t>"Conceituação e análise sobre acessibilidade em ônibus urbano do transporte público coletivo" (versão B) concluída em 4 nov. 2016 conforme OLIVEIRA(2016j) e encaminhada para os seguintes órgãos/entidades: WRI conforme BHTRANS(2016wg1); para IPPUJ conforme BHTRANS(2016wg2); para Secretaria Especial dos Direitos da Pessoa com Deficiência da Prefeitura Municipal de Curitiba conforme BHTRANS(2016wg3); para URBS conforme BHTRANS(2016wg4); para SPTrans conforme BHTRANS(2016wg5; 2016wg14; 2016wg15; 2016wg16); para Nossa BH conforme BHTRANS(2016wg6; 2016wg7); para Programa Cidades Sustentáveis conforme BHTRANS(2016wg8); para Mobilize conforme BHTRANS(2016wg9); para Setop-MG conforme BHTRANS(2016wg10); para Transcon conforme BHTRANS(2016wg12), para ANTP conforme BHTRANS(2016wg13); para ITDP conforme BHTRANS(2016wg17); para UFMG-Sociologia conforme BHTRANS(2016wg18); para UFMG-Adaptse conforme BHTRANS(2016wg19)</t>
    </r>
    <r>
      <rPr>
        <b/>
        <sz val="10"/>
        <rFont val="Times New Roman"/>
        <family val="1"/>
      </rPr>
      <t xml:space="preserve">
ago.2016:</t>
    </r>
    <r>
      <rPr>
        <sz val="10"/>
        <rFont val="Times New Roman"/>
        <family val="1"/>
      </rPr>
      <t xml:space="preserve"> "Acessibilidade em ônibus urbano do transporte público coletivo" - versão "A" concluída em 22 agosto/2016 conforme OLIVEIRA(2016h1) e versão "A corrigida" concluída em 25 ago. 2016 conforme OLIVEIRA(h2), ambas de circulação restrita no ambiente interno da BHTrans</t>
    </r>
  </si>
  <si>
    <t>NE</t>
  </si>
  <si>
    <t>BRT ATC (NAN)</t>
  </si>
  <si>
    <t>BRT CMC (NAN)</t>
  </si>
  <si>
    <t>NAN</t>
  </si>
  <si>
    <t>transporte por bicicleta (usado como complemento de "DM (P.Op.)", de "EV", de "AV", "M", "NF", "NI", "V"</t>
  </si>
  <si>
    <t>NE bicicleta</t>
  </si>
  <si>
    <t>n.º de estações</t>
  </si>
  <si>
    <r>
      <t xml:space="preserve">n.º de estações da rede de metrô de Belo Horizonte, que possui uma única linha
</t>
    </r>
    <r>
      <rPr>
        <b/>
        <sz val="10"/>
        <color theme="1"/>
        <rFont val="Times New Roman"/>
        <family val="1"/>
      </rPr>
      <t>obs.1:</t>
    </r>
    <r>
      <rPr>
        <sz val="10"/>
        <color theme="1"/>
        <rFont val="Times New Roman"/>
        <family val="1"/>
      </rPr>
      <t xml:space="preserve"> "A primeira viagem comercial do Metrô de Belo Horizonte foi realizada em 1º de agosto de 1986 [...] com resultados de 1991-2015 conforme CBTU(2016a)
</t>
    </r>
    <r>
      <rPr>
        <b/>
        <sz val="10"/>
        <color theme="1"/>
        <rFont val="Times New Roman"/>
        <family val="1"/>
      </rPr>
      <t>obs.2:</t>
    </r>
    <r>
      <rPr>
        <sz val="10"/>
        <color theme="1"/>
        <rFont val="Times New Roman"/>
        <family val="1"/>
      </rPr>
      <t xml:space="preserve"> em 1986 as seis primeiras estações foram Eldorado, Cidade Industrial, Gameleira, Calafate, Carlos Prates e Lagoinha; n.º 7 (ano?) foi Central; n.º 8 e 9 (em 1992) foram Santa Efigênia e Horto Florestal; n.º 10 (em 1993) foi Santa Tereza, n.º 11 (em 1994) foi Santa Inês; n.º 12 e 13 (em 1997) foram José Cândido da Silveira e Minas Shopping; n.º 14 (em 1999) foi Vila Oeste; n.º 15, 16, 17, 18 e 19 (em 2002) foram São Gabriel, Primeiro de Maio, Waldomiro Lobo, Floramar e Vilarinho conforme CBTU(2016a)</t>
    </r>
  </si>
  <si>
    <t>BRT
(n.º estações)</t>
  </si>
  <si>
    <t>extensão total (em km) dos corredores de BRT de Belo Horizonte, que é constituido por três corredores: Área Central, Antônio Carlos e Cristiano Machado</t>
  </si>
  <si>
    <t>n.º de acessos em nível a estações de transferência de BRT (usado como complemento de indicadores "BRT"</t>
  </si>
  <si>
    <t>NAD</t>
  </si>
  <si>
    <t>NAE</t>
  </si>
  <si>
    <t>n.º de acessos em desnível por meio de elevador(es) a estações de transferência de BRT (usado como complemento de indicadores "BRT"</t>
  </si>
  <si>
    <t>n.º de acessos em desnível por meio de passarela(s) a estações de transferência de BRT (usado como complemento de indicadores "BRT"</t>
  </si>
  <si>
    <t>n.º de acessos em nível às estações de transferência dos corredores de BRT de Belo Horizonte, que é constituido por três corredores: Área Central, Antônio Carlos e Cristiano Machado</t>
  </si>
  <si>
    <r>
      <t xml:space="preserve">n.º de acessos em nível às estações de transferência do corredor de BRT de Belo Horizonte denominado "Antônio Carlos" (opera em: Avenida Antônio Carlos, Avenida Pedro I e Avenida Vilarinho)
</t>
    </r>
    <r>
      <rPr>
        <b/>
        <sz val="10"/>
        <color theme="1"/>
        <rFont val="Times New Roman"/>
        <family val="1"/>
      </rPr>
      <t>obs.:</t>
    </r>
    <r>
      <rPr>
        <sz val="10"/>
        <color theme="1"/>
        <rFont val="Times New Roman"/>
        <family val="1"/>
      </rPr>
      <t xml:space="preserve"> resultados de 2014-2015 conforme WRI(2016j2, p.25)</t>
    </r>
  </si>
  <si>
    <r>
      <t xml:space="preserve">n.º de acessos em nível às estações de transferência do corredor de BRT de Belo Horizonte denominado "Cristiano Machado" (opera na Avenida Cristiano Machado)
</t>
    </r>
    <r>
      <rPr>
        <b/>
        <sz val="10"/>
        <color theme="1"/>
        <rFont val="Times New Roman"/>
        <family val="1"/>
      </rPr>
      <t>obs.:</t>
    </r>
    <r>
      <rPr>
        <sz val="10"/>
        <color theme="1"/>
        <rFont val="Times New Roman"/>
        <family val="1"/>
      </rPr>
      <t xml:space="preserve"> resultados de 2014-2015 conforme WRI(2016j2, p.25)</t>
    </r>
  </si>
  <si>
    <t>n.º de acessos em desnível por meio de passarela(s) às estações de transferência dos corredores de BRT de Belo Horizonte, que é constituido por três corredores: Área Central, Antônio Carlos e Cristiano Machado</t>
  </si>
  <si>
    <r>
      <t xml:space="preserve">n.º de acessos em desnível por meio de passarela(s) às estações de transferência do corredor de BRT de Belo Horizonte denominado "Área Central" (opera em: Avenida Paraná e Avenida Santos Dumont)
</t>
    </r>
    <r>
      <rPr>
        <b/>
        <sz val="10"/>
        <color theme="1"/>
        <rFont val="Times New Roman"/>
        <family val="1"/>
      </rPr>
      <t>obs.:</t>
    </r>
    <r>
      <rPr>
        <sz val="10"/>
        <color theme="1"/>
        <rFont val="Times New Roman"/>
        <family val="1"/>
      </rPr>
      <t xml:space="preserve"> resultados de 2014-2015 conforme WRI(2016j2, p.25)</t>
    </r>
  </si>
  <si>
    <r>
      <t xml:space="preserve">n.º de acessos em desnível por meio de passarela(s) às estações de transferência do corredor de BRT de Belo Horizonte denominado "Antônio Carlos" (opera em: Avenida Antônio Carlos, Avenida Pedro I e Avenida Vilarinho)
</t>
    </r>
    <r>
      <rPr>
        <b/>
        <sz val="10"/>
        <color theme="1"/>
        <rFont val="Times New Roman"/>
        <family val="1"/>
      </rPr>
      <t>obs.:</t>
    </r>
    <r>
      <rPr>
        <sz val="10"/>
        <color theme="1"/>
        <rFont val="Times New Roman"/>
        <family val="1"/>
      </rPr>
      <t xml:space="preserve"> resultados de 2014-2015 conforme WRI(2016j2, p.25)</t>
    </r>
  </si>
  <si>
    <r>
      <t xml:space="preserve">n.º de acessos em desnível por meio de passarela(s) às estações de transferência do corredor de BRT de Belo Horizonte denominado "Cristiano Machado" (opera na Avenida Cristiano Machado)
</t>
    </r>
    <r>
      <rPr>
        <b/>
        <sz val="10"/>
        <color theme="1"/>
        <rFont val="Times New Roman"/>
        <family val="1"/>
      </rPr>
      <t>obs.:</t>
    </r>
    <r>
      <rPr>
        <sz val="10"/>
        <color theme="1"/>
        <rFont val="Times New Roman"/>
        <family val="1"/>
      </rPr>
      <t xml:space="preserve"> resultados de 2014-2015 conforme WRI(2016j2, p.25)</t>
    </r>
  </si>
  <si>
    <t>BRT ATC (NAD)</t>
  </si>
  <si>
    <t>BRT CMC (NAD)</t>
  </si>
  <si>
    <t>observação do redator do registro</t>
  </si>
  <si>
    <t>IC</t>
  </si>
  <si>
    <t>política de segurança no trânsito</t>
  </si>
  <si>
    <r>
      <rPr>
        <b/>
        <sz val="10"/>
        <rFont val="Times New Roman"/>
        <family val="1"/>
      </rPr>
      <t xml:space="preserve">2016: </t>
    </r>
    <r>
      <rPr>
        <sz val="10"/>
        <rFont val="Times New Roman"/>
        <family val="1"/>
      </rPr>
      <t>conforme BHTRANS(2016wh)</t>
    </r>
  </si>
  <si>
    <r>
      <rPr>
        <b/>
        <sz val="10"/>
        <rFont val="Times New Roman"/>
        <family val="1"/>
      </rPr>
      <t xml:space="preserve">2011: </t>
    </r>
    <r>
      <rPr>
        <sz val="10"/>
        <rFont val="Times New Roman"/>
        <family val="1"/>
      </rPr>
      <t xml:space="preserve">A "Política Municipal de Mobilidade Urbana" de Belo Horizonte foi instituiída por lei em março de 2011 conforme BH(2011c)
</t>
    </r>
    <r>
      <rPr>
        <b/>
        <sz val="10"/>
        <rFont val="Times New Roman"/>
        <family val="1"/>
      </rPr>
      <t xml:space="preserve">obs.: </t>
    </r>
    <r>
      <rPr>
        <sz val="10"/>
        <rFont val="Times New Roman"/>
        <family val="1"/>
      </rPr>
      <t>"O objetivo da Política Municipal de Mobilidade Urbana é proporcionar o acesso amplo e democrático ao espaço urbano, priorizando os meios de transporte coletivos e não motorizados, de forma inclusiva e sustentável." conforme BH(2011c - art.2º)</t>
    </r>
  </si>
  <si>
    <r>
      <rPr>
        <b/>
        <sz val="10"/>
        <rFont val="Times New Roman"/>
        <family val="1"/>
      </rPr>
      <t xml:space="preserve">2012: </t>
    </r>
    <r>
      <rPr>
        <sz val="10"/>
        <rFont val="Times New Roman"/>
        <family val="1"/>
      </rPr>
      <t xml:space="preserve">A "Política Nacional de Mobilidade Urbana" do Brasil foi instituída por lei em setembro de 2012 conforme BRASIL(2012a)
</t>
    </r>
    <r>
      <rPr>
        <b/>
        <sz val="10"/>
        <rFont val="Times New Roman"/>
        <family val="1"/>
      </rPr>
      <t xml:space="preserve">obs.: </t>
    </r>
    <r>
      <rPr>
        <sz val="10"/>
        <rFont val="Times New Roman"/>
        <family val="1"/>
      </rPr>
      <t>" Política Nacional de Mobilidade Urbana é instrumento da política de desenvolvimento urbano de que tratam o inciso XX do art. 21 e o art. 182 da Constituição Federal, objetivando a integração entre os diferentes modos de transporte e a melhoria da acessibilidade e mobilidade das pessoas e cargas no território do Município." conforme BRASIL(2012a, caput do art.1º)</t>
    </r>
  </si>
  <si>
    <t>BRT IC</t>
  </si>
  <si>
    <t>BRT IC AC</t>
  </si>
  <si>
    <t>BRT IC CMC</t>
  </si>
  <si>
    <t>BRT IC ATC</t>
  </si>
  <si>
    <t>BRT IC (calçadas)</t>
  </si>
  <si>
    <t>BRT IC AC (calçadas)</t>
  </si>
  <si>
    <t>BRT IC ATC (calçadas)</t>
  </si>
  <si>
    <t>BRT IC CMC (calçadas)</t>
  </si>
  <si>
    <t>BRT IC (rebaixos)</t>
  </si>
  <si>
    <t>BRT IC AC (rebaixos)</t>
  </si>
  <si>
    <t>BRT IC ATC (rebaixos)</t>
  </si>
  <si>
    <t>BRT IC CMC (rebaixos)</t>
  </si>
  <si>
    <t>BRT IC (travessias)</t>
  </si>
  <si>
    <t>BRT IC AC (travessias)</t>
  </si>
  <si>
    <t>BRT IC ATC (travessias)</t>
  </si>
  <si>
    <t>BRT IC CMC (travessias)</t>
  </si>
  <si>
    <r>
      <rPr>
        <b/>
        <sz val="12"/>
        <rFont val="Times New Roman"/>
        <family val="1"/>
      </rPr>
      <t xml:space="preserve">BHTRANS(2016wh): </t>
    </r>
    <r>
      <rPr>
        <sz val="12"/>
        <rFont val="Times New Roman"/>
        <family val="1"/>
      </rPr>
      <t xml:space="preserve">EMPRESA DE TRANSPORTES E TRÂNSITO DE BELO HORIZONTE S/A - BHTRANS. </t>
    </r>
    <r>
      <rPr>
        <i/>
        <sz val="12"/>
        <rFont val="Times New Roman"/>
        <family val="1"/>
      </rPr>
      <t>Política de segurança no trânsito de Belo Horizonte</t>
    </r>
    <r>
      <rPr>
        <sz val="12"/>
        <rFont val="Times New Roman"/>
        <family val="1"/>
      </rPr>
      <t>. Belo Horizonte: BHTRANS, 2016. 79p.</t>
    </r>
  </si>
  <si>
    <r>
      <t xml:space="preserve">n.º de acessos em desnível por meio de elevador(s) às estações de transferência dos corredores de BRT de Belo Horizonte, que é constituido por três corredores: Área Central, Antônio Carlos e Cristiano Machado
</t>
    </r>
    <r>
      <rPr>
        <b/>
        <sz val="10"/>
        <color theme="1"/>
        <rFont val="Times New Roman"/>
        <family val="1"/>
      </rPr>
      <t>obs.:</t>
    </r>
    <r>
      <rPr>
        <sz val="10"/>
        <color theme="1"/>
        <rFont val="Times New Roman"/>
        <family val="1"/>
      </rPr>
      <t xml:space="preserve"> não há elevado(s) instalado(s) em qualquer estação do BRT de Belo Horizonte, a despeito do projeto do corredor Área Central ter sido concebido para implantação de uma plataforma elevatória ao lado da escada existente em cada uma das duas entradas de cada uma de suas seis estações</t>
    </r>
  </si>
  <si>
    <t>BRT IC (máquinas)</t>
  </si>
  <si>
    <t>BRT IC AC (máquinas)</t>
  </si>
  <si>
    <t>BRT IC ATC (máquinas)</t>
  </si>
  <si>
    <t>BRT IC CMC (máquinas)</t>
  </si>
  <si>
    <t>BRT IC (catracas)</t>
  </si>
  <si>
    <t>BRT IC AC (catracas)</t>
  </si>
  <si>
    <t>BRT IC ATC (catracas)</t>
  </si>
  <si>
    <t>BRT IC CMC (catracas)</t>
  </si>
  <si>
    <t>BRT IC (mapas)</t>
  </si>
  <si>
    <t>BRT IC AC (mapas)</t>
  </si>
  <si>
    <t>BRT IC ATC (mapas)</t>
  </si>
  <si>
    <t>BRT IC CMC (mapas)</t>
  </si>
  <si>
    <t>BRT IC (sinalização)</t>
  </si>
  <si>
    <t>BRT IC AC (sinalização)</t>
  </si>
  <si>
    <t>BRT IC ATC (sinalização)</t>
  </si>
  <si>
    <t>BRT IC CMC (sinalização)</t>
  </si>
  <si>
    <r>
      <t xml:space="preserve">sigla utilizada para designar todos os 24 indicadores de "conformidade com a legislação urbanística" em Belo Horizonte, por vezes denominado genericamente como "conformidade", "conformidade urbanística" ou "índice de conformidade", podendo ser utilizada por local (sete locais em 2013) e/ou por quesito (quinze quesitos em 2013)
</t>
    </r>
    <r>
      <rPr>
        <b/>
        <sz val="10"/>
        <color theme="1"/>
        <rFont val="Times New Roman"/>
        <family val="1"/>
      </rPr>
      <t xml:space="preserve">obs.1: </t>
    </r>
    <r>
      <rPr>
        <sz val="10"/>
        <color theme="1"/>
        <rFont val="Times New Roman"/>
        <family val="1"/>
      </rPr>
      <t xml:space="preserve">o indicador surge no contexto do projeto de fiscalização urbanística integrada nas grandes avenidas de Belo Horizonte, denominado AMAR BH, lançado pela PBH em março de 2013 na Avenida Raja Gabáglia (RGB) sob a coordenação da Secretaria Municipal Adjunta de Fiscalização - Smafis/PBH (enquanto os resultados de 2014 não são consolidados, consulte Quadro 59 e Tabela 59 no SisMob-Bh com resultados de 2013 relativos a 24 indicadores)
</t>
    </r>
    <r>
      <rPr>
        <b/>
        <sz val="10"/>
        <color theme="1"/>
        <rFont val="Times New Roman"/>
        <family val="1"/>
      </rPr>
      <t xml:space="preserve">obs.2: </t>
    </r>
    <r>
      <rPr>
        <sz val="10"/>
        <color theme="1"/>
        <rFont val="Times New Roman"/>
        <family val="1"/>
      </rPr>
      <t>para índice de confomidade com a política de acessibilidade acesse os registros "IC"</t>
    </r>
  </si>
  <si>
    <t>verbete assinado por Heloísa... (convite feito)</t>
  </si>
  <si>
    <t>Medelim</t>
  </si>
  <si>
    <r>
      <t xml:space="preserve">cidade da Colômbia incluída em pelo menos uma das categorias de "benchmarking SisMob-BH"
</t>
    </r>
    <r>
      <rPr>
        <sz val="10"/>
        <color rgb="FFFF0000"/>
        <rFont val="Times New Roman"/>
        <family val="1"/>
      </rPr>
      <t>obs.: ___</t>
    </r>
  </si>
  <si>
    <r>
      <t xml:space="preserve">cidade da Colômbia incluída em pelo menos uma das categorias de "benchmarking SisMob-BH"
</t>
    </r>
    <r>
      <rPr>
        <b/>
        <sz val="10"/>
        <color theme="1"/>
        <rFont val="Times New Roman"/>
        <family val="1"/>
      </rPr>
      <t xml:space="preserve">obs.: </t>
    </r>
    <r>
      <rPr>
        <sz val="10"/>
        <color theme="1"/>
        <rFont val="Times New Roman"/>
        <family val="1"/>
      </rPr>
      <t>Medelim (Medellín, na grafia espanhola) é uma referência internacional. É a capital do departamento de Antioquia, na Colômbia, maior cidade da região denominada "Área metropolitana de Vale de Aburra". Segundo a jornalista brasileira Sylvia Colombo: "Medellín é colombiana em sua essência, mas possui uma personalidade muito própria, marcada pela solidariedade, pela força dos laços familiares, pela fé, pela religiosidade extrema, e pelo gosto pela festa coletiva. [...] Medellín carrega de modo sofrido esse rótulo de ter sido, por vários anos, uma das cidades mais violentas do planeta. [...] Mas o que vale ressaltar aqui é o que Medellín conquistou depois de 1993, ano em que o chefão do narcotráfico foi morto. Muitos apontam que a esperança surgiu com uma série de gestões de prefeitos e governadores progressistas, com uma visão de que mudanças urbanísticas poderiam transformar a sociedade. De fato, a aposta, iniciada por Sergio Fajardo quando foi prefeito da cidade (2003-2007) foi correta. Mas não basta para explicar porque a cidade, de sangrenta e perigosa, se transformou em uma urbe moderna e generosa." conforme COLOMBO (2016)</t>
    </r>
  </si>
  <si>
    <r>
      <rPr>
        <b/>
        <sz val="12"/>
        <rFont val="Times New Roman"/>
        <family val="1"/>
      </rPr>
      <t xml:space="preserve">COLOMBO(2016): </t>
    </r>
    <r>
      <rPr>
        <sz val="12"/>
        <rFont val="Times New Roman"/>
        <family val="1"/>
      </rPr>
      <t xml:space="preserve">COLOMBO, Sylvia. Por que Medellín é tão especial? </t>
    </r>
    <r>
      <rPr>
        <i/>
        <sz val="12"/>
        <rFont val="Times New Roman"/>
        <family val="1"/>
      </rPr>
      <t>Folha de S.Paulo</t>
    </r>
    <r>
      <rPr>
        <sz val="12"/>
        <rFont val="Times New Roman"/>
        <family val="1"/>
      </rPr>
      <t>, São Paulo, 2 dez. 2016. Caderno Mundo - Latinidades. Disponível em: &lt;http://sylviacolombo.blogfolha.uol.com.br/2016/12/02/por-que-medellin-e-tao-especial/&gt;. Acesso em: 3 dez. 2016.</t>
    </r>
  </si>
  <si>
    <r>
      <t xml:space="preserve">ABAD(2016): </t>
    </r>
    <r>
      <rPr>
        <sz val="12"/>
        <color theme="1"/>
        <rFont val="Times New Roman"/>
        <family val="1"/>
      </rPr>
      <t xml:space="preserve">ABAD FACIOLINCE, Héctor. El cinturón de castidad. </t>
    </r>
    <r>
      <rPr>
        <i/>
        <sz val="12"/>
        <color theme="1"/>
        <rFont val="Times New Roman"/>
        <family val="1"/>
      </rPr>
      <t>El Espectador</t>
    </r>
    <r>
      <rPr>
        <sz val="12"/>
        <color theme="1"/>
        <rFont val="Times New Roman"/>
        <family val="1"/>
      </rPr>
      <t>, Bogotá, 16 ago. 2014. Disponível em: &lt;http://www.elespectador.com/opinion/el-cinturon-de-castidad-columna-511054&gt;. Acesso em: 26 ago. 2014.</t>
    </r>
  </si>
  <si>
    <t>O escritor colombiano Héctor Abad Faciolindo narra um acontecimento que presenciou no metrô de Medelim, quando uma criança foi alimentada com uma mamadeira para ter seu choro aplacado. Os seguranças intervieram para aplicar a regra de que “En el metro de Medellín está prohibido comer”. Ele compara o metrô de sua cidade com o de Berlim para terminar concluindo: "El metro de Medellín es limpio como una clínica, lo cual no es muy natural, pero está bien, y la gente dentro de él es tan aconductada como ovejitas sumisas. Pero están exagerando con la tal cultura metro. Y la política de cero tolerancia les puede salir por la culata. Esta se parece cada vez más a los viejos cinturones de castidad de los maridos celosos: apretaban tanto que generaban heridas e infecciones en las mujeres obligadas a portarlos. Por precauciones excesivas, se empieza a formar pus también aquí." conforme ABAD(2016)</t>
  </si>
  <si>
    <t>teleférico</t>
  </si>
  <si>
    <t>metrocable</t>
  </si>
  <si>
    <t>palavra em língua espanhola que, no Sismo-BH, é traduzida como "teleférico" (acesse registros)</t>
  </si>
  <si>
    <r>
      <t xml:space="preserve">sistema de transporte público coletivo inaugurado em 2004
</t>
    </r>
    <r>
      <rPr>
        <b/>
        <sz val="10"/>
        <rFont val="Times New Roman"/>
        <family val="1"/>
      </rPr>
      <t xml:space="preserve">obs.1: </t>
    </r>
    <r>
      <rPr>
        <sz val="10"/>
        <rFont val="Times New Roman"/>
        <family val="1"/>
      </rPr>
      <t>"Atende o município de Medellín, que foi a primeira cidade da América Latina a utilizar o teleférico como meio de transporte de massa, facilitando o acesso de pessoas que moram em regiões de difícil acesso ao Metrô de Medellín. [...] O sistema serviu de inspiração de inspiração para sistemas similares na América Latina, como é o caso do Teleférico do Alemão. [...]" conforme em METROCABLE-MEDELLIN(2016)</t>
    </r>
    <r>
      <rPr>
        <b/>
        <sz val="10"/>
        <rFont val="Times New Roman"/>
        <family val="1"/>
      </rPr>
      <t xml:space="preserve">
obs.2: </t>
    </r>
    <r>
      <rPr>
        <sz val="10"/>
        <rFont val="Times New Roman"/>
        <family val="1"/>
      </rPr>
      <t>Segundo a jornalista brasileira Sylvia Colombo: "Andar de 'metrocable', o sistema de teleféricos que une periferia e centro, poderia ter se transformado apenas numa facilidade para as pessoas que vivem no subúrbio chegarem mais rápido ao trabalho. Mas não, o 'metrocable' virou também passeio de fim de semana. É ao mesmo tempo um modo de famílias de classe média levarem os filhos para conhecer as partes altas da cidade como um meio para que os habitantes das favelas tenham acesso mais rápido às ofertas de diversão do centro, entre elas o futebol." conforme COLOMBO (2016).</t>
    </r>
    <r>
      <rPr>
        <b/>
        <sz val="10"/>
        <rFont val="Times New Roman"/>
        <family val="1"/>
      </rPr>
      <t/>
    </r>
  </si>
  <si>
    <r>
      <rPr>
        <b/>
        <sz val="12"/>
        <color theme="1"/>
        <rFont val="Times New Roman"/>
        <family val="1"/>
      </rPr>
      <t xml:space="preserve">METROCABLE-MEDELLIN(2016): </t>
    </r>
    <r>
      <rPr>
        <sz val="12"/>
        <color theme="1"/>
        <rFont val="Times New Roman"/>
        <family val="1"/>
      </rPr>
      <t xml:space="preserve">METROCABLE DE MEDELLÍN. </t>
    </r>
    <r>
      <rPr>
        <i/>
        <sz val="12"/>
        <color theme="1"/>
        <rFont val="Times New Roman"/>
        <family val="1"/>
      </rPr>
      <t>Wikipédia</t>
    </r>
    <r>
      <rPr>
        <sz val="12"/>
        <color theme="1"/>
        <rFont val="Times New Roman"/>
        <family val="1"/>
      </rPr>
      <t>, 13 jul. 2016 (verbete). Disponível em: &lt;https://pt.wikipedia.org/wiki/Metrocable_de_Medell%C3%ADn&gt;. Acesso em: 5 dez. 2016.</t>
    </r>
  </si>
  <si>
    <r>
      <rPr>
        <b/>
        <sz val="12"/>
        <color theme="1"/>
        <rFont val="Times New Roman"/>
        <family val="1"/>
      </rPr>
      <t xml:space="preserve">TELEFÉRICO-ALEMÃO(2016): TELEFÉRICO DO ALEMÃO. </t>
    </r>
    <r>
      <rPr>
        <i/>
        <sz val="12"/>
        <color theme="1"/>
        <rFont val="Times New Roman"/>
        <family val="1"/>
      </rPr>
      <t>Wikipédia</t>
    </r>
    <r>
      <rPr>
        <sz val="12"/>
        <color theme="1"/>
        <rFont val="Times New Roman"/>
        <family val="1"/>
      </rPr>
      <t>, 18 AGO. 2016 (verbete). Disponível em: &lt;https://pt.wikipedia.org/wiki/Telef%C3%A9rico_do_Alem%C3%A3o&gt;. Acesso em: 5 dez. 2016.</t>
    </r>
  </si>
  <si>
    <t xml:space="preserve">sistema de transporte público coletivo inaugurado em 2011 conforme TELEFÉRICO-ALEMÃO(2016) </t>
  </si>
  <si>
    <r>
      <rPr>
        <b/>
        <sz val="12"/>
        <color theme="1"/>
        <rFont val="Times New Roman"/>
        <family val="1"/>
      </rPr>
      <t xml:space="preserve">HELTON(2016): </t>
    </r>
    <r>
      <rPr>
        <sz val="12"/>
        <color theme="1"/>
        <rFont val="Times New Roman"/>
        <family val="1"/>
      </rPr>
      <t xml:space="preserve">HELTON, Thiago. Concurso de acessibilidade acontece em BH. </t>
    </r>
    <r>
      <rPr>
        <i/>
        <sz val="12"/>
        <color theme="1"/>
        <rFont val="Times New Roman"/>
        <family val="1"/>
      </rPr>
      <t>Portal R7</t>
    </r>
    <r>
      <rPr>
        <sz val="12"/>
        <color theme="1"/>
        <rFont val="Times New Roman"/>
        <family val="1"/>
      </rPr>
      <t>, Belo Horizonte, 12 maio 2016. Disponível em: &lt;http://noticias.r7.com/blogs/thiago-helton/concurso-de-acessibilidade-em-belo-horizonte/2016/05/12/&gt;. Acesso em: 7 jul. 2016.</t>
    </r>
  </si>
  <si>
    <r>
      <rPr>
        <b/>
        <sz val="12"/>
        <color theme="1"/>
        <rFont val="Times New Roman"/>
        <family val="1"/>
      </rPr>
      <t xml:space="preserve">HELTON(2016c): </t>
    </r>
    <r>
      <rPr>
        <sz val="12"/>
        <color theme="1"/>
        <rFont val="Times New Roman"/>
        <family val="1"/>
      </rPr>
      <t xml:space="preserve">HELTON, Thiago. </t>
    </r>
    <r>
      <rPr>
        <i/>
        <sz val="12"/>
        <color theme="1"/>
        <rFont val="Times New Roman"/>
        <family val="1"/>
      </rPr>
      <t>Top 10 da campanha: É capacitismo quando...</t>
    </r>
    <r>
      <rPr>
        <sz val="12"/>
        <color theme="1"/>
        <rFont val="Times New Roman"/>
        <family val="1"/>
      </rPr>
      <t xml:space="preserve"> </t>
    </r>
    <r>
      <rPr>
        <i/>
        <sz val="12"/>
        <color theme="1"/>
        <rFont val="Times New Roman"/>
        <family val="1"/>
      </rPr>
      <t>Portal R7</t>
    </r>
    <r>
      <rPr>
        <sz val="12"/>
        <color theme="1"/>
        <rFont val="Times New Roman"/>
        <family val="1"/>
      </rPr>
      <t>, Belo Horizonte, 2 dez. 2016. Disponível em: &lt;http://noticias.r7.com/blogs/thiago-helton/top-10-da-campanha-e-capacitismo-quando/2016/12/02/&gt;. Acesso em: 5 dez. 2016.</t>
    </r>
  </si>
  <si>
    <r>
      <rPr>
        <b/>
        <sz val="12"/>
        <color theme="1"/>
        <rFont val="Times New Roman"/>
        <family val="1"/>
      </rPr>
      <t xml:space="preserve">VERDI(2012): </t>
    </r>
    <r>
      <rPr>
        <sz val="12"/>
        <color theme="1"/>
        <rFont val="Times New Roman"/>
        <family val="1"/>
      </rPr>
      <t xml:space="preserve">VERDI DESIGN LTDA. </t>
    </r>
    <r>
      <rPr>
        <i/>
        <sz val="12"/>
        <color theme="1"/>
        <rFont val="Times New Roman"/>
        <family val="1"/>
      </rPr>
      <t>Move - identidade visual do sistema e sinalização das estações</t>
    </r>
    <r>
      <rPr>
        <sz val="12"/>
        <color theme="1"/>
        <rFont val="Times New Roman"/>
        <family val="1"/>
      </rPr>
      <t>. Porto Alegre: Verdi, dezembro 2012. [apresentação - 85 slides]</t>
    </r>
  </si>
  <si>
    <r>
      <rPr>
        <b/>
        <sz val="12"/>
        <color theme="1"/>
        <rFont val="Times New Roman"/>
        <family val="1"/>
      </rPr>
      <t xml:space="preserve">VERDI(2013): </t>
    </r>
    <r>
      <rPr>
        <sz val="12"/>
        <color theme="1"/>
        <rFont val="Times New Roman"/>
        <family val="1"/>
      </rPr>
      <t xml:space="preserve">VERDI DESIGN LTDA. </t>
    </r>
    <r>
      <rPr>
        <i/>
        <sz val="12"/>
        <color theme="1"/>
        <rFont val="Times New Roman"/>
        <family val="1"/>
      </rPr>
      <t>Move - Manual de Sinalização - Estações de Transferência - Corredores e Área Central</t>
    </r>
    <r>
      <rPr>
        <sz val="12"/>
        <color theme="1"/>
        <rFont val="Times New Roman"/>
        <family val="1"/>
      </rPr>
      <t>. Porto Alegre: Verdi, 28 de novembro de 2013. 110p.</t>
    </r>
  </si>
  <si>
    <r>
      <t>registro na fonte</t>
    </r>
    <r>
      <rPr>
        <sz val="10"/>
        <rFont val="Calibri"/>
        <family val="2"/>
      </rPr>
      <t/>
    </r>
  </si>
  <si>
    <r>
      <rPr>
        <b/>
        <sz val="12"/>
        <rFont val="Times New Roman"/>
        <family val="1"/>
      </rPr>
      <t xml:space="preserve">BH(2016r): </t>
    </r>
    <r>
      <rPr>
        <sz val="12"/>
        <rFont val="Times New Roman"/>
        <family val="1"/>
      </rPr>
      <t xml:space="preserve">BELO HORIZONTE. Prefeitura. Coordenação técnica e execução: Way Carbon Soluções Ambientais e Projetos de Carbono. </t>
    </r>
    <r>
      <rPr>
        <i/>
        <sz val="12"/>
        <rFont val="Times New Roman"/>
        <family val="1"/>
      </rPr>
      <t xml:space="preserve">Análise de vulnerabilidade às mudanças climáticas do município de Belo Horizonte: </t>
    </r>
    <r>
      <rPr>
        <sz val="12"/>
        <rFont val="Times New Roman"/>
        <family val="1"/>
      </rPr>
      <t>resumo para os tomadores de decisão /</t>
    </r>
    <r>
      <rPr>
        <i/>
        <sz val="12"/>
        <rFont val="Times New Roman"/>
        <family val="1"/>
      </rPr>
      <t xml:space="preserve"> Vulnerability Assessment to Climate Change in the Municipality of Belo Horizonte - Brasil</t>
    </r>
    <r>
      <rPr>
        <sz val="12"/>
        <rFont val="Times New Roman"/>
        <family val="1"/>
      </rPr>
      <t>:  summary for policymakers. edição bilíngue português/english. Belo Horizonte, novembro 2016. 50p. Disponível em: &lt;https://d335luupugsy2.cloudfront.net/cms%2Ffiles%2F5818%2F1480525877Relato%CC%81rio_BH_EN_2.pdf&gt;. Acesso em: 7 dez. 2016.</t>
    </r>
  </si>
  <si>
    <t>vulnerabilidade</t>
  </si>
  <si>
    <t>índice composto de vulnerabilidade</t>
  </si>
  <si>
    <t>índice de vulnerabilidade</t>
  </si>
  <si>
    <t>acesse o verbete "vulnerabilidade"</t>
  </si>
  <si>
    <t>índice de vulnerabilidade por impacto potencial</t>
  </si>
  <si>
    <r>
      <rPr>
        <b/>
        <sz val="10"/>
        <color theme="1"/>
        <rFont val="Times New Roman"/>
        <family val="1"/>
      </rPr>
      <t>2016:</t>
    </r>
    <r>
      <rPr>
        <sz val="10"/>
        <color theme="1"/>
        <rFont val="Times New Roman"/>
        <family val="1"/>
      </rPr>
      <t xml:space="preserve"> lançado na PBH o relatório "Análise de vulnerabilidade às mudanças climáticas do município de Belo Horizonte" conforme BH(2016r):
</t>
    </r>
    <r>
      <rPr>
        <b/>
        <sz val="10"/>
        <color theme="1"/>
        <rFont val="Times New Roman"/>
        <family val="1"/>
      </rPr>
      <t xml:space="preserve">obs.: </t>
    </r>
    <r>
      <rPr>
        <sz val="10"/>
        <color theme="1"/>
        <rFont val="Times New Roman"/>
        <family val="1"/>
      </rPr>
      <t>"o índice composto de vulnerabilidade de Belo Horizonte foi calculado por meio da média ponderada dos índices de vulnerabilidade por impacto potencial estudado, a saber: inundação, deslizamento, dengue e ondas de calor. Para uma melhor compreensão dos locais mais vulneráveis , foram gerados os hotspots cujo índice de vulnerabilidade é maior ou iguial a 0,58, valor que representou , neste estudo, o o agrupamento dos mais elevados índices." conforme BH(2016r, p.24)</t>
    </r>
  </si>
  <si>
    <r>
      <t xml:space="preserve">Model for Vulnerability Evaluation
</t>
    </r>
    <r>
      <rPr>
        <b/>
        <sz val="10"/>
        <color theme="1"/>
        <rFont val="Times New Roman"/>
        <family val="1"/>
      </rPr>
      <t>obs.:</t>
    </r>
    <r>
      <rPr>
        <sz val="10"/>
        <color theme="1"/>
        <rFont val="Times New Roman"/>
        <family val="1"/>
      </rPr>
      <t xml:space="preserve"> "plataforma computacional integrada que utiliza análise espacial eestatística para avaliação da vulnerabilidade e riscos associados Às mudanças climáticas, aplicável em diferentes recortes temáticos e produtivos, em múltiplas escalas e a aprtir de diferentes cenários climáticos." conforme BH(2016r, p.19) utilizada para elaboração do relatório "Análise de vulnerabilidade às mudanças climáticas do município de Belo Horizonte"</t>
    </r>
  </si>
  <si>
    <t>locais mais vulneráveis aos impactos potenciais estudados (inundação, deslizamento, dengue e ondas de calor), contidos no relatório "Análise de vulnerabilidade às mudanças climáticas do município de Belo Horizonte" conforme BH(2016r, p.24)
obs.: acesse o verbete "vulnerabilidade"</t>
  </si>
  <si>
    <t>5.5</t>
  </si>
  <si>
    <t>hotspost
(internet)</t>
  </si>
  <si>
    <t>hotspot
(ambiental)</t>
  </si>
  <si>
    <t>hotspost (internet)
meta</t>
  </si>
  <si>
    <t>Move</t>
  </si>
  <si>
    <t>Outros meio ambiente</t>
  </si>
  <si>
    <r>
      <rPr>
        <b/>
        <sz val="12"/>
        <rFont val="Times New Roman"/>
        <family val="1"/>
      </rPr>
      <t xml:space="preserve">BH(2016q): </t>
    </r>
    <r>
      <rPr>
        <sz val="12"/>
        <rFont val="Times New Roman"/>
        <family val="1"/>
      </rPr>
      <t xml:space="preserve">BELO HORIZONTE. Poder Legislativo. Câmara Municipal. Lei n.º 10.989, de 20 de outubro de 2016. Dispõe sobre a reserva de espaço para mulheres no sistema de transporte ferroviário urbano de passageiros. </t>
    </r>
    <r>
      <rPr>
        <i/>
        <sz val="12"/>
        <rFont val="Times New Roman"/>
        <family val="1"/>
      </rPr>
      <t>Diário Oficial do Município - DOM</t>
    </r>
    <r>
      <rPr>
        <sz val="12"/>
        <rFont val="Times New Roman"/>
        <family val="1"/>
      </rPr>
      <t>, Belo Horizonte, Ano XXII, edição n.º 5.156, 21 out. 2016. Disponível em: &lt;http://portal6.pbh.gov.br/dom/iniciaEdicao.do?method=DetalheArtigo&amp;pk=1170376&gt;.  Acesso em: 22 nov. 2016.</t>
    </r>
    <r>
      <rPr>
        <sz val="12"/>
        <color rgb="FFFF0000"/>
        <rFont val="Times New Roman"/>
        <family val="1"/>
      </rPr>
      <t xml:space="preserve"> resultado das votações solicitados à Ouvidoria da CMBH em ?? (22/11/2016)</t>
    </r>
  </si>
  <si>
    <t>n.º de veículos vinculados às permissões de táxi gerenciadas pela BHTrans que estão aptos a circular na praça integrada de táxi (calculado no último dia útil de cada mês)</t>
  </si>
  <si>
    <t>número de veículos vinculados às permissões de táxi gerenciadas pela BHTrans com serviço prestado em diversas categorias e diversos municípios
obs.: consulte "TX"</t>
  </si>
  <si>
    <t>HMC</t>
  </si>
  <si>
    <r>
      <rPr>
        <b/>
        <sz val="12"/>
        <color theme="1"/>
        <rFont val="Times New Roman"/>
        <family val="1"/>
      </rPr>
      <t xml:space="preserve">WRI(2016j8): </t>
    </r>
    <r>
      <rPr>
        <sz val="12"/>
        <color theme="1"/>
        <rFont val="Times New Roman"/>
        <family val="1"/>
      </rPr>
      <t>WORLD RESOURCES INSTITUTE - WRI BRASIL.</t>
    </r>
    <r>
      <rPr>
        <i/>
        <sz val="12"/>
        <color theme="1"/>
        <rFont val="Times New Roman"/>
        <family val="1"/>
      </rPr>
      <t xml:space="preserve"> Planilha em excell com resultados de IC do relatório "Inspeção de acessibilidade do Move Belo Horizonte - Workshop Acessibilidade para Todos" [planilha original WRI de novembro/2016].</t>
    </r>
    <r>
      <rPr>
        <sz val="12"/>
        <color theme="1"/>
        <rFont val="Times New Roman"/>
        <family val="1"/>
      </rPr>
      <t xml:space="preserve"> Porto Alegre, novembro de 2016.</t>
    </r>
  </si>
  <si>
    <r>
      <rPr>
        <b/>
        <sz val="12"/>
        <color theme="1"/>
        <rFont val="Times New Roman"/>
        <family val="1"/>
      </rPr>
      <t xml:space="preserve">WRI(2016j9): </t>
    </r>
    <r>
      <rPr>
        <sz val="12"/>
        <color theme="1"/>
        <rFont val="Times New Roman"/>
        <family val="1"/>
      </rPr>
      <t>WORLD RESOURCES INSTITUTE - WRI BRASIL.</t>
    </r>
    <r>
      <rPr>
        <i/>
        <sz val="12"/>
        <color theme="1"/>
        <rFont val="Times New Roman"/>
        <family val="1"/>
      </rPr>
      <t xml:space="preserve"> Planilha em excell com resultados de IC do relatório "Inspeção de acessibilidade do Move Belo Horizonte - Workshop Acessibilidade para Todos" [planilha original WRI de novembro/2016 ajustada por BHTrans para conter resultados de indicadores previstos no SisMob-BH].</t>
    </r>
    <r>
      <rPr>
        <sz val="12"/>
        <color theme="1"/>
        <rFont val="Times New Roman"/>
        <family val="1"/>
      </rPr>
      <t xml:space="preserve"> Belo Horizonte, dezembro de 2016.</t>
    </r>
  </si>
  <si>
    <r>
      <rPr>
        <b/>
        <sz val="12"/>
        <color theme="1"/>
        <rFont val="Times New Roman"/>
        <family val="1"/>
      </rPr>
      <t xml:space="preserve">WRI(2016j10): </t>
    </r>
    <r>
      <rPr>
        <sz val="12"/>
        <color theme="1"/>
        <rFont val="Times New Roman"/>
        <family val="1"/>
      </rPr>
      <t>WORLD RESOURCES INSTITUTE - WRI BRASIL.</t>
    </r>
    <r>
      <rPr>
        <i/>
        <sz val="12"/>
        <color theme="1"/>
        <rFont val="Times New Roman"/>
        <family val="1"/>
      </rPr>
      <t xml:space="preserve"> Planilha em excell com resultados de IC do relatório "Inspeção de acessibilidade do Move Belo Horizonte - Workshop Acessibilidade para Todos" [planilha original WRI de novembro/2016 ajustada por BHTrans para conter resultados de idicadores previstos no SisMob-BH, bem como com acerto em resultados de "planos e mapas acessíveis"].</t>
    </r>
    <r>
      <rPr>
        <sz val="12"/>
        <color theme="1"/>
        <rFont val="Times New Roman"/>
        <family val="1"/>
      </rPr>
      <t xml:space="preserve"> Belo Horizonte, dezembro de 2016.</t>
    </r>
  </si>
  <si>
    <t>n.c.</t>
  </si>
  <si>
    <r>
      <rPr>
        <b/>
        <sz val="12"/>
        <rFont val="Times New Roman"/>
        <family val="1"/>
      </rPr>
      <t>FARIAetal(2016):</t>
    </r>
    <r>
      <rPr>
        <sz val="12"/>
        <rFont val="Times New Roman"/>
        <family val="1"/>
      </rPr>
      <t xml:space="preserve"> FARIA, Carlos Aurélio Pimenta de; ROCHA, Carlos Vasconcelos; FILGUEIRAS, Cristina Almeida Cunha; SOUKI, Léa Guimarães Souki. </t>
    </r>
    <r>
      <rPr>
        <i/>
        <sz val="12"/>
        <rFont val="Times New Roman"/>
        <family val="1"/>
      </rPr>
      <t>Políticas públicas na América Latina</t>
    </r>
    <r>
      <rPr>
        <sz val="12"/>
        <rFont val="Times New Roman"/>
        <family val="1"/>
      </rPr>
      <t>: novas territorialidades e processos. Porto Alegre: UFRGS/CEGOV, 2016. 436p. Disponível em: &lt;https://www.ufrgs.br/cegov/files/pub_77.pdf&gt;. Acesso em: 12 dez. 2016.</t>
    </r>
  </si>
  <si>
    <r>
      <rPr>
        <b/>
        <sz val="12"/>
        <color theme="1"/>
        <rFont val="Times New Roman"/>
        <family val="1"/>
      </rPr>
      <t xml:space="preserve">ANTP(2016a): </t>
    </r>
    <r>
      <rPr>
        <sz val="12"/>
        <color theme="1"/>
        <rFont val="Times New Roman"/>
        <family val="1"/>
      </rPr>
      <t xml:space="preserve">ASSOCIAÇÃO NACIONAL DE TRANSPORTES PÚBLICOS - ANTP. </t>
    </r>
    <r>
      <rPr>
        <i/>
        <sz val="12"/>
        <color theme="1"/>
        <rFont val="Times New Roman"/>
        <family val="1"/>
      </rPr>
      <t xml:space="preserve">Mobilidade urbana para um Brasil urbano. </t>
    </r>
    <r>
      <rPr>
        <sz val="12"/>
        <color theme="1"/>
        <rFont val="Times New Roman"/>
        <family val="1"/>
      </rPr>
      <t>São Paulo: ANTP, agosto 2016. 24p. Disponível em: &lt;http://files.antp.org.br/2016/9/1/caderno-mobilidade-e.pdf&gt;. Acesso em: 12 dez. 2016.</t>
    </r>
  </si>
  <si>
    <t>CTB</t>
  </si>
  <si>
    <t>Código de Trânsito Brasileiro, instituído em 1997
obs.: "O trânsito de qualquer natureza nas vias terrestres do território nacional, abertas à circulação, rege-se por este Código." (BRASIL, 1997a/caput do art.1º)</t>
  </si>
  <si>
    <t>Plano de Redução de Acidentes</t>
  </si>
  <si>
    <t>"A responsabilidade pelo trânsito no Brasil é dos órgãos e entidades do Sistema Nacional de Trânsito - SNT, que contempla os três níveis de governo. Entretanto cabe ao município tomar a iniciativa e organizar seu próprio plano, organizando a sociedade civil e todas as instâncias locais que tenham parcela de contribuição e responsabilidade em sua execução e implantação. Um Plano de Redução de Acidentes deverá não só definir ações de engenharia, fiscalização e educação, como as metas a serem perseguidas ano a ano. O envolvimento da população e de todas as associações e entidades locais é condição básica para que o plano tenha sucesso e perenidade." conforme ANTP(2016a, p.16)</t>
  </si>
  <si>
    <t>Prezados Membros e Colaboradores do Comitê, boa tarde!
segue link de acesso a matéria do site Archdaily (em inglês) sobre o Guia para Planejadores de Arborização em Paisagens Urbanas.
"(...) The Trees in the Townscape, produzido pelo Tree and Design Group, apresenta uma abordagem moderna para florestas urbanas, fornecendo princípios e referencias para agentes públicos e profissionais liberais que são necessárias para a ampliação de áreas verdes em contextos urbanos.
Essa abordagem acompanha o ritmo e responde aos desafios da contemporaneidade. The Trees in the Townscape oferece um abrangente conjunto de 12 princípios de medidas ativas que podem ser adaptados para os contextos específicos de qualquer cidade.(...)"</t>
  </si>
  <si>
    <t>arborização urbana</t>
  </si>
  <si>
    <r>
      <rPr>
        <b/>
        <sz val="12"/>
        <rFont val="Times New Roman"/>
        <family val="1"/>
      </rPr>
      <t xml:space="preserve">TDAD(2012): </t>
    </r>
    <r>
      <rPr>
        <sz val="12"/>
        <rFont val="Times New Roman"/>
        <family val="1"/>
      </rPr>
      <t xml:space="preserve">TREES &amp; DESIGN ACTION GROUP - TDAD. </t>
    </r>
    <r>
      <rPr>
        <i/>
        <sz val="12"/>
        <rFont val="Times New Roman"/>
        <family val="1"/>
      </rPr>
      <t xml:space="preserve">Trees in the Townscape: </t>
    </r>
    <r>
      <rPr>
        <sz val="12"/>
        <rFont val="Times New Roman"/>
        <family val="1"/>
      </rPr>
      <t>a guide for Decision Makers. London: TDAD, November 2012. Disponível em: &lt;http://www.tdag.org.uk/uploads/4/2/8/0/4280686/tdag_trees-in-the-townscape_november2012.pdf&gt;. Acesso em: 12 dez. 2016.</t>
    </r>
  </si>
  <si>
    <t>TDAD</t>
  </si>
  <si>
    <t>Tree and Design Action Group</t>
  </si>
  <si>
    <t>indicador estratégico</t>
  </si>
  <si>
    <t>indicador operacional</t>
  </si>
  <si>
    <t>indicador tático</t>
  </si>
  <si>
    <t>"Indicadores estratégicos: Aqueles que serão acompanhados pela Diretoria Executiva da BHTRANS no intuito de medir a eficácia das estratégias de atuação que foram definidas para o atingimento dos objetivos definidos no Planejamento Estratégico. Dessa forma, será avaliada a consonância entre o Planejamento Estratégico e os serviços realizados internamente e aqueles entregues pela empresa aos cidadãos. Os indicadores estratégicos. serão revisados a cada quatro anos, durante a revisão do Planejamento Estratégico, pela COPES - Coordenadoria de Planejamento Estratégico." conforme BHTRANS(2015d1, p.1)</t>
  </si>
  <si>
    <t>"Indicadores táticos e operacionais: Compreendem os indicadores de responsabilidade das gerências e supervisões. Os indicadores táticos e operacionais da BHTRANS foram estruturados no Projeto Reestruturação de Indicadores da BHTRANS, realizado entre 2014 e 2015. A classificação dos . indicadores entre táticos e operacionais decorre do Projeto de Reestruturação de Indicadores da BHTRANS." Os indicadores táticos refletem as ações realizadas no nível intermediário da empresa, ou seja, rias gerências. Eles apoiam as gerências nos processos de tomada de decisões. [...] conforme BHTRANS(2015d1, p.1)</t>
  </si>
  <si>
    <t>"Indicadores táticos e operacionais: Compreendem os indicadores de responsabilidade das gerências e supervisões. Os indicadores táticos e operacionais da BHTRANS foram estruturados no Projeto Reestruturação de Indicadores da BHTRANS, realizado entre 2014 e 2015. A classificação dos . indicadores entre táticos e operacionais decorre do Projeto de Reestruturação de Indicadores da BHTRANS." [...] Os indicadores operacionais são de interesse das supervisões e refletem ações operacionais, relativas às rotinas das supervisões e dos processos de trabalho.." conforme BHTRANS(2015d1, p.1)</t>
  </si>
  <si>
    <r>
      <t xml:space="preserve">Plano de Mobilidade Urbana de Belo Horizonte ou Plano Diretor de Mobilidade Urbana de Belo Horizonte (PlanMob-BH)
</t>
    </r>
    <r>
      <rPr>
        <b/>
        <sz val="10"/>
        <color theme="1"/>
        <rFont val="Times New Roman"/>
        <family val="1"/>
      </rPr>
      <t xml:space="preserve">obs.1: </t>
    </r>
    <r>
      <rPr>
        <sz val="10"/>
        <color theme="1"/>
        <rFont val="Times New Roman"/>
        <family val="1"/>
      </rPr>
      <t xml:space="preserve">o primeiro PlanMob-BH] "deve ser considerado como composto por oito documentos produzidos sequencialmente, ao longo de cinco anos, de abril de 2007 a outubro de 2012. Esse processo se deu de meados da gestão 2005-2008 até o final da gestão 2009-2012, ao longo de duas gestões municipais consecutivas, portanto. Isto, a despeito de, oficialmente, ser informado que o PlanMob-BH foi realizado [...] entre março de 2008 e agosto de 2010” conforme OLIVEIRA(2014, p.106-107)
</t>
    </r>
    <r>
      <rPr>
        <b/>
        <sz val="10"/>
        <color theme="1"/>
        <rFont val="Times New Roman"/>
        <family val="1"/>
      </rPr>
      <t xml:space="preserve">obs.2: </t>
    </r>
    <r>
      <rPr>
        <sz val="10"/>
        <color theme="1"/>
        <rFont val="Times New Roman"/>
        <family val="1"/>
      </rPr>
      <t xml:space="preserve">as interseções entre PlanMob-BH e Plano Diretor de BH foram apresentadas por TREVISAN(2011); 
</t>
    </r>
    <r>
      <rPr>
        <b/>
        <sz val="10"/>
        <color theme="1"/>
        <rFont val="Times New Roman"/>
        <family val="1"/>
      </rPr>
      <t>obs.3:</t>
    </r>
    <r>
      <rPr>
        <sz val="10"/>
        <color theme="1"/>
        <rFont val="Times New Roman"/>
        <family val="1"/>
      </rPr>
      <t xml:space="preserve"> as estimativas de impactos do PlanMob-BH nas emissões atmosféricas são conforme IEMA(2014a)
</t>
    </r>
    <r>
      <rPr>
        <b/>
        <sz val="10"/>
        <color theme="1"/>
        <rFont val="Times New Roman"/>
        <family val="1"/>
      </rPr>
      <t>obs.4:</t>
    </r>
    <r>
      <rPr>
        <sz val="10"/>
        <color theme="1"/>
        <rFont val="Times New Roman"/>
        <family val="1"/>
      </rPr>
      <t xml:space="preserve"> o primeiro PlanMob-BH (de 2012) foi analisado e comparado com o PlanMob Curitiba por FOLLADOR(2011)
</t>
    </r>
    <r>
      <rPr>
        <b/>
        <sz val="10"/>
        <color theme="1"/>
        <rFont val="Times New Roman"/>
        <family val="1"/>
      </rPr>
      <t>obs.5:</t>
    </r>
    <r>
      <rPr>
        <sz val="10"/>
        <color theme="1"/>
        <rFont val="Times New Roman"/>
        <family val="1"/>
      </rPr>
      <t xml:space="preserve"> o primeiro PlanMob-BH (de 2012)  foi amplamente analisado por OLIVEIRA(2014; 2016i), destacando-se que "A grande ausência no diagnóstico [do PlanMob-BH de 2012] é ter sido ignorada a questão da acessibilidade." conforme OLIVEIRA(2014, p.381)
</t>
    </r>
    <r>
      <rPr>
        <b/>
        <sz val="10"/>
        <color theme="1"/>
        <rFont val="Times New Roman"/>
        <family val="1"/>
      </rPr>
      <t>obs.6:</t>
    </r>
    <r>
      <rPr>
        <sz val="10"/>
        <color theme="1"/>
        <rFont val="Times New Roman"/>
        <family val="1"/>
      </rPr>
      <t xml:space="preserve"> estimativas de impactos do PlanMob-BH (de 2012) nas emissões atmosféricas estão em IEMA(2014a)
</t>
    </r>
    <r>
      <rPr>
        <b/>
        <sz val="10"/>
        <color theme="1"/>
        <rFont val="Times New Roman"/>
        <family val="1"/>
      </rPr>
      <t>obs.7:</t>
    </r>
    <r>
      <rPr>
        <sz val="10"/>
        <color theme="1"/>
        <rFont val="Times New Roman"/>
        <family val="1"/>
      </rPr>
      <t xml:space="preserve"> o que pode ser considerado como segundo PlanMob-BH foi decretado em 2013 conforme BH(2013c), onde as referências à acessibilidade são genéricas (art.2º a 7º e art. 15)
</t>
    </r>
    <r>
      <rPr>
        <b/>
        <sz val="10"/>
        <color theme="1"/>
        <rFont val="Times New Roman"/>
        <family val="1"/>
      </rPr>
      <t xml:space="preserve">obs.8: </t>
    </r>
    <r>
      <rPr>
        <sz val="10"/>
        <color theme="1"/>
        <rFont val="Times New Roman"/>
        <family val="1"/>
      </rPr>
      <t xml:space="preserve">o que pode ser considerado como terceiro PlanMob-BH é o resultado das discussões na 4ª Conferência Municipal de Política Urbana realizada em 2014 que, após revisto pela PBH, foi encaminhado à CMBH em 2015 conforme BH(2015c) e em 2016 conforme BH(2016i)
</t>
    </r>
    <r>
      <rPr>
        <b/>
        <sz val="10"/>
        <color theme="1"/>
        <rFont val="Times New Roman"/>
        <family val="1"/>
      </rPr>
      <t xml:space="preserve">obs.9: </t>
    </r>
    <r>
      <rPr>
        <sz val="10"/>
        <color theme="1"/>
        <rFont val="Times New Roman"/>
        <family val="1"/>
      </rPr>
      <t xml:space="preserve">"O caso de Belo Horizonte" está tratado em nova edição do Caderno de referência para elaboração de Plano de Mobilidade Urbana  em BRASIL(2015b, p.138-139)
</t>
    </r>
    <r>
      <rPr>
        <b/>
        <sz val="10"/>
        <color theme="1"/>
        <rFont val="Times New Roman"/>
        <family val="1"/>
      </rPr>
      <t>obs.10:</t>
    </r>
    <r>
      <rPr>
        <sz val="10"/>
        <color theme="1"/>
        <rFont val="Times New Roman"/>
        <family val="1"/>
      </rPr>
      <t xml:space="preserve"> todo o processo de elaboração e revisão do PlanMob-BH até julho/2015 está analisado em OLIVEIRA(2016i), onde se conclui: "O que fica de tudo isto é que a política de mobilidade urbana vem tentando se sustentar em uma lógica de racionalidade administrativa, com definição de metas, indicadores, programas, planos, etc. A situação se torna mais complexa diante do imperativo de se incluir a participação social que, se não for tomada de forma inovadora, pode se transformar em mero simulacro." (OLIVEIRA,2016i,p.314)</t>
    </r>
  </si>
  <si>
    <r>
      <t xml:space="preserve">índice de conformidade com a acessibilidade do elemento "calçadas" do módulo de análise "elementos das travessias" do corredor de BRT denominado "Antônio Carlos"
</t>
    </r>
    <r>
      <rPr>
        <b/>
        <sz val="10"/>
        <color theme="1"/>
        <rFont val="Times New Roman"/>
        <family val="1"/>
      </rPr>
      <t>obs.1:</t>
    </r>
    <r>
      <rPr>
        <sz val="10"/>
        <color theme="1"/>
        <rFont val="Times New Roman"/>
        <family val="1"/>
      </rPr>
      <t xml:space="preserve"> calculado como a média dos BRT IC das estações inspecionadas
</t>
    </r>
    <r>
      <rPr>
        <b/>
        <sz val="10"/>
        <color theme="1"/>
        <rFont val="Times New Roman"/>
        <family val="1"/>
      </rPr>
      <t xml:space="preserve">obs.2: </t>
    </r>
    <r>
      <rPr>
        <sz val="10"/>
        <color theme="1"/>
        <rFont val="Times New Roman"/>
        <family val="1"/>
      </rPr>
      <t>acesse os verbetes "IC"</t>
    </r>
  </si>
  <si>
    <r>
      <t xml:space="preserve">índice de conformidade com a acessibilidade do elemento "rampas das passarelas" do módulo de análise "passarelas" 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 xml:space="preserve">calculado como a média dos BRT IC das estações inspecionadas 
</t>
    </r>
    <r>
      <rPr>
        <b/>
        <sz val="10"/>
        <color theme="1"/>
        <rFont val="Times New Roman"/>
        <family val="1"/>
      </rPr>
      <t>obs.3:</t>
    </r>
    <r>
      <rPr>
        <sz val="10"/>
        <color theme="1"/>
        <rFont val="Times New Roman"/>
        <family val="1"/>
      </rPr>
      <t xml:space="preserve"> acesse os verbetes "IC"</t>
    </r>
  </si>
  <si>
    <t>BRT IC (bilheterias)</t>
  </si>
  <si>
    <t>BRT IC AC (bilheterias)</t>
  </si>
  <si>
    <t>BRT IC ATC (bilheterias)</t>
  </si>
  <si>
    <t>BRT IC CMC (bilheterias)</t>
  </si>
  <si>
    <t>BRT IC (plataformas elevatórias)</t>
  </si>
  <si>
    <t>BRT IC (elementos de cada estação)</t>
  </si>
  <si>
    <t>BRT IC (módulos de análise de cada estação)</t>
  </si>
  <si>
    <t>BRT IC (elevadores passarelas)</t>
  </si>
  <si>
    <t>BRT IC (elevadores plataformas)</t>
  </si>
  <si>
    <r>
      <t xml:space="preserve">instrumento proposto pela PBH e aprovado na 4ª Conferência Municipal de Política Urbana de Belo Horizonte em 2014 "que considera tratamento para pedestres nas calçadas das centralidades e da rede estruturante de transporte de toda a cidade" conforme BH(2014b, p.462)
</t>
    </r>
    <r>
      <rPr>
        <b/>
        <sz val="10"/>
        <color theme="1"/>
        <rFont val="Times New Roman"/>
        <family val="1"/>
      </rPr>
      <t>obs.1:</t>
    </r>
    <r>
      <rPr>
        <sz val="10"/>
        <color theme="1"/>
        <rFont val="Times New Roman"/>
        <family val="1"/>
      </rPr>
      <t xml:space="preserve"> este mapa é parte intregrante da proposta de Plano Diretor de Belo Horizonte enviada pela PBH à CMBH conforme BH(2015c, art.401)
</t>
    </r>
    <r>
      <rPr>
        <b/>
        <sz val="10"/>
        <color theme="1"/>
        <rFont val="Times New Roman"/>
        <family val="1"/>
      </rPr>
      <t xml:space="preserve">obs.2: </t>
    </r>
    <r>
      <rPr>
        <sz val="10"/>
        <color theme="1"/>
        <rFont val="Times New Roman"/>
        <family val="1"/>
      </rPr>
      <t>acesse o verbete "calçada" de Belo Horizonte</t>
    </r>
  </si>
  <si>
    <t>BRT IC
(meta)</t>
  </si>
  <si>
    <t>Antônio Carlos</t>
  </si>
  <si>
    <t>Cristiano Machado</t>
  </si>
  <si>
    <t>média do sistema</t>
  </si>
  <si>
    <t>Área Central</t>
  </si>
  <si>
    <t>travessias</t>
  </si>
  <si>
    <t>passarelas</t>
  </si>
  <si>
    <t>acessos às plataformas</t>
  </si>
  <si>
    <t>elementos das plataformas</t>
  </si>
  <si>
    <t>calçadas</t>
  </si>
  <si>
    <t>rebaixos</t>
  </si>
  <si>
    <t>geral passarelas</t>
  </si>
  <si>
    <t>rampas passarelas</t>
  </si>
  <si>
    <t>escadarias passarelas</t>
  </si>
  <si>
    <t>corrimãos passarelas</t>
  </si>
  <si>
    <t>rampas plataformas</t>
  </si>
  <si>
    <t>escadarias plataformas</t>
  </si>
  <si>
    <t>corrimãos plataformas</t>
  </si>
  <si>
    <t>bilheterias</t>
  </si>
  <si>
    <t>máquinas</t>
  </si>
  <si>
    <t>catracas</t>
  </si>
  <si>
    <t>mapas</t>
  </si>
  <si>
    <t>geral plataformas</t>
  </si>
  <si>
    <t>sinalização</t>
  </si>
  <si>
    <t>Gráfico 82a - Indicadores BRT IC (índices de conformidade com a acessibilidade do BRT) de Belo Horizonte por corredor - (2016)</t>
  </si>
  <si>
    <t>Gráfico 82b - Indicadores BRT IC (índices de conformidade com a acessibilidade do BRT) de Belo Horizonte por módulo de análise (2016)</t>
  </si>
  <si>
    <t>Gráfico 82c - Indicadores BRT IC (índices de conformidade com a acessibilidade do BRT) de Belo Horizonte por elemento (2016)</t>
  </si>
  <si>
    <r>
      <rPr>
        <b/>
        <sz val="12"/>
        <rFont val="Times New Roman"/>
        <family val="1"/>
      </rPr>
      <t xml:space="preserve">BH(2013d): </t>
    </r>
    <r>
      <rPr>
        <sz val="12"/>
        <rFont val="Times New Roman"/>
        <family val="1"/>
      </rPr>
      <t xml:space="preserve">BELO HORIZONTE. Prefeitura. </t>
    </r>
    <r>
      <rPr>
        <i/>
        <sz val="12"/>
        <rFont val="Times New Roman"/>
        <family val="1"/>
      </rPr>
      <t>AMAR BH visa a acessibilidade e a qualidade ambiental na cidade</t>
    </r>
    <r>
      <rPr>
        <sz val="12"/>
        <rFont val="Times New Roman"/>
        <family val="1"/>
      </rPr>
      <t xml:space="preserve">. Belo Horizonte, [março de 2013]. Disponível em: &lt;http://portalpbh.pbh.gov.br/pbh/ecp/comunidade.do?app=amarbh&gt;. Acesso em: 16 dez. 2016. </t>
    </r>
  </si>
  <si>
    <r>
      <rPr>
        <b/>
        <sz val="12"/>
        <color theme="1"/>
        <rFont val="Times New Roman"/>
        <family val="1"/>
      </rPr>
      <t>BHTRANS(2014k1):</t>
    </r>
    <r>
      <rPr>
        <sz val="12"/>
        <color theme="1"/>
        <rFont val="Times New Roman"/>
        <family val="1"/>
      </rPr>
      <t xml:space="preserve"> EMPRESA DE TRANSPORTES E TRÂNSITO DE BELO HORIZONTE S.A - BHTRANS. Sistema de Informações da Mobilidade Urbana de Belo Horizonte (SisMob-BH). </t>
    </r>
    <r>
      <rPr>
        <i/>
        <sz val="12"/>
        <color theme="1"/>
        <rFont val="Times New Roman"/>
        <family val="1"/>
      </rPr>
      <t xml:space="preserve">Tabela 59 - Indicadores de fiscalização urbanística integrada. </t>
    </r>
    <r>
      <rPr>
        <sz val="12"/>
        <color theme="1"/>
        <rFont val="Times New Roman"/>
        <family val="1"/>
      </rPr>
      <t>Belo Horizonte, 26 ago. 2014. Disponível em: &lt;http://www.bhtrans.pbh.gov.br/portal/page/portal/portalpublicodl/Temas/Observatorio/SISMOBBH-2013/tabela59_260814.pdf&gt;  Acesso em: 16 dez. 2016.</t>
    </r>
  </si>
  <si>
    <r>
      <rPr>
        <b/>
        <sz val="12"/>
        <color theme="1"/>
        <rFont val="Times New Roman"/>
        <family val="1"/>
      </rPr>
      <t>BHTRANS(2014k2):</t>
    </r>
    <r>
      <rPr>
        <sz val="12"/>
        <color theme="1"/>
        <rFont val="Times New Roman"/>
        <family val="1"/>
      </rPr>
      <t xml:space="preserve"> EMPRESA DE TRANSPORTES E TRÂNSITO DE BELO HORIZONTE S.A - BHTRANS. Sistema de Informações da Mobilidade Urbana de Belo Horizonte (SisMob-BH). </t>
    </r>
    <r>
      <rPr>
        <i/>
        <sz val="12"/>
        <color theme="1"/>
        <rFont val="Times New Roman"/>
        <family val="1"/>
      </rPr>
      <t xml:space="preserve">Quadro 59 - Ficha técnica do indicador URB(BH) - conformidade com a legislação urbanística da cidade de Belo Horizonte. </t>
    </r>
    <r>
      <rPr>
        <sz val="12"/>
        <color theme="1"/>
        <rFont val="Times New Roman"/>
        <family val="1"/>
      </rPr>
      <t>Belo Horizonte, 2 set. 2014. Disponível em: &lt;http://www.bhtrans.pbh.gov.br/portal/page/portal/portalpublicodl/Temas/Observatorio/SISMOBBH-2013/quadro59_020914.pdf&gt;  Acesso em: 16 dez. 2016.</t>
    </r>
  </si>
  <si>
    <t>BRT IC (módulo passarelas)</t>
  </si>
  <si>
    <t>BRT IC (módulo travessias)</t>
  </si>
  <si>
    <t>BRT IC (módulo acessos plataformas)</t>
  </si>
  <si>
    <t>BRT IC AC (módulo travessias)</t>
  </si>
  <si>
    <t>BRT IC AC (módulo passarelas)</t>
  </si>
  <si>
    <t>BRT IC AC (módulo acessos plataformas)</t>
  </si>
  <si>
    <t>BRT IC AC (módulo plataformas)</t>
  </si>
  <si>
    <t>BRT IC ATC (módulo travessias)</t>
  </si>
  <si>
    <t>BRT IC ATC (módulo passarelas)</t>
  </si>
  <si>
    <t>BRT IC ATC (módulo acessos plataformas)</t>
  </si>
  <si>
    <t>BRT IC ATC (módulo plataformas)</t>
  </si>
  <si>
    <t>BRT IC CMC (módulo travessias)</t>
  </si>
  <si>
    <t>BRT IC CMC (módulo passarelas)</t>
  </si>
  <si>
    <t>BRT IC CMC (módulo acessos plataformas)</t>
  </si>
  <si>
    <t>BRT IC CMC (módulo plataformas)</t>
  </si>
  <si>
    <t>BRT IC (passarelas geral)</t>
  </si>
  <si>
    <t>BRT IC AC (passarelas geral)</t>
  </si>
  <si>
    <t>BRT IC ATC (passarelas geral)</t>
  </si>
  <si>
    <t>BRT IC CMC (passarelas geral)</t>
  </si>
  <si>
    <t>BRT IC AC (passarelas rampas)</t>
  </si>
  <si>
    <t>BRT IC ATC (passarelas rampas)</t>
  </si>
  <si>
    <t>BRT IC CMC (passarelas rampas)</t>
  </si>
  <si>
    <t>BRT IC AC (passarelas escadarias)</t>
  </si>
  <si>
    <t>BRT IC ATC (passarelas escadarias)</t>
  </si>
  <si>
    <t>BRT IC CMC (passarelas escadarias)</t>
  </si>
  <si>
    <t>BRT IC (passarelas corrimãos)</t>
  </si>
  <si>
    <t>BRT IC AC (passarelas corrimãos)</t>
  </si>
  <si>
    <t>BRT IC ATC (passarelas corrimãos)</t>
  </si>
  <si>
    <t>BRT IC CMC (passarelas corrimãos)</t>
  </si>
  <si>
    <t>BRT IC (passarelas rampas)</t>
  </si>
  <si>
    <t>BRT IC (estações)</t>
  </si>
  <si>
    <t>BRT IC (passarelas escadarias)</t>
  </si>
  <si>
    <t>nota técnica de acessibilidade n.º 3</t>
  </si>
  <si>
    <t>BRT IC (plataformas/ corrimãos)</t>
  </si>
  <si>
    <t>BRT IC (plataformas/ escadarias)</t>
  </si>
  <si>
    <t>BRT IC (plataformas/ geral)</t>
  </si>
  <si>
    <t>BRT IC (plataformas/ rampas)</t>
  </si>
  <si>
    <t>BRT IC AC (plataformas/ corrimãos)</t>
  </si>
  <si>
    <t>BRT IC AC (plataformas/ escadarias)</t>
  </si>
  <si>
    <t>BRT IC AC (plataformas/ rampas)</t>
  </si>
  <si>
    <t>BRT IC AC (plataformas/ geral)</t>
  </si>
  <si>
    <t>BRT IC ATC (plataformas/ corrimãos)</t>
  </si>
  <si>
    <t>BRT IC ATC (plataformas/ escadarias)</t>
  </si>
  <si>
    <t>BRT IC ATC (plataformas/ geral)</t>
  </si>
  <si>
    <t>BRT IC ATC (plataformas/ rampas)</t>
  </si>
  <si>
    <t>BRT IC CMC (plataformas/ geral )</t>
  </si>
  <si>
    <t>BRT IC CMC (plataformas/ escadarias)</t>
  </si>
  <si>
    <t>BRT IC CMC (plataformas/ rampas)</t>
  </si>
  <si>
    <t>BRT IC CMC (plataformas/ corrimãos)</t>
  </si>
  <si>
    <t>acesse os registros BRT (km)</t>
  </si>
  <si>
    <t>BRT
(NAD)</t>
  </si>
  <si>
    <t>BRT
(NAE)</t>
  </si>
  <si>
    <t>BRT
(NAN)</t>
  </si>
  <si>
    <t>BRT AC
(NAD)</t>
  </si>
  <si>
    <t>BRT AC
(NAN)</t>
  </si>
  <si>
    <t xml:space="preserve">NET BRT </t>
  </si>
  <si>
    <t>NET BRT AC</t>
  </si>
  <si>
    <t>NET BRT ATC</t>
  </si>
  <si>
    <t>NET BRT CMC</t>
  </si>
  <si>
    <t xml:space="preserve">NEI BRT </t>
  </si>
  <si>
    <r>
      <t xml:space="preserve">n.º de estações de integração nos corredores de BRT de Belo Horizonte
</t>
    </r>
    <r>
      <rPr>
        <b/>
        <sz val="10"/>
        <color theme="1"/>
        <rFont val="Times New Roman"/>
        <family val="1"/>
      </rPr>
      <t>obs.:</t>
    </r>
    <r>
      <rPr>
        <sz val="10"/>
        <color theme="1"/>
        <rFont val="Times New Roman"/>
        <family val="1"/>
      </rPr>
      <t xml:space="preserve"> o BRT de Belo Horizonte inaugurado em 2014 é constituido por três corredores: Área Central, Antônio Carlos e Cristiano Machado</t>
    </r>
  </si>
  <si>
    <r>
      <t xml:space="preserve">n.º de estações de transferência nos corredores de BRT de Belo Horizonte
</t>
    </r>
    <r>
      <rPr>
        <b/>
        <sz val="10"/>
        <color theme="1"/>
        <rFont val="Times New Roman"/>
        <family val="1"/>
      </rPr>
      <t>obs.:</t>
    </r>
    <r>
      <rPr>
        <sz val="10"/>
        <color theme="1"/>
        <rFont val="Times New Roman"/>
        <family val="1"/>
      </rPr>
      <t xml:space="preserve"> o BRT de Belo Horizonte inaugurado em 2014 é constituido por três corredores: Área Central, Antônio Carlos e Cristiano Machado</t>
    </r>
  </si>
  <si>
    <r>
      <t xml:space="preserve">n.º de estações de transferência no corredor de Belo Horizonte denominado "Área Central" (opera em: Avenida Paraná e Avenida Santos Dumont)
</t>
    </r>
    <r>
      <rPr>
        <b/>
        <sz val="10"/>
        <color theme="1"/>
        <rFont val="Times New Roman"/>
        <family val="1"/>
      </rPr>
      <t xml:space="preserve">obs.: </t>
    </r>
    <r>
      <rPr>
        <sz val="10"/>
        <color theme="1"/>
        <rFont val="Times New Roman"/>
        <family val="1"/>
      </rPr>
      <t>parcela do indicador "NET BRT"</t>
    </r>
  </si>
  <si>
    <r>
      <t xml:space="preserve">n.º de estações de transferência no corredor Antônio Carlos do BRT de Belo Horizonte (opera em: Avenida Antônio Carlos, Avenida Pedro I e Avenida Vilarinho
</t>
    </r>
    <r>
      <rPr>
        <b/>
        <sz val="10"/>
        <color theme="1"/>
        <rFont val="Times New Roman"/>
        <family val="1"/>
      </rPr>
      <t xml:space="preserve">obs.: </t>
    </r>
    <r>
      <rPr>
        <sz val="10"/>
        <color theme="1"/>
        <rFont val="Times New Roman"/>
        <family val="1"/>
      </rPr>
      <t>parcela do indicador "NET BRT"</t>
    </r>
  </si>
  <si>
    <r>
      <t xml:space="preserve">n.º de estações de transferência no corredor Cristiano Machado do BRT de Belo Horizonte (opera na Avenida Cristiano Machado)
</t>
    </r>
    <r>
      <rPr>
        <b/>
        <sz val="10"/>
        <color theme="1"/>
        <rFont val="Times New Roman"/>
        <family val="1"/>
      </rPr>
      <t xml:space="preserve">obs.: </t>
    </r>
    <r>
      <rPr>
        <sz val="10"/>
        <color theme="1"/>
        <rFont val="Times New Roman"/>
        <family val="1"/>
      </rPr>
      <t>parcela do indicador "NET BRT"</t>
    </r>
  </si>
  <si>
    <t>acesse os registros "NEI BRT" e "NET BRT"</t>
  </si>
  <si>
    <r>
      <t xml:space="preserve">modalidade de BRT no qual há operação em corredor com embarque/desembarque em nível e operação fora do corredor com embarque/desembarque em desnível
</t>
    </r>
    <r>
      <rPr>
        <b/>
        <sz val="10"/>
        <color theme="1"/>
        <rFont val="Times New Roman"/>
        <family val="1"/>
      </rPr>
      <t xml:space="preserve">obs.: </t>
    </r>
    <r>
      <rPr>
        <sz val="10"/>
        <color theme="1"/>
        <rFont val="Times New Roman"/>
        <family val="1"/>
      </rPr>
      <t>acesse o registro "BRT completo"</t>
    </r>
  </si>
  <si>
    <r>
      <t xml:space="preserve">"Até hoje [2008], sistemas de 'BRT completo', incluindo todas as características de serviço de alta qualidade, só foram desenvolvidos em Bogotá (Colômbia) e Curitiba (Brasil)." conforme WRIGHT(2008,p.1)
</t>
    </r>
    <r>
      <rPr>
        <b/>
        <sz val="10"/>
        <color theme="1"/>
        <rFont val="Times New Roman"/>
        <family val="1"/>
      </rPr>
      <t xml:space="preserve">obs.: </t>
    </r>
    <r>
      <rPr>
        <sz val="10"/>
        <color theme="1"/>
        <rFont val="Times New Roman"/>
        <family val="1"/>
      </rPr>
      <t>acesse o registro "BRT misto"</t>
    </r>
  </si>
  <si>
    <r>
      <t xml:space="preserve">abreviatura de Bus Rapid Transit
</t>
    </r>
    <r>
      <rPr>
        <b/>
        <sz val="10"/>
        <color theme="1"/>
        <rFont val="Times New Roman"/>
        <family val="1"/>
      </rPr>
      <t>obs.2:</t>
    </r>
    <r>
      <rPr>
        <sz val="10"/>
        <color theme="1"/>
        <rFont val="Times New Roman"/>
        <family val="1"/>
      </rPr>
      <t xml:space="preserve">  "Até hoje [2008], sistemas de 'BRT completo', incluindo todas as características de serviço de alta qualidade, só foram desenvolvidos em Bogotá (Colômbia) e Curitiba (Brasil). Outros sistemas avançados de países em desenvolvimento incluem Goiânia (Brasil), Jacarta (Indonésia) e Quito (Equador). Entre os países desenvolvidos, sistemas de alta qualidade foram implementados em Brisbane (Austrália), Ottawa (Canadá) e ROUEN (França). No total, aproximadamente 40 cidades em seis continentes já implementaram 'sistemas de BRT' e um número maior de sistemas está em construção ou em planejamento." conforme WRIGHT(2008,p.1)
</t>
    </r>
    <r>
      <rPr>
        <b/>
        <sz val="10"/>
        <color theme="1"/>
        <rFont val="Times New Roman"/>
        <family val="1"/>
      </rPr>
      <t>obs.2:</t>
    </r>
    <r>
      <rPr>
        <sz val="10"/>
        <color theme="1"/>
        <rFont val="Times New Roman"/>
        <family val="1"/>
      </rPr>
      <t xml:space="preserve"> acesse os verbetes "BRT completo" e "BRT misto"</t>
    </r>
  </si>
  <si>
    <t>BRT CMC (extensão)</t>
  </si>
  <si>
    <t>BRT ATC (extensão)</t>
  </si>
  <si>
    <t>BRT AC
(extensão)</t>
  </si>
  <si>
    <t>BRT
(extensão)</t>
  </si>
  <si>
    <t>BRT Move metropolitano</t>
  </si>
  <si>
    <t>BRT Move municipal</t>
  </si>
  <si>
    <t>acesse verbetes: "BRT" de Belo Horizonte e "Move"</t>
  </si>
  <si>
    <t>acesse verbetes: "BRT" de RMBH e "Move"</t>
  </si>
  <si>
    <t>extação de integração BRT</t>
  </si>
  <si>
    <t>extação de transferência BRT</t>
  </si>
  <si>
    <r>
      <rPr>
        <b/>
        <sz val="12"/>
        <color theme="1"/>
        <rFont val="Times New Roman"/>
        <family val="1"/>
      </rPr>
      <t>BHTRANS(2014m1):</t>
    </r>
    <r>
      <rPr>
        <sz val="12"/>
        <color theme="1"/>
        <rFont val="Times New Roman"/>
        <family val="1"/>
      </rPr>
      <t xml:space="preserve"> EMPRESA DE TRANSPORTES E TRÂNSITO DE BELO HORIZONTE S.A - BHTRANS. Portal BHTrans. </t>
    </r>
    <r>
      <rPr>
        <i/>
        <sz val="12"/>
        <color theme="1"/>
        <rFont val="Times New Roman"/>
        <family val="1"/>
      </rPr>
      <t>MOVE - Perguntas Frequentes.</t>
    </r>
    <r>
      <rPr>
        <sz val="12"/>
        <color theme="1"/>
        <rFont val="Times New Roman"/>
        <family val="1"/>
      </rPr>
      <t xml:space="preserve"> Belo Horizonte, [2014]. Disponível em: &lt;http://www.bhtrans.pbh.gov.br/portal/page/portal/portalpublico/Temas/Onibus/MOVE/perguntas-frequentes-MOVE&gt;  Acesso em: 19 dez. 2016.</t>
    </r>
  </si>
  <si>
    <r>
      <t xml:space="preserve">denominação dada em 2012 ao BRT de Belo Horizonte inaugurado em 2014
</t>
    </r>
    <r>
      <rPr>
        <b/>
        <sz val="10"/>
        <color theme="1"/>
        <rFont val="Times New Roman"/>
        <family val="1"/>
      </rPr>
      <t xml:space="preserve">obs.1: </t>
    </r>
    <r>
      <rPr>
        <sz val="10"/>
        <color theme="1"/>
        <rFont val="Times New Roman"/>
        <family val="1"/>
      </rPr>
      <t xml:space="preserve">"MOVE induz deslocamento, provoca inquietude para movimentar-se. Move significa ir de um lugar a outro." conforme VERDI(2012,s.25)
</t>
    </r>
    <r>
      <rPr>
        <b/>
        <sz val="10"/>
        <color theme="1"/>
        <rFont val="Times New Roman"/>
        <family val="1"/>
      </rPr>
      <t xml:space="preserve">obs.2: </t>
    </r>
    <r>
      <rPr>
        <sz val="10"/>
        <color theme="1"/>
        <rFont val="Times New Roman"/>
        <family val="1"/>
      </rPr>
      <t xml:space="preserve">"Por que MOVE? Em vez de sigla ou de um nome descritivo, a opção da BHTRANS foi por uma marca que identificasse os atributos do sistema. Chegou-se assim ao nome MOVE, valorizando o ato de você se movimentar de um ponto a outro, de ir em frente, com uma marca que tem legibilidade, fácil grafia e originalidade. O nome, identificado também por um M, reforça o conceito de integração que o MOVE vai trazer para diversas regiões da cidade. O slogan é 'MOVE: você e a cidade' dando uma ideia do indivíduo e, ao mesmo tempo, do coletivo.” conforme BHTRANS(2014m1)
</t>
    </r>
    <r>
      <rPr>
        <b/>
        <sz val="10"/>
        <color theme="1"/>
        <rFont val="Times New Roman"/>
        <family val="1"/>
      </rPr>
      <t xml:space="preserve">obs.3: </t>
    </r>
    <r>
      <rPr>
        <sz val="10"/>
        <color theme="1"/>
        <rFont val="Times New Roman"/>
        <family val="1"/>
      </rPr>
      <t>acesse os verbetes "BRT" de Belo Horizonte e de RMBH</t>
    </r>
  </si>
  <si>
    <r>
      <t xml:space="preserve">extensão total (em km) do corredor de BRT de Belo Horizonte denominado "Área Central" (opera em: Avenida Paraná e Avenida Santos Dumont)
</t>
    </r>
    <r>
      <rPr>
        <b/>
        <sz val="10"/>
        <color theme="1"/>
        <rFont val="Times New Roman"/>
        <family val="1"/>
      </rPr>
      <t>obs.:</t>
    </r>
    <r>
      <rPr>
        <sz val="10"/>
        <color theme="1"/>
        <rFont val="Times New Roman"/>
        <family val="1"/>
      </rPr>
      <t xml:space="preserve"> resultados de 2014-2015 conforme BHTRANS(2014m1) e WRI(2016j2, p.25)</t>
    </r>
  </si>
  <si>
    <r>
      <t xml:space="preserve">"Estações de Integração: São estações maiores onde ocorrerá a ligação entre as linhas alimentadoras vindas de diversos bairros e as linhas do MOVE" conforme BHTRANS(2014m1)
</t>
    </r>
    <r>
      <rPr>
        <b/>
        <sz val="10"/>
        <color theme="1"/>
        <rFont val="Times New Roman"/>
        <family val="1"/>
      </rPr>
      <t xml:space="preserve">obs.: </t>
    </r>
    <r>
      <rPr>
        <sz val="10"/>
        <color theme="1"/>
        <rFont val="Times New Roman"/>
        <family val="1"/>
      </rPr>
      <t>acesse o verbete "BRT" de Belo Horizonte</t>
    </r>
  </si>
  <si>
    <r>
      <t xml:space="preserve">"Estações de Transferência: São as estações localizadas ao longo do corredor MOVE Antônio Carlos, MOVE Cristiano Machado, e nas avenidas Paraná e Santos Dumont na Área Central" conforme BHTRANS(2014m1)
</t>
    </r>
    <r>
      <rPr>
        <b/>
        <sz val="10"/>
        <color theme="1"/>
        <rFont val="Times New Roman"/>
        <family val="1"/>
      </rPr>
      <t xml:space="preserve">obs.: </t>
    </r>
    <r>
      <rPr>
        <sz val="10"/>
        <color theme="1"/>
        <rFont val="Times New Roman"/>
        <family val="1"/>
      </rPr>
      <t>acesse o verbete "BRT" de Belo Horizonte</t>
    </r>
  </si>
  <si>
    <r>
      <rPr>
        <b/>
        <sz val="12"/>
        <color theme="1"/>
        <rFont val="Times New Roman"/>
        <family val="1"/>
      </rPr>
      <t>BHTRANS(2014m2):</t>
    </r>
    <r>
      <rPr>
        <sz val="12"/>
        <color theme="1"/>
        <rFont val="Times New Roman"/>
        <family val="1"/>
      </rPr>
      <t xml:space="preserve"> EMPRESA DE TRANSPORTES E TRÂNSITO DE BELO HORIZONTE S.A - BHTRANS. </t>
    </r>
    <r>
      <rPr>
        <i/>
        <sz val="12"/>
        <color theme="1"/>
        <rFont val="Times New Roman"/>
        <family val="1"/>
      </rPr>
      <t>Conheça as primeiras linhas do BRT Move.</t>
    </r>
    <r>
      <rPr>
        <sz val="12"/>
        <color theme="1"/>
        <rFont val="Times New Roman"/>
        <family val="1"/>
      </rPr>
      <t xml:space="preserve"> Belo Horizonte, [março de 2014]. [4p.]</t>
    </r>
  </si>
  <si>
    <r>
      <rPr>
        <b/>
        <sz val="12"/>
        <color theme="1"/>
        <rFont val="Times New Roman"/>
        <family val="1"/>
      </rPr>
      <t xml:space="preserve">BHTRANS(2013d4): </t>
    </r>
    <r>
      <rPr>
        <sz val="12"/>
        <color theme="1"/>
        <rFont val="Times New Roman"/>
        <family val="1"/>
      </rPr>
      <t xml:space="preserve">EMPRESA DE TRANSPORTES E TRÂNSITO DE BELO HORIZONTE S.A - BHTRANS. Diretoria de Ação Regional e Operação - DRO. Gerência de Gestão de Pessoas - Gespe/DAF. </t>
    </r>
    <r>
      <rPr>
        <i/>
        <sz val="12"/>
        <color theme="1"/>
        <rFont val="Times New Roman"/>
        <family val="1"/>
      </rPr>
      <t>Dados [completo em planilha excell] sobre pessoal e folha de pagamento - dezembro/2012</t>
    </r>
    <r>
      <rPr>
        <sz val="12"/>
        <color theme="1"/>
        <rFont val="Times New Roman"/>
        <family val="1"/>
      </rPr>
      <t>. Belo Horizonte: BHTrans, 2013. p.8 (Quadro BHTRans e terceirizados)</t>
    </r>
  </si>
  <si>
    <r>
      <rPr>
        <b/>
        <sz val="12"/>
        <rFont val="Times New Roman"/>
        <family val="1"/>
      </rPr>
      <t xml:space="preserve">BHTRANS(2014i): </t>
    </r>
    <r>
      <rPr>
        <sz val="12"/>
        <rFont val="Times New Roman"/>
        <family val="1"/>
      </rPr>
      <t>EMPRESA DE TRANSPORTES E TRÂNSITO DE BELO HORIZONTE S.A - BHTRANS. Diretoria de Ação Regional e Operação - DRO. Gerência de Apoio Operacional - Geaop/DRO.</t>
    </r>
    <r>
      <rPr>
        <i/>
        <sz val="12"/>
        <rFont val="Times New Roman"/>
        <family val="1"/>
      </rPr>
      <t xml:space="preserve"> Procedimentos Operacionais Padrão - POP's - GEAOP</t>
    </r>
    <r>
      <rPr>
        <sz val="12"/>
        <rFont val="Times New Roman"/>
        <family val="1"/>
      </rPr>
      <t>. Belo Horizonte: BHTrans, 21 jul. 2014. Disponível [no portal interno da BHTrans] em: &lt;http://www.bhtrans.pbh.gov.br/portal/page/portal/portalrestrito/Público%20Alvo/DIRF/GCOF01/GERF0103/Procedimentos%20Operacionais&gt;. Acesso em: 17 maio 2016.</t>
    </r>
  </si>
  <si>
    <r>
      <rPr>
        <b/>
        <sz val="12"/>
        <color theme="1"/>
        <rFont val="Times New Roman"/>
        <family val="1"/>
      </rPr>
      <t>BHTRANS(2015p).</t>
    </r>
    <r>
      <rPr>
        <sz val="12"/>
        <color theme="1"/>
        <rFont val="Times New Roman"/>
        <family val="1"/>
      </rPr>
      <t xml:space="preserve"> EMPRESA DE TRANSPORTES E TRÂNSITO DE BELO HORIZONTE S.A - BHTRANS. Diretoria de Ação Regional e Operação - DRO. Gerência de Planejamento e Controle Operacional - Geplo/DRO. Portal interno. </t>
    </r>
    <r>
      <rPr>
        <i/>
        <sz val="12"/>
        <color theme="1"/>
        <rFont val="Times New Roman"/>
        <family val="1"/>
      </rPr>
      <t>Base de dados - Quantitativos da Sinalização Semafórica de Belo Horizonte</t>
    </r>
    <r>
      <rPr>
        <sz val="12"/>
        <color theme="1"/>
        <rFont val="Times New Roman"/>
        <family val="1"/>
      </rPr>
      <t>. Publicada por João Almeida em 26/03/10. Atualizada por João Almeida em 12/04/15. Acesso em: 12 abr.2015.</t>
    </r>
  </si>
  <si>
    <r>
      <rPr>
        <b/>
        <sz val="12"/>
        <color theme="1"/>
        <rFont val="Times New Roman"/>
        <family val="1"/>
      </rPr>
      <t>BHTRANS(2015q).</t>
    </r>
    <r>
      <rPr>
        <sz val="12"/>
        <color theme="1"/>
        <rFont val="Times New Roman"/>
        <family val="1"/>
      </rPr>
      <t xml:space="preserve"> EMPRESA DE TRANSPORTES E TRÂNSITO DE BELO HORIZONTE S.A - BHTRANS. Diretoria de Ação Regional e Operação - DRO. Gerência da Central de Operação de Tráfego - Gecot/Suot/DRO. Portal interno. </t>
    </r>
    <r>
      <rPr>
        <i/>
        <sz val="12"/>
        <color theme="1"/>
        <rFont val="Times New Roman"/>
        <family val="1"/>
      </rPr>
      <t>Relatório de atividades GECOT.</t>
    </r>
    <r>
      <rPr>
        <sz val="12"/>
        <color theme="1"/>
        <rFont val="Times New Roman"/>
        <family val="1"/>
      </rPr>
      <t xml:space="preserve"> Belo Horizonte: BHTrans, dezembro 2014. 58p. Acesso em: 19 jan. 2016. faltando baixar.</t>
    </r>
  </si>
  <si>
    <t>POP.TS - 29</t>
  </si>
  <si>
    <r>
      <t xml:space="preserve">POP de trânsito sobre "Livre circulação, estacionamento e parada de veículos caracterizados da frota operacional da BHTran"
</t>
    </r>
    <r>
      <rPr>
        <b/>
        <sz val="10"/>
        <color theme="1"/>
        <rFont val="Times New Roman"/>
        <family val="1"/>
      </rPr>
      <t xml:space="preserve">obs.: </t>
    </r>
    <r>
      <rPr>
        <sz val="10"/>
        <color theme="1"/>
        <rFont val="Times New Roman"/>
        <family val="1"/>
      </rPr>
      <t>acesse versão C (vigente em 13/12/2016) em BHTRANS(2016wi) que atualiza a versão B (vigente a partir de 24/09/2012)</t>
    </r>
  </si>
  <si>
    <r>
      <t xml:space="preserve">POP de trânsito sobre "Estacionamento reservadas [sic] para veículos utilizados no transporte de pessoas com deficiência com dificuldade de locomoção ou idosos"
</t>
    </r>
    <r>
      <rPr>
        <b/>
        <sz val="10"/>
        <color theme="1"/>
        <rFont val="Times New Roman"/>
        <family val="1"/>
      </rPr>
      <t xml:space="preserve">obs.: </t>
    </r>
    <r>
      <rPr>
        <sz val="10"/>
        <color theme="1"/>
        <rFont val="Times New Roman"/>
        <family val="1"/>
      </rPr>
      <t>acesse versão B (vigente em 17/05/2010) em BHTRANS(2010b)</t>
    </r>
  </si>
  <si>
    <r>
      <rPr>
        <b/>
        <sz val="12"/>
        <rFont val="Times New Roman"/>
        <family val="1"/>
      </rPr>
      <t xml:space="preserve">BHTRANS(2010b): </t>
    </r>
    <r>
      <rPr>
        <sz val="12"/>
        <rFont val="Times New Roman"/>
        <family val="1"/>
      </rPr>
      <t xml:space="preserve"> EMPRESA DE TRANSPORTES E TRÂNSITO DE BELO HORIZONTE S.A - BHTRANS. Diretoria de Ação Regional e Operação - DRO. Gerência de Apoio Operacional - Geaop/DRO. </t>
    </r>
    <r>
      <rPr>
        <i/>
        <sz val="12"/>
        <rFont val="Times New Roman"/>
        <family val="1"/>
      </rPr>
      <t>Procedimento Operacional - Trânsito / POP. TS - 01 / Versão B</t>
    </r>
    <r>
      <rPr>
        <sz val="12"/>
        <rFont val="Times New Roman"/>
        <family val="1"/>
      </rPr>
      <t>. Assunto: Estacionamento reservadas [sic] para veículos utilizados no transportes de pessoas com deficiência com dificuldade de locomoção ou idosos. Belo Horizonte: BHTrans, 17 maio 2010. 14p. [vigência: 17/05/2010]</t>
    </r>
  </si>
  <si>
    <t>Procedimento Operacional Padrão [relativo às] Estações [do transporte coletivo] conforme BHTRANS(2014i)</t>
  </si>
  <si>
    <t>Procedimento Operacional Padrão [de] Transportes conforme BHTRANS(2014i)</t>
  </si>
  <si>
    <t>Procedimento Operacional Padrão [de] Trânsito conforme BHTRANS(2014i)</t>
  </si>
  <si>
    <t>Procedimento Operacional Padrão [tipo] Administrativo conforme BHTRANS(2014i)</t>
  </si>
  <si>
    <t>Procedimento Operacional Padrão [tipo] emergenciais conforme BHTRANS(2014i)</t>
  </si>
  <si>
    <t>verbete MFO</t>
  </si>
  <si>
    <r>
      <rPr>
        <b/>
        <sz val="12"/>
        <rFont val="Times New Roman"/>
        <family val="1"/>
      </rPr>
      <t xml:space="preserve">BHTRANS(2011d2): </t>
    </r>
    <r>
      <rPr>
        <sz val="12"/>
        <color theme="1"/>
        <rFont val="Times New Roman"/>
        <family val="1"/>
      </rPr>
      <t xml:space="preserve">EMPRESA DE TRANSPORTES E TRÂNSITO DE BELO HORIZONTE S.A - BHTRANS. Gerência de Semáforos - GESEM/DSV. Portal intreno. </t>
    </r>
    <r>
      <rPr>
        <i/>
        <sz val="12"/>
        <color theme="1"/>
        <rFont val="Times New Roman"/>
        <family val="1"/>
      </rPr>
      <t>GESEM Conclui Projeto de Substituição das Lâmpadas Convencionais dos Semáforos por Lâmpadas a LED</t>
    </r>
    <r>
      <rPr>
        <sz val="12"/>
        <color theme="1"/>
        <rFont val="Times New Roman"/>
        <family val="1"/>
      </rPr>
      <t>. Belo Horizonte: BHTrans, 1º set. 2011. Disponível em: &lt;http://www.bhtrans.pbh.gov.br/portal/page/portal/portalrestrito/Público%20Alvo/DIRH/GCOH02/GERH0202/gesem_004&gt;. Acesso em: 19 dez. 2016.</t>
    </r>
  </si>
  <si>
    <r>
      <rPr>
        <b/>
        <sz val="12"/>
        <rFont val="Times New Roman"/>
        <family val="1"/>
      </rPr>
      <t xml:space="preserve">BHTRANS(2011d3): </t>
    </r>
    <r>
      <rPr>
        <sz val="12"/>
        <color theme="1"/>
        <rFont val="Times New Roman"/>
        <family val="1"/>
      </rPr>
      <t xml:space="preserve">EMPRESA DE TRANSPORTES E TRÂNSITO DE BELO HORIZONTE S.A - BHTRANS. Gerência de Semáforos - GESEM/DSV. Portal intreno. </t>
    </r>
    <r>
      <rPr>
        <i/>
        <sz val="12"/>
        <color theme="1"/>
        <rFont val="Times New Roman"/>
        <family val="1"/>
      </rPr>
      <t>Planilha excell: Totalização da implantação LED</t>
    </r>
    <r>
      <rPr>
        <sz val="12"/>
        <color theme="1"/>
        <rFont val="Times New Roman"/>
        <family val="1"/>
      </rPr>
      <t>. Belo Horizonte: BHTrans, 1º set. 2011. Disponível para baixar em: &lt;http://www.bhtrans.pbh.gov.br/portal/page/portal/portalrestrito/Público%20Alvo/DIRH/GCOH02/GERH0202/gesem_004&gt;. Acesso em: 19 dez. 2016.</t>
    </r>
  </si>
  <si>
    <r>
      <rPr>
        <b/>
        <sz val="10"/>
        <color theme="1"/>
        <rFont val="Times New Roman"/>
        <family val="1"/>
      </rPr>
      <t>2011:</t>
    </r>
    <r>
      <rPr>
        <sz val="10"/>
        <color theme="1"/>
        <rFont val="Times New Roman"/>
        <family val="1"/>
      </rPr>
      <t xml:space="preserve"> "Redução do consumo de energia elétrica em 86%" na sinalização semafórica de Belo Horizonte conforme anunciado em BHTRANS(2011d1)
</t>
    </r>
    <r>
      <rPr>
        <b/>
        <sz val="10"/>
        <color theme="1"/>
        <rFont val="Times New Roman"/>
        <family val="1"/>
      </rPr>
      <t xml:space="preserve">obs.1: </t>
    </r>
    <r>
      <rPr>
        <sz val="10"/>
        <color theme="1"/>
        <rFont val="Times New Roman"/>
        <family val="1"/>
      </rPr>
      <t xml:space="preserve">na mesma fonte anuncia-se também a meta de "Redução do custeio com energia elétrica em 84%"
</t>
    </r>
    <r>
      <rPr>
        <b/>
        <sz val="10"/>
        <color theme="1"/>
        <rFont val="Times New Roman"/>
        <family val="1"/>
      </rPr>
      <t xml:space="preserve">obs.2: </t>
    </r>
    <r>
      <rPr>
        <sz val="10"/>
        <color theme="1"/>
        <rFont val="Times New Roman"/>
        <family val="1"/>
      </rPr>
      <t>detalhes incluindo planilha excell com "totalização da implantação" conforme BHTRANS(2011d2; 2011d3)</t>
    </r>
  </si>
  <si>
    <r>
      <t xml:space="preserve">sistema BRT da cidade do Rio de Janeiro
</t>
    </r>
    <r>
      <rPr>
        <b/>
        <sz val="10"/>
        <color theme="1"/>
        <rFont val="Times New Roman"/>
        <family val="1"/>
      </rPr>
      <t>obs.1:</t>
    </r>
    <r>
      <rPr>
        <sz val="10"/>
        <color theme="1"/>
        <rFont val="Times New Roman"/>
        <family val="1"/>
      </rPr>
      <t xml:space="preserve"> o sistema BRT do Rio de Janeiro foi analisado e comparado com o de Bogotá por Ana Marcela Ardila Pinto em PINTO(2011); PINTO;RIBEIRO(2014); ARDILA(2016)
</t>
    </r>
    <r>
      <rPr>
        <b/>
        <sz val="10"/>
        <color theme="1"/>
        <rFont val="Times New Roman"/>
        <family val="1"/>
      </rPr>
      <t>obs.2</t>
    </r>
    <r>
      <rPr>
        <sz val="10"/>
        <color theme="1"/>
        <rFont val="Times New Roman"/>
        <family val="1"/>
      </rPr>
      <t>: "O principal objetivo da pesquisa [de 2011] é compreender por que na década de noventa a produção de projetos espaços públicos assumiu uma posição de destaque na gestão urbana das cidades de Bogotá e do Rio de Janeiro. A partir de um estudo comparado, procuramos contribuir no conhecimento de por que esses projetos foram desenvolvidos, por que diversos agentes urbanos locais atribuíram um valor significativo e investiram importantes recursos para a construção e recuperação dos cenários de encontro e sociabilidade pública." conforme PINTO(2011, p.viii)</t>
    </r>
  </si>
  <si>
    <r>
      <t xml:space="preserve">sistema de BRT do município de Belo Horizonte, que junto com o da RMBH, foi inaugurado em 2014 com o nome de "BRT Move municipal"
</t>
    </r>
    <r>
      <rPr>
        <b/>
        <sz val="10"/>
        <color theme="1"/>
        <rFont val="Times New Roman"/>
        <family val="1"/>
      </rPr>
      <t>obs.1:</t>
    </r>
    <r>
      <rPr>
        <sz val="10"/>
        <color theme="1"/>
        <rFont val="Times New Roman"/>
        <family val="1"/>
      </rPr>
      <t xml:space="preserve"> início da operação em 08/03/2014 confome BHTRANS(2014m3)
</t>
    </r>
    <r>
      <rPr>
        <b/>
        <sz val="10"/>
        <color theme="1"/>
        <rFont val="Times New Roman"/>
        <family val="1"/>
      </rPr>
      <t xml:space="preserve">obs.2: </t>
    </r>
    <r>
      <rPr>
        <sz val="10"/>
        <color theme="1"/>
        <rFont val="Times New Roman"/>
        <family val="1"/>
      </rPr>
      <t xml:space="preserve">Ao inaugurar o BRT Move municipal, assim a BHTrans anunciou o que seria o novo serviço: "O que é BRT? O BRT (Bus Rapid Transit ou Transporte Rápido por Ônibus) é um sistema de transporte por ônibus, eficiente, de alta capacidade e alta qualidade, operado de forma semelhante ao metrô, capaz de atender os usuários com rapidez e conforto. É uma combinação de infraestrutura viária, veículos, operação, sistemas de controle e informação ao usuário, para oferecer ao cidadão um serviço de transporte público de qualidade. Esse modelo de transporte já é utilizado com sucesso em grandes cidades do mundo, como Pequim, na China, Joanesburgo, na África do Sul, Bogotá, na Colômbia, e Los Angeles, nos Estados Unidos." conforme BHTRANS(2014m1)
</t>
    </r>
    <r>
      <rPr>
        <b/>
        <sz val="10"/>
        <color theme="1"/>
        <rFont val="Times New Roman"/>
        <family val="1"/>
      </rPr>
      <t xml:space="preserve">obs.3: </t>
    </r>
    <r>
      <rPr>
        <sz val="10"/>
        <color theme="1"/>
        <rFont val="Times New Roman"/>
        <family val="1"/>
      </rPr>
      <t xml:space="preserve">Ao anunciar o BRT Move municipal , assim a BHTrans anunciou a sua acessibilidade: "Todas as estações terão uma porta para acesso das pessoas com mobilidade reduzida. ", "Elas [as estações] serão equipadas com bilheteria, com sistema pré-pagamento em linha de bloqueio para validação da viagem e catraca específica para cadeirante e pessoa obesas. O piso das estações terá faixa tátil, as operações de embarque e desembarque serão mais rápidas, com nivelamento do piso da plataforma e do veículo. Nas estações haverá identificação da porta da plataforma para acesso do cadeirante." e "Além disso, as estações vão ter piso nivelado com o assoalho dos ônibus, o que melhora as condições de acessibilidade." conforme BHTRANS(2014m1)
</t>
    </r>
    <r>
      <rPr>
        <b/>
        <sz val="10"/>
        <color theme="1"/>
        <rFont val="Times New Roman"/>
        <family val="1"/>
      </rPr>
      <t xml:space="preserve">obs.4: </t>
    </r>
    <r>
      <rPr>
        <sz val="10"/>
        <color theme="1"/>
        <rFont val="Times New Roman"/>
        <family val="1"/>
      </rPr>
      <t xml:space="preserve">Ao inaugurar o BRT Move municipal, assim a BHTrans anunciou a interface entre o BRT Move municipal e o BRT Move metropolitano: "As linhas metropolitanas pararão no mesmo módulo das linhas municipais? As linhas municipais e metropolitanas irão parar em módulos diferentes."; "Haverá integração do Cartão Ótimo com o MOVE? O cartão ÓTIMO é exclusivo do sistema metropolitano gerenciado pelo DER. Trata-se de sistemas de transporte e fornecedores de tecnologia de bilhetagem eletrônica específicos. No momento, não há integração com o Sistema Municipal gerenciado pela BHTRANS." e "O MOVE fará integração com as linhas suplementares? Não." conforme BHTRANS(2014m1)
</t>
    </r>
    <r>
      <rPr>
        <b/>
        <sz val="10"/>
        <color theme="1"/>
        <rFont val="Times New Roman"/>
        <family val="1"/>
      </rPr>
      <t>obs.5:</t>
    </r>
    <r>
      <rPr>
        <sz val="10"/>
        <color theme="1"/>
        <rFont val="Times New Roman"/>
        <family val="1"/>
      </rPr>
      <t xml:space="preserve"> a acessibilidade nos corredores do BRT Move municipal e metropolitano foi objeto de análise conforme WRI(2016j1/j2/j3/j4/j5/j6/j7/j8/j9/j10)
</t>
    </r>
    <r>
      <rPr>
        <b/>
        <sz val="10"/>
        <color theme="1"/>
        <rFont val="Times New Roman"/>
        <family val="1"/>
      </rPr>
      <t>obs.3:</t>
    </r>
    <r>
      <rPr>
        <sz val="10"/>
        <color theme="1"/>
        <rFont val="Times New Roman"/>
        <family val="1"/>
      </rPr>
      <t xml:space="preserve"> acesse os verbetes: "BRT" de RMBH e "Move"</t>
    </r>
  </si>
  <si>
    <r>
      <t xml:space="preserve">sistema de BRT da RMBH que, junto com o de Belo Horizonte, foi inaugurado em 2014 com o nome de "BRT Move metropolitano"
</t>
    </r>
    <r>
      <rPr>
        <b/>
        <sz val="10"/>
        <color theme="1"/>
        <rFont val="Times New Roman"/>
        <family val="1"/>
      </rPr>
      <t xml:space="preserve">obs.1: </t>
    </r>
    <r>
      <rPr>
        <sz val="10"/>
        <color theme="1"/>
        <rFont val="Times New Roman"/>
        <family val="1"/>
      </rPr>
      <t xml:space="preserve">Ao inaugurar o BRT Move de Belo Horizonte, assim a BHTrans anunciou a interface entre BRT Move municipal e metropolitano: "As linhas metropolitanas pararão no mesmo módulo das linhas municipais? As linhas municipais e metropolitanas irão parar em módulos diferentes."; "Haverá integração do Cartão Ótimo com o MOVE? O cartão ÓTIMO é exclusivo do sistema metropolitano gerenciado pelo DER. Trata-se de sistemas de transporte e fornecedores de tecnologia de bilhetagem eletrônica específicos. No momento, não há integração com o Sistema Municipal gerenciado pela BHTRANS." e "O MOVE fará integração com as linhas suplementares? Não." conforme BHTRANS(2014m1)
</t>
    </r>
    <r>
      <rPr>
        <b/>
        <sz val="10"/>
        <color theme="1"/>
        <rFont val="Times New Roman"/>
        <family val="1"/>
      </rPr>
      <t xml:space="preserve">obs.2: </t>
    </r>
    <r>
      <rPr>
        <sz val="10"/>
        <color theme="1"/>
        <rFont val="Times New Roman"/>
        <family val="1"/>
      </rPr>
      <t xml:space="preserve">a acessibilidade nos corredores do BRT Move municipal e metropolitano foi objeto de análise conforme WRI(2016j1/j2/j3/j4/j5/j6/j7/j8/j9/j10)
</t>
    </r>
    <r>
      <rPr>
        <b/>
        <sz val="10"/>
        <color theme="1"/>
        <rFont val="Times New Roman"/>
        <family val="1"/>
      </rPr>
      <t xml:space="preserve">obs.3: </t>
    </r>
    <r>
      <rPr>
        <sz val="10"/>
        <color theme="1"/>
        <rFont val="Times New Roman"/>
        <family val="1"/>
      </rPr>
      <t>acesse os verbetes: "BRT" de Belo Horizonte e "Move"</t>
    </r>
  </si>
  <si>
    <r>
      <rPr>
        <b/>
        <sz val="12"/>
        <rFont val="Times New Roman"/>
        <family val="1"/>
      </rPr>
      <t xml:space="preserve">BHTRANS(2016wi): </t>
    </r>
    <r>
      <rPr>
        <sz val="12"/>
        <rFont val="Times New Roman"/>
        <family val="1"/>
      </rPr>
      <t xml:space="preserve"> EMPRESA DE TRANSPORTES E TRÂNSITO DE BELO HORIZONTE S.A - BHTRANS. Diretoria de Ação Regional e Operação - DRO. Gerência da Central de Operação de Tráfego - Gecot/DRO. </t>
    </r>
    <r>
      <rPr>
        <i/>
        <sz val="12"/>
        <rFont val="Times New Roman"/>
        <family val="1"/>
      </rPr>
      <t>Procedimento Operacional - Trânsito / POP. TS – 029 / Versão C</t>
    </r>
    <r>
      <rPr>
        <sz val="12"/>
        <rFont val="Times New Roman"/>
        <family val="1"/>
      </rPr>
      <t>. Assunto: Livre circulação, estacionamento e parada de veículos caracterizados da frota operacional da BHTrans. Belo Horizonte: BHTrans, 13 dez. 2016. 6p. [vigência: 13/12/2016]</t>
    </r>
  </si>
  <si>
    <r>
      <rPr>
        <b/>
        <sz val="12"/>
        <rFont val="Times New Roman"/>
        <family val="1"/>
      </rPr>
      <t xml:space="preserve">BHTRANS(2016wj1): </t>
    </r>
    <r>
      <rPr>
        <sz val="12"/>
        <rFont val="Times New Roman"/>
        <family val="1"/>
      </rPr>
      <t xml:space="preserve"> EMPRESA DE TRANSPORTES E TRÂNSITO DE BELO HORIZONTE S.A - BHTRANS. Gemob/DPL/BHTrans. </t>
    </r>
    <r>
      <rPr>
        <i/>
        <sz val="12"/>
        <rFont val="Times New Roman"/>
        <family val="1"/>
      </rPr>
      <t>e-mail ao sisMob-BH respondendo indagação sobre valores de extensões do BRT Move com planilha anexa</t>
    </r>
    <r>
      <rPr>
        <sz val="12"/>
        <rFont val="Times New Roman"/>
        <family val="1"/>
      </rPr>
      <t>. Belo Horizonte: BHTrans, 19 dez. 2016.</t>
    </r>
  </si>
  <si>
    <r>
      <rPr>
        <b/>
        <sz val="12"/>
        <rFont val="Times New Roman"/>
        <family val="1"/>
      </rPr>
      <t xml:space="preserve">BHTRANS(2016wj2): </t>
    </r>
    <r>
      <rPr>
        <sz val="12"/>
        <rFont val="Times New Roman"/>
        <family val="1"/>
      </rPr>
      <t xml:space="preserve"> EMPRESA DE TRANSPORTES E TRÂNSITO DE BELO HORIZONTE S.A - BHTRANS. Gemob/DPL/BHTrans.</t>
    </r>
    <r>
      <rPr>
        <i/>
        <sz val="12"/>
        <rFont val="Times New Roman"/>
        <family val="1"/>
      </rPr>
      <t xml:space="preserve"> Planilha excell anexada a e-mail ao SisMob-BH respondendo indagação de 19/12/2016 sobre valores de extensões do BRT Move</t>
    </r>
    <r>
      <rPr>
        <sz val="12"/>
        <rFont val="Times New Roman"/>
        <family val="1"/>
      </rPr>
      <t>. Belo Horizonte: BHTrans, 19 dez. 2016.</t>
    </r>
  </si>
  <si>
    <r>
      <t xml:space="preserve">n.º de acessos em nível às estações de transferência do corredor de BRT de Belo Horizonte denominado "Área Central" (opera em: Avenida Paraná e Avenida Santos Dumont)
</t>
    </r>
    <r>
      <rPr>
        <b/>
        <sz val="10"/>
        <color theme="1"/>
        <rFont val="Times New Roman"/>
        <family val="1"/>
      </rPr>
      <t>obs.:</t>
    </r>
    <r>
      <rPr>
        <sz val="10"/>
        <color theme="1"/>
        <rFont val="Times New Roman"/>
        <family val="1"/>
      </rPr>
      <t xml:space="preserve"> resultados de 2014-2016 conforme WRI(2016j2, p.25)</t>
    </r>
  </si>
  <si>
    <r>
      <t xml:space="preserve">extensão total (em km) do corredor de BRT de Belo Horizonte denominado "Antônio Carlos" (opera em: Avenida Antônio Carlos, Avenida Pedro I e Avenida Vilarinho)
</t>
    </r>
    <r>
      <rPr>
        <b/>
        <sz val="10"/>
        <color theme="1"/>
        <rFont val="Times New Roman"/>
        <family val="1"/>
      </rPr>
      <t>obs.1:</t>
    </r>
    <r>
      <rPr>
        <sz val="10"/>
        <color theme="1"/>
        <rFont val="Times New Roman"/>
        <family val="1"/>
      </rPr>
      <t xml:space="preserve"> "Corredor Antônio Carlos – 14,7 km, da Estação Venda Nova ao Centro (Avenidas Vilarinho, Pedro I e Antônio Carlos)" para 2014-2016 conforme BHTRANS(2014m1)
</t>
    </r>
    <r>
      <rPr>
        <b/>
        <sz val="10"/>
        <color theme="1"/>
        <rFont val="Times New Roman"/>
        <family val="1"/>
      </rPr>
      <t xml:space="preserve">obs.2: </t>
    </r>
    <r>
      <rPr>
        <sz val="10"/>
        <color theme="1"/>
        <rFont val="Times New Roman"/>
        <family val="1"/>
      </rPr>
      <t xml:space="preserve">resultado 13,8km conforme WRI(2016j2, p.25)
</t>
    </r>
    <r>
      <rPr>
        <b/>
        <sz val="10"/>
        <color theme="1"/>
        <rFont val="Times New Roman"/>
        <family val="1"/>
      </rPr>
      <t>obs.3:</t>
    </r>
    <r>
      <rPr>
        <sz val="10"/>
        <color theme="1"/>
        <rFont val="Times New Roman"/>
        <family val="1"/>
      </rPr>
      <t xml:space="preserve"> outros valores em BHTRANS(2016wj1/j2) levaram o SisMob-BH a optar pelo valor para 2014-2016 conforme BHTRANS (2014m)</t>
    </r>
  </si>
  <si>
    <r>
      <t xml:space="preserve">extensão total (em km) do corredor de BRT de Belo Horizonte denominado "Cristiano Machado" (opera na Avenida Cristiano Machado)
</t>
    </r>
    <r>
      <rPr>
        <b/>
        <sz val="10"/>
        <color theme="1"/>
        <rFont val="Times New Roman"/>
        <family val="1"/>
      </rPr>
      <t>obs.1:</t>
    </r>
    <r>
      <rPr>
        <sz val="10"/>
        <color theme="1"/>
        <rFont val="Times New Roman"/>
        <family val="1"/>
      </rPr>
      <t xml:space="preserve"> "Corredor Cristiano Machado – 7,1 km, da Estação São Gabriel ao Centro" para 2014 conforme BHTRANS(2014m1)
</t>
    </r>
    <r>
      <rPr>
        <b/>
        <sz val="10"/>
        <color theme="1"/>
        <rFont val="Times New Roman"/>
        <family val="1"/>
      </rPr>
      <t xml:space="preserve">obs.2: </t>
    </r>
    <r>
      <rPr>
        <sz val="10"/>
        <color theme="1"/>
        <rFont val="Times New Roman"/>
        <family val="1"/>
      </rPr>
      <t xml:space="preserve">resultados 5,5km de 2014-2015 conforme WRI(2016j2, p.25)
</t>
    </r>
    <r>
      <rPr>
        <b/>
        <sz val="10"/>
        <color theme="1"/>
        <rFont val="Times New Roman"/>
        <family val="1"/>
      </rPr>
      <t xml:space="preserve">obs.3: </t>
    </r>
    <r>
      <rPr>
        <sz val="10"/>
        <color theme="1"/>
        <rFont val="Times New Roman"/>
        <family val="1"/>
      </rPr>
      <t>outros valores em BHTRANS(2016wj1/j2) levaram o SisMob-BH a optar pelo valor para 2014-2016 conforme BHTRANS (2014m)</t>
    </r>
  </si>
  <si>
    <r>
      <t xml:space="preserve">consumo anual de energia elétrica da sinalização semafórica (em KWh/ano)
</t>
    </r>
    <r>
      <rPr>
        <b/>
        <sz val="10"/>
        <color theme="1"/>
        <rFont val="Times New Roman"/>
        <family val="1"/>
      </rPr>
      <t>obs.1:</t>
    </r>
    <r>
      <rPr>
        <sz val="10"/>
        <color theme="1"/>
        <rFont val="Times New Roman"/>
        <family val="1"/>
      </rPr>
      <t xml:space="preserve"> indicador calculado com a fórmula EEano = EEano = ∑ EE (jan a dez)
</t>
    </r>
    <r>
      <rPr>
        <b/>
        <sz val="10"/>
        <color theme="1"/>
        <rFont val="Times New Roman"/>
        <family val="1"/>
      </rPr>
      <t xml:space="preserve">obs.2: </t>
    </r>
    <r>
      <rPr>
        <sz val="10"/>
        <color theme="1"/>
        <rFont val="Times New Roman"/>
        <family val="1"/>
      </rPr>
      <t xml:space="preserve">em 2013 o SisMob-BH questionou a Gesem/DDI/BHTrans acerca dos resultados de consumo de energia elétrica em 2012 (queda acentuada da média 2012 em relação à média 2011, grandes oscilações mensais ao longo do ano, pico de consumo de 140.836 kWh em julho e consumo de 90.000 kWh de agosto a dezembro) e recebeu como resposta: "Com a implementação dos semáforos a LED finalizada no final de 2011, as medições de consumo da Cemig foram corrigidas parcialmente apenas ao longo de 2011-2012.  Essa medições de consumo estão em processo de adequação e, em agosto de 2012, este processo praticamente parou. O consumo de 90.000 kWh a partir de agosto é um valor, portanto, estimado pela BHTrans." (BHTRANS, 2013c)
</t>
    </r>
    <r>
      <rPr>
        <b/>
        <sz val="10"/>
        <rFont val="Times New Roman"/>
        <family val="1"/>
      </rPr>
      <t>obs.3:</t>
    </r>
    <r>
      <rPr>
        <sz val="10"/>
        <rFont val="Times New Roman"/>
        <family val="1"/>
      </rPr>
      <t xml:space="preserve"> resultados de 2005 a 2014 em BHTRANS(2015n)</t>
    </r>
  </si>
  <si>
    <r>
      <t xml:space="preserve">consumo por local semaforizado de energia elétrica da sinalização semafórica em um determinado mês (em KWh/mês.LS), calculado como EE/LS
</t>
    </r>
    <r>
      <rPr>
        <b/>
        <sz val="10"/>
        <color theme="1"/>
        <rFont val="Times New Roman"/>
        <family val="1"/>
      </rPr>
      <t xml:space="preserve">obs.: </t>
    </r>
    <r>
      <rPr>
        <sz val="10"/>
        <color theme="1"/>
        <rFont val="Times New Roman"/>
        <family val="1"/>
      </rPr>
      <t>esse resultado está disponível apenas no portal interno da BHTrans</t>
    </r>
  </si>
  <si>
    <t>consumo mensal médio de energia elétrica da sinalização semafórica (em KWh/mês)</t>
  </si>
  <si>
    <r>
      <t xml:space="preserve">média anual do consumo mensal de energia elétrica da sinalização semafórica em relação ao total de locais semaforizados a cada mês em KWh/mês.local
</t>
    </r>
    <r>
      <rPr>
        <b/>
        <sz val="10"/>
        <color theme="1"/>
        <rFont val="Times New Roman"/>
        <family val="1"/>
      </rPr>
      <t xml:space="preserve">obs.1: </t>
    </r>
    <r>
      <rPr>
        <sz val="10"/>
        <color theme="1"/>
        <rFont val="Times New Roman"/>
        <family val="1"/>
      </rPr>
      <t xml:space="preserve">fórmula de cálculo na fonte EEml = ∑ EEl (janeiro a dezembro) / 12
</t>
    </r>
    <r>
      <rPr>
        <b/>
        <sz val="10"/>
        <color theme="1"/>
        <rFont val="Times New Roman"/>
        <family val="1"/>
      </rPr>
      <t xml:space="preserve">obs.2: </t>
    </r>
    <r>
      <rPr>
        <sz val="10"/>
        <color theme="1"/>
        <rFont val="Times New Roman"/>
        <family val="1"/>
      </rPr>
      <t xml:space="preserve">resultados de 2004 a 2014 em BHTRANS(2015n)
</t>
    </r>
    <r>
      <rPr>
        <b/>
        <sz val="10"/>
        <color theme="1"/>
        <rFont val="Times New Roman"/>
        <family val="1"/>
      </rPr>
      <t xml:space="preserve">obs.3: </t>
    </r>
    <r>
      <rPr>
        <sz val="10"/>
        <color theme="1"/>
        <rFont val="Times New Roman"/>
        <family val="1"/>
      </rPr>
      <t>em 2015 o Comitê Municipal sobre Mudanças Climáticas e Ecoeficiência de Belo Horizonte (CMMCE) selecionou esse indicador como um dos indicadores do eixo "Energia".</t>
    </r>
  </si>
  <si>
    <r>
      <t xml:space="preserve">redução acumulada do consumo de energia elétrica da sinalização semafórica de Belo Horizonte em relação ao ano 2011
</t>
    </r>
    <r>
      <rPr>
        <b/>
        <sz val="10"/>
        <color theme="1"/>
        <rFont val="Times New Roman"/>
        <family val="1"/>
      </rPr>
      <t>obs.:</t>
    </r>
    <r>
      <rPr>
        <sz val="10"/>
        <color theme="1"/>
        <rFont val="Times New Roman"/>
        <family val="1"/>
      </rPr>
      <t xml:space="preserve"> o processo de substituição de todas as lâmpadas incandescentes e halógenas dos focos semafóricos de Belo Horizonte por LEDs ocorreu de março a setembro de 2011</t>
    </r>
  </si>
  <si>
    <r>
      <rPr>
        <b/>
        <sz val="12"/>
        <rFont val="Times New Roman"/>
        <family val="1"/>
      </rPr>
      <t xml:space="preserve">BHTRANS(2016wk1): </t>
    </r>
    <r>
      <rPr>
        <sz val="12"/>
        <rFont val="Times New Roman"/>
        <family val="1"/>
      </rPr>
      <t xml:space="preserve"> EMPRESA DE TRANSPORTES E TRÂNSITO DE BELO HORIZONTE S.A - BHTRANS. Gemob/DPL/BHTrans. </t>
    </r>
    <r>
      <rPr>
        <i/>
        <sz val="12"/>
        <rFont val="Times New Roman"/>
        <family val="1"/>
      </rPr>
      <t>e-mail do SisMob-BH ao CMMCE respondendo solicitação de atualização de planilha Carbonn com planilha anexa</t>
    </r>
    <r>
      <rPr>
        <sz val="12"/>
        <rFont val="Times New Roman"/>
        <family val="1"/>
      </rPr>
      <t>. Belo Horizonte: BHTrans, 19 dez. 2016.</t>
    </r>
  </si>
  <si>
    <r>
      <rPr>
        <b/>
        <sz val="12"/>
        <rFont val="Times New Roman"/>
        <family val="1"/>
      </rPr>
      <t xml:space="preserve">BHTRANS(2016wk2): </t>
    </r>
    <r>
      <rPr>
        <sz val="12"/>
        <rFont val="Times New Roman"/>
        <family val="1"/>
      </rPr>
      <t xml:space="preserve"> EMPRESA DE TRANSPORTES E TRÂNSITO DE BELO HORIZONTE S.A - BHTRANS. Gemob/DPL/BHTrans.</t>
    </r>
    <r>
      <rPr>
        <i/>
        <sz val="12"/>
        <rFont val="Times New Roman"/>
        <family val="1"/>
      </rPr>
      <t xml:space="preserve"> Planilha Carbonn atualizada e anexada ao e-mail SisMob-BH ao CMMCE respondendo solicitação de 19/12/2016</t>
    </r>
    <r>
      <rPr>
        <sz val="12"/>
        <rFont val="Times New Roman"/>
        <family val="1"/>
      </rPr>
      <t>. Belo Horizonte: BHTrans, 19 dez. 2016.</t>
    </r>
  </si>
  <si>
    <r>
      <rPr>
        <b/>
        <sz val="10"/>
        <rFont val="Times New Roman"/>
        <family val="1"/>
      </rPr>
      <t xml:space="preserve">nov.2016: </t>
    </r>
    <r>
      <rPr>
        <sz val="10"/>
        <rFont val="Times New Roman"/>
        <family val="1"/>
      </rPr>
      <t xml:space="preserve">o evento de apresentação dos resultados do "Workshop Acessibilidade para Todos" foi divulgado em 14/11/2016 conforme BHTRANS(2016wf4); apresentação do relatório em 16/11/2016 conforme WRI(2016j2); relatório final completo entregue pelo WRI à BHTRans em 16/11/2016 conforme WRI(2016j6)
</t>
    </r>
    <r>
      <rPr>
        <b/>
        <sz val="10"/>
        <rFont val="Times New Roman"/>
        <family val="1"/>
      </rPr>
      <t xml:space="preserve">mar.2016: </t>
    </r>
    <r>
      <rPr>
        <sz val="10"/>
        <rFont val="Times New Roman"/>
        <family val="1"/>
      </rPr>
      <t xml:space="preserve">a acessibilidade no BRT de Belo Horizonte foi tema do "Workshop Acessibilidade para Todos" realizado de 8 a 10 de março de 2016: convites (turmas manhã e tarde) aos participantes conforme WRI(2016j4/j5); apresentação em 08/03/2016 conforme WRI(2016j1); checklist em WRI(2016j3) e divulgação do evento conforme WRI(2016j11)
</t>
    </r>
    <r>
      <rPr>
        <b/>
        <sz val="10"/>
        <rFont val="Times New Roman"/>
        <family val="1"/>
      </rPr>
      <t xml:space="preserve">jul.2015: </t>
    </r>
    <r>
      <rPr>
        <sz val="10"/>
        <rFont val="Times New Roman"/>
        <family val="1"/>
      </rPr>
      <t xml:space="preserve">elaborado o relatório de recomendações segundo o padrão de qualidade de BRT tomando o corredor Antônio Carlos como objeto de análise conforme ITDP(2015a)
</t>
    </r>
    <r>
      <rPr>
        <b/>
        <sz val="10"/>
        <rFont val="Times New Roman"/>
        <family val="1"/>
      </rPr>
      <t xml:space="preserve">2014: </t>
    </r>
    <r>
      <rPr>
        <sz val="10"/>
        <rFont val="Times New Roman"/>
        <family val="1"/>
      </rPr>
      <t>início da inauguração do BRT de Belo Horizonte (acesse verbetes "BRT" de Belo Horizonte e de RMBH)</t>
    </r>
  </si>
  <si>
    <r>
      <rPr>
        <b/>
        <sz val="10"/>
        <color theme="1"/>
        <rFont val="Times New Roman"/>
        <family val="1"/>
      </rPr>
      <t xml:space="preserve">nov.2016: </t>
    </r>
    <r>
      <rPr>
        <sz val="10"/>
        <color theme="1"/>
        <rFont val="Times New Roman"/>
        <family val="1"/>
      </rPr>
      <t>repercussão na imprensa conforme MENDES(2016)</t>
    </r>
    <r>
      <rPr>
        <b/>
        <sz val="10"/>
        <color theme="1"/>
        <rFont val="Times New Roman"/>
        <family val="1"/>
      </rPr>
      <t xml:space="preserve">
out.2016:</t>
    </r>
    <r>
      <rPr>
        <sz val="10"/>
        <color theme="1"/>
        <rFont val="Times New Roman"/>
        <family val="1"/>
      </rPr>
      <t xml:space="preserve"> sancionada pela CMBH lei municipal instituindo "dispõe sobre a reserva de espaço para mulheres no sistema de transporte ferroviário urbano de passageiros" conforme BH(2016q)
</t>
    </r>
    <r>
      <rPr>
        <b/>
        <sz val="10"/>
        <color theme="1"/>
        <rFont val="Times New Roman"/>
        <family val="1"/>
      </rPr>
      <t xml:space="preserve">set.2013: </t>
    </r>
    <r>
      <rPr>
        <sz val="10"/>
        <color theme="1"/>
        <rFont val="Times New Roman"/>
        <family val="1"/>
      </rPr>
      <t>começa a tramitar projeto de lei que "dispõe sobre a reserva de espaço para mulheres no sistema de transporte ferroviário urbano de passageiros no Município de Belo Horizonte"</t>
    </r>
    <r>
      <rPr>
        <sz val="10"/>
        <color rgb="FFFF0000"/>
        <rFont val="Times New Roman"/>
        <family val="1"/>
      </rPr>
      <t>conforme ___</t>
    </r>
    <r>
      <rPr>
        <sz val="10"/>
        <color theme="1"/>
        <rFont val="Times New Roman"/>
        <family val="1"/>
      </rPr>
      <t xml:space="preserve">
VERBETE EM CONSTRUÇÃO para recepcionar informações sobre o tema após sancionada lei</t>
    </r>
  </si>
  <si>
    <r>
      <t xml:space="preserve">índice de conformidade com a acessibilidade 
</t>
    </r>
    <r>
      <rPr>
        <b/>
        <sz val="10"/>
        <rFont val="Times New Roman"/>
        <family val="1"/>
      </rPr>
      <t xml:space="preserve">obs.: </t>
    </r>
    <r>
      <rPr>
        <sz val="10"/>
        <rFont val="Times New Roman"/>
        <family val="1"/>
      </rPr>
      <t xml:space="preserve">para o índice de conformidade com a acessibilidade no BRT acesse os registros "BRT IC"
</t>
    </r>
    <r>
      <rPr>
        <b/>
        <sz val="10"/>
        <rFont val="Times New Roman"/>
        <family val="1"/>
      </rPr>
      <t xml:space="preserve">obs.2: </t>
    </r>
    <r>
      <rPr>
        <sz val="10"/>
        <rFont val="Times New Roman"/>
        <family val="1"/>
      </rPr>
      <t>para o índice de confomidade com a legislação urbanística acesse os registros "URB"</t>
    </r>
  </si>
  <si>
    <r>
      <t xml:space="preserve">índice de conformidade com a acessibilidade do sistema BRT de Belo Horizonte
</t>
    </r>
    <r>
      <rPr>
        <b/>
        <sz val="10"/>
        <color theme="1"/>
        <rFont val="Times New Roman"/>
        <family val="1"/>
      </rPr>
      <t xml:space="preserve">obs.1: </t>
    </r>
    <r>
      <rPr>
        <sz val="10"/>
        <color theme="1"/>
        <rFont val="Times New Roman"/>
        <family val="1"/>
      </rPr>
      <t xml:space="preserve">para o índice de conformidade com a legislação urbanística de Belo Horizonte acesse os registros "URB"
</t>
    </r>
    <r>
      <rPr>
        <b/>
        <sz val="10"/>
        <color theme="1"/>
        <rFont val="Times New Roman"/>
        <family val="1"/>
      </rPr>
      <t>obs.2:</t>
    </r>
    <r>
      <rPr>
        <sz val="10"/>
        <color theme="1"/>
        <rFont val="Times New Roman"/>
        <family val="1"/>
      </rPr>
      <t xml:space="preserve"> o sistema de BRT de Belo Horizonte é constituido, em 2016, por três corredores: Área Central, Antônio Carlos e Cristiano Machado
</t>
    </r>
    <r>
      <rPr>
        <b/>
        <sz val="10"/>
        <color theme="1"/>
        <rFont val="Times New Roman"/>
        <family val="1"/>
      </rPr>
      <t>obs.3:</t>
    </r>
    <r>
      <rPr>
        <sz val="10"/>
        <color theme="1"/>
        <rFont val="Times New Roman"/>
        <family val="1"/>
      </rPr>
      <t xml:space="preserve"> calculado como a média ponderada dos BRT IC dos três corredores (</t>
    </r>
    <r>
      <rPr>
        <sz val="10"/>
        <color theme="1"/>
        <rFont val="Calibri"/>
        <family val="2"/>
      </rPr>
      <t>∑</t>
    </r>
    <r>
      <rPr>
        <sz val="8.5"/>
        <color theme="1"/>
        <rFont val="Times New Roman"/>
        <family val="1"/>
      </rPr>
      <t xml:space="preserve"> </t>
    </r>
    <r>
      <rPr>
        <sz val="10"/>
        <color theme="1"/>
        <rFont val="Times New Roman"/>
        <family val="1"/>
      </rPr>
      <t xml:space="preserve">BRT IC de cada corredor x n.º de estações inspecionadas em cada corredor) / n.º total de estações inspecionadas no sistema
</t>
    </r>
    <r>
      <rPr>
        <b/>
        <sz val="10"/>
        <color theme="1"/>
        <rFont val="Times New Roman"/>
        <family val="1"/>
      </rPr>
      <t xml:space="preserve">obs.4: </t>
    </r>
    <r>
      <rPr>
        <sz val="10"/>
        <color theme="1"/>
        <rFont val="Times New Roman"/>
        <family val="1"/>
      </rPr>
      <t xml:space="preserve">os resultados de 2016 do "BRT IC" de Belo Horizonte têm como base o método definido pelo WRI Brasil Cidades Sustentáveis especialmente para Belo Horizonte que conta com um checklist composto por 92 diretrizes conforme WRI(2016j3)
</t>
    </r>
    <r>
      <rPr>
        <b/>
        <sz val="10"/>
        <color theme="1"/>
        <rFont val="Times New Roman"/>
        <family val="1"/>
      </rPr>
      <t>obs.5:</t>
    </r>
    <r>
      <rPr>
        <sz val="10"/>
        <color theme="1"/>
        <rFont val="Times New Roman"/>
        <family val="1"/>
      </rPr>
      <t xml:space="preserve"> o relatório final de "Inspeção de acessibilidade do Move Belo Horizonte - Workshop Acessibilidade para Todos" com base no workshop realizado de 8 a 10/03/2016, que sustenta este indicador, é conforme WRI(2016j6/j7)
</t>
    </r>
    <r>
      <rPr>
        <b/>
        <sz val="10"/>
        <color theme="1"/>
        <rFont val="Times New Roman"/>
        <family val="1"/>
      </rPr>
      <t xml:space="preserve">obs.6: </t>
    </r>
    <r>
      <rPr>
        <sz val="10"/>
        <color theme="1"/>
        <rFont val="Times New Roman"/>
        <family val="1"/>
      </rPr>
      <t>acesse resultados nos indicadores "BRT IC" do sistema como um todo, de cada um dos três corredores, de cada um dos quatro módulos de análise (elementos das travessias, elementos das passarelas, elementos dos acessos à plataforma, elementos das plataformas) e de cada um dos dezesseis elementos em WRI(2016j6, p.39-40) e planilhas: recebida conforme WRI(2016j8), ajustada com 0% em mapas conforme BHTRANS(2016j6) e simulação com 100% para mapas conforme WRI(2016j10)</t>
    </r>
  </si>
  <si>
    <r>
      <t xml:space="preserve">índice de conformidade com a acessibilidade do sistema BRT de uma cidade/região
</t>
    </r>
    <r>
      <rPr>
        <b/>
        <sz val="10"/>
        <color theme="1"/>
        <rFont val="Times New Roman"/>
        <family val="1"/>
      </rPr>
      <t xml:space="preserve">obs.: </t>
    </r>
    <r>
      <rPr>
        <sz val="10"/>
        <color theme="1"/>
        <rFont val="Times New Roman"/>
        <family val="1"/>
      </rPr>
      <t>este indicador foi especialmente desenvolvido pelo WRI Brasil Cidades Sustentáveis para apoiar a elaboração do diagnóstico de acessibilidade do BRT de Belo Horizonnte conforme WRI(2016j2), mas pode ser adaptado para qualquer sistema de BRT</t>
    </r>
  </si>
  <si>
    <r>
      <t xml:space="preserve">índice de conformidade com a acessibilidade do elemento "catracas" do módulo de análise "elementos das plataformas" do sistema BRT de Belo Horizonte
</t>
    </r>
    <r>
      <rPr>
        <b/>
        <sz val="10"/>
        <color theme="1"/>
        <rFont val="Times New Roman"/>
        <family val="1"/>
      </rPr>
      <t>obs.1:</t>
    </r>
    <r>
      <rPr>
        <sz val="10"/>
        <color theme="1"/>
        <rFont val="Times New Roman"/>
        <family val="1"/>
      </rPr>
      <t xml:space="preserve"> o sistema de BRT de Belo Horizonte é constituido, em 2016, por três corredores: Área Central, Antônio Carlos e Cristiano Machado
</t>
    </r>
    <r>
      <rPr>
        <b/>
        <sz val="10"/>
        <color theme="1"/>
        <rFont val="Times New Roman"/>
        <family val="1"/>
      </rPr>
      <t>obs.2:</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</si>
  <si>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"elevadores das passarelas" do módulo de análise "passarelas" do sistema BRT de Belo Horizonte
</t>
    </r>
    <r>
      <rPr>
        <b/>
        <sz val="10"/>
        <color theme="1"/>
        <rFont val="Times New Roman"/>
        <family val="1"/>
      </rPr>
      <t>obs.1:</t>
    </r>
    <r>
      <rPr>
        <sz val="10"/>
        <color theme="1"/>
        <rFont val="Times New Roman"/>
        <family val="1"/>
      </rPr>
      <t xml:space="preserve"> não há elevador implantado em qualquer passarela no sistema BRT de Belo Horizonte</t>
    </r>
  </si>
  <si>
    <r>
      <t xml:space="preserve">índice de conformidade com a acessibilidade do elemento "elevadores dos acessos às plataformas" do módulo de análise "elementos de acesso às plataformas" do sistema BRT de Belo Horizonte
</t>
    </r>
    <r>
      <rPr>
        <b/>
        <sz val="10"/>
        <color theme="1"/>
        <rFont val="Times New Roman"/>
        <family val="1"/>
      </rPr>
      <t>obs.1:</t>
    </r>
    <r>
      <rPr>
        <sz val="10"/>
        <color theme="1"/>
        <rFont val="Times New Roman"/>
        <family val="1"/>
      </rPr>
      <t xml:space="preserve"> não há elevador implantado em qualquer plataforma no sistema BRT de Belo Horizonte</t>
    </r>
  </si>
  <si>
    <r>
      <t xml:space="preserve">índice de conformidade com a acessibilidade de cada uma das 41 estações de transferência do sistema BRT de Belo Horizonte
</t>
    </r>
    <r>
      <rPr>
        <b/>
        <sz val="10"/>
        <color theme="1"/>
        <rFont val="Times New Roman"/>
        <family val="1"/>
      </rPr>
      <t xml:space="preserve">obs.1: </t>
    </r>
    <r>
      <rPr>
        <sz val="10"/>
        <color theme="1"/>
        <rFont val="Times New Roman"/>
        <family val="1"/>
      </rPr>
      <t xml:space="preserve">o BRT IC de cada módulo de análise de cada estação é calculado como a média dos seus elementos
</t>
    </r>
    <r>
      <rPr>
        <b/>
        <sz val="10"/>
        <color theme="1"/>
        <rFont val="Times New Roman"/>
        <family val="1"/>
      </rPr>
      <t xml:space="preserve">obs.2: </t>
    </r>
    <r>
      <rPr>
        <sz val="10"/>
        <color theme="1"/>
        <rFont val="Times New Roman"/>
        <family val="1"/>
      </rPr>
      <t xml:space="preserve">resultados de 2016 conforme </t>
    </r>
    <r>
      <rPr>
        <sz val="10"/>
        <rFont val="Times New Roman"/>
        <family val="1"/>
      </rPr>
      <t>BHTRANS(2016j9/j10), onde podem ser encontrados 35 resultados dos 41 resultados possíveis</t>
    </r>
  </si>
  <si>
    <r>
      <t xml:space="preserve">índice de conformidade com a acessibilidade de cada um dos dezenove elementos (agrupados em quatro módulos de análise) de cada uma das 41 estações de transferência do sistema BRT de Belo Horizonte
</t>
    </r>
    <r>
      <rPr>
        <b/>
        <sz val="10"/>
        <color theme="1"/>
        <rFont val="Times New Roman"/>
        <family val="1"/>
      </rPr>
      <t xml:space="preserve">obs.1: </t>
    </r>
    <r>
      <rPr>
        <sz val="10"/>
        <color theme="1"/>
        <rFont val="Times New Roman"/>
        <family val="1"/>
      </rPr>
      <t xml:space="preserve">o BRT IC de cada elemento de cada estação é calculado após a aplicação do checklist, quando cada diretriz recebe um "sim" ou um "não" conforme o local inspecionado esteja ou não em conformidade com a legislação de acessibilidade 
</t>
    </r>
    <r>
      <rPr>
        <b/>
        <sz val="10"/>
        <color theme="1"/>
        <rFont val="Times New Roman"/>
        <family val="1"/>
      </rPr>
      <t xml:space="preserve">obs.2: </t>
    </r>
    <r>
      <rPr>
        <sz val="10"/>
        <color theme="1"/>
        <rFont val="Times New Roman"/>
        <family val="1"/>
      </rPr>
      <t xml:space="preserve">após o checklist, o resultado é obtido aplicando-se a fórmula (∑ sim / (sim + não) das diretrizes do elemento) x 100 
</t>
    </r>
    <r>
      <rPr>
        <b/>
        <sz val="10"/>
        <color theme="1"/>
        <rFont val="Times New Roman"/>
        <family val="1"/>
      </rPr>
      <t xml:space="preserve">obs.3: </t>
    </r>
    <r>
      <rPr>
        <sz val="10"/>
        <color theme="1"/>
        <rFont val="Times New Roman"/>
        <family val="1"/>
      </rPr>
      <t xml:space="preserve">resultados disponíveis de 2016 conforme WRI(2016j6, p.39-40) </t>
    </r>
    <r>
      <rPr>
        <sz val="10"/>
        <rFont val="Times New Roman"/>
        <family val="1"/>
      </rPr>
      <t>e BHTRANS(2016j9/j10), onde são encontrados 560 resultados pontuais (16 elementos x 35 estações) dos 779 resultados possíveis (19 elementos x 41 estações) com a aplicação do checklist</t>
    </r>
  </si>
  <si>
    <r>
      <t xml:space="preserve">índice de conformidade com a acessibilidade de cada um dos quatro módulos de análise de cada uma das 41 estações de transferência do sistema BRT de Belo Horizonte
</t>
    </r>
    <r>
      <rPr>
        <b/>
        <sz val="10"/>
        <color theme="1"/>
        <rFont val="Times New Roman"/>
        <family val="1"/>
      </rPr>
      <t xml:space="preserve">obs.1: </t>
    </r>
    <r>
      <rPr>
        <sz val="10"/>
        <color theme="1"/>
        <rFont val="Times New Roman"/>
        <family val="1"/>
      </rPr>
      <t xml:space="preserve">o BRT IC de cada módulo de análise de cada estação é calculado como a média dos seus elementos
</t>
    </r>
    <r>
      <rPr>
        <b/>
        <sz val="10"/>
        <color theme="1"/>
        <rFont val="Times New Roman"/>
        <family val="1"/>
      </rPr>
      <t xml:space="preserve">obs.2: </t>
    </r>
    <r>
      <rPr>
        <sz val="10"/>
        <color theme="1"/>
        <rFont val="Times New Roman"/>
        <family val="1"/>
      </rPr>
      <t xml:space="preserve">resultados de 2016 conforme </t>
    </r>
    <r>
      <rPr>
        <sz val="10"/>
        <rFont val="Times New Roman"/>
        <family val="1"/>
      </rPr>
      <t>BHTRANS(2016j9/j10), onde podem ser encontrados 140 resultados pontuais (4 módulos x 35 estações) dos 164 resultados possíveis (4 módulos x 41 estações)</t>
    </r>
  </si>
  <si>
    <r>
      <t xml:space="preserve">índice de conformidade com a acessibilidade do módulo de análise "elementos das travessias" 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obs.2:</t>
    </r>
    <r>
      <rPr>
        <sz val="10"/>
        <color theme="1"/>
        <rFont val="Times New Roman"/>
        <family val="1"/>
      </rPr>
      <t xml:space="preserve"> calculado como a média dos três elementos do módulo de análise (calçadas, rebaixamentos das calçadas e travessias)</t>
    </r>
    <r>
      <rPr>
        <b/>
        <sz val="10"/>
        <color theme="1"/>
        <rFont val="Times New Roman"/>
        <family val="1"/>
      </rPr>
      <t/>
    </r>
  </si>
  <si>
    <r>
      <t xml:space="preserve">índice de conformidade com a acessibilidade do módulo de análise "elementos das passarelas" do sistema BRT de Belo Horizonte
</t>
    </r>
    <r>
      <rPr>
        <b/>
        <sz val="10"/>
        <color theme="1"/>
        <rFont val="Times New Roman"/>
        <family val="1"/>
      </rPr>
      <t>obs.1:</t>
    </r>
    <r>
      <rPr>
        <sz val="10"/>
        <color theme="1"/>
        <rFont val="Times New Roman"/>
        <family val="1"/>
      </rPr>
      <t xml:space="preserve"> o sistema de BRT de Belo Horizonte é constituido, em 2016, por três corredores: Área Central, Antônio Carlos e Cristiano Machado
</t>
    </r>
    <r>
      <rPr>
        <b/>
        <sz val="10"/>
        <color theme="1"/>
        <rFont val="Times New Roman"/>
        <family val="1"/>
      </rPr>
      <t>obs.2:</t>
    </r>
    <r>
      <rPr>
        <sz val="10"/>
        <color theme="1"/>
        <rFont val="Times New Roman"/>
        <family val="1"/>
      </rPr>
      <t xml:space="preserve"> calculado como a média dos quatro elementos do módulo de análise (geral das passarelas, rampas das passarelas, escadarias das passarelas, corrimãos das passarelas)</t>
    </r>
    <r>
      <rPr>
        <b/>
        <sz val="10"/>
        <color theme="1"/>
        <rFont val="Times New Roman"/>
        <family val="1"/>
      </rPr>
      <t/>
    </r>
  </si>
  <si>
    <r>
      <t xml:space="preserve">índice de conformidade com a acessibilidade do módulo de análise "elementos de acessos às plataformas" 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calculado como a média dos três elementos do módulo de análise (rampas das plataformas, escadarias das plataformas, corrimãos das plataformas)</t>
    </r>
    <r>
      <rPr>
        <b/>
        <sz val="10"/>
        <color theme="1"/>
        <rFont val="Times New Roman"/>
        <family val="1"/>
      </rPr>
      <t/>
    </r>
  </si>
  <si>
    <r>
      <t xml:space="preserve">índice de conformidade com a acessibilidade do módulo de análise "elementos das plataformas" 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calculado como a média dos seis elementos do módulo de análise (bilheterias, máquinas de venda automática, catracas, planos e mapas acessíveis, geral da plataforma, sinalização)</t>
    </r>
    <r>
      <rPr>
        <b/>
        <sz val="10"/>
        <color theme="1"/>
        <rFont val="Times New Roman"/>
        <family val="1"/>
      </rPr>
      <t/>
    </r>
  </si>
  <si>
    <r>
      <t xml:space="preserve">índice de conformidade com a acessibilidade do elemento "corrimãos das passarelas" do módulo de análise "passarelas"do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 xml:space="preserve">calculado como a média dos BRT IC das estações inspecionadas </t>
    </r>
    <r>
      <rPr>
        <b/>
        <sz val="10"/>
        <color theme="1"/>
        <rFont val="Times New Roman"/>
        <family val="1"/>
      </rPr>
      <t/>
    </r>
  </si>
  <si>
    <r>
      <t xml:space="preserve">índice de conformidade com a acessibilidade do elemento "escadarias das passarelas" do módulo de análise "passarelas" do sistema BRT de Belo Horizonte
</t>
    </r>
    <r>
      <rPr>
        <b/>
        <sz val="10"/>
        <color theme="1"/>
        <rFont val="Times New Roman"/>
        <family val="1"/>
      </rPr>
      <t>obs.1:</t>
    </r>
    <r>
      <rPr>
        <sz val="10"/>
        <color theme="1"/>
        <rFont val="Times New Roman"/>
        <family val="1"/>
      </rPr>
      <t xml:space="preserve"> 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 xml:space="preserve">calculado como a média dos BRT IC das estações inspecionadas </t>
    </r>
    <r>
      <rPr>
        <b/>
        <sz val="10"/>
        <color theme="1"/>
        <rFont val="Times New Roman"/>
        <family val="1"/>
      </rPr>
      <t/>
    </r>
  </si>
  <si>
    <r>
      <t xml:space="preserve">índice de conformidade com a acessibilidade do elemento "geral das passarelas" do módulo de análise "passarelas" 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obs.2:</t>
    </r>
    <r>
      <rPr>
        <sz val="10"/>
        <color theme="1"/>
        <rFont val="Times New Roman"/>
        <family val="1"/>
      </rPr>
      <t xml:space="preserve"> calculado como a média dos BRT IC das estações inspecionadas </t>
    </r>
    <r>
      <rPr>
        <b/>
        <sz val="10"/>
        <color theme="1"/>
        <rFont val="Times New Roman"/>
        <family val="1"/>
      </rPr>
      <t/>
    </r>
  </si>
  <si>
    <r>
      <t xml:space="preserve">índice de conformidade com a acessibilidade do elemento "plataformas elevatórias não enclausuradas" do módulo de análise "elementos de acesso às plataformas" do sistema BRT de Belo Horizonte
</t>
    </r>
    <r>
      <rPr>
        <b/>
        <sz val="10"/>
        <color theme="1"/>
        <rFont val="Times New Roman"/>
        <family val="1"/>
      </rPr>
      <t>obs.1:</t>
    </r>
    <r>
      <rPr>
        <sz val="10"/>
        <color theme="1"/>
        <rFont val="Times New Roman"/>
        <family val="1"/>
      </rPr>
      <t xml:space="preserve"> não há elevador implantado em qualquer plataforma no sistema BRT de Belo Horizonte, a despeito do projeto do corredor Área Central ter sido concebido para implantação de uma plataforma elevatória ao lado da escada existente em cada uma das duas entradas de cada uma de suas seis estações</t>
    </r>
  </si>
  <si>
    <r>
      <t xml:space="preserve">índice de conformidade com a acessibilidade do elemento "corrimãos das plataformas" do módulo de análise "elementos de acesso às plataformas" 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obs.2:</t>
    </r>
    <r>
      <rPr>
        <sz val="10"/>
        <color theme="1"/>
        <rFont val="Times New Roman"/>
        <family val="1"/>
      </rPr>
      <t xml:space="preserve"> calculado como a média dos BRT IC das estações inspecionadas </t>
    </r>
    <r>
      <rPr>
        <b/>
        <sz val="10"/>
        <color theme="1"/>
        <rFont val="Times New Roman"/>
        <family val="1"/>
      </rPr>
      <t/>
    </r>
  </si>
  <si>
    <r>
      <t xml:space="preserve">índice de conformidade com a acessibilidade do elemento "escadarias das plataformas" do módulo de análise "elementos de acesso às plataformas" do sistema BRT de Belo Horizonte
</t>
    </r>
    <r>
      <rPr>
        <b/>
        <sz val="10"/>
        <color theme="1"/>
        <rFont val="Times New Roman"/>
        <family val="1"/>
      </rPr>
      <t>obs.1:</t>
    </r>
    <r>
      <rPr>
        <sz val="10"/>
        <color theme="1"/>
        <rFont val="Times New Roman"/>
        <family val="1"/>
      </rPr>
      <t xml:space="preserve"> 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 xml:space="preserve">calculado como a média dos BRT IC das estações inspecionadas </t>
    </r>
    <r>
      <rPr>
        <b/>
        <sz val="10"/>
        <color theme="1"/>
        <rFont val="Times New Roman"/>
        <family val="1"/>
      </rPr>
      <t/>
    </r>
  </si>
  <si>
    <r>
      <t xml:space="preserve">índice de conformidade com a acessibilidade do elemento "geral das plataformas" do módulo de análise "elementos das plataformas"do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</si>
  <si>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"rampas das plataformas" do módulo de análise "elementos de acesso à plataforma" do sistema BRT de Belo Horizonte
</t>
    </r>
    <r>
      <rPr>
        <b/>
        <sz val="10"/>
        <color theme="1"/>
        <rFont val="Times New Roman"/>
        <family val="1"/>
      </rPr>
      <t>obs.1:</t>
    </r>
    <r>
      <rPr>
        <sz val="10"/>
        <color theme="1"/>
        <rFont val="Times New Roman"/>
        <family val="1"/>
      </rPr>
      <t xml:space="preserve"> 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</si>
  <si>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"geral das plataformas" do módulo de análise "elementos das plataformas" do corredor de BRT denominado "Área Central"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</si>
  <si>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"rebaixamentos de calçadas" do módulo de análise "elementos das travessias" do sistema BRT de Belo Horizonte
</t>
    </r>
    <r>
      <rPr>
        <b/>
        <sz val="10"/>
        <color theme="1"/>
        <rFont val="Times New Roman"/>
        <family val="1"/>
      </rPr>
      <t>obs.1:</t>
    </r>
    <r>
      <rPr>
        <sz val="10"/>
        <color theme="1"/>
        <rFont val="Times New Roman"/>
        <family val="1"/>
      </rPr>
      <t xml:space="preserve"> o sistema de BRT de Belo Horizonte é constituido, em 2016, por três corredores: Área Central, Antônio Carlos e Cristiano Machado
</t>
    </r>
    <r>
      <rPr>
        <b/>
        <sz val="10"/>
        <color theme="1"/>
        <rFont val="Times New Roman"/>
        <family val="1"/>
      </rPr>
      <t>obs.2:</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</si>
  <si>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"sinalização" do módulo de análise "elementos das plataformas" do sistema BRT de Belo Horizonte
</t>
    </r>
    <r>
      <rPr>
        <b/>
        <sz val="10"/>
        <color theme="1"/>
        <rFont val="Times New Roman"/>
        <family val="1"/>
      </rPr>
      <t>obs.1:</t>
    </r>
    <r>
      <rPr>
        <sz val="10"/>
        <color theme="1"/>
        <rFont val="Times New Roman"/>
        <family val="1"/>
      </rPr>
      <t xml:space="preserve"> 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</si>
  <si>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"travessias" do módulo de análise "elementos das travessias" 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</si>
  <si>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corredor de BRT de Belo Horizonte denominado "Área Central"
</t>
    </r>
    <r>
      <rPr>
        <b/>
        <sz val="10"/>
        <color theme="1"/>
        <rFont val="Times New Roman"/>
        <family val="1"/>
      </rPr>
      <t>obs.1:</t>
    </r>
    <r>
      <rPr>
        <sz val="10"/>
        <color theme="1"/>
        <rFont val="Times New Roman"/>
        <family val="1"/>
      </rPr>
      <t xml:space="preserve"> calculado como a média dos BRT IC AC dos quatro modulos de análise (elementos das travessias, elementos das passarelas, acessos às plataformas e elementos das plataformas)</t>
    </r>
  </si>
  <si>
    <r>
      <t xml:space="preserve">índice de conformidade com a acessibilidade do elemento "bilheterias das plataformas" do módulo de análise "elementos das plataformas" do corredor de BRT denominado "Área Central"
</t>
    </r>
    <r>
      <rPr>
        <b/>
        <sz val="10"/>
        <color theme="1"/>
        <rFont val="Times New Roman"/>
        <family val="1"/>
      </rPr>
      <t xml:space="preserve">obs.1: </t>
    </r>
    <r>
      <rPr>
        <sz val="10"/>
        <color theme="1"/>
        <rFont val="Times New Roman"/>
        <family val="1"/>
      </rPr>
      <t xml:space="preserve">calculado como a média dos BRT IC das estações inspecionadas </t>
    </r>
    <r>
      <rPr>
        <b/>
        <sz val="10"/>
        <color theme="1"/>
        <rFont val="Times New Roman"/>
        <family val="1"/>
      </rPr>
      <t/>
    </r>
  </si>
  <si>
    <r>
      <t xml:space="preserve">índice de conformidade com a acessibilidade do elemento "calçadas" do módulo de análise "elementos das travessias" do corredor de BRT denominado "Área Central"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</si>
  <si>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"catracas" do módulo de análise "elementos das plataformas" do corredor de BRT denominado "Área Central"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</si>
  <si>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"planos e mapas acessíveis" do módulo de análise "elementos das plataformas" do corredor de BRT denominado "Área Central"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</si>
  <si>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"máquinas de venda automática" do módulo de análise "elementos das plataformas" do corredor de BRT denominado "Área Central"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</si>
  <si>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módulo de análise "elementos das travessias" do corredor de BRT denominado "Área Central"
</t>
    </r>
    <r>
      <rPr>
        <b/>
        <sz val="10"/>
        <color theme="1"/>
        <rFont val="Times New Roman"/>
        <family val="1"/>
      </rPr>
      <t>obs.1:</t>
    </r>
    <r>
      <rPr>
        <sz val="10"/>
        <color theme="1"/>
        <rFont val="Times New Roman"/>
        <family val="1"/>
      </rPr>
      <t xml:space="preserve"> calculado como a média dos três elementos do módulo de análise (calçadas, rebaixamentos das calçadas e travessias)</t>
    </r>
    <r>
      <rPr>
        <b/>
        <sz val="10"/>
        <color theme="1"/>
        <rFont val="Times New Roman"/>
        <family val="1"/>
      </rPr>
      <t/>
    </r>
  </si>
  <si>
    <r>
      <t xml:space="preserve">índice de conformidade com a acessibilidade do módulo de análise "elementos das passarelas" do corredor de BRT denominado "Área Central"
</t>
    </r>
    <r>
      <rPr>
        <b/>
        <sz val="10"/>
        <color theme="1"/>
        <rFont val="Times New Roman"/>
        <family val="1"/>
      </rPr>
      <t xml:space="preserve">obs.1: </t>
    </r>
    <r>
      <rPr>
        <sz val="10"/>
        <color theme="1"/>
        <rFont val="Times New Roman"/>
        <family val="1"/>
      </rPr>
      <t>calculado como a média dos quatro elementos do módulo de análise (geral das passarelas, rampas das passarelas, escadarias das passarelas, corrimãos das passarelas)</t>
    </r>
    <r>
      <rPr>
        <b/>
        <sz val="10"/>
        <color theme="1"/>
        <rFont val="Times New Roman"/>
        <family val="1"/>
      </rPr>
      <t/>
    </r>
  </si>
  <si>
    <r>
      <t xml:space="preserve">índice de conformidade com a acessibilidade do módulo de análise "elementos de acessos às plataformas" do corredor de BRT denominado "Área Central"
</t>
    </r>
    <r>
      <rPr>
        <b/>
        <sz val="10"/>
        <color theme="1"/>
        <rFont val="Times New Roman"/>
        <family val="1"/>
      </rPr>
      <t xml:space="preserve">obs.1: </t>
    </r>
    <r>
      <rPr>
        <sz val="10"/>
        <color theme="1"/>
        <rFont val="Times New Roman"/>
        <family val="1"/>
      </rPr>
      <t>calculado como a média dos três elementos do módulo de análise (rampas das plataformas, escadarias das plataformas, corrimãos das plataformas)</t>
    </r>
    <r>
      <rPr>
        <b/>
        <sz val="10"/>
        <color theme="1"/>
        <rFont val="Times New Roman"/>
        <family val="1"/>
      </rPr>
      <t/>
    </r>
  </si>
  <si>
    <r>
      <t xml:space="preserve">índice de conformidade com a acessibilidade do módulo de análise "elementos das plataformas"do corredor de BRT denominado "Área Central"
</t>
    </r>
    <r>
      <rPr>
        <b/>
        <sz val="10"/>
        <color theme="1"/>
        <rFont val="Times New Roman"/>
        <family val="1"/>
      </rPr>
      <t xml:space="preserve">obs.1: </t>
    </r>
    <r>
      <rPr>
        <sz val="10"/>
        <color theme="1"/>
        <rFont val="Times New Roman"/>
        <family val="1"/>
      </rPr>
      <t>calculado como a média dos seis elementos do módulo de análise (bilheterias, máquinas de venda automática, catracas, planos e mapas acessíveis, geral da plataforma, sinalização)</t>
    </r>
    <r>
      <rPr>
        <b/>
        <sz val="10"/>
        <color theme="1"/>
        <rFont val="Times New Roman"/>
        <family val="1"/>
      </rPr>
      <t/>
    </r>
  </si>
  <si>
    <r>
      <t xml:space="preserve">índice de conformidade com a acessibilidade do elemento "corrimãos das passarelas" do módulo de análise "passarelas" do corredor de BRT denominado "Área Central"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</si>
  <si>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"escadarias das passarelas" do módulo de análise "passarelas" do corredor de BRT denominado "Área Central"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</si>
  <si>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"geral das passarelas" do módulo de análise "passarelas" do corredor de BRT denominado "Área Central"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</si>
  <si>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"rampas das passarelas" do módulo de análise "passarelas" do corredor de BRT denominado "Área Central"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</si>
  <si>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"corrimãos das plataformas" do módulo de análise "elementos de acesso às plataformas" do corredor de BRT denominado "Área Central"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</si>
  <si>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"escadarias das plataformas" do módulo de análise "elementos de acesso às plataformas" do corredor de BRT denominado "Área Central"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</si>
  <si>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"rampas das plataformas" do módulo de análise "elementos de acesso à plataforma" do corredor de BRT denominado "Área Central"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</si>
  <si>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"rebaixamentos de calçadas" do módulo de análise "elementos das travessias" do corredor de BRT denominado "Área Central"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</si>
  <si>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"sinalização" do módulo de análise "elementos das plataformas" do corredor de BRT denominado "Área Central"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</si>
  <si>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"travessias" do módulo de análise "elementos das travessias" do corredor de BRT denominado "Área Central"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</si>
  <si>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corredor de BRT de Belo Horizonte denominado "Antônio Carlos"
</t>
    </r>
    <r>
      <rPr>
        <b/>
        <sz val="10"/>
        <color theme="1"/>
        <rFont val="Times New Roman"/>
        <family val="1"/>
      </rPr>
      <t xml:space="preserve">obs.1: </t>
    </r>
    <r>
      <rPr>
        <sz val="10"/>
        <color theme="1"/>
        <rFont val="Times New Roman"/>
        <family val="1"/>
      </rPr>
      <t>calculado como a média dos BRT IC ATC dos quatro modulos de análise (elementos das travessias, elementos das passarelas, acessos às plataformas e elementos das plataformas)</t>
    </r>
    <r>
      <rPr>
        <b/>
        <sz val="10"/>
        <color theme="1"/>
        <rFont val="Times New Roman"/>
        <family val="1"/>
      </rPr>
      <t/>
    </r>
  </si>
  <si>
    <r>
      <t xml:space="preserve">índice de conformidade com a acessibilidade do elemento "bilheterias das plataformas" do módulo de análise "elementos das plataformas" do corredor de BRT denominado "Antônio Carlos"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</si>
  <si>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"catracas" do módulo de análise "elementos da plataforma" do corredor de BRT denominado "Antônio Carlos"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</si>
  <si>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"planos e mapas acessíveis" do módulo de análise "elementos das plataformas" do corredor de BRT denominado "Antônio Carlos"
</t>
    </r>
    <r>
      <rPr>
        <b/>
        <sz val="10"/>
        <color theme="1"/>
        <rFont val="Times New Roman"/>
        <family val="1"/>
      </rPr>
      <t xml:space="preserve">obs.1: </t>
    </r>
    <r>
      <rPr>
        <sz val="10"/>
        <color theme="1"/>
        <rFont val="Times New Roman"/>
        <family val="1"/>
      </rPr>
      <t>calculado como a média dos BRT IC das estações inspecionadas</t>
    </r>
  </si>
  <si>
    <r>
      <t xml:space="preserve">índice de conformidade com a acessibilidade do elemento "máquinas de venda automática" do módulo de análise "elementos das plataformas" do corredor de BRT denominado "Antônio Carlos"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</si>
  <si>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módulo de análise "elementos das travessias" do corredor de BRT denominado "Antônio Carlos"
</t>
    </r>
    <r>
      <rPr>
        <b/>
        <sz val="10"/>
        <color theme="1"/>
        <rFont val="Times New Roman"/>
        <family val="1"/>
      </rPr>
      <t xml:space="preserve">obs.1: </t>
    </r>
    <r>
      <rPr>
        <sz val="10"/>
        <color theme="1"/>
        <rFont val="Times New Roman"/>
        <family val="1"/>
      </rPr>
      <t>calculado como a média dos três elementos do módulo de análise (calçadas, rebaixamentos das calçadas e travessias)</t>
    </r>
    <r>
      <rPr>
        <b/>
        <sz val="10"/>
        <color theme="1"/>
        <rFont val="Times New Roman"/>
        <family val="1"/>
      </rPr>
      <t/>
    </r>
  </si>
  <si>
    <r>
      <t xml:space="preserve">índice de conformidade com a acessibilidade do módulo de análise "elementos das passarelas"do corredor de BRT denominado "Antônio Carlos"
</t>
    </r>
    <r>
      <rPr>
        <b/>
        <sz val="10"/>
        <color theme="1"/>
        <rFont val="Times New Roman"/>
        <family val="1"/>
      </rPr>
      <t>obs.1:</t>
    </r>
    <r>
      <rPr>
        <sz val="10"/>
        <color theme="1"/>
        <rFont val="Times New Roman"/>
        <family val="1"/>
      </rPr>
      <t xml:space="preserve"> calculado como a média dos quatro elementos do módulo de análise (geral das passarelas, rampas das passarelas, escadarias das passarelas, corrimãos das passarelas)</t>
    </r>
    <r>
      <rPr>
        <b/>
        <sz val="10"/>
        <color theme="1"/>
        <rFont val="Times New Roman"/>
        <family val="1"/>
      </rPr>
      <t/>
    </r>
  </si>
  <si>
    <r>
      <t xml:space="preserve">índice de conformidade com a acessibilidade do módulo de análise "elementos de acessos às plataformas" do corredor de BRT denominado "Antônio Carlos"
</t>
    </r>
    <r>
      <rPr>
        <b/>
        <sz val="10"/>
        <color theme="1"/>
        <rFont val="Times New Roman"/>
        <family val="1"/>
      </rPr>
      <t xml:space="preserve">obs.1: </t>
    </r>
    <r>
      <rPr>
        <sz val="10"/>
        <color theme="1"/>
        <rFont val="Times New Roman"/>
        <family val="1"/>
      </rPr>
      <t>calculado como a média dos três elementos do módulo de análise (rampas das plataformas, escadarias das plataformas, corrimãos das plataformas)</t>
    </r>
    <r>
      <rPr>
        <sz val="10"/>
        <color theme="1"/>
        <rFont val="Times New Roman"/>
        <family val="1"/>
      </rPr>
      <t xml:space="preserve">
</t>
    </r>
    <r>
      <rPr>
        <b/>
        <sz val="10"/>
        <color theme="1"/>
        <rFont val="Times New Roman"/>
        <family val="1"/>
      </rPr>
      <t/>
    </r>
  </si>
  <si>
    <r>
      <t xml:space="preserve">índice de conformidade com a acessibilidade do módulo de análise "elementos das plataformas"do corredor de BRT denominado "Antônio Carlos"
</t>
    </r>
    <r>
      <rPr>
        <b/>
        <sz val="10"/>
        <color theme="1"/>
        <rFont val="Times New Roman"/>
        <family val="1"/>
      </rPr>
      <t>obs.1:</t>
    </r>
    <r>
      <rPr>
        <sz val="10"/>
        <color theme="1"/>
        <rFont val="Times New Roman"/>
        <family val="1"/>
      </rPr>
      <t xml:space="preserve"> calculado como a média dos seis elementos do módulo de análise (bilheterias, máquinas de venda automática, catracas, planos e mapas acessíveis, geral da plataforma, sinalização)</t>
    </r>
    <r>
      <rPr>
        <b/>
        <sz val="10"/>
        <color theme="1"/>
        <rFont val="Times New Roman"/>
        <family val="1"/>
      </rPr>
      <t/>
    </r>
  </si>
  <si>
    <r>
      <t xml:space="preserve">índice de conformidade com a acessibilidade do elemento "corrimãos das passarelas" do módulo de análise "passarelas" do corredor de BRT denominado "Antônio Carlos"
</t>
    </r>
    <r>
      <rPr>
        <b/>
        <sz val="10"/>
        <color theme="1"/>
        <rFont val="Times New Roman"/>
        <family val="1"/>
      </rPr>
      <t xml:space="preserve">obs.1: </t>
    </r>
    <r>
      <rPr>
        <sz val="10"/>
        <color theme="1"/>
        <rFont val="Times New Roman"/>
        <family val="1"/>
      </rPr>
      <t xml:space="preserve">calculado como a média dos BRT IC das estações inspecionadas </t>
    </r>
    <r>
      <rPr>
        <b/>
        <sz val="10"/>
        <color theme="1"/>
        <rFont val="Times New Roman"/>
        <family val="1"/>
      </rPr>
      <t/>
    </r>
  </si>
  <si>
    <r>
      <t xml:space="preserve">índice de conformidade com a acessibilidade do elemento "escadarias das passarelas" do módulo de análise "passarelas" do corredor de BRT denominado "Antônio Carlos"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</si>
  <si>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"geral das passarelas" do módulo de análise "passarelas" do corredor de BRT denominado "Antônio Carlos"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</si>
  <si>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"rampas das passarelas" do módulo de análise "passarelas" do corredor de BRT denominado "Antônio Carlos"
</t>
    </r>
    <r>
      <rPr>
        <b/>
        <sz val="10"/>
        <color theme="1"/>
        <rFont val="Times New Roman"/>
        <family val="1"/>
      </rPr>
      <t>obs.1:</t>
    </r>
    <r>
      <rPr>
        <sz val="10"/>
        <color theme="1"/>
        <rFont val="Times New Roman"/>
        <family val="1"/>
      </rPr>
      <t xml:space="preserve"> calculado como a média dos BRT IC das estações inspecionadas</t>
    </r>
  </si>
  <si>
    <r>
      <t xml:space="preserve">índice de conformidade com a acessibilidade do elemento "corrimãos das plataformas" do módulo de análise "elementos de acesso à plataforma" do corredor de BRT denominado "Antônio Carlos"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</si>
  <si>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"escadarias das plataformas" do módulo de análise "elementos de acesso às plataformas" do corredor de BRT denominado "Antônio Carlos"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</si>
  <si>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"geral das plataformas" do módulo de análise "elementos das plataformas" do corredor de BRT denominado "Antônio Carlos"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</si>
  <si>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"rampas das plataformas" do módulo de análise "elementos de acesso à plataforma" do corredor de BRT denominado "Antônio Carlos"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</si>
  <si>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"rebaixamentos de calçadas" do módulo de análise "elementos das travessias" do corredor de BRT denominado "Antônio Carlos"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</si>
  <si>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"sinalização" do módulo de análise "elementos das plataformas" do corredor de BRT denominado "Antônio Carlos"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</si>
  <si>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"travessias" do módulo de análise "elementos das travessias" do corredor de BRT denominado "Antônio Carlos"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</si>
  <si>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corredor de BRT de Belo Horizonte denominado "Cristiano Machado"
</t>
    </r>
    <r>
      <rPr>
        <b/>
        <sz val="10"/>
        <color theme="1"/>
        <rFont val="Times New Roman"/>
        <family val="1"/>
      </rPr>
      <t>obs.1:</t>
    </r>
    <r>
      <rPr>
        <sz val="10"/>
        <color theme="1"/>
        <rFont val="Times New Roman"/>
        <family val="1"/>
      </rPr>
      <t xml:space="preserve"> calculado como a média dos BRT IC CMC dos quatro modulos de análise (elementos das travessias, elementos das passarelas, acessos às plataformas e elementos das plataformas)</t>
    </r>
    <r>
      <rPr>
        <b/>
        <sz val="10"/>
        <color theme="1"/>
        <rFont val="Times New Roman"/>
        <family val="1"/>
      </rPr>
      <t/>
    </r>
  </si>
  <si>
    <r>
      <t xml:space="preserve">índice de conformidade com a acessibilidade do elemento "bilheterias das plataformas" do módulo de análise "elementos das plataformas" do corredor de BRT denominado "Cristiano Machado"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</si>
  <si>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"calçadas" do módulo de análise "elementos das travessias" do corredor de BRT denominado "Cristiano Machado"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</si>
  <si>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"catracas" do módulo de análise "elementos das plataformas" do corredor de BRT denominado "Cristiano Machado"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</si>
  <si>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"planos e mapas acessíveis" do módulo de análise "elementos das plataformas" do corredor de BRT denominado "Cristiano Machado"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</si>
  <si>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"máquinas de venda automática" do módulo de análise "elementos das plataformas" do corredor de BRT denominado "Cristiano Machado"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</si>
  <si>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módulo de análise "elementos das travessias" do corredor de BRT denominado "Cristiano Machado"
</t>
    </r>
    <r>
      <rPr>
        <b/>
        <sz val="10"/>
        <color theme="1"/>
        <rFont val="Times New Roman"/>
        <family val="1"/>
      </rPr>
      <t>obs.1:</t>
    </r>
    <r>
      <rPr>
        <sz val="10"/>
        <color theme="1"/>
        <rFont val="Times New Roman"/>
        <family val="1"/>
      </rPr>
      <t xml:space="preserve"> calculado como a média dos três elementos do módulo de análise (calçadas, rebaixamentos das calçadas e travessias)</t>
    </r>
    <r>
      <rPr>
        <b/>
        <sz val="10"/>
        <color theme="1"/>
        <rFont val="Times New Roman"/>
        <family val="1"/>
      </rPr>
      <t/>
    </r>
  </si>
  <si>
    <r>
      <t xml:space="preserve">índice de conformidade com a acessibilidade do módulo de análise "elementos das passarelas" do corredor de BRT denominado "Cristiano Machado"
</t>
    </r>
    <r>
      <rPr>
        <b/>
        <sz val="10"/>
        <color theme="1"/>
        <rFont val="Times New Roman"/>
        <family val="1"/>
      </rPr>
      <t>obs.1:</t>
    </r>
    <r>
      <rPr>
        <sz val="10"/>
        <color theme="1"/>
        <rFont val="Times New Roman"/>
        <family val="1"/>
      </rPr>
      <t xml:space="preserve"> calculado como a média dos quatro elementos do módulo de análise (geral das passarelas, rampas das passarelas, escadarias das passarelas, corrimãos das passarelas)</t>
    </r>
    <r>
      <rPr>
        <b/>
        <sz val="10"/>
        <color theme="1"/>
        <rFont val="Times New Roman"/>
        <family val="1"/>
      </rPr>
      <t/>
    </r>
  </si>
  <si>
    <r>
      <t xml:space="preserve">índice de conformidade com a acessibilidade do módulo de análise "elementos de acessos às plataformas" do corredor de BRT denominado "Cristiano Machado"
</t>
    </r>
    <r>
      <rPr>
        <b/>
        <sz val="10"/>
        <color theme="1"/>
        <rFont val="Times New Roman"/>
        <family val="1"/>
      </rPr>
      <t xml:space="preserve">obs.1: </t>
    </r>
    <r>
      <rPr>
        <sz val="10"/>
        <color theme="1"/>
        <rFont val="Times New Roman"/>
        <family val="1"/>
      </rPr>
      <t>calculado como a média dos três elementos do módulo de análise (rampas das plataformas, escadarias das plataformas, corrimãos das plataformas)</t>
    </r>
    <r>
      <rPr>
        <b/>
        <sz val="10"/>
        <color theme="1"/>
        <rFont val="Times New Roman"/>
        <family val="1"/>
      </rPr>
      <t/>
    </r>
  </si>
  <si>
    <r>
      <t xml:space="preserve">índice de conformidade com a acessibilidade do módulo de análise "elementos das plataformas"do corredor de BRT denominado "Cristiano Machado"
</t>
    </r>
    <r>
      <rPr>
        <b/>
        <sz val="10"/>
        <color theme="1"/>
        <rFont val="Times New Roman"/>
        <family val="1"/>
      </rPr>
      <t xml:space="preserve">obs.1: </t>
    </r>
    <r>
      <rPr>
        <sz val="10"/>
        <color theme="1"/>
        <rFont val="Times New Roman"/>
        <family val="1"/>
      </rPr>
      <t>calculado como a média dos seis elementos do módulo de análise (bilheterias, máquinas de venda automática, catracas, planos e mapas acessíveis, geral da plataforma, sinalização)</t>
    </r>
    <r>
      <rPr>
        <b/>
        <sz val="10"/>
        <color theme="1"/>
        <rFont val="Times New Roman"/>
        <family val="1"/>
      </rPr>
      <t/>
    </r>
  </si>
  <si>
    <r>
      <t xml:space="preserve">índice de conformidade com a acessibilidade do elemento "corrimãos das passarelas" do módulo de análise "passarelas" do corredor de BRT denominado "Cristiano Machado"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</si>
  <si>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"escadarias das passarelas" do módulo de análise "passarelas" do corredor de BRT denominado "Cristiano Machado"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</si>
  <si>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"geral das passarelas" do módulo de análise "passarelas" do corredor de BRT denominado "Cristiano Machado"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</si>
  <si>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"rampas das passarelas" do módulo de análise "passarelas" do corredor de BRT denominado "Cristiano Machado"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</si>
  <si>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"corrimãos das plataformas" do módulo de análise "elementos de acesso às plataformas" do corredor de BRT denominado "Cristiano Machado"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</si>
  <si>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"escadarias das plataformas" do módulo de análise "elementos de acesso às plataformas" do corredor de BRT denominado "Cristiano Machado"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</si>
  <si>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"geral das plataformas" do módulo de análise "elementos das plataformas" do corredor de BRT denominado "Cristiano Machado"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</si>
  <si>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"rampas das plataformas" do módulo de análise "elementos de acesso à plataforma" do corredor de BRT denominado "Cristiano Machado"
</t>
    </r>
    <r>
      <rPr>
        <b/>
        <sz val="10"/>
        <color theme="1"/>
        <rFont val="Times New Roman"/>
        <family val="1"/>
      </rPr>
      <t>obs.1:</t>
    </r>
    <r>
      <rPr>
        <sz val="10"/>
        <color theme="1"/>
        <rFont val="Times New Roman"/>
        <family val="1"/>
      </rPr>
      <t xml:space="preserve"> calculado como a média dos BRT IC das estações inspecionadas</t>
    </r>
    <r>
      <rPr>
        <b/>
        <sz val="10"/>
        <color theme="1"/>
        <rFont val="Times New Roman"/>
        <family val="1"/>
      </rPr>
      <t/>
    </r>
  </si>
  <si>
    <r>
      <t xml:space="preserve">índice de conformidade com a acessibilidade do elemento "rebaixamentos de calçadas" do módulo de análise "elementos das travessias" do corredor de BRT denominado "Cristiano Machado"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</si>
  <si>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"sinalização" do módulo de análise "elementos das plataformas" do corredor de BRT denominado "Cristiano Machado"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</si>
  <si>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índice de conformidade com a acessibilidade do elemento "travessias" do módulo de análise "elementos das travessias" do corredor de BRT denominado "Cristiano Machado"
</t>
    </r>
    <r>
      <rPr>
        <b/>
        <sz val="10"/>
        <color theme="1"/>
        <rFont val="Times New Roman"/>
        <family val="1"/>
      </rPr>
      <t xml:space="preserve">obs.1: </t>
    </r>
    <r>
      <rPr>
        <sz val="10"/>
        <color theme="1"/>
        <rFont val="Times New Roman"/>
        <family val="1"/>
      </rPr>
      <t>calculado como a média dos BRT IC das estações inspecionadas</t>
    </r>
    <r>
      <rPr>
        <b/>
        <sz val="10"/>
        <color theme="1"/>
        <rFont val="Times New Roman"/>
        <family val="1"/>
      </rPr>
      <t/>
    </r>
  </si>
  <si>
    <r>
      <t xml:space="preserve">"distância horizontal resultante da descontinuidade entre dois planos" conforme ABNT(2011a, p.3) e ABNT(2016e, p.3)
</t>
    </r>
    <r>
      <rPr>
        <b/>
        <sz val="10"/>
        <color theme="1"/>
        <rFont val="Times New Roman"/>
        <family val="1"/>
      </rPr>
      <t xml:space="preserve">obs.2: </t>
    </r>
    <r>
      <rPr>
        <sz val="10"/>
        <color theme="1"/>
        <rFont val="Times New Roman"/>
        <family val="1"/>
      </rPr>
      <t>consulte "fronteira" para dimensões aceitáveis</t>
    </r>
  </si>
  <si>
    <t>sistema de transporte público acessível</t>
  </si>
  <si>
    <t>"De acordo com o Decreto n.º 5.296/2004, os municípios brasileiros têm prazo até o final do ano de 2014 para tornar todos os elementos dos sistemas de transporte públicos acessíveis. Não basta apenas tornar o veículo acessível, é preciso que isso se estenda a toda a infraestrutura urbana, pois, em muitos casos, ela não está adequada para circulação das pessoas com mobilidade reduzida. A legislação cercou bem esse problema atribuindo ao poder público a necessidade de adaptar o sistema viário urbano: passeios, paradas, estações e terminais de embarque e desembarque." conforme IPEA(2010, p.422)</t>
  </si>
  <si>
    <t>nota técnica de acessibilidade n.º 4</t>
  </si>
  <si>
    <r>
      <rPr>
        <b/>
        <sz val="12"/>
        <rFont val="Times New Roman"/>
        <family val="1"/>
      </rPr>
      <t xml:space="preserve">BHTRANS(2016wm2): </t>
    </r>
    <r>
      <rPr>
        <sz val="12"/>
        <rFont val="Times New Roman"/>
        <family val="1"/>
      </rPr>
      <t xml:space="preserve"> EMPRESA DE TRANSPORTES E TRÂNSITO DE BELO HORIZONTE S.A - BHTRANS. </t>
    </r>
    <r>
      <rPr>
        <i/>
        <sz val="12"/>
        <rFont val="Times New Roman"/>
        <family val="1"/>
      </rPr>
      <t>Relatório de gestão BHTrans 2009/2016</t>
    </r>
    <r>
      <rPr>
        <sz val="12"/>
        <rFont val="Times New Roman"/>
        <family val="1"/>
      </rPr>
      <t>. Belo Horizonte: BHTrans, 28 dez. 2016. 234p. Disponível em: &lt;http://www.bhtrans.pbh.gov.br/portal/page/portal/portalpublicodl/Temas/BHTRANS/RELATORIO-DE-GESTAO-BHTRANS-2009-A-2016/Relat%C3%B3rio%20de%20Gest%C3%A3o%20BHTRANS%202009%20a%202016.pdf&gt;. Acesso em: 5 jan. 2017.</t>
    </r>
  </si>
  <si>
    <r>
      <rPr>
        <b/>
        <sz val="12"/>
        <rFont val="Times New Roman"/>
        <family val="1"/>
      </rPr>
      <t xml:space="preserve">BHTRANS(2016wm1): </t>
    </r>
    <r>
      <rPr>
        <sz val="12"/>
        <rFont val="Times New Roman"/>
        <family val="1"/>
      </rPr>
      <t xml:space="preserve"> EMPRESA DE TRANSPORTES E TRÂNSITO DE BELO HORIZONTE S.A - BHTRANS. Assessoria de Comunicação e Marketing - ACM. </t>
    </r>
    <r>
      <rPr>
        <i/>
        <sz val="12"/>
        <rFont val="Times New Roman"/>
        <family val="1"/>
      </rPr>
      <t>[Divulgação do] Relatório de Gestão BHTRANS 2009 a 2016</t>
    </r>
    <r>
      <rPr>
        <sz val="12"/>
        <rFont val="Times New Roman"/>
        <family val="1"/>
      </rPr>
      <t>. Disponível em: &lt;http://www.bhtrans.pbh.gov.br/portal/page/portal/portalpublico/Temas/Noticias/Relatorio-de-Gestao-BHTRANS-2009-a-2016&gt;. Acesso em: 5 jan. 2017.</t>
    </r>
  </si>
  <si>
    <r>
      <rPr>
        <b/>
        <sz val="12"/>
        <color theme="1"/>
        <rFont val="Times New Roman"/>
        <family val="1"/>
      </rPr>
      <t>BHTRANS(2014m3):</t>
    </r>
    <r>
      <rPr>
        <sz val="12"/>
        <color theme="1"/>
        <rFont val="Times New Roman"/>
        <family val="1"/>
      </rPr>
      <t xml:space="preserve"> EMPRESA DE TRANSPORTES E TRÂNSITO DE BELO HORIZONTE S.A - BHTRANS. Assessoria de Comunicação e Marketing - ACM. </t>
    </r>
    <r>
      <rPr>
        <i/>
        <sz val="12"/>
        <color theme="1"/>
        <rFont val="Times New Roman"/>
        <family val="1"/>
      </rPr>
      <t xml:space="preserve">Release: BRT Move começa a circular beneficiando 30 mil passageiros na primeira etapa. </t>
    </r>
    <r>
      <rPr>
        <sz val="12"/>
        <color theme="1"/>
        <rFont val="Times New Roman"/>
        <family val="1"/>
      </rPr>
      <t>Belo Horizonte, [março de 2014]. [4p.]</t>
    </r>
  </si>
  <si>
    <r>
      <rPr>
        <b/>
        <sz val="12"/>
        <color theme="1"/>
        <rFont val="Times New Roman"/>
        <family val="1"/>
      </rPr>
      <t xml:space="preserve">BHTRANS(2016i): </t>
    </r>
    <r>
      <rPr>
        <sz val="12"/>
        <color theme="1"/>
        <rFont val="Times New Roman"/>
        <family val="1"/>
      </rPr>
      <t xml:space="preserve">EMPRESA DE TRANSPORTES E TRÂNSITO DE BELO HORIZONTE S/A - BHTRANS. Assessoria de Comunicação e Marketing - ACM. </t>
    </r>
    <r>
      <rPr>
        <i/>
        <sz val="12"/>
        <color theme="1"/>
        <rFont val="Times New Roman"/>
        <family val="1"/>
      </rPr>
      <t>BHTRANS adia sessão pública de abertura da licitação para o Sistema de Transporte Suplementar em BH</t>
    </r>
    <r>
      <rPr>
        <sz val="12"/>
        <color theme="1"/>
        <rFont val="Times New Roman"/>
        <family val="1"/>
      </rPr>
      <t>. Belo Horizonte: BHTrans, 9 maio 2016. Disponível em: &lt;http://www.bhtrans.pbh.gov.br/portal/page/portal/portalpublico/Temas/Noticias/BHTRANS%20adia%20sessão%20pública%20de%20abertura%20da%20licitação%20par&gt;. Acesso em: 10 maio 2016.</t>
    </r>
  </si>
  <si>
    <r>
      <rPr>
        <b/>
        <sz val="12"/>
        <rFont val="Times New Roman"/>
        <family val="1"/>
      </rPr>
      <t xml:space="preserve">OLIVEIRA(2016m): </t>
    </r>
    <r>
      <rPr>
        <sz val="12"/>
        <rFont val="Times New Roman"/>
        <family val="1"/>
      </rPr>
      <t>OLIVEIRA, Marcos Fontoura de.</t>
    </r>
    <r>
      <rPr>
        <i/>
        <sz val="12"/>
        <rFont val="Times New Roman"/>
        <family val="1"/>
      </rPr>
      <t xml:space="preserve"> Nota técnica de acessibilidade n.º 3 - Desafios para promoção da acessibilidade nos corredores de BRT de Belo Horizonte- versão A. </t>
    </r>
    <r>
      <rPr>
        <sz val="12"/>
        <rFont val="Times New Roman"/>
        <family val="1"/>
      </rPr>
      <t>Belo Horizonte, 20 dez. 2016. 6p. [parte integrante do projeto Acessibilidade na mobilidade urbana de Belo Horizonte (Pamu-BH)]</t>
    </r>
  </si>
  <si>
    <t>comunicação acessível no BRT</t>
  </si>
  <si>
    <t>A comunicação (incluindo o manual de sinalização das estações de transferência) no BRT Move de Belo Horizonte é conforme VERDI(2012; 2013)</t>
  </si>
  <si>
    <r>
      <t>neste verbete são apresentadas, em ordem cronológica, informações importantes para uma boa compreensão do conceito de desenho universal</t>
    </r>
    <r>
      <rPr>
        <b/>
        <sz val="9"/>
        <rFont val="Times New Roman"/>
        <family val="1"/>
      </rPr>
      <t xml:space="preserve">
set.2016: </t>
    </r>
    <r>
      <rPr>
        <sz val="9"/>
        <rFont val="Times New Roman"/>
        <family val="1"/>
      </rPr>
      <t xml:space="preserve">caracteristica atribuída pelo SisMob-BH aos ônibus do sistema de transporte coletivo urbano de alguma cidade/região quando o embarque/desembarque é oferecido, em todos os pontos de parada e a todas as pessoas, com a possibilidade de ser exclusivamente em nível  com base no desenho universal
</t>
    </r>
    <r>
      <rPr>
        <b/>
        <sz val="9"/>
        <rFont val="Times New Roman"/>
        <family val="1"/>
      </rPr>
      <t xml:space="preserve">set. 2016: </t>
    </r>
    <r>
      <rPr>
        <sz val="9"/>
        <rFont val="Times New Roman"/>
        <family val="1"/>
      </rPr>
      <t>"Universal design does not have to be costly, but it needs to be considered throughout the entire process for it to work. It requires a lot of thought going into the design of the building and a professional who is an expert in the principles of universal design." conforme PRDUE(2016)</t>
    </r>
    <r>
      <rPr>
        <b/>
        <sz val="9"/>
        <rFont val="Times New Roman"/>
        <family val="1"/>
      </rPr>
      <t xml:space="preserve">
out.2015: </t>
    </r>
    <r>
      <rPr>
        <sz val="9"/>
        <rFont val="Times New Roman"/>
        <family val="1"/>
      </rPr>
      <t>"concepção de produtos, ambientes, programas e serviços a serem utilizados por todas as pessoas, sem necessidade de adaptação ou projeto específico, incluindo os recursos de tecnologia assistiva" conforme ABNT(2015a, p.4)</t>
    </r>
    <r>
      <rPr>
        <b/>
        <sz val="9"/>
        <rFont val="Times New Roman"/>
        <family val="1"/>
      </rPr>
      <t xml:space="preserve">
jul.2015: </t>
    </r>
    <r>
      <rPr>
        <sz val="9"/>
        <rFont val="Times New Roman"/>
        <family val="1"/>
      </rPr>
      <t xml:space="preserve">"concepção de produtos, ambientes, programas e serviços a serem usados por todas as pessoas, sem necessidade de adaptação ou de projeto específico, incluindo os recursos de tecnologia assistiva" conforme BRASIL(2015a,art.3º-inciso II); 
</t>
    </r>
    <r>
      <rPr>
        <b/>
        <sz val="9"/>
        <rFont val="Times New Roman"/>
        <family val="1"/>
      </rPr>
      <t xml:space="preserve">jul.2015: </t>
    </r>
    <r>
      <rPr>
        <sz val="9"/>
        <rFont val="Times New Roman"/>
        <family val="1"/>
      </rPr>
      <t xml:space="preserve">"Art.55 - A concepção e a implantação de projetos que tratem do meio físico, de transporte, de informação e comunicação, inclusive de sistemas e tecnologias da informação e comunicação, e de outros serviços, equipamentos e instalações abertos ao público, de uso público ou privado de uso coletivo, tanto na zona urbana como na rural, devem atender aos princípios do desenho universal, tendo como referência as normas de acessibilidade. §1º - O desenho universal será sempre tomado como regra de caráter geral. §2º - Nas hipóteses em que comprovadamente o desenho universal não possa ser empreendido, deve ser adotada adaptação razoável. §3º - Caberá ao poder público promover a inclusão de conteúdos temáticos referentes ao desenho universal
nas diretrizes curriculares da educação profissional e tecnológica e do ensino superior e na formação das carreiras de Estado. §4º - Os programas, os projetos e as linhas de pesquisa a serem desenvolvidos com o apoio de organismos públicos de auxílio à pesquisa e de agências de fomento deverão incluir temas voltados para o desenho universal. §5º - Desde a etapa de concepção, as políticas públicas deverão considerar a adoção do desenho universal." conforme BRASIL(2015a)
</t>
    </r>
    <r>
      <rPr>
        <b/>
        <sz val="9"/>
        <rFont val="Times New Roman"/>
        <family val="1"/>
      </rPr>
      <t xml:space="preserve">2014: </t>
    </r>
    <r>
      <rPr>
        <sz val="9"/>
        <rFont val="Times New Roman"/>
        <family val="1"/>
      </rPr>
      <t xml:space="preserve">a diferença entre acessível e desenho universal é ilustrada em cartilha do Banco Interamericano de Desenvolvimento - BID conforme ALVAREZ(2014)
</t>
    </r>
    <r>
      <rPr>
        <b/>
        <sz val="9"/>
        <rFont val="Times New Roman"/>
        <family val="1"/>
      </rPr>
      <t xml:space="preserve">2013: </t>
    </r>
    <r>
      <rPr>
        <sz val="9"/>
        <rFont val="Times New Roman"/>
        <family val="1"/>
      </rPr>
      <t xml:space="preserve">"A evolução nas discussões entre especialistas, teóricos, acadêmicos e praticantes da cidade fez surgir a filosofia do Desenho Universal ou para todos. Quem primeiro pensou nesta ideia foi o arquiteto Ron Mace, nos anos 90 do século XX." conforme DUARTE;COHEN(2013, p.22)
</t>
    </r>
    <r>
      <rPr>
        <b/>
        <sz val="9"/>
        <rFont val="Times New Roman"/>
        <family val="1"/>
      </rPr>
      <t xml:space="preserve">1999: </t>
    </r>
    <r>
      <rPr>
        <sz val="9"/>
        <rFont val="Times New Roman"/>
        <family val="1"/>
      </rPr>
      <t xml:space="preserve">"Só mediante a contemplação dos conceitos de design universal e de acessibilidade ambiental sob uma perspectiva dinâmica é que se pode verificar sua veracidade. Assim, acessibilidade ambiental, ou design inclusivo, é entendida como um processo baseado no modo como pessoas sob efeito de deficiências variadas podem vivenciar o ambiente construído de forma plena e completa." [...] Assim, design universal, isto é, projetando-se para todos, é o último nível que se pode alcançar no processo da prática da acessibilidade ambiental em arquitetura. [...] A acessibilidade ambiental [ou desenho universal] é um processo dinâmico, que devemos compreender de modo a obtermos soluções de design universal." conforme GUIMARÃES (1999, p.126, 127) </t>
    </r>
  </si>
  <si>
    <t>relatório de gestão</t>
  </si>
  <si>
    <t>relatório de atividades</t>
  </si>
  <si>
    <t>acesse o verbete "relatório de gestão"</t>
  </si>
  <si>
    <t>Belo Horizonte (BHTRANS)</t>
  </si>
  <si>
    <t>transporte coletivo suplementar acessível</t>
  </si>
  <si>
    <t>A despeito do quantificado nos indicadores "F", oficialmente a BHTRans considera que "Evoluindo no atendimento ao usuário, a acessibilidade é hoje garantida por 98% da frota composta por veículos acessíveis, climatizados e de duas portas (em 2013, era 81% da frota)." conforme BHTRANS(2016m,p.70)</t>
  </si>
  <si>
    <r>
      <rPr>
        <b/>
        <sz val="10"/>
        <rFont val="Times New Roman"/>
        <family val="1"/>
      </rPr>
      <t xml:space="preserve">2008-2016: </t>
    </r>
    <r>
      <rPr>
        <sz val="10"/>
        <rFont val="Times New Roman"/>
        <family val="1"/>
      </rPr>
      <t xml:space="preserve">conforme BHTRANS(2016m) onde há o item "ações sobre acessibilidade em BH" (p.29-32)
</t>
    </r>
    <r>
      <rPr>
        <b/>
        <sz val="10"/>
        <rFont val="Times New Roman"/>
        <family val="1"/>
      </rPr>
      <t xml:space="preserve">2014: </t>
    </r>
    <r>
      <rPr>
        <sz val="10"/>
        <rFont val="Times New Roman"/>
        <family val="1"/>
      </rPr>
      <t xml:space="preserve">"Com a municipalização da gestão do transporte coletivo de Belo Horizonte em 1993, a BHTrans iniciou a prática, mantida ao longo de dezesseis anos (quatro gestões municipais consecutivas), de publicar periodicamente um documento intitulado “relatório de atividades” ou “relatório de gestão”. [...] O conjunto de relatórios “de atividades” ou “de gestão” publicados pela BHTrans
cobre um período de dezesseis anos: de 1993 a 2008. Isoladamente, no entanto, cada relatório é estanque e não agrega informações dos relatórios que os precedem. Eles configuram-se como documentos com informações fragmentadas e descontínuas. [...] Considerando a variação de conteúdos que aconteceu ao longo do tempo, pode-se concluir que o conjunto de relatórios de atividades publicados pela BHTrans de 1995 a 2009 não se presta a uma análise robusta do sistema de mobilidade urbana de Belo Horizonte para um período maior do que uma gestão. Um cidadão ou pesquisador que pretenda conhecer a evolução histórica de algum indicador precisará cotejar os relatórios produzidos." conforme OLIVEIRA(2014, p.98-100)
</t>
    </r>
    <r>
      <rPr>
        <b/>
        <sz val="10"/>
        <rFont val="Times New Roman"/>
        <family val="1"/>
      </rPr>
      <t>2005-2008:</t>
    </r>
    <r>
      <rPr>
        <sz val="10"/>
        <rFont val="Times New Roman"/>
        <family val="1"/>
      </rPr>
      <t xml:space="preserve"> conforme OLIVEIRA(2014, p.99) / </t>
    </r>
    <r>
      <rPr>
        <b/>
        <sz val="10"/>
        <rFont val="Times New Roman"/>
        <family val="1"/>
      </rPr>
      <t>2001-2004:</t>
    </r>
    <r>
      <rPr>
        <sz val="10"/>
        <rFont val="Times New Roman"/>
        <family val="1"/>
      </rPr>
      <t xml:space="preserve"> conforme OLIVEIRA(2014, p.99) / </t>
    </r>
    <r>
      <rPr>
        <b/>
        <sz val="10"/>
        <rFont val="Times New Roman"/>
        <family val="1"/>
      </rPr>
      <t xml:space="preserve">1997-1999: </t>
    </r>
    <r>
      <rPr>
        <sz val="10"/>
        <rFont val="Times New Roman"/>
        <family val="1"/>
      </rPr>
      <t xml:space="preserve">conforme OLIVEIRA(2014, p.99) / </t>
    </r>
    <r>
      <rPr>
        <b/>
        <sz val="10"/>
        <rFont val="Times New Roman"/>
        <family val="1"/>
      </rPr>
      <t xml:space="preserve">1993-1996: </t>
    </r>
    <r>
      <rPr>
        <sz val="10"/>
        <rFont val="Times New Roman"/>
        <family val="1"/>
      </rPr>
      <t xml:space="preserve">conforme OLIVEIRA(2014, p.98) / </t>
    </r>
    <r>
      <rPr>
        <b/>
        <sz val="10"/>
        <rFont val="Times New Roman"/>
        <family val="1"/>
      </rPr>
      <t>1993-1995: :</t>
    </r>
    <r>
      <rPr>
        <sz val="10"/>
        <rFont val="Times New Roman"/>
        <family val="1"/>
      </rPr>
      <t xml:space="preserve"> conforme OLIVEIRA(2014, p.98) / </t>
    </r>
    <r>
      <rPr>
        <b/>
        <sz val="10"/>
        <rFont val="Times New Roman"/>
        <family val="1"/>
      </rPr>
      <t xml:space="preserve">1993-1994: </t>
    </r>
    <r>
      <rPr>
        <sz val="10"/>
        <rFont val="Times New Roman"/>
        <family val="1"/>
      </rPr>
      <t>conforme OLIVEIRA(2014, p.98)</t>
    </r>
  </si>
  <si>
    <t>Yichang</t>
  </si>
  <si>
    <t>México</t>
  </si>
  <si>
    <r>
      <rPr>
        <b/>
        <sz val="12"/>
        <rFont val="Times New Roman"/>
        <family val="1"/>
      </rPr>
      <t xml:space="preserve">OLIVEIRA(2016k): </t>
    </r>
    <r>
      <rPr>
        <sz val="12"/>
        <rFont val="Times New Roman"/>
        <family val="1"/>
      </rPr>
      <t>OLIVEIRA, Marcos Fontoura de.</t>
    </r>
    <r>
      <rPr>
        <i/>
        <sz val="12"/>
        <rFont val="Times New Roman"/>
        <family val="1"/>
      </rPr>
      <t xml:space="preserve"> Nota técnica de acessibilidade n.º 2 - Proposição de um índice-chave de acessibilidade em ônibus urbano do transporte público coletivo - versão A. </t>
    </r>
    <r>
      <rPr>
        <sz val="12"/>
        <rFont val="Times New Roman"/>
        <family val="1"/>
      </rPr>
      <t>Belo Horizonte, 4 nov. 2016. 27p. + apêndice + anexo. Disponível em: &lt;http://www.bhtrans.pbh.gov.br/portal/page/portal/portalpublicodl/Temas/BHTRANS/Acessibilidade%20para%20Todos/Acessibilidade%20Para%20Todos%20-%20Notas%20Tecnicas/NotaTecnica_2_A_Onibus_2016_11_04.pdf&gt;. Acesso em: 20 dez. 2016. [parte integrante do projeto Acessibilidade na mobilidade urbana de Belo Horizonte (Pamu-BH)]</t>
    </r>
  </si>
  <si>
    <r>
      <rPr>
        <b/>
        <sz val="12"/>
        <rFont val="Times New Roman"/>
        <family val="1"/>
      </rPr>
      <t xml:space="preserve">OLIVEIRA(2016j): </t>
    </r>
    <r>
      <rPr>
        <sz val="12"/>
        <rFont val="Times New Roman"/>
        <family val="1"/>
      </rPr>
      <t>OLIVEIRA, Marcos Fontoura de.</t>
    </r>
    <r>
      <rPr>
        <i/>
        <sz val="12"/>
        <rFont val="Times New Roman"/>
        <family val="1"/>
      </rPr>
      <t xml:space="preserve"> Nota técnica de acessibilidade n.º 1 - Conceituação e análise sobre acessibilidade em ônibus urbano do transporte público coletivo - versão B. </t>
    </r>
    <r>
      <rPr>
        <sz val="12"/>
        <rFont val="Times New Roman"/>
        <family val="1"/>
      </rPr>
      <t>Belo Horizonte, 4 nov. 2016. 33p. Disponível em: &lt;http://www.bhtrans.pbh.gov.br/portal/page/portal/portalpublicodl/Temas/BHTRANS/Acessibilidade%20para%20Todos/Acessibilidade%20Para%20Todos%20-%20Notas%20Tecnicas/NotaTecnica_1_B_Onibus_2016_11_04.pdf&gt;. Acesso em: 20 dez. 2016. [parte integrante do projeto Acessibilidade na mobilidade urbana de Belo Horizonte (Pamu-BH)]</t>
    </r>
  </si>
  <si>
    <t>acessibilidade em máquinas de venda de passagem</t>
  </si>
  <si>
    <t>"Ticket vending machines should be low enough for use by wheelchair users and all short persons, as illustrated by the good design of this machine at a BART station in the San Francisco Bay area, USA." conforme AEI(2017a; 2017b)</t>
  </si>
  <si>
    <t>"Everyone can safely board this BART train, due to a minimal horizontal and vertical gap."conforme AEI(2017a; 2017d)
"However, care must be taken that horizontal gaps are not too wide. The orange “gap filler” pops up when the doors open in San Francisco’s Muni Metro, assuring a safe gap." conforme AEI(2017a; 2017c)</t>
  </si>
  <si>
    <r>
      <rPr>
        <b/>
        <sz val="10"/>
        <rFont val="Times New Roman"/>
        <family val="1"/>
      </rPr>
      <t xml:space="preserve">1) </t>
    </r>
    <r>
      <rPr>
        <sz val="10"/>
        <rFont val="Times New Roman"/>
        <family val="1"/>
      </rPr>
      <t xml:space="preserve">"As duas técnicas, de acesso sobre o vão e de acesso com a ponte de embarque, têm suas vantagens e desvantagens. Cidades como Curitiba e Quito obtiveram muito sucesso com pontes de embarque. Uma ponte de embarque típica tem de 40 a 50 centímetros de largura, o que quer dizer que o veículo só precisa se alinhar dentro de 35 a 45 centímetros de distância da plataforma (Figura 8.23). Assim, há muito mais espaço para erro usando a ponte de embarque." conforme WRIGHT(2008, p.281)
</t>
    </r>
    <r>
      <rPr>
        <b/>
        <sz val="10"/>
        <rFont val="Times New Roman"/>
        <family val="1"/>
      </rPr>
      <t xml:space="preserve">2) </t>
    </r>
    <r>
      <rPr>
        <sz val="10"/>
        <rFont val="Times New Roman"/>
        <family val="1"/>
      </rPr>
      <t xml:space="preserve">"Cidades como Quito e Curitiba optaram pela adoção de pontes de embarque em todas as portas dos ônibus. Com as pontes, os ônibus podem atracar a uma distância maior e os passageiros podem descer e subir de forma segura. [...] Vão entre veículo e plataforma [ilustrado por fotografia sem identificação de cidade] aumenta o tempo de embarque e o risco de acidentes" conforme ITDP(2014a, p.6)
</t>
    </r>
    <r>
      <rPr>
        <b/>
        <sz val="10"/>
        <rFont val="Times New Roman"/>
        <family val="1"/>
      </rPr>
      <t xml:space="preserve">3) </t>
    </r>
    <r>
      <rPr>
        <sz val="10"/>
        <rFont val="Times New Roman"/>
        <family val="1"/>
      </rPr>
      <t xml:space="preserve">"As pontes de embarque também são usadas com sucesso em muitos sistemas e podem ajudar a eliminar os problemas da existência de vãos." conforme ITDP(2014B,p.52)
</t>
    </r>
    <r>
      <rPr>
        <b/>
        <sz val="10"/>
        <rFont val="Times New Roman"/>
        <family val="1"/>
      </rPr>
      <t xml:space="preserve">obs.: </t>
    </r>
    <r>
      <rPr>
        <sz val="10"/>
        <rFont val="Times New Roman"/>
        <family val="1"/>
      </rPr>
      <t>consulte "fronteira" e "fronteira sem rampa", bem como os verbetes "rampa de acesso" com exemplos de uso de rampa manual ou automática para vencer a fronteira</t>
    </r>
  </si>
  <si>
    <t>Tóquio</t>
  </si>
  <si>
    <t>"Express buses in Curitiba, Brazil, exemplify universal design. All passengers, including those with disabilities, quickly board with level entry. [...] Photo by Charles Wright, Inter-American Development Bank." conforme AEI(2017a; 2017f)</t>
  </si>
  <si>
    <t>Bophal</t>
  </si>
  <si>
    <t>verbete com fotografia
MFO</t>
  </si>
  <si>
    <r>
      <t>"A closeup of the same bus stop illustrates the advantages of fast boarding for all passengers from platforms that eliminate the need for climbing steps to board." conforme AEI(2017a; 2017g)</t>
    </r>
    <r>
      <rPr>
        <b/>
        <sz val="10"/>
        <color theme="1"/>
        <rFont val="Times New Roman"/>
        <family val="1"/>
      </rPr>
      <t xml:space="preserve">
obs.: </t>
    </r>
    <r>
      <rPr>
        <sz val="10"/>
        <color theme="1"/>
        <rFont val="Times New Roman"/>
        <family val="1"/>
      </rPr>
      <t>a fonte não indica a cidade da fotografia, mas aqui assume-se que seja Bophal por ser essa a citada em WRI(2016e2)</t>
    </r>
  </si>
  <si>
    <t>"A prototype folding ramp is tested on this bus in San Francisco, USA." conforme AEI(2017a; 2017h)</t>
  </si>
  <si>
    <t>"Small portable ramps can provide inexpensive access in many rail stations, as shown here in Tokyo." conforme AEI(2017a; 2017e)</t>
  </si>
  <si>
    <t>Varsóvia</t>
  </si>
  <si>
    <t>verbete MFO com fotografia</t>
  </si>
  <si>
    <t>"This low-floor bus in Warsaw, Poland, uses an inexpensive hinged ramp which provides easy boarding for passengers with disabilities." conforme AEI(2017a; 2017e)</t>
  </si>
  <si>
    <t>Hong Kong</t>
  </si>
  <si>
    <t>"A low-floor bus in Hong Kong also exhibits excellent color contrast, using a bright yellow on key edges and surfaces." conforme AEI(2017a; 2017i)</t>
  </si>
  <si>
    <r>
      <rPr>
        <b/>
        <sz val="12"/>
        <rFont val="Times New Roman"/>
        <family val="1"/>
      </rPr>
      <t xml:space="preserve">AEI(2017a): </t>
    </r>
    <r>
      <rPr>
        <sz val="12"/>
        <rFont val="Times New Roman"/>
        <family val="1"/>
      </rPr>
      <t xml:space="preserve">ACCESS EXCHANHE INTERNATIONAL - AEI. </t>
    </r>
    <r>
      <rPr>
        <i/>
        <sz val="12"/>
        <rFont val="Times New Roman"/>
        <family val="1"/>
      </rPr>
      <t>Photo Tour - Railroads and Subways - San Francisco</t>
    </r>
    <r>
      <rPr>
        <sz val="12"/>
        <rFont val="Times New Roman"/>
        <family val="1"/>
      </rPr>
      <t>. Disponível em: &lt;http://www.globalride-sf.org/phtos.html&gt; Acesso em: 5 jan. 2017.</t>
    </r>
  </si>
  <si>
    <r>
      <rPr>
        <b/>
        <sz val="12"/>
        <rFont val="Times New Roman"/>
        <family val="1"/>
      </rPr>
      <t xml:space="preserve">AEI(2017b): </t>
    </r>
    <r>
      <rPr>
        <sz val="12"/>
        <rFont val="Times New Roman"/>
        <family val="1"/>
      </rPr>
      <t xml:space="preserve">ACCESS EXCHANHE INTERNATIONAL - AEI. </t>
    </r>
    <r>
      <rPr>
        <i/>
        <sz val="12"/>
        <rFont val="Times New Roman"/>
        <family val="1"/>
      </rPr>
      <t>Photo Tour [máquina de venda de passagem] - Railroads and Subways - San Francisco</t>
    </r>
    <r>
      <rPr>
        <sz val="12"/>
        <rFont val="Times New Roman"/>
        <family val="1"/>
      </rPr>
      <t>. Disponível a partir de: &lt;http://www.globalride-sf.org/images/0608/images/7_RailBARTticketMachine.jpg&gt; Acesso em: 5 jan. 2017.</t>
    </r>
  </si>
  <si>
    <r>
      <rPr>
        <b/>
        <sz val="12"/>
        <rFont val="Times New Roman"/>
        <family val="1"/>
      </rPr>
      <t xml:space="preserve">AEI(2017c/d): </t>
    </r>
    <r>
      <rPr>
        <sz val="12"/>
        <rFont val="Times New Roman"/>
        <family val="1"/>
      </rPr>
      <t xml:space="preserve">ACCESS EXCHANHE INTERNATIONAL - AEI. </t>
    </r>
    <r>
      <rPr>
        <i/>
        <sz val="12"/>
        <rFont val="Times New Roman"/>
        <family val="1"/>
      </rPr>
      <t>Photo Tour [fronteira sem rampa] - Railroads and Subways - San Francisco</t>
    </r>
    <r>
      <rPr>
        <sz val="12"/>
        <rFont val="Times New Roman"/>
        <family val="1"/>
      </rPr>
      <t>. Disponível em:&lt;http://www.globalride-sf.org/images/0608/images/8_Rail_MetroWGapFiller.jpg&gt; e &lt;http://www.globalride-sf.org/images/0608/images/7a_Rail_BARTgap.jpg&gt; Acesso em: 5 jan. 2017.</t>
    </r>
  </si>
  <si>
    <r>
      <rPr>
        <b/>
        <sz val="12"/>
        <rFont val="Times New Roman"/>
        <family val="1"/>
      </rPr>
      <t xml:space="preserve">AEI(2017e): </t>
    </r>
    <r>
      <rPr>
        <sz val="12"/>
        <rFont val="Times New Roman"/>
        <family val="1"/>
      </rPr>
      <t xml:space="preserve">ACCESS EXCHANHE INTERNATIONAL - AEI. </t>
    </r>
    <r>
      <rPr>
        <i/>
        <sz val="12"/>
        <rFont val="Times New Roman"/>
        <family val="1"/>
      </rPr>
      <t>Photo Tour [fronteira com rampa] - Railroads and Subways - Tokyo</t>
    </r>
    <r>
      <rPr>
        <sz val="12"/>
        <rFont val="Times New Roman"/>
        <family val="1"/>
      </rPr>
      <t>. Disponível em: &lt;http://www.globalride-sf.org/images/46.jpg&gt; Acesso em: 5 jan. 2017.</t>
    </r>
  </si>
  <si>
    <r>
      <rPr>
        <b/>
        <sz val="12"/>
        <rFont val="Times New Roman"/>
        <family val="1"/>
      </rPr>
      <t xml:space="preserve">AEI(2017f): </t>
    </r>
    <r>
      <rPr>
        <sz val="12"/>
        <rFont val="Times New Roman"/>
        <family val="1"/>
      </rPr>
      <t xml:space="preserve">ACCESS EXCHANHE INTERNATIONAL - AEI. </t>
    </r>
    <r>
      <rPr>
        <i/>
        <sz val="12"/>
        <rFont val="Times New Roman"/>
        <family val="1"/>
      </rPr>
      <t>Photo Tour [rampa automática] - Bus Transport - Curitiba</t>
    </r>
    <r>
      <rPr>
        <sz val="12"/>
        <rFont val="Times New Roman"/>
        <family val="1"/>
      </rPr>
      <t>. Disponível em: &lt;http://www.globalride-sf.org/images/53.jpg&gt; Acesso em: 5 jan. 2017.</t>
    </r>
  </si>
  <si>
    <r>
      <rPr>
        <b/>
        <sz val="12"/>
        <rFont val="Times New Roman"/>
        <family val="1"/>
      </rPr>
      <t xml:space="preserve">AEI(2017g): </t>
    </r>
    <r>
      <rPr>
        <sz val="12"/>
        <rFont val="Times New Roman"/>
        <family val="1"/>
      </rPr>
      <t xml:space="preserve">ACCESS EXCHANHE INTERNATIONAL - AEI. </t>
    </r>
    <r>
      <rPr>
        <i/>
        <sz val="12"/>
        <rFont val="Times New Roman"/>
        <family val="1"/>
      </rPr>
      <t>Photo Tour [BRT com ônibus de piso baixo] - Bus Transport - India</t>
    </r>
    <r>
      <rPr>
        <sz val="12"/>
        <rFont val="Times New Roman"/>
        <family val="1"/>
      </rPr>
      <t>. Disponível em: &lt;http://www.globalride-sf.org/images/0608/images/9e_Bus_IndiaLowfloorCl0015.jpg&gt; Acesso em: 5 jan. 2017.</t>
    </r>
  </si>
  <si>
    <r>
      <rPr>
        <b/>
        <sz val="12"/>
        <rFont val="Times New Roman"/>
        <family val="1"/>
      </rPr>
      <t xml:space="preserve">AEI(2017h): </t>
    </r>
    <r>
      <rPr>
        <sz val="12"/>
        <rFont val="Times New Roman"/>
        <family val="1"/>
      </rPr>
      <t xml:space="preserve">ACCESS EXCHANHE INTERNATIONAL - AEI. </t>
    </r>
    <r>
      <rPr>
        <i/>
        <sz val="12"/>
        <rFont val="Times New Roman"/>
        <family val="1"/>
      </rPr>
      <t>Photo Tour [rampa em ônibus] - Railroads and Subways - San Francisco</t>
    </r>
    <r>
      <rPr>
        <sz val="12"/>
        <rFont val="Times New Roman"/>
        <family val="1"/>
      </rPr>
      <t>. Disponível em: &lt;http://www.globalride-sf.org/images/0608/images/9g_BusFoldingRamp.jpg&gt; Acesso em: 5 jan. 2017.</t>
    </r>
  </si>
  <si>
    <r>
      <rPr>
        <b/>
        <sz val="12"/>
        <rFont val="Times New Roman"/>
        <family val="1"/>
      </rPr>
      <t xml:space="preserve">AEI(2017i): </t>
    </r>
    <r>
      <rPr>
        <sz val="12"/>
        <rFont val="Times New Roman"/>
        <family val="1"/>
      </rPr>
      <t xml:space="preserve">ACCESS EXCHANHE INTERNATIONAL - AEI. </t>
    </r>
    <r>
      <rPr>
        <i/>
        <sz val="12"/>
        <rFont val="Times New Roman"/>
        <family val="1"/>
      </rPr>
      <t>Photo Tour [rampa em ônibus] - Railroads and Subways - Warsaw</t>
    </r>
    <r>
      <rPr>
        <sz val="12"/>
        <rFont val="Times New Roman"/>
        <family val="1"/>
      </rPr>
      <t>. Disponível em: &lt;http://www.globalride-sf.org/images/55.jpg&gt; Acesso em: 5 jan. 2017.</t>
    </r>
  </si>
  <si>
    <r>
      <rPr>
        <b/>
        <sz val="12"/>
        <rFont val="Times New Roman"/>
        <family val="1"/>
      </rPr>
      <t xml:space="preserve">AEI(2017j): </t>
    </r>
    <r>
      <rPr>
        <sz val="12"/>
        <rFont val="Times New Roman"/>
        <family val="1"/>
      </rPr>
      <t xml:space="preserve">ACCESS EXCHANHE INTERNATIONAL - AEI. </t>
    </r>
    <r>
      <rPr>
        <i/>
        <sz val="12"/>
        <rFont val="Times New Roman"/>
        <family val="1"/>
      </rPr>
      <t>Photo Tour [rampa em ônibus] - Railroads and Subways - Hong Kong</t>
    </r>
    <r>
      <rPr>
        <sz val="12"/>
        <rFont val="Times New Roman"/>
        <family val="1"/>
      </rPr>
      <t>. Disponível em: &lt;http://www.globalride-sf.org/images/56.jpg&gt; Acesso em: 5 jan. 2017.</t>
    </r>
  </si>
  <si>
    <t>acessibilidade em calçadas</t>
  </si>
  <si>
    <t>acessibilidade em bilheterias</t>
  </si>
  <si>
    <t>acessibilidade em catracas</t>
  </si>
  <si>
    <t>acessibilidade em travessias de pedestre</t>
  </si>
  <si>
    <t>acessibilidade em passarelas</t>
  </si>
  <si>
    <t>acessibilidade em rebaixos</t>
  </si>
  <si>
    <t>acessibilidade da sinalização</t>
  </si>
  <si>
    <t>BRT IC (módulo elementos plataformas)</t>
  </si>
  <si>
    <t>...........</t>
  </si>
  <si>
    <r>
      <rPr>
        <b/>
        <sz val="12"/>
        <rFont val="Times New Roman"/>
        <family val="1"/>
      </rPr>
      <t xml:space="preserve">AEI(2017k): </t>
    </r>
    <r>
      <rPr>
        <sz val="12"/>
        <rFont val="Times New Roman"/>
        <family val="1"/>
      </rPr>
      <t xml:space="preserve">ACCESS EXCHANGE INTERNATIONAL - AEI. </t>
    </r>
    <r>
      <rPr>
        <i/>
        <sz val="12"/>
        <rFont val="Times New Roman"/>
        <family val="1"/>
      </rPr>
      <t>Transporte Accesible Alrededor del Mundo - La Gaceta de Access Exchange International</t>
    </r>
    <r>
      <rPr>
        <sz val="12"/>
        <rFont val="Times New Roman"/>
        <family val="1"/>
      </rPr>
      <t>. San Francisco, Enero 2017. 7p. [recebido por e-mail de Tom Rickert]</t>
    </r>
  </si>
  <si>
    <t>"Yichang, China, aborda este problema con un puente montado en la plataforma. Los métodos con puentes añadidos a los autobuses, o modificando los bordes de las plataformas han sido inconsistentemente utilizados en varios países. Los puentes montados en los autobuses pueden causar retrasos en ciertos casos, pero otros métodos pueden crear brechas peligrosas que requieren cuidados adicionales por parte de todos los pasajeros. Yichang quizá tenga la solución. [...] Un puente móvil, desplegado desde la plataforma de esta estación BRT en Yichang, China, elimina la brecha estación-autobús para todos los pasajeros. Si el puente se despliega mientras se abre la puerta el tiempo de viaje no se ve afectado. Foto de ITDP enviada por Gerhard Menckhoff" conforme AEI(2017k,p.3)</t>
  </si>
  <si>
    <r>
      <t xml:space="preserve">o "concurso Acessibilidade para Todos" foi organizado pela WRI em 2016 com o apoio técnico da BHTrans, CAU, CREA-MG, IAB-MG e apoio institucional de Agência de Desenvolvimento da Região Metropolitana de Belo Horizonte (ARMBH); Blog Cadeira Voadora; Campanha Multa Moral de Belo Horizonte; Coordenadoria de Direitos das Pessoas com Deficiência (CDPD/BH) da Secretaria Municipal Adjunta de Direitos de Cidadania (SMADC) de Belo Horizonte; Conselho Municipal dos Direitos da Pessoa Com Deficiência (CMDPD/BH) de Belo Horizonte; Federação Nacional de Educação e Integração dos Surdos (FENEIS); Conselho Estadual de Defesa dos Direitos da Pessoa com Deficiência de Minas Gerais (CONPED/MG); Movimento Unificado de Deficientes Visuais (MUDEV); Rede Mineira de Tecnologia Assistiva da Secretaria de Estado de Ciência, Tecnologia e Ensino Superior de Minas Gerais (SECTES/MG) conforme WRI(2016a)
"Brasil: Una competencia de diseño, patrocinada por el proyecto de Ciudades Sostentibles del World Resources Institute (WRI) en la Ciudad de Belo Horizonte, recibió propuestas para los alrededores montañosos de una escuela para niños con discapacidad llamada Associação Mineira de Reabilitação, nos reporta Paula Santos Rocha de WRI." conforme AEI(2017k,p.7)
</t>
    </r>
    <r>
      <rPr>
        <b/>
        <sz val="10"/>
        <rFont val="Times New Roman"/>
        <family val="1"/>
      </rPr>
      <t xml:space="preserve">obs.1: </t>
    </r>
    <r>
      <rPr>
        <sz val="10"/>
        <rFont val="Times New Roman"/>
        <family val="1"/>
      </rPr>
      <t xml:space="preserve">o concurso foi lançado em 14 de abril de 2016 e a premiação aconteceu em 13 de junho de 2016
</t>
    </r>
    <r>
      <rPr>
        <b/>
        <sz val="10"/>
        <rFont val="Times New Roman"/>
        <family val="1"/>
      </rPr>
      <t>obs.2:</t>
    </r>
    <r>
      <rPr>
        <sz val="10"/>
        <rFont val="Times New Roman"/>
        <family val="1"/>
      </rPr>
      <t xml:space="preserve"> cobertura da realização e da premiação do concurso conforme BHTRANS(2016r1; 2016r2; 2016wf2); CAU/MG(2016); CONCURSO(2016); CREA/MG(2016a; 2016b); FERBER(2016); HELTON(2016); MG(2016d); MOBILIZE(2016c); MNBH(2016b); PICTARAM(2016); R+(2016); SIMI(2016); SINDARQ-PB(2016); UFMG(2016); VALE(2016); WRI(2016b; 2016c; 2016d)
</t>
    </r>
    <r>
      <rPr>
        <b/>
        <sz val="10"/>
        <rFont val="Times New Roman"/>
        <family val="1"/>
      </rPr>
      <t xml:space="preserve">obs.2: </t>
    </r>
    <r>
      <rPr>
        <sz val="10"/>
        <rFont val="Times New Roman"/>
        <family val="1"/>
      </rPr>
      <t xml:space="preserve">visita técnica à Cidade do México pelos vencedores do concurso conforme WRI(2016d2)
</t>
    </r>
    <r>
      <rPr>
        <b/>
        <sz val="10"/>
        <rFont val="Times New Roman"/>
        <family val="1"/>
      </rPr>
      <t>obs.3:</t>
    </r>
    <r>
      <rPr>
        <sz val="10"/>
        <rFont val="Times New Roman"/>
        <family val="1"/>
      </rPr>
      <t xml:space="preserve"> acesse os verbetes "acessibilidade para todos", "Agência RMBH", "cadeira voadora"; "para todos" </t>
    </r>
  </si>
  <si>
    <t>acessibilidade total</t>
  </si>
  <si>
    <r>
      <t>acesse o verbete "acessibilidade no BRT" da cidade/região México</t>
    </r>
    <r>
      <rPr>
        <b/>
        <sz val="10"/>
        <rFont val="Times New Roman"/>
        <family val="1"/>
      </rPr>
      <t/>
    </r>
  </si>
  <si>
    <t>León</t>
  </si>
  <si>
    <t>Pachuca</t>
  </si>
  <si>
    <t>Ciudad Juárez</t>
  </si>
  <si>
    <t>Chiuahua</t>
  </si>
  <si>
    <t>Puebla</t>
  </si>
  <si>
    <t>Monterrey</t>
  </si>
  <si>
    <r>
      <rPr>
        <b/>
        <sz val="12"/>
        <rFont val="Times New Roman"/>
        <family val="1"/>
      </rPr>
      <t>BHTRANS(2015x):</t>
    </r>
    <r>
      <rPr>
        <sz val="12"/>
        <rFont val="Times New Roman"/>
        <family val="1"/>
      </rPr>
      <t xml:space="preserve"> EMPRESA DE TRANSPORTES E TRÂNSITO DE BELO HORIZONTE S.A - BHTRANS. </t>
    </r>
    <r>
      <rPr>
        <i/>
        <sz val="12"/>
        <rFont val="Times New Roman"/>
        <family val="1"/>
      </rPr>
      <t>Acessibilidade Para Todos - Seminário Internacional em BH discute uma cidade acessível para todos</t>
    </r>
    <r>
      <rPr>
        <sz val="12"/>
        <rFont val="Times New Roman"/>
        <family val="1"/>
      </rPr>
      <t>. Belo Horizonte: BHTrans, 14 ago. 2015. Disponível em: &lt;http://www.bhtrans.pbh.gov.br/portal/page/portal/portalpublico/Temas/Noticias/Semin%C3%A1rio%20Internacional%20em%20BH%20discute%20uma%20cidade%20acess%C3%ADvel&gt;. Acesso em 2 maio 2016.</t>
    </r>
  </si>
  <si>
    <t xml:space="preserve">(Ciudad Juárez, León, Guadalajara, México-Cidade do, Monterrey, Pachuca, Puebla) </t>
  </si>
  <si>
    <t>"Otra falla importante que se encontró fue que ninguna unidad de las líneas BRT [de Cuidad Juárez, León, Guadalajara, México-Cidade do, Monterrey, Pachuca, Puebla] se alinean a distancias menores de 10 cm con respecto a la plataforma, como lo indican las mejores recomendaciones para la operación del transporte público accesible. Este hecho expone a los usuarios a sufrir una serie de accidentes al momento de realizar el ascenso y descenso de las unidades." conforme EL PODER(2016a,p.9)</t>
  </si>
  <si>
    <r>
      <rPr>
        <b/>
        <sz val="10"/>
        <rFont val="Times New Roman"/>
        <family val="1"/>
      </rPr>
      <t xml:space="preserve">obs.1: </t>
    </r>
    <r>
      <rPr>
        <sz val="10"/>
        <rFont val="Times New Roman"/>
        <family val="1"/>
      </rPr>
      <t xml:space="preserve">Em 2016 a associação civil El Poder del Consumidor apresentou uma avaliação da acessibilidade em todas (dezesseis) as linhas de BRT em operação no México (Ciudad Juárez, León, Guadalajara, México-Cidade do, Monterrey, Pachuca, Puebla) no documento "Diagnóstico de accesibilidad de los sistemas BRT en México" conforme EL(2016a; 2016b; 2016c; 2016d; 2016e; 2016f)
</t>
    </r>
    <r>
      <rPr>
        <b/>
        <sz val="10"/>
        <rFont val="Times New Roman"/>
        <family val="1"/>
      </rPr>
      <t xml:space="preserve">obs.2: </t>
    </r>
    <r>
      <rPr>
        <sz val="10"/>
        <rFont val="Times New Roman"/>
        <family val="1"/>
      </rPr>
      <t xml:space="preserve">"Al finalizar el estudio pudimos observar que en general todos los sistemas tienen fallas en brindar un servicio accesible. [...] El estudio refleja un escenario en donde el diseño y la ejecución de los sistemas BRT siguen relegando las condiciones de accesibilidad, sin darles la importancia que requieren." conforme EL PODER(2016a,p.9)
</t>
    </r>
    <r>
      <rPr>
        <b/>
        <sz val="10"/>
        <rFont val="Times New Roman"/>
        <family val="1"/>
      </rPr>
      <t xml:space="preserve">obs.3: </t>
    </r>
    <r>
      <rPr>
        <sz val="10"/>
        <rFont val="Times New Roman"/>
        <family val="1"/>
      </rPr>
      <t>"El propósito de la evaluación fue calificar los sistemas contra indicadores de accesibilidad para identificar las mejoras necesarias, así como incorporar las buenas prácticas en nuevas rutas. Las autoridades mexicanas están considerando dar seguimiento después de dicha evaluación. México es el primer país en llevar a cabo un estudio integral de la accesibilidad de los BRT a nivel nacional. AEI se complace en anunciar esta buena práctica, con el fin de alentarla en otros países, incluyendo aquellos con múltiples líneas BRT como China, India, Indonesia, Brasil, Sudáfrica, Colombia y Nigeria. La calidad de las características de accesibilidad es por lo común desigual entre países, entre ciudades de un mismo país y entre las diferentes líneas BRT en la misma ciudad. El estudio mexicano elogió a ciudades que han mejorado sus sistemas BRT al aprender de las omisiones anteriores. El estudio citó cinco líneas de BRT de la Ciudad de México como evidencia de este proceso, donde cada línea nueva mejora omisiones anteriores. Es importante que los países aprendan de otros para evitar errores innecesarios." conforme AEI(2017k,p.2-3)</t>
    </r>
  </si>
  <si>
    <r>
      <rPr>
        <b/>
        <sz val="12"/>
        <color theme="1"/>
        <rFont val="Times New Roman"/>
        <family val="1"/>
      </rPr>
      <t>RICKERT(2006):</t>
    </r>
    <r>
      <rPr>
        <sz val="12"/>
        <color theme="1"/>
        <rFont val="Times New Roman"/>
        <family val="1"/>
      </rPr>
      <t xml:space="preserve"> RICKERT, Tom. </t>
    </r>
    <r>
      <rPr>
        <i/>
        <sz val="12"/>
        <color theme="1"/>
        <rFont val="Times New Roman"/>
        <family val="1"/>
      </rPr>
      <t>Pautas de Accesibilidad para Sistemas Integrados de Transporte Masivo</t>
    </r>
    <r>
      <rPr>
        <sz val="12"/>
        <color theme="1"/>
        <rFont val="Times New Roman"/>
        <family val="1"/>
      </rPr>
      <t>. Washington DC, Diciembre 2006. 44p. + anexos. [pautas desarrolladas por Tom Rickert para el Banco Mundial gracias a fondos provistos por los gobiernos de Noruega y Finlandia por medio de la “Disability Window TFESSD. ”Developed for the World Bank]. Disponível em: &lt;http://siteresources.worldbank.org/DISABILITY/Resources/280658-1172672474385/BusRapidSpnRickert.pdf&gt;. Acesso em: 6 jan. 2017.</t>
    </r>
  </si>
  <si>
    <r>
      <rPr>
        <b/>
        <sz val="12"/>
        <color theme="1"/>
        <rFont val="Times New Roman"/>
        <family val="1"/>
      </rPr>
      <t>RICKERT(2007):</t>
    </r>
    <r>
      <rPr>
        <sz val="12"/>
        <color theme="1"/>
        <rFont val="Times New Roman"/>
        <family val="1"/>
      </rPr>
      <t xml:space="preserve"> RICKERT, Tom. </t>
    </r>
    <r>
      <rPr>
        <i/>
        <sz val="12"/>
        <color theme="1"/>
        <rFont val="Times New Roman"/>
        <family val="1"/>
      </rPr>
      <t>Bus Rapid Transit - Accessibility Guidelines</t>
    </r>
    <r>
      <rPr>
        <sz val="12"/>
        <color theme="1"/>
        <rFont val="Times New Roman"/>
        <family val="1"/>
      </rPr>
      <t>. Developed for the World Bank. Washington DC, January 2007. 43p. Disponível em: &lt;http://siteresources.worldbank.org/DISABILITY/Resources/280658-1172672474385/BusRapidEngRickert.pdf&gt;. Acesso em: 10/07/2016.</t>
    </r>
  </si>
  <si>
    <r>
      <rPr>
        <b/>
        <sz val="10"/>
        <rFont val="Times New Roman"/>
        <family val="1"/>
      </rPr>
      <t xml:space="preserve">1) </t>
    </r>
    <r>
      <rPr>
        <sz val="10"/>
        <rFont val="Times New Roman"/>
        <family val="1"/>
      </rPr>
      <t xml:space="preserve">"local de transição entre as áreas de embarque/desembarque e o veículo" conforme ABNT(2009a, p.2; 2011a, p.2; 2016e, p.2)
</t>
    </r>
    <r>
      <rPr>
        <b/>
        <sz val="10"/>
        <rFont val="Times New Roman"/>
        <family val="1"/>
      </rPr>
      <t xml:space="preserve">2) </t>
    </r>
    <r>
      <rPr>
        <sz val="10"/>
        <rFont val="Times New Roman"/>
        <family val="1"/>
      </rPr>
      <t xml:space="preserve">"Para a transposição da fronteira, admite-se um vão máximo de 30 mm e uma diferença de altura de no
máximo 20 mm entre o ponto de parada e o dispositivo para transposição de fronteira, se existir, e entre o dispositivo para transposição de fronteira e o piso do veículo. Para que o acesso seja viável, deve-se adequar o local de embarque/desembarque, o veículo ou ambos por meio de dispositivo para transposição de fronteira, por exemplo: a) rampa de acionamento motorizado ou manual; b) plataforma elevatória veicular; c) sistema de movimentação vertical da suspensão do veículo; d) plataforma de embarque e desembarque; e) combinação de um ou mais dispositivos." conforme ABNT(2009a, p.4; 2011a, p.4) e "Para a transposição de fronteira da PEV, em posição de operação, admite-se um vão máximo de 30 mm e uma diferença de altura de no máximo 20 mm entre o ponto de parada e o dispositivo para transposição de fronteira, se existir, e entre o dispositivo para transposição de fronteira e o piso do veículo." conforme ABNT(2016e, p.5)
</t>
    </r>
    <r>
      <rPr>
        <b/>
        <sz val="10"/>
        <rFont val="Times New Roman"/>
        <family val="1"/>
      </rPr>
      <t xml:space="preserve">3): </t>
    </r>
    <r>
      <rPr>
        <sz val="10"/>
        <rFont val="Times New Roman"/>
        <family val="1"/>
      </rPr>
      <t xml:space="preserve">"Nenhum vão entre o veículo e a rampa de acesso, em posição de operação e transporte, deve exceder 30 mm" conforme ABNT(2016e, p.7)
</t>
    </r>
    <r>
      <rPr>
        <b/>
        <sz val="10"/>
        <rFont val="Times New Roman"/>
        <family val="1"/>
      </rPr>
      <t xml:space="preserve">4) </t>
    </r>
    <r>
      <rPr>
        <sz val="10"/>
        <rFont val="Times New Roman"/>
        <family val="1"/>
      </rPr>
      <t xml:space="preserve">Para ultrapassar a fronteira: "Há atualmente, dois tipos de técnicas de embarque[e/ou desembarque] de plataforma em nível. Em um caso, um espaço existe entre a plataforma e o veículo. [...] Alternativamente o veículo pode empregar uma ponte de embarque que conecta fisicamente o veículo com a plataforma. [...]" conforme WRIGHT(2008, p.281)
</t>
    </r>
    <r>
      <rPr>
        <b/>
        <sz val="10"/>
        <rFont val="Times New Roman"/>
        <family val="1"/>
      </rPr>
      <t>5)</t>
    </r>
    <r>
      <rPr>
        <sz val="10"/>
        <rFont val="Times New Roman"/>
        <family val="1"/>
      </rPr>
      <t xml:space="preserve"> Publicação elaborada para o Banco Mundial vai na direção contrária à busca do desenho universal recomendando que nos BRT as portas dianteiras dos ônibus sejam designadas para a entrada de pessoas com deficiência por ser onde há as menores fronteiras ("Since the smallest platform-to-bus gap usually is found at the front entrance of the bus, this entrance should be designated for use by disabled persons, who also will benefit from being closer to the driver." conforme RICKERT(2007, p.14)
</t>
    </r>
    <r>
      <rPr>
        <b/>
        <sz val="10"/>
        <rFont val="Times New Roman"/>
        <family val="1"/>
      </rPr>
      <t>6)</t>
    </r>
    <r>
      <rPr>
        <sz val="10"/>
        <rFont val="Times New Roman"/>
        <family val="1"/>
      </rPr>
      <t xml:space="preserve"> Alternativas para redução do gap são apresentadas e, na direção contrária à busca do desenho universal, afirma-se que a fronteira deve ser "tão pequena quanto possível" com uma distância máxima de 10cm e preferencialmente até 7,5cm ("Gaps between platforms and vehicle doors should be as small as possible with a maximum permissible gap of 10 centimeters and a preferred gap of 7.5 centimeters or less") conforme RICKERT(2007, p.17-20)
</t>
    </r>
    <r>
      <rPr>
        <b/>
        <sz val="10"/>
        <rFont val="Times New Roman"/>
        <family val="1"/>
      </rPr>
      <t xml:space="preserve">7) </t>
    </r>
    <r>
      <rPr>
        <sz val="10"/>
        <rFont val="Times New Roman"/>
        <family val="1"/>
      </rPr>
      <t xml:space="preserve">Fronteiras "excessivas" são encontradas em BRT da América Latina e Ásia  ("Concerns about excessive gaps have been expressed by user groups in both Latin America and Asia.") conforme RICKERT(2007, p.17)
</t>
    </r>
    <r>
      <rPr>
        <b/>
        <sz val="10"/>
        <rFont val="Times New Roman"/>
        <family val="1"/>
      </rPr>
      <t xml:space="preserve">8) </t>
    </r>
    <r>
      <rPr>
        <sz val="10"/>
        <rFont val="Times New Roman"/>
        <family val="1"/>
      </rPr>
      <t xml:space="preserve">"Las brechas entre las plataformas y el vehículo deben ser tan pequeñas como sea posible, con un máximo permisible de 10 centímetros y una distancia preferida de 7.5 centímetros." conforme RICKERT(2006,p.20)
</t>
    </r>
    <r>
      <rPr>
        <b/>
        <sz val="10"/>
        <rFont val="Times New Roman"/>
        <family val="1"/>
      </rPr>
      <t>obs.:</t>
    </r>
    <r>
      <rPr>
        <sz val="10"/>
        <rFont val="Times New Roman"/>
        <family val="1"/>
      </rPr>
      <t xml:space="preserve"> consulte "fronteira com rampa" e "fronteira sem rampa" e "vão"</t>
    </r>
  </si>
  <si>
    <t>fronteira (meta)</t>
  </si>
  <si>
    <r>
      <rPr>
        <b/>
        <sz val="10"/>
        <rFont val="Times New Roman"/>
        <family val="1"/>
      </rPr>
      <t xml:space="preserve">Tom Rickert: </t>
    </r>
    <r>
      <rPr>
        <sz val="10"/>
        <rFont val="Times New Roman"/>
        <family val="1"/>
      </rPr>
      <t xml:space="preserve">na direção contrária à busca do desenho universal, afirma-se que a fronteira deve ser "tão pequena quanto possível" com uma distância máxima de </t>
    </r>
    <r>
      <rPr>
        <b/>
        <sz val="10"/>
        <rFont val="Times New Roman"/>
        <family val="1"/>
      </rPr>
      <t>10cm</t>
    </r>
    <r>
      <rPr>
        <sz val="10"/>
        <rFont val="Times New Roman"/>
        <family val="1"/>
      </rPr>
      <t xml:space="preserve"> e preferencialmente até </t>
    </r>
    <r>
      <rPr>
        <b/>
        <sz val="10"/>
        <rFont val="Times New Roman"/>
        <family val="1"/>
      </rPr>
      <t>7,5cm</t>
    </r>
    <r>
      <rPr>
        <sz val="10"/>
        <rFont val="Times New Roman"/>
        <family val="1"/>
      </rPr>
      <t xml:space="preserve"> ("Gaps between platforms and vehicle doors should be as small as possible with a maximum permissible gap of 10 centimeters and a preferred gap of 7.5 centimeters or less") conforme RICKERT(2007, p.17-20)
</t>
    </r>
    <r>
      <rPr>
        <b/>
        <sz val="10"/>
        <rFont val="Times New Roman"/>
        <family val="1"/>
      </rPr>
      <t xml:space="preserve">Tom Rickert:  </t>
    </r>
    <r>
      <rPr>
        <sz val="10"/>
        <rFont val="Times New Roman"/>
        <family val="1"/>
      </rPr>
      <t>"Las brechas entre las plataformas y el vehículo deben ser tan pequeñas como sea posible, con un máximo permisible de 10 centímetros y una distancia preferida de 7.5 centímetros." conforme RICKERT(2006,p.20)</t>
    </r>
    <r>
      <rPr>
        <b/>
        <sz val="10"/>
        <rFont val="Times New Roman"/>
        <family val="1"/>
      </rPr>
      <t/>
    </r>
  </si>
  <si>
    <t>meta Brasil</t>
  </si>
  <si>
    <t>&gt;10cm</t>
  </si>
  <si>
    <r>
      <rPr>
        <b/>
        <sz val="12"/>
        <color theme="1"/>
        <rFont val="Times New Roman"/>
        <family val="1"/>
      </rPr>
      <t>WRIGHT(2008):</t>
    </r>
    <r>
      <rPr>
        <sz val="12"/>
        <color theme="1"/>
        <rFont val="Times New Roman"/>
        <family val="1"/>
      </rPr>
      <t xml:space="preserve"> WRIGHT, Charles Lloyd; HOOK, Walter (Ed.).  </t>
    </r>
    <r>
      <rPr>
        <i/>
        <sz val="12"/>
        <color theme="1"/>
        <rFont val="Times New Roman"/>
        <family val="1"/>
      </rPr>
      <t>Manual de BRT - Bus Rapid Transit</t>
    </r>
    <r>
      <rPr>
        <sz val="12"/>
        <color theme="1"/>
        <rFont val="Times New Roman"/>
        <family val="1"/>
      </rPr>
      <t xml:space="preserve">: guia de planejamento. Tradução [da 3ª edição - junho 2007] de Arthur Szãsz. Brasília: Institute for Transportation &amp; Development Policy - ITDP; Ministério das Cidades, dezembro 2008. 881p. Título original: </t>
    </r>
    <r>
      <rPr>
        <i/>
        <sz val="12"/>
        <color theme="1"/>
        <rFont val="Times New Roman"/>
        <family val="1"/>
      </rPr>
      <t>BRT Planning Guide</t>
    </r>
    <r>
      <rPr>
        <sz val="12"/>
        <color theme="1"/>
        <rFont val="Times New Roman"/>
        <family val="1"/>
      </rPr>
      <t>. Disponível em: &lt;http://www.sutp.org/files/contents/documents/resources/I_BRT-Planning-Guide/GIZ_SUTP_BRT-Planning-Guide-Complete_PT.pdf&gt;. Acesso em 4 mar. 2016. [versão em espanhol em WRIGHT, 2010]</t>
    </r>
  </si>
  <si>
    <r>
      <rPr>
        <b/>
        <sz val="12"/>
        <color theme="1"/>
        <rFont val="Times New Roman"/>
        <family val="1"/>
      </rPr>
      <t>WRIGHT(2010):</t>
    </r>
    <r>
      <rPr>
        <sz val="12"/>
        <color theme="1"/>
        <rFont val="Times New Roman"/>
        <family val="1"/>
      </rPr>
      <t xml:space="preserve"> WRIGHT, Charles Lloyd; HOOK, Walter (Ed.).  </t>
    </r>
    <r>
      <rPr>
        <i/>
        <sz val="12"/>
        <color theme="1"/>
        <rFont val="Times New Roman"/>
        <family val="1"/>
      </rPr>
      <t>Guía de Planificación de Sistemas BRT - Autobuses de Tránsito Rápido</t>
    </r>
    <r>
      <rPr>
        <sz val="12"/>
        <color theme="1"/>
        <rFont val="Times New Roman"/>
        <family val="1"/>
      </rPr>
      <t xml:space="preserve">. Tradução [da 3ª edição - junho 2007] de Carlosfelipe Pardo. New York: Institute for Transportation &amp; Development Policy - ITDP, enero 2010. 894p. Título original: </t>
    </r>
    <r>
      <rPr>
        <i/>
        <sz val="12"/>
        <color theme="1"/>
        <rFont val="Times New Roman"/>
        <family val="1"/>
      </rPr>
      <t>BRT Planning Guide</t>
    </r>
    <r>
      <rPr>
        <sz val="12"/>
        <color theme="1"/>
        <rFont val="Times New Roman"/>
        <family val="1"/>
      </rPr>
      <t>. Disponível em: &lt;http://mexico.itdp.org/wp-content/uploads/BRT-Guide-Spanish-complete_unlocked.pdf&gt;. Acesso em 6 jan. 2017. [versão em português em WRIGHT, 2008]</t>
    </r>
  </si>
  <si>
    <r>
      <rPr>
        <b/>
        <sz val="12"/>
        <color theme="1"/>
        <rFont val="Times New Roman"/>
        <family val="1"/>
      </rPr>
      <t>WRIGHT(2007):</t>
    </r>
    <r>
      <rPr>
        <sz val="12"/>
        <color theme="1"/>
        <rFont val="Times New Roman"/>
        <family val="1"/>
      </rPr>
      <t xml:space="preserve"> WRIGHT, Charles Lloyd; HOOK, Walter (Ed.).  </t>
    </r>
    <r>
      <rPr>
        <i/>
        <sz val="12"/>
        <color theme="1"/>
        <rFont val="Times New Roman"/>
        <family val="1"/>
      </rPr>
      <t>BRT Planning Guide - Introduction</t>
    </r>
    <r>
      <rPr>
        <sz val="12"/>
        <color theme="1"/>
        <rFont val="Times New Roman"/>
        <family val="1"/>
      </rPr>
      <t>. New York: Institute for Transportation &amp; Development Policy - ITDP, June 2007. 33p. Disponível em: &lt;https://www.itdp.org/wp-content/uploads/2014/07/52.-Bus-Rapid-Transit-Guide-PartIntro-2007-09.pdf&gt;. Acesso em 6 jan. 20176. [versão em português em WRIGHT, 2008 e espanhol em WRIGHT, 2010]</t>
    </r>
  </si>
  <si>
    <r>
      <rPr>
        <b/>
        <sz val="12"/>
        <color theme="1"/>
        <rFont val="Times New Roman"/>
        <family val="1"/>
      </rPr>
      <t>MARTINS(2013a1):</t>
    </r>
    <r>
      <rPr>
        <sz val="12"/>
        <color theme="1"/>
        <rFont val="Times New Roman"/>
        <family val="1"/>
      </rPr>
      <t xml:space="preserve"> MARTINS, Laura. Como circular de cadeira de rodas em Nova York. </t>
    </r>
    <r>
      <rPr>
        <i/>
        <sz val="12"/>
        <color theme="1"/>
        <rFont val="Times New Roman"/>
        <family val="1"/>
      </rPr>
      <t>[Blog] Cadeira Voadora</t>
    </r>
    <r>
      <rPr>
        <sz val="12"/>
        <color theme="1"/>
        <rFont val="Times New Roman"/>
        <family val="1"/>
      </rPr>
      <t>, Belo Horizonte, 22 out. 2013. Disponível em: &lt;http://cadeiravoadora.blogspot.com.br/2013/10/como-circular-de-cadeira-de-rodas-em.html&gt;. Acesso em: 6 jan. 2017.</t>
    </r>
  </si>
  <si>
    <t>verbete
MFO com fotografia</t>
  </si>
  <si>
    <r>
      <rPr>
        <b/>
        <sz val="12"/>
        <color theme="1"/>
        <rFont val="Times New Roman"/>
        <family val="1"/>
      </rPr>
      <t xml:space="preserve">O'GRADY(2012a1): </t>
    </r>
    <r>
      <rPr>
        <sz val="12"/>
        <color theme="1"/>
        <rFont val="Times New Roman"/>
        <family val="1"/>
      </rPr>
      <t xml:space="preserve">O'GRADY, Jim. NYC's Disabled Can Now Call A Cab Without Wave Or Whistle. New York, </t>
    </r>
    <r>
      <rPr>
        <i/>
        <sz val="12"/>
        <color theme="1"/>
        <rFont val="Times New Roman"/>
        <family val="1"/>
      </rPr>
      <t>WNYC</t>
    </r>
    <r>
      <rPr>
        <sz val="12"/>
        <color theme="1"/>
        <rFont val="Times New Roman"/>
        <family val="1"/>
      </rPr>
      <t>, Sep. 14, 2012. Disponível em: &lt;http://www.wnyc.org/story/284491-nycs-disabled-can-now-call-a-cab-without-wave-or-whistle/&gt;. Acesso em: 5 jan. 2017.</t>
    </r>
  </si>
  <si>
    <r>
      <rPr>
        <b/>
        <sz val="12"/>
        <color theme="1"/>
        <rFont val="Times New Roman"/>
        <family val="1"/>
      </rPr>
      <t>MARTINS(2013a2):</t>
    </r>
    <r>
      <rPr>
        <sz val="12"/>
        <color theme="1"/>
        <rFont val="Times New Roman"/>
        <family val="1"/>
      </rPr>
      <t xml:space="preserve"> MARTINS, Laura. Como circular de cadeira de rodas em Nova York - fotografia. </t>
    </r>
    <r>
      <rPr>
        <i/>
        <sz val="12"/>
        <color theme="1"/>
        <rFont val="Times New Roman"/>
        <family val="1"/>
      </rPr>
      <t>[Blog] Cadeira Voadora</t>
    </r>
    <r>
      <rPr>
        <sz val="12"/>
        <color theme="1"/>
        <rFont val="Times New Roman"/>
        <family val="1"/>
      </rPr>
      <t>, Belo Horizonte, 22 out. 2013. Disponível em: &lt;http://4.bp.blogspot.com/-jL-Po6Qw1kI/UmcU_AgYN3I/AAAAAAAACdY/YiwDPZZfTaY/s1600/%C3%94nibus2.jpg&gt;. Acesso em: 6 jan. 2017.</t>
    </r>
  </si>
  <si>
    <r>
      <rPr>
        <b/>
        <sz val="12"/>
        <color theme="1"/>
        <rFont val="Times New Roman"/>
        <family val="1"/>
      </rPr>
      <t xml:space="preserve">O'GRADY(2012a3): </t>
    </r>
    <r>
      <rPr>
        <sz val="12"/>
        <color theme="1"/>
        <rFont val="Times New Roman"/>
        <family val="1"/>
      </rPr>
      <t xml:space="preserve">O'GRADY, Jim. NYC's Disabled Can Now Call A Cab Without Wave Or Whistle - fotografia com rampa lateral. New York, </t>
    </r>
    <r>
      <rPr>
        <i/>
        <sz val="12"/>
        <color theme="1"/>
        <rFont val="Times New Roman"/>
        <family val="1"/>
      </rPr>
      <t>WNYC</t>
    </r>
    <r>
      <rPr>
        <sz val="12"/>
        <color theme="1"/>
        <rFont val="Times New Roman"/>
        <family val="1"/>
      </rPr>
      <t>, Sep. 14, 2012. Disponível em: &lt;http://www.wnyc.org/story/284491-nycs-disabled-can-now-call-a-cab-without-wave-or-whistle/&gt;. Acesso em: 5 jan. 2017.</t>
    </r>
  </si>
  <si>
    <r>
      <rPr>
        <b/>
        <sz val="12"/>
        <color theme="1"/>
        <rFont val="Times New Roman"/>
        <family val="1"/>
      </rPr>
      <t xml:space="preserve">O'GRADY(2012a2): </t>
    </r>
    <r>
      <rPr>
        <sz val="12"/>
        <color theme="1"/>
        <rFont val="Times New Roman"/>
        <family val="1"/>
      </rPr>
      <t xml:space="preserve">O'GRADY, Jim. NYC's Disabled Can Now Call A Cab Without Wave Or Whistle - fotografia com rampa traseira. New York, </t>
    </r>
    <r>
      <rPr>
        <i/>
        <sz val="12"/>
        <color theme="1"/>
        <rFont val="Times New Roman"/>
        <family val="1"/>
      </rPr>
      <t>WNYC</t>
    </r>
    <r>
      <rPr>
        <sz val="12"/>
        <color theme="1"/>
        <rFont val="Times New Roman"/>
        <family val="1"/>
      </rPr>
      <t>, Sep. 14, 2012. Disponível em: &lt;http://www.wnyc.org/i/raw/1/transportation201209wheelchairtaxi1.jpg&gt;. Acesso em: 5 jan. 2017.</t>
    </r>
  </si>
  <si>
    <t>verbete
MFO com fotografias</t>
  </si>
  <si>
    <r>
      <rPr>
        <b/>
        <sz val="10"/>
        <color theme="1"/>
        <rFont val="Times New Roman"/>
        <family val="1"/>
      </rPr>
      <t xml:space="preserve">1) </t>
    </r>
    <r>
      <rPr>
        <sz val="10"/>
        <color theme="1"/>
        <rFont val="Times New Roman"/>
        <family val="1"/>
      </rPr>
      <t xml:space="preserve">" The city has launched a dispatch system that lets disabled riders summon one of New York's 233 wheelchair-friendly cabs by telephone, text, the internet, or a free smartphone app called 'Wheels on Wheels.' Until now, the only way to catch a cab with space for a wheelchair was by calling New York's helpline, 311." conforme O'GRADY(2012a1)
</t>
    </r>
    <r>
      <rPr>
        <b/>
        <sz val="10"/>
        <color theme="1"/>
        <rFont val="Times New Roman"/>
        <family val="1"/>
      </rPr>
      <t xml:space="preserve">2) </t>
    </r>
    <r>
      <rPr>
        <sz val="10"/>
        <color theme="1"/>
        <rFont val="Times New Roman"/>
        <family val="1"/>
      </rPr>
      <t xml:space="preserve">táxi com rampa traseira conforme O'GRADY(2012a2)
</t>
    </r>
    <r>
      <rPr>
        <b/>
        <sz val="10"/>
        <color theme="1"/>
        <rFont val="Times New Roman"/>
        <family val="1"/>
      </rPr>
      <t xml:space="preserve">3) </t>
    </r>
    <r>
      <rPr>
        <sz val="10"/>
        <color theme="1"/>
        <rFont val="Times New Roman"/>
        <family val="1"/>
      </rPr>
      <t>"An alternate design for wheelchair-accessible NYC taxi. (Photo by Alex Goldmark)" com fotografia de táxi com rampa lateral conforme O'GRADY(2012a3)</t>
    </r>
  </si>
  <si>
    <t>"Accessibility - Every licensed London taxi is wheelchair accessible and features a host of accessibility aids.  Features include: Wheelchair ramps, Swivel seat, Intermediate step, High visibility seat panels, Large coloured grab handles, Low level floor lighting
Intercom, Hearing aid induction loop, Ability to carry assistance dogs at no extra charge" conforme LONDON TAXI(2017)</t>
  </si>
  <si>
    <r>
      <rPr>
        <b/>
        <sz val="12"/>
        <color theme="1"/>
        <rFont val="Times New Roman"/>
        <family val="1"/>
      </rPr>
      <t>LONDON TAXI(2017):</t>
    </r>
    <r>
      <rPr>
        <sz val="12"/>
        <color theme="1"/>
        <rFont val="Times New Roman"/>
        <family val="1"/>
      </rPr>
      <t xml:space="preserve"> LONDON TAXI. The London Taxi Experience. </t>
    </r>
    <r>
      <rPr>
        <i/>
        <sz val="12"/>
        <color theme="1"/>
        <rFont val="Times New Roman"/>
        <family val="1"/>
      </rPr>
      <t>Accessibility.</t>
    </r>
    <r>
      <rPr>
        <sz val="12"/>
        <color theme="1"/>
        <rFont val="Times New Roman"/>
        <family val="1"/>
      </rPr>
      <t xml:space="preserve"> Disponível em: &lt;http://www.the-london-taxi.com/london_taxi_accessibility&gt;. Acesso em: 6 jan. 2017.</t>
    </r>
  </si>
  <si>
    <r>
      <rPr>
        <b/>
        <sz val="12"/>
        <color theme="1"/>
        <rFont val="Times New Roman"/>
        <family val="1"/>
      </rPr>
      <t xml:space="preserve">ANTP(2017a): </t>
    </r>
    <r>
      <rPr>
        <sz val="12"/>
        <color theme="1"/>
        <rFont val="Times New Roman"/>
        <family val="1"/>
      </rPr>
      <t xml:space="preserve">ASSOCIAÇÃO NACIONAL DE TRANSPORTES PÚBLICOS - ANTP. </t>
    </r>
    <r>
      <rPr>
        <i/>
        <sz val="12"/>
        <color theme="1"/>
        <rFont val="Times New Roman"/>
        <family val="1"/>
      </rPr>
      <t xml:space="preserve">Sobre a ANTP- Apresentação. </t>
    </r>
    <r>
      <rPr>
        <sz val="12"/>
        <color theme="1"/>
        <rFont val="Times New Roman"/>
        <family val="1"/>
      </rPr>
      <t>São Paulo: ANTP. Disponível em: &lt;http://www.antp.org.br/sobre-a-antp/apresentacao.html&gt;. Acesso em: 9 jan. 2017.</t>
    </r>
  </si>
  <si>
    <t>Gráfico 810j e 810k</t>
  </si>
  <si>
    <t>Gráfico 810s - Percentual da frota de ônibus com piso baixo do transporte coletivo de Belo Horizonte em comparação com resultados de cidades/regiões europeias</t>
  </si>
  <si>
    <r>
      <t xml:space="preserve">percentual médio de ônibus piso baixo na frota das grandes cidades da Europa
</t>
    </r>
    <r>
      <rPr>
        <b/>
        <sz val="10"/>
        <color theme="1"/>
        <rFont val="Times New Roman"/>
        <family val="1"/>
      </rPr>
      <t xml:space="preserve">obs.: </t>
    </r>
    <r>
      <rPr>
        <sz val="10"/>
        <color theme="1"/>
        <rFont val="Times New Roman"/>
        <family val="1"/>
      </rPr>
      <t>"It is noticeable that 80% of the urban bus fleets are predominantly low floor" conforme EMTA(2012, p.37)</t>
    </r>
  </si>
  <si>
    <t>Birmingham</t>
  </si>
  <si>
    <t>Cádiz</t>
  </si>
  <si>
    <t>Copenhagem</t>
  </si>
  <si>
    <r>
      <t xml:space="preserve">percentual médio de ônibus piso baixo na frota de uma cidade/região, no caso Greater Copenhagen (Copenhagen)
</t>
    </r>
    <r>
      <rPr>
        <b/>
        <sz val="10"/>
        <color theme="1"/>
        <rFont val="Times New Roman"/>
        <family val="1"/>
      </rPr>
      <t xml:space="preserve">obs.: </t>
    </r>
    <r>
      <rPr>
        <sz val="10"/>
        <color theme="1"/>
        <rFont val="Times New Roman"/>
        <family val="1"/>
      </rPr>
      <t>"It is noticeable that 80% of the urban bus fleets are predominantly low floor" conforme EMTA(2012, p.37)</t>
    </r>
  </si>
  <si>
    <r>
      <t xml:space="preserve">percentual médio de ônibus piso baixo na frota de uma cidade/região, no caso Cadiz Bay (Cadiz)
</t>
    </r>
    <r>
      <rPr>
        <b/>
        <sz val="10"/>
        <color theme="1"/>
        <rFont val="Times New Roman"/>
        <family val="1"/>
      </rPr>
      <t xml:space="preserve">obs.: </t>
    </r>
    <r>
      <rPr>
        <sz val="10"/>
        <color theme="1"/>
        <rFont val="Times New Roman"/>
        <family val="1"/>
      </rPr>
      <t>"It is noticeable that 80% of the urban bus fleets are predominantly low floor" conforme EMTA(2012, p.37)</t>
    </r>
  </si>
  <si>
    <r>
      <t xml:space="preserve">percentual médio de ônibus piso baixo na frota de uma cidade/região, no caso West Midlands (Birmingham)
</t>
    </r>
    <r>
      <rPr>
        <b/>
        <sz val="10"/>
        <color theme="1"/>
        <rFont val="Times New Roman"/>
        <family val="1"/>
      </rPr>
      <t xml:space="preserve">obs.: </t>
    </r>
    <r>
      <rPr>
        <sz val="10"/>
        <color theme="1"/>
        <rFont val="Times New Roman"/>
        <family val="1"/>
      </rPr>
      <t>"It is noticeable that 80% of the urban bus fleets are predominantly low floor" conforme EMTA(2012, p.37)</t>
    </r>
  </si>
  <si>
    <t>Lyon</t>
  </si>
  <si>
    <r>
      <t xml:space="preserve">percentual médio de ônibus piso baixo na frota de uma cidade/região, no caso Lyon Urban Community
</t>
    </r>
    <r>
      <rPr>
        <b/>
        <sz val="10"/>
        <color theme="1"/>
        <rFont val="Times New Roman"/>
        <family val="1"/>
      </rPr>
      <t xml:space="preserve">obs.: </t>
    </r>
    <r>
      <rPr>
        <sz val="10"/>
        <color theme="1"/>
        <rFont val="Times New Roman"/>
        <family val="1"/>
      </rPr>
      <t>"It is noticeable that 80% of the urban bus fleets are predominantly low floor" conforme EMTA(2012, p.37)</t>
    </r>
  </si>
  <si>
    <t>Praga</t>
  </si>
  <si>
    <r>
      <t xml:space="preserve">percentual médio de ônibus piso baixo na frota de uma cidade/região, no caso Middle Bohemia Region (Prague)
</t>
    </r>
    <r>
      <rPr>
        <b/>
        <sz val="10"/>
        <color theme="1"/>
        <rFont val="Times New Roman"/>
        <family val="1"/>
      </rPr>
      <t xml:space="preserve">obs.: </t>
    </r>
    <r>
      <rPr>
        <sz val="10"/>
        <color theme="1"/>
        <rFont val="Times New Roman"/>
        <family val="1"/>
      </rPr>
      <t>"It is noticeable that 80% of the urban bus fleets are predominantly low floor" conforme EMTA(2012, p.37)</t>
    </r>
  </si>
  <si>
    <t>Sheffield</t>
  </si>
  <si>
    <r>
      <t xml:space="preserve">percentual médio de ônibus piso baixo na frota de uma cidade/região, no caso South Yorkshire (Sheffield)
</t>
    </r>
    <r>
      <rPr>
        <b/>
        <sz val="10"/>
        <color theme="1"/>
        <rFont val="Times New Roman"/>
        <family val="1"/>
      </rPr>
      <t xml:space="preserve">obs.: </t>
    </r>
    <r>
      <rPr>
        <sz val="10"/>
        <color theme="1"/>
        <rFont val="Times New Roman"/>
        <family val="1"/>
      </rPr>
      <t>"It is noticeable that 80% of the urban bus fleets are predominantly low floor" conforme EMTA(2012, p.37)</t>
    </r>
  </si>
  <si>
    <t>Turim</t>
  </si>
  <si>
    <t>Valência</t>
  </si>
  <si>
    <t>Vilnius</t>
  </si>
  <si>
    <t>Gráfico 810s</t>
  </si>
  <si>
    <r>
      <t xml:space="preserve">a categoria "benchmarking SisMob-BH M2" contém as cidades/regiões localizadas fora do Brasil que foram selecionadas pelo SisMob-BH para terem seus resultados buscados para comparação com os de Belo Horizonte especificamente por serem cidades/regiões da Europa com resultados de frota com piso baixo informados no </t>
    </r>
    <r>
      <rPr>
        <i/>
        <sz val="10"/>
        <rFont val="Times New Roman"/>
        <family val="1"/>
      </rPr>
      <t>Eurobarometer 2012</t>
    </r>
    <r>
      <rPr>
        <sz val="10"/>
        <rFont val="Times New Roman"/>
        <family val="1"/>
      </rPr>
      <t xml:space="preserve"> (acesse verbete "low floor") conforme EMTA(2012, 37)
</t>
    </r>
    <r>
      <rPr>
        <b/>
        <sz val="10"/>
        <rFont val="Times New Roman"/>
        <family val="1"/>
      </rPr>
      <t xml:space="preserve">obs.1: </t>
    </r>
    <r>
      <rPr>
        <sz val="10"/>
        <rFont val="Times New Roman"/>
        <family val="1"/>
      </rPr>
      <t>selecionadas Amsterdan, Barcelona, Birmingham, Bruxelas, Cadiz, Copenhagem, Estocolmo, Londres, Lyon, Madri, Paris, Praga, Sevilha, Sheffield, Turim, Valência, Varsóvia, Viena, Vilnius (para Berilm e Stuttgart, embora da EMTA, não há resultados)</t>
    </r>
  </si>
  <si>
    <t>percentual da frota de ônibus de piso baixo do sistema de transporte coletivo (convencional e suplementar) de Belo Horizonte gerenciado pela BHTrans</t>
  </si>
  <si>
    <t>Gráfico 810k - Percentual da frota de ônibus do transporte coletivo (convencional e suplementar) de Belo Horizonte com embarque/desembarque exclusivamente em nível e comparação com outras cidades/regiões do Brasil e do mundo</t>
  </si>
  <si>
    <t>Europa (média)</t>
  </si>
  <si>
    <r>
      <rPr>
        <b/>
        <sz val="12"/>
        <color theme="1"/>
        <rFont val="Times New Roman"/>
        <family val="1"/>
      </rPr>
      <t xml:space="preserve">WRI(2016j11): </t>
    </r>
    <r>
      <rPr>
        <sz val="12"/>
        <color theme="1"/>
        <rFont val="Times New Roman"/>
        <family val="1"/>
      </rPr>
      <t xml:space="preserve">WORLD RESOURCES INSTITUTE - WRI BRASIL. </t>
    </r>
    <r>
      <rPr>
        <i/>
        <sz val="12"/>
        <color theme="1"/>
        <rFont val="Times New Roman"/>
        <family val="1"/>
      </rPr>
      <t xml:space="preserve">Workshop avalia acessibilidade no sistema BRT de Belo Horizonte. </t>
    </r>
    <r>
      <rPr>
        <sz val="12"/>
        <color theme="1"/>
        <rFont val="Times New Roman"/>
        <family val="1"/>
      </rPr>
      <t>Porto Alegre: WRI, 11 mar. 2016. Disponível em: &lt;http://wricidades.org/noticia/workshop-avalia-acessibilidade-no-sistema-brt-de-belo-horizonte&gt;. Acesso em: 19 dez. 2016.</t>
    </r>
  </si>
  <si>
    <r>
      <rPr>
        <b/>
        <sz val="12"/>
        <color theme="1"/>
        <rFont val="Times New Roman"/>
        <family val="1"/>
      </rPr>
      <t xml:space="preserve">WRI(2016k): </t>
    </r>
    <r>
      <rPr>
        <sz val="12"/>
        <color theme="1"/>
        <rFont val="Times New Roman"/>
        <family val="1"/>
      </rPr>
      <t>WORLD RESOURCES INSTITUTE - WRI BRASIL.</t>
    </r>
    <r>
      <rPr>
        <i/>
        <sz val="12"/>
        <color theme="1"/>
        <rFont val="Times New Roman"/>
        <family val="1"/>
      </rPr>
      <t xml:space="preserve"> Sete passos para a sustentabilidade: como o planejamento mudou a mobilidade em Joinville. </t>
    </r>
    <r>
      <rPr>
        <sz val="12"/>
        <color theme="1"/>
        <rFont val="Times New Roman"/>
        <family val="1"/>
      </rPr>
      <t>Porto Alegre: WRI, nov. 2016. Disponível em: &lt;http://wricidades.org/conteudo/sete-passos-para-sustentabilidade-como-o-planejamento-mudou-mobilidade-em-joinville&gt;. Acesso em: 25 nov. 2016.</t>
    </r>
  </si>
  <si>
    <r>
      <rPr>
        <b/>
        <sz val="12"/>
        <color theme="1"/>
        <rFont val="Times New Roman"/>
        <family val="1"/>
      </rPr>
      <t xml:space="preserve">WRI(2016m1): </t>
    </r>
    <r>
      <rPr>
        <sz val="12"/>
        <color theme="1"/>
        <rFont val="Times New Roman"/>
        <family val="1"/>
      </rPr>
      <t>WORLD RESOURCES INSTITUTE - WRI BRASIL.</t>
    </r>
    <r>
      <rPr>
        <i/>
        <sz val="12"/>
        <color theme="1"/>
        <rFont val="Times New Roman"/>
        <family val="1"/>
      </rPr>
      <t xml:space="preserve"> Transporte ativo e coletivo: os modos do empoderamento. </t>
    </r>
    <r>
      <rPr>
        <sz val="12"/>
        <color theme="1"/>
        <rFont val="Times New Roman"/>
        <family val="1"/>
      </rPr>
      <t>Porto Alegre: WRI, 5 dez. 2016. Disponível em: &lt;http://wricidades.org/noticia/transporte-ativo-e-coletivo-os-modos-do-empoderamento&gt;. Acesso em: 10 jan. 2017.</t>
    </r>
  </si>
  <si>
    <r>
      <rPr>
        <b/>
        <sz val="12"/>
        <color theme="1"/>
        <rFont val="Times New Roman"/>
        <family val="1"/>
      </rPr>
      <t xml:space="preserve">WRI(2016m2): </t>
    </r>
    <r>
      <rPr>
        <sz val="12"/>
        <color theme="1"/>
        <rFont val="Times New Roman"/>
        <family val="1"/>
      </rPr>
      <t>WORLD RESOURCES INSTITUTE - WRI BRASIL.</t>
    </r>
    <r>
      <rPr>
        <i/>
        <sz val="12"/>
        <color theme="1"/>
        <rFont val="Times New Roman"/>
        <family val="1"/>
      </rPr>
      <t xml:space="preserve"> As mulheres movem a cidade. </t>
    </r>
    <r>
      <rPr>
        <sz val="12"/>
        <color theme="1"/>
        <rFont val="Times New Roman"/>
        <family val="1"/>
      </rPr>
      <t>Porto Alegre: WRI, 5 dez. 2016. Disponível em: &lt;http://wricidades.org/noticia/mulheres-movem-cidade&gt;. Acesso em: 10 jan. 2017.</t>
    </r>
  </si>
  <si>
    <r>
      <rPr>
        <b/>
        <sz val="12"/>
        <color theme="1"/>
        <rFont val="Times New Roman"/>
        <family val="1"/>
      </rPr>
      <t xml:space="preserve">WRI(2016m3): </t>
    </r>
    <r>
      <rPr>
        <sz val="12"/>
        <color theme="1"/>
        <rFont val="Times New Roman"/>
        <family val="1"/>
      </rPr>
      <t>WORLD RESOURCES INSTITUTE - WRI BRASIL.</t>
    </r>
    <r>
      <rPr>
        <i/>
        <sz val="12"/>
        <color theme="1"/>
        <rFont val="Times New Roman"/>
        <family val="1"/>
      </rPr>
      <t xml:space="preserve"> Mobilidade urbana e a perspectiva das</t>
    </r>
    <r>
      <rPr>
        <i/>
        <sz val="12"/>
        <rFont val="Times New Roman"/>
        <family val="1"/>
      </rPr>
      <t xml:space="preserve"> mulheres - convite. </t>
    </r>
    <r>
      <rPr>
        <sz val="12"/>
        <color theme="1"/>
        <rFont val="Times New Roman"/>
        <family val="1"/>
      </rPr>
      <t>Porto Alegre: WRI, 5 dez. 2016. [recebido por e-mail do WRI]</t>
    </r>
  </si>
  <si>
    <r>
      <rPr>
        <b/>
        <sz val="12"/>
        <color theme="1"/>
        <rFont val="Times New Roman"/>
        <family val="1"/>
      </rPr>
      <t xml:space="preserve">WRI(2016m4): </t>
    </r>
    <r>
      <rPr>
        <sz val="12"/>
        <color theme="1"/>
        <rFont val="Times New Roman"/>
        <family val="1"/>
      </rPr>
      <t>WORLD RESOURCES INSTITUTE - WRI BRASIL.</t>
    </r>
    <r>
      <rPr>
        <i/>
        <sz val="12"/>
        <color theme="1"/>
        <rFont val="Times New Roman"/>
        <family val="1"/>
      </rPr>
      <t xml:space="preserve"> Mobilidade urbana e a perspectiva das</t>
    </r>
    <r>
      <rPr>
        <i/>
        <sz val="12"/>
        <rFont val="Times New Roman"/>
        <family val="1"/>
      </rPr>
      <t xml:space="preserve"> mulheres - programa. </t>
    </r>
    <r>
      <rPr>
        <sz val="12"/>
        <color theme="1"/>
        <rFont val="Times New Roman"/>
        <family val="1"/>
      </rPr>
      <t>Porto Alegre: WRI, 5 dez. 2016. [recebido por e-mail do WRI]</t>
    </r>
  </si>
  <si>
    <r>
      <rPr>
        <b/>
        <sz val="12"/>
        <color theme="1"/>
        <rFont val="Times New Roman"/>
        <family val="1"/>
      </rPr>
      <t xml:space="preserve">PACHECO(2016): </t>
    </r>
    <r>
      <rPr>
        <sz val="12"/>
        <color theme="1"/>
        <rFont val="Times New Roman"/>
        <family val="1"/>
      </rPr>
      <t>PACHECO, Priscila. As mulheres e a cidade: o poder da nossa voz.</t>
    </r>
    <r>
      <rPr>
        <i/>
        <sz val="12"/>
        <color theme="1"/>
        <rFont val="Times New Roman"/>
        <family val="1"/>
      </rPr>
      <t xml:space="preserve"> The City Fix Brasil, </t>
    </r>
    <r>
      <rPr>
        <sz val="12"/>
        <color theme="1"/>
        <rFont val="Times New Roman"/>
        <family val="1"/>
      </rPr>
      <t>Porto Alegre, 6 dez. 2016. Disponível em: &lt;http://thecityfixbrasil.com/2016/12/06/as-mulheres-e-a-cidade-o-poder-da-nossa-voz/&gt;. Acesso em: 10 jan. 2017.</t>
    </r>
  </si>
  <si>
    <r>
      <t>porção reservada para uso de mulheres no metrô de Belo Horizonte</t>
    </r>
    <r>
      <rPr>
        <b/>
        <sz val="10"/>
        <color theme="1"/>
        <rFont val="Times New Roman"/>
        <family val="1"/>
      </rPr>
      <t xml:space="preserve">
nov.2016: </t>
    </r>
    <r>
      <rPr>
        <sz val="10"/>
        <color theme="1"/>
        <rFont val="Times New Roman"/>
        <family val="1"/>
      </rPr>
      <t>repercussão na imprensa conforme MENDES(2016)</t>
    </r>
    <r>
      <rPr>
        <b/>
        <sz val="10"/>
        <color theme="1"/>
        <rFont val="Times New Roman"/>
        <family val="1"/>
      </rPr>
      <t xml:space="preserve">
out.2016:</t>
    </r>
    <r>
      <rPr>
        <sz val="10"/>
        <color theme="1"/>
        <rFont val="Times New Roman"/>
        <family val="1"/>
      </rPr>
      <t xml:space="preserve"> sancionada pela CMBH lei municipal instituindo "dispõe sobre a reserva de espaço para mulheres no sistema de transporte ferroviário urbano de passageiros" conforme BH(2016q)
</t>
    </r>
    <r>
      <rPr>
        <b/>
        <sz val="10"/>
        <color theme="1"/>
        <rFont val="Times New Roman"/>
        <family val="1"/>
      </rPr>
      <t xml:space="preserve">set.2013: </t>
    </r>
    <r>
      <rPr>
        <sz val="10"/>
        <color theme="1"/>
        <rFont val="Times New Roman"/>
        <family val="1"/>
      </rPr>
      <t>começa a tramitar projeto de lei que "dispõe sobre a reserva de espaço para mulheres no sistema de transporte ferroviário urbano de passageiros no Município de Belo Horizonte"conforme ___
VERBETE EM CONSTRUÇÃO para recepcionar informações sobre o tema após sancionada lei</t>
    </r>
  </si>
  <si>
    <r>
      <rPr>
        <b/>
        <sz val="12"/>
        <color theme="1"/>
        <rFont val="Times New Roman"/>
        <family val="1"/>
      </rPr>
      <t xml:space="preserve">WRI(2016m5): </t>
    </r>
    <r>
      <rPr>
        <sz val="12"/>
        <color theme="1"/>
        <rFont val="Times New Roman"/>
        <family val="1"/>
      </rPr>
      <t>WORLD RESOURCES INSTITUTE - WRI BRASIL.</t>
    </r>
    <r>
      <rPr>
        <i/>
        <sz val="12"/>
        <color theme="1"/>
        <rFont val="Times New Roman"/>
        <family val="1"/>
      </rPr>
      <t xml:space="preserve"> Mobilidade urbana e a perspectiva das</t>
    </r>
    <r>
      <rPr>
        <i/>
        <sz val="12"/>
        <rFont val="Times New Roman"/>
        <family val="1"/>
      </rPr>
      <t xml:space="preserve"> mulheres - fotos. </t>
    </r>
    <r>
      <rPr>
        <sz val="12"/>
        <color theme="1"/>
        <rFont val="Times New Roman"/>
        <family val="1"/>
      </rPr>
      <t>Porto Alegre: WRI, 5 dez. 2016. Disponível em: &lt;https://www.flickr.com/photos/wricidades/sets/72157673594018494&gt; Acesso em: 10 jan. 2017.</t>
    </r>
  </si>
  <si>
    <r>
      <rPr>
        <b/>
        <sz val="12"/>
        <color theme="1"/>
        <rFont val="Times New Roman"/>
        <family val="1"/>
      </rPr>
      <t xml:space="preserve">WRI(2016m6): </t>
    </r>
    <r>
      <rPr>
        <sz val="12"/>
        <color theme="1"/>
        <rFont val="Times New Roman"/>
        <family val="1"/>
      </rPr>
      <t>WORLD RESOURCES INSTITUTE - WRI BRASIL.</t>
    </r>
    <r>
      <rPr>
        <i/>
        <sz val="12"/>
        <color theme="1"/>
        <rFont val="Times New Roman"/>
        <family val="1"/>
      </rPr>
      <t xml:space="preserve"> Mobilidade urbana e a perspectiva das mulheres - vídeos com as apresentações das painelistas. </t>
    </r>
    <r>
      <rPr>
        <sz val="12"/>
        <color theme="1"/>
        <rFont val="Times New Roman"/>
        <family val="1"/>
      </rPr>
      <t>Disponível em: bit.ly/mobilidadeemulheres&gt;. Acesso em: 10 jan. 2017.</t>
    </r>
  </si>
  <si>
    <r>
      <t xml:space="preserve">denominação dada no Brasil à porção, no transporte ferroviário de uma cidade/região, reservada para uso de mulheres
</t>
    </r>
    <r>
      <rPr>
        <b/>
        <sz val="10"/>
        <color theme="1"/>
        <rFont val="Times New Roman"/>
        <family val="1"/>
      </rPr>
      <t xml:space="preserve">2016: </t>
    </r>
    <r>
      <rPr>
        <sz val="10"/>
        <color theme="1"/>
        <rFont val="Times New Roman"/>
        <family val="1"/>
      </rPr>
      <t xml:space="preserve">amplo estudo sobre os espaços de mobilidade das mulheres pode ser obtido em OLIVEIRA;SOUSA(2016)
</t>
    </r>
    <r>
      <rPr>
        <b/>
        <sz val="10"/>
        <color theme="1"/>
        <rFont val="Times New Roman"/>
        <family val="1"/>
      </rPr>
      <t xml:space="preserve">dez.2016: </t>
    </r>
    <r>
      <rPr>
        <sz val="10"/>
        <color theme="1"/>
        <rFont val="Times New Roman"/>
        <family val="1"/>
      </rPr>
      <t>debate "Mobilidade Urbana e a Perspectiva das Mulheres" em São Paulo conforme PACHECO(2016); WRI(2016m1;2016m2;2016m3;2016m4;2016m5;2016m6)</t>
    </r>
  </si>
  <si>
    <r>
      <t xml:space="preserve">As normas da ABNT que tratam de acessibilidade na mobilidade urbana e estão incorporadas no SisMob-BH são as que seguem conforme ABNT(2016a; 2016b; 2016c; 2016d; 2016f):
</t>
    </r>
    <r>
      <rPr>
        <b/>
        <sz val="10"/>
        <color theme="1"/>
        <rFont val="Times New Roman"/>
        <family val="1"/>
      </rPr>
      <t>NBR 9050 :</t>
    </r>
    <r>
      <rPr>
        <sz val="10"/>
        <color theme="1"/>
        <rFont val="Times New Roman"/>
        <family val="1"/>
      </rPr>
      <t xml:space="preserve"> Acessibilidade a edificações, mobiliário, espaços e equipamentos urbanos conforme  ABNT,1997b [1ª edição]; 2004a [2ª edição]; 2005a [2ª edição corrigida]; 2015a [3ª edição]; 
</t>
    </r>
    <r>
      <rPr>
        <b/>
        <sz val="10"/>
        <color theme="1"/>
        <rFont val="Times New Roman"/>
        <family val="1"/>
      </rPr>
      <t xml:space="preserve">obs.: </t>
    </r>
    <r>
      <rPr>
        <sz val="10"/>
        <color theme="1"/>
        <rFont val="Times New Roman"/>
        <family val="1"/>
      </rPr>
      <t xml:space="preserve">a 1ª edição da 9050 é analisada em GUIMARÃES(1995) com apresentação em OLIVEIRA(1995);
</t>
    </r>
    <r>
      <rPr>
        <b/>
        <sz val="10"/>
        <color theme="1"/>
        <rFont val="Times New Roman"/>
        <family val="1"/>
      </rPr>
      <t xml:space="preserve">NBR 14021 </t>
    </r>
    <r>
      <rPr>
        <sz val="10"/>
        <color theme="1"/>
        <rFont val="Times New Roman"/>
        <family val="1"/>
      </rPr>
      <t xml:space="preserve">: Transporte - Acessibilidade no sistema de trem urbano ou metropolitano conforme ABNT(1997c[1ª edição]; 2005b[2ª edição]; 2005c [2ª edição - errata])
</t>
    </r>
    <r>
      <rPr>
        <b/>
        <sz val="10"/>
        <color theme="1"/>
        <rFont val="Times New Roman"/>
        <family val="1"/>
      </rPr>
      <t>NBR 14022</t>
    </r>
    <r>
      <rPr>
        <sz val="10"/>
        <color theme="1"/>
        <rFont val="Times New Roman"/>
        <family val="1"/>
      </rPr>
      <t xml:space="preserve"> : Acessibilidade em veículos de características urbanas para o transporte coletivo de passageiros conforme ABNT(1997a [1ª edição]; 2006a [2ª edição]; 2009a [3ª edição] ; 2011a [4ª edição]);
</t>
    </r>
    <r>
      <rPr>
        <b/>
        <sz val="10"/>
        <color theme="1"/>
        <rFont val="Times New Roman"/>
        <family val="1"/>
      </rPr>
      <t>NBR 15570</t>
    </r>
    <r>
      <rPr>
        <sz val="10"/>
        <color theme="1"/>
        <rFont val="Times New Roman"/>
        <family val="1"/>
      </rPr>
      <t xml:space="preserve"> : Transporte - Especificações técnicas para fabricação de veículos de características urbanas para transporte coletivo de passageiros (2008a [1ª edição]; 2009b [2ª edição] ; 2009c [2ª edição emenda]; 2011c [3ª edição]);
</t>
    </r>
    <r>
      <rPr>
        <b/>
        <sz val="10"/>
        <color theme="1"/>
        <rFont val="Times New Roman"/>
        <family val="1"/>
      </rPr>
      <t xml:space="preserve">obs.: </t>
    </r>
    <r>
      <rPr>
        <sz val="10"/>
        <color theme="1"/>
        <rFont val="Times New Roman"/>
        <family val="1"/>
      </rPr>
      <t xml:space="preserve">a 3ª edição da 15570 é analisada em NTU(2009)
</t>
    </r>
    <r>
      <rPr>
        <b/>
        <sz val="10"/>
        <color theme="1"/>
        <rFont val="Times New Roman"/>
        <family val="1"/>
      </rPr>
      <t xml:space="preserve">NBR 15646 </t>
    </r>
    <r>
      <rPr>
        <sz val="10"/>
        <color theme="1"/>
        <rFont val="Times New Roman"/>
        <family val="1"/>
      </rPr>
      <t>: Acessibilidade  -  Plataforma elevatória veicular e rampa de acesso veicular para acessibilidade
de pessoas com deficiência ou mobilidade reduzida, em veículo de transporte de passageiros de categorias M1, M2 e M3  - Requisitos (2008b [1ª edição]; 2011b [2ª edição]; 2016e [3ª edição]).</t>
    </r>
  </si>
  <si>
    <t>1ª edição
da 15320</t>
  </si>
  <si>
    <r>
      <rPr>
        <b/>
        <sz val="12"/>
        <rFont val="Times New Roman"/>
        <family val="1"/>
      </rPr>
      <t xml:space="preserve">ABNT(2005d): </t>
    </r>
    <r>
      <rPr>
        <sz val="12"/>
        <rFont val="Times New Roman"/>
        <family val="1"/>
      </rPr>
      <t xml:space="preserve">ASSOCIAÇÃO BRASILEIRA DE NORMAS TÉCNICAS – ABNT. </t>
    </r>
    <r>
      <rPr>
        <i/>
        <sz val="12"/>
        <rFont val="Times New Roman"/>
        <family val="1"/>
      </rPr>
      <t>NBR 15320: Acessibilidade à pessoa com deficiência no transporte rodoviário</t>
    </r>
    <r>
      <rPr>
        <sz val="12"/>
        <rFont val="Times New Roman"/>
        <family val="1"/>
      </rPr>
      <t>. 1.ed. Rio de Janeiro: ABNT, 2005. 8p. [primeira edição de 30/12/2005; válida a partir de 30/01/2006. Disponível em: &lt;http://www.pessoacomdeficiencia.gov.br/app/sites/default/files/arquivos/%5Bfield_generico_imagens-filefield-description%5D_18.pdf&gt;. Acesso em 10 jan. 2017.</t>
    </r>
  </si>
  <si>
    <r>
      <t xml:space="preserve">As normas da ABNT que tratam de acessibilidade no transporte rodoviário e estão incorporadas no SisMob-BH são as que seguem conforme ABNT(2005d):
</t>
    </r>
    <r>
      <rPr>
        <b/>
        <sz val="10"/>
        <color theme="1"/>
        <rFont val="Times New Roman"/>
        <family val="1"/>
      </rPr>
      <t>NBR 15320:</t>
    </r>
    <r>
      <rPr>
        <sz val="10"/>
        <color theme="1"/>
        <rFont val="Times New Roman"/>
        <family val="1"/>
      </rPr>
      <t xml:space="preserve"> Acessibilidade à pessoa com deficiência no transporte rodoviário conforme  ABNT,2005 [1ª edição]</t>
    </r>
    <r>
      <rPr>
        <b/>
        <sz val="10"/>
        <color theme="1"/>
        <rFont val="Times New Roman"/>
        <family val="1"/>
      </rPr>
      <t/>
    </r>
  </si>
  <si>
    <t>acessibilidade
ABNT (rodoviário)</t>
  </si>
  <si>
    <t>acessibilidade
ABNT
(urbano)</t>
  </si>
  <si>
    <t>"ônibus rodoviário: Aquele que transita por estrada municipal, estadual ou federal, sem catraca ou outro dispositivo de controle de tarifação, e que permite o transporte de bagagem em compartimento específico." conforme ABNT(2005d,p.2)</t>
  </si>
  <si>
    <t>ônibus rodoviário</t>
  </si>
  <si>
    <t>terminal rodoviário</t>
  </si>
  <si>
    <t>"terminal rodoviário: Edificação destinada ao embarque e desembarque de usuários de ônibus rodoviários" conforme ABNT(2005d,p.2)</t>
  </si>
  <si>
    <r>
      <rPr>
        <b/>
        <sz val="10"/>
        <rFont val="Times New Roman"/>
        <family val="1"/>
      </rPr>
      <t>maio2004:</t>
    </r>
    <r>
      <rPr>
        <sz val="10"/>
        <rFont val="Times New Roman"/>
        <family val="1"/>
      </rPr>
      <t xml:space="preserve"> acesse item "9.5.5 Bilheterias" em ABNT(2004a)
</t>
    </r>
    <r>
      <rPr>
        <b/>
        <sz val="10"/>
        <rFont val="Times New Roman"/>
        <family val="1"/>
      </rPr>
      <t>dez.2005:</t>
    </r>
    <r>
      <rPr>
        <sz val="10"/>
        <rFont val="Times New Roman"/>
        <family val="1"/>
      </rPr>
      <t xml:space="preserve"> "Bilheteria - A bilheteria, localizada ou não em terminal rodoviário, deve ter pelo menos um balcão de atendimento, mesmo que automático, obedecendo às especificações de acessibilidade, conforme 9.5.5 da ABNT NBR 9050:2004." conforme ABNT(2005d,p.3)
</t>
    </r>
    <r>
      <rPr>
        <b/>
        <sz val="10"/>
        <rFont val="Times New Roman"/>
        <family val="1"/>
      </rPr>
      <t>set.2015:</t>
    </r>
    <r>
      <rPr>
        <sz val="10"/>
        <rFont val="Times New Roman"/>
        <family val="1"/>
      </rPr>
      <t xml:space="preserve"> acesse item "9.2 Balcão, bilheterias e balcões de informação" em ABNT(2015a)</t>
    </r>
  </si>
  <si>
    <t>bilheteria acessível</t>
  </si>
  <si>
    <t>acesse "acessibilidade em bilheterias"</t>
  </si>
  <si>
    <r>
      <rPr>
        <b/>
        <sz val="12"/>
        <color theme="1"/>
        <rFont val="Times New Roman"/>
        <family val="1"/>
      </rPr>
      <t xml:space="preserve">MOURA(2010a): </t>
    </r>
    <r>
      <rPr>
        <sz val="12"/>
        <color theme="1"/>
        <rFont val="Times New Roman"/>
        <family val="1"/>
      </rPr>
      <t xml:space="preserve">MOURA, Elizabeth Gomes de. </t>
    </r>
    <r>
      <rPr>
        <i/>
        <sz val="12"/>
        <color theme="1"/>
        <rFont val="Times New Roman"/>
        <family val="1"/>
      </rPr>
      <t>Fotografia de ônibus do nível 10 da escala IAED em estação de bairro</t>
    </r>
    <r>
      <rPr>
        <sz val="12"/>
        <color theme="1"/>
        <rFont val="Times New Roman"/>
        <family val="1"/>
      </rPr>
      <t xml:space="preserve">. Quito, 26 jun. 2010. </t>
    </r>
  </si>
  <si>
    <t>"Figura 2B - ônibus do nível 10 da escala IAED, articulado, com rampas veiculares automáticas projetada para a plataforma de uma estação de bairro em Quito/Equador permitindo o embarque/desembarque em nível de todos os passageiros, com autonomia e segurança, por todas as portas (detalhe da fotografia: como o ônibus é de piso alto, gradis protegem o passageiro do vão veículo/plataforma lateral às rampas)." conforme OLIVEIRA(2017a4,p.___), disponível em MOURA(2010a)</t>
  </si>
  <si>
    <r>
      <t xml:space="preserve">"Figura 2B - ônibus do nível 10 da escala IAED, articulado, com rampas veiculares automáticas projetada para a plataforma de uma estação de bairro em Quito/Equador permitindo o embarque/desembarque em nível de todos os passageiros, com autonomia e segurança, por todas as portas (detalhe da fotografia: como o ônibus é de piso alto, gradis protegem o passageiro do vão veículo/plataforma lateral às rampas)." conforme </t>
    </r>
    <r>
      <rPr>
        <sz val="10"/>
        <color rgb="FFFF0000"/>
        <rFont val="Times New Roman"/>
        <family val="1"/>
      </rPr>
      <t>OLIVEIRA(2017a4,p.___),</t>
    </r>
    <r>
      <rPr>
        <sz val="10"/>
        <rFont val="Times New Roman"/>
        <family val="1"/>
      </rPr>
      <t xml:space="preserve"> disponível em MOURA(2010a)</t>
    </r>
  </si>
  <si>
    <r>
      <t>"Figura 2C - escadas em praça de Quito para permitir o embarque/desembarque de ônibus do nível 10 da escala IAED com embarque/desembarque com grau de acessibilidade similar ao prestado por ônibus do nível 1 da escala IAED (detalhe da fotografia: as escadas estão chumbadas no piso da praça e são protegidas por sombrinhas)." conforme</t>
    </r>
    <r>
      <rPr>
        <sz val="10"/>
        <color rgb="FFFF0000"/>
        <rFont val="Times New Roman"/>
        <family val="1"/>
      </rPr>
      <t xml:space="preserve"> OLIVEIRA(2017a4,p.__), </t>
    </r>
    <r>
      <rPr>
        <sz val="10"/>
        <rFont val="Times New Roman"/>
        <family val="1"/>
      </rPr>
      <t>disponível em MOURA(2010b)</t>
    </r>
  </si>
  <si>
    <r>
      <t xml:space="preserve">frota em n.º de ônibus com desenho universal no embarque/desembarque
obs.: trata-se da frota em n.º de ônibus do transporte público coletivo de uma cidade/região de piso baixo ou piso alto com embarque exclusivo em nível com fronteira máxima conforme normas brasileiras vigentes ou com rampa veicular automática em todas as portas, ou seja, com embarque/desembarque sempre em nível e autonomia garantida em todas as portas proporcionando acessibilidade universal
</t>
    </r>
    <r>
      <rPr>
        <b/>
        <sz val="10"/>
        <rFont val="Times New Roman"/>
        <family val="1"/>
      </rPr>
      <t xml:space="preserve">obs.1: </t>
    </r>
    <r>
      <rPr>
        <sz val="10"/>
        <rFont val="Times New Roman"/>
        <family val="1"/>
      </rPr>
      <t xml:space="preserve">os veículos desta categoria recebem </t>
    </r>
    <r>
      <rPr>
        <b/>
        <sz val="10"/>
        <color rgb="FFFF0000"/>
        <rFont val="Times New Roman"/>
        <family val="1"/>
      </rPr>
      <t>peso 10</t>
    </r>
    <r>
      <rPr>
        <sz val="10"/>
        <rFont val="Times New Roman"/>
        <family val="1"/>
      </rPr>
      <t xml:space="preserve">, numa escala de 1 a 10, na classificação definida pelo SisMob-BH para classificar a acessibilidade - acesse "acessibilidade em ônibus urbano (escala)"
</t>
    </r>
    <r>
      <rPr>
        <b/>
        <sz val="10"/>
        <rFont val="Times New Roman"/>
        <family val="1"/>
      </rPr>
      <t>obs.2:</t>
    </r>
    <r>
      <rPr>
        <sz val="10"/>
        <rFont val="Times New Roman"/>
        <family val="1"/>
      </rPr>
      <t xml:space="preserve"> acesse informações quantitativas e/ou qualitativas relativas ao indicador "IAED" das cidades/regiões já incorporadas ao SisMob-BH (Curitiba e Quito)</t>
    </r>
  </si>
  <si>
    <r>
      <t xml:space="preserve">frota em n.º de veículos com desenho universal no embarque/desembarque, de piso-alto para operação no sistema BRT com embarque exclusivo em nível com rampa veicular automática em todas as portas, ou seja, com embarque/desembarque sempre em nível e autonomia garantida em todas as portas proporcionando acessibilidade universal
</t>
    </r>
    <r>
      <rPr>
        <b/>
        <sz val="10"/>
        <rFont val="Times New Roman"/>
        <family val="1"/>
      </rPr>
      <t xml:space="preserve">obs.1: </t>
    </r>
    <r>
      <rPr>
        <sz val="10"/>
        <rFont val="Times New Roman"/>
        <family val="1"/>
      </rPr>
      <t xml:space="preserve">esta categoria recebe </t>
    </r>
    <r>
      <rPr>
        <sz val="10"/>
        <color rgb="FFFF0000"/>
        <rFont val="Times New Roman"/>
        <family val="1"/>
      </rPr>
      <t>peso 10</t>
    </r>
    <r>
      <rPr>
        <sz val="10"/>
        <rFont val="Times New Roman"/>
        <family val="1"/>
      </rPr>
      <t xml:space="preserve"> (escala de 1 a 10 estabelecida pelo SisMob-BH para classificar e comparar resultados) - acesse "acessibilidade em ônibus urbano (escala)"
</t>
    </r>
    <r>
      <rPr>
        <b/>
        <sz val="10"/>
        <rFont val="Times New Roman"/>
        <family val="1"/>
      </rPr>
      <t>obs.2:</t>
    </r>
    <r>
      <rPr>
        <sz val="10"/>
        <rFont val="Times New Roman"/>
        <family val="1"/>
      </rPr>
      <t xml:space="preserve"> "Cidades como Curitiba e Quito obtiveram muito sucesso com pontes de embarque. Uma ponte de embarque típica tem de 40 a 50 centímetros de largura, o que quer dizer que o veículo só precisa se alinhar dentro de 35 a 45 centímetros de distância da plataforma (Figura 8.23). Assim, há muito mais espaço para erro usando a ponte de embarque." conforme WRIGHT(2008, p.281)</t>
    </r>
  </si>
  <si>
    <t>"Figura 2C - escadas em praça de Quito para permitir o embarque/desembarque de ônibus do nível 10 da escala IAED com embarque/desembarque fora de estação de integração; nesse caso, o embarque/desembarque acontece com grau de acessibilidade similar ao prestado por ônibus do nível 1 da escala IAED (detalhe da fotografia: as escadas estão chumbadas no piso da praça e são protegidas por sombrinhas)." conforme OLIVEIRA(2017a4,p.__), disponível em MOURA(2010b)</t>
  </si>
  <si>
    <r>
      <rPr>
        <b/>
        <sz val="12"/>
        <color theme="1"/>
        <rFont val="Times New Roman"/>
        <family val="1"/>
      </rPr>
      <t>BHTRANS(2016zb1):</t>
    </r>
    <r>
      <rPr>
        <sz val="12"/>
        <color theme="1"/>
        <rFont val="Times New Roman"/>
        <family val="1"/>
      </rPr>
      <t xml:space="preserve"> EMPRESA DE TRANSPORTES E TRÂNSITO DE BELO HORIZONTE S.A - BHTRANS. Diretoria de Transporte Público - DTP. Gerência de Programação e Redes de Transporte - GESPR/SRTP/DTP.</t>
    </r>
    <r>
      <rPr>
        <i/>
        <sz val="12"/>
        <color theme="1"/>
        <rFont val="Times New Roman"/>
        <family val="1"/>
      </rPr>
      <t xml:space="preserve"> Quadro de Referência Operacional (QRO) do Transporte Coletivo - linha 6030.</t>
    </r>
    <r>
      <rPr>
        <sz val="12"/>
        <color theme="1"/>
        <rFont val="Times New Roman"/>
        <family val="1"/>
      </rPr>
      <t xml:space="preserve"> Belo Horizonte, 20 dez. 2016. [disponível na rede interna BHTrans]</t>
    </r>
  </si>
  <si>
    <r>
      <rPr>
        <b/>
        <sz val="12"/>
        <color theme="1"/>
        <rFont val="Times New Roman"/>
        <family val="1"/>
      </rPr>
      <t>BHTRANS(2016z):</t>
    </r>
    <r>
      <rPr>
        <sz val="12"/>
        <color theme="1"/>
        <rFont val="Times New Roman"/>
        <family val="1"/>
      </rPr>
      <t xml:space="preserve"> EMPRESA DE TRANSPORTES E TRÂNSITO DE BELO HORIZONTE S.A - BHTRANS. Diretoria de Sistema Viário - DSV. Gerência de Estacionamentos e Logística Urbana - Gelog/SIMP/DSV. </t>
    </r>
    <r>
      <rPr>
        <i/>
        <sz val="12"/>
        <color theme="1"/>
        <rFont val="Times New Roman"/>
        <family val="1"/>
      </rPr>
      <t>Dados do sistema de estacionamento rotativo [2010-2015].</t>
    </r>
    <r>
      <rPr>
        <sz val="12"/>
        <color theme="1"/>
        <rFont val="Times New Roman"/>
        <family val="1"/>
      </rPr>
      <t xml:space="preserve"> Belo Horizonte, 8 ago. 2016. [planilha anexa a e-mail respondendo solicitação feira em 03/08/2016 pelo SisMob-BH]</t>
    </r>
  </si>
  <si>
    <r>
      <rPr>
        <b/>
        <sz val="12"/>
        <color theme="1"/>
        <rFont val="Times New Roman"/>
        <family val="1"/>
      </rPr>
      <t>BHTRANS(2016z2):</t>
    </r>
    <r>
      <rPr>
        <sz val="12"/>
        <color theme="1"/>
        <rFont val="Times New Roman"/>
        <family val="1"/>
      </rPr>
      <t xml:space="preserve"> EMPRESA DE TRANSPORTES E TRÂNSITO DE BELO HORIZONTE S.A - BHTRANS. Diretoria de Sistema Viário - DSV. Gerência de Estacionamentos e Logística Urbana - Gelog/SIMP/DSV. </t>
    </r>
    <r>
      <rPr>
        <i/>
        <sz val="12"/>
        <color theme="1"/>
        <rFont val="Times New Roman"/>
        <family val="1"/>
      </rPr>
      <t>Estacionamentos especiais.</t>
    </r>
    <r>
      <rPr>
        <sz val="12"/>
        <color theme="1"/>
        <rFont val="Times New Roman"/>
        <family val="1"/>
      </rPr>
      <t xml:space="preserve"> Belo Horizonte, 16 ago. 2016. [planilha anexa a e-mail de 16/08/2016 respondendo solicitação feira em 10/08/2016 pelo SisMob-BH]</t>
    </r>
  </si>
  <si>
    <r>
      <rPr>
        <b/>
        <sz val="12"/>
        <color theme="1"/>
        <rFont val="Times New Roman"/>
        <family val="1"/>
      </rPr>
      <t xml:space="preserve">BHTRANS(2016y): </t>
    </r>
    <r>
      <rPr>
        <sz val="12"/>
        <color theme="1"/>
        <rFont val="Times New Roman"/>
        <family val="1"/>
      </rPr>
      <t xml:space="preserve">EMPRESA DE TRANSPORTES E TRÂNSITO DE BELO HORIZONTE S.A - BHTRANS. Diretoria de Sistema Viário - DSV. Gerência de Educação para a Mobilidade - Geduc/SDEP/DSV. </t>
    </r>
    <r>
      <rPr>
        <i/>
        <sz val="12"/>
        <color theme="1"/>
        <rFont val="Times New Roman"/>
        <family val="1"/>
      </rPr>
      <t>Atualização de resultados do SisMob-BH</t>
    </r>
    <r>
      <rPr>
        <sz val="12"/>
        <color theme="1"/>
        <rFont val="Times New Roman"/>
        <family val="1"/>
      </rPr>
      <t>. Belo Horizonte: Geduc, 9 ago. 2016. [planilha anexa a e-mail respondendo solicitação feita pelo SisMob-BH em 04/08/2016]</t>
    </r>
  </si>
  <si>
    <r>
      <rPr>
        <b/>
        <sz val="12"/>
        <color theme="1"/>
        <rFont val="Times New Roman"/>
        <family val="1"/>
      </rPr>
      <t xml:space="preserve">BHTRANS(2016x1): </t>
    </r>
    <r>
      <rPr>
        <sz val="12"/>
        <color theme="1"/>
        <rFont val="Times New Roman"/>
        <family val="1"/>
      </rPr>
      <t xml:space="preserve">EMPRESA DE TRANSPORTES E TRÂNSITO DE BELO HORIZONTE S.A - BHTRANS. Diretoria de Transporte Público - DTP. Gerência de Estudos Tarifários - Gecet/DTP. </t>
    </r>
    <r>
      <rPr>
        <i/>
        <sz val="12"/>
        <color theme="1"/>
        <rFont val="Times New Roman"/>
        <family val="1"/>
      </rPr>
      <t xml:space="preserve">Relatório gerencial - Sistema de transporte coletivo convencional de passageiros por ônibus - Resultados operacionais dezembro/2015. </t>
    </r>
    <r>
      <rPr>
        <sz val="12"/>
        <color theme="1"/>
        <rFont val="Times New Roman"/>
        <family val="1"/>
      </rPr>
      <t>Belo Horizonte: BHTrans, [2016] - relatório em excell</t>
    </r>
  </si>
  <si>
    <r>
      <t xml:space="preserve">veículos de piso baixo total sem rampa veicular (com embarque/desembarque podendo acontecer sempre em nível e em qualquer porta, mas sem o apoio de uma rampa e dependente no motorista estacionar rente ao meio fio)
</t>
    </r>
    <r>
      <rPr>
        <b/>
        <sz val="10"/>
        <rFont val="Times New Roman"/>
        <family val="1"/>
      </rPr>
      <t>obs.:</t>
    </r>
    <r>
      <rPr>
        <sz val="10"/>
        <rFont val="Times New Roman"/>
        <family val="1"/>
      </rPr>
      <t xml:space="preserve"> o SisMob-BH informou (errado) em 2016 que ônibus de Barcelona, Parma e Metz faziam parte desta categoria</t>
    </r>
  </si>
  <si>
    <t>Metz</t>
  </si>
  <si>
    <r>
      <rPr>
        <b/>
        <sz val="12"/>
        <color theme="1"/>
        <rFont val="Times New Roman"/>
        <family val="1"/>
      </rPr>
      <t xml:space="preserve">PERNIN(2013): </t>
    </r>
    <r>
      <rPr>
        <sz val="12"/>
        <color theme="1"/>
        <rFont val="Times New Roman"/>
        <family val="1"/>
      </rPr>
      <t xml:space="preserve">PERNIN, Thierry. Le Mettis de Metz n'est pas adapté aux handicapés. </t>
    </r>
    <r>
      <rPr>
        <i/>
        <sz val="12"/>
        <color theme="1"/>
        <rFont val="Times New Roman"/>
        <family val="1"/>
      </rPr>
      <t>Franceinfo</t>
    </r>
    <r>
      <rPr>
        <sz val="12"/>
        <color theme="1"/>
        <rFont val="Times New Roman"/>
        <family val="1"/>
      </rPr>
      <t>, 16 out. 2013. Disponível em: &lt;http://france3-regions.francetvinfo.fr/lorraine/2013/10/16/le-mettis-de-metz-n-est-pas-adapte-aux-handicapes-339823.html&gt; Acesso em: 24 out. 2016.</t>
    </r>
  </si>
  <si>
    <t>Mettis</t>
  </si>
  <si>
    <t>Metz Métropole</t>
  </si>
  <si>
    <r>
      <t xml:space="preserve">ônibus de piso-baixo em todas as portas com rampa veicular automática na porta dianteira acionada pelo motorista quando necessário
</t>
    </r>
    <r>
      <rPr>
        <b/>
        <sz val="10"/>
        <color theme="1"/>
        <rFont val="Times New Roman"/>
        <family val="1"/>
      </rPr>
      <t xml:space="preserve">obs.1: </t>
    </r>
    <r>
      <rPr>
        <sz val="10"/>
        <color theme="1"/>
        <rFont val="Times New Roman"/>
        <family val="1"/>
      </rPr>
      <t xml:space="preserve">esta categoria recebe </t>
    </r>
    <r>
      <rPr>
        <sz val="10"/>
        <color rgb="FFFF0000"/>
        <rFont val="Times New Roman"/>
        <family val="1"/>
      </rPr>
      <t>peso 9</t>
    </r>
    <r>
      <rPr>
        <sz val="10"/>
        <color theme="1"/>
        <rFont val="Times New Roman"/>
        <family val="1"/>
      </rPr>
      <t xml:space="preserve"> (escala de 1 a 10 estabelecida pelo SisMob-BH para classificar e comparar resultados) - acesse "acessibilidade em ônibus urbano (escala)"
</t>
    </r>
    <r>
      <rPr>
        <b/>
        <sz val="10"/>
        <color theme="1"/>
        <rFont val="Times New Roman"/>
        <family val="1"/>
      </rPr>
      <t>obs.2:</t>
    </r>
    <r>
      <rPr>
        <sz val="10"/>
        <color theme="1"/>
        <rFont val="Times New Roman"/>
        <family val="1"/>
      </rPr>
      <t xml:space="preserve"> "Barcelona (Spain), Parma (Italy) and Metz (France) will integrate, in the course of 2012, the first vehicles in their urban public transport-network" conforme VENTURA(2011)</t>
    </r>
  </si>
  <si>
    <r>
      <rPr>
        <b/>
        <sz val="12"/>
        <rFont val="Times New Roman"/>
        <family val="1"/>
      </rPr>
      <t xml:space="preserve">OLIVEIRA(2017a3): </t>
    </r>
    <r>
      <rPr>
        <sz val="12"/>
        <rFont val="Times New Roman"/>
        <family val="1"/>
      </rPr>
      <t>OLIVEIRA, Marcos Fontoura de.</t>
    </r>
    <r>
      <rPr>
        <i/>
        <sz val="12"/>
        <rFont val="Times New Roman"/>
        <family val="1"/>
      </rPr>
      <t xml:space="preserve"> Nota técnica de acessibilidade n.º 1 - Conceituação e análise sobre acessibilidade em ônibus urbano do transporte público coletivo - versão C. </t>
    </r>
    <r>
      <rPr>
        <sz val="12"/>
        <rFont val="Times New Roman"/>
        <family val="1"/>
      </rPr>
      <t>Belo Horizonte, ___ 2017. __p. Disponível em: &lt;ainda não disponível&gt;. Acesso em: dd mmm 2017. [parte integrante do projeto Acessibilidade na mobilidade urbana de Belo Horizonte (Pamu-BH)]</t>
    </r>
  </si>
  <si>
    <r>
      <rPr>
        <b/>
        <sz val="12"/>
        <rFont val="Times New Roman"/>
        <family val="1"/>
      </rPr>
      <t xml:space="preserve">OLIVEIRA(2017a4): </t>
    </r>
    <r>
      <rPr>
        <sz val="12"/>
        <rFont val="Times New Roman"/>
        <family val="1"/>
      </rPr>
      <t>OLIVEIRA, Marcos Fontoura de.</t>
    </r>
    <r>
      <rPr>
        <i/>
        <sz val="12"/>
        <rFont val="Times New Roman"/>
        <family val="1"/>
      </rPr>
      <t xml:space="preserve"> Nota técnica de acessibilidade n.º 2 - Proposição de um índice-chave de acessibilidade em ônibus urbano do transporte público coletivo - versão B. </t>
    </r>
    <r>
      <rPr>
        <sz val="12"/>
        <rFont val="Times New Roman"/>
        <family val="1"/>
      </rPr>
      <t>Belo Horizonte, ___ 2017. __p. + apêndice + anexo. Disponível em: &lt;ainda não disponível&gt;. dd mmm 2017. [parte integrante do projeto Acessibilidade na mobilidade urbana de Belo Horizonte (Pamu-BH)]</t>
    </r>
  </si>
  <si>
    <r>
      <rPr>
        <b/>
        <sz val="10"/>
        <rFont val="Times New Roman"/>
        <family val="1"/>
      </rPr>
      <t xml:space="preserve">obs.1: </t>
    </r>
    <r>
      <rPr>
        <sz val="10"/>
        <rFont val="Times New Roman"/>
        <family val="1"/>
      </rPr>
      <t xml:space="preserve">Em Winnipeg/Canadá "All Easy Access low floor Transit buses kneel to within four inches of standard curb height. This feature allows for near level boardings and eliminates the traditionally large first step up as you enter the bus. Kneeling buses can be identified by this sticker which is located near the front door." conforme WINNIPEG(2016a1)
</t>
    </r>
    <r>
      <rPr>
        <b/>
        <sz val="10"/>
        <rFont val="Times New Roman"/>
        <family val="1"/>
      </rPr>
      <t xml:space="preserve">obs.2: </t>
    </r>
    <r>
      <rPr>
        <sz val="10"/>
        <rFont val="Times New Roman"/>
        <family val="1"/>
      </rPr>
      <t>"Figura 3 - ônibus do nível 9 da escala IAED com rampa veicular automática projetada para a calçada em Winnipeg/Canadá, permitindo o embarque/desembarque em nível de todos os passageiros, com autonomia e segurança, por uma porta ônibus" conforme OLIVEIRA (2016k, p.12) com base em WINNIPEG(2016a1/a2); idem "Figura 3A" em OLIVEIRA(2017a4,p.___)</t>
    </r>
  </si>
  <si>
    <r>
      <t>Em outubro de 2013 "Metz Métropole" inaugurou um novo sistema de transporte público em Metz (França), chamado "Mettis" com a utilização de ônibus nível 9 na escala IAED. No entanto, após a inauguração foi noticiado que a rampa seria muito curta para permitir o embarque/desembarque autônomo de pessoas com deficiência: "Les handicapés ne peuvent pas monter à bord du Mettis sans une aide extérieure. Toutefois, le problème était connu avant la mise en service de ce bus à haut niveau de service. La porte à l'avant est équipée d'une rampe d'accès automatique, qui sort du plancher pour venir se poser sur le quai, mais elle est trop courte. Le dénivelé qu'elle engendre est trop raide." conforme PERRIN(2013a;2013b)</t>
    </r>
    <r>
      <rPr>
        <b/>
        <sz val="10"/>
        <rFont val="Times New Roman"/>
        <family val="1"/>
      </rPr>
      <t/>
    </r>
  </si>
  <si>
    <r>
      <rPr>
        <b/>
        <sz val="10"/>
        <rFont val="Times New Roman"/>
        <family val="1"/>
      </rPr>
      <t>obs.1:</t>
    </r>
    <r>
      <rPr>
        <sz val="10"/>
        <rFont val="Times New Roman"/>
        <family val="1"/>
      </rPr>
      <t xml:space="preserve"> em Nova York os ônibus comuns desta categoria têm portas à direita (duas nos ônibus comuns e três nos ônibus articulados) com ajoelhamento (kneeling) na porta dianteira e avisos (não em todos) sobre a existência da rampa de forma a alertar o passageiro na calçada conforme comentários e fotografias em OLIVEIRA(2016a; 2016c)
</t>
    </r>
    <r>
      <rPr>
        <b/>
        <sz val="10"/>
        <rFont val="Times New Roman"/>
        <family val="1"/>
      </rPr>
      <t xml:space="preserve">obs.2: </t>
    </r>
    <r>
      <rPr>
        <sz val="10"/>
        <rFont val="Times New Roman"/>
        <family val="1"/>
      </rPr>
      <t xml:space="preserve">"Não fique muito próximo do meio-fio para dar o sinal, porque o motorista precisará de espaço para posicionar a rampa. Passe o Metrocard ou pague a passagem e informe imediatamente em que ponto você vai descer: o motorista precisa dessa informação para planejar a parada." conforme MARTINS(2013a); acompanhado de fotografia com a legenda: "Todas as linhas de ônibus são acessíveis. Quase todos que eu usei tinham rampa, e não elevador. Observe que a rampa se estende sobre a calçada." conforme MARTINS(2013b)
</t>
    </r>
    <r>
      <rPr>
        <b/>
        <sz val="10"/>
        <rFont val="Times New Roman"/>
        <family val="1"/>
      </rPr>
      <t>obs.3: "</t>
    </r>
    <r>
      <rPr>
        <sz val="10"/>
        <rFont val="Times New Roman"/>
        <family val="1"/>
      </rPr>
      <t>Figura 3B- ônibus do nível 9 da escala IAED com rampa veicular automática projetada para a calçada em Nova York/Estados Unidos, permitindo o embarque/desembarque em nível de todos os passageiros, com autonomia e segurança, por uma porta." conforme MARTINS(2013a; 2013b)</t>
    </r>
  </si>
  <si>
    <r>
      <rPr>
        <b/>
        <sz val="10"/>
        <rFont val="Times New Roman"/>
        <family val="1"/>
      </rPr>
      <t xml:space="preserve">obs.1: </t>
    </r>
    <r>
      <rPr>
        <sz val="10"/>
        <rFont val="Times New Roman"/>
        <family val="1"/>
      </rPr>
      <t xml:space="preserve">Em Winnipeg/Canadá "All Easy Access low floor Transit buses kneel to within four inches of standard curb height. This feature allows for near level boardings and eliminates the traditionally large first step up as you enter the bus. Kneeling buses can be identified by this sticker which is located near the front door." conforme WINNIPEG(2016a1)
</t>
    </r>
    <r>
      <rPr>
        <b/>
        <sz val="10"/>
        <rFont val="Times New Roman"/>
        <family val="1"/>
      </rPr>
      <t xml:space="preserve">obs.2: </t>
    </r>
    <r>
      <rPr>
        <sz val="10"/>
        <rFont val="Times New Roman"/>
        <family val="1"/>
      </rPr>
      <t xml:space="preserve">"Figura 3 - ônibus do nível 9 da escala IAED com rampa veicular automática projetada para a calçada em Winnipeg/Canadá, permitindo o embarque/desembarque em nível de todos os passageiros, com autonomia e segurança, por uma porta ônibus" conforme OLIVEIRA (2016k, p.12) com base em WINNIPEG(2016a1/a2); idem "Figura 3A" </t>
    </r>
    <r>
      <rPr>
        <sz val="10"/>
        <rFont val="Times New Roman"/>
        <family val="1"/>
      </rPr>
      <t xml:space="preserve">em </t>
    </r>
    <r>
      <rPr>
        <sz val="10"/>
        <color rgb="FFFF0000"/>
        <rFont val="Times New Roman"/>
        <family val="1"/>
      </rPr>
      <t>OLIVEIRA(2017a4,p.___)</t>
    </r>
  </si>
  <si>
    <t>Gráfico 810c - Dispersão dos tipos de veículos em operação nas cidades com IAED já calculado</t>
  </si>
  <si>
    <t>Madri Espanha)</t>
  </si>
  <si>
    <t>Próximas atualizações - janeiro / fevereiro / março de 2018</t>
  </si>
  <si>
    <r>
      <t xml:space="preserve">IBGE(2016a): </t>
    </r>
    <r>
      <rPr>
        <sz val="12"/>
        <rFont val="Times New Roman"/>
        <family val="1"/>
      </rPr>
      <t xml:space="preserve">INSTITUTO BRASILEIRO DE GEOGRAFIA E ESTATÌSTICA - IBGE. </t>
    </r>
    <r>
      <rPr>
        <i/>
        <sz val="12"/>
        <rFont val="Times New Roman"/>
        <family val="1"/>
      </rPr>
      <t>População nos Censos Demográficos, segundo os municípios das capitais - 1872/2010</t>
    </r>
    <r>
      <rPr>
        <sz val="12"/>
        <rFont val="Times New Roman"/>
        <family val="1"/>
      </rPr>
      <t>. Brasília: IBGE, s.d. Disponível em: &lt;http://www.censo2010.ibge.gov.br/sinopse/index.php?dados=6&amp;uf=00&gt;.  Acesso em: 28/06/2016.</t>
    </r>
  </si>
  <si>
    <r>
      <t xml:space="preserve">IBGE(2011): </t>
    </r>
    <r>
      <rPr>
        <sz val="12"/>
        <rFont val="Times New Roman"/>
        <family val="1"/>
      </rPr>
      <t xml:space="preserve">INSTITUTO BRASILEIRO DE GEOGRAFIA E ESTATÌSTICA - IBGE. </t>
    </r>
    <r>
      <rPr>
        <i/>
        <sz val="12"/>
        <rFont val="Times New Roman"/>
        <family val="1"/>
      </rPr>
      <t>Estimativas da população residente nos municípios brasileiros com data de referência em 1º de julho de 2011</t>
    </r>
    <r>
      <rPr>
        <sz val="12"/>
        <rFont val="Times New Roman"/>
        <family val="1"/>
      </rPr>
      <t>. Brasília: IBGE, [2011]. Disponível em: &lt;http://www.ibge.gov.br/home/estatistica/populacao/estimativa2011/tab_Municipios_TCU.pdf&gt;. Acesso em 20 jun. 2014.</t>
    </r>
  </si>
  <si>
    <r>
      <t>IBGE(2012):</t>
    </r>
    <r>
      <rPr>
        <sz val="12"/>
        <rFont val="Times New Roman"/>
        <family val="1"/>
      </rPr>
      <t xml:space="preserve"> INSTITUTO BRASILEIRO DE GEOGRAFIA E ESTATÌSTICA - IBGE. </t>
    </r>
    <r>
      <rPr>
        <i/>
        <sz val="12"/>
        <rFont val="Times New Roman"/>
        <family val="1"/>
      </rPr>
      <t>Estimativas da população residente nos municípios brasileiros com data de referência em 1º de julho de 2012</t>
    </r>
    <r>
      <rPr>
        <sz val="12"/>
        <rFont val="Times New Roman"/>
        <family val="1"/>
      </rPr>
      <t>. Brasília: IBGE, [2012]. Disponível em: &lt;ftp://ftp.ibge.gov.br/Estimativas_de_Populacao/Estimativas_2012/estimativa_2012_municipios.pdf&gt;. Acesso em 20 jun. 2014.</t>
    </r>
  </si>
  <si>
    <r>
      <t xml:space="preserve">IBGE(2013): </t>
    </r>
    <r>
      <rPr>
        <sz val="12"/>
        <rFont val="Times New Roman"/>
        <family val="1"/>
      </rPr>
      <t xml:space="preserve">INSTITUTO BRASILEIRO DE GEOGRAFIA E ESTATÌSTICA - IBGE. </t>
    </r>
    <r>
      <rPr>
        <i/>
        <sz val="12"/>
        <rFont val="Times New Roman"/>
        <family val="1"/>
      </rPr>
      <t>Estimativas da população residente nos municípios brasileiros com data de referência em 1º de julho de 2013</t>
    </r>
    <r>
      <rPr>
        <sz val="12"/>
        <rFont val="Times New Roman"/>
        <family val="1"/>
      </rPr>
      <t>. Brasília: IBGE, [2013]. Disponível em: &lt;ftp://ftp.ibge.gov.br/Estimativas_de_Populacao/Estimativas_2013/estimativa_2013_dou.pdf&gt;. Acesso em: 20 jun. 2014.</t>
    </r>
  </si>
  <si>
    <r>
      <t xml:space="preserve">IBGE(2014): </t>
    </r>
    <r>
      <rPr>
        <sz val="12"/>
        <rFont val="Times New Roman"/>
        <family val="1"/>
      </rPr>
      <t xml:space="preserve">INSTITUTO BRASILEIRO DE GEOGRAFIA E ESTATÌSTICA - IBGE. </t>
    </r>
    <r>
      <rPr>
        <i/>
        <sz val="12"/>
        <rFont val="Times New Roman"/>
        <family val="1"/>
      </rPr>
      <t>Estimativas da população residente nos municípios brasileiros com data de referência em 1º de julho de 2014</t>
    </r>
    <r>
      <rPr>
        <sz val="12"/>
        <rFont val="Times New Roman"/>
        <family val="1"/>
      </rPr>
      <t>. Brasília: IBGE, [2014]. Disponível em: &lt;ftp://ftp.ibge.gov.br/Estimativas_de_Populacao/Estimativas_2014/estimativa_dou_2014.pdf&gt;. Acesso em: 4 fev. 2014.</t>
    </r>
  </si>
  <si>
    <r>
      <t xml:space="preserve">IBGE(2015): </t>
    </r>
    <r>
      <rPr>
        <sz val="12"/>
        <rFont val="Times New Roman"/>
        <family val="1"/>
      </rPr>
      <t>INSTITUTO BRASILEIRO DE GEOGRAFIA E ESTATÌSTICA - IBGE.</t>
    </r>
    <r>
      <rPr>
        <i/>
        <sz val="12"/>
        <rFont val="Times New Roman"/>
        <family val="1"/>
      </rPr>
      <t xml:space="preserve"> Estimativas da população residente nos municípios brasileiros com data de referência em 1º de julho de 2015</t>
    </r>
    <r>
      <rPr>
        <sz val="12"/>
        <rFont val="Times New Roman"/>
        <family val="1"/>
      </rPr>
      <t>. Brasília: IBGE, [2015]. Disponível em: &lt;ftp://ftp.ibge.gov.br/Estimativas_de_Populacao/Estimativas_2015/estimativa_dou_2015_20150915.pdf&gt;. Acesso em 13 out. 2015.</t>
    </r>
  </si>
  <si>
    <r>
      <t xml:space="preserve">IBGE(2016d): </t>
    </r>
    <r>
      <rPr>
        <sz val="12"/>
        <rFont val="Times New Roman"/>
        <family val="1"/>
      </rPr>
      <t>INSTITUTO BRASILEIRO DE GEOGRAFIA E ESTATÌSTICA - IBGE.</t>
    </r>
    <r>
      <rPr>
        <i/>
        <sz val="12"/>
        <rFont val="Times New Roman"/>
        <family val="1"/>
      </rPr>
      <t xml:space="preserve"> Estimativas da população residente nos municípios brasileiros com data de referência em 1º de julho de 2016</t>
    </r>
    <r>
      <rPr>
        <sz val="12"/>
        <rFont val="Times New Roman"/>
        <family val="1"/>
      </rPr>
      <t>. Brasília: IBGE, [2016]. Disponível em: &lt;ainda não encontrado&gt;. Acesso em: ___ 2017.</t>
    </r>
  </si>
  <si>
    <r>
      <t xml:space="preserve">IBGE(2016c): </t>
    </r>
    <r>
      <rPr>
        <sz val="12"/>
        <rFont val="Times New Roman"/>
        <family val="1"/>
      </rPr>
      <t>INSTITUTO BRASILEIRO DE GEOGRAFIA E ESTATÌSTICA - IBGE.</t>
    </r>
    <r>
      <rPr>
        <i/>
        <sz val="12"/>
        <rFont val="Times New Roman"/>
        <family val="1"/>
      </rPr>
      <t xml:space="preserve"> </t>
    </r>
    <r>
      <rPr>
        <sz val="12"/>
        <rFont val="Times New Roman"/>
        <family val="1"/>
      </rPr>
      <t xml:space="preserve">Cidades. </t>
    </r>
    <r>
      <rPr>
        <i/>
        <sz val="12"/>
        <rFont val="Times New Roman"/>
        <family val="1"/>
      </rPr>
      <t>Síntese dos municípios - Belo Horizonte. Estimativas da população residente nos municípios brasileiros com data de referência em 1º de julho de 2016</t>
    </r>
    <r>
      <rPr>
        <sz val="12"/>
        <rFont val="Times New Roman"/>
        <family val="1"/>
      </rPr>
      <t>. Brasília: IBGE, [2016]. Disponível em: &lt;http://cidades.ibge.gov.br/v3/cidades/municipio/3106200&gt;. Acesso em: 11 jan. 2017.</t>
    </r>
  </si>
  <si>
    <r>
      <t xml:space="preserve">população de Belo Horizonte, ou seja, n.º de habitantes divulgado anualmente pelo IBGE, seja pelos censos (a cada dez anos), seja por contagens populacionais (anualmente, entre os censos) 
</t>
    </r>
    <r>
      <rPr>
        <b/>
        <sz val="10"/>
        <color theme="1"/>
        <rFont val="Times New Roman"/>
        <family val="1"/>
      </rPr>
      <t xml:space="preserve">obs.: </t>
    </r>
    <r>
      <rPr>
        <sz val="10"/>
        <color theme="1"/>
        <rFont val="Times New Roman"/>
        <family val="1"/>
      </rPr>
      <t>em consulta anterior, a população de 2011 era 2.285.639 habitantes (IGBE, 2010; 2011; 2012; 2013; 2014; 2015); resultado de 2016 conforme IBGE(2016c)</t>
    </r>
  </si>
  <si>
    <t>população do município integrante da RMBH, ou seja, n.º de habitantes divulgado anualmente pelo IBGE, seja pelos censos (a cada dez anos), seja por contagens populacionais (anualmente, entre os censos)
obs.: resultado de 2010 conforme (IBGE, 2010)</t>
  </si>
  <si>
    <t>população do município integrante da RMBH, ou seja, n.º de habitantes divulgado anualmente pelo IBGE, seja pelos censos (a cada dez anos), seja por contagens populacionais (anualmente, entre os censos) 
obs.: resultado de 2010 conforme IBGE(2010)</t>
  </si>
  <si>
    <r>
      <t xml:space="preserve">No mês de julho de cada ano o IBGE divulga a contagem populacional de todos os municípios. Em 2016 houve problemas que quebraram a rotina do órgão e não consegui baixar as polações, como de praxe. Em 11/01/2017 </t>
    </r>
    <r>
      <rPr>
        <u/>
        <sz val="11"/>
        <color rgb="FFFF0000"/>
        <rFont val="Calibri"/>
        <family val="2"/>
        <scheme val="minor"/>
      </rPr>
      <t>continuei não conseguindo acessar (clique aqui). Atualizei para 2016 apenas a população de BH usando o link "Cidades".</t>
    </r>
  </si>
  <si>
    <t>portal CITGIS</t>
  </si>
  <si>
    <r>
      <rPr>
        <b/>
        <sz val="12"/>
        <color theme="1"/>
        <rFont val="Times New Roman"/>
        <family val="1"/>
      </rPr>
      <t xml:space="preserve">BHTRANS(2017a1): </t>
    </r>
    <r>
      <rPr>
        <sz val="12"/>
        <color theme="1"/>
        <rFont val="Times New Roman"/>
        <family val="1"/>
      </rPr>
      <t xml:space="preserve">EMPRESA DE TRANSPORTES E TRÂNSITO DE BELO HORIZONTE S/A - BHTRANS. Novo portal CITGIS. </t>
    </r>
    <r>
      <rPr>
        <i/>
        <sz val="12"/>
        <color theme="1"/>
        <rFont val="Times New Roman"/>
        <family val="1"/>
      </rPr>
      <t>Jogo Rápido</t>
    </r>
    <r>
      <rPr>
        <sz val="12"/>
        <color theme="1"/>
        <rFont val="Times New Roman"/>
        <family val="1"/>
      </rPr>
      <t>, Belo Horizonte, n. 761, 9 jan. 2017.</t>
    </r>
  </si>
  <si>
    <t>portal de acesso restrito aos empregadops da Bhtrans, "sistema que reúne dados de operação do sistema municipal de transporte coletivo por ônibus de Belo Horizonte" conforme BHTRANS(2017a1)</t>
  </si>
  <si>
    <t>3.9</t>
  </si>
  <si>
    <t>Relatórios e outros documentos</t>
  </si>
  <si>
    <t>2.7</t>
  </si>
  <si>
    <t>Outras cidades/regiões</t>
  </si>
  <si>
    <r>
      <t xml:space="preserve">cidade de São Paulo (Brasil) incluída em pelo menos uma das categorias de "benchmarking SisMob-BH"
</t>
    </r>
    <r>
      <rPr>
        <b/>
        <sz val="10"/>
        <rFont val="Times New Roman"/>
        <family val="1"/>
      </rPr>
      <t>obs.:</t>
    </r>
    <r>
      <rPr>
        <sz val="10"/>
        <rFont val="Times New Roman"/>
        <family val="1"/>
      </rPr>
      <t xml:space="preserve"> indicadores disponiblizados pelo ObservaSampa em, por exemplo,  SP(2015a/b/c/d)</t>
    </r>
  </si>
  <si>
    <r>
      <rPr>
        <b/>
        <sz val="12"/>
        <color theme="1"/>
        <rFont val="Times New Roman"/>
        <family val="1"/>
      </rPr>
      <t xml:space="preserve">PUTNAM(2006): </t>
    </r>
    <r>
      <rPr>
        <sz val="12"/>
        <color theme="1"/>
        <rFont val="Times New Roman"/>
        <family val="1"/>
      </rPr>
      <t xml:space="preserve">PUTNAM, Robert D. </t>
    </r>
    <r>
      <rPr>
        <i/>
        <sz val="12"/>
        <color theme="1"/>
        <rFont val="Times New Roman"/>
        <family val="1"/>
      </rPr>
      <t>Comunidade e democracia</t>
    </r>
    <r>
      <rPr>
        <sz val="12"/>
        <color theme="1"/>
        <rFont val="Times New Roman"/>
        <family val="1"/>
      </rPr>
      <t>: a experiência da Itália moderna. Tradução de Luiz Alberto Monjardim. 5.ed. Rio de Janeiro: FGV, 2006. 260p.</t>
    </r>
  </si>
  <si>
    <r>
      <rPr>
        <b/>
        <sz val="12"/>
        <rFont val="Times New Roman"/>
        <family val="1"/>
      </rPr>
      <t xml:space="preserve">OLIVEIRA(2014a): </t>
    </r>
    <r>
      <rPr>
        <sz val="12"/>
        <rFont val="Times New Roman"/>
        <family val="1"/>
      </rPr>
      <t xml:space="preserve">OLIVEIRA, Marcos Fontoura de. </t>
    </r>
    <r>
      <rPr>
        <i/>
        <sz val="12"/>
        <rFont val="Times New Roman"/>
        <family val="1"/>
      </rPr>
      <t xml:space="preserve">Ausências, avanços e contradições da atual política de mobilidade urbana de Belo Horizonte: </t>
    </r>
    <r>
      <rPr>
        <sz val="12"/>
        <rFont val="Times New Roman"/>
        <family val="1"/>
      </rPr>
      <t>uma pesquisa sobre o direito de aceso amplo e democrático ao espaço urbano. Tese (Doutorado em Ciências Sociais) - Pontifícia Universidade Católica de Minas Gerais (PUC Minas), Belo Horizonte, 2014. 428p. Disponível em: &lt;http://www.bhtrans.pbh.gov.br/portal/pls/portal/!PORTAL.wwpob_page.show?_docname=10306263.PDF&gt;. Acesso em: 11 jan. 2017.</t>
    </r>
  </si>
  <si>
    <r>
      <rPr>
        <b/>
        <sz val="12"/>
        <rFont val="Times New Roman"/>
        <family val="1"/>
      </rPr>
      <t xml:space="preserve">BHTRANS(2016q1): </t>
    </r>
    <r>
      <rPr>
        <sz val="12"/>
        <rFont val="Times New Roman"/>
        <family val="1"/>
      </rPr>
      <t xml:space="preserve">EMPRESA DE TRANSPORTES E TRÂNSITO DE BELO HORIZONTE S.A - BHTRANS. Sistema de Informações da Mobilidade Urbana de Belo Horizonte (SisMob-BH). </t>
    </r>
    <r>
      <rPr>
        <i/>
        <sz val="12"/>
        <rFont val="Times New Roman"/>
        <family val="1"/>
      </rPr>
      <t>Quadro 100a - Dados abertos do SisMob-BH - planilha com registros de indicadores, metas, requisitos, referências de benchmarking, verbetes e siglas /aba Q100a; aba TOTAIS; aba FONTES; abas 1.1 a 9.6; aba FrotaOnibus</t>
    </r>
    <r>
      <rPr>
        <sz val="12"/>
        <rFont val="Times New Roman"/>
        <family val="1"/>
      </rPr>
      <t>. Belo Horizonte: BHTrans, [planilha publicada pela primeira vez em janeiro de 2015]. Disponível para baixar como planilha de dados abertos em: &lt;http://www.bhtrans.pbh.gov.br/portal/page/portal/portalpublico/Temas/Observatorio/SISMOBBH-2013&gt;. Acessos em: 25 ago. 2016; 4 nov. 2016. [esta é referência de todos os registros e quantitativos citados nas notas técnicas de acessibilidade da Pamu-BH em 2016]</t>
    </r>
  </si>
  <si>
    <r>
      <t xml:space="preserve">n.º de viagens realizadas do sistema de transporte coletivo (incluindo convencional e suplementar) no ano para cada habitante
</t>
    </r>
    <r>
      <rPr>
        <b/>
        <sz val="10"/>
        <rFont val="Times New Roman"/>
        <family val="1"/>
      </rPr>
      <t>obs.:</t>
    </r>
    <r>
      <rPr>
        <sz val="10"/>
        <rFont val="Times New Roman"/>
        <family val="1"/>
      </rPr>
      <t xml:space="preserve"> este indicador, juntamente com indicadores "DM", tem similaridade com o indicador urbano global denominado "Annual number of public transit trips per capita" em GCIF(2011)</t>
    </r>
  </si>
  <si>
    <r>
      <t xml:space="preserve">n.º de viagens realizadas do transporte coletivo convencional no ano
</t>
    </r>
    <r>
      <rPr>
        <b/>
        <sz val="10"/>
        <rFont val="Times New Roman"/>
        <family val="1"/>
      </rPr>
      <t xml:space="preserve">obs.: </t>
    </r>
    <r>
      <rPr>
        <sz val="10"/>
        <rFont val="Times New Roman"/>
        <family val="1"/>
      </rPr>
      <t xml:space="preserve">resultados de 1999 a 2012 em BHTRANS (2013e)
</t>
    </r>
    <r>
      <rPr>
        <b/>
        <sz val="10"/>
        <rFont val="Times New Roman"/>
        <family val="1"/>
      </rPr>
      <t>obs.:</t>
    </r>
    <r>
      <rPr>
        <sz val="10"/>
        <rFont val="Times New Roman"/>
        <family val="1"/>
      </rPr>
      <t xml:space="preserve"> se considerarmos apesar a rede de transporte coletivo por ônibus convencional, este é o indicador urbano global denominado "Annual number of public transit trips per capita" em GCIF(2011)</t>
    </r>
  </si>
  <si>
    <r>
      <t xml:space="preserve">população de uma cidade/região para a qual há indicadores com resultados apurados no SisMob-BH
</t>
    </r>
    <r>
      <rPr>
        <b/>
        <sz val="10"/>
        <color theme="1"/>
        <rFont val="Times New Roman"/>
        <family val="1"/>
      </rPr>
      <t>obs.:</t>
    </r>
    <r>
      <rPr>
        <sz val="10"/>
        <color theme="1"/>
        <rFont val="Times New Roman"/>
        <family val="1"/>
      </rPr>
      <t xml:space="preserve"> este é o indicador urbano global da categoria "people" denominado "total city population"em GCIF(2011)</t>
    </r>
  </si>
  <si>
    <r>
      <t>área verde protegida por habitante (m</t>
    </r>
    <r>
      <rPr>
        <vertAlign val="superscript"/>
        <sz val="10"/>
        <rFont val="Times New Roman"/>
        <family val="1"/>
      </rPr>
      <t>2</t>
    </r>
    <r>
      <rPr>
        <sz val="10"/>
        <rFont val="Times New Roman"/>
        <family val="1"/>
      </rPr>
      <t xml:space="preserve">/habitante)
</t>
    </r>
    <r>
      <rPr>
        <b/>
        <sz val="10"/>
        <rFont val="Times New Roman"/>
        <family val="1"/>
      </rPr>
      <t xml:space="preserve">obs.1: </t>
    </r>
    <r>
      <rPr>
        <sz val="10"/>
        <rFont val="Times New Roman"/>
        <family val="1"/>
      </rPr>
      <t xml:space="preserve">resultado do ano 2000 (lançado e ignorado pelo SisMob-BH) conforme BH(2016e2, p.20)
</t>
    </r>
    <r>
      <rPr>
        <b/>
        <sz val="10"/>
        <rFont val="Times New Roman"/>
        <family val="1"/>
      </rPr>
      <t>obs.2:</t>
    </r>
    <r>
      <rPr>
        <sz val="10"/>
        <rFont val="Times New Roman"/>
        <family val="1"/>
      </rPr>
      <t xml:space="preserve"> resultado do ano 2000 (lançado e ignorado pelo SisMob-BH) conforme BH(2012b2)
</t>
    </r>
    <r>
      <rPr>
        <b/>
        <sz val="10"/>
        <rFont val="Times New Roman"/>
        <family val="1"/>
      </rPr>
      <t xml:space="preserve">obs.3: </t>
    </r>
    <r>
      <rPr>
        <sz val="10"/>
        <rFont val="Times New Roman"/>
        <family val="1"/>
      </rPr>
      <t xml:space="preserve">resultado de 2010 por fórmula, confirmado em BH(2016e1, p.90) e BH(2016n)
</t>
    </r>
    <r>
      <rPr>
        <b/>
        <sz val="10"/>
        <rFont val="Times New Roman"/>
        <family val="1"/>
      </rPr>
      <t>obs.4:</t>
    </r>
    <r>
      <rPr>
        <sz val="10"/>
        <rFont val="Times New Roman"/>
        <family val="1"/>
      </rPr>
      <t xml:space="preserve"> este indicador é denominado pela PBH como "Índice de áreas verdes por habitante por Região Administrativa" em BH(2016n), ondes também estão informados os índices para cada uma das nove regiões administrativas de BH, podendo-se constatar que ele varia bastante no território municipal: de 2,05m</t>
    </r>
    <r>
      <rPr>
        <vertAlign val="superscript"/>
        <sz val="10"/>
        <rFont val="Times New Roman"/>
        <family val="1"/>
      </rPr>
      <t>2</t>
    </r>
    <r>
      <rPr>
        <sz val="10"/>
        <rFont val="Times New Roman"/>
        <family val="1"/>
      </rPr>
      <t xml:space="preserve">/habitante na região Noroeste a 58,52m2/habitante na região Barreiro
</t>
    </r>
    <r>
      <rPr>
        <b/>
        <sz val="10"/>
        <rFont val="Times New Roman"/>
        <family val="1"/>
      </rPr>
      <t xml:space="preserve">obs.5: </t>
    </r>
    <r>
      <rPr>
        <sz val="10"/>
        <rFont val="Times New Roman"/>
        <family val="1"/>
      </rPr>
      <t xml:space="preserve">este indicador é similar ao "Green area (hectares) per 100,000 population" proposto em GCIF(2011) e ao "Area of public and green space as a proportion of total city space" proposto em SDSN(2016f)
</t>
    </r>
    <r>
      <rPr>
        <b/>
        <sz val="10"/>
        <rFont val="Times New Roman"/>
        <family val="1"/>
      </rPr>
      <t>obs.6:</t>
    </r>
    <r>
      <rPr>
        <sz val="10"/>
        <rFont val="Times New Roman"/>
        <family val="1"/>
      </rPr>
      <t xml:space="preserve"> acesse os registros "indicadores urbanos globais 8" e "ODS 11 (indicador)</t>
    </r>
  </si>
  <si>
    <r>
      <t xml:space="preserve">índice de bem-estar subjetivo desenvolvido pelo </t>
    </r>
    <r>
      <rPr>
        <i/>
        <sz val="10"/>
        <rFont val="Times New Roman"/>
        <family val="1"/>
      </rPr>
      <t>Global City Institute - GCI</t>
    </r>
    <r>
      <rPr>
        <sz val="10"/>
        <rFont val="Times New Roman"/>
        <family val="1"/>
      </rPr>
      <t xml:space="preserve">
</t>
    </r>
    <r>
      <rPr>
        <b/>
        <sz val="10"/>
        <rFont val="Times New Roman"/>
        <family val="1"/>
      </rPr>
      <t>obs.:</t>
    </r>
    <r>
      <rPr>
        <sz val="10"/>
        <rFont val="Times New Roman"/>
        <family val="1"/>
      </rPr>
      <t xml:space="preserve"> o SisMob-BH aguarda resposta a solicitação feita para conhecer o que é este índice, considerando que "Por exemplo, o esboço do índice “Bem Estar Subjetivo” foi desenvolvido e o projeto piloto foi testado em Belo Horizonte, Bogotá e Toronto como parte desse programa (disponível em relatório separado)." conforme GCIF(2016)</t>
    </r>
  </si>
  <si>
    <r>
      <t xml:space="preserve">índice de bem-estar subjetivo de Belo Horizonte
</t>
    </r>
    <r>
      <rPr>
        <b/>
        <sz val="10"/>
        <rFont val="Times New Roman"/>
        <family val="1"/>
      </rPr>
      <t>obs.:</t>
    </r>
    <r>
      <rPr>
        <sz val="10"/>
        <rFont val="Times New Roman"/>
        <family val="1"/>
      </rPr>
      <t xml:space="preserve"> conforme GCIF(2011), fonte que não apresenta resultados do índice</t>
    </r>
  </si>
  <si>
    <r>
      <t xml:space="preserve">índice de bem-estar subjetivo de Bogotá
</t>
    </r>
    <r>
      <rPr>
        <b/>
        <sz val="10"/>
        <rFont val="Times New Roman"/>
        <family val="1"/>
      </rPr>
      <t xml:space="preserve">obs.: </t>
    </r>
    <r>
      <rPr>
        <sz val="10"/>
        <rFont val="Times New Roman"/>
        <family val="1"/>
      </rPr>
      <t>conforme GCIF(2011), fonte que não apresenta resultados do índice</t>
    </r>
  </si>
  <si>
    <r>
      <t xml:space="preserve">densidade demográfica, que é a </t>
    </r>
    <r>
      <rPr>
        <sz val="10"/>
        <color indexed="8"/>
        <rFont val="Times New Roman"/>
        <family val="1"/>
      </rPr>
      <t>população do município em relação à sua área (expressa em habitantes/km</t>
    </r>
    <r>
      <rPr>
        <vertAlign val="superscript"/>
        <sz val="10"/>
        <color indexed="8"/>
        <rFont val="Times New Roman"/>
        <family val="1"/>
      </rPr>
      <t>2</t>
    </r>
    <r>
      <rPr>
        <sz val="10"/>
        <color indexed="8"/>
        <rFont val="Times New Roman"/>
        <family val="1"/>
      </rPr>
      <t xml:space="preserve">)
</t>
    </r>
    <r>
      <rPr>
        <b/>
        <sz val="10"/>
        <color indexed="8"/>
        <rFont val="Times New Roman"/>
        <family val="1"/>
      </rPr>
      <t>obs.:</t>
    </r>
    <r>
      <rPr>
        <sz val="10"/>
        <color indexed="8"/>
        <rFont val="Times New Roman"/>
        <family val="1"/>
      </rPr>
      <t xml:space="preserve"> este é o indicador urbano global da categoria "people" denominado "Population density (per square kilometer)" em GCIF(2011)</t>
    </r>
  </si>
  <si>
    <r>
      <t xml:space="preserve">extensão da rede estruturante de transporte coletivo, em km, para cada 100 mil habitantes
</t>
    </r>
    <r>
      <rPr>
        <b/>
        <sz val="10"/>
        <color theme="1"/>
        <rFont val="Times New Roman"/>
        <family val="1"/>
      </rPr>
      <t>obs.1:</t>
    </r>
    <r>
      <rPr>
        <sz val="10"/>
        <color theme="1"/>
        <rFont val="Times New Roman"/>
        <family val="1"/>
      </rPr>
      <t xml:space="preserve"> este indicador tem como distorsão o fato de incluir um trecho na cidade vizinha de Contagem (entre as estações Eldorado e Cidade Industrial)
</t>
    </r>
    <r>
      <rPr>
        <b/>
        <sz val="10"/>
        <color theme="1"/>
        <rFont val="Times New Roman"/>
        <family val="1"/>
      </rPr>
      <t xml:space="preserve">obs.2: </t>
    </r>
    <r>
      <rPr>
        <sz val="10"/>
        <color theme="1"/>
        <rFont val="Times New Roman"/>
        <family val="1"/>
      </rPr>
      <t>como o BRT e o metrô são os dois sistemas de transporte coletivo de maior capacidade de Belo Horizonte, este indicador guarda semelhança com os indicadores urbanos globais denominados "Km of high capacity public transit system per 100,000 population" e "Km of light passenger transit system per 100,000 population" de GCIF(2011)</t>
    </r>
  </si>
  <si>
    <r>
      <t xml:space="preserve">relação entre a categoria "frota de automóveis, caminhotes e camionetas" e população, calculando-se a quantidade desses veículos registrados no território para cada habitante, indicador por vezes expresso na forma de 1 habitante para cada x veículos
</t>
    </r>
    <r>
      <rPr>
        <b/>
        <sz val="10"/>
        <color theme="1"/>
        <rFont val="Times New Roman"/>
        <family val="1"/>
      </rPr>
      <t xml:space="preserve">obs.: </t>
    </r>
    <r>
      <rPr>
        <sz val="10"/>
        <color theme="1"/>
        <rFont val="Times New Roman"/>
        <family val="1"/>
      </rPr>
      <t>se considerarmos que "personal automolibe" são os automóveis, caminhonetes e camionetas de uma cidade, este é o "indicador urbano global" denominado "Number of personal automobiles per capita" em GCIF(2011)</t>
    </r>
  </si>
  <si>
    <r>
      <t xml:space="preserve">relação entre frota da categoria "motociclo" e população, calculando-se a quantidade desses veículos registrados no município de Belo Horizonte para cada habitante, indicador por vezes expresso na forma de 1 habitante para cada x veículos
</t>
    </r>
    <r>
      <rPr>
        <b/>
        <sz val="10"/>
        <color theme="1"/>
        <rFont val="Times New Roman"/>
        <family val="1"/>
      </rPr>
      <t xml:space="preserve">obs.: </t>
    </r>
    <r>
      <rPr>
        <sz val="10"/>
        <color theme="1"/>
        <rFont val="Times New Roman"/>
        <family val="1"/>
      </rPr>
      <t>este é o indicador denominado "Number of two-wheel motorized vehicles per capita" em GCIF(2011)</t>
    </r>
  </si>
  <si>
    <t>denominado pelo GCI de "Core Indicator" conforme GCIF(2011)</t>
  </si>
  <si>
    <t>denominado pelo GCI de "Supporting Indicator" conforme GCIF(2011)</t>
  </si>
  <si>
    <r>
      <t xml:space="preserve">quantidade per capita de metros quadrados de espaço de lazer público
</t>
    </r>
    <r>
      <rPr>
        <b/>
        <sz val="10"/>
        <rFont val="Times New Roman"/>
        <family val="1"/>
      </rPr>
      <t>obs.1:</t>
    </r>
    <r>
      <rPr>
        <sz val="10"/>
        <rFont val="Times New Roman"/>
        <family val="1"/>
      </rPr>
      <t xml:space="preserve"> indicador urbano global do tópico "serviços urbanos/lazer" integrante da lista de 27 indicadores principais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</si>
  <si>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porcentagem dos gastos com lazer público em relação ao orçamento municipal total
</t>
    </r>
    <r>
      <rPr>
        <b/>
        <sz val="10"/>
        <rFont val="Times New Roman"/>
        <family val="1"/>
      </rPr>
      <t>obs.1:</t>
    </r>
    <r>
      <rPr>
        <sz val="10"/>
        <rFont val="Times New Roman"/>
        <family val="1"/>
      </rPr>
      <t xml:space="preserve"> indicador urbano global do tópico "serviços urbanos/lazer" integrante da lista de 26 indicadores de apoio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</si>
  <si>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quilômetros de sistema de transporte por 100.000 habitantes
</t>
    </r>
    <r>
      <rPr>
        <b/>
        <sz val="10"/>
        <rFont val="Times New Roman"/>
        <family val="1"/>
      </rPr>
      <t>obs.1:</t>
    </r>
    <r>
      <rPr>
        <sz val="10"/>
        <rFont val="Times New Roman"/>
        <family val="1"/>
      </rPr>
      <t xml:space="preserve"> indicador urbano global do tópico "serviços urbanos/transporte" integrante da lista de 27 indicadores principais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</si>
  <si>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número per capita de viagens de transporte público por ano
</t>
    </r>
    <r>
      <rPr>
        <b/>
        <sz val="10"/>
        <rFont val="Times New Roman"/>
        <family val="1"/>
      </rPr>
      <t>obs.1:</t>
    </r>
    <r>
      <rPr>
        <sz val="10"/>
        <rFont val="Times New Roman"/>
        <family val="1"/>
      </rPr>
      <t xml:space="preserve"> indicador urbano global do tópico "serviços urbanos/transporte" integrante da lista de 27 indicadores principais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</si>
  <si>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fatalidades em acidentes nos meios de transporte por 100.000 habitantes
</t>
    </r>
    <r>
      <rPr>
        <b/>
        <sz val="10"/>
        <rFont val="Times New Roman"/>
        <family val="1"/>
      </rPr>
      <t>obs.1:</t>
    </r>
    <r>
      <rPr>
        <sz val="10"/>
        <rFont val="Times New Roman"/>
        <family val="1"/>
      </rPr>
      <t xml:space="preserve"> indicador urbano global do tópico "serviços urbanos/transporte" integrante da lista de 26 indicadores de apoio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 e os resultados dos indicadores "M" e "M30"</t>
    </r>
  </si>
  <si>
    <r>
      <t xml:space="preserve">data de aprovação do Plano Diretor mais recente
</t>
    </r>
    <r>
      <rPr>
        <b/>
        <sz val="10"/>
        <rFont val="Times New Roman"/>
        <family val="1"/>
      </rPr>
      <t>obs.1:</t>
    </r>
    <r>
      <rPr>
        <sz val="10"/>
        <rFont val="Times New Roman"/>
        <family val="1"/>
      </rPr>
      <t xml:space="preserve"> indicador urbano global do tópico "serviços urbanos/planejamento urbano" integrante da lista de 27 indicadores principais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</si>
  <si>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domicílios em áreas perigosas
</t>
    </r>
    <r>
      <rPr>
        <b/>
        <sz val="10"/>
        <rFont val="Times New Roman"/>
        <family val="1"/>
      </rPr>
      <t>obs.1:</t>
    </r>
    <r>
      <rPr>
        <sz val="10"/>
        <rFont val="Times New Roman"/>
        <family val="1"/>
      </rPr>
      <t xml:space="preserve"> indicador urbano global do tópico "serviços urbanos/planejamento urbano" integrante da lista de 26 indicadores de apoio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</si>
  <si>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área verde por 100.000 habitantes
</t>
    </r>
    <r>
      <rPr>
        <b/>
        <sz val="10"/>
        <rFont val="Times New Roman"/>
        <family val="1"/>
      </rPr>
      <t>obs.1:</t>
    </r>
    <r>
      <rPr>
        <sz val="10"/>
        <rFont val="Times New Roman"/>
        <family val="1"/>
      </rPr>
      <t xml:space="preserve"> indicador urbano global do tópico "serviços urbanos/planejamento urbano" integrante da lista de 26 indicadores de apoio (Suppontinf Indicator) propostos pelo </t>
    </r>
    <r>
      <rPr>
        <i/>
        <sz val="10"/>
        <rFont val="Times New Roman"/>
        <family val="1"/>
      </rPr>
      <t>Global City Institute - GCI</t>
    </r>
    <r>
      <rPr>
        <sz val="10"/>
        <rFont val="Times New Roman"/>
        <family val="1"/>
      </rPr>
      <t xml:space="preserve"> conforme GCIF(2013/Tabela 1), denominado "Green area (hectares) per 100,000 population" em GCIF(2011)
</t>
    </r>
    <r>
      <rPr>
        <b/>
        <sz val="10"/>
        <rFont val="Times New Roman"/>
        <family val="1"/>
      </rPr>
      <t xml:space="preserve">obs.2: </t>
    </r>
    <r>
      <rPr>
        <sz val="10"/>
        <rFont val="Times New Roman"/>
        <family val="1"/>
      </rPr>
      <t>acesse os registros "indicadores urbanos globais" e "AVD por habitante"</t>
    </r>
  </si>
  <si>
    <r>
      <t xml:space="preserve">velocidade média nas principais vias de transporte durante os horários de pico
</t>
    </r>
    <r>
      <rPr>
        <b/>
        <sz val="10"/>
        <rFont val="Times New Roman"/>
        <family val="1"/>
      </rPr>
      <t>obs.1:</t>
    </r>
    <r>
      <rPr>
        <sz val="10"/>
        <rFont val="Times New Roman"/>
        <family val="1"/>
      </rPr>
      <t xml:space="preserve"> indicador urbano global do tópico "serviços urbanos/transporte" integrante da lista de 26 indicadores de apoio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</si>
  <si>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participação dos eleitores (como porcentagem de eleitores registrados)
</t>
    </r>
    <r>
      <rPr>
        <b/>
        <sz val="10"/>
        <rFont val="Times New Roman"/>
        <family val="1"/>
      </rPr>
      <t>obs.1:</t>
    </r>
    <r>
      <rPr>
        <sz val="10"/>
        <rFont val="Times New Roman"/>
        <family val="1"/>
      </rPr>
      <t xml:space="preserve"> indicador urbano global do tópico "qualidade de vida/participação cívica" integrante da lista de 27 indicadores principais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</si>
  <si>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n.º de estabelecimentos culturais por 100.000 mil habitantes
</t>
    </r>
    <r>
      <rPr>
        <b/>
        <sz val="10"/>
        <rFont val="Times New Roman"/>
        <family val="1"/>
      </rPr>
      <t>obs.1:</t>
    </r>
    <r>
      <rPr>
        <sz val="10"/>
        <rFont val="Times New Roman"/>
        <family val="1"/>
      </rPr>
      <t xml:space="preserve"> indicador urbano global do tópico "qualidade de vida/cultura" integrante da lista de 27 indicadores principais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</si>
  <si>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produção municipal per capita
</t>
    </r>
    <r>
      <rPr>
        <b/>
        <sz val="10"/>
        <rFont val="Times New Roman"/>
        <family val="1"/>
      </rPr>
      <t>obs.1:</t>
    </r>
    <r>
      <rPr>
        <sz val="10"/>
        <rFont val="Times New Roman"/>
        <family val="1"/>
      </rPr>
      <t xml:space="preserve"> indicador urbano global do tópico "qualidade de vida/economia" integrante da lista de 27 indicadores principais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</si>
  <si>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emissões de gases estufa em toneladas per capita
</t>
    </r>
    <r>
      <rPr>
        <b/>
        <sz val="10"/>
        <rFont val="Times New Roman"/>
        <family val="1"/>
      </rPr>
      <t>obs.1:</t>
    </r>
    <r>
      <rPr>
        <sz val="10"/>
        <rFont val="Times New Roman"/>
        <family val="1"/>
      </rPr>
      <t xml:space="preserve"> indicador urbano global do tópico "qualidade de vida/meio ambiente" integrante da lista de 27 indicadores principais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</si>
  <si>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porcentagem da população urbana que reside em favelas
</t>
    </r>
    <r>
      <rPr>
        <b/>
        <sz val="10"/>
        <rFont val="Times New Roman"/>
        <family val="1"/>
      </rPr>
      <t>obs.1:</t>
    </r>
    <r>
      <rPr>
        <sz val="10"/>
        <rFont val="Times New Roman"/>
        <family val="1"/>
      </rPr>
      <t xml:space="preserve"> indicador urbano global do tópico "qualidade de vida/habitação" integrante da lista de 27 indicadores principais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</si>
  <si>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porcentagem da população urbana considerada pobre
</t>
    </r>
    <r>
      <rPr>
        <b/>
        <sz val="10"/>
        <rFont val="Times New Roman"/>
        <family val="1"/>
      </rPr>
      <t>obs.1:</t>
    </r>
    <r>
      <rPr>
        <sz val="10"/>
        <rFont val="Times New Roman"/>
        <family val="1"/>
      </rPr>
      <t xml:space="preserve"> indicador urbano global do tópico "qualidade de vida/social equity" integrante da lista de 27 indicadores principais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</si>
  <si>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n.º de conexões à internet por 100.000 habitantes
</t>
    </r>
    <r>
      <rPr>
        <b/>
        <sz val="10"/>
        <rFont val="Times New Roman"/>
        <family val="1"/>
      </rPr>
      <t>obs.1:</t>
    </r>
    <r>
      <rPr>
        <sz val="10"/>
        <rFont val="Times New Roman"/>
        <family val="1"/>
      </rPr>
      <t xml:space="preserve"> indicador urbano global do tópico "qualidade de vida/social equity" integrante da lista de 27 indicadores principais propostos pelo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</si>
  <si>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gasto total per capita com estradas e transporte municipais
</t>
    </r>
    <r>
      <rPr>
        <b/>
        <sz val="10"/>
        <rFont val="Times New Roman"/>
        <family val="1"/>
      </rPr>
      <t>obs.1:</t>
    </r>
    <r>
      <rPr>
        <sz val="10"/>
        <rFont val="Times New Roman"/>
        <family val="1"/>
      </rPr>
      <t xml:space="preserve"> indicador urbano global do tópico "serviços urbanos/transporte" integrante da lista de 33 indicadores almejados do </t>
    </r>
    <r>
      <rPr>
        <i/>
        <sz val="10"/>
        <rFont val="Times New Roman"/>
        <family val="1"/>
      </rPr>
      <t xml:space="preserve">Global City Institute - GCI </t>
    </r>
    <r>
      <rPr>
        <sz val="10"/>
        <rFont val="Times New Roman"/>
        <family val="1"/>
      </rPr>
      <t xml:space="preserve">conforme GCIF(2013/Tabela 1)
</t>
    </r>
    <r>
      <rPr>
        <b/>
        <sz val="10"/>
        <rFont val="Times New Roman"/>
        <family val="1"/>
      </rPr>
      <t xml:space="preserve">obs.2: </t>
    </r>
    <r>
      <rPr>
        <sz val="10"/>
        <rFont val="Times New Roman"/>
        <family val="1"/>
      </rPr>
      <t>acesse o verbete "indicadores urbanos globais"</t>
    </r>
  </si>
  <si>
    <r>
      <t xml:space="preserve">divisão do uso dos modos de transporte
</t>
    </r>
    <r>
      <rPr>
        <b/>
        <sz val="10"/>
        <rFont val="Times New Roman"/>
        <family val="1"/>
      </rPr>
      <t>obs.1:</t>
    </r>
    <r>
      <rPr>
        <sz val="10"/>
        <rFont val="Times New Roman"/>
        <family val="1"/>
      </rPr>
      <t xml:space="preserve"> indicador urbano global do tópico "serviços urbanos/transporte" integrante da lista de 33 indicadores almejados do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 e os indicadores "DM"</t>
    </r>
  </si>
  <si>
    <r>
      <t xml:space="preserve">indicador do nível de uso dos espaços de lazer
</t>
    </r>
    <r>
      <rPr>
        <b/>
        <sz val="10"/>
        <rFont val="Times New Roman"/>
        <family val="1"/>
      </rPr>
      <t>obs.1:</t>
    </r>
    <r>
      <rPr>
        <sz val="10"/>
        <rFont val="Times New Roman"/>
        <family val="1"/>
      </rPr>
      <t xml:space="preserve"> indicador urbano global do tópico "serviços urbanos/lazer" integrante da lista de 33 indicadores almejados do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</si>
  <si>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n.º de dias com excesso de particulas inaláveis com diâmetro inferior a 10 micra, ou PM10
</t>
    </r>
    <r>
      <rPr>
        <b/>
        <sz val="10"/>
        <rFont val="Times New Roman"/>
        <family val="1"/>
      </rPr>
      <t>obs.1:</t>
    </r>
    <r>
      <rPr>
        <sz val="10"/>
        <rFont val="Times New Roman"/>
        <family val="1"/>
      </rPr>
      <t xml:space="preserve"> indicador urbano global do tópico "qualidade de vida/meio ambiente" integrante da lista de 33 indicadores almejados do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 e o indicador "PM10"</t>
    </r>
  </si>
  <si>
    <r>
      <t xml:space="preserve">indicador da relação da qualidade do ar com problemas respiratórios
</t>
    </r>
    <r>
      <rPr>
        <b/>
        <sz val="10"/>
        <rFont val="Times New Roman"/>
        <family val="1"/>
      </rPr>
      <t>obs.1:</t>
    </r>
    <r>
      <rPr>
        <sz val="10"/>
        <rFont val="Times New Roman"/>
        <family val="1"/>
      </rPr>
      <t xml:space="preserve"> indicador urbano global do tópico "qualidade de vida/meio ambiente" integrante da lista de 33 indicadores almejados do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t>
    </r>
  </si>
  <si>
    <r>
      <t xml:space="preserve">índide de bem-estar subjetivo
</t>
    </r>
    <r>
      <rPr>
        <b/>
        <sz val="10"/>
        <rFont val="Times New Roman"/>
        <family val="1"/>
      </rPr>
      <t>obs.1:</t>
    </r>
    <r>
      <rPr>
        <sz val="10"/>
        <rFont val="Times New Roman"/>
        <family val="1"/>
      </rPr>
      <t xml:space="preserve"> indicador urbano global do tópico "qualidade de vida/bem-estar subjetivo" integrante da lista de sete índices almejados do </t>
    </r>
    <r>
      <rPr>
        <i/>
        <sz val="10"/>
        <rFont val="Times New Roman"/>
        <family val="1"/>
      </rPr>
      <t>Global City Institute - GCI</t>
    </r>
    <r>
      <rPr>
        <sz val="10"/>
        <rFont val="Times New Roman"/>
        <family val="1"/>
      </rPr>
      <t xml:space="preserve"> conforme GCIF(2013/Tabela 1)
</t>
    </r>
    <r>
      <rPr>
        <b/>
        <sz val="10"/>
        <rFont val="Times New Roman"/>
        <family val="1"/>
      </rPr>
      <t xml:space="preserve">obs.2: </t>
    </r>
    <r>
      <rPr>
        <sz val="10"/>
        <rFont val="Times New Roman"/>
        <family val="1"/>
      </rPr>
      <t>acesse o verbete "indicadores urbanos globais" e "bem-estar subjetivo"</t>
    </r>
  </si>
  <si>
    <r>
      <t xml:space="preserve">Total city population
</t>
    </r>
    <r>
      <rPr>
        <b/>
        <sz val="10"/>
        <rFont val="Times New Roman"/>
        <family val="1"/>
      </rPr>
      <t>obs.1:</t>
    </r>
    <r>
      <rPr>
        <sz val="10"/>
        <rFont val="Times New Roman"/>
        <family val="1"/>
      </rPr>
      <t xml:space="preserve"> indicador urbano global (Core Indicator) conforme GCIF(2011)
</t>
    </r>
    <r>
      <rPr>
        <b/>
        <sz val="10"/>
        <rFont val="Times New Roman"/>
        <family val="1"/>
      </rPr>
      <t xml:space="preserve">obs.2: </t>
    </r>
    <r>
      <rPr>
        <sz val="10"/>
        <rFont val="Times New Roman"/>
        <family val="1"/>
      </rPr>
      <t>acesse o registro "P"</t>
    </r>
  </si>
  <si>
    <r>
      <t xml:space="preserve">Population density (per square kilometer)
</t>
    </r>
    <r>
      <rPr>
        <b/>
        <sz val="10"/>
        <rFont val="Times New Roman"/>
        <family val="1"/>
      </rPr>
      <t>obs.1:</t>
    </r>
    <r>
      <rPr>
        <sz val="10"/>
        <rFont val="Times New Roman"/>
        <family val="1"/>
      </rPr>
      <t xml:space="preserve"> indicador urbano global  (Core Indicator) conforme GCIF(2011)
</t>
    </r>
    <r>
      <rPr>
        <b/>
        <sz val="10"/>
        <rFont val="Times New Roman"/>
        <family val="1"/>
      </rPr>
      <t xml:space="preserve">obs.2: </t>
    </r>
    <r>
      <rPr>
        <sz val="10"/>
        <rFont val="Times New Roman"/>
        <family val="1"/>
      </rPr>
      <t>acesse o registro "área"</t>
    </r>
  </si>
  <si>
    <r>
      <t xml:space="preserve">"Km of high capacity public transit system per 100,000 population"
</t>
    </r>
    <r>
      <rPr>
        <b/>
        <sz val="10"/>
        <rFont val="Times New Roman"/>
        <family val="1"/>
      </rPr>
      <t>obs.1:</t>
    </r>
    <r>
      <rPr>
        <sz val="10"/>
        <rFont val="Times New Roman"/>
        <family val="1"/>
      </rPr>
      <t xml:space="preserve"> indicador urbano global  (Core Indicator) conforme GCIF(2011)
</t>
    </r>
    <r>
      <rPr>
        <b/>
        <sz val="10"/>
        <rFont val="Times New Roman"/>
        <family val="1"/>
      </rPr>
      <t xml:space="preserve">obs.2: </t>
    </r>
    <r>
      <rPr>
        <sz val="10"/>
        <rFont val="Times New Roman"/>
        <family val="1"/>
      </rPr>
      <t>acesse o registro "EV re por 100 mil habitantes"</t>
    </r>
  </si>
  <si>
    <r>
      <t xml:space="preserve">"Km of light passenger transit system per 100,000 population"
</t>
    </r>
    <r>
      <rPr>
        <b/>
        <sz val="10"/>
        <rFont val="Times New Roman"/>
        <family val="1"/>
      </rPr>
      <t>obs.1:</t>
    </r>
    <r>
      <rPr>
        <sz val="10"/>
        <rFont val="Times New Roman"/>
        <family val="1"/>
      </rPr>
      <t xml:space="preserve"> indicador urbano global  (Core Indicator) conforme GCIF(2011)
</t>
    </r>
    <r>
      <rPr>
        <b/>
        <sz val="10"/>
        <rFont val="Times New Roman"/>
        <family val="1"/>
      </rPr>
      <t xml:space="preserve">obs.2: </t>
    </r>
    <r>
      <rPr>
        <sz val="10"/>
        <rFont val="Times New Roman"/>
        <family val="1"/>
      </rPr>
      <t>acesse o registro "EV re por 100 mil habitantes"</t>
    </r>
  </si>
  <si>
    <r>
      <t xml:space="preserve">"Number of personal automobiles per capita"
</t>
    </r>
    <r>
      <rPr>
        <b/>
        <sz val="10"/>
        <rFont val="Times New Roman"/>
        <family val="1"/>
      </rPr>
      <t>obs.1:</t>
    </r>
    <r>
      <rPr>
        <sz val="10"/>
        <rFont val="Times New Roman"/>
        <family val="1"/>
      </rPr>
      <t xml:space="preserve"> indicador urbano global  (Core Indicator) conforme GCIF(2011)
</t>
    </r>
    <r>
      <rPr>
        <b/>
        <sz val="10"/>
        <rFont val="Times New Roman"/>
        <family val="1"/>
      </rPr>
      <t xml:space="preserve">obs.2: </t>
    </r>
    <r>
      <rPr>
        <sz val="10"/>
        <rFont val="Times New Roman"/>
        <family val="1"/>
      </rPr>
      <t>acesse o registro "F acc por habitante"</t>
    </r>
  </si>
  <si>
    <r>
      <t xml:space="preserve">"Annual number of public transit trips per capita"
</t>
    </r>
    <r>
      <rPr>
        <b/>
        <sz val="10"/>
        <rFont val="Times New Roman"/>
        <family val="1"/>
      </rPr>
      <t>obs.1:</t>
    </r>
    <r>
      <rPr>
        <sz val="10"/>
        <rFont val="Times New Roman"/>
        <family val="1"/>
      </rPr>
      <t xml:space="preserve"> indicador urbano global  (Core Indicator) conforme GCIF(2011)
</t>
    </r>
    <r>
      <rPr>
        <b/>
        <sz val="10"/>
        <rFont val="Times New Roman"/>
        <family val="1"/>
      </rPr>
      <t xml:space="preserve">obs.2: </t>
    </r>
    <r>
      <rPr>
        <sz val="10"/>
        <rFont val="Times New Roman"/>
        <family val="1"/>
      </rPr>
      <t>acesse os registros "NVR tc" e "DM"</t>
    </r>
  </si>
  <si>
    <r>
      <t xml:space="preserve">"Number of two-wheel motorized vehicles per capita"
</t>
    </r>
    <r>
      <rPr>
        <b/>
        <sz val="10"/>
        <rFont val="Times New Roman"/>
        <family val="1"/>
      </rPr>
      <t>obs.1:</t>
    </r>
    <r>
      <rPr>
        <sz val="10"/>
        <rFont val="Times New Roman"/>
        <family val="1"/>
      </rPr>
      <t xml:space="preserve"> indicador urbano global  (Supporting Indicator) conforme GCIF(2011)
</t>
    </r>
    <r>
      <rPr>
        <b/>
        <sz val="10"/>
        <rFont val="Times New Roman"/>
        <family val="1"/>
      </rPr>
      <t xml:space="preserve">obs.2: </t>
    </r>
    <r>
      <rPr>
        <sz val="10"/>
        <rFont val="Times New Roman"/>
        <family val="1"/>
      </rPr>
      <t>acesse o registro "F mmc por habitante"</t>
    </r>
  </si>
  <si>
    <r>
      <t xml:space="preserve">"Transportation fatalities per 100,000 population"
</t>
    </r>
    <r>
      <rPr>
        <b/>
        <sz val="10"/>
        <rFont val="Times New Roman"/>
        <family val="1"/>
      </rPr>
      <t>obs.1:</t>
    </r>
    <r>
      <rPr>
        <sz val="10"/>
        <rFont val="Times New Roman"/>
        <family val="1"/>
      </rPr>
      <t xml:space="preserve"> indicador urbano global  (Supporting Indicator) conforme GCIF(2011)
</t>
    </r>
    <r>
      <rPr>
        <b/>
        <sz val="10"/>
        <rFont val="Times New Roman"/>
        <family val="1"/>
      </rPr>
      <t xml:space="preserve">obs.2: </t>
    </r>
    <r>
      <rPr>
        <sz val="10"/>
        <rFont val="Times New Roman"/>
        <family val="1"/>
      </rPr>
      <t>acesse os registros "M/M-DataSus/M30 por 100 mil habitantes"</t>
    </r>
  </si>
  <si>
    <r>
      <t xml:space="preserve">n.º de mortos em acidentes de trânsito por 100 mil habitantes de Belo Horizonte vitimados no próprio local
</t>
    </r>
    <r>
      <rPr>
        <b/>
        <sz val="10"/>
        <color theme="1"/>
        <rFont val="Times New Roman"/>
        <family val="1"/>
      </rPr>
      <t xml:space="preserve">obs.1: </t>
    </r>
    <r>
      <rPr>
        <sz val="10"/>
        <color theme="1"/>
        <rFont val="Times New Roman"/>
        <family val="1"/>
      </rPr>
      <t xml:space="preserve">nos relatórios anuais de acidentes de trânsito da BHTrans este indicador é denominado "taxa de mortalidade por 100.000 habitantes"
</t>
    </r>
    <r>
      <rPr>
        <b/>
        <sz val="10"/>
        <color theme="1"/>
        <rFont val="Times New Roman"/>
        <family val="1"/>
      </rPr>
      <t xml:space="preserve">obs.2: </t>
    </r>
    <r>
      <rPr>
        <sz val="10"/>
        <color theme="1"/>
        <rFont val="Times New Roman"/>
        <family val="1"/>
      </rPr>
      <t xml:space="preserve">na fonte consultada o resultado deste indicador para 2010 está grafado incorretamente como sendo 11,04
</t>
    </r>
    <r>
      <rPr>
        <b/>
        <sz val="10"/>
        <color theme="1"/>
        <rFont val="Times New Roman"/>
        <family val="1"/>
      </rPr>
      <t>obs.3:</t>
    </r>
    <r>
      <rPr>
        <sz val="10"/>
        <color theme="1"/>
        <rFont val="Times New Roman"/>
        <family val="1"/>
      </rPr>
      <t xml:space="preserve"> este indicador é estratégico da BHTrans com o nome de "taxa de mortalidade em acidentes de trânsito por 10 mil veículos" (BHTRANS, 2015d)
</t>
    </r>
    <r>
      <rPr>
        <b/>
        <sz val="10"/>
        <color theme="1"/>
        <rFont val="Times New Roman"/>
        <family val="1"/>
      </rPr>
      <t xml:space="preserve">obs.4: </t>
    </r>
    <r>
      <rPr>
        <sz val="10"/>
        <color theme="1"/>
        <rFont val="Times New Roman"/>
        <family val="1"/>
      </rPr>
      <t xml:space="preserve">este é um dos três indicadores sobre "mortos no trânsito" que podem ser relacionados ao "indicador urbano global" do </t>
    </r>
    <r>
      <rPr>
        <i/>
        <sz val="10"/>
        <color theme="1"/>
        <rFont val="Times New Roman"/>
        <family val="1"/>
      </rPr>
      <t>Global City Institute</t>
    </r>
    <r>
      <rPr>
        <sz val="10"/>
        <color theme="1"/>
        <rFont val="Times New Roman"/>
        <family val="1"/>
      </rPr>
      <t xml:space="preserve"> com a denominação genérica de "fatalidades em acidentes nos meios de transporte por 100.000 habitantes" em GCIF(2013) e "Transportation fatalities per 100,000 population" em GCIF(2011)</t>
    </r>
  </si>
  <si>
    <r>
      <t xml:space="preserve">n.º de mortos por 100 mil habitantes até 30 dias depois do acidente de trânsito acontecido em Belo Horizonte
</t>
    </r>
    <r>
      <rPr>
        <b/>
        <sz val="10"/>
        <color theme="1"/>
        <rFont val="Times New Roman"/>
        <family val="1"/>
      </rPr>
      <t>obs.:</t>
    </r>
    <r>
      <rPr>
        <sz val="10"/>
        <color theme="1"/>
        <rFont val="Times New Roman"/>
        <family val="1"/>
      </rPr>
      <t xml:space="preserve"> este é um dos três indicadores sobre "mortos no trânsito" que podem ser relacionados ao "indicador urbano global" do </t>
    </r>
    <r>
      <rPr>
        <i/>
        <sz val="10"/>
        <color theme="1"/>
        <rFont val="Times New Roman"/>
        <family val="1"/>
      </rPr>
      <t>Global City Institute</t>
    </r>
    <r>
      <rPr>
        <sz val="10"/>
        <color theme="1"/>
        <rFont val="Times New Roman"/>
        <family val="1"/>
      </rPr>
      <t xml:space="preserve"> com a denominação genérica de "fatalidades em acidentes nos meios de transporte por 100.000 habitantes" em GCIF(2013) e "Transportation fatalities per 100,000 population" em GCIF(2011)</t>
    </r>
  </si>
  <si>
    <r>
      <t xml:space="preserve">conjunto de indicadores do </t>
    </r>
    <r>
      <rPr>
        <i/>
        <sz val="10"/>
        <rFont val="Times New Roman"/>
        <family val="1"/>
      </rPr>
      <t>Global City Institute - GCI</t>
    </r>
    <r>
      <rPr>
        <sz val="10"/>
        <rFont val="Times New Roman"/>
        <family val="1"/>
      </rPr>
      <t xml:space="preserve"> "com a finalidade de empoderar as cidades participantes em seu compromisso de melhoria contínua e de modo a facilitar o apoio, no longo prazo, das agências ligadas à rede de cidades tal como [...] e associações de municípios em âmbito locale  nacional" que foram selecionados por atenderem aos critérios de "objetividade, relevância, mensurável/replicável, flexibilidade, efetividade, interrelação, inclusão" [...] O desenvolvimento futuro desses indicadores está planejado para ocorrer por meio de uma abordagem cooperativa com várias cidades-piloto e agências parceiras." conforme GCIF(2013)
</t>
    </r>
    <r>
      <rPr>
        <b/>
        <sz val="10"/>
        <rFont val="Times New Roman"/>
        <family val="1"/>
      </rPr>
      <t>obs.1:</t>
    </r>
    <r>
      <rPr>
        <sz val="10"/>
        <rFont val="Times New Roman"/>
        <family val="1"/>
      </rPr>
      <t xml:space="preserve"> "Belo Horizonte, como uma das integrantes do projeto </t>
    </r>
    <r>
      <rPr>
        <i/>
        <sz val="10"/>
        <rFont val="Times New Roman"/>
        <family val="1"/>
      </rPr>
      <t>City Indicators</t>
    </r>
    <r>
      <rPr>
        <sz val="10"/>
        <rFont val="Times New Roman"/>
        <family val="1"/>
      </rPr>
      <t xml:space="preserve">, coordenado pelo Banco
Mundial, e testado em outras oito cidades mundialmente importantes - Porto Alegre, São Paulo, Bogotá, Cali, Montreal, Vancouver e Toronto e King County-, oferece aos munícipes mais uma oportunidade de participarem da avaliação da gestão pública, através da publicização de números que permitem avaliar e comparar o desempenho de políticas públicas de Belo Horizonte com as demais cidades participantes do projeto." conforme GCIF(2016)
</t>
    </r>
    <r>
      <rPr>
        <b/>
        <sz val="10"/>
        <rFont val="Times New Roman"/>
        <family val="1"/>
      </rPr>
      <t>obs.2:</t>
    </r>
    <r>
      <rPr>
        <sz val="10"/>
        <rFont val="Times New Roman"/>
        <family val="1"/>
      </rPr>
      <t xml:space="preserve"> em GCIF(2013) são apresentadas três listas de indicadores e índices com 53 indicadores "propostos" (sendo 27 "principais" e 26 "de apoio"), além de 33 indicadores e sete índices "almejados", destacando-se que 22 desses indicadores foram incorporados ao SisMob-BH, alguns já com resultados
</t>
    </r>
    <r>
      <rPr>
        <b/>
        <sz val="10"/>
        <rFont val="Times New Roman"/>
        <family val="1"/>
      </rPr>
      <t>obs.3:</t>
    </r>
    <r>
      <rPr>
        <sz val="10"/>
        <rFont val="Times New Roman"/>
        <family val="1"/>
      </rPr>
      <t xml:space="preserve"> dentre esses indicadores e índices nenhum refere-se à acessibilidade </t>
    </r>
    <r>
      <rPr>
        <i/>
        <sz val="10"/>
        <rFont val="Times New Roman"/>
        <family val="1"/>
      </rPr>
      <t>strict sensu</t>
    </r>
    <r>
      <rPr>
        <sz val="10"/>
        <rFont val="Times New Roman"/>
        <family val="1"/>
      </rPr>
      <t xml:space="preserve">
</t>
    </r>
    <r>
      <rPr>
        <b/>
        <sz val="10"/>
        <rFont val="Times New Roman"/>
        <family val="1"/>
      </rPr>
      <t xml:space="preserve">obs.4: </t>
    </r>
    <r>
      <rPr>
        <sz val="10"/>
        <rFont val="Times New Roman"/>
        <family val="1"/>
      </rPr>
      <t xml:space="preserve">acesse o verbete "Global City Indicators Facility, The" e os indicadores desse conjunto que já são apurados no SisMob-BH
</t>
    </r>
    <r>
      <rPr>
        <b/>
        <sz val="10"/>
        <rFont val="Times New Roman"/>
        <family val="1"/>
      </rPr>
      <t>obs.5:</t>
    </r>
    <r>
      <rPr>
        <sz val="10"/>
        <rFont val="Times New Roman"/>
        <family val="1"/>
      </rPr>
      <t xml:space="preserve"> em GCIF(2011) apresenta-se uma lista de indicadores que parece ser uma prévia da apresentada em GCIF(2013), observando-se que em ambas as listas há indicadores apurados no SisMob-BH</t>
    </r>
  </si>
  <si>
    <r>
      <t xml:space="preserve">n.º de mortos  por 100 mil habitantes em acidentes de trânsito em Belo Horizonte segundo o DataSus
</t>
    </r>
    <r>
      <rPr>
        <b/>
        <sz val="10"/>
        <rFont val="Times New Roman"/>
        <family val="1"/>
      </rPr>
      <t xml:space="preserve">obs.1: </t>
    </r>
    <r>
      <rPr>
        <sz val="10"/>
        <rFont val="Times New Roman"/>
        <family val="1"/>
      </rPr>
      <t xml:space="preserve">são diferentes as metodolodias de apuração dos indicadores "M por 100 mil habitantes", "M30 por 100 mil habitantes", "M-DataSus por 100 mil habitantes"
</t>
    </r>
    <r>
      <rPr>
        <b/>
        <sz val="10"/>
        <rFont val="Times New Roman"/>
        <family val="1"/>
      </rPr>
      <t>obs.2:</t>
    </r>
    <r>
      <rPr>
        <sz val="10"/>
        <rFont val="Times New Roman"/>
        <family val="1"/>
      </rPr>
      <t xml:space="preserve"> este indicador é denominado "taxa de mortalidade AT/100 mil habitantes" em MS/SVS/DASIS - Sistema de Informações sobre Mortalidade – SIM citado em CNM (2009, p.10)
</t>
    </r>
    <r>
      <rPr>
        <b/>
        <sz val="10"/>
        <rFont val="Times New Roman"/>
        <family val="1"/>
      </rPr>
      <t xml:space="preserve">obs.3: </t>
    </r>
    <r>
      <rPr>
        <sz val="10"/>
        <rFont val="Times New Roman"/>
        <family val="1"/>
      </rPr>
      <t xml:space="preserve">este indicador é denominado "óbtitos/100 mil habitantes" em AMBEV (2015, p.44)
</t>
    </r>
    <r>
      <rPr>
        <b/>
        <sz val="10"/>
        <rFont val="Times New Roman"/>
        <family val="1"/>
      </rPr>
      <t>obs.4:</t>
    </r>
    <r>
      <rPr>
        <sz val="10"/>
        <rFont val="Times New Roman"/>
        <family val="1"/>
      </rPr>
      <t xml:space="preserve"> este é um dos três indicadores sobre "mortos no trânsito" que podem ser relacionados ao "indicador urbano global" do</t>
    </r>
    <r>
      <rPr>
        <i/>
        <sz val="10"/>
        <rFont val="Times New Roman"/>
        <family val="1"/>
      </rPr>
      <t xml:space="preserve"> Global City Institute </t>
    </r>
    <r>
      <rPr>
        <sz val="10"/>
        <rFont val="Times New Roman"/>
        <family val="1"/>
      </rPr>
      <t>com a denominação genérica de "fatalidades em acidentes nos meios de transporte por 100.000 habitantes" em GCIF(2013) e "Transportation fatalities per 100,000 population" em GCIF(2011)</t>
    </r>
  </si>
  <si>
    <r>
      <rPr>
        <b/>
        <sz val="12"/>
        <color theme="1"/>
        <rFont val="Times New Roman"/>
        <family val="1"/>
      </rPr>
      <t xml:space="preserve">GCIF(2011): </t>
    </r>
    <r>
      <rPr>
        <sz val="12"/>
        <color theme="1"/>
        <rFont val="Times New Roman"/>
        <family val="1"/>
      </rPr>
      <t xml:space="preserve">GLOBAL CITY INDICATORS FACILITY - GCIF. </t>
    </r>
    <r>
      <rPr>
        <i/>
        <sz val="12"/>
        <color theme="1"/>
        <rFont val="Times New Roman"/>
        <family val="1"/>
      </rPr>
      <t>GCIF Profile Indicators</t>
    </r>
    <r>
      <rPr>
        <sz val="12"/>
        <color theme="1"/>
        <rFont val="Times New Roman"/>
        <family val="1"/>
      </rPr>
      <t>. [2011]. 5p. Disponível em: &lt;http://www.cityindicators.org/Deliverables/Core%20and%20Supporting%20Indicators%20Table%20SEPTEMBER%202011.pdf&gt;. Acesso em: 27 jul. 2016.</t>
    </r>
  </si>
  <si>
    <r>
      <rPr>
        <b/>
        <sz val="12"/>
        <color theme="1"/>
        <rFont val="Times New Roman"/>
        <family val="1"/>
      </rPr>
      <t xml:space="preserve">GCIF(2013): </t>
    </r>
    <r>
      <rPr>
        <sz val="12"/>
        <color theme="1"/>
        <rFont val="Times New Roman"/>
        <family val="1"/>
      </rPr>
      <t xml:space="preserve">GLOBAL CITY INDICATORS FACILITY - GCIF. </t>
    </r>
    <r>
      <rPr>
        <i/>
        <sz val="12"/>
        <color theme="1"/>
        <rFont val="Times New Roman"/>
        <family val="1"/>
      </rPr>
      <t>Indicadores urbanos globais: uma abordagem integrada para a mensuração e monitoramento do desempenho das cidades - Relatório síntese</t>
    </r>
    <r>
      <rPr>
        <sz val="12"/>
        <color theme="1"/>
        <rFont val="Times New Roman"/>
        <family val="1"/>
      </rPr>
      <t>. s.d. n.p. Disponível em: &lt;http://www.cityindicators.org/uploads/City%20Indicators%20Report%20-%20Portuguese.pdf&gt;. Acesso em: 11 jun. 2013 e 21 jul. 2016.</t>
    </r>
  </si>
  <si>
    <r>
      <rPr>
        <b/>
        <sz val="12"/>
        <color theme="1"/>
        <rFont val="Times New Roman"/>
        <family val="1"/>
      </rPr>
      <t xml:space="preserve">GCIF(2016): </t>
    </r>
    <r>
      <rPr>
        <sz val="12"/>
        <color theme="1"/>
        <rFont val="Times New Roman"/>
        <family val="1"/>
      </rPr>
      <t xml:space="preserve">GLOBAL CITY INDICATORS FACILITY - GCIF. </t>
    </r>
    <r>
      <rPr>
        <i/>
        <sz val="12"/>
        <color theme="1"/>
        <rFont val="Times New Roman"/>
        <family val="1"/>
      </rPr>
      <t>Welcome to the City of Belo Horizonte</t>
    </r>
    <r>
      <rPr>
        <sz val="12"/>
        <color theme="1"/>
        <rFont val="Times New Roman"/>
        <family val="1"/>
      </rPr>
      <t>. Disponível em: &lt;http://www.cityindicators.org/ParticipantsInfo.aspx?cID=19&gt;. Acesso em: 25 ago. 2016.</t>
    </r>
  </si>
  <si>
    <r>
      <rPr>
        <b/>
        <sz val="12"/>
        <color theme="1"/>
        <rFont val="Times New Roman"/>
        <family val="1"/>
      </rPr>
      <t xml:space="preserve">BH(2015c): </t>
    </r>
    <r>
      <rPr>
        <sz val="12"/>
        <color theme="1"/>
        <rFont val="Times New Roman"/>
        <family val="1"/>
      </rPr>
      <t xml:space="preserve">BELO HORIZONTE. Prefeitura. Projeto de Lei n.º 1.749/2015, de 22 de setembro de 2015. Aprova o Plano Diretor do Município de Belo Horizonte e dá outras providências. </t>
    </r>
    <r>
      <rPr>
        <i/>
        <sz val="12"/>
        <color theme="1"/>
        <rFont val="Times New Roman"/>
        <family val="1"/>
      </rPr>
      <t>Diário Oficial do Município - DOM</t>
    </r>
    <r>
      <rPr>
        <sz val="12"/>
        <color theme="1"/>
        <rFont val="Times New Roman"/>
        <family val="1"/>
      </rPr>
      <t>, Belo Horizonte, 3 dez. 2015 - edição especial n.º 6. Disponível em: &lt;http://portal6.pbh.gov.br/dom/Files/dom4940_especial-006-smapu_peb_otimizado.pdf&gt;.  Acesso em: 02 mar.2016. (PL anexo à Mensagem n.º 44, de 22 de setembro de 2015, do prefeito de Belo Horizonte ao presidente da Câmara Municipal da Capital). [obs.: este projeto foi alterado conforme descrito em BH(2016i)]</t>
    </r>
  </si>
  <si>
    <t>El Poder del Consumidor</t>
  </si>
  <si>
    <t>"El Poder del Consumidor es una asociación civil [com sede na Cidade do México] sin fines de lucro que trabaja en la defensa de tus derechos como consumidor. "Las actividades de la organización incluyen el estudio de productos, de servicios y de políticas públicas, la vigilancia del desempeño de las empresas, la identificación de opciones favorables para los consumidores y la denuncia de las prácticas que afectan sus derechos." conforme EL PODER (2017).</t>
  </si>
  <si>
    <r>
      <rPr>
        <b/>
        <sz val="12"/>
        <color theme="1"/>
        <rFont val="Times New Roman"/>
        <family val="1"/>
      </rPr>
      <t xml:space="preserve">EL PODER(2016a): </t>
    </r>
    <r>
      <rPr>
        <sz val="12"/>
        <color theme="1"/>
        <rFont val="Times New Roman"/>
        <family val="1"/>
      </rPr>
      <t xml:space="preserve">EL PODER DEL CONSUMIDOR.  Elaboración del Documento: Víctor Alvarado. </t>
    </r>
    <r>
      <rPr>
        <i/>
        <sz val="12"/>
        <color theme="1"/>
        <rFont val="Times New Roman"/>
        <family val="1"/>
      </rPr>
      <t>Diagnóstico de accesibilidad de los sistemas BRT en México</t>
    </r>
    <r>
      <rPr>
        <sz val="12"/>
        <color theme="1"/>
        <rFont val="Times New Roman"/>
        <family val="1"/>
      </rPr>
      <t>. Ciudad de México, Julio, 2016. 56p. Disponível em: &lt;http://elpoderdelconsumidor.org/wp-content/uploads/2016/07/DIAGN%C3%93STICO-DE-ACCESIBILIDAD-DE-LOS-SISTEMAS-BRT-EN-M%C3%89XICO.pdf&gt;. Acesso em: 5 jan. 2017.</t>
    </r>
  </si>
  <si>
    <r>
      <rPr>
        <b/>
        <sz val="12"/>
        <color theme="1"/>
        <rFont val="Times New Roman"/>
        <family val="1"/>
      </rPr>
      <t xml:space="preserve">EL PODER(2017a): </t>
    </r>
    <r>
      <rPr>
        <sz val="12"/>
        <color theme="1"/>
        <rFont val="Times New Roman"/>
        <family val="1"/>
      </rPr>
      <t xml:space="preserve">EL PODER DEL CONSUMIDOR.  </t>
    </r>
    <r>
      <rPr>
        <i/>
        <sz val="12"/>
        <color theme="1"/>
        <rFont val="Times New Roman"/>
        <family val="1"/>
      </rPr>
      <t>Quiénes somos.</t>
    </r>
    <r>
      <rPr>
        <sz val="12"/>
        <color theme="1"/>
        <rFont val="Times New Roman"/>
        <family val="1"/>
      </rPr>
      <t xml:space="preserve"> Disponível em: &lt;http://elpoderdelconsumidor.org/quienessomos/&gt;. Acesso em: 11 jan. 2017.</t>
    </r>
  </si>
  <si>
    <r>
      <rPr>
        <b/>
        <sz val="12"/>
        <color theme="1"/>
        <rFont val="Times New Roman"/>
        <family val="1"/>
      </rPr>
      <t xml:space="preserve">EL PODER(2016b): </t>
    </r>
    <r>
      <rPr>
        <sz val="12"/>
        <color theme="1"/>
        <rFont val="Times New Roman"/>
        <family val="1"/>
      </rPr>
      <t xml:space="preserve">EL PODER DEL CONSUMIDOR.  Author: Víctor Alvarado. </t>
    </r>
    <r>
      <rPr>
        <i/>
        <sz val="12"/>
        <color theme="1"/>
        <rFont val="Times New Roman"/>
        <family val="1"/>
      </rPr>
      <t>Accessibility Assessment of Bus Rapid Transit Systems in Mexico. Summary</t>
    </r>
    <r>
      <rPr>
        <sz val="12"/>
        <color theme="1"/>
        <rFont val="Times New Roman"/>
        <family val="1"/>
      </rPr>
      <t>. Ciudad de México, July, 2016. 10p. Disponível em: &lt;http://elpoderdelconsumidor.org/wp-content/uploads/2016/11/Accessiblity-Assessment-of-Bus-Rapid-Transit-Systems-in-Mexico_Exec-Summary.pdf&gt;. Acesso em: 5 jan. 2017.</t>
    </r>
  </si>
  <si>
    <r>
      <rPr>
        <b/>
        <sz val="12"/>
        <color theme="1"/>
        <rFont val="Times New Roman"/>
        <family val="1"/>
      </rPr>
      <t xml:space="preserve">EL PODER(2016c): </t>
    </r>
    <r>
      <rPr>
        <sz val="12"/>
        <color theme="1"/>
        <rFont val="Times New Roman"/>
        <family val="1"/>
      </rPr>
      <t xml:space="preserve">EL PODER DEL CONSUMIDOR.  Elaboración del Documento: Víctor Alvarado. </t>
    </r>
    <r>
      <rPr>
        <i/>
        <sz val="12"/>
        <color theme="1"/>
        <rFont val="Times New Roman"/>
        <family val="1"/>
      </rPr>
      <t>Diagnóstico de accesibilidad de los sistemas BRT en México - Lista de Anexos Técnicos</t>
    </r>
    <r>
      <rPr>
        <sz val="12"/>
        <color theme="1"/>
        <rFont val="Times New Roman"/>
        <family val="1"/>
      </rPr>
      <t>. Ciudad de México, Julio, 2016. 2p. Disponível em: &lt;http://elpoderdelconsumidor.org/accesibilidad/&gt;. Acesso em: 5 jan. 2017.</t>
    </r>
  </si>
  <si>
    <r>
      <rPr>
        <b/>
        <sz val="12"/>
        <color theme="1"/>
        <rFont val="Times New Roman"/>
        <family val="1"/>
      </rPr>
      <t xml:space="preserve">EL PODER(2016d): </t>
    </r>
    <r>
      <rPr>
        <sz val="12"/>
        <color theme="1"/>
        <rFont val="Times New Roman"/>
        <family val="1"/>
      </rPr>
      <t xml:space="preserve">EL PODER DEL CONSUMIDOR.  Elaboración del Documento: Víctor Alvarado. </t>
    </r>
    <r>
      <rPr>
        <i/>
        <sz val="12"/>
        <color theme="1"/>
        <rFont val="Times New Roman"/>
        <family val="1"/>
      </rPr>
      <t>Diagnóstico de accesibilidad de los sistemas BRT en México. Anexo 1 - Criterios de evaluación</t>
    </r>
    <r>
      <rPr>
        <sz val="12"/>
        <color theme="1"/>
        <rFont val="Times New Roman"/>
        <family val="1"/>
      </rPr>
      <t>. Ciudad de México, Julio, 2016. [12p.] Disponível em: &lt;http://elpoderdelconsumidor.org/wp-content/uploads/2016/06/1.-Anexo-Criterios-de-evaluaci%C3%B3n.pdf&gt;. Acesso em: 5 jan. 2017.</t>
    </r>
  </si>
  <si>
    <r>
      <rPr>
        <b/>
        <sz val="12"/>
        <color theme="1"/>
        <rFont val="Times New Roman"/>
        <family val="1"/>
      </rPr>
      <t xml:space="preserve">EL PODER(2016e): </t>
    </r>
    <r>
      <rPr>
        <sz val="12"/>
        <color theme="1"/>
        <rFont val="Times New Roman"/>
        <family val="1"/>
      </rPr>
      <t xml:space="preserve">EL PODER DEL CONSUMIDOR.  Elaboración del Documento: Víctor Alvarado. </t>
    </r>
    <r>
      <rPr>
        <i/>
        <sz val="12"/>
        <color theme="1"/>
        <rFont val="Times New Roman"/>
        <family val="1"/>
      </rPr>
      <t>Diagnóstico de accesibilidad de los sistemas BRT en México. Anexo 2 - Análisis de resultados por cada Línea BRT de México</t>
    </r>
    <r>
      <rPr>
        <sz val="12"/>
        <color theme="1"/>
        <rFont val="Times New Roman"/>
        <family val="1"/>
      </rPr>
      <t>. Ciudad de México, Julio, 2016. [33p.] Disponível em: &lt;http://elpoderdelconsumidor.org/wp-content/uploads/2016/06/2.-Anexo-An%C3%A1lisis-de-resultados-por-cada-L%C3%ADnea-BRT-de-M%C3%A9xico.pdf&gt;. Acesso em: 5 jan. 2017.</t>
    </r>
  </si>
  <si>
    <r>
      <rPr>
        <b/>
        <sz val="12"/>
        <color theme="1"/>
        <rFont val="Times New Roman"/>
        <family val="1"/>
      </rPr>
      <t xml:space="preserve">EL PODER(2016f): </t>
    </r>
    <r>
      <rPr>
        <sz val="12"/>
        <color theme="1"/>
        <rFont val="Times New Roman"/>
        <family val="1"/>
      </rPr>
      <t xml:space="preserve">EL PODER DEL CONSUMIDOR.  Elaboración del Documento: Víctor Alvarado. </t>
    </r>
    <r>
      <rPr>
        <i/>
        <sz val="12"/>
        <color theme="1"/>
        <rFont val="Times New Roman"/>
        <family val="1"/>
      </rPr>
      <t>Diagnóstico de accesibilidad de los sistemas BRT en México. Anexo 3 - Referencias Bibliográficas</t>
    </r>
    <r>
      <rPr>
        <sz val="12"/>
        <color theme="1"/>
        <rFont val="Times New Roman"/>
        <family val="1"/>
      </rPr>
      <t>. Ciudad de México, Julio, 2016. [1p.] Disponível em: &lt;http://elpoderdelconsumidor.org/wp-content/uploads/2016/06/3.-Anexo-Referencias-Bibliogr%C3%A1ficas.pdf&gt;. Acesso em: 5 jan. 2017.</t>
    </r>
  </si>
  <si>
    <r>
      <rPr>
        <b/>
        <sz val="12"/>
        <rFont val="Times New Roman"/>
        <family val="1"/>
      </rPr>
      <t>BHTRANS(2015za):</t>
    </r>
    <r>
      <rPr>
        <sz val="12"/>
        <rFont val="Times New Roman"/>
        <family val="1"/>
      </rPr>
      <t xml:space="preserve"> EMPRESA DE TRANSPORTES E TRÂNSITO DE BELO HORIZONTE S.A - BHTRANS. Diretoria de Planejamento (DPL).  Sistema de Informações da Mobilidade Urbana de Belo Horizonte - SisMob-BH. SisMob-BH por assunto e por palavra-chave. </t>
    </r>
    <r>
      <rPr>
        <i/>
        <sz val="12"/>
        <rFont val="Times New Roman"/>
        <family val="1"/>
      </rPr>
      <t xml:space="preserve">Acessibilidade no BRT. </t>
    </r>
    <r>
      <rPr>
        <sz val="12"/>
        <rFont val="Times New Roman"/>
        <family val="1"/>
      </rPr>
      <t>16 jan. 2015</t>
    </r>
    <r>
      <rPr>
        <i/>
        <sz val="12"/>
        <rFont val="Times New Roman"/>
        <family val="1"/>
      </rPr>
      <t xml:space="preserve">. </t>
    </r>
    <r>
      <rPr>
        <sz val="12"/>
        <rFont val="Times New Roman"/>
        <family val="1"/>
      </rPr>
      <t>Disponível com acesso restrito no portal interno da BHtrans em: &lt;http://www.bhtrans.pbh.gov.br/portal/page/portal/portalrestrito/P%C3%BAblico%20Alvo/DIRE/GCOE99/GERE9999/SisMob67_AcessibilidadeBRT#&gt;. Acesso em 11 jan. 2017.</t>
    </r>
  </si>
  <si>
    <r>
      <rPr>
        <b/>
        <sz val="10"/>
        <color theme="1"/>
        <rFont val="Times New Roman"/>
        <family val="1"/>
      </rPr>
      <t xml:space="preserve">2014: </t>
    </r>
    <r>
      <rPr>
        <sz val="10"/>
        <color theme="1"/>
        <rFont val="Times New Roman"/>
        <family val="1"/>
      </rPr>
      <t xml:space="preserve">"O poder público municipal deverá assumir até 2016 (curto prazo) a responsabilidade pela manutenção das calçadas indicadas no mapa de classificação das calçadas e aquelas localizadas no perímetro da Av. do Contorno." conforme BH(2014b, p.466) e "A responsabilidade pela manutenção de todas as calçadas de Belo Horizonte será assumida pelo poder público municipal até 2020 (médio prazo)." conforme BH(2014b, p.467)
</t>
    </r>
    <r>
      <rPr>
        <b/>
        <sz val="10"/>
        <color theme="1"/>
        <rFont val="Times New Roman"/>
        <family val="1"/>
      </rPr>
      <t xml:space="preserve">2015: </t>
    </r>
    <r>
      <rPr>
        <sz val="10"/>
        <color theme="1"/>
        <rFont val="Times New Roman"/>
        <family val="1"/>
      </rPr>
      <t>"Art. 334 - O detalhamento técnico do PlanMob-BH será elaborado pelo Executivo e deverá contemplar: [...] c) as ações de estímulo à circulação a pé, incluindo a iluminação de travessias e de calçadas e a sinalização indicativa para o pedestre, bem como ações educativas com ênfase em segurança, dentre outras; [...]
Art. 341 - Constituem objetivos relativos à circulação de pedestres [do PlanMob-BH]: I - estabelecer rede de caminhamento a pé, constituída por calçadas e travessias, com base no Anexo XI desta Lei, de forma a contemplar o tratamento para pedestres nas calçadas das centralidades e da rede estruturante de transporte de toda a cidade, por meio: a) da implantação de melhorias nos passeios, nos acessos às estações de metrô e nos pontos de ônibus constantes das calçadas consideradas prioritárias;" [...] II - promover ações de fiscalização nas calçadas e nas travessias para o cumprimento das regras de acessibilidade da ABNT e do Código de Posturas do Município; [...] X - em áreas de projetos urbanos especiais, prever o tratamento específico e a manutenção das calçadas pelo Executivo, financiada por meio dos recursos provenientes da ODC. [...]
 Art. 342 - Constituem ações relativas à circulação de pedestres: [...] II - considerar o tratamento das calçadas como parte integrante dos projetos de transporte coletivo; [...]
Art. 401 - São partes integrantes desta Lei: [...] XI - Anexo XI - Mapa de classificação de calçadas [acesse verbete];
conforme BH(2015c)</t>
    </r>
  </si>
  <si>
    <r>
      <rPr>
        <b/>
        <sz val="12"/>
        <color theme="1"/>
        <rFont val="Times New Roman"/>
        <family val="1"/>
      </rPr>
      <t xml:space="preserve">BHTRANS(2017c1/c2): </t>
    </r>
    <r>
      <rPr>
        <sz val="12"/>
        <color theme="1"/>
        <rFont val="Times New Roman"/>
        <family val="1"/>
      </rPr>
      <t>EMPRESA DE TRANSPORTES E TRÂNSITO DE BELO HORIZONTE S/A - BHTRANS. Diretoria de Transporte Público - DTP. Gerência de Contratos de Concessão e Tarifas - Gecet/DTP.</t>
    </r>
    <r>
      <rPr>
        <i/>
        <sz val="12"/>
        <color theme="1"/>
        <rFont val="Times New Roman"/>
        <family val="1"/>
      </rPr>
      <t xml:space="preserve"> e-mail rGECET/SisMob-BH</t>
    </r>
    <r>
      <rPr>
        <sz val="12"/>
        <color theme="1"/>
        <rFont val="Times New Roman"/>
        <family val="1"/>
      </rPr>
      <t xml:space="preserve">; </t>
    </r>
    <r>
      <rPr>
        <i/>
        <sz val="12"/>
        <color theme="1"/>
        <rFont val="Times New Roman"/>
        <family val="1"/>
      </rPr>
      <t>Informações da frota do sistema de transporte convencional - 2009 a 2016.</t>
    </r>
    <r>
      <rPr>
        <sz val="12"/>
        <color theme="1"/>
        <rFont val="Times New Roman"/>
        <family val="1"/>
      </rPr>
      <t xml:space="preserve"> Belo Horizonte: BHTrans, 12 jan. 2017. (e-mail com planilha anexa da Gecet/DTP ao SisMob-BH respondendo solicitação de informação feita pelo SisMob-BH à Gecet/DTP em 11/01/2017).</t>
    </r>
  </si>
  <si>
    <r>
      <t xml:space="preserve">frota total em n.º de ônibus do transporte coletivo convencional de Belo Horizonte gerenciado pela BHTrans (operado por empresas concessionárias, inclui as linhas de BRT e as linhas de vilas e favelas)
</t>
    </r>
    <r>
      <rPr>
        <b/>
        <sz val="10"/>
        <rFont val="Times New Roman"/>
        <family val="1"/>
      </rPr>
      <t xml:space="preserve">obs.1: </t>
    </r>
    <r>
      <rPr>
        <sz val="10"/>
        <rFont val="Times New Roman"/>
        <family val="1"/>
      </rPr>
      <t xml:space="preserve">"Em julho de 1993, quando a Prefeitura municipalizou o transporte coletivo ed Belo Horizonte, tínhamos 2.460 veículos compondo a frota [...]" conforme BHTRANS(1996a, p.3)
</t>
    </r>
    <r>
      <rPr>
        <b/>
        <sz val="10"/>
        <rFont val="Times New Roman"/>
        <family val="1"/>
      </rPr>
      <t>obs.2:</t>
    </r>
    <r>
      <rPr>
        <sz val="10"/>
        <rFont val="Times New Roman"/>
        <family val="1"/>
      </rPr>
      <t xml:space="preserve"> mês de dezembro tomado como representativo do ano, com resultados de 1993 e 1994 conforme BHTRANS(1995a, p.3); de 1995 conforme BHTRANS(1996a, p.2); de 1999 conforme BHTRANS(2000a, p.35); de 2000 relativo a outubro conforme BHTRANS(2016e); de 2001 conforme BHTRANS(2005a); de 2002-2004 conforme BHTRANS(2007a); BHTRANS(2005 a 2007) conforme BHTRANS(2011b); de 2008 conforme BHTRANS(2011b); de 2009 a 2016 conforme fórmula
</t>
    </r>
    <r>
      <rPr>
        <b/>
        <sz val="10"/>
        <rFont val="Times New Roman"/>
        <family val="1"/>
      </rPr>
      <t xml:space="preserve">obs.: </t>
    </r>
    <r>
      <rPr>
        <sz val="10"/>
        <rFont val="Times New Roman"/>
        <family val="1"/>
      </rPr>
      <t>resultado de 2016 (fórmula) confere com BHTRANS(2017c2)</t>
    </r>
  </si>
  <si>
    <r>
      <t xml:space="preserve">índice de acessibilidade do embarque/desembarque da frota de transporte convencional de Belo Horizonte gerenciado pela BHTrans na escala de 1 a 10 definida pelo SisMob-BH (onde 1 é a pior situação, 6 é o "RPI de acessibilidade sem desenho universal" e 10 é a melhor situação como "RPI de desenho universal")
</t>
    </r>
    <r>
      <rPr>
        <b/>
        <sz val="10"/>
        <rFont val="Times New Roman"/>
        <family val="1"/>
      </rPr>
      <t xml:space="preserve">obs.1: </t>
    </r>
    <r>
      <rPr>
        <sz val="10"/>
        <rFont val="Times New Roman"/>
        <family val="1"/>
      </rPr>
      <t xml:space="preserve">consulte "acessibilidade em ônibus urbano (escala)"
</t>
    </r>
    <r>
      <rPr>
        <b/>
        <sz val="10"/>
        <rFont val="Times New Roman"/>
        <family val="1"/>
      </rPr>
      <t xml:space="preserve">obs.2: </t>
    </r>
    <r>
      <rPr>
        <sz val="10"/>
        <rFont val="Times New Roman"/>
        <family val="1"/>
      </rPr>
      <t>resultado de 2016 (fórmula) confere com BHTRANS(2017c2)</t>
    </r>
  </si>
  <si>
    <r>
      <t xml:space="preserve">frota em n.º de ônibus do transporte coletivo convencional de Belo Horizonte gerenciado pela BHTrans equipados com  elevador hidráulico (plataforma elevatória veicular) de uso exclusivo ou não para cadeirantes e que não operam em plataforma elevada
</t>
    </r>
    <r>
      <rPr>
        <b/>
        <sz val="10"/>
        <rFont val="Times New Roman"/>
        <family val="1"/>
      </rPr>
      <t>obs.:</t>
    </r>
    <r>
      <rPr>
        <sz val="10"/>
        <rFont val="Times New Roman"/>
        <family val="1"/>
      </rPr>
      <t xml:space="preserve"> resultado de 2016 (fórmula) confere com BHTRANS(2017c2)</t>
    </r>
  </si>
  <si>
    <r>
      <t xml:space="preserve">F tcc (Belo Horizonte): </t>
    </r>
    <r>
      <rPr>
        <sz val="12"/>
        <rFont val="Times New Roman"/>
        <family val="1"/>
      </rPr>
      <t xml:space="preserve">resultados de 2009 a 2015 em BHTRANS(2015c, 2016d). Em janeiro de 2017 consultar se os resultados foram incorporados, conforme sugerido por SisMob-BH, ao relatório anual da Gecet/DTP/BHTrans. Caso contrário, solicitar atualização por e-mail (responsável em 2015/2016: Gisele Nunes). Solititado por e-mail à GECET (Adilson e Gisele) enviando planilha a ser preenchida em 11/01/2017 e recebida resposta de Adilson em 12/01/2017. </t>
    </r>
    <r>
      <rPr>
        <sz val="12"/>
        <color rgb="FFFF0000"/>
        <rFont val="Times New Roman"/>
        <family val="1"/>
      </rPr>
      <t xml:space="preserve">Recebida a resposta, foi solicitada informação em 12/01/2017, de quantos são os veículos por ano de fabricação do nível 1 (sem elevador). </t>
    </r>
  </si>
  <si>
    <r>
      <rPr>
        <b/>
        <sz val="10"/>
        <rFont val="Times New Roman"/>
        <family val="1"/>
      </rPr>
      <t xml:space="preserve">1) </t>
    </r>
    <r>
      <rPr>
        <sz val="10"/>
        <rFont val="Times New Roman"/>
        <family val="1"/>
      </rPr>
      <t>"Mesmo os sistemas que foram projetados para ter o embarque em nível com a plataforma [transpondo a fronteira sem rampa automática] poderão contar com vãos entre estas e os ônibus, se estes não se aproximarem ou encostarem corretamente. Um vão maior entre a plataforma e o piso do ônibus reduz os benefícios de economia de tempo normalmente proporcionados pelo embarque em nível e introduz um risco significativo de segurança para os passageiros. Esses vãos podem ocorrer por várias razões, desde um projeto básico deficiente a um treinamento inadequado dos motoristas. As opiniões técnicas variam sobre a melhor forma de reduzir o vão.  A maioria dos especialistas concorda que os sistemas visuais de orientação são mais caros e menos eficazes do que medidas mais simples, tais como o uso de marcadores pintados de alinhamento ou acostamentos ou guias especiais nas plataformas da estação, para permitir aos motoristas “sentirem” o toque da roda na guia, sem que a guia danifique a roda." conforme ITDP(2041b,p.52)</t>
    </r>
    <r>
      <rPr>
        <sz val="10"/>
        <rFont val="Times New Roman"/>
        <family val="1"/>
      </rPr>
      <t xml:space="preserve">
</t>
    </r>
    <r>
      <rPr>
        <b/>
        <sz val="10"/>
        <rFont val="Times New Roman"/>
        <family val="1"/>
      </rPr>
      <t xml:space="preserve">obs.: </t>
    </r>
    <r>
      <rPr>
        <sz val="10"/>
        <rFont val="Times New Roman"/>
        <family val="1"/>
      </rPr>
      <t>consulte "fronteira" e "fronteira com rampa"</t>
    </r>
  </si>
  <si>
    <r>
      <rPr>
        <strike/>
        <sz val="10"/>
        <color theme="1"/>
        <rFont val="Times New Roman"/>
        <family val="1"/>
      </rPr>
      <t>tachado</t>
    </r>
    <r>
      <rPr>
        <sz val="10"/>
        <color theme="1"/>
        <rFont val="Times New Roman"/>
        <family val="1"/>
      </rPr>
      <t xml:space="preserve"> = já levado para Q100a-GERAL</t>
    </r>
  </si>
  <si>
    <r>
      <rPr>
        <sz val="10"/>
        <color theme="1"/>
        <rFont val="Times New Roman"/>
        <family val="1"/>
      </rPr>
      <t>a acessibilidade nas bilheterias das estações de transferência do BRT de Belo Horizonte é analisada em relatório WRI conforme WRI(2016j6); na Nota técnica de acessibilidade n.º 3 e Nota técnica de acessibilidade n.º 4 conforme OLIVEIRA(2016m; 2017a1; 2017a2)</t>
    </r>
    <r>
      <rPr>
        <b/>
        <sz val="10"/>
        <color theme="1"/>
        <rFont val="Times New Roman"/>
        <family val="1"/>
      </rPr>
      <t xml:space="preserve">
obs.: </t>
    </r>
    <r>
      <rPr>
        <sz val="10"/>
        <color theme="1"/>
        <rFont val="Times New Roman"/>
        <family val="1"/>
      </rPr>
      <t>para resultados acesse BRT IC (bilheterias)</t>
    </r>
  </si>
  <si>
    <r>
      <rPr>
        <sz val="10"/>
        <color theme="1"/>
        <rFont val="Times New Roman"/>
        <family val="1"/>
      </rPr>
      <t xml:space="preserve">a acessibilidade nas máquinas de venda de passagem das estações de transferência do BRT de Belo Horizonte é analisada em relatório WRI conforme WRI(2016j6); na Nota técnica de acessibilidade n.º 3 e Nota técnica de acessibilidade n.º 4 conforme OLIVEIRA(2016m;2017a1; 2017a2)
</t>
    </r>
    <r>
      <rPr>
        <b/>
        <sz val="10"/>
        <color theme="1"/>
        <rFont val="Times New Roman"/>
        <family val="1"/>
      </rPr>
      <t xml:space="preserve">obs.: </t>
    </r>
    <r>
      <rPr>
        <sz val="10"/>
        <color theme="1"/>
        <rFont val="Times New Roman"/>
        <family val="1"/>
      </rPr>
      <t>para resultados acesse registro "BRT IC (máquinas)"</t>
    </r>
  </si>
  <si>
    <t>acessibilidade em mapas</t>
  </si>
  <si>
    <r>
      <rPr>
        <sz val="10"/>
        <color theme="1"/>
        <rFont val="Times New Roman"/>
        <family val="1"/>
      </rPr>
      <t>a acessibilidade nas catracas instaladas nas linhas de bloqueio das estações de transferência do BRT de Belo Horizonte é analisada em relatório WRI conforme WRI(2016j6); na Nota técnica de acessibilidade n.º 3 e Nota técnica de acessibilidade n.º 4 conforme OLIVEIRA(2016m;2017a1;2017a2)</t>
    </r>
    <r>
      <rPr>
        <b/>
        <sz val="10"/>
        <color theme="1"/>
        <rFont val="Times New Roman"/>
        <family val="1"/>
      </rPr>
      <t xml:space="preserve">
obs.: </t>
    </r>
    <r>
      <rPr>
        <sz val="10"/>
        <color theme="1"/>
        <rFont val="Times New Roman"/>
        <family val="1"/>
      </rPr>
      <t>para resultados acesse registro "BRT IC (catracas)"</t>
    </r>
  </si>
  <si>
    <r>
      <rPr>
        <sz val="10"/>
        <color theme="1"/>
        <rFont val="Times New Roman"/>
        <family val="1"/>
      </rPr>
      <t>a acessibilidade nos mapas instalados nas estações de transferência do BRT de Belo Horizonte é analisada em relatório WRI conforme WRI(2016j6); na Nota técnica de acessibilidade n.º 3 e Nota técnica de acessibilidade n.º 4 conforme OLIVEIRA(2016m;2017a1;2017a2)
assunto analisado em WRI(2016j6), em Nota técnica de acessibilidade n.º 3 e em Nota técnica de acessibilidade n.º 4</t>
    </r>
    <r>
      <rPr>
        <b/>
        <sz val="10"/>
        <color theme="1"/>
        <rFont val="Times New Roman"/>
        <family val="1"/>
      </rPr>
      <t xml:space="preserve">
obs.: </t>
    </r>
    <r>
      <rPr>
        <sz val="10"/>
        <color theme="1"/>
        <rFont val="Times New Roman"/>
        <family val="1"/>
      </rPr>
      <t>para resultados acesse registro "BRT IC (mapas)"</t>
    </r>
  </si>
  <si>
    <r>
      <rPr>
        <sz val="10"/>
        <color theme="1"/>
        <rFont val="Times New Roman"/>
        <family val="1"/>
      </rPr>
      <t>a acessibilidade nas passarelas para acesso às estações de transferência do BRT de Belo Horizonte é analisada em relatório WRI conforme WRI(2016j6); na Nota técnica de acessibilidade n.º 3 e Nota técnica de acessibilidade n.º 4 conforme OLIVEIRA(2016m;2017a1; 2017a2)</t>
    </r>
    <r>
      <rPr>
        <b/>
        <sz val="10"/>
        <color theme="1"/>
        <rFont val="Times New Roman"/>
        <family val="1"/>
      </rPr>
      <t xml:space="preserve">
obs.: </t>
    </r>
    <r>
      <rPr>
        <sz val="10"/>
        <color theme="1"/>
        <rFont val="Times New Roman"/>
        <family val="1"/>
      </rPr>
      <t>para resultados acesse registro "BRT IC (módulo passarelas)"</t>
    </r>
  </si>
  <si>
    <t>a acessibilidade nos elevadores para acesso às plataformas das estações de transferência do BRT de Belo Horizonte é analisada em relatório WRI conforme WRI(2016j6); na Nota técnica de acessibilidade n.º 3 e Nota técnica de acessibilidade n.º 4 conforme OLIVEIRA(2016m;2017a1; 2017a2)
obs.: não há resultados pois não há elevador implantado em qualquer plataforma no sistema BRT de Belo Horizonte, a despeito do projeto do corredor Área Central ter sido concebido para implantação de uma plataforma elevatória ao lado da escada existente em cada uma das duas entradas de cada uma de suas seis estações</t>
  </si>
  <si>
    <r>
      <rPr>
        <sz val="10"/>
        <color theme="1"/>
        <rFont val="Times New Roman"/>
        <family val="1"/>
      </rPr>
      <t>a acessibilidade nas travessias de pedestre para acesso às estações de transferência do BRT de Belo Horizonte é analisada em relatório WRI conforme WRI(2016j6); na Nota técnica de acessibilidade n.º 3 e Nota técnica de acessibilidade n.º 4 conforme OLIVEIRA(2016m;2017a1; 2017a2)</t>
    </r>
    <r>
      <rPr>
        <b/>
        <sz val="10"/>
        <color theme="1"/>
        <rFont val="Times New Roman"/>
        <family val="1"/>
      </rPr>
      <t xml:space="preserve">
obs.: </t>
    </r>
    <r>
      <rPr>
        <sz val="10"/>
        <color theme="1"/>
        <rFont val="Times New Roman"/>
        <family val="1"/>
      </rPr>
      <t>para resultados acesse registro "BRT IC (travessias)"</t>
    </r>
  </si>
  <si>
    <t>a acessibilidade nos acessos às plataformas das estações de transferência do BRT de Belo Horizonte é analisada em relatório WRI conforme WRI(2016j6); na Nota técnica de acessibilidade n.º 3 e Nota técnica de acessibilidade n.º 4 conforme OLIVEIRA(2016m;2017a1; 2017a2)
obs.: para resultados acesse registro "BRT IC (módulo acessos plataformas)"</t>
  </si>
  <si>
    <r>
      <rPr>
        <sz val="10"/>
        <color theme="1"/>
        <rFont val="Times New Roman"/>
        <family val="1"/>
      </rPr>
      <t>a acessibilidade nos rebaixos de calçada das travessias de pedestre para acesso às estações de transferência do BRT de Belo Horizonte é analisada em relatório WRI conforme WRI(2016j6); na Nota técnica de acessibilidade n.º 3 e Nota técnica de acessibilidade n.º 4 conforme OLIVEIRA(2016m;2017a1; 2017a2)</t>
    </r>
    <r>
      <rPr>
        <b/>
        <sz val="10"/>
        <color theme="1"/>
        <rFont val="Times New Roman"/>
        <family val="1"/>
      </rPr>
      <t xml:space="preserve">
obs.: </t>
    </r>
    <r>
      <rPr>
        <sz val="10"/>
        <color theme="1"/>
        <rFont val="Times New Roman"/>
        <family val="1"/>
      </rPr>
      <t>para resultados acesse registro "BRT IC (rebaixos)"</t>
    </r>
  </si>
  <si>
    <r>
      <rPr>
        <sz val="10"/>
        <color theme="1"/>
        <rFont val="Times New Roman"/>
        <family val="1"/>
      </rPr>
      <t xml:space="preserve">a acessibilidade </t>
    </r>
    <r>
      <rPr>
        <sz val="10"/>
        <color rgb="FFFF0000"/>
        <rFont val="Times New Roman"/>
        <family val="1"/>
      </rPr>
      <t xml:space="preserve">da sinalização ____ </t>
    </r>
    <r>
      <rPr>
        <sz val="10"/>
        <color theme="1"/>
        <rFont val="Times New Roman"/>
        <family val="1"/>
      </rPr>
      <t>para acesso às estações de transferência do BRT de Belo Horizonte é analisada em relatório WRI conforme WRI(2016j6); na Nota técnica de acessibilidade n.º 3 e Nota técnica de acessibilidade n.º 4 conforme OLIVEIRA(2016m;2017a1; 2017a2)</t>
    </r>
    <r>
      <rPr>
        <b/>
        <sz val="10"/>
        <color theme="1"/>
        <rFont val="Times New Roman"/>
        <family val="1"/>
      </rPr>
      <t xml:space="preserve">
obs.: </t>
    </r>
    <r>
      <rPr>
        <sz val="10"/>
        <color theme="1"/>
        <rFont val="Times New Roman"/>
        <family val="1"/>
      </rPr>
      <t>para resultados acesse registro "BRT IC (rebaixos)"</t>
    </r>
  </si>
  <si>
    <r>
      <rPr>
        <strike/>
        <sz val="8"/>
        <color theme="1"/>
        <rFont val="Times New Roman"/>
        <family val="1"/>
      </rPr>
      <t xml:space="preserve">a acessibilidade nas bilheterias das estações de transferência do BRT de Belo Horizonte é analisada em relatório WRI conforme WRI(2016j6); na Nota técnica de acessibilidade n.º 3 e Nota técnica de acessibilidade n.º 4 conforme OLIVEIRA(2016m;2017a1; 2017a2)
</t>
    </r>
    <r>
      <rPr>
        <b/>
        <strike/>
        <sz val="8"/>
        <color theme="1"/>
        <rFont val="Times New Roman"/>
        <family val="1"/>
      </rPr>
      <t xml:space="preserve">obs.: </t>
    </r>
    <r>
      <rPr>
        <strike/>
        <sz val="8"/>
        <color theme="1"/>
        <rFont val="Times New Roman"/>
        <family val="1"/>
      </rPr>
      <t>para resultados acesse registro "BRT IC (bilheterias)"</t>
    </r>
  </si>
  <si>
    <r>
      <rPr>
        <strike/>
        <sz val="8"/>
        <color theme="1"/>
        <rFont val="Times New Roman"/>
        <family val="1"/>
      </rPr>
      <t>a acessibilidade nas catracas instaladas nas linhas de bloqueio das estações de transferência do BRT de Belo Horizonte é analisada em relatório WRI conforme WRI(2016j6); na Nota técnica de acessibilidade n.º 3 e Nota técnica de acessibilidade n.º 4 conforme OLIVEIRA(2016m;2017a1;2017a2)</t>
    </r>
    <r>
      <rPr>
        <b/>
        <strike/>
        <sz val="8"/>
        <color theme="1"/>
        <rFont val="Times New Roman"/>
        <family val="1"/>
      </rPr>
      <t xml:space="preserve">
obs.: </t>
    </r>
    <r>
      <rPr>
        <strike/>
        <sz val="8"/>
        <color theme="1"/>
        <rFont val="Times New Roman"/>
        <family val="1"/>
      </rPr>
      <t>para resultados acesse registro "BRT IC (catracas)"</t>
    </r>
  </si>
  <si>
    <r>
      <rPr>
        <strike/>
        <sz val="8"/>
        <color theme="1"/>
        <rFont val="Times New Roman"/>
        <family val="1"/>
      </rPr>
      <t>a acessibilidade nos mapas instalados nas estações de transferência do BRT de Belo Horizonte é analisada em relatório WRI conforme WRI(2016j6); na Nota técnica de acessibilidade n.º 3 e Nota técnica de acessibilidade n.º 4 conforme OLIVEIRA(2016m;2017a1;2017a2)
assunto analisado em WRI(2016j6), em Nota técnica de acessibilidade n.º 3 e em Nota técnica de acessibilidade n.º 4</t>
    </r>
    <r>
      <rPr>
        <b/>
        <strike/>
        <sz val="8"/>
        <color theme="1"/>
        <rFont val="Times New Roman"/>
        <family val="1"/>
      </rPr>
      <t xml:space="preserve">
obs.: </t>
    </r>
    <r>
      <rPr>
        <strike/>
        <sz val="8"/>
        <color theme="1"/>
        <rFont val="Times New Roman"/>
        <family val="1"/>
      </rPr>
      <t>para resultados acesse registro "BRT IC (mapas)"</t>
    </r>
  </si>
  <si>
    <r>
      <rPr>
        <strike/>
        <sz val="8"/>
        <color theme="1"/>
        <rFont val="Times New Roman"/>
        <family val="1"/>
      </rPr>
      <t xml:space="preserve">a acessibilidade nas máquinas de venda de passagem das estações de transferência do BRT de Belo Horizonte é analisada em relatório WRI conforme WRI(2016j6); na Nota técnica de acessibilidade n.º 3 e Nota técnica de acessibilidade n.º 4 conforme OLIVEIRA(2016m;2017a1; 2017a2)
</t>
    </r>
    <r>
      <rPr>
        <b/>
        <strike/>
        <sz val="8"/>
        <color theme="1"/>
        <rFont val="Times New Roman"/>
        <family val="1"/>
      </rPr>
      <t xml:space="preserve">obs.: </t>
    </r>
    <r>
      <rPr>
        <strike/>
        <sz val="8"/>
        <color theme="1"/>
        <rFont val="Times New Roman"/>
        <family val="1"/>
      </rPr>
      <t>para resultados acesse registro "BRT IC (máquinas)"</t>
    </r>
  </si>
  <si>
    <r>
      <rPr>
        <strike/>
        <sz val="8"/>
        <color theme="1"/>
        <rFont val="Times New Roman"/>
        <family val="1"/>
      </rPr>
      <t>a acessibilidade nas passarelas para acesso às estações de transferência do BRT de Belo Horizonte é analisada em relatório WRI conforme WRI(2016j6); na Nota técnica de acessibilidade n.º 3 e Nota técnica de acessibilidade n.º 4 conforme OLIVEIRA(2016m;2017a1; 2017a2)</t>
    </r>
    <r>
      <rPr>
        <b/>
        <strike/>
        <sz val="8"/>
        <color theme="1"/>
        <rFont val="Times New Roman"/>
        <family val="1"/>
      </rPr>
      <t xml:space="preserve">
obs.: </t>
    </r>
    <r>
      <rPr>
        <strike/>
        <sz val="8"/>
        <color theme="1"/>
        <rFont val="Times New Roman"/>
        <family val="1"/>
      </rPr>
      <t>para resultados acesse registro "BRT IC (módulo passarelas)"</t>
    </r>
  </si>
  <si>
    <r>
      <rPr>
        <strike/>
        <sz val="8"/>
        <color theme="1"/>
        <rFont val="Times New Roman"/>
        <family val="1"/>
      </rPr>
      <t xml:space="preserve">a acessibilidade nas calçadas lindeiras às estações de transferência do BRT de Belo Horizonte é analisada em relatório WRI conforme WRI(2016j6); na Nota técnica de acessibilidade n.º 3 e Nota técnica de acessibilidade n.º 4 conforme OLIVEIRA(2016m;2017a1; 2017a2)
</t>
    </r>
    <r>
      <rPr>
        <b/>
        <strike/>
        <sz val="8"/>
        <color theme="1"/>
        <rFont val="Times New Roman"/>
        <family val="1"/>
      </rPr>
      <t xml:space="preserve">obs.: </t>
    </r>
    <r>
      <rPr>
        <strike/>
        <sz val="8"/>
        <color theme="1"/>
        <rFont val="Times New Roman"/>
        <family val="1"/>
      </rPr>
      <t>para resultados acesse o registro "BRT IC (calçadas)"</t>
    </r>
  </si>
  <si>
    <r>
      <t xml:space="preserve">meta para alcance da acessibilidade total no sistema BRT de Belo Horizonte, com base no indicador "índice de conformidade com a acessibilidade do sistema BRT de Belo Horizonte"
</t>
    </r>
    <r>
      <rPr>
        <b/>
        <sz val="10"/>
        <color theme="1"/>
        <rFont val="Times New Roman"/>
        <family val="1"/>
      </rPr>
      <t>obs.1:</t>
    </r>
    <r>
      <rPr>
        <sz val="10"/>
        <color theme="1"/>
        <rFont val="Times New Roman"/>
        <family val="1"/>
      </rPr>
      <t xml:space="preserve"> o ano-meta 2030 é o considerado como longo prazo conforme BH(2014b,p.452)
</t>
    </r>
    <r>
      <rPr>
        <b/>
        <sz val="10"/>
        <color theme="1"/>
        <rFont val="Times New Roman"/>
        <family val="1"/>
      </rPr>
      <t xml:space="preserve">obs.2: </t>
    </r>
    <r>
      <rPr>
        <sz val="10"/>
        <color theme="1"/>
        <rFont val="Times New Roman"/>
        <family val="1"/>
      </rPr>
      <t>metas de médio prazo (até 2020) e curto prazo (até 2017) estão propostas em OLIVEIRA(2017a1;2017a2)</t>
    </r>
  </si>
  <si>
    <r>
      <t xml:space="preserve">2013: </t>
    </r>
    <r>
      <rPr>
        <sz val="10"/>
        <color theme="1"/>
        <rFont val="Times New Roman"/>
        <family val="1"/>
      </rPr>
      <t xml:space="preserve">a acessibilidade nas calçadas de Belo Horizonte em geral foi objeto de avaliação no projeto Amar BH
</t>
    </r>
    <r>
      <rPr>
        <b/>
        <sz val="10"/>
        <color theme="1"/>
        <rFont val="Times New Roman"/>
        <family val="1"/>
      </rPr>
      <t>obs.:</t>
    </r>
    <r>
      <rPr>
        <sz val="10"/>
        <color theme="1"/>
        <rFont val="Times New Roman"/>
        <family val="1"/>
      </rPr>
      <t xml:space="preserve"> para resultados acesse os registros "URB(pcs" e "URB(pti)"
</t>
    </r>
    <r>
      <rPr>
        <b/>
        <sz val="10"/>
        <color theme="1"/>
        <rFont val="Times New Roman"/>
        <family val="1"/>
      </rPr>
      <t xml:space="preserve">2016: </t>
    </r>
    <r>
      <rPr>
        <sz val="10"/>
        <color theme="1"/>
        <rFont val="Times New Roman"/>
        <family val="1"/>
      </rPr>
      <t xml:space="preserve">a acessibilidade nas calçadas lindeiras às estações de transferência do BRT de Belo Horizonte é analisada em relatório WRI conforme WRI(2016j6); na Nota técnica de acessibilidade n.º 3 e Nota técnica de acessibilidade n.º 4 conforme OLIVEIRA(2016m;2017a1; 2017a2)
</t>
    </r>
    <r>
      <rPr>
        <b/>
        <sz val="10"/>
        <color theme="1"/>
        <rFont val="Times New Roman"/>
        <family val="1"/>
      </rPr>
      <t xml:space="preserve">obs.: </t>
    </r>
    <r>
      <rPr>
        <sz val="10"/>
        <color theme="1"/>
        <rFont val="Times New Roman"/>
        <family val="1"/>
      </rPr>
      <t>para resultados acesse o registro "BRT IC (calçadas)"</t>
    </r>
  </si>
  <si>
    <r>
      <rPr>
        <b/>
        <sz val="12"/>
        <rFont val="Times New Roman"/>
        <family val="1"/>
      </rPr>
      <t xml:space="preserve">CBTU(2013a): </t>
    </r>
    <r>
      <rPr>
        <sz val="12"/>
        <rFont val="Times New Roman"/>
        <family val="1"/>
      </rPr>
      <t>COMPANHIA BRASILEIRA DE TRENS URBANOS - CBTU. CBTU-STU/BH.</t>
    </r>
    <r>
      <rPr>
        <i/>
        <sz val="12"/>
        <rFont val="Times New Roman"/>
        <family val="1"/>
      </rPr>
      <t xml:space="preserve"> Instrução de serviço - código 1.0011 - versão G</t>
    </r>
    <r>
      <rPr>
        <sz val="12"/>
        <rFont val="Times New Roman"/>
        <family val="1"/>
      </rPr>
      <t>. Vigência: 08/07/2013. Assunto: Atendimento à usuário com restrição de mobilidade. Belo Horizonte, 2013. 14p.</t>
    </r>
  </si>
  <si>
    <t>acessibilidade no metrô para PcD</t>
  </si>
  <si>
    <r>
      <rPr>
        <b/>
        <sz val="10"/>
        <rFont val="Times New Roman"/>
        <family val="1"/>
      </rPr>
      <t xml:space="preserve">2013: </t>
    </r>
    <r>
      <rPr>
        <sz val="10"/>
        <rFont val="Times New Roman"/>
        <family val="1"/>
      </rPr>
      <t>versão G de instrução normativa aplicável no metrô de Belo Horizonte com a finalidade de "Determinar os procedimentos a serem adotados pelos empregados operativos para atendimento a usuário com restrição de mobilidade no interior do sistema" conforme CBTU(2013a)</t>
    </r>
  </si>
  <si>
    <r>
      <rPr>
        <b/>
        <sz val="12"/>
        <color theme="1"/>
        <rFont val="Times New Roman"/>
        <family val="1"/>
      </rPr>
      <t>HERMONT(2016a):</t>
    </r>
    <r>
      <rPr>
        <sz val="12"/>
        <color theme="1"/>
        <rFont val="Times New Roman"/>
        <family val="1"/>
      </rPr>
      <t xml:space="preserve"> HERMONT, Liliana Delgado. </t>
    </r>
    <r>
      <rPr>
        <i/>
        <sz val="12"/>
        <color theme="1"/>
        <rFont val="Times New Roman"/>
        <family val="1"/>
      </rPr>
      <t xml:space="preserve">Parecer Técnico DTP/SGTT n.º 003/16, de 16 de dezembro de 2016. </t>
    </r>
    <r>
      <rPr>
        <sz val="12"/>
        <color theme="1"/>
        <rFont val="Times New Roman"/>
        <family val="1"/>
      </rPr>
      <t>Assunto: Inspeção de acessibilidade do Move Belo Horizonte de novembro de 2016, elaborada pelo WRI Brasil CidadesSustentáveis. Belo Horizonte: BHTrans, 16 dez. 2016. 6p. [recebido da autora por e-mail em 20/12/2016]</t>
    </r>
  </si>
  <si>
    <t>Access City Award 2016</t>
  </si>
  <si>
    <r>
      <t xml:space="preserve">na 6ª edição do prêmio Access City Award as cidades premiadas foram: 1º lugar para Milão (Itália); 2º lugar para Wiesbaden (Alemanha); 3º lugar para Toulouse (França), menções honrosas para Vaasa (Finlândia) e Kaposvár (Hungria) conforme EC(2016c1;2016c2)
</t>
    </r>
    <r>
      <rPr>
        <b/>
        <sz val="10"/>
        <color theme="1"/>
        <rFont val="Times New Roman"/>
        <family val="1"/>
      </rPr>
      <t>obs.:</t>
    </r>
    <r>
      <rPr>
        <sz val="10"/>
        <color theme="1"/>
        <rFont val="Times New Roman"/>
        <family val="1"/>
      </rPr>
      <t xml:space="preserve"> acesse os verbetes sobre cada premiação anual e cada cidade premiada</t>
    </r>
  </si>
  <si>
    <r>
      <t xml:space="preserve">na 3ª edição do prêmio Access City Award concorreram 99 cidades de 20 países da União Europeia, tendo sido premiadas: 1º lugar para Berlim (Alemanha); sendo finalistas Nantes (França) e Estocolmo (Suécia); menções especiais para Pamplona (Espanha); Gdynia (Polônia); Bilbao (Espanha) e Tallaght (Irlanda) conforme EC(2013)
</t>
    </r>
    <r>
      <rPr>
        <b/>
        <sz val="10"/>
        <color theme="1"/>
        <rFont val="Times New Roman"/>
        <family val="1"/>
      </rPr>
      <t>obs.:</t>
    </r>
    <r>
      <rPr>
        <sz val="10"/>
        <color theme="1"/>
        <rFont val="Times New Roman"/>
        <family val="1"/>
      </rPr>
      <t xml:space="preserve"> acesse verbetes sobre cada cidade premiada</t>
    </r>
  </si>
  <si>
    <r>
      <t xml:space="preserve">na 4ª edição do Access City Award concorreram 102 cidades de 23 países da União Uuropeia, tendo sido premiadas: 1º lugar para Gotemburgo (Suécia); 2º lugar para  Grenoble (França); 3º lugar para Posnânia [Poznań] na Polônia; menções para Belfast (Irlanda do Norte); Dresden (Alemanha); Burgos e Málaga (Espanha) conforme EC(2014a).
</t>
    </r>
    <r>
      <rPr>
        <b/>
        <sz val="10"/>
        <color theme="1"/>
        <rFont val="Times New Roman"/>
        <family val="1"/>
      </rPr>
      <t>obs.:</t>
    </r>
    <r>
      <rPr>
        <sz val="10"/>
        <color theme="1"/>
        <rFont val="Times New Roman"/>
        <family val="1"/>
      </rPr>
      <t xml:space="preserve"> acesse os verbetes sobre cada premiação anual e cada cidade premiada</t>
    </r>
  </si>
  <si>
    <r>
      <t xml:space="preserve">na 5ª edição do prêmio Access City Award as cidades premiadas foram: 1º lugar para Borås (Suécia); 2º lugar para Helsinque (Finlândia); 3º lugar para Liubliana (Eslovênia), menções honrosas para Logroño (Espanha), Budapeste (Hungria) e Arona (Espanha) conforme EIP-SCC(2015); EC(2015a)
</t>
    </r>
    <r>
      <rPr>
        <b/>
        <sz val="10"/>
        <color theme="1"/>
        <rFont val="Times New Roman"/>
        <family val="1"/>
      </rPr>
      <t>obs.:</t>
    </r>
    <r>
      <rPr>
        <sz val="10"/>
        <color theme="1"/>
        <rFont val="Times New Roman"/>
        <family val="1"/>
      </rPr>
      <t xml:space="preserve"> acesse os verbetes sobre cada premiação anual e cada cidade premiada</t>
    </r>
  </si>
  <si>
    <r>
      <t xml:space="preserve">na 1ª edição do prêmio Access City Award concorreram 66 cidades de 19 países da União Europeia, tendo sido premiadas: 1º lugar para Ávila (Espanha), sendo finalistas Barcelona (Espanha), Colônia (Alemanha) e Turku (Finlândia) conforme EC(2014b)
</t>
    </r>
    <r>
      <rPr>
        <b/>
        <sz val="10"/>
        <color theme="1"/>
        <rFont val="Times New Roman"/>
        <family val="1"/>
      </rPr>
      <t>obs.</t>
    </r>
    <r>
      <rPr>
        <sz val="10"/>
        <color theme="1"/>
        <rFont val="Times New Roman"/>
        <family val="1"/>
      </rPr>
      <t>: acesse os verbetes sobre cada premiação anual e cada cidade premiada</t>
    </r>
  </si>
  <si>
    <r>
      <t xml:space="preserve">na 2ª edição do prêmio Access City Award concorreram 114 cidades de 23 países da União Europeia, tendo sido premiadas: 1º lugar para Salzburgo (Áustria); três finalistas foram Cracóvia (Polônia), Marburg (Alemanha) e Santander (Espanha); menções para Terrassa (Espanha); Liubliana (Eslovênia); Olomouc (República Tcheca); Grenoble (França) conforme EC(2014b); EC(2012a)
</t>
    </r>
    <r>
      <rPr>
        <b/>
        <sz val="10"/>
        <color theme="1"/>
        <rFont val="Times New Roman"/>
        <family val="1"/>
      </rPr>
      <t>obs.:</t>
    </r>
    <r>
      <rPr>
        <sz val="10"/>
        <color theme="1"/>
        <rFont val="Times New Roman"/>
        <family val="1"/>
      </rPr>
      <t xml:space="preserve"> acesse os verbetes sobre cada premiação anual e cada cidade premiada</t>
    </r>
  </si>
  <si>
    <r>
      <t xml:space="preserve">"Prêmio Acesso à Cidade" em tradução livre
</t>
    </r>
    <r>
      <rPr>
        <b/>
        <sz val="10"/>
        <color theme="1"/>
        <rFont val="Times New Roman"/>
        <family val="1"/>
      </rPr>
      <t>obs.1:</t>
    </r>
    <r>
      <rPr>
        <sz val="10"/>
        <color theme="1"/>
        <rFont val="Times New Roman"/>
        <family val="1"/>
      </rPr>
      <t xml:space="preserve"> trata-se de prêmio anual concedido pela European Comission, em parceria com a European Disability, que teve sua primeira edição em 2011, para o qual as cidades com mais de 50 mil habitantes da União Europeia são convidadas a participar, que reconhece as cidades mais acessíveis às pessoas com deficiência e idosos; para concorrer as cidades apresentam as atividades e estratégias que conceberam para eliminar obstáculos e melhorar a qualidade de vida dos cidadãos, como uma oportunidade para as cidades da União Europeia apresentarem e partilharem experiências, pois as iniciativas de umas cidades podem inspirar outras a melhorarem as suas políticas e atividades no âmbito da acessibilidade conforme EC(2014b); EIP-SCC(2015)
</t>
    </r>
    <r>
      <rPr>
        <b/>
        <sz val="10"/>
        <color theme="1"/>
        <rFont val="Times New Roman"/>
        <family val="1"/>
      </rPr>
      <t xml:space="preserve">obs.2: </t>
    </r>
    <r>
      <rPr>
        <sz val="10"/>
        <color theme="1"/>
        <rFont val="Times New Roman"/>
        <family val="1"/>
      </rPr>
      <t>acesse os verbetes sobre cada premiação anual e cada cidade premiada</t>
    </r>
  </si>
  <si>
    <r>
      <rPr>
        <b/>
        <sz val="12"/>
        <color theme="1"/>
        <rFont val="Times New Roman"/>
        <family val="1"/>
      </rPr>
      <t xml:space="preserve">BHTRANS(2016q2): </t>
    </r>
    <r>
      <rPr>
        <sz val="12"/>
        <color theme="1"/>
        <rFont val="Times New Roman"/>
        <family val="1"/>
      </rPr>
      <t xml:space="preserve">EMPRESA DE TRANSPORTES E TRÂNSITO DE BELO HORIZONTE S.A - BHTRANS. </t>
    </r>
    <r>
      <rPr>
        <i/>
        <sz val="12"/>
        <color theme="1"/>
        <rFont val="Times New Roman"/>
        <family val="1"/>
      </rPr>
      <t>Sistema de Informações da Mobilidade Urbana de Belo Horizonte (SisMob-BH) [página inicial com apresentação e sumário na home page da BHTrans]</t>
    </r>
    <r>
      <rPr>
        <sz val="12"/>
        <color theme="1"/>
        <rFont val="Times New Roman"/>
        <family val="1"/>
      </rPr>
      <t>. Belo Horizonte: BHTrans, 22 ago. 2016. Disponível em: &lt;http://www.bhtrans.pbh.gov.br/portal/page/portal/portalpublico/Temas/Observatorio/SISMOBBH-2013&gt;. Acesso em: 25 ago. 2016.</t>
    </r>
  </si>
  <si>
    <r>
      <t xml:space="preserve">índice de conformidade com a acessibilidade do elemento "calçadas" do módulo de análise "elementos das travessias" 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 xml:space="preserve">calculado como a média dos BRT IC das estações inspecionadas com base na diretriz "pelo menos um em cada conjunto de catracas, cancelas, porta[s] giratórias ou outro dispositivo de segurança de ingresso deve ser acessível com largura mínima de 80cm" estabelecida em WRI(2016j,p.23) </t>
    </r>
  </si>
  <si>
    <r>
      <t xml:space="preserve">índice de conformidade com a acessibilidade do elemento "planos e mapas acessíveis" do módulo de análise "elementos das plataformas" 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calculado como a média dos BRT IC das estações inspecionadas com base na diretriz "A sinalização deve estar localizada na faixa de alcance entre 1,20 m e 1,60 m em plano vertical, ou entre 0,90 m e 1,20 m em plano inclinado entre 15° e 30° da linha horizontal." em WRI(2016j6,p.23)</t>
    </r>
  </si>
  <si>
    <r>
      <t xml:space="preserve">índice de conformidade com a acessibilidade do elemento "máquinas de venda automática" do módulo de análise "elementos das plataformas" 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obs.2:</t>
    </r>
    <r>
      <rPr>
        <sz val="10"/>
        <color theme="1"/>
        <rFont val="Times New Roman"/>
        <family val="1"/>
      </rPr>
      <t xml:space="preserve"> calculado como a média dos BRT IC das estações inspecionadas com base em cinco diretrizes estabelecidas em WRI(2016j6,p.23): "PROPORÇÃO DE EQUIPAMENTOS ACESSÍVEIS: Nos locais em que forem previstas máquinas de autoatendimento, pelo menos uma para cada tipo de serviço deve ser acessível e estar localizada junto a rotas
acessíveis.; ESPAÇO DE APROXIMAÇÃO: Nos equipamentos acessíveis deve ser garantido um espaço de 1,20 m x 80 cm no piso posicionado para a aproximação frontal e alcance visual frontal ou lateral. Em caso de aproximação frontal, como descrito no item anterior, o equipamento deve ter espaço para posicionamento das pernas com altura mínima de 73 cm e profundidade mínima de 30 cm; CONTROLES: Os controles devem estar localizados à altura entre 0,80 m e 1,20 m do piso,
com profundidade de no máximo 30 cm em relação à face frontal externa do equipamento. Devem seguir o mesmo arranjo do teclado de telefone e a tecla do número cinco deve possuir um ponto relevo no centro.; DISPOSITIVOS PARA INSERÇÃO E RETIRADA DE PRODUTOS: Os dispositivos para inserção de dinheiro e retirada de produtos devem estar localizados à altura entre 40 cm e 1,20 m do piso, com profundidade de no máximo 30 cm em relação à face frontal externa do equipamento, e devem apresentar cor contrastante com a superfície de fundo, para serem facilmente identificados.; INSTRUÇÕES DE USO: Pelo menos um dos equipamentos acessíveis por tipo de serviço deve proporcionar instruções e informações visuais e auditivas ou táteis e conter as mesmas informações escritas em Braille."</t>
    </r>
  </si>
  <si>
    <r>
      <t xml:space="preserve">índice de conformidade com a acessibilidade do elemento "bilheterias das plataformas" do módulo de análise "elementos das plataformas" do sistema BRT de Belo Horizonte
</t>
    </r>
    <r>
      <rPr>
        <b/>
        <sz val="10"/>
        <color theme="1"/>
        <rFont val="Times New Roman"/>
        <family val="1"/>
      </rPr>
      <t xml:space="preserve">obs.1: </t>
    </r>
    <r>
      <rPr>
        <sz val="10"/>
        <color theme="1"/>
        <rFont val="Times New Roman"/>
        <family val="1"/>
      </rPr>
      <t xml:space="preserve">o sistema de BRT de Belo Horizonte é constituido, em 2016, por três corredores: Área Central, Antônio Carlos e Cristiano Machado
</t>
    </r>
    <r>
      <rPr>
        <b/>
        <sz val="10"/>
        <color theme="1"/>
        <rFont val="Times New Roman"/>
        <family val="1"/>
      </rPr>
      <t xml:space="preserve">obs.2: </t>
    </r>
    <r>
      <rPr>
        <sz val="10"/>
        <color theme="1"/>
        <rFont val="Times New Roman"/>
        <family val="1"/>
      </rPr>
      <t xml:space="preserve">calculado como a média dos BRT IC das estações inspecionadas com base em quatro diretrizes estabelecidas em WRI(2016j6,p.23): "LOCALIZAÇÃO: "Deve estar localizada em rotas acessíveis, garantindo área livre de 80cm x 1,20m no piso em frente à bilheteria para a aproximação lateral e área de manobra com rotação de 180° (1,90m x 1,50m)."; DIMENSÕES DO BALCÃO: Extensão mínima: 90cm; Altura: entre 90 cm e 105 cm; Deve ser assegurada altura livre sob a superfície de no mínimo 73cm, com profundidade livre mínima de 30cm para permitir a aproximação frontal ou lateral."
</t>
    </r>
    <r>
      <rPr>
        <b/>
        <sz val="10"/>
        <color theme="1"/>
        <rFont val="Times New Roman"/>
        <family val="1"/>
      </rPr>
      <t xml:space="preserve">obs.3: </t>
    </r>
    <r>
      <rPr>
        <sz val="10"/>
        <color theme="1"/>
        <rFont val="Times New Roman"/>
        <family val="1"/>
      </rPr>
      <t>"O modelo de bilheteria adotado nas estações do Move não possui desenho universal e não atende ao recomendado em norma." conforme WRI(2016j6,p.65)</t>
    </r>
  </si>
  <si>
    <r>
      <rPr>
        <b/>
        <sz val="10"/>
        <rFont val="Times New Roman"/>
        <family val="1"/>
      </rPr>
      <t xml:space="preserve">ABNT-Brasil: </t>
    </r>
    <r>
      <rPr>
        <sz val="10"/>
        <rFont val="Times New Roman"/>
        <family val="1"/>
      </rPr>
      <t>"Para a transposição da fronteira, admite-se um vão máximo de</t>
    </r>
    <r>
      <rPr>
        <b/>
        <sz val="10"/>
        <rFont val="Times New Roman"/>
        <family val="1"/>
      </rPr>
      <t xml:space="preserve"> 30 mm </t>
    </r>
    <r>
      <rPr>
        <sz val="10"/>
        <rFont val="Times New Roman"/>
        <family val="1"/>
      </rPr>
      <t xml:space="preserve">e uma diferença de altura de no
máximo </t>
    </r>
    <r>
      <rPr>
        <b/>
        <sz val="10"/>
        <rFont val="Times New Roman"/>
        <family val="1"/>
      </rPr>
      <t xml:space="preserve">20 mm </t>
    </r>
    <r>
      <rPr>
        <sz val="10"/>
        <rFont val="Times New Roman"/>
        <family val="1"/>
      </rPr>
      <t xml:space="preserve">entre o ponto de parada e o dispositivo para transposição de fronteira, se existir, e entre o dispositivo para transposição de fronteira e o piso do veículo." conforme ABNT(2009a, p.4; 2011a, p.4) e "Para a transposição de fronteira da PEV, em posição de operação, admite-se um vão máximo de </t>
    </r>
    <r>
      <rPr>
        <b/>
        <sz val="10"/>
        <rFont val="Times New Roman"/>
        <family val="1"/>
      </rPr>
      <t>30 mm</t>
    </r>
    <r>
      <rPr>
        <sz val="10"/>
        <rFont val="Times New Roman"/>
        <family val="1"/>
      </rPr>
      <t xml:space="preserve"> e uma diferença de altura de no máximo </t>
    </r>
    <r>
      <rPr>
        <b/>
        <sz val="10"/>
        <rFont val="Times New Roman"/>
        <family val="1"/>
      </rPr>
      <t>20 mm</t>
    </r>
    <r>
      <rPr>
        <sz val="10"/>
        <rFont val="Times New Roman"/>
        <family val="1"/>
      </rPr>
      <t xml:space="preserve"> entre o ponto de parada e o dispositivo para transposição de fronteira, se existir, e entre o dispositivo para transposição de fronteira e o piso do veículo." conforme ABNT(2016e, p.5)
</t>
    </r>
    <r>
      <rPr>
        <b/>
        <sz val="10"/>
        <rFont val="Times New Roman"/>
        <family val="1"/>
      </rPr>
      <t xml:space="preserve">ABNT-Brasil: </t>
    </r>
    <r>
      <rPr>
        <sz val="10"/>
        <rFont val="Times New Roman"/>
        <family val="1"/>
      </rPr>
      <t xml:space="preserve">"Nenhum vão entre o veículo e a rampa de acesso, em posição de operação e transporte, deve exceder </t>
    </r>
    <r>
      <rPr>
        <b/>
        <sz val="10"/>
        <rFont val="Times New Roman"/>
        <family val="1"/>
      </rPr>
      <t>30 mm</t>
    </r>
    <r>
      <rPr>
        <sz val="10"/>
        <rFont val="Times New Roman"/>
        <family val="1"/>
      </rPr>
      <t xml:space="preserve">" conforme ABNT(2016e, p.7)
</t>
    </r>
    <r>
      <rPr>
        <b/>
        <sz val="10"/>
        <rFont val="Times New Roman"/>
        <family val="1"/>
      </rPr>
      <t xml:space="preserve">obs.: </t>
    </r>
    <r>
      <rPr>
        <sz val="10"/>
        <rFont val="Times New Roman"/>
        <family val="1"/>
      </rPr>
      <t>as duas diretrizes do elemento "nivelamento do ônibus com a plataforma" do ckecklist de acessibilidade elaborado pelo WRI são "Admite-se, se existir, um desnível vertical máximo de 2 cm." e "Admite-se, se existir, vão horizontal máximo de 3 cm." conforme WRI(2016j6,p.24)</t>
    </r>
  </si>
  <si>
    <t>BRT IC (fronteira)</t>
  </si>
  <si>
    <r>
      <t xml:space="preserve">índice de conformidade com a acessibilidade da fronteira de cada uma das 41 estações de transferência do sistema BRT de Belo Horizonte
</t>
    </r>
    <r>
      <rPr>
        <b/>
        <sz val="10"/>
        <color theme="1"/>
        <rFont val="Times New Roman"/>
        <family val="1"/>
      </rPr>
      <t xml:space="preserve">obs.: </t>
    </r>
    <r>
      <rPr>
        <sz val="10"/>
        <color theme="1"/>
        <rFont val="Times New Roman"/>
        <family val="1"/>
      </rPr>
      <t>indicador a ser definido conforme OLIVEIRA(2017a2)</t>
    </r>
  </si>
  <si>
    <t>Milão</t>
  </si>
  <si>
    <t>Milão acessível</t>
  </si>
  <si>
    <t>"O site da cidade está em total conformidade com as diretrizes de acessibilidade internacionais. A secção 'Milão Acessível' do site descreve os serviços específicos de mobilidade e 10 rotas turísticas acessíveis. Para cada rota existem detalhes dos caminhos pedonais, transportes públicos, monumentos e outros pontos de interesse." confome EC(2016c1,p.6)</t>
  </si>
  <si>
    <t>plano de eliminação de
barreiras</t>
  </si>
  <si>
    <t>Wiesbaden</t>
  </si>
  <si>
    <t>Vaassa</t>
  </si>
  <si>
    <t>Toulouse</t>
  </si>
  <si>
    <t>Kaposvár</t>
  </si>
  <si>
    <t>tempo de travessia</t>
  </si>
  <si>
    <r>
      <rPr>
        <b/>
        <sz val="12"/>
        <rFont val="Times New Roman"/>
        <family val="1"/>
      </rPr>
      <t>BRASIL(2011a):</t>
    </r>
    <r>
      <rPr>
        <sz val="12"/>
        <rFont val="Times New Roman"/>
        <family val="1"/>
      </rPr>
      <t xml:space="preserve"> BRASIL. Conselho Nacional de Trânsito - Contran. </t>
    </r>
    <r>
      <rPr>
        <i/>
        <sz val="12"/>
        <rFont val="Times New Roman"/>
        <family val="1"/>
      </rPr>
      <t>Resolução Contran n.º 396, de 13 de dezembro de 2011</t>
    </r>
    <r>
      <rPr>
        <sz val="12"/>
        <rFont val="Times New Roman"/>
        <family val="1"/>
      </rPr>
      <t>. Dispõe sobre requisitos técnicos mínimos para a fiscalização da velocidade de veículos automotores, reboques e semirreboques, conforme o Código de Trânsito Brasileiro. Disponível em: &lt;http://www.denatran.gov.br/download/Resolucoes/RESOLUCAO_CONTRAN_396_11.pdf&gt;. Acesso em: 21 jul. 2016.</t>
    </r>
  </si>
  <si>
    <t>entreverdes para os pedestres</t>
  </si>
  <si>
    <t>acesse o verbete "velocidade de travessia"</t>
  </si>
  <si>
    <t>tempo de verde de segurança</t>
  </si>
  <si>
    <r>
      <t xml:space="preserve">tempo de travessia viária de pedestres a ser considerado em um local semaforizado, seja em uma interseção ou entre interseções
</t>
    </r>
    <r>
      <rPr>
        <b/>
        <strike/>
        <sz val="8"/>
        <color theme="1"/>
        <rFont val="Times New Roman"/>
        <family val="1"/>
      </rPr>
      <t>obs.1:</t>
    </r>
    <r>
      <rPr>
        <strike/>
        <sz val="8"/>
        <color theme="1"/>
        <rFont val="Times New Roman"/>
        <family val="1"/>
      </rPr>
      <t xml:space="preserve"> "O entreverdes para os pedestres é composto basicamente pelos intervalos de vermelho intermitente e de vermelho geral. O intervalo de vermelho intermitente deve ser suficiente para que o pedestre que iniciou sua travessia no intervalo de verde possa concluí-la com segurança na velocidade normal de caminhada. O intervalo de vermelho geral deve ter duração mínima de 1 segundo." conforme BRASIL(2014c,p.91-item 6.7.2 Entreverdes para os pedestres)
</t>
    </r>
    <r>
      <rPr>
        <b/>
        <strike/>
        <sz val="8"/>
        <color theme="1"/>
        <rFont val="Times New Roman"/>
        <family val="1"/>
      </rPr>
      <t xml:space="preserve">obs.2: </t>
    </r>
    <r>
      <rPr>
        <strike/>
        <sz val="8"/>
        <color theme="1"/>
        <rFont val="Times New Roman"/>
        <family val="1"/>
      </rPr>
      <t xml:space="preserve">"Tempos de verde excessivamente curtos não são admissíveis, mesmo que sejam suficientes para atender a respectiva demanda, pois conduzem a situações com alto potencial de acidentes. Para evitá-los, define-se para cada grupo de movimentos, um parâmetro denominado tempo de verde de segurança, que corresponde ao valor mínimo admissível para a duração do tempo de verde que atende a esse grupo. O dimensionamento da duração desse elemento para veículos é função da hierarquia da via, do volume de veículos, da largura da transversal, da composição do tráfego e da presença de pedestres. Especificamente com relação à presença de pedestres, o tempo de verde de segurança para os veículos deve ter a duração necessária para garantir a travessia dos pedestres, com ou sem grupo focal para pedestres, cujo deslocamento é paralelo ao movimento para o qual está se determinando o verde de segurança veicular. Os valores utilizados para o tempo de verde de segurança para os veículos variam usualmente entre 10 e 20 segundos, não sendo admitidos valores inferiores a 10 segundos. O dimensionamento do tempo de verde de segurança para pedestres é função do volume de pedestres e das características específicas de cada travessia. Recomenda-se que a duração desse verde de segurança seja igual ou superior a 4 (quatro) segundos. Deve-se ressaltar que o tempo de verde de segurança não é dimensionado em função do tempo de duração da travessia. A realização da travessia é assegurada pelo intervalo de vermelho intermitente." conforme BRASIL(2014c,p.99-100-item 6.14 Tempo de verde de segurança)
</t>
    </r>
    <r>
      <rPr>
        <b/>
        <strike/>
        <sz val="8"/>
        <color theme="1"/>
        <rFont val="Times New Roman"/>
        <family val="1"/>
      </rPr>
      <t xml:space="preserve">obs.3: </t>
    </r>
    <r>
      <rPr>
        <strike/>
        <sz val="8"/>
        <color theme="1"/>
        <rFont val="Times New Roman"/>
        <family val="1"/>
      </rPr>
      <t>acesse o verbete "velocidade de travessia"</t>
    </r>
  </si>
  <si>
    <t>velocidade de pedestres</t>
  </si>
  <si>
    <r>
      <rPr>
        <b/>
        <strike/>
        <sz val="8"/>
        <color theme="1"/>
        <rFont val="Times New Roman"/>
        <family val="1"/>
      </rPr>
      <t xml:space="preserve">2014: </t>
    </r>
    <r>
      <rPr>
        <strike/>
        <sz val="8"/>
        <color theme="1"/>
        <rFont val="Times New Roman"/>
        <family val="1"/>
      </rPr>
      <t xml:space="preserve">"Usualmente, adota-se o tempo de percepção e reação do pedestre igual a 1,0s e a sua velocidade igual a 1,2m/s. Em situações específicas, em que o local é utilizado sistematicamente por pedestres com mobilidade reduzida ou quando, devido às características do local, são verificados deslocamentos mais lentos, estes valores devem ser substituídos por outros levantados diretamente em campo." conforme BRASIL(2014c,p.92-item 6.7.2 Entreverdes para os pedestres)
</t>
    </r>
    <r>
      <rPr>
        <b/>
        <strike/>
        <sz val="8"/>
        <color theme="1"/>
        <rFont val="Times New Roman"/>
        <family val="1"/>
      </rPr>
      <t xml:space="preserve">2015: </t>
    </r>
    <r>
      <rPr>
        <strike/>
        <sz val="8"/>
        <color theme="1"/>
        <rFont val="Times New Roman"/>
        <family val="1"/>
      </rPr>
      <t xml:space="preserve">"O tempo de travessia de pedestres deve estar adequado à marcha de pessoas com mobilidade reduzida de 0,4 m/s." conforme BRASIL(2015a/p.114-item 8.2.2 Semáforo de pedestre)
</t>
    </r>
    <r>
      <rPr>
        <b/>
        <strike/>
        <sz val="8"/>
        <color theme="1"/>
        <rFont val="Times New Roman"/>
        <family val="1"/>
      </rPr>
      <t xml:space="preserve">obs.: </t>
    </r>
    <r>
      <rPr>
        <strike/>
        <sz val="8"/>
        <color theme="1"/>
        <rFont val="Times New Roman"/>
        <family val="1"/>
      </rPr>
      <t>acesse o verbete "tempo de travessia"</t>
    </r>
  </si>
  <si>
    <t>semáforo especial</t>
  </si>
  <si>
    <t>semáforos especiais são semáforos com máscara sobre seus focos nas proximidades de edifícios históricos de Belo Horizonte com a "finalidade de chamar a atenção da população para o patrimônio cultural da cidade" conforme BHTRANS(2016wf3)</t>
  </si>
  <si>
    <t>semáforo de pedestre</t>
  </si>
  <si>
    <r>
      <rPr>
        <b/>
        <sz val="12"/>
        <rFont val="Times New Roman"/>
        <family val="1"/>
      </rPr>
      <t xml:space="preserve">BRASIL(2014b1): </t>
    </r>
    <r>
      <rPr>
        <sz val="12"/>
        <color theme="1"/>
        <rFont val="Times New Roman"/>
        <family val="1"/>
      </rPr>
      <t xml:space="preserve">BRASIL. Conselho Nacional de Trânsito - Contran. </t>
    </r>
    <r>
      <rPr>
        <i/>
        <sz val="12"/>
        <color theme="1"/>
        <rFont val="Times New Roman"/>
        <family val="1"/>
      </rPr>
      <t>Resolução n.º 483, de 9 de abril de 2014</t>
    </r>
    <r>
      <rPr>
        <sz val="12"/>
        <color theme="1"/>
        <rFont val="Times New Roman"/>
        <family val="1"/>
      </rPr>
      <t>. Aprova o Volume V – Sinalização Semafórica do Manual Brasileiro de Sinalização de
Trânsito e altera o Anexo da Resolução CONTRAN nº 160, de 2004. Disponível em: &lt;http://www.denatran.gov.br/download/Resolucoes/Resolucao4832014.pdf&gt;. Acesso em: 16 jan. 2017.</t>
    </r>
  </si>
  <si>
    <r>
      <rPr>
        <b/>
        <sz val="10"/>
        <color theme="1"/>
        <rFont val="Times New Roman"/>
        <family val="1"/>
      </rPr>
      <t>jan.2011:</t>
    </r>
    <r>
      <rPr>
        <sz val="10"/>
        <color theme="1"/>
        <rFont val="Times New Roman"/>
        <family val="1"/>
      </rPr>
      <t xml:space="preserve"> "Para ser considerado acessível, o veículo deve possuir uma das características a seguir: a) piso baixo; b) piso alto com acesso realizado por plataforma de embarque/desembarque; c) piso alto equipado com plataforma elevatória veicular. A utilização de veículo de piso alto equipado com plataforma elevatória veicular pode ser considerada nos casos em que as alternativas 6-a) e 6-b) não possam ser utilizadas. A decisão quanto à escolha das características do veículo acessível é prerrogativa do Poder Concedente de Transporte.  Recomenda-se que esta decisão leve em consideração a infra-estrutura do sistema de transporte disponível, as condições de operação e as características físicas das vias que possam dificultar ou impedir a plena circulação dos veículos, como, por exemplo, concordância entre vias, valetas, lombadas e raios de curvatura. Outras alternativas de veículos e/ou a associação com novas opções de dispositivos para transposição de fronteira podem ser consideradas, desde que atendam aos requisitos desta Norma." conforme ABNT(2011a, p.5)
</t>
    </r>
    <r>
      <rPr>
        <b/>
        <sz val="10"/>
        <color theme="1"/>
        <rFont val="Times New Roman"/>
        <family val="1"/>
      </rPr>
      <t>dez.2010: "</t>
    </r>
    <r>
      <rPr>
        <sz val="10"/>
        <color theme="1"/>
        <rFont val="Times New Roman"/>
        <family val="1"/>
      </rPr>
      <t xml:space="preserve">As “características” ou os “tipos” de acessibilidade, conferidas nos veículos fabricados e adaptados a partir da publicação desta Deliberação, para transporte coletivo de passageiros, devem constar no campo “observações” do CRV e do CRLV dos mesmos." conforme BRASIL(2010b, caput do art.1º), citado em OLIVEIRA(2015a, p.7)
</t>
    </r>
    <r>
      <rPr>
        <b/>
        <sz val="10"/>
        <color theme="1"/>
        <rFont val="Times New Roman"/>
        <family val="1"/>
      </rPr>
      <t xml:space="preserve">dez.2010: </t>
    </r>
    <r>
      <rPr>
        <sz val="10"/>
        <color theme="1"/>
        <rFont val="Times New Roman"/>
        <family val="1"/>
      </rPr>
      <t xml:space="preserve">"Para efeito desta Deliberação, considera-se: I - “características” de acessibilidade para veículos fabricados de aplicação urbana: a) piso baixo; b) piso alto com acesso realizado por meio de plataforma de embarque / desembarque; c) piso alto equipado com plataforma elevatória veicular" conforme BRASIL(2010b, inciso I do art.4º)
</t>
    </r>
    <r>
      <rPr>
        <b/>
        <sz val="10"/>
        <color theme="1"/>
        <rFont val="Times New Roman"/>
        <family val="1"/>
      </rPr>
      <t xml:space="preserve">obs.: </t>
    </r>
    <r>
      <rPr>
        <sz val="10"/>
        <color theme="1"/>
        <rFont val="Times New Roman"/>
        <family val="1"/>
      </rPr>
      <t>acesse os diversos outros registros de "ônibus urbano" que tratam da acessibilidade</t>
    </r>
  </si>
  <si>
    <t>cor vermelha do semáforo</t>
  </si>
  <si>
    <t>cor vermelha intermitente do semáforo</t>
  </si>
  <si>
    <t>"Vermelha: indica que os pedestres não podem atravessar" conforme BRASIL(2014b1,letra a do item 4.1.2. Cores das Indicações Luminosas)</t>
  </si>
  <si>
    <t>"Vermelha Intermitente: Indica para o pedestre o término do direito de iniciar a travessia. Sua duração deve permitir a conclusão das travessias iniciadas no tempo de verde" conforme BRASIL(2014b1,letra a do item 4.1.2. Cores das Indicações Luminosas)</t>
  </si>
  <si>
    <r>
      <t xml:space="preserve">Convenção [da ONU] sobre os Direitos das Pessoas com Deficiência 
</t>
    </r>
    <r>
      <rPr>
        <b/>
        <sz val="10"/>
        <color theme="1"/>
        <rFont val="Times New Roman"/>
        <family val="1"/>
      </rPr>
      <t xml:space="preserve">obs.1: </t>
    </r>
    <r>
      <rPr>
        <sz val="10"/>
        <color theme="1"/>
        <rFont val="Times New Roman"/>
        <family val="1"/>
      </rPr>
      <t xml:space="preserve">Convención sobre los derechos de las personas con discapacidad (espanhol) / UN Convention on the Rights of Persons with Disabilities (inglês)
</t>
    </r>
    <r>
      <rPr>
        <b/>
        <sz val="10"/>
        <color theme="1"/>
        <rFont val="Times New Roman"/>
        <family val="1"/>
      </rPr>
      <t xml:space="preserve">obs.2: </t>
    </r>
    <r>
      <rPr>
        <sz val="10"/>
        <color theme="1"/>
        <rFont val="Times New Roman"/>
        <family val="1"/>
      </rPr>
      <t xml:space="preserve">___ em 2007 conforme ___ e ___ em 2008 conforme ___
</t>
    </r>
    <r>
      <rPr>
        <b/>
        <sz val="10"/>
        <color theme="1"/>
        <rFont val="Times New Roman"/>
        <family val="1"/>
      </rPr>
      <t xml:space="preserve">obs.3: </t>
    </r>
    <r>
      <rPr>
        <sz val="10"/>
        <color theme="1"/>
        <rFont val="Times New Roman"/>
        <family val="1"/>
      </rPr>
      <t xml:space="preserve">comentada em BRASIL (2008c; 2014)
</t>
    </r>
    <r>
      <rPr>
        <b/>
        <sz val="10"/>
        <color theme="1"/>
        <rFont val="Times New Roman"/>
        <family val="1"/>
      </rPr>
      <t xml:space="preserve">obs.4: </t>
    </r>
    <r>
      <rPr>
        <sz val="10"/>
        <color theme="1"/>
        <rFont val="Times New Roman"/>
        <family val="1"/>
      </rPr>
      <t xml:space="preserve">a convenção é "o primeiro instrumento de direitos humanos juridicamente vinculativo a nível internacional do qual a UE e os Estados-Membros são partes" cpnforme EC(2010a, p.3)
</t>
    </r>
    <r>
      <rPr>
        <b/>
        <sz val="10"/>
        <color theme="1"/>
        <rFont val="Times New Roman"/>
        <family val="1"/>
      </rPr>
      <t xml:space="preserve">obs.5: </t>
    </r>
    <r>
      <rPr>
        <sz val="10"/>
        <color theme="1"/>
        <rFont val="Times New Roman"/>
        <family val="1"/>
      </rPr>
      <t>em 2012 a ONU exorta seus membros a ratificarem a convenção: "Alienta a los Estados Miembros que todavía no lo hayan hecho a que consideren la posibilidad de hacerse partes contratantes en los instrumentos jurídicos de las Naciones Unidas relativos a la seguridad vial y los apliquen, así como a que consideren la posibilidad de firmar y ratificar la Convención sobre los derechos de las personas con discapacidad..." conforme ONU(2012a, p.5)</t>
    </r>
  </si>
  <si>
    <r>
      <t xml:space="preserve">tempo de travessia viária de pedestres a ser considerado em um local semaforizado, seja em uma interseção ou entre interseções
</t>
    </r>
    <r>
      <rPr>
        <b/>
        <sz val="10"/>
        <color theme="1"/>
        <rFont val="Times New Roman"/>
        <family val="1"/>
      </rPr>
      <t>obs.1:</t>
    </r>
    <r>
      <rPr>
        <sz val="10"/>
        <color theme="1"/>
        <rFont val="Times New Roman"/>
        <family val="1"/>
      </rPr>
      <t xml:space="preserve"> "O entreverdes para os pedestres é composto basicamente pelos intervalos de vermelho intermitente e de vermelho geral. O intervalo de vermelho intermitente deve ser suficiente para que o pedestre que iniciou sua travessia no intervalo de verde possa concluí-la com segurança na velocidade normal de caminhada. O intervalo de vermelho geral deve ter duração mínima de 1 segundo." conforme BRASIL(2014b2,p.91-item 6.7.2 Entreverdes para os pedestres)
</t>
    </r>
    <r>
      <rPr>
        <b/>
        <sz val="10"/>
        <color theme="1"/>
        <rFont val="Times New Roman"/>
        <family val="1"/>
      </rPr>
      <t xml:space="preserve">obs.2: </t>
    </r>
    <r>
      <rPr>
        <sz val="10"/>
        <color theme="1"/>
        <rFont val="Times New Roman"/>
        <family val="1"/>
      </rPr>
      <t xml:space="preserve">"Tempos de verde excessivamente curtos não são admissíveis, mesmo que sejam suficientes para atender a respectiva demanda, pois conduzem a situações com alto potencial de acidentes. Para evitá-los, define-se para cada grupo de movimentos, um parâmetro denominado tempo de verde de segurança, que corresponde ao valor mínimo admissível para a duração do tempo de verde que atende a esse grupo. O dimensionamento da duração desse elemento para veículos é função da hierarquia da via, do volume de veículos, da largura da transversal, da composição do tráfego e da presença de pedestres. Especificamente com relação à presença de pedestres, o tempo de verde de segurança para os veículos deve ter a duração necessária para garantir a travessia dos pedestres, com ou sem grupo focal para pedestres, cujo deslocamento é paralelo ao movimento para o qual está se determinando o verde de segurança veicular. Os valores utilizados para o tempo de verde de segurança para os veículos variam usualmente entre 10 e 20 segundos, não sendo admitidos valores inferiores a 10 segundos. O dimensionamento do tempo de verde de segurança para pedestres é função do volume de pedestres e das características específicas de cada travessia. Recomenda-se que a duração desse verde de segurança seja igual ou superior a 4 (quatro) segundos. Deve-se ressaltar que o tempo de verde de segurança não é dimensionado em função do tempo de duração da travessia. A realização da travessia é assegurada pelo intervalo de vermelho intermitente." conforme BRASIL(2014b2,p.99-100-item 6.14 Tempo de verde de segurança)
</t>
    </r>
    <r>
      <rPr>
        <b/>
        <sz val="10"/>
        <color theme="1"/>
        <rFont val="Times New Roman"/>
        <family val="1"/>
      </rPr>
      <t xml:space="preserve">obs.3: </t>
    </r>
    <r>
      <rPr>
        <sz val="10"/>
        <color theme="1"/>
        <rFont val="Times New Roman"/>
        <family val="1"/>
      </rPr>
      <t>acesse o verbete "velocidade de travessia" e os verbetes "cor do semáforo"</t>
    </r>
  </si>
  <si>
    <r>
      <rPr>
        <b/>
        <sz val="12"/>
        <rFont val="Times New Roman"/>
        <family val="1"/>
      </rPr>
      <t xml:space="preserve">BRASIL(2014b2): </t>
    </r>
    <r>
      <rPr>
        <sz val="12"/>
        <rFont val="Times New Roman"/>
        <family val="1"/>
      </rPr>
      <t xml:space="preserve">BRASIL. Conselho Nacional de Trânsito - Contran. </t>
    </r>
    <r>
      <rPr>
        <i/>
        <sz val="12"/>
        <rFont val="Times New Roman"/>
        <family val="1"/>
      </rPr>
      <t>Manual Brasileiro de Sinalização de Trânsito - Volume V [anexo à Resolução Contran n.º 483, de 9 de abril de 2014]</t>
    </r>
    <r>
      <rPr>
        <sz val="12"/>
        <rFont val="Times New Roman"/>
        <family val="1"/>
      </rPr>
      <t>. Brasília: Contran, 2014. 310p. Disponível para baixar em: &lt;http://www.denatran.gov.br/index.php/resolucoes&gt;. Acesso em: 16 jan. 2017.</t>
    </r>
  </si>
  <si>
    <r>
      <rPr>
        <b/>
        <sz val="10"/>
        <color theme="1"/>
        <rFont val="Times New Roman"/>
        <family val="1"/>
      </rPr>
      <t xml:space="preserve">2014: </t>
    </r>
    <r>
      <rPr>
        <sz val="10"/>
        <color theme="1"/>
        <rFont val="Times New Roman"/>
        <family val="1"/>
      </rPr>
      <t xml:space="preserve">"Usualmente, adota-se o tempo de percepção e reação do pedestre igual a 1,0s e a sua velocidade igual a 1,2m/s. Em situações específicas, em que o local é utilizado sistematicamente por pedestres com mobilidade reduzida ou quando, devido às características do local, são verificados deslocamentos mais lentos, estes valores devem ser substituídos por outros levantados diretamente em campo." conforme BRASIL(2014b2,p.92-item 6.7.2 Entreverdes para os pedestres)
</t>
    </r>
    <r>
      <rPr>
        <b/>
        <sz val="10"/>
        <color theme="1"/>
        <rFont val="Times New Roman"/>
        <family val="1"/>
      </rPr>
      <t xml:space="preserve">2015: </t>
    </r>
    <r>
      <rPr>
        <sz val="10"/>
        <color theme="1"/>
        <rFont val="Times New Roman"/>
        <family val="1"/>
      </rPr>
      <t xml:space="preserve">"O tempo de travessia de pedestres deve estar adequado à marcha de pessoas com mobilidade reduzida de 0,4 m/s." conforme ABNT(2015a,p.114-item 8.2.2 Semáforo de pedestre)
</t>
    </r>
    <r>
      <rPr>
        <b/>
        <sz val="10"/>
        <color theme="1"/>
        <rFont val="Times New Roman"/>
        <family val="1"/>
      </rPr>
      <t xml:space="preserve">obs.: </t>
    </r>
    <r>
      <rPr>
        <sz val="10"/>
        <color theme="1"/>
        <rFont val="Times New Roman"/>
        <family val="1"/>
      </rPr>
      <t>acesse o verbete "tempo de travessia"</t>
    </r>
  </si>
  <si>
    <r>
      <rPr>
        <b/>
        <sz val="10"/>
        <color theme="1"/>
        <rFont val="Times New Roman"/>
        <family val="1"/>
      </rPr>
      <t xml:space="preserve">1991: </t>
    </r>
    <r>
      <rPr>
        <sz val="10"/>
        <color theme="1"/>
        <rFont val="Times New Roman"/>
        <family val="1"/>
      </rPr>
      <t xml:space="preserve">"parte da calçada ou da pista de rolamento, neste último caso, separada por pintura ou elemento físico separador, livre de interferências, destinada à circulação exclusiva de pedestres e, excepcionalmente, de ciclistas" conforme BRASIL(1991a, Anexo I-passeio)
</t>
    </r>
    <r>
      <rPr>
        <b/>
        <sz val="10"/>
        <color theme="1"/>
        <rFont val="Times New Roman"/>
        <family val="1"/>
      </rPr>
      <t xml:space="preserve">1997: </t>
    </r>
    <r>
      <rPr>
        <sz val="10"/>
        <color theme="1"/>
        <rFont val="Times New Roman"/>
        <family val="1"/>
      </rPr>
      <t xml:space="preserve">"parte da calçada ou da pista de rolamento, neste último caso separada por pintura ou elemento físico, livre de interferências, destinada à circulação exclusiva de pedestres e, excepcionalmente, de ciclistas" conforme ABNT(2015a, p.5)
1997: "Desde que autorizado e devidamente sinalizado pelo órgão ou entidade com circunscrição sobre a via, será permitida a circulação de bicicletas nos passeios" conforme BRASIL(1997a, art.59)
2015: "O passeio público, elemento obrigatório de urbanização e parte da via pública, normalmente segregado e em nível diferente, destina-se somente à circulação de pedestres e, quando possível, à implantação de mobiliário urbano e de vegetação." conforme BRASIL(2015a), que altera BRASIL(2000a,parágrafo único do art.3º)
</t>
    </r>
    <r>
      <rPr>
        <b/>
        <sz val="10"/>
        <color theme="1"/>
        <rFont val="Times New Roman"/>
        <family val="1"/>
      </rPr>
      <t xml:space="preserve">obs.: </t>
    </r>
    <r>
      <rPr>
        <sz val="10"/>
        <color theme="1"/>
        <rFont val="Times New Roman"/>
        <family val="1"/>
      </rPr>
      <t>acesse o verbete "calçada"</t>
    </r>
  </si>
  <si>
    <r>
      <rPr>
        <b/>
        <sz val="10"/>
        <rFont val="Times New Roman"/>
        <family val="1"/>
      </rPr>
      <t xml:space="preserve">2000: </t>
    </r>
    <r>
      <rPr>
        <sz val="10"/>
        <rFont val="Times New Roman"/>
        <family val="1"/>
      </rPr>
      <t xml:space="preserve">"Art.9º - Os semáforos para pedestres instalados nas vias públicas deverão estar equipados com mecanismo
que emita sinal sonoro suave, intermitente e sem estridência, ou com mecanismo alternativo, que sirva de guia ou orientação para a travessia de pessoas portadoras de deficiência visual, se a intensidade do fluxo de veículos e a periculosidade da via assim determinarem. " conforme BRASIL(2000a)
</t>
    </r>
    <r>
      <rPr>
        <b/>
        <sz val="10"/>
        <rFont val="Times New Roman"/>
        <family val="1"/>
      </rPr>
      <t xml:space="preserve">2015: </t>
    </r>
    <r>
      <rPr>
        <sz val="10"/>
        <rFont val="Times New Roman"/>
        <family val="1"/>
      </rPr>
      <t>"Párágrafo único [do art.9º] - Os semáforos para pedestres instalados em vias públicas de grande circulação, ou que deem acesso aos serviços de reabilitação, devem obrigatoriamente estar equipados com mecanismo que emita sinal sonoro suave para orientação do pedestre." conforme BRASIL(2015a) que altera BRASIL(2000a, parágrafo único incluído ao art.9º)</t>
    </r>
    <r>
      <rPr>
        <b/>
        <sz val="10"/>
        <rFont val="Times New Roman"/>
        <family val="1"/>
      </rPr>
      <t xml:space="preserve">
2015:</t>
    </r>
    <r>
      <rPr>
        <sz val="10"/>
        <rFont val="Times New Roman"/>
        <family val="1"/>
      </rPr>
      <t xml:space="preserve"> "8.2.2.1 Os dispositivos de acionamento manual para travessia de pedestres devem situar-se entre 0,80 m e 1,20 m de altura do piso acabado. / 8.2.2.2 O tempo de travessia de pedestres deve estar adequado à marcha de pessoas com mobilidade reduzida de 0,4 m/s. [acesse verbete "tempo de travessia"] / 8.2.2.3 Os semáforos para pedestres devem estar equipados com mecanismos e dispositivos sincronizados que contenham sinais visuais e sonoros em conformidade com 5.2." conforme ABNT(2015a,p.114-item 8.2.2)</t>
    </r>
  </si>
  <si>
    <t>plano de rotas acessíveis</t>
  </si>
  <si>
    <r>
      <t xml:space="preserve">"As cidades de que trata o caput deste artigo devem elaborar plano de rotas acessíveis, compatível com o plano diretor no qual está inserido, que disponha sobre os passeios públicos a serem implantados ou reformados pelo poder público, com vistas a garantir acessibilidade da pessoa com deficiência ou com mobilidade reduzida a todas as rotas e vias existentes, inclusive as que concentrem os focos geradores de maior circulação de pedestres, como os órgãos públicos e os locais de prestação de serviços públicos e privados de saúde, educação, assistência social, esporte, cultura, correios e telégrafos, bancos, entre outros, sempre que possível de maneira integrada com os sistemas de transporte coletivo de passageiros." conforme BRASIL(2015a) incluído como §3º do art.41 em BRASIL(2000a)
</t>
    </r>
    <r>
      <rPr>
        <b/>
        <sz val="10"/>
        <color theme="1"/>
        <rFont val="Times New Roman"/>
        <family val="1"/>
      </rPr>
      <t xml:space="preserve">obs.: </t>
    </r>
    <r>
      <rPr>
        <sz val="10"/>
        <color theme="1"/>
        <rFont val="Times New Roman"/>
        <family val="1"/>
      </rPr>
      <t>acesse o verbete "passeio"</t>
    </r>
  </si>
  <si>
    <r>
      <rPr>
        <b/>
        <sz val="10"/>
        <color theme="1"/>
        <rFont val="Times New Roman"/>
        <family val="1"/>
      </rPr>
      <t>1)</t>
    </r>
    <r>
      <rPr>
        <sz val="10"/>
        <color theme="1"/>
        <rFont val="Times New Roman"/>
        <family val="1"/>
      </rPr>
      <t xml:space="preserve"> "parte da via, normalmente segregada e em nível diferente, não destinada à circulação de veículos, reservada ao trânsito de pedestres e, quando possível, à implantação de mobiliário urbano, sinalização, vegetação e outros fins." conforme BRASIL(1997a/Anexo I)
</t>
    </r>
    <r>
      <rPr>
        <b/>
        <sz val="10"/>
        <color theme="1"/>
        <rFont val="Times New Roman"/>
        <family val="1"/>
      </rPr>
      <t xml:space="preserve">2) </t>
    </r>
    <r>
      <rPr>
        <sz val="10"/>
        <color theme="1"/>
        <rFont val="Times New Roman"/>
        <family val="1"/>
      </rPr>
      <t xml:space="preserve">"parte da via, normalmente segregada e em nível diferente, não destinada à circulação de veículos, reservada ao trânsito de pedestres e, quando possível, à implantação de mobiliário, sinalização, vegetação, placas de sinalização e outros fins" conforme ABNT(2015a, p.3)
</t>
    </r>
    <r>
      <rPr>
        <b/>
        <sz val="10"/>
        <color theme="1"/>
        <rFont val="Times New Roman"/>
        <family val="1"/>
      </rPr>
      <t xml:space="preserve">obs.1: </t>
    </r>
    <r>
      <rPr>
        <sz val="10"/>
        <color theme="1"/>
        <rFont val="Times New Roman"/>
        <family val="1"/>
      </rPr>
      <t xml:space="preserve">oito "princípios da calçada para desenvolver cidades mais ativas" estão apresentados em WRI(2015d)
</t>
    </r>
    <r>
      <rPr>
        <b/>
        <sz val="10"/>
        <color theme="1"/>
        <rFont val="Times New Roman"/>
        <family val="1"/>
      </rPr>
      <t>obs.2:</t>
    </r>
    <r>
      <rPr>
        <sz val="10"/>
        <color theme="1"/>
        <rFont val="Times New Roman"/>
        <family val="1"/>
      </rPr>
      <t xml:space="preserve"> acesse os verbetes "passeio" e "plano de rotas acessíveis"</t>
    </r>
  </si>
  <si>
    <t>travessias em dois tempos</t>
  </si>
  <si>
    <r>
      <rPr>
        <b/>
        <sz val="12"/>
        <rFont val="Times New Roman"/>
        <family val="1"/>
      </rPr>
      <t>BHTRANS(2015zb):</t>
    </r>
    <r>
      <rPr>
        <sz val="12"/>
        <rFont val="Times New Roman"/>
        <family val="1"/>
      </rPr>
      <t xml:space="preserve"> EMPRESA DE TRANSPORTES E TRÂNSITO DE BELO HORIZONTE S.A - BHTRANS. Diretoria de Sistema Viário - DSV. </t>
    </r>
    <r>
      <rPr>
        <i/>
        <sz val="12"/>
        <rFont val="Times New Roman"/>
        <family val="1"/>
      </rPr>
      <t>Relatório de avaliação de potenciais riscos ed acidentes de trânsito no rotor Paraná/Santos Dumont</t>
    </r>
    <r>
      <rPr>
        <sz val="12"/>
        <rFont val="Times New Roman"/>
        <family val="1"/>
      </rPr>
      <t>. Belo Horizonte: BHTRans, abril de 2015. [12p.]</t>
    </r>
  </si>
  <si>
    <r>
      <rPr>
        <b/>
        <sz val="12"/>
        <color theme="1"/>
        <rFont val="Times New Roman"/>
        <family val="1"/>
      </rPr>
      <t>DAROS (2016):</t>
    </r>
    <r>
      <rPr>
        <sz val="12"/>
        <color theme="1"/>
        <rFont val="Times New Roman"/>
        <family val="1"/>
      </rPr>
      <t xml:space="preserve"> DAROS, Adilson Elpidio Daros. </t>
    </r>
    <r>
      <rPr>
        <i/>
        <sz val="12"/>
        <color theme="1"/>
        <rFont val="Times New Roman"/>
        <family val="1"/>
      </rPr>
      <t>Entrevista do gerente da Gerência de Contratos de Concessão e Tarifas - Gecet/DTP a Marcos Fontoura de Oliveira</t>
    </r>
    <r>
      <rPr>
        <sz val="12"/>
        <color theme="1"/>
        <rFont val="Times New Roman"/>
        <family val="1"/>
      </rPr>
      <t xml:space="preserve">. Belo Horizonte, 4 maio 2016 (com informações para a </t>
    </r>
    <r>
      <rPr>
        <i/>
        <sz val="12"/>
        <color theme="1"/>
        <rFont val="Times New Roman"/>
        <family val="1"/>
      </rPr>
      <t xml:space="preserve">Nota técnica de acessibilidade n.º 1 </t>
    </r>
    <r>
      <rPr>
        <sz val="12"/>
        <color theme="1"/>
        <rFont val="Times New Roman"/>
        <family val="1"/>
      </rPr>
      <t>da Pamu-BH).</t>
    </r>
  </si>
  <si>
    <r>
      <rPr>
        <b/>
        <sz val="12"/>
        <color theme="1"/>
        <rFont val="Times New Roman"/>
        <family val="1"/>
      </rPr>
      <t xml:space="preserve">SAMIOS(2016): </t>
    </r>
    <r>
      <rPr>
        <sz val="12"/>
        <color theme="1"/>
        <rFont val="Times New Roman"/>
        <family val="1"/>
      </rPr>
      <t xml:space="preserve">SAMIOS, Ariadne Amanda Barbosa. </t>
    </r>
    <r>
      <rPr>
        <i/>
        <sz val="12"/>
        <color theme="1"/>
        <rFont val="Times New Roman"/>
        <family val="1"/>
      </rPr>
      <t>Entrevista concedida a Marcos Fontoura de Oliveira sobre metodologia de elaboração do relatório WRI de inspeção</t>
    </r>
    <r>
      <rPr>
        <sz val="12"/>
        <color theme="1"/>
        <rFont val="Times New Roman"/>
        <family val="1"/>
      </rPr>
      <t xml:space="preserve">. Belo Horizonte, 15 nov. 2016. [com informações para a </t>
    </r>
    <r>
      <rPr>
        <i/>
        <sz val="12"/>
        <color theme="1"/>
        <rFont val="Times New Roman"/>
        <family val="1"/>
      </rPr>
      <t xml:space="preserve">Nota técnica de acessibilidade n.º 4 </t>
    </r>
    <r>
      <rPr>
        <sz val="12"/>
        <color theme="1"/>
        <rFont val="Times New Roman"/>
        <family val="1"/>
      </rPr>
      <t>da Pamu-BH}</t>
    </r>
  </si>
  <si>
    <r>
      <rPr>
        <b/>
        <sz val="12"/>
        <rFont val="Times New Roman"/>
        <family val="1"/>
      </rPr>
      <t xml:space="preserve">ALVARENGA(2013): </t>
    </r>
    <r>
      <rPr>
        <sz val="12"/>
        <rFont val="Times New Roman"/>
        <family val="1"/>
      </rPr>
      <t xml:space="preserve">ALVARENGA, Denise. </t>
    </r>
    <r>
      <rPr>
        <i/>
        <sz val="12"/>
        <rFont val="Times New Roman"/>
        <family val="1"/>
      </rPr>
      <t>Entrevista oral concedida a Eveline Prado Trevisan</t>
    </r>
    <r>
      <rPr>
        <sz val="12"/>
        <rFont val="Times New Roman"/>
        <family val="1"/>
      </rPr>
      <t xml:space="preserve">. Belo Horizonte, 2013. [com informações para a </t>
    </r>
    <r>
      <rPr>
        <i/>
        <sz val="12"/>
        <rFont val="Times New Roman"/>
        <family val="1"/>
      </rPr>
      <t>Nota técnica de acessibilidade n.º4</t>
    </r>
    <r>
      <rPr>
        <sz val="12"/>
        <rFont val="Times New Roman"/>
        <family val="1"/>
      </rPr>
      <t xml:space="preserve"> da Pamu-BH]</t>
    </r>
  </si>
  <si>
    <r>
      <rPr>
        <b/>
        <sz val="12"/>
        <rFont val="Times New Roman"/>
        <family val="1"/>
      </rPr>
      <t>BHTRANS(2015zc):</t>
    </r>
    <r>
      <rPr>
        <sz val="12"/>
        <rFont val="Times New Roman"/>
        <family val="1"/>
      </rPr>
      <t xml:space="preserve"> EMPRESA DE TRANSPORTES E TRÂNSITO DE BELO HORIZONTE S.A - BHTRANS. Diretoria de Sistema Viário - DSV. Gerência de Projetos de Trânsito - Gepro/DSV. </t>
    </r>
    <r>
      <rPr>
        <i/>
        <sz val="12"/>
        <rFont val="Times New Roman"/>
        <family val="1"/>
      </rPr>
      <t xml:space="preserve">[Projeto-piloto de segurança para Avenida Paraná com Rua Tamoios]. </t>
    </r>
    <r>
      <rPr>
        <sz val="12"/>
        <rFont val="Times New Roman"/>
        <family val="1"/>
      </rPr>
      <t>Belo Horizonte: BHTRans, dezembro de 2015. [12p.]</t>
    </r>
  </si>
  <si>
    <r>
      <rPr>
        <b/>
        <sz val="12"/>
        <rFont val="Times New Roman"/>
        <family val="1"/>
      </rPr>
      <t>BHTRANS(2013i1/2/3):</t>
    </r>
    <r>
      <rPr>
        <sz val="12"/>
        <rFont val="Times New Roman"/>
        <family val="1"/>
      </rPr>
      <t xml:space="preserve"> EMPRESA DE TRANSPORTES E TRÂNSITO DE BELO HORIZONTE S.A - BHTRANS. Diretoria de Sistema Viário - DSV. Gerência de Projetos de Trânsito - Gepro/DSV. </t>
    </r>
    <r>
      <rPr>
        <i/>
        <sz val="12"/>
        <rFont val="Times New Roman"/>
        <family val="1"/>
      </rPr>
      <t xml:space="preserve">Projeto de sinalização - BRT Área Central - Avenida Paraná e Avenida Santos Dumont [três pranchas separadas]. </t>
    </r>
    <r>
      <rPr>
        <sz val="12"/>
        <rFont val="Times New Roman"/>
        <family val="1"/>
      </rPr>
      <t>Belo Horizonte: BHTRans, [2013].</t>
    </r>
  </si>
  <si>
    <r>
      <rPr>
        <b/>
        <sz val="12"/>
        <color theme="1"/>
        <rFont val="Times New Roman"/>
        <family val="1"/>
      </rPr>
      <t xml:space="preserve">GUALBERTO(2016): </t>
    </r>
    <r>
      <rPr>
        <sz val="12"/>
        <color theme="1"/>
        <rFont val="Times New Roman"/>
        <family val="1"/>
      </rPr>
      <t xml:space="preserve">GUALBERTO, Frederico Souza. </t>
    </r>
    <r>
      <rPr>
        <i/>
        <sz val="12"/>
        <color theme="1"/>
        <rFont val="Times New Roman"/>
        <family val="1"/>
      </rPr>
      <t>Estudo dos fatores que influenciam o comportamento de pedestres em travessias de vias urbanas</t>
    </r>
    <r>
      <rPr>
        <sz val="12"/>
        <color theme="1"/>
        <rFont val="Times New Roman"/>
        <family val="1"/>
      </rPr>
      <t>. Dissertação (Geotecnia e Transportes). Escola de Engenharia da Universidade Federal de Minas Gerais - EE-UFMG. Belo Horizonte, 2016. 162f. Disponível em: &lt;https://www.ufmg.br/pos/geotrans/images/stories/diss-067.pdf&gt;. Acesso em; 16 jan. 2017.</t>
    </r>
  </si>
  <si>
    <t>plano de acessibilidade</t>
  </si>
  <si>
    <t>estacionamento reservado para PcD</t>
  </si>
  <si>
    <t>PED acessível</t>
  </si>
  <si>
    <t>acesse "Toulouse"</t>
  </si>
  <si>
    <t>Vaasa</t>
  </si>
  <si>
    <r>
      <t xml:space="preserve">cidade da França incluída em pelo menos uma das categorias de "benchmarking SisMob-BH"
</t>
    </r>
    <r>
      <rPr>
        <b/>
        <sz val="10"/>
        <rFont val="Times New Roman"/>
        <family val="1"/>
      </rPr>
      <t>obs.1:</t>
    </r>
    <r>
      <rPr>
        <sz val="10"/>
        <rFont val="Times New Roman"/>
        <family val="1"/>
      </rPr>
      <t xml:space="preserve"> cidade premiada em 3º lugar no "Access City Award 2016" e com uma menção honrosa como "Cidade Inteligente" conforme EC(2016c1p.12;2016c2)
</t>
    </r>
    <r>
      <rPr>
        <b/>
        <sz val="10"/>
        <rFont val="Times New Roman"/>
        <family val="1"/>
      </rPr>
      <t xml:space="preserve">obs.2: </t>
    </r>
    <r>
      <rPr>
        <sz val="10"/>
        <rFont val="Times New Roman"/>
        <family val="1"/>
      </rPr>
      <t xml:space="preserve">o relatório sobre a premiação de Toulouse no "Access City Award 2016" destaca: "A sustentação de todo o trabalho de melhoria da acessibilidade é um compromisso político forte para exceder os requisitos mínimos (estipulados na lei francesa de 2005) e para demonstrar melhores práticas." conforme EC(2016c1,p.12)
</t>
    </r>
    <r>
      <rPr>
        <b/>
        <sz val="10"/>
        <rFont val="Times New Roman"/>
        <family val="1"/>
      </rPr>
      <t>obs.3:</t>
    </r>
    <r>
      <rPr>
        <sz val="10"/>
        <rFont val="Times New Roman"/>
        <family val="1"/>
      </rPr>
      <t xml:space="preserve"> o relatório sobre a premiação de Toulouse no "Access City Award 2016" destaca: "Rede de transportes totalmente acessível - Desde o final de 2014, o acesso à principal rede de transportes públicos foi terminado e nota-se já uma acessibilidade crescente noutros serviços. Todos os serviços de metro, elétrico e autocarro têm rampas retráteis e informação audível e visual. 80% das paragens dos autocarros já são acessíveis, existindo orçamento para terminar o trabalho. Uma indicação clara do compromisso político com o transporte público acessível é a criação de um cargo de controlador responsável por garantir que as necessidades dos viajantes portadores de deficiência são satisfeitas em caso de interrupção de qualquer uma das linhas ou serviços. A formação dos funcionários na área dos transportes resultou numa alteração cultural significativa no que diz respeito à sensibilização e às atitudes, e a cooperação regular com os representantes de pessoas portadoras de deficiência ajuda a garantir que todas as ligações da cadeia da acessibilidade da cidade estão operacionais." conforme EC(2016c1,p.14)
</t>
    </r>
    <r>
      <rPr>
        <b/>
        <sz val="10"/>
        <rFont val="Times New Roman"/>
        <family val="1"/>
      </rPr>
      <t>obs.4:</t>
    </r>
    <r>
      <rPr>
        <sz val="10"/>
        <rFont val="Times New Roman"/>
        <family val="1"/>
      </rPr>
      <t xml:space="preserve"> o relatório sobre a premiação de Toulouse no "Access City Award 2016" destaca: "Além disso, a operadora de transportes públicos Tisséo criou uma comissão para a acessibilidade da rede de transportes urbanos. Constituída por 50 associações de pessoas portadoras de deficiência, esta comissão reúne-se duas vezes por ano para discutir vários tópicos ligados aos problemas enfrentados pelos viajantes portadores [sic] de deficiência, tal como ajudar os portadores de deficiência visual a localizar as portas dos elétricos ou concordar no melhor material para os rebordos dos degraus no cimo das escadas do metro." conforme EC(2016c1,p.16)
</t>
    </r>
    <r>
      <rPr>
        <b/>
        <sz val="10"/>
        <rFont val="Times New Roman"/>
        <family val="1"/>
      </rPr>
      <t>obs.5:</t>
    </r>
    <r>
      <rPr>
        <sz val="10"/>
        <rFont val="Times New Roman"/>
        <family val="1"/>
      </rPr>
      <t xml:space="preserve"> o relatório sobre a premiação de Toulouse no "Access City Award 2016" destaca: "Toulouse utiliza tecnologia de informação para melhorar a mobilidade independente. Existe informação em tempo real sobre o próximo autocarro, elétrico ou metro em formato visual e audível nas paragens de autocarro. Existem informações em formato SMS e ainda páginas da Internet legíveis em ecrã com acesso aos horários dos autocarros e elétricos, juntamente com informações sobre o funcionamento de elevadores, etc." conforme EC(2016c1,p.17)
</t>
    </r>
    <r>
      <rPr>
        <b/>
        <sz val="10"/>
        <rFont val="Times New Roman"/>
        <family val="1"/>
      </rPr>
      <t xml:space="preserve">obs.5: </t>
    </r>
    <r>
      <rPr>
        <sz val="10"/>
        <rFont val="Times New Roman"/>
        <family val="1"/>
      </rPr>
      <t>acesse os verbetes "estacionamento rservado para PcD" e "plano de acessibilidade" da cidade/região "Toulouse"</t>
    </r>
  </si>
  <si>
    <r>
      <rPr>
        <b/>
        <sz val="10"/>
        <rFont val="Times New Roman"/>
        <family val="1"/>
      </rPr>
      <t xml:space="preserve">obs.1: </t>
    </r>
    <r>
      <rPr>
        <sz val="10"/>
        <rFont val="Times New Roman"/>
        <family val="1"/>
      </rPr>
      <t xml:space="preserve">o relatório sobre a premiação de Toulouse no "Access City Award 2016" destaca que "Para reforçar este empenho, Toulouse também aumentou significativamente o número de lugares de estacionamento no centro da cidade reservados para pessoas portadoras de deficiência. A lei exige que 1 em cada 50 espaços seja acessível; Toulouse disponibiliza 3% de todos os espaços de estacionamento a pessoas portadoras de deficiência gratuitamente e por tempo ilimitado." conforme EC(2016c1,p.14)
</t>
    </r>
    <r>
      <rPr>
        <b/>
        <sz val="10"/>
        <rFont val="Times New Roman"/>
        <family val="1"/>
      </rPr>
      <t xml:space="preserve">obs.2: </t>
    </r>
    <r>
      <rPr>
        <sz val="10"/>
        <rFont val="Times New Roman"/>
        <family val="1"/>
      </rPr>
      <t>o relatório sobre a premiação de Toulouse no "Access City Award 2016" destaca que "Também existe informação sobre reparações que afetem os sinais audíveis ou os espaços de estacionamento acessíveis para que as pessoas portadoras [sic] de deficiência possam planear as suas viagens tendo em conta estes aspetos." conforme EC(2016c1,p.17)</t>
    </r>
  </si>
  <si>
    <t>o relatório sobre a premiação de Toulouse no "Access City Award 2016" destaca que "O plano de acessibilidade da cidade para as ruas e espaços públicos define as áreas problemáticas e identifica o que é necessário para ultrapassar as barreiras ao acesso. O plano inclui o ambiente pedonal, as paragens dos transportes públicos e os espaços de estacionamento para pessoas portadoras de deficiência. O Plano de Acessibilidade de 2015 baseia-se na análise de 1.250 km de estradas e ruas efetuada em 2014. As alterações identificadas variam entre uma remodelação geral das áreas inacessíveis a remodelações menores para remover os obstáculos existentes." conforme EC(2016c1,p.13)</t>
  </si>
  <si>
    <r>
      <t xml:space="preserve">cidade da Alemanha incluída em pelo menos uma das categorias de "benchmarking SisMob-BH"
</t>
    </r>
    <r>
      <rPr>
        <b/>
        <sz val="10"/>
        <rFont val="Times New Roman"/>
        <family val="1"/>
      </rPr>
      <t>obs.1:</t>
    </r>
    <r>
      <rPr>
        <sz val="10"/>
        <rFont val="Times New Roman"/>
        <family val="1"/>
      </rPr>
      <t xml:space="preserve"> cidade premiada em 2º lugar no "Access City Award 2016" considerada uma cidade onde há "Acesso sem restrições" conforme EC(2016c1;2016c2)
</t>
    </r>
    <r>
      <rPr>
        <b/>
        <sz val="10"/>
        <rFont val="Times New Roman"/>
        <family val="1"/>
      </rPr>
      <t>obs.2:</t>
    </r>
    <r>
      <rPr>
        <sz val="10"/>
        <rFont val="Times New Roman"/>
        <family val="1"/>
      </rPr>
      <t xml:space="preserve"> o relatório sobre a premiação de Wiesbaden no "Access City Award 2016" destaca que "Um dos principais objetivos da cidade é garantir que todos tenham acesso sem restrições ao centro da cidade e aos espaços abertos, parques e espaços recreativos. Também existe um empenhamento para que todos os eventos organizados nos espaços públicos sejam acessíveis a pessoas portadoras de deficiência e que os edifícios municipais de acesso público novos e renovados sejam totalmente acessíveis. A localização dos espaços de estacionamento para motoristas portadores de deficiência é acordada com os utilizadores de cadeiras de rodas e a aplicação para a acessibilidade em Wiesbaden (Wiesbaden-barrierefrei) oferece navegação por GPS até aos espaços de estacionamento acessíveis." conforme EC(2016c1,p.9-10)
</t>
    </r>
    <r>
      <rPr>
        <b/>
        <sz val="10"/>
        <rFont val="Times New Roman"/>
        <family val="1"/>
      </rPr>
      <t xml:space="preserve">obs.3: </t>
    </r>
    <r>
      <rPr>
        <sz val="10"/>
        <rFont val="Times New Roman"/>
        <family val="1"/>
      </rPr>
      <t>o relatório sobre a premiação de Wiesbaden no "Access City Award 2016" destaca: "Deslocação - Os 230 autocarros da cidade são acessíveis. Destacam-se funcionalidades como o piso rebaixado, pegas com contraste de cor e tácteis, bem como anúncios audíveis e visuais de próxima paragem. Também estão a ser feitas obras para garantir que as
paragens de autocarro da cidade [sejam] acessíveis. Até à data, cerca de 150, sobretudo no centro da cidade, foram remodeladas com sinais LED de alto contraste e funcionalidades de fala para texto." conforme EC(2016c1,p.9)</t>
    </r>
    <r>
      <rPr>
        <b/>
        <sz val="10"/>
        <rFont val="Times New Roman"/>
        <family val="1"/>
      </rPr>
      <t/>
    </r>
  </si>
  <si>
    <r>
      <t xml:space="preserve">cidade da Alemanha incluída em pelo menos uma das categorias de "benchmarking SisMob-BH"
</t>
    </r>
    <r>
      <rPr>
        <b/>
        <strike/>
        <sz val="8"/>
        <rFont val="Times New Roman"/>
        <family val="1"/>
      </rPr>
      <t>obs.1:</t>
    </r>
    <r>
      <rPr>
        <strike/>
        <sz val="8"/>
        <rFont val="Times New Roman"/>
        <family val="1"/>
      </rPr>
      <t xml:space="preserve"> cidade premiada em 2º lugar no "Access City Award 2016" considerada uma cidade onde há "Acesso sem restrições" conforme EC(2016c1;2016c2)
</t>
    </r>
    <r>
      <rPr>
        <b/>
        <strike/>
        <sz val="8"/>
        <rFont val="Times New Roman"/>
        <family val="1"/>
      </rPr>
      <t>obs.2:</t>
    </r>
    <r>
      <rPr>
        <strike/>
        <sz val="8"/>
        <rFont val="Times New Roman"/>
        <family val="1"/>
      </rPr>
      <t xml:space="preserve"> o relatório sobre a premiação de Wiesbaden no "Access City Award 2016" destaca que "Um dos principais objetivos da cidade é garantir que todos tenham acesso sem restrições ao centro da cidade e aos espaços abertos, parques e espaços recreativos. Também existe um empenhamento para que todos os eventos organizados nos espaços públicos sejam acessíveis a pessoas portadoras de deficiência e que os edifícios municipais de acesso público novos e renovados sejam totalmente acessíveis. A localização dos espaços de estacionamento para motoristas portadores de deficiência é acordada com os utilizadores de cadeiras de rodas e a aplicação para a acessibilidade em Wiesbaden (Wiesbaden-barrierefrei) oferece navegação por GPS até aos espaços de estacionamento acessíveis." conforme EC(2016c1,p.9-10)
</t>
    </r>
    <r>
      <rPr>
        <b/>
        <strike/>
        <sz val="8"/>
        <rFont val="Times New Roman"/>
        <family val="1"/>
      </rPr>
      <t xml:space="preserve">obs.3: </t>
    </r>
    <r>
      <rPr>
        <strike/>
        <sz val="8"/>
        <rFont val="Times New Roman"/>
        <family val="1"/>
      </rPr>
      <t>o relatório sobre a premiação de Wiesbaden no "Access City Award 2016" destaca: "Deslocação - Os 230 autocarros da cidade são acessíveis. Destacam-se funcionalidades como o piso rebaixado, pegas com contraste de cor e tácteis,
bem como anúncios audíveis e visuais de próxima paragem. Também estão a ser feitas obras para garantir que as
paragens de autocarro da cidade [sejam] acessíveis. Até à data, cerca de 150, sobretudo no centro da cidade, foram remodeladas com sinais LED de alto contraste e funcionalidades de fala para texto." conforme EC(2016c1,p.9)</t>
    </r>
    <r>
      <rPr>
        <b/>
        <sz val="10"/>
        <rFont val="Times New Roman"/>
        <family val="1"/>
      </rPr>
      <t/>
    </r>
  </si>
  <si>
    <r>
      <t xml:space="preserve">cidade da França incluída em pelo menos uma das categorias de "benchmarking SisMob-BH"
</t>
    </r>
    <r>
      <rPr>
        <b/>
        <strike/>
        <sz val="8"/>
        <rFont val="Times New Roman"/>
        <family val="1"/>
      </rPr>
      <t>obs.1:</t>
    </r>
    <r>
      <rPr>
        <strike/>
        <sz val="8"/>
        <rFont val="Times New Roman"/>
        <family val="1"/>
      </rPr>
      <t xml:space="preserve"> cidade premiada em 3º lugar no "Access City Award 2016" e com uma menção honrosa como "Cidade Inteligente" conforme EC(2016c1p.12;2016c2)
</t>
    </r>
    <r>
      <rPr>
        <b/>
        <strike/>
        <sz val="8"/>
        <rFont val="Times New Roman"/>
        <family val="1"/>
      </rPr>
      <t xml:space="preserve">obs.2: </t>
    </r>
    <r>
      <rPr>
        <strike/>
        <sz val="8"/>
        <rFont val="Times New Roman"/>
        <family val="1"/>
      </rPr>
      <t xml:space="preserve">o relatório sobre a premiação de Toulouse no "Access City Award 2016" destaca: "A sustentação de todo o trabalho de melhoria da acessibilidade é um compromisso político forte para exceder os requisitos mínimos (estipulados na lei francesa de 2005) e para demonstrar melhores práticas." conforme EC(2016c1,p.12)
</t>
    </r>
    <r>
      <rPr>
        <b/>
        <strike/>
        <sz val="8"/>
        <rFont val="Times New Roman"/>
        <family val="1"/>
      </rPr>
      <t>obs.3:</t>
    </r>
    <r>
      <rPr>
        <strike/>
        <sz val="8"/>
        <rFont val="Times New Roman"/>
        <family val="1"/>
      </rPr>
      <t xml:space="preserve"> o relatório sobre a premiação de Toulouse no "Access City Award 2016" destaca: "Rede de transportes totalmente acessível - Desde o final de 2014, o acesso à principal rede de transportes públicos foi terminado e nota-se já uma acessibilidade crescente noutros serviços. Todos os serviços de metro, elétrico e autocarro têm rampas retráteis e informação audível e visual. 80% das paragens dos autocarros já são acessíveis, existindo orçamento para terminar o trabalho. Uma indicação clara do compromisso político com o transporte público acessível é a criação de um cargo de controlador responsável por garantir que as necessidades dos viajantes portadores de deficiência são satisfeitas em caso de interrupção de qualquer uma das linhas ou serviços. A formação dos funcionários na área dos transportes resultou numa alteração cultural significativa no que diz respeito à sensibilização e às atitudes, e a cooperação regular com os representantes de pessoas portadoras de deficiência ajuda a garantir que todas as ligações da cadeia da acessibilidade da cidade estão operacionais." conforme EC(2016c1,p.14)
</t>
    </r>
    <r>
      <rPr>
        <b/>
        <strike/>
        <sz val="8"/>
        <rFont val="Times New Roman"/>
        <family val="1"/>
      </rPr>
      <t>obs.4:</t>
    </r>
    <r>
      <rPr>
        <strike/>
        <sz val="8"/>
        <rFont val="Times New Roman"/>
        <family val="1"/>
      </rPr>
      <t xml:space="preserve"> o relatório sobre a premiação de Toulouse no "Access City Award 2016" destaca: "Além disso, a operadora de transportes públicos Tisséo criou uma comissão para a acessibilidade da rede de transportes urbanos. Constituída por 50 associações de pessoas portadoras de deficiência, esta comissão reúne-se duas vezes por ano para discutir vários tópicos ligados aos problemas enfrentados pelos viajantes portadores [sic] de deficiência, tal como ajudar os portadores de deficiência visual a localizar as portas dos elétricos ou concordar no melhor material para os rebordos dos degraus no cimo das escadas do metro." conforme EC(2016c1,p.16)
</t>
    </r>
    <r>
      <rPr>
        <b/>
        <strike/>
        <sz val="8"/>
        <rFont val="Times New Roman"/>
        <family val="1"/>
      </rPr>
      <t>obs.5:</t>
    </r>
    <r>
      <rPr>
        <strike/>
        <sz val="8"/>
        <rFont val="Times New Roman"/>
        <family val="1"/>
      </rPr>
      <t xml:space="preserve"> o relatório sobre a premiação de Toulouse no "Access City Award 2016" destaca: "Toulouse utiliza tecnologia de informação para melhorar a mobilidade independente. Existe informação em tempo real sobre o próximo autocarro, elétrico ou metro em formato visual e audível nas paragens de autocarro. Existem informações em formato SMS e ainda páginas da Internet legíveis em ecrã com acesso aos horários dos autocarros e elétricos, juntamente com informações sobre o funcionamento de elevadores, etc." conforme EC(2016c1,p.17)
</t>
    </r>
    <r>
      <rPr>
        <b/>
        <strike/>
        <sz val="8"/>
        <rFont val="Times New Roman"/>
        <family val="1"/>
      </rPr>
      <t xml:space="preserve">obs.5: </t>
    </r>
    <r>
      <rPr>
        <strike/>
        <sz val="8"/>
        <rFont val="Times New Roman"/>
        <family val="1"/>
      </rPr>
      <t>acesse os verbetes "estacionamento rservado para PcD" e "plano de acessibilidade" da cidade/região "Toulouse"</t>
    </r>
  </si>
  <si>
    <r>
      <t xml:space="preserve">cidade da Finlândia incluída em pelo menos uma das categorias de "benchmarking SisMob-BH"
</t>
    </r>
    <r>
      <rPr>
        <b/>
        <sz val="10"/>
        <rFont val="Times New Roman"/>
        <family val="1"/>
      </rPr>
      <t>obs.1:</t>
    </r>
    <r>
      <rPr>
        <sz val="10"/>
        <rFont val="Times New Roman"/>
        <family val="1"/>
      </rPr>
      <t xml:space="preserve"> cidade premiada com menção honrosa no "Access City Award 2016" conforme EC(2016c1;2016c2)
</t>
    </r>
    <r>
      <rPr>
        <b/>
        <sz val="10"/>
        <rFont val="Times New Roman"/>
        <family val="1"/>
      </rPr>
      <t xml:space="preserve">obs.2: </t>
    </r>
    <r>
      <rPr>
        <sz val="10"/>
        <rFont val="Times New Roman"/>
        <family val="1"/>
      </rPr>
      <t xml:space="preserve">o relatório sobre a premiação de Vaasa no "Access City Award 2016" destaca "Empenho com aigualdade - A câmara municipal de Vaasa está empenhada em criar um ambiente no qual os idosos e as pessoas portadoras de deficiência possam viver em igualdade com os outros cidadãos. [...] A acessibilidade é sistematicamente incluída em todas as atividades da cidade. São desenvolvidos e implementados planos de acessibilidade de três anos. Todas as vertentes da administração da cidade são obrigadas a orçamentar para as medidas acordadas no plano. São aplicados padrões mais rigorosos no centro da cidade e nas instalações de serviços de saúde, bem como em áreas de residência de pessoas portadoras de deficiência ou idosas." conforme EC(2016c1,p.18)
</t>
    </r>
    <r>
      <rPr>
        <b/>
        <sz val="10"/>
        <rFont val="Times New Roman"/>
        <family val="1"/>
      </rPr>
      <t xml:space="preserve">obs.3: </t>
    </r>
    <r>
      <rPr>
        <sz val="10"/>
        <rFont val="Times New Roman"/>
        <family val="1"/>
      </rPr>
      <t xml:space="preserve">o relatório sobre a premiação de Vaasa no "Access City Award 2016" destaca "Mobilidade independente - Os transportes públicos em Vaasa são totalmente acessíveis e existe uma cooperação estreita entre as organizações dos transportes públicos e o conselho de apoio à deficiência e terceira idade para obtenção de feedback sobre a satisfação do cliente. Também existe um serviço domiciliário para pessoas portadoras de deficiência e idosas que se baseia nas necessidades individuais. A formação dos funcionários em matéria de acessibilidade é uma parte integrante de todo o programa de formação." conforme EC(2016c1,p.18)
</t>
    </r>
    <r>
      <rPr>
        <b/>
        <sz val="10"/>
        <rFont val="Times New Roman"/>
        <family val="1"/>
      </rPr>
      <t>obs.4:</t>
    </r>
    <r>
      <rPr>
        <sz val="10"/>
        <rFont val="Times New Roman"/>
        <family val="1"/>
      </rPr>
      <t xml:space="preserve"> o relatório sobre a premiação de Vaasa no "Access City Award 2016" destaca "Sensibilização - A cidade trabalha arduamente para sensibilizar sobre as questões de acessibilidade e para influenciar a perceção das pessoas sobre a deficiência. Todos os funcionários da cidade recebem formação sobre acessibilidade e a cidade disponibiliza
aconselhamento e orientações sobre as melhorias de acesso a proprietários de edifícios por toda a cidade, incluindo cafés e restaurantes. Os autocolantes que indicam «Local acessível» (na imagem) encorajam os fornecedores de serviços a ganharem a competição anual de serviços acessíveis." conforme EC(2016c1,p.20)</t>
    </r>
  </si>
  <si>
    <r>
      <t xml:space="preserve">cidade da Finlândia incluída em pelo menos uma das categorias de "benchmarking SisMob-BH"
</t>
    </r>
    <r>
      <rPr>
        <b/>
        <strike/>
        <sz val="8"/>
        <rFont val="Times New Roman"/>
        <family val="1"/>
      </rPr>
      <t>obs.1:</t>
    </r>
    <r>
      <rPr>
        <strike/>
        <sz val="8"/>
        <rFont val="Times New Roman"/>
        <family val="1"/>
      </rPr>
      <t xml:space="preserve"> cidade premiada com menção honrosa no "Access City Award 2016" conforme EC(2016c1;2016c2)
</t>
    </r>
    <r>
      <rPr>
        <b/>
        <strike/>
        <sz val="8"/>
        <rFont val="Times New Roman"/>
        <family val="1"/>
      </rPr>
      <t xml:space="preserve">obs.2: </t>
    </r>
    <r>
      <rPr>
        <strike/>
        <sz val="8"/>
        <rFont val="Times New Roman"/>
        <family val="1"/>
      </rPr>
      <t xml:space="preserve">o relatório sobre a premiação de Vaasa no "Access City Award 2016" destaca "Empenho com aigualdade - A câmara municipal de Vaasa está empenhada em criar um ambiente no qual os idosos e as pessoas portadoras de deficiência possam viver em igualdade com os outros cidadãos. [...] A acessibilidade é sistematicamente incluída em todas as atividades da cidade. São desenvolvidos e implementados planos de acessibilidade de três anos. Todas as vertentes da administração da cidade são obrigadas a orçamentar para as medidas acordadas no plano. São aplicados padrões mais rigorosos no centro da cidade e nas instalações de serviços de saúde, bem como em áreas de residência de pessoas portadoras de deficiência ou idosas." conforme EC(2016c1,p.18)
</t>
    </r>
    <r>
      <rPr>
        <b/>
        <strike/>
        <sz val="8"/>
        <rFont val="Times New Roman"/>
        <family val="1"/>
      </rPr>
      <t xml:space="preserve">obs.3: </t>
    </r>
    <r>
      <rPr>
        <strike/>
        <sz val="8"/>
        <rFont val="Times New Roman"/>
        <family val="1"/>
      </rPr>
      <t xml:space="preserve">o relatório sobre a premiação de Vaasa no "Access City Award 2016" destaca "Mobilidade independente - Os transportes públicos em Vaasa são totalmente acessíveis e existe uma cooperação estreita entre as organizações dos transportes públicos e o conselho de apoio à deficiência e terceira idade para obtenção de feedback sobre a satisfação do cliente. Também existe um serviço domiciliário para pessoas portadoras de deficiência e idosas que se baseia nas necessidades individuais. A formação dos funcionários em matéria de acessibilidade é uma parte integrante de todo o programa de formação." conforme EC(2016c1,p.18)
</t>
    </r>
    <r>
      <rPr>
        <b/>
        <strike/>
        <sz val="8"/>
        <rFont val="Times New Roman"/>
        <family val="1"/>
      </rPr>
      <t>obs.4:</t>
    </r>
    <r>
      <rPr>
        <strike/>
        <sz val="8"/>
        <rFont val="Times New Roman"/>
        <family val="1"/>
      </rPr>
      <t xml:space="preserve"> o relatório sobre a premiação de Vaasa no "Access City Award 2016" destaca "Sensibilização - A cidade trabalha arduamente para sensibilizar sobre as questões de acessibilidade e para influenciar a perceção das pessoas sobre a deficiência. Todos os funcionários da cidade recebem formação sobre acessibilidade e a cidade disponibiliza
aconselhamento e orientações sobre as melhorias de acesso a proprietários de edifícios por toda a cidade, incluindo cafés e restaurantes. Os autocolantes que indicam «Local acessível» (na imagem) encorajam os fornecedores de serviços a ganharem
a competição anual de serviços acessíveis." conforme EC(2016c1,p.20)</t>
    </r>
  </si>
  <si>
    <r>
      <t xml:space="preserve">cidade da Hungria incluída em pelo menos uma das categorias de "benchmarking SisMob-BH"
</t>
    </r>
    <r>
      <rPr>
        <b/>
        <sz val="10"/>
        <rFont val="Times New Roman"/>
        <family val="1"/>
      </rPr>
      <t>obs.1:</t>
    </r>
    <r>
      <rPr>
        <sz val="10"/>
        <rFont val="Times New Roman"/>
        <family val="1"/>
      </rPr>
      <t xml:space="preserve"> cidade premiada com menção honrosa de Kaposvár no "Access City Award 2016" conforme EC(2016c1;2016c2)
</t>
    </r>
    <r>
      <rPr>
        <b/>
        <sz val="10"/>
        <rFont val="Times New Roman"/>
        <family val="1"/>
      </rPr>
      <t xml:space="preserve">obs.2: </t>
    </r>
    <r>
      <rPr>
        <sz val="10"/>
        <rFont val="Times New Roman"/>
        <family val="1"/>
      </rPr>
      <t xml:space="preserve">o relatório sobre a premiação de Vaasa no "Access City Award 2016" destaca que "recebe uma menção honrosa
pelo empenho na melhoria do acesso para pessoas portadoras de deficiência e idosas. [...] Em 2013, a assembleia-geral da
cidade aprovou o plano de ação de igualdade de oportunidades que analisa os problemas atualmente enfrentados pelos grupos de pessoas portadoras de deficiência e outros grupos desfavorecidos, tentando satisfazer as suas necessidades." conforme EC(2016c1,p.21)
</t>
    </r>
    <r>
      <rPr>
        <b/>
        <sz val="10"/>
        <rFont val="Times New Roman"/>
        <family val="1"/>
      </rPr>
      <t xml:space="preserve">obs.3: </t>
    </r>
    <r>
      <rPr>
        <sz val="10"/>
        <rFont val="Times New Roman"/>
        <family val="1"/>
      </rPr>
      <t xml:space="preserve">o relatório sobre a premiação de Kaposvár no "Access City Award 2016" destaca que "Os pisos rebaixados dos
autocarros com rampas são benéficos não só para portadores de deficiência e idosos, mas também para viajantes com
carrinhos de bebé" conforme EC(2016c1,p.21)
</t>
    </r>
    <r>
      <rPr>
        <b/>
        <sz val="10"/>
        <rFont val="Times New Roman"/>
        <family val="1"/>
      </rPr>
      <t xml:space="preserve">obs.4: </t>
    </r>
    <r>
      <rPr>
        <sz val="10"/>
        <rFont val="Times New Roman"/>
        <family val="1"/>
      </rPr>
      <t>o relatório sobre a premiação de Kaposvár no "Access City Award 2016" destaca "Passar do compromisso à prática - As passadeiras já estão livres de barreiras e alguns cruzamentos estão equipados com informação audível para auxiliar os peões portadores de deficiência visual. O desenvolvimento do centro de transportes de Kaposvár (planeado para o período de 2016–2020) terá o maior impacto na acessibilidade da cidade. Irá integrar um sistema ferroviário e a rede de autocarros local e intercidades com uma plataforma de transportes públicos nova e completamente acessível." conforme EC(2016c1,p.22)</t>
    </r>
  </si>
  <si>
    <r>
      <t xml:space="preserve">cidade da Hungria incluída em pelo menos uma das categorias de "benchmarking SisMob-BH"
</t>
    </r>
    <r>
      <rPr>
        <b/>
        <strike/>
        <sz val="8"/>
        <rFont val="Times New Roman"/>
        <family val="1"/>
      </rPr>
      <t>obs.1:</t>
    </r>
    <r>
      <rPr>
        <strike/>
        <sz val="8"/>
        <rFont val="Times New Roman"/>
        <family val="1"/>
      </rPr>
      <t xml:space="preserve"> cidade premiada com menção honrosa de Kaposvár no "Access City Award 2016" conforme EC(2016c1;2016c2)
</t>
    </r>
    <r>
      <rPr>
        <b/>
        <strike/>
        <sz val="8"/>
        <rFont val="Times New Roman"/>
        <family val="1"/>
      </rPr>
      <t xml:space="preserve">obs.2: </t>
    </r>
    <r>
      <rPr>
        <strike/>
        <sz val="8"/>
        <rFont val="Times New Roman"/>
        <family val="1"/>
      </rPr>
      <t xml:space="preserve">o relatório sobre a premiação de Vaasa no "Access City Award 2016" destaca que "recebe uma menção honrosa
pelo empenho na melhoria do acesso para pessoas portadoras de deficiência e idosas. [...] Em 2013, a assembleia-geral da
cidade aprovou o plano de ação de igualdade de oportunidades que analisa os problemas atualmente enfrentados pelos grupos de pessoas portadoras de deficiência e outros grupos desfavorecidos, tentando satisfazer as suas necessidades." conforme EC(2016c1,p.21)
</t>
    </r>
    <r>
      <rPr>
        <b/>
        <strike/>
        <sz val="8"/>
        <rFont val="Times New Roman"/>
        <family val="1"/>
      </rPr>
      <t xml:space="preserve">obs.3: </t>
    </r>
    <r>
      <rPr>
        <strike/>
        <sz val="8"/>
        <rFont val="Times New Roman"/>
        <family val="1"/>
      </rPr>
      <t>o relatório sobre a premiação de Kaposvár no "Access City Award 2016" destaca que "Os pisos rebaixados dos
autocarros com rampas são benéficos não só para portadores de deficiência e idosos, mas também para viajantes com
carrinhos de bebé" conforme EC(2016c1,p.21)
obs.3: o relatório sobre a premiação de Kaposvár no "Access City Award 2016" destaca "Passar do compromisso à prática - As passadeiras já estão livres de barreiras e alguns cruzamentos estão equipados com informação audível para auxiliar os peões portadores de deficiência visual. O desenvolvimento do centro de transportes de Kaposvár (planeado para o período de 2016–2020) terá o maior impacto na acessibilidade da cidade. Irá integrar um sistema ferroviário e a rede de autocarros local
e intercidades com uma plataforma de transportes públicos nova e completamente acessível." conforme EC(2016c1,p.22)</t>
    </r>
  </si>
  <si>
    <r>
      <rPr>
        <b/>
        <strike/>
        <sz val="8"/>
        <rFont val="Times New Roman"/>
        <family val="1"/>
      </rPr>
      <t xml:space="preserve">obs.1: </t>
    </r>
    <r>
      <rPr>
        <strike/>
        <sz val="8"/>
        <rFont val="Times New Roman"/>
        <family val="1"/>
      </rPr>
      <t xml:space="preserve">o relatório sobre a premiação de Toulouse no "Access City Award 2016" destaca que "Para reforçar este empenho, Toulouse também aumentou significativamente o número de lugares de estacionamento no centro da cidade reservados para pessoas portadoras de deficiência. A lei exige que 1 em cada 50 espaços seja acessível; Toulouse disponibiliza 3% de todos os espaços de estacionamento a pessoas portadoras de deficiência gratuitamente e por tempo ilimitado." conforme EC(2016c1,p.14)
</t>
    </r>
    <r>
      <rPr>
        <b/>
        <strike/>
        <sz val="8"/>
        <rFont val="Times New Roman"/>
        <family val="1"/>
      </rPr>
      <t xml:space="preserve">obs.2: </t>
    </r>
    <r>
      <rPr>
        <strike/>
        <sz val="8"/>
        <rFont val="Times New Roman"/>
        <family val="1"/>
      </rPr>
      <t>o relatório sobre a premiação de Toulouse no "Access City Award 2016" destaca que "Também existe informação sobre reparações que afetem os sinais audíveis ou os espaços de estacionamento acessíveis para que as pessoas portadoras [sic] de deficiência possam planear as suas viagens tendo em conta estes aspetos." conforme EC(2016c1,p.17)</t>
    </r>
  </si>
  <si>
    <r>
      <t>"ferramenta estratégica de planeamento, programação e monitorização das iniciativas de acessibilidade em espaços e edifícios
públicos, integração social, segurança e qualidade de vida" de Milão conforme EC(2016c1,p.4)</t>
    </r>
    <r>
      <rPr>
        <b/>
        <sz val="10"/>
        <rFont val="Times New Roman"/>
        <family val="1"/>
      </rPr>
      <t xml:space="preserve">
obs.1: </t>
    </r>
    <r>
      <rPr>
        <sz val="10"/>
        <rFont val="Times New Roman"/>
        <family val="1"/>
      </rPr>
      <t xml:space="preserve">o relatório de premiação de Milão como vencedora do "Access City Award 2016" destaca: "Os principais objetivos do plano incluem o mapeamento de todas as áreas que necessitam de intervenção, definindo o que precisa de ser feito, por quem e quanto irá custar. Também existe assistência informática para monitorizar e avaliar cada uma das medidas e para obter feedback imediato sobre a sua eficácia." conforme EC(2016c1,p.5)
</t>
    </r>
    <r>
      <rPr>
        <b/>
        <sz val="10"/>
        <rFont val="Times New Roman"/>
        <family val="1"/>
      </rPr>
      <t>obs.2:</t>
    </r>
    <r>
      <rPr>
        <sz val="10"/>
        <rFont val="Times New Roman"/>
        <family val="1"/>
      </rPr>
      <t xml:space="preserve"> sobre o "Mapeamento de barreiras arquitetónicas" o relatório de premiação de Milão como vencedora do "Access City Award 2016" destaca: "Os últimos anos viram florescer várias iniciativas de melhoria de acessos e continua o trabalho de identificação de todas as barreiras arquitetónicas e sensoriais para que estas possam ser eliminadas de acordo com os mais elevados padrões e com base em princípios universais de design. O âmbito destes requisitos inclui todos os edifícios abertos ao público, bem como espaços comerciais, culturais, desportivos, recreativos e lúdicos. Existe até um projeto para eliminar as barreiras arquitetónicas de cemitérios." conforme EC(2016c1,p.6)</t>
    </r>
  </si>
  <si>
    <t>plano de adaptação e resiliência</t>
  </si>
  <si>
    <t>O Plano de Adaptação e Resiliência é um plano previsto para ser elaborado tomando como base o relatório "Análise de vulnerabilidade às mudanças climáticas do município de Belo Horizonte" conforme BH(2016r, p.16)</t>
  </si>
  <si>
    <r>
      <t xml:space="preserve">cidade da Itália incluída em pelo menos uma das categorias de "benchmarking SisMob-BH"
</t>
    </r>
    <r>
      <rPr>
        <b/>
        <sz val="10"/>
        <rFont val="Times New Roman"/>
        <family val="1"/>
      </rPr>
      <t>obs.1:</t>
    </r>
    <r>
      <rPr>
        <sz val="10"/>
        <rFont val="Times New Roman"/>
        <family val="1"/>
      </rPr>
      <t xml:space="preserve"> cidade premiada no "Access City Award 2016" considerada com "Uma cultura de acessibilidade" conforme EC(2016c1,p.4)
</t>
    </r>
    <r>
      <rPr>
        <b/>
        <sz val="10"/>
        <rFont val="Times New Roman"/>
        <family val="1"/>
      </rPr>
      <t xml:space="preserve">obs.2: </t>
    </r>
    <r>
      <rPr>
        <sz val="10"/>
        <rFont val="Times New Roman"/>
        <family val="1"/>
      </rPr>
      <t xml:space="preserve">sobre a "Rede de transporte acessível" o relatório de premiação de Milão no "Access City Award 2016" destaca que "As Agências de Transporte e Mobilidade da cidade começaram em 2011 a mapear a rede de transportes públicos e a acordar prioridades e padrões de acessibilidade com organizações de pessoas portadoras de deficiência. A Azienda Trasporti Milanesi (ATM), que gere os transportes públicos da região, faz uso do indicador «FHC» (Full Handicap Compliance – Conformidade integral com a incapacidade) para medir a acessibilidade das linhas e das rotas. Atualmente as linhas de metro mais modernas são integralmente acessíveis, continuando a trabalharse para melhorar as que foram construídas nos anos 60. Os dados sobre a acessibilidade de toda a infraestrutura de transportes públicos (estações, lojas, etc.) estão disponíveis no site da ATM. Também existe uma linha telefónica que disponibiliza aconselhamento e assistência." conforme EC(2016c1,p.6)
</t>
    </r>
    <r>
      <rPr>
        <b/>
        <sz val="10"/>
        <rFont val="Times New Roman"/>
        <family val="1"/>
      </rPr>
      <t xml:space="preserve">obs.3: </t>
    </r>
    <r>
      <rPr>
        <sz val="10"/>
        <rFont val="Times New Roman"/>
        <family val="1"/>
      </rPr>
      <t>acesse os verbetes "Milão acessível" e "plano de eliminação de barreiras da cidade/região "Milão"</t>
    </r>
  </si>
  <si>
    <r>
      <t xml:space="preserve">cidade da Itália incluída em pelo menos uma das categorias de "benchmarking SisMob-BH"
</t>
    </r>
    <r>
      <rPr>
        <b/>
        <strike/>
        <sz val="8"/>
        <rFont val="Times New Roman"/>
        <family val="1"/>
      </rPr>
      <t>obs.1:</t>
    </r>
    <r>
      <rPr>
        <strike/>
        <sz val="8"/>
        <rFont val="Times New Roman"/>
        <family val="1"/>
      </rPr>
      <t xml:space="preserve"> cidade premiada no "Access City Award 2016" considerada com "Uma cultura de acessibilidade" conforme EC(2016c1,p.4)
</t>
    </r>
    <r>
      <rPr>
        <b/>
        <strike/>
        <sz val="8"/>
        <rFont val="Times New Roman"/>
        <family val="1"/>
      </rPr>
      <t xml:space="preserve">obs.2: </t>
    </r>
    <r>
      <rPr>
        <strike/>
        <sz val="8"/>
        <rFont val="Times New Roman"/>
        <family val="1"/>
      </rPr>
      <t xml:space="preserve">sobre a </t>
    </r>
    <r>
      <rPr>
        <strike/>
        <sz val="8"/>
        <color rgb="FFFF0000"/>
        <rFont val="Times New Roman"/>
        <family val="1"/>
      </rPr>
      <t>"Rede de transporte acessível"</t>
    </r>
    <r>
      <rPr>
        <strike/>
        <sz val="8"/>
        <rFont val="Times New Roman"/>
        <family val="1"/>
      </rPr>
      <t xml:space="preserve"> o relatório de premiação destaca: "As Agências de Transporte e Mobilidade da cidade começaram em 2011 a mapear a rede de transportes públicos e a acordar prioridades e padrões de acessibilidade com organizações de pessoas portadoras de deficiência. A Azienda Trasporti Milanesi (ATM), que gere os transportes públicos da região, faz uso do indicador «FHC» (Full Handicap Compliance – Conformidade integral com a incapacidade) para medir a acessibilidade das linhas e das rotas. Atualmente as linhas de metro mais modernas são integralmente acessíveis, continuando a trabalharse para melhorar as que foram construídas nos anos 60. Os dados sobre a acessibilidade de toda a infraestrutura de transportes públicos (estações, lojas, etc.) estão disponíveis no site da ATM. Também existe uma linha telefónica que disponibiliza aconselhamento e assistência." conforme EC(2016c1,p.6)
</t>
    </r>
    <r>
      <rPr>
        <b/>
        <strike/>
        <sz val="8"/>
        <rFont val="Times New Roman"/>
        <family val="1"/>
      </rPr>
      <t xml:space="preserve">obs.3: </t>
    </r>
    <r>
      <rPr>
        <strike/>
        <sz val="8"/>
        <rFont val="Times New Roman"/>
        <family val="1"/>
      </rPr>
      <t>acesse o verbete "Milão acessível" e "plano de eliminação de barreiras da cidade/região "Milão"</t>
    </r>
  </si>
  <si>
    <r>
      <t>"ferramenta estratégica de planeamento, programação e monitorização das iniciativas de acessibilidade em espaços e edifícios
públicos, integração social, segurança e qualidade de vida" de Milão conforme EC(2016c1,p.4)</t>
    </r>
    <r>
      <rPr>
        <b/>
        <strike/>
        <sz val="8"/>
        <color theme="1"/>
        <rFont val="Times New Roman"/>
        <family val="1"/>
      </rPr>
      <t xml:space="preserve">
obs.1: </t>
    </r>
    <r>
      <rPr>
        <strike/>
        <sz val="8"/>
        <color theme="1"/>
        <rFont val="Times New Roman"/>
        <family val="1"/>
      </rPr>
      <t>o relatório</t>
    </r>
    <r>
      <rPr>
        <strike/>
        <sz val="8"/>
        <rFont val="Times New Roman"/>
        <family val="1"/>
      </rPr>
      <t xml:space="preserve"> de premiação </t>
    </r>
    <r>
      <rPr>
        <strike/>
        <sz val="8"/>
        <color theme="1"/>
        <rFont val="Times New Roman"/>
        <family val="1"/>
      </rPr>
      <t xml:space="preserve">de Milão como vencedora do "Access City Award 2016" destaca: "Os principais objetivos do plano incluem o mapeamento de todas as áreas que necessitam de intervenção, definindo o que precisa de ser feito, por quem e quanto irá custar. Também existe assistência informática para monitorizar e avaliar cada uma das medidas e para obter feedback imediato sobre a sua eficácia." conforme EC(2016c1,p.5)
</t>
    </r>
    <r>
      <rPr>
        <b/>
        <strike/>
        <sz val="8"/>
        <color theme="1"/>
        <rFont val="Times New Roman"/>
        <family val="1"/>
      </rPr>
      <t>obs.2:</t>
    </r>
    <r>
      <rPr>
        <strike/>
        <sz val="8"/>
        <color theme="1"/>
        <rFont val="Times New Roman"/>
        <family val="1"/>
      </rPr>
      <t xml:space="preserve"> sobre o "Mapeamento de barreiras arquitetónicas" o relatóri</t>
    </r>
    <r>
      <rPr>
        <strike/>
        <sz val="8"/>
        <rFont val="Times New Roman"/>
        <family val="1"/>
      </rPr>
      <t>o de premiação</t>
    </r>
    <r>
      <rPr>
        <strike/>
        <sz val="8"/>
        <color theme="1"/>
        <rFont val="Times New Roman"/>
        <family val="1"/>
      </rPr>
      <t xml:space="preserve"> de Milão como vencedora do "Access City Award 2016" destaca: "Os últimos anos viram florescer várias iniciativas de melhoria de acessos e continua o trabalho de identificação de todas as barreiras arquitetónicas e sensoriais para que estas possam ser eliminadas de acordo com os mais elevados padrões e com base em princípios universais de design. O âmbito destes requisitos inclui todos os edifícios abertos ao público, bem como espaços comerciais, culturais, desportivos, recreativos e lúdicos. Existe até um projeto para eliminar as barreiras arquitetónicas de cemitérios." conforme EC(2016c1,p.6)</t>
    </r>
  </si>
  <si>
    <t>Avenida Prof. Magalhães Penido como um todo (usado como complemento de "URB")</t>
  </si>
  <si>
    <r>
      <rPr>
        <b/>
        <sz val="12"/>
        <color theme="1"/>
        <rFont val="Times New Roman"/>
        <family val="1"/>
      </rPr>
      <t xml:space="preserve">BHTRANS(2017b1): </t>
    </r>
    <r>
      <rPr>
        <sz val="12"/>
        <color theme="1"/>
        <rFont val="Times New Roman"/>
        <family val="1"/>
      </rPr>
      <t xml:space="preserve">EMPRESA DE TRANSPORTES E TRÂNSITO DE BELO HORIZONTE S.A - BHTRANS. </t>
    </r>
    <r>
      <rPr>
        <i/>
        <sz val="12"/>
        <color theme="1"/>
        <rFont val="Times New Roman"/>
        <family val="1"/>
      </rPr>
      <t>Sistema de Informações da Mobilidade Urbana de Belo Horizonte (SisMob-BH) [página inicial com apresentação e sumário na home page da BHTrans]</t>
    </r>
    <r>
      <rPr>
        <sz val="12"/>
        <color theme="1"/>
        <rFont val="Times New Roman"/>
        <family val="1"/>
      </rPr>
      <t>. Belo Horizonte: BHTrans, 17 jan. 207. Disponível em: &lt;http://www.bhtrans.pbh.gov.br/portal/page/portal/portalpublico/Temas/Observatorio/SISMOBBH-2013&gt;. Acesso em: 18 jan. 2017.</t>
    </r>
  </si>
  <si>
    <r>
      <t xml:space="preserve">sistema BRT da cidade de Bogotá
</t>
    </r>
    <r>
      <rPr>
        <b/>
        <sz val="10"/>
        <color theme="1"/>
        <rFont val="Times New Roman"/>
        <family val="1"/>
      </rPr>
      <t xml:space="preserve">obs.1: </t>
    </r>
    <r>
      <rPr>
        <sz val="10"/>
        <color theme="1"/>
        <rFont val="Times New Roman"/>
        <family val="1"/>
      </rPr>
      <t xml:space="preserve">o sistema BRT de Bogotá foi analisado e comparado com o do Rio de Janeiro por Ana Marcela Ardila Pinto em PINTO(2011); PINTO;RIBEIRO(2014); ARDILA(2016)
</t>
    </r>
    <r>
      <rPr>
        <b/>
        <sz val="10"/>
        <color theme="1"/>
        <rFont val="Times New Roman"/>
        <family val="1"/>
      </rPr>
      <t>obs.2:</t>
    </r>
    <r>
      <rPr>
        <sz val="10"/>
        <color theme="1"/>
        <rFont val="Times New Roman"/>
        <family val="1"/>
      </rPr>
      <t xml:space="preserve"> "O principal objetivo da pesquisa [de 2011]  é compreender por que na década de noventa a produção de projetos espaços públicos assumiu uma posição de destaque na gestão urbana das cidades de Bogotá e do Rio de Janeiro. A partir de um estudo comparado, procuramos contribuir no conhecimento de por que esses projetos foram desenvolvidos, por que diversos agentes urbanos locais atribuíram um valor significativo e investiram importantes recursos para a construção e recuperação dos cenários de encontro e sociabilidade pública." conforme PINTO(2011, p.viii)
</t>
    </r>
    <r>
      <rPr>
        <b/>
        <sz val="10"/>
        <color theme="1"/>
        <rFont val="Times New Roman"/>
        <family val="1"/>
      </rPr>
      <t>obs.3:</t>
    </r>
    <r>
      <rPr>
        <sz val="10"/>
        <color theme="1"/>
        <rFont val="Times New Roman"/>
        <family val="1"/>
      </rPr>
      <t xml:space="preserve"> "Até hoje [2008], sistemas de 'BRT completo', incluindo todas as características de serviço de alta qualidade, só foram desenvolvidos em Bogotá (Colômbia) e Curitiba (Brasil)." conforme WRIGHT(2008,p.1)
foram desenvolvidos em Bogotá (Colômbia) e Curitiba (Brasil)." conforme WRIGHT(2008,p.1)
</t>
    </r>
    <r>
      <rPr>
        <b/>
        <sz val="10"/>
        <color theme="1"/>
        <rFont val="Times New Roman"/>
        <family val="1"/>
      </rPr>
      <t>obs.4:</t>
    </r>
    <r>
      <rPr>
        <sz val="10"/>
        <color theme="1"/>
        <rFont val="Times New Roman"/>
        <family val="1"/>
      </rPr>
      <t xml:space="preserve"> "A “solução” de implantar um sistema de BRT, por sua vez, já estava pronta desde a década de 1980. Naquele momento, implantou-se um novo sistema de transporte coletivo por ônibus em Curitiba, o primeiro desse tipo em todo o mundo (LINDAU; HIDALGO; FACCHINI, 2010). A solução BRT esteve restrita à capital paranaense até o final da década de 1990, quando a Empresa de Transporte del Tercer Milenio - Transmilenio S.A., responsável pelo BRT de Bogotá, foi constituída para “gerenciar, organizar e planejar o serviço de transporte público massivo de passageiros do Distrito Federal [de Bogotá] e sua área de influência” (CONSEJO DE SANTA FÉ DE BOGOTÁ, 1999 - tradução livre). Desde então, o BRT vem sendo considerado – por vezes de forma equivocada – como uma espécie de solução mundial para o transporte coletivo." conforme OLIVEIRA(2014a,p.93)</t>
    </r>
  </si>
  <si>
    <r>
      <t xml:space="preserve">sistema BRT da cidade de Curitiba
</t>
    </r>
    <r>
      <rPr>
        <b/>
        <sz val="10"/>
        <color theme="1"/>
        <rFont val="Times New Roman"/>
        <family val="1"/>
      </rPr>
      <t xml:space="preserve">obs.1: </t>
    </r>
    <r>
      <rPr>
        <sz val="10"/>
        <color theme="1"/>
        <rFont val="Times New Roman"/>
        <family val="1"/>
      </rPr>
      <t xml:space="preserve">"Até hoje [2008], sistemas de 'BRT completo', incluindo todas as características de serviço de alta qualidade, só foram desenvolvidos em Bogotá (Colômbia) e Curitiba (Brasil)." conforme WRIGHT(2008,p.1)
</t>
    </r>
    <r>
      <rPr>
        <b/>
        <sz val="10"/>
        <color theme="1"/>
        <rFont val="Times New Roman"/>
        <family val="1"/>
      </rPr>
      <t xml:space="preserve">obs.2: </t>
    </r>
    <r>
      <rPr>
        <sz val="10"/>
        <color theme="1"/>
        <rFont val="Times New Roman"/>
        <family val="1"/>
      </rPr>
      <t>"A “solução” de implantar um sistema de BRT, por sua vez, já estava pronta desde a década de 1980. Naquele momento, implantou-se um novo sistema de transporte coletivo por ônibus em Curitiba, o primeiro desse tipo em todo o mundo (LINDAU; HIDALGO; FACCHINI, 2010). A solução BRT esteve restrita à capital paranaense até o final da década de 1990, quando a Empresa de Transporte del Tercer Milenio - Transmilenio S.A., responsável pelo BRT de Bogotá, foi constituída para “gerenciar, organizar e planejar o serviço de transporte público massivo de passageiros do Distrito Federal [de Bogotá] e sua área de influência” (CONSEJO DE SANTA FÉ DE BOGOTÁ, 1999 - tradução livre). Desde então, o BRT vem sendo considerado – por vezes de forma equivocada – como uma espécie de solução mundial para o transporte coletivo." conforme OLIVEIRA(2014a,p.93)</t>
    </r>
  </si>
  <si>
    <r>
      <t xml:space="preserve">a categoria "benchmarking SisMob-BH M4" contém as cidades/áreas metropolitanas selecionadas pelo SisMob-BH para terem seus resultados buscados para comparação com os de Belo Horizonte por outros motivos 
</t>
    </r>
    <r>
      <rPr>
        <b/>
        <sz val="10"/>
        <color theme="1"/>
        <rFont val="Times New Roman"/>
        <family val="1"/>
      </rPr>
      <t>obs.:</t>
    </r>
    <r>
      <rPr>
        <sz val="10"/>
        <color theme="1"/>
        <rFont val="Times New Roman"/>
        <family val="1"/>
      </rPr>
      <t xml:space="preserve"> Bogotá e AM Bogotá (Colômbia) foram incluídas nesta categoria por Bogotá possuir um sistema de "BRT completo" e fazer parte do projeto-piloto de medição do índice de "bem-estar subjetivo" (acesse verbete); Medelim (Bogotá) foi escolhida por ser uma referência internacional; Metz (França) foi escolhida por seus ônibus acessíveis com rampas automáticas horizontais </t>
    </r>
  </si>
  <si>
    <t>nota técnica BHTrans de acessibilidade</t>
  </si>
  <si>
    <t>3.8</t>
  </si>
  <si>
    <t>Verbetes gerais</t>
  </si>
  <si>
    <t>3) BHTrans e outras entidades</t>
  </si>
  <si>
    <t>ANTP</t>
  </si>
  <si>
    <t>"A ANTP é uma entidade civil, sem fins lucrativos, criada em 1977, voltada ao setor de transporte público e do trânsito do Brasil e que tem por objetivo desenvolver e difundir conhecimentos visando seu contínuo aprimoramento." conforme ANTP(2017a)</t>
  </si>
  <si>
    <t>2) Belo Horizonte e outras cidades/regiões</t>
  </si>
  <si>
    <t>Aba elaborada por Marcos Fontoura de Oliveira em 15/11/2015, atualizada em 11/01/2015. Publicada na árvore de assuntos do SisMob-BH em 22/01/2017 junto com o quadro e a tabela até então publicados no item 4.3.</t>
  </si>
  <si>
    <r>
      <rPr>
        <b/>
        <sz val="10"/>
        <color theme="1"/>
        <rFont val="Times New Roman"/>
        <family val="1"/>
      </rPr>
      <t>obs.:</t>
    </r>
    <r>
      <rPr>
        <sz val="10"/>
        <color theme="1"/>
        <rFont val="Times New Roman"/>
        <family val="1"/>
      </rPr>
      <t xml:space="preserve"> Estas informações são o resultado do que começou a ser publicado em 1º/09/2012 no seguinte assunto do SisMob-BH: 4) Fiscalização e operação do sistema de mobilidade /4.3) Fiscalização urbanística integrada.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</si>
  <si>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t>características de acessibilidade em ônibus</t>
  </si>
  <si>
    <r>
      <t xml:space="preserve">indexados - </t>
    </r>
    <r>
      <rPr>
        <b/>
        <sz val="12"/>
        <color rgb="FFFF0000"/>
        <rFont val="Times New Roman"/>
        <family val="1"/>
      </rPr>
      <t>faltando completar</t>
    </r>
  </si>
  <si>
    <r>
      <t xml:space="preserve">Região Metropolitana de Belo Horizonte </t>
    </r>
    <r>
      <rPr>
        <sz val="10"/>
        <color rgb="FFFF0000"/>
        <rFont val="Times New Roman"/>
        <family val="1"/>
      </rPr>
      <t>(faltando completar)</t>
    </r>
  </si>
  <si>
    <t>município da RMBH  (faltando completar)</t>
  </si>
  <si>
    <t>município da RMBH (faltando completar)</t>
  </si>
  <si>
    <t>radar</t>
  </si>
  <si>
    <t>Le Met'</t>
  </si>
  <si>
    <r>
      <t xml:space="preserve">cidade da França incluída em pelo menos uma das categorias de "benchmarking SisMob-BH"
</t>
    </r>
    <r>
      <rPr>
        <b/>
        <sz val="10"/>
        <color theme="1"/>
        <rFont val="Times New Roman"/>
        <family val="1"/>
      </rPr>
      <t xml:space="preserve">obs.1: </t>
    </r>
    <r>
      <rPr>
        <sz val="10"/>
        <color theme="1"/>
        <rFont val="Times New Roman"/>
        <family val="1"/>
      </rPr>
      <t xml:space="preserve">Metz (França) foi escolhida por seus ônibus acessíveis com rampas automáticas horizontais 
</t>
    </r>
    <r>
      <rPr>
        <b/>
        <sz val="10"/>
        <color theme="1"/>
        <rFont val="Times New Roman"/>
        <family val="1"/>
      </rPr>
      <t>obs.2: "</t>
    </r>
    <r>
      <rPr>
        <sz val="10"/>
        <color theme="1"/>
        <rFont val="Times New Roman"/>
        <family val="1"/>
      </rPr>
      <t xml:space="preserve">L’ensemble du territoire est couvert par un système de mobilité globale offrant une desserte fine, attractive et hiérarchisée, capable de rendre les différents modes de transport accessibles au plus grand nombre, sans aucune distinction." conforme METZ(2017)
</t>
    </r>
    <r>
      <rPr>
        <b/>
        <sz val="10"/>
        <color theme="1"/>
        <rFont val="Times New Roman"/>
        <family val="1"/>
      </rPr>
      <t xml:space="preserve">obs.3: </t>
    </r>
    <r>
      <rPr>
        <sz val="10"/>
        <color theme="1"/>
        <rFont val="Times New Roman"/>
        <family val="1"/>
      </rPr>
      <t xml:space="preserve">acesse os verbetes "Le Met'", Metz Metropole, Mettis </t>
    </r>
  </si>
  <si>
    <r>
      <rPr>
        <b/>
        <sz val="12"/>
        <color theme="1"/>
        <rFont val="Times New Roman"/>
        <family val="1"/>
      </rPr>
      <t xml:space="preserve">METZ(2017a): </t>
    </r>
    <r>
      <rPr>
        <sz val="12"/>
        <color theme="1"/>
        <rFont val="Times New Roman"/>
        <family val="1"/>
      </rPr>
      <t xml:space="preserve">METZ METROPOLE: Communauté d'Agglomération. </t>
    </r>
    <r>
      <rPr>
        <i/>
        <sz val="12"/>
        <color theme="1"/>
        <rFont val="Times New Roman"/>
        <family val="1"/>
      </rPr>
      <t>Notre réseau</t>
    </r>
    <r>
      <rPr>
        <sz val="12"/>
        <color theme="1"/>
        <rFont val="Times New Roman"/>
        <family val="1"/>
      </rPr>
      <t xml:space="preserve">; </t>
    </r>
    <r>
      <rPr>
        <i/>
        <sz val="12"/>
        <color theme="1"/>
        <rFont val="Times New Roman"/>
        <family val="1"/>
      </rPr>
      <t>Notre réseau Le Met'.</t>
    </r>
    <r>
      <rPr>
        <sz val="12"/>
        <color theme="1"/>
        <rFont val="Times New Roman"/>
        <family val="1"/>
      </rPr>
      <t xml:space="preserve"> Metz, 2017. Disponível em: &lt;https://www.metzmetropole.fr/imaginez_mettis-metz-metropole.php&gt;. Acesso em: 23 jan. 2017.</t>
    </r>
  </si>
  <si>
    <t>Cidades da RMBH</t>
  </si>
  <si>
    <r>
      <rPr>
        <b/>
        <sz val="10"/>
        <rFont val="Times New Roman"/>
        <family val="1"/>
      </rPr>
      <t>obs.:</t>
    </r>
    <r>
      <rPr>
        <sz val="10"/>
        <rFont val="Times New Roman"/>
        <family val="1"/>
      </rPr>
      <t xml:space="preserve"> Estas informações fazem parte do seguinte assunto do SisMob-BH: 2) Belo Horizonte e outras cidades/regiões / 2.6) RMBH. Caso você necessite de mais informações, acesse esses quadros ou entre em contato com o Observatório da Mobilidade de Belo Horizonte - ObsMob-BH por meio do Fale Conosco da BHTrans.</t>
    </r>
  </si>
  <si>
    <t>Sistema de Informações de Acessibilidade e Sustentabilidade de Belo Horizonte (SisMob-BH)</t>
  </si>
  <si>
    <r>
      <rPr>
        <b/>
        <sz val="10"/>
        <rFont val="Times New Roman"/>
        <family val="1"/>
      </rPr>
      <t xml:space="preserve">Fonte: </t>
    </r>
    <r>
      <rPr>
        <sz val="10"/>
        <rFont val="Times New Roman"/>
        <family val="1"/>
      </rPr>
      <t>MAPA da Região Metropolitana De Belo Horizonte – RMBH: mapa político com a divisão e nomes dos 34 municípios que compõem a Região Metropolitana de Belo Horizonte – RMBH. Disponível em: &lt;http://www.baixarmapas.com.br/mapa-da-regiao-metropolitana-de-belo-horizonte-rmbh/&gt;. Acesso em: 23 jan. 2017. Publicado pela primeira vez no SisMob-BH em 23/01/2017.</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</si>
  <si>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10/02/2015. Republicado com novo lay-out e atualizado com resultados de 2015 em 25/08/2016. Republicado em 22/01/2017.</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</si>
  <si>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10/02/2015. Republicado com novo lay-out e atualizado com resultados de 2015 em 25/08/2016.  Republicado em 22/01/2017.</t>
    </r>
  </si>
  <si>
    <r>
      <rPr>
        <b/>
        <sz val="10"/>
        <color theme="1"/>
        <rFont val="Times New Roman"/>
        <family val="1"/>
      </rPr>
      <t>obs.:</t>
    </r>
    <r>
      <rPr>
        <sz val="10"/>
        <color theme="1"/>
        <rFont val="Times New Roman"/>
        <family val="1"/>
      </rPr>
      <t xml:space="preserve"> Estas informações são uma pequena parte do que começou a ser publicado em  02/04/2013 no seguinte assunto do SisMob-BH: 2) Belo Horizonte e outras cidades/regiões / 2.2) Frota e condutores de veículos automotores.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</si>
  <si>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23/04/2015. Republicado em 10/08/2015 e 15/11/2015 com alterações no lay-out. Republicado em 28/06/2016 com resultados de 1992 a 1995. Atualizado com resultado de 2015 em 25/08/2016. Correção de resultados de 2013/2014 e ajustes de lay-out em 04/11/2016. Republicado em 22/01/2017.</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</si>
  <si>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t>
    </r>
    <r>
      <rPr>
        <b/>
        <sz val="10"/>
        <rFont val="Times New Roman"/>
        <family val="1"/>
      </rPr>
      <t>Legenda:</t>
    </r>
    <r>
      <rPr>
        <sz val="10"/>
        <rFont val="Times New Roman"/>
        <family val="1"/>
      </rPr>
      <t xml:space="preserve"> RPI = Requisito de parte interessada (neste caso, o requisito é o mínimo estabelecido na legislação federal/municipal).
Elaborado por Marcos Fontoura de Oliveira e publicado pela primeira vez no SisMob-BH em 23/04/2015. Republicado em 10/08/2015 e 15/11/2015 com alterações no lay-out. Republicado com novo lay-out em 25/08/2016. Correção de resultado de 2014 e atualização de resultado de 2015 em 04/11/2016. Republicado em 22/01/2017.</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</si>
  <si>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25/08/2016. Atualizado com resultados da BHTrans de 2005/2015 em 04/11/2016. Republicado em 22/01/2017.</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</si>
  <si>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04/11/2016. Republicado em 22/01/2017.
</t>
    </r>
    <r>
      <rPr>
        <b/>
        <sz val="10"/>
        <rFont val="Times New Roman"/>
        <family val="1"/>
      </rPr>
      <t>obs.:</t>
    </r>
    <r>
      <rPr>
        <sz val="10"/>
        <rFont val="Times New Roman"/>
        <family val="1"/>
      </rPr>
      <t xml:space="preserve"> em dezembro de 2015 a BHTrans tem 1.898 empregados, aí incluindo seus 1.118 empregados diretos (concursados e não concursados em cargo de confiança) </t>
    </r>
  </si>
  <si>
    <r>
      <rPr>
        <b/>
        <sz val="10"/>
        <color theme="1"/>
        <rFont val="Times New Roman"/>
        <family val="1"/>
      </rPr>
      <t>obs.:</t>
    </r>
    <r>
      <rPr>
        <sz val="10"/>
        <color theme="1"/>
        <rFont val="Times New Roman"/>
        <family val="1"/>
      </rPr>
      <t xml:space="preserve"> Estas informações são o resultado do que começou a ser publicado em 1º/09/2012 no seguinte assunto do SisMob-BH: 2) Belo Horizonte e outras cidades/regiões / 2.5 - Distribuição modal em pesquisas origem/destino.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</si>
  <si>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0"/>
        <color theme="1"/>
        <rFont val="Times New Roman"/>
        <family val="1"/>
      </rPr>
      <t>obs.:</t>
    </r>
    <r>
      <rPr>
        <sz val="10"/>
        <color theme="1"/>
        <rFont val="Times New Roman"/>
        <family val="1"/>
      </rPr>
      <t xml:space="preserve"> Estas informações são uma pequena parte do que começou a ser publicado em 07/02/2012 no seguinte assunto do SisMob-BH: 3) BHTrans e outras entidades / 3.5) Recursos humanos. A partir de 10/08/2015 todas as tabelas e quadros até então publicados no SisMob-BH foram substituídos pelos </t>
    </r>
    <r>
      <rPr>
        <i/>
        <sz val="10"/>
        <color theme="1"/>
        <rFont val="Times New Roman"/>
        <family val="1"/>
      </rPr>
      <t>Quadros 100a/b/c - Dados abertos do SisMob-BH</t>
    </r>
    <r>
      <rPr>
        <sz val="10"/>
        <color theme="1"/>
        <rFont val="Times New Roman"/>
        <family val="1"/>
      </rPr>
      <t>. Caso você necessite de mais informações, acesse esses quadros ou entre em contato com o Observatório da Mobilidade de Belo Horizonte - ObsMob-BH por meio do Fale Conosco da BHTrans.</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</si>
  <si>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28/06/2016. Totalmente refeito com novo lay-out, resultados anteriores a 2009, resultados de 2015 e ajustes na série 2009-2014 graças ao acesso a uma nova fonte de dados em 04/11/2016. Novo lay-out em 23/01/2017.</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</si>
  <si>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Elaborados por Marcos Fontoura de Oliveira e publicado pela primeira vez no SisMob-BH em 23/01/2017.</t>
    </r>
  </si>
  <si>
    <r>
      <rPr>
        <b/>
        <sz val="10"/>
        <rFont val="Times New Roman"/>
        <family val="1"/>
      </rPr>
      <t xml:space="preserve">Fonte: </t>
    </r>
    <r>
      <rPr>
        <sz val="10"/>
        <rFont val="Times New Roman"/>
        <family val="1"/>
      </rPr>
      <t xml:space="preserve">MOBILIZE (2016). Publicado pela primeira vez no SisMob-Bh em 28/06/2016. Republicado em 04/11/2016. Republicado com nova numeração em 23/01/2017.
</t>
    </r>
    <r>
      <rPr>
        <b/>
        <sz val="10"/>
        <rFont val="Times New Roman"/>
        <family val="1"/>
      </rPr>
      <t xml:space="preserve">obs.1: </t>
    </r>
    <r>
      <rPr>
        <sz val="10"/>
        <rFont val="Times New Roman"/>
        <family val="1"/>
      </rPr>
      <t xml:space="preserve">as cidades do "benchmarking SisMob-BH" para comparação com Belo Horizonte (70,42 km) são Brasília (440 km), Curitiba (181 km) e Porto Alegre (21 km).
</t>
    </r>
    <r>
      <rPr>
        <b/>
        <sz val="10"/>
        <rFont val="Times New Roman"/>
        <family val="1"/>
      </rPr>
      <t xml:space="preserve">obs.2: </t>
    </r>
    <r>
      <rPr>
        <sz val="10"/>
        <rFont val="Times New Roman"/>
        <family val="1"/>
      </rPr>
      <t>Os responsáveis pela publicação deste gráfico informam que "O gráfico foi atualizado a partir de informações coletadas em abril de 2015 em prefeituras e organizações de cicloativistas associados à UCB - União dos Ciclistas do Brasil. Entre 2011 e 2015, Brasília ultrapassou o Rio de Janeiro e é a cidade com maior estrutura cicloviária do Brasil. A capital federal e São Paulo foram as cidades brasileiras que mais ampliaram a estrutura para bicicletas nos últimos dois anos , mas ambas são criticadas por falhas e pela baixa qualidade das vias construídas ou demarcadas." conforme MOBILIZE (2016a).</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</si>
  <si>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t>
    </r>
    <r>
      <rPr>
        <b/>
        <sz val="10"/>
        <rFont val="Times New Roman"/>
        <family val="1"/>
      </rPr>
      <t xml:space="preserve">obs.: </t>
    </r>
    <r>
      <rPr>
        <sz val="10"/>
        <rFont val="Times New Roman"/>
        <family val="1"/>
      </rPr>
      <t>a "densidade mínima recomendada" deste gráfico baseia-se no verbete "densidade b (padrão)" do SisMob-BH, onde está descrito que " 'A densidade ideal está entre 10 a 16 estações por quilômetro quadrado. 14 estações por quilômetro quadrado é equivalente a: • 1 estação a cada 300 metros • 36 estações por milha quadrada (equivalente a 2,59 km2)' conforme ITDP(2014c, p.47)".
Elaborado por Marcos Fontoura de Oliveira e publicado pela primeira vez no SisMob-BH em 28/06/2016. Nome do gráfico alterado em 25/08/2016 acatando sugestão da BH em Ciclo. Ajustes no lay-out em 04/11/2016. Republicado com nova numeração em 23/01/2017.</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</si>
  <si>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23/01/2017.</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</si>
  <si>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28/06/2016. Republicado com alteração do lay-out em 19/08/2016 e 25/08/2016. Republicado em 04/11/2016. Atualizado em 22/01/2017 com resultado de 2016.
</t>
    </r>
    <r>
      <rPr>
        <b/>
        <sz val="10"/>
        <rFont val="Times New Roman"/>
        <family val="1"/>
      </rPr>
      <t xml:space="preserve">obs.1: </t>
    </r>
    <r>
      <rPr>
        <sz val="10"/>
        <rFont val="Times New Roman"/>
        <family val="1"/>
      </rPr>
      <t xml:space="preserve">Para bem compreender este gráfico, consulte o </t>
    </r>
    <r>
      <rPr>
        <i/>
        <sz val="10"/>
        <rFont val="Times New Roman"/>
        <family val="1"/>
      </rPr>
      <t>Gráfico 810a - Escala de 1 a 10 do IAED.</t>
    </r>
    <r>
      <rPr>
        <sz val="10"/>
        <rFont val="Times New Roman"/>
        <family val="1"/>
      </rPr>
      <t xml:space="preserve">Consulte também o item "acessibilidade em ônibus urbano (escala)", as definições de "benchmarking" e de "RPI - requisito de parte interessada" detalhadas no </t>
    </r>
    <r>
      <rPr>
        <i/>
        <sz val="10"/>
        <rFont val="Times New Roman"/>
        <family val="1"/>
      </rPr>
      <t>Quadro 100a</t>
    </r>
    <r>
      <rPr>
        <sz val="10"/>
        <rFont val="Times New Roman"/>
        <family val="1"/>
      </rPr>
      <t xml:space="preserve">.
</t>
    </r>
    <r>
      <rPr>
        <b/>
        <sz val="10"/>
        <rFont val="Times New Roman"/>
        <family val="1"/>
      </rPr>
      <t xml:space="preserve">obs.2: </t>
    </r>
    <r>
      <rPr>
        <sz val="10"/>
        <rFont val="Times New Roman"/>
        <family val="1"/>
      </rPr>
      <t>ainda não foram encontrados todos os resultados necessários para cálculo do IAED entre 1996-2002 e 2004-2008.</t>
    </r>
  </si>
  <si>
    <t>Gráfico 810e - Evolução do IAED da frota de transporte coletivo convencional de Belo Horizonte (1993 a 2016) e comparação com requisitos de parte interessada</t>
  </si>
  <si>
    <r>
      <rPr>
        <b/>
        <sz val="10"/>
        <rFont val="Times New Roman"/>
        <family val="1"/>
      </rPr>
      <t xml:space="preserve">Fonte: </t>
    </r>
    <r>
      <rPr>
        <sz val="10"/>
        <rFont val="Times New Roman"/>
        <family val="1"/>
      </rPr>
      <t xml:space="preserve">BHTRANS. Sistema de Informações da Mobilidade Urbana de Belo Horizonte (SisMob-BH). Quadros 100a/b/c - Dados abertos do SisMob-BH. 
Elaborado por Marcos Fontoura de Oliveira e publicado pela primeira vez no SisMob-BH em 04/11/2016 especialmente para ilustrar a </t>
    </r>
    <r>
      <rPr>
        <i/>
        <sz val="10"/>
        <rFont val="Times New Roman"/>
        <family val="1"/>
      </rPr>
      <t>Nota técnica de acessibilidade n.º 2</t>
    </r>
    <r>
      <rPr>
        <sz val="10"/>
        <rFont val="Times New Roman"/>
        <family val="1"/>
      </rPr>
      <t xml:space="preserve"> da Pamu-BH. Republicado em 23/01/2017.
</t>
    </r>
    <r>
      <rPr>
        <b/>
        <sz val="10"/>
        <rFont val="Times New Roman"/>
        <family val="1"/>
      </rPr>
      <t>obs.:</t>
    </r>
    <r>
      <rPr>
        <sz val="10"/>
        <rFont val="Times New Roman"/>
        <family val="1"/>
      </rPr>
      <t xml:space="preserve"> como a pesquisa para elaboração deste gráfico não é exaustiva, a ausência de exemplo no nível 7 deve ser vista, tão somente, como temporária e será superada tão logo se encontre a informação adequada</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</si>
  <si>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28/06/2014. Republicado com alteração do lay-out em 19/08/2016. Republicado em 04/11/2016. Republicado em 23/01/2017.
</t>
    </r>
    <r>
      <rPr>
        <b/>
        <sz val="10"/>
        <rFont val="Times New Roman"/>
        <family val="1"/>
      </rPr>
      <t>obs.1:</t>
    </r>
    <r>
      <rPr>
        <sz val="10"/>
        <rFont val="Times New Roman"/>
        <family val="1"/>
      </rPr>
      <t xml:space="preserve"> Este gráfico apresenta os dez níveis da escala desenvolvida pelo SisMob-BH para medir quantitativamente a acessibilidade do embarque/desembarque das frotas de transporte coletivo urbano. Cada nível representa um tipo de ônibus. As cidades para as quais já foi calculado o IAED estão aqui representadas para ilustrar os tipos de veículos de cada sistema. 
</t>
    </r>
    <r>
      <rPr>
        <b/>
        <sz val="10"/>
        <rFont val="Times New Roman"/>
        <family val="1"/>
      </rPr>
      <t>obs.2:</t>
    </r>
    <r>
      <rPr>
        <sz val="10"/>
        <rFont val="Times New Roman"/>
        <family val="1"/>
      </rPr>
      <t xml:space="preserve"> Este gráfico ilustra que no transporte coletivo de </t>
    </r>
    <r>
      <rPr>
        <b/>
        <sz val="10"/>
        <color rgb="FF0070C0"/>
        <rFont val="Times New Roman"/>
        <family val="1"/>
      </rPr>
      <t>Belo Horizonte</t>
    </r>
    <r>
      <rPr>
        <sz val="10"/>
        <rFont val="Times New Roman"/>
        <family val="1"/>
      </rPr>
      <t xml:space="preserve"> operam ou já operaram, desde 1993, veículos enquadrados em seis níveis desta escala. Em Contagem são apenas dois tipos de ônibus; em Curitiba, Joinville e São Paulo os ônibus são de três tipos, embora não sejam os mesmos tipos em cada cidade; na RMBH existem quatro tipos de ônibus. 
</t>
    </r>
    <r>
      <rPr>
        <b/>
        <sz val="10"/>
        <rFont val="Times New Roman"/>
        <family val="1"/>
      </rPr>
      <t>obs.3:</t>
    </r>
    <r>
      <rPr>
        <sz val="10"/>
        <rFont val="Times New Roman"/>
        <family val="1"/>
      </rPr>
      <t xml:space="preserve"> Para detalhes desta escala consulte o item "acessibilidade em ônibus urbano (escala)" e para detalhes sobre os tipos de ônibus de cada cidade consulte a aba "FrotaOnibus".</t>
    </r>
    <r>
      <rPr>
        <b/>
        <sz val="10"/>
        <rFont val="Times New Roman"/>
        <family val="1"/>
      </rPr>
      <t/>
    </r>
  </si>
  <si>
    <t>BH convencional 2016</t>
  </si>
  <si>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28/06/2016.  Atualizado com resultados de São Paulo em 19/08/2016 e republicado com ajuste em 25/08/2016. Republicado em 04/11/2016. Atualizado em 23/01/2017 com resultado "BH convencional" de 2016.
</t>
    </r>
    <r>
      <rPr>
        <b/>
        <sz val="10"/>
        <rFont val="Times New Roman"/>
        <family val="1"/>
      </rPr>
      <t xml:space="preserve">obs.1: </t>
    </r>
    <r>
      <rPr>
        <sz val="10"/>
        <rFont val="Times New Roman"/>
        <family val="1"/>
      </rPr>
      <t xml:space="preserve">Para bem compreender este gráfico, consulte o </t>
    </r>
    <r>
      <rPr>
        <i/>
        <sz val="10"/>
        <rFont val="Times New Roman"/>
        <family val="1"/>
      </rPr>
      <t>Gráfico 810a - Escala de 1 a 10 do IAED.</t>
    </r>
    <r>
      <rPr>
        <sz val="10"/>
        <rFont val="Times New Roman"/>
        <family val="1"/>
      </rPr>
      <t xml:space="preserve">Consulte também o item "acessibilidade em ônibus urbano (escala)", as definições de "benchmarking" e de "RPI - requisito de parte interessada" detalhadas no </t>
    </r>
    <r>
      <rPr>
        <i/>
        <sz val="10"/>
        <rFont val="Times New Roman"/>
        <family val="1"/>
      </rPr>
      <t>Quadro 100a</t>
    </r>
    <r>
      <rPr>
        <sz val="10"/>
        <rFont val="Times New Roman"/>
        <family val="1"/>
      </rPr>
      <t xml:space="preserve">. 
</t>
    </r>
    <r>
      <rPr>
        <b/>
        <sz val="10"/>
        <rFont val="Times New Roman"/>
        <family val="1"/>
      </rPr>
      <t xml:space="preserve">obs.2: </t>
    </r>
    <r>
      <rPr>
        <sz val="10"/>
        <rFont val="Times New Roman"/>
        <family val="1"/>
      </rPr>
      <t>Os resultados aqui apresentados são os mais recentes dos sistemas de transporte para os quais foram encontradas as informações necessárias para o cálculo do IAED.</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</si>
  <si>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28/06/2016. Ajustado para receber resultados do transporte suplementar em 19/08/2016 e reajustado em 25/08/2016. Republicado em 04/11/2016 e 23/01/2017.</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</si>
  <si>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28/06/2016. Atualizado com resultados de São Paulo e novo lay-out em 19/08/2016. Republicado em 04/11/2016 e 23/01/2017.</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</si>
  <si>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28/06/2016. Republicado com ajustes e atualizado com resultados de São Paulo em 19/08/2016. Republicado em 04/11/2016 e 23/01/2017.
</t>
    </r>
    <r>
      <rPr>
        <b/>
        <sz val="10"/>
        <rFont val="Times New Roman"/>
        <family val="1"/>
      </rPr>
      <t>obs.:</t>
    </r>
    <r>
      <rPr>
        <sz val="10"/>
        <rFont val="Times New Roman"/>
        <family val="1"/>
      </rPr>
      <t xml:space="preserve"> as cidades aqui apresentadas fazem parte das categorias benchmarking definidas pelo SisMob-BH e são as únicas para as quais já foram encontrados resultados. </t>
    </r>
  </si>
  <si>
    <t xml:space="preserve">Gráfico 810m - Evoluções de quantidade e de percentual da frota de ônibus do transporte coletivo convencional de Belo Horizonte equipado com elevador hidráulico e sem operação em corredor de BRT (2009 a 2016) </t>
  </si>
  <si>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28/06/2016. Republicado em 19/08/2016 e ajustado em 25/08/2016. Republicado em 04/11/2016. Atualizado em 23/01/2016 com resultado de 2016.</t>
    </r>
  </si>
  <si>
    <t>Gráfico 810g - Evoluções da frota total do transporte coletivo convencional (F tcc) de Belo Horizonte e das quantidades de ônibus com e sem facilidade na escala do índice de acessibilidade (1993 a 2016)</t>
  </si>
  <si>
    <t>Gráfico 810f - Evoluções da frota total do transporte coletivo convencional (F tcc) de Belo Horizonte e das quantidades de ônibus por tipo conforme os níveis da escala do índice de acessibilidade (1993 a 2016)</t>
  </si>
  <si>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28/06/2016. Republicado com alteração do lay-out em 19/08/2016 e com correção em 25/08/2016. Republicado em 04/11/2016. Atualizado em 22/01/2017 com resultados de 2016.
</t>
    </r>
    <r>
      <rPr>
        <b/>
        <sz val="10"/>
        <rFont val="Times New Roman"/>
        <family val="1"/>
      </rPr>
      <t xml:space="preserve">obs.1: </t>
    </r>
    <r>
      <rPr>
        <sz val="10"/>
        <rFont val="Times New Roman"/>
        <family val="1"/>
      </rPr>
      <t xml:space="preserve">para detalhes sobre cada tipo de ônibus consulte a aba "FrotaOnibus"
</t>
    </r>
    <r>
      <rPr>
        <b/>
        <sz val="10"/>
        <rFont val="Times New Roman"/>
        <family val="1"/>
      </rPr>
      <t xml:space="preserve">obs.2: </t>
    </r>
    <r>
      <rPr>
        <sz val="10"/>
        <rFont val="Times New Roman"/>
        <family val="1"/>
      </rPr>
      <t>o série dos ônibus do tipo 1 (não acessível) não foi lançada neste gráfico para facilitar a leitura (veja Grágico 810g)</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</si>
  <si>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28/06/2016. Republicado com alteração do lay-out em 19/08/2016 e com correção em 25/08/2016. Republicado em 04/11/2016. Atualizado em 22/01/2017 com resultados de 2016. </t>
    </r>
    <r>
      <rPr>
        <b/>
        <sz val="10"/>
        <rFont val="Times New Roman"/>
        <family val="1"/>
      </rPr>
      <t>obs.1:</t>
    </r>
    <r>
      <rPr>
        <sz val="10"/>
        <rFont val="Times New Roman"/>
        <family val="1"/>
      </rPr>
      <t xml:space="preserve"> os veículos considerados "com alguma facilidade" são os enquadrados nos níveis 2 a 10 da escala do índice de acessibilidade do embarque/desembarque da frota de transporte coletivo urbano, ou seja, ou possuem algum tipo de elevador hidráulico ou são de piso baixo ou operam em plataformas elevadas do BRT; </t>
    </r>
    <r>
      <rPr>
        <b/>
        <sz val="10"/>
        <rFont val="Times New Roman"/>
        <family val="1"/>
      </rPr>
      <t xml:space="preserve">obs.2: </t>
    </r>
    <r>
      <rPr>
        <sz val="10"/>
        <rFont val="Times New Roman"/>
        <family val="1"/>
      </rPr>
      <t xml:space="preserve">os veículos considerados "sem facilidade" são os enquadrados no nível 1 da escala do índice de acessibilidade do embarque/desembarque da frota de transporte coletivo urbano, ou seja, não possuem qualquer tipo de elevador, nem são de piso baixo e nem operam em plataformas elevadas do BRT; </t>
    </r>
    <r>
      <rPr>
        <b/>
        <sz val="10"/>
        <rFont val="Times New Roman"/>
        <family val="1"/>
      </rPr>
      <t xml:space="preserve">obs.3: </t>
    </r>
    <r>
      <rPr>
        <sz val="10"/>
        <rFont val="Times New Roman"/>
        <family val="1"/>
      </rPr>
      <t>Para detalhes sobre cada tipo de ônibus da escala consulte a aba "FrotaOnibus".</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</si>
  <si>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28/06/2016. Republicado com alteração do lay-out em 19/08/2016. Republicado em 04/11/2016 com novo lay out e correção de exemplos nos níveis 7 e 9. Republicado em 23/01/2017. </t>
    </r>
    <r>
      <rPr>
        <b/>
        <sz val="10"/>
        <rFont val="Times New Roman"/>
        <family val="1"/>
      </rPr>
      <t>obs.1:</t>
    </r>
    <r>
      <rPr>
        <sz val="10"/>
        <rFont val="Times New Roman"/>
        <family val="1"/>
      </rPr>
      <t xml:space="preserve"> Este gráfico apresenta os dez níveis da escala desenvolvida pelo SisMob-BH para medir quantitativamente a acessibilidade do embarque/desembarque das frotas de transporte coletivo urbano. Para as cidades para as quais já foi calculado o IAED têm lançados todos os tipos de veículos do sistema; para as demais estão lançados apenas exemplos encontrados de veículos. Em cada nível estão apresentados </t>
    </r>
    <r>
      <rPr>
        <b/>
        <sz val="10"/>
        <rFont val="Times New Roman"/>
        <family val="1"/>
      </rPr>
      <t>exemplos de cidades</t>
    </r>
    <r>
      <rPr>
        <sz val="10"/>
        <rFont val="Times New Roman"/>
        <family val="1"/>
      </rPr>
      <t xml:space="preserve"> onde existem veículos que neles se enquadram. Apenas as cidades para as quais já foi calculado o IAED têm lançados todos os tipos de veículos do sistema; para as demais cidades estão lançados apenas exemplos de veículos com alguma informação encontrada./ </t>
    </r>
    <r>
      <rPr>
        <b/>
        <sz val="10"/>
        <rFont val="Times New Roman"/>
        <family val="1"/>
      </rPr>
      <t>obs.2:</t>
    </r>
    <r>
      <rPr>
        <sz val="10"/>
        <rFont val="Times New Roman"/>
        <family val="1"/>
      </rPr>
      <t xml:space="preserve"> Este gráfico ilustra que no transporte coletivo de Belo Horizonte</t>
    </r>
    <r>
      <rPr>
        <b/>
        <sz val="10"/>
        <rFont val="Times New Roman"/>
        <family val="1"/>
      </rPr>
      <t xml:space="preserve"> </t>
    </r>
    <r>
      <rPr>
        <sz val="10"/>
        <rFont val="Times New Roman"/>
        <family val="1"/>
      </rPr>
      <t xml:space="preserve">operam ou já operaram, desde 1993, veículos enquadrados em seis níveis desta escala. / </t>
    </r>
    <r>
      <rPr>
        <b/>
        <sz val="10"/>
        <rFont val="Times New Roman"/>
        <family val="1"/>
      </rPr>
      <t>obs.3:</t>
    </r>
    <r>
      <rPr>
        <sz val="10"/>
        <rFont val="Times New Roman"/>
        <family val="1"/>
      </rPr>
      <t xml:space="preserve"> Para detalhes desta escala consulte o item "acessibilidade em ônibus urbano (escala)" e para detalhes sobre os tipos de ônibus de cada cidade consulte a aba "FrotaOnibus"/ </t>
    </r>
    <r>
      <rPr>
        <b/>
        <sz val="10"/>
        <rFont val="Times New Roman"/>
        <family val="1"/>
      </rPr>
      <t xml:space="preserve">obs.4: </t>
    </r>
    <r>
      <rPr>
        <sz val="10"/>
        <rFont val="Times New Roman"/>
        <family val="1"/>
      </rPr>
      <t>como a pesquisa para elaboração deste gráfico não é exaustiva, a ausência de exemplo no nível 7 deve ser vista, tão somente, como temporária e será superada tão logo se encontre a informação adequada</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</si>
  <si>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28/06/2016. Republicado com alteração do lay-out em 19/08/2016. Republicado em 04/11/2016 e 23/01/2017.
</t>
    </r>
    <r>
      <rPr>
        <b/>
        <sz val="10"/>
        <rFont val="Times New Roman"/>
        <family val="1"/>
      </rPr>
      <t>obs.1:</t>
    </r>
    <r>
      <rPr>
        <sz val="10"/>
        <rFont val="Times New Roman"/>
        <family val="1"/>
      </rPr>
      <t xml:space="preserve"> Este gráfico apresenta os dez níveis da escala desenvolvida pelo SisMob-BH para medir quantitativamente a acessibilidade do embarque/desembarque das frotas de transporte coletivo urbano. </t>
    </r>
    <r>
      <rPr>
        <b/>
        <sz val="10"/>
        <rFont val="Times New Roman"/>
        <family val="1"/>
      </rPr>
      <t>obs.2:</t>
    </r>
    <r>
      <rPr>
        <sz val="10"/>
        <rFont val="Times New Roman"/>
        <family val="1"/>
      </rPr>
      <t xml:space="preserve"> Para detalhes desta escala consulte o item "acessibilidade em ônibus urbano (escala)" e para detalhes sobre os tipos de ônibus de cada cidade consulte a aba "FrotaOnibus".</t>
    </r>
    <r>
      <rPr>
        <b/>
        <sz val="10"/>
        <rFont val="Times New Roman"/>
        <family val="1"/>
      </rPr>
      <t/>
    </r>
  </si>
  <si>
    <t>BH (convencional) 2016</t>
  </si>
  <si>
    <t>BH (suplementar) 2016</t>
  </si>
  <si>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19/08/2016. Lay-out ajustado em 04/11/2016. Atualizado em 23/01/2017 com resultados de "BH (complementar) 2016" e "BH (suplementar) 2016". </t>
    </r>
    <r>
      <rPr>
        <b/>
        <sz val="10"/>
        <rFont val="Times New Roman"/>
        <family val="1"/>
      </rPr>
      <t>obs.:</t>
    </r>
    <r>
      <rPr>
        <sz val="10"/>
        <rFont val="Times New Roman"/>
        <family val="1"/>
      </rPr>
      <t xml:space="preserve"> este gráfico foi especialmente elaborado para ilustrar o item "Indicadores relativos à frota com embarque exclusivo em nível" da </t>
    </r>
    <r>
      <rPr>
        <i/>
        <sz val="10"/>
        <rFont val="Times New Roman"/>
        <family val="1"/>
      </rPr>
      <t>Nota técnica de acessibilidade n.º 1</t>
    </r>
    <r>
      <rPr>
        <sz val="10"/>
        <rFont val="Times New Roman"/>
        <family val="1"/>
      </rPr>
      <t>.</t>
    </r>
  </si>
  <si>
    <t>Belo Horizonte total 2016</t>
  </si>
  <si>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19/08/2016. Republicado em 04/11/2016. Ajustado e atualizado em 23/01/2017 com resultados de "Belo Horizone total 2016". </t>
    </r>
    <r>
      <rPr>
        <b/>
        <sz val="10"/>
        <rFont val="Times New Roman"/>
        <family val="1"/>
      </rPr>
      <t>obs.:</t>
    </r>
    <r>
      <rPr>
        <sz val="10"/>
        <rFont val="Times New Roman"/>
        <family val="1"/>
      </rPr>
      <t xml:space="preserve"> este gráfico foi especialmente elaborado para ilustrar o item "Indicadores relativos à frota com piso baixo" da </t>
    </r>
    <r>
      <rPr>
        <i/>
        <sz val="10"/>
        <rFont val="Times New Roman"/>
        <family val="1"/>
      </rPr>
      <t>Nota técnica de acessibilidade n.º 1</t>
    </r>
    <r>
      <rPr>
        <sz val="10"/>
        <rFont val="Times New Roman"/>
        <family val="1"/>
      </rPr>
      <t>.</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</si>
  <si>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19/08/2016. Republicado em 04/11/2016 e 23/01/2016.</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</si>
  <si>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04/11/2016. Republicado em 23/01/2016.
</t>
    </r>
    <r>
      <rPr>
        <b/>
        <sz val="10"/>
        <rFont val="Times New Roman"/>
        <family val="1"/>
      </rPr>
      <t>obs.:</t>
    </r>
    <r>
      <rPr>
        <sz val="10"/>
        <rFont val="Times New Roman"/>
        <family val="1"/>
      </rPr>
      <t xml:space="preserve"> as cidades aqui apresentadas são todas para as quais foram encontrados resultados.</t>
    </r>
    <r>
      <rPr>
        <b/>
        <sz val="10"/>
        <rFont val="Times New Roman"/>
        <family val="1"/>
      </rPr>
      <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</si>
  <si>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Elaborado por Marcos Fontoura de Oliveira e publicado pela primeira vez no SisMob-BH em 04/11/2016. Republicado em 23/01/2016.</t>
    </r>
    <r>
      <rPr>
        <sz val="10"/>
        <rFont val="Times New Roman"/>
        <family val="1"/>
      </rPr>
      <t xml:space="preserve">
</t>
    </r>
    <r>
      <rPr>
        <b/>
        <sz val="10"/>
        <rFont val="Times New Roman"/>
        <family val="1"/>
      </rPr>
      <t>obs.:</t>
    </r>
    <r>
      <rPr>
        <sz val="10"/>
        <rFont val="Times New Roman"/>
        <family val="1"/>
      </rPr>
      <t xml:space="preserve"> consulte os verbetes "benchmarking SisMob-BH" para conhecer os critérios adotados na seleção das cidades/regiões aqui selecionadas para comparação com Belo Horizonte, dentres as para as quais já foram encontrados resultados do indicador PNT.</t>
    </r>
  </si>
  <si>
    <r>
      <rPr>
        <b/>
        <sz val="10"/>
        <rFont val="Times New Roman"/>
        <family val="1"/>
      </rPr>
      <t xml:space="preserve">Fonte: </t>
    </r>
    <r>
      <rPr>
        <sz val="10"/>
        <rFont val="Times New Roman"/>
        <family val="1"/>
      </rPr>
      <t xml:space="preserve">BHTRANS. Sistema de Informações da Mobilidade Urbana de Belo Horizonte (SisMob-BH). </t>
    </r>
    <r>
      <rPr>
        <i/>
        <sz val="10"/>
        <rFont val="Times New Roman"/>
        <family val="1"/>
      </rPr>
      <t>Quadros 100a/b/c - Dados abertos do SisMob-BH</t>
    </r>
    <r>
      <rPr>
        <sz val="10"/>
        <rFont val="Times New Roman"/>
        <family val="1"/>
      </rPr>
      <t xml:space="preserve">. 
Elaborado por Marcos Fontoura de Oliveira e publicado pela primeira vez no SisMob-BH em 23/01/2016.
</t>
    </r>
    <r>
      <rPr>
        <b/>
        <sz val="10"/>
        <rFont val="Times New Roman"/>
        <family val="1"/>
      </rPr>
      <t>obs.:</t>
    </r>
    <r>
      <rPr>
        <sz val="10"/>
        <rFont val="Times New Roman"/>
        <family val="1"/>
      </rPr>
      <t xml:space="preserve"> as cidades aqui apresentadas são todas as europeias da European Metropolitan Transport Authorities (EMTA) para as quais foram encontrados resultados de frota de ônibus com piso baixo.</t>
    </r>
  </si>
  <si>
    <r>
      <rPr>
        <b/>
        <sz val="10"/>
        <rFont val="Times New Roman"/>
        <family val="1"/>
      </rPr>
      <t>obs.:</t>
    </r>
    <r>
      <rPr>
        <sz val="10"/>
        <rFont val="Times New Roman"/>
        <family val="1"/>
      </rPr>
      <t xml:space="preserve"> Estas informações são uma pequena parte do que começou a ser publicado em 28/06/2016 no seguinte assunto do SisMob-BH: 8) Sistema de transporte motorizado público / 8.10) Sistema de transporte coletivo como um todo. Os gráficos desta aba 8.10 foram incluídos como anexo da </t>
    </r>
    <r>
      <rPr>
        <i/>
        <sz val="10"/>
        <rFont val="Times New Roman"/>
        <family val="1"/>
      </rPr>
      <t>Nota técnica de acessibilidade n.º 1</t>
    </r>
    <r>
      <rPr>
        <sz val="10"/>
        <rFont val="Times New Roman"/>
        <family val="1"/>
      </rPr>
      <t xml:space="preserve"> da Pamu-BH em 19/08/2016 (versão A) e 25/08/2016 (versão A corrigida), bem como da </t>
    </r>
    <r>
      <rPr>
        <i/>
        <sz val="10"/>
        <rFont val="Times New Roman"/>
        <family val="1"/>
      </rPr>
      <t>Nota técnica de acessibilidade n.º 2</t>
    </r>
    <r>
      <rPr>
        <sz val="10"/>
        <rFont val="Times New Roman"/>
        <family val="1"/>
      </rPr>
      <t xml:space="preserve"> da Pamu-BH em 04/11/2016 (versão A).</t>
    </r>
    <r>
      <rPr>
        <sz val="10"/>
        <rFont val="Times New Roman"/>
        <family val="1"/>
      </rPr>
      <t xml:space="preserve"> 
Caso você necessite de mais informações, acesse esses quadros ou entre em contato com o Observatório da Mobilidade de Belo Horizonte - ObsMob-BH por meio do Fale Conosco da BHTrans.</t>
    </r>
  </si>
  <si>
    <r>
      <rPr>
        <b/>
        <sz val="10"/>
        <rFont val="Times New Roman"/>
        <family val="1"/>
      </rPr>
      <t>obs.:</t>
    </r>
    <r>
      <rPr>
        <sz val="10"/>
        <rFont val="Times New Roman"/>
        <family val="1"/>
      </rPr>
      <t xml:space="preserve"> Estas informações são uma pequena parte do que começou a ser publicado em 23/01/2017 nos </t>
    </r>
    <r>
      <rPr>
        <i/>
        <sz val="10"/>
        <rFont val="Times New Roman"/>
        <family val="1"/>
      </rPr>
      <t>Quadros 100a/b/c - Dados abertos do SisMob-BH</t>
    </r>
    <r>
      <rPr>
        <sz val="10"/>
        <rFont val="Times New Roman"/>
        <family val="1"/>
      </rPr>
      <t xml:space="preserve"> do seguinte assunto: 8) Sistema de transporte motorizado público / 8.2) BRT. Caso você necessite de mais informações, acesse esses quadros ou entre em contato com o Observatório da Mobilidade de Belo Horizonte - ObsMob-BH por meio do Fale Conosco da BHTrans.</t>
    </r>
  </si>
  <si>
    <r>
      <t xml:space="preserve">denominação dada ao serviço de transporte da cidade de Metz (França)
</t>
    </r>
    <r>
      <rPr>
        <b/>
        <sz val="10"/>
        <color theme="1"/>
        <rFont val="Times New Roman"/>
        <family val="1"/>
      </rPr>
      <t>obs.:</t>
    </r>
    <r>
      <rPr>
        <sz val="10"/>
        <color theme="1"/>
        <rFont val="Times New Roman"/>
        <family val="1"/>
      </rPr>
      <t xml:space="preserve"> Le service LE MET’ est complété par une offre vélo, de l’autopartage, et une information dynamique en temps
réel." conforme METZ(2017)</t>
    </r>
  </si>
  <si>
    <r>
      <rPr>
        <b/>
        <sz val="12"/>
        <color theme="1"/>
        <rFont val="Times New Roman"/>
        <family val="1"/>
      </rPr>
      <t xml:space="preserve">BHTRANS(2017b2): </t>
    </r>
    <r>
      <rPr>
        <sz val="12"/>
        <color theme="1"/>
        <rFont val="Times New Roman"/>
        <family val="1"/>
      </rPr>
      <t xml:space="preserve">EMPRESA DE TRANSPORTES E TRÂNSITO DE BELO HORIZONTE S.A - BHTRANS. Sistema de Informações da Mobilidade Urbana de Belo Horizonte (SisMob-BH). </t>
    </r>
    <r>
      <rPr>
        <i/>
        <sz val="12"/>
        <color theme="1"/>
        <rFont val="Times New Roman"/>
        <family val="1"/>
      </rPr>
      <t>Quadro 100a - Dados abertos do SisMob-BH - planilha com registros de indicadores, metas, requisitos, referências de benchmarking, verbetes e siglas /aba Q100a-geral; aba Q100b-totais; aba Q100c-fontes; Q100d-ODS11; abas 1.1 a 9.6; aba Q100e-FrotaOnibus</t>
    </r>
    <r>
      <rPr>
        <sz val="12"/>
        <color theme="1"/>
        <rFont val="Times New Roman"/>
        <family val="1"/>
      </rPr>
      <t xml:space="preserve">. Belo Horizonte: BHTrans, 2017. Disponível para baixar como planilha de dados abertos em: &lt;http://www.bhtrans.pbh.gov.br/portal/page/portal/portalpublico/Temas/Observatorio/SISMOBBH-2013&gt;. Acesso  em: 18 jan. 2017 (para citação na </t>
    </r>
    <r>
      <rPr>
        <i/>
        <sz val="12"/>
        <color theme="1"/>
        <rFont val="Times New Roman"/>
        <family val="1"/>
      </rPr>
      <t>Nota técnica de acessibilidade n.º 4</t>
    </r>
    <r>
      <rPr>
        <sz val="12"/>
        <color theme="1"/>
        <rFont val="Times New Roman"/>
        <family val="1"/>
      </rPr>
      <t xml:space="preserve">). Publicado na home page da BHTrans em 22 jan. 2017. </t>
    </r>
    <r>
      <rPr>
        <sz val="12"/>
        <rFont val="Times New Roman"/>
        <family val="1"/>
      </rPr>
      <t>[esta é referência de todos os registros e os quantitativos citados nas notas técnicas de acessibilidade da Pamu-BH em 2017</t>
    </r>
    <r>
      <rPr>
        <sz val="12"/>
        <color theme="1"/>
        <rFont val="Times New Roman"/>
        <family val="1"/>
      </rPr>
      <t>]</t>
    </r>
  </si>
  <si>
    <r>
      <t xml:space="preserve">cidade da França incluída em pelo menos uma das categorias de "benchmarking SisMob-BH"
</t>
    </r>
    <r>
      <rPr>
        <b/>
        <strike/>
        <sz val="10"/>
        <color theme="1"/>
        <rFont val="Times New Roman"/>
        <family val="1"/>
      </rPr>
      <t xml:space="preserve">obs.1: </t>
    </r>
    <r>
      <rPr>
        <strike/>
        <sz val="10"/>
        <color theme="1"/>
        <rFont val="Times New Roman"/>
        <family val="1"/>
      </rPr>
      <t xml:space="preserve">Metz (França) foi escolhida por seus ônibus acessíveis com rampas automáticas horizontais 
</t>
    </r>
    <r>
      <rPr>
        <b/>
        <strike/>
        <sz val="10"/>
        <color theme="1"/>
        <rFont val="Times New Roman"/>
        <family val="1"/>
      </rPr>
      <t>obs.2: "</t>
    </r>
    <r>
      <rPr>
        <strike/>
        <sz val="10"/>
        <color theme="1"/>
        <rFont val="Times New Roman"/>
        <family val="1"/>
      </rPr>
      <t xml:space="preserve">L’ensemble du territoire est couvert par un système de mobilité globale offrant une desserte fine, attractive et hiérarchisée, capable de rendre les différents modes de transport accessibles au plus grand nombre, sans aucune distinction." conforme METZ(2017)
</t>
    </r>
    <r>
      <rPr>
        <b/>
        <strike/>
        <sz val="10"/>
        <color theme="1"/>
        <rFont val="Times New Roman"/>
        <family val="1"/>
      </rPr>
      <t xml:space="preserve">obs.3: </t>
    </r>
    <r>
      <rPr>
        <strike/>
        <sz val="10"/>
        <color theme="1"/>
        <rFont val="Times New Roman"/>
        <family val="1"/>
      </rPr>
      <t xml:space="preserve">acesse os verbetes "Le Met'", Metz Metropole, Mettis </t>
    </r>
  </si>
  <si>
    <r>
      <t xml:space="preserve">índice de acessibilidade física das estações de transferência do BRT de Belo Horizonte localizadas no corredor Antônio Carlos, expresso em percentual
</t>
    </r>
    <r>
      <rPr>
        <b/>
        <sz val="10"/>
        <color theme="1"/>
        <rFont val="Times New Roman"/>
        <family val="1"/>
      </rPr>
      <t>obs.1:</t>
    </r>
    <r>
      <rPr>
        <sz val="10"/>
        <color theme="1"/>
        <rFont val="Times New Roman"/>
        <family val="1"/>
      </rPr>
      <t xml:space="preserve"> nome do indicador tomado a partir da recomendação da ANTP(2011b, p.31) e avaliação da acessibilidade a partir de "acesso universal (máximo de pontos = 3) / 2014 Scorecard = 3 pontos / comentários = pontuação máxima" em relatório em ITDP(2015a, p.20) utilizando-se a fórmula "(n.º de estações acessíveis / n.º total de estações) x 100"
</t>
    </r>
    <r>
      <rPr>
        <b/>
        <sz val="10"/>
        <color theme="1"/>
        <rFont val="Times New Roman"/>
        <family val="1"/>
      </rPr>
      <t xml:space="preserve">obs.2: </t>
    </r>
    <r>
      <rPr>
        <sz val="10"/>
        <color theme="1"/>
        <rFont val="Times New Roman"/>
        <family val="1"/>
      </rPr>
      <t xml:space="preserve">o conceito de acessibilidade contido tanto no indicador da ANTP quanto na avaliação do ITDP estão defasados do conceito de desenho universal
</t>
    </r>
    <r>
      <rPr>
        <b/>
        <sz val="10"/>
        <color theme="1"/>
        <rFont val="Times New Roman"/>
        <family val="1"/>
      </rPr>
      <t xml:space="preserve">obs.3: </t>
    </r>
    <r>
      <rPr>
        <sz val="10"/>
        <color theme="1"/>
        <rFont val="Times New Roman"/>
        <family val="1"/>
      </rPr>
      <t xml:space="preserve">indicador citado em nota de rodapé da </t>
    </r>
    <r>
      <rPr>
        <i/>
        <sz val="10"/>
        <color theme="1"/>
        <rFont val="Times New Roman"/>
        <family val="1"/>
      </rPr>
      <t>Nota técnica de acessibilidade n.º 4</t>
    </r>
    <r>
      <rPr>
        <sz val="10"/>
        <color theme="1"/>
        <rFont val="Times New Roman"/>
        <family val="1"/>
      </rPr>
      <t xml:space="preserve"> (versão A) da Pamu-BH</t>
    </r>
  </si>
  <si>
    <r>
      <t xml:space="preserve">índice de acessibilidade física das estações de transferência do BRT de Belo Horizonte localizadas no corredor Antônio Carlos, expresso em percentual
</t>
    </r>
    <r>
      <rPr>
        <b/>
        <strike/>
        <sz val="8"/>
        <color theme="1"/>
        <rFont val="Times New Roman"/>
        <family val="1"/>
      </rPr>
      <t>obs.1:</t>
    </r>
    <r>
      <rPr>
        <strike/>
        <sz val="8"/>
        <color theme="1"/>
        <rFont val="Times New Roman"/>
        <family val="1"/>
      </rPr>
      <t xml:space="preserve"> nome do indicador tomado a partir da recomendação da ANTP(2011b, p.31) e avaliação da acessibilidade a partir de "acesso universal (máximo de pontos = 3) / 2014 Scorecard = 3 pontos / comentários = pontuação máxima" em relatório em ITDP(2015a, p.20) utilizando-se a fórmula "(n.º de estações acessíveis / n.º total de estações) x 100"
</t>
    </r>
    <r>
      <rPr>
        <b/>
        <strike/>
        <sz val="8"/>
        <color theme="1"/>
        <rFont val="Times New Roman"/>
        <family val="1"/>
      </rPr>
      <t xml:space="preserve">obs.2: </t>
    </r>
    <r>
      <rPr>
        <strike/>
        <sz val="8"/>
        <color theme="1"/>
        <rFont val="Times New Roman"/>
        <family val="1"/>
      </rPr>
      <t xml:space="preserve">o conceito de acessibilidade contido tanto no indicador da ANTP quanto na avaliação do ITDP estão defasados do conceito de desenho universal
</t>
    </r>
    <r>
      <rPr>
        <b/>
        <strike/>
        <sz val="8"/>
        <color theme="1"/>
        <rFont val="Times New Roman"/>
        <family val="1"/>
      </rPr>
      <t xml:space="preserve">obs.3: </t>
    </r>
    <r>
      <rPr>
        <strike/>
        <sz val="8"/>
        <color theme="1"/>
        <rFont val="Times New Roman"/>
        <family val="1"/>
      </rPr>
      <t xml:space="preserve">indicador citado em nota de rodapé da </t>
    </r>
    <r>
      <rPr>
        <i/>
        <strike/>
        <sz val="8"/>
        <color theme="1"/>
        <rFont val="Times New Roman"/>
        <family val="1"/>
      </rPr>
      <t>Nota técnica de acessibilidade n.º 4</t>
    </r>
    <r>
      <rPr>
        <strike/>
        <sz val="8"/>
        <color theme="1"/>
        <rFont val="Times New Roman"/>
        <family val="1"/>
      </rPr>
      <t xml:space="preserve"> (versão A) da Pamu-BH</t>
    </r>
  </si>
  <si>
    <r>
      <t xml:space="preserve"> </t>
    </r>
    <r>
      <rPr>
        <b/>
        <sz val="10"/>
        <color theme="1"/>
        <rFont val="Times New Roman"/>
        <family val="1"/>
      </rPr>
      <t>2010:</t>
    </r>
    <r>
      <rPr>
        <sz val="10"/>
        <color theme="1"/>
        <rFont val="Times New Roman"/>
        <family val="1"/>
      </rPr>
      <t xml:space="preserve"> considerando "o conteúdo da NBR 14022:2006 editada pela [...] ABNT [...] e "que os percentuais de substituição de ônibus comuns por ônibus adaptados com elevador hidráulico, estabelecidos no Decreto nº 11.536, de 14 de novembro de 2003, já foram atendidos" foi decretada a revogação do decreto de 2003 conforme BH(2010a)
</t>
    </r>
    <r>
      <rPr>
        <b/>
        <sz val="10"/>
        <color theme="1"/>
        <rFont val="Times New Roman"/>
        <family val="1"/>
      </rPr>
      <t>2014:</t>
    </r>
    <r>
      <rPr>
        <sz val="10"/>
        <color theme="1"/>
        <rFont val="Times New Roman"/>
        <family val="1"/>
      </rPr>
      <t xml:space="preserve"> iniciada inauguração do BRT de Belo Horizonte (acesse verbete "acessibilidade no BRT" da cidade/região "Belo Horizonte")
</t>
    </r>
    <r>
      <rPr>
        <b/>
        <sz val="10"/>
        <color theme="1"/>
        <rFont val="Times New Roman"/>
        <family val="1"/>
      </rPr>
      <t>17 mar. 2016:</t>
    </r>
    <r>
      <rPr>
        <sz val="10"/>
        <color theme="1"/>
        <rFont val="Times New Roman"/>
        <family val="1"/>
      </rPr>
      <t xml:space="preserve"> lançada licitação para todo o serviço de transporte suplementar de Belo Horizonte conforme BHTRANS(2016h; 2016h2) com regulamento e anexos conforme BHTRANS(2016h6)
</t>
    </r>
    <r>
      <rPr>
        <b/>
        <sz val="10"/>
        <color theme="1"/>
        <rFont val="Times New Roman"/>
        <family val="1"/>
      </rPr>
      <t>29 mar. 2016:</t>
    </r>
    <r>
      <rPr>
        <sz val="10"/>
        <color theme="1"/>
        <rFont val="Times New Roman"/>
        <family val="1"/>
      </rPr>
      <t xml:space="preserve"> retificação de item do edital de licitação do transporte suplementar de Belo Horizonte conforme BHTRANS(h3)
</t>
    </r>
    <r>
      <rPr>
        <b/>
        <sz val="10"/>
        <color theme="1"/>
        <rFont val="Times New Roman"/>
        <family val="1"/>
      </rPr>
      <t>1º abr. 2016:</t>
    </r>
    <r>
      <rPr>
        <sz val="10"/>
        <color theme="1"/>
        <rFont val="Times New Roman"/>
        <family val="1"/>
      </rPr>
      <t xml:space="preserve"> esclarecimento sobre documentação de frota do edital de licitação do transporte suplementar de Belo Horizonte conforme BHTRANS(h4)
</t>
    </r>
    <r>
      <rPr>
        <b/>
        <sz val="10"/>
        <color theme="1"/>
        <rFont val="Times New Roman"/>
        <family val="1"/>
      </rPr>
      <t>5/9 maio 2016:</t>
    </r>
    <r>
      <rPr>
        <sz val="10"/>
        <color theme="1"/>
        <rFont val="Times New Roman"/>
        <family val="1"/>
      </rPr>
      <t xml:space="preserve"> adiado (pela primeira vez, por 30 dias) o lançamento da abertura dos envelopes da licitação do transporte suplementar conforme BHTRANS(2016h5), quando a BHTrans considerou que todos os veículos atuais "são acessíveis à [sic] pessoas com mobilidade reduzida" conforme BHTRANS(2016i)
</t>
    </r>
    <r>
      <rPr>
        <b/>
        <sz val="10"/>
        <color theme="1"/>
        <rFont val="Times New Roman"/>
        <family val="1"/>
      </rPr>
      <t xml:space="preserve">30 jun. 2016: </t>
    </r>
    <r>
      <rPr>
        <sz val="10"/>
        <color theme="1"/>
        <rFont val="Times New Roman"/>
        <family val="1"/>
      </rPr>
      <t xml:space="preserve">CMDPD-BH questiona a BHTrans a não obrigatoriedade do ônibus de piso baixo com desenho universal na licitação do transporte suplementar conforme BHTRANS(2016m)
</t>
    </r>
    <r>
      <rPr>
        <b/>
        <sz val="10"/>
        <color theme="1"/>
        <rFont val="Times New Roman"/>
        <family val="1"/>
      </rPr>
      <t xml:space="preserve">3 set.2016: </t>
    </r>
    <r>
      <rPr>
        <sz val="10"/>
        <color theme="1"/>
        <rFont val="Times New Roman"/>
        <family val="1"/>
      </rPr>
      <t xml:space="preserve">adiada mais uma vez a licitação do trasporte suplementar, por mais trinta dias, conforme BHTRANS(2016we)
</t>
    </r>
    <r>
      <rPr>
        <b/>
        <sz val="10"/>
        <color theme="1"/>
        <rFont val="Times New Roman"/>
        <family val="1"/>
      </rPr>
      <t xml:space="preserve">29 set.2016: </t>
    </r>
    <r>
      <rPr>
        <sz val="10"/>
        <color theme="1"/>
        <rFont val="Times New Roman"/>
        <family val="1"/>
      </rPr>
      <t xml:space="preserve">BHTrans responde questionamento sobre licitação do transporte suplementar ao CMDPD-BH informando que o ônibus de piso baixo é permitido mas não é obrigatório conforme BHTRANS(2016wd)
</t>
    </r>
    <r>
      <rPr>
        <b/>
        <sz val="10"/>
        <rFont val="Times New Roman"/>
        <family val="1"/>
      </rPr>
      <t>VERBETE EM CONSTRUÇÃO:</t>
    </r>
    <r>
      <rPr>
        <sz val="10"/>
        <rFont val="Times New Roman"/>
        <family val="1"/>
      </rPr>
      <t xml:space="preserve"> sistematização do SisMob-BH iniciada em maio/2016 (aqui está sendo publicado em ordem cronológica tudo que se for encontrando sobre acessibilidade na frota de ônibus do transporte coletivo de Belo Horizonte)</t>
    </r>
  </si>
  <si>
    <t>F tc
(histórico)
anos 1990-1998</t>
  </si>
  <si>
    <t>F tc
(histórico)
ano 1999</t>
  </si>
  <si>
    <r>
      <rPr>
        <b/>
        <sz val="9.5"/>
        <color theme="1"/>
        <rFont val="Times New Roman"/>
        <family val="1"/>
      </rPr>
      <t>fev.1999:</t>
    </r>
    <r>
      <rPr>
        <sz val="9.5"/>
        <color theme="1"/>
        <rFont val="Times New Roman"/>
        <family val="1"/>
      </rPr>
      <t xml:space="preserve"> projeto de lei propõe a criação de "serviço de transporte alternativo para atender ao portador de deficiência física" confo</t>
    </r>
    <r>
      <rPr>
        <sz val="9.5"/>
        <rFont val="Times New Roman"/>
        <family val="1"/>
      </rPr>
      <t>rme BH(1999d /</t>
    </r>
    <r>
      <rPr>
        <sz val="9.5"/>
        <color rgb="FFFF0000"/>
        <rFont val="Times New Roman"/>
        <family val="1"/>
      </rPr>
      <t xml:space="preserve"> </t>
    </r>
    <r>
      <rPr>
        <b/>
        <sz val="9.5"/>
        <rFont val="Times New Roman"/>
        <family val="1"/>
      </rPr>
      <t xml:space="preserve">19 mar. 1999: </t>
    </r>
    <r>
      <rPr>
        <sz val="9.5"/>
        <rFont val="Times New Roman"/>
        <family val="1"/>
      </rPr>
      <t xml:space="preserve">reportagem na imprensa local de BH questiona "a funcionalidade" de elevador implantados na Praça Hugo Werneck / </t>
    </r>
    <r>
      <rPr>
        <b/>
        <sz val="9.5"/>
        <color theme="1"/>
        <rFont val="Times New Roman"/>
        <family val="1"/>
      </rPr>
      <t xml:space="preserve">maio 1999: </t>
    </r>
    <r>
      <rPr>
        <sz val="9.5"/>
        <color theme="1"/>
        <rFont val="Times New Roman"/>
        <family val="1"/>
      </rPr>
      <t xml:space="preserve">portaria consolida critérios de inclusão, substituição e remuneração de veículos estabelecendo, dentre outros, 5% como valor residual de veículos piso baixo  com "kneeling, sem degraus nas portas dianteira e intermediária, e altura mínima de 30 cm entre o piso dianteiro do ônibus e o pavimento da via " em vez de 10% para os demais veículos do mesmo padrão sem essas caracteristicas de acessibilidade conforme BHTRANS(1999c) / </t>
    </r>
    <r>
      <rPr>
        <b/>
        <sz val="9.5"/>
        <color theme="1"/>
        <rFont val="Times New Roman"/>
        <family val="1"/>
      </rPr>
      <t xml:space="preserve">20 maio 1999: </t>
    </r>
    <r>
      <rPr>
        <sz val="9.5"/>
        <color theme="1"/>
        <rFont val="Times New Roman"/>
        <family val="1"/>
      </rPr>
      <t xml:space="preserve">veja reserva de assentos nos ônibus (proposição de lei vetada) / </t>
    </r>
    <r>
      <rPr>
        <b/>
        <sz val="9.5"/>
        <color theme="1"/>
        <rFont val="Times New Roman"/>
        <family val="1"/>
      </rPr>
      <t xml:space="preserve">24 maio 1999: </t>
    </r>
    <r>
      <rPr>
        <sz val="9.5"/>
        <color theme="1"/>
        <rFont val="Times New Roman"/>
        <family val="1"/>
      </rPr>
      <t xml:space="preserve">portaria consolida regulamentações para "os veículos novos", que devem atender, dentre outras exigências, que "A partir de 1º de março de 1999 os veículos Padron II, Padron III e Articulado que forem incorporados ao sistema de ônibus de Belo Horizonte deverão ser do tipo piso baixo (low floor) ou entrada baixa (low entry) [...]" e que "A partir de 1º de janeiro de 2000 os veículos Minibus, Microônibus, Padron I e Padron II A deverão atender às especificações" de piso baixo conforme BHTRANS(1999a) / </t>
    </r>
    <r>
      <rPr>
        <b/>
        <sz val="9.5"/>
        <color theme="1"/>
        <rFont val="Times New Roman"/>
        <family val="1"/>
      </rPr>
      <t>2 jul. 1999:</t>
    </r>
    <r>
      <rPr>
        <sz val="9.5"/>
        <color theme="1"/>
        <rFont val="Times New Roman"/>
        <family val="1"/>
      </rPr>
      <t xml:space="preserve"> veja reserva de assentos nos ônibus (sanção delei capós derrubada de veto) / </t>
    </r>
    <r>
      <rPr>
        <b/>
        <sz val="9.5"/>
        <color theme="1"/>
        <rFont val="Times New Roman"/>
        <family val="1"/>
      </rPr>
      <t xml:space="preserve">9 set.1999: </t>
    </r>
    <r>
      <rPr>
        <sz val="9.5"/>
        <color theme="1"/>
        <rFont val="Times New Roman"/>
        <family val="1"/>
      </rPr>
      <t>portaria determina que toda substituição de ônibus deve seguir a distribuição percentual de 80% piso baixo e 20% Padron I excetuando-se a "parcela da frota que opera linhas do serviço auxiliar e alimentador" e que "Os ônibus com motor dianteiro existentes hoje no Sistema de Transporte Público de Belo Horizonte deverão ser retirados até 31 de dezembro de 2000", alterando assim o prazo determinado de 1º de março de 1999 para setembro de 1999 conf</t>
    </r>
    <r>
      <rPr>
        <sz val="9.5"/>
        <rFont val="Times New Roman"/>
        <family val="1"/>
      </rPr>
      <t xml:space="preserve">orme BHTRANS(1999b) / </t>
    </r>
    <r>
      <rPr>
        <b/>
        <sz val="9.5"/>
        <rFont val="Times New Roman"/>
        <family val="1"/>
      </rPr>
      <t>set.1999:</t>
    </r>
    <r>
      <rPr>
        <sz val="9.5"/>
        <rFont val="Times New Roman"/>
        <family val="1"/>
      </rPr>
      <t xml:space="preserve"> BHTrans anuncia que Belo Horizonte é a primeira capital do país a adotar ônibus de piso baixo conforme BHTRANS(1999d/e) / </t>
    </r>
    <r>
      <rPr>
        <b/>
        <sz val="9.5"/>
        <rFont val="Times New Roman"/>
        <family val="1"/>
      </rPr>
      <t>1999:</t>
    </r>
    <r>
      <rPr>
        <sz val="9.5"/>
        <rFont val="Times New Roman"/>
        <family val="1"/>
      </rPr>
      <t xml:space="preserve"> paper do então diretor de planejamento da BHTrans defende o desenho universal "projetado para todos, como deve ser toda a cidade" conforme DIAS(1999a)</t>
    </r>
    <r>
      <rPr>
        <sz val="9.5"/>
        <color theme="1"/>
        <rFont val="Times New Roman"/>
        <family val="1"/>
      </rPr>
      <t xml:space="preserve">
</t>
    </r>
    <r>
      <rPr>
        <b/>
        <sz val="9.5"/>
        <rFont val="Times New Roman"/>
        <family val="1"/>
      </rPr>
      <t>VERBETE EM CONSTRUÇÃO:</t>
    </r>
    <r>
      <rPr>
        <sz val="9.5"/>
        <rFont val="Times New Roman"/>
        <family val="1"/>
      </rPr>
      <t xml:space="preserve"> tentativa de sistematização do SisMob-BH iniciada em maio/2016 (aqui está sendo publicado em ordem cronológica tudo que se for encontrando sobre acessibilidade na frota de ônibus do transporte coletivo de Belo Horizonte)</t>
    </r>
  </si>
  <si>
    <r>
      <rPr>
        <b/>
        <sz val="9.5"/>
        <color theme="1"/>
        <rFont val="Times New Roman"/>
        <family val="1"/>
      </rPr>
      <t xml:space="preserve">1990: </t>
    </r>
    <r>
      <rPr>
        <sz val="9.5"/>
        <color theme="1"/>
        <rFont val="Times New Roman"/>
        <family val="1"/>
      </rPr>
      <t xml:space="preserve">decretado que a BHTrans "somente autorizará a circulação de novos ônibus coletivos que estiverem devidamente equipados com elevadores hidráulicos." e que "Os ônibus deverão conter espaço interno que comporte, no mínimo, duas cadeiras de rodas, dispondo ainda de equipamentos de fixação das referidas cadeiras" conforme BH(1990a/art.1º; art.2º) / </t>
    </r>
    <r>
      <rPr>
        <b/>
        <sz val="9.5"/>
        <color theme="1"/>
        <rFont val="Times New Roman"/>
        <family val="1"/>
      </rPr>
      <t xml:space="preserve">maio 1997: </t>
    </r>
    <r>
      <rPr>
        <sz val="9.5"/>
        <color theme="1"/>
        <rFont val="Times New Roman"/>
        <family val="1"/>
      </rPr>
      <t xml:space="preserve">determina-se a subsituição dos divisoes de fluxo até então implantados no centro das portas traseiras dos ônibus por corrimãos nas laterais das portas conforme BHTRANS(1997a/b) para que as cadeiras de rodas pudessem ser embarcadas carregadas ainda sem os elevadores  / </t>
    </r>
    <r>
      <rPr>
        <b/>
        <sz val="9.5"/>
        <color theme="1"/>
        <rFont val="Times New Roman"/>
        <family val="1"/>
      </rPr>
      <t xml:space="preserve">julho 1998: </t>
    </r>
    <r>
      <rPr>
        <sz val="9.5"/>
        <color theme="1"/>
        <rFont val="Times New Roman"/>
        <family val="1"/>
      </rPr>
      <t xml:space="preserve">PBH lança em 16/07/1998 o "Plano de Acessibilidade Física de Belo Horizonte" estabelecendo que a partir de março/1999 todo ônibus Padron que ingressar no sistema deverá ser com piso baixo sem degraus conforme BHTRANS(1998a) / </t>
    </r>
    <r>
      <rPr>
        <b/>
        <sz val="9.5"/>
        <color theme="1"/>
        <rFont val="Times New Roman"/>
        <family val="1"/>
      </rPr>
      <t>ago.1988:</t>
    </r>
    <r>
      <rPr>
        <sz val="9.5"/>
        <color theme="1"/>
        <rFont val="Times New Roman"/>
        <family val="1"/>
      </rPr>
      <t xml:space="preserve"> “Vem aí o ônibus de piso baixo. A Prefeitura lançou o Plano de Acessibilidade e, a partir de março de 1999, este novo modelo de ônibus será obrigatório.” conforme BHTRANS(1998b) citado em OLIVEIRA(2015d) /  </t>
    </r>
    <r>
      <rPr>
        <b/>
        <sz val="9.5"/>
        <color theme="1"/>
        <rFont val="Times New Roman"/>
        <family val="1"/>
      </rPr>
      <t>abr. 1998:</t>
    </r>
    <r>
      <rPr>
        <sz val="9.5"/>
        <color theme="1"/>
        <rFont val="Times New Roman"/>
        <family val="1"/>
      </rPr>
      <t xml:space="preserve"> paper do então diretor de planejamento da BHTrans defende a "fabricação massiva" de veículos como estratégia para redução de custos conforme DIAS(1998a) / </t>
    </r>
    <r>
      <rPr>
        <b/>
        <sz val="9.5"/>
        <color theme="1"/>
        <rFont val="Times New Roman"/>
        <family val="1"/>
      </rPr>
      <t>jun. 1998</t>
    </r>
    <r>
      <rPr>
        <sz val="9.5"/>
        <color theme="1"/>
        <rFont val="Times New Roman"/>
        <family val="1"/>
      </rPr>
      <t xml:space="preserve">: CMBH faz indicação à BHTrans para cumprimento da lei de 1999 que determina a instalação de elevadores hidráulicos nos ônibus conforme BH(1998a) / </t>
    </r>
    <r>
      <rPr>
        <b/>
        <sz val="9.5"/>
        <color theme="1"/>
        <rFont val="Times New Roman"/>
        <family val="1"/>
      </rPr>
      <t>21 jul. 1998:</t>
    </r>
    <r>
      <rPr>
        <sz val="9.5"/>
        <color theme="1"/>
        <rFont val="Times New Roman"/>
        <family val="1"/>
      </rPr>
      <t xml:space="preserve"> BHTrans responde a indicação de jun.1998 rechaçando a implantação de elevadores e afirmando que o ônibus piso baixo é o padrão de frota de Belo Horizonte conforme OLIVEIRA(1998b) / </t>
    </r>
    <r>
      <rPr>
        <b/>
        <sz val="9.5"/>
        <color theme="1"/>
        <rFont val="Times New Roman"/>
        <family val="1"/>
      </rPr>
      <t xml:space="preserve">1998: </t>
    </r>
    <r>
      <rPr>
        <sz val="9.5"/>
        <color theme="1"/>
        <rFont val="Times New Roman"/>
        <family val="1"/>
      </rPr>
      <t>veja reserva de assentos nos ônibus (projeto de lei)</t>
    </r>
    <r>
      <rPr>
        <sz val="9.5"/>
        <color theme="1"/>
        <rFont val="Times New Roman"/>
        <family val="1"/>
      </rPr>
      <t xml:space="preserve">
</t>
    </r>
    <r>
      <rPr>
        <b/>
        <sz val="9.5"/>
        <rFont val="Times New Roman"/>
        <family val="1"/>
      </rPr>
      <t>VERBETE EM CONSTRUÇÃO:</t>
    </r>
    <r>
      <rPr>
        <sz val="9.5"/>
        <rFont val="Times New Roman"/>
        <family val="1"/>
      </rPr>
      <t xml:space="preserve"> tentativa de sistematização do SisMob-BH iniciada em maio/2016 (aqui está sendo publicado em ordem cronológica tudo que se for encontrando sobre acessibilidade na frota de ônibus do transporte coletivo de Belo Horizonte)</t>
    </r>
  </si>
  <si>
    <r>
      <rPr>
        <sz val="10"/>
        <color rgb="FFFF0000"/>
        <rFont val="Times New Roman"/>
        <family val="1"/>
      </rPr>
      <t xml:space="preserve">fazer um registro para cada indicador citado no verbete "acessibuilidade universal": </t>
    </r>
    <r>
      <rPr>
        <sz val="10"/>
        <color theme="1"/>
        <rFont val="Times New Roman"/>
        <family val="1"/>
      </rPr>
      <t>"percentual de veículos da frota com desenho universal", "percentual de avaliação positiva das condições das calçadas e travessias na Área Central de Belo Horizonte", "percentual de avaliação positiva das condições das calçadas e travessias nos bairros Belo Horizonte" e "percentual de gasto com transporte coletivo em relação ao salário mínimo" conforme BHTRANS(2016wa, p.67-68)
outros dois indicadores foram definidos para o eixo "acessibilidade universal", quais sejam, "n.º de estações com acessibilidade adequada", "extensão de calçadas - com pontos de ônibus, com acessibilidade universal em corredores estruturantes" conforme BHTRANS(2016wa, p.69-70)</t>
    </r>
  </si>
  <si>
    <t>faltando redigir o verbete</t>
  </si>
  <si>
    <t>registro lançado no Q100a</t>
  </si>
  <si>
    <r>
      <t xml:space="preserve">a categoria "benchmarking SisMob-BH BR3" contém as demais cidades brasileiras, além das que fazem parte das categorias BR1 , BR2 e BR4 selecionadas pelo SisMob-BH para terem seus resultados buscados para comparação com os de Belo Horizonte 
</t>
    </r>
    <r>
      <rPr>
        <b/>
        <sz val="10"/>
        <color theme="1"/>
        <rFont val="Times New Roman"/>
        <family val="1"/>
      </rPr>
      <t>obs.:</t>
    </r>
    <r>
      <rPr>
        <sz val="10"/>
        <color theme="1"/>
        <rFont val="Times New Roman"/>
        <family val="1"/>
      </rPr>
      <t xml:space="preserve"> São Paulo é selecionada por ser a maior cidade brasileira e ter sistemas estruturados/confiáveis de informação que facilitam a obtenção/comparação de resultados; </t>
    </r>
    <r>
      <rPr>
        <sz val="10"/>
        <color rgb="FFFF0000"/>
        <rFont val="Times New Roman"/>
        <family val="1"/>
      </rPr>
      <t>Uberlândia, por ser a cidade brasileira que costuma ser considerada acessível</t>
    </r>
    <r>
      <rPr>
        <sz val="10"/>
        <color theme="1"/>
        <rFont val="Times New Roman"/>
        <family val="1"/>
      </rPr>
      <t xml:space="preserve">; Joinville, por fazer parte da rede WRI; Rio de Janeiro, por haver resultado atual/preojeção de PNT </t>
    </r>
  </si>
  <si>
    <r>
      <t xml:space="preserve">a categoria "benchmarking SisMob-BH BR3" contém as demais cidades brasileiras, além das que fazem parte das categorias BR1 , BR2 e BR4 selecionadas pelo SisMob-BH para terem seus resultados buscados para comparação com os de Belo Horizonte 
</t>
    </r>
    <r>
      <rPr>
        <b/>
        <sz val="10"/>
        <rFont val="Times New Roman"/>
        <family val="1"/>
      </rPr>
      <t>obs.:</t>
    </r>
    <r>
      <rPr>
        <sz val="10"/>
        <rFont val="Times New Roman"/>
        <family val="1"/>
      </rPr>
      <t xml:space="preserve"> São Paulo é selecionada por ser a maior cidade brasileira e ter sistemas estruturados/confiáveis de informação que facilitam a obtenção/comparação de resultados; Uberlândia, por ser a cidade brasileira que costuma ser considerada acessível; Joinville, por fazer parte da rede WRI; Rio de Janeiro, por haver resultado atual/preojeção de PNT </t>
    </r>
  </si>
  <si>
    <r>
      <rPr>
        <b/>
        <sz val="12"/>
        <color theme="1"/>
        <rFont val="Times New Roman"/>
        <family val="1"/>
      </rPr>
      <t xml:space="preserve">SILVEIRA(2012): </t>
    </r>
    <r>
      <rPr>
        <sz val="12"/>
        <color theme="1"/>
        <rFont val="Times New Roman"/>
        <family val="1"/>
      </rPr>
      <t xml:space="preserve">SILVEIRA, Carolina Stolf. </t>
    </r>
    <r>
      <rPr>
        <i/>
        <sz val="12"/>
        <color theme="1"/>
        <rFont val="Times New Roman"/>
        <family val="1"/>
      </rPr>
      <t>Acessibilidade espacial no transporte público urbano: estudo de caso em Joinville-SC</t>
    </r>
    <r>
      <rPr>
        <sz val="12"/>
        <color theme="1"/>
        <rFont val="Times New Roman"/>
        <family val="1"/>
      </rPr>
      <t>. 2012. 210f. Dissertação (Mestrado em Arquitetura e Urbanismo) - Universidade Federal de Santa Catarina - UFSC.</t>
    </r>
  </si>
  <si>
    <r>
      <rPr>
        <b/>
        <sz val="12"/>
        <color theme="1"/>
        <rFont val="Times New Roman"/>
        <family val="1"/>
      </rPr>
      <t>EC(2016c1):</t>
    </r>
    <r>
      <rPr>
        <sz val="12"/>
        <color theme="1"/>
        <rFont val="Times New Roman"/>
        <family val="1"/>
      </rPr>
      <t xml:space="preserve"> EUROPEAN COMISSION - EC. </t>
    </r>
    <r>
      <rPr>
        <i/>
        <sz val="12"/>
        <color theme="1"/>
        <rFont val="Times New Roman"/>
        <family val="1"/>
      </rPr>
      <t>Access City Award 2016</t>
    </r>
    <r>
      <rPr>
        <sz val="12"/>
        <color theme="1"/>
        <rFont val="Times New Roman"/>
        <family val="1"/>
      </rPr>
      <t>: Exemplos de melhores práticas para tornar as cidades da UE mais acessíveis. Luxembourg, 2016. 24p. Disponível para baixar em: &lt;https://euroalert.net/publication/489/access-city-award-2016-examples-of-best-practice-for-making-eu-cities-more-accessible&gt;. Acesso em: 13 jan. 2017.</t>
    </r>
  </si>
  <si>
    <r>
      <rPr>
        <b/>
        <sz val="12"/>
        <color theme="1"/>
        <rFont val="Times New Roman"/>
        <family val="1"/>
      </rPr>
      <t>EC(2016c2):</t>
    </r>
    <r>
      <rPr>
        <sz val="12"/>
        <color theme="1"/>
        <rFont val="Times New Roman"/>
        <family val="1"/>
      </rPr>
      <t xml:space="preserve"> EUROPEAN COMISSION - EC. </t>
    </r>
    <r>
      <rPr>
        <i/>
        <sz val="12"/>
        <color theme="1"/>
        <rFont val="Times New Roman"/>
        <family val="1"/>
      </rPr>
      <t>Access City Award 2016</t>
    </r>
    <r>
      <rPr>
        <sz val="12"/>
        <color theme="1"/>
        <rFont val="Times New Roman"/>
        <family val="1"/>
      </rPr>
      <t>: Examples of best practice for making EU cities more accessible. Luxembourg, 2016. 24p. Disponível para baixar em: &lt;https://euroalert.net/publication/489/access-city-award-2016-examples-of-best-practice-for-making-eu-cities-more-accessible&gt;. Acesso em: 13 jan. 2017.</t>
    </r>
  </si>
  <si>
    <r>
      <rPr>
        <b/>
        <sz val="12"/>
        <color theme="1"/>
        <rFont val="Times New Roman"/>
        <family val="1"/>
      </rPr>
      <t>EC(2017a):</t>
    </r>
    <r>
      <rPr>
        <sz val="12"/>
        <color theme="1"/>
        <rFont val="Times New Roman"/>
        <family val="1"/>
      </rPr>
      <t xml:space="preserve"> EUROPEAN COMISSION - EC. </t>
    </r>
    <r>
      <rPr>
        <i/>
        <sz val="12"/>
        <color theme="1"/>
        <rFont val="Times New Roman"/>
        <family val="1"/>
      </rPr>
      <t>Access City Award 2017 - Chester</t>
    </r>
    <r>
      <rPr>
        <sz val="12"/>
        <color theme="1"/>
        <rFont val="Times New Roman"/>
        <family val="1"/>
      </rPr>
      <t>. Disponível em: &lt;http://ec.europa.eu/social/main.jsp?catId=1170&amp;langId=pt&gt;. Acesso em: 23 jan. 2017.</t>
    </r>
  </si>
  <si>
    <r>
      <t xml:space="preserve">a categoria "benchmarking SisMob-BH M1" contém as cidades europeias premiadas no </t>
    </r>
    <r>
      <rPr>
        <i/>
        <sz val="10"/>
        <color theme="1"/>
        <rFont val="Times New Roman"/>
        <family val="1"/>
      </rPr>
      <t xml:space="preserve">Access City Award </t>
    </r>
    <r>
      <rPr>
        <sz val="10"/>
        <color theme="1"/>
        <rFont val="Times New Roman"/>
        <family val="1"/>
      </rPr>
      <t xml:space="preserve">promovido pela </t>
    </r>
    <r>
      <rPr>
        <i/>
        <sz val="10"/>
        <color theme="1"/>
        <rFont val="Times New Roman"/>
        <family val="1"/>
      </rPr>
      <t>European Comission</t>
    </r>
    <r>
      <rPr>
        <sz val="10"/>
        <color theme="1"/>
        <rFont val="Times New Roman"/>
        <family val="1"/>
      </rPr>
      <t xml:space="preserve">, selecionadas pelo SisMob-BH para terem seus resultados buscados para comparação com os de Belo Horizonte 
</t>
    </r>
    <r>
      <rPr>
        <b/>
        <sz val="10"/>
        <color theme="1"/>
        <rFont val="Times New Roman"/>
        <family val="1"/>
      </rPr>
      <t xml:space="preserve">obs.1: </t>
    </r>
    <r>
      <rPr>
        <sz val="10"/>
        <color theme="1"/>
        <rFont val="Times New Roman"/>
        <family val="1"/>
      </rPr>
      <t xml:space="preserve">as cidades premiadas em 2010 são Ávila (Espanha), Barcelona (Espanha), Colônia (Alemanha) e Turku (Finlândia) conforme EC(2014b), destacando-se que Barcelona é considerada "referência de meta" conforme PROGRAMA(2015b)
</t>
    </r>
    <r>
      <rPr>
        <b/>
        <sz val="10"/>
        <color theme="1"/>
        <rFont val="Times New Roman"/>
        <family val="1"/>
      </rPr>
      <t xml:space="preserve">obs.2: </t>
    </r>
    <r>
      <rPr>
        <sz val="10"/>
        <color theme="1"/>
        <rFont val="Times New Roman"/>
        <family val="1"/>
      </rPr>
      <t xml:space="preserve">as cidades premiadas em 2012 são Salzburgo (Áustria), Cracóvia (Polônia), Marburg (Alemanha), Santander (Espanha), Terrassa (Espanha); Liubliana (Eslovênia); Olomouc (República Tcheca); Grenoble (França) conforme EC(2014b); EC(2012a)
</t>
    </r>
    <r>
      <rPr>
        <b/>
        <sz val="10"/>
        <color theme="1"/>
        <rFont val="Times New Roman"/>
        <family val="1"/>
      </rPr>
      <t xml:space="preserve">obs.3: </t>
    </r>
    <r>
      <rPr>
        <sz val="10"/>
        <color theme="1"/>
        <rFont val="Times New Roman"/>
        <family val="1"/>
      </rPr>
      <t xml:space="preserve">as cidades premiadas em 2013 são Berlim (Alemanha), Nantes (França), Estocolmo (Suécia), Pamplona (Espanha), Gdynia (Polônia), Bilbao (Espanha) e Tallaght (Irlanda) conforme EC(2013), destacando-se que Estocolmo é considerada "referência de meta" conforme PROGRAMA(2015b)
</t>
    </r>
    <r>
      <rPr>
        <b/>
        <sz val="10"/>
        <color theme="1"/>
        <rFont val="Times New Roman"/>
        <family val="1"/>
      </rPr>
      <t xml:space="preserve">obs.4: </t>
    </r>
    <r>
      <rPr>
        <sz val="10"/>
        <color theme="1"/>
        <rFont val="Times New Roman"/>
        <family val="1"/>
      </rPr>
      <t xml:space="preserve">as cidades premiadas em 2014 são Gotemburgo (Suécia); Grenoble (França); Posnânia [Poznań] na Polônia; Belfast (Irlanda do Norte); Dresden (Alemanha); Burgos e Málaga (Espanha) conforme EC(2014a).
</t>
    </r>
    <r>
      <rPr>
        <b/>
        <sz val="10"/>
        <color theme="1"/>
        <rFont val="Times New Roman"/>
        <family val="1"/>
      </rPr>
      <t>obs.5:</t>
    </r>
    <r>
      <rPr>
        <sz val="10"/>
        <color theme="1"/>
        <rFont val="Times New Roman"/>
        <family val="1"/>
      </rPr>
      <t xml:space="preserve"> as cidades premiadas em 2015 são Borås (Suécia); Helsinque (Finlândia); Liubliana (Eslovênia); Logroño (Espanha); Budapeste (Hungria) e Arona (Espanha) conforme EIP-SCC(2015); EC(2015a)
</t>
    </r>
    <r>
      <rPr>
        <b/>
        <sz val="10"/>
        <color theme="1"/>
        <rFont val="Times New Roman"/>
        <family val="1"/>
      </rPr>
      <t xml:space="preserve">obs.6: </t>
    </r>
    <r>
      <rPr>
        <sz val="10"/>
        <color theme="1"/>
        <rFont val="Times New Roman"/>
        <family val="1"/>
      </rPr>
      <t xml:space="preserve">as cidades premiadas em 2016 são Milão (Itália), Wiesbaden (Alemanha), Toulouse (França), Vaasa (Finlândia) e Kaposvár (Hungria) EC(2016c1;2016c2)
</t>
    </r>
    <r>
      <rPr>
        <b/>
        <sz val="10"/>
        <color theme="1"/>
        <rFont val="Times New Roman"/>
        <family val="1"/>
      </rPr>
      <t xml:space="preserve">obs.7: </t>
    </r>
    <r>
      <rPr>
        <sz val="10"/>
        <color theme="1"/>
        <rFont val="Times New Roman"/>
        <family val="1"/>
      </rPr>
      <t>obs.7: as cidades premiadas em 2017 são Chester (Inglaterra), Rotterdam (Holanda), Jūrmala (Letônia), Lugo (Espanha), Skellefteå (Suécia), Alessandria (Itália) e Funchal (Portugal) conforme EC(2017a)</t>
    </r>
  </si>
  <si>
    <t>Chester</t>
  </si>
  <si>
    <t>Roterdam</t>
  </si>
  <si>
    <t>Lugo</t>
  </si>
  <si>
    <t>Skellefteå</t>
  </si>
  <si>
    <t>Alessandria</t>
  </si>
  <si>
    <t>Funchal</t>
  </si>
  <si>
    <t>Jūrmala</t>
  </si>
  <si>
    <r>
      <t xml:space="preserve">cidade da Ilha da Madeira - Portugal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2017" conforme EC(2017a) </t>
    </r>
    <r>
      <rPr>
        <sz val="10"/>
        <color rgb="FFFF0000"/>
        <rFont val="Times New Roman"/>
        <family val="1"/>
      </rPr>
      <t>- aguardando relatório final para completar o verbete</t>
    </r>
    <r>
      <rPr>
        <b/>
        <sz val="10"/>
        <color theme="1"/>
        <rFont val="Times New Roman"/>
        <family val="1"/>
      </rPr>
      <t/>
    </r>
  </si>
  <si>
    <r>
      <t xml:space="preserve">cidade da Itália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2017" conforme EC(2017a) </t>
    </r>
    <r>
      <rPr>
        <sz val="10"/>
        <color rgb="FFFF0000"/>
        <rFont val="Times New Roman"/>
        <family val="1"/>
      </rPr>
      <t>- aguardando relatório final para completar o verbete</t>
    </r>
    <r>
      <rPr>
        <b/>
        <sz val="10"/>
        <color theme="1"/>
        <rFont val="Times New Roman"/>
        <family val="1"/>
      </rPr>
      <t/>
    </r>
  </si>
  <si>
    <r>
      <t xml:space="preserve">cidade da Suécia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2017" conforme EC(2017a) </t>
    </r>
    <r>
      <rPr>
        <sz val="10"/>
        <color rgb="FFFF0000"/>
        <rFont val="Times New Roman"/>
        <family val="1"/>
      </rPr>
      <t>- aguardando relatório final para completar o verbete</t>
    </r>
    <r>
      <rPr>
        <b/>
        <sz val="10"/>
        <color theme="1"/>
        <rFont val="Times New Roman"/>
        <family val="1"/>
      </rPr>
      <t/>
    </r>
  </si>
  <si>
    <r>
      <t xml:space="preserve">cidade da Espanha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2017" conforme EC(2017a) </t>
    </r>
    <r>
      <rPr>
        <sz val="10"/>
        <color rgb="FFFF0000"/>
        <rFont val="Times New Roman"/>
        <family val="1"/>
      </rPr>
      <t>- aguardando relatório final para completar o verbete</t>
    </r>
    <r>
      <rPr>
        <b/>
        <sz val="10"/>
        <color theme="1"/>
        <rFont val="Times New Roman"/>
        <family val="1"/>
      </rPr>
      <t/>
    </r>
  </si>
  <si>
    <r>
      <t xml:space="preserve">cidade da Holanda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2017" conforme EC(2017a) </t>
    </r>
    <r>
      <rPr>
        <sz val="10"/>
        <color rgb="FFFF0000"/>
        <rFont val="Times New Roman"/>
        <family val="1"/>
      </rPr>
      <t>- aguardando relatório final para completar o verbete</t>
    </r>
    <r>
      <rPr>
        <b/>
        <sz val="10"/>
        <color theme="1"/>
        <rFont val="Times New Roman"/>
        <family val="1"/>
      </rPr>
      <t/>
    </r>
  </si>
  <si>
    <r>
      <t xml:space="preserve">cidade da Inglaterra incluída em pelo menos uma das categorias de "benchmarking SisMob-BH"
</t>
    </r>
    <r>
      <rPr>
        <b/>
        <sz val="10"/>
        <color theme="1"/>
        <rFont val="Times New Roman"/>
        <family val="1"/>
      </rPr>
      <t>obs.1:</t>
    </r>
    <r>
      <rPr>
        <sz val="10"/>
        <color theme="1"/>
        <rFont val="Times New Roman"/>
        <family val="1"/>
      </rPr>
      <t xml:space="preserve"> cidade premiada com o 1º lugar no "Access City Award 2017" - "por causa das suas medidas inclusivas para pessoas com deficiência em diferentes setores, partícularmente no turismo" conforme EC(2017a-tradução livre, minha)</t>
    </r>
    <r>
      <rPr>
        <sz val="10"/>
        <color rgb="FFFF0000"/>
        <rFont val="Times New Roman"/>
        <family val="1"/>
      </rPr>
      <t xml:space="preserve"> - aguardando relatório final para completar o verbete</t>
    </r>
  </si>
  <si>
    <r>
      <rPr>
        <sz val="10"/>
        <color rgb="FFFF0000"/>
        <rFont val="Times New Roman"/>
        <family val="1"/>
      </rPr>
      <t>faltando redigir o verbete</t>
    </r>
    <r>
      <rPr>
        <sz val="10"/>
        <color theme="1"/>
        <rFont val="Times New Roman"/>
        <family val="1"/>
      </rPr>
      <t xml:space="preserve">
</t>
    </r>
    <r>
      <rPr>
        <sz val="10"/>
        <rFont val="Times New Roman"/>
        <family val="1"/>
      </rPr>
      <t xml:space="preserve">cidade brasileira (Minas Gerais) incluída em pelo menos uma das categorias de "benchmarking SisMob-BH"
</t>
    </r>
    <r>
      <rPr>
        <b/>
        <sz val="10"/>
        <rFont val="Times New Roman"/>
        <family val="1"/>
      </rPr>
      <t>obs.:</t>
    </r>
    <r>
      <rPr>
        <sz val="10"/>
        <rFont val="Times New Roman"/>
        <family val="1"/>
      </rPr>
      <t xml:space="preserve"> incluída por ser a cidade brasileira que ___.</t>
    </r>
  </si>
  <si>
    <r>
      <t xml:space="preserve">cidade da Inglaterra incluída em pelo menos uma das categorias de "benchmarking SisMob-BH"
</t>
    </r>
    <r>
      <rPr>
        <b/>
        <sz val="10"/>
        <rFont val="Times New Roman"/>
        <family val="1"/>
      </rPr>
      <t>obs.1:</t>
    </r>
    <r>
      <rPr>
        <sz val="10"/>
        <rFont val="Times New Roman"/>
        <family val="1"/>
      </rPr>
      <t xml:space="preserve"> cidade premiada com o 1º lugar no "Access City Award 2017" - "por causa das suas medidas inclusivas para pessoas com deficiência em diferentes setores, partícularmente no turismo" conforme EC(2017a-tradução livre, minha) - aguardando relatório final para completar o verbete</t>
    </r>
  </si>
  <si>
    <r>
      <t xml:space="preserve">cidade da Letônia incluída em pelo menos uma das categorias de "benchmarking SisMob-BH"
</t>
    </r>
    <r>
      <rPr>
        <b/>
        <sz val="10"/>
        <color theme="1"/>
        <rFont val="Times New Roman"/>
        <family val="1"/>
      </rPr>
      <t>obs.1:</t>
    </r>
    <r>
      <rPr>
        <sz val="10"/>
        <color theme="1"/>
        <rFont val="Times New Roman"/>
        <family val="1"/>
      </rPr>
      <t xml:space="preserve"> cidade premiada no "Access City Award 2017" conforme EC(2017a) </t>
    </r>
    <r>
      <rPr>
        <sz val="10"/>
        <color rgb="FFFF0000"/>
        <rFont val="Times New Roman"/>
        <family val="1"/>
      </rPr>
      <t>- aguardando relatório final para completar o verbete</t>
    </r>
    <r>
      <rPr>
        <b/>
        <sz val="10"/>
        <color theme="1"/>
        <rFont val="Times New Roman"/>
        <family val="1"/>
      </rPr>
      <t/>
    </r>
  </si>
  <si>
    <r>
      <t xml:space="preserve">cidade da Holanda incluída em pelo menos uma das categorias de "benchmarking SisMob-BH"
</t>
    </r>
    <r>
      <rPr>
        <b/>
        <sz val="10"/>
        <rFont val="Times New Roman"/>
        <family val="1"/>
      </rPr>
      <t>obs.1:</t>
    </r>
    <r>
      <rPr>
        <sz val="10"/>
        <rFont val="Times New Roman"/>
        <family val="1"/>
      </rPr>
      <t xml:space="preserve"> cidade premiada no "Access City Award 2017" conforme EC(2017a) - aguardando relatório final para completar o verbete</t>
    </r>
    <r>
      <rPr>
        <b/>
        <sz val="10"/>
        <color theme="1"/>
        <rFont val="Times New Roman"/>
        <family val="1"/>
      </rPr>
      <t/>
    </r>
  </si>
  <si>
    <r>
      <t xml:space="preserve">cidade da Letônia incluída em pelo menos uma das categorias de "benchmarking SisMob-BH"
</t>
    </r>
    <r>
      <rPr>
        <b/>
        <sz val="10"/>
        <rFont val="Times New Roman"/>
        <family val="1"/>
      </rPr>
      <t>obs.1:</t>
    </r>
    <r>
      <rPr>
        <sz val="10"/>
        <rFont val="Times New Roman"/>
        <family val="1"/>
      </rPr>
      <t xml:space="preserve"> cidade premiada no "Access City Award 2017" conforme EC(2017a) - aguardando relatório final para completar o verbete</t>
    </r>
    <r>
      <rPr>
        <b/>
        <sz val="10"/>
        <color theme="1"/>
        <rFont val="Times New Roman"/>
        <family val="1"/>
      </rPr>
      <t/>
    </r>
  </si>
  <si>
    <r>
      <t xml:space="preserve">cidade da Espanha incluída em pelo menos uma das categorias de "benchmarking SisMob-BH"
</t>
    </r>
    <r>
      <rPr>
        <b/>
        <sz val="10"/>
        <rFont val="Times New Roman"/>
        <family val="1"/>
      </rPr>
      <t>obs.1:</t>
    </r>
    <r>
      <rPr>
        <sz val="10"/>
        <rFont val="Times New Roman"/>
        <family val="1"/>
      </rPr>
      <t xml:space="preserve"> cidade premiada no "Access City Award 2017" conforme EC(2017a) - aguardando relatório final para completar o verbete</t>
    </r>
    <r>
      <rPr>
        <b/>
        <sz val="10"/>
        <color theme="1"/>
        <rFont val="Times New Roman"/>
        <family val="1"/>
      </rPr>
      <t/>
    </r>
  </si>
  <si>
    <r>
      <t xml:space="preserve">cidade da Suécia incluída em pelo menos uma das categorias de "benchmarking SisMob-BH"
</t>
    </r>
    <r>
      <rPr>
        <b/>
        <sz val="10"/>
        <rFont val="Times New Roman"/>
        <family val="1"/>
      </rPr>
      <t>obs.1:</t>
    </r>
    <r>
      <rPr>
        <sz val="10"/>
        <rFont val="Times New Roman"/>
        <family val="1"/>
      </rPr>
      <t xml:space="preserve"> cidade premiada no "Access City Award 2017" conforme EC(2017a) - aguardando relatório final para completar o verbete</t>
    </r>
    <r>
      <rPr>
        <b/>
        <sz val="10"/>
        <color theme="1"/>
        <rFont val="Times New Roman"/>
        <family val="1"/>
      </rPr>
      <t/>
    </r>
  </si>
  <si>
    <r>
      <t xml:space="preserve">cidade da Itália incluída em pelo menos uma das categorias de "benchmarking SisMob-BH"
</t>
    </r>
    <r>
      <rPr>
        <b/>
        <sz val="10"/>
        <rFont val="Times New Roman"/>
        <family val="1"/>
      </rPr>
      <t>obs.1:</t>
    </r>
    <r>
      <rPr>
        <sz val="10"/>
        <rFont val="Times New Roman"/>
        <family val="1"/>
      </rPr>
      <t xml:space="preserve"> cidade premiada no "Access City Award 2017" conforme EC(2017a) - aguardando relatório final para completar o verbete</t>
    </r>
    <r>
      <rPr>
        <b/>
        <sz val="10"/>
        <color theme="1"/>
        <rFont val="Times New Roman"/>
        <family val="1"/>
      </rPr>
      <t/>
    </r>
  </si>
  <si>
    <r>
      <t xml:space="preserve">cidade da Ilha da Madeira - Portugal incluída em pelo menos uma das categorias de "benchmarking SisMob-BH"
</t>
    </r>
    <r>
      <rPr>
        <b/>
        <sz val="10"/>
        <rFont val="Times New Roman"/>
        <family val="1"/>
      </rPr>
      <t>obs.1:</t>
    </r>
    <r>
      <rPr>
        <sz val="10"/>
        <rFont val="Times New Roman"/>
        <family val="1"/>
      </rPr>
      <t xml:space="preserve"> cidade premiada no "Access City Award 2017" conforme EC(2017a) - aguardando relatório final para completar o verbete</t>
    </r>
    <r>
      <rPr>
        <b/>
        <sz val="10"/>
        <color theme="1"/>
        <rFont val="Times New Roman"/>
        <family val="1"/>
      </rPr>
      <t/>
    </r>
  </si>
  <si>
    <r>
      <rPr>
        <b/>
        <sz val="12"/>
        <rFont val="Times New Roman"/>
        <family val="1"/>
      </rPr>
      <t xml:space="preserve">BHTRANS(2017b3): </t>
    </r>
    <r>
      <rPr>
        <sz val="12"/>
        <rFont val="Times New Roman"/>
        <family val="1"/>
      </rPr>
      <t xml:space="preserve">EMPRESA DE TRANSPORTES E TRÂNSITO DE BELO HORIZONTE S.A - BHTRANS. </t>
    </r>
    <r>
      <rPr>
        <i/>
        <sz val="12"/>
        <rFont val="Times New Roman"/>
        <family val="1"/>
      </rPr>
      <t>Acessibilidade Para Todos - Notas técnicas de acessibilidade</t>
    </r>
    <r>
      <rPr>
        <sz val="12"/>
        <rFont val="Times New Roman"/>
        <family val="1"/>
      </rPr>
      <t>. Belo Horizonte: BHTrans, 18 jan. 2017. Disponível em: &lt;http://www.bhtrans.pbh.gov.br/portal/page/portal/portalpublico/Temas/BHTRANS/Acessibilidade%20para%20Todos/Acessibilidade%20Para%20Todos%20-%20Notas%20Tecnicas&gt;. Acesso em 22 jan. 2017.</t>
    </r>
  </si>
  <si>
    <t>falta redigir melhor para levar ao quadro 100a</t>
  </si>
  <si>
    <r>
      <rPr>
        <b/>
        <sz val="10"/>
        <rFont val="Times New Roman"/>
        <family val="1"/>
      </rPr>
      <t xml:space="preserve">20 dez. 2016: </t>
    </r>
    <r>
      <rPr>
        <sz val="10"/>
        <rFont val="Times New Roman"/>
        <family val="1"/>
      </rPr>
      <t xml:space="preserve">"Desafios para promoção da acessibilidade nos corredores de BRT de Belo Horizonte" (versão A) conforme OLIVEIRA(2016m) com circulação interna à BHTrans.
</t>
    </r>
    <r>
      <rPr>
        <b/>
        <sz val="10"/>
        <rFont val="Times New Roman"/>
        <family val="1"/>
      </rPr>
      <t xml:space="preserve">23 jan. 2017: </t>
    </r>
    <r>
      <rPr>
        <sz val="10"/>
        <rFont val="Times New Roman"/>
        <family val="1"/>
      </rPr>
      <t>"Desafios para promoção da acessibilidade nos corredores de BRT de Belo Horizonte" (versão B) conforme OLIVEIRA(2017a1) encaminhada para os seguintes órgãos/entidades: __</t>
    </r>
  </si>
  <si>
    <r>
      <rPr>
        <b/>
        <sz val="10"/>
        <rFont val="Times New Roman"/>
        <family val="1"/>
      </rPr>
      <t xml:space="preserve">23 jan. 2017: </t>
    </r>
    <r>
      <rPr>
        <sz val="10"/>
        <rFont val="Times New Roman"/>
        <family val="1"/>
      </rPr>
      <t>"Diagnóstico da acessibilidade nos corredores de BRT de Belo Horizonte implantados em 2014" (versão A) conforme OLIVEIRA(2017a2) encaminhada para os seguintes órgãos/entidades: __</t>
    </r>
  </si>
  <si>
    <r>
      <rPr>
        <b/>
        <sz val="10"/>
        <rFont val="Times New Roman"/>
        <family val="1"/>
      </rPr>
      <t xml:space="preserve">20 dez. 2016: </t>
    </r>
    <r>
      <rPr>
        <sz val="10"/>
        <rFont val="Times New Roman"/>
        <family val="1"/>
      </rPr>
      <t xml:space="preserve">"Desafios para promoção da acessibilidade nos corredores de BRT de Belo Horizonte" (versão A) conforme OLIVEIRA(2016m) com circulação interna à BHTrans.
</t>
    </r>
    <r>
      <rPr>
        <b/>
        <sz val="10"/>
        <rFont val="Times New Roman"/>
        <family val="1"/>
      </rPr>
      <t xml:space="preserve">23 jan. 2017: </t>
    </r>
    <r>
      <rPr>
        <sz val="10"/>
        <rFont val="Times New Roman"/>
        <family val="1"/>
      </rPr>
      <t xml:space="preserve">"Desafios para promoção da acessibilidade nos corredores de BRT de Belo Horizonte" (versão B) conforme OLIVEIRA(2017a1) </t>
    </r>
    <r>
      <rPr>
        <sz val="10"/>
        <color rgb="FFFF0000"/>
        <rFont val="Times New Roman"/>
        <family val="1"/>
      </rPr>
      <t>encaminhada para os seguintes órgãos/entidades: __</t>
    </r>
  </si>
  <si>
    <r>
      <rPr>
        <b/>
        <sz val="10"/>
        <rFont val="Times New Roman"/>
        <family val="1"/>
      </rPr>
      <t xml:space="preserve">23 jan. 2017: </t>
    </r>
    <r>
      <rPr>
        <sz val="10"/>
        <rFont val="Times New Roman"/>
        <family val="1"/>
      </rPr>
      <t xml:space="preserve">"Diagnóstico da acessibilidade nos corredores de BRT de Belo Horizonte implantados em 2014" (versão A) conforme OLIVEIRA(2017a2) </t>
    </r>
    <r>
      <rPr>
        <sz val="10"/>
        <color rgb="FFFF0000"/>
        <rFont val="Times New Roman"/>
        <family val="1"/>
      </rPr>
      <t>encaminhada para os seguintes órgãos/entidades: __</t>
    </r>
  </si>
  <si>
    <r>
      <t xml:space="preserve">a série "Notas técnicas de acessibilidade" é um produto do projeto Pamu-BH conforme BHTRANS(2017b3), lançada em 2015 e originalmente nomeada como "Notas técnicas BHTrans de acessibilidade"
</t>
    </r>
    <r>
      <rPr>
        <b/>
        <sz val="10"/>
        <rFont val="Times New Roman"/>
        <family val="1"/>
      </rPr>
      <t xml:space="preserve">dez.2016: </t>
    </r>
    <r>
      <rPr>
        <sz val="10"/>
        <rFont val="Times New Roman"/>
        <family val="1"/>
      </rPr>
      <t xml:space="preserve">durante a elaboração da nota sobre acessibilidade no BRT decidiu-se pela elaboração de duas notas, passando o total de onze para doze notas técnicas da Pamu-BH
</t>
    </r>
    <r>
      <rPr>
        <b/>
        <sz val="10"/>
        <rFont val="Times New Roman"/>
        <family val="1"/>
      </rPr>
      <t xml:space="preserve">nov.2016: </t>
    </r>
    <r>
      <rPr>
        <sz val="10"/>
        <rFont val="Times New Roman"/>
        <family val="1"/>
      </rPr>
      <t xml:space="preserve">de posse de relatório recebido em 16/11/2016 conforme WRI(2016j6), decidiu-se ampliar de dez para onze o n.º de notas técnicas da Pamu-BH
</t>
    </r>
    <r>
      <rPr>
        <b/>
        <sz val="10"/>
        <rFont val="Times New Roman"/>
        <family val="1"/>
      </rPr>
      <t xml:space="preserve">nov.2016: </t>
    </r>
    <r>
      <rPr>
        <sz val="10"/>
        <rFont val="Times New Roman"/>
        <family val="1"/>
      </rPr>
      <t xml:space="preserve">a nota n.º 1  (versão A corrigida) foi dividida em nota n.º 1 (versão B) e nota n.º 2 (versão A), alterando de nove para dez o n.º de notas técnicas da Pamu-BH
</t>
    </r>
    <r>
      <rPr>
        <b/>
        <sz val="10"/>
        <rFont val="Times New Roman"/>
        <family val="1"/>
      </rPr>
      <t xml:space="preserve">ago.2015: </t>
    </r>
    <r>
      <rPr>
        <sz val="10"/>
        <rFont val="Times New Roman"/>
        <family val="1"/>
      </rPr>
      <t>prevista a elaboração de nove notas técnicas da Pamu-BH conforme BHTRANS(2015v)</t>
    </r>
    <r>
      <rPr>
        <b/>
        <sz val="10"/>
        <rFont val="Times New Roman"/>
        <family val="1"/>
      </rPr>
      <t/>
    </r>
  </si>
  <si>
    <r>
      <t xml:space="preserve">lançada em 2015, a série "Notas técnicas BHTrans de acessibilidade" conforme BHTRANS (2015v) teve seu nome modificado para "Notas técnicas de acessibilidade" em 2016
</t>
    </r>
    <r>
      <rPr>
        <b/>
        <sz val="10"/>
        <rFont val="Times New Roman"/>
        <family val="1"/>
      </rPr>
      <t xml:space="preserve">obs.: </t>
    </r>
    <r>
      <rPr>
        <sz val="10"/>
        <rFont val="Times New Roman"/>
        <family val="1"/>
      </rPr>
      <t>acesse o verbete "nota técnica de acessibilidade" da cidade/região "Belo Horizonte"</t>
    </r>
    <r>
      <rPr>
        <b/>
        <sz val="10"/>
        <rFont val="Times New Roman"/>
        <family val="1"/>
      </rPr>
      <t/>
    </r>
  </si>
  <si>
    <r>
      <rPr>
        <b/>
        <sz val="11"/>
        <rFont val="Times New Roman"/>
        <family val="1"/>
      </rPr>
      <t xml:space="preserve">Fonte: </t>
    </r>
    <r>
      <rPr>
        <sz val="11"/>
        <rFont val="Times New Roman"/>
        <family val="1"/>
      </rPr>
      <t>Consulte a aba "Q100cFONTES".</t>
    </r>
    <r>
      <rPr>
        <b/>
        <sz val="11"/>
        <rFont val="Times New Roman"/>
        <family val="1"/>
      </rPr>
      <t xml:space="preserve">
</t>
    </r>
    <r>
      <rPr>
        <sz val="11"/>
        <rFont val="Times New Roman"/>
        <family val="1"/>
      </rPr>
      <t xml:space="preserve">Elaborado por Marcos Fontoura de Oliveira para o Sistema de Informações da Mobilidade Urbana de Belo Horizonte (SisMob-BH) em formato de dados abertos e publicado na </t>
    </r>
    <r>
      <rPr>
        <i/>
        <sz val="11"/>
        <rFont val="Times New Roman"/>
        <family val="1"/>
      </rPr>
      <t>home page</t>
    </r>
    <r>
      <rPr>
        <sz val="11"/>
        <rFont val="Times New Roman"/>
        <family val="1"/>
      </rPr>
      <t xml:space="preserve"> da BHTrans pela primeira vez em 10/08/2015.
Iniciado 10/08/2015 com </t>
    </r>
    <r>
      <rPr>
        <b/>
        <sz val="11"/>
        <rFont val="Times New Roman"/>
        <family val="1"/>
      </rPr>
      <t xml:space="preserve">1.186 </t>
    </r>
    <r>
      <rPr>
        <sz val="11"/>
        <rFont val="Times New Roman"/>
        <family val="1"/>
      </rPr>
      <t xml:space="preserve">indicadores, metas, requisitos, referências do benchmarking, verbetes e siglas em substituição a todos os quadros e tabelas até então publicados. 
Atualizado em 15/11/2015, passando a conter </t>
    </r>
    <r>
      <rPr>
        <b/>
        <sz val="11"/>
        <rFont val="Times New Roman"/>
        <family val="1"/>
      </rPr>
      <t>1.221</t>
    </r>
    <r>
      <rPr>
        <sz val="11"/>
        <rFont val="Times New Roman"/>
        <family val="1"/>
      </rPr>
      <t xml:space="preserve"> indicadores, metas, requisitos, referências do benchmarking, verbetes e siglas. 
Atualisado em 11/01/2015, passando a conter </t>
    </r>
    <r>
      <rPr>
        <b/>
        <sz val="11"/>
        <rFont val="Times New Roman"/>
        <family val="1"/>
      </rPr>
      <t xml:space="preserve">1.362 </t>
    </r>
    <r>
      <rPr>
        <sz val="11"/>
        <rFont val="Times New Roman"/>
        <family val="1"/>
      </rPr>
      <t xml:space="preserve">indicadores, metas, requisitos, referências do benchmarking, verbetes e siglas. 
Atualizado em 28/06/2016  passando a conter </t>
    </r>
    <r>
      <rPr>
        <b/>
        <sz val="11"/>
        <rFont val="Times New Roman"/>
        <family val="1"/>
      </rPr>
      <t>1.742</t>
    </r>
    <r>
      <rPr>
        <sz val="11"/>
        <rFont val="Times New Roman"/>
        <family val="1"/>
      </rPr>
      <t xml:space="preserve"> indicadores, metas, requisitos, referências do benchmarking, verbetes e siglas.
Atualizado em 28/06/2016  passando a conter </t>
    </r>
    <r>
      <rPr>
        <b/>
        <sz val="11"/>
        <rFont val="Times New Roman"/>
        <family val="1"/>
      </rPr>
      <t>2.100</t>
    </r>
    <r>
      <rPr>
        <sz val="11"/>
        <rFont val="Times New Roman"/>
        <family val="1"/>
      </rPr>
      <t xml:space="preserve"> indicadores, metas, requisitos, referências do benchmarking, verbetes e siglas.
Atualizado em 04/11/2016 passando a conter </t>
    </r>
    <r>
      <rPr>
        <b/>
        <sz val="11"/>
        <rFont val="Times New Roman"/>
        <family val="1"/>
      </rPr>
      <t>2.251</t>
    </r>
    <r>
      <rPr>
        <sz val="11"/>
        <rFont val="Times New Roman"/>
        <family val="1"/>
      </rPr>
      <t xml:space="preserve"> indicadores, metas, requisitos, referências do benchmarking, verbetes e siglas.</t>
    </r>
  </si>
  <si>
    <r>
      <t xml:space="preserve">Atualizado em 23/01/2017 passando a conter </t>
    </r>
    <r>
      <rPr>
        <b/>
        <sz val="11"/>
        <rFont val="Times New Roman"/>
        <family val="1"/>
      </rPr>
      <t>2.657</t>
    </r>
    <r>
      <rPr>
        <sz val="11"/>
        <rFont val="Times New Roman"/>
        <family val="1"/>
      </rPr>
      <t xml:space="preserve"> indicadores, metas, requisitos, referências do benchmarking, verbetes, fotografias e siglas.
indicadores, metas, referências do benchmarking, siglas, abreviaturas, fotografias e verbetes</t>
    </r>
  </si>
  <si>
    <t>TOTAL (indicadores, metas, requisitos, referências do benchmarking, verbetes, fotografias e siglas)</t>
  </si>
  <si>
    <r>
      <rPr>
        <b/>
        <sz val="12"/>
        <rFont val="Times New Roman"/>
        <family val="1"/>
      </rPr>
      <t xml:space="preserve">OLIVEIRA(2017a1): </t>
    </r>
    <r>
      <rPr>
        <sz val="12"/>
        <rFont val="Times New Roman"/>
        <family val="1"/>
      </rPr>
      <t>OLIVEIRA, Marcos Fontoura de.</t>
    </r>
    <r>
      <rPr>
        <i/>
        <sz val="12"/>
        <rFont val="Times New Roman"/>
        <family val="1"/>
      </rPr>
      <t xml:space="preserve"> Nota técnica de acessibilidade n.º 3 - Desafios para promoção da acessibilidade nos corredores de BRT de Belo Horizonte- versão B. </t>
    </r>
    <r>
      <rPr>
        <sz val="12"/>
        <rFont val="Times New Roman"/>
        <family val="1"/>
      </rPr>
      <t>Belo Horizonte, 23 jan. 2017. 8p. Disponível em: &lt;ainda não disponível&gt;. Acesso em: dd mmm 2017. [parte integrante do projeto Acessibilidade na mobilidade urbana de Belo Horizonte (Pamu-BH)]</t>
    </r>
  </si>
  <si>
    <r>
      <rPr>
        <b/>
        <sz val="12"/>
        <rFont val="Times New Roman"/>
        <family val="1"/>
      </rPr>
      <t xml:space="preserve">OLIVEIRA(2017a2): </t>
    </r>
    <r>
      <rPr>
        <sz val="12"/>
        <rFont val="Times New Roman"/>
        <family val="1"/>
      </rPr>
      <t>OLIVEIRA, Marcos Fontoura de.</t>
    </r>
    <r>
      <rPr>
        <i/>
        <sz val="12"/>
        <rFont val="Times New Roman"/>
        <family val="1"/>
      </rPr>
      <t xml:space="preserve"> Nota técnica de acessibilidade n.º 4 - Diagnóstico da acessibilidade nos corredores de BRT de Belo Horizonte implantados em 2014 - versão A. </t>
    </r>
    <r>
      <rPr>
        <sz val="12"/>
        <rFont val="Times New Roman"/>
        <family val="1"/>
      </rPr>
      <t>Belo Horizonte, 23 jan. 2017. 30p. Disponível em: &lt;ainda não disponível&gt;. Acesso em: dd mmm 2017. [parte integrante do projeto Acessibilidade na mobilidade urbana de Belo Horizonte (Pamu-BH)]</t>
    </r>
  </si>
  <si>
    <r>
      <rPr>
        <b/>
        <sz val="12"/>
        <rFont val="Times New Roman"/>
        <family val="1"/>
      </rPr>
      <t xml:space="preserve">OLIVEIRA(2017a3): </t>
    </r>
    <r>
      <rPr>
        <sz val="12"/>
        <rFont val="Times New Roman"/>
        <family val="1"/>
      </rPr>
      <t>OLIVEIRA, Marcos Fontoura de.</t>
    </r>
    <r>
      <rPr>
        <i/>
        <sz val="12"/>
        <rFont val="Times New Roman"/>
        <family val="1"/>
      </rPr>
      <t xml:space="preserve"> Nota técnica de acessibilidade n.º 1 - Conceituação e análise sobre acessibilidade em ônibus urbano do transporte público coletivo - versão C. </t>
    </r>
    <r>
      <rPr>
        <sz val="12"/>
        <rFont val="Times New Roman"/>
        <family val="1"/>
      </rPr>
      <t xml:space="preserve">Belo Horizonte, </t>
    </r>
    <r>
      <rPr>
        <sz val="12"/>
        <color rgb="FFFF0000"/>
        <rFont val="Times New Roman"/>
        <family val="1"/>
      </rPr>
      <t>___ 2017. __p.</t>
    </r>
    <r>
      <rPr>
        <sz val="12"/>
        <rFont val="Times New Roman"/>
        <family val="1"/>
      </rPr>
      <t xml:space="preserve"> Disponível em: &lt;ainda não disponível&gt;. Acesso em: dd mmm 2017. [parte integrante do projeto Acessibilidade na mobilidade urbana de Belo Horizonte (Pamu-BH)]</t>
    </r>
  </si>
  <si>
    <r>
      <rPr>
        <b/>
        <sz val="12"/>
        <rFont val="Times New Roman"/>
        <family val="1"/>
      </rPr>
      <t xml:space="preserve">OLIVEIRA(2017a4): </t>
    </r>
    <r>
      <rPr>
        <sz val="12"/>
        <rFont val="Times New Roman"/>
        <family val="1"/>
      </rPr>
      <t>OLIVEIRA, Marcos Fontoura de.</t>
    </r>
    <r>
      <rPr>
        <i/>
        <sz val="12"/>
        <rFont val="Times New Roman"/>
        <family val="1"/>
      </rPr>
      <t xml:space="preserve"> Nota técnica de acessibilidade n.º 2 - Proposição de um índice-chave de acessibilidade em ônibus urbano do transporte público coletivo - versão B. </t>
    </r>
    <r>
      <rPr>
        <sz val="12"/>
        <rFont val="Times New Roman"/>
        <family val="1"/>
      </rPr>
      <t xml:space="preserve">Belo Horizonte, </t>
    </r>
    <r>
      <rPr>
        <sz val="12"/>
        <color rgb="FFFF0000"/>
        <rFont val="Times New Roman"/>
        <family val="1"/>
      </rPr>
      <t>___ 2017. __p.</t>
    </r>
    <r>
      <rPr>
        <sz val="12"/>
        <rFont val="Times New Roman"/>
        <family val="1"/>
      </rPr>
      <t xml:space="preserve"> + apêndice + anexo. Disponível em: &lt;ainda não disponível&gt;. dd mmm 2017. [parte integrante do projeto Acessibilidade na mobilidade urbana de Belo Horizonte (Pamu-BH)]</t>
    </r>
  </si>
  <si>
    <t>Quadro 100a - Dados abertos do SisMob-BH - planilha com registros de indicadores, metas, requisitos, referências do benchmarking, verbetes, fotografias e siglas</t>
  </si>
  <si>
    <t>Aba elaborada por Marcos Fontoura de Oliveira em 15/11/2015 e atualizada em 11/01/2015. Publicada na árvore de assuntos do SisMob-BH em 23/01/2017 junto com os quadros e tabelas até então publicados no item 2.5.</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</si>
</sst>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
    <numFmt numFmtId="166" formatCode="0.0000%"/>
    <numFmt numFmtId="167" formatCode="&quot;R$ &quot;#,##0.00"/>
    <numFmt numFmtId="168" formatCode="0.000%"/>
    <numFmt numFmtId="169" formatCode="#,##0.0"/>
    <numFmt numFmtId="170" formatCode="0.000"/>
    <numFmt numFmtId="171" formatCode="#,##0.000"/>
  </numFmts>
  <fonts count="113" x14ac:knownFonts="1">
    <font>
      <sz val="11"/>
      <color theme="1"/>
      <name val="Calibri"/>
      <family val="2"/>
      <scheme val="minor"/>
    </font>
    <font>
      <sz val="12"/>
      <color theme="1"/>
      <name val="Times New Roman"/>
      <family val="1"/>
    </font>
    <font>
      <b/>
      <sz val="12"/>
      <color theme="1"/>
      <name val="Times New Roman"/>
      <family val="1"/>
    </font>
    <font>
      <b/>
      <sz val="14"/>
      <color theme="1"/>
      <name val="Times New Roman"/>
      <family val="1"/>
    </font>
    <font>
      <b/>
      <sz val="12"/>
      <name val="Times New Roman"/>
      <family val="1"/>
    </font>
    <font>
      <sz val="12"/>
      <name val="Times New Roman"/>
      <family val="1"/>
    </font>
    <font>
      <sz val="10"/>
      <color theme="1"/>
      <name val="Times New Roman"/>
      <family val="1"/>
    </font>
    <font>
      <sz val="10"/>
      <name val="Times New Roman"/>
      <family val="1"/>
    </font>
    <font>
      <b/>
      <sz val="10"/>
      <name val="Times New Roman"/>
      <family val="1"/>
    </font>
    <font>
      <i/>
      <sz val="10"/>
      <color theme="1"/>
      <name val="Times New Roman"/>
      <family val="1"/>
    </font>
    <font>
      <b/>
      <sz val="10"/>
      <color theme="1"/>
      <name val="Times New Roman"/>
      <family val="1"/>
    </font>
    <font>
      <sz val="11"/>
      <color theme="1"/>
      <name val="Times New Roman"/>
      <family val="1"/>
    </font>
    <font>
      <sz val="11"/>
      <name val="Times New Roman"/>
      <family val="1"/>
    </font>
    <font>
      <i/>
      <sz val="10"/>
      <name val="Times New Roman"/>
      <family val="1"/>
    </font>
    <font>
      <sz val="8"/>
      <color theme="1"/>
      <name val="Times New Roman"/>
      <family val="1"/>
    </font>
    <font>
      <b/>
      <sz val="8"/>
      <color theme="1"/>
      <name val="Times New Roman"/>
      <family val="1"/>
    </font>
    <font>
      <i/>
      <sz val="8"/>
      <color theme="1"/>
      <name val="Times New Roman"/>
      <family val="1"/>
    </font>
    <font>
      <sz val="8"/>
      <color rgb="FFFF0000"/>
      <name val="Times New Roman"/>
      <family val="1"/>
    </font>
    <font>
      <b/>
      <sz val="11"/>
      <color theme="1"/>
      <name val="Times New Roman"/>
      <family val="1"/>
    </font>
    <font>
      <vertAlign val="subscript"/>
      <sz val="10"/>
      <color theme="1"/>
      <name val="Times New Roman"/>
      <family val="1"/>
    </font>
    <font>
      <b/>
      <sz val="10"/>
      <color theme="0"/>
      <name val="Times New Roman"/>
      <family val="1"/>
    </font>
    <font>
      <vertAlign val="superscript"/>
      <sz val="10"/>
      <name val="Times New Roman"/>
      <family val="1"/>
    </font>
    <font>
      <sz val="10"/>
      <color indexed="8"/>
      <name val="Times New Roman"/>
      <family val="1"/>
    </font>
    <font>
      <vertAlign val="superscript"/>
      <sz val="10"/>
      <color indexed="8"/>
      <name val="Times New Roman"/>
      <family val="1"/>
    </font>
    <font>
      <sz val="10"/>
      <name val="Calibri"/>
      <family val="2"/>
    </font>
    <font>
      <vertAlign val="subscript"/>
      <sz val="10"/>
      <name val="Times New Roman"/>
      <family val="1"/>
    </font>
    <font>
      <sz val="12"/>
      <color rgb="FF000000"/>
      <name val="Times New Roman"/>
      <family val="1"/>
    </font>
    <font>
      <b/>
      <sz val="11"/>
      <name val="Times New Roman"/>
      <family val="1"/>
    </font>
    <font>
      <sz val="10"/>
      <name val="Arial"/>
      <family val="2"/>
    </font>
    <font>
      <sz val="6"/>
      <color theme="1"/>
      <name val="Times New Roman"/>
      <family val="1"/>
    </font>
    <font>
      <sz val="11"/>
      <name val="Calibri"/>
      <family val="2"/>
      <scheme val="minor"/>
    </font>
    <font>
      <b/>
      <sz val="8"/>
      <name val="Times New Roman"/>
      <family val="1"/>
    </font>
    <font>
      <sz val="9"/>
      <color theme="1"/>
      <name val="Times New Roman"/>
      <family val="1"/>
    </font>
    <font>
      <sz val="9"/>
      <color indexed="8"/>
      <name val="Times New Roman"/>
      <family val="1"/>
    </font>
    <font>
      <sz val="9"/>
      <name val="Times New Roman"/>
      <family val="1"/>
    </font>
    <font>
      <sz val="10"/>
      <color rgb="FF333333"/>
      <name val="Times New Roman"/>
      <family val="1"/>
    </font>
    <font>
      <i/>
      <sz val="11"/>
      <name val="Times New Roman"/>
      <family val="1"/>
    </font>
    <font>
      <i/>
      <sz val="11"/>
      <color theme="1"/>
      <name val="Times New Roman"/>
      <family val="1"/>
    </font>
    <font>
      <sz val="8"/>
      <name val="Times New Roman"/>
      <family val="1"/>
    </font>
    <font>
      <i/>
      <sz val="8"/>
      <name val="Times New Roman"/>
      <family val="1"/>
    </font>
    <font>
      <u/>
      <sz val="11"/>
      <color theme="10"/>
      <name val="Calibri"/>
      <family val="2"/>
      <scheme val="minor"/>
    </font>
    <font>
      <b/>
      <sz val="11"/>
      <color theme="0"/>
      <name val="Times New Roman"/>
      <family val="1"/>
    </font>
    <font>
      <b/>
      <vertAlign val="subscript"/>
      <sz val="12"/>
      <name val="Times New Roman"/>
      <family val="1"/>
    </font>
    <font>
      <b/>
      <vertAlign val="subscript"/>
      <sz val="12"/>
      <color theme="1"/>
      <name val="Times New Roman"/>
      <family val="1"/>
    </font>
    <font>
      <sz val="10"/>
      <color rgb="FFFF0000"/>
      <name val="Times New Roman"/>
      <family val="1"/>
    </font>
    <font>
      <sz val="9"/>
      <color rgb="FFFF0000"/>
      <name val="Times New Roman"/>
      <family val="1"/>
    </font>
    <font>
      <sz val="10"/>
      <color theme="1"/>
      <name val="Calibri"/>
      <family val="2"/>
    </font>
    <font>
      <sz val="10"/>
      <name val="Calibri"/>
      <family val="2"/>
      <scheme val="minor"/>
    </font>
    <font>
      <b/>
      <sz val="10"/>
      <color rgb="FFFF0000"/>
      <name val="Times New Roman"/>
      <family val="1"/>
    </font>
    <font>
      <i/>
      <sz val="12"/>
      <color theme="1"/>
      <name val="Times New Roman"/>
      <family val="1"/>
    </font>
    <font>
      <i/>
      <sz val="12"/>
      <name val="Times New Roman"/>
      <family val="1"/>
    </font>
    <font>
      <sz val="7.5"/>
      <color theme="1"/>
      <name val="Times New Roman"/>
      <family val="1"/>
    </font>
    <font>
      <sz val="7.5"/>
      <name val="Times New Roman"/>
      <family val="1"/>
    </font>
    <font>
      <b/>
      <sz val="12"/>
      <color theme="3"/>
      <name val="Times New Roman"/>
      <family val="1"/>
    </font>
    <font>
      <sz val="12"/>
      <color rgb="FFFF0000"/>
      <name val="Times New Roman"/>
      <family val="1"/>
    </font>
    <font>
      <sz val="10"/>
      <color rgb="FF000000"/>
      <name val="Arial"/>
      <family val="2"/>
    </font>
    <font>
      <b/>
      <sz val="10"/>
      <color rgb="FF000000"/>
      <name val="Arial"/>
      <family val="2"/>
    </font>
    <font>
      <sz val="10"/>
      <color theme="0"/>
      <name val="Times New Roman"/>
      <family val="1"/>
    </font>
    <font>
      <sz val="11"/>
      <color rgb="FFFF0000"/>
      <name val="Times New Roman"/>
      <family val="1"/>
    </font>
    <font>
      <b/>
      <sz val="9"/>
      <name val="Times New Roman"/>
      <family val="1"/>
    </font>
    <font>
      <b/>
      <sz val="9"/>
      <color rgb="FFFF0000"/>
      <name val="Times New Roman"/>
      <family val="1"/>
    </font>
    <font>
      <b/>
      <sz val="11"/>
      <color rgb="FFFF0000"/>
      <name val="Times New Roman"/>
      <family val="1"/>
    </font>
    <font>
      <strike/>
      <sz val="12"/>
      <color theme="1"/>
      <name val="Times New Roman"/>
      <family val="1"/>
    </font>
    <font>
      <strike/>
      <sz val="10"/>
      <color theme="1"/>
      <name val="Times New Roman"/>
      <family val="1"/>
    </font>
    <font>
      <strike/>
      <sz val="11"/>
      <color theme="1"/>
      <name val="Times New Roman"/>
      <family val="1"/>
    </font>
    <font>
      <b/>
      <strike/>
      <sz val="12"/>
      <name val="Times New Roman"/>
      <family val="1"/>
    </font>
    <font>
      <strike/>
      <sz val="8"/>
      <color theme="1"/>
      <name val="Times New Roman"/>
      <family val="1"/>
    </font>
    <font>
      <strike/>
      <sz val="10"/>
      <name val="Times New Roman"/>
      <family val="1"/>
    </font>
    <font>
      <b/>
      <strike/>
      <sz val="12"/>
      <color theme="1"/>
      <name val="Times New Roman"/>
      <family val="1"/>
    </font>
    <font>
      <b/>
      <strike/>
      <sz val="11"/>
      <color theme="1"/>
      <name val="Times New Roman"/>
      <family val="1"/>
    </font>
    <font>
      <sz val="12"/>
      <color rgb="FF222222"/>
      <name val="Times New Roman"/>
      <family val="1"/>
    </font>
    <font>
      <b/>
      <sz val="12"/>
      <color rgb="FF222222"/>
      <name val="Times New Roman"/>
      <family val="1"/>
    </font>
    <font>
      <i/>
      <sz val="12"/>
      <color rgb="FF222222"/>
      <name val="Times New Roman"/>
      <family val="1"/>
    </font>
    <font>
      <sz val="10"/>
      <color rgb="FF000000"/>
      <name val="Times New Roman"/>
      <family val="1"/>
    </font>
    <font>
      <b/>
      <sz val="12"/>
      <color theme="0"/>
      <name val="Times New Roman"/>
      <family val="1"/>
    </font>
    <font>
      <sz val="6"/>
      <name val="Times New Roman"/>
      <family val="1"/>
    </font>
    <font>
      <b/>
      <sz val="12"/>
      <color rgb="FF002060"/>
      <name val="Times New Roman"/>
      <family val="1"/>
    </font>
    <font>
      <vertAlign val="superscript"/>
      <sz val="10"/>
      <color theme="1"/>
      <name val="Times New Roman"/>
      <family val="1"/>
    </font>
    <font>
      <b/>
      <sz val="12"/>
      <color rgb="FFFF0000"/>
      <name val="Times New Roman"/>
      <family val="1"/>
    </font>
    <font>
      <i/>
      <sz val="12"/>
      <color rgb="FFFF0000"/>
      <name val="Times New Roman"/>
      <family val="1"/>
    </font>
    <font>
      <sz val="11"/>
      <color theme="1"/>
      <name val="Arial"/>
      <family val="2"/>
    </font>
    <font>
      <b/>
      <sz val="11"/>
      <color theme="1"/>
      <name val="Calibri"/>
      <family val="2"/>
      <scheme val="minor"/>
    </font>
    <font>
      <sz val="9"/>
      <color theme="1"/>
      <name val="Calibri"/>
      <family val="2"/>
      <scheme val="minor"/>
    </font>
    <font>
      <b/>
      <strike/>
      <sz val="10"/>
      <color theme="1"/>
      <name val="Times New Roman"/>
      <family val="1"/>
    </font>
    <font>
      <i/>
      <sz val="10"/>
      <color rgb="FFFF0000"/>
      <name val="Times New Roman"/>
      <family val="1"/>
    </font>
    <font>
      <b/>
      <sz val="8"/>
      <color rgb="FFFF0000"/>
      <name val="Times New Roman"/>
      <family val="1"/>
    </font>
    <font>
      <sz val="10"/>
      <color theme="1"/>
      <name val="Calibri"/>
      <family val="2"/>
      <scheme val="minor"/>
    </font>
    <font>
      <b/>
      <sz val="11"/>
      <color rgb="FFFF0000"/>
      <name val="Calibri"/>
      <family val="2"/>
      <scheme val="minor"/>
    </font>
    <font>
      <b/>
      <strike/>
      <sz val="10"/>
      <color rgb="FFFF0000"/>
      <name val="Times New Roman"/>
      <family val="1"/>
    </font>
    <font>
      <b/>
      <sz val="10"/>
      <color indexed="8"/>
      <name val="Times New Roman"/>
      <family val="1"/>
    </font>
    <font>
      <strike/>
      <sz val="11"/>
      <color theme="1"/>
      <name val="Calibri"/>
      <family val="2"/>
      <scheme val="minor"/>
    </font>
    <font>
      <strike/>
      <sz val="10"/>
      <color rgb="FF000000"/>
      <name val="Times New Roman"/>
      <family val="1"/>
    </font>
    <font>
      <sz val="11"/>
      <color rgb="FFFF0000"/>
      <name val="Calibri"/>
      <family val="2"/>
      <scheme val="minor"/>
    </font>
    <font>
      <b/>
      <sz val="10"/>
      <color rgb="FF0070C0"/>
      <name val="Times New Roman"/>
      <family val="1"/>
    </font>
    <font>
      <b/>
      <sz val="9"/>
      <color theme="1"/>
      <name val="Times New Roman"/>
      <family val="1"/>
    </font>
    <font>
      <sz val="8.5"/>
      <name val="Times New Roman"/>
      <family val="1"/>
    </font>
    <font>
      <b/>
      <sz val="8.5"/>
      <name val="Times New Roman"/>
      <family val="1"/>
    </font>
    <font>
      <b/>
      <sz val="16"/>
      <color theme="1"/>
      <name val="Times New Roman"/>
      <family val="1"/>
    </font>
    <font>
      <sz val="8.5"/>
      <color theme="1"/>
      <name val="Times New Roman"/>
      <family val="1"/>
    </font>
    <font>
      <u/>
      <sz val="11"/>
      <name val="Calibri"/>
      <family val="2"/>
      <scheme val="minor"/>
    </font>
    <font>
      <u/>
      <sz val="11"/>
      <color rgb="FFFF0000"/>
      <name val="Calibri"/>
      <family val="2"/>
      <scheme val="minor"/>
    </font>
    <font>
      <strike/>
      <sz val="8"/>
      <name val="Times New Roman"/>
      <family val="1"/>
    </font>
    <font>
      <b/>
      <strike/>
      <sz val="8"/>
      <color theme="1"/>
      <name val="Times New Roman"/>
      <family val="1"/>
    </font>
    <font>
      <b/>
      <strike/>
      <sz val="8"/>
      <name val="Times New Roman"/>
      <family val="1"/>
    </font>
    <font>
      <strike/>
      <sz val="8"/>
      <color rgb="FFFF0000"/>
      <name val="Times New Roman"/>
      <family val="1"/>
    </font>
    <font>
      <strike/>
      <sz val="9"/>
      <name val="Times New Roman"/>
      <family val="1"/>
    </font>
    <font>
      <strike/>
      <sz val="9"/>
      <color theme="1"/>
      <name val="Times New Roman"/>
      <family val="1"/>
    </font>
    <font>
      <i/>
      <strike/>
      <sz val="8"/>
      <color theme="1"/>
      <name val="Times New Roman"/>
      <family val="1"/>
    </font>
    <font>
      <sz val="9.5"/>
      <color theme="1"/>
      <name val="Times New Roman"/>
      <family val="1"/>
    </font>
    <font>
      <b/>
      <sz val="9.5"/>
      <color theme="1"/>
      <name val="Times New Roman"/>
      <family val="1"/>
    </font>
    <font>
      <sz val="9.5"/>
      <name val="Times New Roman"/>
      <family val="1"/>
    </font>
    <font>
      <sz val="9.5"/>
      <color rgb="FFFF0000"/>
      <name val="Times New Roman"/>
      <family val="1"/>
    </font>
    <font>
      <b/>
      <sz val="9.5"/>
      <name val="Times New Roman"/>
      <family val="1"/>
    </font>
  </fonts>
  <fills count="2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99"/>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rgb="FFE49CD6"/>
        <bgColor indexed="64"/>
      </patternFill>
    </fill>
  </fills>
  <borders count="63">
    <border>
      <left/>
      <right/>
      <top/>
      <bottom/>
      <diagonal/>
    </border>
    <border>
      <left style="thin">
        <color auto="1"/>
      </left>
      <right style="thin">
        <color auto="1"/>
      </right>
      <top style="medium">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auto="1"/>
      </right>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auto="1"/>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auto="1"/>
      </left>
      <right style="thin">
        <color indexed="64"/>
      </right>
      <top style="medium">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s>
  <cellStyleXfs count="3">
    <xf numFmtId="0" fontId="0" fillId="0" borderId="0"/>
    <xf numFmtId="0" fontId="28" fillId="0" borderId="0"/>
    <xf numFmtId="0" fontId="40" fillId="0" borderId="0" applyNumberFormat="0" applyFill="0" applyBorder="0" applyAlignment="0" applyProtection="0"/>
  </cellStyleXfs>
  <cellXfs count="1825">
    <xf numFmtId="0" fontId="0" fillId="0" borderId="0" xfId="0"/>
    <xf numFmtId="0" fontId="1" fillId="0" borderId="0" xfId="0" applyFont="1"/>
    <xf numFmtId="0" fontId="1" fillId="0" borderId="0" xfId="0" applyFont="1" applyAlignment="1">
      <alignment horizontal="center" vertical="center" wrapText="1"/>
    </xf>
    <xf numFmtId="0" fontId="1" fillId="0" borderId="0" xfId="0" applyFont="1" applyAlignment="1">
      <alignment vertical="center"/>
    </xf>
    <xf numFmtId="0" fontId="1" fillId="0" borderId="0" xfId="0" applyFont="1" applyAlignment="1"/>
    <xf numFmtId="0" fontId="6" fillId="0" borderId="3" xfId="0" applyFont="1" applyBorder="1" applyAlignment="1">
      <alignment horizontal="center" vertical="center" wrapText="1"/>
    </xf>
    <xf numFmtId="3" fontId="2" fillId="5" borderId="7" xfId="0" applyNumberFormat="1" applyFont="1" applyFill="1" applyBorder="1" applyAlignment="1">
      <alignment horizontal="center" vertical="center" wrapText="1"/>
    </xf>
    <xf numFmtId="0" fontId="1" fillId="0" borderId="0" xfId="0" applyFont="1" applyAlignment="1">
      <alignment horizontal="center"/>
    </xf>
    <xf numFmtId="0" fontId="1" fillId="0" borderId="0" xfId="0" applyFont="1" applyAlignment="1">
      <alignment horizontal="center" vertical="center"/>
    </xf>
    <xf numFmtId="0" fontId="10" fillId="0" borderId="3" xfId="0" applyFont="1" applyBorder="1" applyAlignment="1">
      <alignment horizontal="center" vertical="center" wrapText="1"/>
    </xf>
    <xf numFmtId="9" fontId="6" fillId="2" borderId="3" xfId="0" applyNumberFormat="1" applyFont="1" applyFill="1" applyBorder="1" applyAlignment="1">
      <alignment horizontal="center" vertical="center"/>
    </xf>
    <xf numFmtId="0" fontId="6" fillId="2" borderId="3"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6" fillId="0" borderId="3" xfId="0" applyFont="1" applyBorder="1" applyAlignment="1">
      <alignment horizontal="center" vertical="center"/>
    </xf>
    <xf numFmtId="0" fontId="6"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1" fillId="2" borderId="0" xfId="0" applyFont="1" applyFill="1" applyAlignment="1">
      <alignment horizontal="center"/>
    </xf>
    <xf numFmtId="0" fontId="6" fillId="2" borderId="4" xfId="0" applyFont="1" applyFill="1" applyBorder="1" applyAlignment="1">
      <alignment horizontal="center" vertical="center"/>
    </xf>
    <xf numFmtId="0" fontId="7" fillId="0" borderId="0" xfId="0" applyFont="1" applyBorder="1" applyAlignment="1">
      <alignment horizontal="center" vertical="center" wrapText="1"/>
    </xf>
    <xf numFmtId="0" fontId="7" fillId="2" borderId="0" xfId="0" applyFont="1" applyFill="1" applyBorder="1" applyAlignment="1">
      <alignment horizontal="center" vertical="center" wrapText="1"/>
    </xf>
    <xf numFmtId="3" fontId="6" fillId="7" borderId="3" xfId="0" applyNumberFormat="1" applyFont="1" applyFill="1" applyBorder="1" applyAlignment="1">
      <alignment horizontal="center" vertical="center"/>
    </xf>
    <xf numFmtId="9" fontId="6" fillId="7" borderId="3" xfId="0" applyNumberFormat="1" applyFont="1" applyFill="1" applyBorder="1" applyAlignment="1">
      <alignment horizontal="center" vertical="center"/>
    </xf>
    <xf numFmtId="4" fontId="6" fillId="7" borderId="3" xfId="0" applyNumberFormat="1" applyFont="1" applyFill="1" applyBorder="1" applyAlignment="1">
      <alignment horizontal="center" vertical="center"/>
    </xf>
    <xf numFmtId="0" fontId="6" fillId="7" borderId="3" xfId="0" applyFont="1" applyFill="1" applyBorder="1" applyAlignment="1">
      <alignment horizontal="center" vertical="center"/>
    </xf>
    <xf numFmtId="0" fontId="6" fillId="2" borderId="3" xfId="0" applyNumberFormat="1" applyFont="1" applyFill="1" applyBorder="1" applyAlignment="1">
      <alignment horizontal="center" vertical="center" wrapText="1"/>
    </xf>
    <xf numFmtId="0" fontId="6" fillId="2" borderId="4" xfId="0" applyNumberFormat="1"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4"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4" fillId="3"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10" fillId="0" borderId="3" xfId="0" applyFont="1" applyBorder="1" applyAlignment="1">
      <alignment horizontal="center" vertical="center"/>
    </xf>
    <xf numFmtId="0" fontId="10" fillId="0" borderId="0" xfId="0" applyFont="1" applyAlignment="1">
      <alignment horizontal="center" vertical="center" wrapText="1"/>
    </xf>
    <xf numFmtId="0" fontId="10" fillId="0" borderId="2" xfId="0" applyFont="1" applyBorder="1" applyAlignment="1">
      <alignment horizontal="center" vertical="center" wrapText="1"/>
    </xf>
    <xf numFmtId="0" fontId="8" fillId="2" borderId="2"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NumberFormat="1" applyFont="1" applyFill="1" applyBorder="1" applyAlignment="1">
      <alignment horizontal="center" vertical="center" wrapText="1"/>
    </xf>
    <xf numFmtId="0" fontId="8" fillId="2" borderId="3" xfId="0" applyFont="1" applyFill="1" applyBorder="1" applyAlignment="1" applyProtection="1">
      <alignment horizontal="center" vertical="center"/>
    </xf>
    <xf numFmtId="0" fontId="8" fillId="2" borderId="3" xfId="0" applyFont="1" applyFill="1" applyBorder="1" applyAlignment="1">
      <alignment horizontal="center" vertical="center"/>
    </xf>
    <xf numFmtId="0" fontId="10" fillId="5" borderId="7" xfId="0" applyFont="1" applyFill="1" applyBorder="1" applyAlignment="1">
      <alignment horizontal="center" wrapText="1"/>
    </xf>
    <xf numFmtId="0" fontId="7" fillId="0" borderId="4" xfId="0" applyFont="1" applyBorder="1" applyAlignment="1">
      <alignment horizontal="center" vertical="center" wrapText="1"/>
    </xf>
    <xf numFmtId="0" fontId="6" fillId="0" borderId="0" xfId="0" applyFont="1" applyAlignment="1">
      <alignment horizontal="center" vertical="center" wrapText="1"/>
    </xf>
    <xf numFmtId="0" fontId="10" fillId="2" borderId="3" xfId="0" applyFont="1" applyFill="1" applyBorder="1" applyAlignment="1">
      <alignment horizontal="center" vertical="center"/>
    </xf>
    <xf numFmtId="4" fontId="7" fillId="7" borderId="3" xfId="0" applyNumberFormat="1" applyFont="1" applyFill="1" applyBorder="1" applyAlignment="1">
      <alignment horizontal="center" vertical="center"/>
    </xf>
    <xf numFmtId="2" fontId="6" fillId="7" borderId="3" xfId="0" applyNumberFormat="1" applyFont="1" applyFill="1" applyBorder="1" applyAlignment="1">
      <alignment horizontal="center" vertical="center" wrapText="1"/>
    </xf>
    <xf numFmtId="0" fontId="1" fillId="0" borderId="0" xfId="0" applyFont="1" applyAlignment="1">
      <alignment horizontal="center"/>
    </xf>
    <xf numFmtId="0" fontId="1" fillId="0" borderId="0" xfId="0" applyFont="1" applyBorder="1" applyAlignment="1">
      <alignment horizontal="center"/>
    </xf>
    <xf numFmtId="10" fontId="6" fillId="7" borderId="3" xfId="0" applyNumberFormat="1" applyFont="1" applyFill="1" applyBorder="1" applyAlignment="1">
      <alignment horizontal="center" vertical="center"/>
    </xf>
    <xf numFmtId="4" fontId="6" fillId="7" borderId="3" xfId="0" applyNumberFormat="1" applyFont="1" applyFill="1" applyBorder="1" applyAlignment="1">
      <alignment horizontal="center" vertical="center" wrapText="1"/>
    </xf>
    <xf numFmtId="3" fontId="6" fillId="2" borderId="3" xfId="0" applyNumberFormat="1" applyFont="1" applyFill="1" applyBorder="1" applyAlignment="1">
      <alignment horizontal="center" vertical="center"/>
    </xf>
    <xf numFmtId="0"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0" fontId="6" fillId="0" borderId="0" xfId="0" applyFont="1" applyAlignment="1">
      <alignment horizontal="center"/>
    </xf>
    <xf numFmtId="0" fontId="7"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5" borderId="7" xfId="0" applyFont="1" applyFill="1" applyBorder="1" applyAlignment="1">
      <alignment horizontal="center" wrapText="1"/>
    </xf>
    <xf numFmtId="0" fontId="7" fillId="3" borderId="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0" borderId="2" xfId="0" applyFont="1" applyBorder="1" applyAlignment="1">
      <alignment horizontal="center" vertical="center" wrapText="1"/>
    </xf>
    <xf numFmtId="0" fontId="7" fillId="0" borderId="4" xfId="0" applyFont="1" applyBorder="1" applyAlignment="1">
      <alignment horizontal="center" vertical="center"/>
    </xf>
    <xf numFmtId="0" fontId="7" fillId="2" borderId="4" xfId="0" applyNumberFormat="1" applyFont="1" applyFill="1" applyBorder="1" applyAlignment="1">
      <alignment horizontal="center" vertical="center" wrapText="1"/>
    </xf>
    <xf numFmtId="0" fontId="6" fillId="5" borderId="7" xfId="0" applyFont="1" applyFill="1" applyBorder="1" applyAlignment="1">
      <alignment horizontal="center" vertical="center" wrapText="1"/>
    </xf>
    <xf numFmtId="0" fontId="1" fillId="0" borderId="0" xfId="0" applyFont="1" applyAlignment="1">
      <alignment horizontal="center"/>
    </xf>
    <xf numFmtId="2" fontId="6" fillId="7" borderId="3" xfId="0" applyNumberFormat="1" applyFont="1" applyFill="1" applyBorder="1" applyAlignment="1">
      <alignment horizontal="center" vertical="center"/>
    </xf>
    <xf numFmtId="3" fontId="2" fillId="2" borderId="0" xfId="0" applyNumberFormat="1" applyFont="1" applyFill="1" applyBorder="1" applyAlignment="1">
      <alignment horizontal="center" vertical="center" wrapText="1"/>
    </xf>
    <xf numFmtId="0" fontId="10" fillId="2" borderId="9" xfId="0" applyFont="1" applyFill="1" applyBorder="1" applyAlignment="1">
      <alignment horizontal="center" vertical="center" wrapText="1"/>
    </xf>
    <xf numFmtId="3" fontId="7" fillId="7" borderId="3" xfId="0" applyNumberFormat="1" applyFont="1" applyFill="1" applyBorder="1" applyAlignment="1">
      <alignment horizontal="center" vertical="center"/>
    </xf>
    <xf numFmtId="0" fontId="7" fillId="2" borderId="0" xfId="0" applyFont="1" applyFill="1" applyBorder="1" applyAlignment="1">
      <alignment vertical="center" wrapText="1"/>
    </xf>
    <xf numFmtId="0" fontId="6" fillId="0" borderId="0" xfId="0" applyFont="1" applyAlignment="1">
      <alignment horizontal="center" vertical="center" wrapText="1"/>
    </xf>
    <xf numFmtId="0" fontId="6" fillId="2" borderId="9" xfId="0" applyFont="1" applyFill="1" applyBorder="1" applyAlignment="1">
      <alignment horizontal="center" vertical="center" wrapText="1"/>
    </xf>
    <xf numFmtId="0" fontId="10" fillId="2" borderId="2" xfId="0" applyFont="1" applyFill="1" applyBorder="1" applyAlignment="1">
      <alignment horizontal="center" vertical="center" wrapText="1"/>
    </xf>
    <xf numFmtId="1" fontId="6" fillId="7" borderId="3" xfId="0" applyNumberFormat="1" applyFont="1" applyFill="1" applyBorder="1" applyAlignment="1">
      <alignment horizontal="center" vertical="center"/>
    </xf>
    <xf numFmtId="0" fontId="26" fillId="6" borderId="3" xfId="0" applyFont="1" applyFill="1" applyBorder="1" applyAlignment="1">
      <alignment horizontal="center" vertical="center"/>
    </xf>
    <xf numFmtId="0" fontId="1" fillId="6" borderId="3" xfId="0" applyFont="1" applyFill="1" applyBorder="1" applyAlignment="1">
      <alignment horizontal="center" vertical="center"/>
    </xf>
    <xf numFmtId="0" fontId="1" fillId="6" borderId="3" xfId="0" applyFont="1" applyFill="1" applyBorder="1" applyAlignment="1">
      <alignment horizontal="center"/>
    </xf>
    <xf numFmtId="0" fontId="8" fillId="0" borderId="2" xfId="0" applyNumberFormat="1" applyFont="1" applyBorder="1" applyAlignment="1">
      <alignment horizontal="center" vertical="center" wrapText="1"/>
    </xf>
    <xf numFmtId="0" fontId="7" fillId="2" borderId="10" xfId="0" applyFont="1" applyFill="1" applyBorder="1" applyAlignment="1">
      <alignment horizontal="center" vertical="center" wrapText="1"/>
    </xf>
    <xf numFmtId="10" fontId="6" fillId="2" borderId="3" xfId="0" applyNumberFormat="1" applyFont="1" applyFill="1" applyBorder="1" applyAlignment="1">
      <alignment horizontal="center" vertical="center" wrapText="1"/>
    </xf>
    <xf numFmtId="0" fontId="1" fillId="0" borderId="0" xfId="0" applyFont="1" applyAlignment="1">
      <alignment horizontal="center"/>
    </xf>
    <xf numFmtId="0" fontId="3" fillId="2" borderId="0" xfId="0" applyFont="1" applyFill="1" applyAlignment="1">
      <alignment vertical="center" wrapText="1"/>
    </xf>
    <xf numFmtId="2" fontId="7" fillId="7" borderId="3" xfId="0" applyNumberFormat="1" applyFont="1" applyFill="1" applyBorder="1" applyAlignment="1">
      <alignment horizontal="center" vertical="center"/>
    </xf>
    <xf numFmtId="0" fontId="6" fillId="0" borderId="0" xfId="0" applyFont="1" applyBorder="1" applyAlignment="1">
      <alignment horizontal="center" vertical="center" wrapText="1"/>
    </xf>
    <xf numFmtId="2" fontId="6" fillId="8" borderId="3" xfId="0" applyNumberFormat="1" applyFont="1" applyFill="1" applyBorder="1" applyAlignment="1">
      <alignment horizontal="center" vertical="center"/>
    </xf>
    <xf numFmtId="0" fontId="6" fillId="8" borderId="3" xfId="0" applyFont="1" applyFill="1" applyBorder="1" applyAlignment="1">
      <alignment horizontal="center" vertical="center"/>
    </xf>
    <xf numFmtId="2" fontId="6" fillId="8" borderId="3" xfId="0" applyNumberFormat="1" applyFont="1" applyFill="1" applyBorder="1" applyAlignment="1">
      <alignment horizontal="center" vertical="center" wrapText="1"/>
    </xf>
    <xf numFmtId="3" fontId="6" fillId="8" borderId="3" xfId="0" applyNumberFormat="1" applyFont="1" applyFill="1" applyBorder="1" applyAlignment="1">
      <alignment horizontal="center" vertical="center" wrapText="1"/>
    </xf>
    <xf numFmtId="3" fontId="6" fillId="8" borderId="3" xfId="0" applyNumberFormat="1" applyFont="1" applyFill="1" applyBorder="1" applyAlignment="1">
      <alignment horizontal="center" vertical="center"/>
    </xf>
    <xf numFmtId="1" fontId="6" fillId="8" borderId="3" xfId="0" applyNumberFormat="1" applyFont="1" applyFill="1" applyBorder="1" applyAlignment="1">
      <alignment horizontal="center" vertical="center"/>
    </xf>
    <xf numFmtId="0" fontId="6" fillId="0" borderId="0" xfId="0" applyFont="1" applyAlignment="1">
      <alignment horizontal="center" vertical="center" wrapText="1"/>
    </xf>
    <xf numFmtId="0" fontId="7" fillId="0" borderId="0" xfId="0" applyFont="1" applyBorder="1" applyAlignment="1">
      <alignment horizontal="center" vertical="center" wrapText="1"/>
    </xf>
    <xf numFmtId="4" fontId="6" fillId="8" borderId="3" xfId="0" applyNumberFormat="1" applyFont="1" applyFill="1" applyBorder="1" applyAlignment="1">
      <alignment horizontal="center" vertical="center" wrapText="1"/>
    </xf>
    <xf numFmtId="3" fontId="7" fillId="8" borderId="3" xfId="0" applyNumberFormat="1" applyFont="1" applyFill="1" applyBorder="1" applyAlignment="1">
      <alignment horizontal="center" vertical="center" wrapText="1"/>
    </xf>
    <xf numFmtId="0" fontId="6" fillId="8" borderId="3" xfId="0" applyFont="1" applyFill="1" applyBorder="1" applyAlignment="1">
      <alignment horizontal="center" vertical="center" wrapText="1"/>
    </xf>
    <xf numFmtId="1" fontId="6" fillId="8" borderId="3" xfId="0" applyNumberFormat="1" applyFont="1" applyFill="1" applyBorder="1" applyAlignment="1">
      <alignment horizontal="center" vertical="center" wrapText="1"/>
    </xf>
    <xf numFmtId="9" fontId="6" fillId="8" borderId="3" xfId="0" applyNumberFormat="1" applyFont="1" applyFill="1" applyBorder="1" applyAlignment="1">
      <alignment horizontal="center" vertical="center"/>
    </xf>
    <xf numFmtId="1" fontId="7" fillId="8" borderId="3" xfId="0" applyNumberFormat="1" applyFont="1" applyFill="1" applyBorder="1" applyAlignment="1">
      <alignment horizontal="center" vertical="center"/>
    </xf>
    <xf numFmtId="1" fontId="7" fillId="8" borderId="3" xfId="0" applyNumberFormat="1" applyFont="1" applyFill="1" applyBorder="1" applyAlignment="1">
      <alignment horizontal="center" vertical="center" wrapText="1"/>
    </xf>
    <xf numFmtId="3" fontId="22" fillId="8" borderId="3" xfId="0" applyNumberFormat="1" applyFont="1" applyFill="1" applyBorder="1" applyAlignment="1" applyProtection="1">
      <alignment horizontal="center" vertical="center"/>
    </xf>
    <xf numFmtId="4" fontId="7" fillId="8" borderId="3" xfId="0" applyNumberFormat="1" applyFont="1" applyFill="1" applyBorder="1" applyAlignment="1">
      <alignment horizontal="center" vertical="center"/>
    </xf>
    <xf numFmtId="0" fontId="6" fillId="0" borderId="3" xfId="0" applyFont="1" applyBorder="1"/>
    <xf numFmtId="4" fontId="6" fillId="8" borderId="3" xfId="0" applyNumberFormat="1" applyFont="1" applyFill="1" applyBorder="1" applyAlignment="1">
      <alignment horizontal="center" vertical="center"/>
    </xf>
    <xf numFmtId="0" fontId="7" fillId="0" borderId="3" xfId="0" applyFont="1" applyBorder="1" applyAlignment="1">
      <alignment horizontal="center" vertical="center" wrapText="1"/>
    </xf>
    <xf numFmtId="0" fontId="20" fillId="2" borderId="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 fillId="0" borderId="0" xfId="0" applyFont="1" applyAlignment="1">
      <alignment horizontal="center"/>
    </xf>
    <xf numFmtId="3" fontId="6" fillId="8" borderId="0" xfId="0" applyNumberFormat="1" applyFont="1" applyFill="1" applyBorder="1" applyAlignment="1">
      <alignment horizontal="center" vertical="center"/>
    </xf>
    <xf numFmtId="0" fontId="6" fillId="9" borderId="3" xfId="0" applyFont="1" applyFill="1" applyBorder="1" applyAlignment="1">
      <alignment horizontal="center" vertical="center" wrapText="1"/>
    </xf>
    <xf numFmtId="3" fontId="6" fillId="9" borderId="3" xfId="0" applyNumberFormat="1" applyFont="1" applyFill="1" applyBorder="1" applyAlignment="1">
      <alignment horizontal="center" vertical="center"/>
    </xf>
    <xf numFmtId="0" fontId="7" fillId="9" borderId="3" xfId="0" applyFont="1" applyFill="1" applyBorder="1" applyAlignment="1">
      <alignment horizontal="center" vertical="center" wrapText="1"/>
    </xf>
    <xf numFmtId="0" fontId="7" fillId="8" borderId="3" xfId="0" applyFont="1" applyFill="1" applyBorder="1" applyAlignment="1">
      <alignment horizontal="center" vertical="center" wrapText="1"/>
    </xf>
    <xf numFmtId="0" fontId="7" fillId="7" borderId="3" xfId="0" applyFont="1" applyFill="1" applyBorder="1" applyAlignment="1">
      <alignment horizontal="center" vertical="center" wrapText="1"/>
    </xf>
    <xf numFmtId="10" fontId="7" fillId="7" borderId="3" xfId="0" applyNumberFormat="1" applyFont="1" applyFill="1" applyBorder="1" applyAlignment="1">
      <alignment horizontal="center" vertical="center" wrapText="1"/>
    </xf>
    <xf numFmtId="0" fontId="6" fillId="8" borderId="4" xfId="0" applyFont="1" applyFill="1" applyBorder="1" applyAlignment="1">
      <alignment horizontal="center" vertical="center"/>
    </xf>
    <xf numFmtId="0" fontId="7" fillId="2" borderId="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8" borderId="3" xfId="0" applyFont="1" applyFill="1" applyBorder="1" applyAlignment="1" applyProtection="1">
      <alignment horizontal="center" vertical="center" wrapText="1"/>
    </xf>
    <xf numFmtId="164" fontId="22" fillId="8" borderId="3" xfId="0" applyNumberFormat="1" applyFont="1" applyFill="1" applyBorder="1" applyAlignment="1" applyProtection="1">
      <alignment horizontal="center" vertical="center"/>
    </xf>
    <xf numFmtId="164" fontId="6" fillId="8" borderId="3" xfId="0" applyNumberFormat="1" applyFont="1" applyFill="1" applyBorder="1" applyAlignment="1">
      <alignment horizontal="center" vertical="center"/>
    </xf>
    <xf numFmtId="164" fontId="7" fillId="8" borderId="3" xfId="0" applyNumberFormat="1" applyFont="1" applyFill="1" applyBorder="1" applyAlignment="1" applyProtection="1">
      <alignment horizontal="center" vertical="center"/>
    </xf>
    <xf numFmtId="1" fontId="22" fillId="8" borderId="3" xfId="0" applyNumberFormat="1" applyFont="1" applyFill="1" applyBorder="1" applyAlignment="1" applyProtection="1">
      <alignment horizontal="center" vertical="center"/>
    </xf>
    <xf numFmtId="1" fontId="7" fillId="8" borderId="3" xfId="0" applyNumberFormat="1" applyFont="1" applyFill="1" applyBorder="1" applyAlignment="1" applyProtection="1">
      <alignment horizontal="center" vertical="center"/>
    </xf>
    <xf numFmtId="164" fontId="6" fillId="7" borderId="3" xfId="0" applyNumberFormat="1" applyFont="1" applyFill="1" applyBorder="1" applyAlignment="1">
      <alignment horizontal="center" vertical="center"/>
    </xf>
    <xf numFmtId="10" fontId="7" fillId="8" borderId="3" xfId="0" applyNumberFormat="1" applyFont="1" applyFill="1" applyBorder="1" applyAlignment="1" applyProtection="1">
      <alignment horizontal="center" vertical="center" wrapText="1"/>
    </xf>
    <xf numFmtId="10" fontId="22" fillId="8" borderId="3" xfId="0" applyNumberFormat="1" applyFont="1" applyFill="1" applyBorder="1" applyAlignment="1" applyProtection="1">
      <alignment horizontal="center" vertical="center"/>
    </xf>
    <xf numFmtId="10" fontId="6" fillId="8" borderId="3" xfId="0" applyNumberFormat="1" applyFont="1" applyFill="1" applyBorder="1" applyAlignment="1">
      <alignment horizontal="center" vertical="center"/>
    </xf>
    <xf numFmtId="0" fontId="7" fillId="2" borderId="4" xfId="0" applyFont="1" applyFill="1" applyBorder="1" applyAlignment="1">
      <alignment horizontal="center" vertical="center" wrapText="1"/>
    </xf>
    <xf numFmtId="0" fontId="5" fillId="2" borderId="0" xfId="0" applyFont="1" applyFill="1"/>
    <xf numFmtId="0" fontId="7" fillId="2" borderId="0" xfId="0" applyFont="1" applyFill="1" applyBorder="1" applyAlignment="1">
      <alignment horizontal="center" vertical="center" wrapText="1"/>
    </xf>
    <xf numFmtId="0" fontId="26" fillId="6" borderId="2" xfId="0" applyFont="1" applyFill="1" applyBorder="1" applyAlignment="1">
      <alignment horizontal="center" vertical="center"/>
    </xf>
    <xf numFmtId="0" fontId="2" fillId="6" borderId="3" xfId="0" applyFont="1" applyFill="1" applyBorder="1" applyAlignment="1">
      <alignment vertical="center"/>
    </xf>
    <xf numFmtId="0" fontId="10" fillId="10" borderId="3"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3" xfId="0" applyFont="1" applyFill="1" applyBorder="1" applyAlignment="1">
      <alignment horizontal="center" vertical="center"/>
    </xf>
    <xf numFmtId="2" fontId="6" fillId="10" borderId="3" xfId="0" applyNumberFormat="1" applyFont="1" applyFill="1" applyBorder="1" applyAlignment="1">
      <alignment horizontal="center" vertical="center"/>
    </xf>
    <xf numFmtId="0" fontId="7" fillId="3" borderId="3" xfId="0" applyFont="1" applyFill="1" applyBorder="1" applyAlignment="1">
      <alignment horizontal="center" vertical="center"/>
    </xf>
    <xf numFmtId="0" fontId="7" fillId="9" borderId="4" xfId="0" applyFont="1" applyFill="1" applyBorder="1" applyAlignment="1">
      <alignment horizontal="center" vertical="center" wrapText="1"/>
    </xf>
    <xf numFmtId="0" fontId="6" fillId="9" borderId="3" xfId="0" applyFont="1" applyFill="1" applyBorder="1" applyAlignment="1">
      <alignment horizontal="center" vertical="center"/>
    </xf>
    <xf numFmtId="0" fontId="6" fillId="10" borderId="3" xfId="0" applyFont="1" applyFill="1" applyBorder="1"/>
    <xf numFmtId="0" fontId="7" fillId="10" borderId="3" xfId="0" applyFont="1" applyFill="1" applyBorder="1" applyAlignment="1">
      <alignment horizontal="center" vertical="center" wrapText="1"/>
    </xf>
    <xf numFmtId="0" fontId="6" fillId="0" borderId="0" xfId="0" applyFont="1" applyAlignment="1">
      <alignment horizontal="center" vertical="center"/>
    </xf>
    <xf numFmtId="0" fontId="6" fillId="10" borderId="3" xfId="0" applyFont="1" applyFill="1" applyBorder="1" applyAlignment="1">
      <alignment horizontal="center"/>
    </xf>
    <xf numFmtId="1" fontId="6" fillId="10" borderId="3" xfId="0" applyNumberFormat="1" applyFont="1" applyFill="1" applyBorder="1" applyAlignment="1">
      <alignment horizontal="center" vertical="center"/>
    </xf>
    <xf numFmtId="3" fontId="6" fillId="10" borderId="3" xfId="0" applyNumberFormat="1" applyFont="1" applyFill="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vertical="center"/>
    </xf>
    <xf numFmtId="0" fontId="7" fillId="2" borderId="3" xfId="0" applyFont="1" applyFill="1" applyBorder="1" applyAlignment="1">
      <alignment horizontal="center" vertical="center" wrapText="1"/>
    </xf>
    <xf numFmtId="0" fontId="6" fillId="0" borderId="0" xfId="0" applyFont="1" applyAlignment="1">
      <alignment horizontal="center" vertical="center"/>
    </xf>
    <xf numFmtId="0" fontId="30" fillId="0" borderId="0" xfId="0" applyFont="1" applyAlignment="1">
      <alignment vertical="center" wrapText="1"/>
    </xf>
    <xf numFmtId="0" fontId="2" fillId="0" borderId="0" xfId="0" applyFont="1" applyAlignment="1">
      <alignment wrapText="1"/>
    </xf>
    <xf numFmtId="10" fontId="6" fillId="10" borderId="3" xfId="0" applyNumberFormat="1" applyFont="1" applyFill="1" applyBorder="1" applyAlignment="1">
      <alignment horizontal="center" vertical="center"/>
    </xf>
    <xf numFmtId="0" fontId="6" fillId="0" borderId="4" xfId="0" applyFont="1" applyBorder="1" applyAlignment="1">
      <alignment horizontal="center" vertical="center" wrapText="1"/>
    </xf>
    <xf numFmtId="0" fontId="4" fillId="9" borderId="3"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2" fillId="9" borderId="3"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6" fillId="6" borderId="3" xfId="0" applyFont="1" applyFill="1" applyBorder="1" applyAlignment="1">
      <alignment horizontal="center" vertical="center"/>
    </xf>
    <xf numFmtId="0" fontId="7" fillId="2" borderId="0" xfId="0" applyFont="1" applyFill="1" applyBorder="1" applyAlignment="1">
      <alignment horizontal="center" vertical="center" wrapText="1"/>
    </xf>
    <xf numFmtId="3" fontId="7" fillId="8" borderId="3" xfId="0" applyNumberFormat="1" applyFont="1" applyFill="1" applyBorder="1" applyAlignment="1" applyProtection="1">
      <alignment horizontal="center" vertical="center"/>
    </xf>
    <xf numFmtId="0" fontId="32" fillId="8" borderId="3" xfId="0" applyFont="1" applyFill="1" applyBorder="1" applyAlignment="1">
      <alignment horizontal="center" vertical="center" wrapText="1"/>
    </xf>
    <xf numFmtId="3" fontId="33" fillId="8" borderId="3" xfId="0" applyNumberFormat="1" applyFont="1" applyFill="1" applyBorder="1" applyAlignment="1" applyProtection="1">
      <alignment horizontal="center" vertical="center"/>
    </xf>
    <xf numFmtId="3" fontId="34" fillId="8" borderId="3" xfId="0" applyNumberFormat="1" applyFont="1" applyFill="1" applyBorder="1" applyAlignment="1" applyProtection="1">
      <alignment horizontal="center" vertical="center"/>
    </xf>
    <xf numFmtId="0" fontId="6" fillId="0" borderId="4" xfId="0" applyNumberFormat="1" applyFont="1" applyBorder="1" applyAlignment="1">
      <alignment horizontal="center" vertical="center" wrapText="1"/>
    </xf>
    <xf numFmtId="0" fontId="7" fillId="2" borderId="4"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6" fillId="6" borderId="3" xfId="0" applyNumberFormat="1" applyFont="1" applyFill="1" applyBorder="1" applyAlignment="1">
      <alignment horizontal="center" vertical="center" wrapText="1"/>
    </xf>
    <xf numFmtId="0" fontId="6" fillId="6" borderId="4" xfId="0" applyFont="1" applyFill="1" applyBorder="1" applyAlignment="1">
      <alignment horizontal="center" vertical="center" wrapText="1"/>
    </xf>
    <xf numFmtId="9" fontId="6" fillId="8" borderId="3" xfId="0" applyNumberFormat="1" applyFont="1" applyFill="1" applyBorder="1" applyAlignment="1">
      <alignment horizontal="center" vertical="center" wrapText="1"/>
    </xf>
    <xf numFmtId="3" fontId="35" fillId="8" borderId="3"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6" fillId="9" borderId="6" xfId="0" applyFont="1" applyFill="1" applyBorder="1" applyAlignment="1">
      <alignment horizontal="center" vertical="center" wrapText="1"/>
    </xf>
    <xf numFmtId="3" fontId="1" fillId="9" borderId="0" xfId="0" applyNumberFormat="1" applyFont="1" applyFill="1" applyAlignment="1">
      <alignment horizontal="center"/>
    </xf>
    <xf numFmtId="0" fontId="6" fillId="9" borderId="6" xfId="0" applyFont="1" applyFill="1" applyBorder="1" applyAlignment="1">
      <alignment horizontal="center" vertical="center"/>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3" xfId="0" applyFont="1" applyFill="1" applyBorder="1" applyAlignment="1">
      <alignment horizontal="center" vertical="center" wrapText="1"/>
    </xf>
    <xf numFmtId="2" fontId="7" fillId="9" borderId="3" xfId="0" applyNumberFormat="1" applyFont="1" applyFill="1" applyBorder="1" applyAlignment="1">
      <alignment horizontal="center" vertical="center" wrapText="1"/>
    </xf>
    <xf numFmtId="2" fontId="7" fillId="8" borderId="3" xfId="0" applyNumberFormat="1" applyFont="1" applyFill="1" applyBorder="1" applyAlignment="1">
      <alignment horizontal="center" vertical="center" wrapText="1"/>
    </xf>
    <xf numFmtId="0" fontId="10" fillId="0" borderId="4" xfId="0" applyFont="1" applyBorder="1" applyAlignment="1">
      <alignment horizontal="center" vertical="center" wrapText="1"/>
    </xf>
    <xf numFmtId="0" fontId="2" fillId="6" borderId="3" xfId="0" applyFont="1" applyFill="1" applyBorder="1" applyAlignment="1">
      <alignment horizontal="center"/>
    </xf>
    <xf numFmtId="0" fontId="7" fillId="2" borderId="4"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0" fillId="2" borderId="0" xfId="0" applyFill="1"/>
    <xf numFmtId="9" fontId="7" fillId="8" borderId="3"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3" xfId="0" applyFont="1" applyFill="1" applyBorder="1" applyAlignment="1">
      <alignment horizontal="center" vertical="center" wrapText="1"/>
    </xf>
    <xf numFmtId="49" fontId="7" fillId="8" borderId="3" xfId="0" applyNumberFormat="1" applyFont="1" applyFill="1" applyBorder="1" applyAlignment="1">
      <alignment horizontal="center" vertical="center" wrapText="1"/>
    </xf>
    <xf numFmtId="0" fontId="26" fillId="6" borderId="10" xfId="0" applyFont="1" applyFill="1" applyBorder="1" applyAlignment="1">
      <alignment horizontal="center" vertical="center"/>
    </xf>
    <xf numFmtId="0" fontId="1" fillId="2" borderId="4" xfId="0" applyFont="1" applyFill="1" applyBorder="1" applyAlignment="1">
      <alignment horizontal="center"/>
    </xf>
    <xf numFmtId="0" fontId="26" fillId="6" borderId="4" xfId="0" applyFont="1" applyFill="1" applyBorder="1" applyAlignment="1">
      <alignment horizontal="center" vertical="center"/>
    </xf>
    <xf numFmtId="0" fontId="1" fillId="6" borderId="4" xfId="0" applyFont="1" applyFill="1" applyBorder="1" applyAlignment="1">
      <alignment horizontal="center"/>
    </xf>
    <xf numFmtId="0" fontId="10" fillId="0" borderId="0" xfId="0" applyFont="1" applyBorder="1" applyAlignment="1">
      <alignment horizontal="center" vertical="center" wrapText="1"/>
    </xf>
    <xf numFmtId="0" fontId="1" fillId="2" borderId="0" xfId="0" applyFont="1" applyFill="1" applyBorder="1" applyAlignment="1">
      <alignment horizontal="center"/>
    </xf>
    <xf numFmtId="0" fontId="26" fillId="6" borderId="13" xfId="0" applyFont="1" applyFill="1" applyBorder="1" applyAlignment="1">
      <alignment horizontal="center" vertical="center"/>
    </xf>
    <xf numFmtId="0" fontId="1" fillId="2" borderId="15" xfId="0" applyFont="1" applyFill="1" applyBorder="1" applyAlignment="1">
      <alignment horizontal="center"/>
    </xf>
    <xf numFmtId="0" fontId="1" fillId="2" borderId="16" xfId="0" applyFont="1" applyFill="1" applyBorder="1" applyAlignment="1">
      <alignment horizontal="center"/>
    </xf>
    <xf numFmtId="0" fontId="26" fillId="6" borderId="15" xfId="0" applyFont="1" applyFill="1" applyBorder="1" applyAlignment="1">
      <alignment horizontal="center" vertical="center"/>
    </xf>
    <xf numFmtId="0" fontId="26" fillId="6" borderId="16" xfId="0" applyFont="1" applyFill="1" applyBorder="1" applyAlignment="1">
      <alignment horizontal="center" vertical="center"/>
    </xf>
    <xf numFmtId="0" fontId="1" fillId="6" borderId="15" xfId="0" applyFont="1" applyFill="1" applyBorder="1" applyAlignment="1">
      <alignment horizontal="center"/>
    </xf>
    <xf numFmtId="0" fontId="1" fillId="6" borderId="16" xfId="0" applyFont="1" applyFill="1" applyBorder="1" applyAlignment="1">
      <alignment horizontal="center"/>
    </xf>
    <xf numFmtId="0" fontId="26" fillId="2" borderId="0" xfId="0" applyFont="1" applyFill="1" applyBorder="1" applyAlignment="1">
      <alignment horizontal="center" vertical="center"/>
    </xf>
    <xf numFmtId="0" fontId="2" fillId="2" borderId="0" xfId="0" applyFont="1" applyFill="1" applyBorder="1" applyAlignment="1">
      <alignment horizontal="center"/>
    </xf>
    <xf numFmtId="0" fontId="2" fillId="6" borderId="15" xfId="0" applyFont="1" applyFill="1" applyBorder="1" applyAlignment="1">
      <alignment horizontal="center"/>
    </xf>
    <xf numFmtId="9" fontId="6" fillId="6" borderId="4" xfId="0" applyNumberFormat="1" applyFont="1" applyFill="1" applyBorder="1" applyAlignment="1">
      <alignment horizontal="center" vertical="center"/>
    </xf>
    <xf numFmtId="0" fontId="6" fillId="6" borderId="4" xfId="0" applyFont="1" applyFill="1" applyBorder="1" applyAlignment="1">
      <alignment horizontal="center" vertical="center"/>
    </xf>
    <xf numFmtId="9" fontId="6" fillId="6" borderId="3" xfId="0" applyNumberFormat="1" applyFont="1" applyFill="1" applyBorder="1" applyAlignment="1">
      <alignment horizontal="center" vertical="center"/>
    </xf>
    <xf numFmtId="10" fontId="6" fillId="6" borderId="4" xfId="0" applyNumberFormat="1" applyFont="1" applyFill="1" applyBorder="1" applyAlignment="1">
      <alignment horizontal="center" vertical="center"/>
    </xf>
    <xf numFmtId="9" fontId="6" fillId="6" borderId="4" xfId="0" applyNumberFormat="1" applyFont="1" applyFill="1" applyBorder="1" applyAlignment="1">
      <alignment horizontal="center" vertical="center" wrapText="1"/>
    </xf>
    <xf numFmtId="2" fontId="6" fillId="6" borderId="4" xfId="0" applyNumberFormat="1" applyFont="1" applyFill="1" applyBorder="1" applyAlignment="1">
      <alignment horizontal="center" vertical="center"/>
    </xf>
    <xf numFmtId="2" fontId="7" fillId="6" borderId="3" xfId="0" applyNumberFormat="1" applyFont="1" applyFill="1" applyBorder="1" applyAlignment="1">
      <alignment horizontal="center" vertical="center" wrapText="1"/>
    </xf>
    <xf numFmtId="0" fontId="6" fillId="6" borderId="4" xfId="0" applyFont="1" applyFill="1" applyBorder="1"/>
    <xf numFmtId="10" fontId="6" fillId="6" borderId="4" xfId="0" applyNumberFormat="1" applyFont="1" applyFill="1" applyBorder="1" applyAlignment="1">
      <alignment horizontal="center" vertical="center" wrapText="1"/>
    </xf>
    <xf numFmtId="0" fontId="6" fillId="6" borderId="5" xfId="0" applyFont="1" applyFill="1" applyBorder="1" applyAlignment="1">
      <alignment horizontal="center" vertical="center" wrapText="1"/>
    </xf>
    <xf numFmtId="3" fontId="6" fillId="6" borderId="3" xfId="0" applyNumberFormat="1" applyFont="1" applyFill="1" applyBorder="1" applyAlignment="1">
      <alignment horizontal="center" vertical="center"/>
    </xf>
    <xf numFmtId="0" fontId="6" fillId="6" borderId="5" xfId="0" applyFont="1" applyFill="1" applyBorder="1" applyAlignment="1">
      <alignment horizontal="center" vertical="center"/>
    </xf>
    <xf numFmtId="3" fontId="6" fillId="6" borderId="4" xfId="0" applyNumberFormat="1" applyFont="1" applyFill="1" applyBorder="1" applyAlignment="1">
      <alignment horizontal="center" vertical="center"/>
    </xf>
    <xf numFmtId="1" fontId="6" fillId="6" borderId="4" xfId="0" applyNumberFormat="1" applyFont="1" applyFill="1" applyBorder="1" applyAlignment="1">
      <alignment horizontal="center" vertical="center"/>
    </xf>
    <xf numFmtId="10" fontId="6" fillId="6" borderId="3" xfId="0" applyNumberFormat="1" applyFont="1" applyFill="1" applyBorder="1" applyAlignment="1">
      <alignment horizontal="center" vertical="center"/>
    </xf>
    <xf numFmtId="10" fontId="7" fillId="6" borderId="10" xfId="0" applyNumberFormat="1" applyFont="1" applyFill="1" applyBorder="1" applyAlignment="1">
      <alignment horizontal="center" vertical="center" wrapText="1"/>
    </xf>
    <xf numFmtId="0" fontId="31" fillId="6" borderId="3"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2" xfId="0" applyFont="1" applyFill="1" applyBorder="1" applyAlignment="1">
      <alignment horizontal="center"/>
    </xf>
    <xf numFmtId="0" fontId="6" fillId="6" borderId="7" xfId="0" applyFont="1" applyFill="1" applyBorder="1" applyAlignment="1">
      <alignment horizontal="center" wrapText="1"/>
    </xf>
    <xf numFmtId="0" fontId="6" fillId="6" borderId="4" xfId="0" applyNumberFormat="1" applyFont="1" applyFill="1" applyBorder="1" applyAlignment="1">
      <alignment horizontal="center" vertical="center" wrapText="1"/>
    </xf>
    <xf numFmtId="0" fontId="6" fillId="6" borderId="11"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3" xfId="0" applyFont="1" applyFill="1" applyBorder="1" applyAlignment="1">
      <alignment horizontal="center" vertical="center"/>
    </xf>
    <xf numFmtId="0" fontId="29" fillId="6" borderId="3"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6" fillId="8" borderId="3" xfId="0" applyFont="1" applyFill="1" applyBorder="1"/>
    <xf numFmtId="3" fontId="32" fillId="8" borderId="3" xfId="0" applyNumberFormat="1" applyFont="1" applyFill="1" applyBorder="1" applyAlignment="1">
      <alignment horizontal="center" vertical="center"/>
    </xf>
    <xf numFmtId="0" fontId="6" fillId="7" borderId="3" xfId="0" applyFont="1" applyFill="1" applyBorder="1"/>
    <xf numFmtId="0" fontId="7" fillId="2" borderId="3" xfId="0" applyFont="1" applyFill="1" applyBorder="1" applyAlignment="1" applyProtection="1">
      <alignment horizontal="center" vertical="center"/>
    </xf>
    <xf numFmtId="3" fontId="34" fillId="7" borderId="3" xfId="0" applyNumberFormat="1" applyFont="1" applyFill="1" applyBorder="1" applyAlignment="1" applyProtection="1">
      <alignment horizontal="center" vertical="center"/>
    </xf>
    <xf numFmtId="3" fontId="32" fillId="7" borderId="3" xfId="0" applyNumberFormat="1" applyFont="1" applyFill="1" applyBorder="1" applyAlignment="1">
      <alignment horizontal="center" vertical="center"/>
    </xf>
    <xf numFmtId="0" fontId="6" fillId="7" borderId="6" xfId="0" applyFont="1" applyFill="1" applyBorder="1"/>
    <xf numFmtId="0" fontId="8" fillId="2" borderId="3"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3" fontId="6" fillId="7" borderId="3"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49" fontId="32" fillId="8" borderId="3" xfId="0" applyNumberFormat="1" applyFont="1" applyFill="1" applyBorder="1" applyAlignment="1">
      <alignment horizontal="center" vertical="center"/>
    </xf>
    <xf numFmtId="0" fontId="32" fillId="2" borderId="3" xfId="0" applyFont="1" applyFill="1" applyBorder="1" applyAlignment="1">
      <alignment horizontal="center" vertical="center" wrapText="1"/>
    </xf>
    <xf numFmtId="0" fontId="7" fillId="9" borderId="2" xfId="0" applyFont="1" applyFill="1" applyBorder="1" applyAlignment="1">
      <alignment horizontal="center" vertical="center" wrapText="1"/>
    </xf>
    <xf numFmtId="0" fontId="6" fillId="9" borderId="2" xfId="0" applyFont="1" applyFill="1" applyBorder="1" applyAlignment="1">
      <alignment horizontal="center" vertical="center"/>
    </xf>
    <xf numFmtId="0" fontId="29" fillId="6" borderId="2" xfId="0" applyFont="1" applyFill="1" applyBorder="1" applyAlignment="1">
      <alignment horizontal="center" vertical="center" wrapText="1"/>
    </xf>
    <xf numFmtId="0" fontId="2" fillId="2" borderId="15" xfId="0" applyFont="1" applyFill="1" applyBorder="1" applyAlignment="1">
      <alignment horizontal="center"/>
    </xf>
    <xf numFmtId="0" fontId="2" fillId="2" borderId="3" xfId="0" applyFont="1" applyFill="1" applyBorder="1" applyAlignment="1">
      <alignment vertical="center"/>
    </xf>
    <xf numFmtId="0" fontId="4" fillId="2" borderId="3" xfId="0" applyFont="1" applyFill="1" applyBorder="1" applyAlignment="1">
      <alignment vertical="center"/>
    </xf>
    <xf numFmtId="0" fontId="2" fillId="2" borderId="6" xfId="0" applyFont="1" applyFill="1" applyBorder="1" applyAlignment="1">
      <alignment vertical="center"/>
    </xf>
    <xf numFmtId="0" fontId="27" fillId="2" borderId="3"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32" fillId="6" borderId="10" xfId="0" applyFont="1" applyFill="1" applyBorder="1" applyAlignment="1">
      <alignment horizontal="center" vertical="center" wrapText="1"/>
    </xf>
    <xf numFmtId="0" fontId="6" fillId="2" borderId="0" xfId="0" applyFont="1" applyFill="1" applyAlignment="1">
      <alignment horizontal="center"/>
    </xf>
    <xf numFmtId="0" fontId="6" fillId="2" borderId="2" xfId="0" applyFont="1" applyFill="1" applyBorder="1" applyAlignment="1">
      <alignment horizontal="center"/>
    </xf>
    <xf numFmtId="0" fontId="6" fillId="2" borderId="7" xfId="0" applyFont="1" applyFill="1" applyBorder="1" applyAlignment="1">
      <alignment horizontal="center" wrapText="1"/>
    </xf>
    <xf numFmtId="2" fontId="6" fillId="9" borderId="3" xfId="0" applyNumberFormat="1" applyFont="1" applyFill="1" applyBorder="1" applyAlignment="1">
      <alignment horizontal="center" vertical="center"/>
    </xf>
    <xf numFmtId="0" fontId="3" fillId="2" borderId="0" xfId="0" applyFont="1" applyFill="1" applyAlignment="1">
      <alignment horizontal="center" vertical="center" wrapText="1"/>
    </xf>
    <xf numFmtId="0" fontId="2" fillId="6" borderId="3" xfId="0" applyFont="1" applyFill="1" applyBorder="1" applyAlignment="1">
      <alignment horizontal="center" vertical="center"/>
    </xf>
    <xf numFmtId="0" fontId="4" fillId="3"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0" fontId="18" fillId="0" borderId="3" xfId="0" applyFont="1" applyBorder="1" applyAlignment="1">
      <alignment horizontal="center" vertical="center"/>
    </xf>
    <xf numFmtId="0" fontId="27" fillId="0" borderId="3" xfId="0" applyFont="1" applyBorder="1" applyAlignment="1">
      <alignment horizontal="center" vertical="center"/>
    </xf>
    <xf numFmtId="0" fontId="2" fillId="10" borderId="3" xfId="0" applyFont="1" applyFill="1" applyBorder="1" applyAlignment="1">
      <alignment horizontal="center" vertical="center" wrapText="1"/>
    </xf>
    <xf numFmtId="0" fontId="2" fillId="0" borderId="0" xfId="0" applyFont="1" applyAlignment="1">
      <alignment horizontal="center" vertical="center"/>
    </xf>
    <xf numFmtId="2" fontId="6" fillId="10" borderId="3" xfId="0" applyNumberFormat="1" applyFont="1" applyFill="1" applyBorder="1" applyAlignment="1">
      <alignment horizontal="center" vertical="center" wrapText="1"/>
    </xf>
    <xf numFmtId="0" fontId="4" fillId="10" borderId="3" xfId="0" applyFont="1" applyFill="1" applyBorder="1" applyAlignment="1">
      <alignment horizontal="center" vertical="center" wrapText="1"/>
    </xf>
    <xf numFmtId="0" fontId="1" fillId="10" borderId="3" xfId="0" applyFont="1" applyFill="1" applyBorder="1" applyAlignment="1">
      <alignment horizontal="center"/>
    </xf>
    <xf numFmtId="0" fontId="10" fillId="6" borderId="3" xfId="0" applyFont="1" applyFill="1" applyBorder="1" applyAlignment="1">
      <alignment horizontal="center"/>
    </xf>
    <xf numFmtId="0" fontId="8" fillId="4" borderId="3"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6" fillId="0" borderId="0" xfId="0" applyFont="1" applyAlignment="1">
      <alignment horizontal="center" vertical="center" wrapText="1"/>
    </xf>
    <xf numFmtId="0" fontId="6" fillId="12" borderId="3" xfId="0" applyFont="1" applyFill="1" applyBorder="1" applyAlignment="1">
      <alignment horizontal="center" vertical="center" wrapText="1"/>
    </xf>
    <xf numFmtId="0" fontId="10" fillId="12" borderId="3" xfId="0" applyFont="1" applyFill="1" applyBorder="1" applyAlignment="1">
      <alignment horizontal="center" vertical="center" wrapText="1"/>
    </xf>
    <xf numFmtId="0" fontId="7" fillId="0" borderId="0" xfId="0" applyFont="1" applyBorder="1" applyAlignment="1">
      <alignment horizontal="center" vertical="center" wrapText="1"/>
    </xf>
    <xf numFmtId="0" fontId="6" fillId="0" borderId="0" xfId="0" applyFont="1" applyBorder="1" applyAlignment="1">
      <alignment horizontal="center"/>
    </xf>
    <xf numFmtId="0" fontId="1" fillId="0" borderId="0" xfId="0" applyFont="1" applyBorder="1"/>
    <xf numFmtId="0" fontId="2" fillId="2" borderId="15" xfId="0" applyFont="1" applyFill="1" applyBorder="1" applyAlignment="1">
      <alignment horizontal="center" vertical="center"/>
    </xf>
    <xf numFmtId="0" fontId="7" fillId="4" borderId="3" xfId="0" applyFont="1" applyFill="1" applyBorder="1" applyAlignment="1">
      <alignment horizontal="center" vertical="center" wrapText="1"/>
    </xf>
    <xf numFmtId="1" fontId="7" fillId="9" borderId="3" xfId="0" applyNumberFormat="1" applyFont="1" applyFill="1" applyBorder="1" applyAlignment="1">
      <alignment horizontal="center" vertical="center" wrapText="1"/>
    </xf>
    <xf numFmtId="0" fontId="2" fillId="2" borderId="3" xfId="0" applyFont="1" applyFill="1" applyBorder="1" applyAlignment="1">
      <alignment vertical="center" wrapText="1"/>
    </xf>
    <xf numFmtId="0" fontId="1" fillId="2" borderId="4"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15" xfId="0" applyFont="1" applyFill="1" applyBorder="1" applyAlignment="1">
      <alignment horizontal="center" vertical="center"/>
    </xf>
    <xf numFmtId="10" fontId="7" fillId="8" borderId="3" xfId="0" applyNumberFormat="1" applyFont="1" applyFill="1" applyBorder="1" applyAlignment="1">
      <alignment horizontal="center" vertical="center" wrapText="1"/>
    </xf>
    <xf numFmtId="0" fontId="7" fillId="8" borderId="3" xfId="0" applyFont="1" applyFill="1" applyBorder="1" applyAlignment="1">
      <alignment horizontal="center" vertical="center"/>
    </xf>
    <xf numFmtId="49" fontId="6" fillId="8" borderId="3" xfId="0" applyNumberFormat="1" applyFont="1" applyFill="1" applyBorder="1" applyAlignment="1">
      <alignment horizontal="center" vertical="center"/>
    </xf>
    <xf numFmtId="3" fontId="7" fillId="7" borderId="3" xfId="0" applyNumberFormat="1" applyFont="1" applyFill="1" applyBorder="1" applyAlignment="1" applyProtection="1">
      <alignment horizontal="center" vertical="center"/>
    </xf>
    <xf numFmtId="0" fontId="6" fillId="6" borderId="2" xfId="0" applyFont="1" applyFill="1" applyBorder="1" applyAlignment="1">
      <alignment horizontal="center" vertical="center"/>
    </xf>
    <xf numFmtId="0" fontId="10" fillId="10" borderId="3" xfId="0" applyFont="1" applyFill="1" applyBorder="1" applyAlignment="1">
      <alignment horizontal="center" vertical="center"/>
    </xf>
    <xf numFmtId="0" fontId="2" fillId="2" borderId="15" xfId="0" applyFont="1" applyFill="1" applyBorder="1" applyAlignment="1">
      <alignment horizontal="center" vertical="center"/>
    </xf>
    <xf numFmtId="0" fontId="7" fillId="0" borderId="0" xfId="0" applyFont="1" applyBorder="1" applyAlignment="1">
      <alignment horizontal="center" vertical="center" wrapText="1"/>
    </xf>
    <xf numFmtId="0" fontId="0" fillId="0" borderId="0" xfId="0" applyAlignment="1">
      <alignment horizontal="left"/>
    </xf>
    <xf numFmtId="0" fontId="27" fillId="0" borderId="0" xfId="0" applyFont="1" applyAlignment="1"/>
    <xf numFmtId="0" fontId="30" fillId="0" borderId="0" xfId="0" applyFont="1"/>
    <xf numFmtId="0" fontId="12" fillId="0" borderId="0" xfId="0" applyFont="1" applyAlignment="1"/>
    <xf numFmtId="0" fontId="30" fillId="0" borderId="0" xfId="0" applyFont="1" applyAlignment="1">
      <alignment horizontal="left"/>
    </xf>
    <xf numFmtId="0" fontId="6" fillId="8" borderId="3" xfId="0" applyFont="1" applyFill="1" applyBorder="1" applyAlignment="1">
      <alignment horizontal="center"/>
    </xf>
    <xf numFmtId="3" fontId="6" fillId="10" borderId="3" xfId="0" applyNumberFormat="1" applyFont="1" applyFill="1" applyBorder="1" applyAlignment="1">
      <alignment horizontal="center" vertical="center" wrapText="1"/>
    </xf>
    <xf numFmtId="164" fontId="6" fillId="7" borderId="3" xfId="0" applyNumberFormat="1" applyFont="1" applyFill="1" applyBorder="1" applyAlignment="1">
      <alignment horizontal="center" vertical="center" wrapText="1"/>
    </xf>
    <xf numFmtId="0" fontId="4" fillId="2" borderId="0" xfId="0" applyFont="1" applyFill="1" applyBorder="1" applyAlignment="1">
      <alignment vertical="center" wrapText="1"/>
    </xf>
    <xf numFmtId="0" fontId="10" fillId="6" borderId="3" xfId="0" applyFont="1" applyFill="1" applyBorder="1" applyAlignment="1">
      <alignment horizontal="center" vertical="center"/>
    </xf>
    <xf numFmtId="0" fontId="10" fillId="10" borderId="3" xfId="0" applyFont="1" applyFill="1" applyBorder="1" applyAlignment="1">
      <alignment horizontal="center" wrapText="1"/>
    </xf>
    <xf numFmtId="3" fontId="6" fillId="8" borderId="10" xfId="0" applyNumberFormat="1" applyFont="1" applyFill="1" applyBorder="1" applyAlignment="1">
      <alignment horizontal="center" vertical="center" wrapText="1"/>
    </xf>
    <xf numFmtId="0" fontId="2" fillId="2" borderId="15" xfId="0" applyFont="1" applyFill="1" applyBorder="1" applyAlignment="1">
      <alignment horizontal="center" vertical="center"/>
    </xf>
    <xf numFmtId="0" fontId="6" fillId="0" borderId="0" xfId="0" applyFont="1" applyBorder="1" applyAlignment="1">
      <alignment horizontal="center"/>
    </xf>
    <xf numFmtId="0" fontId="6" fillId="0" borderId="0" xfId="0" applyFont="1" applyBorder="1" applyAlignment="1"/>
    <xf numFmtId="0" fontId="10" fillId="2" borderId="3" xfId="0" applyFont="1" applyFill="1" applyBorder="1" applyAlignment="1">
      <alignment horizontal="center" vertical="center" wrapText="1"/>
    </xf>
    <xf numFmtId="0" fontId="4" fillId="2" borderId="3"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8" fillId="12" borderId="3" xfId="0" applyNumberFormat="1" applyFont="1" applyFill="1" applyBorder="1" applyAlignment="1">
      <alignment horizontal="center" vertical="center" wrapText="1"/>
    </xf>
    <xf numFmtId="2" fontId="32" fillId="7" borderId="3" xfId="0" applyNumberFormat="1" applyFont="1" applyFill="1" applyBorder="1" applyAlignment="1">
      <alignment horizontal="center" vertical="center" wrapText="1"/>
    </xf>
    <xf numFmtId="0" fontId="45" fillId="7" borderId="3" xfId="0" applyFont="1" applyFill="1" applyBorder="1" applyAlignment="1">
      <alignment horizontal="center" vertical="center" wrapText="1"/>
    </xf>
    <xf numFmtId="2" fontId="32" fillId="8" borderId="3" xfId="0" applyNumberFormat="1" applyFont="1" applyFill="1" applyBorder="1" applyAlignment="1">
      <alignment horizontal="center" vertical="center" wrapText="1"/>
    </xf>
    <xf numFmtId="0" fontId="45" fillId="8" borderId="3" xfId="0" applyFont="1" applyFill="1" applyBorder="1" applyAlignment="1">
      <alignment horizontal="center" vertical="center" wrapText="1"/>
    </xf>
    <xf numFmtId="3" fontId="32" fillId="8" borderId="3" xfId="0" applyNumberFormat="1" applyFont="1" applyFill="1" applyBorder="1" applyAlignment="1">
      <alignment horizontal="center" vertical="center" wrapText="1"/>
    </xf>
    <xf numFmtId="0" fontId="34" fillId="10" borderId="3" xfId="0" applyFont="1" applyFill="1" applyBorder="1" applyAlignment="1">
      <alignment horizontal="center" vertical="center" wrapText="1"/>
    </xf>
    <xf numFmtId="0" fontId="18" fillId="0" borderId="3" xfId="0" applyFont="1" applyBorder="1" applyAlignment="1">
      <alignment horizontal="center" vertical="center" wrapText="1"/>
    </xf>
    <xf numFmtId="0" fontId="10" fillId="13" borderId="3" xfId="0" applyFont="1" applyFill="1" applyBorder="1" applyAlignment="1">
      <alignment horizontal="center" vertical="center" wrapText="1"/>
    </xf>
    <xf numFmtId="3" fontId="7" fillId="8" borderId="3" xfId="0" applyNumberFormat="1" applyFont="1" applyFill="1" applyBorder="1" applyAlignment="1">
      <alignment horizontal="center" vertical="center"/>
    </xf>
    <xf numFmtId="0" fontId="8" fillId="12" borderId="3" xfId="0" applyFont="1" applyFill="1" applyBorder="1" applyAlignment="1">
      <alignment horizontal="center" vertical="center" wrapText="1"/>
    </xf>
    <xf numFmtId="0" fontId="6" fillId="12" borderId="4" xfId="0" applyFont="1" applyFill="1" applyBorder="1" applyAlignment="1">
      <alignment horizontal="center" vertical="center" wrapText="1"/>
    </xf>
    <xf numFmtId="0" fontId="7" fillId="12" borderId="4" xfId="0" applyFont="1" applyFill="1" applyBorder="1" applyAlignment="1">
      <alignment horizontal="center" vertical="center" wrapText="1"/>
    </xf>
    <xf numFmtId="164" fontId="47" fillId="8" borderId="3" xfId="0" applyNumberFormat="1" applyFont="1" applyFill="1" applyBorder="1" applyAlignment="1">
      <alignment horizontal="center" vertical="center"/>
    </xf>
    <xf numFmtId="164" fontId="47" fillId="8" borderId="9" xfId="0" applyNumberFormat="1" applyFont="1" applyFill="1" applyBorder="1" applyAlignment="1">
      <alignment horizontal="center" vertical="center"/>
    </xf>
    <xf numFmtId="164" fontId="22" fillId="8" borderId="2" xfId="0" applyNumberFormat="1" applyFont="1" applyFill="1" applyBorder="1" applyAlignment="1" applyProtection="1">
      <alignment horizontal="center" vertical="center"/>
    </xf>
    <xf numFmtId="164" fontId="6" fillId="8" borderId="2" xfId="0" applyNumberFormat="1" applyFont="1" applyFill="1" applyBorder="1" applyAlignment="1">
      <alignment horizontal="center" vertical="center"/>
    </xf>
    <xf numFmtId="0" fontId="7" fillId="9" borderId="9" xfId="0" applyFont="1" applyFill="1" applyBorder="1" applyAlignment="1">
      <alignment horizontal="center" vertical="center" wrapText="1"/>
    </xf>
    <xf numFmtId="164" fontId="6" fillId="9" borderId="29" xfId="0" applyNumberFormat="1" applyFont="1" applyFill="1" applyBorder="1" applyAlignment="1">
      <alignment horizontal="center" vertical="center"/>
    </xf>
    <xf numFmtId="164" fontId="6" fillId="8" borderId="29" xfId="0" applyNumberFormat="1" applyFont="1" applyFill="1" applyBorder="1" applyAlignment="1">
      <alignment horizontal="center" vertical="center"/>
    </xf>
    <xf numFmtId="0" fontId="6" fillId="8" borderId="9" xfId="0" applyFont="1" applyFill="1" applyBorder="1" applyAlignment="1">
      <alignment horizontal="center" vertical="center"/>
    </xf>
    <xf numFmtId="0" fontId="1" fillId="2" borderId="0" xfId="0" applyFont="1" applyFill="1"/>
    <xf numFmtId="0" fontId="7"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Alignment="1">
      <alignment horizontal="center" vertical="center" wrapText="1"/>
    </xf>
    <xf numFmtId="164" fontId="7" fillId="8" borderId="3" xfId="0" applyNumberFormat="1" applyFont="1" applyFill="1" applyBorder="1" applyAlignment="1">
      <alignment horizontal="center" vertical="center" wrapText="1"/>
    </xf>
    <xf numFmtId="2" fontId="7" fillId="8" borderId="2" xfId="0" applyNumberFormat="1"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12" borderId="3" xfId="0" applyNumberFormat="1" applyFont="1" applyFill="1" applyBorder="1" applyAlignment="1">
      <alignment horizontal="center" vertical="center" wrapText="1"/>
    </xf>
    <xf numFmtId="0" fontId="7" fillId="12" borderId="3" xfId="0" applyFont="1" applyFill="1" applyBorder="1" applyAlignment="1">
      <alignment horizontal="center" vertical="center" wrapText="1"/>
    </xf>
    <xf numFmtId="3" fontId="7" fillId="7" borderId="3" xfId="0" applyNumberFormat="1" applyFont="1" applyFill="1" applyBorder="1" applyAlignment="1">
      <alignment horizontal="center" vertical="center" wrapText="1"/>
    </xf>
    <xf numFmtId="2" fontId="7" fillId="7" borderId="3" xfId="0" applyNumberFormat="1" applyFont="1" applyFill="1" applyBorder="1" applyAlignment="1">
      <alignment horizontal="center" vertical="center" wrapText="1"/>
    </xf>
    <xf numFmtId="0" fontId="8" fillId="13"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2" fillId="12" borderId="3" xfId="0" applyFont="1" applyFill="1" applyBorder="1" applyAlignment="1">
      <alignment horizontal="center" vertical="center" wrapText="1"/>
    </xf>
    <xf numFmtId="0" fontId="7" fillId="12" borderId="2"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 fillId="0" borderId="3" xfId="0" applyFont="1" applyBorder="1" applyAlignment="1">
      <alignment horizontal="center"/>
    </xf>
    <xf numFmtId="164" fontId="6" fillId="8" borderId="3"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7" borderId="3" xfId="0" applyFont="1" applyFill="1" applyBorder="1" applyAlignment="1" applyProtection="1">
      <alignment horizontal="center" vertical="center" wrapText="1"/>
    </xf>
    <xf numFmtId="0" fontId="7" fillId="7" borderId="2"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13"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 fillId="2" borderId="0" xfId="0" applyFont="1" applyFill="1" applyBorder="1"/>
    <xf numFmtId="0" fontId="7" fillId="2" borderId="0" xfId="0" applyFont="1" applyFill="1" applyBorder="1" applyAlignment="1">
      <alignment horizontal="center" vertical="center" wrapText="1"/>
    </xf>
    <xf numFmtId="0" fontId="10" fillId="12" borderId="3" xfId="0" applyFont="1" applyFill="1" applyBorder="1" applyAlignment="1">
      <alignment horizontal="center" vertical="center"/>
    </xf>
    <xf numFmtId="0" fontId="8" fillId="12" borderId="3" xfId="0" applyFont="1" applyFill="1" applyBorder="1" applyAlignment="1" applyProtection="1">
      <alignment horizontal="center" vertical="center"/>
    </xf>
    <xf numFmtId="0" fontId="4" fillId="12" borderId="3" xfId="0" applyFont="1" applyFill="1" applyBorder="1" applyAlignment="1">
      <alignment horizontal="center" vertical="center" wrapText="1"/>
    </xf>
    <xf numFmtId="0" fontId="4" fillId="12" borderId="3" xfId="0" applyNumberFormat="1" applyFont="1" applyFill="1" applyBorder="1" applyAlignment="1">
      <alignment horizontal="center" vertical="center" wrapText="1"/>
    </xf>
    <xf numFmtId="0" fontId="6" fillId="12" borderId="3" xfId="0" applyFont="1" applyFill="1" applyBorder="1" applyAlignment="1">
      <alignment horizontal="center" vertical="center"/>
    </xf>
    <xf numFmtId="0" fontId="8" fillId="12" borderId="2" xfId="0" applyNumberFormat="1" applyFont="1" applyFill="1" applyBorder="1" applyAlignment="1">
      <alignment horizontal="center" vertical="center" wrapText="1"/>
    </xf>
    <xf numFmtId="0" fontId="10" fillId="12" borderId="4" xfId="0" applyFont="1" applyFill="1" applyBorder="1" applyAlignment="1">
      <alignment horizontal="center" vertical="center" wrapText="1"/>
    </xf>
    <xf numFmtId="0" fontId="6" fillId="12" borderId="4" xfId="0" applyFont="1" applyFill="1" applyBorder="1" applyAlignment="1">
      <alignment horizontal="center" vertical="center" wrapText="1"/>
    </xf>
    <xf numFmtId="0" fontId="18" fillId="6" borderId="0" xfId="0" applyFont="1" applyFill="1" applyBorder="1" applyAlignment="1">
      <alignment horizontal="center" vertical="center"/>
    </xf>
    <xf numFmtId="0" fontId="6" fillId="6" borderId="0" xfId="0" applyFont="1" applyFill="1" applyBorder="1" applyAlignment="1">
      <alignment horizontal="center" vertical="center" wrapText="1"/>
    </xf>
    <xf numFmtId="0" fontId="7" fillId="6" borderId="0" xfId="0" applyFont="1" applyFill="1" applyBorder="1" applyAlignment="1">
      <alignment horizontal="center" vertical="center" wrapText="1"/>
    </xf>
    <xf numFmtId="3" fontId="6" fillId="6" borderId="0" xfId="0" applyNumberFormat="1" applyFont="1" applyFill="1" applyBorder="1" applyAlignment="1">
      <alignment horizontal="center" vertical="center"/>
    </xf>
    <xf numFmtId="0" fontId="6" fillId="6" borderId="0" xfId="0" applyFont="1" applyFill="1" applyBorder="1" applyAlignment="1">
      <alignment horizontal="center" vertical="center"/>
    </xf>
    <xf numFmtId="0" fontId="29" fillId="6" borderId="0" xfId="0" applyFont="1" applyFill="1" applyBorder="1" applyAlignment="1">
      <alignment horizontal="center" vertical="center" wrapText="1"/>
    </xf>
    <xf numFmtId="0" fontId="44" fillId="6" borderId="0" xfId="0" applyFont="1" applyFill="1" applyBorder="1" applyAlignment="1">
      <alignment horizontal="center" vertical="center" wrapText="1"/>
    </xf>
    <xf numFmtId="0" fontId="18" fillId="0" borderId="9" xfId="0" applyFont="1" applyBorder="1" applyAlignment="1">
      <alignment horizontal="center" vertical="center"/>
    </xf>
    <xf numFmtId="0" fontId="6" fillId="6" borderId="9"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8" borderId="9" xfId="0" applyFont="1" applyFill="1" applyBorder="1" applyAlignment="1">
      <alignment horizontal="center" vertical="center" wrapText="1"/>
    </xf>
    <xf numFmtId="0" fontId="6" fillId="9" borderId="9" xfId="0" applyFont="1" applyFill="1" applyBorder="1" applyAlignment="1">
      <alignment horizontal="center" vertical="center"/>
    </xf>
    <xf numFmtId="0" fontId="29" fillId="6" borderId="9" xfId="0" applyFont="1" applyFill="1" applyBorder="1" applyAlignment="1">
      <alignment horizontal="center" vertical="center" wrapText="1"/>
    </xf>
    <xf numFmtId="10" fontId="6" fillId="6" borderId="0" xfId="0" applyNumberFormat="1" applyFont="1" applyFill="1" applyBorder="1" applyAlignment="1">
      <alignment horizontal="center" vertical="center"/>
    </xf>
    <xf numFmtId="0" fontId="18"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6" fillId="2" borderId="0" xfId="0" applyFont="1" applyFill="1" applyAlignment="1">
      <alignment horizontal="center" vertical="center"/>
    </xf>
    <xf numFmtId="0" fontId="27" fillId="6" borderId="5" xfId="0" applyFont="1" applyFill="1" applyBorder="1" applyAlignment="1">
      <alignment horizontal="center" vertical="center" wrapText="1"/>
    </xf>
    <xf numFmtId="2" fontId="6" fillId="6" borderId="5" xfId="0" applyNumberFormat="1" applyFont="1" applyFill="1" applyBorder="1" applyAlignment="1">
      <alignment horizontal="center" vertical="center"/>
    </xf>
    <xf numFmtId="0" fontId="6" fillId="7" borderId="4" xfId="0" applyNumberFormat="1" applyFont="1" applyFill="1" applyBorder="1" applyAlignment="1">
      <alignment horizontal="center" vertical="center" wrapText="1"/>
    </xf>
    <xf numFmtId="0" fontId="6" fillId="6" borderId="5" xfId="0" applyNumberFormat="1" applyFont="1" applyFill="1" applyBorder="1" applyAlignment="1">
      <alignment horizontal="center" vertical="center" wrapText="1"/>
    </xf>
    <xf numFmtId="0" fontId="1" fillId="0" borderId="3" xfId="0" applyFont="1" applyBorder="1" applyAlignment="1">
      <alignment horizontal="center" vertical="center"/>
    </xf>
    <xf numFmtId="0" fontId="1" fillId="0" borderId="3" xfId="0" applyFont="1" applyBorder="1" applyAlignment="1">
      <alignment horizontal="left" vertical="center" wrapText="1"/>
    </xf>
    <xf numFmtId="0" fontId="6" fillId="7"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5" fillId="2" borderId="3" xfId="0" applyFont="1" applyFill="1" applyBorder="1" applyAlignment="1">
      <alignment horizontal="left" vertical="center" wrapText="1"/>
    </xf>
    <xf numFmtId="0" fontId="7" fillId="0" borderId="0" xfId="0" applyFont="1" applyBorder="1" applyAlignment="1">
      <alignment horizontal="center" vertical="center" wrapText="1"/>
    </xf>
    <xf numFmtId="0" fontId="7" fillId="7" borderId="4" xfId="0" applyFont="1" applyFill="1" applyBorder="1" applyAlignment="1">
      <alignment horizontal="center" vertical="center" wrapText="1"/>
    </xf>
    <xf numFmtId="0" fontId="18" fillId="2" borderId="3" xfId="0" applyFont="1" applyFill="1" applyBorder="1" applyAlignment="1">
      <alignment horizontal="center" vertical="center"/>
    </xf>
    <xf numFmtId="10" fontId="6" fillId="7" borderId="3" xfId="0" applyNumberFormat="1" applyFont="1" applyFill="1" applyBorder="1" applyAlignment="1">
      <alignment horizontal="center" vertical="center" wrapText="1"/>
    </xf>
    <xf numFmtId="0" fontId="5" fillId="0" borderId="3" xfId="0" applyFont="1" applyBorder="1" applyAlignment="1">
      <alignment horizontal="left" vertical="center" wrapText="1"/>
    </xf>
    <xf numFmtId="0" fontId="6" fillId="8" borderId="2"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6" fillId="12" borderId="3" xfId="0" applyFont="1" applyFill="1" applyBorder="1" applyAlignment="1">
      <alignment horizontal="center" vertical="center" wrapText="1"/>
    </xf>
    <xf numFmtId="2" fontId="6" fillId="13" borderId="3" xfId="0" applyNumberFormat="1" applyFont="1" applyFill="1" applyBorder="1" applyAlignment="1">
      <alignment horizontal="center" vertical="center"/>
    </xf>
    <xf numFmtId="0" fontId="6" fillId="13" borderId="3" xfId="0" applyFont="1" applyFill="1" applyBorder="1" applyAlignment="1">
      <alignment horizontal="center" vertical="center"/>
    </xf>
    <xf numFmtId="1" fontId="6" fillId="13" borderId="3" xfId="0" applyNumberFormat="1" applyFont="1" applyFill="1" applyBorder="1" applyAlignment="1">
      <alignment horizontal="center" vertical="center"/>
    </xf>
    <xf numFmtId="0" fontId="44" fillId="9" borderId="3"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2" fillId="2" borderId="0" xfId="0" applyFont="1" applyFill="1" applyBorder="1" applyAlignment="1">
      <alignment horizontal="center" vertical="center"/>
    </xf>
    <xf numFmtId="0" fontId="6" fillId="7" borderId="4" xfId="0" applyFont="1" applyFill="1" applyBorder="1" applyAlignment="1">
      <alignment horizontal="center" vertical="center"/>
    </xf>
    <xf numFmtId="0" fontId="7" fillId="8" borderId="4" xfId="0" applyNumberFormat="1" applyFont="1" applyFill="1" applyBorder="1" applyAlignment="1">
      <alignment horizontal="center" vertical="center" wrapText="1"/>
    </xf>
    <xf numFmtId="0" fontId="6" fillId="12" borderId="4" xfId="0" applyFont="1" applyFill="1" applyBorder="1" applyAlignment="1">
      <alignment horizontal="center" vertical="center" wrapText="1"/>
    </xf>
    <xf numFmtId="0" fontId="8" fillId="12" borderId="3" xfId="1" quotePrefix="1" applyFont="1" applyFill="1" applyBorder="1" applyAlignment="1">
      <alignment horizontal="center" vertical="center" wrapText="1"/>
    </xf>
    <xf numFmtId="0" fontId="8" fillId="12" borderId="3" xfId="1" applyFont="1" applyFill="1" applyBorder="1" applyAlignment="1">
      <alignment horizontal="center" vertical="center" wrapText="1"/>
    </xf>
    <xf numFmtId="0" fontId="10" fillId="2"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1" fillId="0" borderId="3" xfId="0" applyFont="1" applyBorder="1" applyAlignment="1">
      <alignment vertical="center" wrapText="1"/>
    </xf>
    <xf numFmtId="0" fontId="1" fillId="6" borderId="3" xfId="0" applyFont="1" applyFill="1" applyBorder="1" applyAlignment="1">
      <alignment vertical="center" wrapText="1"/>
    </xf>
    <xf numFmtId="0" fontId="1" fillId="6" borderId="3" xfId="0" applyFont="1" applyFill="1" applyBorder="1" applyAlignment="1">
      <alignment horizontal="left" vertical="center" wrapText="1"/>
    </xf>
    <xf numFmtId="0" fontId="5" fillId="0" borderId="3" xfId="0" applyFont="1" applyBorder="1" applyAlignment="1">
      <alignment horizontal="center" vertical="center" wrapText="1"/>
    </xf>
    <xf numFmtId="0" fontId="3" fillId="2" borderId="0" xfId="0" applyFont="1" applyFill="1" applyBorder="1" applyAlignment="1">
      <alignment horizontal="center" vertical="center" wrapText="1"/>
    </xf>
    <xf numFmtId="0" fontId="5" fillId="6" borderId="3" xfId="0" applyFont="1" applyFill="1" applyBorder="1" applyAlignment="1">
      <alignment horizontal="left" vertical="center" wrapText="1"/>
    </xf>
    <xf numFmtId="0" fontId="47" fillId="8" borderId="3" xfId="0" applyFont="1" applyFill="1" applyBorder="1" applyAlignment="1">
      <alignment horizontal="center" vertical="center" wrapText="1"/>
    </xf>
    <xf numFmtId="0" fontId="7" fillId="7" borderId="3" xfId="0" applyFont="1" applyFill="1" applyBorder="1" applyAlignment="1">
      <alignment horizontal="center" vertical="center"/>
    </xf>
    <xf numFmtId="0" fontId="7" fillId="7" borderId="3" xfId="0" applyFont="1" applyFill="1" applyBorder="1" applyAlignment="1" applyProtection="1">
      <alignment horizontal="center" vertical="center"/>
    </xf>
    <xf numFmtId="0" fontId="7" fillId="7" borderId="2" xfId="0" applyNumberFormat="1" applyFont="1" applyFill="1" applyBorder="1" applyAlignment="1">
      <alignment horizontal="center" vertical="center" wrapText="1"/>
    </xf>
    <xf numFmtId="0" fontId="5" fillId="6" borderId="3" xfId="0" applyFont="1" applyFill="1" applyBorder="1" applyAlignment="1">
      <alignment vertical="center" wrapText="1"/>
    </xf>
    <xf numFmtId="0" fontId="14" fillId="2" borderId="10"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0" borderId="3" xfId="0" applyFont="1" applyBorder="1" applyAlignment="1">
      <alignment horizontal="center" vertical="center" wrapText="1"/>
    </xf>
    <xf numFmtId="0" fontId="38" fillId="2" borderId="3" xfId="0" applyFont="1" applyFill="1" applyBorder="1" applyAlignment="1">
      <alignment horizontal="center" vertical="center" wrapText="1"/>
    </xf>
    <xf numFmtId="0" fontId="7" fillId="6" borderId="4"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55" fillId="0" borderId="0" xfId="0" applyFont="1" applyAlignment="1">
      <alignment horizontal="center" vertical="center" wrapText="1"/>
    </xf>
    <xf numFmtId="0" fontId="1" fillId="6" borderId="3" xfId="0" applyFont="1" applyFill="1" applyBorder="1" applyAlignment="1">
      <alignment vertical="center"/>
    </xf>
    <xf numFmtId="0" fontId="4" fillId="6" borderId="3" xfId="0" applyFont="1" applyFill="1" applyBorder="1" applyAlignment="1">
      <alignment horizontal="left" vertical="center" wrapText="1"/>
    </xf>
    <xf numFmtId="0" fontId="14" fillId="6" borderId="3" xfId="0" applyFont="1" applyFill="1" applyBorder="1" applyAlignment="1">
      <alignment horizontal="center" vertical="center" wrapText="1"/>
    </xf>
    <xf numFmtId="0" fontId="8" fillId="10" borderId="3" xfId="0" applyNumberFormat="1" applyFont="1" applyFill="1" applyBorder="1" applyAlignment="1">
      <alignment horizontal="center" vertical="center" wrapText="1"/>
    </xf>
    <xf numFmtId="0" fontId="6" fillId="12" borderId="4"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0" borderId="0" xfId="0" applyFont="1" applyAlignment="1">
      <alignment horizontal="center" vertical="center" wrapText="1"/>
    </xf>
    <xf numFmtId="0" fontId="6" fillId="0" borderId="22" xfId="0" applyFont="1" applyBorder="1" applyAlignment="1">
      <alignment horizontal="center" wrapText="1"/>
    </xf>
    <xf numFmtId="0" fontId="6" fillId="12" borderId="4"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8" fillId="12" borderId="3" xfId="0" applyFont="1" applyFill="1" applyBorder="1" applyAlignment="1" applyProtection="1">
      <alignment horizontal="center" vertical="center" wrapText="1"/>
    </xf>
    <xf numFmtId="0" fontId="7" fillId="2" borderId="3" xfId="0" applyNumberFormat="1" applyFont="1" applyFill="1" applyBorder="1" applyAlignment="1">
      <alignment horizontal="center" vertical="center" wrapText="1"/>
    </xf>
    <xf numFmtId="0" fontId="7" fillId="12" borderId="3" xfId="0" applyNumberFormat="1" applyFont="1" applyFill="1" applyBorder="1" applyAlignment="1">
      <alignment horizontal="center" vertical="center" wrapText="1"/>
    </xf>
    <xf numFmtId="0" fontId="7" fillId="0" borderId="2" xfId="0" applyNumberFormat="1" applyFont="1" applyBorder="1" applyAlignment="1">
      <alignment horizontal="center" vertical="center" wrapText="1"/>
    </xf>
    <xf numFmtId="0" fontId="7" fillId="0" borderId="3" xfId="0" applyNumberFormat="1" applyFont="1" applyBorder="1" applyAlignment="1">
      <alignment horizontal="center" vertical="center" wrapText="1"/>
    </xf>
    <xf numFmtId="0" fontId="6" fillId="2" borderId="3" xfId="0" applyFont="1" applyFill="1" applyBorder="1" applyAlignment="1">
      <alignment horizontal="center" vertical="center"/>
    </xf>
    <xf numFmtId="0" fontId="7" fillId="12" borderId="3" xfId="0" applyFont="1" applyFill="1" applyBorder="1" applyAlignment="1" applyProtection="1">
      <alignment horizontal="center" vertical="center" wrapText="1"/>
    </xf>
    <xf numFmtId="0" fontId="7" fillId="12" borderId="3" xfId="0" applyFont="1" applyFill="1" applyBorder="1" applyAlignment="1" applyProtection="1">
      <alignment horizontal="center" vertical="center"/>
    </xf>
    <xf numFmtId="0" fontId="7" fillId="2" borderId="3" xfId="0" applyFont="1" applyFill="1" applyBorder="1" applyAlignment="1">
      <alignment horizontal="center" vertical="center"/>
    </xf>
    <xf numFmtId="0" fontId="57" fillId="2" borderId="2" xfId="0" applyFont="1" applyFill="1" applyBorder="1" applyAlignment="1">
      <alignment horizontal="center" vertical="center" wrapText="1"/>
    </xf>
    <xf numFmtId="0" fontId="14" fillId="0" borderId="2" xfId="0" applyFont="1" applyBorder="1" applyAlignment="1">
      <alignment horizontal="center" vertical="center" wrapText="1"/>
    </xf>
    <xf numFmtId="0" fontId="7" fillId="4" borderId="3" xfId="0" applyNumberFormat="1" applyFont="1" applyFill="1" applyBorder="1" applyAlignment="1">
      <alignment horizontal="center" vertical="center" wrapText="1"/>
    </xf>
    <xf numFmtId="0" fontId="7" fillId="12" borderId="2" xfId="0" applyNumberFormat="1" applyFont="1" applyFill="1" applyBorder="1" applyAlignment="1">
      <alignment horizontal="center" vertical="center" wrapText="1"/>
    </xf>
    <xf numFmtId="0" fontId="7" fillId="10" borderId="3" xfId="0" applyNumberFormat="1" applyFont="1" applyFill="1" applyBorder="1" applyAlignment="1">
      <alignment horizontal="center" vertical="center" wrapText="1"/>
    </xf>
    <xf numFmtId="0" fontId="6" fillId="10" borderId="3" xfId="0" applyFont="1" applyFill="1" applyBorder="1" applyAlignment="1">
      <alignment horizontal="center" wrapText="1"/>
    </xf>
    <xf numFmtId="0" fontId="7" fillId="13" borderId="3" xfId="0" applyFont="1" applyFill="1" applyBorder="1" applyAlignment="1">
      <alignment horizontal="center" vertical="center" wrapText="1"/>
    </xf>
    <xf numFmtId="0" fontId="14" fillId="0" borderId="0" xfId="0" applyFont="1" applyAlignment="1">
      <alignment horizontal="center" vertical="center" wrapText="1"/>
    </xf>
    <xf numFmtId="0" fontId="15" fillId="6" borderId="3" xfId="0" applyFont="1" applyFill="1" applyBorder="1" applyAlignment="1">
      <alignment horizontal="center" vertical="center" wrapText="1"/>
    </xf>
    <xf numFmtId="0" fontId="38" fillId="2" borderId="3" xfId="0" applyNumberFormat="1" applyFont="1" applyFill="1" applyBorder="1" applyAlignment="1">
      <alignment horizontal="center" vertical="center" wrapText="1"/>
    </xf>
    <xf numFmtId="0" fontId="14" fillId="2" borderId="2" xfId="0" applyFont="1" applyFill="1" applyBorder="1" applyAlignment="1">
      <alignment horizontal="center" vertical="center" wrapText="1"/>
    </xf>
    <xf numFmtId="0" fontId="38" fillId="12" borderId="3" xfId="0" applyNumberFormat="1" applyFont="1" applyFill="1" applyBorder="1" applyAlignment="1">
      <alignment horizontal="center" vertical="center" wrapText="1"/>
    </xf>
    <xf numFmtId="0" fontId="38" fillId="2" borderId="2" xfId="0" applyFont="1" applyFill="1" applyBorder="1" applyAlignment="1">
      <alignment horizontal="center" vertical="center" wrapText="1"/>
    </xf>
    <xf numFmtId="0" fontId="38" fillId="12" borderId="2" xfId="0" applyFont="1" applyFill="1" applyBorder="1" applyAlignment="1">
      <alignment horizontal="center" vertical="center" wrapText="1"/>
    </xf>
    <xf numFmtId="0" fontId="38" fillId="12" borderId="3"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12" borderId="3" xfId="0" applyFont="1" applyFill="1" applyBorder="1" applyAlignment="1">
      <alignment horizontal="center" vertical="center" wrapText="1"/>
    </xf>
    <xf numFmtId="0" fontId="38" fillId="2" borderId="4" xfId="0" applyNumberFormat="1" applyFont="1" applyFill="1" applyBorder="1" applyAlignment="1">
      <alignment horizontal="center" vertical="center" wrapText="1"/>
    </xf>
    <xf numFmtId="0" fontId="14" fillId="12" borderId="4" xfId="0" applyFont="1" applyFill="1" applyBorder="1" applyAlignment="1">
      <alignment horizontal="center" vertical="center" wrapText="1"/>
    </xf>
    <xf numFmtId="0" fontId="14" fillId="0" borderId="4" xfId="0" applyFont="1" applyBorder="1" applyAlignment="1">
      <alignment horizontal="center" vertical="center" wrapText="1"/>
    </xf>
    <xf numFmtId="0" fontId="38" fillId="12" borderId="4" xfId="0" applyFont="1" applyFill="1" applyBorder="1" applyAlignment="1">
      <alignment horizontal="center" vertical="center" wrapText="1"/>
    </xf>
    <xf numFmtId="0" fontId="38" fillId="2" borderId="3" xfId="0" applyFont="1" applyFill="1" applyBorder="1" applyAlignment="1" applyProtection="1">
      <alignment horizontal="center" vertical="center" wrapText="1"/>
    </xf>
    <xf numFmtId="0" fontId="38" fillId="6" borderId="0" xfId="0" applyFont="1" applyFill="1" applyBorder="1" applyAlignment="1" applyProtection="1">
      <alignment horizontal="center" vertical="center" wrapText="1"/>
    </xf>
    <xf numFmtId="0" fontId="38" fillId="12" borderId="3" xfId="0" applyFont="1" applyFill="1" applyBorder="1" applyAlignment="1" applyProtection="1">
      <alignment horizontal="center" vertical="center" wrapText="1"/>
    </xf>
    <xf numFmtId="0" fontId="38" fillId="0" borderId="4" xfId="0" applyFont="1" applyBorder="1" applyAlignment="1">
      <alignment horizontal="center" vertical="center" wrapText="1"/>
    </xf>
    <xf numFmtId="0" fontId="6" fillId="12" borderId="4" xfId="0" applyFont="1" applyFill="1" applyBorder="1" applyAlignment="1">
      <alignment horizontal="center" vertical="center" wrapText="1"/>
    </xf>
    <xf numFmtId="1" fontId="6" fillId="8" borderId="10" xfId="0" applyNumberFormat="1" applyFont="1" applyFill="1" applyBorder="1" applyAlignment="1">
      <alignment horizontal="center" vertical="center" wrapText="1"/>
    </xf>
    <xf numFmtId="9" fontId="6" fillId="7" borderId="10" xfId="0" applyNumberFormat="1" applyFont="1" applyFill="1" applyBorder="1" applyAlignment="1">
      <alignment horizontal="center" vertical="center" wrapText="1"/>
    </xf>
    <xf numFmtId="9" fontId="6" fillId="8" borderId="5" xfId="0" applyNumberFormat="1" applyFont="1" applyFill="1" applyBorder="1" applyAlignment="1">
      <alignment horizontal="center" vertical="center" wrapText="1"/>
    </xf>
    <xf numFmtId="0" fontId="8" fillId="13" borderId="3"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6" fillId="12" borderId="3" xfId="0" applyFont="1" applyFill="1" applyBorder="1" applyAlignment="1">
      <alignment horizontal="center" vertical="center" wrapText="1"/>
    </xf>
    <xf numFmtId="9" fontId="7" fillId="7" borderId="3" xfId="0" applyNumberFormat="1" applyFont="1" applyFill="1" applyBorder="1" applyAlignment="1">
      <alignment horizontal="center" vertical="center" wrapText="1"/>
    </xf>
    <xf numFmtId="10" fontId="7" fillId="10" borderId="3" xfId="0" applyNumberFormat="1" applyFont="1" applyFill="1" applyBorder="1" applyAlignment="1">
      <alignment horizontal="center" vertical="center" wrapText="1"/>
    </xf>
    <xf numFmtId="0" fontId="32" fillId="0" borderId="3" xfId="0" applyFont="1" applyBorder="1" applyAlignment="1">
      <alignment horizontal="center" vertical="center" wrapText="1"/>
    </xf>
    <xf numFmtId="0" fontId="4" fillId="3"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0" fillId="0" borderId="0" xfId="0" applyAlignment="1">
      <alignment vertical="center"/>
    </xf>
    <xf numFmtId="0" fontId="0" fillId="0" borderId="3" xfId="0" applyBorder="1" applyAlignment="1">
      <alignment vertical="center"/>
    </xf>
    <xf numFmtId="0" fontId="1" fillId="0" borderId="3" xfId="0" applyFont="1" applyBorder="1" applyAlignment="1">
      <alignment vertical="center"/>
    </xf>
    <xf numFmtId="165" fontId="7" fillId="8" borderId="3" xfId="0" applyNumberFormat="1" applyFont="1" applyFill="1" applyBorder="1" applyAlignment="1">
      <alignment horizontal="center" vertical="center" wrapText="1"/>
    </xf>
    <xf numFmtId="9" fontId="44" fillId="8" borderId="3" xfId="0" applyNumberFormat="1"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6" borderId="22" xfId="0" applyFont="1" applyFill="1" applyBorder="1" applyAlignment="1">
      <alignment horizontal="center" vertical="center" wrapText="1"/>
    </xf>
    <xf numFmtId="0" fontId="1" fillId="2" borderId="0" xfId="0" applyFont="1" applyFill="1" applyAlignment="1">
      <alignment vertical="center"/>
    </xf>
    <xf numFmtId="0" fontId="6" fillId="6" borderId="22" xfId="0" applyFont="1" applyFill="1" applyBorder="1" applyAlignment="1">
      <alignment horizontal="center" vertical="center" wrapText="1"/>
    </xf>
    <xf numFmtId="1" fontId="7" fillId="7" borderId="3" xfId="0" applyNumberFormat="1" applyFont="1" applyFill="1" applyBorder="1" applyAlignment="1">
      <alignment horizontal="center" vertical="center" wrapText="1"/>
    </xf>
    <xf numFmtId="0" fontId="24" fillId="7" borderId="3" xfId="0" applyFont="1" applyFill="1" applyBorder="1" applyAlignment="1">
      <alignment horizontal="center" vertical="center" wrapText="1"/>
    </xf>
    <xf numFmtId="166" fontId="7" fillId="7" borderId="3"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38" fillId="6" borderId="3" xfId="0" applyFont="1" applyFill="1" applyBorder="1" applyAlignment="1">
      <alignment horizontal="center" vertical="center" wrapText="1"/>
    </xf>
    <xf numFmtId="0" fontId="38" fillId="6" borderId="3" xfId="0" applyFont="1" applyFill="1" applyBorder="1" applyAlignment="1" applyProtection="1">
      <alignment horizontal="center" vertical="center" wrapText="1"/>
    </xf>
    <xf numFmtId="0" fontId="7" fillId="6" borderId="3" xfId="0" applyFont="1" applyFill="1" applyBorder="1" applyAlignment="1" applyProtection="1">
      <alignment horizontal="center" vertical="center" wrapText="1"/>
    </xf>
    <xf numFmtId="0" fontId="44" fillId="6" borderId="3" xfId="0" applyFont="1" applyFill="1" applyBorder="1" applyAlignment="1">
      <alignment horizontal="center" vertical="center" wrapText="1"/>
    </xf>
    <xf numFmtId="0" fontId="11" fillId="14" borderId="0" xfId="0" applyFont="1" applyFill="1"/>
    <xf numFmtId="0" fontId="11" fillId="0" borderId="0" xfId="0" applyFont="1"/>
    <xf numFmtId="0" fontId="11" fillId="0" borderId="3" xfId="0" applyFont="1" applyBorder="1" applyAlignment="1">
      <alignment horizontal="center" vertical="center"/>
    </xf>
    <xf numFmtId="0" fontId="11" fillId="14" borderId="0" xfId="0" applyFont="1" applyFill="1" applyAlignment="1">
      <alignment vertical="center"/>
    </xf>
    <xf numFmtId="0" fontId="11" fillId="0" borderId="0" xfId="0" applyFont="1" applyAlignment="1">
      <alignment vertical="center"/>
    </xf>
    <xf numFmtId="0" fontId="11" fillId="0" borderId="3" xfId="0" applyFont="1" applyBorder="1" applyAlignment="1">
      <alignment horizontal="center" vertical="center" wrapText="1"/>
    </xf>
    <xf numFmtId="3" fontId="7" fillId="9" borderId="3" xfId="0" applyNumberFormat="1" applyFont="1" applyFill="1" applyBorder="1" applyAlignment="1">
      <alignment horizontal="center" vertical="center" wrapText="1"/>
    </xf>
    <xf numFmtId="0" fontId="58" fillId="0" borderId="3" xfId="0" applyFont="1" applyBorder="1" applyAlignment="1">
      <alignment horizontal="center" vertical="center"/>
    </xf>
    <xf numFmtId="0" fontId="58" fillId="0" borderId="3" xfId="0" applyFont="1" applyBorder="1" applyAlignment="1">
      <alignment horizontal="center" vertical="center" wrapText="1"/>
    </xf>
    <xf numFmtId="0" fontId="11" fillId="2" borderId="0" xfId="0" applyFont="1" applyFill="1"/>
    <xf numFmtId="0" fontId="38" fillId="6" borderId="2" xfId="0" applyFont="1" applyFill="1" applyBorder="1" applyAlignment="1" applyProtection="1">
      <alignment horizontal="center" vertical="center" wrapText="1"/>
    </xf>
    <xf numFmtId="0" fontId="44" fillId="2" borderId="3" xfId="0" applyFont="1" applyFill="1" applyBorder="1" applyAlignment="1">
      <alignment horizontal="center" vertical="center" wrapText="1"/>
    </xf>
    <xf numFmtId="0" fontId="58" fillId="2" borderId="3" xfId="0" applyFont="1" applyFill="1" applyBorder="1" applyAlignment="1">
      <alignment horizontal="center" vertical="center"/>
    </xf>
    <xf numFmtId="0" fontId="14" fillId="2" borderId="3" xfId="0" applyFont="1" applyFill="1" applyBorder="1" applyAlignment="1">
      <alignment horizontal="center" vertical="center"/>
    </xf>
    <xf numFmtId="0" fontId="14" fillId="0" borderId="0" xfId="0" applyFont="1"/>
    <xf numFmtId="0" fontId="14" fillId="2" borderId="0" xfId="0" applyFont="1" applyFill="1"/>
    <xf numFmtId="0" fontId="6" fillId="0" borderId="0" xfId="0" applyFont="1"/>
    <xf numFmtId="0" fontId="6" fillId="2" borderId="0" xfId="0" applyFont="1" applyFill="1"/>
    <xf numFmtId="0" fontId="10" fillId="0" borderId="0" xfId="0" applyFont="1"/>
    <xf numFmtId="0" fontId="12" fillId="14" borderId="0" xfId="0" applyFont="1" applyFill="1" applyAlignment="1">
      <alignment horizontal="center" vertical="center"/>
    </xf>
    <xf numFmtId="0" fontId="11" fillId="8" borderId="3" xfId="0" applyFont="1" applyFill="1" applyBorder="1" applyAlignment="1">
      <alignment horizontal="center" vertical="center" wrapText="1"/>
    </xf>
    <xf numFmtId="0" fontId="7" fillId="6" borderId="2" xfId="0" applyFont="1" applyFill="1" applyBorder="1" applyAlignment="1" applyProtection="1">
      <alignment horizontal="center" vertical="center" wrapText="1"/>
    </xf>
    <xf numFmtId="0" fontId="7" fillId="2" borderId="0" xfId="0" applyFont="1" applyFill="1" applyBorder="1" applyAlignment="1">
      <alignment horizontal="center" vertical="center" wrapText="1"/>
    </xf>
    <xf numFmtId="0" fontId="18" fillId="14" borderId="0" xfId="0" applyFont="1" applyFill="1" applyBorder="1" applyAlignment="1">
      <alignment vertical="center"/>
    </xf>
    <xf numFmtId="0" fontId="18" fillId="14" borderId="5" xfId="0" applyFont="1" applyFill="1" applyBorder="1" applyAlignment="1">
      <alignment vertical="center"/>
    </xf>
    <xf numFmtId="0" fontId="11" fillId="0" borderId="4" xfId="0" applyFont="1" applyBorder="1" applyAlignment="1">
      <alignment horizontal="center" vertical="center"/>
    </xf>
    <xf numFmtId="0" fontId="11" fillId="0" borderId="4" xfId="0" applyFont="1" applyBorder="1" applyAlignment="1">
      <alignment horizontal="center" vertical="center" wrapText="1"/>
    </xf>
    <xf numFmtId="0" fontId="11" fillId="14" borderId="30" xfId="0" applyFont="1" applyFill="1" applyBorder="1"/>
    <xf numFmtId="0" fontId="11" fillId="14" borderId="8" xfId="0" applyFont="1" applyFill="1" applyBorder="1"/>
    <xf numFmtId="0" fontId="11" fillId="14" borderId="31" xfId="0" applyFont="1" applyFill="1" applyBorder="1"/>
    <xf numFmtId="0" fontId="8" fillId="6" borderId="15" xfId="0" applyFont="1" applyFill="1" applyBorder="1" applyAlignment="1" applyProtection="1">
      <alignment horizontal="center" vertical="center" wrapText="1"/>
    </xf>
    <xf numFmtId="0" fontId="7" fillId="6" borderId="16" xfId="0" applyFont="1" applyFill="1" applyBorder="1" applyAlignment="1">
      <alignment horizontal="center" vertical="center" wrapText="1"/>
    </xf>
    <xf numFmtId="0" fontId="7" fillId="6" borderId="16" xfId="0" applyFont="1" applyFill="1" applyBorder="1" applyAlignment="1" applyProtection="1">
      <alignment horizontal="center" vertical="center" wrapText="1"/>
    </xf>
    <xf numFmtId="0" fontId="10" fillId="0" borderId="15" xfId="0" applyFont="1" applyBorder="1" applyAlignment="1">
      <alignment horizontal="center" vertical="center" wrapText="1"/>
    </xf>
    <xf numFmtId="0" fontId="7" fillId="2" borderId="16" xfId="0" applyFont="1" applyFill="1" applyBorder="1" applyAlignment="1">
      <alignment horizontal="center" vertical="center" wrapText="1"/>
    </xf>
    <xf numFmtId="0" fontId="11" fillId="0" borderId="16" xfId="0" applyFont="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24" fillId="6" borderId="16"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11" fillId="14" borderId="34" xfId="0" applyFont="1" applyFill="1" applyBorder="1"/>
    <xf numFmtId="0" fontId="11" fillId="14" borderId="35" xfId="0" applyFont="1" applyFill="1" applyBorder="1"/>
    <xf numFmtId="0" fontId="6" fillId="6" borderId="16"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38" fillId="14" borderId="34" xfId="0" applyFont="1" applyFill="1" applyBorder="1" applyAlignment="1">
      <alignment horizontal="center" vertical="center" wrapText="1"/>
    </xf>
    <xf numFmtId="0" fontId="7" fillId="14" borderId="34" xfId="0" applyFont="1" applyFill="1" applyBorder="1" applyAlignment="1">
      <alignment horizontal="center" vertical="center" wrapText="1"/>
    </xf>
    <xf numFmtId="0" fontId="6" fillId="14" borderId="34" xfId="0" applyFont="1" applyFill="1" applyBorder="1" applyAlignment="1">
      <alignment horizontal="center" vertical="center" wrapText="1"/>
    </xf>
    <xf numFmtId="0" fontId="10" fillId="14" borderId="30" xfId="0" applyFont="1" applyFill="1" applyBorder="1"/>
    <xf numFmtId="0" fontId="14" fillId="14" borderId="8" xfId="0" applyFont="1" applyFill="1" applyBorder="1"/>
    <xf numFmtId="0" fontId="44" fillId="6" borderId="16" xfId="0" applyFont="1" applyFill="1" applyBorder="1" applyAlignment="1">
      <alignment horizontal="center" vertical="center" wrapText="1"/>
    </xf>
    <xf numFmtId="0" fontId="10" fillId="14" borderId="33" xfId="0" applyFont="1" applyFill="1" applyBorder="1"/>
    <xf numFmtId="0" fontId="14" fillId="14" borderId="34" xfId="0" applyFont="1" applyFill="1" applyBorder="1"/>
    <xf numFmtId="0" fontId="11" fillId="6" borderId="20" xfId="0" applyFont="1" applyFill="1" applyBorder="1" applyAlignment="1">
      <alignment horizontal="center" vertical="center"/>
    </xf>
    <xf numFmtId="0" fontId="58" fillId="0" borderId="16" xfId="0" applyFont="1" applyBorder="1" applyAlignment="1">
      <alignment horizontal="center" vertical="center" wrapText="1"/>
    </xf>
    <xf numFmtId="0" fontId="7" fillId="6" borderId="14" xfId="0" applyFont="1" applyFill="1" applyBorder="1" applyAlignment="1">
      <alignment horizontal="center" vertical="center" wrapText="1"/>
    </xf>
    <xf numFmtId="0" fontId="10" fillId="6" borderId="15" xfId="0" applyFont="1" applyFill="1" applyBorder="1" applyAlignment="1">
      <alignment horizontal="center" vertical="center" wrapText="1"/>
    </xf>
    <xf numFmtId="0" fontId="7" fillId="8" borderId="16" xfId="0" applyFont="1" applyFill="1" applyBorder="1" applyAlignment="1">
      <alignment horizontal="center" vertical="center" wrapText="1"/>
    </xf>
    <xf numFmtId="0" fontId="6" fillId="14" borderId="8" xfId="0" applyFont="1" applyFill="1" applyBorder="1"/>
    <xf numFmtId="0" fontId="6" fillId="14" borderId="34" xfId="0" applyFont="1" applyFill="1" applyBorder="1"/>
    <xf numFmtId="0" fontId="11" fillId="2" borderId="16" xfId="0" applyFont="1" applyFill="1" applyBorder="1" applyAlignment="1">
      <alignment horizontal="center" vertical="center"/>
    </xf>
    <xf numFmtId="0" fontId="58" fillId="0" borderId="16" xfId="0" applyFont="1" applyBorder="1" applyAlignment="1">
      <alignment horizontal="center" vertical="center"/>
    </xf>
    <xf numFmtId="0" fontId="11" fillId="0" borderId="16" xfId="0" applyFont="1" applyBorder="1" applyAlignment="1">
      <alignment horizontal="center" vertical="center" wrapText="1"/>
    </xf>
    <xf numFmtId="0" fontId="11" fillId="6" borderId="16"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11" fillId="6" borderId="3" xfId="0" applyFont="1" applyFill="1" applyBorder="1" applyAlignment="1">
      <alignment horizontal="center" vertical="center"/>
    </xf>
    <xf numFmtId="0" fontId="14" fillId="6" borderId="3" xfId="0" applyFont="1" applyFill="1" applyBorder="1" applyAlignment="1">
      <alignment vertical="center"/>
    </xf>
    <xf numFmtId="10" fontId="7" fillId="7" borderId="3" xfId="0" applyNumberFormat="1" applyFont="1" applyFill="1" applyBorder="1" applyAlignment="1">
      <alignment horizontal="center" vertical="center"/>
    </xf>
    <xf numFmtId="0" fontId="10"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7" fillId="0" borderId="3" xfId="0" applyFont="1" applyBorder="1" applyAlignment="1">
      <alignment horizontal="center" vertical="center"/>
    </xf>
    <xf numFmtId="0" fontId="18" fillId="2" borderId="15"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15" xfId="0" applyFont="1" applyFill="1" applyBorder="1" applyAlignment="1">
      <alignment horizontal="center" vertical="center"/>
    </xf>
    <xf numFmtId="0" fontId="18" fillId="2" borderId="16" xfId="0" applyFont="1" applyFill="1" applyBorder="1" applyAlignment="1">
      <alignment horizontal="center" vertical="center"/>
    </xf>
    <xf numFmtId="0" fontId="34" fillId="6" borderId="3" xfId="0" applyFont="1" applyFill="1" applyBorder="1" applyAlignment="1">
      <alignment horizontal="center" vertical="center" wrapText="1"/>
    </xf>
    <xf numFmtId="1" fontId="7" fillId="7" borderId="3" xfId="0" applyNumberFormat="1" applyFont="1" applyFill="1" applyBorder="1" applyAlignment="1">
      <alignment horizontal="center" vertical="center"/>
    </xf>
    <xf numFmtId="0" fontId="7" fillId="2" borderId="0"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11" fillId="14" borderId="3" xfId="0" applyFont="1" applyFill="1" applyBorder="1"/>
    <xf numFmtId="0" fontId="6" fillId="2" borderId="6" xfId="0" applyFont="1" applyFill="1" applyBorder="1" applyAlignment="1">
      <alignment horizontal="center" vertical="center"/>
    </xf>
    <xf numFmtId="0" fontId="8" fillId="6" borderId="6" xfId="0" applyFont="1" applyFill="1" applyBorder="1" applyAlignment="1" applyProtection="1">
      <alignment horizontal="center" vertical="center" wrapText="1"/>
    </xf>
    <xf numFmtId="0" fontId="6" fillId="2" borderId="6" xfId="0" applyFont="1" applyFill="1" applyBorder="1" applyAlignment="1">
      <alignment horizontal="center" vertical="center" wrapText="1"/>
    </xf>
    <xf numFmtId="0" fontId="11" fillId="14" borderId="6" xfId="0" applyFont="1" applyFill="1" applyBorder="1" applyAlignment="1">
      <alignment horizontal="center" vertical="center"/>
    </xf>
    <xf numFmtId="0" fontId="8" fillId="14" borderId="34" xfId="0" applyFont="1" applyFill="1" applyBorder="1" applyAlignment="1">
      <alignment horizontal="center" vertical="center" wrapText="1"/>
    </xf>
    <xf numFmtId="0" fontId="44" fillId="8" borderId="3" xfId="0" applyFont="1" applyFill="1" applyBorder="1" applyAlignment="1">
      <alignment horizontal="center" vertical="center" wrapText="1"/>
    </xf>
    <xf numFmtId="3" fontId="44" fillId="8" borderId="3" xfId="0" applyNumberFormat="1" applyFont="1" applyFill="1" applyBorder="1" applyAlignment="1">
      <alignment horizontal="center" vertical="center" wrapText="1"/>
    </xf>
    <xf numFmtId="2" fontId="44" fillId="8" borderId="3" xfId="0" applyNumberFormat="1" applyFont="1" applyFill="1" applyBorder="1" applyAlignment="1">
      <alignment horizontal="center" vertical="center" wrapText="1"/>
    </xf>
    <xf numFmtId="167" fontId="6" fillId="8" borderId="3" xfId="0" applyNumberFormat="1" applyFont="1" applyFill="1" applyBorder="1" applyAlignment="1">
      <alignment horizontal="center" vertical="center"/>
    </xf>
    <xf numFmtId="0" fontId="6" fillId="12" borderId="3" xfId="0" applyFont="1" applyFill="1" applyBorder="1" applyAlignment="1">
      <alignment horizontal="center" vertical="center" wrapText="1"/>
    </xf>
    <xf numFmtId="2" fontId="7" fillId="13" borderId="3" xfId="0" applyNumberFormat="1" applyFont="1" applyFill="1" applyBorder="1" applyAlignment="1">
      <alignment horizontal="center" vertical="center" wrapText="1"/>
    </xf>
    <xf numFmtId="0" fontId="14" fillId="4" borderId="3" xfId="0" applyFont="1" applyFill="1" applyBorder="1" applyAlignment="1">
      <alignment horizontal="center" vertical="center" wrapText="1"/>
    </xf>
    <xf numFmtId="0" fontId="38" fillId="3" borderId="2" xfId="0" applyFont="1" applyFill="1" applyBorder="1" applyAlignment="1">
      <alignment horizontal="center" vertical="center" wrapText="1"/>
    </xf>
    <xf numFmtId="0" fontId="14" fillId="12" borderId="2"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38" fillId="0" borderId="3" xfId="0" applyFont="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12" borderId="3" xfId="0" applyNumberFormat="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12" borderId="3" xfId="0" applyFont="1" applyFill="1" applyBorder="1" applyAlignment="1">
      <alignment horizontal="center" vertical="center"/>
    </xf>
    <xf numFmtId="0" fontId="14" fillId="5" borderId="7" xfId="0" applyFont="1" applyFill="1" applyBorder="1" applyAlignment="1">
      <alignment horizontal="center" wrapText="1"/>
    </xf>
    <xf numFmtId="0" fontId="14" fillId="10" borderId="3" xfId="0" applyFont="1" applyFill="1" applyBorder="1" applyAlignment="1">
      <alignment horizontal="center" vertical="center" wrapText="1"/>
    </xf>
    <xf numFmtId="0" fontId="38" fillId="10" borderId="3" xfId="0" applyFont="1" applyFill="1" applyBorder="1" applyAlignment="1">
      <alignment horizontal="center" vertical="center" wrapText="1"/>
    </xf>
    <xf numFmtId="0" fontId="14" fillId="0" borderId="0" xfId="0" applyFont="1" applyAlignment="1">
      <alignment horizontal="center"/>
    </xf>
    <xf numFmtId="0" fontId="14" fillId="8" borderId="3" xfId="0" applyFont="1" applyFill="1" applyBorder="1" applyAlignment="1">
      <alignment horizontal="center" vertical="center" wrapText="1"/>
    </xf>
    <xf numFmtId="0" fontId="38" fillId="9" borderId="3" xfId="0" applyFont="1" applyFill="1" applyBorder="1" applyAlignment="1">
      <alignment horizontal="center" vertical="center" wrapText="1"/>
    </xf>
    <xf numFmtId="0" fontId="15" fillId="13" borderId="3" xfId="0" applyFont="1" applyFill="1" applyBorder="1" applyAlignment="1">
      <alignment horizontal="center" vertical="center" wrapText="1"/>
    </xf>
    <xf numFmtId="3" fontId="6" fillId="13" borderId="3" xfId="0" applyNumberFormat="1" applyFont="1" applyFill="1" applyBorder="1" applyAlignment="1">
      <alignment horizontal="center" vertical="center"/>
    </xf>
    <xf numFmtId="0" fontId="44" fillId="13" borderId="3" xfId="0" applyFont="1" applyFill="1" applyBorder="1" applyAlignment="1">
      <alignment horizontal="center" vertical="center" wrapText="1"/>
    </xf>
    <xf numFmtId="3" fontId="44" fillId="13" borderId="3" xfId="0" applyNumberFormat="1" applyFont="1" applyFill="1" applyBorder="1" applyAlignment="1">
      <alignment horizontal="center" vertical="center" wrapText="1"/>
    </xf>
    <xf numFmtId="0" fontId="7" fillId="12" borderId="6" xfId="0" applyFont="1" applyFill="1" applyBorder="1" applyAlignment="1">
      <alignment horizontal="center" vertical="center" wrapText="1"/>
    </xf>
    <xf numFmtId="3" fontId="6" fillId="9" borderId="3"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6" borderId="20" xfId="0" applyFont="1" applyFill="1" applyBorder="1" applyAlignment="1">
      <alignment horizontal="center" vertical="center"/>
    </xf>
    <xf numFmtId="0" fontId="6" fillId="6" borderId="20" xfId="0" applyFont="1" applyFill="1" applyBorder="1" applyAlignment="1">
      <alignment horizontal="center" vertical="center"/>
    </xf>
    <xf numFmtId="0" fontId="44" fillId="0" borderId="3" xfId="0" applyFont="1" applyBorder="1" applyAlignment="1">
      <alignment horizontal="center" vertical="center"/>
    </xf>
    <xf numFmtId="0" fontId="14" fillId="6" borderId="3" xfId="0" applyFont="1" applyFill="1" applyBorder="1" applyAlignment="1">
      <alignment horizontal="center" vertical="center"/>
    </xf>
    <xf numFmtId="0" fontId="7" fillId="0" borderId="3" xfId="0" applyFont="1" applyBorder="1" applyAlignment="1">
      <alignment horizontal="center" vertical="center"/>
    </xf>
    <xf numFmtId="0" fontId="6" fillId="5"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8" fillId="13" borderId="3" xfId="0" applyFont="1" applyFill="1" applyBorder="1" applyAlignment="1" applyProtection="1">
      <alignment horizontal="center" vertical="center" wrapText="1"/>
    </xf>
    <xf numFmtId="0" fontId="2" fillId="6" borderId="15" xfId="0" applyFont="1" applyFill="1" applyBorder="1" applyAlignment="1">
      <alignment horizontal="center" vertical="center"/>
    </xf>
    <xf numFmtId="0" fontId="2" fillId="6" borderId="19" xfId="0" applyFont="1" applyFill="1" applyBorder="1" applyAlignment="1">
      <alignment horizontal="center" vertical="center" wrapText="1"/>
    </xf>
    <xf numFmtId="0" fontId="2" fillId="0" borderId="15" xfId="0" applyFont="1" applyBorder="1" applyAlignment="1">
      <alignment horizontal="center" vertical="center"/>
    </xf>
    <xf numFmtId="10" fontId="6" fillId="8" borderId="3" xfId="0" applyNumberFormat="1" applyFont="1" applyFill="1" applyBorder="1" applyAlignment="1">
      <alignment horizontal="center" vertical="center" wrapText="1"/>
    </xf>
    <xf numFmtId="0" fontId="2" fillId="6" borderId="13" xfId="0" applyFont="1" applyFill="1" applyBorder="1" applyAlignment="1">
      <alignment horizontal="center" vertical="center" wrapText="1"/>
    </xf>
    <xf numFmtId="0" fontId="18" fillId="14" borderId="20" xfId="0" applyFont="1" applyFill="1" applyBorder="1" applyAlignment="1">
      <alignment horizontal="center" vertical="center"/>
    </xf>
    <xf numFmtId="0" fontId="18" fillId="14" borderId="22" xfId="0" applyFont="1" applyFill="1" applyBorder="1" applyAlignment="1">
      <alignment horizontal="center" vertical="center"/>
    </xf>
    <xf numFmtId="0" fontId="1" fillId="2" borderId="3" xfId="0" applyFont="1" applyFill="1" applyBorder="1" applyAlignment="1">
      <alignment vertical="center" wrapText="1"/>
    </xf>
    <xf numFmtId="0" fontId="14" fillId="6" borderId="4" xfId="0" applyFont="1" applyFill="1" applyBorder="1" applyAlignment="1">
      <alignment horizontal="center" vertical="center" wrapText="1"/>
    </xf>
    <xf numFmtId="0" fontId="6" fillId="14" borderId="31" xfId="0" applyFont="1" applyFill="1" applyBorder="1"/>
    <xf numFmtId="0" fontId="6" fillId="0" borderId="16" xfId="0" applyFont="1" applyBorder="1" applyAlignment="1">
      <alignment horizontal="center" vertical="center"/>
    </xf>
    <xf numFmtId="0" fontId="6" fillId="6" borderId="16" xfId="0" applyFont="1" applyFill="1" applyBorder="1" applyAlignment="1">
      <alignment horizontal="center" vertical="center"/>
    </xf>
    <xf numFmtId="0" fontId="10" fillId="14" borderId="38" xfId="0" applyFont="1" applyFill="1" applyBorder="1" applyAlignment="1">
      <alignment horizontal="center" vertical="center"/>
    </xf>
    <xf numFmtId="0" fontId="10" fillId="14" borderId="39" xfId="0" applyFont="1" applyFill="1" applyBorder="1" applyAlignment="1">
      <alignment horizontal="center" vertical="center"/>
    </xf>
    <xf numFmtId="0" fontId="6" fillId="14" borderId="35" xfId="0" applyFont="1" applyFill="1" applyBorder="1"/>
    <xf numFmtId="0" fontId="4" fillId="6" borderId="15"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2" fillId="6" borderId="40" xfId="0" applyFont="1" applyFill="1" applyBorder="1" applyAlignment="1">
      <alignment horizontal="center" vertical="center" wrapText="1"/>
    </xf>
    <xf numFmtId="0" fontId="1" fillId="14" borderId="0" xfId="0" applyFont="1" applyFill="1"/>
    <xf numFmtId="0" fontId="4" fillId="6" borderId="19" xfId="0" applyFont="1" applyFill="1" applyBorder="1" applyAlignment="1">
      <alignment horizontal="center" vertical="center" wrapText="1"/>
    </xf>
    <xf numFmtId="0" fontId="2" fillId="14" borderId="31" xfId="0" applyFont="1" applyFill="1" applyBorder="1"/>
    <xf numFmtId="0" fontId="4" fillId="0" borderId="14" xfId="0" applyFont="1" applyBorder="1" applyAlignment="1">
      <alignment horizontal="center" vertical="center" wrapText="1"/>
    </xf>
    <xf numFmtId="0" fontId="4" fillId="8" borderId="16"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16" xfId="0" applyFont="1" applyFill="1" applyBorder="1" applyAlignment="1">
      <alignment horizontal="center" vertical="center"/>
    </xf>
    <xf numFmtId="0" fontId="2" fillId="14" borderId="35" xfId="0" applyFont="1" applyFill="1" applyBorder="1"/>
    <xf numFmtId="0" fontId="2" fillId="2" borderId="0" xfId="0" applyFont="1" applyFill="1"/>
    <xf numFmtId="0" fontId="2" fillId="0" borderId="0" xfId="0" applyFont="1"/>
    <xf numFmtId="0" fontId="2" fillId="6" borderId="20" xfId="0" applyFont="1" applyFill="1" applyBorder="1" applyAlignment="1">
      <alignment horizontal="center" vertical="center"/>
    </xf>
    <xf numFmtId="0" fontId="2" fillId="14" borderId="30" xfId="0" applyFont="1" applyFill="1" applyBorder="1"/>
    <xf numFmtId="0" fontId="2" fillId="6" borderId="15" xfId="0" applyFont="1" applyFill="1" applyBorder="1" applyAlignment="1">
      <alignment horizontal="center" vertical="center" wrapText="1"/>
    </xf>
    <xf numFmtId="0" fontId="2" fillId="0" borderId="15" xfId="0" applyFont="1" applyBorder="1" applyAlignment="1">
      <alignment horizontal="center" vertical="center" wrapText="1"/>
    </xf>
    <xf numFmtId="0" fontId="4" fillId="6" borderId="15" xfId="0" applyFont="1" applyFill="1" applyBorder="1" applyAlignment="1" applyProtection="1">
      <alignment horizontal="center" vertical="center" wrapText="1"/>
    </xf>
    <xf numFmtId="0" fontId="2" fillId="2" borderId="15" xfId="0" applyFont="1" applyFill="1" applyBorder="1" applyAlignment="1">
      <alignment horizontal="center" vertical="center" wrapText="1"/>
    </xf>
    <xf numFmtId="0" fontId="2" fillId="14" borderId="33" xfId="0" applyFont="1" applyFill="1" applyBorder="1"/>
    <xf numFmtId="0" fontId="1" fillId="14" borderId="30" xfId="0" applyFont="1" applyFill="1" applyBorder="1"/>
    <xf numFmtId="0" fontId="1" fillId="0" borderId="15" xfId="0" applyFont="1" applyBorder="1" applyAlignment="1">
      <alignment horizontal="center" vertical="center"/>
    </xf>
    <xf numFmtId="0" fontId="1" fillId="14" borderId="33" xfId="0" applyFont="1" applyFill="1" applyBorder="1"/>
    <xf numFmtId="0" fontId="4" fillId="6" borderId="13" xfId="0" applyFont="1" applyFill="1" applyBorder="1" applyAlignment="1" applyProtection="1">
      <alignment horizontal="center" vertical="center" wrapText="1"/>
    </xf>
    <xf numFmtId="0" fontId="2" fillId="2" borderId="13" xfId="0" applyFont="1" applyFill="1" applyBorder="1" applyAlignment="1">
      <alignment horizontal="center" vertical="center" wrapText="1"/>
    </xf>
    <xf numFmtId="0" fontId="1" fillId="14" borderId="5" xfId="0" applyFont="1" applyFill="1" applyBorder="1" applyAlignment="1">
      <alignment horizontal="center" vertical="center"/>
    </xf>
    <xf numFmtId="0" fontId="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0" xfId="0" applyFont="1" applyFill="1" applyAlignment="1">
      <alignment horizontal="center" vertical="center"/>
    </xf>
    <xf numFmtId="0" fontId="2" fillId="0" borderId="36" xfId="0" applyFont="1" applyBorder="1" applyAlignment="1">
      <alignment horizontal="center" vertical="center" wrapText="1"/>
    </xf>
    <xf numFmtId="0" fontId="1" fillId="14" borderId="31" xfId="0" applyFont="1" applyFill="1" applyBorder="1"/>
    <xf numFmtId="0" fontId="1" fillId="14" borderId="16" xfId="0" applyFont="1" applyFill="1" applyBorder="1" applyAlignment="1">
      <alignment horizontal="center" vertical="center"/>
    </xf>
    <xf numFmtId="0" fontId="2" fillId="14" borderId="16" xfId="0" applyFont="1" applyFill="1" applyBorder="1" applyAlignment="1">
      <alignment horizontal="center" vertical="center" wrapText="1"/>
    </xf>
    <xf numFmtId="0" fontId="2" fillId="14" borderId="37" xfId="0" applyFont="1" applyFill="1" applyBorder="1" applyAlignment="1">
      <alignment horizontal="center" vertical="center"/>
    </xf>
    <xf numFmtId="0" fontId="2" fillId="14" borderId="16" xfId="0" applyFont="1" applyFill="1" applyBorder="1" applyAlignment="1">
      <alignment horizontal="center" vertical="center"/>
    </xf>
    <xf numFmtId="0" fontId="1" fillId="2" borderId="15" xfId="0" applyFont="1" applyFill="1" applyBorder="1"/>
    <xf numFmtId="0" fontId="2" fillId="2" borderId="19" xfId="0" applyFont="1" applyFill="1" applyBorder="1" applyAlignment="1">
      <alignment horizontal="center" vertical="center" wrapText="1"/>
    </xf>
    <xf numFmtId="0" fontId="4" fillId="2" borderId="3" xfId="0" applyFont="1" applyFill="1" applyBorder="1" applyAlignment="1" applyProtection="1">
      <alignment horizontal="center" vertical="center" wrapText="1"/>
    </xf>
    <xf numFmtId="0" fontId="4" fillId="12" borderId="3" xfId="0" applyFont="1" applyFill="1" applyBorder="1" applyAlignment="1" applyProtection="1">
      <alignment horizontal="center" vertical="center" wrapText="1"/>
    </xf>
    <xf numFmtId="0" fontId="4" fillId="0" borderId="3" xfId="0" applyFont="1" applyBorder="1" applyAlignment="1">
      <alignment horizontal="center" vertical="center" wrapText="1"/>
    </xf>
    <xf numFmtId="0" fontId="2" fillId="6" borderId="0" xfId="0" applyFont="1" applyFill="1" applyBorder="1" applyAlignment="1">
      <alignment horizontal="center" vertical="center" wrapText="1"/>
    </xf>
    <xf numFmtId="0" fontId="4" fillId="2" borderId="9" xfId="0" applyFont="1" applyFill="1" applyBorder="1" applyAlignment="1" applyProtection="1">
      <alignment horizontal="center" vertical="center" wrapText="1"/>
    </xf>
    <xf numFmtId="0" fontId="4" fillId="6" borderId="0" xfId="0" applyFont="1" applyFill="1" applyBorder="1" applyAlignment="1" applyProtection="1">
      <alignment horizontal="center" vertical="center" wrapText="1"/>
    </xf>
    <xf numFmtId="0" fontId="2" fillId="2" borderId="6" xfId="0" applyFont="1" applyFill="1" applyBorder="1" applyAlignment="1">
      <alignment horizontal="center" vertical="center"/>
    </xf>
    <xf numFmtId="0" fontId="2" fillId="2" borderId="6" xfId="0" applyFont="1" applyFill="1" applyBorder="1" applyAlignment="1">
      <alignment horizontal="center" vertical="center" wrapText="1"/>
    </xf>
    <xf numFmtId="0" fontId="44" fillId="0" borderId="16" xfId="0" applyFont="1" applyBorder="1" applyAlignment="1">
      <alignment horizontal="center" vertical="center" wrapText="1"/>
    </xf>
    <xf numFmtId="0" fontId="6" fillId="0" borderId="16" xfId="0" applyFont="1" applyBorder="1"/>
    <xf numFmtId="0" fontId="15" fillId="13" borderId="3" xfId="0" applyFont="1" applyFill="1" applyBorder="1" applyAlignment="1">
      <alignment horizontal="center" vertical="center"/>
    </xf>
    <xf numFmtId="0" fontId="11" fillId="0" borderId="5" xfId="0" applyFont="1" applyBorder="1" applyAlignment="1">
      <alignment horizontal="center" vertical="center"/>
    </xf>
    <xf numFmtId="0" fontId="18" fillId="14" borderId="0" xfId="0" applyFont="1" applyFill="1" applyBorder="1" applyAlignment="1">
      <alignment horizontal="center" vertical="center"/>
    </xf>
    <xf numFmtId="0" fontId="58" fillId="0" borderId="5" xfId="0" applyFont="1" applyBorder="1" applyAlignment="1">
      <alignment horizontal="center" vertical="center" wrapText="1"/>
    </xf>
    <xf numFmtId="0" fontId="1" fillId="14" borderId="30" xfId="0" applyFont="1" applyFill="1" applyBorder="1" applyAlignment="1">
      <alignment wrapText="1"/>
    </xf>
    <xf numFmtId="0" fontId="1" fillId="0" borderId="15" xfId="0" applyFont="1" applyBorder="1" applyAlignment="1">
      <alignment horizontal="center" vertical="center" wrapText="1"/>
    </xf>
    <xf numFmtId="0" fontId="1" fillId="14" borderId="33" xfId="0" applyFont="1" applyFill="1" applyBorder="1" applyAlignment="1">
      <alignment wrapText="1"/>
    </xf>
    <xf numFmtId="0" fontId="1" fillId="0" borderId="0" xfId="0" applyFont="1" applyAlignment="1">
      <alignment wrapText="1"/>
    </xf>
    <xf numFmtId="0" fontId="1" fillId="0" borderId="19" xfId="0" applyFont="1" applyBorder="1" applyAlignment="1">
      <alignment horizontal="center" vertical="center"/>
    </xf>
    <xf numFmtId="0" fontId="2" fillId="14" borderId="41" xfId="0" applyFont="1" applyFill="1" applyBorder="1" applyAlignment="1">
      <alignment horizontal="center" vertical="center"/>
    </xf>
    <xf numFmtId="0" fontId="2" fillId="14" borderId="36" xfId="0" applyFont="1" applyFill="1" applyBorder="1" applyAlignment="1">
      <alignment horizontal="center" vertical="center"/>
    </xf>
    <xf numFmtId="0" fontId="2" fillId="14" borderId="40" xfId="0" applyFont="1" applyFill="1" applyBorder="1" applyAlignment="1">
      <alignment horizontal="center" vertical="center"/>
    </xf>
    <xf numFmtId="0" fontId="54" fillId="0" borderId="19" xfId="0" applyFont="1" applyBorder="1" applyAlignment="1">
      <alignment horizontal="center" vertical="center" wrapText="1"/>
    </xf>
    <xf numFmtId="0" fontId="5" fillId="6" borderId="19" xfId="0" applyFont="1" applyFill="1" applyBorder="1" applyAlignment="1">
      <alignment horizontal="center" vertical="center" wrapText="1"/>
    </xf>
    <xf numFmtId="0" fontId="7" fillId="6" borderId="32" xfId="0" applyFont="1" applyFill="1" applyBorder="1" applyAlignment="1">
      <alignment horizontal="center" vertical="center" wrapText="1"/>
    </xf>
    <xf numFmtId="0" fontId="6" fillId="0" borderId="32" xfId="0" applyFont="1" applyBorder="1" applyAlignment="1">
      <alignment horizontal="center" vertical="center"/>
    </xf>
    <xf numFmtId="0" fontId="6" fillId="6" borderId="32" xfId="0" applyFont="1" applyFill="1" applyBorder="1" applyAlignment="1">
      <alignment horizontal="center" vertical="center" wrapText="1"/>
    </xf>
    <xf numFmtId="0" fontId="10" fillId="14" borderId="37" xfId="0" applyFont="1" applyFill="1" applyBorder="1" applyAlignment="1">
      <alignment horizontal="center" vertical="center"/>
    </xf>
    <xf numFmtId="0" fontId="44" fillId="0" borderId="32" xfId="0" applyFont="1" applyBorder="1" applyAlignment="1">
      <alignment horizontal="center" vertical="center" wrapText="1"/>
    </xf>
    <xf numFmtId="0" fontId="6" fillId="8" borderId="3" xfId="0" applyFont="1" applyFill="1" applyBorder="1" applyAlignment="1">
      <alignment horizontal="center" wrapText="1"/>
    </xf>
    <xf numFmtId="0" fontId="6" fillId="12" borderId="3" xfId="0" applyFont="1" applyFill="1" applyBorder="1" applyAlignment="1">
      <alignment horizontal="center" vertical="center" wrapText="1"/>
    </xf>
    <xf numFmtId="0" fontId="1" fillId="14" borderId="3" xfId="0" applyFont="1" applyFill="1" applyBorder="1"/>
    <xf numFmtId="0" fontId="44" fillId="0" borderId="3" xfId="0" applyFont="1" applyBorder="1" applyAlignment="1">
      <alignment horizontal="center" vertical="center" wrapText="1"/>
    </xf>
    <xf numFmtId="0" fontId="2" fillId="13" borderId="3" xfId="0" applyFont="1" applyFill="1" applyBorder="1" applyAlignment="1">
      <alignment horizontal="center" vertical="center"/>
    </xf>
    <xf numFmtId="0" fontId="4" fillId="12" borderId="9" xfId="0" applyFont="1" applyFill="1" applyBorder="1" applyAlignment="1" applyProtection="1">
      <alignment horizontal="center" vertical="center" wrapText="1"/>
    </xf>
    <xf numFmtId="0" fontId="38" fillId="12" borderId="9" xfId="0" applyFont="1" applyFill="1" applyBorder="1" applyAlignment="1" applyProtection="1">
      <alignment horizontal="center" vertical="center" wrapText="1"/>
    </xf>
    <xf numFmtId="0" fontId="7" fillId="12" borderId="9" xfId="0" applyFont="1" applyFill="1" applyBorder="1" applyAlignment="1">
      <alignment horizontal="center" vertical="center" wrapText="1"/>
    </xf>
    <xf numFmtId="0" fontId="38" fillId="12" borderId="6" xfId="0" applyFont="1" applyFill="1" applyBorder="1" applyAlignment="1">
      <alignment horizontal="center" vertical="center" wrapText="1"/>
    </xf>
    <xf numFmtId="0" fontId="38" fillId="12" borderId="9" xfId="0" applyFont="1" applyFill="1" applyBorder="1" applyAlignment="1">
      <alignment horizontal="center" vertical="center" wrapText="1"/>
    </xf>
    <xf numFmtId="0" fontId="1" fillId="13" borderId="3" xfId="0" applyFont="1" applyFill="1" applyBorder="1" applyAlignment="1">
      <alignment horizontal="center" vertical="center"/>
    </xf>
    <xf numFmtId="10" fontId="7" fillId="13" borderId="3" xfId="0" applyNumberFormat="1" applyFont="1" applyFill="1" applyBorder="1" applyAlignment="1">
      <alignment horizontal="center" vertical="center" wrapText="1"/>
    </xf>
    <xf numFmtId="10" fontId="6" fillId="13" borderId="3" xfId="0" applyNumberFormat="1" applyFont="1" applyFill="1" applyBorder="1" applyAlignment="1">
      <alignment horizontal="center" vertical="center"/>
    </xf>
    <xf numFmtId="9" fontId="7" fillId="13" borderId="3" xfId="0" applyNumberFormat="1" applyFont="1" applyFill="1" applyBorder="1" applyAlignment="1">
      <alignment horizontal="center" vertical="center" wrapText="1"/>
    </xf>
    <xf numFmtId="9" fontId="6" fillId="13" borderId="3" xfId="0" applyNumberFormat="1" applyFont="1" applyFill="1" applyBorder="1" applyAlignment="1">
      <alignment horizontal="center" vertical="center"/>
    </xf>
    <xf numFmtId="2" fontId="6" fillId="13" borderId="3" xfId="0" applyNumberFormat="1" applyFont="1" applyFill="1" applyBorder="1" applyAlignment="1">
      <alignment horizontal="center" vertical="center" wrapText="1"/>
    </xf>
    <xf numFmtId="10" fontId="6" fillId="13"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1" fontId="6" fillId="6" borderId="3" xfId="0"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58" fillId="0" borderId="4" xfId="0" applyFont="1" applyBorder="1" applyAlignment="1">
      <alignment horizontal="center" vertical="center" wrapText="1"/>
    </xf>
    <xf numFmtId="0" fontId="12" fillId="0" borderId="3" xfId="0" applyFont="1" applyBorder="1" applyAlignment="1">
      <alignment horizontal="center" vertical="center" wrapText="1"/>
    </xf>
    <xf numFmtId="0" fontId="0" fillId="2" borderId="3" xfId="0" applyFill="1" applyBorder="1" applyAlignment="1">
      <alignment vertical="center"/>
    </xf>
    <xf numFmtId="0" fontId="7" fillId="2" borderId="0" xfId="0" applyFont="1" applyFill="1" applyBorder="1" applyAlignment="1">
      <alignment horizontal="center" vertical="center" wrapText="1"/>
    </xf>
    <xf numFmtId="0" fontId="11" fillId="6" borderId="20" xfId="0" applyFont="1" applyFill="1" applyBorder="1" applyAlignment="1">
      <alignment horizontal="center" vertical="center"/>
    </xf>
    <xf numFmtId="0" fontId="1" fillId="6" borderId="4" xfId="0" applyFont="1" applyFill="1" applyBorder="1" applyAlignment="1">
      <alignment horizontal="center" vertical="center"/>
    </xf>
    <xf numFmtId="0" fontId="1" fillId="6" borderId="0" xfId="0" applyFont="1" applyFill="1" applyBorder="1" applyAlignment="1">
      <alignment horizontal="center"/>
    </xf>
    <xf numFmtId="0" fontId="1" fillId="6" borderId="24" xfId="0" applyFont="1" applyFill="1" applyBorder="1" applyAlignment="1">
      <alignment horizontal="center"/>
    </xf>
    <xf numFmtId="0" fontId="1" fillId="6" borderId="11" xfId="0" applyFont="1" applyFill="1" applyBorder="1" applyAlignment="1">
      <alignment horizontal="center"/>
    </xf>
    <xf numFmtId="0" fontId="6" fillId="8" borderId="3" xfId="0" applyFont="1" applyFill="1" applyBorder="1" applyAlignment="1">
      <alignment horizontal="center" vertical="center" wrapText="1"/>
    </xf>
    <xf numFmtId="0" fontId="54" fillId="6" borderId="3" xfId="0" applyFont="1" applyFill="1" applyBorder="1" applyAlignment="1">
      <alignment vertical="center" wrapText="1"/>
    </xf>
    <xf numFmtId="0" fontId="6" fillId="8" borderId="3"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1" fillId="6" borderId="20" xfId="0" applyFont="1" applyFill="1" applyBorder="1" applyAlignment="1">
      <alignment horizontal="center" vertical="center"/>
    </xf>
    <xf numFmtId="0" fontId="1" fillId="14" borderId="34" xfId="0" applyFont="1" applyFill="1" applyBorder="1"/>
    <xf numFmtId="0" fontId="6" fillId="2" borderId="16" xfId="0" applyFont="1" applyFill="1" applyBorder="1" applyAlignment="1">
      <alignment horizontal="center" vertical="center"/>
    </xf>
    <xf numFmtId="4" fontId="7" fillId="7" borderId="3" xfId="0" applyNumberFormat="1" applyFont="1" applyFill="1" applyBorder="1" applyAlignment="1">
      <alignment horizontal="center" vertical="center" wrapText="1"/>
    </xf>
    <xf numFmtId="0" fontId="11" fillId="6" borderId="5" xfId="0" applyFont="1" applyFill="1" applyBorder="1" applyAlignment="1">
      <alignment horizontal="center" vertical="center" wrapText="1"/>
    </xf>
    <xf numFmtId="0" fontId="2" fillId="0" borderId="36" xfId="0" applyFont="1" applyBorder="1" applyAlignment="1">
      <alignment horizontal="center" vertical="center"/>
    </xf>
    <xf numFmtId="0" fontId="62" fillId="2" borderId="19"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64" fillId="14" borderId="3" xfId="0" applyFont="1" applyFill="1" applyBorder="1"/>
    <xf numFmtId="0" fontId="65" fillId="8" borderId="16" xfId="0" applyFont="1" applyFill="1" applyBorder="1" applyAlignment="1">
      <alignment horizontal="center" vertical="center" wrapText="1"/>
    </xf>
    <xf numFmtId="0" fontId="64" fillId="14" borderId="0" xfId="0" applyFont="1" applyFill="1"/>
    <xf numFmtId="0" fontId="63" fillId="2" borderId="15" xfId="0" applyFont="1" applyFill="1" applyBorder="1" applyAlignment="1">
      <alignment horizontal="center" vertical="center"/>
    </xf>
    <xf numFmtId="0" fontId="66" fillId="2" borderId="3" xfId="0" applyFont="1" applyFill="1" applyBorder="1" applyAlignment="1">
      <alignment horizontal="center" vertical="center"/>
    </xf>
    <xf numFmtId="0" fontId="63" fillId="2" borderId="16" xfId="0" applyFont="1" applyFill="1" applyBorder="1" applyAlignment="1">
      <alignment horizontal="center" vertical="center" wrapText="1"/>
    </xf>
    <xf numFmtId="0" fontId="62" fillId="2" borderId="15" xfId="0" applyFont="1" applyFill="1" applyBorder="1" applyAlignment="1">
      <alignment horizontal="center" vertical="center" wrapText="1"/>
    </xf>
    <xf numFmtId="0" fontId="66" fillId="0" borderId="3" xfId="0" applyFont="1" applyBorder="1" applyAlignment="1">
      <alignment horizontal="center" vertical="center"/>
    </xf>
    <xf numFmtId="0" fontId="66"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7" fillId="2" borderId="2" xfId="0" applyFont="1" applyFill="1" applyBorder="1" applyAlignment="1" applyProtection="1">
      <alignment horizontal="center" vertical="center" wrapText="1"/>
    </xf>
    <xf numFmtId="0" fontId="63" fillId="2" borderId="32" xfId="0" applyFont="1" applyFill="1" applyBorder="1" applyAlignment="1">
      <alignment horizontal="center" vertical="center" wrapText="1"/>
    </xf>
    <xf numFmtId="0" fontId="68" fillId="14" borderId="5" xfId="0" applyFont="1" applyFill="1" applyBorder="1" applyAlignment="1">
      <alignment horizontal="center" vertical="center" wrapText="1"/>
    </xf>
    <xf numFmtId="0" fontId="68" fillId="14" borderId="16" xfId="0" applyFont="1" applyFill="1" applyBorder="1" applyAlignment="1">
      <alignment horizontal="center" vertical="center" wrapText="1"/>
    </xf>
    <xf numFmtId="0" fontId="69" fillId="2" borderId="15"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2" fillId="2" borderId="15" xfId="0" applyFont="1" applyFill="1" applyBorder="1"/>
    <xf numFmtId="0" fontId="66" fillId="2" borderId="4" xfId="0" applyFont="1" applyFill="1" applyBorder="1" applyAlignment="1">
      <alignment horizontal="center" vertical="center" wrapText="1"/>
    </xf>
    <xf numFmtId="0" fontId="63" fillId="2" borderId="6" xfId="0" applyFont="1" applyFill="1" applyBorder="1" applyAlignment="1">
      <alignment horizontal="center" vertical="center" wrapText="1"/>
    </xf>
    <xf numFmtId="9" fontId="7" fillId="7" borderId="3" xfId="0" applyNumberFormat="1" applyFont="1" applyFill="1" applyBorder="1" applyAlignment="1">
      <alignment horizontal="center" vertical="center"/>
    </xf>
    <xf numFmtId="0" fontId="7" fillId="2" borderId="0" xfId="0" applyFont="1" applyFill="1" applyBorder="1" applyAlignment="1">
      <alignment horizontal="center" vertical="center" wrapText="1"/>
    </xf>
    <xf numFmtId="0" fontId="24" fillId="6" borderId="3" xfId="0" applyFont="1" applyFill="1" applyBorder="1" applyAlignment="1">
      <alignment horizontal="center" vertical="center" wrapText="1"/>
    </xf>
    <xf numFmtId="0" fontId="5"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54" fillId="0" borderId="15" xfId="0" applyFont="1" applyBorder="1" applyAlignment="1">
      <alignment horizontal="center" vertical="center" wrapText="1"/>
    </xf>
    <xf numFmtId="0" fontId="6" fillId="8"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44" fillId="2" borderId="20"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38" fillId="2" borderId="20" xfId="0" applyFont="1" applyFill="1" applyBorder="1" applyAlignment="1" applyProtection="1">
      <alignment horizontal="center" vertical="center" wrapText="1"/>
    </xf>
    <xf numFmtId="0" fontId="7" fillId="2" borderId="38"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38" fillId="2" borderId="20"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2" fillId="8" borderId="25" xfId="0" applyFont="1" applyFill="1" applyBorder="1" applyAlignment="1">
      <alignment horizontal="center" vertical="center" wrapText="1"/>
    </xf>
    <xf numFmtId="0" fontId="44" fillId="2" borderId="9" xfId="0" applyFont="1" applyFill="1" applyBorder="1" applyAlignment="1">
      <alignment horizontal="center" vertical="center" wrapText="1"/>
    </xf>
    <xf numFmtId="0" fontId="11" fillId="14" borderId="9" xfId="0" applyFont="1" applyFill="1" applyBorder="1"/>
    <xf numFmtId="0" fontId="2" fillId="2" borderId="37" xfId="0" applyFont="1" applyFill="1" applyBorder="1" applyAlignment="1">
      <alignment horizontal="center" vertical="center" wrapText="1"/>
    </xf>
    <xf numFmtId="0" fontId="12" fillId="2" borderId="0" xfId="0" applyFont="1" applyFill="1" applyAlignment="1">
      <alignment horizontal="center" vertical="center"/>
    </xf>
    <xf numFmtId="0" fontId="14" fillId="2" borderId="20" xfId="0" applyFont="1" applyFill="1" applyBorder="1" applyAlignment="1">
      <alignment horizontal="center" vertical="center"/>
    </xf>
    <xf numFmtId="0" fontId="5" fillId="2" borderId="41"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6" fillId="14" borderId="3" xfId="0" applyFont="1" applyFill="1" applyBorder="1"/>
    <xf numFmtId="0" fontId="2" fillId="0" borderId="21" xfId="0" applyFont="1" applyBorder="1" applyAlignment="1">
      <alignment horizontal="center" vertical="center" wrapText="1"/>
    </xf>
    <xf numFmtId="0" fontId="1" fillId="14" borderId="6" xfId="0" applyFont="1" applyFill="1" applyBorder="1" applyAlignment="1">
      <alignment horizontal="center" vertical="center"/>
    </xf>
    <xf numFmtId="0" fontId="11" fillId="14" borderId="42" xfId="0" applyFont="1" applyFill="1" applyBorder="1"/>
    <xf numFmtId="0" fontId="11" fillId="14" borderId="16" xfId="0" applyFont="1" applyFill="1" applyBorder="1"/>
    <xf numFmtId="0" fontId="11" fillId="14" borderId="18" xfId="0" applyFont="1" applyFill="1" applyBorder="1"/>
    <xf numFmtId="0" fontId="1" fillId="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3" fontId="6" fillId="13" borderId="3" xfId="0" applyNumberFormat="1" applyFont="1" applyFill="1" applyBorder="1" applyAlignment="1">
      <alignment horizontal="center" vertical="center" wrapText="1"/>
    </xf>
    <xf numFmtId="0" fontId="1" fillId="13" borderId="3" xfId="0" applyFont="1" applyFill="1" applyBorder="1" applyAlignment="1">
      <alignment horizontal="center" vertical="center" wrapText="1"/>
    </xf>
    <xf numFmtId="10" fontId="7" fillId="9" borderId="3"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2" fillId="2" borderId="3" xfId="0" applyFont="1" applyFill="1" applyBorder="1" applyAlignment="1">
      <alignment horizontal="center" vertical="center"/>
    </xf>
    <xf numFmtId="0" fontId="7" fillId="2" borderId="0" xfId="0" applyFont="1" applyFill="1" applyBorder="1" applyAlignment="1">
      <alignment horizontal="center" vertical="center" wrapText="1"/>
    </xf>
    <xf numFmtId="0" fontId="4" fillId="6" borderId="3" xfId="0" applyFont="1" applyFill="1" applyBorder="1" applyAlignment="1">
      <alignment horizontal="left" vertical="center"/>
    </xf>
    <xf numFmtId="0" fontId="18" fillId="14" borderId="20" xfId="0" applyFont="1" applyFill="1" applyBorder="1" applyAlignment="1">
      <alignment horizontal="center" vertical="center"/>
    </xf>
    <xf numFmtId="0" fontId="18" fillId="14" borderId="22" xfId="0" applyFont="1" applyFill="1" applyBorder="1" applyAlignment="1">
      <alignment horizontal="center" vertical="center"/>
    </xf>
    <xf numFmtId="0" fontId="11" fillId="6" borderId="20" xfId="0" applyFont="1" applyFill="1" applyBorder="1" applyAlignment="1">
      <alignment horizontal="center" vertical="center"/>
    </xf>
    <xf numFmtId="0" fontId="7" fillId="2" borderId="0" xfId="0" applyFont="1" applyFill="1" applyBorder="1" applyAlignment="1">
      <alignment horizontal="center" vertical="center" wrapText="1"/>
    </xf>
    <xf numFmtId="2" fontId="6" fillId="9" borderId="3" xfId="0" applyNumberFormat="1" applyFont="1" applyFill="1" applyBorder="1" applyAlignment="1">
      <alignment horizontal="center" vertical="center" wrapText="1"/>
    </xf>
    <xf numFmtId="0" fontId="1" fillId="6" borderId="3" xfId="0" applyFont="1" applyFill="1" applyBorder="1" applyAlignment="1">
      <alignment horizontal="left" vertical="top" wrapText="1"/>
    </xf>
    <xf numFmtId="0" fontId="54" fillId="2" borderId="3" xfId="0" applyFont="1" applyFill="1" applyBorder="1" applyAlignment="1">
      <alignment horizontal="left" vertical="center" wrapText="1"/>
    </xf>
    <xf numFmtId="0" fontId="7" fillId="2"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24" fillId="8" borderId="3" xfId="0" applyFont="1" applyFill="1" applyBorder="1" applyAlignment="1">
      <alignment horizontal="center" vertical="center" wrapText="1"/>
    </xf>
    <xf numFmtId="0" fontId="11" fillId="0" borderId="15" xfId="0" applyFont="1" applyBorder="1" applyAlignment="1">
      <alignment horizontal="center" vertical="center"/>
    </xf>
    <xf numFmtId="0" fontId="7" fillId="2" borderId="15"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14" fillId="6" borderId="20" xfId="0" applyFont="1" applyFill="1" applyBorder="1" applyAlignment="1">
      <alignment horizontal="center" vertical="center" wrapText="1"/>
    </xf>
    <xf numFmtId="0" fontId="14" fillId="14" borderId="8" xfId="0" applyFont="1" applyFill="1" applyBorder="1" applyAlignment="1">
      <alignment wrapText="1"/>
    </xf>
    <xf numFmtId="0" fontId="15" fillId="14" borderId="20" xfId="0" applyFont="1" applyFill="1" applyBorder="1" applyAlignment="1">
      <alignment horizontal="center" vertical="center" wrapText="1"/>
    </xf>
    <xf numFmtId="0" fontId="15" fillId="14" borderId="22"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14" borderId="34" xfId="0" applyFont="1" applyFill="1" applyBorder="1" applyAlignment="1">
      <alignment wrapText="1"/>
    </xf>
    <xf numFmtId="0" fontId="14" fillId="0" borderId="0" xfId="0" applyFont="1" applyAlignment="1">
      <alignment wrapText="1"/>
    </xf>
    <xf numFmtId="0" fontId="6" fillId="8" borderId="3" xfId="0" applyFont="1" applyFill="1" applyBorder="1" applyAlignment="1">
      <alignment horizontal="center" vertical="center" wrapText="1"/>
    </xf>
    <xf numFmtId="0" fontId="18" fillId="14" borderId="17"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18" xfId="0" applyFont="1" applyFill="1" applyBorder="1" applyAlignment="1">
      <alignment horizontal="center" vertical="center"/>
    </xf>
    <xf numFmtId="0" fontId="7" fillId="9" borderId="3" xfId="0" applyFont="1" applyFill="1" applyBorder="1" applyAlignment="1">
      <alignment horizontal="center" vertical="center"/>
    </xf>
    <xf numFmtId="0" fontId="7" fillId="5" borderId="4" xfId="0" applyFont="1" applyFill="1" applyBorder="1" applyAlignment="1">
      <alignment horizontal="center" vertical="center" wrapText="1"/>
    </xf>
    <xf numFmtId="0" fontId="75" fillId="6" borderId="3" xfId="0" applyFont="1" applyFill="1" applyBorder="1" applyAlignment="1">
      <alignment horizontal="center" vertical="center" wrapText="1"/>
    </xf>
    <xf numFmtId="0" fontId="5" fillId="2" borderId="0" xfId="0" applyFont="1" applyFill="1" applyAlignment="1">
      <alignment vertical="center"/>
    </xf>
    <xf numFmtId="0" fontId="12" fillId="6" borderId="16" xfId="0" applyFont="1" applyFill="1" applyBorder="1" applyAlignment="1">
      <alignment horizontal="center" vertical="center" wrapText="1"/>
    </xf>
    <xf numFmtId="9" fontId="6" fillId="9" borderId="3" xfId="0" applyNumberFormat="1" applyFont="1" applyFill="1" applyBorder="1" applyAlignment="1">
      <alignment horizontal="center" vertical="center"/>
    </xf>
    <xf numFmtId="0" fontId="7" fillId="2" borderId="0"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4" fillId="0" borderId="3" xfId="0" applyFont="1" applyBorder="1" applyAlignment="1">
      <alignment horizontal="center" wrapText="1"/>
    </xf>
    <xf numFmtId="0" fontId="7" fillId="6" borderId="3" xfId="0" applyNumberFormat="1" applyFont="1" applyFill="1" applyBorder="1" applyAlignment="1">
      <alignment horizontal="center" vertical="center" wrapText="1"/>
    </xf>
    <xf numFmtId="0" fontId="6" fillId="11" borderId="4" xfId="0" applyFont="1" applyFill="1" applyBorder="1" applyAlignment="1">
      <alignment horizontal="center" vertical="center"/>
    </xf>
    <xf numFmtId="168" fontId="6" fillId="7" borderId="3" xfId="0" applyNumberFormat="1" applyFont="1" applyFill="1" applyBorder="1" applyAlignment="1">
      <alignment horizontal="center" vertical="center"/>
    </xf>
    <xf numFmtId="0" fontId="6" fillId="12" borderId="4"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5" fillId="2" borderId="3" xfId="0" applyFont="1" applyFill="1" applyBorder="1" applyAlignment="1">
      <alignment vertical="center" wrapText="1"/>
    </xf>
    <xf numFmtId="1" fontId="6" fillId="13" borderId="3" xfId="0" applyNumberFormat="1" applyFont="1" applyFill="1" applyBorder="1" applyAlignment="1">
      <alignment horizontal="center" vertical="center" wrapText="1"/>
    </xf>
    <xf numFmtId="0" fontId="6" fillId="12" borderId="3" xfId="0" applyFont="1" applyFill="1" applyBorder="1" applyAlignment="1">
      <alignment horizontal="center" vertical="center" wrapText="1"/>
    </xf>
    <xf numFmtId="3" fontId="2" fillId="12" borderId="3" xfId="0" applyNumberFormat="1" applyFont="1" applyFill="1" applyBorder="1" applyAlignment="1">
      <alignment horizontal="center" vertical="center" wrapText="1"/>
    </xf>
    <xf numFmtId="0" fontId="4" fillId="2" borderId="9"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15" fillId="12" borderId="3" xfId="0" applyFont="1" applyFill="1" applyBorder="1" applyAlignment="1">
      <alignment horizontal="center" vertical="center" wrapText="1"/>
    </xf>
    <xf numFmtId="0" fontId="4" fillId="2" borderId="3" xfId="0" applyFont="1" applyFill="1" applyBorder="1" applyAlignment="1" applyProtection="1">
      <alignment horizontal="center" vertical="center"/>
    </xf>
    <xf numFmtId="0" fontId="6" fillId="6" borderId="20" xfId="0" applyNumberFormat="1" applyFont="1" applyFill="1" applyBorder="1" applyAlignment="1">
      <alignment horizontal="center" vertical="center" wrapText="1"/>
    </xf>
    <xf numFmtId="0" fontId="7" fillId="6" borderId="20" xfId="0" applyFont="1" applyFill="1" applyBorder="1" applyAlignment="1">
      <alignment horizontal="center" vertical="center" wrapText="1"/>
    </xf>
    <xf numFmtId="0" fontId="6" fillId="6" borderId="20" xfId="0" applyFont="1" applyFill="1" applyBorder="1" applyAlignment="1">
      <alignment horizontal="center" vertical="center" wrapText="1"/>
    </xf>
    <xf numFmtId="2" fontId="6" fillId="6" borderId="20" xfId="0" applyNumberFormat="1" applyFont="1" applyFill="1" applyBorder="1" applyAlignment="1">
      <alignment horizontal="center" vertical="center"/>
    </xf>
    <xf numFmtId="0" fontId="29" fillId="6" borderId="20" xfId="0" applyFont="1" applyFill="1" applyBorder="1" applyAlignment="1">
      <alignment horizontal="center" vertical="center" wrapText="1"/>
    </xf>
    <xf numFmtId="0" fontId="2" fillId="6" borderId="3" xfId="0" applyFont="1" applyFill="1" applyBorder="1" applyAlignment="1">
      <alignment horizontal="center" vertical="center"/>
    </xf>
    <xf numFmtId="0" fontId="6" fillId="8"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1" fillId="6" borderId="0" xfId="0" applyFont="1" applyFill="1" applyAlignment="1">
      <alignment horizontal="center"/>
    </xf>
    <xf numFmtId="0" fontId="6" fillId="6" borderId="0" xfId="0" applyFont="1" applyFill="1" applyAlignment="1">
      <alignment horizontal="center" vertical="center"/>
    </xf>
    <xf numFmtId="0" fontId="6" fillId="6" borderId="0" xfId="0" applyFont="1" applyFill="1" applyAlignment="1">
      <alignment horizontal="center"/>
    </xf>
    <xf numFmtId="0" fontId="6" fillId="6" borderId="0" xfId="0" applyFont="1" applyFill="1" applyAlignment="1">
      <alignment horizontal="center" vertical="center" wrapText="1"/>
    </xf>
    <xf numFmtId="0" fontId="1" fillId="6" borderId="0" xfId="0" applyFont="1" applyFill="1" applyAlignment="1">
      <alignment horizontal="center" vertical="center" wrapText="1"/>
    </xf>
    <xf numFmtId="0" fontId="6" fillId="10" borderId="0" xfId="0" applyFont="1" applyFill="1" applyBorder="1" applyAlignment="1">
      <alignment horizontal="center" vertical="center"/>
    </xf>
    <xf numFmtId="1" fontId="6" fillId="10" borderId="0" xfId="0" applyNumberFormat="1" applyFont="1" applyFill="1" applyBorder="1" applyAlignment="1">
      <alignment horizontal="center" vertical="center"/>
    </xf>
    <xf numFmtId="0" fontId="10" fillId="10" borderId="0" xfId="0" applyFont="1" applyFill="1" applyBorder="1" applyAlignment="1">
      <alignment horizontal="center" vertical="center"/>
    </xf>
    <xf numFmtId="0" fontId="6" fillId="12" borderId="4"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4" xfId="0" applyFont="1" applyFill="1" applyBorder="1" applyAlignment="1">
      <alignment horizontal="center" vertical="center" wrapText="1"/>
    </xf>
    <xf numFmtId="0" fontId="6" fillId="12" borderId="3" xfId="0" applyFont="1" applyFill="1" applyBorder="1" applyAlignment="1">
      <alignment horizontal="center" vertical="center" wrapText="1"/>
    </xf>
    <xf numFmtId="10" fontId="6" fillId="9" borderId="3" xfId="0" applyNumberFormat="1" applyFont="1" applyFill="1" applyBorder="1" applyAlignment="1">
      <alignment horizontal="center" vertical="center"/>
    </xf>
    <xf numFmtId="4" fontId="6" fillId="13" borderId="3" xfId="0" applyNumberFormat="1" applyFont="1" applyFill="1" applyBorder="1" applyAlignment="1">
      <alignment horizontal="center" vertical="center"/>
    </xf>
    <xf numFmtId="4" fontId="6" fillId="6" borderId="4" xfId="0" applyNumberFormat="1" applyFont="1" applyFill="1" applyBorder="1" applyAlignment="1">
      <alignment horizontal="center" vertical="center"/>
    </xf>
    <xf numFmtId="0" fontId="6" fillId="12" borderId="4"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2" fillId="6" borderId="3" xfId="0" applyFont="1" applyFill="1" applyBorder="1" applyAlignment="1">
      <alignment horizontal="center" vertical="center"/>
    </xf>
    <xf numFmtId="0" fontId="2" fillId="0" borderId="3" xfId="0" applyFont="1" applyBorder="1" applyAlignment="1">
      <alignment horizontal="center" vertical="center"/>
    </xf>
    <xf numFmtId="0" fontId="6" fillId="12" borderId="3" xfId="0" applyFont="1" applyFill="1" applyBorder="1" applyAlignment="1">
      <alignment horizontal="center" vertical="center" wrapText="1"/>
    </xf>
    <xf numFmtId="0" fontId="6" fillId="0" borderId="0" xfId="0" applyFont="1" applyAlignment="1">
      <alignment horizontal="center" vertical="center" wrapText="1"/>
    </xf>
    <xf numFmtId="0" fontId="2" fillId="2" borderId="3" xfId="0" applyFont="1" applyFill="1" applyBorder="1" applyAlignment="1">
      <alignment horizontal="center" vertical="center"/>
    </xf>
    <xf numFmtId="0" fontId="6" fillId="12" borderId="3" xfId="0" applyFont="1" applyFill="1" applyBorder="1" applyAlignment="1">
      <alignment horizontal="center" vertical="center" wrapText="1"/>
    </xf>
    <xf numFmtId="0" fontId="4" fillId="2" borderId="3" xfId="0" applyFont="1" applyFill="1" applyBorder="1" applyAlignment="1">
      <alignment vertical="center" wrapText="1"/>
    </xf>
    <xf numFmtId="0" fontId="5" fillId="0" borderId="3" xfId="0" applyFont="1" applyBorder="1" applyAlignment="1">
      <alignment vertical="center" wrapText="1"/>
    </xf>
    <xf numFmtId="0" fontId="70" fillId="6" borderId="3" xfId="0" applyFont="1" applyFill="1" applyBorder="1" applyAlignment="1">
      <alignment wrapText="1"/>
    </xf>
    <xf numFmtId="0" fontId="1" fillId="6" borderId="3" xfId="0" applyFont="1" applyFill="1" applyBorder="1" applyAlignment="1">
      <alignment horizontal="center" vertical="center" wrapText="1"/>
    </xf>
    <xf numFmtId="0" fontId="44" fillId="8" borderId="3" xfId="0" applyFont="1" applyFill="1" applyBorder="1" applyAlignment="1">
      <alignment horizontal="center" vertical="center"/>
    </xf>
    <xf numFmtId="0" fontId="2" fillId="0" borderId="3" xfId="0" applyFont="1" applyBorder="1" applyAlignment="1">
      <alignment horizontal="center" vertical="center" wrapText="1"/>
    </xf>
    <xf numFmtId="0" fontId="4" fillId="0" borderId="3" xfId="0" applyNumberFormat="1" applyFont="1" applyBorder="1" applyAlignment="1">
      <alignment horizontal="center" vertical="center" wrapText="1"/>
    </xf>
    <xf numFmtId="0" fontId="6" fillId="8" borderId="3" xfId="0" applyFont="1" applyFill="1" applyBorder="1" applyAlignment="1">
      <alignment horizontal="center" vertical="center" wrapText="1"/>
    </xf>
    <xf numFmtId="2" fontId="7" fillId="9" borderId="4" xfId="0" applyNumberFormat="1" applyFont="1" applyFill="1" applyBorder="1" applyAlignment="1">
      <alignment horizontal="center" vertical="center" wrapText="1"/>
    </xf>
    <xf numFmtId="2" fontId="7" fillId="8" borderId="4" xfId="0" applyNumberFormat="1" applyFont="1" applyFill="1" applyBorder="1" applyAlignment="1">
      <alignment horizontal="center" vertical="center" wrapText="1"/>
    </xf>
    <xf numFmtId="0" fontId="38" fillId="0" borderId="0" xfId="0" applyFont="1" applyBorder="1" applyAlignment="1">
      <alignment vertical="center" wrapText="1"/>
    </xf>
    <xf numFmtId="0" fontId="6" fillId="0" borderId="3" xfId="0" applyFont="1" applyBorder="1" applyAlignment="1">
      <alignment horizontal="center" wrapText="1"/>
    </xf>
    <xf numFmtId="0" fontId="6" fillId="6" borderId="22" xfId="0" applyFont="1" applyFill="1" applyBorder="1" applyAlignment="1">
      <alignment horizontal="center" vertical="center"/>
    </xf>
    <xf numFmtId="0" fontId="4" fillId="2" borderId="22"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1" fillId="6" borderId="3" xfId="0" applyFont="1" applyFill="1" applyBorder="1" applyAlignment="1">
      <alignment wrapText="1"/>
    </xf>
    <xf numFmtId="0" fontId="5" fillId="6" borderId="3" xfId="0" applyFont="1" applyFill="1" applyBorder="1" applyAlignment="1">
      <alignment horizontal="justify" vertical="center"/>
    </xf>
    <xf numFmtId="0" fontId="5" fillId="6" borderId="3" xfId="0" applyFont="1" applyFill="1" applyBorder="1" applyAlignment="1">
      <alignment horizontal="justify" vertical="center" wrapText="1"/>
    </xf>
    <xf numFmtId="0" fontId="54" fillId="0" borderId="3" xfId="0" applyFont="1" applyBorder="1" applyAlignment="1">
      <alignment vertical="center"/>
    </xf>
    <xf numFmtId="0" fontId="78" fillId="2" borderId="3" xfId="0" applyFont="1" applyFill="1" applyBorder="1" applyAlignment="1">
      <alignment vertical="center" wrapText="1"/>
    </xf>
    <xf numFmtId="0" fontId="7" fillId="12" borderId="3" xfId="1" quotePrefix="1" applyFont="1" applyFill="1" applyBorder="1" applyAlignment="1">
      <alignment horizontal="center" vertical="center" wrapText="1"/>
    </xf>
    <xf numFmtId="0" fontId="7" fillId="12" borderId="3" xfId="1" applyFont="1" applyFill="1" applyBorder="1" applyAlignment="1">
      <alignment horizontal="center" vertical="center" wrapText="1"/>
    </xf>
    <xf numFmtId="0" fontId="2" fillId="6" borderId="5" xfId="0" applyFont="1" applyFill="1" applyBorder="1" applyAlignment="1">
      <alignment horizontal="center" vertical="center" wrapText="1"/>
    </xf>
    <xf numFmtId="0" fontId="4" fillId="0" borderId="3" xfId="0" applyFont="1" applyBorder="1" applyAlignment="1">
      <alignment horizontal="center" vertical="center"/>
    </xf>
    <xf numFmtId="0" fontId="2" fillId="2" borderId="3" xfId="0" applyFont="1" applyFill="1" applyBorder="1" applyAlignment="1">
      <alignment horizontal="center" vertical="center"/>
    </xf>
    <xf numFmtId="0" fontId="2" fillId="0" borderId="3" xfId="0" applyFont="1" applyBorder="1" applyAlignment="1">
      <alignment horizontal="center" vertical="center"/>
    </xf>
    <xf numFmtId="0" fontId="6" fillId="8"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2" fillId="0" borderId="0" xfId="0" applyFont="1" applyAlignment="1">
      <alignment horizontal="center" vertical="center" wrapText="1"/>
    </xf>
    <xf numFmtId="0" fontId="6" fillId="0" borderId="0" xfId="0" applyFont="1" applyBorder="1" applyAlignment="1">
      <alignment horizontal="center"/>
    </xf>
    <xf numFmtId="0" fontId="6" fillId="0" borderId="0" xfId="0" applyFont="1" applyAlignment="1">
      <alignment horizontal="center" vertical="center" wrapText="1"/>
    </xf>
    <xf numFmtId="0" fontId="2" fillId="2"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5" fillId="6" borderId="5" xfId="0" applyFont="1" applyFill="1" applyBorder="1" applyAlignment="1">
      <alignment horizontal="center" vertical="center" wrapText="1"/>
    </xf>
    <xf numFmtId="0" fontId="1" fillId="6" borderId="22" xfId="0" applyFont="1" applyFill="1" applyBorder="1" applyAlignment="1">
      <alignment horizontal="center" vertical="center"/>
    </xf>
    <xf numFmtId="0" fontId="4" fillId="2" borderId="2" xfId="0" applyNumberFormat="1" applyFont="1" applyFill="1" applyBorder="1" applyAlignment="1">
      <alignment horizontal="center" vertical="center" wrapText="1"/>
    </xf>
    <xf numFmtId="0" fontId="5" fillId="6" borderId="22"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6" borderId="5" xfId="0" applyFont="1" applyFill="1" applyBorder="1" applyAlignment="1">
      <alignment horizontal="center" vertical="center"/>
    </xf>
    <xf numFmtId="0" fontId="2" fillId="12"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2" fillId="0" borderId="4" xfId="0" applyFont="1" applyBorder="1" applyAlignment="1">
      <alignment horizontal="center" vertical="center" wrapText="1"/>
    </xf>
    <xf numFmtId="0" fontId="4" fillId="12" borderId="2" xfId="0" applyFont="1" applyFill="1" applyBorder="1" applyAlignment="1">
      <alignment horizontal="center" vertical="center" wrapText="1"/>
    </xf>
    <xf numFmtId="0" fontId="2" fillId="6" borderId="0" xfId="0" applyFont="1" applyFill="1" applyAlignment="1">
      <alignment horizontal="center" vertical="center" wrapText="1"/>
    </xf>
    <xf numFmtId="0" fontId="4" fillId="12" borderId="2" xfId="0" applyNumberFormat="1" applyFont="1" applyFill="1" applyBorder="1" applyAlignment="1">
      <alignment horizontal="center" vertical="center" wrapText="1"/>
    </xf>
    <xf numFmtId="0" fontId="2" fillId="2" borderId="9" xfId="0" applyFont="1" applyFill="1" applyBorder="1" applyAlignment="1">
      <alignment horizontal="center" vertical="center" wrapText="1"/>
    </xf>
    <xf numFmtId="0" fontId="4" fillId="2" borderId="4" xfId="0" applyNumberFormat="1" applyFont="1" applyFill="1" applyBorder="1" applyAlignment="1">
      <alignment horizontal="center" vertical="center" wrapText="1"/>
    </xf>
    <xf numFmtId="0" fontId="4" fillId="12" borderId="3" xfId="0" applyFont="1" applyFill="1" applyBorder="1" applyAlignment="1" applyProtection="1">
      <alignment horizontal="center" vertical="center"/>
    </xf>
    <xf numFmtId="0" fontId="4" fillId="2" borderId="3" xfId="0" applyFont="1" applyFill="1" applyBorder="1" applyAlignment="1">
      <alignment horizontal="center" vertical="center"/>
    </xf>
    <xf numFmtId="0" fontId="4" fillId="6" borderId="5" xfId="0" applyNumberFormat="1" applyFont="1" applyFill="1" applyBorder="1" applyAlignment="1">
      <alignment horizontal="center" vertical="center" wrapText="1"/>
    </xf>
    <xf numFmtId="0" fontId="4" fillId="12" borderId="3" xfId="1" quotePrefix="1" applyFont="1" applyFill="1" applyBorder="1" applyAlignment="1">
      <alignment horizontal="center" vertical="center" wrapText="1"/>
    </xf>
    <xf numFmtId="0" fontId="2" fillId="0" borderId="3" xfId="0" applyFont="1" applyBorder="1" applyAlignment="1">
      <alignment horizontal="center" vertical="center"/>
    </xf>
    <xf numFmtId="0" fontId="6" fillId="0" borderId="9" xfId="0" applyFont="1" applyBorder="1" applyAlignment="1">
      <alignment horizontal="center" vertical="center"/>
    </xf>
    <xf numFmtId="0" fontId="4" fillId="2" borderId="3" xfId="0" applyFont="1" applyFill="1" applyBorder="1" applyAlignment="1">
      <alignment horizontal="left" vertical="center" wrapText="1"/>
    </xf>
    <xf numFmtId="0" fontId="6" fillId="6" borderId="22" xfId="0" applyNumberFormat="1" applyFont="1" applyFill="1" applyBorder="1" applyAlignment="1">
      <alignment horizontal="center" vertical="center" wrapText="1"/>
    </xf>
    <xf numFmtId="3" fontId="6" fillId="8" borderId="5" xfId="0" applyNumberFormat="1" applyFont="1" applyFill="1" applyBorder="1" applyAlignment="1">
      <alignment horizontal="center" vertical="center"/>
    </xf>
    <xf numFmtId="3" fontId="73" fillId="8" borderId="0" xfId="0" applyNumberFormat="1" applyFont="1" applyFill="1" applyAlignment="1">
      <alignment horizontal="center" vertical="center"/>
    </xf>
    <xf numFmtId="3" fontId="73" fillId="8" borderId="3" xfId="0" applyNumberFormat="1" applyFont="1" applyFill="1" applyBorder="1" applyAlignment="1">
      <alignment horizontal="center" vertical="center" wrapText="1"/>
    </xf>
    <xf numFmtId="3" fontId="73" fillId="8" borderId="3" xfId="0" applyNumberFormat="1" applyFont="1" applyFill="1" applyBorder="1" applyAlignment="1">
      <alignment horizontal="center" vertical="center"/>
    </xf>
    <xf numFmtId="0" fontId="7" fillId="2" borderId="0" xfId="0" applyFont="1" applyFill="1" applyBorder="1" applyAlignment="1">
      <alignment horizontal="center" vertical="center" wrapText="1"/>
    </xf>
    <xf numFmtId="0" fontId="2" fillId="0" borderId="3" xfId="0" applyFont="1" applyBorder="1" applyAlignment="1">
      <alignment horizontal="center"/>
    </xf>
    <xf numFmtId="0" fontId="6" fillId="8"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78" fillId="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2" fillId="0" borderId="3" xfId="0" applyFont="1" applyBorder="1" applyAlignment="1">
      <alignment horizontal="center" wrapText="1"/>
    </xf>
    <xf numFmtId="0" fontId="54" fillId="0" borderId="3" xfId="0" applyFont="1" applyBorder="1" applyAlignment="1">
      <alignment horizontal="center"/>
    </xf>
    <xf numFmtId="0" fontId="18" fillId="14" borderId="3" xfId="0" applyFont="1" applyFill="1" applyBorder="1" applyAlignment="1">
      <alignment horizontal="center" vertical="center"/>
    </xf>
    <xf numFmtId="0" fontId="2" fillId="14" borderId="26" xfId="0" applyFont="1" applyFill="1" applyBorder="1" applyAlignment="1">
      <alignment horizontal="center" vertical="center"/>
    </xf>
    <xf numFmtId="0" fontId="6" fillId="8"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 fillId="0" borderId="3" xfId="0" applyFont="1" applyBorder="1" applyAlignment="1">
      <alignment wrapText="1"/>
    </xf>
    <xf numFmtId="0" fontId="2" fillId="8" borderId="38" xfId="0" applyFont="1" applyFill="1" applyBorder="1" applyAlignment="1">
      <alignment horizontal="center" vertical="center" wrapText="1"/>
    </xf>
    <xf numFmtId="0" fontId="8" fillId="6" borderId="41" xfId="0" applyFont="1" applyFill="1" applyBorder="1" applyAlignment="1">
      <alignment horizontal="center" vertical="center" wrapText="1"/>
    </xf>
    <xf numFmtId="0" fontId="6" fillId="6" borderId="38" xfId="0" applyFont="1" applyFill="1" applyBorder="1" applyAlignment="1">
      <alignment horizontal="center" vertical="center" wrapText="1"/>
    </xf>
    <xf numFmtId="0" fontId="2" fillId="14" borderId="20" xfId="0" applyFont="1" applyFill="1" applyBorder="1" applyAlignment="1">
      <alignment horizontal="center" vertical="center" wrapText="1"/>
    </xf>
    <xf numFmtId="0" fontId="2" fillId="14" borderId="25" xfId="0" applyFont="1" applyFill="1" applyBorder="1" applyAlignment="1">
      <alignment horizontal="center" vertical="center" wrapText="1"/>
    </xf>
    <xf numFmtId="0" fontId="44" fillId="2" borderId="16" xfId="0" applyFont="1" applyFill="1" applyBorder="1" applyAlignment="1">
      <alignment horizontal="center" vertical="center" wrapText="1"/>
    </xf>
    <xf numFmtId="0" fontId="6" fillId="15" borderId="3" xfId="0" applyFont="1" applyFill="1" applyBorder="1" applyAlignment="1">
      <alignment horizontal="center" vertical="center" wrapText="1"/>
    </xf>
    <xf numFmtId="0" fontId="58" fillId="0" borderId="0" xfId="0" applyFont="1" applyAlignment="1">
      <alignment horizontal="center" vertical="center"/>
    </xf>
    <xf numFmtId="0" fontId="7" fillId="2" borderId="0" xfId="0" applyFont="1" applyFill="1" applyBorder="1" applyAlignment="1">
      <alignment horizontal="center" vertical="center" wrapText="1"/>
    </xf>
    <xf numFmtId="0" fontId="4" fillId="3" borderId="0" xfId="0" applyFont="1" applyFill="1" applyBorder="1" applyAlignment="1">
      <alignment vertical="center" wrapText="1"/>
    </xf>
    <xf numFmtId="0" fontId="0" fillId="0" borderId="3" xfId="0" applyBorder="1"/>
    <xf numFmtId="0" fontId="6" fillId="0" borderId="3" xfId="0" applyFont="1" applyBorder="1" applyAlignment="1">
      <alignment horizontal="center"/>
    </xf>
    <xf numFmtId="3" fontId="6" fillId="15" borderId="3" xfId="0" applyNumberFormat="1" applyFont="1" applyFill="1" applyBorder="1" applyAlignment="1">
      <alignment horizontal="center" vertical="center" wrapText="1"/>
    </xf>
    <xf numFmtId="3" fontId="6" fillId="15" borderId="3" xfId="0" applyNumberFormat="1" applyFont="1" applyFill="1" applyBorder="1" applyAlignment="1">
      <alignment horizontal="center" vertical="center"/>
    </xf>
    <xf numFmtId="0" fontId="6" fillId="0" borderId="3" xfId="0" applyFont="1" applyFill="1" applyBorder="1" applyAlignment="1">
      <alignment horizontal="center"/>
    </xf>
    <xf numFmtId="0" fontId="14" fillId="0" borderId="48" xfId="0" applyFont="1" applyBorder="1" applyAlignment="1">
      <alignment horizontal="center" vertical="center"/>
    </xf>
    <xf numFmtId="0" fontId="6" fillId="0" borderId="1" xfId="0" applyFont="1" applyBorder="1" applyAlignment="1">
      <alignment horizontal="center"/>
    </xf>
    <xf numFmtId="0" fontId="0" fillId="0" borderId="42" xfId="0" applyBorder="1"/>
    <xf numFmtId="0" fontId="14" fillId="0" borderId="15" xfId="0" applyFont="1" applyBorder="1" applyAlignment="1">
      <alignment horizontal="center" vertical="center"/>
    </xf>
    <xf numFmtId="0" fontId="0" fillId="0" borderId="16" xfId="0" applyBorder="1"/>
    <xf numFmtId="0" fontId="6" fillId="0" borderId="7" xfId="0" applyFont="1" applyBorder="1" applyAlignment="1">
      <alignment horizontal="center"/>
    </xf>
    <xf numFmtId="0" fontId="0" fillId="0" borderId="18" xfId="0" applyBorder="1"/>
    <xf numFmtId="0" fontId="6" fillId="0" borderId="1" xfId="0" applyFont="1" applyFill="1" applyBorder="1" applyAlignment="1">
      <alignment horizontal="center"/>
    </xf>
    <xf numFmtId="0" fontId="38" fillId="2" borderId="15" xfId="0" applyNumberFormat="1" applyFont="1" applyFill="1" applyBorder="1" applyAlignment="1">
      <alignment horizontal="center" vertical="center" wrapText="1"/>
    </xf>
    <xf numFmtId="0" fontId="38" fillId="2" borderId="17" xfId="0" applyNumberFormat="1" applyFont="1" applyFill="1" applyBorder="1" applyAlignment="1">
      <alignment horizontal="center" vertical="center" wrapText="1"/>
    </xf>
    <xf numFmtId="0" fontId="6" fillId="0" borderId="7" xfId="0" applyFont="1" applyFill="1" applyBorder="1" applyAlignment="1">
      <alignment horizontal="center"/>
    </xf>
    <xf numFmtId="0" fontId="38" fillId="2" borderId="15" xfId="0" applyFont="1" applyFill="1" applyBorder="1" applyAlignment="1">
      <alignment horizontal="center" vertical="center" wrapText="1"/>
    </xf>
    <xf numFmtId="0" fontId="2" fillId="0" borderId="9" xfId="0" applyFont="1" applyBorder="1" applyAlignment="1">
      <alignment horizontal="center"/>
    </xf>
    <xf numFmtId="0" fontId="15" fillId="2" borderId="17" xfId="0" applyFont="1" applyFill="1" applyBorder="1" applyAlignment="1">
      <alignment horizontal="center" vertical="center" wrapText="1"/>
    </xf>
    <xf numFmtId="0" fontId="10" fillId="2" borderId="7" xfId="0" applyFont="1" applyFill="1" applyBorder="1" applyAlignment="1">
      <alignment horizontal="center" vertical="center"/>
    </xf>
    <xf numFmtId="10" fontId="7" fillId="15" borderId="3" xfId="0" applyNumberFormat="1" applyFont="1" applyFill="1" applyBorder="1" applyAlignment="1">
      <alignment horizontal="center" vertical="center" wrapText="1"/>
    </xf>
    <xf numFmtId="3" fontId="6" fillId="15" borderId="1" xfId="0" applyNumberFormat="1" applyFont="1" applyFill="1" applyBorder="1" applyAlignment="1">
      <alignment horizontal="center" vertical="center" wrapText="1"/>
    </xf>
    <xf numFmtId="3" fontId="10" fillId="15" borderId="7" xfId="0" applyNumberFormat="1" applyFont="1" applyFill="1" applyBorder="1" applyAlignment="1">
      <alignment horizontal="center" vertical="center"/>
    </xf>
    <xf numFmtId="0" fontId="18" fillId="2" borderId="36"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37" xfId="0" applyFont="1" applyFill="1" applyBorder="1" applyAlignment="1">
      <alignment horizontal="center" vertical="center"/>
    </xf>
    <xf numFmtId="0" fontId="58" fillId="0" borderId="4" xfId="0" applyFont="1" applyBorder="1" applyAlignment="1">
      <alignment horizontal="center" vertical="center"/>
    </xf>
    <xf numFmtId="0" fontId="1" fillId="2" borderId="6" xfId="0" applyFont="1" applyFill="1" applyBorder="1" applyAlignment="1">
      <alignment horizontal="center" vertical="center" wrapText="1"/>
    </xf>
    <xf numFmtId="3" fontId="6" fillId="0" borderId="3" xfId="0" applyNumberFormat="1" applyFont="1" applyBorder="1" applyAlignment="1">
      <alignment horizontal="center"/>
    </xf>
    <xf numFmtId="3" fontId="63" fillId="15" borderId="3" xfId="0" applyNumberFormat="1" applyFont="1" applyFill="1" applyBorder="1" applyAlignment="1">
      <alignment horizontal="center" vertical="center" wrapText="1"/>
    </xf>
    <xf numFmtId="3" fontId="6" fillId="0" borderId="0" xfId="0" applyNumberFormat="1" applyFont="1" applyAlignment="1">
      <alignment horizontal="center"/>
    </xf>
    <xf numFmtId="3" fontId="6" fillId="0" borderId="4" xfId="0" applyNumberFormat="1" applyFont="1" applyBorder="1" applyAlignment="1">
      <alignment horizontal="center"/>
    </xf>
    <xf numFmtId="3" fontId="6" fillId="0" borderId="49" xfId="0" applyNumberFormat="1" applyFont="1" applyBorder="1" applyAlignment="1">
      <alignment horizontal="center"/>
    </xf>
    <xf numFmtId="3" fontId="10" fillId="15" borderId="49" xfId="0" applyNumberFormat="1" applyFont="1" applyFill="1" applyBorder="1" applyAlignment="1">
      <alignment horizontal="center" vertical="center"/>
    </xf>
    <xf numFmtId="3" fontId="6" fillId="2" borderId="3" xfId="0" applyNumberFormat="1" applyFont="1" applyFill="1" applyBorder="1" applyAlignment="1">
      <alignment horizontal="center"/>
    </xf>
    <xf numFmtId="0" fontId="6" fillId="0" borderId="9" xfId="0" applyFont="1" applyBorder="1" applyAlignment="1">
      <alignment horizontal="center" vertical="center" wrapText="1"/>
    </xf>
    <xf numFmtId="0" fontId="0" fillId="0" borderId="52" xfId="0" applyBorder="1"/>
    <xf numFmtId="0" fontId="0" fillId="0" borderId="32" xfId="0" applyBorder="1"/>
    <xf numFmtId="0" fontId="0" fillId="0" borderId="53" xfId="0" applyBorder="1"/>
    <xf numFmtId="3" fontId="6" fillId="7" borderId="4" xfId="0" applyNumberFormat="1" applyFont="1" applyFill="1" applyBorder="1" applyAlignment="1">
      <alignment horizontal="center" vertical="center"/>
    </xf>
    <xf numFmtId="3" fontId="6" fillId="8" borderId="4" xfId="0" applyNumberFormat="1" applyFont="1" applyFill="1" applyBorder="1" applyAlignment="1">
      <alignment horizontal="center" vertical="center"/>
    </xf>
    <xf numFmtId="3" fontId="7" fillId="8" borderId="4" xfId="0" applyNumberFormat="1" applyFont="1" applyFill="1" applyBorder="1" applyAlignment="1">
      <alignment horizontal="center" vertical="center"/>
    </xf>
    <xf numFmtId="0" fontId="38" fillId="13" borderId="3" xfId="0" applyNumberFormat="1" applyFont="1" applyFill="1" applyBorder="1" applyAlignment="1">
      <alignment horizontal="center" vertical="center" wrapText="1"/>
    </xf>
    <xf numFmtId="0" fontId="38" fillId="13" borderId="3"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0" fillId="2" borderId="42" xfId="0" applyFill="1" applyBorder="1"/>
    <xf numFmtId="0" fontId="0" fillId="2" borderId="18" xfId="0" applyFill="1" applyBorder="1"/>
    <xf numFmtId="0" fontId="14" fillId="13" borderId="17" xfId="0" applyFont="1" applyFill="1" applyBorder="1" applyAlignment="1">
      <alignment horizontal="center" vertical="center"/>
    </xf>
    <xf numFmtId="0" fontId="14" fillId="13" borderId="15" xfId="0" applyFont="1" applyFill="1" applyBorder="1" applyAlignment="1">
      <alignment horizontal="center" vertical="center"/>
    </xf>
    <xf numFmtId="10" fontId="6" fillId="16" borderId="3" xfId="0" applyNumberFormat="1" applyFont="1" applyFill="1" applyBorder="1" applyAlignment="1">
      <alignment horizontal="center" vertical="center"/>
    </xf>
    <xf numFmtId="10" fontId="7" fillId="16" borderId="3" xfId="0" applyNumberFormat="1" applyFont="1" applyFill="1" applyBorder="1" applyAlignment="1">
      <alignment horizontal="center" vertical="center" wrapText="1"/>
    </xf>
    <xf numFmtId="0" fontId="6" fillId="16" borderId="5"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6" fillId="16" borderId="4" xfId="0" applyFont="1" applyFill="1" applyBorder="1" applyAlignment="1">
      <alignment horizontal="center" vertical="center" wrapText="1"/>
    </xf>
    <xf numFmtId="0" fontId="2" fillId="0" borderId="9" xfId="0" applyFont="1" applyBorder="1" applyAlignment="1">
      <alignment horizontal="center" vertical="center"/>
    </xf>
    <xf numFmtId="3" fontId="73" fillId="2" borderId="4" xfId="0" applyNumberFormat="1" applyFont="1" applyFill="1" applyBorder="1" applyAlignment="1">
      <alignment horizontal="center" vertical="center"/>
    </xf>
    <xf numFmtId="0" fontId="6" fillId="17" borderId="3" xfId="0" applyFont="1" applyFill="1" applyBorder="1" applyAlignment="1">
      <alignment horizontal="center"/>
    </xf>
    <xf numFmtId="0" fontId="6" fillId="17" borderId="1" xfId="0" applyFont="1" applyFill="1" applyBorder="1" applyAlignment="1">
      <alignment horizontal="center"/>
    </xf>
    <xf numFmtId="3" fontId="6" fillId="17" borderId="3" xfId="0" applyNumberFormat="1" applyFont="1" applyFill="1" applyBorder="1" applyAlignment="1">
      <alignment horizontal="center"/>
    </xf>
    <xf numFmtId="3" fontId="6" fillId="0" borderId="1" xfId="0" applyNumberFormat="1" applyFont="1" applyBorder="1" applyAlignment="1">
      <alignment horizontal="center"/>
    </xf>
    <xf numFmtId="0" fontId="38" fillId="2" borderId="50" xfId="0" applyFont="1" applyFill="1" applyBorder="1" applyAlignment="1">
      <alignment horizontal="center" vertical="center" wrapText="1"/>
    </xf>
    <xf numFmtId="0" fontId="15" fillId="2" borderId="51" xfId="0" applyFont="1" applyFill="1" applyBorder="1" applyAlignment="1">
      <alignment horizontal="center" vertical="center" wrapText="1"/>
    </xf>
    <xf numFmtId="0" fontId="14" fillId="2" borderId="17" xfId="0" applyFont="1" applyFill="1" applyBorder="1" applyAlignment="1">
      <alignment horizontal="center" vertical="center"/>
    </xf>
    <xf numFmtId="0" fontId="14" fillId="2" borderId="15" xfId="0" applyFont="1" applyFill="1" applyBorder="1" applyAlignment="1">
      <alignment horizontal="center" vertical="center"/>
    </xf>
    <xf numFmtId="169" fontId="6" fillId="13" borderId="3" xfId="0" applyNumberFormat="1" applyFont="1" applyFill="1" applyBorder="1" applyAlignment="1">
      <alignment horizontal="center" vertical="center"/>
    </xf>
    <xf numFmtId="0" fontId="38" fillId="2" borderId="48" xfId="0" applyNumberFormat="1" applyFont="1" applyFill="1" applyBorder="1" applyAlignment="1">
      <alignment horizontal="center" vertical="center" wrapText="1"/>
    </xf>
    <xf numFmtId="3" fontId="6" fillId="13" borderId="3" xfId="0" applyNumberFormat="1" applyFont="1" applyFill="1" applyBorder="1" applyAlignment="1">
      <alignment horizontal="center"/>
    </xf>
    <xf numFmtId="3" fontId="6" fillId="2" borderId="0" xfId="0" applyNumberFormat="1" applyFont="1" applyFill="1" applyAlignment="1">
      <alignment horizontal="center"/>
    </xf>
    <xf numFmtId="0" fontId="14" fillId="2" borderId="48" xfId="0" applyFont="1" applyFill="1" applyBorder="1" applyAlignment="1">
      <alignment horizontal="center" vertical="center"/>
    </xf>
    <xf numFmtId="0" fontId="27" fillId="2" borderId="5"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38" fillId="13" borderId="15" xfId="0" applyFont="1" applyFill="1" applyBorder="1" applyAlignment="1">
      <alignment horizontal="center" vertical="center" wrapText="1"/>
    </xf>
    <xf numFmtId="3" fontId="73" fillId="2" borderId="3" xfId="0" applyNumberFormat="1" applyFont="1" applyFill="1" applyBorder="1" applyAlignment="1">
      <alignment horizontal="center" vertical="center"/>
    </xf>
    <xf numFmtId="0" fontId="6" fillId="0" borderId="6" xfId="0" applyFont="1" applyBorder="1" applyAlignment="1">
      <alignment horizontal="center" vertical="center" wrapText="1"/>
    </xf>
    <xf numFmtId="169" fontId="6" fillId="2" borderId="3" xfId="0" applyNumberFormat="1" applyFont="1" applyFill="1" applyBorder="1" applyAlignment="1">
      <alignment horizontal="center"/>
    </xf>
    <xf numFmtId="0" fontId="6" fillId="13" borderId="3" xfId="0" applyFont="1" applyFill="1" applyBorder="1" applyAlignment="1">
      <alignment horizontal="center"/>
    </xf>
    <xf numFmtId="0" fontId="6" fillId="2" borderId="3" xfId="0" applyFont="1" applyFill="1" applyBorder="1" applyAlignment="1">
      <alignment horizontal="center" vertical="center" wrapText="1"/>
    </xf>
    <xf numFmtId="0" fontId="44" fillId="0" borderId="3" xfId="0" applyFont="1" applyBorder="1" applyAlignment="1">
      <alignment horizontal="center"/>
    </xf>
    <xf numFmtId="0" fontId="6" fillId="0" borderId="3" xfId="0" applyFont="1" applyBorder="1" applyAlignment="1">
      <alignment wrapText="1"/>
    </xf>
    <xf numFmtId="0" fontId="54" fillId="0" borderId="3" xfId="0" applyFont="1" applyBorder="1" applyAlignment="1">
      <alignment horizontal="center" wrapText="1"/>
    </xf>
    <xf numFmtId="0" fontId="6" fillId="8" borderId="3" xfId="0" applyFont="1" applyFill="1" applyBorder="1" applyAlignment="1">
      <alignment horizontal="center" vertical="center" wrapText="1"/>
    </xf>
    <xf numFmtId="0" fontId="6" fillId="12" borderId="4"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54" fillId="0" borderId="3" xfId="0" applyFont="1" applyBorder="1" applyAlignment="1">
      <alignment horizontal="left" wrapText="1"/>
    </xf>
    <xf numFmtId="0" fontId="38" fillId="12" borderId="48" xfId="0" applyNumberFormat="1" applyFont="1" applyFill="1" applyBorder="1" applyAlignment="1">
      <alignment horizontal="center" vertical="center" wrapText="1"/>
    </xf>
    <xf numFmtId="0" fontId="38" fillId="12" borderId="15" xfId="0" applyNumberFormat="1" applyFont="1" applyFill="1" applyBorder="1" applyAlignment="1">
      <alignment horizontal="center" vertical="center" wrapText="1"/>
    </xf>
    <xf numFmtId="0" fontId="38" fillId="12" borderId="17" xfId="0" applyNumberFormat="1" applyFont="1" applyFill="1" applyBorder="1" applyAlignment="1">
      <alignment horizontal="center" vertical="center" wrapText="1"/>
    </xf>
    <xf numFmtId="169" fontId="6" fillId="12" borderId="3" xfId="0" applyNumberFormat="1" applyFont="1" applyFill="1" applyBorder="1" applyAlignment="1">
      <alignment horizontal="center" vertical="center"/>
    </xf>
    <xf numFmtId="169" fontId="6" fillId="2" borderId="3" xfId="0" applyNumberFormat="1" applyFont="1" applyFill="1" applyBorder="1" applyAlignment="1">
      <alignment horizontal="center" vertical="center"/>
    </xf>
    <xf numFmtId="0" fontId="14" fillId="12" borderId="48" xfId="0" applyFont="1" applyFill="1" applyBorder="1" applyAlignment="1">
      <alignment horizontal="center" vertical="center"/>
    </xf>
    <xf numFmtId="2" fontId="6" fillId="12" borderId="3" xfId="0" applyNumberFormat="1" applyFont="1" applyFill="1" applyBorder="1" applyAlignment="1">
      <alignment horizontal="center" vertical="center"/>
    </xf>
    <xf numFmtId="0" fontId="14" fillId="12" borderId="15" xfId="0" applyFont="1" applyFill="1" applyBorder="1" applyAlignment="1">
      <alignment horizontal="center" vertical="center"/>
    </xf>
    <xf numFmtId="0" fontId="14" fillId="12" borderId="17" xfId="0" applyFont="1" applyFill="1" applyBorder="1" applyAlignment="1">
      <alignment horizontal="center" vertical="center"/>
    </xf>
    <xf numFmtId="0" fontId="38" fillId="12" borderId="48" xfId="0" applyFont="1" applyFill="1" applyBorder="1" applyAlignment="1">
      <alignment horizontal="center" vertical="center" wrapText="1"/>
    </xf>
    <xf numFmtId="0" fontId="38" fillId="12" borderId="15" xfId="0" applyFont="1" applyFill="1" applyBorder="1" applyAlignment="1">
      <alignment horizontal="center" vertical="center" wrapText="1"/>
    </xf>
    <xf numFmtId="169" fontId="6" fillId="12" borderId="3" xfId="0" applyNumberFormat="1" applyFont="1" applyFill="1" applyBorder="1" applyAlignment="1">
      <alignment horizontal="center"/>
    </xf>
    <xf numFmtId="0" fontId="1" fillId="8" borderId="3" xfId="0" applyFont="1" applyFill="1" applyBorder="1" applyAlignment="1">
      <alignment horizontal="center" vertical="center"/>
    </xf>
    <xf numFmtId="9" fontId="1" fillId="7" borderId="3" xfId="0" applyNumberFormat="1" applyFont="1" applyFill="1" applyBorder="1" applyAlignment="1">
      <alignment horizontal="center" vertical="center"/>
    </xf>
    <xf numFmtId="0" fontId="6" fillId="2" borderId="3" xfId="0" applyFont="1" applyFill="1" applyBorder="1" applyAlignment="1">
      <alignment horizontal="center" vertical="center" wrapText="1"/>
    </xf>
    <xf numFmtId="170" fontId="7" fillId="8" borderId="3" xfId="0" applyNumberFormat="1" applyFont="1" applyFill="1" applyBorder="1" applyAlignment="1">
      <alignment horizontal="center" vertical="center" wrapText="1"/>
    </xf>
    <xf numFmtId="0" fontId="81" fillId="0" borderId="3" xfId="0" applyFont="1" applyBorder="1" applyAlignment="1">
      <alignment horizontal="center"/>
    </xf>
    <xf numFmtId="0" fontId="6" fillId="16" borderId="3" xfId="0" applyFont="1" applyFill="1" applyBorder="1" applyAlignment="1">
      <alignment horizontal="center" vertical="center" wrapText="1"/>
    </xf>
    <xf numFmtId="3" fontId="10" fillId="0" borderId="3" xfId="0" applyNumberFormat="1" applyFont="1" applyBorder="1" applyAlignment="1">
      <alignment horizontal="center"/>
    </xf>
    <xf numFmtId="0" fontId="6" fillId="2" borderId="3" xfId="0" applyFont="1" applyFill="1" applyBorder="1" applyAlignment="1">
      <alignment horizontal="center" vertical="center" wrapText="1"/>
    </xf>
    <xf numFmtId="0" fontId="5" fillId="6" borderId="9" xfId="0" applyFont="1" applyFill="1" applyBorder="1" applyAlignment="1">
      <alignment vertical="center" wrapText="1"/>
    </xf>
    <xf numFmtId="0" fontId="4" fillId="0" borderId="3" xfId="0" applyFont="1" applyBorder="1" applyAlignment="1">
      <alignment horizontal="center" vertical="center"/>
    </xf>
    <xf numFmtId="0" fontId="2" fillId="2" borderId="3" xfId="0" applyFont="1" applyFill="1" applyBorder="1" applyAlignment="1">
      <alignment horizontal="center" vertical="center"/>
    </xf>
    <xf numFmtId="0" fontId="6" fillId="8"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0" borderId="3" xfId="0" applyFont="1" applyBorder="1" applyAlignment="1">
      <alignment horizontal="center" vertical="center" wrapText="1"/>
    </xf>
    <xf numFmtId="0" fontId="12" fillId="0" borderId="0" xfId="0" applyFont="1"/>
    <xf numFmtId="0" fontId="7" fillId="0" borderId="0" xfId="0" applyFont="1"/>
    <xf numFmtId="0" fontId="44" fillId="0" borderId="0" xfId="0" applyFont="1"/>
    <xf numFmtId="0" fontId="6" fillId="8"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58" fillId="0" borderId="0" xfId="0" applyFont="1" applyAlignment="1">
      <alignment horizontal="center" vertical="center" wrapText="1"/>
    </xf>
    <xf numFmtId="3" fontId="32" fillId="15" borderId="3" xfId="0" applyNumberFormat="1" applyFont="1" applyFill="1" applyBorder="1" applyAlignment="1">
      <alignment horizontal="center"/>
    </xf>
    <xf numFmtId="0" fontId="82" fillId="12" borderId="3" xfId="0" applyFont="1" applyFill="1" applyBorder="1"/>
    <xf numFmtId="0" fontId="38" fillId="12" borderId="13" xfId="0" applyNumberFormat="1" applyFont="1" applyFill="1" applyBorder="1" applyAlignment="1">
      <alignment horizontal="center" vertical="center" wrapText="1"/>
    </xf>
    <xf numFmtId="3" fontId="0" fillId="16" borderId="3" xfId="0" applyNumberFormat="1" applyFill="1" applyBorder="1" applyAlignment="1">
      <alignment horizontal="center"/>
    </xf>
    <xf numFmtId="4" fontId="6" fillId="12" borderId="3" xfId="0" applyNumberFormat="1" applyFont="1" applyFill="1" applyBorder="1" applyAlignment="1">
      <alignment horizontal="center"/>
    </xf>
    <xf numFmtId="3" fontId="0" fillId="16" borderId="2" xfId="0" applyNumberFormat="1" applyFill="1" applyBorder="1" applyAlignment="1">
      <alignment horizontal="center"/>
    </xf>
    <xf numFmtId="4" fontId="6" fillId="12" borderId="2" xfId="0" applyNumberFormat="1" applyFont="1" applyFill="1" applyBorder="1" applyAlignment="1">
      <alignment horizontal="center"/>
    </xf>
    <xf numFmtId="3" fontId="10" fillId="0" borderId="3" xfId="0" applyNumberFormat="1" applyFont="1" applyBorder="1" applyAlignment="1">
      <alignment horizontal="center" vertical="center" wrapText="1"/>
    </xf>
    <xf numFmtId="0" fontId="10" fillId="0" borderId="3" xfId="0" applyFont="1" applyBorder="1" applyAlignment="1">
      <alignment horizontal="center" wrapText="1"/>
    </xf>
    <xf numFmtId="0" fontId="7" fillId="0" borderId="3" xfId="0" applyFont="1" applyBorder="1" applyAlignment="1">
      <alignment horizontal="center" vertical="center" wrapText="1"/>
    </xf>
    <xf numFmtId="3" fontId="6" fillId="8" borderId="5" xfId="0" applyNumberFormat="1" applyFont="1" applyFill="1" applyBorder="1" applyAlignment="1">
      <alignment horizontal="center" vertical="center" wrapText="1"/>
    </xf>
    <xf numFmtId="0" fontId="11" fillId="0" borderId="3" xfId="0" applyFont="1" applyBorder="1"/>
    <xf numFmtId="0" fontId="27" fillId="2" borderId="3" xfId="0" applyFont="1" applyFill="1" applyBorder="1" applyAlignment="1">
      <alignment horizontal="center" vertical="center"/>
    </xf>
    <xf numFmtId="0" fontId="6" fillId="16" borderId="3" xfId="0" applyFont="1" applyFill="1" applyBorder="1" applyAlignment="1">
      <alignment horizontal="center"/>
    </xf>
    <xf numFmtId="170" fontId="6" fillId="16" borderId="3" xfId="0" applyNumberFormat="1" applyFont="1" applyFill="1" applyBorder="1" applyAlignment="1">
      <alignment horizontal="center"/>
    </xf>
    <xf numFmtId="170" fontId="6" fillId="16" borderId="3" xfId="0" applyNumberFormat="1" applyFont="1" applyFill="1" applyBorder="1" applyAlignment="1">
      <alignment horizontal="center" vertical="center"/>
    </xf>
    <xf numFmtId="0" fontId="26" fillId="6" borderId="19" xfId="0" applyFont="1" applyFill="1" applyBorder="1" applyAlignment="1">
      <alignment horizontal="center" vertical="center"/>
    </xf>
    <xf numFmtId="0" fontId="1" fillId="0" borderId="0" xfId="0" applyFont="1" applyAlignment="1">
      <alignment horizontal="center" wrapText="1"/>
    </xf>
    <xf numFmtId="0" fontId="1" fillId="2" borderId="0" xfId="0" applyFont="1" applyFill="1" applyAlignment="1">
      <alignment horizontal="center" wrapText="1"/>
    </xf>
    <xf numFmtId="0" fontId="18" fillId="13" borderId="3" xfId="0" applyFont="1" applyFill="1" applyBorder="1" applyAlignment="1">
      <alignment horizontal="center" vertical="center"/>
    </xf>
    <xf numFmtId="0" fontId="6" fillId="13" borderId="2" xfId="0" applyFont="1" applyFill="1" applyBorder="1" applyAlignment="1">
      <alignment horizontal="center" vertical="center" wrapText="1"/>
    </xf>
    <xf numFmtId="0" fontId="7" fillId="13" borderId="2"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14" fillId="13" borderId="4" xfId="0" applyFont="1" applyFill="1" applyBorder="1" applyAlignment="1">
      <alignment horizontal="center" vertical="center" wrapText="1"/>
    </xf>
    <xf numFmtId="0" fontId="7" fillId="13" borderId="4" xfId="0" applyFont="1" applyFill="1" applyBorder="1" applyAlignment="1">
      <alignment horizontal="center" vertical="center" wrapText="1"/>
    </xf>
    <xf numFmtId="9" fontId="6" fillId="13" borderId="4" xfId="0" applyNumberFormat="1" applyFont="1" applyFill="1" applyBorder="1" applyAlignment="1">
      <alignment horizontal="center" vertical="center"/>
    </xf>
    <xf numFmtId="0" fontId="29" fillId="13" borderId="3" xfId="0" applyFont="1" applyFill="1" applyBorder="1" applyAlignment="1">
      <alignment horizontal="center" vertical="center" wrapText="1"/>
    </xf>
    <xf numFmtId="0" fontId="83" fillId="13" borderId="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8"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8" borderId="3" xfId="0" applyNumberFormat="1"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2" fontId="86" fillId="8" borderId="3" xfId="0" applyNumberFormat="1" applyFont="1" applyFill="1" applyBorder="1" applyAlignment="1">
      <alignment horizontal="center" vertical="center"/>
    </xf>
    <xf numFmtId="0" fontId="6" fillId="2" borderId="0" xfId="0" applyFont="1" applyFill="1" applyBorder="1" applyAlignment="1">
      <alignment horizontal="center" vertical="center"/>
    </xf>
    <xf numFmtId="1" fontId="6" fillId="12" borderId="3" xfId="0" applyNumberFormat="1" applyFont="1" applyFill="1" applyBorder="1" applyAlignment="1">
      <alignment horizontal="center"/>
    </xf>
    <xf numFmtId="0" fontId="6" fillId="12" borderId="3" xfId="0" applyFont="1" applyFill="1" applyBorder="1" applyAlignment="1">
      <alignment horizontal="center"/>
    </xf>
    <xf numFmtId="2" fontId="7" fillId="12" borderId="3" xfId="0" applyNumberFormat="1" applyFont="1" applyFill="1" applyBorder="1" applyAlignment="1">
      <alignment horizontal="center" vertical="center" wrapText="1"/>
    </xf>
    <xf numFmtId="2" fontId="6" fillId="12" borderId="9" xfId="0" applyNumberFormat="1" applyFont="1" applyFill="1" applyBorder="1" applyAlignment="1">
      <alignment horizontal="center" vertical="center"/>
    </xf>
    <xf numFmtId="164" fontId="47" fillId="12" borderId="3" xfId="0" applyNumberFormat="1" applyFont="1" applyFill="1" applyBorder="1" applyAlignment="1">
      <alignment horizontal="center" vertical="center"/>
    </xf>
    <xf numFmtId="2" fontId="86" fillId="12" borderId="3" xfId="0" applyNumberFormat="1" applyFont="1" applyFill="1" applyBorder="1" applyAlignment="1">
      <alignment horizontal="center" vertical="center"/>
    </xf>
    <xf numFmtId="2" fontId="47" fillId="12" borderId="3" xfId="0" applyNumberFormat="1" applyFont="1" applyFill="1" applyBorder="1" applyAlignment="1">
      <alignment horizontal="center" vertical="center"/>
    </xf>
    <xf numFmtId="2" fontId="7" fillId="12" borderId="3" xfId="0" applyNumberFormat="1" applyFont="1" applyFill="1" applyBorder="1" applyAlignment="1" applyProtection="1">
      <alignment horizontal="center" vertical="center"/>
    </xf>
    <xf numFmtId="2" fontId="38" fillId="12" borderId="3" xfId="0" applyNumberFormat="1" applyFont="1" applyFill="1" applyBorder="1" applyAlignment="1" applyProtection="1">
      <alignment horizontal="center" vertical="center"/>
    </xf>
    <xf numFmtId="2" fontId="38" fillId="12" borderId="3" xfId="0" applyNumberFormat="1" applyFont="1" applyFill="1" applyBorder="1" applyAlignment="1">
      <alignment horizontal="center" vertical="center" wrapText="1"/>
    </xf>
    <xf numFmtId="0" fontId="7" fillId="12" borderId="3" xfId="0" applyFont="1" applyFill="1" applyBorder="1" applyAlignment="1">
      <alignment horizontal="center"/>
    </xf>
    <xf numFmtId="1" fontId="7" fillId="12" borderId="3" xfId="0" applyNumberFormat="1" applyFont="1" applyFill="1" applyBorder="1" applyAlignment="1">
      <alignment horizontal="center"/>
    </xf>
    <xf numFmtId="0" fontId="4" fillId="2" borderId="3" xfId="1" quotePrefix="1" applyFont="1" applyFill="1" applyBorder="1" applyAlignment="1">
      <alignment horizontal="center" vertical="center" wrapText="1"/>
    </xf>
    <xf numFmtId="0" fontId="88" fillId="2" borderId="3" xfId="0" applyFont="1" applyFill="1" applyBorder="1" applyAlignment="1">
      <alignment horizontal="center"/>
    </xf>
    <xf numFmtId="0" fontId="83" fillId="2" borderId="3" xfId="0" applyFont="1" applyFill="1" applyBorder="1" applyAlignment="1">
      <alignment horizontal="center" wrapText="1"/>
    </xf>
    <xf numFmtId="0" fontId="7" fillId="16" borderId="0" xfId="0" applyFont="1" applyFill="1" applyBorder="1" applyAlignment="1">
      <alignment horizontal="center" vertical="center" wrapText="1"/>
    </xf>
    <xf numFmtId="171" fontId="6" fillId="16" borderId="3" xfId="0" applyNumberFormat="1" applyFont="1" applyFill="1" applyBorder="1" applyAlignment="1">
      <alignment horizontal="center"/>
    </xf>
    <xf numFmtId="0" fontId="6" fillId="2" borderId="20" xfId="0" applyNumberFormat="1" applyFont="1" applyFill="1" applyBorder="1" applyAlignment="1">
      <alignment horizontal="center" vertical="center" wrapText="1"/>
    </xf>
    <xf numFmtId="0" fontId="4" fillId="2" borderId="5" xfId="0" applyNumberFormat="1"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40" fillId="0" borderId="0" xfId="2"/>
    <xf numFmtId="2" fontId="44" fillId="8" borderId="3" xfId="0" applyNumberFormat="1" applyFont="1" applyFill="1" applyBorder="1" applyAlignment="1">
      <alignment horizontal="center" vertical="center"/>
    </xf>
    <xf numFmtId="0" fontId="1" fillId="13" borderId="3" xfId="0" applyFont="1" applyFill="1" applyBorder="1" applyAlignment="1">
      <alignment horizontal="center" vertical="center"/>
    </xf>
    <xf numFmtId="0" fontId="6" fillId="2" borderId="3"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 xfId="0" applyFont="1" applyFill="1" applyBorder="1" applyAlignment="1">
      <alignment horizontal="center" vertical="center"/>
    </xf>
    <xf numFmtId="0" fontId="10" fillId="5" borderId="6" xfId="0" applyFont="1" applyFill="1" applyBorder="1" applyAlignment="1">
      <alignment horizontal="center" vertical="center" wrapText="1"/>
    </xf>
    <xf numFmtId="3" fontId="1" fillId="7" borderId="3" xfId="0" applyNumberFormat="1" applyFont="1" applyFill="1" applyBorder="1" applyAlignment="1">
      <alignment horizontal="center" vertical="center"/>
    </xf>
    <xf numFmtId="0" fontId="6" fillId="0" borderId="0" xfId="0" applyFont="1" applyAlignment="1">
      <alignment horizontal="center" vertical="center" wrapText="1"/>
    </xf>
    <xf numFmtId="0" fontId="7" fillId="2" borderId="0"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1" fillId="14" borderId="8" xfId="0" applyFont="1" applyFill="1" applyBorder="1"/>
    <xf numFmtId="0" fontId="1" fillId="2" borderId="5" xfId="0" applyFont="1" applyFill="1" applyBorder="1" applyAlignment="1">
      <alignment horizontal="center" vertical="center"/>
    </xf>
    <xf numFmtId="0" fontId="62" fillId="2" borderId="5"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62" fillId="0" borderId="0" xfId="0" applyFont="1"/>
    <xf numFmtId="0" fontId="64" fillId="0" borderId="0" xfId="0" applyFont="1"/>
    <xf numFmtId="0" fontId="63" fillId="0" borderId="0" xfId="0" applyFont="1"/>
    <xf numFmtId="0" fontId="68" fillId="8" borderId="16" xfId="0" applyFont="1" applyFill="1" applyBorder="1" applyAlignment="1">
      <alignment horizontal="center" vertical="center"/>
    </xf>
    <xf numFmtId="0" fontId="63" fillId="2" borderId="15" xfId="0" applyFont="1" applyFill="1" applyBorder="1" applyAlignment="1">
      <alignment horizontal="center" vertical="center" wrapText="1"/>
    </xf>
    <xf numFmtId="0" fontId="62" fillId="14" borderId="0" xfId="0" applyFont="1" applyFill="1"/>
    <xf numFmtId="0" fontId="68" fillId="14" borderId="16"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16" xfId="0" applyFont="1" applyFill="1" applyBorder="1" applyAlignment="1">
      <alignment horizontal="center" vertical="center"/>
    </xf>
    <xf numFmtId="0" fontId="62" fillId="2" borderId="24"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63" fillId="2" borderId="9" xfId="0" applyFont="1" applyFill="1" applyBorder="1" applyAlignment="1">
      <alignment horizontal="center" vertical="center" wrapText="1"/>
    </xf>
    <xf numFmtId="0" fontId="63" fillId="2" borderId="25" xfId="0" applyFont="1" applyFill="1" applyBorder="1" applyAlignment="1">
      <alignment horizontal="center" vertical="center" wrapText="1"/>
    </xf>
    <xf numFmtId="4" fontId="6" fillId="7" borderId="3" xfId="0" applyNumberFormat="1" applyFont="1" applyFill="1" applyBorder="1" applyAlignment="1">
      <alignment horizontal="center"/>
    </xf>
    <xf numFmtId="0" fontId="7" fillId="13" borderId="3" xfId="0" applyNumberFormat="1" applyFont="1" applyFill="1" applyBorder="1" applyAlignment="1">
      <alignment horizontal="center" vertical="center" wrapText="1"/>
    </xf>
    <xf numFmtId="3" fontId="83" fillId="0" borderId="3" xfId="0" applyNumberFormat="1" applyFont="1" applyBorder="1" applyAlignment="1">
      <alignment horizontal="center" vertical="center" wrapText="1"/>
    </xf>
    <xf numFmtId="3" fontId="63" fillId="0" borderId="3" xfId="0" applyNumberFormat="1" applyFont="1" applyBorder="1" applyAlignment="1">
      <alignment horizontal="center"/>
    </xf>
    <xf numFmtId="4" fontId="63" fillId="2" borderId="3" xfId="0" applyNumberFormat="1" applyFont="1" applyFill="1" applyBorder="1" applyAlignment="1">
      <alignment horizontal="center"/>
    </xf>
    <xf numFmtId="2" fontId="63" fillId="2" borderId="3" xfId="0" applyNumberFormat="1" applyFont="1" applyFill="1" applyBorder="1" applyAlignment="1">
      <alignment horizontal="center" vertical="center"/>
    </xf>
    <xf numFmtId="3" fontId="63" fillId="0" borderId="0" xfId="0" applyNumberFormat="1" applyFont="1" applyAlignment="1">
      <alignment horizontal="center"/>
    </xf>
    <xf numFmtId="3" fontId="63" fillId="2" borderId="3" xfId="0" applyNumberFormat="1" applyFont="1" applyFill="1" applyBorder="1" applyAlignment="1">
      <alignment horizontal="center"/>
    </xf>
    <xf numFmtId="0" fontId="14" fillId="13" borderId="3" xfId="0" applyFont="1" applyFill="1" applyBorder="1" applyAlignment="1">
      <alignment horizontal="center" vertical="center"/>
    </xf>
    <xf numFmtId="0" fontId="6" fillId="13" borderId="29" xfId="0" applyFont="1" applyFill="1" applyBorder="1" applyAlignment="1">
      <alignment horizontal="center" vertical="center"/>
    </xf>
    <xf numFmtId="3" fontId="0" fillId="8" borderId="3" xfId="0" applyNumberFormat="1" applyFill="1" applyBorder="1" applyAlignment="1">
      <alignment horizontal="center"/>
    </xf>
    <xf numFmtId="3" fontId="6" fillId="8" borderId="3" xfId="0" applyNumberFormat="1" applyFont="1" applyFill="1" applyBorder="1" applyAlignment="1">
      <alignment horizontal="center"/>
    </xf>
    <xf numFmtId="4" fontId="6" fillId="13" borderId="3" xfId="0" applyNumberFormat="1" applyFont="1" applyFill="1" applyBorder="1" applyAlignment="1">
      <alignment horizontal="center"/>
    </xf>
    <xf numFmtId="3" fontId="48" fillId="0" borderId="3" xfId="0" applyNumberFormat="1" applyFont="1" applyBorder="1" applyAlignment="1">
      <alignment horizontal="center" vertical="center" wrapText="1"/>
    </xf>
    <xf numFmtId="3" fontId="32" fillId="8" borderId="3" xfId="0" applyNumberFormat="1" applyFont="1" applyFill="1" applyBorder="1" applyAlignment="1">
      <alignment horizontal="center"/>
    </xf>
    <xf numFmtId="0" fontId="82" fillId="13" borderId="3" xfId="0" applyFont="1" applyFill="1" applyBorder="1"/>
    <xf numFmtId="10" fontId="67" fillId="8" borderId="3" xfId="0" applyNumberFormat="1" applyFont="1" applyFill="1" applyBorder="1" applyAlignment="1">
      <alignment horizontal="center" vertical="center" wrapText="1"/>
    </xf>
    <xf numFmtId="9" fontId="67" fillId="8" borderId="3" xfId="0" applyNumberFormat="1" applyFont="1" applyFill="1" applyBorder="1" applyAlignment="1">
      <alignment horizontal="center" vertical="center" wrapText="1"/>
    </xf>
    <xf numFmtId="9" fontId="63" fillId="8" borderId="3" xfId="0" applyNumberFormat="1" applyFont="1" applyFill="1" applyBorder="1" applyAlignment="1">
      <alignment horizontal="center" vertical="center" wrapText="1"/>
    </xf>
    <xf numFmtId="9" fontId="63" fillId="8" borderId="3" xfId="0" applyNumberFormat="1" applyFont="1" applyFill="1" applyBorder="1" applyAlignment="1">
      <alignment horizontal="center" vertical="center"/>
    </xf>
    <xf numFmtId="0" fontId="90" fillId="2" borderId="0" xfId="0" applyFont="1" applyFill="1"/>
    <xf numFmtId="3" fontId="63" fillId="2" borderId="0" xfId="0" applyNumberFormat="1" applyFont="1" applyFill="1" applyAlignment="1">
      <alignment horizontal="center"/>
    </xf>
    <xf numFmtId="3" fontId="91" fillId="2" borderId="3" xfId="0" applyNumberFormat="1" applyFont="1" applyFill="1" applyBorder="1" applyAlignment="1">
      <alignment horizontal="center" vertical="center"/>
    </xf>
    <xf numFmtId="0" fontId="90" fillId="2" borderId="3" xfId="0" applyFont="1" applyFill="1" applyBorder="1"/>
    <xf numFmtId="3" fontId="63" fillId="2" borderId="3" xfId="0" applyNumberFormat="1" applyFont="1" applyFill="1" applyBorder="1" applyAlignment="1">
      <alignment horizontal="center" vertical="center"/>
    </xf>
    <xf numFmtId="0" fontId="87" fillId="0" borderId="5" xfId="0" applyFont="1" applyBorder="1" applyAlignment="1"/>
    <xf numFmtId="0" fontId="87" fillId="0" borderId="6" xfId="0" applyFont="1" applyBorder="1" applyAlignment="1"/>
    <xf numFmtId="0" fontId="6" fillId="8"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7" fillId="0" borderId="0" xfId="0" applyFont="1" applyBorder="1" applyAlignment="1">
      <alignment horizontal="center" vertical="center" wrapText="1"/>
    </xf>
    <xf numFmtId="0" fontId="6" fillId="12" borderId="3" xfId="0" applyFont="1" applyFill="1" applyBorder="1" applyAlignment="1">
      <alignment horizontal="center" vertical="center" wrapText="1"/>
    </xf>
    <xf numFmtId="0" fontId="11" fillId="6" borderId="3" xfId="0" applyFont="1" applyFill="1" applyBorder="1" applyAlignment="1">
      <alignment horizontal="center" vertical="center"/>
    </xf>
    <xf numFmtId="0" fontId="7" fillId="2" borderId="0" xfId="0" applyFont="1" applyFill="1" applyBorder="1" applyAlignment="1">
      <alignment horizontal="center" vertical="center" wrapText="1"/>
    </xf>
    <xf numFmtId="49" fontId="1" fillId="0" borderId="0" xfId="0" applyNumberFormat="1" applyFont="1" applyAlignment="1">
      <alignment horizontal="center"/>
    </xf>
    <xf numFmtId="0" fontId="6" fillId="2" borderId="21" xfId="0" applyFont="1" applyFill="1" applyBorder="1" applyAlignment="1">
      <alignment horizontal="center" vertical="center"/>
    </xf>
    <xf numFmtId="0" fontId="6" fillId="2" borderId="11" xfId="0" applyFont="1" applyFill="1" applyBorder="1" applyAlignment="1">
      <alignment horizontal="center" vertical="center" wrapText="1"/>
    </xf>
    <xf numFmtId="0" fontId="6" fillId="2" borderId="20" xfId="0" applyFont="1" applyFill="1" applyBorder="1" applyAlignment="1">
      <alignment horizontal="center" vertical="center"/>
    </xf>
    <xf numFmtId="0" fontId="7" fillId="6" borderId="38"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58" fillId="2" borderId="20" xfId="0" applyFont="1" applyFill="1" applyBorder="1" applyAlignment="1">
      <alignment horizontal="center" vertical="center"/>
    </xf>
    <xf numFmtId="0" fontId="6" fillId="2" borderId="20"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11" fillId="2" borderId="3" xfId="0" applyFont="1" applyFill="1" applyBorder="1"/>
    <xf numFmtId="0" fontId="4" fillId="2" borderId="38" xfId="0" applyFont="1" applyFill="1" applyBorder="1" applyAlignment="1">
      <alignment horizontal="center" vertical="center" wrapText="1"/>
    </xf>
    <xf numFmtId="0" fontId="8" fillId="2" borderId="41" xfId="0" applyFont="1" applyFill="1" applyBorder="1" applyAlignment="1" applyProtection="1">
      <alignment horizontal="center" vertical="center" wrapText="1"/>
    </xf>
    <xf numFmtId="0" fontId="7" fillId="2" borderId="38" xfId="0" applyFont="1" applyFill="1" applyBorder="1" applyAlignment="1" applyProtection="1">
      <alignment horizontal="center" vertical="center" wrapText="1"/>
    </xf>
    <xf numFmtId="0" fontId="4" fillId="2" borderId="41" xfId="0" applyFont="1" applyFill="1" applyBorder="1" applyAlignment="1" applyProtection="1">
      <alignment horizontal="center" vertical="center" wrapText="1"/>
    </xf>
    <xf numFmtId="0" fontId="24" fillId="2" borderId="38" xfId="0" applyFont="1" applyFill="1" applyBorder="1" applyAlignment="1">
      <alignment horizontal="center" vertical="center" wrapText="1"/>
    </xf>
    <xf numFmtId="0" fontId="7" fillId="2" borderId="20" xfId="0" applyFont="1" applyFill="1" applyBorder="1" applyAlignment="1" applyProtection="1">
      <alignment horizontal="center" vertical="center" wrapText="1"/>
    </xf>
    <xf numFmtId="0" fontId="2" fillId="2" borderId="41" xfId="0" applyFont="1" applyFill="1" applyBorder="1" applyAlignment="1">
      <alignment horizontal="center" vertical="center"/>
    </xf>
    <xf numFmtId="0" fontId="11" fillId="2" borderId="38" xfId="0" applyFont="1" applyFill="1" applyBorder="1" applyAlignment="1">
      <alignment horizontal="center" vertical="center"/>
    </xf>
    <xf numFmtId="0" fontId="2" fillId="2" borderId="36" xfId="0" applyFont="1" applyFill="1" applyBorder="1" applyAlignment="1">
      <alignment horizontal="center" vertical="center"/>
    </xf>
    <xf numFmtId="0" fontId="11" fillId="2" borderId="20" xfId="0" applyFont="1" applyFill="1" applyBorder="1" applyAlignment="1">
      <alignment horizontal="center" vertical="center"/>
    </xf>
    <xf numFmtId="0" fontId="4" fillId="2" borderId="19"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wrapText="1"/>
    </xf>
    <xf numFmtId="0" fontId="2" fillId="2" borderId="37" xfId="0" applyFont="1" applyFill="1" applyBorder="1" applyAlignment="1">
      <alignment horizontal="center" vertical="center"/>
    </xf>
    <xf numFmtId="0" fontId="6" fillId="2" borderId="38" xfId="0" applyFont="1" applyFill="1" applyBorder="1" applyAlignment="1">
      <alignment horizontal="center" vertical="center"/>
    </xf>
    <xf numFmtId="0" fontId="4" fillId="2" borderId="15" xfId="0" applyFont="1" applyFill="1" applyBorder="1" applyAlignment="1" applyProtection="1">
      <alignment horizontal="center" vertical="center" wrapText="1"/>
    </xf>
    <xf numFmtId="0" fontId="10" fillId="13" borderId="3" xfId="0" applyFont="1" applyFill="1" applyBorder="1" applyAlignment="1">
      <alignment horizontal="center" vertical="center" wrapText="1"/>
    </xf>
    <xf numFmtId="0" fontId="4" fillId="6" borderId="3" xfId="0" applyFont="1" applyFill="1" applyBorder="1" applyAlignment="1" applyProtection="1">
      <alignment horizontal="center" vertical="center" wrapText="1"/>
    </xf>
    <xf numFmtId="0" fontId="4" fillId="6" borderId="2" xfId="0" applyFont="1" applyFill="1" applyBorder="1" applyAlignment="1">
      <alignment horizontal="center" vertical="center" wrapText="1"/>
    </xf>
    <xf numFmtId="0" fontId="38"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18" fillId="14" borderId="21" xfId="0" applyFont="1" applyFill="1" applyBorder="1" applyAlignment="1">
      <alignment vertical="center"/>
    </xf>
    <xf numFmtId="0" fontId="18" fillId="14" borderId="23" xfId="0" applyFont="1" applyFill="1" applyBorder="1" applyAlignment="1">
      <alignment vertical="center"/>
    </xf>
    <xf numFmtId="0" fontId="2" fillId="6" borderId="20" xfId="0" applyFont="1" applyFill="1" applyBorder="1" applyAlignment="1">
      <alignment horizontal="center" vertical="center" wrapText="1"/>
    </xf>
    <xf numFmtId="0" fontId="2" fillId="6" borderId="5" xfId="0" applyFont="1" applyFill="1" applyBorder="1" applyAlignment="1">
      <alignment horizontal="center" vertical="center"/>
    </xf>
    <xf numFmtId="0" fontId="11" fillId="2" borderId="3" xfId="0" applyFont="1" applyFill="1" applyBorder="1" applyAlignment="1">
      <alignment horizontal="center" vertical="center"/>
    </xf>
    <xf numFmtId="10" fontId="6" fillId="7" borderId="3" xfId="0" applyNumberFormat="1" applyFont="1" applyFill="1" applyBorder="1" applyAlignment="1">
      <alignment horizontal="center"/>
    </xf>
    <xf numFmtId="9" fontId="6" fillId="7" borderId="3" xfId="0" applyNumberFormat="1" applyFont="1" applyFill="1" applyBorder="1" applyAlignment="1">
      <alignment horizontal="center" vertical="center" wrapText="1"/>
    </xf>
    <xf numFmtId="3" fontId="32" fillId="7" borderId="3" xfId="0" applyNumberFormat="1" applyFont="1" applyFill="1" applyBorder="1" applyAlignment="1">
      <alignment horizontal="center"/>
    </xf>
    <xf numFmtId="10" fontId="0" fillId="7" borderId="3" xfId="0" applyNumberFormat="1" applyFill="1" applyBorder="1" applyAlignment="1">
      <alignment horizontal="center"/>
    </xf>
    <xf numFmtId="10" fontId="1" fillId="7" borderId="3" xfId="0" applyNumberFormat="1" applyFont="1" applyFill="1" applyBorder="1" applyAlignment="1">
      <alignment horizontal="center" vertical="center"/>
    </xf>
    <xf numFmtId="0" fontId="0" fillId="7" borderId="3" xfId="0" applyFill="1" applyBorder="1" applyAlignment="1">
      <alignment horizontal="center"/>
    </xf>
    <xf numFmtId="0" fontId="0" fillId="8" borderId="3" xfId="0" applyFill="1" applyBorder="1" applyAlignment="1">
      <alignment horizontal="center"/>
    </xf>
    <xf numFmtId="0" fontId="0" fillId="2" borderId="3" xfId="0" applyFill="1" applyBorder="1" applyAlignment="1">
      <alignment horizontal="center"/>
    </xf>
    <xf numFmtId="0" fontId="10" fillId="13"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0" fillId="0" borderId="3" xfId="0" applyBorder="1" applyAlignment="1">
      <alignment horizontal="center"/>
    </xf>
    <xf numFmtId="0" fontId="6" fillId="12" borderId="3" xfId="0" applyFont="1" applyFill="1" applyBorder="1" applyAlignment="1">
      <alignment horizontal="center" vertical="center" wrapText="1"/>
    </xf>
    <xf numFmtId="0" fontId="44" fillId="9" borderId="3" xfId="0" applyFont="1" applyFill="1" applyBorder="1" applyAlignment="1">
      <alignment horizontal="center" vertical="center"/>
    </xf>
    <xf numFmtId="0" fontId="1" fillId="2" borderId="9" xfId="0" applyFont="1" applyFill="1" applyBorder="1" applyAlignment="1">
      <alignment vertical="center" wrapText="1"/>
    </xf>
    <xf numFmtId="0" fontId="92" fillId="0" borderId="4" xfId="0" applyFont="1" applyBorder="1" applyAlignment="1"/>
    <xf numFmtId="0" fontId="11" fillId="6" borderId="3" xfId="0" applyFont="1" applyFill="1" applyBorder="1" applyAlignment="1">
      <alignment horizontal="center" vertical="center" wrapText="1"/>
    </xf>
    <xf numFmtId="0" fontId="1" fillId="7" borderId="3" xfId="0" applyFont="1" applyFill="1" applyBorder="1" applyAlignment="1">
      <alignment horizontal="center" vertical="center" wrapText="1"/>
    </xf>
    <xf numFmtId="3" fontId="0" fillId="2" borderId="3" xfId="0" applyNumberFormat="1" applyFill="1" applyBorder="1" applyAlignment="1">
      <alignment horizontal="center"/>
    </xf>
    <xf numFmtId="0" fontId="8" fillId="13" borderId="6"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4" fillId="0" borderId="3" xfId="0" applyFont="1" applyBorder="1" applyAlignment="1">
      <alignment horizontal="center" vertical="center"/>
    </xf>
    <xf numFmtId="0" fontId="2" fillId="0" borderId="3" xfId="0" applyFont="1" applyBorder="1" applyAlignment="1">
      <alignment horizontal="center" vertical="center"/>
    </xf>
    <xf numFmtId="0" fontId="7" fillId="2" borderId="0" xfId="0" applyFont="1" applyFill="1" applyBorder="1" applyAlignment="1">
      <alignment horizontal="center" vertical="center" wrapText="1"/>
    </xf>
    <xf numFmtId="0" fontId="1" fillId="0" borderId="0" xfId="0" applyFont="1" applyAlignment="1">
      <alignment horizontal="left"/>
    </xf>
    <xf numFmtId="0" fontId="7" fillId="2" borderId="6" xfId="0" applyFont="1" applyFill="1" applyBorder="1" applyAlignment="1">
      <alignment horizontal="center" vertical="center" wrapText="1"/>
    </xf>
    <xf numFmtId="0" fontId="7" fillId="0" borderId="6" xfId="0" applyFont="1" applyBorder="1" applyAlignment="1">
      <alignment horizontal="center" vertical="center" wrapText="1"/>
    </xf>
    <xf numFmtId="0" fontId="0" fillId="2" borderId="3" xfId="0" applyFill="1" applyBorder="1"/>
    <xf numFmtId="0" fontId="7" fillId="2" borderId="0" xfId="0" applyFont="1" applyFill="1" applyBorder="1" applyAlignment="1">
      <alignment horizontal="center" vertical="center" wrapText="1"/>
    </xf>
    <xf numFmtId="2" fontId="38" fillId="12" borderId="3" xfId="0" applyNumberFormat="1" applyFont="1" applyFill="1" applyBorder="1" applyAlignment="1">
      <alignment horizontal="center" vertical="center"/>
    </xf>
    <xf numFmtId="0" fontId="6" fillId="5" borderId="3" xfId="0" applyFont="1" applyFill="1" applyBorder="1" applyAlignment="1">
      <alignment horizontal="center" vertical="center"/>
    </xf>
    <xf numFmtId="0" fontId="1" fillId="2" borderId="3" xfId="0" applyFont="1" applyFill="1" applyBorder="1" applyAlignment="1">
      <alignment vertical="center"/>
    </xf>
    <xf numFmtId="0" fontId="4"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1" fillId="6" borderId="6" xfId="0" applyFont="1" applyFill="1" applyBorder="1" applyAlignment="1">
      <alignment vertical="center"/>
    </xf>
    <xf numFmtId="3" fontId="8" fillId="6" borderId="3"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11" fillId="0" borderId="3" xfId="0" applyFont="1" applyBorder="1" applyAlignment="1">
      <alignment vertical="center" wrapText="1"/>
    </xf>
    <xf numFmtId="0" fontId="54" fillId="0" borderId="3" xfId="0" applyFont="1" applyBorder="1" applyAlignment="1">
      <alignment horizontal="center" vertical="center"/>
    </xf>
    <xf numFmtId="0" fontId="54" fillId="0" borderId="3" xfId="0" applyFont="1" applyBorder="1" applyAlignment="1">
      <alignment wrapText="1"/>
    </xf>
    <xf numFmtId="0" fontId="58" fillId="0" borderId="0" xfId="0" applyFont="1" applyAlignment="1">
      <alignment horizontal="center"/>
    </xf>
    <xf numFmtId="3" fontId="44" fillId="8" borderId="3" xfId="0" applyNumberFormat="1" applyFont="1" applyFill="1" applyBorder="1" applyAlignment="1">
      <alignment horizontal="center" vertical="center"/>
    </xf>
    <xf numFmtId="0" fontId="73" fillId="0" borderId="3" xfId="0" applyFont="1" applyBorder="1" applyAlignment="1">
      <alignment horizontal="center" vertical="center" wrapText="1"/>
    </xf>
    <xf numFmtId="0" fontId="7" fillId="0" borderId="3" xfId="0" applyFont="1" applyBorder="1" applyAlignment="1">
      <alignment horizontal="center" wrapText="1"/>
    </xf>
    <xf numFmtId="0" fontId="7" fillId="2" borderId="0" xfId="0" applyFont="1" applyFill="1" applyBorder="1" applyAlignment="1">
      <alignment horizontal="center" vertical="center" wrapText="1"/>
    </xf>
    <xf numFmtId="0" fontId="1" fillId="0" borderId="3" xfId="0" applyFont="1" applyBorder="1"/>
    <xf numFmtId="0" fontId="6" fillId="12" borderId="3" xfId="0" applyFont="1" applyFill="1" applyBorder="1" applyAlignment="1">
      <alignment horizontal="center" vertical="center" wrapText="1"/>
    </xf>
    <xf numFmtId="0" fontId="7" fillId="12" borderId="3"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2" fillId="13" borderId="3" xfId="0" applyFont="1" applyFill="1" applyBorder="1" applyAlignment="1">
      <alignment horizontal="center" vertical="center" wrapText="1"/>
    </xf>
    <xf numFmtId="0" fontId="4" fillId="13"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2" fillId="0" borderId="3" xfId="0" applyFont="1" applyBorder="1" applyAlignment="1">
      <alignment horizontal="center" vertical="center"/>
    </xf>
    <xf numFmtId="0" fontId="2" fillId="6" borderId="6" xfId="0" applyFont="1" applyFill="1" applyBorder="1" applyAlignment="1">
      <alignment horizontal="center" vertical="center" wrapText="1"/>
    </xf>
    <xf numFmtId="0" fontId="32" fillId="0" borderId="3" xfId="0" applyFont="1" applyBorder="1" applyAlignment="1">
      <alignment horizontal="center" vertical="center"/>
    </xf>
    <xf numFmtId="0" fontId="7" fillId="2" borderId="0"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2" fillId="6" borderId="3" xfId="0" applyFont="1" applyFill="1" applyBorder="1" applyAlignment="1">
      <alignment horizontal="center" vertical="center"/>
    </xf>
    <xf numFmtId="0" fontId="6" fillId="1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95" fillId="2" borderId="3"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6" borderId="3" xfId="0" applyFont="1" applyFill="1" applyBorder="1" applyAlignment="1">
      <alignment horizontal="center" vertical="top" wrapText="1"/>
    </xf>
    <xf numFmtId="0" fontId="2" fillId="0" borderId="3" xfId="0" applyFont="1" applyBorder="1" applyAlignment="1">
      <alignment horizontal="center" vertical="center"/>
    </xf>
    <xf numFmtId="0" fontId="2" fillId="0" borderId="3" xfId="0" applyFont="1" applyBorder="1" applyAlignment="1">
      <alignment horizontal="center" vertical="center"/>
    </xf>
    <xf numFmtId="0" fontId="6" fillId="12" borderId="3" xfId="0" applyFont="1" applyFill="1" applyBorder="1" applyAlignment="1">
      <alignment horizontal="center" vertical="center" wrapText="1"/>
    </xf>
    <xf numFmtId="0" fontId="7" fillId="2" borderId="0" xfId="0" applyFont="1" applyFill="1" applyAlignment="1">
      <alignment horizontal="center" vertical="center" wrapText="1"/>
    </xf>
    <xf numFmtId="0" fontId="6" fillId="0" borderId="5" xfId="0" applyFont="1" applyBorder="1" applyAlignment="1">
      <alignment horizontal="center" vertical="center" wrapText="1"/>
    </xf>
    <xf numFmtId="9" fontId="7" fillId="8" borderId="9" xfId="0" applyNumberFormat="1" applyFont="1" applyFill="1" applyBorder="1" applyAlignment="1">
      <alignment horizontal="center" vertical="center" wrapText="1"/>
    </xf>
    <xf numFmtId="0" fontId="6" fillId="8" borderId="3" xfId="0" applyFont="1" applyFill="1" applyBorder="1" applyAlignment="1">
      <alignment horizontal="center" vertical="center" wrapText="1"/>
    </xf>
    <xf numFmtId="0" fontId="0" fillId="2" borderId="0" xfId="0" applyFill="1" applyAlignment="1">
      <alignment wrapText="1"/>
    </xf>
    <xf numFmtId="0" fontId="11" fillId="2" borderId="3" xfId="0" applyFont="1" applyFill="1" applyBorder="1" applyAlignment="1">
      <alignment horizontal="center" vertical="center" wrapText="1"/>
    </xf>
    <xf numFmtId="0" fontId="2" fillId="0" borderId="3" xfId="0" applyFont="1" applyBorder="1" applyAlignment="1">
      <alignment horizontal="center" vertical="center"/>
    </xf>
    <xf numFmtId="0" fontId="6" fillId="7" borderId="5" xfId="0" applyFont="1" applyFill="1" applyBorder="1" applyAlignment="1">
      <alignment horizontal="center" vertical="center" wrapText="1"/>
    </xf>
    <xf numFmtId="2" fontId="22" fillId="8" borderId="3" xfId="0" applyNumberFormat="1" applyFont="1" applyFill="1" applyBorder="1" applyAlignment="1">
      <alignment horizontal="center" vertical="center"/>
    </xf>
    <xf numFmtId="10" fontId="22" fillId="7" borderId="3" xfId="0" applyNumberFormat="1" applyFont="1" applyFill="1" applyBorder="1" applyAlignment="1">
      <alignment horizontal="center" vertical="center"/>
    </xf>
    <xf numFmtId="3" fontId="6" fillId="12" borderId="3" xfId="0" applyNumberFormat="1" applyFont="1" applyFill="1" applyBorder="1" applyAlignment="1">
      <alignment horizontal="center"/>
    </xf>
    <xf numFmtId="0" fontId="2" fillId="0" borderId="3"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center" vertical="center"/>
    </xf>
    <xf numFmtId="0" fontId="7" fillId="2" borderId="0" xfId="0" applyFont="1" applyFill="1" applyBorder="1" applyAlignment="1">
      <alignment horizontal="center" vertical="center" wrapText="1"/>
    </xf>
    <xf numFmtId="0" fontId="92" fillId="0" borderId="0" xfId="0" applyFont="1" applyBorder="1" applyAlignment="1"/>
    <xf numFmtId="0" fontId="81" fillId="0" borderId="3" xfId="0" applyFont="1" applyBorder="1" applyAlignment="1">
      <alignment horizontal="center" vertical="center"/>
    </xf>
    <xf numFmtId="0" fontId="81" fillId="2" borderId="0" xfId="0" applyFont="1" applyFill="1" applyBorder="1" applyAlignment="1">
      <alignment vertical="center"/>
    </xf>
    <xf numFmtId="0" fontId="38" fillId="18" borderId="2" xfId="0" applyFont="1" applyFill="1" applyBorder="1" applyAlignment="1">
      <alignment horizontal="center" vertical="center" wrapText="1"/>
    </xf>
    <xf numFmtId="0" fontId="38" fillId="18" borderId="3" xfId="0" applyFont="1" applyFill="1" applyBorder="1" applyAlignment="1">
      <alignment horizontal="center" vertical="center" wrapText="1"/>
    </xf>
    <xf numFmtId="0" fontId="1" fillId="14" borderId="0" xfId="0" applyFont="1" applyFill="1" applyBorder="1" applyAlignment="1">
      <alignment horizontal="center" vertical="center"/>
    </xf>
    <xf numFmtId="0" fontId="7" fillId="2"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18" fillId="14" borderId="57" xfId="0" applyFont="1" applyFill="1" applyBorder="1" applyAlignment="1">
      <alignment horizontal="center" vertical="center"/>
    </xf>
    <xf numFmtId="0" fontId="18" fillId="14" borderId="56" xfId="0" applyFont="1" applyFill="1" applyBorder="1" applyAlignment="1">
      <alignment horizontal="center" vertical="center"/>
    </xf>
    <xf numFmtId="0" fontId="1" fillId="14" borderId="22" xfId="0" applyFont="1" applyFill="1" applyBorder="1" applyAlignment="1">
      <alignment horizontal="center" vertical="center" wrapText="1"/>
    </xf>
    <xf numFmtId="0" fontId="1" fillId="14" borderId="58" xfId="0" applyFont="1" applyFill="1" applyBorder="1"/>
    <xf numFmtId="0" fontId="1" fillId="14" borderId="59" xfId="0" applyFont="1" applyFill="1" applyBorder="1"/>
    <xf numFmtId="0" fontId="1" fillId="14" borderId="60" xfId="0" applyFont="1" applyFill="1" applyBorder="1" applyAlignment="1">
      <alignment horizontal="center" vertical="center"/>
    </xf>
    <xf numFmtId="0" fontId="32" fillId="2" borderId="4"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2" borderId="0"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2" fillId="0" borderId="3" xfId="0" applyFont="1" applyBorder="1" applyAlignment="1">
      <alignment horizontal="center" vertical="center"/>
    </xf>
    <xf numFmtId="0" fontId="7"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4" fillId="2" borderId="22" xfId="0" applyNumberFormat="1" applyFont="1" applyFill="1" applyBorder="1" applyAlignment="1">
      <alignment horizontal="center" vertical="center" wrapText="1"/>
    </xf>
    <xf numFmtId="0" fontId="5" fillId="6" borderId="3" xfId="2" applyFont="1" applyFill="1" applyBorder="1" applyAlignment="1">
      <alignment wrapText="1"/>
    </xf>
    <xf numFmtId="0" fontId="4" fillId="2" borderId="5"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4" fillId="0" borderId="3" xfId="0" applyFont="1" applyBorder="1" applyAlignment="1">
      <alignment horizontal="center" vertical="center"/>
    </xf>
    <xf numFmtId="0" fontId="6" fillId="12" borderId="3" xfId="0" applyFont="1" applyFill="1" applyBorder="1" applyAlignment="1">
      <alignment horizontal="center" vertical="center" wrapText="1"/>
    </xf>
    <xf numFmtId="0" fontId="3" fillId="2" borderId="0" xfId="0" applyFont="1" applyFill="1" applyAlignment="1">
      <alignment horizontal="center" vertical="center"/>
    </xf>
    <xf numFmtId="0" fontId="24" fillId="2" borderId="3" xfId="0" applyFont="1" applyFill="1" applyBorder="1" applyAlignment="1">
      <alignment horizontal="center" vertical="center" wrapText="1"/>
    </xf>
    <xf numFmtId="0" fontId="7" fillId="0" borderId="0" xfId="0" applyFont="1" applyBorder="1" applyAlignment="1">
      <alignment vertical="center" wrapText="1"/>
    </xf>
    <xf numFmtId="0" fontId="7"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 fillId="0" borderId="4" xfId="0" applyFont="1" applyBorder="1" applyAlignment="1">
      <alignment horizontal="center" vertical="center"/>
    </xf>
    <xf numFmtId="0" fontId="1" fillId="2" borderId="24" xfId="0" applyFont="1" applyFill="1" applyBorder="1" applyAlignment="1">
      <alignment horizontal="center"/>
    </xf>
    <xf numFmtId="0" fontId="1" fillId="2" borderId="11" xfId="0" applyFont="1" applyFill="1" applyBorder="1" applyAlignment="1">
      <alignment horizontal="center"/>
    </xf>
    <xf numFmtId="0" fontId="58" fillId="0" borderId="0" xfId="0" applyFont="1" applyAlignment="1">
      <alignment horizontal="center" wrapText="1"/>
    </xf>
    <xf numFmtId="0" fontId="1" fillId="2" borderId="9" xfId="0" applyFont="1" applyFill="1" applyBorder="1" applyAlignment="1">
      <alignment horizontal="left" vertical="center" wrapText="1"/>
    </xf>
    <xf numFmtId="0" fontId="6" fillId="19" borderId="3" xfId="0" applyFont="1" applyFill="1" applyBorder="1" applyAlignment="1">
      <alignment horizontal="center" vertical="center" wrapText="1"/>
    </xf>
    <xf numFmtId="0" fontId="2" fillId="19" borderId="3"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3" xfId="0" applyFont="1" applyFill="1" applyBorder="1" applyAlignment="1">
      <alignment horizontal="center" vertical="center"/>
    </xf>
    <xf numFmtId="0" fontId="97" fillId="6" borderId="3" xfId="0" applyFont="1" applyFill="1" applyBorder="1" applyAlignment="1">
      <alignment horizontal="center" vertical="center"/>
    </xf>
    <xf numFmtId="0" fontId="2" fillId="6" borderId="3" xfId="0" applyFont="1" applyFill="1" applyBorder="1" applyAlignment="1">
      <alignment horizontal="left" vertical="center" wrapText="1"/>
    </xf>
    <xf numFmtId="0" fontId="7" fillId="2" borderId="0" xfId="0" applyFont="1" applyFill="1" applyBorder="1" applyAlignment="1">
      <alignment horizontal="center" vertical="center" wrapText="1"/>
    </xf>
    <xf numFmtId="0" fontId="4" fillId="0" borderId="3" xfId="0" applyFont="1" applyBorder="1" applyAlignment="1">
      <alignment horizontal="center" vertical="center"/>
    </xf>
    <xf numFmtId="0" fontId="2" fillId="0" borderId="3" xfId="0" applyFont="1" applyBorder="1" applyAlignment="1">
      <alignment horizontal="center" vertical="center"/>
    </xf>
    <xf numFmtId="0" fontId="4" fillId="6" borderId="5" xfId="0" applyFont="1" applyFill="1" applyBorder="1" applyAlignment="1">
      <alignment horizontal="center" vertical="center" wrapText="1"/>
    </xf>
    <xf numFmtId="0" fontId="10" fillId="6" borderId="5" xfId="0" applyFont="1" applyFill="1" applyBorder="1" applyAlignment="1">
      <alignment horizontal="center" vertical="center" wrapText="1"/>
    </xf>
    <xf numFmtId="9" fontId="6" fillId="12" borderId="3" xfId="0" applyNumberFormat="1" applyFont="1" applyFill="1" applyBorder="1" applyAlignment="1">
      <alignment horizontal="center" vertical="center"/>
    </xf>
    <xf numFmtId="0" fontId="46" fillId="2" borderId="2"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2" fillId="15"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 fillId="13" borderId="3" xfId="0" applyFont="1" applyFill="1" applyBorder="1" applyAlignment="1">
      <alignment horizontal="center" vertical="center"/>
    </xf>
    <xf numFmtId="0" fontId="62" fillId="13" borderId="3" xfId="0" applyFont="1" applyFill="1" applyBorder="1" applyAlignment="1">
      <alignment horizontal="center" vertical="center"/>
    </xf>
    <xf numFmtId="10" fontId="90" fillId="7" borderId="3" xfId="0" applyNumberFormat="1" applyFont="1" applyFill="1" applyBorder="1" applyAlignment="1">
      <alignment horizontal="center"/>
    </xf>
    <xf numFmtId="0" fontId="63" fillId="13" borderId="3" xfId="0" applyFont="1" applyFill="1" applyBorder="1" applyAlignment="1">
      <alignment horizontal="center" vertical="center"/>
    </xf>
    <xf numFmtId="10" fontId="63" fillId="7" borderId="3" xfId="0" applyNumberFormat="1" applyFont="1" applyFill="1" applyBorder="1" applyAlignment="1">
      <alignment horizontal="center"/>
    </xf>
    <xf numFmtId="9" fontId="6" fillId="7" borderId="3" xfId="0" applyNumberFormat="1" applyFont="1" applyFill="1" applyBorder="1" applyAlignment="1">
      <alignment horizontal="center"/>
    </xf>
    <xf numFmtId="165" fontId="7" fillId="7" borderId="3" xfId="0" applyNumberFormat="1" applyFont="1" applyFill="1" applyBorder="1" applyAlignment="1">
      <alignment horizontal="center" vertical="center" wrapText="1"/>
    </xf>
    <xf numFmtId="165" fontId="6" fillId="7" borderId="3" xfId="0" applyNumberFormat="1" applyFont="1" applyFill="1" applyBorder="1" applyAlignment="1">
      <alignment horizontal="center"/>
    </xf>
    <xf numFmtId="0" fontId="38" fillId="13" borderId="2" xfId="0" applyFont="1" applyFill="1" applyBorder="1" applyAlignment="1">
      <alignment horizontal="center" vertical="center" wrapText="1"/>
    </xf>
    <xf numFmtId="0" fontId="38" fillId="8" borderId="3" xfId="0" applyFont="1" applyFill="1" applyBorder="1" applyAlignment="1">
      <alignment horizontal="center" vertical="center" wrapText="1"/>
    </xf>
    <xf numFmtId="0" fontId="38" fillId="8" borderId="2" xfId="0" applyFont="1" applyFill="1" applyBorder="1" applyAlignment="1">
      <alignment horizontal="center" vertical="center" wrapText="1"/>
    </xf>
    <xf numFmtId="9" fontId="63" fillId="7" borderId="3" xfId="0" applyNumberFormat="1" applyFont="1" applyFill="1" applyBorder="1" applyAlignment="1">
      <alignment horizontal="center" vertical="center" wrapText="1"/>
    </xf>
    <xf numFmtId="9" fontId="6" fillId="8" borderId="3" xfId="0" applyNumberFormat="1" applyFont="1" applyFill="1" applyBorder="1" applyAlignment="1">
      <alignment horizontal="center"/>
    </xf>
    <xf numFmtId="10" fontId="63" fillId="7" borderId="3" xfId="0" applyNumberFormat="1" applyFont="1" applyFill="1" applyBorder="1" applyAlignment="1">
      <alignment horizontal="center" vertical="center" wrapText="1"/>
    </xf>
    <xf numFmtId="9" fontId="0" fillId="8" borderId="3" xfId="0" applyNumberFormat="1" applyFont="1" applyFill="1" applyBorder="1" applyAlignment="1">
      <alignment horizontal="center"/>
    </xf>
    <xf numFmtId="0" fontId="2" fillId="6" borderId="3" xfId="0" applyFont="1" applyFill="1" applyBorder="1" applyAlignment="1">
      <alignment horizontal="center" vertical="center"/>
    </xf>
    <xf numFmtId="0" fontId="99" fillId="2" borderId="3" xfId="2" applyFont="1" applyFill="1" applyBorder="1" applyAlignment="1">
      <alignment horizontal="left" vertical="center" wrapText="1"/>
    </xf>
    <xf numFmtId="0" fontId="4" fillId="0" borderId="3" xfId="0" applyFont="1" applyBorder="1" applyAlignment="1">
      <alignment horizontal="left" vertical="center" wrapText="1"/>
    </xf>
    <xf numFmtId="0" fontId="2" fillId="20" borderId="3" xfId="0" applyFont="1" applyFill="1" applyBorder="1" applyAlignment="1">
      <alignment horizontal="center" vertical="center" wrapText="1"/>
    </xf>
    <xf numFmtId="0" fontId="10" fillId="20" borderId="3" xfId="0" applyFont="1" applyFill="1" applyBorder="1" applyAlignment="1">
      <alignment horizontal="center" vertical="center" wrapText="1"/>
    </xf>
    <xf numFmtId="0" fontId="44" fillId="15" borderId="3" xfId="0" applyFont="1" applyFill="1" applyBorder="1" applyAlignment="1">
      <alignment horizontal="center" vertical="center"/>
    </xf>
    <xf numFmtId="0" fontId="10" fillId="15" borderId="3" xfId="0" applyFont="1" applyFill="1" applyBorder="1" applyAlignment="1">
      <alignment horizontal="center" vertical="center" wrapText="1"/>
    </xf>
    <xf numFmtId="0" fontId="102" fillId="15" borderId="3" xfId="0" applyFont="1" applyFill="1" applyBorder="1" applyAlignment="1">
      <alignment horizontal="center" vertical="center" wrapText="1"/>
    </xf>
    <xf numFmtId="0" fontId="103" fillId="15" borderId="3" xfId="0" applyFont="1" applyFill="1" applyBorder="1" applyAlignment="1">
      <alignment horizontal="center" vertical="center" wrapText="1"/>
    </xf>
    <xf numFmtId="0" fontId="103" fillId="15" borderId="2" xfId="0" applyFont="1" applyFill="1" applyBorder="1" applyAlignment="1">
      <alignment horizontal="center" vertical="center" wrapText="1"/>
    </xf>
    <xf numFmtId="0" fontId="102" fillId="4" borderId="3" xfId="0" applyFont="1" applyFill="1" applyBorder="1" applyAlignment="1">
      <alignment horizontal="center" vertical="center" wrapText="1"/>
    </xf>
    <xf numFmtId="0" fontId="102" fillId="20" borderId="3" xfId="0" applyFont="1" applyFill="1" applyBorder="1" applyAlignment="1">
      <alignment horizontal="center" vertical="center" wrapText="1"/>
    </xf>
    <xf numFmtId="0" fontId="11" fillId="19" borderId="3" xfId="0" applyFont="1" applyFill="1" applyBorder="1" applyAlignment="1">
      <alignment horizontal="center" vertical="center" wrapText="1"/>
    </xf>
    <xf numFmtId="0" fontId="10" fillId="19"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66" fillId="0" borderId="3" xfId="0" applyFont="1" applyBorder="1" applyAlignment="1">
      <alignment horizontal="center" vertical="center" wrapText="1"/>
    </xf>
    <xf numFmtId="0" fontId="103" fillId="0" borderId="3" xfId="0" applyFont="1" applyBorder="1" applyAlignment="1">
      <alignment horizontal="center" vertical="center" wrapText="1"/>
    </xf>
    <xf numFmtId="0" fontId="101" fillId="2" borderId="3" xfId="0" applyFont="1" applyFill="1" applyBorder="1" applyAlignment="1">
      <alignment horizontal="center" vertical="center" wrapText="1"/>
    </xf>
    <xf numFmtId="0" fontId="102" fillId="0" borderId="3" xfId="0" applyFont="1" applyBorder="1" applyAlignment="1">
      <alignment horizontal="center" vertical="center" wrapText="1"/>
    </xf>
    <xf numFmtId="0" fontId="2" fillId="0" borderId="3" xfId="0" applyFont="1" applyBorder="1" applyAlignment="1">
      <alignment horizontal="center" vertical="center"/>
    </xf>
    <xf numFmtId="0" fontId="7" fillId="2" borderId="0" xfId="0" applyFont="1" applyFill="1" applyBorder="1" applyAlignment="1">
      <alignment horizontal="center" vertical="center" wrapText="1"/>
    </xf>
    <xf numFmtId="0" fontId="103" fillId="2" borderId="3" xfId="0" applyFont="1" applyFill="1" applyBorder="1" applyAlignment="1">
      <alignment horizontal="center" vertical="center" wrapText="1"/>
    </xf>
    <xf numFmtId="0" fontId="66" fillId="0" borderId="3" xfId="0" applyFont="1" applyBorder="1" applyAlignment="1">
      <alignment horizontal="center" wrapText="1"/>
    </xf>
    <xf numFmtId="0" fontId="6" fillId="19" borderId="3" xfId="0" applyFont="1" applyFill="1" applyBorder="1" applyAlignment="1">
      <alignment wrapText="1"/>
    </xf>
    <xf numFmtId="0" fontId="32" fillId="0" borderId="0" xfId="0" applyFont="1" applyAlignment="1">
      <alignment horizontal="center" vertical="center" wrapText="1"/>
    </xf>
    <xf numFmtId="0" fontId="94" fillId="6" borderId="3" xfId="0" applyFont="1" applyFill="1" applyBorder="1" applyAlignment="1">
      <alignment horizontal="center" vertical="center" wrapText="1"/>
    </xf>
    <xf numFmtId="0" fontId="34" fillId="2" borderId="3" xfId="0" applyNumberFormat="1" applyFont="1" applyFill="1" applyBorder="1" applyAlignment="1">
      <alignment horizontal="center" vertical="center" wrapText="1"/>
    </xf>
    <xf numFmtId="0" fontId="32" fillId="0" borderId="2" xfId="0" applyFont="1" applyBorder="1" applyAlignment="1">
      <alignment horizontal="center" vertical="center" wrapText="1"/>
    </xf>
    <xf numFmtId="0" fontId="32" fillId="6" borderId="5" xfId="0" applyFont="1" applyFill="1" applyBorder="1" applyAlignment="1">
      <alignment horizontal="center" vertical="center" wrapText="1"/>
    </xf>
    <xf numFmtId="0" fontId="34" fillId="12" borderId="3" xfId="0" applyNumberFormat="1" applyFont="1" applyFill="1" applyBorder="1" applyAlignment="1">
      <alignment horizontal="center" vertical="center" wrapText="1"/>
    </xf>
    <xf numFmtId="0" fontId="34" fillId="6" borderId="5"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2" fillId="6" borderId="22" xfId="0" applyFont="1" applyFill="1" applyBorder="1" applyAlignment="1">
      <alignment horizontal="center" vertical="center" wrapText="1"/>
    </xf>
    <xf numFmtId="0" fontId="34" fillId="2" borderId="3" xfId="0" applyFont="1" applyFill="1" applyBorder="1" applyAlignment="1" applyProtection="1">
      <alignment horizontal="center" vertical="center" wrapText="1"/>
    </xf>
    <xf numFmtId="0" fontId="34" fillId="0" borderId="3" xfId="0" applyFont="1" applyBorder="1" applyAlignment="1">
      <alignment horizontal="center" vertical="center" wrapText="1"/>
    </xf>
    <xf numFmtId="0" fontId="34" fillId="0" borderId="2" xfId="0" applyFont="1" applyBorder="1" applyAlignment="1">
      <alignment horizontal="center" vertical="center" wrapText="1"/>
    </xf>
    <xf numFmtId="0" fontId="34" fillId="12" borderId="3" xfId="0" applyFont="1" applyFill="1" applyBorder="1" applyAlignment="1">
      <alignment horizontal="center" vertical="center" wrapText="1"/>
    </xf>
    <xf numFmtId="0" fontId="32" fillId="12" borderId="3" xfId="0" applyFont="1" applyFill="1" applyBorder="1" applyAlignment="1">
      <alignment horizontal="center" vertical="center" wrapText="1"/>
    </xf>
    <xf numFmtId="0" fontId="34" fillId="0" borderId="2" xfId="0" applyNumberFormat="1" applyFont="1" applyBorder="1" applyAlignment="1">
      <alignment horizontal="center" vertical="center" wrapText="1"/>
    </xf>
    <xf numFmtId="0" fontId="34" fillId="0" borderId="3" xfId="0" applyNumberFormat="1" applyFont="1" applyBorder="1" applyAlignment="1">
      <alignment horizontal="center" vertical="center" wrapText="1"/>
    </xf>
    <xf numFmtId="0" fontId="34" fillId="2" borderId="4" xfId="0" applyNumberFormat="1" applyFont="1" applyFill="1" applyBorder="1" applyAlignment="1">
      <alignment horizontal="center" vertical="center" wrapText="1"/>
    </xf>
    <xf numFmtId="0" fontId="34" fillId="12" borderId="4" xfId="0" applyNumberFormat="1" applyFont="1" applyFill="1" applyBorder="1" applyAlignment="1">
      <alignment horizontal="center" vertical="center" wrapText="1"/>
    </xf>
    <xf numFmtId="0" fontId="32" fillId="12" borderId="4" xfId="0" applyFont="1" applyFill="1" applyBorder="1" applyAlignment="1">
      <alignment horizontal="center" vertical="center" wrapText="1"/>
    </xf>
    <xf numFmtId="0" fontId="34" fillId="2" borderId="10" xfId="0" applyNumberFormat="1"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0" borderId="4" xfId="0" applyFont="1" applyBorder="1" applyAlignment="1">
      <alignment horizontal="center" vertical="center" wrapText="1"/>
    </xf>
    <xf numFmtId="0" fontId="34" fillId="0" borderId="10" xfId="0" applyFont="1" applyBorder="1" applyAlignment="1">
      <alignment horizontal="center" vertical="center" wrapText="1"/>
    </xf>
    <xf numFmtId="0" fontId="34" fillId="2" borderId="4" xfId="0" applyFont="1" applyFill="1" applyBorder="1" applyAlignment="1">
      <alignment horizontal="center" vertical="center" wrapText="1"/>
    </xf>
    <xf numFmtId="0" fontId="34" fillId="12" borderId="4" xfId="0" applyFont="1" applyFill="1" applyBorder="1" applyAlignment="1">
      <alignment horizontal="center" vertical="center" wrapText="1"/>
    </xf>
    <xf numFmtId="0" fontId="34" fillId="6" borderId="22" xfId="0" applyFont="1" applyFill="1" applyBorder="1" applyAlignment="1">
      <alignment horizontal="center" vertical="center" wrapText="1"/>
    </xf>
    <xf numFmtId="0" fontId="32" fillId="6" borderId="5" xfId="0" applyFont="1" applyFill="1" applyBorder="1" applyAlignment="1">
      <alignment horizontal="center" vertical="center"/>
    </xf>
    <xf numFmtId="0" fontId="32" fillId="2" borderId="22" xfId="0" applyFont="1" applyFill="1" applyBorder="1" applyAlignment="1">
      <alignment horizontal="center" vertical="center"/>
    </xf>
    <xf numFmtId="0" fontId="34" fillId="2" borderId="2" xfId="0" applyNumberFormat="1" applyFont="1" applyFill="1" applyBorder="1" applyAlignment="1">
      <alignment horizontal="center" vertical="center" wrapText="1"/>
    </xf>
    <xf numFmtId="0" fontId="32" fillId="6" borderId="0" xfId="0" applyFont="1" applyFill="1" applyBorder="1" applyAlignment="1">
      <alignment horizontal="center" vertical="center" wrapText="1"/>
    </xf>
    <xf numFmtId="0" fontId="34" fillId="6" borderId="0" xfId="0" applyFont="1" applyFill="1" applyBorder="1" applyAlignment="1" applyProtection="1">
      <alignment horizontal="center" vertical="center" wrapText="1"/>
    </xf>
    <xf numFmtId="0" fontId="34" fillId="12" borderId="3" xfId="0" applyFont="1" applyFill="1" applyBorder="1" applyAlignment="1" applyProtection="1">
      <alignment horizontal="center" vertical="center" wrapText="1"/>
    </xf>
    <xf numFmtId="0" fontId="32" fillId="2" borderId="6" xfId="0" applyFont="1" applyFill="1" applyBorder="1" applyAlignment="1">
      <alignment horizontal="center" vertical="center" wrapText="1"/>
    </xf>
    <xf numFmtId="0" fontId="32" fillId="2" borderId="3" xfId="0" applyFont="1" applyFill="1" applyBorder="1" applyAlignment="1">
      <alignment horizontal="center" vertical="center"/>
    </xf>
    <xf numFmtId="0" fontId="32" fillId="12" borderId="3" xfId="0" applyFont="1" applyFill="1" applyBorder="1" applyAlignment="1">
      <alignment horizontal="center" vertical="center"/>
    </xf>
    <xf numFmtId="0" fontId="34" fillId="2" borderId="9" xfId="0" applyFont="1" applyFill="1" applyBorder="1" applyAlignment="1" applyProtection="1">
      <alignment horizontal="center" vertical="center" wrapText="1"/>
    </xf>
    <xf numFmtId="0" fontId="34" fillId="12" borderId="9"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34" fillId="12" borderId="2" xfId="0" applyFont="1" applyFill="1" applyBorder="1" applyAlignment="1">
      <alignment horizontal="center" vertical="center" wrapText="1"/>
    </xf>
    <xf numFmtId="0" fontId="32" fillId="6" borderId="0" xfId="0" applyFont="1" applyFill="1" applyAlignment="1">
      <alignment horizontal="center" vertical="center" wrapText="1"/>
    </xf>
    <xf numFmtId="0" fontId="34" fillId="12" borderId="2" xfId="0" applyNumberFormat="1" applyFont="1" applyFill="1" applyBorder="1" applyAlignment="1">
      <alignment horizontal="center" vertical="center" wrapText="1"/>
    </xf>
    <xf numFmtId="3" fontId="32" fillId="12" borderId="3" xfId="0" applyNumberFormat="1" applyFont="1" applyFill="1" applyBorder="1" applyAlignment="1">
      <alignment horizontal="center" vertical="center" wrapText="1"/>
    </xf>
    <xf numFmtId="0" fontId="34" fillId="0" borderId="3" xfId="0" applyFont="1" applyBorder="1" applyAlignment="1">
      <alignment horizontal="center" vertical="center"/>
    </xf>
    <xf numFmtId="0" fontId="32" fillId="0" borderId="3" xfId="0" applyFont="1" applyBorder="1" applyAlignment="1">
      <alignment wrapText="1"/>
    </xf>
    <xf numFmtId="0" fontId="34" fillId="6" borderId="5" xfId="0" applyNumberFormat="1" applyFont="1" applyFill="1" applyBorder="1" applyAlignment="1">
      <alignment horizontal="center" vertical="center" wrapText="1"/>
    </xf>
    <xf numFmtId="0" fontId="34" fillId="2" borderId="20" xfId="0" applyNumberFormat="1" applyFont="1" applyFill="1" applyBorder="1" applyAlignment="1">
      <alignment horizontal="center" vertical="center" wrapText="1"/>
    </xf>
    <xf numFmtId="0" fontId="32" fillId="0" borderId="9" xfId="0" applyFont="1" applyBorder="1" applyAlignment="1">
      <alignment horizontal="center" vertical="center"/>
    </xf>
    <xf numFmtId="0" fontId="34" fillId="2" borderId="22" xfId="0" applyNumberFormat="1" applyFont="1" applyFill="1" applyBorder="1" applyAlignment="1">
      <alignment horizontal="center" vertical="center" wrapText="1"/>
    </xf>
    <xf numFmtId="0" fontId="34" fillId="6" borderId="22" xfId="0" applyNumberFormat="1" applyFont="1" applyFill="1" applyBorder="1" applyAlignment="1">
      <alignment horizontal="center" vertical="center" wrapText="1"/>
    </xf>
    <xf numFmtId="0" fontId="32" fillId="0" borderId="4" xfId="0" applyFont="1" applyBorder="1" applyAlignment="1">
      <alignment horizontal="center" vertical="center" wrapText="1"/>
    </xf>
    <xf numFmtId="0" fontId="34" fillId="2" borderId="5" xfId="0" applyNumberFormat="1" applyFont="1" applyFill="1" applyBorder="1" applyAlignment="1">
      <alignment horizontal="center" vertical="center" wrapText="1"/>
    </xf>
    <xf numFmtId="0" fontId="34" fillId="12" borderId="4" xfId="1" quotePrefix="1" applyFont="1" applyFill="1" applyBorder="1" applyAlignment="1">
      <alignment horizontal="center" vertical="center" wrapText="1"/>
    </xf>
    <xf numFmtId="0" fontId="34" fillId="12" borderId="4" xfId="1" applyFont="1" applyFill="1" applyBorder="1" applyAlignment="1">
      <alignment horizontal="center" vertical="center" wrapText="1"/>
    </xf>
    <xf numFmtId="0" fontId="34" fillId="2" borderId="3" xfId="0" applyFont="1" applyFill="1" applyBorder="1" applyAlignment="1">
      <alignment horizontal="center" vertical="center"/>
    </xf>
    <xf numFmtId="0" fontId="34" fillId="0" borderId="4" xfId="0" applyFont="1" applyFill="1" applyBorder="1" applyAlignment="1">
      <alignment horizontal="center" vertical="center" wrapText="1"/>
    </xf>
    <xf numFmtId="3" fontId="34" fillId="12" borderId="3" xfId="0" applyNumberFormat="1" applyFont="1" applyFill="1" applyBorder="1" applyAlignment="1">
      <alignment horizontal="center" vertical="center" wrapText="1"/>
    </xf>
    <xf numFmtId="0" fontId="32" fillId="0" borderId="0" xfId="0" applyFont="1" applyAlignment="1">
      <alignment horizontal="center" wrapText="1"/>
    </xf>
    <xf numFmtId="0" fontId="32" fillId="0" borderId="0" xfId="0" applyFont="1" applyAlignment="1">
      <alignment wrapText="1"/>
    </xf>
    <xf numFmtId="0" fontId="45" fillId="2" borderId="2" xfId="0" applyFont="1" applyFill="1" applyBorder="1" applyAlignment="1">
      <alignment horizontal="center" vertical="center" wrapText="1"/>
    </xf>
    <xf numFmtId="0" fontId="32" fillId="0" borderId="0" xfId="0" applyFont="1"/>
    <xf numFmtId="0" fontId="45" fillId="2" borderId="3" xfId="0" applyFont="1" applyFill="1" applyBorder="1" applyAlignment="1">
      <alignment horizontal="center" vertical="center" wrapText="1"/>
    </xf>
    <xf numFmtId="0" fontId="32" fillId="0" borderId="3" xfId="0" applyFont="1" applyBorder="1" applyAlignment="1">
      <alignment horizontal="center" wrapText="1"/>
    </xf>
    <xf numFmtId="0" fontId="45" fillId="0" borderId="3" xfId="0" applyFont="1" applyBorder="1" applyAlignment="1">
      <alignment horizontal="center" vertical="center"/>
    </xf>
    <xf numFmtId="0" fontId="32" fillId="0" borderId="0" xfId="0" applyFont="1" applyAlignment="1">
      <alignment horizontal="left"/>
    </xf>
    <xf numFmtId="0" fontId="105" fillId="15" borderId="3" xfId="0" applyNumberFormat="1" applyFont="1" applyFill="1" applyBorder="1" applyAlignment="1">
      <alignment horizontal="center" vertical="center" wrapText="1"/>
    </xf>
    <xf numFmtId="0" fontId="34" fillId="19" borderId="3" xfId="0" applyNumberFormat="1" applyFont="1" applyFill="1" applyBorder="1" applyAlignment="1">
      <alignment horizontal="center" vertical="center" wrapText="1"/>
    </xf>
    <xf numFmtId="0" fontId="105" fillId="20" borderId="3" xfId="0" applyNumberFormat="1" applyFont="1" applyFill="1" applyBorder="1" applyAlignment="1">
      <alignment horizontal="center" vertical="center" wrapText="1"/>
    </xf>
    <xf numFmtId="0" fontId="105" fillId="4" borderId="3" xfId="0" applyNumberFormat="1" applyFont="1" applyFill="1" applyBorder="1" applyAlignment="1">
      <alignment horizontal="center" vertical="center" wrapText="1"/>
    </xf>
    <xf numFmtId="0" fontId="34" fillId="15" borderId="3" xfId="0" applyNumberFormat="1" applyFont="1" applyFill="1" applyBorder="1" applyAlignment="1">
      <alignment horizontal="center" vertical="center" wrapText="1"/>
    </xf>
    <xf numFmtId="0" fontId="32" fillId="15" borderId="3" xfId="0" applyFont="1" applyFill="1" applyBorder="1" applyAlignment="1">
      <alignment wrapText="1"/>
    </xf>
    <xf numFmtId="0" fontId="34" fillId="20" borderId="3" xfId="0" applyNumberFormat="1" applyFont="1" applyFill="1" applyBorder="1" applyAlignment="1">
      <alignment horizontal="center" vertical="center" wrapText="1"/>
    </xf>
    <xf numFmtId="0" fontId="106" fillId="0" borderId="3" xfId="0" applyFont="1" applyBorder="1" applyAlignment="1">
      <alignment horizontal="center" vertical="center" wrapText="1"/>
    </xf>
    <xf numFmtId="0" fontId="11" fillId="2" borderId="3" xfId="0" applyFont="1" applyFill="1" applyBorder="1" applyAlignment="1">
      <alignment horizontal="center" vertical="center" wrapText="1"/>
    </xf>
    <xf numFmtId="0" fontId="94" fillId="2" borderId="3" xfId="0" applyFont="1" applyFill="1" applyBorder="1" applyAlignment="1">
      <alignment horizontal="center" vertical="center" wrapText="1"/>
    </xf>
    <xf numFmtId="0" fontId="94" fillId="0" borderId="3" xfId="0" applyFont="1" applyBorder="1" applyAlignment="1">
      <alignment horizontal="center" vertical="center" wrapText="1"/>
    </xf>
    <xf numFmtId="0" fontId="94" fillId="0" borderId="16" xfId="0" applyFont="1" applyBorder="1" applyAlignment="1">
      <alignment horizontal="center" vertical="center" wrapText="1"/>
    </xf>
    <xf numFmtId="0" fontId="26" fillId="6" borderId="5" xfId="0" applyFont="1" applyFill="1" applyBorder="1" applyAlignment="1">
      <alignment horizontal="center" vertical="center"/>
    </xf>
    <xf numFmtId="3" fontId="2" fillId="6" borderId="9" xfId="0" applyNumberFormat="1" applyFont="1" applyFill="1" applyBorder="1" applyAlignment="1">
      <alignment horizontal="center" vertical="center"/>
    </xf>
    <xf numFmtId="0" fontId="2" fillId="6" borderId="9" xfId="0" applyFont="1" applyFill="1" applyBorder="1" applyAlignment="1">
      <alignment horizontal="center"/>
    </xf>
    <xf numFmtId="0" fontId="2" fillId="6" borderId="25" xfId="0" applyFont="1" applyFill="1" applyBorder="1" applyAlignment="1">
      <alignment horizontal="center"/>
    </xf>
    <xf numFmtId="0" fontId="2" fillId="0" borderId="3" xfId="0" applyFont="1" applyBorder="1" applyAlignment="1">
      <alignment horizontal="center" vertical="center"/>
    </xf>
    <xf numFmtId="0" fontId="4" fillId="0" borderId="3" xfId="0" applyFont="1" applyBorder="1" applyAlignment="1">
      <alignment horizontal="center" vertical="center"/>
    </xf>
    <xf numFmtId="0" fontId="4" fillId="2" borderId="0" xfId="0" applyFont="1" applyFill="1" applyBorder="1" applyAlignment="1">
      <alignment horizontal="center" vertical="center" wrapText="1"/>
    </xf>
    <xf numFmtId="0" fontId="2" fillId="0" borderId="3" xfId="0" applyFont="1" applyBorder="1" applyAlignment="1">
      <alignment horizontal="center"/>
    </xf>
    <xf numFmtId="0" fontId="7" fillId="2"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2" fillId="6" borderId="24" xfId="0" applyFont="1" applyFill="1" applyBorder="1" applyAlignment="1">
      <alignment horizontal="center" vertical="center"/>
    </xf>
    <xf numFmtId="0" fontId="2" fillId="6" borderId="11" xfId="0" applyFont="1" applyFill="1" applyBorder="1" applyAlignment="1">
      <alignment horizontal="center" vertical="center"/>
    </xf>
    <xf numFmtId="0" fontId="7" fillId="2" borderId="0" xfId="0" applyFont="1" applyFill="1" applyBorder="1" applyAlignment="1">
      <alignment horizontal="center" vertical="center" wrapText="1"/>
    </xf>
    <xf numFmtId="0" fontId="12" fillId="0" borderId="0" xfId="0" applyFont="1" applyBorder="1"/>
    <xf numFmtId="9" fontId="5" fillId="8" borderId="3" xfId="0" applyNumberFormat="1" applyFont="1" applyFill="1" applyBorder="1" applyAlignment="1">
      <alignment horizontal="center" vertical="center"/>
    </xf>
    <xf numFmtId="0" fontId="68" fillId="0" borderId="3" xfId="0" applyFont="1" applyBorder="1" applyAlignment="1">
      <alignment horizontal="center" vertical="center" wrapText="1"/>
    </xf>
    <xf numFmtId="0" fontId="44" fillId="2" borderId="3" xfId="0" applyFont="1" applyFill="1" applyBorder="1" applyAlignment="1">
      <alignment horizontal="center" vertical="center"/>
    </xf>
    <xf numFmtId="0" fontId="1" fillId="2" borderId="29" xfId="0" applyFont="1" applyFill="1" applyBorder="1" applyAlignment="1">
      <alignment horizontal="left" vertical="center" wrapText="1"/>
    </xf>
    <xf numFmtId="0" fontId="58" fillId="0" borderId="3" xfId="0" applyFont="1" applyBorder="1" applyAlignment="1">
      <alignment horizontal="center"/>
    </xf>
    <xf numFmtId="0" fontId="108" fillId="2" borderId="4" xfId="0" applyFont="1" applyFill="1" applyBorder="1" applyAlignment="1">
      <alignment horizontal="center" vertical="center" wrapText="1"/>
    </xf>
    <xf numFmtId="0" fontId="7" fillId="2" borderId="3" xfId="0" applyFont="1" applyFill="1" applyBorder="1" applyAlignment="1">
      <alignment horizontal="center" wrapText="1"/>
    </xf>
    <xf numFmtId="0" fontId="11" fillId="19" borderId="3" xfId="0" applyFont="1" applyFill="1" applyBorder="1" applyAlignment="1">
      <alignment horizontal="center" vertical="center"/>
    </xf>
    <xf numFmtId="0" fontId="34" fillId="2" borderId="0" xfId="0" applyFont="1" applyFill="1" applyBorder="1" applyAlignment="1" applyProtection="1">
      <alignment horizontal="center" vertical="center" wrapText="1"/>
    </xf>
    <xf numFmtId="0" fontId="1" fillId="6" borderId="14" xfId="0" applyFont="1" applyFill="1" applyBorder="1" applyAlignment="1">
      <alignment horizontal="center" vertical="center"/>
    </xf>
    <xf numFmtId="0" fontId="1" fillId="0" borderId="16" xfId="0" applyFont="1" applyBorder="1" applyAlignment="1">
      <alignment horizontal="center" vertical="center"/>
    </xf>
    <xf numFmtId="0" fontId="1" fillId="6" borderId="16" xfId="0" applyFont="1" applyFill="1" applyBorder="1" applyAlignment="1">
      <alignment horizontal="center" vertical="center"/>
    </xf>
    <xf numFmtId="0" fontId="2" fillId="6" borderId="9" xfId="0" applyFont="1" applyFill="1" applyBorder="1" applyAlignment="1">
      <alignment horizontal="center" vertical="center"/>
    </xf>
    <xf numFmtId="3" fontId="2" fillId="6" borderId="47" xfId="0" applyNumberFormat="1" applyFont="1" applyFill="1" applyBorder="1" applyAlignment="1">
      <alignment horizontal="center" vertical="center"/>
    </xf>
    <xf numFmtId="0" fontId="1" fillId="6" borderId="25" xfId="0" applyFont="1" applyFill="1" applyBorder="1" applyAlignment="1">
      <alignment horizontal="center" vertical="center"/>
    </xf>
    <xf numFmtId="3" fontId="2" fillId="6" borderId="18" xfId="0" applyNumberFormat="1" applyFont="1" applyFill="1" applyBorder="1" applyAlignment="1">
      <alignment horizontal="center" vertical="center"/>
    </xf>
    <xf numFmtId="0" fontId="6" fillId="6" borderId="9" xfId="0" applyFont="1" applyFill="1" applyBorder="1" applyAlignment="1">
      <alignment horizontal="center" wrapText="1"/>
    </xf>
    <xf numFmtId="0" fontId="2" fillId="6" borderId="9" xfId="0" applyFont="1" applyFill="1" applyBorder="1" applyAlignment="1">
      <alignment horizontal="center" wrapText="1"/>
    </xf>
    <xf numFmtId="0" fontId="32" fillId="6" borderId="9" xfId="0" applyFont="1" applyFill="1" applyBorder="1" applyAlignment="1">
      <alignment horizontal="center" wrapText="1"/>
    </xf>
    <xf numFmtId="3" fontId="2" fillId="6" borderId="9" xfId="0" applyNumberFormat="1" applyFont="1" applyFill="1" applyBorder="1" applyAlignment="1">
      <alignment horizontal="center" vertical="center" wrapText="1"/>
    </xf>
    <xf numFmtId="0" fontId="12" fillId="0" borderId="30"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3" fillId="2" borderId="0" xfId="0" applyFont="1" applyFill="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2" fillId="6" borderId="13"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4" fillId="6" borderId="19" xfId="0" applyFont="1" applyFill="1" applyBorder="1" applyAlignment="1">
      <alignment horizontal="center" vertical="center"/>
    </xf>
    <xf numFmtId="0" fontId="4" fillId="6" borderId="6" xfId="0" applyFont="1" applyFill="1" applyBorder="1" applyAlignment="1">
      <alignment horizontal="center" vertical="center"/>
    </xf>
    <xf numFmtId="0" fontId="10" fillId="0" borderId="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62" xfId="0" applyFont="1" applyBorder="1" applyAlignment="1">
      <alignment horizontal="center" vertical="center"/>
    </xf>
    <xf numFmtId="0" fontId="10" fillId="0" borderId="14" xfId="0" applyFont="1" applyBorder="1" applyAlignment="1">
      <alignment horizontal="center" vertical="center"/>
    </xf>
    <xf numFmtId="0" fontId="2" fillId="6" borderId="41" xfId="0" applyFont="1" applyFill="1" applyBorder="1" applyAlignment="1">
      <alignment horizontal="center" vertical="center"/>
    </xf>
    <xf numFmtId="0" fontId="2" fillId="6" borderId="21" xfId="0" applyFont="1" applyFill="1" applyBorder="1" applyAlignment="1">
      <alignment horizontal="center" vertical="center"/>
    </xf>
    <xf numFmtId="0" fontId="38" fillId="0" borderId="45" xfId="0" applyFont="1" applyBorder="1" applyAlignment="1">
      <alignment horizontal="center" vertical="center" wrapText="1"/>
    </xf>
    <xf numFmtId="0" fontId="38" fillId="0" borderId="46" xfId="0" applyFont="1" applyBorder="1" applyAlignment="1">
      <alignment horizontal="center" vertical="center" wrapText="1"/>
    </xf>
    <xf numFmtId="0" fontId="38" fillId="0" borderId="47" xfId="0" applyFont="1" applyBorder="1" applyAlignment="1">
      <alignment horizontal="center" vertical="center" wrapText="1"/>
    </xf>
    <xf numFmtId="0" fontId="2" fillId="2" borderId="30"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0" xfId="0" applyFont="1" applyFill="1" applyBorder="1" applyAlignment="1">
      <alignment horizontal="center" vertical="center"/>
    </xf>
    <xf numFmtId="0" fontId="2" fillId="2" borderId="23" xfId="0" applyFont="1" applyFill="1" applyBorder="1" applyAlignment="1">
      <alignment horizontal="center" vertical="center"/>
    </xf>
    <xf numFmtId="0" fontId="10" fillId="0" borderId="44"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4" xfId="0" applyFont="1" applyBorder="1" applyAlignment="1">
      <alignment horizontal="center" vertical="center" wrapText="1"/>
    </xf>
    <xf numFmtId="0" fontId="2" fillId="6" borderId="19" xfId="0" applyFont="1" applyFill="1" applyBorder="1" applyAlignment="1">
      <alignment horizontal="center"/>
    </xf>
    <xf numFmtId="0" fontId="2" fillId="6" borderId="6" xfId="0" applyFont="1" applyFill="1" applyBorder="1" applyAlignment="1">
      <alignment horizontal="center"/>
    </xf>
    <xf numFmtId="0" fontId="2" fillId="6" borderId="19" xfId="0" applyFont="1" applyFill="1" applyBorder="1" applyAlignment="1">
      <alignment horizontal="center" vertical="center"/>
    </xf>
    <xf numFmtId="0" fontId="2" fillId="6" borderId="6" xfId="0" applyFont="1" applyFill="1" applyBorder="1" applyAlignment="1">
      <alignment horizontal="center" vertical="center"/>
    </xf>
    <xf numFmtId="3" fontId="2" fillId="6" borderId="46" xfId="0" applyNumberFormat="1" applyFont="1" applyFill="1" applyBorder="1" applyAlignment="1">
      <alignment horizontal="center" vertical="center"/>
    </xf>
    <xf numFmtId="0" fontId="2" fillId="6" borderId="45" xfId="0" applyFont="1" applyFill="1" applyBorder="1" applyAlignment="1">
      <alignment horizontal="center" vertical="center" wrapText="1"/>
    </xf>
    <xf numFmtId="0" fontId="2" fillId="6" borderId="47" xfId="0" applyFont="1" applyFill="1" applyBorder="1" applyAlignment="1">
      <alignment horizontal="center" vertical="center" wrapText="1"/>
    </xf>
    <xf numFmtId="0" fontId="2" fillId="6" borderId="19" xfId="0" applyFont="1" applyFill="1" applyBorder="1" applyAlignment="1">
      <alignment horizontal="center" vertical="center" wrapText="1"/>
    </xf>
    <xf numFmtId="0" fontId="80" fillId="0" borderId="0" xfId="0" applyFont="1" applyAlignment="1">
      <alignment vertical="center" wrapText="1"/>
    </xf>
    <xf numFmtId="0" fontId="11" fillId="2" borderId="10" xfId="0" applyFont="1" applyFill="1" applyBorder="1" applyAlignment="1">
      <alignment horizontal="left" vertical="center" wrapText="1"/>
    </xf>
    <xf numFmtId="0" fontId="11" fillId="2" borderId="22"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11" fillId="2" borderId="28"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27" xfId="0" applyFont="1" applyFill="1" applyBorder="1" applyAlignment="1">
      <alignment horizontal="left" vertical="center" wrapText="1"/>
    </xf>
    <xf numFmtId="0" fontId="18" fillId="2" borderId="28" xfId="0" applyFont="1" applyFill="1" applyBorder="1" applyAlignment="1">
      <alignment horizontal="center"/>
    </xf>
    <xf numFmtId="0" fontId="18" fillId="2" borderId="0" xfId="0" applyFont="1" applyFill="1" applyBorder="1" applyAlignment="1">
      <alignment horizontal="center"/>
    </xf>
    <xf numFmtId="0" fontId="18" fillId="2" borderId="27" xfId="0" applyFont="1" applyFill="1" applyBorder="1" applyAlignment="1">
      <alignment horizont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11" fillId="2" borderId="9"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3" xfId="0" applyFont="1" applyFill="1" applyBorder="1" applyAlignment="1">
      <alignment horizontal="center" vertical="center" wrapText="1"/>
    </xf>
    <xf numFmtId="0" fontId="11" fillId="6" borderId="3" xfId="0" applyFont="1" applyFill="1" applyBorder="1" applyAlignment="1">
      <alignment horizontal="center" vertical="center"/>
    </xf>
    <xf numFmtId="0" fontId="11" fillId="6" borderId="20" xfId="0" applyFont="1" applyFill="1" applyBorder="1" applyAlignment="1">
      <alignment horizontal="center" vertical="center"/>
    </xf>
    <xf numFmtId="0" fontId="11" fillId="6" borderId="21" xfId="0" applyFont="1" applyFill="1" applyBorder="1" applyAlignment="1">
      <alignment horizontal="center" vertical="center"/>
    </xf>
    <xf numFmtId="0" fontId="18" fillId="0" borderId="22" xfId="0" applyFont="1" applyBorder="1" applyAlignment="1">
      <alignment horizontal="center" vertical="center"/>
    </xf>
    <xf numFmtId="0" fontId="18" fillId="0" borderId="23" xfId="0" applyFont="1" applyBorder="1" applyAlignment="1">
      <alignment horizontal="center" vertical="center"/>
    </xf>
    <xf numFmtId="0" fontId="18" fillId="14" borderId="0" xfId="0" applyFont="1" applyFill="1" applyAlignment="1">
      <alignment horizontal="center" vertical="center"/>
    </xf>
    <xf numFmtId="0" fontId="18" fillId="14" borderId="37" xfId="0" applyFont="1" applyFill="1" applyBorder="1" applyAlignment="1">
      <alignment horizontal="center" vertical="center"/>
    </xf>
    <xf numFmtId="0" fontId="18" fillId="14" borderId="28" xfId="0" applyFont="1" applyFill="1" applyBorder="1" applyAlignment="1">
      <alignment horizontal="center" vertical="center"/>
    </xf>
    <xf numFmtId="0" fontId="18" fillId="14" borderId="0" xfId="0" applyFont="1" applyFill="1" applyBorder="1" applyAlignment="1">
      <alignment horizontal="center" vertical="center"/>
    </xf>
    <xf numFmtId="0" fontId="18" fillId="14" borderId="10" xfId="0" applyFont="1" applyFill="1" applyBorder="1" applyAlignment="1">
      <alignment horizontal="center" vertical="center"/>
    </xf>
    <xf numFmtId="0" fontId="18" fillId="14" borderId="22" xfId="0" applyFont="1" applyFill="1" applyBorder="1" applyAlignment="1">
      <alignment horizontal="center" vertical="center"/>
    </xf>
    <xf numFmtId="0" fontId="18" fillId="14" borderId="39" xfId="0" applyFont="1" applyFill="1" applyBorder="1" applyAlignment="1">
      <alignment horizontal="center" vertical="center"/>
    </xf>
    <xf numFmtId="0" fontId="18" fillId="14" borderId="45" xfId="0" applyFont="1" applyFill="1" applyBorder="1" applyAlignment="1">
      <alignment horizontal="center" vertical="center"/>
    </xf>
    <xf numFmtId="0" fontId="18" fillId="14" borderId="46" xfId="0" applyFont="1" applyFill="1" applyBorder="1" applyAlignment="1">
      <alignment horizontal="center" vertical="center"/>
    </xf>
    <xf numFmtId="0" fontId="1" fillId="14" borderId="20" xfId="0" applyFont="1" applyFill="1" applyBorder="1" applyAlignment="1">
      <alignment horizontal="center" vertical="center"/>
    </xf>
    <xf numFmtId="0" fontId="1" fillId="14" borderId="0" xfId="0" applyFont="1" applyFill="1" applyBorder="1" applyAlignment="1">
      <alignment horizontal="center" vertical="center"/>
    </xf>
    <xf numFmtId="0" fontId="18" fillId="14" borderId="15"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6" xfId="0" applyFont="1" applyFill="1" applyBorder="1" applyAlignment="1">
      <alignment horizontal="center" vertical="center"/>
    </xf>
    <xf numFmtId="0" fontId="4" fillId="0" borderId="22" xfId="0" applyFont="1"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16" xfId="0" applyFont="1" applyBorder="1" applyAlignment="1">
      <alignment horizontal="center" vertical="center"/>
    </xf>
    <xf numFmtId="0" fontId="11" fillId="6" borderId="0" xfId="0" applyFont="1" applyFill="1" applyBorder="1" applyAlignment="1">
      <alignment horizontal="center" vertical="center"/>
    </xf>
    <xf numFmtId="0" fontId="11" fillId="6" borderId="11" xfId="0" applyFont="1" applyFill="1" applyBorder="1" applyAlignment="1">
      <alignment horizontal="center" vertical="center"/>
    </xf>
    <xf numFmtId="0" fontId="4" fillId="0" borderId="3" xfId="0" applyFont="1" applyBorder="1" applyAlignment="1">
      <alignment horizontal="center" vertical="center"/>
    </xf>
    <xf numFmtId="0" fontId="11" fillId="14" borderId="4" xfId="0" applyFont="1" applyFill="1" applyBorder="1" applyAlignment="1">
      <alignment horizontal="center"/>
    </xf>
    <xf numFmtId="0" fontId="11" fillId="14" borderId="5" xfId="0" applyFont="1" applyFill="1" applyBorder="1" applyAlignment="1">
      <alignment horizontal="center"/>
    </xf>
    <xf numFmtId="0" fontId="11" fillId="14" borderId="6" xfId="0" applyFont="1" applyFill="1" applyBorder="1" applyAlignment="1">
      <alignment horizontal="center"/>
    </xf>
    <xf numFmtId="0" fontId="11" fillId="14" borderId="9" xfId="0" applyFont="1" applyFill="1" applyBorder="1" applyAlignment="1">
      <alignment horizontal="center"/>
    </xf>
    <xf numFmtId="0" fontId="11" fillId="14" borderId="2" xfId="0" applyFont="1" applyFill="1" applyBorder="1" applyAlignment="1">
      <alignment horizontal="center"/>
    </xf>
    <xf numFmtId="0" fontId="11" fillId="14" borderId="9" xfId="0" applyFont="1" applyFill="1" applyBorder="1" applyAlignment="1">
      <alignment horizontal="center" vertical="center"/>
    </xf>
    <xf numFmtId="0" fontId="11" fillId="14" borderId="2" xfId="0" applyFont="1" applyFill="1" applyBorder="1" applyAlignment="1">
      <alignment horizontal="center" vertical="center"/>
    </xf>
    <xf numFmtId="0" fontId="2" fillId="0" borderId="6" xfId="0" applyFont="1" applyBorder="1" applyAlignment="1">
      <alignment horizontal="center" vertical="center"/>
    </xf>
    <xf numFmtId="0" fontId="2" fillId="2" borderId="15"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6" xfId="0" applyFont="1" applyFill="1" applyBorder="1" applyAlignment="1">
      <alignment horizontal="center" vertical="center"/>
    </xf>
    <xf numFmtId="0" fontId="1" fillId="14" borderId="54" xfId="0" applyFont="1" applyFill="1" applyBorder="1" applyAlignment="1">
      <alignment horizontal="center" vertical="center"/>
    </xf>
    <xf numFmtId="0" fontId="1" fillId="14" borderId="55" xfId="0" applyFont="1" applyFill="1" applyBorder="1" applyAlignment="1">
      <alignment horizontal="center" vertical="center"/>
    </xf>
    <xf numFmtId="0" fontId="18" fillId="14" borderId="41" xfId="0" applyFont="1" applyFill="1" applyBorder="1" applyAlignment="1">
      <alignment horizontal="center" vertical="center"/>
    </xf>
    <xf numFmtId="0" fontId="18" fillId="14" borderId="20" xfId="0" applyFont="1" applyFill="1" applyBorder="1" applyAlignment="1">
      <alignment horizontal="center" vertical="center"/>
    </xf>
    <xf numFmtId="0" fontId="18" fillId="14" borderId="38" xfId="0" applyFont="1" applyFill="1" applyBorder="1" applyAlignment="1">
      <alignment horizontal="center" vertical="center"/>
    </xf>
    <xf numFmtId="0" fontId="18" fillId="14" borderId="40" xfId="0" applyFont="1" applyFill="1" applyBorder="1" applyAlignment="1">
      <alignment horizontal="center" vertical="center"/>
    </xf>
    <xf numFmtId="0" fontId="1" fillId="14" borderId="22" xfId="0" applyFont="1" applyFill="1" applyBorder="1" applyAlignment="1">
      <alignment horizontal="center" vertical="center"/>
    </xf>
    <xf numFmtId="0" fontId="2" fillId="14" borderId="25" xfId="0" applyFont="1" applyFill="1" applyBorder="1" applyAlignment="1">
      <alignment horizontal="center" vertical="center"/>
    </xf>
    <xf numFmtId="0" fontId="2" fillId="14" borderId="26" xfId="0" applyFont="1" applyFill="1" applyBorder="1" applyAlignment="1">
      <alignment horizontal="center" vertical="center"/>
    </xf>
    <xf numFmtId="0" fontId="18" fillId="14" borderId="19" xfId="0" applyFont="1" applyFill="1" applyBorder="1" applyAlignment="1">
      <alignment horizontal="center" vertical="center"/>
    </xf>
    <xf numFmtId="0" fontId="18" fillId="14" borderId="5"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32" xfId="0" applyFont="1" applyFill="1" applyBorder="1" applyAlignment="1">
      <alignment horizontal="center" vertical="center"/>
    </xf>
    <xf numFmtId="0" fontId="2" fillId="14" borderId="14" xfId="0" applyFont="1" applyFill="1" applyBorder="1" applyAlignment="1">
      <alignment horizontal="center" vertical="center"/>
    </xf>
    <xf numFmtId="0" fontId="18" fillId="14" borderId="13"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1" xfId="0" applyFont="1" applyFill="1" applyBorder="1" applyAlignment="1">
      <alignment horizontal="center" vertical="center"/>
    </xf>
    <xf numFmtId="0" fontId="11" fillId="14" borderId="21" xfId="0" applyFont="1" applyFill="1" applyBorder="1" applyAlignment="1">
      <alignment horizontal="center" vertical="center"/>
    </xf>
    <xf numFmtId="0" fontId="11" fillId="14" borderId="23" xfId="0" applyFont="1" applyFill="1" applyBorder="1" applyAlignment="1">
      <alignment horizontal="center" vertical="center"/>
    </xf>
    <xf numFmtId="0" fontId="1" fillId="14" borderId="24" xfId="0" applyFont="1" applyFill="1" applyBorder="1" applyAlignment="1">
      <alignment horizontal="center" vertical="center"/>
    </xf>
    <xf numFmtId="0" fontId="1" fillId="14" borderId="13" xfId="0" applyFont="1" applyFill="1" applyBorder="1" applyAlignment="1">
      <alignment horizontal="center" vertical="center"/>
    </xf>
    <xf numFmtId="0" fontId="1" fillId="14" borderId="41" xfId="0" applyFont="1" applyFill="1" applyBorder="1" applyAlignment="1">
      <alignment horizontal="center" vertical="center"/>
    </xf>
    <xf numFmtId="0" fontId="1" fillId="14" borderId="40" xfId="0" applyFont="1" applyFill="1" applyBorder="1" applyAlignment="1">
      <alignment horizontal="center" vertical="center"/>
    </xf>
    <xf numFmtId="0" fontId="18" fillId="14" borderId="30"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31" xfId="0" applyFont="1" applyFill="1" applyBorder="1" applyAlignment="1">
      <alignment horizontal="center" vertical="center"/>
    </xf>
    <xf numFmtId="0" fontId="18" fillId="14" borderId="36" xfId="0" applyFont="1" applyFill="1" applyBorder="1" applyAlignment="1">
      <alignment horizontal="center" vertical="center"/>
    </xf>
    <xf numFmtId="0" fontId="18" fillId="14" borderId="35" xfId="0" applyFont="1" applyFill="1" applyBorder="1" applyAlignment="1">
      <alignment horizontal="center" vertical="center"/>
    </xf>
    <xf numFmtId="0" fontId="18" fillId="14" borderId="33" xfId="0" applyFont="1" applyFill="1" applyBorder="1" applyAlignment="1">
      <alignment horizontal="center" vertical="center"/>
    </xf>
    <xf numFmtId="0" fontId="18" fillId="14" borderId="34" xfId="0" applyFont="1" applyFill="1" applyBorder="1" applyAlignment="1">
      <alignment horizontal="center" vertical="center"/>
    </xf>
    <xf numFmtId="0" fontId="18" fillId="0" borderId="22" xfId="0" applyFont="1" applyBorder="1" applyAlignment="1">
      <alignment horizontal="center" vertical="center" wrapText="1"/>
    </xf>
    <xf numFmtId="0" fontId="3" fillId="2" borderId="0" xfId="0" applyFont="1" applyFill="1" applyAlignment="1">
      <alignment horizontal="center" vertical="center"/>
    </xf>
    <xf numFmtId="0" fontId="4" fillId="2" borderId="0" xfId="0" applyFont="1" applyFill="1" applyBorder="1" applyAlignment="1">
      <alignment horizontal="center" vertical="center" wrapText="1"/>
    </xf>
    <xf numFmtId="0" fontId="6" fillId="12" borderId="4"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7" fillId="0" borderId="0" xfId="0" applyFont="1" applyBorder="1" applyAlignment="1">
      <alignment horizontal="center" vertical="center" wrapText="1"/>
    </xf>
    <xf numFmtId="0" fontId="4" fillId="12" borderId="11" xfId="2" applyFont="1" applyFill="1" applyBorder="1" applyAlignment="1">
      <alignment horizontal="center" vertical="center" wrapText="1"/>
    </xf>
    <xf numFmtId="0" fontId="5" fillId="12" borderId="20" xfId="2" applyFont="1" applyFill="1" applyBorder="1" applyAlignment="1">
      <alignment horizontal="center" vertical="center" wrapText="1"/>
    </xf>
    <xf numFmtId="0" fontId="5" fillId="12" borderId="21" xfId="2" applyFont="1" applyFill="1" applyBorder="1" applyAlignment="1">
      <alignment horizontal="center" vertical="center" wrapText="1"/>
    </xf>
    <xf numFmtId="0" fontId="1" fillId="12" borderId="10" xfId="0" applyFont="1" applyFill="1" applyBorder="1" applyAlignment="1">
      <alignment horizontal="center" vertical="center"/>
    </xf>
    <xf numFmtId="0" fontId="1" fillId="12" borderId="22" xfId="0" applyFont="1" applyFill="1" applyBorder="1" applyAlignment="1">
      <alignment horizontal="center" vertical="center"/>
    </xf>
    <xf numFmtId="0" fontId="1" fillId="12" borderId="23" xfId="0" applyFont="1" applyFill="1" applyBorder="1" applyAlignment="1">
      <alignment horizontal="center" vertical="center"/>
    </xf>
    <xf numFmtId="0" fontId="41" fillId="0" borderId="0" xfId="0" applyFont="1" applyAlignment="1">
      <alignment horizontal="center"/>
    </xf>
    <xf numFmtId="0" fontId="11" fillId="0" borderId="0" xfId="0" applyFont="1" applyAlignment="1">
      <alignment horizontal="left"/>
    </xf>
    <xf numFmtId="0" fontId="7" fillId="0" borderId="0" xfId="0" applyFont="1" applyAlignment="1">
      <alignment horizontal="center" vertical="center" wrapText="1"/>
    </xf>
    <xf numFmtId="0" fontId="7" fillId="0" borderId="0" xfId="0" applyFont="1" applyAlignment="1">
      <alignment horizontal="center" vertical="center"/>
    </xf>
    <xf numFmtId="0" fontId="6" fillId="12" borderId="3" xfId="0" applyFont="1" applyFill="1" applyBorder="1" applyAlignment="1">
      <alignment horizontal="center" vertical="center" wrapText="1"/>
    </xf>
    <xf numFmtId="0" fontId="2" fillId="0" borderId="0" xfId="0" applyFont="1" applyAlignment="1">
      <alignment horizontal="center" vertical="center" wrapText="1"/>
    </xf>
    <xf numFmtId="0" fontId="4" fillId="0" borderId="0" xfId="0" applyFont="1" applyAlignment="1">
      <alignment horizontal="center" vertical="center" wrapText="1"/>
    </xf>
    <xf numFmtId="0" fontId="2" fillId="0" borderId="0" xfId="0" applyFont="1" applyAlignment="1">
      <alignment horizontal="center"/>
    </xf>
    <xf numFmtId="0" fontId="2" fillId="0" borderId="0" xfId="0" applyFont="1" applyAlignment="1">
      <alignment horizontal="center" vertical="center"/>
    </xf>
    <xf numFmtId="0" fontId="6" fillId="0" borderId="0" xfId="0" applyFont="1" applyAlignment="1">
      <alignment horizontal="center" vertical="top" wrapText="1"/>
    </xf>
    <xf numFmtId="0" fontId="4" fillId="2" borderId="0" xfId="0" applyFont="1" applyFill="1" applyBorder="1" applyAlignment="1">
      <alignment horizontal="center" wrapText="1"/>
    </xf>
    <xf numFmtId="0" fontId="7" fillId="0" borderId="0" xfId="0" applyFont="1" applyBorder="1" applyAlignment="1">
      <alignment horizontal="center" vertical="top" wrapText="1"/>
    </xf>
    <xf numFmtId="0" fontId="6" fillId="0" borderId="0" xfId="0" applyFont="1" applyBorder="1" applyAlignment="1">
      <alignment horizontal="center" vertical="center" wrapText="1"/>
    </xf>
    <xf numFmtId="0" fontId="6" fillId="0" borderId="3" xfId="0" applyFont="1" applyBorder="1" applyAlignment="1">
      <alignment horizontal="center" wrapText="1"/>
    </xf>
    <xf numFmtId="0" fontId="1" fillId="0" borderId="3" xfId="0" applyFont="1" applyBorder="1" applyAlignment="1">
      <alignment horizontal="center" vertical="center" wrapText="1"/>
    </xf>
    <xf numFmtId="0" fontId="2" fillId="12" borderId="3" xfId="0" applyFont="1" applyFill="1" applyBorder="1" applyAlignment="1">
      <alignment horizontal="center"/>
    </xf>
    <xf numFmtId="0" fontId="7" fillId="12" borderId="3" xfId="0" applyFont="1" applyFill="1" applyBorder="1" applyAlignment="1">
      <alignment horizontal="center" vertical="center" wrapText="1"/>
    </xf>
    <xf numFmtId="0" fontId="3" fillId="2" borderId="0" xfId="0" applyFont="1" applyFill="1" applyAlignment="1">
      <alignment horizontal="center" vertical="top"/>
    </xf>
    <xf numFmtId="0" fontId="11" fillId="12" borderId="28" xfId="0" applyFont="1" applyFill="1" applyBorder="1" applyAlignment="1">
      <alignment horizontal="center" vertical="center" wrapText="1"/>
    </xf>
    <xf numFmtId="0" fontId="18" fillId="12" borderId="0" xfId="0" applyFont="1" applyFill="1" applyBorder="1" applyAlignment="1">
      <alignment horizontal="center" vertical="center" wrapText="1"/>
    </xf>
    <xf numFmtId="0" fontId="18" fillId="12" borderId="27" xfId="0" applyFont="1" applyFill="1" applyBorder="1" applyAlignment="1">
      <alignment horizontal="center" vertical="center" wrapText="1"/>
    </xf>
    <xf numFmtId="0" fontId="18" fillId="12" borderId="11" xfId="0" applyFont="1" applyFill="1" applyBorder="1" applyAlignment="1">
      <alignment horizontal="center" vertical="center" wrapText="1"/>
    </xf>
    <xf numFmtId="0" fontId="18" fillId="12" borderId="20" xfId="0" applyFont="1" applyFill="1" applyBorder="1" applyAlignment="1">
      <alignment horizontal="center" vertical="center" wrapText="1"/>
    </xf>
    <xf numFmtId="0" fontId="18" fillId="12" borderId="21" xfId="0" applyFont="1" applyFill="1" applyBorder="1" applyAlignment="1">
      <alignment horizontal="center" vertical="center" wrapText="1"/>
    </xf>
    <xf numFmtId="0" fontId="2" fillId="12" borderId="4" xfId="0" applyFont="1" applyFill="1" applyBorder="1" applyAlignment="1">
      <alignment horizontal="center"/>
    </xf>
    <xf numFmtId="0" fontId="2" fillId="12" borderId="5" xfId="0" applyFont="1" applyFill="1" applyBorder="1" applyAlignment="1">
      <alignment horizontal="center"/>
    </xf>
    <xf numFmtId="0" fontId="2" fillId="12" borderId="6" xfId="0" applyFont="1" applyFill="1" applyBorder="1" applyAlignment="1">
      <alignment horizont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0" xfId="0" applyFont="1" applyFill="1" applyAlignment="1">
      <alignment horizontal="center" vertical="center" wrapText="1"/>
    </xf>
    <xf numFmtId="0" fontId="2" fillId="0" borderId="0" xfId="0" applyFont="1" applyAlignment="1">
      <alignment horizontal="center" wrapText="1"/>
    </xf>
    <xf numFmtId="0" fontId="4" fillId="0" borderId="0" xfId="0" applyFont="1" applyAlignment="1">
      <alignment horizontal="center" wrapText="1"/>
    </xf>
    <xf numFmtId="0" fontId="6" fillId="0" borderId="0" xfId="0" applyFont="1" applyBorder="1" applyAlignment="1">
      <alignment horizontal="center"/>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7" fillId="12" borderId="4" xfId="0" applyFont="1" applyFill="1" applyBorder="1" applyAlignment="1">
      <alignment horizontal="center" vertical="center" wrapText="1"/>
    </xf>
    <xf numFmtId="0" fontId="7" fillId="12" borderId="5"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2" fillId="2" borderId="0" xfId="0" applyFont="1" applyFill="1" applyAlignment="1">
      <alignment horizontal="center" wrapText="1"/>
    </xf>
    <xf numFmtId="0" fontId="8" fillId="2" borderId="0" xfId="0" applyFont="1" applyFill="1" applyBorder="1" applyAlignment="1">
      <alignment horizontal="center" vertical="center" wrapText="1"/>
    </xf>
    <xf numFmtId="0" fontId="18" fillId="12" borderId="11" xfId="0" applyFont="1" applyFill="1" applyBorder="1" applyAlignment="1">
      <alignment horizontal="center"/>
    </xf>
    <xf numFmtId="0" fontId="18" fillId="12" borderId="20" xfId="0" applyFont="1" applyFill="1" applyBorder="1" applyAlignment="1">
      <alignment horizontal="center"/>
    </xf>
    <xf numFmtId="0" fontId="18" fillId="12" borderId="21" xfId="0" applyFont="1" applyFill="1" applyBorder="1" applyAlignment="1">
      <alignment horizontal="center"/>
    </xf>
    <xf numFmtId="0" fontId="6" fillId="0" borderId="0" xfId="0" applyFont="1" applyAlignment="1">
      <alignment horizontal="center" vertical="center" wrapText="1"/>
    </xf>
    <xf numFmtId="0" fontId="18" fillId="0" borderId="0" xfId="0" applyFont="1" applyAlignment="1">
      <alignment horizontal="center" wrapText="1"/>
    </xf>
    <xf numFmtId="0" fontId="27" fillId="0" borderId="0" xfId="0" applyFont="1" applyAlignment="1">
      <alignment horizontal="center" vertical="center" wrapText="1"/>
    </xf>
    <xf numFmtId="0" fontId="6" fillId="2" borderId="0" xfId="0" applyFont="1" applyFill="1" applyBorder="1" applyAlignment="1">
      <alignment horizontal="center" vertical="center" wrapText="1"/>
    </xf>
    <xf numFmtId="0" fontId="7" fillId="2" borderId="0" xfId="0" applyFont="1" applyFill="1" applyAlignment="1">
      <alignment horizontal="center" vertical="center"/>
    </xf>
    <xf numFmtId="0" fontId="14" fillId="0" borderId="8" xfId="0" applyFont="1" applyBorder="1" applyAlignment="1">
      <alignment horizontal="center" vertical="center" wrapText="1"/>
    </xf>
    <xf numFmtId="0" fontId="6" fillId="0" borderId="8" xfId="0" applyFont="1" applyBorder="1" applyAlignment="1">
      <alignment horizontal="center" vertical="center" wrapText="1"/>
    </xf>
    <xf numFmtId="0" fontId="3" fillId="10" borderId="11" xfId="0" applyFont="1" applyFill="1" applyBorder="1" applyAlignment="1">
      <alignment horizontal="center" vertical="center" wrapText="1"/>
    </xf>
    <xf numFmtId="0" fontId="3" fillId="10" borderId="20" xfId="0" applyFont="1" applyFill="1" applyBorder="1" applyAlignment="1">
      <alignment horizontal="center" vertical="center" wrapText="1"/>
    </xf>
    <xf numFmtId="0" fontId="3" fillId="10" borderId="21" xfId="0" applyFont="1" applyFill="1" applyBorder="1" applyAlignment="1">
      <alignment horizontal="center" vertical="center" wrapText="1"/>
    </xf>
    <xf numFmtId="0" fontId="4" fillId="10" borderId="10" xfId="0" applyFont="1" applyFill="1" applyBorder="1" applyAlignment="1">
      <alignment horizontal="center" vertical="center" wrapText="1"/>
    </xf>
    <xf numFmtId="0" fontId="4" fillId="10" borderId="22" xfId="0" applyFont="1" applyFill="1" applyBorder="1" applyAlignment="1">
      <alignment horizontal="center" vertical="center" wrapText="1"/>
    </xf>
    <xf numFmtId="0" fontId="4" fillId="10" borderId="23" xfId="0" applyFont="1" applyFill="1" applyBorder="1" applyAlignment="1">
      <alignment horizontal="center" vertical="center" wrapText="1"/>
    </xf>
    <xf numFmtId="3" fontId="1" fillId="13" borderId="3" xfId="0" applyNumberFormat="1" applyFont="1" applyFill="1" applyBorder="1" applyAlignment="1">
      <alignment horizontal="center" vertical="center"/>
    </xf>
    <xf numFmtId="0" fontId="1" fillId="13" borderId="3" xfId="0" applyFont="1" applyFill="1" applyBorder="1" applyAlignment="1">
      <alignment horizontal="center" vertical="center"/>
    </xf>
    <xf numFmtId="3" fontId="1" fillId="13" borderId="9" xfId="0" applyNumberFormat="1" applyFont="1" applyFill="1" applyBorder="1" applyAlignment="1">
      <alignment horizontal="center" vertical="center"/>
    </xf>
    <xf numFmtId="3" fontId="1" fillId="13" borderId="29" xfId="0" applyNumberFormat="1" applyFont="1" applyFill="1" applyBorder="1" applyAlignment="1">
      <alignment horizontal="center" vertical="center"/>
    </xf>
    <xf numFmtId="3" fontId="1" fillId="13" borderId="2" xfId="0" applyNumberFormat="1" applyFont="1" applyFill="1" applyBorder="1" applyAlignment="1">
      <alignment horizontal="center" vertical="center"/>
    </xf>
    <xf numFmtId="0" fontId="87" fillId="0" borderId="3" xfId="0" applyFont="1" applyBorder="1" applyAlignment="1">
      <alignment horizontal="center"/>
    </xf>
    <xf numFmtId="0" fontId="48" fillId="0" borderId="3" xfId="0" applyFont="1" applyBorder="1" applyAlignment="1">
      <alignment horizontal="center"/>
    </xf>
    <xf numFmtId="0" fontId="92" fillId="0" borderId="3" xfId="0" applyFont="1" applyBorder="1" applyAlignment="1">
      <alignment horizontal="center"/>
    </xf>
    <xf numFmtId="0" fontId="87" fillId="0" borderId="4" xfId="0" applyFont="1" applyBorder="1" applyAlignment="1">
      <alignment horizontal="center"/>
    </xf>
    <xf numFmtId="0" fontId="87" fillId="0" borderId="5" xfId="0" applyFont="1" applyBorder="1" applyAlignment="1">
      <alignment horizontal="center"/>
    </xf>
    <xf numFmtId="0" fontId="87" fillId="0" borderId="6" xfId="0" applyFont="1" applyBorder="1" applyAlignment="1">
      <alignment horizontal="center"/>
    </xf>
    <xf numFmtId="0" fontId="85" fillId="2" borderId="3" xfId="0" applyFont="1" applyFill="1" applyBorder="1" applyAlignment="1">
      <alignment horizontal="center" vertical="center"/>
    </xf>
    <xf numFmtId="0" fontId="2" fillId="6" borderId="10" xfId="0" applyFont="1" applyFill="1" applyBorder="1" applyAlignment="1">
      <alignment horizontal="center" vertical="top"/>
    </xf>
    <xf numFmtId="0" fontId="2" fillId="6" borderId="22" xfId="0" applyFont="1" applyFill="1" applyBorder="1" applyAlignment="1">
      <alignment horizontal="center" vertical="top"/>
    </xf>
    <xf numFmtId="0" fontId="2" fillId="6" borderId="23" xfId="0" applyFont="1" applyFill="1" applyBorder="1" applyAlignment="1">
      <alignment horizontal="center" vertical="top"/>
    </xf>
    <xf numFmtId="0" fontId="2" fillId="6" borderId="11" xfId="0" applyFont="1" applyFill="1" applyBorder="1" applyAlignment="1">
      <alignment horizontal="center"/>
    </xf>
    <xf numFmtId="0" fontId="2" fillId="6" borderId="20" xfId="0" applyFont="1" applyFill="1" applyBorder="1" applyAlignment="1">
      <alignment horizontal="center"/>
    </xf>
    <xf numFmtId="0" fontId="2" fillId="6" borderId="21" xfId="0" applyFont="1" applyFill="1" applyBorder="1" applyAlignment="1">
      <alignment horizontal="center"/>
    </xf>
    <xf numFmtId="0" fontId="2" fillId="0" borderId="3" xfId="0" applyFont="1" applyBorder="1" applyAlignment="1">
      <alignment horizontal="center"/>
    </xf>
  </cellXfs>
  <cellStyles count="3">
    <cellStyle name="Hiperlink" xfId="2" builtinId="8"/>
    <cellStyle name="Normal" xfId="0" builtinId="0"/>
    <cellStyle name="Normal 9" xfId="1"/>
  </cellStyles>
  <dxfs count="0"/>
  <tableStyles count="0" defaultTableStyle="TableStyleMedium2" defaultPivotStyle="PivotStyleLight16"/>
  <colors>
    <mruColors>
      <color rgb="FFFFFF99"/>
      <color rgb="FFE49CD6"/>
      <color rgb="FFBB33A1"/>
      <color rgb="FF00D66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cked"/>
        <c:varyColors val="0"/>
        <c:ser>
          <c:idx val="0"/>
          <c:order val="0"/>
          <c:tx>
            <c:v>AL (alunos atendidos)</c:v>
          </c:tx>
          <c:spPr>
            <a:ln>
              <a:solidFill>
                <a:schemeClr val="bg1">
                  <a:lumMod val="75000"/>
                </a:schemeClr>
              </a:solidFill>
              <a:prstDash val="sysDash"/>
            </a:ln>
          </c:spPr>
          <c:marker>
            <c:symbol val="diamond"/>
            <c:size val="9"/>
            <c:spPr>
              <a:solidFill>
                <a:schemeClr val="bg1">
                  <a:lumMod val="95000"/>
                </a:schemeClr>
              </a:solidFill>
              <a:ln>
                <a:solidFill>
                  <a:schemeClr val="tx1">
                    <a:lumMod val="95000"/>
                    <a:lumOff val="5000"/>
                  </a:schemeClr>
                </a:solidFill>
              </a:ln>
            </c:spPr>
          </c:marker>
          <c:dLbls>
            <c:dLbl>
              <c:idx val="5"/>
              <c:layout>
                <c:manualLayout>
                  <c:x val="-4.3168669336893638E-2"/>
                  <c:y val="3.640776699029126E-2"/>
                </c:manualLayout>
              </c:layout>
              <c:dLblPos val="r"/>
              <c:showLegendKey val="0"/>
              <c:showVal val="1"/>
              <c:showCatName val="0"/>
              <c:showSerName val="0"/>
              <c:showPercent val="0"/>
              <c:showBubbleSize val="0"/>
            </c:dLbl>
            <c:dLbl>
              <c:idx val="6"/>
              <c:layout>
                <c:manualLayout>
                  <c:x val="-4.924704924704925E-2"/>
                  <c:y val="-4.4498381877022652E-2"/>
                </c:manualLayout>
              </c:layout>
              <c:dLblPos val="r"/>
              <c:showLegendKey val="0"/>
              <c:showVal val="1"/>
              <c:showCatName val="0"/>
              <c:showSerName val="0"/>
              <c:showPercent val="0"/>
              <c:showBubbleSize val="0"/>
            </c:dLbl>
            <c:dLbl>
              <c:idx val="7"/>
              <c:layout>
                <c:manualLayout>
                  <c:x val="-2.4686657757523899E-3"/>
                  <c:y val="1.0517799352750809E-2"/>
                </c:manualLayout>
              </c:layout>
              <c:dLblPos val="r"/>
              <c:showLegendKey val="0"/>
              <c:showVal val="1"/>
              <c:showCatName val="0"/>
              <c:showSerName val="0"/>
              <c:showPercent val="0"/>
              <c:showBubbleSize val="0"/>
            </c:dLbl>
            <c:dLbl>
              <c:idx val="8"/>
              <c:layout>
                <c:manualLayout>
                  <c:x val="-3.2967032967032968E-2"/>
                  <c:y val="8.4951456310679616E-2"/>
                </c:manualLayout>
              </c:layout>
              <c:dLblPos val="r"/>
              <c:showLegendKey val="0"/>
              <c:showVal val="1"/>
              <c:showCatName val="0"/>
              <c:showSerName val="0"/>
              <c:showPercent val="0"/>
              <c:showBubbleSize val="0"/>
            </c:dLbl>
            <c:txPr>
              <a:bodyPr/>
              <a:lstStyle/>
              <a:p>
                <a:pPr>
                  <a:defRPr b="1"/>
                </a:pPr>
                <a:endParaRPr lang="pt-BR"/>
              </a:p>
            </c:txPr>
            <c:dLblPos val="t"/>
            <c:showLegendKey val="0"/>
            <c:showVal val="1"/>
            <c:showCatName val="0"/>
            <c:showSerName val="0"/>
            <c:showPercent val="0"/>
            <c:showBubbleSize val="0"/>
            <c:showLeaderLines val="0"/>
          </c:dLbls>
          <c:cat>
            <c:numRef>
              <c:f>para_graficos!$AA$3:$AI$3</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para_graficos!$AA$47:$AI$47</c:f>
              <c:numCache>
                <c:formatCode>#,##0</c:formatCode>
                <c:ptCount val="9"/>
                <c:pt idx="0">
                  <c:v>34158</c:v>
                </c:pt>
                <c:pt idx="1">
                  <c:v>43961</c:v>
                </c:pt>
                <c:pt idx="2">
                  <c:v>52009</c:v>
                </c:pt>
                <c:pt idx="3">
                  <c:v>58035</c:v>
                </c:pt>
                <c:pt idx="4">
                  <c:v>61717</c:v>
                </c:pt>
                <c:pt idx="5">
                  <c:v>46634</c:v>
                </c:pt>
                <c:pt idx="6">
                  <c:v>49478</c:v>
                </c:pt>
                <c:pt idx="7">
                  <c:v>55910</c:v>
                </c:pt>
                <c:pt idx="8">
                  <c:v>76460</c:v>
                </c:pt>
              </c:numCache>
            </c:numRef>
          </c:val>
          <c:smooth val="0"/>
        </c:ser>
        <c:dLbls>
          <c:showLegendKey val="0"/>
          <c:showVal val="0"/>
          <c:showCatName val="0"/>
          <c:showSerName val="0"/>
          <c:showPercent val="0"/>
          <c:showBubbleSize val="0"/>
        </c:dLbls>
        <c:marker val="1"/>
        <c:smooth val="0"/>
        <c:axId val="109783296"/>
        <c:axId val="109809664"/>
      </c:lineChart>
      <c:lineChart>
        <c:grouping val="stacked"/>
        <c:varyColors val="0"/>
        <c:ser>
          <c:idx val="1"/>
          <c:order val="1"/>
          <c:tx>
            <c:v>E (escolas atendidas)</c:v>
          </c:tx>
          <c:spPr>
            <a:ln w="22225">
              <a:solidFill>
                <a:schemeClr val="tx1">
                  <a:lumMod val="50000"/>
                  <a:lumOff val="50000"/>
                </a:schemeClr>
              </a:solidFill>
            </a:ln>
          </c:spPr>
          <c:marker>
            <c:spPr>
              <a:solidFill>
                <a:schemeClr val="tx1">
                  <a:lumMod val="50000"/>
                  <a:lumOff val="50000"/>
                </a:schemeClr>
              </a:solidFill>
              <a:ln>
                <a:solidFill>
                  <a:schemeClr val="tx1">
                    <a:lumMod val="50000"/>
                    <a:lumOff val="50000"/>
                  </a:schemeClr>
                </a:solidFill>
              </a:ln>
            </c:spPr>
          </c:marker>
          <c:dLbls>
            <c:dLbl>
              <c:idx val="6"/>
              <c:layout>
                <c:manualLayout>
                  <c:x val="-1.9581664441477527E-2"/>
                  <c:y val="4.12621359223301E-2"/>
                </c:manualLayout>
              </c:layout>
              <c:dLblPos val="r"/>
              <c:showLegendKey val="0"/>
              <c:showVal val="1"/>
              <c:showCatName val="0"/>
              <c:showSerName val="0"/>
              <c:showPercent val="0"/>
              <c:showBubbleSize val="0"/>
            </c:dLbl>
            <c:dLbl>
              <c:idx val="7"/>
              <c:layout>
                <c:manualLayout>
                  <c:x val="-3.6622473472867172E-2"/>
                  <c:y val="-3.3171521035598707E-2"/>
                </c:manualLayout>
              </c:layout>
              <c:dLblPos val="r"/>
              <c:showLegendKey val="0"/>
              <c:showVal val="1"/>
              <c:showCatName val="0"/>
              <c:showSerName val="0"/>
              <c:showPercent val="0"/>
              <c:showBubbleSize val="0"/>
            </c:dLbl>
            <c:dLbl>
              <c:idx val="8"/>
              <c:layout>
                <c:manualLayout>
                  <c:x val="-2.7676027676027677E-2"/>
                  <c:y val="-3.9644012944983813E-2"/>
                </c:manualLayout>
              </c:layout>
              <c:dLblPos val="r"/>
              <c:showLegendKey val="0"/>
              <c:showVal val="1"/>
              <c:showCatName val="0"/>
              <c:showSerName val="0"/>
              <c:showPercent val="0"/>
              <c:showBubbleSize val="0"/>
            </c:dLbl>
            <c:txPr>
              <a:bodyPr/>
              <a:lstStyle/>
              <a:p>
                <a:pPr>
                  <a:defRPr b="1"/>
                </a:pPr>
                <a:endParaRPr lang="pt-BR"/>
              </a:p>
            </c:txPr>
            <c:dLblPos val="b"/>
            <c:showLegendKey val="0"/>
            <c:showVal val="1"/>
            <c:showCatName val="0"/>
            <c:showSerName val="0"/>
            <c:showPercent val="0"/>
            <c:showBubbleSize val="0"/>
            <c:showLeaderLines val="0"/>
          </c:dLbls>
          <c:cat>
            <c:numRef>
              <c:f>para_graficos!$AA$3:$AI$3</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para_graficos!$AA$233:$AI$233</c:f>
              <c:numCache>
                <c:formatCode>General</c:formatCode>
                <c:ptCount val="9"/>
                <c:pt idx="0">
                  <c:v>138</c:v>
                </c:pt>
                <c:pt idx="1">
                  <c:v>192</c:v>
                </c:pt>
                <c:pt idx="2">
                  <c:v>178</c:v>
                </c:pt>
                <c:pt idx="3">
                  <c:v>214</c:v>
                </c:pt>
                <c:pt idx="4">
                  <c:v>202</c:v>
                </c:pt>
                <c:pt idx="5">
                  <c:v>274</c:v>
                </c:pt>
                <c:pt idx="6">
                  <c:v>411</c:v>
                </c:pt>
                <c:pt idx="7">
                  <c:v>502</c:v>
                </c:pt>
                <c:pt idx="8">
                  <c:v>734</c:v>
                </c:pt>
              </c:numCache>
            </c:numRef>
          </c:val>
          <c:smooth val="0"/>
        </c:ser>
        <c:dLbls>
          <c:showLegendKey val="0"/>
          <c:showVal val="0"/>
          <c:showCatName val="0"/>
          <c:showSerName val="0"/>
          <c:showPercent val="0"/>
          <c:showBubbleSize val="0"/>
        </c:dLbls>
        <c:marker val="1"/>
        <c:smooth val="0"/>
        <c:axId val="109817856"/>
        <c:axId val="109811584"/>
      </c:lineChart>
      <c:catAx>
        <c:axId val="109783296"/>
        <c:scaling>
          <c:orientation val="minMax"/>
        </c:scaling>
        <c:delete val="0"/>
        <c:axPos val="b"/>
        <c:numFmt formatCode="General" sourceLinked="1"/>
        <c:majorTickMark val="out"/>
        <c:minorTickMark val="none"/>
        <c:tickLblPos val="nextTo"/>
        <c:crossAx val="109809664"/>
        <c:crosses val="autoZero"/>
        <c:auto val="1"/>
        <c:lblAlgn val="ctr"/>
        <c:lblOffset val="100"/>
        <c:noMultiLvlLbl val="0"/>
      </c:catAx>
      <c:valAx>
        <c:axId val="109809664"/>
        <c:scaling>
          <c:orientation val="minMax"/>
        </c:scaling>
        <c:delete val="0"/>
        <c:axPos val="l"/>
        <c:title>
          <c:tx>
            <c:rich>
              <a:bodyPr rot="-5400000" vert="horz"/>
              <a:lstStyle/>
              <a:p>
                <a:pPr>
                  <a:defRPr/>
                </a:pPr>
                <a:r>
                  <a:rPr lang="en-US"/>
                  <a:t>AL (n.º total de alunos atendidos)</a:t>
                </a:r>
              </a:p>
            </c:rich>
          </c:tx>
          <c:overlay val="0"/>
        </c:title>
        <c:numFmt formatCode="#,##0" sourceLinked="1"/>
        <c:majorTickMark val="out"/>
        <c:minorTickMark val="none"/>
        <c:tickLblPos val="nextTo"/>
        <c:crossAx val="109783296"/>
        <c:crosses val="autoZero"/>
        <c:crossBetween val="between"/>
      </c:valAx>
      <c:valAx>
        <c:axId val="109811584"/>
        <c:scaling>
          <c:orientation val="minMax"/>
        </c:scaling>
        <c:delete val="0"/>
        <c:axPos val="r"/>
        <c:title>
          <c:tx>
            <c:rich>
              <a:bodyPr rot="-5400000" vert="horz"/>
              <a:lstStyle/>
              <a:p>
                <a:pPr>
                  <a:defRPr/>
                </a:pPr>
                <a:r>
                  <a:rPr lang="en-US"/>
                  <a:t>E (n.º total de escolas atendidas)</a:t>
                </a:r>
              </a:p>
            </c:rich>
          </c:tx>
          <c:overlay val="0"/>
        </c:title>
        <c:numFmt formatCode="General" sourceLinked="1"/>
        <c:majorTickMark val="out"/>
        <c:minorTickMark val="none"/>
        <c:tickLblPos val="nextTo"/>
        <c:crossAx val="109817856"/>
        <c:crosses val="max"/>
        <c:crossBetween val="between"/>
      </c:valAx>
      <c:catAx>
        <c:axId val="109817856"/>
        <c:scaling>
          <c:orientation val="minMax"/>
        </c:scaling>
        <c:delete val="1"/>
        <c:axPos val="b"/>
        <c:numFmt formatCode="General" sourceLinked="1"/>
        <c:majorTickMark val="out"/>
        <c:minorTickMark val="none"/>
        <c:tickLblPos val="nextTo"/>
        <c:crossAx val="109811584"/>
        <c:crosses val="autoZero"/>
        <c:auto val="1"/>
        <c:lblAlgn val="ctr"/>
        <c:lblOffset val="100"/>
        <c:noMultiLvlLbl val="0"/>
      </c:catAx>
    </c:plotArea>
    <c:legend>
      <c:legendPos val="r"/>
      <c:overlay val="0"/>
    </c:legend>
    <c:plotVisOnly val="1"/>
    <c:dispBlanksAs val="zero"/>
    <c:showDLblsOverMax val="0"/>
  </c:chart>
  <c:txPr>
    <a:bodyPr/>
    <a:lstStyle/>
    <a:p>
      <a:pPr>
        <a:defRPr sz="1000">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DMti(P.Op.) em BH</c:v>
          </c:tx>
          <c:spPr>
            <a:ln w="25400">
              <a:solidFill>
                <a:schemeClr val="accent1"/>
              </a:solidFill>
            </a:ln>
          </c:spPr>
          <c:marker>
            <c:symbol val="circle"/>
            <c:size val="7"/>
            <c:spPr>
              <a:solidFill>
                <a:schemeClr val="tx2">
                  <a:lumMod val="60000"/>
                  <a:lumOff val="40000"/>
                </a:schemeClr>
              </a:solidFill>
              <a:ln>
                <a:solidFill>
                  <a:schemeClr val="accent1">
                    <a:lumMod val="75000"/>
                  </a:schemeClr>
                </a:solidFill>
              </a:ln>
            </c:spPr>
          </c:marker>
          <c:dLbls>
            <c:dLbl>
              <c:idx val="1"/>
              <c:layout>
                <c:manualLayout>
                  <c:x val="-4.8536759457530339E-2"/>
                  <c:y val="4.2017617204188729E-2"/>
                </c:manualLayout>
              </c:layout>
              <c:dLblPos val="r"/>
              <c:showLegendKey val="0"/>
              <c:showVal val="1"/>
              <c:showCatName val="0"/>
              <c:showSerName val="0"/>
              <c:showPercent val="0"/>
              <c:showBubbleSize val="0"/>
            </c:dLbl>
            <c:dLbl>
              <c:idx val="8"/>
              <c:layout>
                <c:manualLayout>
                  <c:x val="-4.3572994715888061E-2"/>
                  <c:y val="-2.8491055898979486E-2"/>
                </c:manualLayout>
              </c:layout>
              <c:dLblPos val="r"/>
              <c:showLegendKey val="0"/>
              <c:showVal val="1"/>
              <c:showCatName val="0"/>
              <c:showSerName val="0"/>
              <c:showPercent val="0"/>
              <c:showBubbleSize val="0"/>
            </c:dLbl>
            <c:dLbl>
              <c:idx val="9"/>
              <c:layout>
                <c:manualLayout>
                  <c:x val="-3.9971448965024983E-2"/>
                  <c:y val="-3.1347632482545927E-2"/>
                </c:manualLayout>
              </c:layout>
              <c:dLblPos val="r"/>
              <c:showLegendKey val="0"/>
              <c:showVal val="1"/>
              <c:showCatName val="0"/>
              <c:showSerName val="0"/>
              <c:showPercent val="0"/>
              <c:showBubbleSize val="0"/>
            </c:dLbl>
            <c:dLbl>
              <c:idx val="10"/>
              <c:layout>
                <c:manualLayout>
                  <c:x val="-4.0767730586139257E-2"/>
                  <c:y val="3.5229385080657823E-2"/>
                </c:manualLayout>
              </c:layout>
              <c:dLblPos val="r"/>
              <c:showLegendKey val="0"/>
              <c:showVal val="1"/>
              <c:showCatName val="0"/>
              <c:showSerName val="0"/>
              <c:showPercent val="0"/>
              <c:showBubbleSize val="0"/>
            </c:dLbl>
            <c:dLbl>
              <c:idx val="11"/>
              <c:layout>
                <c:manualLayout>
                  <c:x val="-3.9971448965024983E-2"/>
                  <c:y val="-2.8157839017905289E-2"/>
                </c:manualLayout>
              </c:layout>
              <c:dLblPos val="r"/>
              <c:showLegendKey val="0"/>
              <c:showVal val="1"/>
              <c:showCatName val="0"/>
              <c:showSerName val="0"/>
              <c:showPercent val="0"/>
              <c:showBubbleSize val="0"/>
            </c:dLbl>
            <c:dLbl>
              <c:idx val="12"/>
              <c:layout>
                <c:manualLayout>
                  <c:x val="-2.32389305151403E-2"/>
                  <c:y val="3.6059766946115818E-2"/>
                </c:manualLayout>
              </c:layout>
              <c:dLblPos val="r"/>
              <c:showLegendKey val="0"/>
              <c:showVal val="1"/>
              <c:showCatName val="0"/>
              <c:showSerName val="0"/>
              <c:showPercent val="0"/>
              <c:showBubbleSize val="0"/>
            </c:dLbl>
            <c:dLbl>
              <c:idx val="13"/>
              <c:layout>
                <c:manualLayout>
                  <c:x val="-4.2826552462526764E-2"/>
                  <c:y val="-3.1347632482545955E-2"/>
                </c:manualLayout>
              </c:layout>
              <c:dLblPos val="r"/>
              <c:showLegendKey val="0"/>
              <c:showVal val="1"/>
              <c:showCatName val="0"/>
              <c:showSerName val="0"/>
              <c:showPercent val="0"/>
              <c:showBubbleSize val="0"/>
            </c:dLbl>
            <c:numFmt formatCode="#,##0" sourceLinked="0"/>
            <c:txPr>
              <a:bodyPr/>
              <a:lstStyle/>
              <a:p>
                <a:pPr>
                  <a:defRPr sz="900" b="1"/>
                </a:pPr>
                <a:endParaRPr lang="pt-BR"/>
              </a:p>
            </c:txPr>
            <c:dLblPos val="b"/>
            <c:showLegendKey val="0"/>
            <c:showVal val="1"/>
            <c:showCatName val="0"/>
            <c:showSerName val="0"/>
            <c:showPercent val="0"/>
            <c:showBubbleSize val="0"/>
            <c:showLeaderLines val="0"/>
          </c:dLbls>
          <c:cat>
            <c:numRef>
              <c:f>(para_graficos!$O$3:$Q$3,para_graficos!$S$3:$U$3,para_graficos!$W$3:$AK$3)</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(para_graficos!$O$226:$Q$226,para_graficos!$S$226:$U$226,para_graficos!$W$226:$AK$226)</c:f>
              <c:numCache>
                <c:formatCode>0.00</c:formatCode>
                <c:ptCount val="21"/>
                <c:pt idx="1">
                  <c:v>20</c:v>
                </c:pt>
                <c:pt idx="5">
                  <c:v>15</c:v>
                </c:pt>
                <c:pt idx="6">
                  <c:v>16.28</c:v>
                </c:pt>
                <c:pt idx="7">
                  <c:v>16.59</c:v>
                </c:pt>
                <c:pt idx="8">
                  <c:v>16.52</c:v>
                </c:pt>
                <c:pt idx="9">
                  <c:v>22.18</c:v>
                </c:pt>
                <c:pt idx="10">
                  <c:v>15.7</c:v>
                </c:pt>
                <c:pt idx="11">
                  <c:v>23.54</c:v>
                </c:pt>
                <c:pt idx="12">
                  <c:v>20.88</c:v>
                </c:pt>
                <c:pt idx="13">
                  <c:v>24.450000000000003</c:v>
                </c:pt>
                <c:pt idx="15">
                  <c:v>26.880000000000003</c:v>
                </c:pt>
                <c:pt idx="18">
                  <c:v>28.520000000000003</c:v>
                </c:pt>
                <c:pt idx="20" formatCode="General">
                  <c:v>32.1</c:v>
                </c:pt>
              </c:numCache>
            </c:numRef>
          </c:val>
          <c:smooth val="0"/>
        </c:ser>
        <c:dLbls>
          <c:showLegendKey val="0"/>
          <c:showVal val="0"/>
          <c:showCatName val="0"/>
          <c:showSerName val="0"/>
          <c:showPercent val="0"/>
          <c:showBubbleSize val="0"/>
        </c:dLbls>
        <c:marker val="1"/>
        <c:smooth val="0"/>
        <c:axId val="111017344"/>
        <c:axId val="111043712"/>
      </c:lineChart>
      <c:catAx>
        <c:axId val="111017344"/>
        <c:scaling>
          <c:orientation val="minMax"/>
        </c:scaling>
        <c:delete val="0"/>
        <c:axPos val="b"/>
        <c:numFmt formatCode="General" sourceLinked="1"/>
        <c:majorTickMark val="out"/>
        <c:minorTickMark val="none"/>
        <c:tickLblPos val="nextTo"/>
        <c:txPr>
          <a:bodyPr rot="-2220000"/>
          <a:lstStyle/>
          <a:p>
            <a:pPr>
              <a:defRPr b="1"/>
            </a:pPr>
            <a:endParaRPr lang="pt-BR"/>
          </a:p>
        </c:txPr>
        <c:crossAx val="111043712"/>
        <c:crosses val="autoZero"/>
        <c:auto val="1"/>
        <c:lblAlgn val="ctr"/>
        <c:lblOffset val="100"/>
        <c:noMultiLvlLbl val="0"/>
      </c:catAx>
      <c:valAx>
        <c:axId val="111043712"/>
        <c:scaling>
          <c:orientation val="minMax"/>
        </c:scaling>
        <c:delete val="0"/>
        <c:axPos val="l"/>
        <c:title>
          <c:tx>
            <c:rich>
              <a:bodyPr rot="0" vert="horz"/>
              <a:lstStyle/>
              <a:p>
                <a:pPr>
                  <a:defRPr sz="1200"/>
                </a:pPr>
                <a:r>
                  <a:rPr lang="en-US" sz="1200"/>
                  <a:t>%</a:t>
                </a:r>
              </a:p>
            </c:rich>
          </c:tx>
          <c:overlay val="0"/>
        </c:title>
        <c:numFmt formatCode="0" sourceLinked="0"/>
        <c:majorTickMark val="out"/>
        <c:minorTickMark val="none"/>
        <c:tickLblPos val="nextTo"/>
        <c:txPr>
          <a:bodyPr/>
          <a:lstStyle/>
          <a:p>
            <a:pPr>
              <a:defRPr b="1"/>
            </a:pPr>
            <a:endParaRPr lang="pt-BR"/>
          </a:p>
        </c:txPr>
        <c:crossAx val="111017344"/>
        <c:crosses val="autoZero"/>
        <c:crossBetween val="between"/>
      </c:valAx>
    </c:plotArea>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RLvfd (n.º de vagas físicas reservadas para pessoa com deficiência)</c:v>
          </c:tx>
          <c:spPr>
            <a:solidFill>
              <a:srgbClr val="0070C0"/>
            </a:solidFill>
            <a:ln>
              <a:solidFill>
                <a:schemeClr val="tx1"/>
              </a:solidFill>
            </a:ln>
          </c:spPr>
          <c:invertIfNegative val="0"/>
          <c:dLbls>
            <c:dLbl>
              <c:idx val="12"/>
              <c:spPr>
                <a:solidFill>
                  <a:srgbClr val="0070C0"/>
                </a:solidFill>
                <a:ln>
                  <a:solidFill>
                    <a:schemeClr val="tx1"/>
                  </a:solidFill>
                </a:ln>
              </c:spPr>
              <c:txPr>
                <a:bodyPr/>
                <a:lstStyle/>
                <a:p>
                  <a:pPr>
                    <a:defRPr b="1">
                      <a:solidFill>
                        <a:schemeClr val="bg1"/>
                      </a:solidFill>
                    </a:defRPr>
                  </a:pPr>
                  <a:endParaRPr lang="pt-BR"/>
                </a:p>
              </c:txPr>
              <c:dLblPos val="ctr"/>
              <c:showLegendKey val="0"/>
              <c:showVal val="1"/>
              <c:showCatName val="0"/>
              <c:showSerName val="0"/>
              <c:showPercent val="0"/>
              <c:showBubbleSize val="0"/>
            </c:dLbl>
            <c:dLbl>
              <c:idx val="13"/>
              <c:layout>
                <c:manualLayout>
                  <c:x val="3.189792663476874E-3"/>
                  <c:y val="-4.221635883905013E-2"/>
                </c:manualLayout>
              </c:layout>
              <c:spPr>
                <a:solidFill>
                  <a:srgbClr val="0070C0"/>
                </a:solidFill>
                <a:ln>
                  <a:solidFill>
                    <a:schemeClr val="tx1"/>
                  </a:solidFill>
                </a:ln>
              </c:spPr>
              <c:txPr>
                <a:bodyPr/>
                <a:lstStyle/>
                <a:p>
                  <a:pPr>
                    <a:defRPr b="1">
                      <a:solidFill>
                        <a:schemeClr val="bg1"/>
                      </a:solidFill>
                    </a:defRPr>
                  </a:pPr>
                  <a:endParaRPr lang="pt-BR"/>
                </a:p>
              </c:txPr>
              <c:showLegendKey val="0"/>
              <c:showVal val="1"/>
              <c:showCatName val="0"/>
              <c:showSerName val="0"/>
              <c:showPercent val="0"/>
              <c:showBubbleSize val="0"/>
            </c:dLbl>
            <c:spPr>
              <a:solidFill>
                <a:sysClr val="window" lastClr="FFFFFF"/>
              </a:solidFill>
              <a:ln>
                <a:solidFill>
                  <a:schemeClr val="tx1"/>
                </a:solidFill>
              </a:ln>
            </c:spPr>
            <c:txPr>
              <a:bodyPr/>
              <a:lstStyle/>
              <a:p>
                <a:pPr>
                  <a:defRPr b="1"/>
                </a:pPr>
                <a:endParaRPr lang="pt-BR"/>
              </a:p>
            </c:txPr>
            <c:showLegendKey val="0"/>
            <c:showVal val="0"/>
            <c:showCatName val="0"/>
            <c:showSerName val="0"/>
            <c:showPercent val="0"/>
            <c:showBubbleSize val="0"/>
          </c:dLbls>
          <c:cat>
            <c:numRef>
              <c:f>para_graficos!$X$3:$AK$3</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para_graficos!$X$711:$AK$711</c:f>
              <c:numCache>
                <c:formatCode>General</c:formatCode>
                <c:ptCount val="14"/>
                <c:pt idx="0">
                  <c:v>147</c:v>
                </c:pt>
                <c:pt idx="1">
                  <c:v>343</c:v>
                </c:pt>
                <c:pt idx="2">
                  <c:v>512</c:v>
                </c:pt>
                <c:pt idx="3">
                  <c:v>532</c:v>
                </c:pt>
                <c:pt idx="4">
                  <c:v>534</c:v>
                </c:pt>
                <c:pt idx="5">
                  <c:v>546</c:v>
                </c:pt>
                <c:pt idx="6">
                  <c:v>553</c:v>
                </c:pt>
                <c:pt idx="7">
                  <c:v>576</c:v>
                </c:pt>
                <c:pt idx="8">
                  <c:v>609</c:v>
                </c:pt>
                <c:pt idx="9">
                  <c:v>650</c:v>
                </c:pt>
                <c:pt idx="10">
                  <c:v>703</c:v>
                </c:pt>
                <c:pt idx="11">
                  <c:v>732</c:v>
                </c:pt>
                <c:pt idx="12">
                  <c:v>774</c:v>
                </c:pt>
                <c:pt idx="13">
                  <c:v>840</c:v>
                </c:pt>
              </c:numCache>
            </c:numRef>
          </c:val>
        </c:ser>
        <c:ser>
          <c:idx val="1"/>
          <c:order val="1"/>
          <c:tx>
            <c:v>RLvfi (n.º de vagas reservadas para idoso)</c:v>
          </c:tx>
          <c:spPr>
            <a:solidFill>
              <a:schemeClr val="bg1">
                <a:lumMod val="95000"/>
              </a:schemeClr>
            </a:solidFill>
            <a:ln>
              <a:solidFill>
                <a:schemeClr val="tx1"/>
              </a:solidFill>
            </a:ln>
          </c:spPr>
          <c:invertIfNegative val="0"/>
          <c:dLbls>
            <c:dLbl>
              <c:idx val="12"/>
              <c:dLblPos val="ctr"/>
              <c:showLegendKey val="0"/>
              <c:showVal val="1"/>
              <c:showCatName val="0"/>
              <c:showSerName val="0"/>
              <c:showPercent val="0"/>
              <c:showBubbleSize val="0"/>
            </c:dLbl>
            <c:dLbl>
              <c:idx val="13"/>
              <c:showLegendKey val="0"/>
              <c:showVal val="1"/>
              <c:showCatName val="0"/>
              <c:showSerName val="0"/>
              <c:showPercent val="0"/>
              <c:showBubbleSize val="0"/>
            </c:dLbl>
            <c:spPr>
              <a:solidFill>
                <a:sysClr val="window" lastClr="FFFFFF"/>
              </a:solidFill>
              <a:ln>
                <a:solidFill>
                  <a:schemeClr val="tx1"/>
                </a:solidFill>
              </a:ln>
            </c:spPr>
            <c:txPr>
              <a:bodyPr/>
              <a:lstStyle/>
              <a:p>
                <a:pPr>
                  <a:defRPr b="1"/>
                </a:pPr>
                <a:endParaRPr lang="pt-BR"/>
              </a:p>
            </c:txPr>
            <c:showLegendKey val="0"/>
            <c:showVal val="0"/>
            <c:showCatName val="0"/>
            <c:showSerName val="0"/>
            <c:showPercent val="0"/>
            <c:showBubbleSize val="0"/>
          </c:dLbls>
          <c:cat>
            <c:numRef>
              <c:f>para_graficos!$X$3:$AK$3</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para_graficos!$X$712:$AK$712</c:f>
              <c:numCache>
                <c:formatCode>General</c:formatCode>
                <c:ptCount val="14"/>
                <c:pt idx="0">
                  <c:v>0</c:v>
                </c:pt>
                <c:pt idx="1">
                  <c:v>0</c:v>
                </c:pt>
                <c:pt idx="2">
                  <c:v>0</c:v>
                </c:pt>
                <c:pt idx="3">
                  <c:v>0</c:v>
                </c:pt>
                <c:pt idx="4">
                  <c:v>0</c:v>
                </c:pt>
                <c:pt idx="5">
                  <c:v>0</c:v>
                </c:pt>
                <c:pt idx="6">
                  <c:v>0</c:v>
                </c:pt>
                <c:pt idx="7">
                  <c:v>55</c:v>
                </c:pt>
                <c:pt idx="8">
                  <c:v>105</c:v>
                </c:pt>
                <c:pt idx="9">
                  <c:v>137</c:v>
                </c:pt>
                <c:pt idx="10">
                  <c:v>167</c:v>
                </c:pt>
                <c:pt idx="11">
                  <c:v>176</c:v>
                </c:pt>
                <c:pt idx="12">
                  <c:v>247</c:v>
                </c:pt>
                <c:pt idx="13">
                  <c:v>450</c:v>
                </c:pt>
              </c:numCache>
            </c:numRef>
          </c:val>
        </c:ser>
        <c:dLbls>
          <c:showLegendKey val="0"/>
          <c:showVal val="0"/>
          <c:showCatName val="0"/>
          <c:showSerName val="0"/>
          <c:showPercent val="0"/>
          <c:showBubbleSize val="0"/>
        </c:dLbls>
        <c:gapWidth val="150"/>
        <c:overlap val="100"/>
        <c:axId val="138373760"/>
        <c:axId val="138400128"/>
      </c:barChart>
      <c:catAx>
        <c:axId val="138373760"/>
        <c:scaling>
          <c:orientation val="minMax"/>
        </c:scaling>
        <c:delete val="0"/>
        <c:axPos val="b"/>
        <c:numFmt formatCode="General" sourceLinked="1"/>
        <c:majorTickMark val="out"/>
        <c:minorTickMark val="none"/>
        <c:tickLblPos val="nextTo"/>
        <c:txPr>
          <a:bodyPr/>
          <a:lstStyle/>
          <a:p>
            <a:pPr>
              <a:defRPr sz="900"/>
            </a:pPr>
            <a:endParaRPr lang="pt-BR"/>
          </a:p>
        </c:txPr>
        <c:crossAx val="138400128"/>
        <c:crosses val="autoZero"/>
        <c:auto val="1"/>
        <c:lblAlgn val="ctr"/>
        <c:lblOffset val="100"/>
        <c:noMultiLvlLbl val="0"/>
      </c:catAx>
      <c:valAx>
        <c:axId val="138400128"/>
        <c:scaling>
          <c:orientation val="minMax"/>
        </c:scaling>
        <c:delete val="0"/>
        <c:axPos val="l"/>
        <c:majorGridlines/>
        <c:numFmt formatCode="#,##0" sourceLinked="0"/>
        <c:majorTickMark val="out"/>
        <c:minorTickMark val="none"/>
        <c:tickLblPos val="nextTo"/>
        <c:crossAx val="138373760"/>
        <c:crosses val="autoZero"/>
        <c:crossBetween val="between"/>
      </c:valAx>
    </c:plotArea>
    <c:legend>
      <c:legendPos val="b"/>
      <c:layout>
        <c:manualLayout>
          <c:xMode val="edge"/>
          <c:yMode val="edge"/>
          <c:x val="2.303432166672946E-2"/>
          <c:y val="0.82623563875096084"/>
          <c:w val="0.96350073465697172"/>
          <c:h val="0.15265618182951404"/>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n.º de credenciais por vaga (idoso) = CREI por RLvfi</c:v>
          </c:tx>
          <c:spPr>
            <a:solidFill>
              <a:schemeClr val="bg1">
                <a:lumMod val="95000"/>
              </a:schemeClr>
            </a:solidFill>
            <a:ln>
              <a:solidFill>
                <a:schemeClr val="tx1"/>
              </a:solidFill>
            </a:ln>
          </c:spPr>
          <c:invertIfNegative val="0"/>
          <c:dLbls>
            <c:dLbl>
              <c:idx val="6"/>
              <c:layout>
                <c:manualLayout>
                  <c:x val="-7.69920946699646E-3"/>
                  <c:y val="0"/>
                </c:manualLayout>
              </c:layout>
              <c:dLblPos val="outEnd"/>
              <c:showLegendKey val="0"/>
              <c:showVal val="1"/>
              <c:showCatName val="0"/>
              <c:showSerName val="0"/>
              <c:showPercent val="0"/>
              <c:showBubbleSize val="0"/>
            </c:dLbl>
            <c:numFmt formatCode="#,##0.0" sourceLinked="0"/>
            <c:txPr>
              <a:bodyPr/>
              <a:lstStyle/>
              <a:p>
                <a:pPr>
                  <a:defRPr b="1"/>
                </a:pPr>
                <a:endParaRPr lang="pt-BR"/>
              </a:p>
            </c:txPr>
            <c:dLblPos val="outEnd"/>
            <c:showLegendKey val="0"/>
            <c:showVal val="1"/>
            <c:showCatName val="0"/>
            <c:showSerName val="0"/>
            <c:showPercent val="0"/>
            <c:showBubbleSize val="0"/>
            <c:showLeaderLines val="0"/>
          </c:dLbls>
          <c:cat>
            <c:numRef>
              <c:f>para_graficos!$Y$3:$AK$3</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para_graficos!$Y$164:$AK$164</c:f>
              <c:numCache>
                <c:formatCode>#,##0</c:formatCode>
                <c:ptCount val="13"/>
                <c:pt idx="6" formatCode="#,##0.00">
                  <c:v>7.2727272727272724E-2</c:v>
                </c:pt>
                <c:pt idx="7" formatCode="#,##0.00">
                  <c:v>19.514285714285716</c:v>
                </c:pt>
                <c:pt idx="8" formatCode="#,##0.00">
                  <c:v>22.072992700729927</c:v>
                </c:pt>
                <c:pt idx="9" formatCode="#,##0.00">
                  <c:v>31.491017964071855</c:v>
                </c:pt>
                <c:pt idx="10" formatCode="#,##0.00">
                  <c:v>49.25</c:v>
                </c:pt>
                <c:pt idx="11" formatCode="#,##0.00">
                  <c:v>49.939271255060731</c:v>
                </c:pt>
                <c:pt idx="12" formatCode="#,##0.00">
                  <c:v>44.364444444444445</c:v>
                </c:pt>
              </c:numCache>
            </c:numRef>
          </c:val>
        </c:ser>
        <c:ser>
          <c:idx val="1"/>
          <c:order val="1"/>
          <c:tx>
            <c:v>n.º de credenciais por vaga (pessoa com deficiência) = CRED por RLvfd</c:v>
          </c:tx>
          <c:spPr>
            <a:solidFill>
              <a:srgbClr val="0070C0"/>
            </a:solidFill>
            <a:ln>
              <a:solidFill>
                <a:sysClr val="windowText" lastClr="000000"/>
              </a:solidFill>
            </a:ln>
          </c:spPr>
          <c:invertIfNegative val="0"/>
          <c:dLbls>
            <c:numFmt formatCode="#,##0.0" sourceLinked="0"/>
            <c:txPr>
              <a:bodyPr/>
              <a:lstStyle/>
              <a:p>
                <a:pPr>
                  <a:defRPr b="1">
                    <a:solidFill>
                      <a:schemeClr val="tx2"/>
                    </a:solidFill>
                  </a:defRPr>
                </a:pPr>
                <a:endParaRPr lang="pt-BR"/>
              </a:p>
            </c:txPr>
            <c:dLblPos val="outEnd"/>
            <c:showLegendKey val="0"/>
            <c:showVal val="1"/>
            <c:showCatName val="0"/>
            <c:showSerName val="0"/>
            <c:showPercent val="0"/>
            <c:showBubbleSize val="0"/>
            <c:showLeaderLines val="0"/>
          </c:dLbls>
          <c:cat>
            <c:numRef>
              <c:f>para_graficos!$Y$3:$AK$3</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para_graficos!$Y$159:$AK$159</c:f>
              <c:numCache>
                <c:formatCode>#,##0.00</c:formatCode>
                <c:ptCount val="13"/>
                <c:pt idx="0">
                  <c:v>1.0233236151603498</c:v>
                </c:pt>
                <c:pt idx="1">
                  <c:v>1.412109375</c:v>
                </c:pt>
                <c:pt idx="2">
                  <c:v>1.9135338345864661</c:v>
                </c:pt>
                <c:pt idx="3">
                  <c:v>2.2602996254681647</c:v>
                </c:pt>
                <c:pt idx="4">
                  <c:v>2.6318681318681318</c:v>
                </c:pt>
                <c:pt idx="5">
                  <c:v>3.0325497287522603</c:v>
                </c:pt>
                <c:pt idx="6">
                  <c:v>3.2847222222222223</c:v>
                </c:pt>
                <c:pt idx="7">
                  <c:v>3.7832512315270934</c:v>
                </c:pt>
                <c:pt idx="8">
                  <c:v>4.046153846153846</c:v>
                </c:pt>
                <c:pt idx="9">
                  <c:v>4.2204836415362728</c:v>
                </c:pt>
                <c:pt idx="10">
                  <c:v>4.6202185792349724</c:v>
                </c:pt>
                <c:pt idx="11">
                  <c:v>4.8630490956072352</c:v>
                </c:pt>
                <c:pt idx="12">
                  <c:v>5.019047619047619</c:v>
                </c:pt>
              </c:numCache>
            </c:numRef>
          </c:val>
        </c:ser>
        <c:dLbls>
          <c:showLegendKey val="0"/>
          <c:showVal val="0"/>
          <c:showCatName val="0"/>
          <c:showSerName val="0"/>
          <c:showPercent val="0"/>
          <c:showBubbleSize val="0"/>
        </c:dLbls>
        <c:gapWidth val="150"/>
        <c:axId val="138421760"/>
        <c:axId val="138423296"/>
      </c:barChart>
      <c:catAx>
        <c:axId val="138421760"/>
        <c:scaling>
          <c:orientation val="minMax"/>
        </c:scaling>
        <c:delete val="0"/>
        <c:axPos val="b"/>
        <c:numFmt formatCode="General" sourceLinked="1"/>
        <c:majorTickMark val="out"/>
        <c:minorTickMark val="none"/>
        <c:tickLblPos val="nextTo"/>
        <c:crossAx val="138423296"/>
        <c:crosses val="autoZero"/>
        <c:auto val="1"/>
        <c:lblAlgn val="ctr"/>
        <c:lblOffset val="100"/>
        <c:noMultiLvlLbl val="0"/>
      </c:catAx>
      <c:valAx>
        <c:axId val="138423296"/>
        <c:scaling>
          <c:orientation val="minMax"/>
        </c:scaling>
        <c:delete val="0"/>
        <c:axPos val="l"/>
        <c:numFmt formatCode="#,##0" sourceLinked="1"/>
        <c:majorTickMark val="out"/>
        <c:minorTickMark val="none"/>
        <c:tickLblPos val="nextTo"/>
        <c:crossAx val="138421760"/>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RPI = 5% de vagas reservadas para idoso</c:v>
          </c:tx>
          <c:spPr>
            <a:ln w="34925">
              <a:solidFill>
                <a:schemeClr val="tx1"/>
              </a:solidFill>
              <a:prstDash val="dash"/>
            </a:ln>
          </c:spPr>
          <c:marker>
            <c:symbol val="none"/>
          </c:marker>
          <c:cat>
            <c:numRef>
              <c:f>(para_graficos!$U$3,para_graficos!$W$3:$AK$3)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(para_graficos!$U$730,para_graficos!$W$730:$AK$730)</c:f>
              <c:numCache>
                <c:formatCode>General</c:formatCode>
                <c:ptCount val="16"/>
                <c:pt idx="3" formatCode="0%">
                  <c:v>0.05</c:v>
                </c:pt>
                <c:pt idx="4" formatCode="0%">
                  <c:v>0.05</c:v>
                </c:pt>
                <c:pt idx="5" formatCode="0%">
                  <c:v>0.05</c:v>
                </c:pt>
                <c:pt idx="6" formatCode="0%">
                  <c:v>0.05</c:v>
                </c:pt>
                <c:pt idx="7" formatCode="0%">
                  <c:v>0.05</c:v>
                </c:pt>
                <c:pt idx="8" formatCode="0%">
                  <c:v>0.05</c:v>
                </c:pt>
                <c:pt idx="9" formatCode="0%">
                  <c:v>0.05</c:v>
                </c:pt>
                <c:pt idx="10" formatCode="0%">
                  <c:v>0.05</c:v>
                </c:pt>
                <c:pt idx="11" formatCode="0%">
                  <c:v>0.05</c:v>
                </c:pt>
                <c:pt idx="12" formatCode="0%">
                  <c:v>0.05</c:v>
                </c:pt>
                <c:pt idx="13" formatCode="0%">
                  <c:v>0.05</c:v>
                </c:pt>
                <c:pt idx="14" formatCode="0%">
                  <c:v>0.05</c:v>
                </c:pt>
                <c:pt idx="15" formatCode="0%">
                  <c:v>0.05</c:v>
                </c:pt>
              </c:numCache>
            </c:numRef>
          </c:val>
          <c:smooth val="0"/>
        </c:ser>
        <c:ser>
          <c:idx val="0"/>
          <c:order val="1"/>
          <c:tx>
            <c:v>RPI = 2% de vagas reservadas para pesooa com deficiência</c:v>
          </c:tx>
          <c:spPr>
            <a:ln w="44450">
              <a:solidFill>
                <a:srgbClr val="0070C0"/>
              </a:solidFill>
              <a:prstDash val="sysDot"/>
            </a:ln>
          </c:spPr>
          <c:marker>
            <c:symbol val="none"/>
          </c:marker>
          <c:cat>
            <c:numRef>
              <c:f>(para_graficos!$U$3,para_graficos!$W$3:$AK$3)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(para_graficos!$U$727,para_graficos!$W$727:$AK$727)</c:f>
              <c:numCache>
                <c:formatCode>0%</c:formatCode>
                <c:ptCount val="16"/>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numCache>
            </c:numRef>
          </c:val>
          <c:smooth val="0"/>
        </c:ser>
        <c:ser>
          <c:idx val="2"/>
          <c:order val="2"/>
          <c:tx>
            <c:v>%de vagas reservadas para pessoa com deficiência</c:v>
          </c:tx>
          <c:spPr>
            <a:ln w="19050">
              <a:solidFill>
                <a:srgbClr val="0070C0"/>
              </a:solidFill>
            </a:ln>
          </c:spPr>
          <c:marker>
            <c:symbol val="diamond"/>
            <c:size val="5"/>
            <c:spPr>
              <a:solidFill>
                <a:srgbClr val="0070C0"/>
              </a:solidFill>
              <a:ln>
                <a:solidFill>
                  <a:schemeClr val="tx1"/>
                </a:solidFill>
              </a:ln>
            </c:spPr>
          </c:marker>
          <c:dLbls>
            <c:dLbl>
              <c:idx val="3"/>
              <c:layout>
                <c:manualLayout>
                  <c:x val="-5.0364476283890618E-2"/>
                  <c:y val="-4.3691148775894535E-2"/>
                </c:manualLayout>
              </c:layout>
              <c:dLblPos val="r"/>
              <c:showLegendKey val="0"/>
              <c:showVal val="1"/>
              <c:showCatName val="0"/>
              <c:showSerName val="0"/>
              <c:showPercent val="0"/>
              <c:showBubbleSize val="0"/>
            </c:dLbl>
            <c:dLbl>
              <c:idx val="4"/>
              <c:layout>
                <c:manualLayout>
                  <c:x val="-5.0364476283890618E-2"/>
                  <c:y val="-3.2391713747645948E-2"/>
                </c:manualLayout>
              </c:layout>
              <c:dLblPos val="r"/>
              <c:showLegendKey val="0"/>
              <c:showVal val="1"/>
              <c:showCatName val="0"/>
              <c:showSerName val="0"/>
              <c:showPercent val="0"/>
              <c:showBubbleSize val="0"/>
            </c:dLbl>
            <c:dLbl>
              <c:idx val="6"/>
              <c:layout>
                <c:manualLayout>
                  <c:x val="-3.4459904825819898E-2"/>
                  <c:y val="5.8003766478342753E-2"/>
                </c:manualLayout>
              </c:layout>
              <c:dLblPos val="r"/>
              <c:showLegendKey val="0"/>
              <c:showVal val="1"/>
              <c:showCatName val="0"/>
              <c:showSerName val="0"/>
              <c:showPercent val="0"/>
              <c:showBubbleSize val="0"/>
            </c:dLbl>
            <c:dLbl>
              <c:idx val="8"/>
              <c:layout>
                <c:manualLayout>
                  <c:x val="-3.7994254038724501E-2"/>
                  <c:y val="3.9171374764595104E-2"/>
                </c:manualLayout>
              </c:layout>
              <c:dLblPos val="r"/>
              <c:showLegendKey val="0"/>
              <c:showVal val="1"/>
              <c:showCatName val="0"/>
              <c:showSerName val="0"/>
              <c:showPercent val="0"/>
              <c:showBubbleSize val="0"/>
            </c:dLbl>
            <c:dLbl>
              <c:idx val="10"/>
              <c:layout>
                <c:manualLayout>
                  <c:x val="-3.4459904825819898E-2"/>
                  <c:y val="3.9171374764595104E-2"/>
                </c:manualLayout>
              </c:layout>
              <c:dLblPos val="r"/>
              <c:showLegendKey val="0"/>
              <c:showVal val="1"/>
              <c:showCatName val="0"/>
              <c:showSerName val="0"/>
              <c:showPercent val="0"/>
              <c:showBubbleSize val="0"/>
            </c:dLbl>
            <c:dLbl>
              <c:idx val="12"/>
              <c:layout>
                <c:manualLayout>
                  <c:x val="-3.4459904825819898E-2"/>
                  <c:y val="3.9171374764595104E-2"/>
                </c:manualLayout>
              </c:layout>
              <c:dLblPos val="r"/>
              <c:showLegendKey val="0"/>
              <c:showVal val="1"/>
              <c:showCatName val="0"/>
              <c:showSerName val="0"/>
              <c:showPercent val="0"/>
              <c:showBubbleSize val="0"/>
            </c:dLbl>
            <c:dLbl>
              <c:idx val="14"/>
              <c:layout>
                <c:manualLayout>
                  <c:x val="-3.4459904825819829E-2"/>
                  <c:y val="5.4237288135593219E-2"/>
                </c:manualLayout>
              </c:layout>
              <c:dLblPos val="r"/>
              <c:showLegendKey val="0"/>
              <c:showVal val="1"/>
              <c:showCatName val="0"/>
              <c:showSerName val="0"/>
              <c:showPercent val="0"/>
              <c:showBubbleSize val="0"/>
            </c:dLbl>
            <c:dLbl>
              <c:idx val="15"/>
              <c:layout>
                <c:manualLayout>
                  <c:x val="-4.4179365161307561E-3"/>
                  <c:y val="-1.3559322033898235E-2"/>
                </c:manualLayout>
              </c:layout>
              <c:dLblPos val="r"/>
              <c:showLegendKey val="0"/>
              <c:showVal val="1"/>
              <c:showCatName val="0"/>
              <c:showSerName val="0"/>
              <c:showPercent val="0"/>
              <c:showBubbleSize val="0"/>
            </c:dLbl>
            <c:txPr>
              <a:bodyPr/>
              <a:lstStyle/>
              <a:p>
                <a:pPr>
                  <a:defRPr sz="800" b="1"/>
                </a:pPr>
                <a:endParaRPr lang="pt-BR"/>
              </a:p>
            </c:txPr>
            <c:dLblPos val="t"/>
            <c:showLegendKey val="0"/>
            <c:showVal val="1"/>
            <c:showCatName val="0"/>
            <c:showSerName val="0"/>
            <c:showPercent val="0"/>
            <c:showBubbleSize val="0"/>
            <c:showLeaderLines val="0"/>
          </c:dLbls>
          <c:cat>
            <c:numRef>
              <c:f>(para_graficos!$U$3,para_graficos!$W$3:$AK$3)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(para_graficos!$U$726,para_graficos!$W$726:$AK$726)</c:f>
              <c:numCache>
                <c:formatCode>General</c:formatCode>
                <c:ptCount val="16"/>
                <c:pt idx="2" formatCode="0.00%">
                  <c:v>6.2893081761006293E-3</c:v>
                </c:pt>
                <c:pt idx="3" formatCode="0.00%">
                  <c:v>1.288056206088993E-2</c:v>
                </c:pt>
                <c:pt idx="4" formatCode="0.00%">
                  <c:v>2.3179352293276344E-2</c:v>
                </c:pt>
                <c:pt idx="5" formatCode="0.00%">
                  <c:v>2.3496549457771937E-2</c:v>
                </c:pt>
                <c:pt idx="6" formatCode="0.00%">
                  <c:v>2.2240969399493826E-2</c:v>
                </c:pt>
                <c:pt idx="7" formatCode="0.00%">
                  <c:v>2.2266460222664604E-2</c:v>
                </c:pt>
                <c:pt idx="8" formatCode="0.00%">
                  <c:v>2.0990873533246416E-2</c:v>
                </c:pt>
                <c:pt idx="9" formatCode="0.00%">
                  <c:v>2.1057208522268465E-2</c:v>
                </c:pt>
                <c:pt idx="10" formatCode="0.00%">
                  <c:v>1.948086700561948E-2</c:v>
                </c:pt>
                <c:pt idx="11" formatCode="0.00%">
                  <c:v>1.9205587079877781E-2</c:v>
                </c:pt>
                <c:pt idx="12" formatCode="0.00%">
                  <c:v>2.0330673844083439E-2</c:v>
                </c:pt>
                <c:pt idx="13" formatCode="0.00%">
                  <c:v>2.0789322066449012E-2</c:v>
                </c:pt>
                <c:pt idx="14" formatCode="0.00%">
                  <c:v>2.140382516254568E-2</c:v>
                </c:pt>
                <c:pt idx="15" formatCode="0.00%">
                  <c:v>2.1906731854080482E-2</c:v>
                </c:pt>
              </c:numCache>
            </c:numRef>
          </c:val>
          <c:smooth val="0"/>
        </c:ser>
        <c:ser>
          <c:idx val="3"/>
          <c:order val="3"/>
          <c:tx>
            <c:v>% de vagas reservadas para idoso</c:v>
          </c:tx>
          <c:spPr>
            <a:ln w="34925">
              <a:solidFill>
                <a:schemeClr val="tx1"/>
              </a:solidFill>
            </a:ln>
          </c:spPr>
          <c:marker>
            <c:symbol val="circle"/>
            <c:size val="5"/>
            <c:spPr>
              <a:solidFill>
                <a:schemeClr val="bg1"/>
              </a:solidFill>
            </c:spPr>
          </c:marker>
          <c:dLbls>
            <c:dLbl>
              <c:idx val="9"/>
              <c:layout>
                <c:manualLayout>
                  <c:x val="-6.6269047741961337E-2"/>
                  <c:y val="-6.0263653483992466E-3"/>
                </c:manualLayout>
              </c:layout>
              <c:dLblPos val="r"/>
              <c:showLegendKey val="0"/>
              <c:showVal val="1"/>
              <c:showCatName val="0"/>
              <c:showSerName val="0"/>
              <c:showPercent val="0"/>
              <c:showBubbleSize val="0"/>
            </c:dLbl>
            <c:dLbl>
              <c:idx val="10"/>
              <c:layout>
                <c:manualLayout>
                  <c:x val="-3.9761428645176802E-2"/>
                  <c:y val="-4.3691148775894535E-2"/>
                </c:manualLayout>
              </c:layout>
              <c:dLblPos val="r"/>
              <c:showLegendKey val="0"/>
              <c:showVal val="1"/>
              <c:showCatName val="0"/>
              <c:showSerName val="0"/>
              <c:showPercent val="0"/>
              <c:showBubbleSize val="0"/>
            </c:dLbl>
            <c:dLbl>
              <c:idx val="11"/>
              <c:layout>
                <c:manualLayout>
                  <c:x val="-3.0925555612915292E-2"/>
                  <c:y val="-4.3691148775894535E-2"/>
                </c:manualLayout>
              </c:layout>
              <c:dLblPos val="r"/>
              <c:showLegendKey val="0"/>
              <c:showVal val="1"/>
              <c:showCatName val="0"/>
              <c:showSerName val="0"/>
              <c:showPercent val="0"/>
              <c:showBubbleSize val="0"/>
            </c:dLbl>
            <c:dLbl>
              <c:idx val="12"/>
              <c:layout>
                <c:manualLayout>
                  <c:x val="-3.4459904825819898E-2"/>
                  <c:y val="3.5404896421845578E-2"/>
                </c:manualLayout>
              </c:layout>
              <c:dLblPos val="r"/>
              <c:showLegendKey val="0"/>
              <c:showVal val="1"/>
              <c:showCatName val="0"/>
              <c:showSerName val="0"/>
              <c:showPercent val="0"/>
              <c:showBubbleSize val="0"/>
            </c:dLbl>
            <c:dLbl>
              <c:idx val="13"/>
              <c:dLblPos val="t"/>
              <c:showLegendKey val="0"/>
              <c:showVal val="1"/>
              <c:showCatName val="0"/>
              <c:showSerName val="0"/>
              <c:showPercent val="0"/>
              <c:showBubbleSize val="0"/>
            </c:dLbl>
            <c:dLbl>
              <c:idx val="15"/>
              <c:layout>
                <c:manualLayout>
                  <c:x val="-4.4179365161307561E-3"/>
                  <c:y val="-9.0395480225988704E-3"/>
                </c:manualLayout>
              </c:layout>
              <c:dLblPos val="r"/>
              <c:showLegendKey val="0"/>
              <c:showVal val="1"/>
              <c:showCatName val="0"/>
              <c:showSerName val="0"/>
              <c:showPercent val="0"/>
              <c:showBubbleSize val="0"/>
            </c:dLbl>
            <c:txPr>
              <a:bodyPr/>
              <a:lstStyle/>
              <a:p>
                <a:pPr>
                  <a:defRPr sz="800" b="1"/>
                </a:pPr>
                <a:endParaRPr lang="pt-BR"/>
              </a:p>
            </c:txPr>
            <c:dLblPos val="b"/>
            <c:showLegendKey val="0"/>
            <c:showVal val="1"/>
            <c:showCatName val="0"/>
            <c:showSerName val="0"/>
            <c:showPercent val="0"/>
            <c:showBubbleSize val="0"/>
            <c:showLeaderLines val="0"/>
          </c:dLbls>
          <c:cat>
            <c:numRef>
              <c:f>(para_graficos!$U$3,para_graficos!$W$3:$AK$3)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(para_graficos!$U$729,para_graficos!$W$729:$AK$729)</c:f>
              <c:numCache>
                <c:formatCode>General</c:formatCode>
                <c:ptCount val="16"/>
                <c:pt idx="9" formatCode="0.00%">
                  <c:v>3.4163612646748247E-3</c:v>
                </c:pt>
                <c:pt idx="10" formatCode="0.00%">
                  <c:v>3.425207385603425E-3</c:v>
                </c:pt>
                <c:pt idx="11" formatCode="0.00%">
                  <c:v>4.0254134536107473E-3</c:v>
                </c:pt>
                <c:pt idx="12" formatCode="0.00%">
                  <c:v>5.0946842257041242E-3</c:v>
                </c:pt>
                <c:pt idx="13" formatCode="0.00%">
                  <c:v>5.2333397349721526E-3</c:v>
                </c:pt>
                <c:pt idx="14" formatCode="0.00%">
                  <c:v>6.6916615253191586E-3</c:v>
                </c:pt>
                <c:pt idx="15" formatCode="0.00%">
                  <c:v>1.3303873636705528E-2</c:v>
                </c:pt>
              </c:numCache>
            </c:numRef>
          </c:val>
          <c:smooth val="0"/>
        </c:ser>
        <c:dLbls>
          <c:showLegendKey val="0"/>
          <c:showVal val="0"/>
          <c:showCatName val="0"/>
          <c:showSerName val="0"/>
          <c:showPercent val="0"/>
          <c:showBubbleSize val="0"/>
        </c:dLbls>
        <c:marker val="1"/>
        <c:smooth val="0"/>
        <c:axId val="138442624"/>
        <c:axId val="138444160"/>
      </c:lineChart>
      <c:catAx>
        <c:axId val="138442624"/>
        <c:scaling>
          <c:orientation val="minMax"/>
        </c:scaling>
        <c:delete val="0"/>
        <c:axPos val="b"/>
        <c:numFmt formatCode="General" sourceLinked="1"/>
        <c:majorTickMark val="out"/>
        <c:minorTickMark val="none"/>
        <c:tickLblPos val="nextTo"/>
        <c:crossAx val="138444160"/>
        <c:crosses val="autoZero"/>
        <c:auto val="1"/>
        <c:lblAlgn val="ctr"/>
        <c:lblOffset val="100"/>
        <c:noMultiLvlLbl val="0"/>
      </c:catAx>
      <c:valAx>
        <c:axId val="138444160"/>
        <c:scaling>
          <c:orientation val="minMax"/>
        </c:scaling>
        <c:delete val="0"/>
        <c:axPos val="l"/>
        <c:numFmt formatCode="0%" sourceLinked="0"/>
        <c:majorTickMark val="out"/>
        <c:minorTickMark val="none"/>
        <c:tickLblPos val="nextTo"/>
        <c:crossAx val="138442624"/>
        <c:crosses val="autoZero"/>
        <c:crossBetween val="between"/>
      </c:valAx>
    </c:plotArea>
    <c:legend>
      <c:legendPos val="r"/>
      <c:layout>
        <c:manualLayout>
          <c:xMode val="edge"/>
          <c:yMode val="edge"/>
          <c:x val="0.73377514553796064"/>
          <c:y val="0.21805388733188014"/>
          <c:w val="0.25562180682332553"/>
          <c:h val="0.60155700876373508"/>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ITT em relação a ICP (percentual de interseções com travessia total de pedestres em relação ao total de interseções com foco de pedestres)</c:v>
          </c:tx>
          <c:spPr>
            <a:solidFill>
              <a:schemeClr val="accent1">
                <a:lumMod val="60000"/>
                <a:lumOff val="40000"/>
              </a:schemeClr>
            </a:solidFill>
            <a:ln>
              <a:solidFill>
                <a:schemeClr val="tx1">
                  <a:lumMod val="75000"/>
                  <a:lumOff val="25000"/>
                </a:schemeClr>
              </a:solidFill>
            </a:ln>
          </c:spPr>
          <c:invertIfNegative val="0"/>
          <c:dLbls>
            <c:txPr>
              <a:bodyPr/>
              <a:lstStyle/>
              <a:p>
                <a:pPr>
                  <a:defRPr sz="900" b="1"/>
                </a:pPr>
                <a:endParaRPr lang="pt-BR"/>
              </a:p>
            </c:txPr>
            <c:dLblPos val="outEnd"/>
            <c:showLegendKey val="0"/>
            <c:showVal val="1"/>
            <c:showCatName val="0"/>
            <c:showSerName val="0"/>
            <c:showPercent val="0"/>
            <c:showBubbleSize val="0"/>
            <c:showLeaderLines val="0"/>
          </c:dLbls>
          <c:cat>
            <c:numRef>
              <c:f>para_graficos!$Y$3:$AJ$3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para_graficos!$Y$487:$AJ$487</c:f>
              <c:numCache>
                <c:formatCode>0%</c:formatCode>
                <c:ptCount val="12"/>
                <c:pt idx="0">
                  <c:v>0.15458937198067632</c:v>
                </c:pt>
                <c:pt idx="1">
                  <c:v>0.15707964601769911</c:v>
                </c:pt>
                <c:pt idx="2">
                  <c:v>0.15879828326180256</c:v>
                </c:pt>
                <c:pt idx="3">
                  <c:v>0.15637860082304528</c:v>
                </c:pt>
                <c:pt idx="4">
                  <c:v>0.16</c:v>
                </c:pt>
                <c:pt idx="5">
                  <c:v>0.15667311411992263</c:v>
                </c:pt>
                <c:pt idx="6">
                  <c:v>0.15559772296015181</c:v>
                </c:pt>
                <c:pt idx="7">
                  <c:v>0.16022099447513813</c:v>
                </c:pt>
                <c:pt idx="8">
                  <c:v>0.15780141843971632</c:v>
                </c:pt>
                <c:pt idx="9">
                  <c:v>0.16440677966101694</c:v>
                </c:pt>
                <c:pt idx="10">
                  <c:v>0.17447495961227788</c:v>
                </c:pt>
                <c:pt idx="11">
                  <c:v>0.16951788491446346</c:v>
                </c:pt>
              </c:numCache>
            </c:numRef>
          </c:val>
        </c:ser>
        <c:ser>
          <c:idx val="1"/>
          <c:order val="1"/>
          <c:tx>
            <c:v>ICP em relação a IS (percentual de interseções semaforizadas com pelo menos um foco de pedestres em relação ao total de intervenções semaforizadas)</c:v>
          </c:tx>
          <c:spPr>
            <a:solidFill>
              <a:sysClr val="window" lastClr="FFFFFF"/>
            </a:solidFill>
            <a:ln>
              <a:solidFill>
                <a:schemeClr val="tx1">
                  <a:lumMod val="75000"/>
                  <a:lumOff val="25000"/>
                </a:schemeClr>
              </a:solidFill>
            </a:ln>
          </c:spPr>
          <c:invertIfNegative val="0"/>
          <c:dLbls>
            <c:dLbl>
              <c:idx val="4"/>
              <c:layout>
                <c:manualLayout>
                  <c:x val="1.1497343319889892E-4"/>
                  <c:y val="8.9126559714795004E-4"/>
                </c:manualLayout>
              </c:layout>
              <c:showLegendKey val="0"/>
              <c:showVal val="1"/>
              <c:showCatName val="0"/>
              <c:showSerName val="0"/>
              <c:showPercent val="0"/>
              <c:showBubbleSize val="0"/>
            </c:dLbl>
            <c:txPr>
              <a:bodyPr/>
              <a:lstStyle/>
              <a:p>
                <a:pPr>
                  <a:defRPr sz="900" b="1"/>
                </a:pPr>
                <a:endParaRPr lang="pt-BR"/>
              </a:p>
            </c:txPr>
            <c:showLegendKey val="0"/>
            <c:showVal val="1"/>
            <c:showCatName val="0"/>
            <c:showSerName val="0"/>
            <c:showPercent val="0"/>
            <c:showBubbleSize val="0"/>
            <c:showLeaderLines val="0"/>
          </c:dLbls>
          <c:cat>
            <c:numRef>
              <c:f>para_graficos!$Y$3:$AJ$3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para_graficos!$Y$425:$AJ$425</c:f>
              <c:numCache>
                <c:formatCode>0%</c:formatCode>
                <c:ptCount val="12"/>
                <c:pt idx="0">
                  <c:v>0.73144876325088337</c:v>
                </c:pt>
                <c:pt idx="1">
                  <c:v>0.75083056478405319</c:v>
                </c:pt>
                <c:pt idx="2">
                  <c:v>0.76518883415435135</c:v>
                </c:pt>
                <c:pt idx="3">
                  <c:v>0.7665615141955836</c:v>
                </c:pt>
                <c:pt idx="4">
                  <c:v>0.77160493827160492</c:v>
                </c:pt>
                <c:pt idx="5">
                  <c:v>0.77627627627627627</c:v>
                </c:pt>
                <c:pt idx="6">
                  <c:v>0.78074074074074074</c:v>
                </c:pt>
                <c:pt idx="7">
                  <c:v>0.7858176555716353</c:v>
                </c:pt>
                <c:pt idx="8">
                  <c:v>0.78551532033426186</c:v>
                </c:pt>
                <c:pt idx="9">
                  <c:v>0.79407806191117092</c:v>
                </c:pt>
                <c:pt idx="10">
                  <c:v>0.8049414824447334</c:v>
                </c:pt>
                <c:pt idx="11">
                  <c:v>0.80074719800747196</c:v>
                </c:pt>
              </c:numCache>
            </c:numRef>
          </c:val>
        </c:ser>
        <c:dLbls>
          <c:showLegendKey val="0"/>
          <c:showVal val="0"/>
          <c:showCatName val="0"/>
          <c:showSerName val="0"/>
          <c:showPercent val="0"/>
          <c:showBubbleSize val="0"/>
        </c:dLbls>
        <c:gapWidth val="150"/>
        <c:axId val="138671232"/>
        <c:axId val="138672768"/>
      </c:barChart>
      <c:catAx>
        <c:axId val="138671232"/>
        <c:scaling>
          <c:orientation val="minMax"/>
        </c:scaling>
        <c:delete val="0"/>
        <c:axPos val="b"/>
        <c:numFmt formatCode="General" sourceLinked="1"/>
        <c:majorTickMark val="out"/>
        <c:minorTickMark val="none"/>
        <c:tickLblPos val="nextTo"/>
        <c:crossAx val="138672768"/>
        <c:crosses val="autoZero"/>
        <c:auto val="1"/>
        <c:lblAlgn val="ctr"/>
        <c:lblOffset val="100"/>
        <c:noMultiLvlLbl val="0"/>
      </c:catAx>
      <c:valAx>
        <c:axId val="138672768"/>
        <c:scaling>
          <c:orientation val="minMax"/>
        </c:scaling>
        <c:delete val="0"/>
        <c:axPos val="l"/>
        <c:numFmt formatCode="0%" sourceLinked="1"/>
        <c:majorTickMark val="out"/>
        <c:minorTickMark val="none"/>
        <c:tickLblPos val="nextTo"/>
        <c:crossAx val="138671232"/>
        <c:crosses val="autoZero"/>
        <c:crossBetween val="between"/>
      </c:valAx>
    </c:plotArea>
    <c:legend>
      <c:legendPos val="b"/>
      <c:layout>
        <c:manualLayout>
          <c:xMode val="edge"/>
          <c:yMode val="edge"/>
          <c:x val="2.2595480442993407E-2"/>
          <c:y val="0.84244814264950141"/>
          <c:w val="0.95968695986172459"/>
          <c:h val="0.13841310617661751"/>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LS (n.º total de locais semaforizados)</c:v>
          </c:tx>
          <c:spPr>
            <a:solidFill>
              <a:schemeClr val="bg1">
                <a:lumMod val="95000"/>
              </a:schemeClr>
            </a:solidFill>
            <a:ln>
              <a:solidFill>
                <a:schemeClr val="tx1">
                  <a:lumMod val="95000"/>
                  <a:lumOff val="5000"/>
                </a:schemeClr>
              </a:solidFill>
            </a:ln>
          </c:spPr>
          <c:invertIfNegative val="0"/>
          <c:dLbls>
            <c:txPr>
              <a:bodyPr/>
              <a:lstStyle/>
              <a:p>
                <a:pPr>
                  <a:defRPr sz="900" b="1"/>
                </a:pPr>
                <a:endParaRPr lang="pt-BR"/>
              </a:p>
            </c:txPr>
            <c:dLblPos val="inBase"/>
            <c:showLegendKey val="0"/>
            <c:showVal val="1"/>
            <c:showCatName val="0"/>
            <c:showSerName val="0"/>
            <c:showPercent val="0"/>
            <c:showBubbleSize val="0"/>
            <c:showLeaderLines val="0"/>
          </c:dLbls>
          <c:cat>
            <c:numRef>
              <c:f>para_graficos!$Y$3:$AJ$3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para_graficos!$Y$500:$AJ$500</c:f>
              <c:numCache>
                <c:formatCode>0</c:formatCode>
                <c:ptCount val="12"/>
                <c:pt idx="0">
                  <c:v>644</c:v>
                </c:pt>
                <c:pt idx="1">
                  <c:v>693</c:v>
                </c:pt>
                <c:pt idx="2">
                  <c:v>711</c:v>
                </c:pt>
                <c:pt idx="3">
                  <c:v>739</c:v>
                </c:pt>
                <c:pt idx="4">
                  <c:v>762</c:v>
                </c:pt>
                <c:pt idx="5">
                  <c:v>790</c:v>
                </c:pt>
                <c:pt idx="6">
                  <c:v>812</c:v>
                </c:pt>
                <c:pt idx="7">
                  <c:v>835</c:v>
                </c:pt>
                <c:pt idx="8">
                  <c:v>864</c:v>
                </c:pt>
                <c:pt idx="9">
                  <c:v>899</c:v>
                </c:pt>
                <c:pt idx="10">
                  <c:v>929</c:v>
                </c:pt>
                <c:pt idx="11">
                  <c:v>972</c:v>
                </c:pt>
              </c:numCache>
            </c:numRef>
          </c:val>
        </c:ser>
        <c:dLbls>
          <c:showLegendKey val="0"/>
          <c:showVal val="0"/>
          <c:showCatName val="0"/>
          <c:showSerName val="0"/>
          <c:showPercent val="0"/>
          <c:showBubbleSize val="0"/>
        </c:dLbls>
        <c:gapWidth val="150"/>
        <c:axId val="139056256"/>
        <c:axId val="139057792"/>
      </c:barChart>
      <c:lineChart>
        <c:grouping val="standard"/>
        <c:varyColors val="0"/>
        <c:ser>
          <c:idx val="1"/>
          <c:order val="1"/>
          <c:tx>
            <c:v>EEml (média anual do consumo mensal de energia elétrica por local semaforizado, em kWh/mês.local)</c:v>
          </c:tx>
          <c:spPr>
            <a:ln>
              <a:solidFill>
                <a:srgbClr val="0070C0"/>
              </a:solidFill>
            </a:ln>
          </c:spPr>
          <c:marker>
            <c:symbol val="square"/>
            <c:size val="7"/>
            <c:spPr>
              <a:solidFill>
                <a:schemeClr val="bg1">
                  <a:lumMod val="75000"/>
                </a:schemeClr>
              </a:solidFill>
              <a:ln>
                <a:solidFill>
                  <a:schemeClr val="tx1">
                    <a:lumMod val="75000"/>
                    <a:lumOff val="25000"/>
                  </a:schemeClr>
                </a:solidFill>
              </a:ln>
            </c:spPr>
          </c:marker>
          <c:dLbls>
            <c:dLbl>
              <c:idx val="4"/>
              <c:layout>
                <c:manualLayout>
                  <c:x val="-2.915326705634912E-2"/>
                  <c:y val="-6.684491978609626E-2"/>
                </c:manualLayout>
              </c:layout>
              <c:dLblPos val="r"/>
              <c:showLegendKey val="0"/>
              <c:showVal val="1"/>
              <c:showCatName val="0"/>
              <c:showSerName val="0"/>
              <c:showPercent val="0"/>
              <c:showBubbleSize val="0"/>
            </c:dLbl>
            <c:txPr>
              <a:bodyPr/>
              <a:lstStyle/>
              <a:p>
                <a:pPr>
                  <a:defRPr sz="900" b="1"/>
                </a:pPr>
                <a:endParaRPr lang="pt-BR"/>
              </a:p>
            </c:txPr>
            <c:dLblPos val="t"/>
            <c:showLegendKey val="0"/>
            <c:showVal val="1"/>
            <c:showCatName val="0"/>
            <c:showSerName val="0"/>
            <c:showPercent val="0"/>
            <c:showBubbleSize val="0"/>
            <c:showLeaderLines val="0"/>
          </c:dLbls>
          <c:cat>
            <c:numRef>
              <c:f>para_graficos!$Y$3:$AJ$3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para_graficos!$Y$237:$AJ$237</c:f>
              <c:numCache>
                <c:formatCode>#,##0</c:formatCode>
                <c:ptCount val="12"/>
                <c:pt idx="2" formatCode="0">
                  <c:v>512.29631105437909</c:v>
                </c:pt>
                <c:pt idx="3" formatCode="0">
                  <c:v>492.65458220562999</c:v>
                </c:pt>
                <c:pt idx="4" formatCode="0">
                  <c:v>425</c:v>
                </c:pt>
                <c:pt idx="5" formatCode="0">
                  <c:v>411.81204045310074</c:v>
                </c:pt>
                <c:pt idx="6" formatCode="0">
                  <c:v>407.05349690191775</c:v>
                </c:pt>
                <c:pt idx="7" formatCode="0">
                  <c:v>402.91712683443058</c:v>
                </c:pt>
                <c:pt idx="8" formatCode="0">
                  <c:v>294</c:v>
                </c:pt>
                <c:pt idx="9" formatCode="0">
                  <c:v>125.05953729352912</c:v>
                </c:pt>
                <c:pt idx="10" formatCode="0">
                  <c:v>103.56469562162511</c:v>
                </c:pt>
                <c:pt idx="11" formatCode="0">
                  <c:v>98.263181961660578</c:v>
                </c:pt>
              </c:numCache>
            </c:numRef>
          </c:val>
          <c:smooth val="0"/>
        </c:ser>
        <c:dLbls>
          <c:showLegendKey val="0"/>
          <c:showVal val="0"/>
          <c:showCatName val="0"/>
          <c:showSerName val="0"/>
          <c:showPercent val="0"/>
          <c:showBubbleSize val="0"/>
        </c:dLbls>
        <c:marker val="1"/>
        <c:smooth val="0"/>
        <c:axId val="139074176"/>
        <c:axId val="139072256"/>
      </c:lineChart>
      <c:catAx>
        <c:axId val="139056256"/>
        <c:scaling>
          <c:orientation val="minMax"/>
        </c:scaling>
        <c:delete val="0"/>
        <c:axPos val="b"/>
        <c:numFmt formatCode="General" sourceLinked="1"/>
        <c:majorTickMark val="out"/>
        <c:minorTickMark val="none"/>
        <c:tickLblPos val="nextTo"/>
        <c:crossAx val="139057792"/>
        <c:crosses val="autoZero"/>
        <c:auto val="1"/>
        <c:lblAlgn val="ctr"/>
        <c:lblOffset val="100"/>
        <c:noMultiLvlLbl val="0"/>
      </c:catAx>
      <c:valAx>
        <c:axId val="139057792"/>
        <c:scaling>
          <c:orientation val="minMax"/>
        </c:scaling>
        <c:delete val="0"/>
        <c:axPos val="l"/>
        <c:title>
          <c:tx>
            <c:rich>
              <a:bodyPr rot="0" vert="horz"/>
              <a:lstStyle/>
              <a:p>
                <a:pPr>
                  <a:defRPr/>
                </a:pPr>
                <a:r>
                  <a:rPr lang="en-US"/>
                  <a:t>LS</a:t>
                </a:r>
              </a:p>
            </c:rich>
          </c:tx>
          <c:overlay val="0"/>
        </c:title>
        <c:numFmt formatCode="0" sourceLinked="1"/>
        <c:majorTickMark val="out"/>
        <c:minorTickMark val="none"/>
        <c:tickLblPos val="nextTo"/>
        <c:crossAx val="139056256"/>
        <c:crosses val="autoZero"/>
        <c:crossBetween val="between"/>
      </c:valAx>
      <c:valAx>
        <c:axId val="139072256"/>
        <c:scaling>
          <c:orientation val="minMax"/>
        </c:scaling>
        <c:delete val="0"/>
        <c:axPos val="r"/>
        <c:title>
          <c:tx>
            <c:rich>
              <a:bodyPr rot="0" vert="horz"/>
              <a:lstStyle/>
              <a:p>
                <a:pPr>
                  <a:defRPr/>
                </a:pPr>
                <a:r>
                  <a:rPr lang="en-US"/>
                  <a:t>EEml</a:t>
                </a:r>
              </a:p>
            </c:rich>
          </c:tx>
          <c:overlay val="0"/>
        </c:title>
        <c:numFmt formatCode="#,##0" sourceLinked="1"/>
        <c:majorTickMark val="out"/>
        <c:minorTickMark val="none"/>
        <c:tickLblPos val="nextTo"/>
        <c:crossAx val="139074176"/>
        <c:crosses val="max"/>
        <c:crossBetween val="between"/>
      </c:valAx>
      <c:catAx>
        <c:axId val="139074176"/>
        <c:scaling>
          <c:orientation val="minMax"/>
        </c:scaling>
        <c:delete val="1"/>
        <c:axPos val="b"/>
        <c:numFmt formatCode="General" sourceLinked="1"/>
        <c:majorTickMark val="out"/>
        <c:minorTickMark val="none"/>
        <c:tickLblPos val="nextTo"/>
        <c:crossAx val="139072256"/>
        <c:crosses val="autoZero"/>
        <c:auto val="1"/>
        <c:lblAlgn val="ctr"/>
        <c:lblOffset val="100"/>
        <c:noMultiLvlLbl val="0"/>
      </c:cat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0"/>
          <c:spPr>
            <a:solidFill>
              <a:schemeClr val="bg1">
                <a:lumMod val="85000"/>
              </a:schemeClr>
            </a:solidFill>
            <a:ln>
              <a:solidFill>
                <a:schemeClr val="tx1">
                  <a:lumMod val="50000"/>
                  <a:lumOff val="50000"/>
                </a:schemeClr>
              </a:solidFill>
            </a:ln>
          </c:spPr>
          <c:invertIfNegative val="0"/>
          <c:dPt>
            <c:idx val="0"/>
            <c:invertIfNegative val="0"/>
            <c:bubble3D val="0"/>
            <c:spPr>
              <a:solidFill>
                <a:schemeClr val="accent6">
                  <a:lumMod val="75000"/>
                </a:schemeClr>
              </a:solidFill>
              <a:ln>
                <a:solidFill>
                  <a:schemeClr val="tx1">
                    <a:lumMod val="50000"/>
                    <a:lumOff val="50000"/>
                  </a:schemeClr>
                </a:solidFill>
              </a:ln>
            </c:spPr>
          </c:dPt>
          <c:dPt>
            <c:idx val="2"/>
            <c:invertIfNegative val="0"/>
            <c:bubble3D val="0"/>
            <c:spPr>
              <a:solidFill>
                <a:schemeClr val="accent6">
                  <a:lumMod val="75000"/>
                </a:schemeClr>
              </a:solidFill>
              <a:ln>
                <a:solidFill>
                  <a:schemeClr val="tx1">
                    <a:lumMod val="50000"/>
                    <a:lumOff val="50000"/>
                  </a:schemeClr>
                </a:solidFill>
              </a:ln>
            </c:spPr>
          </c:dPt>
          <c:dPt>
            <c:idx val="6"/>
            <c:invertIfNegative val="0"/>
            <c:bubble3D val="0"/>
            <c:spPr>
              <a:solidFill>
                <a:schemeClr val="accent6">
                  <a:lumMod val="75000"/>
                </a:schemeClr>
              </a:solidFill>
              <a:ln>
                <a:solidFill>
                  <a:schemeClr val="tx1">
                    <a:lumMod val="50000"/>
                    <a:lumOff val="50000"/>
                  </a:schemeClr>
                </a:solidFill>
              </a:ln>
            </c:spPr>
          </c:dPt>
          <c:dPt>
            <c:idx val="7"/>
            <c:invertIfNegative val="0"/>
            <c:bubble3D val="0"/>
            <c:spPr>
              <a:solidFill>
                <a:schemeClr val="accent6">
                  <a:lumMod val="75000"/>
                </a:schemeClr>
              </a:solidFill>
              <a:ln>
                <a:solidFill>
                  <a:schemeClr val="tx1">
                    <a:lumMod val="50000"/>
                    <a:lumOff val="50000"/>
                  </a:schemeClr>
                </a:solidFill>
              </a:ln>
            </c:spPr>
          </c:dPt>
          <c:dPt>
            <c:idx val="8"/>
            <c:invertIfNegative val="0"/>
            <c:bubble3D val="0"/>
            <c:spPr>
              <a:solidFill>
                <a:schemeClr val="accent6">
                  <a:lumMod val="75000"/>
                </a:schemeClr>
              </a:solidFill>
              <a:ln>
                <a:solidFill>
                  <a:schemeClr val="tx1">
                    <a:lumMod val="50000"/>
                    <a:lumOff val="50000"/>
                  </a:schemeClr>
                </a:solidFill>
              </a:ln>
            </c:spPr>
          </c:dPt>
          <c:dPt>
            <c:idx val="15"/>
            <c:invertIfNegative val="0"/>
            <c:bubble3D val="0"/>
            <c:spPr>
              <a:solidFill>
                <a:schemeClr val="accent6">
                  <a:lumMod val="75000"/>
                </a:schemeClr>
              </a:solidFill>
              <a:ln>
                <a:solidFill>
                  <a:schemeClr val="tx1">
                    <a:lumMod val="50000"/>
                    <a:lumOff val="50000"/>
                  </a:schemeClr>
                </a:solidFill>
              </a:ln>
            </c:spPr>
          </c:dPt>
          <c:dPt>
            <c:idx val="16"/>
            <c:invertIfNegative val="0"/>
            <c:bubble3D val="0"/>
            <c:spPr>
              <a:solidFill>
                <a:schemeClr val="accent6">
                  <a:lumMod val="75000"/>
                </a:schemeClr>
              </a:solidFill>
              <a:ln>
                <a:solidFill>
                  <a:schemeClr val="tx1">
                    <a:lumMod val="50000"/>
                    <a:lumOff val="50000"/>
                  </a:schemeClr>
                </a:solidFill>
              </a:ln>
            </c:spPr>
          </c:dPt>
          <c:dPt>
            <c:idx val="21"/>
            <c:invertIfNegative val="0"/>
            <c:bubble3D val="0"/>
            <c:spPr>
              <a:solidFill>
                <a:schemeClr val="accent6">
                  <a:lumMod val="75000"/>
                </a:schemeClr>
              </a:solidFill>
              <a:ln>
                <a:solidFill>
                  <a:schemeClr val="tx1">
                    <a:lumMod val="50000"/>
                    <a:lumOff val="50000"/>
                  </a:schemeClr>
                </a:solidFill>
              </a:ln>
            </c:spPr>
          </c:dPt>
          <c:dPt>
            <c:idx val="22"/>
            <c:invertIfNegative val="0"/>
            <c:bubble3D val="0"/>
            <c:spPr>
              <a:solidFill>
                <a:schemeClr val="accent6">
                  <a:lumMod val="75000"/>
                </a:schemeClr>
              </a:solidFill>
              <a:ln>
                <a:solidFill>
                  <a:schemeClr val="tx1">
                    <a:lumMod val="50000"/>
                    <a:lumOff val="50000"/>
                  </a:schemeClr>
                </a:solidFill>
              </a:ln>
            </c:spPr>
          </c:dPt>
          <c:dLbls>
            <c:txPr>
              <a:bodyPr/>
              <a:lstStyle/>
              <a:p>
                <a:pPr>
                  <a:defRPr b="1">
                    <a:solidFill>
                      <a:sysClr val="windowText" lastClr="000000"/>
                    </a:solidFill>
                  </a:defRPr>
                </a:pPr>
                <a:endParaRPr lang="pt-BR"/>
              </a:p>
            </c:txPr>
            <c:showLegendKey val="0"/>
            <c:showVal val="1"/>
            <c:showCatName val="0"/>
            <c:showSerName val="0"/>
            <c:showPercent val="0"/>
            <c:showBubbleSize val="0"/>
            <c:showLeaderLines val="0"/>
          </c:dLbls>
          <c:cat>
            <c:strRef>
              <c:f>(para_graficos!$BE$446:$BE$460,para_graficos!$BE$462:$BE$467,para_graficos!$BE$478,para_graficos!$BE$502)</c:f>
              <c:strCache>
                <c:ptCount val="23"/>
                <c:pt idx="0">
                  <c:v>AM-Belo Horizonte</c:v>
                </c:pt>
                <c:pt idx="1">
                  <c:v>AM-Bogotá</c:v>
                </c:pt>
                <c:pt idx="2">
                  <c:v>AM-Buenos Aires</c:v>
                </c:pt>
                <c:pt idx="3">
                  <c:v>AM-Caracas</c:v>
                </c:pt>
                <c:pt idx="4">
                  <c:v>AM-Ciudad de México</c:v>
                </c:pt>
                <c:pt idx="5">
                  <c:v>AM-Curitiba</c:v>
                </c:pt>
                <c:pt idx="6">
                  <c:v>AM-Guadalajara</c:v>
                </c:pt>
                <c:pt idx="7">
                  <c:v>AM-León</c:v>
                </c:pt>
                <c:pt idx="8">
                  <c:v>AM-Lima</c:v>
                </c:pt>
                <c:pt idx="9">
                  <c:v>AM-Montevideo</c:v>
                </c:pt>
                <c:pt idx="10">
                  <c:v>AM-Porto Alegre</c:v>
                </c:pt>
                <c:pt idx="11">
                  <c:v>AM-Río de Janeiro</c:v>
                </c:pt>
                <c:pt idx="12">
                  <c:v>AM-San José</c:v>
                </c:pt>
                <c:pt idx="13">
                  <c:v>AM-Santiago</c:v>
                </c:pt>
                <c:pt idx="14">
                  <c:v>AM-São Paulo</c:v>
                </c:pt>
                <c:pt idx="15">
                  <c:v>Brasil &gt; 1 milhão</c:v>
                </c:pt>
                <c:pt idx="16">
                  <c:v>Brasil de 501 mil a 1 milhão</c:v>
                </c:pt>
                <c:pt idx="17">
                  <c:v>Brasil de 251 a 500 mil</c:v>
                </c:pt>
                <c:pt idx="18">
                  <c:v>Brasil de 100 a 250 mil </c:v>
                </c:pt>
                <c:pt idx="19">
                  <c:v>Brasil de 60 a 100 mil</c:v>
                </c:pt>
                <c:pt idx="20">
                  <c:v>Brasil</c:v>
                </c:pt>
                <c:pt idx="21">
                  <c:v>IS/P em BH</c:v>
                </c:pt>
                <c:pt idx="22">
                  <c:v>LS/P em BH</c:v>
                </c:pt>
              </c:strCache>
            </c:strRef>
          </c:cat>
          <c:val>
            <c:numRef>
              <c:f>(para_graficos!$AC$446:$AC$460,para_graficos!$AC$462:$AC$467,para_graficos!$AC$478,para_graficos!$AC$502)</c:f>
              <c:numCache>
                <c:formatCode>0</c:formatCode>
                <c:ptCount val="23"/>
                <c:pt idx="0">
                  <c:v>244.21229355941603</c:v>
                </c:pt>
                <c:pt idx="1">
                  <c:v>143.53350868364944</c:v>
                </c:pt>
                <c:pt idx="2">
                  <c:v>542.69252827710727</c:v>
                </c:pt>
                <c:pt idx="3">
                  <c:v>157.95796025319132</c:v>
                </c:pt>
                <c:pt idx="4">
                  <c:v>158.83650183394829</c:v>
                </c:pt>
                <c:pt idx="5">
                  <c:v>388.51364288633607</c:v>
                </c:pt>
                <c:pt idx="6">
                  <c:v>297.16180757584311</c:v>
                </c:pt>
                <c:pt idx="7">
                  <c:v>324.92593599988237</c:v>
                </c:pt>
                <c:pt idx="8">
                  <c:v>117.41656674666162</c:v>
                </c:pt>
                <c:pt idx="9">
                  <c:v>377.08300652806105</c:v>
                </c:pt>
                <c:pt idx="10">
                  <c:v>381.44930799642066</c:v>
                </c:pt>
                <c:pt idx="11">
                  <c:v>344.54674095080685</c:v>
                </c:pt>
                <c:pt idx="12">
                  <c:v>322.48614280929723</c:v>
                </c:pt>
                <c:pt idx="13">
                  <c:v>364.30047436889498</c:v>
                </c:pt>
                <c:pt idx="14">
                  <c:v>402.58418372276867</c:v>
                </c:pt>
                <c:pt idx="15" formatCode="General">
                  <c:v>385</c:v>
                </c:pt>
                <c:pt idx="16" formatCode="General">
                  <c:v>301</c:v>
                </c:pt>
                <c:pt idx="17" formatCode="General">
                  <c:v>201</c:v>
                </c:pt>
                <c:pt idx="18" formatCode="General">
                  <c:v>161</c:v>
                </c:pt>
                <c:pt idx="19" formatCode="General">
                  <c:v>135</c:v>
                </c:pt>
                <c:pt idx="20" formatCode="General">
                  <c:v>261</c:v>
                </c:pt>
                <c:pt idx="21">
                  <c:v>268.55239071720484</c:v>
                </c:pt>
                <c:pt idx="22">
                  <c:v>315.79771871375004</c:v>
                </c:pt>
              </c:numCache>
            </c:numRef>
          </c:val>
        </c:ser>
        <c:dLbls>
          <c:showLegendKey val="0"/>
          <c:showVal val="0"/>
          <c:showCatName val="0"/>
          <c:showSerName val="0"/>
          <c:showPercent val="0"/>
          <c:showBubbleSize val="0"/>
        </c:dLbls>
        <c:gapWidth val="150"/>
        <c:axId val="139119232"/>
        <c:axId val="139121024"/>
      </c:barChart>
      <c:catAx>
        <c:axId val="139119232"/>
        <c:scaling>
          <c:orientation val="minMax"/>
        </c:scaling>
        <c:delete val="0"/>
        <c:axPos val="b"/>
        <c:majorTickMark val="out"/>
        <c:minorTickMark val="none"/>
        <c:tickLblPos val="nextTo"/>
        <c:crossAx val="139121024"/>
        <c:crosses val="autoZero"/>
        <c:auto val="1"/>
        <c:lblAlgn val="ctr"/>
        <c:lblOffset val="100"/>
        <c:noMultiLvlLbl val="0"/>
      </c:catAx>
      <c:valAx>
        <c:axId val="139121024"/>
        <c:scaling>
          <c:orientation val="minMax"/>
        </c:scaling>
        <c:delete val="0"/>
        <c:axPos val="l"/>
        <c:title>
          <c:tx>
            <c:rich>
              <a:bodyPr rot="-5400000" vert="horz"/>
              <a:lstStyle/>
              <a:p>
                <a:pPr>
                  <a:defRPr/>
                </a:pPr>
                <a:r>
                  <a:rPr lang="en-US"/>
                  <a:t>n.º de interseções semafóricas ou intersecciones con semáforos ou interseções/locais semaforizados</a:t>
                </a:r>
              </a:p>
              <a:p>
                <a:pPr>
                  <a:defRPr/>
                </a:pPr>
                <a:r>
                  <a:rPr lang="en-US"/>
                  <a:t>(por milhão de habitantes)</a:t>
                </a:r>
              </a:p>
            </c:rich>
          </c:tx>
          <c:overlay val="0"/>
        </c:title>
        <c:numFmt formatCode="0" sourceLinked="1"/>
        <c:majorTickMark val="out"/>
        <c:minorTickMark val="none"/>
        <c:tickLblPos val="nextTo"/>
        <c:crossAx val="139119232"/>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95000"/>
              </a:schemeClr>
            </a:solidFill>
            <a:ln>
              <a:solidFill>
                <a:schemeClr val="tx1">
                  <a:lumMod val="95000"/>
                  <a:lumOff val="5000"/>
                </a:schemeClr>
              </a:solidFill>
            </a:ln>
          </c:spPr>
          <c:invertIfNegative val="0"/>
          <c:dPt>
            <c:idx val="14"/>
            <c:invertIfNegative val="0"/>
            <c:bubble3D val="0"/>
            <c:spPr>
              <a:solidFill>
                <a:srgbClr val="0070C0"/>
              </a:solidFill>
              <a:ln>
                <a:solidFill>
                  <a:schemeClr val="tx1">
                    <a:lumMod val="95000"/>
                    <a:lumOff val="5000"/>
                  </a:schemeClr>
                </a:solidFill>
              </a:ln>
            </c:spPr>
          </c:dPt>
          <c:dLbls>
            <c:dLbl>
              <c:idx val="0"/>
              <c:layout>
                <c:manualLayout>
                  <c:x val="0"/>
                  <c:y val="-2.7777777777777776E-2"/>
                </c:manualLayout>
              </c:layout>
              <c:showLegendKey val="0"/>
              <c:showVal val="1"/>
              <c:showCatName val="0"/>
              <c:showSerName val="0"/>
              <c:showPercent val="0"/>
              <c:showBubbleSize val="0"/>
            </c:dLbl>
            <c:dLbl>
              <c:idx val="14"/>
              <c:layout>
                <c:manualLayout>
                  <c:x val="0"/>
                  <c:y val="9.2592592592592587E-3"/>
                </c:manualLayout>
              </c:layout>
              <c:showLegendKey val="0"/>
              <c:showVal val="1"/>
              <c:showCatName val="0"/>
              <c:showSerName val="0"/>
              <c:showPercent val="0"/>
              <c:showBubbleSize val="0"/>
            </c:dLbl>
            <c:dLbl>
              <c:idx val="33"/>
              <c:showLegendKey val="0"/>
              <c:showVal val="1"/>
              <c:showCatName val="0"/>
              <c:showSerName val="0"/>
              <c:showPercent val="0"/>
              <c:showBubbleSize val="0"/>
            </c:dLbl>
            <c:txPr>
              <a:bodyPr/>
              <a:lstStyle/>
              <a:p>
                <a:pPr>
                  <a:defRPr sz="900" b="1"/>
                </a:pPr>
                <a:endParaRPr lang="pt-BR"/>
              </a:p>
            </c:txPr>
            <c:showLegendKey val="0"/>
            <c:showVal val="0"/>
            <c:showCatName val="0"/>
            <c:showSerName val="0"/>
            <c:showPercent val="0"/>
            <c:showBubbleSize val="0"/>
          </c:dLbls>
          <c:cat>
            <c:strRef>
              <c:f>base_bench!$A$119:$A$152</c:f>
              <c:strCache>
                <c:ptCount val="34"/>
                <c:pt idx="0">
                  <c:v>Ribeirão das Neves</c:v>
                </c:pt>
                <c:pt idx="1">
                  <c:v>Ibirité</c:v>
                </c:pt>
                <c:pt idx="2">
                  <c:v>Sarzedo</c:v>
                </c:pt>
                <c:pt idx="3">
                  <c:v>Santa Luzia</c:v>
                </c:pt>
                <c:pt idx="4">
                  <c:v>Esmeraldas</c:v>
                </c:pt>
                <c:pt idx="5">
                  <c:v>Raposos</c:v>
                </c:pt>
                <c:pt idx="6">
                  <c:v>Vespasiano</c:v>
                </c:pt>
                <c:pt idx="7">
                  <c:v>Mário Campos</c:v>
                </c:pt>
                <c:pt idx="8">
                  <c:v>Sabará</c:v>
                </c:pt>
                <c:pt idx="9">
                  <c:v>Rio Acima</c:v>
                </c:pt>
                <c:pt idx="10">
                  <c:v>Caeté</c:v>
                </c:pt>
                <c:pt idx="11">
                  <c:v>Contagem</c:v>
                </c:pt>
                <c:pt idx="12">
                  <c:v>Betim</c:v>
                </c:pt>
                <c:pt idx="13">
                  <c:v>Nova Lima</c:v>
                </c:pt>
                <c:pt idx="14">
                  <c:v>Belo Horizonte</c:v>
                </c:pt>
                <c:pt idx="15">
                  <c:v>São José da Lapa</c:v>
                </c:pt>
                <c:pt idx="16">
                  <c:v>Igarapé</c:v>
                </c:pt>
                <c:pt idx="17">
                  <c:v>Brumadinho</c:v>
                </c:pt>
                <c:pt idx="18">
                  <c:v>Lagoa Santa</c:v>
                </c:pt>
                <c:pt idx="19">
                  <c:v>Pedro Leopoldo</c:v>
                </c:pt>
                <c:pt idx="20">
                  <c:v>São Joaquim de Bicas</c:v>
                </c:pt>
                <c:pt idx="21">
                  <c:v>Juatuba</c:v>
                </c:pt>
                <c:pt idx="22">
                  <c:v>Nova União</c:v>
                </c:pt>
                <c:pt idx="23">
                  <c:v>Baldim</c:v>
                </c:pt>
                <c:pt idx="24">
                  <c:v>Jaboticatubas</c:v>
                </c:pt>
                <c:pt idx="25">
                  <c:v>Capim Branco</c:v>
                </c:pt>
                <c:pt idx="26">
                  <c:v>Matozinhos</c:v>
                </c:pt>
                <c:pt idx="27">
                  <c:v>Florestal</c:v>
                </c:pt>
                <c:pt idx="28">
                  <c:v>Mateus Leme</c:v>
                </c:pt>
                <c:pt idx="29">
                  <c:v>Rio Manso</c:v>
                </c:pt>
                <c:pt idx="30">
                  <c:v>Taquaraçu de Minas</c:v>
                </c:pt>
                <c:pt idx="31">
                  <c:v>Itatiaiuçu</c:v>
                </c:pt>
                <c:pt idx="32">
                  <c:v>Confins</c:v>
                </c:pt>
                <c:pt idx="33">
                  <c:v>Itaguara</c:v>
                </c:pt>
              </c:strCache>
            </c:strRef>
          </c:cat>
          <c:val>
            <c:numRef>
              <c:f>base_bench!$B$119:$B$152</c:f>
              <c:numCache>
                <c:formatCode>0.000</c:formatCode>
                <c:ptCount val="34"/>
                <c:pt idx="0">
                  <c:v>0.22800000000000001</c:v>
                </c:pt>
                <c:pt idx="1">
                  <c:v>0.33100000000000002</c:v>
                </c:pt>
                <c:pt idx="2">
                  <c:v>0.40400000000000003</c:v>
                </c:pt>
                <c:pt idx="3">
                  <c:v>0.441</c:v>
                </c:pt>
                <c:pt idx="4">
                  <c:v>0.44500000000000001</c:v>
                </c:pt>
                <c:pt idx="5">
                  <c:v>0.46100000000000002</c:v>
                </c:pt>
                <c:pt idx="6">
                  <c:v>0.503</c:v>
                </c:pt>
                <c:pt idx="7">
                  <c:v>0.55200000000000005</c:v>
                </c:pt>
                <c:pt idx="8">
                  <c:v>0.58599999999999997</c:v>
                </c:pt>
                <c:pt idx="9">
                  <c:v>0.60599999999999998</c:v>
                </c:pt>
                <c:pt idx="10">
                  <c:v>0.61</c:v>
                </c:pt>
                <c:pt idx="11">
                  <c:v>0.63800000000000001</c:v>
                </c:pt>
                <c:pt idx="12">
                  <c:v>0.67800000000000005</c:v>
                </c:pt>
                <c:pt idx="13">
                  <c:v>0.68300000000000005</c:v>
                </c:pt>
                <c:pt idx="14">
                  <c:v>0.69099999999999995</c:v>
                </c:pt>
                <c:pt idx="15">
                  <c:v>0.69299999999999995</c:v>
                </c:pt>
                <c:pt idx="16">
                  <c:v>0.754</c:v>
                </c:pt>
                <c:pt idx="17">
                  <c:v>0.78200000000000003</c:v>
                </c:pt>
                <c:pt idx="18">
                  <c:v>0.78800000000000003</c:v>
                </c:pt>
                <c:pt idx="19">
                  <c:v>0.8</c:v>
                </c:pt>
                <c:pt idx="20">
                  <c:v>0.8</c:v>
                </c:pt>
                <c:pt idx="21">
                  <c:v>0.84099999999999997</c:v>
                </c:pt>
                <c:pt idx="22">
                  <c:v>0.86699999999999999</c:v>
                </c:pt>
                <c:pt idx="23">
                  <c:v>0.86799999999999999</c:v>
                </c:pt>
                <c:pt idx="24">
                  <c:v>0.87</c:v>
                </c:pt>
                <c:pt idx="25">
                  <c:v>0.88</c:v>
                </c:pt>
                <c:pt idx="26">
                  <c:v>0.88700000000000001</c:v>
                </c:pt>
                <c:pt idx="27">
                  <c:v>0.89</c:v>
                </c:pt>
                <c:pt idx="28">
                  <c:v>0.89200000000000002</c:v>
                </c:pt>
                <c:pt idx="29">
                  <c:v>0.92800000000000005</c:v>
                </c:pt>
                <c:pt idx="30">
                  <c:v>0.94</c:v>
                </c:pt>
                <c:pt idx="31">
                  <c:v>0.94699999999999995</c:v>
                </c:pt>
                <c:pt idx="32">
                  <c:v>0.95899999999999996</c:v>
                </c:pt>
                <c:pt idx="33">
                  <c:v>0.96699999999999997</c:v>
                </c:pt>
              </c:numCache>
            </c:numRef>
          </c:val>
        </c:ser>
        <c:dLbls>
          <c:showLegendKey val="0"/>
          <c:showVal val="0"/>
          <c:showCatName val="0"/>
          <c:showSerName val="0"/>
          <c:showPercent val="0"/>
          <c:showBubbleSize val="0"/>
        </c:dLbls>
        <c:gapWidth val="150"/>
        <c:axId val="138757248"/>
        <c:axId val="138758784"/>
      </c:barChart>
      <c:catAx>
        <c:axId val="138757248"/>
        <c:scaling>
          <c:orientation val="minMax"/>
        </c:scaling>
        <c:delete val="0"/>
        <c:axPos val="b"/>
        <c:majorTickMark val="out"/>
        <c:minorTickMark val="none"/>
        <c:tickLblPos val="nextTo"/>
        <c:crossAx val="138758784"/>
        <c:crosses val="autoZero"/>
        <c:auto val="1"/>
        <c:lblAlgn val="ctr"/>
        <c:lblOffset val="100"/>
        <c:noMultiLvlLbl val="0"/>
      </c:catAx>
      <c:valAx>
        <c:axId val="138758784"/>
        <c:scaling>
          <c:orientation val="minMax"/>
          <c:max val="1"/>
        </c:scaling>
        <c:delete val="0"/>
        <c:axPos val="l"/>
        <c:majorGridlines/>
        <c:title>
          <c:tx>
            <c:rich>
              <a:bodyPr rot="-5400000" vert="horz"/>
              <a:lstStyle/>
              <a:p>
                <a:pPr>
                  <a:defRPr/>
                </a:pPr>
                <a:r>
                  <a:rPr lang="en-US"/>
                  <a:t>ibeu(D1)</a:t>
                </a:r>
              </a:p>
            </c:rich>
          </c:tx>
          <c:overlay val="0"/>
        </c:title>
        <c:numFmt formatCode="0.000" sourceLinked="1"/>
        <c:majorTickMark val="out"/>
        <c:minorTickMark val="none"/>
        <c:tickLblPos val="nextTo"/>
        <c:crossAx val="138757248"/>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95000"/>
              </a:schemeClr>
            </a:solidFill>
            <a:ln>
              <a:solidFill>
                <a:schemeClr val="tx1">
                  <a:lumMod val="95000"/>
                  <a:lumOff val="5000"/>
                </a:schemeClr>
              </a:solidFill>
            </a:ln>
          </c:spPr>
          <c:invertIfNegative val="0"/>
          <c:dPt>
            <c:idx val="2"/>
            <c:invertIfNegative val="0"/>
            <c:bubble3D val="0"/>
            <c:spPr>
              <a:solidFill>
                <a:srgbClr val="0070C0"/>
              </a:solidFill>
              <a:ln>
                <a:solidFill>
                  <a:schemeClr val="tx1">
                    <a:lumMod val="95000"/>
                    <a:lumOff val="5000"/>
                  </a:schemeClr>
                </a:solidFill>
              </a:ln>
            </c:spPr>
          </c:dPt>
          <c:dPt>
            <c:idx val="9"/>
            <c:invertIfNegative val="0"/>
            <c:bubble3D val="0"/>
            <c:spPr>
              <a:solidFill>
                <a:srgbClr val="0070C0"/>
              </a:solidFill>
              <a:ln>
                <a:solidFill>
                  <a:schemeClr val="tx1">
                    <a:lumMod val="95000"/>
                    <a:lumOff val="5000"/>
                  </a:schemeClr>
                </a:solidFill>
              </a:ln>
            </c:spPr>
          </c:dPt>
          <c:dLbls>
            <c:txPr>
              <a:bodyPr/>
              <a:lstStyle/>
              <a:p>
                <a:pPr>
                  <a:defRPr b="1"/>
                </a:pPr>
                <a:endParaRPr lang="pt-BR"/>
              </a:p>
            </c:txPr>
            <c:showLegendKey val="0"/>
            <c:showVal val="1"/>
            <c:showCatName val="0"/>
            <c:showSerName val="0"/>
            <c:showPercent val="0"/>
            <c:showBubbleSize val="0"/>
            <c:showLeaderLines val="0"/>
          </c:dLbls>
          <c:cat>
            <c:strRef>
              <c:f>(base_bench!$A$157:$A$164,base_bench!$A$166:$A$173)</c:f>
              <c:strCache>
                <c:ptCount val="16"/>
                <c:pt idx="0">
                  <c:v>São Paulo (SP)</c:v>
                </c:pt>
                <c:pt idx="1">
                  <c:v>Salvador (BA)</c:v>
                </c:pt>
                <c:pt idx="2">
                  <c:v>Belo Horizonte (MG)</c:v>
                </c:pt>
                <c:pt idx="3">
                  <c:v>Brasília (DF)</c:v>
                </c:pt>
                <c:pt idx="4">
                  <c:v>Fortaleza (CE)</c:v>
                </c:pt>
                <c:pt idx="5">
                  <c:v>Recife (PE)</c:v>
                </c:pt>
                <c:pt idx="6">
                  <c:v>Curitiba (PR)</c:v>
                </c:pt>
                <c:pt idx="7">
                  <c:v>Porto Alegre (RS)</c:v>
                </c:pt>
                <c:pt idx="8">
                  <c:v>RMSP</c:v>
                </c:pt>
                <c:pt idx="9">
                  <c:v>RMBH</c:v>
                </c:pt>
                <c:pt idx="10">
                  <c:v>RIDE-DF</c:v>
                </c:pt>
                <c:pt idx="11">
                  <c:v>RM Salvador</c:v>
                </c:pt>
                <c:pt idx="12">
                  <c:v>RM Recife</c:v>
                </c:pt>
                <c:pt idx="13">
                  <c:v>RM Curitiba</c:v>
                </c:pt>
                <c:pt idx="14">
                  <c:v>RM Porto Alegre</c:v>
                </c:pt>
                <c:pt idx="15">
                  <c:v>RM Fortaleza</c:v>
                </c:pt>
              </c:strCache>
            </c:strRef>
          </c:cat>
          <c:val>
            <c:numRef>
              <c:f>(base_bench!$B$157:$B$164,base_bench!$B$166:$B$173)</c:f>
              <c:numCache>
                <c:formatCode>General</c:formatCode>
                <c:ptCount val="16"/>
                <c:pt idx="0">
                  <c:v>0.42799999999999999</c:v>
                </c:pt>
                <c:pt idx="1">
                  <c:v>0.60099999999999998</c:v>
                </c:pt>
                <c:pt idx="2">
                  <c:v>0.69099999999999995</c:v>
                </c:pt>
                <c:pt idx="3">
                  <c:v>0.69399999999999995</c:v>
                </c:pt>
                <c:pt idx="4">
                  <c:v>0.76300000000000001</c:v>
                </c:pt>
                <c:pt idx="5">
                  <c:v>0.79200000000000004</c:v>
                </c:pt>
                <c:pt idx="6">
                  <c:v>0.79900000000000004</c:v>
                </c:pt>
                <c:pt idx="7">
                  <c:v>0.81299999999999994</c:v>
                </c:pt>
                <c:pt idx="8" formatCode="0.000">
                  <c:v>3.2000000000000001E-2</c:v>
                </c:pt>
                <c:pt idx="9" formatCode="0.000">
                  <c:v>0.36499999999999999</c:v>
                </c:pt>
                <c:pt idx="10" formatCode="0.000">
                  <c:v>0.374</c:v>
                </c:pt>
                <c:pt idx="11" formatCode="0.000">
                  <c:v>0.503</c:v>
                </c:pt>
                <c:pt idx="12" formatCode="0.000">
                  <c:v>0.51100000000000001</c:v>
                </c:pt>
                <c:pt idx="13" formatCode="0.000">
                  <c:v>0.63400000000000001</c:v>
                </c:pt>
                <c:pt idx="14" formatCode="0.000">
                  <c:v>0.78900000000000003</c:v>
                </c:pt>
                <c:pt idx="15" formatCode="0.000">
                  <c:v>0.79</c:v>
                </c:pt>
              </c:numCache>
            </c:numRef>
          </c:val>
        </c:ser>
        <c:dLbls>
          <c:showLegendKey val="0"/>
          <c:showVal val="0"/>
          <c:showCatName val="0"/>
          <c:showSerName val="0"/>
          <c:showPercent val="0"/>
          <c:showBubbleSize val="0"/>
        </c:dLbls>
        <c:gapWidth val="150"/>
        <c:axId val="138788864"/>
        <c:axId val="138790400"/>
      </c:barChart>
      <c:catAx>
        <c:axId val="138788864"/>
        <c:scaling>
          <c:orientation val="minMax"/>
        </c:scaling>
        <c:delete val="0"/>
        <c:axPos val="b"/>
        <c:majorTickMark val="out"/>
        <c:minorTickMark val="none"/>
        <c:tickLblPos val="nextTo"/>
        <c:crossAx val="138790400"/>
        <c:crosses val="autoZero"/>
        <c:auto val="1"/>
        <c:lblAlgn val="ctr"/>
        <c:lblOffset val="100"/>
        <c:noMultiLvlLbl val="0"/>
      </c:catAx>
      <c:valAx>
        <c:axId val="138790400"/>
        <c:scaling>
          <c:orientation val="minMax"/>
        </c:scaling>
        <c:delete val="0"/>
        <c:axPos val="l"/>
        <c:title>
          <c:tx>
            <c:rich>
              <a:bodyPr rot="-5400000" vert="horz"/>
              <a:lstStyle/>
              <a:p>
                <a:pPr>
                  <a:defRPr/>
                </a:pPr>
                <a:r>
                  <a:rPr lang="en-US"/>
                  <a:t>ibeu (D1)</a:t>
                </a:r>
              </a:p>
            </c:rich>
          </c:tx>
          <c:overlay val="0"/>
        </c:title>
        <c:numFmt formatCode="General" sourceLinked="1"/>
        <c:majorTickMark val="out"/>
        <c:minorTickMark val="none"/>
        <c:tickLblPos val="nextTo"/>
        <c:crossAx val="138788864"/>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 transporte coletivo em BH (BHTrans)</c:v>
          </c:tx>
          <c:spPr>
            <a:ln w="25400">
              <a:solidFill>
                <a:schemeClr val="accent1"/>
              </a:solidFill>
            </a:ln>
          </c:spPr>
          <c:marker>
            <c:symbol val="square"/>
            <c:size val="5"/>
            <c:spPr>
              <a:solidFill>
                <a:schemeClr val="tx2">
                  <a:lumMod val="60000"/>
                  <a:lumOff val="40000"/>
                </a:schemeClr>
              </a:solidFill>
              <a:ln>
                <a:solidFill>
                  <a:schemeClr val="tx1"/>
                </a:solidFill>
              </a:ln>
            </c:spPr>
          </c:marker>
          <c:dLbls>
            <c:dLbl>
              <c:idx val="0"/>
              <c:layout>
                <c:manualLayout>
                  <c:x val="-2.8776978417266171E-2"/>
                  <c:y val="2.6402634775055788E-2"/>
                </c:manualLayout>
              </c:layout>
              <c:numFmt formatCode="#,##0" sourceLinked="0"/>
              <c:spPr/>
              <c:txPr>
                <a:bodyPr/>
                <a:lstStyle/>
                <a:p>
                  <a:pPr>
                    <a:defRPr b="1"/>
                  </a:pPr>
                  <a:endParaRPr lang="pt-BR"/>
                </a:p>
              </c:txPr>
              <c:showLegendKey val="0"/>
              <c:showVal val="1"/>
              <c:showCatName val="0"/>
              <c:showSerName val="0"/>
              <c:showPercent val="0"/>
              <c:showBubbleSize val="0"/>
            </c:dLbl>
            <c:dLbl>
              <c:idx val="19"/>
              <c:layout>
                <c:manualLayout>
                  <c:x val="0"/>
                  <c:y val="-2.4202135625331813E-17"/>
                </c:manualLayout>
              </c:layout>
              <c:numFmt formatCode="#,##0" sourceLinked="0"/>
              <c:spPr/>
              <c:txPr>
                <a:bodyPr/>
                <a:lstStyle/>
                <a:p>
                  <a:pPr>
                    <a:defRPr b="1"/>
                  </a:pPr>
                  <a:endParaRPr lang="pt-BR"/>
                </a:p>
              </c:txPr>
              <c:showLegendKey val="0"/>
              <c:showVal val="1"/>
              <c:showCatName val="0"/>
              <c:showSerName val="0"/>
              <c:showPercent val="0"/>
              <c:showBubbleSize val="0"/>
            </c:dLbl>
            <c:txPr>
              <a:bodyPr/>
              <a:lstStyle/>
              <a:p>
                <a:pPr>
                  <a:defRPr b="1"/>
                </a:pPr>
                <a:endParaRPr lang="pt-BR"/>
              </a:p>
            </c:txPr>
            <c:showLegendKey val="0"/>
            <c:showVal val="0"/>
            <c:showCatName val="0"/>
            <c:showSerName val="0"/>
            <c:showPercent val="0"/>
            <c:showBubbleSize val="0"/>
          </c:dLbls>
          <c:cat>
            <c:numRef>
              <c:f>(para_graficos!$P$3:$Q$3,para_graficos!$S$3:$U$3,para_graficos!$W$3:$AK$3)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(para_graficos!$P$220:$Q$220,para_graficos!$S$220:$U$220,para_graficos!$W$220:$AK$220)</c:f>
              <c:numCache>
                <c:formatCode>0.00</c:formatCode>
                <c:ptCount val="20"/>
                <c:pt idx="0">
                  <c:v>76</c:v>
                </c:pt>
                <c:pt idx="4">
                  <c:v>79</c:v>
                </c:pt>
                <c:pt idx="5">
                  <c:v>80.790000000000006</c:v>
                </c:pt>
                <c:pt idx="6">
                  <c:v>80.45</c:v>
                </c:pt>
                <c:pt idx="7">
                  <c:v>79.63</c:v>
                </c:pt>
                <c:pt idx="8">
                  <c:v>76.83</c:v>
                </c:pt>
                <c:pt idx="9">
                  <c:v>80</c:v>
                </c:pt>
                <c:pt idx="10">
                  <c:v>70.540000000000006</c:v>
                </c:pt>
                <c:pt idx="11">
                  <c:v>74.97</c:v>
                </c:pt>
                <c:pt idx="12">
                  <c:v>69.769999999999982</c:v>
                </c:pt>
                <c:pt idx="14">
                  <c:v>67.850000000000009</c:v>
                </c:pt>
                <c:pt idx="17">
                  <c:v>67.190000000000012</c:v>
                </c:pt>
                <c:pt idx="19" formatCode="General">
                  <c:v>63.4</c:v>
                </c:pt>
              </c:numCache>
            </c:numRef>
          </c:val>
          <c:smooth val="0"/>
        </c:ser>
        <c:ser>
          <c:idx val="3"/>
          <c:order val="1"/>
          <c:tx>
            <c:v>% transporte individual em BH (BHTrans)</c:v>
          </c:tx>
          <c:spPr>
            <a:ln w="25400">
              <a:solidFill>
                <a:schemeClr val="accent1">
                  <a:lumMod val="75000"/>
                </a:schemeClr>
              </a:solidFill>
              <a:prstDash val="sysDot"/>
            </a:ln>
          </c:spPr>
          <c:marker>
            <c:symbol val="circle"/>
            <c:size val="5"/>
            <c:spPr>
              <a:solidFill>
                <a:schemeClr val="tx2">
                  <a:lumMod val="60000"/>
                  <a:lumOff val="40000"/>
                </a:schemeClr>
              </a:solidFill>
              <a:ln>
                <a:solidFill>
                  <a:schemeClr val="accent1">
                    <a:lumMod val="75000"/>
                  </a:schemeClr>
                </a:solidFill>
              </a:ln>
            </c:spPr>
          </c:marker>
          <c:dLbls>
            <c:dLbl>
              <c:idx val="0"/>
              <c:layout>
                <c:manualLayout>
                  <c:x val="-2.5579536370903263E-2"/>
                  <c:y val="-2.112210782004463E-2"/>
                </c:manualLayout>
              </c:layout>
              <c:showLegendKey val="0"/>
              <c:showVal val="1"/>
              <c:showCatName val="0"/>
              <c:showSerName val="0"/>
              <c:showPercent val="0"/>
              <c:showBubbleSize val="0"/>
            </c:dLbl>
            <c:dLbl>
              <c:idx val="19"/>
              <c:showLegendKey val="0"/>
              <c:showVal val="1"/>
              <c:showCatName val="0"/>
              <c:showSerName val="0"/>
              <c:showPercent val="0"/>
              <c:showBubbleSize val="0"/>
            </c:dLbl>
            <c:numFmt formatCode="#,##0" sourceLinked="0"/>
            <c:txPr>
              <a:bodyPr/>
              <a:lstStyle/>
              <a:p>
                <a:pPr>
                  <a:defRPr b="1"/>
                </a:pPr>
                <a:endParaRPr lang="pt-BR"/>
              </a:p>
            </c:txPr>
            <c:showLegendKey val="0"/>
            <c:showVal val="0"/>
            <c:showCatName val="0"/>
            <c:showSerName val="0"/>
            <c:showPercent val="0"/>
            <c:showBubbleSize val="0"/>
          </c:dLbls>
          <c:cat>
            <c:numRef>
              <c:f>(para_graficos!$P$3:$Q$3,para_graficos!$S$3:$U$3,para_graficos!$W$3:$AK$3)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(para_graficos!$P$226:$Q$226,para_graficos!$S$226:$U$226,para_graficos!$W$226:$AK$226)</c:f>
              <c:numCache>
                <c:formatCode>0.00</c:formatCode>
                <c:ptCount val="20"/>
                <c:pt idx="0">
                  <c:v>20</c:v>
                </c:pt>
                <c:pt idx="4">
                  <c:v>15</c:v>
                </c:pt>
                <c:pt idx="5">
                  <c:v>16.28</c:v>
                </c:pt>
                <c:pt idx="6">
                  <c:v>16.59</c:v>
                </c:pt>
                <c:pt idx="7">
                  <c:v>16.52</c:v>
                </c:pt>
                <c:pt idx="8">
                  <c:v>22.18</c:v>
                </c:pt>
                <c:pt idx="9">
                  <c:v>15.7</c:v>
                </c:pt>
                <c:pt idx="10">
                  <c:v>23.54</c:v>
                </c:pt>
                <c:pt idx="11">
                  <c:v>20.88</c:v>
                </c:pt>
                <c:pt idx="12">
                  <c:v>24.450000000000003</c:v>
                </c:pt>
                <c:pt idx="14">
                  <c:v>26.880000000000003</c:v>
                </c:pt>
                <c:pt idx="17">
                  <c:v>28.520000000000003</c:v>
                </c:pt>
                <c:pt idx="19" formatCode="General">
                  <c:v>32.1</c:v>
                </c:pt>
              </c:numCache>
            </c:numRef>
          </c:val>
          <c:smooth val="0"/>
        </c:ser>
        <c:ser>
          <c:idx val="4"/>
          <c:order val="2"/>
          <c:tx>
            <c:v>% transporte não motorizado em BH (BHTrans)</c:v>
          </c:tx>
          <c:spPr>
            <a:ln w="25400">
              <a:solidFill>
                <a:schemeClr val="accent1">
                  <a:lumMod val="75000"/>
                </a:schemeClr>
              </a:solidFill>
              <a:prstDash val="lgDash"/>
            </a:ln>
          </c:spPr>
          <c:marker>
            <c:spPr>
              <a:noFill/>
            </c:spPr>
          </c:marker>
          <c:dLbls>
            <c:dLbl>
              <c:idx val="0"/>
              <c:layout>
                <c:manualLayout>
                  <c:x val="-2.8776978417266171E-2"/>
                  <c:y val="-2.3762371297550211E-2"/>
                </c:manualLayout>
              </c:layout>
              <c:showLegendKey val="0"/>
              <c:showVal val="1"/>
              <c:showCatName val="0"/>
              <c:showSerName val="0"/>
              <c:showPercent val="0"/>
              <c:showBubbleSize val="0"/>
            </c:dLbl>
            <c:dLbl>
              <c:idx val="19"/>
              <c:showLegendKey val="0"/>
              <c:showVal val="1"/>
              <c:showCatName val="0"/>
              <c:showSerName val="0"/>
              <c:showPercent val="0"/>
              <c:showBubbleSize val="0"/>
            </c:dLbl>
            <c:numFmt formatCode="#,##0" sourceLinked="0"/>
            <c:txPr>
              <a:bodyPr/>
              <a:lstStyle/>
              <a:p>
                <a:pPr>
                  <a:defRPr b="1"/>
                </a:pPr>
                <a:endParaRPr lang="pt-BR"/>
              </a:p>
            </c:txPr>
            <c:showLegendKey val="0"/>
            <c:showVal val="0"/>
            <c:showCatName val="0"/>
            <c:showSerName val="0"/>
            <c:showPercent val="0"/>
            <c:showBubbleSize val="0"/>
          </c:dLbls>
          <c:cat>
            <c:numRef>
              <c:f>(para_graficos!$P$3:$Q$3,para_graficos!$S$3:$U$3,para_graficos!$W$3:$AK$3)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(para_graficos!$P$212:$Q$212,para_graficos!$S$212:$U$212,para_graficos!$W$212:$AK$212)</c:f>
              <c:numCache>
                <c:formatCode>0.00</c:formatCode>
                <c:ptCount val="20"/>
                <c:pt idx="0">
                  <c:v>3</c:v>
                </c:pt>
                <c:pt idx="2">
                  <c:v>0</c:v>
                </c:pt>
                <c:pt idx="4">
                  <c:v>2</c:v>
                </c:pt>
                <c:pt idx="5">
                  <c:v>2.93</c:v>
                </c:pt>
                <c:pt idx="6">
                  <c:v>2.9699999999999998</c:v>
                </c:pt>
                <c:pt idx="7">
                  <c:v>3.7800000000000002</c:v>
                </c:pt>
                <c:pt idx="8">
                  <c:v>1</c:v>
                </c:pt>
                <c:pt idx="9">
                  <c:v>4.2</c:v>
                </c:pt>
                <c:pt idx="10">
                  <c:v>5.92</c:v>
                </c:pt>
                <c:pt idx="11">
                  <c:v>4.1500000000000004</c:v>
                </c:pt>
                <c:pt idx="12">
                  <c:v>5.78</c:v>
                </c:pt>
                <c:pt idx="14">
                  <c:v>5.26</c:v>
                </c:pt>
                <c:pt idx="17">
                  <c:v>4.3</c:v>
                </c:pt>
                <c:pt idx="19" formatCode="General">
                  <c:v>4.5999999999999996</c:v>
                </c:pt>
              </c:numCache>
            </c:numRef>
          </c:val>
          <c:smooth val="0"/>
        </c:ser>
        <c:ser>
          <c:idx val="0"/>
          <c:order val="3"/>
          <c:tx>
            <c:v>% transporte coletivo na Regão Sudeste (Ipea)</c:v>
          </c:tx>
          <c:spPr>
            <a:ln>
              <a:solidFill>
                <a:schemeClr val="bg1"/>
              </a:solidFill>
            </a:ln>
          </c:spPr>
          <c:marker>
            <c:symbol val="diamond"/>
            <c:size val="9"/>
            <c:spPr>
              <a:solidFill>
                <a:schemeClr val="accent3">
                  <a:lumMod val="75000"/>
                </a:schemeClr>
              </a:solidFill>
              <a:ln>
                <a:solidFill>
                  <a:schemeClr val="tx1"/>
                </a:solidFill>
              </a:ln>
            </c:spPr>
          </c:marker>
          <c:dLbls>
            <c:dLbl>
              <c:idx val="14"/>
              <c:layout>
                <c:manualLayout>
                  <c:x val="-4.7961630695443642E-3"/>
                  <c:y val="-1.8481844342539053E-2"/>
                </c:manualLayout>
              </c:layout>
              <c:numFmt formatCode="#,##0" sourceLinked="0"/>
              <c:spPr/>
              <c:txPr>
                <a:bodyPr/>
                <a:lstStyle/>
                <a:p>
                  <a:pPr>
                    <a:defRPr b="1"/>
                  </a:pPr>
                  <a:endParaRPr lang="pt-BR"/>
                </a:p>
              </c:txPr>
              <c:showLegendKey val="0"/>
              <c:showVal val="1"/>
              <c:showCatName val="0"/>
              <c:showSerName val="0"/>
              <c:showPercent val="0"/>
              <c:showBubbleSize val="0"/>
            </c:dLbl>
            <c:numFmt formatCode="#,##0" sourceLinked="0"/>
            <c:showLegendKey val="0"/>
            <c:showVal val="0"/>
            <c:showCatName val="0"/>
            <c:showSerName val="0"/>
            <c:showPercent val="0"/>
            <c:showBubbleSize val="0"/>
          </c:dLbls>
          <c:cat>
            <c:numRef>
              <c:f>(para_graficos!$P$3:$Q$3,para_graficos!$S$3:$U$3,para_graficos!$W$3:$AK$3)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(para_graficos!$P$231:$Q$231,para_graficos!$S$231:$U$231,para_graficos!$W$231:$AK$231)</c:f>
              <c:numCache>
                <c:formatCode>General</c:formatCode>
                <c:ptCount val="20"/>
                <c:pt idx="14" formatCode="0.00">
                  <c:v>50.7</c:v>
                </c:pt>
              </c:numCache>
            </c:numRef>
          </c:val>
          <c:smooth val="0"/>
        </c:ser>
        <c:ser>
          <c:idx val="5"/>
          <c:order val="4"/>
          <c:tx>
            <c:v>% transporte coletivo na Região Sudeste (CNI)</c:v>
          </c:tx>
          <c:spPr>
            <a:ln>
              <a:solidFill>
                <a:schemeClr val="bg1"/>
              </a:solidFill>
            </a:ln>
          </c:spPr>
          <c:marker>
            <c:symbol val="circle"/>
            <c:size val="9"/>
            <c:spPr>
              <a:solidFill>
                <a:schemeClr val="accent6">
                  <a:lumMod val="75000"/>
                </a:schemeClr>
              </a:solidFill>
              <a:ln>
                <a:solidFill>
                  <a:schemeClr val="tx1"/>
                </a:solidFill>
              </a:ln>
            </c:spPr>
          </c:marker>
          <c:dLbls>
            <c:dLbl>
              <c:idx val="15"/>
              <c:layout>
                <c:manualLayout>
                  <c:x val="-1.5987210231814548E-3"/>
                  <c:y val="-1.5841580865033473E-2"/>
                </c:manualLayout>
              </c:layout>
              <c:numFmt formatCode="#,##0" sourceLinked="0"/>
              <c:spPr/>
              <c:txPr>
                <a:bodyPr/>
                <a:lstStyle/>
                <a:p>
                  <a:pPr>
                    <a:defRPr b="1"/>
                  </a:pPr>
                  <a:endParaRPr lang="pt-BR"/>
                </a:p>
              </c:txPr>
              <c:showLegendKey val="0"/>
              <c:showVal val="1"/>
              <c:showCatName val="0"/>
              <c:showSerName val="0"/>
              <c:showPercent val="0"/>
              <c:showBubbleSize val="0"/>
            </c:dLbl>
            <c:showLegendKey val="0"/>
            <c:showVal val="1"/>
            <c:showCatName val="0"/>
            <c:showSerName val="0"/>
            <c:showPercent val="0"/>
            <c:showBubbleSize val="0"/>
            <c:showLeaderLines val="0"/>
          </c:dLbls>
          <c:cat>
            <c:numRef>
              <c:f>(para_graficos!$P$3:$Q$3,para_graficos!$S$3:$U$3,para_graficos!$W$3:$AK$3)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(para_graficos!$P$224:$Q$224,para_graficos!$S$224:$U$224,para_graficos!$W$224:$AK$224)</c:f>
              <c:numCache>
                <c:formatCode>General</c:formatCode>
                <c:ptCount val="20"/>
                <c:pt idx="15" formatCode="0.00">
                  <c:v>71</c:v>
                </c:pt>
              </c:numCache>
            </c:numRef>
          </c:val>
          <c:smooth val="0"/>
        </c:ser>
        <c:ser>
          <c:idx val="1"/>
          <c:order val="5"/>
          <c:tx>
            <c:v>% transporte coletivo nas cidades acima de 100 mil habitantes (CNI)</c:v>
          </c:tx>
          <c:spPr>
            <a:ln>
              <a:solidFill>
                <a:schemeClr val="bg1"/>
              </a:solidFill>
            </a:ln>
          </c:spPr>
          <c:marker>
            <c:symbol val="triangle"/>
            <c:size val="9"/>
            <c:spPr>
              <a:solidFill>
                <a:srgbClr val="FF0000"/>
              </a:solidFill>
              <a:ln>
                <a:solidFill>
                  <a:schemeClr val="tx1"/>
                </a:solidFill>
              </a:ln>
            </c:spPr>
          </c:marker>
          <c:dLbls>
            <c:dLbl>
              <c:idx val="15"/>
              <c:layout>
                <c:manualLayout>
                  <c:x val="-2.8776978417266189E-2"/>
                  <c:y val="-3.960395216258368E-2"/>
                </c:manualLayout>
              </c:layout>
              <c:numFmt formatCode="#,##0" sourceLinked="0"/>
              <c:spPr/>
              <c:txPr>
                <a:bodyPr/>
                <a:lstStyle/>
                <a:p>
                  <a:pPr>
                    <a:defRPr b="1"/>
                  </a:pPr>
                  <a:endParaRPr lang="pt-BR"/>
                </a:p>
              </c:txPr>
              <c:showLegendKey val="0"/>
              <c:showVal val="1"/>
              <c:showCatName val="0"/>
              <c:showSerName val="0"/>
              <c:showPercent val="0"/>
              <c:showBubbleSize val="0"/>
            </c:dLbl>
            <c:showLegendKey val="0"/>
            <c:showVal val="1"/>
            <c:showCatName val="0"/>
            <c:showSerName val="0"/>
            <c:showPercent val="0"/>
            <c:showBubbleSize val="0"/>
            <c:showLeaderLines val="0"/>
          </c:dLbls>
          <c:cat>
            <c:numRef>
              <c:f>(para_graficos!$P$3:$Q$3,para_graficos!$S$3:$U$3,para_graficos!$W$3:$AK$3)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(para_graficos!$P$223:$Q$223,para_graficos!$S$223:$U$223,para_graficos!$W$223:$AK$223)</c:f>
              <c:numCache>
                <c:formatCode>General</c:formatCode>
                <c:ptCount val="20"/>
                <c:pt idx="15" formatCode="0.00">
                  <c:v>79</c:v>
                </c:pt>
              </c:numCache>
            </c:numRef>
          </c:val>
          <c:smooth val="0"/>
        </c:ser>
        <c:dLbls>
          <c:showLegendKey val="0"/>
          <c:showVal val="0"/>
          <c:showCatName val="0"/>
          <c:showSerName val="0"/>
          <c:showPercent val="0"/>
          <c:showBubbleSize val="0"/>
        </c:dLbls>
        <c:marker val="1"/>
        <c:smooth val="0"/>
        <c:axId val="111198592"/>
        <c:axId val="111200128"/>
      </c:lineChart>
      <c:catAx>
        <c:axId val="111198592"/>
        <c:scaling>
          <c:orientation val="minMax"/>
        </c:scaling>
        <c:delete val="0"/>
        <c:axPos val="b"/>
        <c:numFmt formatCode="General" sourceLinked="1"/>
        <c:majorTickMark val="out"/>
        <c:minorTickMark val="none"/>
        <c:tickLblPos val="nextTo"/>
        <c:txPr>
          <a:bodyPr/>
          <a:lstStyle/>
          <a:p>
            <a:pPr>
              <a:defRPr b="1"/>
            </a:pPr>
            <a:endParaRPr lang="pt-BR"/>
          </a:p>
        </c:txPr>
        <c:crossAx val="111200128"/>
        <c:crosses val="autoZero"/>
        <c:auto val="1"/>
        <c:lblAlgn val="ctr"/>
        <c:lblOffset val="100"/>
        <c:noMultiLvlLbl val="0"/>
      </c:catAx>
      <c:valAx>
        <c:axId val="111200128"/>
        <c:scaling>
          <c:orientation val="minMax"/>
        </c:scaling>
        <c:delete val="0"/>
        <c:axPos val="l"/>
        <c:majorGridlines/>
        <c:title>
          <c:tx>
            <c:rich>
              <a:bodyPr rot="0" vert="horz"/>
              <a:lstStyle/>
              <a:p>
                <a:pPr>
                  <a:defRPr sz="1200"/>
                </a:pPr>
                <a:r>
                  <a:rPr lang="en-US" sz="1200"/>
                  <a:t>%</a:t>
                </a:r>
              </a:p>
            </c:rich>
          </c:tx>
          <c:overlay val="0"/>
        </c:title>
        <c:numFmt formatCode="0" sourceLinked="0"/>
        <c:majorTickMark val="out"/>
        <c:minorTickMark val="none"/>
        <c:tickLblPos val="nextTo"/>
        <c:txPr>
          <a:bodyPr/>
          <a:lstStyle/>
          <a:p>
            <a:pPr>
              <a:defRPr b="1"/>
            </a:pPr>
            <a:endParaRPr lang="pt-BR"/>
          </a:p>
        </c:txPr>
        <c:crossAx val="111198592"/>
        <c:crosses val="autoZero"/>
        <c:crossBetween val="between"/>
      </c:valAx>
    </c:plotArea>
    <c:legend>
      <c:legendPos val="b"/>
      <c:layout>
        <c:manualLayout>
          <c:xMode val="edge"/>
          <c:yMode val="edge"/>
          <c:x val="9.9120703437250199E-2"/>
          <c:y val="0.73608693212635834"/>
          <c:w val="0.83685051958433265"/>
          <c:h val="0.26391299742240742"/>
        </c:manualLayout>
      </c:layout>
      <c:overlay val="0"/>
    </c:legend>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v>Fmta (motocicleta)</c:v>
          </c:tx>
          <c:spPr>
            <a:solidFill>
              <a:schemeClr val="tx1"/>
            </a:solidFill>
            <a:ln>
              <a:solidFill>
                <a:sysClr val="windowText" lastClr="000000"/>
              </a:solidFill>
            </a:ln>
          </c:spPr>
          <c:invertIfNegative val="0"/>
          <c:dLbls>
            <c:dLbl>
              <c:idx val="8"/>
              <c:showLegendKey val="0"/>
              <c:showVal val="1"/>
              <c:showCatName val="0"/>
              <c:showSerName val="0"/>
              <c:showPercent val="0"/>
              <c:showBubbleSize val="0"/>
            </c:dLbl>
            <c:dLbl>
              <c:idx val="24"/>
              <c:showLegendKey val="0"/>
              <c:showVal val="1"/>
              <c:showCatName val="0"/>
              <c:showSerName val="0"/>
              <c:showPercent val="0"/>
              <c:showBubbleSize val="0"/>
            </c:dLbl>
            <c:txPr>
              <a:bodyPr/>
              <a:lstStyle/>
              <a:p>
                <a:pPr>
                  <a:defRPr sz="800" b="1"/>
                </a:pPr>
                <a:endParaRPr lang="pt-BR"/>
              </a:p>
            </c:txPr>
            <c:showLegendKey val="0"/>
            <c:showVal val="0"/>
            <c:showCatName val="0"/>
            <c:showSerName val="0"/>
            <c:showPercent val="0"/>
            <c:showBubbleSize val="0"/>
          </c:dLbls>
          <c:cat>
            <c:numRef>
              <c:f>(para_graficos!$K$3:$R$3,para_graficos!$T$3:$U$3,para_graficos!$W$3:$AK$3)</c:f>
              <c:numCache>
                <c:formatCode>General</c:formatCode>
                <c:ptCount val="25"/>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numCache>
            </c:numRef>
          </c:cat>
          <c:val>
            <c:numRef>
              <c:f>(para_graficos!$K$329:$R$329,para_graficos!$T$329:$U$329,para_graficos!$W$329:$AK$329)</c:f>
              <c:numCache>
                <c:formatCode>General</c:formatCode>
                <c:ptCount val="25"/>
                <c:pt idx="8" formatCode="0.00">
                  <c:v>4.4634E-2</c:v>
                </c:pt>
                <c:pt idx="9" formatCode="0.00">
                  <c:v>4.8415E-2</c:v>
                </c:pt>
                <c:pt idx="10" formatCode="0.00">
                  <c:v>5.4690000000000003E-2</c:v>
                </c:pt>
                <c:pt idx="11" formatCode="0.00">
                  <c:v>6.2859999999999999E-2</c:v>
                </c:pt>
                <c:pt idx="12" formatCode="0.00">
                  <c:v>6.9774000000000003E-2</c:v>
                </c:pt>
                <c:pt idx="13" formatCode="0.00">
                  <c:v>7.5495000000000007E-2</c:v>
                </c:pt>
                <c:pt idx="14" formatCode="0.00">
                  <c:v>8.2798999999999998E-2</c:v>
                </c:pt>
                <c:pt idx="15" formatCode="0.00">
                  <c:v>9.5224000000000003E-2</c:v>
                </c:pt>
                <c:pt idx="16" formatCode="0.00">
                  <c:v>0.113928</c:v>
                </c:pt>
                <c:pt idx="17" formatCode="0.00">
                  <c:v>0.1318</c:v>
                </c:pt>
                <c:pt idx="18" formatCode="0.00">
                  <c:v>0.14904600000000001</c:v>
                </c:pt>
                <c:pt idx="19" formatCode="0.00">
                  <c:v>0.163489</c:v>
                </c:pt>
                <c:pt idx="20" formatCode="0.00">
                  <c:v>0.177782</c:v>
                </c:pt>
                <c:pt idx="21" formatCode="0.00">
                  <c:v>0.187141</c:v>
                </c:pt>
                <c:pt idx="22" formatCode="0.00">
                  <c:v>0.195076</c:v>
                </c:pt>
                <c:pt idx="23" formatCode="0.00">
                  <c:v>0.20091600000000001</c:v>
                </c:pt>
                <c:pt idx="24" formatCode="0.00">
                  <c:v>0.206396</c:v>
                </c:pt>
              </c:numCache>
            </c:numRef>
          </c:val>
        </c:ser>
        <c:ser>
          <c:idx val="0"/>
          <c:order val="1"/>
          <c:tx>
            <c:v>Fa (frota de automóvel)</c:v>
          </c:tx>
          <c:spPr>
            <a:solidFill>
              <a:schemeClr val="bg1"/>
            </a:solidFill>
            <a:ln>
              <a:solidFill>
                <a:schemeClr val="tx1"/>
              </a:solidFill>
            </a:ln>
          </c:spPr>
          <c:invertIfNegative val="0"/>
          <c:dLbls>
            <c:dLbl>
              <c:idx val="8"/>
              <c:layout>
                <c:manualLayout>
                  <c:x val="-9.9185263903648607E-3"/>
                  <c:y val="1.0898880132914847E-2"/>
                </c:manualLayout>
              </c:layout>
              <c:showLegendKey val="0"/>
              <c:showVal val="1"/>
              <c:showCatName val="0"/>
              <c:showSerName val="0"/>
              <c:showPercent val="0"/>
              <c:showBubbleSize val="0"/>
            </c:dLbl>
            <c:dLbl>
              <c:idx val="24"/>
              <c:layout>
                <c:manualLayout>
                  <c:x val="-9.9185263903648607E-3"/>
                  <c:y val="-2.8605984600826369E-7"/>
                </c:manualLayout>
              </c:layout>
              <c:showLegendKey val="0"/>
              <c:showVal val="1"/>
              <c:showCatName val="0"/>
              <c:showSerName val="0"/>
              <c:showPercent val="0"/>
              <c:showBubbleSize val="0"/>
            </c:dLbl>
            <c:txPr>
              <a:bodyPr/>
              <a:lstStyle/>
              <a:p>
                <a:pPr>
                  <a:defRPr sz="800" b="1"/>
                </a:pPr>
                <a:endParaRPr lang="pt-BR"/>
              </a:p>
            </c:txPr>
            <c:showLegendKey val="0"/>
            <c:showVal val="0"/>
            <c:showCatName val="0"/>
            <c:showSerName val="0"/>
            <c:showPercent val="0"/>
            <c:showBubbleSize val="0"/>
          </c:dLbls>
          <c:cat>
            <c:numRef>
              <c:f>(para_graficos!$K$3:$R$3,para_graficos!$T$3:$U$3,para_graficos!$W$3:$AK$3)</c:f>
              <c:numCache>
                <c:formatCode>General</c:formatCode>
                <c:ptCount val="25"/>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numCache>
            </c:numRef>
          </c:cat>
          <c:val>
            <c:numRef>
              <c:f>(para_graficos!$K$298:$R$298,para_graficos!$T$298:$U$298,para_graficos!$W$298:$AK$298)</c:f>
              <c:numCache>
                <c:formatCode>General</c:formatCode>
                <c:ptCount val="25"/>
                <c:pt idx="8" formatCode="#,##0.00">
                  <c:v>0.49133199999999999</c:v>
                </c:pt>
                <c:pt idx="9" formatCode="#,##0.00">
                  <c:v>0.50873100000000004</c:v>
                </c:pt>
                <c:pt idx="10" formatCode="#,##0.00">
                  <c:v>0.53274699999999997</c:v>
                </c:pt>
                <c:pt idx="11" formatCode="#,##0.00">
                  <c:v>0.55262599999999995</c:v>
                </c:pt>
                <c:pt idx="12" formatCode="#,##0.00">
                  <c:v>0.58070600000000006</c:v>
                </c:pt>
                <c:pt idx="13" formatCode="#,##0.00">
                  <c:v>0.601962</c:v>
                </c:pt>
                <c:pt idx="14" formatCode="#,##0.00">
                  <c:v>0.62830299999999994</c:v>
                </c:pt>
                <c:pt idx="15" formatCode="#,##0.00">
                  <c:v>0.67330100000000004</c:v>
                </c:pt>
                <c:pt idx="16" formatCode="#,##0.00">
                  <c:v>0.73046800000000001</c:v>
                </c:pt>
                <c:pt idx="17" formatCode="#,##0.00">
                  <c:v>0.78590400000000005</c:v>
                </c:pt>
                <c:pt idx="18" formatCode="#,##0.00">
                  <c:v>0.86375999999999997</c:v>
                </c:pt>
                <c:pt idx="19" formatCode="#,##0.00">
                  <c:v>0.93781899999999996</c:v>
                </c:pt>
                <c:pt idx="20" formatCode="#,##0.00">
                  <c:v>0.99780500000000005</c:v>
                </c:pt>
                <c:pt idx="21" formatCode="#,##0.00">
                  <c:v>1.0451509999999999</c:v>
                </c:pt>
                <c:pt idx="22" formatCode="#,##0.00">
                  <c:v>1.089663</c:v>
                </c:pt>
                <c:pt idx="23" formatCode="#,##0.00">
                  <c:v>1.1171199999999999</c:v>
                </c:pt>
                <c:pt idx="24" formatCode="#,##0.00">
                  <c:v>1.158596</c:v>
                </c:pt>
              </c:numCache>
            </c:numRef>
          </c:val>
        </c:ser>
        <c:ser>
          <c:idx val="1"/>
          <c:order val="2"/>
          <c:tx>
            <c:v>F (frota total)</c:v>
          </c:tx>
          <c:spPr>
            <a:solidFill>
              <a:schemeClr val="accent1">
                <a:lumMod val="60000"/>
                <a:lumOff val="40000"/>
              </a:schemeClr>
            </a:solidFill>
            <a:ln>
              <a:solidFill>
                <a:schemeClr val="tx1"/>
              </a:solidFill>
            </a:ln>
          </c:spPr>
          <c:invertIfNegative val="0"/>
          <c:dLbls>
            <c:txPr>
              <a:bodyPr/>
              <a:lstStyle/>
              <a:p>
                <a:pPr>
                  <a:defRPr sz="900" b="1"/>
                </a:pPr>
                <a:endParaRPr lang="pt-BR"/>
              </a:p>
            </c:txPr>
            <c:showLegendKey val="0"/>
            <c:showVal val="1"/>
            <c:showCatName val="0"/>
            <c:showSerName val="0"/>
            <c:showPercent val="0"/>
            <c:showBubbleSize val="0"/>
            <c:showLeaderLines val="0"/>
          </c:dLbls>
          <c:cat>
            <c:numRef>
              <c:f>(para_graficos!$K$3:$R$3,para_graficos!$T$3:$U$3,para_graficos!$W$3:$AK$3)</c:f>
              <c:numCache>
                <c:formatCode>General</c:formatCode>
                <c:ptCount val="25"/>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numCache>
            </c:numRef>
          </c:cat>
          <c:val>
            <c:numRef>
              <c:f>(para_graficos!$K$294:$R$294,para_graficos!$T$294:$U$294,para_graficos!$W$294:$AK$294)</c:f>
              <c:numCache>
                <c:formatCode>#,##0.00</c:formatCode>
                <c:ptCount val="25"/>
                <c:pt idx="0">
                  <c:v>0.47980499999999998</c:v>
                </c:pt>
                <c:pt idx="1">
                  <c:v>0.49016700000000002</c:v>
                </c:pt>
                <c:pt idx="2">
                  <c:v>0.50893500000000003</c:v>
                </c:pt>
                <c:pt idx="3">
                  <c:v>0.53687399999999996</c:v>
                </c:pt>
                <c:pt idx="4">
                  <c:v>0.56881099999999996</c:v>
                </c:pt>
                <c:pt idx="5">
                  <c:v>0.59879599999999999</c:v>
                </c:pt>
                <c:pt idx="6">
                  <c:v>0.611958</c:v>
                </c:pt>
                <c:pt idx="7">
                  <c:v>0.62390900000000005</c:v>
                </c:pt>
                <c:pt idx="8">
                  <c:v>0.655227</c:v>
                </c:pt>
                <c:pt idx="9">
                  <c:v>0.67972699999999997</c:v>
                </c:pt>
                <c:pt idx="10">
                  <c:v>0.71787500000000004</c:v>
                </c:pt>
                <c:pt idx="11">
                  <c:v>0.75146100000000005</c:v>
                </c:pt>
                <c:pt idx="12">
                  <c:v>0.790551</c:v>
                </c:pt>
                <c:pt idx="13">
                  <c:v>0.82175299999999996</c:v>
                </c:pt>
                <c:pt idx="14">
                  <c:v>0.86291700000000005</c:v>
                </c:pt>
                <c:pt idx="15">
                  <c:v>0.93128699999999998</c:v>
                </c:pt>
                <c:pt idx="16">
                  <c:v>1.020465</c:v>
                </c:pt>
                <c:pt idx="17">
                  <c:v>1.107259</c:v>
                </c:pt>
                <c:pt idx="18">
                  <c:v>1.2201249999999999</c:v>
                </c:pt>
                <c:pt idx="19">
                  <c:v>1.332381</c:v>
                </c:pt>
                <c:pt idx="20">
                  <c:v>1.4298649999999999</c:v>
                </c:pt>
                <c:pt idx="21">
                  <c:v>1.5073350000000001</c:v>
                </c:pt>
                <c:pt idx="22">
                  <c:v>1.5806249999999999</c:v>
                </c:pt>
                <c:pt idx="23">
                  <c:v>1.632215</c:v>
                </c:pt>
                <c:pt idx="24">
                  <c:v>1.693713</c:v>
                </c:pt>
              </c:numCache>
            </c:numRef>
          </c:val>
        </c:ser>
        <c:dLbls>
          <c:showLegendKey val="0"/>
          <c:showVal val="0"/>
          <c:showCatName val="0"/>
          <c:showSerName val="0"/>
          <c:showPercent val="0"/>
          <c:showBubbleSize val="0"/>
        </c:dLbls>
        <c:gapWidth val="150"/>
        <c:axId val="112086016"/>
        <c:axId val="112106496"/>
      </c:barChart>
      <c:catAx>
        <c:axId val="112086016"/>
        <c:scaling>
          <c:orientation val="minMax"/>
        </c:scaling>
        <c:delete val="0"/>
        <c:axPos val="b"/>
        <c:numFmt formatCode="General" sourceLinked="1"/>
        <c:majorTickMark val="out"/>
        <c:minorTickMark val="none"/>
        <c:tickLblPos val="nextTo"/>
        <c:crossAx val="112106496"/>
        <c:crosses val="autoZero"/>
        <c:auto val="1"/>
        <c:lblAlgn val="ctr"/>
        <c:lblOffset val="100"/>
        <c:noMultiLvlLbl val="0"/>
      </c:catAx>
      <c:valAx>
        <c:axId val="112106496"/>
        <c:scaling>
          <c:orientation val="minMax"/>
        </c:scaling>
        <c:delete val="0"/>
        <c:axPos val="l"/>
        <c:title>
          <c:tx>
            <c:rich>
              <a:bodyPr rot="-5400000" vert="horz"/>
              <a:lstStyle/>
              <a:p>
                <a:pPr>
                  <a:defRPr/>
                </a:pPr>
                <a:r>
                  <a:rPr lang="en-US"/>
                  <a:t>n.º de veículos automotores (milhões)</a:t>
                </a:r>
              </a:p>
            </c:rich>
          </c:tx>
          <c:overlay val="0"/>
        </c:title>
        <c:numFmt formatCode="#,##0.00" sourceLinked="0"/>
        <c:majorTickMark val="out"/>
        <c:minorTickMark val="none"/>
        <c:tickLblPos val="nextTo"/>
        <c:crossAx val="112086016"/>
        <c:crosses val="autoZero"/>
        <c:crossBetween val="between"/>
      </c:valAx>
    </c:plotArea>
    <c:legend>
      <c:legendPos val="b"/>
      <c:layout>
        <c:manualLayout>
          <c:xMode val="edge"/>
          <c:yMode val="edge"/>
          <c:x val="7.2208991941894618E-2"/>
          <c:y val="0.91471059153817469"/>
          <c:w val="0.91084226586448214"/>
          <c:h val="6.3005285899151192E-2"/>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v>Fmmm (motociclo: motociceta+motoneta+ciclomotor)</c:v>
          </c:tx>
          <c:spPr>
            <a:solidFill>
              <a:schemeClr val="tx1"/>
            </a:solidFill>
            <a:ln>
              <a:solidFill>
                <a:sysClr val="windowText" lastClr="000000"/>
              </a:solidFill>
            </a:ln>
          </c:spPr>
          <c:invertIfNegative val="0"/>
          <c:dLbls>
            <c:dLbl>
              <c:idx val="8"/>
              <c:showLegendKey val="0"/>
              <c:showVal val="1"/>
              <c:showCatName val="0"/>
              <c:showSerName val="0"/>
              <c:showPercent val="0"/>
              <c:showBubbleSize val="0"/>
            </c:dLbl>
            <c:dLbl>
              <c:idx val="24"/>
              <c:showLegendKey val="0"/>
              <c:showVal val="1"/>
              <c:showCatName val="0"/>
              <c:showSerName val="0"/>
              <c:showPercent val="0"/>
              <c:showBubbleSize val="0"/>
            </c:dLbl>
            <c:txPr>
              <a:bodyPr/>
              <a:lstStyle/>
              <a:p>
                <a:pPr>
                  <a:defRPr sz="800" b="1"/>
                </a:pPr>
                <a:endParaRPr lang="pt-BR"/>
              </a:p>
            </c:txPr>
            <c:showLegendKey val="0"/>
            <c:showVal val="0"/>
            <c:showCatName val="0"/>
            <c:showSerName val="0"/>
            <c:showPercent val="0"/>
            <c:showBubbleSize val="0"/>
          </c:dLbls>
          <c:cat>
            <c:numRef>
              <c:f>(para_graficos!$K$3:$R$3,para_graficos!$T$3:$U$3,para_graficos!$W$3:$AK$3)</c:f>
              <c:numCache>
                <c:formatCode>General</c:formatCode>
                <c:ptCount val="25"/>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numCache>
            </c:numRef>
          </c:cat>
          <c:val>
            <c:numRef>
              <c:f>(para_graficos!$K$324:$R$324,para_graficos!$T$324:$U$324,para_graficos!$W$324:$AK$324)</c:f>
              <c:numCache>
                <c:formatCode>General</c:formatCode>
                <c:ptCount val="25"/>
                <c:pt idx="8" formatCode="#,##0.00">
                  <c:v>4.4634E-2</c:v>
                </c:pt>
                <c:pt idx="9" formatCode="#,##0.00">
                  <c:v>4.8415E-2</c:v>
                </c:pt>
                <c:pt idx="10" formatCode="#,##0.00">
                  <c:v>5.4690000000000003E-2</c:v>
                </c:pt>
                <c:pt idx="11" formatCode="#,##0.00">
                  <c:v>6.2859999999999999E-2</c:v>
                </c:pt>
                <c:pt idx="12" formatCode="#,##0.00">
                  <c:v>6.9774000000000003E-2</c:v>
                </c:pt>
                <c:pt idx="13" formatCode="#,##0.00">
                  <c:v>8.0857999999999999E-2</c:v>
                </c:pt>
                <c:pt idx="14" formatCode="#,##0.00">
                  <c:v>8.9066000000000006E-2</c:v>
                </c:pt>
                <c:pt idx="15" formatCode="#,##0.00">
                  <c:v>0.10258299999999999</c:v>
                </c:pt>
                <c:pt idx="16" formatCode="#,##0.00">
                  <c:v>0.122743</c:v>
                </c:pt>
                <c:pt idx="17" formatCode="#,##0.00">
                  <c:v>0.14220099999999999</c:v>
                </c:pt>
                <c:pt idx="18" formatCode="#,##0.00">
                  <c:v>0.16054399999999999</c:v>
                </c:pt>
                <c:pt idx="19" formatCode="#,##0.00">
                  <c:v>0.17594099999999999</c:v>
                </c:pt>
                <c:pt idx="20" formatCode="#,##0.00">
                  <c:v>0.19121299999999999</c:v>
                </c:pt>
                <c:pt idx="21" formatCode="#,##0.00">
                  <c:v>0.20141500000000001</c:v>
                </c:pt>
                <c:pt idx="22" formatCode="#,##0.00">
                  <c:v>0.21033199999999999</c:v>
                </c:pt>
                <c:pt idx="23" formatCode="#,##0.00">
                  <c:v>0.217139</c:v>
                </c:pt>
                <c:pt idx="24" formatCode="#,##0.00">
                  <c:v>0.22376299999999999</c:v>
                </c:pt>
              </c:numCache>
            </c:numRef>
          </c:val>
        </c:ser>
        <c:ser>
          <c:idx val="0"/>
          <c:order val="1"/>
          <c:tx>
            <c:v>Facc (frota de automóvel + caminhonete + camioneta)</c:v>
          </c:tx>
          <c:spPr>
            <a:solidFill>
              <a:schemeClr val="bg1"/>
            </a:solidFill>
            <a:ln>
              <a:solidFill>
                <a:schemeClr val="tx1"/>
              </a:solidFill>
            </a:ln>
          </c:spPr>
          <c:invertIfNegative val="0"/>
          <c:dLbls>
            <c:dLbl>
              <c:idx val="8"/>
              <c:layout>
                <c:manualLayout>
                  <c:x val="-9.9185263903648607E-3"/>
                  <c:y val="1.0898880132914847E-2"/>
                </c:manualLayout>
              </c:layout>
              <c:showLegendKey val="0"/>
              <c:showVal val="1"/>
              <c:showCatName val="0"/>
              <c:showSerName val="0"/>
              <c:showPercent val="0"/>
              <c:showBubbleSize val="0"/>
            </c:dLbl>
            <c:dLbl>
              <c:idx val="24"/>
              <c:layout>
                <c:manualLayout>
                  <c:x val="-9.9185263903648607E-3"/>
                  <c:y val="-2.8605984600826369E-7"/>
                </c:manualLayout>
              </c:layout>
              <c:showLegendKey val="0"/>
              <c:showVal val="1"/>
              <c:showCatName val="0"/>
              <c:showSerName val="0"/>
              <c:showPercent val="0"/>
              <c:showBubbleSize val="0"/>
            </c:dLbl>
            <c:txPr>
              <a:bodyPr/>
              <a:lstStyle/>
              <a:p>
                <a:pPr>
                  <a:defRPr sz="800" b="1"/>
                </a:pPr>
                <a:endParaRPr lang="pt-BR"/>
              </a:p>
            </c:txPr>
            <c:showLegendKey val="0"/>
            <c:showVal val="0"/>
            <c:showCatName val="0"/>
            <c:showSerName val="0"/>
            <c:showPercent val="0"/>
            <c:showBubbleSize val="0"/>
          </c:dLbls>
          <c:cat>
            <c:numRef>
              <c:f>(para_graficos!$K$3:$R$3,para_graficos!$T$3:$U$3,para_graficos!$W$3:$AK$3)</c:f>
              <c:numCache>
                <c:formatCode>General</c:formatCode>
                <c:ptCount val="25"/>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numCache>
            </c:numRef>
          </c:cat>
          <c:val>
            <c:numRef>
              <c:f>(para_graficos!$K$303:$R$303,para_graficos!$T$303:$U$303,para_graficos!$W$303:$AK$303)</c:f>
              <c:numCache>
                <c:formatCode>General</c:formatCode>
                <c:ptCount val="25"/>
                <c:pt idx="8" formatCode="0.00">
                  <c:v>0.55906400000000001</c:v>
                </c:pt>
                <c:pt idx="9" formatCode="0.00">
                  <c:v>0.58189400000000002</c:v>
                </c:pt>
                <c:pt idx="10" formatCode="0.00">
                  <c:v>0.61087800000000003</c:v>
                </c:pt>
                <c:pt idx="11" formatCode="0.00">
                  <c:v>0.63408600000000004</c:v>
                </c:pt>
                <c:pt idx="12" formatCode="0.00">
                  <c:v>0.66544800000000004</c:v>
                </c:pt>
                <c:pt idx="13" formatCode="0.00">
                  <c:v>0.68931799999999999</c:v>
                </c:pt>
                <c:pt idx="14" formatCode="0.00">
                  <c:v>0.72145999999999999</c:v>
                </c:pt>
                <c:pt idx="15" formatCode="0.00">
                  <c:v>0.77275300000000002</c:v>
                </c:pt>
                <c:pt idx="16" formatCode="0.00">
                  <c:v>0.83771399999999996</c:v>
                </c:pt>
                <c:pt idx="17" formatCode="0.00">
                  <c:v>0.90120299999999998</c:v>
                </c:pt>
                <c:pt idx="18" formatCode="0.00">
                  <c:v>0.98980100000000004</c:v>
                </c:pt>
                <c:pt idx="19" formatCode="0.00">
                  <c:v>1.080762</c:v>
                </c:pt>
                <c:pt idx="20" formatCode="0.00">
                  <c:v>1.1562190000000001</c:v>
                </c:pt>
                <c:pt idx="21" formatCode="0.00">
                  <c:v>1.2193750000000001</c:v>
                </c:pt>
                <c:pt idx="22" formatCode="0.00">
                  <c:v>1.278743</c:v>
                </c:pt>
                <c:pt idx="23" formatCode="0.00">
                  <c:v>1.3202119999999999</c:v>
                </c:pt>
                <c:pt idx="24" formatCode="0.00">
                  <c:v>1.3729100000000001</c:v>
                </c:pt>
              </c:numCache>
            </c:numRef>
          </c:val>
        </c:ser>
        <c:ser>
          <c:idx val="1"/>
          <c:order val="2"/>
          <c:tx>
            <c:v>F (frota total)</c:v>
          </c:tx>
          <c:spPr>
            <a:solidFill>
              <a:schemeClr val="accent1">
                <a:lumMod val="60000"/>
                <a:lumOff val="40000"/>
              </a:schemeClr>
            </a:solidFill>
            <a:ln>
              <a:solidFill>
                <a:schemeClr val="tx1"/>
              </a:solidFill>
            </a:ln>
          </c:spPr>
          <c:invertIfNegative val="0"/>
          <c:dLbls>
            <c:txPr>
              <a:bodyPr/>
              <a:lstStyle/>
              <a:p>
                <a:pPr>
                  <a:defRPr sz="900" b="1"/>
                </a:pPr>
                <a:endParaRPr lang="pt-BR"/>
              </a:p>
            </c:txPr>
            <c:showLegendKey val="0"/>
            <c:showVal val="1"/>
            <c:showCatName val="0"/>
            <c:showSerName val="0"/>
            <c:showPercent val="0"/>
            <c:showBubbleSize val="0"/>
            <c:showLeaderLines val="0"/>
          </c:dLbls>
          <c:cat>
            <c:numRef>
              <c:f>(para_graficos!$K$3:$R$3,para_graficos!$T$3:$U$3,para_graficos!$W$3:$AK$3)</c:f>
              <c:numCache>
                <c:formatCode>General</c:formatCode>
                <c:ptCount val="25"/>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numCache>
            </c:numRef>
          </c:cat>
          <c:val>
            <c:numRef>
              <c:f>(para_graficos!$K$294:$R$294,para_graficos!$T$294:$U$294,para_graficos!$W$294:$AK$294)</c:f>
              <c:numCache>
                <c:formatCode>#,##0.00</c:formatCode>
                <c:ptCount val="25"/>
                <c:pt idx="0">
                  <c:v>0.47980499999999998</c:v>
                </c:pt>
                <c:pt idx="1">
                  <c:v>0.49016700000000002</c:v>
                </c:pt>
                <c:pt idx="2">
                  <c:v>0.50893500000000003</c:v>
                </c:pt>
                <c:pt idx="3">
                  <c:v>0.53687399999999996</c:v>
                </c:pt>
                <c:pt idx="4">
                  <c:v>0.56881099999999996</c:v>
                </c:pt>
                <c:pt idx="5">
                  <c:v>0.59879599999999999</c:v>
                </c:pt>
                <c:pt idx="6">
                  <c:v>0.611958</c:v>
                </c:pt>
                <c:pt idx="7">
                  <c:v>0.62390900000000005</c:v>
                </c:pt>
                <c:pt idx="8">
                  <c:v>0.655227</c:v>
                </c:pt>
                <c:pt idx="9">
                  <c:v>0.67972699999999997</c:v>
                </c:pt>
                <c:pt idx="10">
                  <c:v>0.71787500000000004</c:v>
                </c:pt>
                <c:pt idx="11">
                  <c:v>0.75146100000000005</c:v>
                </c:pt>
                <c:pt idx="12">
                  <c:v>0.790551</c:v>
                </c:pt>
                <c:pt idx="13">
                  <c:v>0.82175299999999996</c:v>
                </c:pt>
                <c:pt idx="14">
                  <c:v>0.86291700000000005</c:v>
                </c:pt>
                <c:pt idx="15">
                  <c:v>0.93128699999999998</c:v>
                </c:pt>
                <c:pt idx="16">
                  <c:v>1.020465</c:v>
                </c:pt>
                <c:pt idx="17">
                  <c:v>1.107259</c:v>
                </c:pt>
                <c:pt idx="18">
                  <c:v>1.2201249999999999</c:v>
                </c:pt>
                <c:pt idx="19">
                  <c:v>1.332381</c:v>
                </c:pt>
                <c:pt idx="20">
                  <c:v>1.4298649999999999</c:v>
                </c:pt>
                <c:pt idx="21">
                  <c:v>1.5073350000000001</c:v>
                </c:pt>
                <c:pt idx="22">
                  <c:v>1.5806249999999999</c:v>
                </c:pt>
                <c:pt idx="23">
                  <c:v>1.632215</c:v>
                </c:pt>
                <c:pt idx="24">
                  <c:v>1.693713</c:v>
                </c:pt>
              </c:numCache>
            </c:numRef>
          </c:val>
        </c:ser>
        <c:dLbls>
          <c:showLegendKey val="0"/>
          <c:showVal val="0"/>
          <c:showCatName val="0"/>
          <c:showSerName val="0"/>
          <c:showPercent val="0"/>
          <c:showBubbleSize val="0"/>
        </c:dLbls>
        <c:gapWidth val="150"/>
        <c:axId val="107773952"/>
        <c:axId val="107790336"/>
      </c:barChart>
      <c:catAx>
        <c:axId val="107773952"/>
        <c:scaling>
          <c:orientation val="minMax"/>
        </c:scaling>
        <c:delete val="0"/>
        <c:axPos val="b"/>
        <c:numFmt formatCode="General" sourceLinked="1"/>
        <c:majorTickMark val="out"/>
        <c:minorTickMark val="none"/>
        <c:tickLblPos val="nextTo"/>
        <c:crossAx val="107790336"/>
        <c:crosses val="autoZero"/>
        <c:auto val="1"/>
        <c:lblAlgn val="ctr"/>
        <c:lblOffset val="100"/>
        <c:noMultiLvlLbl val="0"/>
      </c:catAx>
      <c:valAx>
        <c:axId val="107790336"/>
        <c:scaling>
          <c:orientation val="minMax"/>
        </c:scaling>
        <c:delete val="0"/>
        <c:axPos val="l"/>
        <c:title>
          <c:tx>
            <c:rich>
              <a:bodyPr rot="-5400000" vert="horz"/>
              <a:lstStyle/>
              <a:p>
                <a:pPr>
                  <a:defRPr/>
                </a:pPr>
                <a:r>
                  <a:rPr lang="en-US"/>
                  <a:t>n.º de veículos automotores (milhões)</a:t>
                </a:r>
              </a:p>
            </c:rich>
          </c:tx>
          <c:overlay val="0"/>
        </c:title>
        <c:numFmt formatCode="#,##0.00" sourceLinked="0"/>
        <c:majorTickMark val="out"/>
        <c:minorTickMark val="none"/>
        <c:tickLblPos val="nextTo"/>
        <c:crossAx val="107773952"/>
        <c:crosses val="autoZero"/>
        <c:crossBetween val="between"/>
      </c:valAx>
    </c:plotArea>
    <c:legend>
      <c:legendPos val="b"/>
      <c:layout>
        <c:manualLayout>
          <c:xMode val="edge"/>
          <c:yMode val="edge"/>
          <c:x val="7.6459788966336706E-2"/>
          <c:y val="0.91471059153817469"/>
          <c:w val="0.90375760415707862"/>
          <c:h val="6.3005285899151192E-2"/>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acréscimo anual de F acc (frota de automóvel + caminhonete + camioneta)</c:v>
          </c:tx>
          <c:spPr>
            <a:solidFill>
              <a:schemeClr val="bg1"/>
            </a:solidFill>
            <a:ln>
              <a:solidFill>
                <a:schemeClr val="tx1"/>
              </a:solidFill>
            </a:ln>
          </c:spPr>
          <c:invertIfNegative val="0"/>
          <c:dLbls>
            <c:dLbl>
              <c:idx val="0"/>
              <c:layout>
                <c:manualLayout>
                  <c:x val="-2.8368794326241137E-3"/>
                  <c:y val="0"/>
                </c:manualLayout>
              </c:layout>
              <c:showLegendKey val="0"/>
              <c:showVal val="1"/>
              <c:showCatName val="0"/>
              <c:showSerName val="0"/>
              <c:showPercent val="0"/>
              <c:showBubbleSize val="0"/>
            </c:dLbl>
            <c:dLbl>
              <c:idx val="1"/>
              <c:layout>
                <c:manualLayout>
                  <c:x val="-7.0921985815602835E-3"/>
                  <c:y val="-2.8844187449144092E-7"/>
                </c:manualLayout>
              </c:layout>
              <c:showLegendKey val="0"/>
              <c:showVal val="1"/>
              <c:showCatName val="0"/>
              <c:showSerName val="0"/>
              <c:showPercent val="0"/>
              <c:showBubbleSize val="0"/>
            </c:dLbl>
            <c:dLbl>
              <c:idx val="2"/>
              <c:layout>
                <c:manualLayout>
                  <c:x val="-4.2553191489361703E-3"/>
                  <c:y val="0"/>
                </c:manualLayout>
              </c:layout>
              <c:showLegendKey val="0"/>
              <c:showVal val="1"/>
              <c:showCatName val="0"/>
              <c:showSerName val="0"/>
              <c:showPercent val="0"/>
              <c:showBubbleSize val="0"/>
            </c:dLbl>
            <c:dLbl>
              <c:idx val="3"/>
              <c:layout>
                <c:manualLayout>
                  <c:x val="-4.2553191489361963E-3"/>
                  <c:y val="0"/>
                </c:manualLayout>
              </c:layout>
              <c:showLegendKey val="0"/>
              <c:showVal val="1"/>
              <c:showCatName val="0"/>
              <c:showSerName val="0"/>
              <c:showPercent val="0"/>
              <c:showBubbleSize val="0"/>
            </c:dLbl>
            <c:dLbl>
              <c:idx val="4"/>
              <c:layout>
                <c:manualLayout>
                  <c:x val="-4.2553191489361703E-3"/>
                  <c:y val="0"/>
                </c:manualLayout>
              </c:layout>
              <c:showLegendKey val="0"/>
              <c:showVal val="1"/>
              <c:showCatName val="0"/>
              <c:showSerName val="0"/>
              <c:showPercent val="0"/>
              <c:showBubbleSize val="0"/>
            </c:dLbl>
            <c:dLbl>
              <c:idx val="5"/>
              <c:layout>
                <c:manualLayout>
                  <c:x val="-4.2553191489361703E-3"/>
                  <c:y val="-6.7158107294570869E-17"/>
                </c:manualLayout>
              </c:layout>
              <c:showLegendKey val="0"/>
              <c:showVal val="1"/>
              <c:showCatName val="0"/>
              <c:showSerName val="0"/>
              <c:showPercent val="0"/>
              <c:showBubbleSize val="0"/>
            </c:dLbl>
            <c:dLbl>
              <c:idx val="6"/>
              <c:layout>
                <c:manualLayout>
                  <c:x val="-2.8368794326241137E-3"/>
                  <c:y val="0"/>
                </c:manualLayout>
              </c:layout>
              <c:showLegendKey val="0"/>
              <c:showVal val="1"/>
              <c:showCatName val="0"/>
              <c:showSerName val="0"/>
              <c:showPercent val="0"/>
              <c:showBubbleSize val="0"/>
            </c:dLbl>
            <c:dLbl>
              <c:idx val="7"/>
              <c:layout>
                <c:manualLayout>
                  <c:x val="-4.2553191489362223E-3"/>
                  <c:y val="0"/>
                </c:manualLayout>
              </c:layout>
              <c:showLegendKey val="0"/>
              <c:showVal val="1"/>
              <c:showCatName val="0"/>
              <c:showSerName val="0"/>
              <c:showPercent val="0"/>
              <c:showBubbleSize val="0"/>
            </c:dLbl>
            <c:dLbl>
              <c:idx val="8"/>
              <c:layout>
                <c:manualLayout>
                  <c:x val="-4.2553191489361703E-3"/>
                  <c:y val="3.6632118060412997E-3"/>
                </c:manualLayout>
              </c:layout>
              <c:showLegendKey val="0"/>
              <c:showVal val="1"/>
              <c:showCatName val="0"/>
              <c:showSerName val="0"/>
              <c:showPercent val="0"/>
              <c:showBubbleSize val="0"/>
            </c:dLbl>
            <c:dLbl>
              <c:idx val="9"/>
              <c:layout>
                <c:manualLayout>
                  <c:x val="-4.2553191489361703E-3"/>
                  <c:y val="0"/>
                </c:manualLayout>
              </c:layout>
              <c:showLegendKey val="0"/>
              <c:showVal val="1"/>
              <c:showCatName val="0"/>
              <c:showSerName val="0"/>
              <c:showPercent val="0"/>
              <c:showBubbleSize val="0"/>
            </c:dLbl>
            <c:dLbl>
              <c:idx val="10"/>
              <c:layout>
                <c:manualLayout>
                  <c:x val="0"/>
                  <c:y val="0"/>
                </c:manualLayout>
              </c:layout>
              <c:showLegendKey val="0"/>
              <c:showVal val="1"/>
              <c:showCatName val="0"/>
              <c:showSerName val="0"/>
              <c:showPercent val="0"/>
              <c:showBubbleSize val="0"/>
            </c:dLbl>
            <c:dLbl>
              <c:idx val="11"/>
              <c:layout>
                <c:manualLayout>
                  <c:x val="-4.2553191489361703E-3"/>
                  <c:y val="0"/>
                </c:manualLayout>
              </c:layout>
              <c:showLegendKey val="0"/>
              <c:showVal val="1"/>
              <c:showCatName val="0"/>
              <c:showSerName val="0"/>
              <c:showPercent val="0"/>
              <c:showBubbleSize val="0"/>
            </c:dLbl>
            <c:dLbl>
              <c:idx val="12"/>
              <c:layout>
                <c:manualLayout>
                  <c:x val="-1.4184397163120568E-3"/>
                  <c:y val="3.6632118060412997E-3"/>
                </c:manualLayout>
              </c:layout>
              <c:showLegendKey val="0"/>
              <c:showVal val="1"/>
              <c:showCatName val="0"/>
              <c:showSerName val="0"/>
              <c:showPercent val="0"/>
              <c:showBubbleSize val="0"/>
            </c:dLbl>
            <c:dLbl>
              <c:idx val="13"/>
              <c:layout>
                <c:manualLayout>
                  <c:x val="-9.9290780141843976E-3"/>
                  <c:y val="0"/>
                </c:manualLayout>
              </c:layout>
              <c:showLegendKey val="0"/>
              <c:showVal val="1"/>
              <c:showCatName val="0"/>
              <c:showSerName val="0"/>
              <c:showPercent val="0"/>
              <c:showBubbleSize val="0"/>
            </c:dLbl>
            <c:dLbl>
              <c:idx val="14"/>
              <c:layout>
                <c:manualLayout>
                  <c:x val="-7.0923102697269223E-3"/>
                  <c:y val="-7.3267120539570905E-3"/>
                </c:manualLayout>
              </c:layout>
              <c:showLegendKey val="0"/>
              <c:showVal val="1"/>
              <c:showCatName val="0"/>
              <c:showSerName val="0"/>
              <c:showPercent val="0"/>
              <c:showBubbleSize val="0"/>
            </c:dLbl>
            <c:dLbl>
              <c:idx val="15"/>
              <c:layout>
                <c:manualLayout>
                  <c:x val="-8.5106382978723406E-3"/>
                  <c:y val="1.0989635418123899E-2"/>
                </c:manualLayout>
              </c:layout>
              <c:showLegendKey val="0"/>
              <c:showVal val="1"/>
              <c:showCatName val="0"/>
              <c:showSerName val="0"/>
              <c:showPercent val="0"/>
              <c:showBubbleSize val="0"/>
            </c:dLbl>
            <c:numFmt formatCode="0%" sourceLinked="0"/>
            <c:spPr>
              <a:noFill/>
              <a:ln>
                <a:noFill/>
              </a:ln>
            </c:spPr>
            <c:txPr>
              <a:bodyPr/>
              <a:lstStyle/>
              <a:p>
                <a:pPr>
                  <a:defRPr sz="800" b="1"/>
                </a:pPr>
                <a:endParaRPr lang="pt-BR"/>
              </a:p>
            </c:txPr>
            <c:showLegendKey val="0"/>
            <c:showVal val="1"/>
            <c:showCatName val="0"/>
            <c:showSerName val="0"/>
            <c:showPercent val="0"/>
            <c:showBubbleSize val="0"/>
            <c:showLeaderLines val="0"/>
          </c:dLbls>
          <c:cat>
            <c:numRef>
              <c:f>(para_graficos!$U$3,para_graficos!$W$3:$AK$3)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(para_graficos!$U$302,para_graficos!$W$302:$AK$302)</c:f>
              <c:numCache>
                <c:formatCode>0.00%</c:formatCode>
                <c:ptCount val="16"/>
                <c:pt idx="0">
                  <c:v>3.9233949825913314E-2</c:v>
                </c:pt>
                <c:pt idx="1">
                  <c:v>4.7446462305075647E-2</c:v>
                </c:pt>
                <c:pt idx="2">
                  <c:v>3.6600713467889213E-2</c:v>
                </c:pt>
                <c:pt idx="3">
                  <c:v>4.7129152090020561E-2</c:v>
                </c:pt>
                <c:pt idx="4">
                  <c:v>3.4628429839348454E-2</c:v>
                </c:pt>
                <c:pt idx="5">
                  <c:v>4.4551326476866354E-2</c:v>
                </c:pt>
                <c:pt idx="6">
                  <c:v>6.6376966508056259E-2</c:v>
                </c:pt>
                <c:pt idx="7">
                  <c:v>7.7545558508034962E-2</c:v>
                </c:pt>
                <c:pt idx="8">
                  <c:v>7.0449166281070966E-2</c:v>
                </c:pt>
                <c:pt idx="9">
                  <c:v>8.9510921892380385E-2</c:v>
                </c:pt>
                <c:pt idx="10">
                  <c:v>8.4163765935515861E-2</c:v>
                </c:pt>
                <c:pt idx="11">
                  <c:v>6.5261857831431583E-2</c:v>
                </c:pt>
                <c:pt idx="12">
                  <c:v>5.1793746796514606E-2</c:v>
                </c:pt>
                <c:pt idx="13">
                  <c:v>4.6426842610282126E-2</c:v>
                </c:pt>
                <c:pt idx="14">
                  <c:v>3.1410864315731112E-2</c:v>
                </c:pt>
                <c:pt idx="15">
                  <c:v>3.838416210822268E-2</c:v>
                </c:pt>
              </c:numCache>
            </c:numRef>
          </c:val>
        </c:ser>
        <c:ser>
          <c:idx val="1"/>
          <c:order val="1"/>
          <c:tx>
            <c:v>acréscimo anual de F mmc (motociclo: motocicleta + motoneta + ciclomotor)</c:v>
          </c:tx>
          <c:spPr>
            <a:solidFill>
              <a:schemeClr val="tx1"/>
            </a:solidFill>
            <a:ln>
              <a:solidFill>
                <a:sysClr val="windowText" lastClr="000000"/>
              </a:solidFill>
            </a:ln>
          </c:spPr>
          <c:invertIfNegative val="0"/>
          <c:dLbls>
            <c:dLbl>
              <c:idx val="2"/>
              <c:layout>
                <c:manualLayout>
                  <c:x val="-2.600442772701956E-17"/>
                  <c:y val="-2.5642482642289098E-2"/>
                </c:manualLayout>
              </c:layout>
              <c:showLegendKey val="0"/>
              <c:showVal val="1"/>
              <c:showCatName val="0"/>
              <c:showSerName val="0"/>
              <c:showPercent val="0"/>
              <c:showBubbleSize val="0"/>
            </c:dLbl>
            <c:dLbl>
              <c:idx val="5"/>
              <c:layout>
                <c:manualLayout>
                  <c:x val="0"/>
                  <c:y val="-1.4652847224165232E-2"/>
                </c:manualLayout>
              </c:layout>
              <c:showLegendKey val="0"/>
              <c:showVal val="1"/>
              <c:showCatName val="0"/>
              <c:showSerName val="0"/>
              <c:showPercent val="0"/>
              <c:showBubbleSize val="0"/>
            </c:dLbl>
            <c:dLbl>
              <c:idx val="6"/>
              <c:layout>
                <c:manualLayout>
                  <c:x val="2.8368794326241137E-3"/>
                  <c:y val="-1.83160590302065E-2"/>
                </c:manualLayout>
              </c:layout>
              <c:showLegendKey val="0"/>
              <c:showVal val="1"/>
              <c:showCatName val="0"/>
              <c:showSerName val="0"/>
              <c:showPercent val="0"/>
              <c:showBubbleSize val="0"/>
            </c:dLbl>
            <c:dLbl>
              <c:idx val="9"/>
              <c:layout>
                <c:manualLayout>
                  <c:x val="0"/>
                  <c:y val="-1.0989635418123899E-2"/>
                </c:manualLayout>
              </c:layout>
              <c:showLegendKey val="0"/>
              <c:showVal val="1"/>
              <c:showCatName val="0"/>
              <c:showSerName val="0"/>
              <c:showPercent val="0"/>
              <c:showBubbleSize val="0"/>
            </c:dLbl>
            <c:dLbl>
              <c:idx val="10"/>
              <c:layout>
                <c:manualLayout>
                  <c:x val="4.2553191489361703E-3"/>
                  <c:y val="-3.2968906254371662E-2"/>
                </c:manualLayout>
              </c:layout>
              <c:showLegendKey val="0"/>
              <c:showVal val="1"/>
              <c:showCatName val="0"/>
              <c:showSerName val="0"/>
              <c:showPercent val="0"/>
              <c:showBubbleSize val="0"/>
            </c:dLbl>
            <c:dLbl>
              <c:idx val="12"/>
              <c:layout>
                <c:manualLayout>
                  <c:x val="8.5106382978724446E-3"/>
                  <c:y val="-3.6632118060412997E-3"/>
                </c:manualLayout>
              </c:layout>
              <c:showLegendKey val="0"/>
              <c:showVal val="1"/>
              <c:showCatName val="0"/>
              <c:showSerName val="0"/>
              <c:showPercent val="0"/>
              <c:showBubbleSize val="0"/>
            </c:dLbl>
            <c:dLbl>
              <c:idx val="13"/>
              <c:layout>
                <c:manualLayout>
                  <c:x val="0"/>
                  <c:y val="-7.3264236120825993E-3"/>
                </c:manualLayout>
              </c:layout>
              <c:showLegendKey val="0"/>
              <c:showVal val="1"/>
              <c:showCatName val="0"/>
              <c:showSerName val="0"/>
              <c:showPercent val="0"/>
              <c:showBubbleSize val="0"/>
            </c:dLbl>
            <c:dLbl>
              <c:idx val="14"/>
              <c:layout>
                <c:manualLayout>
                  <c:x val="4.2553191489362744E-3"/>
                  <c:y val="-7.3267120539570905E-3"/>
                </c:manualLayout>
              </c:layout>
              <c:showLegendKey val="0"/>
              <c:showVal val="1"/>
              <c:showCatName val="0"/>
              <c:showSerName val="0"/>
              <c:showPercent val="0"/>
              <c:showBubbleSize val="0"/>
            </c:dLbl>
            <c:dLbl>
              <c:idx val="15"/>
              <c:layout>
                <c:manualLayout>
                  <c:x val="7.0921985815602835E-3"/>
                  <c:y val="-2.9305694448330397E-2"/>
                </c:manualLayout>
              </c:layout>
              <c:showLegendKey val="0"/>
              <c:showVal val="1"/>
              <c:showCatName val="0"/>
              <c:showSerName val="0"/>
              <c:showPercent val="0"/>
              <c:showBubbleSize val="0"/>
            </c:dLbl>
            <c:numFmt formatCode="0%" sourceLinked="0"/>
            <c:spPr>
              <a:solidFill>
                <a:schemeClr val="tx1"/>
              </a:solidFill>
              <a:ln>
                <a:solidFill>
                  <a:schemeClr val="tx1"/>
                </a:solidFill>
              </a:ln>
            </c:spPr>
            <c:txPr>
              <a:bodyPr/>
              <a:lstStyle/>
              <a:p>
                <a:pPr>
                  <a:defRPr sz="800" b="1">
                    <a:solidFill>
                      <a:schemeClr val="bg1"/>
                    </a:solidFill>
                  </a:defRPr>
                </a:pPr>
                <a:endParaRPr lang="pt-BR"/>
              </a:p>
            </c:txPr>
            <c:showLegendKey val="0"/>
            <c:showVal val="1"/>
            <c:showCatName val="0"/>
            <c:showSerName val="0"/>
            <c:showPercent val="0"/>
            <c:showBubbleSize val="0"/>
            <c:showLeaderLines val="0"/>
          </c:dLbls>
          <c:cat>
            <c:numRef>
              <c:f>(para_graficos!$U$3,para_graficos!$W$3:$AK$3)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(para_graficos!$U$323,para_graficos!$W$323:$AK$323)</c:f>
              <c:numCache>
                <c:formatCode>0.00%</c:formatCode>
                <c:ptCount val="16"/>
                <c:pt idx="0">
                  <c:v>7.8095631519157285E-2</c:v>
                </c:pt>
                <c:pt idx="1">
                  <c:v>0.11473761199488024</c:v>
                </c:pt>
                <c:pt idx="2">
                  <c:v>0.12997136493795736</c:v>
                </c:pt>
                <c:pt idx="3">
                  <c:v>9.9091352079571191E-2</c:v>
                </c:pt>
                <c:pt idx="4">
                  <c:v>0.13707981894184867</c:v>
                </c:pt>
                <c:pt idx="5">
                  <c:v>9.2156378416006102E-2</c:v>
                </c:pt>
                <c:pt idx="6">
                  <c:v>0.13176647202752892</c:v>
                </c:pt>
                <c:pt idx="7">
                  <c:v>0.16424561889476386</c:v>
                </c:pt>
                <c:pt idx="8">
                  <c:v>0.13683448077017743</c:v>
                </c:pt>
                <c:pt idx="9">
                  <c:v>0.11425528204106039</c:v>
                </c:pt>
                <c:pt idx="10">
                  <c:v>8.7512291052114055E-2</c:v>
                </c:pt>
                <c:pt idx="11">
                  <c:v>7.9869046560641796E-2</c:v>
                </c:pt>
                <c:pt idx="12">
                  <c:v>5.0651639649479926E-2</c:v>
                </c:pt>
                <c:pt idx="13">
                  <c:v>4.2394880474678126E-2</c:v>
                </c:pt>
                <c:pt idx="14">
                  <c:v>3.1348583165622022E-2</c:v>
                </c:pt>
                <c:pt idx="15">
                  <c:v>2.9602749337468662E-2</c:v>
                </c:pt>
              </c:numCache>
            </c:numRef>
          </c:val>
        </c:ser>
        <c:ser>
          <c:idx val="2"/>
          <c:order val="2"/>
          <c:tx>
            <c:v>acréscimo anual de F (frota total)</c:v>
          </c:tx>
          <c:spPr>
            <a:solidFill>
              <a:schemeClr val="accent1">
                <a:lumMod val="60000"/>
                <a:lumOff val="40000"/>
              </a:schemeClr>
            </a:solidFill>
            <a:ln>
              <a:solidFill>
                <a:schemeClr val="tx1"/>
              </a:solidFill>
            </a:ln>
          </c:spPr>
          <c:invertIfNegative val="0"/>
          <c:dLbls>
            <c:numFmt formatCode="0%" sourceLinked="0"/>
            <c:spPr>
              <a:solidFill>
                <a:schemeClr val="accent1">
                  <a:lumMod val="60000"/>
                  <a:lumOff val="40000"/>
                </a:schemeClr>
              </a:solidFill>
            </c:spPr>
            <c:txPr>
              <a:bodyPr/>
              <a:lstStyle/>
              <a:p>
                <a:pPr>
                  <a:defRPr sz="800" b="1"/>
                </a:pPr>
                <a:endParaRPr lang="pt-BR"/>
              </a:p>
            </c:txPr>
            <c:dLblPos val="inBase"/>
            <c:showLegendKey val="0"/>
            <c:showVal val="1"/>
            <c:showCatName val="0"/>
            <c:showSerName val="0"/>
            <c:showPercent val="0"/>
            <c:showBubbleSize val="0"/>
            <c:showLeaderLines val="0"/>
          </c:dLbls>
          <c:cat>
            <c:numRef>
              <c:f>(para_graficos!$U$3,para_graficos!$W$3:$AK$3)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(para_graficos!$U$302,para_graficos!$W$302:$AK$302)</c:f>
              <c:numCache>
                <c:formatCode>0.00%</c:formatCode>
                <c:ptCount val="16"/>
                <c:pt idx="0">
                  <c:v>3.9233949825913314E-2</c:v>
                </c:pt>
                <c:pt idx="1">
                  <c:v>4.7446462305075647E-2</c:v>
                </c:pt>
                <c:pt idx="2">
                  <c:v>3.6600713467889213E-2</c:v>
                </c:pt>
                <c:pt idx="3">
                  <c:v>4.7129152090020561E-2</c:v>
                </c:pt>
                <c:pt idx="4">
                  <c:v>3.4628429839348454E-2</c:v>
                </c:pt>
                <c:pt idx="5">
                  <c:v>4.4551326476866354E-2</c:v>
                </c:pt>
                <c:pt idx="6">
                  <c:v>6.6376966508056259E-2</c:v>
                </c:pt>
                <c:pt idx="7">
                  <c:v>7.7545558508034962E-2</c:v>
                </c:pt>
                <c:pt idx="8">
                  <c:v>7.0449166281070966E-2</c:v>
                </c:pt>
                <c:pt idx="9">
                  <c:v>8.9510921892380385E-2</c:v>
                </c:pt>
                <c:pt idx="10">
                  <c:v>8.4163765935515861E-2</c:v>
                </c:pt>
                <c:pt idx="11">
                  <c:v>6.5261857831431583E-2</c:v>
                </c:pt>
                <c:pt idx="12">
                  <c:v>5.1793746796514606E-2</c:v>
                </c:pt>
                <c:pt idx="13">
                  <c:v>4.6426842610282126E-2</c:v>
                </c:pt>
                <c:pt idx="14">
                  <c:v>3.1410864315731112E-2</c:v>
                </c:pt>
                <c:pt idx="15">
                  <c:v>3.838416210822268E-2</c:v>
                </c:pt>
              </c:numCache>
            </c:numRef>
          </c:val>
        </c:ser>
        <c:dLbls>
          <c:showLegendKey val="0"/>
          <c:showVal val="0"/>
          <c:showCatName val="0"/>
          <c:showSerName val="0"/>
          <c:showPercent val="0"/>
          <c:showBubbleSize val="0"/>
        </c:dLbls>
        <c:gapWidth val="150"/>
        <c:axId val="111889408"/>
        <c:axId val="111919872"/>
      </c:barChart>
      <c:catAx>
        <c:axId val="111889408"/>
        <c:scaling>
          <c:orientation val="minMax"/>
        </c:scaling>
        <c:delete val="0"/>
        <c:axPos val="b"/>
        <c:numFmt formatCode="General" sourceLinked="1"/>
        <c:majorTickMark val="out"/>
        <c:minorTickMark val="none"/>
        <c:tickLblPos val="nextTo"/>
        <c:crossAx val="111919872"/>
        <c:crosses val="autoZero"/>
        <c:auto val="1"/>
        <c:lblAlgn val="ctr"/>
        <c:lblOffset val="100"/>
        <c:noMultiLvlLbl val="0"/>
      </c:catAx>
      <c:valAx>
        <c:axId val="111919872"/>
        <c:scaling>
          <c:orientation val="minMax"/>
        </c:scaling>
        <c:delete val="0"/>
        <c:axPos val="l"/>
        <c:title>
          <c:tx>
            <c:rich>
              <a:bodyPr rot="-5400000" vert="horz"/>
              <a:lstStyle/>
              <a:p>
                <a:pPr>
                  <a:defRPr/>
                </a:pPr>
                <a:r>
                  <a:rPr lang="en-US"/>
                  <a:t>acréscimo anual (%)</a:t>
                </a:r>
              </a:p>
            </c:rich>
          </c:tx>
          <c:overlay val="0"/>
        </c:title>
        <c:numFmt formatCode="0%" sourceLinked="0"/>
        <c:majorTickMark val="out"/>
        <c:minorTickMark val="none"/>
        <c:tickLblPos val="nextTo"/>
        <c:crossAx val="111889408"/>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2"/>
          <c:order val="0"/>
          <c:spPr>
            <a:solidFill>
              <a:schemeClr val="accent1">
                <a:lumMod val="60000"/>
                <a:lumOff val="40000"/>
              </a:schemeClr>
            </a:solidFill>
            <a:ln>
              <a:solidFill>
                <a:schemeClr val="tx1"/>
              </a:solidFill>
            </a:ln>
          </c:spPr>
          <c:invertIfNegative val="0"/>
          <c:dLbls>
            <c:txPr>
              <a:bodyPr/>
              <a:lstStyle/>
              <a:p>
                <a:pPr>
                  <a:defRPr sz="900" b="1"/>
                </a:pPr>
                <a:endParaRPr lang="pt-BR"/>
              </a:p>
            </c:txPr>
            <c:showLegendKey val="0"/>
            <c:showVal val="1"/>
            <c:showCatName val="0"/>
            <c:showSerName val="0"/>
            <c:showPercent val="0"/>
            <c:showBubbleSize val="0"/>
            <c:showLeaderLines val="0"/>
          </c:dLbls>
          <c:cat>
            <c:numRef>
              <c:f>(para_graficos!$K$3:$R$3,para_graficos!$T$3:$U$3,para_graficos!$W$3:$AK$3)</c:f>
              <c:numCache>
                <c:formatCode>General</c:formatCode>
                <c:ptCount val="25"/>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numCache>
            </c:numRef>
          </c:cat>
          <c:val>
            <c:numRef>
              <c:f>(para_graficos!$K$295:$R$295,para_graficos!$T$295:$U$295,para_graficos!$W$295:$AK$295)</c:f>
              <c:numCache>
                <c:formatCode>0.00</c:formatCode>
                <c:ptCount val="25"/>
                <c:pt idx="0">
                  <c:v>0.23750829760598288</c:v>
                </c:pt>
                <c:pt idx="1">
                  <c:v>0.24167086570537441</c:v>
                </c:pt>
                <c:pt idx="2">
                  <c:v>0.24992449744764542</c:v>
                </c:pt>
                <c:pt idx="3">
                  <c:v>0.26259427732942042</c:v>
                </c:pt>
                <c:pt idx="4">
                  <c:v>0.27710678440554243</c:v>
                </c:pt>
                <c:pt idx="5">
                  <c:v>0.28630690315991603</c:v>
                </c:pt>
                <c:pt idx="6">
                  <c:v>0.2914343841883138</c:v>
                </c:pt>
                <c:pt idx="7">
                  <c:v>0.29594210831637979</c:v>
                </c:pt>
                <c:pt idx="8">
                  <c:v>0.30955908545878713</c:v>
                </c:pt>
                <c:pt idx="9">
                  <c:v>0.30364936569867851</c:v>
                </c:pt>
                <c:pt idx="10">
                  <c:v>0.31783689825721556</c:v>
                </c:pt>
                <c:pt idx="11">
                  <c:v>0.32894354396734821</c:v>
                </c:pt>
                <c:pt idx="12">
                  <c:v>0.34285145536583206</c:v>
                </c:pt>
                <c:pt idx="13">
                  <c:v>0.34959822408579388</c:v>
                </c:pt>
                <c:pt idx="14">
                  <c:v>0.36328314940793466</c:v>
                </c:pt>
                <c:pt idx="15">
                  <c:v>0.38804918497283242</c:v>
                </c:pt>
                <c:pt idx="16">
                  <c:v>0.42291406696486483</c:v>
                </c:pt>
                <c:pt idx="17">
                  <c:v>0.45479335360188478</c:v>
                </c:pt>
                <c:pt idx="18">
                  <c:v>0.49747881548566286</c:v>
                </c:pt>
                <c:pt idx="19">
                  <c:v>0.56096686063328183</c:v>
                </c:pt>
                <c:pt idx="20">
                  <c:v>0.59936327358696195</c:v>
                </c:pt>
                <c:pt idx="21">
                  <c:v>0.62916121438275974</c:v>
                </c:pt>
                <c:pt idx="22">
                  <c:v>0.63756345382417068</c:v>
                </c:pt>
                <c:pt idx="23">
                  <c:v>0.65521621093256055</c:v>
                </c:pt>
                <c:pt idx="24">
                  <c:v>0.67679297614399991</c:v>
                </c:pt>
              </c:numCache>
            </c:numRef>
          </c:val>
        </c:ser>
        <c:dLbls>
          <c:showLegendKey val="0"/>
          <c:showVal val="0"/>
          <c:showCatName val="0"/>
          <c:showSerName val="0"/>
          <c:showPercent val="0"/>
          <c:showBubbleSize val="0"/>
        </c:dLbls>
        <c:gapWidth val="150"/>
        <c:axId val="111952640"/>
        <c:axId val="111954176"/>
      </c:barChart>
      <c:catAx>
        <c:axId val="111952640"/>
        <c:scaling>
          <c:orientation val="minMax"/>
        </c:scaling>
        <c:delete val="0"/>
        <c:axPos val="b"/>
        <c:numFmt formatCode="General" sourceLinked="1"/>
        <c:majorTickMark val="out"/>
        <c:minorTickMark val="none"/>
        <c:tickLblPos val="nextTo"/>
        <c:txPr>
          <a:bodyPr rot="-5400000" vert="horz"/>
          <a:lstStyle/>
          <a:p>
            <a:pPr>
              <a:defRPr/>
            </a:pPr>
            <a:endParaRPr lang="pt-BR"/>
          </a:p>
        </c:txPr>
        <c:crossAx val="111954176"/>
        <c:crosses val="autoZero"/>
        <c:auto val="1"/>
        <c:lblAlgn val="ctr"/>
        <c:lblOffset val="100"/>
        <c:noMultiLvlLbl val="0"/>
      </c:catAx>
      <c:valAx>
        <c:axId val="111954176"/>
        <c:scaling>
          <c:orientation val="minMax"/>
        </c:scaling>
        <c:delete val="0"/>
        <c:axPos val="l"/>
        <c:title>
          <c:tx>
            <c:rich>
              <a:bodyPr rot="-5400000" vert="horz"/>
              <a:lstStyle/>
              <a:p>
                <a:pPr>
                  <a:defRPr/>
                </a:pPr>
                <a:r>
                  <a:rPr lang="en-US"/>
                  <a:t>n.º total de veículos automotores por habitante</a:t>
                </a:r>
              </a:p>
            </c:rich>
          </c:tx>
          <c:overlay val="0"/>
        </c:title>
        <c:numFmt formatCode="0.00" sourceLinked="1"/>
        <c:majorTickMark val="out"/>
        <c:minorTickMark val="none"/>
        <c:tickLblPos val="nextTo"/>
        <c:crossAx val="111952640"/>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85000"/>
                </a:schemeClr>
              </a:solidFill>
              <a:ln>
                <a:solidFill>
                  <a:sysClr val="windowText" lastClr="000000"/>
                </a:solidFill>
              </a:ln>
            </c:spPr>
          </c:dPt>
          <c:dPt>
            <c:idx val="1"/>
            <c:bubble3D val="0"/>
            <c:spPr>
              <a:solidFill>
                <a:schemeClr val="bg1">
                  <a:lumMod val="65000"/>
                </a:schemeClr>
              </a:solidFill>
              <a:ln>
                <a:solidFill>
                  <a:sysClr val="windowText" lastClr="000000"/>
                </a:solidFill>
              </a:ln>
            </c:spPr>
          </c:dPt>
          <c:dPt>
            <c:idx val="2"/>
            <c:bubble3D val="0"/>
            <c:spPr>
              <a:solidFill>
                <a:schemeClr val="tx1"/>
              </a:solidFill>
              <a:ln>
                <a:solidFill>
                  <a:sysClr val="windowText" lastClr="000000"/>
                </a:solidFill>
              </a:ln>
            </c:spPr>
          </c:dPt>
          <c:dPt>
            <c:idx val="3"/>
            <c:bubble3D val="0"/>
            <c:spPr>
              <a:solidFill>
                <a:schemeClr val="bg1"/>
              </a:solidFill>
              <a:ln>
                <a:solidFill>
                  <a:sysClr val="windowText" lastClr="000000"/>
                </a:solidFill>
              </a:ln>
            </c:spPr>
          </c:dPt>
          <c:dLbls>
            <c:dLbl>
              <c:idx val="0"/>
              <c:layout>
                <c:manualLayout>
                  <c:x val="-8.2867700265036204E-2"/>
                  <c:y val="0.15718505913496425"/>
                </c:manualLayout>
              </c:layout>
              <c:showLegendKey val="0"/>
              <c:showVal val="0"/>
              <c:showCatName val="1"/>
              <c:showSerName val="0"/>
              <c:showPercent val="1"/>
              <c:showBubbleSize val="0"/>
            </c:dLbl>
            <c:dLbl>
              <c:idx val="1"/>
              <c:layout>
                <c:manualLayout>
                  <c:x val="-0.19950067008345002"/>
                  <c:y val="4.0842307695244391E-2"/>
                </c:manualLayout>
              </c:layout>
              <c:showLegendKey val="0"/>
              <c:showVal val="0"/>
              <c:showCatName val="1"/>
              <c:showSerName val="0"/>
              <c:showPercent val="1"/>
              <c:showBubbleSize val="0"/>
            </c:dLbl>
            <c:dLbl>
              <c:idx val="3"/>
              <c:layout>
                <c:manualLayout>
                  <c:x val="0.18622942115922295"/>
                  <c:y val="-9.8329041809713913E-2"/>
                </c:manualLayout>
              </c:layout>
              <c:showLegendKey val="0"/>
              <c:showVal val="0"/>
              <c:showCatName val="1"/>
              <c:showSerName val="0"/>
              <c:showPercent val="1"/>
              <c:showBubbleSize val="0"/>
            </c:dLbl>
            <c:txPr>
              <a:bodyPr/>
              <a:lstStyle/>
              <a:p>
                <a:pPr>
                  <a:defRPr b="1"/>
                </a:pPr>
                <a:endParaRPr lang="pt-BR"/>
              </a:p>
            </c:txPr>
            <c:showLegendKey val="0"/>
            <c:showVal val="0"/>
            <c:showCatName val="1"/>
            <c:showSerName val="0"/>
            <c:showPercent val="1"/>
            <c:showBubbleSize val="0"/>
            <c:showLeaderLines val="1"/>
          </c:dLbls>
          <c:cat>
            <c:strRef>
              <c:f>para_graficos!$D$264:$D$267</c:f>
              <c:strCache>
                <c:ptCount val="4"/>
                <c:pt idx="0">
                  <c:v>EV arterial</c:v>
                </c:pt>
                <c:pt idx="1">
                  <c:v>EV coletora</c:v>
                </c:pt>
                <c:pt idx="2">
                  <c:v>EV ligação regional</c:v>
                </c:pt>
                <c:pt idx="3">
                  <c:v>EV local</c:v>
                </c:pt>
              </c:strCache>
            </c:strRef>
          </c:cat>
          <c:val>
            <c:numRef>
              <c:f>para_graficos!$AF$264:$AF$267</c:f>
              <c:numCache>
                <c:formatCode>#,##0.00</c:formatCode>
                <c:ptCount val="4"/>
                <c:pt idx="0" formatCode="General">
                  <c:v>493.68</c:v>
                </c:pt>
                <c:pt idx="1">
                  <c:v>1083.55</c:v>
                </c:pt>
                <c:pt idx="2">
                  <c:v>47.24</c:v>
                </c:pt>
                <c:pt idx="3">
                  <c:v>2904.58</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população de BH</c:v>
          </c:tx>
          <c:spPr>
            <a:ln w="22225">
              <a:solidFill>
                <a:schemeClr val="tx1">
                  <a:lumMod val="50000"/>
                  <a:lumOff val="50000"/>
                </a:schemeClr>
              </a:solidFill>
            </a:ln>
          </c:spPr>
          <c:marker>
            <c:symbol val="square"/>
            <c:size val="3"/>
            <c:spPr>
              <a:solidFill>
                <a:schemeClr val="bg1">
                  <a:lumMod val="85000"/>
                </a:schemeClr>
              </a:solidFill>
              <a:ln>
                <a:solidFill>
                  <a:schemeClr val="tx1">
                    <a:lumMod val="50000"/>
                    <a:lumOff val="50000"/>
                  </a:schemeClr>
                </a:solidFill>
              </a:ln>
            </c:spPr>
          </c:marker>
          <c:dLbls>
            <c:dLbl>
              <c:idx val="0"/>
              <c:layout>
                <c:manualLayout>
                  <c:x val="-2.3038156947444179E-2"/>
                  <c:y val="5.2582159624413143E-2"/>
                </c:manualLayout>
              </c:layout>
              <c:spPr/>
              <c:txPr>
                <a:bodyPr/>
                <a:lstStyle/>
                <a:p>
                  <a:pPr>
                    <a:defRPr b="1"/>
                  </a:pPr>
                  <a:endParaRPr lang="pt-BR"/>
                </a:p>
              </c:txPr>
              <c:showLegendKey val="0"/>
              <c:showVal val="1"/>
              <c:showCatName val="0"/>
              <c:showSerName val="0"/>
              <c:showPercent val="0"/>
              <c:showBubbleSize val="0"/>
            </c:dLbl>
            <c:dLbl>
              <c:idx val="24"/>
              <c:layout>
                <c:manualLayout>
                  <c:x val="-5.7595392368610509E-3"/>
                  <c:y val="-3.3802816901408447E-2"/>
                </c:manualLayout>
              </c:layout>
              <c:spPr/>
              <c:txPr>
                <a:bodyPr/>
                <a:lstStyle/>
                <a:p>
                  <a:pPr>
                    <a:defRPr b="1"/>
                  </a:pPr>
                  <a:endParaRPr lang="pt-BR"/>
                </a:p>
              </c:txPr>
              <c:showLegendKey val="0"/>
              <c:showVal val="1"/>
              <c:showCatName val="0"/>
              <c:showSerName val="0"/>
              <c:showPercent val="0"/>
              <c:showBubbleSize val="0"/>
            </c:dLbl>
            <c:showLegendKey val="0"/>
            <c:showVal val="0"/>
            <c:showCatName val="0"/>
            <c:showSerName val="0"/>
            <c:showPercent val="0"/>
            <c:showBubbleSize val="0"/>
          </c:dLbls>
          <c:cat>
            <c:numRef>
              <c:f>(para_graficos!$K$3:$R$3,para_graficos!$T$3:$U$3,para_graficos!$W$3:$AK$3)</c:f>
              <c:numCache>
                <c:formatCode>General</c:formatCode>
                <c:ptCount val="25"/>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numCache>
            </c:numRef>
          </c:cat>
          <c:val>
            <c:numRef>
              <c:f>(para_graficos!$K$611:$R$611,para_graficos!$T$611:$U$611,para_graficos!$W$611:$AK$611)</c:f>
              <c:numCache>
                <c:formatCode>#,##0</c:formatCode>
                <c:ptCount val="25"/>
                <c:pt idx="0">
                  <c:v>2020161</c:v>
                </c:pt>
                <c:pt idx="1">
                  <c:v>2028242</c:v>
                </c:pt>
                <c:pt idx="2">
                  <c:v>2036355</c:v>
                </c:pt>
                <c:pt idx="3">
                  <c:v>2044500</c:v>
                </c:pt>
                <c:pt idx="4">
                  <c:v>2052678</c:v>
                </c:pt>
                <c:pt idx="5">
                  <c:v>2091448</c:v>
                </c:pt>
                <c:pt idx="6">
                  <c:v>2099814</c:v>
                </c:pt>
                <c:pt idx="7">
                  <c:v>2108213</c:v>
                </c:pt>
                <c:pt idx="8">
                  <c:v>2116646</c:v>
                </c:pt>
                <c:pt idx="9">
                  <c:v>2238526</c:v>
                </c:pt>
                <c:pt idx="10">
                  <c:v>2258627</c:v>
                </c:pt>
                <c:pt idx="11">
                  <c:v>2284468</c:v>
                </c:pt>
                <c:pt idx="12">
                  <c:v>2305812</c:v>
                </c:pt>
                <c:pt idx="13">
                  <c:v>2350564</c:v>
                </c:pt>
                <c:pt idx="14">
                  <c:v>2375329</c:v>
                </c:pt>
                <c:pt idx="15">
                  <c:v>2399920</c:v>
                </c:pt>
                <c:pt idx="16">
                  <c:v>2412937</c:v>
                </c:pt>
                <c:pt idx="17">
                  <c:v>2434642</c:v>
                </c:pt>
                <c:pt idx="18">
                  <c:v>2452617</c:v>
                </c:pt>
                <c:pt idx="19">
                  <c:v>2375151</c:v>
                </c:pt>
                <c:pt idx="20">
                  <c:v>2385640</c:v>
                </c:pt>
                <c:pt idx="21">
                  <c:v>2395785</c:v>
                </c:pt>
                <c:pt idx="22">
                  <c:v>2479165</c:v>
                </c:pt>
                <c:pt idx="23">
                  <c:v>2491109</c:v>
                </c:pt>
                <c:pt idx="24">
                  <c:v>2502557</c:v>
                </c:pt>
              </c:numCache>
            </c:numRef>
          </c:val>
          <c:smooth val="1"/>
        </c:ser>
        <c:dLbls>
          <c:showLegendKey val="0"/>
          <c:showVal val="0"/>
          <c:showCatName val="0"/>
          <c:showSerName val="0"/>
          <c:showPercent val="0"/>
          <c:showBubbleSize val="0"/>
        </c:dLbls>
        <c:marker val="1"/>
        <c:smooth val="0"/>
        <c:axId val="112697344"/>
        <c:axId val="112698880"/>
      </c:lineChart>
      <c:catAx>
        <c:axId val="112697344"/>
        <c:scaling>
          <c:orientation val="minMax"/>
        </c:scaling>
        <c:delete val="0"/>
        <c:axPos val="b"/>
        <c:numFmt formatCode="General" sourceLinked="1"/>
        <c:majorTickMark val="out"/>
        <c:minorTickMark val="none"/>
        <c:tickLblPos val="nextTo"/>
        <c:crossAx val="112698880"/>
        <c:crosses val="autoZero"/>
        <c:auto val="1"/>
        <c:lblAlgn val="ctr"/>
        <c:lblOffset val="100"/>
        <c:noMultiLvlLbl val="0"/>
      </c:catAx>
      <c:valAx>
        <c:axId val="112698880"/>
        <c:scaling>
          <c:orientation val="minMax"/>
          <c:min val="1800000"/>
        </c:scaling>
        <c:delete val="0"/>
        <c:axPos val="l"/>
        <c:majorGridlines/>
        <c:numFmt formatCode="#,##0" sourceLinked="1"/>
        <c:majorTickMark val="out"/>
        <c:minorTickMark val="none"/>
        <c:tickLblPos val="nextTo"/>
        <c:crossAx val="112697344"/>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ysClr val="window" lastClr="FFFFFF"/>
            </a:solidFill>
            <a:ln>
              <a:solidFill>
                <a:sysClr val="windowText" lastClr="000000"/>
              </a:solidFill>
            </a:ln>
          </c:spPr>
          <c:dPt>
            <c:idx val="0"/>
            <c:bubble3D val="0"/>
            <c:spPr>
              <a:solidFill>
                <a:schemeClr val="bg1">
                  <a:lumMod val="50000"/>
                </a:schemeClr>
              </a:solidFill>
              <a:ln>
                <a:solidFill>
                  <a:sysClr val="windowText" lastClr="000000"/>
                </a:solidFill>
              </a:ln>
            </c:spPr>
          </c:dPt>
          <c:dPt>
            <c:idx val="1"/>
            <c:bubble3D val="0"/>
          </c:dPt>
          <c:dLbls>
            <c:dLbl>
              <c:idx val="0"/>
              <c:tx>
                <c:rich>
                  <a:bodyPr/>
                  <a:lstStyle/>
                  <a:p>
                    <a:pPr>
                      <a:defRPr b="1"/>
                    </a:pPr>
                    <a:r>
                      <a:rPr lang="en-US" b="1"/>
                      <a:t>331,40 km2</a:t>
                    </a:r>
                  </a:p>
                </c:rich>
              </c:tx>
              <c:numFmt formatCode="#,##0.00" sourceLinked="0"/>
              <c:spPr>
                <a:solidFill>
                  <a:schemeClr val="bg1">
                    <a:lumMod val="85000"/>
                  </a:schemeClr>
                </a:solidFill>
              </c:spPr>
              <c:showLegendKey val="0"/>
              <c:showVal val="1"/>
              <c:showCatName val="0"/>
              <c:showSerName val="0"/>
              <c:showPercent val="0"/>
              <c:showBubbleSize val="0"/>
            </c:dLbl>
            <c:dLbl>
              <c:idx val="1"/>
              <c:layout>
                <c:manualLayout>
                  <c:x val="5.1916447944007002E-2"/>
                  <c:y val="-0.28704878468257394"/>
                </c:manualLayout>
              </c:layout>
              <c:tx>
                <c:rich>
                  <a:bodyPr/>
                  <a:lstStyle/>
                  <a:p>
                    <a:r>
                      <a:rPr lang="en-US" b="1"/>
                      <a:t>9.141,07 km</a:t>
                    </a:r>
                    <a:r>
                      <a:rPr lang="en-US" b="1" baseline="30000"/>
                      <a:t>2</a:t>
                    </a:r>
                    <a:endParaRPr lang="en-US" baseline="30000"/>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(para_graficos!$E$82,para_graficos!$E$108)</c:f>
              <c:strCache>
                <c:ptCount val="2"/>
                <c:pt idx="0">
                  <c:v>Belo Horizonte</c:v>
                </c:pt>
                <c:pt idx="1">
                  <c:v>restante RMBH</c:v>
                </c:pt>
              </c:strCache>
            </c:strRef>
          </c:cat>
          <c:val>
            <c:numRef>
              <c:f>(para_graficos!$AF$82,para_graficos!$AF$108)</c:f>
              <c:numCache>
                <c:formatCode>#,##0.00</c:formatCode>
                <c:ptCount val="2"/>
                <c:pt idx="0" formatCode="0.00">
                  <c:v>331.4</c:v>
                </c:pt>
                <c:pt idx="1">
                  <c:v>9141.0730000000021</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pt-BR"/>
        </a:p>
      </c:txPr>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bg1">
                <a:lumMod val="95000"/>
              </a:schemeClr>
            </a:solidFill>
            <a:ln>
              <a:solidFill>
                <a:sysClr val="windowText" lastClr="000000"/>
              </a:solidFill>
            </a:ln>
          </c:spPr>
          <c:dPt>
            <c:idx val="0"/>
            <c:bubble3D val="0"/>
            <c:spPr>
              <a:solidFill>
                <a:schemeClr val="bg1">
                  <a:lumMod val="50000"/>
                </a:schemeClr>
              </a:solidFill>
              <a:ln>
                <a:solidFill>
                  <a:sysClr val="windowText" lastClr="000000"/>
                </a:solidFill>
              </a:ln>
            </c:spPr>
          </c:dPt>
          <c:dPt>
            <c:idx val="1"/>
            <c:bubble3D val="0"/>
            <c:spPr>
              <a:solidFill>
                <a:schemeClr val="bg1"/>
              </a:solidFill>
              <a:ln>
                <a:solidFill>
                  <a:sysClr val="windowText" lastClr="000000"/>
                </a:solidFill>
              </a:ln>
            </c:spPr>
          </c:dPt>
          <c:dLbls>
            <c:dLbl>
              <c:idx val="0"/>
              <c:layout>
                <c:manualLayout>
                  <c:x val="-0.21181887000966984"/>
                  <c:y val="9.3830860569681322E-3"/>
                </c:manualLayout>
              </c:layout>
              <c:tx>
                <c:rich>
                  <a:bodyPr/>
                  <a:lstStyle/>
                  <a:p>
                    <a:r>
                      <a:rPr lang="en-US" b="1">
                        <a:solidFill>
                          <a:schemeClr val="bg1"/>
                        </a:solidFill>
                      </a:rPr>
                      <a:t>2.375.151 habitantes</a:t>
                    </a:r>
                    <a:endParaRPr lang="en-US"/>
                  </a:p>
                </c:rich>
              </c:tx>
              <c:showLegendKey val="0"/>
              <c:showVal val="1"/>
              <c:showCatName val="0"/>
              <c:showSerName val="0"/>
              <c:showPercent val="0"/>
              <c:showBubbleSize val="0"/>
            </c:dLbl>
            <c:dLbl>
              <c:idx val="1"/>
              <c:layout>
                <c:manualLayout>
                  <c:x val="0.1849590274899848"/>
                  <c:y val="1.0911220865524842E-2"/>
                </c:manualLayout>
              </c:layout>
              <c:tx>
                <c:rich>
                  <a:bodyPr/>
                  <a:lstStyle/>
                  <a:p>
                    <a:r>
                      <a:rPr lang="en-US" b="1"/>
                      <a:t>2.508.819 habitantes</a:t>
                    </a:r>
                  </a:p>
                </c:rich>
              </c:tx>
              <c:showLegendKey val="0"/>
              <c:showVal val="1"/>
              <c:showCatName val="0"/>
              <c:showSerName val="0"/>
              <c:showPercent val="0"/>
              <c:showBubbleSize val="0"/>
            </c:dLbl>
            <c:txPr>
              <a:bodyPr/>
              <a:lstStyle/>
              <a:p>
                <a:pPr>
                  <a:defRPr b="1"/>
                </a:pPr>
                <a:endParaRPr lang="pt-BR"/>
              </a:p>
            </c:txPr>
            <c:showLegendKey val="0"/>
            <c:showVal val="1"/>
            <c:showCatName val="0"/>
            <c:showSerName val="0"/>
            <c:showPercent val="0"/>
            <c:showBubbleSize val="0"/>
            <c:showLeaderLines val="1"/>
          </c:dLbls>
          <c:cat>
            <c:strRef>
              <c:f>(para_graficos!$E$611,para_graficos!$E$614)</c:f>
              <c:strCache>
                <c:ptCount val="2"/>
                <c:pt idx="0">
                  <c:v>Belo Horizonte</c:v>
                </c:pt>
                <c:pt idx="1">
                  <c:v>restante RMBH</c:v>
                </c:pt>
              </c:strCache>
            </c:strRef>
          </c:cat>
          <c:val>
            <c:numRef>
              <c:f>(para_graficos!$AF$611,para_graficos!$AF$614)</c:f>
              <c:numCache>
                <c:formatCode>#,##0</c:formatCode>
                <c:ptCount val="2"/>
                <c:pt idx="0">
                  <c:v>2375151</c:v>
                </c:pt>
                <c:pt idx="1">
                  <c:v>2508819</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pt-BR"/>
        </a:p>
      </c:txPr>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gratuidades</c:v>
          </c:tx>
          <c:spPr>
            <a:ln w="25400">
              <a:solidFill>
                <a:schemeClr val="bg1">
                  <a:lumMod val="50000"/>
                </a:schemeClr>
              </a:solidFill>
              <a:prstDash val="sysDash"/>
            </a:ln>
          </c:spPr>
          <c:marker>
            <c:symbol val="diamond"/>
            <c:size val="7"/>
            <c:spPr>
              <a:solidFill>
                <a:schemeClr val="tx1">
                  <a:lumMod val="50000"/>
                  <a:lumOff val="50000"/>
                </a:schemeClr>
              </a:solidFill>
              <a:ln>
                <a:solidFill>
                  <a:schemeClr val="tx1"/>
                </a:solidFill>
              </a:ln>
            </c:spPr>
          </c:marker>
          <c:dLbls>
            <c:dLbl>
              <c:idx val="6"/>
              <c:layout>
                <c:manualLayout>
                  <c:x val="-2.493357697668197E-2"/>
                  <c:y val="4.5783132530120479E-2"/>
                </c:manualLayout>
              </c:layout>
              <c:dLblPos val="r"/>
              <c:showLegendKey val="0"/>
              <c:showVal val="1"/>
              <c:showCatName val="0"/>
              <c:showSerName val="0"/>
              <c:showPercent val="0"/>
              <c:showBubbleSize val="0"/>
            </c:dLbl>
            <c:dLbl>
              <c:idx val="8"/>
              <c:layout>
                <c:manualLayout>
                  <c:x val="-2.493357697668197E-2"/>
                  <c:y val="-4.4176706827309238E-2"/>
                </c:manualLayout>
              </c:layout>
              <c:dLblPos val="r"/>
              <c:showLegendKey val="0"/>
              <c:showVal val="1"/>
              <c:showCatName val="0"/>
              <c:showSerName val="0"/>
              <c:showPercent val="0"/>
              <c:showBubbleSize val="0"/>
            </c:dLbl>
            <c:dLbl>
              <c:idx val="9"/>
              <c:layout>
                <c:manualLayout>
                  <c:x val="-3.8013486210351201E-2"/>
                  <c:y val="2.9718875502008031E-2"/>
                </c:manualLayout>
              </c:layout>
              <c:dLblPos val="r"/>
              <c:showLegendKey val="0"/>
              <c:showVal val="1"/>
              <c:showCatName val="0"/>
              <c:showSerName val="0"/>
              <c:showPercent val="0"/>
              <c:showBubbleSize val="0"/>
            </c:dLbl>
            <c:dLbl>
              <c:idx val="14"/>
              <c:layout>
                <c:manualLayout>
                  <c:x val="-3.8013486210351201E-2"/>
                  <c:y val="3.93574297188755E-2"/>
                </c:manualLayout>
              </c:layout>
              <c:dLblPos val="r"/>
              <c:showLegendKey val="0"/>
              <c:showVal val="1"/>
              <c:showCatName val="0"/>
              <c:showSerName val="0"/>
              <c:showPercent val="0"/>
              <c:showBubbleSize val="0"/>
            </c:dLbl>
            <c:spPr>
              <a:solidFill>
                <a:schemeClr val="bg1"/>
              </a:solidFill>
              <a:ln>
                <a:solidFill>
                  <a:sysClr val="windowText" lastClr="000000"/>
                </a:solidFill>
              </a:ln>
              <a:effectLst/>
            </c:spPr>
            <c:dLblPos val="t"/>
            <c:showLegendKey val="0"/>
            <c:showVal val="1"/>
            <c:showCatName val="0"/>
            <c:showSerName val="0"/>
            <c:showPercent val="0"/>
            <c:showBubbleSize val="0"/>
            <c:showLeaderLines val="0"/>
          </c:dLbls>
          <c:cat>
            <c:numRef>
              <c:f>(para_graficos!$O$3:$R$3,para_graficos!$T$3:$U$3,para_graficos!$W$3:$AK$3)</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(para_graficos!$O$414:$R$414,para_graficos!$T$414:$U$414,para_graficos!$W$414:$AK$414)</c:f>
              <c:numCache>
                <c:formatCode>General</c:formatCode>
                <c:ptCount val="21"/>
                <c:pt idx="0" formatCode="#,##0">
                  <c:v>25209</c:v>
                </c:pt>
                <c:pt idx="4" formatCode="#,##0">
                  <c:v>35802</c:v>
                </c:pt>
                <c:pt idx="6" formatCode="#,##0">
                  <c:v>43645</c:v>
                </c:pt>
                <c:pt idx="7" formatCode="#,##0">
                  <c:v>45975</c:v>
                </c:pt>
                <c:pt idx="8" formatCode="#,##0">
                  <c:v>46995</c:v>
                </c:pt>
                <c:pt idx="9" formatCode="#,##0">
                  <c:v>41272</c:v>
                </c:pt>
                <c:pt idx="10" formatCode="#,##0">
                  <c:v>44090</c:v>
                </c:pt>
                <c:pt idx="11" formatCode="#,##0">
                  <c:v>46896</c:v>
                </c:pt>
                <c:pt idx="12" formatCode="#,##0">
                  <c:v>38926</c:v>
                </c:pt>
                <c:pt idx="13" formatCode="#,##0">
                  <c:v>34691</c:v>
                </c:pt>
                <c:pt idx="14" formatCode="#,##0">
                  <c:v>33830</c:v>
                </c:pt>
                <c:pt idx="20" formatCode="#,##0">
                  <c:v>27622</c:v>
                </c:pt>
              </c:numCache>
            </c:numRef>
          </c:val>
          <c:smooth val="0"/>
        </c:ser>
        <c:dLbls>
          <c:showLegendKey val="0"/>
          <c:showVal val="0"/>
          <c:showCatName val="0"/>
          <c:showSerName val="0"/>
          <c:showPercent val="0"/>
          <c:showBubbleSize val="0"/>
        </c:dLbls>
        <c:marker val="1"/>
        <c:smooth val="0"/>
        <c:axId val="111219840"/>
        <c:axId val="111221376"/>
      </c:lineChart>
      <c:catAx>
        <c:axId val="111219840"/>
        <c:scaling>
          <c:orientation val="minMax"/>
        </c:scaling>
        <c:delete val="0"/>
        <c:axPos val="b"/>
        <c:numFmt formatCode="General" sourceLinked="1"/>
        <c:majorTickMark val="out"/>
        <c:minorTickMark val="none"/>
        <c:tickLblPos val="nextTo"/>
        <c:txPr>
          <a:bodyPr/>
          <a:lstStyle/>
          <a:p>
            <a:pPr>
              <a:defRPr b="1"/>
            </a:pPr>
            <a:endParaRPr lang="pt-BR"/>
          </a:p>
        </c:txPr>
        <c:crossAx val="111221376"/>
        <c:crosses val="autoZero"/>
        <c:auto val="1"/>
        <c:lblAlgn val="ctr"/>
        <c:lblOffset val="100"/>
        <c:noMultiLvlLbl val="0"/>
      </c:catAx>
      <c:valAx>
        <c:axId val="111221376"/>
        <c:scaling>
          <c:orientation val="minMax"/>
          <c:max val="55000"/>
          <c:min val="0"/>
        </c:scaling>
        <c:delete val="0"/>
        <c:axPos val="l"/>
        <c:numFmt formatCode="#,##0" sourceLinked="1"/>
        <c:majorTickMark val="out"/>
        <c:minorTickMark val="none"/>
        <c:tickLblPos val="nextTo"/>
        <c:txPr>
          <a:bodyPr/>
          <a:lstStyle/>
          <a:p>
            <a:pPr>
              <a:defRPr b="1"/>
            </a:pPr>
            <a:endParaRPr lang="pt-BR"/>
          </a:p>
        </c:txPr>
        <c:crossAx val="111219840"/>
        <c:crosses val="autoZero"/>
        <c:crossBetween val="between"/>
      </c:valAx>
    </c:plotArea>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população IBGE</c:v>
          </c:tx>
          <c:spPr>
            <a:ln w="19050">
              <a:solidFill>
                <a:schemeClr val="tx1">
                  <a:lumMod val="50000"/>
                  <a:lumOff val="50000"/>
                </a:schemeClr>
              </a:solidFill>
            </a:ln>
          </c:spPr>
          <c:marker>
            <c:symbol val="square"/>
            <c:size val="4"/>
            <c:spPr>
              <a:solidFill>
                <a:schemeClr val="bg1">
                  <a:lumMod val="85000"/>
                </a:schemeClr>
              </a:solidFill>
              <a:ln>
                <a:solidFill>
                  <a:schemeClr val="tx1">
                    <a:lumMod val="50000"/>
                    <a:lumOff val="50000"/>
                  </a:schemeClr>
                </a:solidFill>
              </a:ln>
            </c:spPr>
          </c:marker>
          <c:dPt>
            <c:idx val="14"/>
            <c:marker>
              <c:spPr>
                <a:solidFill>
                  <a:schemeClr val="tx1">
                    <a:lumMod val="50000"/>
                    <a:lumOff val="50000"/>
                  </a:schemeClr>
                </a:solidFill>
                <a:ln>
                  <a:solidFill>
                    <a:schemeClr val="tx1">
                      <a:lumMod val="50000"/>
                      <a:lumOff val="50000"/>
                    </a:schemeClr>
                  </a:solidFill>
                </a:ln>
              </c:spPr>
            </c:marker>
            <c:bubble3D val="0"/>
          </c:dPt>
          <c:dLbls>
            <c:dLbl>
              <c:idx val="8"/>
              <c:layout>
                <c:manualLayout>
                  <c:x val="3.9589956709339798E-2"/>
                  <c:y val="7.8431372549019607E-2"/>
                </c:manualLayout>
              </c:layout>
              <c:tx>
                <c:rich>
                  <a:bodyPr/>
                  <a:lstStyle/>
                  <a:p>
                    <a:pPr>
                      <a:defRPr b="1"/>
                    </a:pPr>
                    <a:r>
                      <a:rPr lang="en-US" b="1"/>
                      <a:t>+6%</a:t>
                    </a:r>
                    <a:endParaRPr lang="en-US"/>
                  </a:p>
                </c:rich>
              </c:tx>
              <c:spPr>
                <a:ln>
                  <a:solidFill>
                    <a:schemeClr val="tx1">
                      <a:lumMod val="50000"/>
                      <a:lumOff val="50000"/>
                    </a:schemeClr>
                  </a:solidFill>
                </a:ln>
              </c:spPr>
              <c:showLegendKey val="0"/>
              <c:showVal val="1"/>
              <c:showCatName val="0"/>
              <c:showSerName val="0"/>
              <c:showPercent val="0"/>
              <c:showBubbleSize val="0"/>
            </c:dLbl>
            <c:dLbl>
              <c:idx val="14"/>
              <c:layout>
                <c:manualLayout>
                  <c:x val="-0.18946622139469763"/>
                  <c:y val="-0.15695306469044309"/>
                </c:manualLayout>
              </c:layout>
              <c:tx>
                <c:rich>
                  <a:bodyPr/>
                  <a:lstStyle/>
                  <a:p>
                    <a:pPr>
                      <a:defRPr b="1"/>
                    </a:pPr>
                    <a:r>
                      <a:rPr lang="en-US"/>
                      <a:t>2.375.329</a:t>
                    </a:r>
                  </a:p>
                  <a:p>
                    <a:pPr>
                      <a:defRPr b="1"/>
                    </a:pPr>
                    <a:r>
                      <a:rPr lang="en-US"/>
                      <a:t>(IBGE 2005)</a:t>
                    </a:r>
                  </a:p>
                </c:rich>
              </c:tx>
              <c:spPr>
                <a:noFill/>
              </c:spPr>
              <c:showLegendKey val="0"/>
              <c:showVal val="1"/>
              <c:showCatName val="0"/>
              <c:showSerName val="0"/>
              <c:showPercent val="0"/>
              <c:showBubbleSize val="0"/>
            </c:dLbl>
            <c:dLbl>
              <c:idx val="22"/>
              <c:layout>
                <c:manualLayout>
                  <c:x val="-4.2417810760006933E-2"/>
                  <c:y val="-8.8235294117647065E-2"/>
                </c:manualLayout>
              </c:layout>
              <c:tx>
                <c:rich>
                  <a:bodyPr/>
                  <a:lstStyle/>
                  <a:p>
                    <a:pPr>
                      <a:defRPr b="1"/>
                    </a:pPr>
                    <a:r>
                      <a:rPr lang="en-US" b="1"/>
                      <a:t>-3%</a:t>
                    </a:r>
                  </a:p>
                </c:rich>
              </c:tx>
              <c:spPr>
                <a:ln>
                  <a:solidFill>
                    <a:schemeClr val="tx1">
                      <a:lumMod val="50000"/>
                      <a:lumOff val="50000"/>
                    </a:schemeClr>
                  </a:solidFill>
                </a:ln>
              </c:spPr>
              <c:showLegendKey val="0"/>
              <c:showVal val="1"/>
              <c:showCatName val="0"/>
              <c:showSerName val="0"/>
              <c:showPercent val="0"/>
              <c:showBubbleSize val="0"/>
            </c:dLbl>
            <c:txPr>
              <a:bodyPr/>
              <a:lstStyle/>
              <a:p>
                <a:pPr>
                  <a:defRPr b="1"/>
                </a:pPr>
                <a:endParaRPr lang="pt-BR"/>
              </a:p>
            </c:txPr>
            <c:showLegendKey val="0"/>
            <c:showVal val="0"/>
            <c:showCatName val="0"/>
            <c:showSerName val="0"/>
            <c:showPercent val="0"/>
            <c:showBubbleSize val="0"/>
          </c:dLbls>
          <c:cat>
            <c:numRef>
              <c:f>(para_graficos!$K$3:$R$3,para_graficos!$T$3:$U$3,para_graficos!$W$3:$AK$3)</c:f>
              <c:numCache>
                <c:formatCode>General</c:formatCode>
                <c:ptCount val="25"/>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numCache>
            </c:numRef>
          </c:cat>
          <c:val>
            <c:numRef>
              <c:f>(para_graficos!$K$611:$R$611,para_graficos!$T$611:$U$611,para_graficos!$W$611:$AK$611)</c:f>
              <c:numCache>
                <c:formatCode>#,##0</c:formatCode>
                <c:ptCount val="25"/>
                <c:pt idx="0">
                  <c:v>2020161</c:v>
                </c:pt>
                <c:pt idx="1">
                  <c:v>2028242</c:v>
                </c:pt>
                <c:pt idx="2">
                  <c:v>2036355</c:v>
                </c:pt>
                <c:pt idx="3">
                  <c:v>2044500</c:v>
                </c:pt>
                <c:pt idx="4">
                  <c:v>2052678</c:v>
                </c:pt>
                <c:pt idx="5">
                  <c:v>2091448</c:v>
                </c:pt>
                <c:pt idx="6">
                  <c:v>2099814</c:v>
                </c:pt>
                <c:pt idx="7">
                  <c:v>2108213</c:v>
                </c:pt>
                <c:pt idx="8">
                  <c:v>2116646</c:v>
                </c:pt>
                <c:pt idx="9">
                  <c:v>2238526</c:v>
                </c:pt>
                <c:pt idx="10">
                  <c:v>2258627</c:v>
                </c:pt>
                <c:pt idx="11">
                  <c:v>2284468</c:v>
                </c:pt>
                <c:pt idx="12">
                  <c:v>2305812</c:v>
                </c:pt>
                <c:pt idx="13">
                  <c:v>2350564</c:v>
                </c:pt>
                <c:pt idx="14">
                  <c:v>2375329</c:v>
                </c:pt>
                <c:pt idx="15">
                  <c:v>2399920</c:v>
                </c:pt>
                <c:pt idx="16">
                  <c:v>2412937</c:v>
                </c:pt>
                <c:pt idx="17">
                  <c:v>2434642</c:v>
                </c:pt>
                <c:pt idx="18">
                  <c:v>2452617</c:v>
                </c:pt>
                <c:pt idx="19">
                  <c:v>2375151</c:v>
                </c:pt>
                <c:pt idx="20">
                  <c:v>2385640</c:v>
                </c:pt>
                <c:pt idx="21">
                  <c:v>2395785</c:v>
                </c:pt>
                <c:pt idx="22">
                  <c:v>2479165</c:v>
                </c:pt>
                <c:pt idx="23">
                  <c:v>2491109</c:v>
                </c:pt>
                <c:pt idx="24">
                  <c:v>2502557</c:v>
                </c:pt>
              </c:numCache>
            </c:numRef>
          </c:val>
          <c:smooth val="1"/>
        </c:ser>
        <c:ser>
          <c:idx val="1"/>
          <c:order val="1"/>
          <c:tx>
            <c:v>população reestimada</c:v>
          </c:tx>
          <c:spPr>
            <a:ln w="19050">
              <a:solidFill>
                <a:schemeClr val="tx1"/>
              </a:solidFill>
              <a:prstDash val="sysDash"/>
            </a:ln>
          </c:spPr>
          <c:marker>
            <c:symbol val="circle"/>
            <c:size val="3"/>
            <c:spPr>
              <a:solidFill>
                <a:schemeClr val="bg1">
                  <a:lumMod val="85000"/>
                </a:schemeClr>
              </a:solidFill>
              <a:ln>
                <a:solidFill>
                  <a:schemeClr val="tx1">
                    <a:lumMod val="50000"/>
                    <a:lumOff val="50000"/>
                  </a:schemeClr>
                </a:solidFill>
              </a:ln>
            </c:spPr>
          </c:marker>
          <c:dLbls>
            <c:dLbl>
              <c:idx val="9"/>
              <c:layout>
                <c:manualLayout>
                  <c:x val="-9.6147037722682377E-2"/>
                  <c:y val="-9.8099428747877082E-2"/>
                </c:manualLayout>
              </c:layout>
              <c:tx>
                <c:rich>
                  <a:bodyPr/>
                  <a:lstStyle/>
                  <a:p>
                    <a:r>
                      <a:rPr lang="en-US"/>
                      <a:t>2.238.526</a:t>
                    </a:r>
                  </a:p>
                  <a:p>
                    <a:r>
                      <a:rPr lang="en-US"/>
                      <a:t>(2000)</a:t>
                    </a:r>
                  </a:p>
                </c:rich>
              </c:tx>
              <c:showLegendKey val="0"/>
              <c:showVal val="1"/>
              <c:showCatName val="0"/>
              <c:showSerName val="0"/>
              <c:showPercent val="0"/>
              <c:showBubbleSize val="0"/>
            </c:dLbl>
            <c:dLbl>
              <c:idx val="19"/>
              <c:layout>
                <c:manualLayout>
                  <c:x val="-6.7868497216011084E-2"/>
                  <c:y val="0.1087752817662498"/>
                </c:manualLayout>
              </c:layout>
              <c:tx>
                <c:rich>
                  <a:bodyPr/>
                  <a:lstStyle/>
                  <a:p>
                    <a:r>
                      <a:rPr lang="en-US"/>
                      <a:t>2.375.151</a:t>
                    </a:r>
                  </a:p>
                  <a:p>
                    <a:r>
                      <a:rPr lang="en-US"/>
                      <a:t>(2010)</a:t>
                    </a:r>
                  </a:p>
                </c:rich>
              </c:tx>
              <c:showLegendKey val="0"/>
              <c:showVal val="1"/>
              <c:showCatName val="0"/>
              <c:showSerName val="0"/>
              <c:showPercent val="0"/>
              <c:showBubbleSize val="0"/>
            </c:dLbl>
            <c:txPr>
              <a:bodyPr/>
              <a:lstStyle/>
              <a:p>
                <a:pPr>
                  <a:defRPr b="1"/>
                </a:pPr>
                <a:endParaRPr lang="pt-BR"/>
              </a:p>
            </c:txPr>
            <c:showLegendKey val="0"/>
            <c:showVal val="0"/>
            <c:showCatName val="0"/>
            <c:showSerName val="0"/>
            <c:showPercent val="0"/>
            <c:showBubbleSize val="0"/>
          </c:dLbls>
          <c:cat>
            <c:numRef>
              <c:f>(para_graficos!$K$3:$R$3,para_graficos!$T$3:$U$3,para_graficos!$W$3:$AK$3)</c:f>
              <c:numCache>
                <c:formatCode>General</c:formatCode>
                <c:ptCount val="25"/>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numCache>
            </c:numRef>
          </c:cat>
          <c:val>
            <c:numRef>
              <c:f>(para_graficos!$K$678:$R$678,para_graficos!$T$678:$U$678,para_graficos!$W$678:$AK$678)</c:f>
              <c:numCache>
                <c:formatCode>#,##0</c:formatCode>
                <c:ptCount val="25"/>
                <c:pt idx="0">
                  <c:v>2020161</c:v>
                </c:pt>
                <c:pt idx="1">
                  <c:v>2043331.7785140099</c:v>
                </c:pt>
                <c:pt idx="2">
                  <c:v>2066768.3204879346</c:v>
                </c:pt>
                <c:pt idx="3">
                  <c:v>2090473.674167071</c:v>
                </c:pt>
                <c:pt idx="4">
                  <c:v>2114450.922759383</c:v>
                </c:pt>
                <c:pt idx="5">
                  <c:v>2138703.1848365152</c:v>
                </c:pt>
                <c:pt idx="6">
                  <c:v>2163233.6147394064</c:v>
                </c:pt>
                <c:pt idx="7">
                  <c:v>2188045.4029885544</c:v>
                </c:pt>
                <c:pt idx="8">
                  <c:v>2213141.7766989889</c:v>
                </c:pt>
                <c:pt idx="9">
                  <c:v>2238526</c:v>
                </c:pt>
                <c:pt idx="10">
                  <c:v>2251827.1506822067</c:v>
                </c:pt>
                <c:pt idx="11">
                  <c:v>2265207.3357868283</c:v>
                </c:pt>
                <c:pt idx="12">
                  <c:v>2278667.0249303719</c:v>
                </c:pt>
                <c:pt idx="13">
                  <c:v>2292206.6905197706</c:v>
                </c:pt>
                <c:pt idx="14">
                  <c:v>2305826.8077689628</c:v>
                </c:pt>
                <c:pt idx="15">
                  <c:v>2319527.8547155727</c:v>
                </c:pt>
                <c:pt idx="16">
                  <c:v>2333310.3122376865</c:v>
                </c:pt>
                <c:pt idx="17">
                  <c:v>2347174.664070732</c:v>
                </c:pt>
                <c:pt idx="18">
                  <c:v>2361121.3968244558</c:v>
                </c:pt>
                <c:pt idx="19">
                  <c:v>2375151</c:v>
                </c:pt>
              </c:numCache>
            </c:numRef>
          </c:val>
          <c:smooth val="1"/>
        </c:ser>
        <c:dLbls>
          <c:showLegendKey val="0"/>
          <c:showVal val="0"/>
          <c:showCatName val="0"/>
          <c:showSerName val="0"/>
          <c:showPercent val="0"/>
          <c:showBubbleSize val="0"/>
        </c:dLbls>
        <c:marker val="1"/>
        <c:smooth val="0"/>
        <c:axId val="112876544"/>
        <c:axId val="112902912"/>
      </c:lineChart>
      <c:catAx>
        <c:axId val="112876544"/>
        <c:scaling>
          <c:orientation val="minMax"/>
        </c:scaling>
        <c:delete val="0"/>
        <c:axPos val="b"/>
        <c:numFmt formatCode="General" sourceLinked="1"/>
        <c:majorTickMark val="out"/>
        <c:minorTickMark val="none"/>
        <c:tickLblPos val="nextTo"/>
        <c:crossAx val="112902912"/>
        <c:crosses val="autoZero"/>
        <c:auto val="1"/>
        <c:lblAlgn val="ctr"/>
        <c:lblOffset val="100"/>
        <c:noMultiLvlLbl val="0"/>
      </c:catAx>
      <c:valAx>
        <c:axId val="112902912"/>
        <c:scaling>
          <c:orientation val="minMax"/>
          <c:max val="2600000"/>
          <c:min val="1800000"/>
        </c:scaling>
        <c:delete val="0"/>
        <c:axPos val="l"/>
        <c:numFmt formatCode="#,##0" sourceLinked="1"/>
        <c:majorTickMark val="out"/>
        <c:minorTickMark val="none"/>
        <c:tickLblPos val="nextTo"/>
        <c:crossAx val="112876544"/>
        <c:crosses val="autoZero"/>
        <c:crossBetween val="between"/>
      </c:valAx>
    </c:plotArea>
    <c:legend>
      <c:legendPos val="b"/>
      <c:overlay val="0"/>
    </c:legend>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ysClr val="window" lastClr="FFFFFF"/>
            </a:solidFill>
            <a:ln>
              <a:solidFill>
                <a:schemeClr val="tx1">
                  <a:lumMod val="95000"/>
                  <a:lumOff val="5000"/>
                </a:schemeClr>
              </a:solidFill>
            </a:ln>
          </c:spPr>
          <c:invertIfNegative val="0"/>
          <c:dPt>
            <c:idx val="33"/>
            <c:invertIfNegative val="0"/>
            <c:bubble3D val="0"/>
            <c:spPr>
              <a:solidFill>
                <a:srgbClr val="0070C0"/>
              </a:solidFill>
              <a:ln>
                <a:solidFill>
                  <a:schemeClr val="tx1">
                    <a:lumMod val="95000"/>
                    <a:lumOff val="5000"/>
                  </a:schemeClr>
                </a:solidFill>
              </a:ln>
            </c:spPr>
          </c:dPt>
          <c:dLbls>
            <c:txPr>
              <a:bodyPr/>
              <a:lstStyle/>
              <a:p>
                <a:pPr>
                  <a:defRPr sz="800" b="1"/>
                </a:pPr>
                <a:endParaRPr lang="pt-BR"/>
              </a:p>
            </c:txPr>
            <c:showLegendKey val="0"/>
            <c:showVal val="1"/>
            <c:showCatName val="0"/>
            <c:showSerName val="0"/>
            <c:showPercent val="0"/>
            <c:showBubbleSize val="0"/>
            <c:showLeaderLines val="0"/>
          </c:dLbls>
          <c:cat>
            <c:strRef>
              <c:f>base_bench!$A$180:$A$213</c:f>
              <c:strCache>
                <c:ptCount val="34"/>
                <c:pt idx="0">
                  <c:v>Taquaraçu de Minas</c:v>
                </c:pt>
                <c:pt idx="1">
                  <c:v>Rio Manso</c:v>
                </c:pt>
                <c:pt idx="2">
                  <c:v>Nova União</c:v>
                </c:pt>
                <c:pt idx="3">
                  <c:v>Confins</c:v>
                </c:pt>
                <c:pt idx="4">
                  <c:v>Florestal</c:v>
                </c:pt>
                <c:pt idx="5">
                  <c:v>Baldim</c:v>
                </c:pt>
                <c:pt idx="6">
                  <c:v>Capim Branco</c:v>
                </c:pt>
                <c:pt idx="7">
                  <c:v>Rio Acima</c:v>
                </c:pt>
                <c:pt idx="8">
                  <c:v>Itatiaiuçu</c:v>
                </c:pt>
                <c:pt idx="9">
                  <c:v>Itaguara</c:v>
                </c:pt>
                <c:pt idx="10">
                  <c:v>Mário Campos</c:v>
                </c:pt>
                <c:pt idx="11">
                  <c:v>Raposos</c:v>
                </c:pt>
                <c:pt idx="12">
                  <c:v>Jaboticatubas</c:v>
                </c:pt>
                <c:pt idx="13">
                  <c:v>São José da Lapa</c:v>
                </c:pt>
                <c:pt idx="14">
                  <c:v>Juatuba</c:v>
                </c:pt>
                <c:pt idx="15">
                  <c:v>São Joaquim de Bicas</c:v>
                </c:pt>
                <c:pt idx="16">
                  <c:v>Sarzedo</c:v>
                </c:pt>
                <c:pt idx="17">
                  <c:v>Mateus Leme</c:v>
                </c:pt>
                <c:pt idx="18">
                  <c:v>Matozinhos</c:v>
                </c:pt>
                <c:pt idx="19">
                  <c:v>Brumadinho</c:v>
                </c:pt>
                <c:pt idx="20">
                  <c:v>Ibirité</c:v>
                </c:pt>
                <c:pt idx="21">
                  <c:v>Caeté</c:v>
                </c:pt>
                <c:pt idx="22">
                  <c:v>Lagoa Santa</c:v>
                </c:pt>
                <c:pt idx="23">
                  <c:v>Pedro Leopoldo</c:v>
                </c:pt>
                <c:pt idx="24">
                  <c:v>Esmeraldas</c:v>
                </c:pt>
                <c:pt idx="25">
                  <c:v>Nova Lima</c:v>
                </c:pt>
                <c:pt idx="26">
                  <c:v>Vespasiano</c:v>
                </c:pt>
                <c:pt idx="27">
                  <c:v>Sabará</c:v>
                </c:pt>
                <c:pt idx="28">
                  <c:v>Ibirité</c:v>
                </c:pt>
                <c:pt idx="29">
                  <c:v>Santa Luzia</c:v>
                </c:pt>
                <c:pt idx="30">
                  <c:v>Ribeirão das Neves</c:v>
                </c:pt>
                <c:pt idx="31">
                  <c:v>Betim</c:v>
                </c:pt>
                <c:pt idx="32">
                  <c:v>Contagem</c:v>
                </c:pt>
                <c:pt idx="33">
                  <c:v>Belo Horizonte</c:v>
                </c:pt>
              </c:strCache>
            </c:strRef>
          </c:cat>
          <c:val>
            <c:numRef>
              <c:f>base_bench!$C$180:$C$213</c:f>
              <c:numCache>
                <c:formatCode>#,##0.00</c:formatCode>
                <c:ptCount val="34"/>
                <c:pt idx="0">
                  <c:v>3.7940000000000001E-3</c:v>
                </c:pt>
                <c:pt idx="1">
                  <c:v>5.2760000000000003E-3</c:v>
                </c:pt>
                <c:pt idx="2">
                  <c:v>5.555E-3</c:v>
                </c:pt>
                <c:pt idx="3">
                  <c:v>5.9360000000000003E-3</c:v>
                </c:pt>
                <c:pt idx="4">
                  <c:v>6.6E-3</c:v>
                </c:pt>
                <c:pt idx="5">
                  <c:v>7.9129999999999999E-3</c:v>
                </c:pt>
                <c:pt idx="6">
                  <c:v>8.881E-3</c:v>
                </c:pt>
                <c:pt idx="7">
                  <c:v>9.0900000000000009E-3</c:v>
                </c:pt>
                <c:pt idx="8">
                  <c:v>9.9279999999999993E-3</c:v>
                </c:pt>
                <c:pt idx="9">
                  <c:v>1.2371999999999999E-2</c:v>
                </c:pt>
                <c:pt idx="10">
                  <c:v>1.3192000000000001E-2</c:v>
                </c:pt>
                <c:pt idx="11">
                  <c:v>1.5342E-2</c:v>
                </c:pt>
                <c:pt idx="12">
                  <c:v>1.7134E-2</c:v>
                </c:pt>
                <c:pt idx="13">
                  <c:v>1.9799000000000001E-2</c:v>
                </c:pt>
                <c:pt idx="14">
                  <c:v>2.2202E-2</c:v>
                </c:pt>
                <c:pt idx="15">
                  <c:v>2.5537000000000001E-2</c:v>
                </c:pt>
                <c:pt idx="16">
                  <c:v>2.5814E-2</c:v>
                </c:pt>
                <c:pt idx="17">
                  <c:v>2.7855999999999999E-2</c:v>
                </c:pt>
                <c:pt idx="18">
                  <c:v>3.3954999999999999E-2</c:v>
                </c:pt>
                <c:pt idx="19">
                  <c:v>3.3973000000000003E-2</c:v>
                </c:pt>
                <c:pt idx="20">
                  <c:v>3.4851E-2</c:v>
                </c:pt>
                <c:pt idx="21">
                  <c:v>4.0750000000000001E-2</c:v>
                </c:pt>
                <c:pt idx="22">
                  <c:v>5.2519999999999997E-2</c:v>
                </c:pt>
                <c:pt idx="23">
                  <c:v>5.8740000000000001E-2</c:v>
                </c:pt>
                <c:pt idx="24">
                  <c:v>6.0270999999999998E-2</c:v>
                </c:pt>
                <c:pt idx="25">
                  <c:v>8.0998000000000001E-2</c:v>
                </c:pt>
                <c:pt idx="26">
                  <c:v>0.10452699999999999</c:v>
                </c:pt>
                <c:pt idx="27">
                  <c:v>0.12626899999999999</c:v>
                </c:pt>
                <c:pt idx="28">
                  <c:v>0.15895400000000001</c:v>
                </c:pt>
                <c:pt idx="29">
                  <c:v>0.20294200000000001</c:v>
                </c:pt>
                <c:pt idx="30">
                  <c:v>0.296317</c:v>
                </c:pt>
                <c:pt idx="31">
                  <c:v>0.37808900000000001</c:v>
                </c:pt>
                <c:pt idx="32">
                  <c:v>0.60344200000000003</c:v>
                </c:pt>
                <c:pt idx="33">
                  <c:v>2.3751509999999998</c:v>
                </c:pt>
              </c:numCache>
            </c:numRef>
          </c:val>
        </c:ser>
        <c:dLbls>
          <c:showLegendKey val="0"/>
          <c:showVal val="0"/>
          <c:showCatName val="0"/>
          <c:showSerName val="0"/>
          <c:showPercent val="0"/>
          <c:showBubbleSize val="0"/>
        </c:dLbls>
        <c:gapWidth val="150"/>
        <c:axId val="133638400"/>
        <c:axId val="133640192"/>
      </c:barChart>
      <c:catAx>
        <c:axId val="133638400"/>
        <c:scaling>
          <c:orientation val="minMax"/>
        </c:scaling>
        <c:delete val="0"/>
        <c:axPos val="b"/>
        <c:majorTickMark val="out"/>
        <c:minorTickMark val="none"/>
        <c:tickLblPos val="nextTo"/>
        <c:crossAx val="133640192"/>
        <c:crosses val="autoZero"/>
        <c:auto val="1"/>
        <c:lblAlgn val="ctr"/>
        <c:lblOffset val="100"/>
        <c:noMultiLvlLbl val="0"/>
      </c:catAx>
      <c:valAx>
        <c:axId val="133640192"/>
        <c:scaling>
          <c:orientation val="minMax"/>
        </c:scaling>
        <c:delete val="0"/>
        <c:axPos val="l"/>
        <c:title>
          <c:tx>
            <c:rich>
              <a:bodyPr rot="-5400000" vert="horz"/>
              <a:lstStyle/>
              <a:p>
                <a:pPr>
                  <a:defRPr/>
                </a:pPr>
                <a:r>
                  <a:rPr lang="en-US"/>
                  <a:t>população (milhôes de habitantes)</a:t>
                </a:r>
              </a:p>
            </c:rich>
          </c:tx>
          <c:overlay val="0"/>
        </c:title>
        <c:numFmt formatCode="#,##0.00" sourceLinked="1"/>
        <c:majorTickMark val="out"/>
        <c:minorTickMark val="none"/>
        <c:tickLblPos val="nextTo"/>
        <c:crossAx val="133638400"/>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ysClr val="window" lastClr="FFFFFF"/>
            </a:solidFill>
            <a:ln>
              <a:solidFill>
                <a:schemeClr val="tx1">
                  <a:lumMod val="95000"/>
                  <a:lumOff val="5000"/>
                </a:schemeClr>
              </a:solidFill>
            </a:ln>
          </c:spPr>
          <c:invertIfNegative val="0"/>
          <c:dPt>
            <c:idx val="0"/>
            <c:invertIfNegative val="0"/>
            <c:bubble3D val="0"/>
          </c:dPt>
          <c:dPt>
            <c:idx val="5"/>
            <c:invertIfNegative val="0"/>
            <c:bubble3D val="0"/>
            <c:spPr>
              <a:solidFill>
                <a:srgbClr val="0070C0"/>
              </a:solidFill>
              <a:ln>
                <a:solidFill>
                  <a:schemeClr val="tx1">
                    <a:lumMod val="95000"/>
                    <a:lumOff val="5000"/>
                  </a:schemeClr>
                </a:solidFill>
              </a:ln>
            </c:spPr>
          </c:dPt>
          <c:dLbls>
            <c:txPr>
              <a:bodyPr/>
              <a:lstStyle/>
              <a:p>
                <a:pPr>
                  <a:defRPr b="1"/>
                </a:pPr>
                <a:endParaRPr lang="pt-BR"/>
              </a:p>
            </c:txPr>
            <c:showLegendKey val="0"/>
            <c:showVal val="1"/>
            <c:showCatName val="0"/>
            <c:showSerName val="0"/>
            <c:showPercent val="0"/>
            <c:showBubbleSize val="0"/>
            <c:showLeaderLines val="0"/>
          </c:dLbls>
          <c:cat>
            <c:strRef>
              <c:f>base_bench!$A$216:$A$225</c:f>
              <c:strCache>
                <c:ptCount val="10"/>
                <c:pt idx="0">
                  <c:v>Joinville (SC)</c:v>
                </c:pt>
                <c:pt idx="1">
                  <c:v>Uberlândia (MG)</c:v>
                </c:pt>
                <c:pt idx="2">
                  <c:v>Porto Alegre (RS)</c:v>
                </c:pt>
                <c:pt idx="3">
                  <c:v>Recife (PE)</c:v>
                </c:pt>
                <c:pt idx="4">
                  <c:v>Curitiba (PR)</c:v>
                </c:pt>
                <c:pt idx="5">
                  <c:v>Belo Horizonte (MG)</c:v>
                </c:pt>
                <c:pt idx="6">
                  <c:v>Fortaleza (CE)</c:v>
                </c:pt>
                <c:pt idx="7">
                  <c:v>Brasília (DF)</c:v>
                </c:pt>
                <c:pt idx="8">
                  <c:v>Salvador (BA)</c:v>
                </c:pt>
                <c:pt idx="9">
                  <c:v>São Paulo (SP)</c:v>
                </c:pt>
              </c:strCache>
            </c:strRef>
          </c:cat>
          <c:val>
            <c:numRef>
              <c:f>base_bench!$C$216:$C$225</c:f>
              <c:numCache>
                <c:formatCode>0.00</c:formatCode>
                <c:ptCount val="10"/>
                <c:pt idx="0">
                  <c:v>0.51528799999999997</c:v>
                </c:pt>
                <c:pt idx="1">
                  <c:v>0.60401300000000002</c:v>
                </c:pt>
                <c:pt idx="2">
                  <c:v>1.409351</c:v>
                </c:pt>
                <c:pt idx="3">
                  <c:v>1.537704</c:v>
                </c:pt>
                <c:pt idx="4">
                  <c:v>1.7519070000000001</c:v>
                </c:pt>
                <c:pt idx="5">
                  <c:v>2.3751509999999998</c:v>
                </c:pt>
                <c:pt idx="6">
                  <c:v>2.4521850000000001</c:v>
                </c:pt>
                <c:pt idx="7">
                  <c:v>2.57016</c:v>
                </c:pt>
                <c:pt idx="8">
                  <c:v>2.675656</c:v>
                </c:pt>
                <c:pt idx="9">
                  <c:v>11.253503</c:v>
                </c:pt>
              </c:numCache>
            </c:numRef>
          </c:val>
        </c:ser>
        <c:dLbls>
          <c:showLegendKey val="0"/>
          <c:showVal val="0"/>
          <c:showCatName val="0"/>
          <c:showSerName val="0"/>
          <c:showPercent val="0"/>
          <c:showBubbleSize val="0"/>
        </c:dLbls>
        <c:gapWidth val="150"/>
        <c:axId val="133665152"/>
        <c:axId val="133666688"/>
      </c:barChart>
      <c:catAx>
        <c:axId val="133665152"/>
        <c:scaling>
          <c:orientation val="minMax"/>
        </c:scaling>
        <c:delete val="0"/>
        <c:axPos val="b"/>
        <c:majorTickMark val="out"/>
        <c:minorTickMark val="none"/>
        <c:tickLblPos val="nextTo"/>
        <c:txPr>
          <a:bodyPr rot="-2040000"/>
          <a:lstStyle/>
          <a:p>
            <a:pPr>
              <a:defRPr/>
            </a:pPr>
            <a:endParaRPr lang="pt-BR"/>
          </a:p>
        </c:txPr>
        <c:crossAx val="133666688"/>
        <c:crosses val="autoZero"/>
        <c:auto val="1"/>
        <c:lblAlgn val="ctr"/>
        <c:lblOffset val="100"/>
        <c:noMultiLvlLbl val="0"/>
      </c:catAx>
      <c:valAx>
        <c:axId val="133666688"/>
        <c:scaling>
          <c:orientation val="minMax"/>
        </c:scaling>
        <c:delete val="0"/>
        <c:axPos val="l"/>
        <c:title>
          <c:tx>
            <c:rich>
              <a:bodyPr rot="-5400000" vert="horz"/>
              <a:lstStyle/>
              <a:p>
                <a:pPr>
                  <a:defRPr/>
                </a:pPr>
                <a:r>
                  <a:rPr lang="en-US"/>
                  <a:t>população (milhões de habitantes)</a:t>
                </a:r>
              </a:p>
            </c:rich>
          </c:tx>
          <c:overlay val="0"/>
        </c:title>
        <c:numFmt formatCode="0.00" sourceLinked="1"/>
        <c:majorTickMark val="out"/>
        <c:minorTickMark val="none"/>
        <c:tickLblPos val="nextTo"/>
        <c:crossAx val="133665152"/>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solidFill>
            <a:ln>
              <a:solidFill>
                <a:schemeClr val="tx1">
                  <a:lumMod val="95000"/>
                  <a:lumOff val="5000"/>
                </a:schemeClr>
              </a:solidFill>
            </a:ln>
          </c:spPr>
          <c:invertIfNegative val="0"/>
          <c:dPt>
            <c:idx val="0"/>
            <c:invertIfNegative val="0"/>
            <c:bubble3D val="0"/>
          </c:dPt>
          <c:dPt>
            <c:idx val="7"/>
            <c:invertIfNegative val="0"/>
            <c:bubble3D val="0"/>
            <c:spPr>
              <a:solidFill>
                <a:srgbClr val="0070C0"/>
              </a:solidFill>
              <a:ln>
                <a:solidFill>
                  <a:schemeClr val="tx1">
                    <a:lumMod val="95000"/>
                    <a:lumOff val="5000"/>
                  </a:schemeClr>
                </a:solidFill>
              </a:ln>
            </c:spPr>
          </c:dPt>
          <c:dLbls>
            <c:txPr>
              <a:bodyPr/>
              <a:lstStyle/>
              <a:p>
                <a:pPr>
                  <a:defRPr b="1"/>
                </a:pPr>
                <a:endParaRPr lang="pt-BR"/>
              </a:p>
            </c:txPr>
            <c:showLegendKey val="0"/>
            <c:showVal val="1"/>
            <c:showCatName val="0"/>
            <c:showSerName val="0"/>
            <c:showPercent val="0"/>
            <c:showBubbleSize val="0"/>
            <c:showLeaderLines val="0"/>
          </c:dLbls>
          <c:cat>
            <c:strRef>
              <c:f>base_bench!$A$228:$A$242</c:f>
              <c:strCache>
                <c:ptCount val="15"/>
                <c:pt idx="0">
                  <c:v>AM San José da Costa Rica</c:v>
                </c:pt>
                <c:pt idx="1">
                  <c:v>AM Montevidéu</c:v>
                </c:pt>
                <c:pt idx="2">
                  <c:v>AM Leon</c:v>
                </c:pt>
                <c:pt idx="3">
                  <c:v>AM Curitiba</c:v>
                </c:pt>
                <c:pt idx="4">
                  <c:v>AM Caracas</c:v>
                </c:pt>
                <c:pt idx="5">
                  <c:v>AM Porto Alegre</c:v>
                </c:pt>
                <c:pt idx="6">
                  <c:v>AM Guadalajara</c:v>
                </c:pt>
                <c:pt idx="7">
                  <c:v>AM Belo Horizonte</c:v>
                </c:pt>
                <c:pt idx="8">
                  <c:v>AM Santiago do Chile</c:v>
                </c:pt>
                <c:pt idx="9">
                  <c:v>AM Bogotá</c:v>
                </c:pt>
                <c:pt idx="10">
                  <c:v>AM Lima</c:v>
                </c:pt>
                <c:pt idx="11">
                  <c:v>AM Rio de Janeiro</c:v>
                </c:pt>
                <c:pt idx="12">
                  <c:v>AM Buenos Aires</c:v>
                </c:pt>
                <c:pt idx="13">
                  <c:v>AM São Paulo</c:v>
                </c:pt>
                <c:pt idx="14">
                  <c:v>AM Cidade do México</c:v>
                </c:pt>
              </c:strCache>
            </c:strRef>
          </c:cat>
          <c:val>
            <c:numRef>
              <c:f>base_bench!$C$228:$C$242</c:f>
              <c:numCache>
                <c:formatCode>0.00</c:formatCode>
                <c:ptCount val="15"/>
                <c:pt idx="0">
                  <c:v>1.286877</c:v>
                </c:pt>
                <c:pt idx="1">
                  <c:v>1.325968</c:v>
                </c:pt>
                <c:pt idx="2">
                  <c:v>1.3603099999999999</c:v>
                </c:pt>
                <c:pt idx="3">
                  <c:v>2.8724859999999999</c:v>
                </c:pt>
                <c:pt idx="4">
                  <c:v>3.1400760000000001</c:v>
                </c:pt>
                <c:pt idx="5">
                  <c:v>3.410676</c:v>
                </c:pt>
                <c:pt idx="6">
                  <c:v>4.3747210000000001</c:v>
                </c:pt>
                <c:pt idx="7">
                  <c:v>4.8031980000000001</c:v>
                </c:pt>
                <c:pt idx="8">
                  <c:v>6.0389710000000001</c:v>
                </c:pt>
                <c:pt idx="9">
                  <c:v>7.8239570000000001</c:v>
                </c:pt>
                <c:pt idx="10">
                  <c:v>8.4826189999999997</c:v>
                </c:pt>
                <c:pt idx="11">
                  <c:v>10.689406</c:v>
                </c:pt>
                <c:pt idx="12">
                  <c:v>13.267181000000001</c:v>
                </c:pt>
                <c:pt idx="13">
                  <c:v>18.783649</c:v>
                </c:pt>
                <c:pt idx="14">
                  <c:v>19.239909999999998</c:v>
                </c:pt>
              </c:numCache>
            </c:numRef>
          </c:val>
        </c:ser>
        <c:dLbls>
          <c:showLegendKey val="0"/>
          <c:showVal val="0"/>
          <c:showCatName val="0"/>
          <c:showSerName val="0"/>
          <c:showPercent val="0"/>
          <c:showBubbleSize val="0"/>
        </c:dLbls>
        <c:gapWidth val="150"/>
        <c:axId val="133679360"/>
        <c:axId val="133586944"/>
      </c:barChart>
      <c:catAx>
        <c:axId val="133679360"/>
        <c:scaling>
          <c:orientation val="minMax"/>
        </c:scaling>
        <c:delete val="0"/>
        <c:axPos val="b"/>
        <c:majorTickMark val="out"/>
        <c:minorTickMark val="none"/>
        <c:tickLblPos val="nextTo"/>
        <c:crossAx val="133586944"/>
        <c:crosses val="autoZero"/>
        <c:auto val="1"/>
        <c:lblAlgn val="ctr"/>
        <c:lblOffset val="100"/>
        <c:noMultiLvlLbl val="0"/>
      </c:catAx>
      <c:valAx>
        <c:axId val="133586944"/>
        <c:scaling>
          <c:orientation val="minMax"/>
        </c:scaling>
        <c:delete val="0"/>
        <c:axPos val="l"/>
        <c:numFmt formatCode="0.00" sourceLinked="1"/>
        <c:majorTickMark val="out"/>
        <c:minorTickMark val="none"/>
        <c:tickLblPos val="nextTo"/>
        <c:crossAx val="133679360"/>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ysClr val="window" lastClr="FFFFFF"/>
            </a:solidFill>
            <a:ln>
              <a:solidFill>
                <a:schemeClr val="tx1">
                  <a:lumMod val="95000"/>
                  <a:lumOff val="5000"/>
                </a:schemeClr>
              </a:solidFill>
            </a:ln>
          </c:spPr>
          <c:invertIfNegative val="0"/>
          <c:dPt>
            <c:idx val="9"/>
            <c:invertIfNegative val="0"/>
            <c:bubble3D val="0"/>
            <c:spPr>
              <a:solidFill>
                <a:srgbClr val="0070C0"/>
              </a:solidFill>
              <a:ln>
                <a:solidFill>
                  <a:schemeClr val="tx1">
                    <a:lumMod val="95000"/>
                    <a:lumOff val="5000"/>
                  </a:schemeClr>
                </a:solidFill>
              </a:ln>
            </c:spPr>
          </c:dPt>
          <c:dPt>
            <c:idx val="11"/>
            <c:invertIfNegative val="0"/>
            <c:bubble3D val="0"/>
            <c:spPr>
              <a:solidFill>
                <a:srgbClr val="0070C0"/>
              </a:solidFill>
              <a:ln>
                <a:solidFill>
                  <a:schemeClr val="tx1">
                    <a:lumMod val="95000"/>
                    <a:lumOff val="5000"/>
                  </a:schemeClr>
                </a:solidFill>
              </a:ln>
            </c:spPr>
          </c:dPt>
          <c:dPt>
            <c:idx val="14"/>
            <c:invertIfNegative val="0"/>
            <c:bubble3D val="0"/>
          </c:dPt>
          <c:dPt>
            <c:idx val="15"/>
            <c:invertIfNegative val="0"/>
            <c:bubble3D val="0"/>
          </c:dPt>
          <c:dLbls>
            <c:txPr>
              <a:bodyPr/>
              <a:lstStyle/>
              <a:p>
                <a:pPr>
                  <a:defRPr b="1"/>
                </a:pPr>
                <a:endParaRPr lang="pt-BR"/>
              </a:p>
            </c:txPr>
            <c:showLegendKey val="0"/>
            <c:showVal val="1"/>
            <c:showCatName val="0"/>
            <c:showSerName val="0"/>
            <c:showPercent val="0"/>
            <c:showBubbleSize val="0"/>
            <c:showLeaderLines val="0"/>
          </c:dLbls>
          <c:cat>
            <c:strRef>
              <c:f>base_bench!$A$246:$A$262</c:f>
              <c:strCache>
                <c:ptCount val="17"/>
                <c:pt idx="0">
                  <c:v>Joinville</c:v>
                </c:pt>
                <c:pt idx="1">
                  <c:v>Contagem</c:v>
                </c:pt>
                <c:pt idx="2">
                  <c:v>Sevilha (Espanha)</c:v>
                </c:pt>
                <c:pt idx="3">
                  <c:v>Helsinque (Finlândia)</c:v>
                </c:pt>
                <c:pt idx="4">
                  <c:v>Estocolmo (Suécia)</c:v>
                </c:pt>
                <c:pt idx="5">
                  <c:v>Amsterdan (Holanda)</c:v>
                </c:pt>
                <c:pt idx="6">
                  <c:v>Curitiba</c:v>
                </c:pt>
                <c:pt idx="7">
                  <c:v>Viena (Áustria)</c:v>
                </c:pt>
                <c:pt idx="8">
                  <c:v>Bruxelas (Bélgica)</c:v>
                </c:pt>
                <c:pt idx="9">
                  <c:v>Belo Horizonte</c:v>
                </c:pt>
                <c:pt idx="10">
                  <c:v>Budapeste (Hungria)</c:v>
                </c:pt>
                <c:pt idx="11">
                  <c:v>RMBH exceto BH</c:v>
                </c:pt>
                <c:pt idx="12">
                  <c:v>Barcelona (Espanha)</c:v>
                </c:pt>
                <c:pt idx="13">
                  <c:v>Madri (Espanha)</c:v>
                </c:pt>
                <c:pt idx="14">
                  <c:v>Londres (Inglaterra)</c:v>
                </c:pt>
                <c:pt idx="15">
                  <c:v>Paris (França)</c:v>
                </c:pt>
                <c:pt idx="16">
                  <c:v>São Paulo</c:v>
                </c:pt>
              </c:strCache>
            </c:strRef>
          </c:cat>
          <c:val>
            <c:numRef>
              <c:f>base_bench!$D$246:$D$262</c:f>
              <c:numCache>
                <c:formatCode>0.00</c:formatCode>
                <c:ptCount val="17"/>
                <c:pt idx="0">
                  <c:v>0.51528799999999997</c:v>
                </c:pt>
                <c:pt idx="1">
                  <c:v>0.60344200000000003</c:v>
                </c:pt>
                <c:pt idx="2" formatCode="#,##0.00">
                  <c:v>1.1100000000000001</c:v>
                </c:pt>
                <c:pt idx="3" formatCode="#,##0.00">
                  <c:v>1.22</c:v>
                </c:pt>
                <c:pt idx="4" formatCode="#,##0.00">
                  <c:v>1.51</c:v>
                </c:pt>
                <c:pt idx="5" formatCode="#,##0.00">
                  <c:v>1.635</c:v>
                </c:pt>
                <c:pt idx="6">
                  <c:v>1.7519070000000001</c:v>
                </c:pt>
                <c:pt idx="7" formatCode="#,##0.00">
                  <c:v>1.7749999999999999</c:v>
                </c:pt>
                <c:pt idx="8" formatCode="#,##0.00">
                  <c:v>2.105</c:v>
                </c:pt>
                <c:pt idx="9">
                  <c:v>2.3751509999999998</c:v>
                </c:pt>
                <c:pt idx="10" formatCode="#,##0.00">
                  <c:v>2.5</c:v>
                </c:pt>
                <c:pt idx="11">
                  <c:v>2.5088189999999999</c:v>
                </c:pt>
                <c:pt idx="12" formatCode="#,##0.00">
                  <c:v>4.74</c:v>
                </c:pt>
                <c:pt idx="13" formatCode="#,##0.00">
                  <c:v>6.24</c:v>
                </c:pt>
                <c:pt idx="14" formatCode="#,##0.00">
                  <c:v>10.35</c:v>
                </c:pt>
                <c:pt idx="15" formatCode="#,##0.00">
                  <c:v>10.35</c:v>
                </c:pt>
                <c:pt idx="16" formatCode="#,##0.00">
                  <c:v>11.253503</c:v>
                </c:pt>
              </c:numCache>
            </c:numRef>
          </c:val>
        </c:ser>
        <c:dLbls>
          <c:showLegendKey val="0"/>
          <c:showVal val="0"/>
          <c:showCatName val="0"/>
          <c:showSerName val="0"/>
          <c:showPercent val="0"/>
          <c:showBubbleSize val="0"/>
        </c:dLbls>
        <c:gapWidth val="150"/>
        <c:axId val="133607808"/>
        <c:axId val="133609344"/>
      </c:barChart>
      <c:catAx>
        <c:axId val="133607808"/>
        <c:scaling>
          <c:orientation val="minMax"/>
        </c:scaling>
        <c:delete val="0"/>
        <c:axPos val="b"/>
        <c:majorTickMark val="out"/>
        <c:minorTickMark val="none"/>
        <c:tickLblPos val="nextTo"/>
        <c:crossAx val="133609344"/>
        <c:crosses val="autoZero"/>
        <c:auto val="1"/>
        <c:lblAlgn val="ctr"/>
        <c:lblOffset val="100"/>
        <c:noMultiLvlLbl val="0"/>
      </c:catAx>
      <c:valAx>
        <c:axId val="133609344"/>
        <c:scaling>
          <c:orientation val="minMax"/>
        </c:scaling>
        <c:delete val="0"/>
        <c:axPos val="l"/>
        <c:numFmt formatCode="0.00" sourceLinked="1"/>
        <c:majorTickMark val="out"/>
        <c:minorTickMark val="none"/>
        <c:tickLblPos val="nextTo"/>
        <c:crossAx val="133607808"/>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Ats - avaliação geral do trânsito</c:v>
          </c:tx>
          <c:spPr>
            <a:ln w="19050">
              <a:solidFill>
                <a:schemeClr val="tx1">
                  <a:lumMod val="50000"/>
                  <a:lumOff val="50000"/>
                </a:schemeClr>
              </a:solidFill>
              <a:prstDash val="sysDot"/>
            </a:ln>
          </c:spPr>
          <c:marker>
            <c:symbol val="circle"/>
            <c:size val="7"/>
            <c:spPr>
              <a:solidFill>
                <a:schemeClr val="bg1">
                  <a:lumMod val="85000"/>
                </a:schemeClr>
              </a:solidFill>
              <a:ln>
                <a:solidFill>
                  <a:schemeClr val="tx1">
                    <a:lumMod val="95000"/>
                    <a:lumOff val="5000"/>
                  </a:schemeClr>
                </a:solidFill>
              </a:ln>
            </c:spPr>
          </c:marker>
          <c:dLbls>
            <c:dLbl>
              <c:idx val="1"/>
              <c:spPr/>
              <c:txPr>
                <a:bodyPr/>
                <a:lstStyle/>
                <a:p>
                  <a:pPr>
                    <a:defRPr sz="1000" b="1"/>
                  </a:pPr>
                  <a:endParaRPr lang="pt-BR"/>
                </a:p>
              </c:txPr>
              <c:dLblPos val="b"/>
              <c:showLegendKey val="0"/>
              <c:showVal val="1"/>
              <c:showCatName val="0"/>
              <c:showSerName val="0"/>
              <c:showPercent val="0"/>
              <c:showBubbleSize val="0"/>
            </c:dLbl>
            <c:dLbl>
              <c:idx val="22"/>
              <c:spPr/>
              <c:txPr>
                <a:bodyPr/>
                <a:lstStyle/>
                <a:p>
                  <a:pPr>
                    <a:defRPr sz="1000" b="1"/>
                  </a:pPr>
                  <a:endParaRPr lang="pt-BR"/>
                </a:p>
              </c:txPr>
              <c:dLblPos val="b"/>
              <c:showLegendKey val="0"/>
              <c:showVal val="1"/>
              <c:showCatName val="0"/>
              <c:showSerName val="0"/>
              <c:showPercent val="0"/>
              <c:showBubbleSize val="0"/>
            </c:dLbl>
            <c:txPr>
              <a:bodyPr/>
              <a:lstStyle/>
              <a:p>
                <a:pPr>
                  <a:defRPr sz="800" b="1"/>
                </a:pPr>
                <a:endParaRPr lang="pt-BR"/>
              </a:p>
            </c:txPr>
            <c:dLblPos val="b"/>
            <c:showLegendKey val="0"/>
            <c:showVal val="1"/>
            <c:showCatName val="0"/>
            <c:showSerName val="0"/>
            <c:showPercent val="0"/>
            <c:showBubbleSize val="0"/>
            <c:showLeaderLines val="0"/>
          </c:dLbls>
          <c:cat>
            <c:strRef>
              <c:f>(para_graficos!$O$3:$Q$3,para_graficos!$R$2:$S$2,para_graficos!$T$3,para_graficos!$U$2:$V$2,para_graficos!$W$3:$AK$3)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para_graficos!$O$137:$AK$137</c:f>
              <c:numCache>
                <c:formatCode>0.00</c:formatCode>
                <c:ptCount val="23"/>
                <c:pt idx="1">
                  <c:v>2.193877551020408</c:v>
                </c:pt>
                <c:pt idx="3">
                  <c:v>2.5876288659793816</c:v>
                </c:pt>
                <c:pt idx="6">
                  <c:v>2.5858585858585861</c:v>
                </c:pt>
                <c:pt idx="8">
                  <c:v>2.5599516762307459</c:v>
                </c:pt>
                <c:pt idx="9">
                  <c:v>2.6145875660300693</c:v>
                </c:pt>
                <c:pt idx="11">
                  <c:v>2.624848484848485</c:v>
                </c:pt>
                <c:pt idx="12">
                  <c:v>2.3838383838383836</c:v>
                </c:pt>
                <c:pt idx="13">
                  <c:v>2.3130032206119164</c:v>
                </c:pt>
                <c:pt idx="14">
                  <c:v>2.6905365655746016</c:v>
                </c:pt>
                <c:pt idx="15">
                  <c:v>2.3856122448979593</c:v>
                </c:pt>
                <c:pt idx="17">
                  <c:v>2.3381953525802235</c:v>
                </c:pt>
                <c:pt idx="18">
                  <c:v>2.1078758467293501</c:v>
                </c:pt>
                <c:pt idx="20">
                  <c:v>1.86</c:v>
                </c:pt>
                <c:pt idx="22">
                  <c:v>2.2222222222222223</c:v>
                </c:pt>
              </c:numCache>
            </c:numRef>
          </c:val>
          <c:smooth val="1"/>
        </c:ser>
        <c:ser>
          <c:idx val="1"/>
          <c:order val="1"/>
          <c:tx>
            <c:v>Atc - avaliação geral do transporte coletivo</c:v>
          </c:tx>
          <c:spPr>
            <a:ln w="19050">
              <a:solidFill>
                <a:schemeClr val="tx1">
                  <a:lumMod val="50000"/>
                  <a:lumOff val="50000"/>
                </a:schemeClr>
              </a:solidFill>
            </a:ln>
          </c:spPr>
          <c:marker>
            <c:symbol val="square"/>
            <c:size val="7"/>
            <c:spPr>
              <a:solidFill>
                <a:schemeClr val="tx1">
                  <a:lumMod val="50000"/>
                  <a:lumOff val="50000"/>
                </a:schemeClr>
              </a:solidFill>
              <a:ln>
                <a:solidFill>
                  <a:schemeClr val="tx1">
                    <a:lumMod val="95000"/>
                    <a:lumOff val="5000"/>
                  </a:schemeClr>
                </a:solidFill>
              </a:ln>
            </c:spPr>
          </c:marker>
          <c:dLbls>
            <c:dLbl>
              <c:idx val="1"/>
              <c:layout>
                <c:manualLayout>
                  <c:x val="-3.1475748194014448E-2"/>
                  <c:y val="-4.7129391602399318E-2"/>
                </c:manualLayout>
              </c:layout>
              <c:spPr/>
              <c:txPr>
                <a:bodyPr/>
                <a:lstStyle/>
                <a:p>
                  <a:pPr>
                    <a:defRPr sz="1000" b="1"/>
                  </a:pPr>
                  <a:endParaRPr lang="pt-BR"/>
                </a:p>
              </c:txPr>
              <c:dLblPos val="r"/>
              <c:showLegendKey val="0"/>
              <c:showVal val="1"/>
              <c:showCatName val="0"/>
              <c:showSerName val="0"/>
              <c:showPercent val="0"/>
              <c:showBubbleSize val="0"/>
            </c:dLbl>
            <c:dLbl>
              <c:idx val="22"/>
              <c:spPr/>
              <c:txPr>
                <a:bodyPr/>
                <a:lstStyle/>
                <a:p>
                  <a:pPr>
                    <a:defRPr sz="1000" b="1"/>
                  </a:pPr>
                  <a:endParaRPr lang="pt-BR"/>
                </a:p>
              </c:txPr>
              <c:dLblPos val="t"/>
              <c:showLegendKey val="0"/>
              <c:showVal val="1"/>
              <c:showCatName val="0"/>
              <c:showSerName val="0"/>
              <c:showPercent val="0"/>
              <c:showBubbleSize val="0"/>
            </c:dLbl>
            <c:txPr>
              <a:bodyPr/>
              <a:lstStyle/>
              <a:p>
                <a:pPr>
                  <a:defRPr sz="800" b="1"/>
                </a:pPr>
                <a:endParaRPr lang="pt-BR"/>
              </a:p>
            </c:txPr>
            <c:dLblPos val="t"/>
            <c:showLegendKey val="0"/>
            <c:showVal val="1"/>
            <c:showCatName val="0"/>
            <c:showSerName val="0"/>
            <c:showPercent val="0"/>
            <c:showBubbleSize val="0"/>
            <c:showLeaderLines val="0"/>
          </c:dLbls>
          <c:cat>
            <c:strRef>
              <c:f>(para_graficos!$O$3:$Q$3,para_graficos!$R$2:$S$2,para_graficos!$T$3,para_graficos!$U$2:$V$2,para_graficos!$W$3:$AK$3)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para_graficos!$O$116:$AK$116</c:f>
              <c:numCache>
                <c:formatCode>0.00</c:formatCode>
                <c:ptCount val="23"/>
                <c:pt idx="0">
                  <c:v>3</c:v>
                </c:pt>
                <c:pt idx="1">
                  <c:v>2.8525252525252527</c:v>
                </c:pt>
                <c:pt idx="3">
                  <c:v>2.9545454545454546</c:v>
                </c:pt>
                <c:pt idx="6">
                  <c:v>2.7777777777777777</c:v>
                </c:pt>
                <c:pt idx="8">
                  <c:v>3.148841444905393</c:v>
                </c:pt>
                <c:pt idx="9">
                  <c:v>3.3297199638663062</c:v>
                </c:pt>
                <c:pt idx="10">
                  <c:v>3.0383993532740505</c:v>
                </c:pt>
                <c:pt idx="11">
                  <c:v>2.7936424120815291</c:v>
                </c:pt>
                <c:pt idx="12">
                  <c:v>3.1122448979591835</c:v>
                </c:pt>
                <c:pt idx="13">
                  <c:v>2.9773455866638172</c:v>
                </c:pt>
                <c:pt idx="14">
                  <c:v>3.111418614186142</c:v>
                </c:pt>
                <c:pt idx="15">
                  <c:v>2.4774283269148478</c:v>
                </c:pt>
                <c:pt idx="17">
                  <c:v>2.5290685772773798</c:v>
                </c:pt>
                <c:pt idx="18">
                  <c:v>2.5395942745340334</c:v>
                </c:pt>
                <c:pt idx="20">
                  <c:v>2.1515151515151514</c:v>
                </c:pt>
                <c:pt idx="22">
                  <c:v>2.3958333333333335</c:v>
                </c:pt>
              </c:numCache>
            </c:numRef>
          </c:val>
          <c:smooth val="1"/>
        </c:ser>
        <c:dLbls>
          <c:showLegendKey val="0"/>
          <c:showVal val="0"/>
          <c:showCatName val="0"/>
          <c:showSerName val="0"/>
          <c:showPercent val="0"/>
          <c:showBubbleSize val="0"/>
        </c:dLbls>
        <c:marker val="1"/>
        <c:smooth val="0"/>
        <c:axId val="108111744"/>
        <c:axId val="108113280"/>
      </c:lineChart>
      <c:catAx>
        <c:axId val="108111744"/>
        <c:scaling>
          <c:orientation val="minMax"/>
        </c:scaling>
        <c:delete val="0"/>
        <c:axPos val="b"/>
        <c:majorTickMark val="out"/>
        <c:minorTickMark val="none"/>
        <c:tickLblPos val="nextTo"/>
        <c:crossAx val="108113280"/>
        <c:crosses val="autoZero"/>
        <c:auto val="1"/>
        <c:lblAlgn val="ctr"/>
        <c:lblOffset val="100"/>
        <c:noMultiLvlLbl val="0"/>
      </c:catAx>
      <c:valAx>
        <c:axId val="108113280"/>
        <c:scaling>
          <c:orientation val="minMax"/>
          <c:max val="5"/>
          <c:min val="1"/>
        </c:scaling>
        <c:delete val="0"/>
        <c:axPos val="l"/>
        <c:numFmt formatCode="#,##0.00" sourceLinked="0"/>
        <c:majorTickMark val="out"/>
        <c:minorTickMark val="none"/>
        <c:tickLblPos val="nextTo"/>
        <c:crossAx val="108111744"/>
        <c:crosses val="autoZero"/>
        <c:crossBetween val="between"/>
      </c:valAx>
    </c:plotArea>
    <c:legend>
      <c:legendPos val="b"/>
      <c:overlay val="0"/>
    </c:legend>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Atc[o/b]</c:v>
          </c:tx>
          <c:spPr>
            <a:ln w="15875">
              <a:solidFill>
                <a:schemeClr val="tx1">
                  <a:lumMod val="50000"/>
                  <a:lumOff val="50000"/>
                </a:schemeClr>
              </a:solidFill>
              <a:prstDash val="solid"/>
            </a:ln>
          </c:spPr>
          <c:marker>
            <c:symbol val="diamond"/>
            <c:size val="7"/>
            <c:spPr>
              <a:solidFill>
                <a:schemeClr val="bg1"/>
              </a:solidFill>
              <a:ln>
                <a:solidFill>
                  <a:schemeClr val="tx1"/>
                </a:solidFill>
              </a:ln>
            </c:spPr>
          </c:marker>
          <c:dLbls>
            <c:dLbl>
              <c:idx val="0"/>
              <c:layout>
                <c:manualLayout>
                  <c:x val="-2.0309050772626933E-2"/>
                  <c:y val="-4.6531302876480544E-2"/>
                </c:manualLayout>
              </c:layout>
              <c:dLblPos val="r"/>
              <c:showLegendKey val="0"/>
              <c:showVal val="1"/>
              <c:showCatName val="0"/>
              <c:showSerName val="0"/>
              <c:showPercent val="0"/>
              <c:showBubbleSize val="0"/>
            </c:dLbl>
            <c:dLbl>
              <c:idx val="1"/>
              <c:layout>
                <c:manualLayout>
                  <c:x val="-2.3841059602649008E-2"/>
                  <c:y val="5.6712962962962965E-2"/>
                </c:manualLayout>
              </c:layout>
              <c:dLblPos val="r"/>
              <c:showLegendKey val="0"/>
              <c:showVal val="1"/>
              <c:showCatName val="0"/>
              <c:showSerName val="0"/>
              <c:showPercent val="0"/>
              <c:showBubbleSize val="0"/>
            </c:dLbl>
            <c:dLbl>
              <c:idx val="3"/>
              <c:layout>
                <c:manualLayout>
                  <c:x val="-2.2958057395143488E-2"/>
                  <c:y val="-4.060913705583756E-2"/>
                </c:manualLayout>
              </c:layout>
              <c:showLegendKey val="0"/>
              <c:showVal val="1"/>
              <c:showCatName val="0"/>
              <c:showSerName val="0"/>
              <c:showPercent val="0"/>
              <c:showBubbleSize val="0"/>
            </c:dLbl>
            <c:dLbl>
              <c:idx val="4"/>
              <c:layout>
                <c:manualLayout>
                  <c:x val="-1.099332548095799E-2"/>
                  <c:y val="-2.2489959839357431E-2"/>
                </c:manualLayout>
              </c:layout>
              <c:showLegendKey val="0"/>
              <c:showVal val="1"/>
              <c:showCatName val="0"/>
              <c:showSerName val="0"/>
              <c:showPercent val="0"/>
              <c:showBubbleSize val="0"/>
            </c:dLbl>
            <c:dLbl>
              <c:idx val="5"/>
              <c:delete val="1"/>
            </c:dLbl>
            <c:dLbl>
              <c:idx val="6"/>
              <c:layout>
                <c:manualLayout>
                  <c:x val="-2.4724061810154525E-2"/>
                  <c:y val="4.060913705583756E-2"/>
                </c:manualLayout>
              </c:layout>
              <c:showLegendKey val="0"/>
              <c:showVal val="1"/>
              <c:showCatName val="0"/>
              <c:showSerName val="0"/>
              <c:showPercent val="0"/>
              <c:showBubbleSize val="0"/>
            </c:dLbl>
            <c:dLbl>
              <c:idx val="7"/>
              <c:layout>
                <c:manualLayout>
                  <c:x val="-1.2563800549666245E-2"/>
                  <c:y val="2.891566265060241E-2"/>
                </c:manualLayout>
              </c:layout>
              <c:showLegendKey val="0"/>
              <c:showVal val="1"/>
              <c:showCatName val="0"/>
              <c:showSerName val="0"/>
              <c:showPercent val="0"/>
              <c:showBubbleSize val="0"/>
            </c:dLbl>
            <c:dLbl>
              <c:idx val="8"/>
              <c:layout>
                <c:manualLayout>
                  <c:x val="-2.8268551236749088E-2"/>
                  <c:y val="-2.891566265060241E-2"/>
                </c:manualLayout>
              </c:layout>
              <c:showLegendKey val="0"/>
              <c:showVal val="1"/>
              <c:showCatName val="0"/>
              <c:showSerName val="0"/>
              <c:showPercent val="0"/>
              <c:showBubbleSize val="0"/>
            </c:dLbl>
            <c:dLbl>
              <c:idx val="9"/>
              <c:layout>
                <c:manualLayout>
                  <c:x val="-2.7373068432671083E-2"/>
                  <c:y val="-4.6948319277349215E-2"/>
                </c:manualLayout>
              </c:layout>
              <c:dLblPos val="r"/>
              <c:showLegendKey val="0"/>
              <c:showVal val="1"/>
              <c:showCatName val="0"/>
              <c:showSerName val="0"/>
              <c:showPercent val="0"/>
              <c:showBubbleSize val="0"/>
            </c:dLbl>
            <c:dLbl>
              <c:idx val="10"/>
              <c:layout>
                <c:manualLayout>
                  <c:x val="-1.2563800549666274E-2"/>
                  <c:y val="-2.891566265060241E-2"/>
                </c:manualLayout>
              </c:layout>
              <c:showLegendKey val="0"/>
              <c:showVal val="1"/>
              <c:showCatName val="0"/>
              <c:showSerName val="0"/>
              <c:showPercent val="0"/>
              <c:showBubbleSize val="0"/>
            </c:dLbl>
            <c:dLbl>
              <c:idx val="11"/>
              <c:layout>
                <c:manualLayout>
                  <c:x val="-2.5607064017660046E-2"/>
                  <c:y val="4.7453703703703706E-2"/>
                </c:manualLayout>
              </c:layout>
              <c:dLblPos val="r"/>
              <c:showLegendKey val="0"/>
              <c:showVal val="1"/>
              <c:showCatName val="0"/>
              <c:showSerName val="0"/>
              <c:showPercent val="0"/>
              <c:showBubbleSize val="0"/>
            </c:dLbl>
            <c:dLbl>
              <c:idx val="13"/>
              <c:layout>
                <c:manualLayout>
                  <c:x val="-2.5607028803378375E-2"/>
                  <c:y val="4.7074344622584828E-2"/>
                </c:manualLayout>
              </c:layout>
              <c:dLblPos val="r"/>
              <c:showLegendKey val="0"/>
              <c:showVal val="1"/>
              <c:showCatName val="0"/>
              <c:showSerName val="0"/>
              <c:showPercent val="0"/>
              <c:showBubbleSize val="0"/>
            </c:dLbl>
            <c:dLbl>
              <c:idx val="15"/>
              <c:layout>
                <c:manualLayout>
                  <c:x val="-2.8552473343658898E-2"/>
                  <c:y val="4.887050564462575E-2"/>
                </c:manualLayout>
              </c:layout>
              <c:dLblPos val="r"/>
              <c:showLegendKey val="0"/>
              <c:showVal val="1"/>
              <c:showCatName val="0"/>
              <c:showSerName val="0"/>
              <c:showPercent val="0"/>
              <c:showBubbleSize val="0"/>
            </c:dLbl>
            <c:dLbl>
              <c:idx val="17"/>
              <c:layout>
                <c:manualLayout>
                  <c:x val="-1.9520634125681287E-2"/>
                  <c:y val="4.8052113967681748E-2"/>
                </c:manualLayout>
              </c:layout>
              <c:dLblPos val="r"/>
              <c:showLegendKey val="0"/>
              <c:showVal val="1"/>
              <c:showCatName val="0"/>
              <c:showSerName val="0"/>
              <c:showPercent val="0"/>
              <c:showBubbleSize val="0"/>
            </c:dLbl>
            <c:dLbl>
              <c:idx val="18"/>
              <c:layout>
                <c:manualLayout>
                  <c:x val="-2.5607203073125792E-2"/>
                  <c:y val="-3.7148567089012353E-2"/>
                </c:manualLayout>
              </c:layout>
              <c:dLblPos val="r"/>
              <c:showLegendKey val="0"/>
              <c:showVal val="1"/>
              <c:showCatName val="0"/>
              <c:showSerName val="0"/>
              <c:showPercent val="0"/>
              <c:showBubbleSize val="0"/>
            </c:dLbl>
            <c:numFmt formatCode="#,##0" sourceLinked="0"/>
            <c:txPr>
              <a:bodyPr/>
              <a:lstStyle/>
              <a:p>
                <a:pPr>
                  <a:defRPr b="1"/>
                </a:pPr>
                <a:endParaRPr lang="pt-BR"/>
              </a:p>
            </c:txPr>
            <c:dLblPos val="t"/>
            <c:showLegendKey val="0"/>
            <c:showVal val="1"/>
            <c:showCatName val="0"/>
            <c:showSerName val="0"/>
            <c:showPercent val="0"/>
            <c:showBubbleSize val="0"/>
            <c:showLeaderLines val="0"/>
          </c:dLbls>
          <c:cat>
            <c:strRef>
              <c:f>(para_graficos!$O$803:$AK$803,para_graficos!$AM$803:$AQ$803)</c:f>
              <c:strCache>
                <c:ptCount val="28"/>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strCache>
            </c:strRef>
          </c:cat>
          <c:val>
            <c:numRef>
              <c:f>(para_graficos!$O$120:$AK$120,para_graficos!$AM$120:$AQ$120)</c:f>
              <c:numCache>
                <c:formatCode>0</c:formatCode>
                <c:ptCount val="28"/>
                <c:pt idx="0">
                  <c:v>35</c:v>
                </c:pt>
                <c:pt idx="1">
                  <c:v>31</c:v>
                </c:pt>
                <c:pt idx="3">
                  <c:v>36</c:v>
                </c:pt>
                <c:pt idx="6">
                  <c:v>29</c:v>
                </c:pt>
                <c:pt idx="8">
                  <c:v>35.370000000000005</c:v>
                </c:pt>
                <c:pt idx="9">
                  <c:v>42.97</c:v>
                </c:pt>
                <c:pt idx="10">
                  <c:v>31.259999999999998</c:v>
                </c:pt>
                <c:pt idx="11">
                  <c:v>28.03</c:v>
                </c:pt>
                <c:pt idx="12">
                  <c:v>36</c:v>
                </c:pt>
                <c:pt idx="13">
                  <c:v>32.39</c:v>
                </c:pt>
                <c:pt idx="14">
                  <c:v>36.520000000000003</c:v>
                </c:pt>
                <c:pt idx="15">
                  <c:v>12.23</c:v>
                </c:pt>
                <c:pt idx="17">
                  <c:v>12.07</c:v>
                </c:pt>
                <c:pt idx="18">
                  <c:v>20.470000000000002</c:v>
                </c:pt>
                <c:pt idx="20">
                  <c:v>11</c:v>
                </c:pt>
                <c:pt idx="22">
                  <c:v>13</c:v>
                </c:pt>
              </c:numCache>
            </c:numRef>
          </c:val>
          <c:smooth val="1"/>
        </c:ser>
        <c:ser>
          <c:idx val="1"/>
          <c:order val="1"/>
          <c:tx>
            <c:v>meta definida para 2014 em 2010</c:v>
          </c:tx>
          <c:spPr>
            <a:ln>
              <a:solidFill>
                <a:schemeClr val="bg1"/>
              </a:solidFill>
            </a:ln>
          </c:spPr>
          <c:marker>
            <c:spPr>
              <a:solidFill>
                <a:srgbClr val="0070C0"/>
              </a:solidFill>
              <a:ln>
                <a:solidFill>
                  <a:schemeClr val="tx2"/>
                </a:solidFill>
              </a:ln>
            </c:spPr>
          </c:marker>
          <c:dLbls>
            <c:dLbl>
              <c:idx val="19"/>
              <c:layout>
                <c:manualLayout>
                  <c:x val="-2.6490066225165563E-2"/>
                  <c:y val="-6.0185185185185175E-2"/>
                </c:manualLayout>
              </c:layout>
              <c:tx>
                <c:rich>
                  <a:bodyPr/>
                  <a:lstStyle/>
                  <a:p>
                    <a:r>
                      <a:rPr lang="en-US" b="1"/>
                      <a:t>50</a:t>
                    </a:r>
                  </a:p>
                </c:rich>
              </c:tx>
              <c:showLegendKey val="0"/>
              <c:showVal val="1"/>
              <c:showCatName val="0"/>
              <c:showSerName val="0"/>
              <c:showPercent val="0"/>
              <c:showBubbleSize val="0"/>
            </c:dLbl>
            <c:txPr>
              <a:bodyPr/>
              <a:lstStyle/>
              <a:p>
                <a:pPr>
                  <a:defRPr b="1"/>
                </a:pPr>
                <a:endParaRPr lang="pt-BR"/>
              </a:p>
            </c:txPr>
            <c:showLegendKey val="0"/>
            <c:showVal val="1"/>
            <c:showCatName val="0"/>
            <c:showSerName val="0"/>
            <c:showPercent val="0"/>
            <c:showBubbleSize val="0"/>
            <c:showLeaderLines val="0"/>
          </c:dLbls>
          <c:cat>
            <c:strRef>
              <c:f>(para_graficos!$O$803:$AK$803,para_graficos!$AM$803:$AQ$803)</c:f>
              <c:strCache>
                <c:ptCount val="28"/>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strCache>
            </c:strRef>
          </c:cat>
          <c:val>
            <c:numRef>
              <c:f>(para_graficos!$O$798:$AK$798,para_graficos!$AM$798:$AQ$798)</c:f>
              <c:numCache>
                <c:formatCode>General</c:formatCode>
                <c:ptCount val="28"/>
                <c:pt idx="21">
                  <c:v>50</c:v>
                </c:pt>
              </c:numCache>
            </c:numRef>
          </c:val>
          <c:smooth val="0"/>
        </c:ser>
        <c:ser>
          <c:idx val="2"/>
          <c:order val="2"/>
          <c:tx>
            <c:v>meta definida para 2016 em 2013</c:v>
          </c:tx>
          <c:spPr>
            <a:ln>
              <a:solidFill>
                <a:schemeClr val="bg1"/>
              </a:solidFill>
            </a:ln>
          </c:spPr>
          <c:marker>
            <c:spPr>
              <a:solidFill>
                <a:schemeClr val="tx1">
                  <a:lumMod val="50000"/>
                  <a:lumOff val="50000"/>
                </a:schemeClr>
              </a:solidFill>
              <a:ln>
                <a:solidFill>
                  <a:schemeClr val="tx1"/>
                </a:solidFill>
              </a:ln>
            </c:spPr>
          </c:marker>
          <c:dLbls>
            <c:dLbl>
              <c:idx val="19"/>
              <c:layout>
                <c:manualLayout>
                  <c:x val="-2.6490066225165563E-2"/>
                  <c:y val="-5.5555555555555552E-2"/>
                </c:manualLayout>
              </c:layout>
              <c:tx>
                <c:rich>
                  <a:bodyPr/>
                  <a:lstStyle/>
                  <a:p>
                    <a:r>
                      <a:rPr lang="en-US" b="1"/>
                      <a:t>30</a:t>
                    </a:r>
                  </a:p>
                </c:rich>
              </c:tx>
              <c:showLegendKey val="0"/>
              <c:showVal val="1"/>
              <c:showCatName val="0"/>
              <c:showSerName val="0"/>
              <c:showPercent val="0"/>
              <c:showBubbleSize val="0"/>
            </c:dLbl>
            <c:txPr>
              <a:bodyPr/>
              <a:lstStyle/>
              <a:p>
                <a:pPr>
                  <a:defRPr b="1"/>
                </a:pPr>
                <a:endParaRPr lang="pt-BR"/>
              </a:p>
            </c:txPr>
            <c:showLegendKey val="0"/>
            <c:showVal val="1"/>
            <c:showCatName val="0"/>
            <c:showSerName val="0"/>
            <c:showPercent val="0"/>
            <c:showBubbleSize val="0"/>
            <c:showLeaderLines val="0"/>
          </c:dLbls>
          <c:cat>
            <c:strRef>
              <c:f>(para_graficos!$O$803:$AK$803,para_graficos!$AM$803:$AQ$803)</c:f>
              <c:strCache>
                <c:ptCount val="28"/>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strCache>
            </c:strRef>
          </c:cat>
          <c:val>
            <c:numRef>
              <c:f>(para_graficos!$O$799:$AK$799,para_graficos!$AM$799:$AQ$799)</c:f>
              <c:numCache>
                <c:formatCode>General</c:formatCode>
                <c:ptCount val="28"/>
                <c:pt idx="23">
                  <c:v>30</c:v>
                </c:pt>
              </c:numCache>
            </c:numRef>
          </c:val>
          <c:smooth val="0"/>
        </c:ser>
        <c:ser>
          <c:idx val="3"/>
          <c:order val="3"/>
          <c:tx>
            <c:v>meta definida para 2020 em 2010/2013</c:v>
          </c:tx>
          <c:spPr>
            <a:ln>
              <a:solidFill>
                <a:schemeClr val="bg1"/>
              </a:solidFill>
            </a:ln>
          </c:spPr>
          <c:marker>
            <c:symbol val="circle"/>
            <c:size val="7"/>
            <c:spPr>
              <a:solidFill>
                <a:schemeClr val="accent6">
                  <a:lumMod val="60000"/>
                  <a:lumOff val="40000"/>
                </a:schemeClr>
              </a:solidFill>
              <a:ln>
                <a:solidFill>
                  <a:schemeClr val="accent6">
                    <a:lumMod val="50000"/>
                  </a:schemeClr>
                </a:solidFill>
              </a:ln>
            </c:spPr>
          </c:marker>
          <c:dLbls>
            <c:dLbl>
              <c:idx val="27"/>
              <c:spPr/>
              <c:txPr>
                <a:bodyPr/>
                <a:lstStyle/>
                <a:p>
                  <a:pPr>
                    <a:defRPr b="1"/>
                  </a:pPr>
                  <a:endParaRPr lang="pt-BR"/>
                </a:p>
              </c:txPr>
              <c:showLegendKey val="0"/>
              <c:showVal val="1"/>
              <c:showCatName val="0"/>
              <c:showSerName val="0"/>
              <c:showPercent val="0"/>
              <c:showBubbleSize val="0"/>
            </c:dLbl>
            <c:showLegendKey val="0"/>
            <c:showVal val="1"/>
            <c:showCatName val="0"/>
            <c:showSerName val="0"/>
            <c:showPercent val="0"/>
            <c:showBubbleSize val="0"/>
            <c:showLeaderLines val="0"/>
          </c:dLbls>
          <c:cat>
            <c:strRef>
              <c:f>(para_graficos!$O$803:$AK$803,para_graficos!$AM$803:$AQ$803)</c:f>
              <c:strCache>
                <c:ptCount val="28"/>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strCache>
            </c:strRef>
          </c:cat>
          <c:val>
            <c:numRef>
              <c:f>(para_graficos!$O$802:$AK$802,para_graficos!$AM$802:$AQ$802)</c:f>
              <c:numCache>
                <c:formatCode>General</c:formatCode>
                <c:ptCount val="28"/>
                <c:pt idx="27" formatCode="0">
                  <c:v>60</c:v>
                </c:pt>
              </c:numCache>
            </c:numRef>
          </c:val>
          <c:smooth val="0"/>
        </c:ser>
        <c:ser>
          <c:idx val="4"/>
          <c:order val="4"/>
          <c:tx>
            <c:v>Atp &gt; 100 mil habitantes [mb/b]</c:v>
          </c:tx>
          <c:spPr>
            <a:ln>
              <a:solidFill>
                <a:schemeClr val="bg1"/>
              </a:solidFill>
            </a:ln>
          </c:spPr>
          <c:marker>
            <c:symbol val="star"/>
            <c:size val="9"/>
            <c:spPr>
              <a:ln>
                <a:solidFill>
                  <a:schemeClr val="tx1"/>
                </a:solidFill>
              </a:ln>
            </c:spPr>
          </c:marker>
          <c:val>
            <c:numRef>
              <c:f>(para_graficos!$O$126:$AK$126,para_graficos!$AM$126:$AQ$126)</c:f>
              <c:numCache>
                <c:formatCode>0.00</c:formatCode>
                <c:ptCount val="28"/>
                <c:pt idx="18" formatCode="0">
                  <c:v>30</c:v>
                </c:pt>
              </c:numCache>
            </c:numRef>
          </c:val>
          <c:smooth val="0"/>
        </c:ser>
        <c:dLbls>
          <c:showLegendKey val="0"/>
          <c:showVal val="0"/>
          <c:showCatName val="0"/>
          <c:showSerName val="0"/>
          <c:showPercent val="0"/>
          <c:showBubbleSize val="0"/>
        </c:dLbls>
        <c:marker val="1"/>
        <c:smooth val="0"/>
        <c:axId val="133513600"/>
        <c:axId val="133515520"/>
      </c:lineChart>
      <c:catAx>
        <c:axId val="133513600"/>
        <c:scaling>
          <c:orientation val="minMax"/>
        </c:scaling>
        <c:delete val="0"/>
        <c:axPos val="b"/>
        <c:numFmt formatCode="General" sourceLinked="1"/>
        <c:majorTickMark val="out"/>
        <c:minorTickMark val="none"/>
        <c:tickLblPos val="nextTo"/>
        <c:crossAx val="133515520"/>
        <c:crosses val="autoZero"/>
        <c:auto val="1"/>
        <c:lblAlgn val="ctr"/>
        <c:lblOffset val="100"/>
        <c:noMultiLvlLbl val="0"/>
      </c:catAx>
      <c:valAx>
        <c:axId val="133515520"/>
        <c:scaling>
          <c:orientation val="minMax"/>
        </c:scaling>
        <c:delete val="0"/>
        <c:axPos val="l"/>
        <c:title>
          <c:tx>
            <c:rich>
              <a:bodyPr rot="0" vert="horz"/>
              <a:lstStyle/>
              <a:p>
                <a:pPr>
                  <a:defRPr sz="1200"/>
                </a:pPr>
                <a:r>
                  <a:rPr lang="en-US" sz="1200"/>
                  <a:t>%</a:t>
                </a:r>
              </a:p>
            </c:rich>
          </c:tx>
          <c:overlay val="0"/>
        </c:title>
        <c:numFmt formatCode="0" sourceLinked="1"/>
        <c:majorTickMark val="out"/>
        <c:minorTickMark val="none"/>
        <c:tickLblPos val="nextTo"/>
        <c:crossAx val="133513600"/>
        <c:crosses val="autoZero"/>
        <c:crossBetween val="between"/>
      </c:valAx>
    </c:plotArea>
    <c:legend>
      <c:legendPos val="r"/>
      <c:layout>
        <c:manualLayout>
          <c:xMode val="edge"/>
          <c:yMode val="edge"/>
          <c:x val="0.71438400588619"/>
          <c:y val="0.2808765771748411"/>
          <c:w val="0.28561598646780328"/>
          <c:h val="0.44922366631881855"/>
        </c:manualLayout>
      </c:layout>
      <c:overlay val="0"/>
    </c:legend>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703981430211563E-2"/>
          <c:y val="3.216373528486087E-2"/>
          <c:w val="0.75557015444583131"/>
          <c:h val="0.82989298017843616"/>
        </c:manualLayout>
      </c:layout>
      <c:lineChart>
        <c:grouping val="standard"/>
        <c:varyColors val="0"/>
        <c:ser>
          <c:idx val="2"/>
          <c:order val="0"/>
          <c:tx>
            <c:v>Atc[r/p] = ruim/péssimo</c:v>
          </c:tx>
          <c:spPr>
            <a:ln>
              <a:solidFill>
                <a:schemeClr val="tx1">
                  <a:lumMod val="50000"/>
                  <a:lumOff val="50000"/>
                </a:schemeClr>
              </a:solidFill>
            </a:ln>
          </c:spPr>
          <c:marker>
            <c:symbol val="square"/>
            <c:size val="7"/>
            <c:spPr>
              <a:solidFill>
                <a:schemeClr val="tx1">
                  <a:lumMod val="50000"/>
                  <a:lumOff val="50000"/>
                </a:schemeClr>
              </a:solidFill>
              <a:ln>
                <a:solidFill>
                  <a:schemeClr val="bg1">
                    <a:lumMod val="85000"/>
                  </a:schemeClr>
                </a:solidFill>
              </a:ln>
            </c:spPr>
          </c:marker>
          <c:dLbls>
            <c:dLbl>
              <c:idx val="0"/>
              <c:layout>
                <c:manualLayout>
                  <c:x val="-1.9169325858582029E-2"/>
                  <c:y val="3.5158891142663962E-2"/>
                </c:manualLayout>
              </c:layout>
              <c:showLegendKey val="0"/>
              <c:showVal val="1"/>
              <c:showCatName val="0"/>
              <c:showSerName val="0"/>
              <c:showPercent val="0"/>
              <c:showBubbleSize val="0"/>
            </c:dLbl>
            <c:dLbl>
              <c:idx val="22"/>
              <c:showLegendKey val="0"/>
              <c:showVal val="1"/>
              <c:showCatName val="0"/>
              <c:showSerName val="0"/>
              <c:showPercent val="0"/>
              <c:showBubbleSize val="0"/>
            </c:dLbl>
            <c:numFmt formatCode="#,##0" sourceLinked="0"/>
            <c:txPr>
              <a:bodyPr/>
              <a:lstStyle/>
              <a:p>
                <a:pPr>
                  <a:defRPr b="1"/>
                </a:pPr>
                <a:endParaRPr lang="pt-BR"/>
              </a:p>
            </c:txPr>
            <c:showLegendKey val="0"/>
            <c:showVal val="0"/>
            <c:showCatName val="0"/>
            <c:showSerName val="0"/>
            <c:showPercent val="0"/>
            <c:showBubbleSize val="0"/>
          </c:dLbls>
          <c:cat>
            <c:strRef>
              <c:f>para_graficos!$O$803:$AK$803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para_graficos!$O$124:$AK$124</c:f>
              <c:numCache>
                <c:formatCode>0.00</c:formatCode>
                <c:ptCount val="23"/>
                <c:pt idx="0">
                  <c:v>25</c:v>
                </c:pt>
                <c:pt idx="1">
                  <c:v>31</c:v>
                </c:pt>
                <c:pt idx="3">
                  <c:v>29</c:v>
                </c:pt>
                <c:pt idx="6">
                  <c:v>35</c:v>
                </c:pt>
                <c:pt idx="8">
                  <c:v>23.04</c:v>
                </c:pt>
                <c:pt idx="9">
                  <c:v>17.41</c:v>
                </c:pt>
                <c:pt idx="10">
                  <c:v>26.3</c:v>
                </c:pt>
                <c:pt idx="11">
                  <c:v>32.51</c:v>
                </c:pt>
                <c:pt idx="12">
                  <c:v>19</c:v>
                </c:pt>
                <c:pt idx="13">
                  <c:v>25.53</c:v>
                </c:pt>
                <c:pt idx="14">
                  <c:v>19.549999999999997</c:v>
                </c:pt>
                <c:pt idx="15">
                  <c:v>42.15</c:v>
                </c:pt>
                <c:pt idx="17">
                  <c:v>42.89</c:v>
                </c:pt>
                <c:pt idx="18">
                  <c:v>44.4</c:v>
                </c:pt>
                <c:pt idx="20">
                  <c:v>60</c:v>
                </c:pt>
                <c:pt idx="22">
                  <c:v>47</c:v>
                </c:pt>
              </c:numCache>
            </c:numRef>
          </c:val>
          <c:smooth val="1"/>
        </c:ser>
        <c:ser>
          <c:idx val="1"/>
          <c:order val="1"/>
          <c:tx>
            <c:v>Atc[rg] = regular</c:v>
          </c:tx>
          <c:spPr>
            <a:ln>
              <a:solidFill>
                <a:schemeClr val="tx1">
                  <a:lumMod val="50000"/>
                  <a:lumOff val="50000"/>
                </a:schemeClr>
              </a:solidFill>
              <a:prstDash val="sysDot"/>
            </a:ln>
          </c:spPr>
          <c:marker>
            <c:symbol val="circle"/>
            <c:size val="7"/>
            <c:spPr>
              <a:solidFill>
                <a:schemeClr val="bg1">
                  <a:lumMod val="85000"/>
                </a:schemeClr>
              </a:solidFill>
              <a:ln>
                <a:solidFill>
                  <a:schemeClr val="tx1">
                    <a:lumMod val="50000"/>
                    <a:lumOff val="50000"/>
                  </a:schemeClr>
                </a:solidFill>
              </a:ln>
            </c:spPr>
          </c:marker>
          <c:dLbls>
            <c:dLbl>
              <c:idx val="0"/>
              <c:layout>
                <c:manualLayout>
                  <c:x val="-1.7039400763184026E-2"/>
                  <c:y val="-3.2454361054766734E-2"/>
                </c:manualLayout>
              </c:layout>
              <c:showLegendKey val="0"/>
              <c:showVal val="1"/>
              <c:showCatName val="0"/>
              <c:showSerName val="0"/>
              <c:showPercent val="0"/>
              <c:showBubbleSize val="0"/>
            </c:dLbl>
            <c:dLbl>
              <c:idx val="22"/>
              <c:showLegendKey val="0"/>
              <c:showVal val="1"/>
              <c:showCatName val="0"/>
              <c:showSerName val="0"/>
              <c:showPercent val="0"/>
              <c:showBubbleSize val="0"/>
            </c:dLbl>
            <c:numFmt formatCode="#,##0" sourceLinked="0"/>
            <c:txPr>
              <a:bodyPr/>
              <a:lstStyle/>
              <a:p>
                <a:pPr>
                  <a:defRPr b="1"/>
                </a:pPr>
                <a:endParaRPr lang="pt-BR"/>
              </a:p>
            </c:txPr>
            <c:showLegendKey val="0"/>
            <c:showVal val="0"/>
            <c:showCatName val="0"/>
            <c:showSerName val="0"/>
            <c:showPercent val="0"/>
            <c:showBubbleSize val="0"/>
          </c:dLbls>
          <c:cat>
            <c:strRef>
              <c:f>para_graficos!$O$803:$AK$803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para_graficos!$O$117:$AK$117</c:f>
              <c:numCache>
                <c:formatCode>0.00</c:formatCode>
                <c:ptCount val="23"/>
                <c:pt idx="0">
                  <c:v>39</c:v>
                </c:pt>
                <c:pt idx="1">
                  <c:v>37</c:v>
                </c:pt>
                <c:pt idx="3">
                  <c:v>34</c:v>
                </c:pt>
                <c:pt idx="6">
                  <c:v>35</c:v>
                </c:pt>
                <c:pt idx="8">
                  <c:v>40.43</c:v>
                </c:pt>
                <c:pt idx="9">
                  <c:v>39.26</c:v>
                </c:pt>
                <c:pt idx="10">
                  <c:v>41.41</c:v>
                </c:pt>
                <c:pt idx="11">
                  <c:v>34.159999999999997</c:v>
                </c:pt>
                <c:pt idx="12">
                  <c:v>43</c:v>
                </c:pt>
                <c:pt idx="13">
                  <c:v>35.659999999999997</c:v>
                </c:pt>
                <c:pt idx="14">
                  <c:v>41.48</c:v>
                </c:pt>
                <c:pt idx="15">
                  <c:v>39.11</c:v>
                </c:pt>
                <c:pt idx="17">
                  <c:v>42.74</c:v>
                </c:pt>
                <c:pt idx="18">
                  <c:v>32.25</c:v>
                </c:pt>
                <c:pt idx="20">
                  <c:v>28</c:v>
                </c:pt>
                <c:pt idx="22">
                  <c:v>36</c:v>
                </c:pt>
              </c:numCache>
            </c:numRef>
          </c:val>
          <c:smooth val="1"/>
        </c:ser>
        <c:dLbls>
          <c:showLegendKey val="0"/>
          <c:showVal val="0"/>
          <c:showCatName val="0"/>
          <c:showSerName val="0"/>
          <c:showPercent val="0"/>
          <c:showBubbleSize val="0"/>
        </c:dLbls>
        <c:marker val="1"/>
        <c:smooth val="0"/>
        <c:axId val="133549440"/>
        <c:axId val="133960832"/>
      </c:lineChart>
      <c:catAx>
        <c:axId val="133549440"/>
        <c:scaling>
          <c:orientation val="minMax"/>
        </c:scaling>
        <c:delete val="0"/>
        <c:axPos val="b"/>
        <c:majorTickMark val="out"/>
        <c:minorTickMark val="none"/>
        <c:tickLblPos val="nextTo"/>
        <c:crossAx val="133960832"/>
        <c:crosses val="autoZero"/>
        <c:auto val="1"/>
        <c:lblAlgn val="ctr"/>
        <c:lblOffset val="100"/>
        <c:noMultiLvlLbl val="0"/>
      </c:catAx>
      <c:valAx>
        <c:axId val="133960832"/>
        <c:scaling>
          <c:orientation val="minMax"/>
        </c:scaling>
        <c:delete val="0"/>
        <c:axPos val="l"/>
        <c:majorGridlines/>
        <c:title>
          <c:tx>
            <c:rich>
              <a:bodyPr rot="0" vert="horz"/>
              <a:lstStyle/>
              <a:p>
                <a:pPr>
                  <a:defRPr/>
                </a:pPr>
                <a:r>
                  <a:rPr lang="en-US"/>
                  <a:t>%</a:t>
                </a:r>
              </a:p>
            </c:rich>
          </c:tx>
          <c:overlay val="0"/>
        </c:title>
        <c:numFmt formatCode="0" sourceLinked="0"/>
        <c:majorTickMark val="out"/>
        <c:minorTickMark val="none"/>
        <c:tickLblPos val="nextTo"/>
        <c:crossAx val="133549440"/>
        <c:crosses val="autoZero"/>
        <c:crossBetween val="between"/>
      </c:valAx>
    </c:plotArea>
    <c:legend>
      <c:legendPos val="r"/>
      <c:layout>
        <c:manualLayout>
          <c:xMode val="edge"/>
          <c:yMode val="edge"/>
          <c:x val="0.85093365117203035"/>
          <c:y val="0.22817487954715671"/>
          <c:w val="0.14270957489074299"/>
          <c:h val="0.30388398400239813"/>
        </c:manualLayout>
      </c:layout>
      <c:overlay val="0"/>
    </c:legend>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37824507057257E-2"/>
          <c:y val="3.0942327886346637E-2"/>
          <c:w val="0.75414489362845538"/>
          <c:h val="0.83635273899404428"/>
        </c:manualLayout>
      </c:layout>
      <c:lineChart>
        <c:grouping val="standard"/>
        <c:varyColors val="0"/>
        <c:ser>
          <c:idx val="2"/>
          <c:order val="0"/>
          <c:tx>
            <c:v>Ats[r/p] = ruim/péssimo</c:v>
          </c:tx>
          <c:spPr>
            <a:ln>
              <a:solidFill>
                <a:schemeClr val="tx1">
                  <a:lumMod val="50000"/>
                  <a:lumOff val="50000"/>
                </a:schemeClr>
              </a:solidFill>
            </a:ln>
          </c:spPr>
          <c:marker>
            <c:symbol val="square"/>
            <c:size val="7"/>
            <c:spPr>
              <a:solidFill>
                <a:schemeClr val="tx1">
                  <a:lumMod val="50000"/>
                  <a:lumOff val="50000"/>
                </a:schemeClr>
              </a:solidFill>
              <a:ln>
                <a:solidFill>
                  <a:schemeClr val="bg1">
                    <a:lumMod val="85000"/>
                  </a:schemeClr>
                </a:solidFill>
              </a:ln>
            </c:spPr>
          </c:marker>
          <c:dLbls>
            <c:dLbl>
              <c:idx val="1"/>
              <c:layout>
                <c:manualLayout>
                  <c:x val="-2.5952958049699916E-2"/>
                  <c:y val="-2.812938898758785E-2"/>
                </c:manualLayout>
              </c:layout>
              <c:showLegendKey val="0"/>
              <c:showVal val="1"/>
              <c:showCatName val="0"/>
              <c:showSerName val="0"/>
              <c:showPercent val="0"/>
              <c:showBubbleSize val="0"/>
            </c:dLbl>
            <c:dLbl>
              <c:idx val="22"/>
              <c:showLegendKey val="0"/>
              <c:showVal val="1"/>
              <c:showCatName val="0"/>
              <c:showSerName val="0"/>
              <c:showPercent val="0"/>
              <c:showBubbleSize val="0"/>
            </c:dLbl>
            <c:numFmt formatCode="#,##0" sourceLinked="0"/>
            <c:txPr>
              <a:bodyPr/>
              <a:lstStyle/>
              <a:p>
                <a:pPr>
                  <a:defRPr b="1"/>
                </a:pPr>
                <a:endParaRPr lang="pt-BR"/>
              </a:p>
            </c:txPr>
            <c:showLegendKey val="0"/>
            <c:showVal val="0"/>
            <c:showCatName val="0"/>
            <c:showSerName val="0"/>
            <c:showPercent val="0"/>
            <c:showBubbleSize val="0"/>
          </c:dLbls>
          <c:cat>
            <c:strRef>
              <c:f>para_graficos!$O$803:$AK$803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para_graficos!$O$143:$AK$143</c:f>
              <c:numCache>
                <c:formatCode>0.00</c:formatCode>
                <c:ptCount val="23"/>
                <c:pt idx="1">
                  <c:v>59</c:v>
                </c:pt>
                <c:pt idx="3">
                  <c:v>40</c:v>
                </c:pt>
                <c:pt idx="6">
                  <c:v>43</c:v>
                </c:pt>
                <c:pt idx="8">
                  <c:v>42.67</c:v>
                </c:pt>
                <c:pt idx="9">
                  <c:v>39.78</c:v>
                </c:pt>
                <c:pt idx="11">
                  <c:v>36.15</c:v>
                </c:pt>
                <c:pt idx="12">
                  <c:v>50</c:v>
                </c:pt>
                <c:pt idx="13">
                  <c:v>53.14</c:v>
                </c:pt>
                <c:pt idx="14">
                  <c:v>35.33</c:v>
                </c:pt>
                <c:pt idx="15">
                  <c:v>49.11</c:v>
                </c:pt>
                <c:pt idx="17">
                  <c:v>52.3</c:v>
                </c:pt>
                <c:pt idx="18">
                  <c:v>63.01</c:v>
                </c:pt>
                <c:pt idx="20">
                  <c:v>74</c:v>
                </c:pt>
                <c:pt idx="22">
                  <c:v>56</c:v>
                </c:pt>
              </c:numCache>
            </c:numRef>
          </c:val>
          <c:smooth val="1"/>
        </c:ser>
        <c:ser>
          <c:idx val="1"/>
          <c:order val="1"/>
          <c:tx>
            <c:v>Ats[rg] = regular</c:v>
          </c:tx>
          <c:spPr>
            <a:ln>
              <a:solidFill>
                <a:schemeClr val="tx1">
                  <a:lumMod val="50000"/>
                  <a:lumOff val="50000"/>
                </a:schemeClr>
              </a:solidFill>
              <a:prstDash val="sysDot"/>
            </a:ln>
          </c:spPr>
          <c:marker>
            <c:symbol val="circle"/>
            <c:size val="7"/>
            <c:spPr>
              <a:solidFill>
                <a:schemeClr val="bg1">
                  <a:lumMod val="85000"/>
                </a:schemeClr>
              </a:solidFill>
              <a:ln>
                <a:solidFill>
                  <a:schemeClr val="tx1">
                    <a:lumMod val="50000"/>
                    <a:lumOff val="50000"/>
                  </a:schemeClr>
                </a:solidFill>
              </a:ln>
            </c:spPr>
          </c:marker>
          <c:dLbls>
            <c:dLbl>
              <c:idx val="1"/>
              <c:showLegendKey val="0"/>
              <c:showVal val="1"/>
              <c:showCatName val="0"/>
              <c:showSerName val="0"/>
              <c:showPercent val="0"/>
              <c:showBubbleSize val="0"/>
            </c:dLbl>
            <c:dLbl>
              <c:idx val="22"/>
              <c:showLegendKey val="0"/>
              <c:showVal val="1"/>
              <c:showCatName val="0"/>
              <c:showSerName val="0"/>
              <c:showPercent val="0"/>
              <c:showBubbleSize val="0"/>
            </c:dLbl>
            <c:numFmt formatCode="#,##0" sourceLinked="0"/>
            <c:txPr>
              <a:bodyPr/>
              <a:lstStyle/>
              <a:p>
                <a:pPr>
                  <a:defRPr b="1"/>
                </a:pPr>
                <a:endParaRPr lang="pt-BR"/>
              </a:p>
            </c:txPr>
            <c:showLegendKey val="0"/>
            <c:showVal val="0"/>
            <c:showCatName val="0"/>
            <c:showSerName val="0"/>
            <c:showPercent val="0"/>
            <c:showBubbleSize val="0"/>
          </c:dLbls>
          <c:cat>
            <c:strRef>
              <c:f>para_graficos!$O$803:$AK$803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para_graficos!$O$145:$AK$145</c:f>
              <c:numCache>
                <c:formatCode>0.00</c:formatCode>
                <c:ptCount val="23"/>
                <c:pt idx="1">
                  <c:v>27</c:v>
                </c:pt>
                <c:pt idx="3">
                  <c:v>36</c:v>
                </c:pt>
                <c:pt idx="6">
                  <c:v>35</c:v>
                </c:pt>
                <c:pt idx="8">
                  <c:v>35.700000000000003</c:v>
                </c:pt>
                <c:pt idx="9">
                  <c:v>38.369999999999997</c:v>
                </c:pt>
                <c:pt idx="11">
                  <c:v>44.11</c:v>
                </c:pt>
                <c:pt idx="12">
                  <c:v>33</c:v>
                </c:pt>
                <c:pt idx="13">
                  <c:v>33.880000000000003</c:v>
                </c:pt>
                <c:pt idx="14">
                  <c:v>41.78</c:v>
                </c:pt>
                <c:pt idx="15">
                  <c:v>38.590000000000003</c:v>
                </c:pt>
                <c:pt idx="17">
                  <c:v>37.56</c:v>
                </c:pt>
                <c:pt idx="18">
                  <c:v>27.59</c:v>
                </c:pt>
                <c:pt idx="20">
                  <c:v>20</c:v>
                </c:pt>
                <c:pt idx="22">
                  <c:v>34</c:v>
                </c:pt>
              </c:numCache>
            </c:numRef>
          </c:val>
          <c:smooth val="1"/>
        </c:ser>
        <c:ser>
          <c:idx val="0"/>
          <c:order val="2"/>
          <c:tx>
            <c:v>Ats[o/b] = ótimo/bom</c:v>
          </c:tx>
          <c:spPr>
            <a:ln w="15875">
              <a:solidFill>
                <a:schemeClr val="tx1"/>
              </a:solidFill>
            </a:ln>
          </c:spPr>
          <c:marker>
            <c:symbol val="diamond"/>
            <c:size val="7"/>
            <c:spPr>
              <a:solidFill>
                <a:schemeClr val="bg1"/>
              </a:solidFill>
              <a:ln>
                <a:solidFill>
                  <a:schemeClr val="tx1"/>
                </a:solidFill>
              </a:ln>
            </c:spPr>
          </c:marker>
          <c:dLbls>
            <c:dLbl>
              <c:idx val="0"/>
              <c:showLegendKey val="0"/>
              <c:showVal val="1"/>
              <c:showCatName val="0"/>
              <c:showSerName val="0"/>
              <c:showPercent val="0"/>
              <c:showBubbleSize val="0"/>
            </c:dLbl>
            <c:dLbl>
              <c:idx val="1"/>
              <c:showLegendKey val="0"/>
              <c:showVal val="1"/>
              <c:showCatName val="0"/>
              <c:showSerName val="0"/>
              <c:showPercent val="0"/>
              <c:showBubbleSize val="0"/>
            </c:dLbl>
            <c:dLbl>
              <c:idx val="21"/>
              <c:showLegendKey val="0"/>
              <c:showVal val="1"/>
              <c:showCatName val="0"/>
              <c:showSerName val="0"/>
              <c:showPercent val="0"/>
              <c:showBubbleSize val="0"/>
            </c:dLbl>
            <c:dLbl>
              <c:idx val="22"/>
              <c:showLegendKey val="0"/>
              <c:showVal val="1"/>
              <c:showCatName val="0"/>
              <c:showSerName val="0"/>
              <c:showPercent val="0"/>
              <c:showBubbleSize val="0"/>
            </c:dLbl>
            <c:numFmt formatCode="#,##0" sourceLinked="0"/>
            <c:txPr>
              <a:bodyPr/>
              <a:lstStyle/>
              <a:p>
                <a:pPr>
                  <a:defRPr b="1"/>
                </a:pPr>
                <a:endParaRPr lang="pt-BR"/>
              </a:p>
            </c:txPr>
            <c:showLegendKey val="0"/>
            <c:showVal val="0"/>
            <c:showCatName val="0"/>
            <c:showSerName val="0"/>
            <c:showPercent val="0"/>
            <c:showBubbleSize val="0"/>
          </c:dLbls>
          <c:cat>
            <c:strRef>
              <c:f>para_graficos!$O$803:$AK$803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para_graficos!$O$140:$AK$140</c:f>
              <c:numCache>
                <c:formatCode>0.00</c:formatCode>
                <c:ptCount val="23"/>
                <c:pt idx="1">
                  <c:v>12</c:v>
                </c:pt>
                <c:pt idx="3">
                  <c:v>21</c:v>
                </c:pt>
                <c:pt idx="6">
                  <c:v>21</c:v>
                </c:pt>
                <c:pt idx="8">
                  <c:v>20.959999999999997</c:v>
                </c:pt>
                <c:pt idx="9">
                  <c:v>20.29</c:v>
                </c:pt>
                <c:pt idx="11">
                  <c:v>18.739999999999998</c:v>
                </c:pt>
                <c:pt idx="12">
                  <c:v>16</c:v>
                </c:pt>
                <c:pt idx="13">
                  <c:v>12.34</c:v>
                </c:pt>
                <c:pt idx="14">
                  <c:v>21.48</c:v>
                </c:pt>
                <c:pt idx="15">
                  <c:v>10.3</c:v>
                </c:pt>
                <c:pt idx="17">
                  <c:v>9.5500000000000007</c:v>
                </c:pt>
                <c:pt idx="18">
                  <c:v>8.31</c:v>
                </c:pt>
                <c:pt idx="20">
                  <c:v>6</c:v>
                </c:pt>
                <c:pt idx="22">
                  <c:v>9</c:v>
                </c:pt>
              </c:numCache>
            </c:numRef>
          </c:val>
          <c:smooth val="1"/>
        </c:ser>
        <c:dLbls>
          <c:showLegendKey val="0"/>
          <c:showVal val="0"/>
          <c:showCatName val="0"/>
          <c:showSerName val="0"/>
          <c:showPercent val="0"/>
          <c:showBubbleSize val="0"/>
        </c:dLbls>
        <c:marker val="1"/>
        <c:smooth val="0"/>
        <c:axId val="134005120"/>
        <c:axId val="134006656"/>
      </c:lineChart>
      <c:catAx>
        <c:axId val="134005120"/>
        <c:scaling>
          <c:orientation val="minMax"/>
        </c:scaling>
        <c:delete val="0"/>
        <c:axPos val="b"/>
        <c:majorTickMark val="out"/>
        <c:minorTickMark val="none"/>
        <c:tickLblPos val="nextTo"/>
        <c:crossAx val="134006656"/>
        <c:crosses val="autoZero"/>
        <c:auto val="1"/>
        <c:lblAlgn val="ctr"/>
        <c:lblOffset val="100"/>
        <c:noMultiLvlLbl val="0"/>
      </c:catAx>
      <c:valAx>
        <c:axId val="134006656"/>
        <c:scaling>
          <c:orientation val="minMax"/>
        </c:scaling>
        <c:delete val="0"/>
        <c:axPos val="l"/>
        <c:majorGridlines/>
        <c:title>
          <c:tx>
            <c:rich>
              <a:bodyPr rot="0" vert="horz"/>
              <a:lstStyle/>
              <a:p>
                <a:pPr>
                  <a:defRPr/>
                </a:pPr>
                <a:r>
                  <a:rPr lang="en-US"/>
                  <a:t>%</a:t>
                </a:r>
              </a:p>
            </c:rich>
          </c:tx>
          <c:overlay val="0"/>
        </c:title>
        <c:numFmt formatCode="General" sourceLinked="1"/>
        <c:majorTickMark val="out"/>
        <c:minorTickMark val="none"/>
        <c:tickLblPos val="nextTo"/>
        <c:crossAx val="134005120"/>
        <c:crosses val="autoZero"/>
        <c:crossBetween val="between"/>
      </c:valAx>
    </c:plotArea>
    <c:legend>
      <c:legendPos val="r"/>
      <c:layout>
        <c:manualLayout>
          <c:xMode val="edge"/>
          <c:yMode val="edge"/>
          <c:x val="0.84674968943456574"/>
          <c:y val="0.29902603651814869"/>
          <c:w val="0.14027383124467194"/>
          <c:h val="0.45539376604011955"/>
        </c:manualLayout>
      </c:layout>
      <c:overlay val="0"/>
    </c:legend>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703981430211563E-2"/>
          <c:y val="3.216373528486087E-2"/>
          <c:w val="0.75557015444583131"/>
          <c:h val="0.82989298017843616"/>
        </c:manualLayout>
      </c:layout>
      <c:lineChart>
        <c:grouping val="standard"/>
        <c:varyColors val="0"/>
        <c:ser>
          <c:idx val="1"/>
          <c:order val="0"/>
          <c:tx>
            <c:v>AB[rg]</c:v>
          </c:tx>
          <c:spPr>
            <a:ln>
              <a:solidFill>
                <a:schemeClr val="tx1">
                  <a:lumMod val="50000"/>
                  <a:lumOff val="50000"/>
                </a:schemeClr>
              </a:solidFill>
              <a:prstDash val="sysDot"/>
            </a:ln>
          </c:spPr>
          <c:marker>
            <c:symbol val="circle"/>
            <c:size val="4"/>
            <c:spPr>
              <a:solidFill>
                <a:schemeClr val="bg1">
                  <a:lumMod val="85000"/>
                </a:schemeClr>
              </a:solidFill>
              <a:ln>
                <a:solidFill>
                  <a:schemeClr val="tx1">
                    <a:lumMod val="50000"/>
                    <a:lumOff val="50000"/>
                  </a:schemeClr>
                </a:solidFill>
              </a:ln>
            </c:spPr>
          </c:marker>
          <c:dLbls>
            <c:dLbl>
              <c:idx val="11"/>
              <c:layout>
                <c:manualLayout>
                  <c:x val="-1.7481128327373859E-2"/>
                  <c:y val="3.4356717236101439E-2"/>
                </c:manualLayout>
              </c:layout>
              <c:dLblPos val="r"/>
              <c:showLegendKey val="0"/>
              <c:showVal val="1"/>
              <c:showCatName val="0"/>
              <c:showSerName val="0"/>
              <c:showPercent val="0"/>
              <c:showBubbleSize val="0"/>
            </c:dLbl>
            <c:dLbl>
              <c:idx val="14"/>
              <c:layout>
                <c:manualLayout>
                  <c:x val="-2.2807017543859651E-2"/>
                  <c:y val="3.6265423285354502E-2"/>
                </c:manualLayout>
              </c:layout>
              <c:dLblPos val="r"/>
              <c:showLegendKey val="0"/>
              <c:showVal val="1"/>
              <c:showCatName val="0"/>
              <c:showSerName val="0"/>
              <c:showPercent val="0"/>
              <c:showBubbleSize val="0"/>
            </c:dLbl>
            <c:numFmt formatCode="#,##0" sourceLinked="0"/>
            <c:txPr>
              <a:bodyPr/>
              <a:lstStyle/>
              <a:p>
                <a:pPr>
                  <a:defRPr b="1"/>
                </a:pPr>
                <a:endParaRPr lang="pt-BR"/>
              </a:p>
            </c:txPr>
            <c:dLblPos val="t"/>
            <c:showLegendKey val="0"/>
            <c:showVal val="1"/>
            <c:showCatName val="0"/>
            <c:showSerName val="0"/>
            <c:showPercent val="0"/>
            <c:showBubbleSize val="0"/>
            <c:showLeaderLines val="0"/>
          </c:dLbls>
          <c:cat>
            <c:strRef>
              <c:f>para_graficos!$O$803:$AK$803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para_graficos!$O$16:$AK$16</c:f>
              <c:numCache>
                <c:formatCode>0.00</c:formatCode>
                <c:ptCount val="23"/>
                <c:pt idx="0">
                  <c:v>29</c:v>
                </c:pt>
                <c:pt idx="1">
                  <c:v>36</c:v>
                </c:pt>
                <c:pt idx="3">
                  <c:v>37</c:v>
                </c:pt>
                <c:pt idx="6">
                  <c:v>50</c:v>
                </c:pt>
                <c:pt idx="8" formatCode="General">
                  <c:v>47.59</c:v>
                </c:pt>
                <c:pt idx="9">
                  <c:v>48</c:v>
                </c:pt>
                <c:pt idx="10">
                  <c:v>38.44</c:v>
                </c:pt>
                <c:pt idx="11">
                  <c:v>36.200000000000003</c:v>
                </c:pt>
                <c:pt idx="12">
                  <c:v>42</c:v>
                </c:pt>
                <c:pt idx="13">
                  <c:v>48.72</c:v>
                </c:pt>
                <c:pt idx="14">
                  <c:v>40.74</c:v>
                </c:pt>
                <c:pt idx="15">
                  <c:v>48.37</c:v>
                </c:pt>
                <c:pt idx="17">
                  <c:v>44.52</c:v>
                </c:pt>
                <c:pt idx="20">
                  <c:v>45</c:v>
                </c:pt>
              </c:numCache>
            </c:numRef>
          </c:val>
          <c:smooth val="1"/>
        </c:ser>
        <c:ser>
          <c:idx val="2"/>
          <c:order val="1"/>
          <c:tx>
            <c:v>AB[r/p]</c:v>
          </c:tx>
          <c:spPr>
            <a:ln>
              <a:solidFill>
                <a:schemeClr val="tx1">
                  <a:lumMod val="50000"/>
                  <a:lumOff val="50000"/>
                </a:schemeClr>
              </a:solidFill>
            </a:ln>
          </c:spPr>
          <c:marker>
            <c:symbol val="square"/>
            <c:size val="5"/>
            <c:spPr>
              <a:solidFill>
                <a:schemeClr val="tx1">
                  <a:lumMod val="50000"/>
                  <a:lumOff val="50000"/>
                </a:schemeClr>
              </a:solidFill>
              <a:ln>
                <a:solidFill>
                  <a:schemeClr val="bg1">
                    <a:lumMod val="85000"/>
                  </a:schemeClr>
                </a:solidFill>
              </a:ln>
            </c:spPr>
          </c:marker>
          <c:dLbls>
            <c:numFmt formatCode="#,##0" sourceLinked="0"/>
            <c:txPr>
              <a:bodyPr/>
              <a:lstStyle/>
              <a:p>
                <a:pPr>
                  <a:defRPr b="1"/>
                </a:pPr>
                <a:endParaRPr lang="pt-BR"/>
              </a:p>
            </c:txPr>
            <c:dLblPos val="b"/>
            <c:showLegendKey val="0"/>
            <c:showVal val="1"/>
            <c:showCatName val="0"/>
            <c:showSerName val="0"/>
            <c:showPercent val="0"/>
            <c:showBubbleSize val="0"/>
            <c:showLeaderLines val="0"/>
          </c:dLbls>
          <c:cat>
            <c:strRef>
              <c:f>para_graficos!$O$803:$AK$803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para_graficos!$O$14:$AK$14</c:f>
              <c:numCache>
                <c:formatCode>0.00</c:formatCode>
                <c:ptCount val="23"/>
                <c:pt idx="0">
                  <c:v>6</c:v>
                </c:pt>
                <c:pt idx="1">
                  <c:v>8</c:v>
                </c:pt>
                <c:pt idx="3">
                  <c:v>5</c:v>
                </c:pt>
                <c:pt idx="6">
                  <c:v>13</c:v>
                </c:pt>
                <c:pt idx="8">
                  <c:v>17.850000000000001</c:v>
                </c:pt>
                <c:pt idx="9">
                  <c:v>13.26</c:v>
                </c:pt>
                <c:pt idx="10">
                  <c:v>26.14</c:v>
                </c:pt>
                <c:pt idx="11">
                  <c:v>17.100000000000001</c:v>
                </c:pt>
                <c:pt idx="12">
                  <c:v>18</c:v>
                </c:pt>
                <c:pt idx="13">
                  <c:v>15.76</c:v>
                </c:pt>
                <c:pt idx="14">
                  <c:v>14.670000000000002</c:v>
                </c:pt>
                <c:pt idx="15">
                  <c:v>24.44</c:v>
                </c:pt>
                <c:pt idx="17">
                  <c:v>32.15</c:v>
                </c:pt>
                <c:pt idx="20">
                  <c:v>36</c:v>
                </c:pt>
              </c:numCache>
            </c:numRef>
          </c:val>
          <c:smooth val="1"/>
        </c:ser>
        <c:ser>
          <c:idx val="0"/>
          <c:order val="2"/>
          <c:tx>
            <c:v>AB[o/b]</c:v>
          </c:tx>
          <c:spPr>
            <a:ln w="22225">
              <a:solidFill>
                <a:schemeClr val="tx1">
                  <a:lumMod val="50000"/>
                  <a:lumOff val="50000"/>
                </a:schemeClr>
              </a:solidFill>
            </a:ln>
          </c:spPr>
          <c:marker>
            <c:spPr>
              <a:solidFill>
                <a:schemeClr val="bg1"/>
              </a:solidFill>
              <a:ln>
                <a:solidFill>
                  <a:schemeClr val="tx1">
                    <a:lumMod val="95000"/>
                    <a:lumOff val="5000"/>
                  </a:schemeClr>
                </a:solidFill>
              </a:ln>
            </c:spPr>
          </c:marker>
          <c:dLbls>
            <c:dLbl>
              <c:idx val="11"/>
              <c:layout>
                <c:manualLayout>
                  <c:x val="-2.1454112038140644E-2"/>
                  <c:y val="-3.289472926860771E-2"/>
                </c:manualLayout>
              </c:layout>
              <c:dLblPos val="r"/>
              <c:showLegendKey val="0"/>
              <c:showVal val="1"/>
              <c:showCatName val="0"/>
              <c:showSerName val="0"/>
              <c:showPercent val="0"/>
              <c:showBubbleSize val="0"/>
            </c:dLbl>
            <c:dLbl>
              <c:idx val="14"/>
              <c:layout>
                <c:manualLayout>
                  <c:x val="-2.1929824561403508E-2"/>
                  <c:y val="-3.1635794780841164E-2"/>
                </c:manualLayout>
              </c:layout>
              <c:dLblPos val="r"/>
              <c:showLegendKey val="0"/>
              <c:showVal val="1"/>
              <c:showCatName val="0"/>
              <c:showSerName val="0"/>
              <c:showPercent val="0"/>
              <c:showBubbleSize val="0"/>
            </c:dLbl>
            <c:txPr>
              <a:bodyPr/>
              <a:lstStyle/>
              <a:p>
                <a:pPr>
                  <a:defRPr b="1"/>
                </a:pPr>
                <a:endParaRPr lang="pt-BR"/>
              </a:p>
            </c:txPr>
            <c:dLblPos val="b"/>
            <c:showLegendKey val="0"/>
            <c:showVal val="1"/>
            <c:showCatName val="0"/>
            <c:showSerName val="0"/>
            <c:showPercent val="0"/>
            <c:showBubbleSize val="0"/>
            <c:showLeaderLines val="0"/>
          </c:dLbls>
          <c:cat>
            <c:strRef>
              <c:f>para_graficos!$O$803:$AK$803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para_graficos!$O$9:$AK$9</c:f>
              <c:numCache>
                <c:formatCode>0</c:formatCode>
                <c:ptCount val="23"/>
                <c:pt idx="0">
                  <c:v>52</c:v>
                </c:pt>
                <c:pt idx="1">
                  <c:v>48</c:v>
                </c:pt>
                <c:pt idx="3">
                  <c:v>56</c:v>
                </c:pt>
                <c:pt idx="6">
                  <c:v>34</c:v>
                </c:pt>
                <c:pt idx="8">
                  <c:v>32.42</c:v>
                </c:pt>
                <c:pt idx="9">
                  <c:v>37.33</c:v>
                </c:pt>
                <c:pt idx="10">
                  <c:v>31.63</c:v>
                </c:pt>
                <c:pt idx="11">
                  <c:v>38.4</c:v>
                </c:pt>
                <c:pt idx="12">
                  <c:v>36</c:v>
                </c:pt>
                <c:pt idx="13">
                  <c:v>32.53</c:v>
                </c:pt>
                <c:pt idx="14">
                  <c:v>42.37</c:v>
                </c:pt>
                <c:pt idx="15">
                  <c:v>25.259999999999998</c:v>
                </c:pt>
                <c:pt idx="17">
                  <c:v>18.89</c:v>
                </c:pt>
                <c:pt idx="20">
                  <c:v>17</c:v>
                </c:pt>
              </c:numCache>
            </c:numRef>
          </c:val>
          <c:smooth val="1"/>
        </c:ser>
        <c:dLbls>
          <c:showLegendKey val="0"/>
          <c:showVal val="0"/>
          <c:showCatName val="0"/>
          <c:showSerName val="0"/>
          <c:showPercent val="0"/>
          <c:showBubbleSize val="0"/>
        </c:dLbls>
        <c:marker val="1"/>
        <c:smooth val="0"/>
        <c:axId val="134058752"/>
        <c:axId val="134060288"/>
      </c:lineChart>
      <c:catAx>
        <c:axId val="134058752"/>
        <c:scaling>
          <c:orientation val="minMax"/>
        </c:scaling>
        <c:delete val="0"/>
        <c:axPos val="b"/>
        <c:majorTickMark val="out"/>
        <c:minorTickMark val="none"/>
        <c:tickLblPos val="nextTo"/>
        <c:crossAx val="134060288"/>
        <c:crosses val="autoZero"/>
        <c:auto val="1"/>
        <c:lblAlgn val="ctr"/>
        <c:lblOffset val="100"/>
        <c:noMultiLvlLbl val="0"/>
      </c:catAx>
      <c:valAx>
        <c:axId val="134060288"/>
        <c:scaling>
          <c:orientation val="minMax"/>
        </c:scaling>
        <c:delete val="0"/>
        <c:axPos val="l"/>
        <c:title>
          <c:tx>
            <c:rich>
              <a:bodyPr rot="0" vert="horz"/>
              <a:lstStyle/>
              <a:p>
                <a:pPr>
                  <a:defRPr/>
                </a:pPr>
                <a:r>
                  <a:rPr lang="en-US"/>
                  <a:t>%</a:t>
                </a:r>
              </a:p>
            </c:rich>
          </c:tx>
          <c:overlay val="0"/>
        </c:title>
        <c:numFmt formatCode="0" sourceLinked="0"/>
        <c:majorTickMark val="out"/>
        <c:minorTickMark val="none"/>
        <c:tickLblPos val="nextTo"/>
        <c:crossAx val="134058752"/>
        <c:crosses val="autoZero"/>
        <c:crossBetween val="between"/>
      </c:valAx>
    </c:plotArea>
    <c:legend>
      <c:legendPos val="r"/>
      <c:layout>
        <c:manualLayout>
          <c:xMode val="edge"/>
          <c:yMode val="edge"/>
          <c:x val="0.83338983284984114"/>
          <c:y val="0.22817487954715671"/>
          <c:w val="0.130106368282912"/>
          <c:h val="0.25991949549929633"/>
        </c:manualLayout>
      </c:layout>
      <c:overlay val="0"/>
    </c:legend>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deficiência auditiva</c:v>
          </c:tx>
          <c:spPr>
            <a:ln>
              <a:solidFill>
                <a:schemeClr val="tx1">
                  <a:lumMod val="50000"/>
                  <a:lumOff val="50000"/>
                </a:schemeClr>
              </a:solidFill>
              <a:prstDash val="sysDash"/>
            </a:ln>
          </c:spPr>
          <c:marker>
            <c:spPr>
              <a:solidFill>
                <a:schemeClr val="tx1">
                  <a:lumMod val="50000"/>
                  <a:lumOff val="50000"/>
                </a:schemeClr>
              </a:solidFill>
              <a:ln>
                <a:solidFill>
                  <a:schemeClr val="tx1"/>
                </a:solidFill>
              </a:ln>
            </c:spPr>
          </c:marker>
          <c:dPt>
            <c:idx val="17"/>
            <c:bubble3D val="0"/>
          </c:dPt>
          <c:dLbls>
            <c:dLbl>
              <c:idx val="1"/>
              <c:layout>
                <c:manualLayout>
                  <c:x val="-8.1632647761065727E-2"/>
                  <c:y val="-6.4257028112449793E-2"/>
                </c:manualLayout>
              </c:layout>
              <c:tx>
                <c:rich>
                  <a:bodyPr/>
                  <a:lstStyle/>
                  <a:p>
                    <a:r>
                      <a:rPr lang="en-US"/>
                      <a:t>2.279(da)</a:t>
                    </a:r>
                  </a:p>
                </c:rich>
              </c:tx>
              <c:dLblPos val="r"/>
              <c:showLegendKey val="0"/>
              <c:showVal val="1"/>
              <c:showCatName val="0"/>
              <c:showSerName val="0"/>
              <c:showPercent val="0"/>
              <c:showBubbleSize val="0"/>
            </c:dLbl>
            <c:dLbl>
              <c:idx val="17"/>
              <c:layout>
                <c:manualLayout>
                  <c:x val="-9.7742480472358551E-3"/>
                  <c:y val="5.0878697110469391E-2"/>
                </c:manualLayout>
              </c:layout>
              <c:tx>
                <c:rich>
                  <a:bodyPr/>
                  <a:lstStyle/>
                  <a:p>
                    <a:r>
                      <a:rPr lang="en-US"/>
                      <a:t>3.424(da)</a:t>
                    </a:r>
                  </a:p>
                </c:rich>
              </c:tx>
              <c:dLblPos val="r"/>
              <c:showLegendKey val="0"/>
              <c:showVal val="1"/>
              <c:showCatName val="0"/>
              <c:showSerName val="0"/>
              <c:showPercent val="0"/>
              <c:showBubbleSize val="0"/>
            </c:dLbl>
            <c:numFmt formatCode="#,##0" sourceLinked="0"/>
            <c:spPr>
              <a:ln>
                <a:solidFill>
                  <a:sysClr val="windowText" lastClr="000000"/>
                </a:solidFill>
              </a:ln>
            </c:spPr>
            <c:dLblPos val="l"/>
            <c:showLegendKey val="0"/>
            <c:showVal val="1"/>
            <c:showCatName val="0"/>
            <c:showSerName val="0"/>
            <c:showPercent val="0"/>
            <c:showBubbleSize val="0"/>
            <c:showLeaderLines val="0"/>
          </c:dLbls>
          <c:cat>
            <c:numRef>
              <c:f>(para_graficos!$R$3,para_graficos!$T$3:$U$3,para_graficos!$W$3:$AK$3)</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(para_graficos!$R$389,para_graficos!$T$389:$U$389,para_graficos!$W$389:$AK$389)</c:f>
              <c:numCache>
                <c:formatCode>#,##0</c:formatCode>
                <c:ptCount val="18"/>
                <c:pt idx="1">
                  <c:v>2279</c:v>
                </c:pt>
                <c:pt idx="17">
                  <c:v>3424</c:v>
                </c:pt>
              </c:numCache>
            </c:numRef>
          </c:val>
          <c:smooth val="0"/>
        </c:ser>
        <c:ser>
          <c:idx val="2"/>
          <c:order val="1"/>
          <c:tx>
            <c:v>deficiência física</c:v>
          </c:tx>
          <c:spPr>
            <a:ln>
              <a:solidFill>
                <a:schemeClr val="tx1">
                  <a:lumMod val="50000"/>
                  <a:lumOff val="50000"/>
                </a:schemeClr>
              </a:solidFill>
              <a:prstDash val="sysDot"/>
            </a:ln>
          </c:spPr>
          <c:marker>
            <c:spPr>
              <a:solidFill>
                <a:schemeClr val="tx1">
                  <a:lumMod val="50000"/>
                  <a:lumOff val="50000"/>
                </a:schemeClr>
              </a:solidFill>
              <a:ln>
                <a:solidFill>
                  <a:schemeClr val="tx1"/>
                </a:solidFill>
              </a:ln>
            </c:spPr>
          </c:marker>
          <c:dLbls>
            <c:dLbl>
              <c:idx val="1"/>
              <c:layout>
                <c:manualLayout>
                  <c:x val="-5.3232161069559525E-2"/>
                  <c:y val="6.9908979267499824E-2"/>
                </c:manualLayout>
              </c:layout>
              <c:tx>
                <c:rich>
                  <a:bodyPr/>
                  <a:lstStyle/>
                  <a:p>
                    <a:r>
                      <a:rPr lang="en-US"/>
                      <a:t>14.680</a:t>
                    </a:r>
                  </a:p>
                  <a:p>
                    <a:r>
                      <a:rPr lang="en-US"/>
                      <a:t>(df)</a:t>
                    </a:r>
                  </a:p>
                </c:rich>
              </c:tx>
              <c:dLblPos val="r"/>
              <c:showLegendKey val="0"/>
              <c:showVal val="1"/>
              <c:showCatName val="0"/>
              <c:showSerName val="0"/>
              <c:showPercent val="0"/>
              <c:showBubbleSize val="0"/>
            </c:dLbl>
            <c:dLbl>
              <c:idx val="17"/>
              <c:layout>
                <c:manualLayout>
                  <c:x val="-6.4758833846188489E-3"/>
                  <c:y val="6.3947602879915244E-2"/>
                </c:manualLayout>
              </c:layout>
              <c:tx>
                <c:rich>
                  <a:bodyPr/>
                  <a:lstStyle/>
                  <a:p>
                    <a:r>
                      <a:rPr lang="en-US"/>
                      <a:t>11.648</a:t>
                    </a:r>
                  </a:p>
                  <a:p>
                    <a:r>
                      <a:rPr lang="en-US"/>
                      <a:t>(df)</a:t>
                    </a:r>
                  </a:p>
                </c:rich>
              </c:tx>
              <c:dLblPos val="r"/>
              <c:showLegendKey val="0"/>
              <c:showVal val="1"/>
              <c:showCatName val="0"/>
              <c:showSerName val="0"/>
              <c:showPercent val="0"/>
              <c:showBubbleSize val="0"/>
            </c:dLbl>
            <c:numFmt formatCode="#,##0" sourceLinked="0"/>
            <c:spPr>
              <a:solidFill>
                <a:schemeClr val="bg1"/>
              </a:solidFill>
              <a:ln>
                <a:solidFill>
                  <a:sysClr val="windowText" lastClr="000000"/>
                </a:solidFill>
              </a:ln>
            </c:spPr>
            <c:txPr>
              <a:bodyPr/>
              <a:lstStyle/>
              <a:p>
                <a:pPr>
                  <a:defRPr b="0"/>
                </a:pPr>
                <a:endParaRPr lang="pt-BR"/>
              </a:p>
            </c:txPr>
            <c:dLblPos val="l"/>
            <c:showLegendKey val="0"/>
            <c:showVal val="1"/>
            <c:showCatName val="0"/>
            <c:showSerName val="0"/>
            <c:showPercent val="0"/>
            <c:showBubbleSize val="0"/>
            <c:showLeaderLines val="0"/>
          </c:dLbls>
          <c:cat>
            <c:numRef>
              <c:f>(para_graficos!$R$3,para_graficos!$T$3:$U$3,para_graficos!$W$3:$AK$3)</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(para_graficos!$R$394,para_graficos!$T$394:$U$394,para_graficos!$W$394:$AK$394)</c:f>
              <c:numCache>
                <c:formatCode>#,##0</c:formatCode>
                <c:ptCount val="18"/>
                <c:pt idx="1">
                  <c:v>14680</c:v>
                </c:pt>
                <c:pt idx="17" formatCode="General">
                  <c:v>11648</c:v>
                </c:pt>
              </c:numCache>
            </c:numRef>
          </c:val>
          <c:smooth val="0"/>
        </c:ser>
        <c:ser>
          <c:idx val="3"/>
          <c:order val="2"/>
          <c:tx>
            <c:v>deficiência mental</c:v>
          </c:tx>
          <c:spPr>
            <a:ln>
              <a:solidFill>
                <a:schemeClr val="tx1">
                  <a:lumMod val="50000"/>
                  <a:lumOff val="50000"/>
                </a:schemeClr>
              </a:solidFill>
            </a:ln>
          </c:spPr>
          <c:dLbls>
            <c:dLbl>
              <c:idx val="1"/>
              <c:layout>
                <c:manualLayout>
                  <c:x val="-8.0713352635908467E-2"/>
                  <c:y val="-3.7500403565727404E-2"/>
                </c:manualLayout>
              </c:layout>
              <c:tx>
                <c:rich>
                  <a:bodyPr/>
                  <a:lstStyle/>
                  <a:p>
                    <a:r>
                      <a:rPr lang="en-US"/>
                      <a:t>15.186(dm)</a:t>
                    </a:r>
                  </a:p>
                </c:rich>
              </c:tx>
              <c:dLblPos val="r"/>
              <c:showLegendKey val="0"/>
              <c:showVal val="1"/>
              <c:showCatName val="0"/>
              <c:showSerName val="0"/>
              <c:showPercent val="0"/>
              <c:showBubbleSize val="0"/>
            </c:dLbl>
            <c:dLbl>
              <c:idx val="17"/>
              <c:layout>
                <c:manualLayout>
                  <c:x val="-4.8267989341073316E-3"/>
                  <c:y val="4.1767068273092373E-2"/>
                </c:manualLayout>
              </c:layout>
              <c:tx>
                <c:rich>
                  <a:bodyPr/>
                  <a:lstStyle/>
                  <a:p>
                    <a:r>
                      <a:rPr lang="en-US"/>
                      <a:t>7.797(dm)</a:t>
                    </a:r>
                  </a:p>
                </c:rich>
              </c:tx>
              <c:dLblPos val="r"/>
              <c:showLegendKey val="0"/>
              <c:showVal val="1"/>
              <c:showCatName val="0"/>
              <c:showSerName val="0"/>
              <c:showPercent val="0"/>
              <c:showBubbleSize val="0"/>
            </c:dLbl>
            <c:numFmt formatCode="#,##0" sourceLinked="0"/>
            <c:spPr>
              <a:ln>
                <a:solidFill>
                  <a:sysClr val="windowText" lastClr="000000"/>
                </a:solidFill>
              </a:ln>
            </c:spPr>
            <c:txPr>
              <a:bodyPr/>
              <a:lstStyle/>
              <a:p>
                <a:pPr>
                  <a:defRPr b="0"/>
                </a:pPr>
                <a:endParaRPr lang="pt-BR"/>
              </a:p>
            </c:txPr>
            <c:dLblPos val="l"/>
            <c:showLegendKey val="0"/>
            <c:showVal val="1"/>
            <c:showCatName val="0"/>
            <c:showSerName val="0"/>
            <c:showPercent val="0"/>
            <c:showBubbleSize val="0"/>
            <c:showLeaderLines val="0"/>
          </c:dLbls>
          <c:cat>
            <c:numRef>
              <c:f>(para_graficos!$R$3,para_graficos!$T$3:$U$3,para_graficos!$W$3:$AK$3)</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(para_graficos!$R$399,para_graficos!$T$399:$U$399,para_graficos!$W$399:$AK$399)</c:f>
              <c:numCache>
                <c:formatCode>#,##0</c:formatCode>
                <c:ptCount val="18"/>
                <c:pt idx="1">
                  <c:v>15186</c:v>
                </c:pt>
                <c:pt idx="17" formatCode="General">
                  <c:v>7797</c:v>
                </c:pt>
              </c:numCache>
            </c:numRef>
          </c:val>
          <c:smooth val="0"/>
        </c:ser>
        <c:ser>
          <c:idx val="4"/>
          <c:order val="3"/>
          <c:tx>
            <c:v>doença renal crônica</c:v>
          </c:tx>
          <c:spPr>
            <a:ln>
              <a:solidFill>
                <a:schemeClr val="tx1">
                  <a:lumMod val="50000"/>
                  <a:lumOff val="50000"/>
                </a:schemeClr>
              </a:solidFill>
            </a:ln>
          </c:spPr>
          <c:marker>
            <c:symbol val="diamond"/>
            <c:size val="7"/>
            <c:spPr>
              <a:solidFill>
                <a:schemeClr val="tx1">
                  <a:lumMod val="50000"/>
                  <a:lumOff val="50000"/>
                </a:schemeClr>
              </a:solidFill>
              <a:ln>
                <a:solidFill>
                  <a:schemeClr val="tx1"/>
                </a:solidFill>
              </a:ln>
            </c:spPr>
          </c:marker>
          <c:dLbls>
            <c:dLbl>
              <c:idx val="1"/>
              <c:layout>
                <c:manualLayout>
                  <c:x val="-6.13596056425856E-2"/>
                  <c:y val="5.0873196659073763E-2"/>
                </c:manualLayout>
              </c:layout>
              <c:tx>
                <c:rich>
                  <a:bodyPr/>
                  <a:lstStyle/>
                  <a:p>
                    <a:r>
                      <a:rPr lang="en-US"/>
                      <a:t>1.471(drc)</a:t>
                    </a:r>
                  </a:p>
                </c:rich>
              </c:tx>
              <c:dLblPos val="r"/>
              <c:showLegendKey val="0"/>
              <c:showVal val="1"/>
              <c:showCatName val="0"/>
              <c:showSerName val="0"/>
              <c:showPercent val="0"/>
              <c:showBubbleSize val="0"/>
            </c:dLbl>
            <c:dLbl>
              <c:idx val="17"/>
              <c:layout>
                <c:manualLayout>
                  <c:x val="-2.8127606335308789E-3"/>
                  <c:y val="3.0973759259591411E-2"/>
                </c:manualLayout>
              </c:layout>
              <c:tx>
                <c:rich>
                  <a:bodyPr/>
                  <a:lstStyle/>
                  <a:p>
                    <a:r>
                      <a:rPr lang="en-US"/>
                      <a:t>982(drc)</a:t>
                    </a:r>
                  </a:p>
                </c:rich>
              </c:tx>
              <c:dLblPos val="r"/>
              <c:showLegendKey val="0"/>
              <c:showVal val="1"/>
              <c:showCatName val="0"/>
              <c:showSerName val="0"/>
              <c:showPercent val="0"/>
              <c:showBubbleSize val="0"/>
            </c:dLbl>
            <c:numFmt formatCode="#,##0" sourceLinked="0"/>
            <c:spPr>
              <a:ln>
                <a:solidFill>
                  <a:sysClr val="windowText" lastClr="000000"/>
                </a:solidFill>
              </a:ln>
            </c:spPr>
            <c:txPr>
              <a:bodyPr/>
              <a:lstStyle/>
              <a:p>
                <a:pPr>
                  <a:defRPr b="0"/>
                </a:pPr>
                <a:endParaRPr lang="pt-BR"/>
              </a:p>
            </c:txPr>
            <c:dLblPos val="b"/>
            <c:showLegendKey val="0"/>
            <c:showVal val="1"/>
            <c:showCatName val="0"/>
            <c:showSerName val="0"/>
            <c:showPercent val="0"/>
            <c:showBubbleSize val="0"/>
            <c:showLeaderLines val="0"/>
          </c:dLbls>
          <c:cat>
            <c:numRef>
              <c:f>(para_graficos!$R$3,para_graficos!$T$3:$U$3,para_graficos!$W$3:$AK$3)</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(para_graficos!$R$404,para_graficos!$T$404:$U$404,para_graficos!$W$404:$AK$404)</c:f>
              <c:numCache>
                <c:formatCode>#,##0</c:formatCode>
                <c:ptCount val="18"/>
                <c:pt idx="1">
                  <c:v>1471</c:v>
                </c:pt>
                <c:pt idx="17" formatCode="General">
                  <c:v>982</c:v>
                </c:pt>
              </c:numCache>
            </c:numRef>
          </c:val>
          <c:smooth val="0"/>
        </c:ser>
        <c:ser>
          <c:idx val="5"/>
          <c:order val="4"/>
          <c:tx>
            <c:v>deficiência visual</c:v>
          </c:tx>
          <c:spPr>
            <a:ln>
              <a:solidFill>
                <a:schemeClr val="tx1">
                  <a:lumMod val="50000"/>
                  <a:lumOff val="50000"/>
                </a:schemeClr>
              </a:solidFill>
            </a:ln>
          </c:spPr>
          <c:marker>
            <c:spPr>
              <a:solidFill>
                <a:schemeClr val="tx1">
                  <a:lumMod val="50000"/>
                  <a:lumOff val="50000"/>
                </a:schemeClr>
              </a:solidFill>
              <a:ln>
                <a:solidFill>
                  <a:schemeClr val="tx1"/>
                </a:solidFill>
              </a:ln>
            </c:spPr>
          </c:marker>
          <c:dLbls>
            <c:dLbl>
              <c:idx val="1"/>
              <c:layout>
                <c:manualLayout>
                  <c:x val="-8.3011645774222043E-2"/>
                  <c:y val="1.9277168941581619E-2"/>
                </c:manualLayout>
              </c:layout>
              <c:tx>
                <c:rich>
                  <a:bodyPr/>
                  <a:lstStyle/>
                  <a:p>
                    <a:r>
                      <a:rPr lang="en-US"/>
                      <a:t>2.186</a:t>
                    </a:r>
                  </a:p>
                  <a:p>
                    <a:r>
                      <a:rPr lang="en-US"/>
                      <a:t>(dv)</a:t>
                    </a:r>
                  </a:p>
                </c:rich>
              </c:tx>
              <c:dLblPos val="r"/>
              <c:showLegendKey val="0"/>
              <c:showVal val="1"/>
              <c:showCatName val="0"/>
              <c:showSerName val="0"/>
              <c:showPercent val="0"/>
              <c:showBubbleSize val="0"/>
            </c:dLbl>
            <c:dLbl>
              <c:idx val="17"/>
              <c:layout>
                <c:manualLayout>
                  <c:x val="-1.9046081475221268E-2"/>
                  <c:y val="-5.9877194249801341E-2"/>
                </c:manualLayout>
              </c:layout>
              <c:tx>
                <c:rich>
                  <a:bodyPr/>
                  <a:lstStyle/>
                  <a:p>
                    <a:r>
                      <a:rPr lang="en-US"/>
                      <a:t>3.771</a:t>
                    </a:r>
                  </a:p>
                  <a:p>
                    <a:r>
                      <a:rPr lang="en-US"/>
                      <a:t>(dv)</a:t>
                    </a:r>
                  </a:p>
                </c:rich>
              </c:tx>
              <c:dLblPos val="r"/>
              <c:showLegendKey val="0"/>
              <c:showVal val="1"/>
              <c:showCatName val="0"/>
              <c:showSerName val="0"/>
              <c:showPercent val="0"/>
              <c:showBubbleSize val="0"/>
            </c:dLbl>
            <c:numFmt formatCode="#,##0" sourceLinked="0"/>
            <c:spPr>
              <a:ln>
                <a:solidFill>
                  <a:sysClr val="windowText" lastClr="000000"/>
                </a:solidFill>
              </a:ln>
            </c:spPr>
            <c:dLblPos val="r"/>
            <c:showLegendKey val="0"/>
            <c:showVal val="1"/>
            <c:showCatName val="0"/>
            <c:showSerName val="0"/>
            <c:showPercent val="0"/>
            <c:showBubbleSize val="0"/>
            <c:showLeaderLines val="0"/>
          </c:dLbls>
          <c:cat>
            <c:numRef>
              <c:f>(para_graficos!$R$3,para_graficos!$T$3:$U$3,para_graficos!$W$3:$AK$3)</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(para_graficos!$R$409,para_graficos!$T$409:$U$409,para_graficos!$W$409:$AK$409)</c:f>
              <c:numCache>
                <c:formatCode>#,##0</c:formatCode>
                <c:ptCount val="18"/>
                <c:pt idx="1">
                  <c:v>2186</c:v>
                </c:pt>
                <c:pt idx="17" formatCode="General">
                  <c:v>3771</c:v>
                </c:pt>
              </c:numCache>
            </c:numRef>
          </c:val>
          <c:smooth val="0"/>
        </c:ser>
        <c:dLbls>
          <c:showLegendKey val="0"/>
          <c:showVal val="0"/>
          <c:showCatName val="0"/>
          <c:showSerName val="0"/>
          <c:showPercent val="0"/>
          <c:showBubbleSize val="0"/>
        </c:dLbls>
        <c:marker val="1"/>
        <c:smooth val="0"/>
        <c:axId val="111274240"/>
        <c:axId val="111325184"/>
      </c:lineChart>
      <c:catAx>
        <c:axId val="111274240"/>
        <c:scaling>
          <c:orientation val="minMax"/>
        </c:scaling>
        <c:delete val="0"/>
        <c:axPos val="b"/>
        <c:numFmt formatCode="General" sourceLinked="1"/>
        <c:majorTickMark val="out"/>
        <c:minorTickMark val="none"/>
        <c:tickLblPos val="nextTo"/>
        <c:txPr>
          <a:bodyPr/>
          <a:lstStyle/>
          <a:p>
            <a:pPr>
              <a:defRPr b="1"/>
            </a:pPr>
            <a:endParaRPr lang="pt-BR"/>
          </a:p>
        </c:txPr>
        <c:crossAx val="111325184"/>
        <c:crosses val="autoZero"/>
        <c:auto val="1"/>
        <c:lblAlgn val="ctr"/>
        <c:lblOffset val="100"/>
        <c:noMultiLvlLbl val="0"/>
      </c:catAx>
      <c:valAx>
        <c:axId val="111325184"/>
        <c:scaling>
          <c:orientation val="minMax"/>
          <c:min val="0"/>
        </c:scaling>
        <c:delete val="0"/>
        <c:axPos val="l"/>
        <c:numFmt formatCode="General" sourceLinked="1"/>
        <c:majorTickMark val="out"/>
        <c:minorTickMark val="none"/>
        <c:tickLblPos val="nextTo"/>
        <c:txPr>
          <a:bodyPr/>
          <a:lstStyle/>
          <a:p>
            <a:pPr>
              <a:defRPr b="1"/>
            </a:pPr>
            <a:endParaRPr lang="pt-BR"/>
          </a:p>
        </c:txPr>
        <c:crossAx val="111274240"/>
        <c:crosses val="autoZero"/>
        <c:crossBetween val="between"/>
      </c:valAx>
    </c:plotArea>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AB</c:v>
          </c:tx>
          <c:spPr>
            <a:ln w="19050">
              <a:solidFill>
                <a:schemeClr val="tx1">
                  <a:lumMod val="65000"/>
                  <a:lumOff val="35000"/>
                </a:schemeClr>
              </a:solidFill>
              <a:prstDash val="sysDot"/>
            </a:ln>
          </c:spPr>
          <c:marker>
            <c:symbol val="circle"/>
            <c:size val="7"/>
            <c:spPr>
              <a:solidFill>
                <a:schemeClr val="bg1">
                  <a:lumMod val="85000"/>
                </a:schemeClr>
              </a:solidFill>
              <a:ln>
                <a:solidFill>
                  <a:schemeClr val="tx1">
                    <a:lumMod val="65000"/>
                    <a:lumOff val="35000"/>
                  </a:schemeClr>
                </a:solidFill>
              </a:ln>
            </c:spPr>
          </c:marker>
          <c:dLbls>
            <c:txPr>
              <a:bodyPr/>
              <a:lstStyle/>
              <a:p>
                <a:pPr>
                  <a:defRPr sz="800" b="1"/>
                </a:pPr>
                <a:endParaRPr lang="pt-BR"/>
              </a:p>
            </c:txPr>
            <c:dLblPos val="b"/>
            <c:showLegendKey val="0"/>
            <c:showVal val="1"/>
            <c:showCatName val="0"/>
            <c:showSerName val="0"/>
            <c:showPercent val="0"/>
            <c:showBubbleSize val="0"/>
            <c:showLeaderLines val="0"/>
          </c:dLbls>
          <c:cat>
            <c:strRef>
              <c:f>(para_graficos!$O$3:$Q$3,para_graficos!$R$2:$S$2,para_graficos!$T$3,para_graficos!$U$2:$V$2,para_graficos!$W$3:$AK$3)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para_graficos!$O$6:$AK$6</c:f>
              <c:numCache>
                <c:formatCode>0.00</c:formatCode>
                <c:ptCount val="23"/>
                <c:pt idx="0">
                  <c:v>3.5862068965517242</c:v>
                </c:pt>
                <c:pt idx="1">
                  <c:v>3.4565217391304346</c:v>
                </c:pt>
                <c:pt idx="3">
                  <c:v>3.5765306122448979</c:v>
                </c:pt>
                <c:pt idx="6">
                  <c:v>3.1855670103092781</c:v>
                </c:pt>
                <c:pt idx="8">
                  <c:v>3.0871564320016351</c:v>
                </c:pt>
                <c:pt idx="9">
                  <c:v>3.2245663860432092</c:v>
                </c:pt>
                <c:pt idx="10">
                  <c:v>2.9459571814591561</c:v>
                </c:pt>
                <c:pt idx="11">
                  <c:v>3.1962922573609598</c:v>
                </c:pt>
                <c:pt idx="12">
                  <c:v>3.1458333333333335</c:v>
                </c:pt>
                <c:pt idx="13">
                  <c:v>3.129278350515464</c:v>
                </c:pt>
                <c:pt idx="14">
                  <c:v>3.2613008795254652</c:v>
                </c:pt>
                <c:pt idx="15">
                  <c:v>2.9373916590190681</c:v>
                </c:pt>
                <c:pt idx="17">
                  <c:v>2.7759522812892423</c:v>
                </c:pt>
                <c:pt idx="20">
                  <c:v>2.6428571428571428</c:v>
                </c:pt>
              </c:numCache>
            </c:numRef>
          </c:val>
          <c:smooth val="1"/>
        </c:ser>
        <c:dLbls>
          <c:showLegendKey val="0"/>
          <c:showVal val="0"/>
          <c:showCatName val="0"/>
          <c:showSerName val="0"/>
          <c:showPercent val="0"/>
          <c:showBubbleSize val="0"/>
        </c:dLbls>
        <c:marker val="1"/>
        <c:smooth val="0"/>
        <c:axId val="134170496"/>
        <c:axId val="134172032"/>
      </c:lineChart>
      <c:catAx>
        <c:axId val="134170496"/>
        <c:scaling>
          <c:orientation val="minMax"/>
        </c:scaling>
        <c:delete val="0"/>
        <c:axPos val="b"/>
        <c:majorTickMark val="out"/>
        <c:minorTickMark val="none"/>
        <c:tickLblPos val="nextTo"/>
        <c:crossAx val="134172032"/>
        <c:crosses val="autoZero"/>
        <c:auto val="1"/>
        <c:lblAlgn val="ctr"/>
        <c:lblOffset val="100"/>
        <c:noMultiLvlLbl val="0"/>
      </c:catAx>
      <c:valAx>
        <c:axId val="134172032"/>
        <c:scaling>
          <c:orientation val="minMax"/>
          <c:max val="5"/>
          <c:min val="1"/>
        </c:scaling>
        <c:delete val="0"/>
        <c:axPos val="l"/>
        <c:numFmt formatCode="#,##0.00" sourceLinked="0"/>
        <c:majorTickMark val="out"/>
        <c:minorTickMark val="none"/>
        <c:tickLblPos val="nextTo"/>
        <c:crossAx val="134170496"/>
        <c:crosses val="autoZero"/>
        <c:crossBetween val="between"/>
      </c:valAx>
    </c:plotArea>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RMSP</c:v>
          </c:tx>
          <c:spPr>
            <a:solidFill>
              <a:sysClr val="window" lastClr="FFFFFF"/>
            </a:solidFill>
            <a:ln>
              <a:solidFill>
                <a:schemeClr val="tx1"/>
              </a:solidFill>
            </a:ln>
          </c:spPr>
          <c:invertIfNegative val="0"/>
          <c:dLbls>
            <c:spPr>
              <a:solidFill>
                <a:schemeClr val="bg1"/>
              </a:solidFill>
            </c:spPr>
            <c:txPr>
              <a:bodyPr/>
              <a:lstStyle/>
              <a:p>
                <a:pPr>
                  <a:defRPr sz="800" b="1"/>
                </a:pPr>
                <a:endParaRPr lang="pt-BR"/>
              </a:p>
            </c:txPr>
            <c:dLblPos val="ctr"/>
            <c:showLegendKey val="0"/>
            <c:showVal val="1"/>
            <c:showCatName val="0"/>
            <c:showSerName val="0"/>
            <c:showPercent val="0"/>
            <c:showBubbleSize val="0"/>
            <c:showLeaderLines val="0"/>
          </c:dLbls>
          <c:cat>
            <c:strRef>
              <c:f>para_graficos!$O$803:$AK$803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para_graficos!$O$591:$AK$591</c:f>
              <c:numCache>
                <c:formatCode>General</c:formatCode>
                <c:ptCount val="23"/>
                <c:pt idx="6" formatCode="0">
                  <c:v>11.046575342465754</c:v>
                </c:pt>
                <c:pt idx="8" formatCode="0">
                  <c:v>12</c:v>
                </c:pt>
                <c:pt idx="9" formatCode="0">
                  <c:v>10.980821917808219</c:v>
                </c:pt>
                <c:pt idx="10" formatCode="0">
                  <c:v>13.019178082191781</c:v>
                </c:pt>
                <c:pt idx="11" formatCode="0">
                  <c:v>10.027397260273972</c:v>
                </c:pt>
                <c:pt idx="12" formatCode="0">
                  <c:v>12.986301369863014</c:v>
                </c:pt>
                <c:pt idx="13" formatCode="0">
                  <c:v>9.9945205479452053</c:v>
                </c:pt>
                <c:pt idx="14" formatCode="0">
                  <c:v>13.019178082191781</c:v>
                </c:pt>
                <c:pt idx="15" formatCode="0">
                  <c:v>11.013698630136986</c:v>
                </c:pt>
                <c:pt idx="16" formatCode="0">
                  <c:v>15.024657534246575</c:v>
                </c:pt>
                <c:pt idx="17" formatCode="0">
                  <c:v>12</c:v>
                </c:pt>
                <c:pt idx="18" formatCode="0">
                  <c:v>12</c:v>
                </c:pt>
                <c:pt idx="19" formatCode="0">
                  <c:v>12.065753424657533</c:v>
                </c:pt>
              </c:numCache>
            </c:numRef>
          </c:val>
        </c:ser>
        <c:ser>
          <c:idx val="1"/>
          <c:order val="1"/>
          <c:tx>
            <c:v>Belo Horizonte</c:v>
          </c:tx>
          <c:spPr>
            <a:solidFill>
              <a:schemeClr val="bg1">
                <a:lumMod val="50000"/>
              </a:schemeClr>
            </a:solidFill>
            <a:ln>
              <a:solidFill>
                <a:schemeClr val="tx1">
                  <a:lumMod val="95000"/>
                  <a:lumOff val="5000"/>
                </a:schemeClr>
              </a:solidFill>
            </a:ln>
          </c:spPr>
          <c:invertIfNegative val="0"/>
          <c:dLbls>
            <c:dLbl>
              <c:idx val="6"/>
              <c:layout>
                <c:manualLayout>
                  <c:x val="1.6132281661000044E-3"/>
                  <c:y val="1.1560693641618497E-2"/>
                </c:manualLayout>
              </c:layout>
              <c:dLblPos val="outEnd"/>
              <c:showLegendKey val="0"/>
              <c:showVal val="1"/>
              <c:showCatName val="0"/>
              <c:showSerName val="0"/>
              <c:showPercent val="0"/>
              <c:showBubbleSize val="0"/>
            </c:dLbl>
            <c:dLbl>
              <c:idx val="10"/>
              <c:layout>
                <c:manualLayout>
                  <c:x val="3.2264563322000088E-3"/>
                  <c:y val="-2.3121387283236993E-2"/>
                </c:manualLayout>
              </c:layout>
              <c:dLblPos val="outEnd"/>
              <c:showLegendKey val="0"/>
              <c:showVal val="1"/>
              <c:showCatName val="0"/>
              <c:showSerName val="0"/>
              <c:showPercent val="0"/>
              <c:showBubbleSize val="0"/>
            </c:dLbl>
            <c:dLbl>
              <c:idx val="14"/>
              <c:layout>
                <c:manualLayout>
                  <c:x val="4.8396844983000136E-3"/>
                  <c:y val="1.1560693641618497E-2"/>
                </c:manualLayout>
              </c:layout>
              <c:dLblPos val="outEnd"/>
              <c:showLegendKey val="0"/>
              <c:showVal val="1"/>
              <c:showCatName val="0"/>
              <c:showSerName val="0"/>
              <c:showPercent val="0"/>
              <c:showBubbleSize val="0"/>
            </c:dLbl>
            <c:spPr>
              <a:solidFill>
                <a:schemeClr val="bg1">
                  <a:lumMod val="50000"/>
                </a:schemeClr>
              </a:solidFill>
            </c:spPr>
            <c:txPr>
              <a:bodyPr/>
              <a:lstStyle/>
              <a:p>
                <a:pPr>
                  <a:defRPr sz="800" b="1">
                    <a:solidFill>
                      <a:schemeClr val="bg1"/>
                    </a:solidFill>
                  </a:defRPr>
                </a:pPr>
                <a:endParaRPr lang="pt-BR"/>
              </a:p>
            </c:txPr>
            <c:dLblPos val="outEnd"/>
            <c:showLegendKey val="0"/>
            <c:showVal val="1"/>
            <c:showCatName val="0"/>
            <c:showSerName val="0"/>
            <c:showPercent val="0"/>
            <c:showBubbleSize val="0"/>
            <c:showLeaderLines val="0"/>
          </c:dLbls>
          <c:cat>
            <c:strRef>
              <c:f>para_graficos!$O$803:$AK$803</c:f>
              <c:strCache>
                <c:ptCount val="23"/>
                <c:pt idx="0">
                  <c:v>1995</c:v>
                </c:pt>
                <c:pt idx="1">
                  <c:v>1996</c:v>
                </c:pt>
                <c:pt idx="2">
                  <c:v>1997</c:v>
                </c:pt>
                <c:pt idx="3">
                  <c:v>mar.1998</c:v>
                </c:pt>
                <c:pt idx="4">
                  <c:v>nov.1998</c:v>
                </c:pt>
                <c:pt idx="5">
                  <c:v>1999</c:v>
                </c:pt>
                <c:pt idx="6">
                  <c:v>fev.2000</c:v>
                </c:pt>
                <c:pt idx="7">
                  <c:v>nov.2000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para_graficos!$O$589:$AK$589</c:f>
              <c:numCache>
                <c:formatCode>0</c:formatCode>
                <c:ptCount val="23"/>
                <c:pt idx="1">
                  <c:v>9</c:v>
                </c:pt>
                <c:pt idx="3">
                  <c:v>19</c:v>
                </c:pt>
                <c:pt idx="4">
                  <c:v>0</c:v>
                </c:pt>
                <c:pt idx="5">
                  <c:v>5</c:v>
                </c:pt>
                <c:pt idx="6">
                  <c:v>10</c:v>
                </c:pt>
                <c:pt idx="7">
                  <c:v>0</c:v>
                </c:pt>
                <c:pt idx="8">
                  <c:v>12</c:v>
                </c:pt>
                <c:pt idx="9">
                  <c:v>12</c:v>
                </c:pt>
                <c:pt idx="10">
                  <c:v>11</c:v>
                </c:pt>
                <c:pt idx="11">
                  <c:v>9</c:v>
                </c:pt>
                <c:pt idx="12">
                  <c:v>9</c:v>
                </c:pt>
                <c:pt idx="13">
                  <c:v>16</c:v>
                </c:pt>
                <c:pt idx="14">
                  <c:v>10</c:v>
                </c:pt>
                <c:pt idx="15">
                  <c:v>17</c:v>
                </c:pt>
                <c:pt idx="17">
                  <c:v>19</c:v>
                </c:pt>
                <c:pt idx="18">
                  <c:v>18</c:v>
                </c:pt>
                <c:pt idx="20">
                  <c:v>20</c:v>
                </c:pt>
                <c:pt idx="22" formatCode="General">
                  <c:v>21</c:v>
                </c:pt>
              </c:numCache>
            </c:numRef>
          </c:val>
        </c:ser>
        <c:dLbls>
          <c:showLegendKey val="0"/>
          <c:showVal val="0"/>
          <c:showCatName val="0"/>
          <c:showSerName val="0"/>
          <c:showPercent val="0"/>
          <c:showBubbleSize val="0"/>
        </c:dLbls>
        <c:gapWidth val="150"/>
        <c:axId val="134494848"/>
        <c:axId val="134513024"/>
      </c:barChart>
      <c:lineChart>
        <c:grouping val="standard"/>
        <c:varyColors val="0"/>
        <c:ser>
          <c:idx val="2"/>
          <c:order val="2"/>
          <c:tx>
            <c:v>referencial comparativo (NPO=12 meses)</c:v>
          </c:tx>
          <c:spPr>
            <a:ln w="22225">
              <a:solidFill>
                <a:schemeClr val="tx1">
                  <a:lumMod val="95000"/>
                  <a:lumOff val="5000"/>
                </a:schemeClr>
              </a:solidFill>
              <a:prstDash val="sysDash"/>
            </a:ln>
          </c:spPr>
          <c:marker>
            <c:symbol val="none"/>
          </c:marker>
          <c:cat>
            <c:strRef>
              <c:f>para_graficos!$R$803:$AK$803</c:f>
              <c:strCache>
                <c:ptCount val="20"/>
                <c:pt idx="0">
                  <c:v>mar.1998</c:v>
                </c:pt>
                <c:pt idx="1">
                  <c:v>nov.1998</c:v>
                </c:pt>
                <c:pt idx="2">
                  <c:v>1999</c:v>
                </c:pt>
                <c:pt idx="3">
                  <c:v>fev.2000</c:v>
                </c:pt>
                <c:pt idx="4">
                  <c:v>nov.2000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strCache>
            </c:strRef>
          </c:cat>
          <c:val>
            <c:numRef>
              <c:f>para_graficos!$O$590:$AK$590</c:f>
              <c:numCache>
                <c:formatCode>General</c:formatCode>
                <c:ptCount val="23"/>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numCache>
            </c:numRef>
          </c:val>
          <c:smooth val="0"/>
        </c:ser>
        <c:dLbls>
          <c:showLegendKey val="0"/>
          <c:showVal val="0"/>
          <c:showCatName val="0"/>
          <c:showSerName val="0"/>
          <c:showPercent val="0"/>
          <c:showBubbleSize val="0"/>
        </c:dLbls>
        <c:marker val="1"/>
        <c:smooth val="0"/>
        <c:axId val="134494848"/>
        <c:axId val="134513024"/>
      </c:lineChart>
      <c:catAx>
        <c:axId val="134494848"/>
        <c:scaling>
          <c:orientation val="minMax"/>
        </c:scaling>
        <c:delete val="0"/>
        <c:axPos val="b"/>
        <c:numFmt formatCode="General" sourceLinked="1"/>
        <c:majorTickMark val="out"/>
        <c:minorTickMark val="none"/>
        <c:tickLblPos val="nextTo"/>
        <c:crossAx val="134513024"/>
        <c:crosses val="autoZero"/>
        <c:auto val="1"/>
        <c:lblAlgn val="ctr"/>
        <c:lblOffset val="100"/>
        <c:noMultiLvlLbl val="0"/>
      </c:catAx>
      <c:valAx>
        <c:axId val="134513024"/>
        <c:scaling>
          <c:orientation val="minMax"/>
        </c:scaling>
        <c:delete val="0"/>
        <c:axPos val="l"/>
        <c:title>
          <c:tx>
            <c:rich>
              <a:bodyPr rot="0" vert="horz"/>
              <a:lstStyle/>
              <a:p>
                <a:pPr>
                  <a:defRPr/>
                </a:pPr>
                <a:r>
                  <a:rPr lang="en-US"/>
                  <a:t>NPO
(meses)</a:t>
                </a:r>
              </a:p>
            </c:rich>
          </c:tx>
          <c:overlay val="0"/>
        </c:title>
        <c:numFmt formatCode="General" sourceLinked="1"/>
        <c:majorTickMark val="out"/>
        <c:minorTickMark val="none"/>
        <c:tickLblPos val="nextTo"/>
        <c:crossAx val="134494848"/>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facilidade por toda a cidade</c:v>
          </c:tx>
          <c:spPr>
            <a:ln w="22225">
              <a:solidFill>
                <a:schemeClr val="tx1"/>
              </a:solidFill>
            </a:ln>
          </c:spPr>
          <c:marker>
            <c:symbol val="square"/>
            <c:size val="8"/>
            <c:spPr>
              <a:solidFill>
                <a:schemeClr val="bg1">
                  <a:lumMod val="85000"/>
                </a:schemeClr>
              </a:solidFill>
              <a:ln>
                <a:solidFill>
                  <a:schemeClr val="tx1"/>
                </a:solidFill>
              </a:ln>
            </c:spPr>
          </c:marker>
          <c:dLbls>
            <c:txPr>
              <a:bodyPr/>
              <a:lstStyle/>
              <a:p>
                <a:pPr>
                  <a:defRPr b="1"/>
                </a:pPr>
                <a:endParaRPr lang="pt-BR"/>
              </a:p>
            </c:txPr>
            <c:dLblPos val="b"/>
            <c:showLegendKey val="0"/>
            <c:showVal val="1"/>
            <c:showCatName val="0"/>
            <c:showSerName val="0"/>
            <c:showPercent val="0"/>
            <c:showBubbleSize val="0"/>
            <c:showLeaderLines val="0"/>
          </c:dLbls>
          <c:cat>
            <c:strRef>
              <c:f>para_graficos!$D$131:$D$133</c:f>
              <c:strCache>
                <c:ptCount val="3"/>
                <c:pt idx="0">
                  <c:v>&lt; 20 mil habitantes</c:v>
                </c:pt>
                <c:pt idx="1">
                  <c:v>20 a 100 mil habitantes</c:v>
                </c:pt>
                <c:pt idx="2">
                  <c:v>&gt;100 mil habitantes</c:v>
                </c:pt>
              </c:strCache>
            </c:strRef>
          </c:cat>
          <c:val>
            <c:numRef>
              <c:f>para_graficos!$AG$131:$AG$133</c:f>
              <c:numCache>
                <c:formatCode>0%</c:formatCode>
                <c:ptCount val="3"/>
                <c:pt idx="0">
                  <c:v>0.31</c:v>
                </c:pt>
                <c:pt idx="1">
                  <c:v>0.37</c:v>
                </c:pt>
                <c:pt idx="2">
                  <c:v>0.38</c:v>
                </c:pt>
              </c:numCache>
            </c:numRef>
          </c:val>
          <c:smooth val="0"/>
        </c:ser>
        <c:ser>
          <c:idx val="1"/>
          <c:order val="1"/>
          <c:tx>
            <c:v>tratamento igualitário</c:v>
          </c:tx>
          <c:spPr>
            <a:ln w="22225">
              <a:solidFill>
                <a:schemeClr val="tx1"/>
              </a:solidFill>
              <a:prstDash val="sysDot"/>
            </a:ln>
          </c:spPr>
          <c:marker>
            <c:symbol val="diamond"/>
            <c:size val="9"/>
            <c:spPr>
              <a:solidFill>
                <a:schemeClr val="bg1">
                  <a:lumMod val="85000"/>
                </a:schemeClr>
              </a:solidFill>
              <a:ln>
                <a:solidFill>
                  <a:schemeClr val="tx1"/>
                </a:solidFill>
              </a:ln>
            </c:spPr>
          </c:marker>
          <c:dLbls>
            <c:txPr>
              <a:bodyPr/>
              <a:lstStyle/>
              <a:p>
                <a:pPr>
                  <a:defRPr b="1"/>
                </a:pPr>
                <a:endParaRPr lang="pt-BR"/>
              </a:p>
            </c:txPr>
            <c:dLblPos val="t"/>
            <c:showLegendKey val="0"/>
            <c:showVal val="1"/>
            <c:showCatName val="0"/>
            <c:showSerName val="0"/>
            <c:showPercent val="0"/>
            <c:showBubbleSize val="0"/>
            <c:showLeaderLines val="0"/>
          </c:dLbls>
          <c:cat>
            <c:strRef>
              <c:f>para_graficos!$D$131:$D$133</c:f>
              <c:strCache>
                <c:ptCount val="3"/>
                <c:pt idx="0">
                  <c:v>&lt; 20 mil habitantes</c:v>
                </c:pt>
                <c:pt idx="1">
                  <c:v>20 a 100 mil habitantes</c:v>
                </c:pt>
                <c:pt idx="2">
                  <c:v>&gt;100 mil habitantes</c:v>
                </c:pt>
              </c:strCache>
            </c:strRef>
          </c:cat>
          <c:val>
            <c:numRef>
              <c:f>para_graficos!$AG$134:$AG$136</c:f>
              <c:numCache>
                <c:formatCode>0%</c:formatCode>
                <c:ptCount val="3"/>
                <c:pt idx="0">
                  <c:v>0.47</c:v>
                </c:pt>
                <c:pt idx="1">
                  <c:v>0.41</c:v>
                </c:pt>
                <c:pt idx="2">
                  <c:v>0.39</c:v>
                </c:pt>
              </c:numCache>
            </c:numRef>
          </c:val>
          <c:smooth val="0"/>
        </c:ser>
        <c:ser>
          <c:idx val="2"/>
          <c:order val="2"/>
          <c:tx>
            <c:v>atendimento sempre que precisa</c:v>
          </c:tx>
          <c:spPr>
            <a:ln w="22225">
              <a:solidFill>
                <a:schemeClr val="tx1"/>
              </a:solidFill>
              <a:prstDash val="lgDash"/>
            </a:ln>
          </c:spPr>
          <c:marker>
            <c:symbol val="triangle"/>
            <c:size val="8"/>
            <c:spPr>
              <a:solidFill>
                <a:schemeClr val="bg1">
                  <a:lumMod val="75000"/>
                </a:schemeClr>
              </a:solidFill>
              <a:ln w="9525">
                <a:solidFill>
                  <a:schemeClr val="tx1"/>
                </a:solidFill>
              </a:ln>
            </c:spPr>
          </c:marker>
          <c:dLbls>
            <c:txPr>
              <a:bodyPr/>
              <a:lstStyle/>
              <a:p>
                <a:pPr>
                  <a:defRPr b="1"/>
                </a:pPr>
                <a:endParaRPr lang="pt-BR"/>
              </a:p>
            </c:txPr>
            <c:dLblPos val="t"/>
            <c:showLegendKey val="0"/>
            <c:showVal val="1"/>
            <c:showCatName val="0"/>
            <c:showSerName val="0"/>
            <c:showPercent val="0"/>
            <c:showBubbleSize val="0"/>
            <c:showLeaderLines val="0"/>
          </c:dLbls>
          <c:cat>
            <c:strRef>
              <c:f>para_graficos!$D$131:$D$133</c:f>
              <c:strCache>
                <c:ptCount val="3"/>
                <c:pt idx="0">
                  <c:v>&lt; 20 mil habitantes</c:v>
                </c:pt>
                <c:pt idx="1">
                  <c:v>20 a 100 mil habitantes</c:v>
                </c:pt>
                <c:pt idx="2">
                  <c:v>&gt;100 mil habitantes</c:v>
                </c:pt>
              </c:strCache>
            </c:strRef>
          </c:cat>
          <c:val>
            <c:numRef>
              <c:f>para_graficos!$AG$128:$AG$130</c:f>
              <c:numCache>
                <c:formatCode>0%</c:formatCode>
                <c:ptCount val="3"/>
                <c:pt idx="0">
                  <c:v>0.33</c:v>
                </c:pt>
                <c:pt idx="1">
                  <c:v>0.28999999999999998</c:v>
                </c:pt>
                <c:pt idx="2">
                  <c:v>0.25</c:v>
                </c:pt>
              </c:numCache>
            </c:numRef>
          </c:val>
          <c:smooth val="0"/>
        </c:ser>
        <c:dLbls>
          <c:showLegendKey val="0"/>
          <c:showVal val="0"/>
          <c:showCatName val="0"/>
          <c:showSerName val="0"/>
          <c:showPercent val="0"/>
          <c:showBubbleSize val="0"/>
        </c:dLbls>
        <c:marker val="1"/>
        <c:smooth val="0"/>
        <c:axId val="134539904"/>
        <c:axId val="134538752"/>
      </c:lineChart>
      <c:catAx>
        <c:axId val="134539904"/>
        <c:scaling>
          <c:orientation val="minMax"/>
        </c:scaling>
        <c:delete val="0"/>
        <c:axPos val="b"/>
        <c:majorTickMark val="out"/>
        <c:minorTickMark val="none"/>
        <c:tickLblPos val="nextTo"/>
        <c:crossAx val="134538752"/>
        <c:crosses val="autoZero"/>
        <c:auto val="1"/>
        <c:lblAlgn val="ctr"/>
        <c:lblOffset val="100"/>
        <c:noMultiLvlLbl val="0"/>
      </c:catAx>
      <c:valAx>
        <c:axId val="134538752"/>
        <c:scaling>
          <c:orientation val="minMax"/>
          <c:min val="0.2"/>
        </c:scaling>
        <c:delete val="0"/>
        <c:axPos val="l"/>
        <c:numFmt formatCode="0%" sourceLinked="1"/>
        <c:majorTickMark val="out"/>
        <c:minorTickMark val="none"/>
        <c:tickLblPos val="nextTo"/>
        <c:crossAx val="134539904"/>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16767380821585E-2"/>
          <c:y val="3.3574297613437026E-2"/>
          <c:w val="0.8978513092840138"/>
          <c:h val="0.86138910111487332"/>
        </c:manualLayout>
      </c:layout>
      <c:barChart>
        <c:barDir val="col"/>
        <c:grouping val="clustered"/>
        <c:varyColors val="0"/>
        <c:ser>
          <c:idx val="2"/>
          <c:order val="0"/>
          <c:tx>
            <c:v>RHdr</c:v>
          </c:tx>
          <c:spPr>
            <a:solidFill>
              <a:schemeClr val="bg1">
                <a:lumMod val="85000"/>
              </a:schemeClr>
            </a:solidFill>
            <a:ln>
              <a:solidFill>
                <a:sysClr val="windowText" lastClr="000000"/>
              </a:solidFill>
              <a:prstDash val="solid"/>
            </a:ln>
          </c:spPr>
          <c:invertIfNegative val="0"/>
          <c:dLbls>
            <c:txPr>
              <a:bodyPr/>
              <a:lstStyle/>
              <a:p>
                <a:pPr>
                  <a:defRPr sz="800" b="1"/>
                </a:pPr>
                <a:endParaRPr lang="pt-BR"/>
              </a:p>
            </c:txPr>
            <c:showLegendKey val="0"/>
            <c:showVal val="1"/>
            <c:showCatName val="0"/>
            <c:showSerName val="0"/>
            <c:showPercent val="0"/>
            <c:showBubbleSize val="0"/>
            <c:showLeaderLines val="0"/>
          </c:dLbls>
          <c:cat>
            <c:numRef>
              <c:f>(para_graficos!$L$3:$R$3,para_graficos!$T$3:$U$3,para_graficos!$W$3:$AK$3)</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(para_graficos!$L$706:$R$706,para_graficos!$T$706:$U$706,para_graficos!$W$706:$AK$706)</c:f>
              <c:numCache>
                <c:formatCode>General</c:formatCode>
                <c:ptCount val="24"/>
                <c:pt idx="0">
                  <c:v>192</c:v>
                </c:pt>
                <c:pt idx="1">
                  <c:v>325</c:v>
                </c:pt>
                <c:pt idx="2">
                  <c:v>414</c:v>
                </c:pt>
                <c:pt idx="3">
                  <c:v>489</c:v>
                </c:pt>
                <c:pt idx="4" formatCode="#,##0">
                  <c:v>523</c:v>
                </c:pt>
                <c:pt idx="5" formatCode="#,##0">
                  <c:v>613</c:v>
                </c:pt>
                <c:pt idx="6" formatCode="#,##0">
                  <c:v>718</c:v>
                </c:pt>
                <c:pt idx="7">
                  <c:v>778</c:v>
                </c:pt>
                <c:pt idx="8" formatCode="#,##0">
                  <c:v>934</c:v>
                </c:pt>
                <c:pt idx="9" formatCode="#,##0">
                  <c:v>913</c:v>
                </c:pt>
                <c:pt idx="10" formatCode="#,##0">
                  <c:v>873</c:v>
                </c:pt>
                <c:pt idx="11" formatCode="#,##0">
                  <c:v>916</c:v>
                </c:pt>
                <c:pt idx="12" formatCode="#,##0">
                  <c:v>937</c:v>
                </c:pt>
                <c:pt idx="13" formatCode="#,##0">
                  <c:v>1065</c:v>
                </c:pt>
                <c:pt idx="14" formatCode="#,##0">
                  <c:v>1057</c:v>
                </c:pt>
                <c:pt idx="15" formatCode="#,##0">
                  <c:v>1054</c:v>
                </c:pt>
                <c:pt idx="16" formatCode="#,##0">
                  <c:v>1071</c:v>
                </c:pt>
                <c:pt idx="17" formatCode="#,##0">
                  <c:v>1076</c:v>
                </c:pt>
                <c:pt idx="18" formatCode="#,##0">
                  <c:v>1079</c:v>
                </c:pt>
                <c:pt idx="19" formatCode="#,##0">
                  <c:v>1072</c:v>
                </c:pt>
                <c:pt idx="20" formatCode="#,##0">
                  <c:v>1053</c:v>
                </c:pt>
                <c:pt idx="21" formatCode="#,##0">
                  <c:v>1016</c:v>
                </c:pt>
                <c:pt idx="22" formatCode="#,##0">
                  <c:v>1112</c:v>
                </c:pt>
                <c:pt idx="23" formatCode="#,##0">
                  <c:v>1118</c:v>
                </c:pt>
              </c:numCache>
            </c:numRef>
          </c:val>
        </c:ser>
        <c:dLbls>
          <c:showLegendKey val="0"/>
          <c:showVal val="0"/>
          <c:showCatName val="0"/>
          <c:showSerName val="0"/>
          <c:showPercent val="0"/>
          <c:showBubbleSize val="0"/>
        </c:dLbls>
        <c:gapWidth val="150"/>
        <c:axId val="134423680"/>
        <c:axId val="134425216"/>
      </c:barChart>
      <c:catAx>
        <c:axId val="134423680"/>
        <c:scaling>
          <c:orientation val="minMax"/>
        </c:scaling>
        <c:delete val="0"/>
        <c:axPos val="b"/>
        <c:numFmt formatCode="General" sourceLinked="1"/>
        <c:majorTickMark val="out"/>
        <c:minorTickMark val="none"/>
        <c:tickLblPos val="nextTo"/>
        <c:txPr>
          <a:bodyPr/>
          <a:lstStyle/>
          <a:p>
            <a:pPr>
              <a:defRPr b="1"/>
            </a:pPr>
            <a:endParaRPr lang="pt-BR"/>
          </a:p>
        </c:txPr>
        <c:crossAx val="134425216"/>
        <c:crosses val="autoZero"/>
        <c:auto val="1"/>
        <c:lblAlgn val="ctr"/>
        <c:lblOffset val="100"/>
        <c:noMultiLvlLbl val="0"/>
      </c:catAx>
      <c:valAx>
        <c:axId val="134425216"/>
        <c:scaling>
          <c:orientation val="minMax"/>
        </c:scaling>
        <c:delete val="0"/>
        <c:axPos val="l"/>
        <c:majorGridlines/>
        <c:title>
          <c:tx>
            <c:rich>
              <a:bodyPr rot="-5400000" vert="horz"/>
              <a:lstStyle/>
              <a:p>
                <a:pPr>
                  <a:defRPr/>
                </a:pPr>
                <a:r>
                  <a:rPr lang="en-US"/>
                  <a:t>n.º de empregados diretos (RHdr)</a:t>
                </a:r>
              </a:p>
            </c:rich>
          </c:tx>
          <c:overlay val="0"/>
        </c:title>
        <c:numFmt formatCode="General" sourceLinked="1"/>
        <c:majorTickMark val="out"/>
        <c:minorTickMark val="none"/>
        <c:tickLblPos val="nextTo"/>
        <c:txPr>
          <a:bodyPr/>
          <a:lstStyle/>
          <a:p>
            <a:pPr>
              <a:defRPr b="1"/>
            </a:pPr>
            <a:endParaRPr lang="pt-BR"/>
          </a:p>
        </c:txPr>
        <c:crossAx val="134423680"/>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68705365317709E-2"/>
          <c:y val="3.3574297613437026E-2"/>
          <c:w val="0.75521565036928529"/>
          <c:h val="0.86138910111487332"/>
        </c:manualLayout>
      </c:layout>
      <c:lineChart>
        <c:grouping val="standard"/>
        <c:varyColors val="0"/>
        <c:ser>
          <c:idx val="1"/>
          <c:order val="0"/>
          <c:tx>
            <c:v>RPI</c:v>
          </c:tx>
          <c:spPr>
            <a:ln w="47625">
              <a:solidFill>
                <a:schemeClr val="accent1"/>
              </a:solidFill>
              <a:prstDash val="sysDot"/>
            </a:ln>
          </c:spPr>
          <c:marker>
            <c:symbol val="none"/>
          </c:marker>
          <c:cat>
            <c:numRef>
              <c:f>(para_graficos!$P$3:$R$3,para_graficos!$T$3:$U$3,para_graficos!$W$3:$AK$3)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(para_graficos!$P$705:$R$705,para_graficos!$T$705:$U$705,para_graficos!$W$705:$AK$705)</c:f>
              <c:numCache>
                <c:formatCode>0%</c:formatCode>
                <c:ptCount val="20"/>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numCache>
            </c:numRef>
          </c:val>
          <c:smooth val="0"/>
        </c:ser>
        <c:ser>
          <c:idx val="0"/>
          <c:order val="1"/>
          <c:tx>
            <c:v>RHd/RHdr</c:v>
          </c:tx>
          <c:spPr>
            <a:ln w="22225">
              <a:solidFill>
                <a:schemeClr val="tx1">
                  <a:lumMod val="50000"/>
                  <a:lumOff val="50000"/>
                </a:schemeClr>
              </a:solidFill>
            </a:ln>
          </c:spPr>
          <c:marker>
            <c:symbol val="triangle"/>
            <c:size val="7"/>
            <c:spPr>
              <a:solidFill>
                <a:schemeClr val="bg1">
                  <a:lumMod val="75000"/>
                </a:schemeClr>
              </a:solidFill>
              <a:ln>
                <a:solidFill>
                  <a:schemeClr val="tx1">
                    <a:lumMod val="95000"/>
                    <a:lumOff val="5000"/>
                  </a:schemeClr>
                </a:solidFill>
              </a:ln>
            </c:spPr>
          </c:marker>
          <c:dLbls>
            <c:dLbl>
              <c:idx val="1"/>
              <c:layout>
                <c:manualLayout>
                  <c:x val="1.1627906976744186E-3"/>
                  <c:y val="-2.2004889975550123E-2"/>
                </c:manualLayout>
              </c:layout>
              <c:dLblPos val="r"/>
              <c:showLegendKey val="0"/>
              <c:showVal val="1"/>
              <c:showCatName val="0"/>
              <c:showSerName val="0"/>
              <c:showPercent val="0"/>
              <c:showBubbleSize val="0"/>
            </c:dLbl>
            <c:dLbl>
              <c:idx val="3"/>
              <c:layout>
                <c:manualLayout>
                  <c:x val="-3.604651162790698E-2"/>
                  <c:y val="3.9934800325998367E-2"/>
                </c:manualLayout>
              </c:layout>
              <c:dLblPos val="r"/>
              <c:showLegendKey val="0"/>
              <c:showVal val="1"/>
              <c:showCatName val="0"/>
              <c:showSerName val="0"/>
              <c:showPercent val="0"/>
              <c:showBubbleSize val="0"/>
            </c:dLbl>
            <c:dLbl>
              <c:idx val="5"/>
              <c:layout>
                <c:manualLayout>
                  <c:x val="-3.604651162790698E-2"/>
                  <c:y val="3.6674816625916873E-2"/>
                </c:manualLayout>
              </c:layout>
              <c:dLblPos val="r"/>
              <c:showLegendKey val="0"/>
              <c:showVal val="1"/>
              <c:showCatName val="0"/>
              <c:showSerName val="0"/>
              <c:showPercent val="0"/>
              <c:showBubbleSize val="0"/>
            </c:dLbl>
            <c:dLbl>
              <c:idx val="8"/>
              <c:layout>
                <c:manualLayout>
                  <c:x val="-3.604651162790698E-2"/>
                  <c:y val="3.6674816625916873E-2"/>
                </c:manualLayout>
              </c:layout>
              <c:dLblPos val="r"/>
              <c:showLegendKey val="0"/>
              <c:showVal val="1"/>
              <c:showCatName val="0"/>
              <c:showSerName val="0"/>
              <c:showPercent val="0"/>
              <c:showBubbleSize val="0"/>
            </c:dLbl>
            <c:dLbl>
              <c:idx val="10"/>
              <c:layout>
                <c:manualLayout>
                  <c:x val="-3.604651162790698E-2"/>
                  <c:y val="3.9934800325998367E-2"/>
                </c:manualLayout>
              </c:layout>
              <c:dLblPos val="r"/>
              <c:showLegendKey val="0"/>
              <c:showVal val="1"/>
              <c:showCatName val="0"/>
              <c:showSerName val="0"/>
              <c:showPercent val="0"/>
              <c:showBubbleSize val="0"/>
            </c:dLbl>
            <c:dLbl>
              <c:idx val="12"/>
              <c:layout>
                <c:manualLayout>
                  <c:x val="-3.604651162790698E-2"/>
                  <c:y val="4.3194784026079867E-2"/>
                </c:manualLayout>
              </c:layout>
              <c:dLblPos val="r"/>
              <c:showLegendKey val="0"/>
              <c:showVal val="1"/>
              <c:showCatName val="0"/>
              <c:showSerName val="0"/>
              <c:showPercent val="0"/>
              <c:showBubbleSize val="0"/>
            </c:dLbl>
            <c:dLbl>
              <c:idx val="14"/>
              <c:layout>
                <c:manualLayout>
                  <c:x val="-3.604651162790698E-2"/>
                  <c:y val="3.3414832925835372E-2"/>
                </c:manualLayout>
              </c:layout>
              <c:dLblPos val="r"/>
              <c:showLegendKey val="0"/>
              <c:showVal val="1"/>
              <c:showCatName val="0"/>
              <c:showSerName val="0"/>
              <c:showPercent val="0"/>
              <c:showBubbleSize val="0"/>
            </c:dLbl>
            <c:dLbl>
              <c:idx val="16"/>
              <c:layout>
                <c:manualLayout>
                  <c:x val="-3.604651162790698E-2"/>
                  <c:y val="3.3414832925835372E-2"/>
                </c:manualLayout>
              </c:layout>
              <c:dLblPos val="r"/>
              <c:showLegendKey val="0"/>
              <c:showVal val="1"/>
              <c:showCatName val="0"/>
              <c:showSerName val="0"/>
              <c:showPercent val="0"/>
              <c:showBubbleSize val="0"/>
            </c:dLbl>
            <c:dLbl>
              <c:idx val="18"/>
              <c:layout>
                <c:manualLayout>
                  <c:x val="-3.6046511627906862E-2"/>
                  <c:y val="4.3194784026079867E-2"/>
                </c:manualLayout>
              </c:layout>
              <c:dLblPos val="r"/>
              <c:showLegendKey val="0"/>
              <c:showVal val="1"/>
              <c:showCatName val="0"/>
              <c:showSerName val="0"/>
              <c:showPercent val="0"/>
              <c:showBubbleSize val="0"/>
            </c:dLbl>
            <c:txPr>
              <a:bodyPr/>
              <a:lstStyle/>
              <a:p>
                <a:pPr>
                  <a:defRPr b="1"/>
                </a:pPr>
                <a:endParaRPr lang="pt-BR"/>
              </a:p>
            </c:txPr>
            <c:dLblPos val="t"/>
            <c:showLegendKey val="0"/>
            <c:showVal val="1"/>
            <c:showCatName val="0"/>
            <c:showSerName val="0"/>
            <c:showPercent val="0"/>
            <c:showBubbleSize val="0"/>
            <c:showLeaderLines val="0"/>
          </c:dLbls>
          <c:cat>
            <c:numRef>
              <c:f>(para_graficos!$P$3:$R$3,para_graficos!$T$3:$U$3,para_graficos!$W$3:$AK$3)</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(para_graficos!$P$704:$R$704,para_graficos!$T$704:$U$704,para_graficos!$W$704:$AK$704)</c:f>
              <c:numCache>
                <c:formatCode>0.00%</c:formatCode>
                <c:ptCount val="20"/>
                <c:pt idx="0">
                  <c:v>1.9120458891013384E-3</c:v>
                </c:pt>
                <c:pt idx="1">
                  <c:v>3.2626427406199023E-3</c:v>
                </c:pt>
                <c:pt idx="2">
                  <c:v>1.6713091922005572E-2</c:v>
                </c:pt>
                <c:pt idx="3">
                  <c:v>1.6709511568123392E-2</c:v>
                </c:pt>
                <c:pt idx="4">
                  <c:v>2.1413276231263382E-2</c:v>
                </c:pt>
                <c:pt idx="5">
                  <c:v>2.0810514786418401E-2</c:v>
                </c:pt>
                <c:pt idx="6">
                  <c:v>2.0618556701030927E-2</c:v>
                </c:pt>
                <c:pt idx="7">
                  <c:v>2.5109170305676855E-2</c:v>
                </c:pt>
                <c:pt idx="8">
                  <c:v>2.454642475987193E-2</c:v>
                </c:pt>
                <c:pt idx="9">
                  <c:v>2.6291079812206571E-2</c:v>
                </c:pt>
                <c:pt idx="10">
                  <c:v>2.0813623462630087E-2</c:v>
                </c:pt>
                <c:pt idx="11">
                  <c:v>1.9924098671726755E-2</c:v>
                </c:pt>
                <c:pt idx="12">
                  <c:v>2.1475256769374416E-2</c:v>
                </c:pt>
                <c:pt idx="13">
                  <c:v>2.0446096654275093E-2</c:v>
                </c:pt>
                <c:pt idx="14">
                  <c:v>1.9462465245597776E-2</c:v>
                </c:pt>
                <c:pt idx="15">
                  <c:v>1.8656716417910446E-2</c:v>
                </c:pt>
                <c:pt idx="16">
                  <c:v>1.8993352326685659E-2</c:v>
                </c:pt>
                <c:pt idx="17">
                  <c:v>1.968503937007874E-2</c:v>
                </c:pt>
                <c:pt idx="18">
                  <c:v>2.0683453237410072E-2</c:v>
                </c:pt>
                <c:pt idx="19">
                  <c:v>2.0572450805008944E-2</c:v>
                </c:pt>
              </c:numCache>
            </c:numRef>
          </c:val>
          <c:smooth val="0"/>
        </c:ser>
        <c:dLbls>
          <c:showLegendKey val="0"/>
          <c:showVal val="0"/>
          <c:showCatName val="0"/>
          <c:showSerName val="0"/>
          <c:showPercent val="0"/>
          <c:showBubbleSize val="0"/>
        </c:dLbls>
        <c:marker val="1"/>
        <c:smooth val="0"/>
        <c:axId val="134445696"/>
        <c:axId val="134562176"/>
      </c:lineChart>
      <c:catAx>
        <c:axId val="134445696"/>
        <c:scaling>
          <c:orientation val="minMax"/>
        </c:scaling>
        <c:delete val="0"/>
        <c:axPos val="b"/>
        <c:numFmt formatCode="General" sourceLinked="1"/>
        <c:majorTickMark val="out"/>
        <c:minorTickMark val="none"/>
        <c:tickLblPos val="nextTo"/>
        <c:txPr>
          <a:bodyPr/>
          <a:lstStyle/>
          <a:p>
            <a:pPr>
              <a:defRPr b="1"/>
            </a:pPr>
            <a:endParaRPr lang="pt-BR"/>
          </a:p>
        </c:txPr>
        <c:crossAx val="134562176"/>
        <c:crosses val="autoZero"/>
        <c:auto val="1"/>
        <c:lblAlgn val="ctr"/>
        <c:lblOffset val="100"/>
        <c:noMultiLvlLbl val="0"/>
      </c:catAx>
      <c:valAx>
        <c:axId val="134562176"/>
        <c:scaling>
          <c:orientation val="minMax"/>
        </c:scaling>
        <c:delete val="0"/>
        <c:axPos val="l"/>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000" b="1" i="0" baseline="0">
                    <a:effectLst/>
                  </a:rPr>
                  <a:t>% de pessoas com defciência dentre os empregados diretos (RHd/RHdr)</a:t>
                </a:r>
                <a:endParaRPr lang="pt-B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sz="1000"/>
              </a:p>
            </c:rich>
          </c:tx>
          <c:overlay val="0"/>
        </c:title>
        <c:numFmt formatCode="0%" sourceLinked="1"/>
        <c:majorTickMark val="out"/>
        <c:minorTickMark val="none"/>
        <c:tickLblPos val="nextTo"/>
        <c:txPr>
          <a:bodyPr/>
          <a:lstStyle/>
          <a:p>
            <a:pPr>
              <a:defRPr b="1"/>
            </a:pPr>
            <a:endParaRPr lang="pt-BR"/>
          </a:p>
        </c:txPr>
        <c:crossAx val="134445696"/>
        <c:crosses val="autoZero"/>
        <c:crossBetween val="between"/>
      </c:valAx>
    </c:plotArea>
    <c:legend>
      <c:legendPos val="r"/>
      <c:layout>
        <c:manualLayout>
          <c:xMode val="edge"/>
          <c:yMode val="edge"/>
          <c:x val="0.84137801379478727"/>
          <c:y val="0.18779482638019881"/>
          <c:w val="0.14941597997924677"/>
          <c:h val="0.45379358142579368"/>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85000"/>
              </a:schemeClr>
            </a:solidFill>
            <a:ln>
              <a:solidFill>
                <a:schemeClr val="tx1"/>
              </a:solidFill>
            </a:ln>
          </c:spPr>
          <c:invertIfNegative val="0"/>
          <c:dLbls>
            <c:txPr>
              <a:bodyPr/>
              <a:lstStyle/>
              <a:p>
                <a:pPr>
                  <a:defRPr b="1"/>
                </a:pPr>
                <a:endParaRPr lang="pt-BR"/>
              </a:p>
            </c:txPr>
            <c:showLegendKey val="0"/>
            <c:showVal val="1"/>
            <c:showCatName val="0"/>
            <c:showSerName val="0"/>
            <c:showPercent val="0"/>
            <c:showBubbleSize val="0"/>
            <c:showLeaderLines val="0"/>
          </c:dLbls>
          <c:cat>
            <c:strRef>
              <c:f>para_graficos!$BE$699:$BE$705</c:f>
              <c:strCache>
                <c:ptCount val="7"/>
                <c:pt idx="0">
                  <c:v>Curitiba (2010)</c:v>
                </c:pt>
                <c:pt idx="1">
                  <c:v>Joinville (2012)</c:v>
                </c:pt>
                <c:pt idx="2">
                  <c:v>Porto Alegre (2015)</c:v>
                </c:pt>
                <c:pt idx="3">
                  <c:v>Recife (2012)</c:v>
                </c:pt>
                <c:pt idx="4">
                  <c:v>Salvador (2013)</c:v>
                </c:pt>
                <c:pt idx="5">
                  <c:v>BHTrans (2005)</c:v>
                </c:pt>
                <c:pt idx="6">
                  <c:v>BHTrans (2015)</c:v>
                </c:pt>
              </c:strCache>
            </c:strRef>
          </c:cat>
          <c:val>
            <c:numRef>
              <c:f>(para_graficos!$AF$699,para_graficos!$AH$700,para_graficos!$AK$701,para_graficos!$AH$702,para_graficos!$AI$703,para_graficos!$AA$704,para_graficos!$AK$704)</c:f>
              <c:numCache>
                <c:formatCode>0.00%</c:formatCode>
                <c:ptCount val="7"/>
                <c:pt idx="0">
                  <c:v>3.0000000000000001E-3</c:v>
                </c:pt>
                <c:pt idx="1">
                  <c:v>1.8700000000000001E-2</c:v>
                </c:pt>
                <c:pt idx="2">
                  <c:v>4.0000000000000001E-3</c:v>
                </c:pt>
                <c:pt idx="3">
                  <c:v>2.3999999999999998E-3</c:v>
                </c:pt>
                <c:pt idx="4">
                  <c:v>2E-3</c:v>
                </c:pt>
                <c:pt idx="5">
                  <c:v>2.6291079812206571E-2</c:v>
                </c:pt>
                <c:pt idx="6">
                  <c:v>2.0572450805008944E-2</c:v>
                </c:pt>
              </c:numCache>
            </c:numRef>
          </c:val>
        </c:ser>
        <c:dLbls>
          <c:showLegendKey val="0"/>
          <c:showVal val="0"/>
          <c:showCatName val="0"/>
          <c:showSerName val="0"/>
          <c:showPercent val="0"/>
          <c:showBubbleSize val="0"/>
        </c:dLbls>
        <c:gapWidth val="150"/>
        <c:axId val="134595328"/>
        <c:axId val="134596864"/>
      </c:barChart>
      <c:catAx>
        <c:axId val="134595328"/>
        <c:scaling>
          <c:orientation val="minMax"/>
        </c:scaling>
        <c:delete val="0"/>
        <c:axPos val="b"/>
        <c:majorTickMark val="out"/>
        <c:minorTickMark val="none"/>
        <c:tickLblPos val="nextTo"/>
        <c:crossAx val="134596864"/>
        <c:crosses val="autoZero"/>
        <c:auto val="1"/>
        <c:lblAlgn val="ctr"/>
        <c:lblOffset val="100"/>
        <c:noMultiLvlLbl val="0"/>
      </c:catAx>
      <c:valAx>
        <c:axId val="134596864"/>
        <c:scaling>
          <c:orientation val="minMax"/>
        </c:scaling>
        <c:delete val="0"/>
        <c:axPos val="l"/>
        <c:numFmt formatCode="0.00%" sourceLinked="1"/>
        <c:majorTickMark val="out"/>
        <c:minorTickMark val="none"/>
        <c:tickLblPos val="nextTo"/>
        <c:crossAx val="134595328"/>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doughnutChart>
        <c:varyColors val="1"/>
        <c:ser>
          <c:idx val="0"/>
          <c:order val="0"/>
          <c:spPr>
            <a:solidFill>
              <a:schemeClr val="bg1"/>
            </a:solidFill>
            <a:ln>
              <a:solidFill>
                <a:sysClr val="windowText" lastClr="000000"/>
              </a:solidFill>
            </a:ln>
          </c:spPr>
          <c:explosion val="25"/>
          <c:dPt>
            <c:idx val="0"/>
            <c:bubble3D val="0"/>
            <c:spPr>
              <a:solidFill>
                <a:schemeClr val="bg1">
                  <a:lumMod val="75000"/>
                </a:schemeClr>
              </a:solidFill>
              <a:ln>
                <a:solidFill>
                  <a:sysClr val="windowText" lastClr="000000"/>
                </a:solidFill>
              </a:ln>
            </c:spPr>
          </c:dPt>
          <c:dLbls>
            <c:dLbl>
              <c:idx val="0"/>
              <c:layout>
                <c:manualLayout>
                  <c:x val="0.11724829145760121"/>
                  <c:y val="0.20567375886524822"/>
                </c:manualLayout>
              </c:layout>
              <c:showLegendKey val="0"/>
              <c:showVal val="0"/>
              <c:showCatName val="1"/>
              <c:showSerName val="0"/>
              <c:showPercent val="1"/>
              <c:showBubbleSize val="0"/>
            </c:dLbl>
            <c:dLbl>
              <c:idx val="1"/>
              <c:layout>
                <c:manualLayout>
                  <c:x val="-0.14179101700336563"/>
                  <c:y val="9.5744680851063829E-2"/>
                </c:manualLayout>
              </c:layout>
              <c:showLegendKey val="0"/>
              <c:showVal val="0"/>
              <c:showCatName val="1"/>
              <c:showSerName val="0"/>
              <c:showPercent val="1"/>
              <c:showBubbleSize val="0"/>
            </c:dLbl>
            <c:dLbl>
              <c:idx val="2"/>
              <c:layout>
                <c:manualLayout>
                  <c:x val="-0.1442785787051791"/>
                  <c:y val="-0.12411347517730496"/>
                </c:manualLayout>
              </c:layout>
              <c:showLegendKey val="0"/>
              <c:showVal val="0"/>
              <c:showCatName val="1"/>
              <c:showSerName val="0"/>
              <c:showPercent val="1"/>
              <c:showBubbleSize val="0"/>
            </c:dLbl>
            <c:dLbl>
              <c:idx val="3"/>
              <c:layout>
                <c:manualLayout>
                  <c:x val="0.11442783828341789"/>
                  <c:y val="-8.1560283687943269E-2"/>
                </c:manualLayout>
              </c:layout>
              <c:showLegendKey val="0"/>
              <c:showVal val="0"/>
              <c:showCatName val="1"/>
              <c:showSerName val="0"/>
              <c:showPercent val="1"/>
              <c:showBubbleSize val="0"/>
            </c:dLbl>
            <c:txPr>
              <a:bodyPr/>
              <a:lstStyle/>
              <a:p>
                <a:pPr>
                  <a:defRPr b="1"/>
                </a:pPr>
                <a:endParaRPr lang="pt-BR"/>
              </a:p>
            </c:txPr>
            <c:showLegendKey val="0"/>
            <c:showVal val="0"/>
            <c:showCatName val="1"/>
            <c:showSerName val="0"/>
            <c:showPercent val="1"/>
            <c:showBubbleSize val="0"/>
            <c:showLeaderLines val="1"/>
          </c:dLbls>
          <c:cat>
            <c:strRef>
              <c:f>(para_graficos!$D$694,para_graficos!$D$709,para_graficos!$D$710,para_graficos!$D$707)</c:f>
              <c:strCache>
                <c:ptCount val="4"/>
                <c:pt idx="0">
                  <c:v>RH concursados</c:v>
                </c:pt>
                <c:pt idx="1">
                  <c:v>RH não concursados em cargo de confiança</c:v>
                </c:pt>
                <c:pt idx="2">
                  <c:v>RH terceirizados</c:v>
                </c:pt>
                <c:pt idx="3">
                  <c:v>RH estagiários</c:v>
                </c:pt>
              </c:strCache>
            </c:strRef>
          </c:cat>
          <c:val>
            <c:numRef>
              <c:f>(para_graficos!$AK$694,para_graficos!$AK$709,para_graficos!$AK$710,para_graficos!$AK$707)</c:f>
              <c:numCache>
                <c:formatCode>General</c:formatCode>
                <c:ptCount val="4"/>
                <c:pt idx="0" formatCode="#,##0">
                  <c:v>1077</c:v>
                </c:pt>
                <c:pt idx="1">
                  <c:v>41</c:v>
                </c:pt>
                <c:pt idx="2" formatCode="#,##0">
                  <c:v>718</c:v>
                </c:pt>
                <c:pt idx="3">
                  <c:v>62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doughnutChart>
        <c:varyColors val="1"/>
        <c:ser>
          <c:idx val="0"/>
          <c:order val="0"/>
          <c:spPr>
            <a:solidFill>
              <a:schemeClr val="bg1"/>
            </a:solidFill>
            <a:ln>
              <a:solidFill>
                <a:sysClr val="windowText" lastClr="000000"/>
              </a:solidFill>
            </a:ln>
          </c:spPr>
          <c:explosion val="25"/>
          <c:dPt>
            <c:idx val="0"/>
            <c:bubble3D val="0"/>
            <c:spPr>
              <a:solidFill>
                <a:schemeClr val="bg1">
                  <a:lumMod val="75000"/>
                </a:schemeClr>
              </a:solidFill>
              <a:ln>
                <a:solidFill>
                  <a:sysClr val="windowText" lastClr="000000"/>
                </a:solidFill>
              </a:ln>
            </c:spPr>
          </c:dPt>
          <c:dLbls>
            <c:dLbl>
              <c:idx val="0"/>
              <c:layout>
                <c:manualLayout>
                  <c:x val="0.13391318499244514"/>
                  <c:y val="0.18085106382978725"/>
                </c:manualLayout>
              </c:layout>
              <c:tx>
                <c:rich>
                  <a:bodyPr/>
                  <a:lstStyle/>
                  <a:p>
                    <a:r>
                      <a:rPr lang="en-US"/>
                      <a:t>RH concursados</a:t>
                    </a:r>
                  </a:p>
                  <a:p>
                    <a:r>
                      <a:rPr lang="en-US"/>
                      <a:t>1.077</a:t>
                    </a:r>
                  </a:p>
                </c:rich>
              </c:tx>
              <c:showLegendKey val="0"/>
              <c:showVal val="1"/>
              <c:showCatName val="1"/>
              <c:showSerName val="0"/>
              <c:showPercent val="0"/>
              <c:showBubbleSize val="0"/>
            </c:dLbl>
            <c:dLbl>
              <c:idx val="1"/>
              <c:layout>
                <c:manualLayout>
                  <c:x val="-0.14179101700336563"/>
                  <c:y val="9.5744680851063829E-2"/>
                </c:manualLayout>
              </c:layout>
              <c:tx>
                <c:rich>
                  <a:bodyPr/>
                  <a:lstStyle/>
                  <a:p>
                    <a:r>
                      <a:rPr lang="en-US"/>
                      <a:t>RH não concursados em cargo de confiança</a:t>
                    </a:r>
                  </a:p>
                  <a:p>
                    <a:r>
                      <a:rPr lang="en-US"/>
                      <a:t>41</a:t>
                    </a:r>
                  </a:p>
                </c:rich>
              </c:tx>
              <c:showLegendKey val="0"/>
              <c:showVal val="1"/>
              <c:showCatName val="1"/>
              <c:showSerName val="0"/>
              <c:showPercent val="0"/>
              <c:showBubbleSize val="0"/>
            </c:dLbl>
            <c:dLbl>
              <c:idx val="2"/>
              <c:layout>
                <c:manualLayout>
                  <c:x val="-0.1442785787051791"/>
                  <c:y val="-0.12411347517730496"/>
                </c:manualLayout>
              </c:layout>
              <c:tx>
                <c:rich>
                  <a:bodyPr/>
                  <a:lstStyle/>
                  <a:p>
                    <a:r>
                      <a:rPr lang="en-US"/>
                      <a:t>RH terceirizados 718</a:t>
                    </a:r>
                  </a:p>
                </c:rich>
              </c:tx>
              <c:showLegendKey val="0"/>
              <c:showVal val="1"/>
              <c:showCatName val="1"/>
              <c:showSerName val="0"/>
              <c:showPercent val="0"/>
              <c:showBubbleSize val="0"/>
            </c:dLbl>
            <c:dLbl>
              <c:idx val="3"/>
              <c:layout>
                <c:manualLayout>
                  <c:x val="0.11442783828341789"/>
                  <c:y val="-8.1560283687943269E-2"/>
                </c:manualLayout>
              </c:layout>
              <c:tx>
                <c:rich>
                  <a:bodyPr/>
                  <a:lstStyle/>
                  <a:p>
                    <a:r>
                      <a:rPr lang="en-US"/>
                      <a:t>RH estagiários</a:t>
                    </a:r>
                  </a:p>
                  <a:p>
                    <a:r>
                      <a:rPr lang="en-US"/>
                      <a:t> 62</a:t>
                    </a:r>
                  </a:p>
                </c:rich>
              </c:tx>
              <c:showLegendKey val="0"/>
              <c:showVal val="1"/>
              <c:showCatName val="1"/>
              <c:showSerName val="0"/>
              <c:showPercent val="0"/>
              <c:showBubbleSize val="0"/>
            </c:dLbl>
            <c:txPr>
              <a:bodyPr/>
              <a:lstStyle/>
              <a:p>
                <a:pPr>
                  <a:defRPr b="1"/>
                </a:pPr>
                <a:endParaRPr lang="pt-BR"/>
              </a:p>
            </c:txPr>
            <c:showLegendKey val="0"/>
            <c:showVal val="1"/>
            <c:showCatName val="1"/>
            <c:showSerName val="0"/>
            <c:showPercent val="0"/>
            <c:showBubbleSize val="0"/>
            <c:showLeaderLines val="1"/>
          </c:dLbls>
          <c:cat>
            <c:strRef>
              <c:f>(para_graficos!$D$694,para_graficos!$D$709,para_graficos!$D$710,para_graficos!$D$707)</c:f>
              <c:strCache>
                <c:ptCount val="4"/>
                <c:pt idx="0">
                  <c:v>RH concursados</c:v>
                </c:pt>
                <c:pt idx="1">
                  <c:v>RH não concursados em cargo de confiança</c:v>
                </c:pt>
                <c:pt idx="2">
                  <c:v>RH terceirizados</c:v>
                </c:pt>
                <c:pt idx="3">
                  <c:v>RH estagiários</c:v>
                </c:pt>
              </c:strCache>
            </c:strRef>
          </c:cat>
          <c:val>
            <c:numRef>
              <c:f>(para_graficos!$AK$694,para_graficos!$AK$709,para_graficos!$AK$710,para_graficos!$AK$707)</c:f>
              <c:numCache>
                <c:formatCode>General</c:formatCode>
                <c:ptCount val="4"/>
                <c:pt idx="0" formatCode="#,##0">
                  <c:v>1077</c:v>
                </c:pt>
                <c:pt idx="1">
                  <c:v>41</c:v>
                </c:pt>
                <c:pt idx="2" formatCode="#,##0">
                  <c:v>718</c:v>
                </c:pt>
                <c:pt idx="3">
                  <c:v>62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Belo Horizonte</c:v>
          </c:tx>
          <c:spPr>
            <a:ln>
              <a:solidFill>
                <a:schemeClr val="tx1">
                  <a:lumMod val="50000"/>
                  <a:lumOff val="50000"/>
                </a:schemeClr>
              </a:solidFill>
              <a:prstDash val="sysDot"/>
            </a:ln>
          </c:spPr>
          <c:marker>
            <c:symbol val="square"/>
            <c:size val="5"/>
            <c:spPr>
              <a:solidFill>
                <a:schemeClr val="tx1">
                  <a:lumMod val="50000"/>
                  <a:lumOff val="50000"/>
                </a:schemeClr>
              </a:solidFill>
              <a:ln>
                <a:solidFill>
                  <a:schemeClr val="tx1"/>
                </a:solidFill>
              </a:ln>
            </c:spPr>
          </c:marker>
          <c:dLbls>
            <c:dLbl>
              <c:idx val="1"/>
              <c:layout>
                <c:manualLayout>
                  <c:x val="-2.8317155711484288E-2"/>
                  <c:y val="-4.45479484555956E-2"/>
                </c:manualLayout>
              </c:layout>
              <c:dLblPos val="r"/>
              <c:showLegendKey val="0"/>
              <c:showVal val="1"/>
              <c:showCatName val="0"/>
              <c:showSerName val="0"/>
              <c:showPercent val="0"/>
              <c:showBubbleSize val="0"/>
            </c:dLbl>
            <c:dLbl>
              <c:idx val="4"/>
              <c:layout>
                <c:manualLayout>
                  <c:x val="-3.6407771629051247E-2"/>
                  <c:y val="-3.3248513427347005E-2"/>
                </c:manualLayout>
              </c:layout>
              <c:dLblPos val="r"/>
              <c:showLegendKey val="0"/>
              <c:showVal val="1"/>
              <c:showCatName val="0"/>
              <c:showSerName val="0"/>
              <c:showPercent val="0"/>
              <c:showBubbleSize val="0"/>
            </c:dLbl>
            <c:dLbl>
              <c:idx val="5"/>
              <c:layout>
                <c:manualLayout>
                  <c:x val="-2.8317155711484306E-2"/>
                  <c:y val="-3.7014991770096567E-2"/>
                </c:manualLayout>
              </c:layout>
              <c:dLblPos val="r"/>
              <c:showLegendKey val="0"/>
              <c:showVal val="1"/>
              <c:showCatName val="0"/>
              <c:showSerName val="0"/>
              <c:showPercent val="0"/>
              <c:showBubbleSize val="0"/>
            </c:dLbl>
            <c:dLbl>
              <c:idx val="6"/>
              <c:layout>
                <c:manualLayout>
                  <c:x val="-2.8317155711484306E-2"/>
                  <c:y val="-3.324851342734704E-2"/>
                </c:manualLayout>
              </c:layout>
              <c:dLblPos val="r"/>
              <c:showLegendKey val="0"/>
              <c:showVal val="1"/>
              <c:showCatName val="0"/>
              <c:showSerName val="0"/>
              <c:showPercent val="0"/>
              <c:showBubbleSize val="0"/>
            </c:dLbl>
            <c:dLbl>
              <c:idx val="8"/>
              <c:layout>
                <c:manualLayout>
                  <c:x val="-2.9935278894997693E-2"/>
                  <c:y val="-3.324851342734704E-2"/>
                </c:manualLayout>
              </c:layout>
              <c:dLblPos val="r"/>
              <c:showLegendKey val="0"/>
              <c:showVal val="1"/>
              <c:showCatName val="0"/>
              <c:showSerName val="0"/>
              <c:showPercent val="0"/>
              <c:showBubbleSize val="0"/>
            </c:dLbl>
            <c:dLbl>
              <c:idx val="9"/>
              <c:layout>
                <c:manualLayout>
                  <c:x val="-2.6699032527970915E-2"/>
                  <c:y val="-3.324851342734704E-2"/>
                </c:manualLayout>
              </c:layout>
              <c:dLblPos val="r"/>
              <c:showLegendKey val="0"/>
              <c:showVal val="1"/>
              <c:showCatName val="0"/>
              <c:showSerName val="0"/>
              <c:showPercent val="0"/>
              <c:showBubbleSize val="0"/>
            </c:dLbl>
            <c:txPr>
              <a:bodyPr/>
              <a:lstStyle/>
              <a:p>
                <a:pPr>
                  <a:defRPr sz="900" b="1"/>
                </a:pPr>
                <a:endParaRPr lang="pt-BR"/>
              </a:p>
            </c:txPr>
            <c:dLblPos val="b"/>
            <c:showLegendKey val="0"/>
            <c:showVal val="1"/>
            <c:showCatName val="0"/>
            <c:showSerName val="0"/>
            <c:showPercent val="0"/>
            <c:showBubbleSize val="0"/>
            <c:showLeaderLines val="0"/>
          </c:dLbls>
          <c:cat>
            <c:numRef>
              <c:f>para_graficos!$W$3:$AJ$3</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para_graficos!$W$558:$AG$558</c:f>
              <c:numCache>
                <c:formatCode>0%</c:formatCode>
                <c:ptCount val="11"/>
                <c:pt idx="0">
                  <c:v>0.7</c:v>
                </c:pt>
                <c:pt idx="1">
                  <c:v>0.73</c:v>
                </c:pt>
                <c:pt idx="2">
                  <c:v>0.66</c:v>
                </c:pt>
                <c:pt idx="3">
                  <c:v>0.63</c:v>
                </c:pt>
                <c:pt idx="4">
                  <c:v>0.68</c:v>
                </c:pt>
                <c:pt idx="5">
                  <c:v>0.7</c:v>
                </c:pt>
                <c:pt idx="6">
                  <c:v>0.7</c:v>
                </c:pt>
                <c:pt idx="7">
                  <c:v>0.67</c:v>
                </c:pt>
                <c:pt idx="8">
                  <c:v>0.7</c:v>
                </c:pt>
                <c:pt idx="9">
                  <c:v>0.7</c:v>
                </c:pt>
                <c:pt idx="10">
                  <c:v>0.69</c:v>
                </c:pt>
              </c:numCache>
            </c:numRef>
          </c:val>
          <c:smooth val="0"/>
        </c:ser>
        <c:ser>
          <c:idx val="1"/>
          <c:order val="1"/>
          <c:tx>
            <c:v>São Paulo</c:v>
          </c:tx>
          <c:spPr>
            <a:ln>
              <a:solidFill>
                <a:schemeClr val="tx1">
                  <a:lumMod val="50000"/>
                  <a:lumOff val="50000"/>
                </a:schemeClr>
              </a:solidFill>
            </a:ln>
          </c:spPr>
          <c:marker>
            <c:symbol val="diamond"/>
            <c:size val="5"/>
            <c:spPr>
              <a:solidFill>
                <a:schemeClr val="tx1">
                  <a:lumMod val="50000"/>
                  <a:lumOff val="50000"/>
                </a:schemeClr>
              </a:solidFill>
              <a:ln>
                <a:solidFill>
                  <a:schemeClr val="tx1"/>
                </a:solidFill>
              </a:ln>
            </c:spPr>
          </c:marker>
          <c:dLbls>
            <c:txPr>
              <a:bodyPr/>
              <a:lstStyle/>
              <a:p>
                <a:pPr>
                  <a:defRPr sz="1000" b="1"/>
                </a:pPr>
                <a:endParaRPr lang="pt-BR"/>
              </a:p>
            </c:txPr>
            <c:dLblPos val="t"/>
            <c:showLegendKey val="0"/>
            <c:showVal val="1"/>
            <c:showCatName val="0"/>
            <c:showSerName val="0"/>
            <c:showPercent val="0"/>
            <c:showBubbleSize val="0"/>
            <c:showLeaderLines val="0"/>
          </c:dLbls>
          <c:cat>
            <c:numRef>
              <c:f>para_graficos!$W$3:$AJ$3</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para_graficos!$W$564:$AJ$564</c:f>
              <c:numCache>
                <c:formatCode>General</c:formatCode>
                <c:ptCount val="14"/>
                <c:pt idx="12" formatCode="0%">
                  <c:v>0.71450000000000002</c:v>
                </c:pt>
                <c:pt idx="13" formatCode="0%">
                  <c:v>0.71150000000000002</c:v>
                </c:pt>
              </c:numCache>
            </c:numRef>
          </c:val>
          <c:smooth val="0"/>
        </c:ser>
        <c:dLbls>
          <c:showLegendKey val="0"/>
          <c:showVal val="0"/>
          <c:showCatName val="0"/>
          <c:showSerName val="0"/>
          <c:showPercent val="0"/>
          <c:showBubbleSize val="0"/>
        </c:dLbls>
        <c:marker val="1"/>
        <c:smooth val="0"/>
        <c:axId val="133767552"/>
        <c:axId val="133769088"/>
      </c:lineChart>
      <c:catAx>
        <c:axId val="133767552"/>
        <c:scaling>
          <c:orientation val="minMax"/>
        </c:scaling>
        <c:delete val="0"/>
        <c:axPos val="b"/>
        <c:numFmt formatCode="General" sourceLinked="1"/>
        <c:majorTickMark val="out"/>
        <c:minorTickMark val="none"/>
        <c:tickLblPos val="nextTo"/>
        <c:txPr>
          <a:bodyPr/>
          <a:lstStyle/>
          <a:p>
            <a:pPr>
              <a:defRPr sz="1000"/>
            </a:pPr>
            <a:endParaRPr lang="pt-BR"/>
          </a:p>
        </c:txPr>
        <c:crossAx val="133769088"/>
        <c:crosses val="autoZero"/>
        <c:auto val="1"/>
        <c:lblAlgn val="ctr"/>
        <c:lblOffset val="100"/>
        <c:noMultiLvlLbl val="0"/>
      </c:catAx>
      <c:valAx>
        <c:axId val="133769088"/>
        <c:scaling>
          <c:orientation val="minMax"/>
        </c:scaling>
        <c:delete val="0"/>
        <c:axPos val="l"/>
        <c:numFmt formatCode="0%" sourceLinked="1"/>
        <c:majorTickMark val="out"/>
        <c:minorTickMark val="none"/>
        <c:tickLblPos val="nextTo"/>
        <c:txPr>
          <a:bodyPr/>
          <a:lstStyle/>
          <a:p>
            <a:pPr>
              <a:defRPr sz="1000"/>
            </a:pPr>
            <a:endParaRPr lang="pt-BR"/>
          </a:p>
        </c:txPr>
        <c:crossAx val="133767552"/>
        <c:crosses val="autoZero"/>
        <c:crossBetween val="between"/>
      </c:valAx>
    </c:plotArea>
    <c:legend>
      <c:legendPos val="r"/>
      <c:overlay val="0"/>
      <c:txPr>
        <a:bodyPr/>
        <a:lstStyle/>
        <a:p>
          <a:pPr>
            <a:defRPr sz="1000"/>
          </a:pPr>
          <a:endParaRPr lang="pt-BR"/>
        </a:p>
      </c:txPr>
    </c:legend>
    <c:plotVisOnly val="1"/>
    <c:dispBlanksAs val="gap"/>
    <c:showDLblsOverMax val="0"/>
  </c:chart>
  <c:txPr>
    <a:bodyPr/>
    <a:lstStyle/>
    <a:p>
      <a:pPr>
        <a:defRPr sz="1200">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3"/>
          <c:order val="0"/>
          <c:tx>
            <c:v>EG (total)</c:v>
          </c:tx>
          <c:spPr>
            <a:ln>
              <a:solidFill>
                <a:schemeClr val="tx1">
                  <a:lumMod val="50000"/>
                  <a:lumOff val="50000"/>
                </a:schemeClr>
              </a:solidFill>
              <a:prstDash val="sysDot"/>
            </a:ln>
          </c:spPr>
          <c:marker>
            <c:symbol val="circle"/>
            <c:size val="5"/>
            <c:spPr>
              <a:solidFill>
                <a:schemeClr val="bg1"/>
              </a:solidFill>
              <a:ln>
                <a:solidFill>
                  <a:schemeClr val="tx1"/>
                </a:solidFill>
              </a:ln>
            </c:spPr>
          </c:marker>
          <c:dLbls>
            <c:txPr>
              <a:bodyPr/>
              <a:lstStyle/>
              <a:p>
                <a:pPr>
                  <a:defRPr b="1"/>
                </a:pPr>
                <a:endParaRPr lang="pt-BR"/>
              </a:p>
            </c:txPr>
            <c:dLblPos val="t"/>
            <c:showLegendKey val="0"/>
            <c:showVal val="1"/>
            <c:showCatName val="0"/>
            <c:showSerName val="0"/>
            <c:showPercent val="0"/>
            <c:showBubbleSize val="0"/>
            <c:showLeaderLines val="0"/>
          </c:dLbls>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(para_graficos!$U$238,para_graficos!$W$238:$AI$238)</c:f>
              <c:numCache>
                <c:formatCode>#,##0.00</c:formatCode>
                <c:ptCount val="14"/>
                <c:pt idx="0">
                  <c:v>2.5951529999999998</c:v>
                </c:pt>
                <c:pt idx="1">
                  <c:v>2.7469679999999999</c:v>
                </c:pt>
                <c:pt idx="2">
                  <c:v>2.8711310000000001</c:v>
                </c:pt>
                <c:pt idx="3">
                  <c:v>2.8825989999999999</c:v>
                </c:pt>
                <c:pt idx="4">
                  <c:v>2.9671560000000001</c:v>
                </c:pt>
                <c:pt idx="5">
                  <c:v>3.0153650000000001</c:v>
                </c:pt>
                <c:pt idx="6">
                  <c:v>3.122662</c:v>
                </c:pt>
                <c:pt idx="7">
                  <c:v>3.178509</c:v>
                </c:pt>
                <c:pt idx="8">
                  <c:v>3.434480867995735</c:v>
                </c:pt>
                <c:pt idx="9">
                  <c:v>3.4663191987606075</c:v>
                </c:pt>
                <c:pt idx="10">
                  <c:v>3.7542720266638967</c:v>
                </c:pt>
                <c:pt idx="11">
                  <c:v>3.9670132312288535</c:v>
                </c:pt>
                <c:pt idx="12">
                  <c:v>4.2367969654013171</c:v>
                </c:pt>
                <c:pt idx="13">
                  <c:v>4.3950771573319489</c:v>
                </c:pt>
              </c:numCache>
            </c:numRef>
          </c:val>
          <c:smooth val="1"/>
        </c:ser>
        <c:ser>
          <c:idx val="0"/>
          <c:order val="1"/>
          <c:tx>
            <c:v>EG rodoviário</c:v>
          </c:tx>
          <c:spPr>
            <a:ln w="22225">
              <a:solidFill>
                <a:schemeClr val="tx1"/>
              </a:solidFill>
            </a:ln>
          </c:spPr>
          <c:marker>
            <c:symbol val="diamond"/>
            <c:size val="10"/>
            <c:spPr>
              <a:solidFill>
                <a:srgbClr val="0070C0"/>
              </a:solidFill>
              <a:ln>
                <a:solidFill>
                  <a:schemeClr val="tx1"/>
                </a:solidFill>
              </a:ln>
            </c:spPr>
          </c:marker>
          <c:dLbls>
            <c:txPr>
              <a:bodyPr/>
              <a:lstStyle/>
              <a:p>
                <a:pPr>
                  <a:defRPr b="1">
                    <a:solidFill>
                      <a:srgbClr val="002060"/>
                    </a:solidFill>
                  </a:defRPr>
                </a:pPr>
                <a:endParaRPr lang="pt-BR"/>
              </a:p>
            </c:txPr>
            <c:dLblPos val="t"/>
            <c:showLegendKey val="0"/>
            <c:showVal val="1"/>
            <c:showCatName val="0"/>
            <c:showSerName val="0"/>
            <c:showPercent val="0"/>
            <c:showBubbleSize val="0"/>
            <c:showLeaderLines val="0"/>
          </c:dLbls>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(para_graficos!$U$253,para_graficos!$W$253:$AI$253)</c:f>
              <c:numCache>
                <c:formatCode>#,##0.00</c:formatCode>
                <c:ptCount val="14"/>
                <c:pt idx="0">
                  <c:v>1.730847</c:v>
                </c:pt>
                <c:pt idx="1">
                  <c:v>1.7554920000000001</c:v>
                </c:pt>
                <c:pt idx="2">
                  <c:v>1.774308</c:v>
                </c:pt>
                <c:pt idx="3">
                  <c:v>1.730472</c:v>
                </c:pt>
                <c:pt idx="4">
                  <c:v>1.742418</c:v>
                </c:pt>
                <c:pt idx="5">
                  <c:v>1.735978</c:v>
                </c:pt>
                <c:pt idx="6">
                  <c:v>1.7931410000000001</c:v>
                </c:pt>
                <c:pt idx="7">
                  <c:v>1.7771699999999999</c:v>
                </c:pt>
                <c:pt idx="8">
                  <c:v>1.7518088679957353</c:v>
                </c:pt>
                <c:pt idx="9">
                  <c:v>1.7743831987606071</c:v>
                </c:pt>
                <c:pt idx="10">
                  <c:v>2.0567420266638963</c:v>
                </c:pt>
                <c:pt idx="11">
                  <c:v>2.1885250356414878</c:v>
                </c:pt>
                <c:pt idx="12">
                  <c:v>2.3333586222392304</c:v>
                </c:pt>
                <c:pt idx="13">
                  <c:v>2.3378344701387093</c:v>
                </c:pt>
              </c:numCache>
            </c:numRef>
          </c:val>
          <c:smooth val="1"/>
        </c:ser>
        <c:ser>
          <c:idx val="2"/>
          <c:order val="2"/>
          <c:tx>
            <c:v>EG demais subsetores</c:v>
          </c:tx>
          <c:spPr>
            <a:ln w="25400">
              <a:solidFill>
                <a:schemeClr val="tx1">
                  <a:lumMod val="50000"/>
                  <a:lumOff val="50000"/>
                </a:schemeClr>
              </a:solidFill>
            </a:ln>
          </c:spPr>
          <c:marker>
            <c:symbol val="triangle"/>
            <c:size val="5"/>
            <c:spPr>
              <a:solidFill>
                <a:schemeClr val="bg1">
                  <a:lumMod val="85000"/>
                </a:schemeClr>
              </a:solidFill>
              <a:ln>
                <a:solidFill>
                  <a:schemeClr val="tx1">
                    <a:lumMod val="50000"/>
                    <a:lumOff val="50000"/>
                  </a:schemeClr>
                </a:solidFill>
              </a:ln>
            </c:spPr>
          </c:marker>
          <c:dLbls>
            <c:dLblPos val="t"/>
            <c:showLegendKey val="0"/>
            <c:showVal val="1"/>
            <c:showCatName val="0"/>
            <c:showSerName val="0"/>
            <c:showPercent val="0"/>
            <c:showBubbleSize val="0"/>
            <c:showLeaderLines val="0"/>
          </c:dLbls>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(para_graficos!$U$247,para_graficos!$W$247:$AI$247)</c:f>
              <c:numCache>
                <c:formatCode>#,##0.00</c:formatCode>
                <c:ptCount val="14"/>
                <c:pt idx="0">
                  <c:v>0.70994500000000005</c:v>
                </c:pt>
                <c:pt idx="1">
                  <c:v>0.81342199999999998</c:v>
                </c:pt>
                <c:pt idx="2">
                  <c:v>0.89656599999999997</c:v>
                </c:pt>
                <c:pt idx="3">
                  <c:v>0.93998700000000002</c:v>
                </c:pt>
                <c:pt idx="4">
                  <c:v>0.97994700000000001</c:v>
                </c:pt>
                <c:pt idx="5">
                  <c:v>1.028132</c:v>
                </c:pt>
                <c:pt idx="6">
                  <c:v>1.055544</c:v>
                </c:pt>
                <c:pt idx="7">
                  <c:v>1.0931820000000001</c:v>
                </c:pt>
                <c:pt idx="8">
                  <c:v>1.2841579999999999</c:v>
                </c:pt>
                <c:pt idx="9">
                  <c:v>1.2181919999999999</c:v>
                </c:pt>
                <c:pt idx="10">
                  <c:v>1.092195</c:v>
                </c:pt>
                <c:pt idx="11">
                  <c:v>1.0109716460517095</c:v>
                </c:pt>
                <c:pt idx="12">
                  <c:v>1.0896626888922583</c:v>
                </c:pt>
                <c:pt idx="13">
                  <c:v>1.2576125456754825</c:v>
                </c:pt>
              </c:numCache>
            </c:numRef>
          </c:val>
          <c:smooth val="0"/>
        </c:ser>
        <c:ser>
          <c:idx val="1"/>
          <c:order val="3"/>
          <c:tx>
            <c:v>EG aéreo</c:v>
          </c:tx>
          <c:spPr>
            <a:ln w="25400">
              <a:solidFill>
                <a:schemeClr val="tx1">
                  <a:lumMod val="50000"/>
                  <a:lumOff val="50000"/>
                </a:schemeClr>
              </a:solidFill>
            </a:ln>
          </c:spPr>
          <c:marker>
            <c:symbol val="square"/>
            <c:size val="5"/>
            <c:spPr>
              <a:solidFill>
                <a:schemeClr val="bg1">
                  <a:lumMod val="85000"/>
                </a:schemeClr>
              </a:solidFill>
              <a:ln>
                <a:solidFill>
                  <a:schemeClr val="tx1">
                    <a:lumMod val="50000"/>
                    <a:lumOff val="50000"/>
                  </a:schemeClr>
                </a:solidFill>
              </a:ln>
            </c:spPr>
          </c:marker>
          <c:dLbls>
            <c:dLbl>
              <c:idx val="11"/>
              <c:layout>
                <c:manualLayout>
                  <c:x val="-2.8083028083028084E-2"/>
                  <c:y val="3.6496359687685678E-2"/>
                </c:manualLayout>
              </c:layout>
              <c:dLblPos val="r"/>
              <c:showLegendKey val="0"/>
              <c:showVal val="1"/>
              <c:showCatName val="0"/>
              <c:showSerName val="0"/>
              <c:showPercent val="0"/>
              <c:showBubbleSize val="0"/>
            </c:dLbl>
            <c:dLbl>
              <c:idx val="12"/>
              <c:layout>
                <c:manualLayout>
                  <c:x val="-2.8083028083028084E-2"/>
                  <c:y val="3.6496359687685678E-2"/>
                </c:manualLayout>
              </c:layout>
              <c:dLblPos val="r"/>
              <c:showLegendKey val="0"/>
              <c:showVal val="1"/>
              <c:showCatName val="0"/>
              <c:showSerName val="0"/>
              <c:showPercent val="0"/>
              <c:showBubbleSize val="0"/>
            </c:dLbl>
            <c:dLbl>
              <c:idx val="13"/>
              <c:layout>
                <c:manualLayout>
                  <c:x val="-2.8083028083028084E-2"/>
                  <c:y val="3.6496359687685678E-2"/>
                </c:manualLayout>
              </c:layout>
              <c:dLblPos val="r"/>
              <c:showLegendKey val="0"/>
              <c:showVal val="1"/>
              <c:showCatName val="0"/>
              <c:showSerName val="0"/>
              <c:showPercent val="0"/>
              <c:showBubbleSize val="0"/>
            </c:dLbl>
            <c:dLblPos val="t"/>
            <c:showLegendKey val="0"/>
            <c:showVal val="1"/>
            <c:showCatName val="0"/>
            <c:showSerName val="0"/>
            <c:showPercent val="0"/>
            <c:showBubbleSize val="0"/>
            <c:showLeaderLines val="0"/>
          </c:dLbls>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(para_graficos!$U$245,para_graficos!$W$245:$AI$245)</c:f>
              <c:numCache>
                <c:formatCode>0.00</c:formatCode>
                <c:ptCount val="14"/>
                <c:pt idx="0">
                  <c:v>0.154361</c:v>
                </c:pt>
                <c:pt idx="1">
                  <c:v>0.17805399999999999</c:v>
                </c:pt>
                <c:pt idx="2">
                  <c:v>0.20025699999999999</c:v>
                </c:pt>
                <c:pt idx="3">
                  <c:v>0.21214</c:v>
                </c:pt>
                <c:pt idx="4">
                  <c:v>0.24479100000000001</c:v>
                </c:pt>
                <c:pt idx="5">
                  <c:v>0.25125500000000001</c:v>
                </c:pt>
                <c:pt idx="6">
                  <c:v>0.27397700000000003</c:v>
                </c:pt>
                <c:pt idx="7">
                  <c:v>0.30815700000000001</c:v>
                </c:pt>
                <c:pt idx="8">
                  <c:v>0.39851399999999998</c:v>
                </c:pt>
                <c:pt idx="9">
                  <c:v>0.473744</c:v>
                </c:pt>
                <c:pt idx="10">
                  <c:v>0.60533499999999996</c:v>
                </c:pt>
                <c:pt idx="11">
                  <c:v>0.76751654953565651</c:v>
                </c:pt>
                <c:pt idx="12">
                  <c:v>0.81377565426982834</c:v>
                </c:pt>
                <c:pt idx="13">
                  <c:v>0.79963014151775724</c:v>
                </c:pt>
              </c:numCache>
            </c:numRef>
          </c:val>
          <c:smooth val="1"/>
        </c:ser>
        <c:dLbls>
          <c:dLblPos val="ctr"/>
          <c:showLegendKey val="0"/>
          <c:showVal val="1"/>
          <c:showCatName val="0"/>
          <c:showSerName val="0"/>
          <c:showPercent val="0"/>
          <c:showBubbleSize val="0"/>
        </c:dLbls>
        <c:marker val="1"/>
        <c:smooth val="0"/>
        <c:axId val="111827200"/>
        <c:axId val="111853568"/>
      </c:lineChart>
      <c:catAx>
        <c:axId val="111827200"/>
        <c:scaling>
          <c:orientation val="minMax"/>
        </c:scaling>
        <c:delete val="0"/>
        <c:axPos val="b"/>
        <c:numFmt formatCode="General" sourceLinked="1"/>
        <c:majorTickMark val="out"/>
        <c:minorTickMark val="none"/>
        <c:tickLblPos val="nextTo"/>
        <c:crossAx val="111853568"/>
        <c:crosses val="autoZero"/>
        <c:auto val="1"/>
        <c:lblAlgn val="ctr"/>
        <c:lblOffset val="100"/>
        <c:noMultiLvlLbl val="0"/>
      </c:catAx>
      <c:valAx>
        <c:axId val="111853568"/>
        <c:scaling>
          <c:orientation val="minMax"/>
        </c:scaling>
        <c:delete val="0"/>
        <c:axPos val="l"/>
        <c:title>
          <c:tx>
            <c:rich>
              <a:bodyPr rot="-5400000" vert="horz"/>
              <a:lstStyle/>
              <a:p>
                <a:pPr>
                  <a:defRPr/>
                </a:pPr>
                <a:r>
                  <a:rPr lang="pt-BR"/>
                  <a:t>EG (milhões de toneladas de CO</a:t>
                </a:r>
                <a:r>
                  <a:rPr lang="pt-BR" baseline="-25000"/>
                  <a:t>2</a:t>
                </a:r>
                <a:r>
                  <a:rPr lang="pt-BR"/>
                  <a:t>e)</a:t>
                </a:r>
              </a:p>
            </c:rich>
          </c:tx>
          <c:overlay val="0"/>
        </c:title>
        <c:numFmt formatCode="#,##0.00" sourceLinked="1"/>
        <c:majorTickMark val="out"/>
        <c:minorTickMark val="none"/>
        <c:tickLblPos val="nextTo"/>
        <c:crossAx val="111827200"/>
        <c:crosses val="autoZero"/>
        <c:crossBetween val="between"/>
      </c:valAx>
    </c:plotArea>
    <c:legend>
      <c:legendPos val="r"/>
      <c:layout>
        <c:manualLayout>
          <c:xMode val="edge"/>
          <c:yMode val="edge"/>
          <c:x val="0.83922458410647394"/>
          <c:y val="0.20088439332640914"/>
          <c:w val="0.14211853509694197"/>
          <c:h val="0.59575827365768752"/>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v>AN entrada = n.º de AN que deram entrada durante o período de apuração</c:v>
          </c:tx>
          <c:spPr>
            <a:solidFill>
              <a:schemeClr val="bg1">
                <a:lumMod val="95000"/>
              </a:schemeClr>
            </a:solidFill>
            <a:ln>
              <a:solidFill>
                <a:schemeClr val="tx1"/>
              </a:solidFill>
            </a:ln>
          </c:spPr>
          <c:invertIfNegative val="0"/>
          <c:dLbls>
            <c:spPr>
              <a:solidFill>
                <a:schemeClr val="bg1">
                  <a:lumMod val="95000"/>
                </a:schemeClr>
              </a:solidFill>
            </c:spPr>
            <c:txPr>
              <a:bodyPr/>
              <a:lstStyle/>
              <a:p>
                <a:pPr>
                  <a:defRPr b="1"/>
                </a:pPr>
                <a:endParaRPr lang="pt-BR"/>
              </a:p>
            </c:txPr>
            <c:dLblPos val="ctr"/>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para_graficos!$AG$53:$AK$53</c:f>
              <c:numCache>
                <c:formatCode>General</c:formatCode>
                <c:ptCount val="5"/>
                <c:pt idx="0">
                  <c:v>86</c:v>
                </c:pt>
                <c:pt idx="1">
                  <c:v>109</c:v>
                </c:pt>
                <c:pt idx="2">
                  <c:v>114</c:v>
                </c:pt>
                <c:pt idx="3">
                  <c:v>99</c:v>
                </c:pt>
                <c:pt idx="4">
                  <c:v>107</c:v>
                </c:pt>
              </c:numCache>
            </c:numRef>
          </c:val>
        </c:ser>
        <c:ser>
          <c:idx val="2"/>
          <c:order val="1"/>
          <c:tx>
            <c:v>AN saída = n.º de AN finalizadas do primeiro ao último dia do período de apuração</c:v>
          </c:tx>
          <c:spPr>
            <a:solidFill>
              <a:schemeClr val="bg1">
                <a:lumMod val="75000"/>
              </a:schemeClr>
            </a:solidFill>
            <a:ln>
              <a:solidFill>
                <a:schemeClr val="tx1"/>
              </a:solidFill>
            </a:ln>
          </c:spPr>
          <c:invertIfNegative val="0"/>
          <c:dLbls>
            <c:spPr>
              <a:solidFill>
                <a:sysClr val="window" lastClr="FFFFFF"/>
              </a:solidFill>
            </c:spPr>
            <c:txPr>
              <a:bodyPr/>
              <a:lstStyle/>
              <a:p>
                <a:pPr>
                  <a:defRPr b="1"/>
                </a:pPr>
                <a:endParaRPr lang="pt-BR"/>
              </a:p>
            </c:txPr>
            <c:dLblPos val="ctr"/>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para_graficos!$AG$55:$AK$55</c:f>
              <c:numCache>
                <c:formatCode>General</c:formatCode>
                <c:ptCount val="5"/>
                <c:pt idx="0">
                  <c:v>89</c:v>
                </c:pt>
                <c:pt idx="1">
                  <c:v>80</c:v>
                </c:pt>
                <c:pt idx="2">
                  <c:v>115</c:v>
                </c:pt>
                <c:pt idx="3">
                  <c:v>149</c:v>
                </c:pt>
                <c:pt idx="4">
                  <c:v>161</c:v>
                </c:pt>
              </c:numCache>
            </c:numRef>
          </c:val>
        </c:ser>
        <c:ser>
          <c:idx val="0"/>
          <c:order val="2"/>
          <c:tx>
            <c:v>AN (30d) = n.º de AN finalizadas do primeiro ao último dia do período e que tenham dado entrada a menos de 30 dias após sua entrada</c:v>
          </c:tx>
          <c:spPr>
            <a:solidFill>
              <a:schemeClr val="tx1">
                <a:lumMod val="50000"/>
                <a:lumOff val="50000"/>
              </a:schemeClr>
            </a:solidFill>
            <a:ln>
              <a:solidFill>
                <a:sysClr val="windowText" lastClr="000000"/>
              </a:solidFill>
            </a:ln>
          </c:spPr>
          <c:invertIfNegative val="0"/>
          <c:dLbls>
            <c:spPr>
              <a:solidFill>
                <a:sysClr val="window" lastClr="FFFFFF"/>
              </a:solidFill>
            </c:spPr>
            <c:txPr>
              <a:bodyPr/>
              <a:lstStyle/>
              <a:p>
                <a:pPr>
                  <a:defRPr b="1"/>
                </a:pPr>
                <a:endParaRPr lang="pt-BR"/>
              </a:p>
            </c:txPr>
            <c:dLblPos val="ctr"/>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para_graficos!$AG$51:$AK$51</c:f>
              <c:numCache>
                <c:formatCode>General</c:formatCode>
                <c:ptCount val="5"/>
                <c:pt idx="0">
                  <c:v>44</c:v>
                </c:pt>
                <c:pt idx="1">
                  <c:v>67</c:v>
                </c:pt>
                <c:pt idx="2">
                  <c:v>94</c:v>
                </c:pt>
                <c:pt idx="3">
                  <c:v>112</c:v>
                </c:pt>
                <c:pt idx="4">
                  <c:v>141</c:v>
                </c:pt>
              </c:numCache>
            </c:numRef>
          </c:val>
        </c:ser>
        <c:dLbls>
          <c:showLegendKey val="0"/>
          <c:showVal val="0"/>
          <c:showCatName val="0"/>
          <c:showSerName val="0"/>
          <c:showPercent val="0"/>
          <c:showBubbleSize val="0"/>
        </c:dLbls>
        <c:gapWidth val="150"/>
        <c:axId val="111387008"/>
        <c:axId val="111388544"/>
      </c:barChart>
      <c:lineChart>
        <c:grouping val="standard"/>
        <c:varyColors val="0"/>
        <c:ser>
          <c:idx val="3"/>
          <c:order val="3"/>
          <c:tx>
            <c:v>AN (30d) em relação a AN (saída)</c:v>
          </c:tx>
          <c:spPr>
            <a:ln w="22225">
              <a:solidFill>
                <a:schemeClr val="tx1">
                  <a:lumMod val="50000"/>
                  <a:lumOff val="50000"/>
                </a:schemeClr>
              </a:solidFill>
              <a:prstDash val="sysDash"/>
            </a:ln>
          </c:spPr>
          <c:marker>
            <c:symbol val="diamond"/>
            <c:size val="9"/>
            <c:spPr>
              <a:solidFill>
                <a:srgbClr val="0070C0"/>
              </a:solidFill>
              <a:ln>
                <a:solidFill>
                  <a:schemeClr val="tx1"/>
                </a:solidFill>
              </a:ln>
            </c:spPr>
          </c:marker>
          <c:dLbls>
            <c:numFmt formatCode="0%" sourceLinked="0"/>
            <c:txPr>
              <a:bodyPr/>
              <a:lstStyle/>
              <a:p>
                <a:pPr>
                  <a:defRPr b="1"/>
                </a:pPr>
                <a:endParaRPr lang="pt-BR"/>
              </a:p>
            </c:txPr>
            <c:dLblPos val="t"/>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para_graficos!$AG$52:$AK$52</c:f>
              <c:numCache>
                <c:formatCode>0.00%</c:formatCode>
                <c:ptCount val="5"/>
                <c:pt idx="0">
                  <c:v>0.4943820224719101</c:v>
                </c:pt>
                <c:pt idx="1">
                  <c:v>0.83750000000000002</c:v>
                </c:pt>
                <c:pt idx="2">
                  <c:v>0.81739130434782614</c:v>
                </c:pt>
                <c:pt idx="3">
                  <c:v>0.75167785234899331</c:v>
                </c:pt>
                <c:pt idx="4">
                  <c:v>0.87577639751552794</c:v>
                </c:pt>
              </c:numCache>
            </c:numRef>
          </c:val>
          <c:smooth val="0"/>
        </c:ser>
        <c:dLbls>
          <c:showLegendKey val="0"/>
          <c:showVal val="0"/>
          <c:showCatName val="0"/>
          <c:showSerName val="0"/>
          <c:showPercent val="0"/>
          <c:showBubbleSize val="0"/>
        </c:dLbls>
        <c:marker val="1"/>
        <c:smooth val="0"/>
        <c:axId val="111408640"/>
        <c:axId val="111407104"/>
      </c:lineChart>
      <c:catAx>
        <c:axId val="111387008"/>
        <c:scaling>
          <c:orientation val="minMax"/>
        </c:scaling>
        <c:delete val="0"/>
        <c:axPos val="b"/>
        <c:numFmt formatCode="General" sourceLinked="1"/>
        <c:majorTickMark val="out"/>
        <c:minorTickMark val="none"/>
        <c:tickLblPos val="nextTo"/>
        <c:crossAx val="111388544"/>
        <c:crosses val="autoZero"/>
        <c:auto val="1"/>
        <c:lblAlgn val="ctr"/>
        <c:lblOffset val="100"/>
        <c:noMultiLvlLbl val="0"/>
      </c:catAx>
      <c:valAx>
        <c:axId val="111388544"/>
        <c:scaling>
          <c:orientation val="minMax"/>
        </c:scaling>
        <c:delete val="0"/>
        <c:axPos val="l"/>
        <c:title>
          <c:tx>
            <c:rich>
              <a:bodyPr rot="-5400000" vert="horz"/>
              <a:lstStyle/>
              <a:p>
                <a:pPr>
                  <a:defRPr/>
                </a:pPr>
                <a:r>
                  <a:rPr lang="en-US"/>
                  <a:t>n.º de NA</a:t>
                </a:r>
              </a:p>
            </c:rich>
          </c:tx>
          <c:overlay val="0"/>
        </c:title>
        <c:numFmt formatCode="General" sourceLinked="1"/>
        <c:majorTickMark val="out"/>
        <c:minorTickMark val="none"/>
        <c:tickLblPos val="nextTo"/>
        <c:crossAx val="111387008"/>
        <c:crosses val="autoZero"/>
        <c:crossBetween val="between"/>
      </c:valAx>
      <c:valAx>
        <c:axId val="111407104"/>
        <c:scaling>
          <c:orientation val="minMax"/>
        </c:scaling>
        <c:delete val="0"/>
        <c:axPos val="r"/>
        <c:numFmt formatCode="0%" sourceLinked="0"/>
        <c:majorTickMark val="out"/>
        <c:minorTickMark val="none"/>
        <c:tickLblPos val="nextTo"/>
        <c:crossAx val="111408640"/>
        <c:crosses val="max"/>
        <c:crossBetween val="between"/>
      </c:valAx>
      <c:catAx>
        <c:axId val="111408640"/>
        <c:scaling>
          <c:orientation val="minMax"/>
        </c:scaling>
        <c:delete val="1"/>
        <c:axPos val="b"/>
        <c:numFmt formatCode="General" sourceLinked="1"/>
        <c:majorTickMark val="out"/>
        <c:minorTickMark val="none"/>
        <c:tickLblPos val="nextTo"/>
        <c:crossAx val="111407104"/>
        <c:crosses val="autoZero"/>
        <c:auto val="1"/>
        <c:lblAlgn val="ctr"/>
        <c:lblOffset val="100"/>
        <c:noMultiLvlLbl val="0"/>
      </c:cat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4"/>
          <c:order val="0"/>
          <c:tx>
            <c:v>EG demais subsetores</c:v>
          </c:tx>
          <c:spPr>
            <a:solidFill>
              <a:sysClr val="window" lastClr="FFFFFF"/>
            </a:solidFill>
            <a:ln>
              <a:solidFill>
                <a:schemeClr val="tx1">
                  <a:lumMod val="95000"/>
                  <a:lumOff val="5000"/>
                </a:schemeClr>
              </a:solidFill>
            </a:ln>
          </c:spPr>
          <c:invertIfNegative val="0"/>
          <c:dLbls>
            <c:dLbl>
              <c:idx val="0"/>
              <c:layout>
                <c:manualLayout>
                  <c:x val="0"/>
                  <c:y val="-1.0315925209542184E-2"/>
                </c:manualLayout>
              </c:layout>
              <c:showLegendKey val="0"/>
              <c:showVal val="1"/>
              <c:showCatName val="0"/>
              <c:showSerName val="0"/>
              <c:showPercent val="0"/>
              <c:showBubbleSize val="0"/>
            </c:dLbl>
            <c:dLbl>
              <c:idx val="10"/>
              <c:layout>
                <c:manualLayout>
                  <c:x val="0"/>
                  <c:y val="1.1820194421372527E-17"/>
                </c:manualLayout>
              </c:layout>
              <c:showLegendKey val="0"/>
              <c:showVal val="1"/>
              <c:showCatName val="0"/>
              <c:showSerName val="0"/>
              <c:showPercent val="0"/>
              <c:showBubbleSize val="0"/>
            </c:dLbl>
            <c:spPr>
              <a:solidFill>
                <a:schemeClr val="bg1">
                  <a:lumMod val="95000"/>
                </a:schemeClr>
              </a:solidFill>
              <a:ln>
                <a:solidFill>
                  <a:schemeClr val="tx1">
                    <a:lumMod val="50000"/>
                    <a:lumOff val="50000"/>
                  </a:schemeClr>
                </a:solidFill>
              </a:ln>
            </c:spPr>
            <c:txPr>
              <a:bodyPr/>
              <a:lstStyle/>
              <a:p>
                <a:pPr>
                  <a:defRPr sz="900" b="1"/>
                </a:pPr>
                <a:endParaRPr lang="pt-BR"/>
              </a:p>
            </c:txPr>
            <c:showLegendKey val="0"/>
            <c:showVal val="1"/>
            <c:showCatName val="0"/>
            <c:showSerName val="0"/>
            <c:showPercent val="0"/>
            <c:showBubbleSize val="0"/>
            <c:showLeaderLines val="0"/>
          </c:dLbls>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(para_graficos!$U$248,para_graficos!$W$248:$AI$248)</c:f>
              <c:numCache>
                <c:formatCode>0%</c:formatCode>
                <c:ptCount val="14"/>
                <c:pt idx="0">
                  <c:v>0.27356575893598567</c:v>
                </c:pt>
                <c:pt idx="1">
                  <c:v>0.29611629986224813</c:v>
                </c:pt>
                <c:pt idx="2">
                  <c:v>0.31226927646282948</c:v>
                </c:pt>
                <c:pt idx="3">
                  <c:v>0.32609010132869676</c:v>
                </c:pt>
                <c:pt idx="4">
                  <c:v>0.33026473835551617</c:v>
                </c:pt>
                <c:pt idx="5">
                  <c:v>0.34096436086510257</c:v>
                </c:pt>
                <c:pt idx="6">
                  <c:v>0.33802697826405803</c:v>
                </c:pt>
                <c:pt idx="7">
                  <c:v>0.34392918188999938</c:v>
                </c:pt>
                <c:pt idx="8">
                  <c:v>0.37390163152936645</c:v>
                </c:pt>
                <c:pt idx="9">
                  <c:v>0.35143676336431112</c:v>
                </c:pt>
                <c:pt idx="10">
                  <c:v>0.2909205812053372</c:v>
                </c:pt>
                <c:pt idx="11">
                  <c:v>0.2548445359579864</c:v>
                </c:pt>
                <c:pt idx="12">
                  <c:v>0.25719020708112772</c:v>
                </c:pt>
                <c:pt idx="13">
                  <c:v>0.28614117583294529</c:v>
                </c:pt>
              </c:numCache>
            </c:numRef>
          </c:val>
        </c:ser>
        <c:ser>
          <c:idx val="0"/>
          <c:order val="1"/>
          <c:tx>
            <c:v>EG rodoviário</c:v>
          </c:tx>
          <c:spPr>
            <a:solidFill>
              <a:schemeClr val="tx1">
                <a:lumMod val="50000"/>
                <a:lumOff val="50000"/>
              </a:schemeClr>
            </a:solidFill>
            <a:ln>
              <a:solidFill>
                <a:schemeClr val="tx1">
                  <a:lumMod val="95000"/>
                  <a:lumOff val="5000"/>
                </a:schemeClr>
              </a:solidFill>
            </a:ln>
          </c:spPr>
          <c:invertIfNegative val="0"/>
          <c:dLbls>
            <c:spPr>
              <a:solidFill>
                <a:schemeClr val="bg1"/>
              </a:solidFill>
              <a:ln>
                <a:solidFill>
                  <a:schemeClr val="tx1">
                    <a:lumMod val="50000"/>
                    <a:lumOff val="50000"/>
                  </a:schemeClr>
                </a:solidFill>
              </a:ln>
            </c:spPr>
            <c:txPr>
              <a:bodyPr/>
              <a:lstStyle/>
              <a:p>
                <a:pPr>
                  <a:defRPr sz="1100" b="1">
                    <a:solidFill>
                      <a:srgbClr val="002060"/>
                    </a:solidFill>
                  </a:defRPr>
                </a:pPr>
                <a:endParaRPr lang="pt-BR"/>
              </a:p>
            </c:txPr>
            <c:showLegendKey val="0"/>
            <c:showVal val="1"/>
            <c:showCatName val="0"/>
            <c:showSerName val="0"/>
            <c:showPercent val="0"/>
            <c:showBubbleSize val="0"/>
            <c:showLeaderLines val="0"/>
          </c:dLbls>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(para_graficos!$U$254,para_graficos!$W$254:$AI$254)</c:f>
              <c:numCache>
                <c:formatCode>0%</c:formatCode>
                <c:ptCount val="14"/>
                <c:pt idx="0">
                  <c:v>0.66695374029970489</c:v>
                </c:pt>
                <c:pt idx="1">
                  <c:v>0.639065325842893</c:v>
                </c:pt>
                <c:pt idx="2">
                  <c:v>0.61798225159353581</c:v>
                </c:pt>
                <c:pt idx="3">
                  <c:v>0.60031658930014198</c:v>
                </c:pt>
                <c:pt idx="4">
                  <c:v>0.58723504931995485</c:v>
                </c:pt>
                <c:pt idx="5">
                  <c:v>0.57571073485299462</c:v>
                </c:pt>
                <c:pt idx="6">
                  <c:v>0.57423473946267645</c:v>
                </c:pt>
                <c:pt idx="7">
                  <c:v>0.55912064430209263</c:v>
                </c:pt>
                <c:pt idx="8">
                  <c:v>0.51006511182519432</c:v>
                </c:pt>
                <c:pt idx="9">
                  <c:v>0.51189261490835669</c:v>
                </c:pt>
                <c:pt idx="10">
                  <c:v>0.54784043672284155</c:v>
                </c:pt>
                <c:pt idx="11">
                  <c:v>0.55168080066210234</c:v>
                </c:pt>
                <c:pt idx="12">
                  <c:v>0.55073647410862192</c:v>
                </c:pt>
                <c:pt idx="13">
                  <c:v>0.53192114414617053</c:v>
                </c:pt>
              </c:numCache>
            </c:numRef>
          </c:val>
        </c:ser>
        <c:ser>
          <c:idx val="1"/>
          <c:order val="2"/>
          <c:tx>
            <c:v>EG aéreo</c:v>
          </c:tx>
          <c:spPr>
            <a:solidFill>
              <a:schemeClr val="bg1">
                <a:lumMod val="85000"/>
              </a:schemeClr>
            </a:solidFill>
            <a:ln>
              <a:solidFill>
                <a:schemeClr val="tx1">
                  <a:lumMod val="95000"/>
                  <a:lumOff val="5000"/>
                </a:schemeClr>
              </a:solidFill>
            </a:ln>
          </c:spPr>
          <c:invertIfNegative val="0"/>
          <c:dLbls>
            <c:spPr>
              <a:solidFill>
                <a:schemeClr val="bg1"/>
              </a:solidFill>
              <a:ln>
                <a:solidFill>
                  <a:schemeClr val="tx1">
                    <a:lumMod val="50000"/>
                    <a:lumOff val="50000"/>
                  </a:schemeClr>
                </a:solidFill>
              </a:ln>
            </c:spPr>
            <c:txPr>
              <a:bodyPr/>
              <a:lstStyle/>
              <a:p>
                <a:pPr>
                  <a:defRPr sz="900" b="1"/>
                </a:pPr>
                <a:endParaRPr lang="pt-BR"/>
              </a:p>
            </c:txPr>
            <c:showLegendKey val="0"/>
            <c:showVal val="1"/>
            <c:showCatName val="0"/>
            <c:showSerName val="0"/>
            <c:showPercent val="0"/>
            <c:showBubbleSize val="0"/>
            <c:showLeaderLines val="0"/>
          </c:dLbls>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(para_graficos!$U$246,para_graficos!$W$246:$AI$246)</c:f>
              <c:numCache>
                <c:formatCode>0%</c:formatCode>
                <c:ptCount val="14"/>
                <c:pt idx="0">
                  <c:v>5.9480500764309462E-2</c:v>
                </c:pt>
                <c:pt idx="1">
                  <c:v>6.4818374294858913E-2</c:v>
                </c:pt>
                <c:pt idx="2">
                  <c:v>6.974847194363476E-2</c:v>
                </c:pt>
                <c:pt idx="3">
                  <c:v>7.3593309371161236E-2</c:v>
                </c:pt>
                <c:pt idx="4">
                  <c:v>8.2500212324528949E-2</c:v>
                </c:pt>
                <c:pt idx="5">
                  <c:v>8.3324904281902853E-2</c:v>
                </c:pt>
                <c:pt idx="6">
                  <c:v>8.7738282273265564E-2</c:v>
                </c:pt>
                <c:pt idx="7">
                  <c:v>9.6950173807908047E-2</c:v>
                </c:pt>
                <c:pt idx="8">
                  <c:v>0.11603325664543922</c:v>
                </c:pt>
                <c:pt idx="9">
                  <c:v>0.13667062172733213</c:v>
                </c:pt>
                <c:pt idx="10">
                  <c:v>0.16123898207182125</c:v>
                </c:pt>
                <c:pt idx="11">
                  <c:v>0.19347466337991126</c:v>
                </c:pt>
                <c:pt idx="12">
                  <c:v>0.19207331881025033</c:v>
                </c:pt>
                <c:pt idx="13">
                  <c:v>0.18193768002088415</c:v>
                </c:pt>
              </c:numCache>
            </c:numRef>
          </c:val>
        </c:ser>
        <c:dLbls>
          <c:showLegendKey val="0"/>
          <c:showVal val="0"/>
          <c:showCatName val="0"/>
          <c:showSerName val="0"/>
          <c:showPercent val="0"/>
          <c:showBubbleSize val="0"/>
        </c:dLbls>
        <c:gapWidth val="150"/>
        <c:overlap val="100"/>
        <c:axId val="112209280"/>
        <c:axId val="112223360"/>
      </c:barChart>
      <c:catAx>
        <c:axId val="112209280"/>
        <c:scaling>
          <c:orientation val="minMax"/>
        </c:scaling>
        <c:delete val="0"/>
        <c:axPos val="b"/>
        <c:numFmt formatCode="General" sourceLinked="1"/>
        <c:majorTickMark val="out"/>
        <c:minorTickMark val="none"/>
        <c:tickLblPos val="nextTo"/>
        <c:crossAx val="112223360"/>
        <c:crosses val="autoZero"/>
        <c:auto val="1"/>
        <c:lblAlgn val="ctr"/>
        <c:lblOffset val="100"/>
        <c:noMultiLvlLbl val="0"/>
      </c:catAx>
      <c:valAx>
        <c:axId val="112223360"/>
        <c:scaling>
          <c:orientation val="minMax"/>
        </c:scaling>
        <c:delete val="0"/>
        <c:axPos val="l"/>
        <c:majorGridlines/>
        <c:title>
          <c:tx>
            <c:rich>
              <a:bodyPr rot="-5400000" vert="horz"/>
              <a:lstStyle/>
              <a:p>
                <a:pPr>
                  <a:defRPr/>
                </a:pPr>
                <a:r>
                  <a:rPr lang="pt-BR"/>
                  <a:t>EG de sub-setores em relação a EG (%)</a:t>
                </a:r>
              </a:p>
            </c:rich>
          </c:tx>
          <c:overlay val="0"/>
        </c:title>
        <c:numFmt formatCode="0%" sourceLinked="1"/>
        <c:majorTickMark val="out"/>
        <c:minorTickMark val="none"/>
        <c:tickLblPos val="nextTo"/>
        <c:crossAx val="112209280"/>
        <c:crosses val="autoZero"/>
        <c:crossBetween val="between"/>
      </c:valAx>
    </c:plotArea>
    <c:legend>
      <c:legendPos val="r"/>
      <c:overlay val="0"/>
      <c:txPr>
        <a:bodyPr/>
        <a:lstStyle/>
        <a:p>
          <a:pPr>
            <a:defRPr sz="1000"/>
          </a:pPr>
          <a:endParaRPr lang="pt-BR"/>
        </a:p>
      </c:txPr>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EG</c:v>
          </c:tx>
          <c:spPr>
            <a:ln w="25400">
              <a:solidFill>
                <a:schemeClr val="tx1">
                  <a:lumMod val="95000"/>
                  <a:lumOff val="5000"/>
                </a:schemeClr>
              </a:solidFill>
            </a:ln>
          </c:spPr>
          <c:marker>
            <c:symbol val="triangle"/>
            <c:size val="7"/>
            <c:spPr>
              <a:solidFill>
                <a:schemeClr val="bg1"/>
              </a:solidFill>
              <a:ln>
                <a:solidFill>
                  <a:schemeClr val="tx1">
                    <a:lumMod val="95000"/>
                    <a:lumOff val="5000"/>
                  </a:schemeClr>
                </a:solidFill>
              </a:ln>
            </c:spPr>
          </c:marker>
          <c:dLbls>
            <c:dLbl>
              <c:idx val="0"/>
              <c:layout>
                <c:manualLayout>
                  <c:x val="-1.9794140934283451E-2"/>
                  <c:y val="3.9648281374900077E-2"/>
                </c:manualLayout>
              </c:layout>
              <c:dLblPos val="r"/>
              <c:showLegendKey val="0"/>
              <c:showVal val="1"/>
              <c:showCatName val="0"/>
              <c:showSerName val="0"/>
              <c:showPercent val="0"/>
              <c:showBubbleSize val="0"/>
            </c:dLbl>
            <c:dLbl>
              <c:idx val="2"/>
              <c:layout>
                <c:manualLayout>
                  <c:x val="-2.6128266033254157E-2"/>
                  <c:y val="3.6450839328537231E-2"/>
                </c:manualLayout>
              </c:layout>
              <c:dLblPos val="r"/>
              <c:showLegendKey val="0"/>
              <c:showVal val="1"/>
              <c:showCatName val="0"/>
              <c:showSerName val="0"/>
              <c:showPercent val="0"/>
              <c:showBubbleSize val="0"/>
            </c:dLbl>
            <c:dLbl>
              <c:idx val="4"/>
              <c:layout>
                <c:manualLayout>
                  <c:x val="-2.6128266033254157E-2"/>
                  <c:y val="3.6450839328537168E-2"/>
                </c:manualLayout>
              </c:layout>
              <c:dLblPos val="r"/>
              <c:showLegendKey val="0"/>
              <c:showVal val="1"/>
              <c:showCatName val="0"/>
              <c:showSerName val="0"/>
              <c:showPercent val="0"/>
              <c:showBubbleSize val="0"/>
            </c:dLbl>
            <c:dLbl>
              <c:idx val="6"/>
              <c:layout>
                <c:manualLayout>
                  <c:x val="-2.6128266033254157E-2"/>
                  <c:y val="3.6450839328537168E-2"/>
                </c:manualLayout>
              </c:layout>
              <c:dLblPos val="r"/>
              <c:showLegendKey val="0"/>
              <c:showVal val="1"/>
              <c:showCatName val="0"/>
              <c:showSerName val="0"/>
              <c:showPercent val="0"/>
              <c:showBubbleSize val="0"/>
            </c:dLbl>
            <c:dLbl>
              <c:idx val="8"/>
              <c:layout>
                <c:manualLayout>
                  <c:x val="-1.9794140934283451E-2"/>
                  <c:y val="3.6450839328537168E-2"/>
                </c:manualLayout>
              </c:layout>
              <c:dLblPos val="r"/>
              <c:showLegendKey val="0"/>
              <c:showVal val="1"/>
              <c:showCatName val="0"/>
              <c:showSerName val="0"/>
              <c:showPercent val="0"/>
              <c:showBubbleSize val="0"/>
            </c:dLbl>
            <c:dLbl>
              <c:idx val="10"/>
              <c:layout>
                <c:manualLayout>
                  <c:x val="-1.9794140934283451E-2"/>
                  <c:y val="3.325339728217426E-2"/>
                </c:manualLayout>
              </c:layout>
              <c:dLblPos val="r"/>
              <c:showLegendKey val="0"/>
              <c:showVal val="1"/>
              <c:showCatName val="0"/>
              <c:showSerName val="0"/>
              <c:showPercent val="0"/>
              <c:showBubbleSize val="0"/>
            </c:dLbl>
            <c:dLbl>
              <c:idx val="12"/>
              <c:layout>
                <c:manualLayout>
                  <c:x val="-2.1377672209026127E-2"/>
                  <c:y val="3.325339728217426E-2"/>
                </c:manualLayout>
              </c:layout>
              <c:dLblPos val="r"/>
              <c:showLegendKey val="0"/>
              <c:showVal val="1"/>
              <c:showCatName val="0"/>
              <c:showSerName val="0"/>
              <c:showPercent val="0"/>
              <c:showBubbleSize val="0"/>
            </c:dLbl>
            <c:txPr>
              <a:bodyPr/>
              <a:lstStyle/>
              <a:p>
                <a:pPr>
                  <a:defRPr sz="800" b="1"/>
                </a:pPr>
                <a:endParaRPr lang="pt-BR"/>
              </a:p>
            </c:txPr>
            <c:dLblPos val="t"/>
            <c:showLegendKey val="0"/>
            <c:showVal val="1"/>
            <c:showCatName val="0"/>
            <c:showSerName val="0"/>
            <c:showPercent val="0"/>
            <c:showBubbleSize val="0"/>
            <c:showLeaderLines val="0"/>
          </c:dLbls>
          <c:cat>
            <c:numRef>
              <c:f>(para_graficos!$U$3,para_graficos!$W$3:$AK$3,para_graficos!$AM$3:$BA$3)</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(para_graficos!$U$238,para_graficos!$W$238:$AK$238,para_graficos!$AM$238:$BA$238)</c:f>
              <c:numCache>
                <c:formatCode>#,##0.00</c:formatCode>
                <c:ptCount val="31"/>
                <c:pt idx="0">
                  <c:v>2.5951529999999998</c:v>
                </c:pt>
                <c:pt idx="1">
                  <c:v>2.7469679999999999</c:v>
                </c:pt>
                <c:pt idx="2">
                  <c:v>2.8711310000000001</c:v>
                </c:pt>
                <c:pt idx="3">
                  <c:v>2.8825989999999999</c:v>
                </c:pt>
                <c:pt idx="4">
                  <c:v>2.9671560000000001</c:v>
                </c:pt>
                <c:pt idx="5">
                  <c:v>3.0153650000000001</c:v>
                </c:pt>
                <c:pt idx="6">
                  <c:v>3.122662</c:v>
                </c:pt>
                <c:pt idx="7">
                  <c:v>3.178509</c:v>
                </c:pt>
                <c:pt idx="8">
                  <c:v>3.434480867995735</c:v>
                </c:pt>
                <c:pt idx="9">
                  <c:v>3.4663191987606075</c:v>
                </c:pt>
                <c:pt idx="10">
                  <c:v>3.7542720266638967</c:v>
                </c:pt>
                <c:pt idx="11">
                  <c:v>3.9670132312288535</c:v>
                </c:pt>
                <c:pt idx="12">
                  <c:v>4.2367969654013171</c:v>
                </c:pt>
                <c:pt idx="13">
                  <c:v>4.3950771573319489</c:v>
                </c:pt>
              </c:numCache>
            </c:numRef>
          </c:val>
          <c:smooth val="0"/>
        </c:ser>
        <c:ser>
          <c:idx val="4"/>
          <c:order val="1"/>
          <c:tx>
            <c:v>metas EG</c:v>
          </c:tx>
          <c:spPr>
            <a:ln w="25400">
              <a:solidFill>
                <a:schemeClr val="accent3">
                  <a:lumMod val="50000"/>
                </a:schemeClr>
              </a:solidFill>
              <a:prstDash val="sysDot"/>
            </a:ln>
          </c:spPr>
          <c:marker>
            <c:symbol val="triangle"/>
            <c:size val="7"/>
            <c:spPr>
              <a:solidFill>
                <a:schemeClr val="accent3">
                  <a:lumMod val="75000"/>
                </a:schemeClr>
              </a:solidFill>
              <a:ln>
                <a:solidFill>
                  <a:schemeClr val="tx1">
                    <a:lumMod val="95000"/>
                    <a:lumOff val="5000"/>
                  </a:schemeClr>
                </a:solidFill>
              </a:ln>
            </c:spPr>
          </c:marker>
          <c:dLbls>
            <c:dLbl>
              <c:idx val="14"/>
              <c:layout>
                <c:manualLayout>
                  <c:x val="-2.4544734758511481E-2"/>
                  <c:y val="3.0055955235811352E-2"/>
                </c:manualLayout>
              </c:layout>
              <c:dLblPos val="r"/>
              <c:showLegendKey val="0"/>
              <c:showVal val="1"/>
              <c:showCatName val="0"/>
              <c:showSerName val="0"/>
              <c:showPercent val="0"/>
              <c:showBubbleSize val="0"/>
            </c:dLbl>
            <c:dLbl>
              <c:idx val="16"/>
              <c:layout>
                <c:manualLayout>
                  <c:x val="-2.6128266033254157E-2"/>
                  <c:y val="3.9648281374900077E-2"/>
                </c:manualLayout>
              </c:layout>
              <c:dLblPos val="r"/>
              <c:showLegendKey val="0"/>
              <c:showVal val="1"/>
              <c:showCatName val="0"/>
              <c:showSerName val="0"/>
              <c:showPercent val="0"/>
              <c:showBubbleSize val="0"/>
            </c:dLbl>
            <c:dLbl>
              <c:idx val="18"/>
              <c:layout>
                <c:manualLayout>
                  <c:x val="-2.6128266033254216E-2"/>
                  <c:y val="3.6450839328537168E-2"/>
                </c:manualLayout>
              </c:layout>
              <c:dLblPos val="r"/>
              <c:showLegendKey val="0"/>
              <c:showVal val="1"/>
              <c:showCatName val="0"/>
              <c:showSerName val="0"/>
              <c:showPercent val="0"/>
              <c:showBubbleSize val="0"/>
            </c:dLbl>
            <c:dLbl>
              <c:idx val="20"/>
              <c:layout>
                <c:manualLayout>
                  <c:x val="-2.6128266033254157E-2"/>
                  <c:y val="4.2845723421262992E-2"/>
                </c:manualLayout>
              </c:layout>
              <c:dLblPos val="r"/>
              <c:showLegendKey val="0"/>
              <c:showVal val="1"/>
              <c:showCatName val="0"/>
              <c:showSerName val="0"/>
              <c:showPercent val="0"/>
              <c:showBubbleSize val="0"/>
            </c:dLbl>
            <c:dLbl>
              <c:idx val="22"/>
              <c:layout>
                <c:manualLayout>
                  <c:x val="-2.6128266033254157E-2"/>
                  <c:y val="3.9648281374900077E-2"/>
                </c:manualLayout>
              </c:layout>
              <c:dLblPos val="r"/>
              <c:showLegendKey val="0"/>
              <c:showVal val="1"/>
              <c:showCatName val="0"/>
              <c:showSerName val="0"/>
              <c:showPercent val="0"/>
              <c:showBubbleSize val="0"/>
            </c:dLbl>
            <c:dLbl>
              <c:idx val="24"/>
              <c:layout>
                <c:manualLayout>
                  <c:x val="-2.4544734758511481E-2"/>
                  <c:y val="3.6450839328537141E-2"/>
                </c:manualLayout>
              </c:layout>
              <c:dLblPos val="r"/>
              <c:showLegendKey val="0"/>
              <c:showVal val="1"/>
              <c:showCatName val="0"/>
              <c:showSerName val="0"/>
              <c:showPercent val="0"/>
              <c:showBubbleSize val="0"/>
            </c:dLbl>
            <c:dLbl>
              <c:idx val="26"/>
              <c:layout>
                <c:manualLayout>
                  <c:x val="-2.4544734758511481E-2"/>
                  <c:y val="4.2845723421262992E-2"/>
                </c:manualLayout>
              </c:layout>
              <c:dLblPos val="r"/>
              <c:showLegendKey val="0"/>
              <c:showVal val="1"/>
              <c:showCatName val="0"/>
              <c:showSerName val="0"/>
              <c:showPercent val="0"/>
              <c:showBubbleSize val="0"/>
            </c:dLbl>
            <c:dLbl>
              <c:idx val="28"/>
              <c:layout>
                <c:manualLayout>
                  <c:x val="-2.4544734758511481E-2"/>
                  <c:y val="3.6450839328537141E-2"/>
                </c:manualLayout>
              </c:layout>
              <c:dLblPos val="r"/>
              <c:showLegendKey val="0"/>
              <c:showVal val="1"/>
              <c:showCatName val="0"/>
              <c:showSerName val="0"/>
              <c:showPercent val="0"/>
              <c:showBubbleSize val="0"/>
            </c:dLbl>
            <c:dLbl>
              <c:idx val="30"/>
              <c:layout>
                <c:manualLayout>
                  <c:x val="-2.3752969121140144E-3"/>
                  <c:y val="-1.9184652278177458E-3"/>
                </c:manualLayout>
              </c:layout>
              <c:spPr/>
              <c:txPr>
                <a:bodyPr/>
                <a:lstStyle/>
                <a:p>
                  <a:pPr>
                    <a:defRPr sz="1100" b="1">
                      <a:solidFill>
                        <a:schemeClr val="accent3">
                          <a:lumMod val="50000"/>
                        </a:schemeClr>
                      </a:solidFill>
                    </a:defRPr>
                  </a:pPr>
                  <a:endParaRPr lang="pt-BR"/>
                </a:p>
              </c:txPr>
              <c:dLblPos val="r"/>
              <c:showLegendKey val="0"/>
              <c:showVal val="1"/>
              <c:showCatName val="0"/>
              <c:showSerName val="0"/>
              <c:showPercent val="0"/>
              <c:showBubbleSize val="0"/>
            </c:dLbl>
            <c:txPr>
              <a:bodyPr/>
              <a:lstStyle/>
              <a:p>
                <a:pPr>
                  <a:defRPr sz="800" b="1">
                    <a:solidFill>
                      <a:schemeClr val="accent3">
                        <a:lumMod val="50000"/>
                      </a:schemeClr>
                    </a:solidFill>
                  </a:defRPr>
                </a:pPr>
                <a:endParaRPr lang="pt-BR"/>
              </a:p>
            </c:txPr>
            <c:dLblPos val="t"/>
            <c:showLegendKey val="0"/>
            <c:showVal val="1"/>
            <c:showCatName val="0"/>
            <c:showSerName val="0"/>
            <c:showPercent val="0"/>
            <c:showBubbleSize val="0"/>
            <c:showLeaderLines val="0"/>
          </c:dLbls>
          <c:cat>
            <c:numRef>
              <c:f>(para_graficos!$U$3,para_graficos!$W$3:$AK$3,para_graficos!$AM$3:$BA$3)</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(para_graficos!$U$239,para_graficos!$W$239:$AK$239,para_graficos!$AM$239:$BA$239)</c:f>
              <c:numCache>
                <c:formatCode>General</c:formatCode>
                <c:ptCount val="31"/>
                <c:pt idx="14" formatCode="0.00">
                  <c:v>4.4739953035028499</c:v>
                </c:pt>
                <c:pt idx="15" formatCode="0.00">
                  <c:v>4.6428698260050503</c:v>
                </c:pt>
                <c:pt idx="16" formatCode="0.00">
                  <c:v>4.74859718009359</c:v>
                </c:pt>
                <c:pt idx="17" formatCode="0.00">
                  <c:v>4.8512351881786797</c:v>
                </c:pt>
                <c:pt idx="18" formatCode="0.00">
                  <c:v>4.9507481341736099</c:v>
                </c:pt>
                <c:pt idx="19" formatCode="0.00">
                  <c:v>5.04709992825242</c:v>
                </c:pt>
                <c:pt idx="20" formatCode="0.00">
                  <c:v>5.1402541031559004</c:v>
                </c:pt>
                <c:pt idx="21" formatCode="0.00">
                  <c:v>5.2001863046351504</c:v>
                </c:pt>
                <c:pt idx="22" formatCode="0.00">
                  <c:v>5.25745500507547</c:v>
                </c:pt>
                <c:pt idx="23" formatCode="0.00">
                  <c:v>5.31202988079934</c:v>
                </c:pt>
                <c:pt idx="24" formatCode="0.00">
                  <c:v>5.3638802934144696</c:v>
                </c:pt>
                <c:pt idx="25" formatCode="0.00">
                  <c:v>5.4129752867190604</c:v>
                </c:pt>
                <c:pt idx="26" formatCode="0.00">
                  <c:v>5.4893991534534496</c:v>
                </c:pt>
                <c:pt idx="27" formatCode="0.00">
                  <c:v>5.5623345716372397</c:v>
                </c:pt>
                <c:pt idx="28" formatCode="0.00">
                  <c:v>5.6317415709661498</c:v>
                </c:pt>
                <c:pt idx="29" formatCode="0.00">
                  <c:v>5.6975797648717403</c:v>
                </c:pt>
                <c:pt idx="30" formatCode="0.00">
                  <c:v>5.7598083464192698</c:v>
                </c:pt>
              </c:numCache>
            </c:numRef>
          </c:val>
          <c:smooth val="0"/>
        </c:ser>
        <c:ser>
          <c:idx val="3"/>
          <c:order val="2"/>
          <c:tx>
            <c:v>EG/habitante</c:v>
          </c:tx>
          <c:spPr>
            <a:ln w="25400">
              <a:solidFill>
                <a:schemeClr val="tx1"/>
              </a:solidFill>
              <a:prstDash val="solid"/>
            </a:ln>
          </c:spPr>
          <c:marker>
            <c:symbol val="circle"/>
            <c:size val="7"/>
            <c:spPr>
              <a:solidFill>
                <a:schemeClr val="bg1"/>
              </a:solidFill>
              <a:ln>
                <a:solidFill>
                  <a:schemeClr val="tx1"/>
                </a:solidFill>
              </a:ln>
            </c:spPr>
          </c:marker>
          <c:dLbls>
            <c:dLbl>
              <c:idx val="0"/>
              <c:layout>
                <c:manualLayout>
                  <c:x val="-2.197802197802198E-2"/>
                  <c:y val="3.6450839328537168E-2"/>
                </c:manualLayout>
              </c:layout>
              <c:dLblPos val="r"/>
              <c:showLegendKey val="0"/>
              <c:showVal val="1"/>
              <c:showCatName val="0"/>
              <c:showSerName val="0"/>
              <c:showPercent val="0"/>
              <c:showBubbleSize val="0"/>
            </c:dLbl>
            <c:dLbl>
              <c:idx val="2"/>
              <c:layout>
                <c:manualLayout>
                  <c:x val="-2.6862026862026864E-2"/>
                  <c:y val="3.0055955235811352E-2"/>
                </c:manualLayout>
              </c:layout>
              <c:dLblPos val="r"/>
              <c:showLegendKey val="0"/>
              <c:showVal val="1"/>
              <c:showCatName val="0"/>
              <c:showSerName val="0"/>
              <c:showPercent val="0"/>
              <c:showBubbleSize val="0"/>
            </c:dLbl>
            <c:dLbl>
              <c:idx val="4"/>
              <c:layout>
                <c:manualLayout>
                  <c:x val="-2.5234025234025233E-2"/>
                  <c:y val="2.6858513189448381E-2"/>
                </c:manualLayout>
              </c:layout>
              <c:dLblPos val="r"/>
              <c:showLegendKey val="0"/>
              <c:showVal val="1"/>
              <c:showCatName val="0"/>
              <c:showSerName val="0"/>
              <c:showPercent val="0"/>
              <c:showBubbleSize val="0"/>
            </c:dLbl>
            <c:dLbl>
              <c:idx val="6"/>
              <c:layout>
                <c:manualLayout>
                  <c:x val="-2.6862026862026864E-2"/>
                  <c:y val="3.325339728217426E-2"/>
                </c:manualLayout>
              </c:layout>
              <c:dLblPos val="r"/>
              <c:showLegendKey val="0"/>
              <c:showVal val="1"/>
              <c:showCatName val="0"/>
              <c:showSerName val="0"/>
              <c:showPercent val="0"/>
              <c:showBubbleSize val="0"/>
            </c:dLbl>
            <c:dLbl>
              <c:idx val="8"/>
              <c:layout>
                <c:manualLayout>
                  <c:x val="-2.5234025234025233E-2"/>
                  <c:y val="3.0055955235811352E-2"/>
                </c:manualLayout>
              </c:layout>
              <c:dLblPos val="r"/>
              <c:showLegendKey val="0"/>
              <c:showVal val="1"/>
              <c:showCatName val="0"/>
              <c:showSerName val="0"/>
              <c:showPercent val="0"/>
              <c:showBubbleSize val="0"/>
            </c:dLbl>
            <c:dLbl>
              <c:idx val="10"/>
              <c:layout>
                <c:manualLayout>
                  <c:x val="-1.7094017094017096E-2"/>
                  <c:y val="2.685851318944844E-2"/>
                </c:manualLayout>
              </c:layout>
              <c:dLblPos val="r"/>
              <c:showLegendKey val="0"/>
              <c:showVal val="1"/>
              <c:showCatName val="0"/>
              <c:showSerName val="0"/>
              <c:showPercent val="0"/>
              <c:showBubbleSize val="0"/>
            </c:dLbl>
            <c:dLbl>
              <c:idx val="12"/>
              <c:layout>
                <c:manualLayout>
                  <c:x val="-2.197802197802198E-2"/>
                  <c:y val="3.0055955235811352E-2"/>
                </c:manualLayout>
              </c:layout>
              <c:dLblPos val="r"/>
              <c:showLegendKey val="0"/>
              <c:showVal val="1"/>
              <c:showCatName val="0"/>
              <c:showSerName val="0"/>
              <c:showPercent val="0"/>
              <c:showBubbleSize val="0"/>
            </c:dLbl>
            <c:dLbl>
              <c:idx val="13"/>
              <c:layout>
                <c:manualLayout>
                  <c:x val="-2.9711029711029711E-2"/>
                  <c:y val="-4.0767386091127102E-2"/>
                </c:manualLayout>
              </c:layout>
              <c:dLblPos val="r"/>
              <c:showLegendKey val="0"/>
              <c:showVal val="1"/>
              <c:showCatName val="0"/>
              <c:showSerName val="0"/>
              <c:showPercent val="0"/>
              <c:showBubbleSize val="0"/>
            </c:dLbl>
            <c:txPr>
              <a:bodyPr/>
              <a:lstStyle/>
              <a:p>
                <a:pPr>
                  <a:defRPr sz="800" b="1"/>
                </a:pPr>
                <a:endParaRPr lang="pt-BR"/>
              </a:p>
            </c:txPr>
            <c:dLblPos val="t"/>
            <c:showLegendKey val="0"/>
            <c:showVal val="1"/>
            <c:showCatName val="0"/>
            <c:showSerName val="0"/>
            <c:showPercent val="0"/>
            <c:showBubbleSize val="0"/>
            <c:showLeaderLines val="0"/>
          </c:dLbls>
          <c:cat>
            <c:numRef>
              <c:f>(para_graficos!$U$3,para_graficos!$W$3:$AK$3,para_graficos!$AM$3:$BA$3)</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(para_graficos!$U$241,para_graficos!$W$241:$AK$241,para_graficos!$AM$241:$BA$241)</c:f>
              <c:numCache>
                <c:formatCode>0.00</c:formatCode>
                <c:ptCount val="31"/>
                <c:pt idx="0">
                  <c:v>1.1593133159945428</c:v>
                </c:pt>
                <c:pt idx="1">
                  <c:v>1.2162114417298651</c:v>
                </c:pt>
                <c:pt idx="2">
                  <c:v>1.2568050854728541</c:v>
                </c:pt>
                <c:pt idx="3">
                  <c:v>1.2501448513582201</c:v>
                </c:pt>
                <c:pt idx="4">
                  <c:v>1.2623166184796499</c:v>
                </c:pt>
                <c:pt idx="5">
                  <c:v>1.2694515159794706</c:v>
                </c:pt>
                <c:pt idx="6">
                  <c:v>1.3011525384179472</c:v>
                </c:pt>
                <c:pt idx="7">
                  <c:v>1.3172780723243085</c:v>
                </c:pt>
                <c:pt idx="8">
                  <c:v>1.4106718227960149</c:v>
                </c:pt>
                <c:pt idx="9">
                  <c:v>1.4133145121152659</c:v>
                </c:pt>
                <c:pt idx="10">
                  <c:v>1.5806456207053348</c:v>
                </c:pt>
                <c:pt idx="11">
                  <c:v>1.6628716953223679</c:v>
                </c:pt>
                <c:pt idx="12">
                  <c:v>1.7684378879579417</c:v>
                </c:pt>
                <c:pt idx="13">
                  <c:v>1.7728054233308186</c:v>
                </c:pt>
              </c:numCache>
            </c:numRef>
          </c:val>
          <c:smooth val="1"/>
        </c:ser>
        <c:ser>
          <c:idx val="1"/>
          <c:order val="3"/>
          <c:tx>
            <c:v>metas EG/habitante em 2016</c:v>
          </c:tx>
          <c:spPr>
            <a:ln w="25400">
              <a:prstDash val="sysDot"/>
            </a:ln>
          </c:spPr>
          <c:marker>
            <c:symbol val="square"/>
            <c:size val="5"/>
            <c:spPr>
              <a:ln>
                <a:solidFill>
                  <a:schemeClr val="tx1">
                    <a:lumMod val="95000"/>
                    <a:lumOff val="5000"/>
                  </a:schemeClr>
                </a:solidFill>
              </a:ln>
            </c:spPr>
          </c:marker>
          <c:dPt>
            <c:idx val="13"/>
            <c:marker>
              <c:spPr>
                <a:solidFill>
                  <a:schemeClr val="bg1"/>
                </a:solidFill>
                <a:ln>
                  <a:solidFill>
                    <a:schemeClr val="tx1">
                      <a:lumMod val="95000"/>
                      <a:lumOff val="5000"/>
                    </a:schemeClr>
                  </a:solidFill>
                </a:ln>
              </c:spPr>
            </c:marker>
            <c:bubble3D val="0"/>
          </c:dPt>
          <c:dPt>
            <c:idx val="22"/>
            <c:bubble3D val="0"/>
          </c:dPt>
          <c:dLbls>
            <c:dLbl>
              <c:idx val="13"/>
              <c:delete val="1"/>
            </c:dLbl>
            <c:dLbl>
              <c:idx val="14"/>
              <c:layout>
                <c:manualLayout>
                  <c:x val="-2.3402587497075685E-2"/>
                  <c:y val="3.142279876885893E-2"/>
                </c:manualLayout>
              </c:layout>
              <c:dLblPos val="r"/>
              <c:showLegendKey val="0"/>
              <c:showVal val="1"/>
              <c:showCatName val="0"/>
              <c:showSerName val="0"/>
              <c:showPercent val="0"/>
              <c:showBubbleSize val="0"/>
            </c:dLbl>
            <c:dLbl>
              <c:idx val="16"/>
              <c:layout>
                <c:manualLayout>
                  <c:x val="-2.8286592381080569E-2"/>
                  <c:y val="3.142279876885893E-2"/>
                </c:manualLayout>
              </c:layout>
              <c:dLblPos val="r"/>
              <c:showLegendKey val="0"/>
              <c:showVal val="1"/>
              <c:showCatName val="0"/>
              <c:showSerName val="0"/>
              <c:showPercent val="0"/>
              <c:showBubbleSize val="0"/>
            </c:dLbl>
            <c:dLbl>
              <c:idx val="18"/>
              <c:layout>
                <c:manualLayout>
                  <c:x val="-2.8286592381080569E-2"/>
                  <c:y val="3.1422798768858957E-2"/>
                </c:manualLayout>
              </c:layout>
              <c:dLblPos val="r"/>
              <c:showLegendKey val="0"/>
              <c:showVal val="1"/>
              <c:showCatName val="0"/>
              <c:showSerName val="0"/>
              <c:showPercent val="0"/>
              <c:showBubbleSize val="0"/>
            </c:dLbl>
            <c:dLbl>
              <c:idx val="20"/>
              <c:layout>
                <c:manualLayout>
                  <c:x val="-2.8286592381080569E-2"/>
                  <c:y val="3.4620240815221866E-2"/>
                </c:manualLayout>
              </c:layout>
              <c:dLblPos val="r"/>
              <c:showLegendKey val="0"/>
              <c:showVal val="1"/>
              <c:showCatName val="0"/>
              <c:showSerName val="0"/>
              <c:showPercent val="0"/>
              <c:showBubbleSize val="0"/>
            </c:dLbl>
            <c:dLbl>
              <c:idx val="22"/>
              <c:layout>
                <c:manualLayout>
                  <c:x val="-2.8286592381080569E-2"/>
                  <c:y val="3.4620240815221866E-2"/>
                </c:manualLayout>
              </c:layout>
              <c:dLblPos val="r"/>
              <c:showLegendKey val="0"/>
              <c:showVal val="1"/>
              <c:showCatName val="0"/>
              <c:showSerName val="0"/>
              <c:showPercent val="0"/>
              <c:showBubbleSize val="0"/>
            </c:dLbl>
            <c:dLbl>
              <c:idx val="24"/>
              <c:layout>
                <c:manualLayout>
                  <c:x val="-2.8286592381080569E-2"/>
                  <c:y val="3.4620240815221866E-2"/>
                </c:manualLayout>
              </c:layout>
              <c:dLblPos val="r"/>
              <c:showLegendKey val="0"/>
              <c:showVal val="1"/>
              <c:showCatName val="0"/>
              <c:showSerName val="0"/>
              <c:showPercent val="0"/>
              <c:showBubbleSize val="0"/>
            </c:dLbl>
            <c:dLbl>
              <c:idx val="26"/>
              <c:layout>
                <c:manualLayout>
                  <c:x val="-2.8286592381080569E-2"/>
                  <c:y val="3.462024081522181E-2"/>
                </c:manualLayout>
              </c:layout>
              <c:dLblPos val="r"/>
              <c:showLegendKey val="0"/>
              <c:showVal val="1"/>
              <c:showCatName val="0"/>
              <c:showSerName val="0"/>
              <c:showPercent val="0"/>
              <c:showBubbleSize val="0"/>
            </c:dLbl>
            <c:dLbl>
              <c:idx val="28"/>
              <c:layout>
                <c:manualLayout>
                  <c:x val="-2.8286592381080569E-2"/>
                  <c:y val="3.462024081522181E-2"/>
                </c:manualLayout>
              </c:layout>
              <c:dLblPos val="r"/>
              <c:showLegendKey val="0"/>
              <c:showVal val="1"/>
              <c:showCatName val="0"/>
              <c:showSerName val="0"/>
              <c:showPercent val="0"/>
              <c:showBubbleSize val="0"/>
            </c:dLbl>
            <c:dLbl>
              <c:idx val="30"/>
              <c:layout>
                <c:manualLayout>
                  <c:x val="1.017436922948734E-3"/>
                  <c:y val="-5.5162169477016812E-4"/>
                </c:manualLayout>
              </c:layout>
              <c:spPr/>
              <c:txPr>
                <a:bodyPr/>
                <a:lstStyle/>
                <a:p>
                  <a:pPr>
                    <a:defRPr sz="1100" b="1">
                      <a:solidFill>
                        <a:schemeClr val="accent2">
                          <a:lumMod val="50000"/>
                        </a:schemeClr>
                      </a:solidFill>
                    </a:defRPr>
                  </a:pPr>
                  <a:endParaRPr lang="pt-BR"/>
                </a:p>
              </c:txPr>
              <c:dLblPos val="r"/>
              <c:showLegendKey val="0"/>
              <c:showVal val="1"/>
              <c:showCatName val="0"/>
              <c:showSerName val="0"/>
              <c:showPercent val="0"/>
              <c:showBubbleSize val="0"/>
            </c:dLbl>
            <c:txPr>
              <a:bodyPr/>
              <a:lstStyle/>
              <a:p>
                <a:pPr>
                  <a:defRPr sz="900" b="1">
                    <a:solidFill>
                      <a:schemeClr val="accent2">
                        <a:lumMod val="50000"/>
                      </a:schemeClr>
                    </a:solidFill>
                  </a:defRPr>
                </a:pPr>
                <a:endParaRPr lang="pt-BR"/>
              </a:p>
            </c:txPr>
            <c:dLblPos val="t"/>
            <c:showLegendKey val="0"/>
            <c:showVal val="1"/>
            <c:showCatName val="0"/>
            <c:showSerName val="0"/>
            <c:showPercent val="0"/>
            <c:showBubbleSize val="0"/>
            <c:showLeaderLines val="0"/>
          </c:dLbls>
          <c:cat>
            <c:numRef>
              <c:f>(para_graficos!$U$3,para_graficos!$W$3:$AK$3,para_graficos!$AM$3:$BA$3)</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(para_graficos!$U$243,para_graficos!$W$243:$AK$243,para_graficos!$AM$243:$BA$243)</c:f>
              <c:numCache>
                <c:formatCode>General</c:formatCode>
                <c:ptCount val="31"/>
                <c:pt idx="14" formatCode="0.00">
                  <c:v>1.81</c:v>
                </c:pt>
                <c:pt idx="15" formatCode="0.00">
                  <c:v>1.86</c:v>
                </c:pt>
                <c:pt idx="16">
                  <c:v>1.88</c:v>
                </c:pt>
                <c:pt idx="17" formatCode="0.00">
                  <c:v>1.9</c:v>
                </c:pt>
                <c:pt idx="18">
                  <c:v>1.92</c:v>
                </c:pt>
                <c:pt idx="19">
                  <c:v>1.93</c:v>
                </c:pt>
                <c:pt idx="20">
                  <c:v>1.95</c:v>
                </c:pt>
                <c:pt idx="21">
                  <c:v>1.95</c:v>
                </c:pt>
                <c:pt idx="22">
                  <c:v>1.95</c:v>
                </c:pt>
                <c:pt idx="23">
                  <c:v>1.95</c:v>
                </c:pt>
                <c:pt idx="24">
                  <c:v>1.95</c:v>
                </c:pt>
                <c:pt idx="25">
                  <c:v>1.95</c:v>
                </c:pt>
                <c:pt idx="26">
                  <c:v>1.96</c:v>
                </c:pt>
                <c:pt idx="27">
                  <c:v>1.96</c:v>
                </c:pt>
                <c:pt idx="28">
                  <c:v>1.96</c:v>
                </c:pt>
                <c:pt idx="29">
                  <c:v>1.97</c:v>
                </c:pt>
                <c:pt idx="30">
                  <c:v>1.97</c:v>
                </c:pt>
              </c:numCache>
            </c:numRef>
          </c:val>
          <c:smooth val="0"/>
        </c:ser>
        <c:ser>
          <c:idx val="0"/>
          <c:order val="4"/>
          <c:tx>
            <c:v>metas EG/habitante em 2012</c:v>
          </c:tx>
          <c:spPr>
            <a:ln>
              <a:solidFill>
                <a:srgbClr val="0070C0"/>
              </a:solidFill>
              <a:prstDash val="sysDot"/>
            </a:ln>
          </c:spPr>
          <c:marker>
            <c:symbol val="diamond"/>
            <c:size val="7"/>
            <c:spPr>
              <a:solidFill>
                <a:srgbClr val="0070C0"/>
              </a:solidFill>
              <a:ln>
                <a:solidFill>
                  <a:schemeClr val="tx1">
                    <a:lumMod val="95000"/>
                    <a:lumOff val="5000"/>
                  </a:schemeClr>
                </a:solidFill>
              </a:ln>
            </c:spPr>
          </c:marker>
          <c:dPt>
            <c:idx val="12"/>
            <c:marker>
              <c:symbol val="circle"/>
              <c:size val="7"/>
              <c:spPr>
                <a:solidFill>
                  <a:schemeClr val="bg1"/>
                </a:solidFill>
                <a:ln>
                  <a:solidFill>
                    <a:schemeClr val="tx1">
                      <a:lumMod val="95000"/>
                      <a:lumOff val="5000"/>
                    </a:schemeClr>
                  </a:solidFill>
                </a:ln>
              </c:spPr>
            </c:marker>
            <c:bubble3D val="0"/>
          </c:dPt>
          <c:dPt>
            <c:idx val="15"/>
            <c:bubble3D val="0"/>
          </c:dPt>
          <c:dPt>
            <c:idx val="22"/>
            <c:marker>
              <c:symbol val="diamond"/>
              <c:size val="9"/>
            </c:marker>
            <c:bubble3D val="0"/>
          </c:dPt>
          <c:dPt>
            <c:idx val="30"/>
            <c:bubble3D val="0"/>
            <c:spPr>
              <a:ln>
                <a:solidFill>
                  <a:srgbClr val="002060"/>
                </a:solidFill>
                <a:prstDash val="sysDot"/>
              </a:ln>
            </c:spPr>
          </c:dPt>
          <c:dLbls>
            <c:dLbl>
              <c:idx val="12"/>
              <c:delete val="1"/>
            </c:dLbl>
            <c:dLbl>
              <c:idx val="13"/>
              <c:delete val="1"/>
            </c:dLbl>
            <c:dLbl>
              <c:idx val="15"/>
              <c:spPr/>
              <c:txPr>
                <a:bodyPr/>
                <a:lstStyle/>
                <a:p>
                  <a:pPr>
                    <a:defRPr sz="900" b="1">
                      <a:solidFill>
                        <a:srgbClr val="002060"/>
                      </a:solidFill>
                    </a:defRPr>
                  </a:pPr>
                  <a:endParaRPr lang="pt-BR"/>
                </a:p>
              </c:txPr>
              <c:dLblPos val="b"/>
              <c:showLegendKey val="0"/>
              <c:showVal val="1"/>
              <c:showCatName val="0"/>
              <c:showSerName val="0"/>
              <c:showPercent val="0"/>
              <c:showBubbleSize val="0"/>
            </c:dLbl>
            <c:txPr>
              <a:bodyPr/>
              <a:lstStyle/>
              <a:p>
                <a:pPr>
                  <a:defRPr sz="1100" b="1">
                    <a:solidFill>
                      <a:srgbClr val="002060"/>
                    </a:solidFill>
                  </a:defRPr>
                </a:pPr>
                <a:endParaRPr lang="pt-BR"/>
              </a:p>
            </c:txPr>
            <c:dLblPos val="b"/>
            <c:showLegendKey val="0"/>
            <c:showVal val="1"/>
            <c:showCatName val="0"/>
            <c:showSerName val="0"/>
            <c:showPercent val="0"/>
            <c:showBubbleSize val="0"/>
            <c:showLeaderLines val="0"/>
          </c:dLbls>
          <c:cat>
            <c:numRef>
              <c:f>(para_graficos!$U$3,para_graficos!$W$3:$AK$3,para_graficos!$AM$3:$BA$3)</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(para_graficos!$U$242,para_graficos!$W$242:$AK$242,para_graficos!$AM$242:$BA$242)</c:f>
              <c:numCache>
                <c:formatCode>General</c:formatCode>
                <c:ptCount val="31"/>
                <c:pt idx="15">
                  <c:v>1.2</c:v>
                </c:pt>
                <c:pt idx="30">
                  <c:v>1.05</c:v>
                </c:pt>
              </c:numCache>
            </c:numRef>
          </c:val>
          <c:smooth val="0"/>
        </c:ser>
        <c:dLbls>
          <c:dLblPos val="ctr"/>
          <c:showLegendKey val="0"/>
          <c:showVal val="1"/>
          <c:showCatName val="0"/>
          <c:showSerName val="0"/>
          <c:showPercent val="0"/>
          <c:showBubbleSize val="0"/>
        </c:dLbls>
        <c:marker val="1"/>
        <c:smooth val="0"/>
        <c:axId val="135070464"/>
        <c:axId val="135072000"/>
      </c:lineChart>
      <c:catAx>
        <c:axId val="135070464"/>
        <c:scaling>
          <c:orientation val="minMax"/>
        </c:scaling>
        <c:delete val="0"/>
        <c:axPos val="b"/>
        <c:numFmt formatCode="General" sourceLinked="1"/>
        <c:majorTickMark val="out"/>
        <c:minorTickMark val="none"/>
        <c:tickLblPos val="nextTo"/>
        <c:crossAx val="135072000"/>
        <c:crosses val="autoZero"/>
        <c:auto val="1"/>
        <c:lblAlgn val="ctr"/>
        <c:lblOffset val="100"/>
        <c:noMultiLvlLbl val="0"/>
      </c:catAx>
      <c:valAx>
        <c:axId val="135072000"/>
        <c:scaling>
          <c:orientation val="minMax"/>
        </c:scaling>
        <c:delete val="0"/>
        <c:axPos val="l"/>
        <c:title>
          <c:tx>
            <c:rich>
              <a:bodyPr rot="-5400000" vert="horz"/>
              <a:lstStyle/>
              <a:p>
                <a:pPr>
                  <a:defRPr/>
                </a:pPr>
                <a:r>
                  <a:rPr lang="pt-BR"/>
                  <a:t>EG por habitante (tCO</a:t>
                </a:r>
                <a:r>
                  <a:rPr lang="pt-BR" baseline="-25000"/>
                  <a:t>2</a:t>
                </a:r>
                <a:r>
                  <a:rPr lang="pt-BR"/>
                  <a:t>e/habitante) </a:t>
                </a:r>
              </a:p>
              <a:p>
                <a:pPr>
                  <a:defRPr/>
                </a:pPr>
                <a:r>
                  <a:rPr lang="pt-BR"/>
                  <a:t>ou EG (tCO</a:t>
                </a:r>
                <a:r>
                  <a:rPr lang="pt-BR" baseline="-25000"/>
                  <a:t>2</a:t>
                </a:r>
                <a:r>
                  <a:rPr lang="pt-BR"/>
                  <a:t>e)</a:t>
                </a:r>
              </a:p>
            </c:rich>
          </c:tx>
          <c:overlay val="0"/>
        </c:title>
        <c:numFmt formatCode="#,##0.00" sourceLinked="1"/>
        <c:majorTickMark val="out"/>
        <c:minorTickMark val="none"/>
        <c:tickLblPos val="nextTo"/>
        <c:crossAx val="135070464"/>
        <c:crosses val="autoZero"/>
        <c:crossBetween val="between"/>
      </c:valAx>
    </c:plotArea>
    <c:legend>
      <c:legendPos val="r"/>
      <c:layout>
        <c:manualLayout>
          <c:xMode val="edge"/>
          <c:yMode val="edge"/>
          <c:x val="0.80895966982749468"/>
          <c:y val="0.19684661719443339"/>
          <c:w val="0.16728736105136502"/>
          <c:h val="0.56217703002951969"/>
        </c:manualLayout>
      </c:layout>
      <c:overlay val="0"/>
    </c:legend>
    <c:plotVisOnly val="0"/>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gasolina</c:v>
          </c:tx>
          <c:spPr>
            <a:ln>
              <a:solidFill>
                <a:schemeClr val="tx1">
                  <a:lumMod val="75000"/>
                  <a:lumOff val="25000"/>
                </a:schemeClr>
              </a:solidFill>
            </a:ln>
          </c:spPr>
          <c:marker>
            <c:symbol val="square"/>
            <c:size val="5"/>
            <c:spPr>
              <a:solidFill>
                <a:schemeClr val="bg1">
                  <a:lumMod val="75000"/>
                </a:schemeClr>
              </a:solidFill>
              <a:ln>
                <a:solidFill>
                  <a:schemeClr val="tx1">
                    <a:lumMod val="95000"/>
                    <a:lumOff val="5000"/>
                  </a:schemeClr>
                </a:solidFill>
              </a:ln>
            </c:spPr>
          </c:marker>
          <c:dLbls>
            <c:dLbl>
              <c:idx val="0"/>
              <c:layout>
                <c:manualLayout>
                  <c:x val="-2.9069763005895879E-2"/>
                  <c:y val="-7.1278849528334742E-2"/>
                </c:manualLayout>
              </c:layout>
              <c:showLegendKey val="0"/>
              <c:showVal val="1"/>
              <c:showCatName val="0"/>
              <c:showSerName val="0"/>
              <c:showPercent val="0"/>
              <c:showBubbleSize val="0"/>
            </c:dLbl>
            <c:dLbl>
              <c:idx val="13"/>
              <c:layout>
                <c:manualLayout>
                  <c:x val="7.7519368015722392E-3"/>
                  <c:y val="0"/>
                </c:manualLayout>
              </c:layout>
              <c:showLegendKey val="0"/>
              <c:showVal val="1"/>
              <c:showCatName val="0"/>
              <c:showSerName val="0"/>
              <c:showPercent val="0"/>
              <c:showBubbleSize val="0"/>
            </c:dLbl>
            <c:txPr>
              <a:bodyPr/>
              <a:lstStyle/>
              <a:p>
                <a:pPr>
                  <a:defRPr b="1"/>
                </a:pPr>
                <a:endParaRPr lang="pt-BR"/>
              </a:p>
            </c:txPr>
            <c:showLegendKey val="0"/>
            <c:showVal val="0"/>
            <c:showCatName val="0"/>
            <c:showSerName val="0"/>
            <c:showPercent val="0"/>
            <c:showBubbleSize val="0"/>
          </c:dLbls>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(para_graficos!$U$250,para_graficos!$W$250:$AI$250)</c:f>
              <c:numCache>
                <c:formatCode>#,##0</c:formatCode>
                <c:ptCount val="14"/>
                <c:pt idx="0">
                  <c:v>926482</c:v>
                </c:pt>
                <c:pt idx="1">
                  <c:v>929642</c:v>
                </c:pt>
                <c:pt idx="2">
                  <c:v>932034</c:v>
                </c:pt>
                <c:pt idx="3">
                  <c:v>936821</c:v>
                </c:pt>
                <c:pt idx="4">
                  <c:v>945028</c:v>
                </c:pt>
                <c:pt idx="5">
                  <c:v>960362</c:v>
                </c:pt>
                <c:pt idx="6">
                  <c:v>1015371</c:v>
                </c:pt>
                <c:pt idx="7">
                  <c:v>1030217</c:v>
                </c:pt>
                <c:pt idx="8">
                  <c:v>1079595.2852595428</c:v>
                </c:pt>
                <c:pt idx="9">
                  <c:v>1123208.8264093159</c:v>
                </c:pt>
                <c:pt idx="10">
                  <c:v>1391417.0297706507</c:v>
                </c:pt>
                <c:pt idx="11">
                  <c:v>1516509.5445132949</c:v>
                </c:pt>
                <c:pt idx="12">
                  <c:v>1643931.1508575534</c:v>
                </c:pt>
                <c:pt idx="13">
                  <c:v>1670018.8341378185</c:v>
                </c:pt>
              </c:numCache>
            </c:numRef>
          </c:val>
          <c:smooth val="0"/>
        </c:ser>
        <c:ser>
          <c:idx val="0"/>
          <c:order val="1"/>
          <c:tx>
            <c:v>óleo diesel</c:v>
          </c:tx>
          <c:spPr>
            <a:ln>
              <a:solidFill>
                <a:schemeClr val="tx1">
                  <a:lumMod val="75000"/>
                  <a:lumOff val="25000"/>
                </a:schemeClr>
              </a:solidFill>
              <a:prstDash val="sysDot"/>
            </a:ln>
          </c:spPr>
          <c:marker>
            <c:symbol val="circle"/>
            <c:size val="5"/>
            <c:spPr>
              <a:solidFill>
                <a:schemeClr val="bg1">
                  <a:lumMod val="75000"/>
                </a:schemeClr>
              </a:solidFill>
              <a:ln>
                <a:solidFill>
                  <a:schemeClr val="tx1">
                    <a:lumMod val="95000"/>
                    <a:lumOff val="5000"/>
                  </a:schemeClr>
                </a:solidFill>
              </a:ln>
            </c:spPr>
          </c:marker>
          <c:dLbls>
            <c:dLbl>
              <c:idx val="0"/>
              <c:layout>
                <c:manualLayout>
                  <c:x val="-2.9069763005895879E-2"/>
                  <c:y val="4.6121608518334245E-2"/>
                </c:manualLayout>
              </c:layout>
              <c:showLegendKey val="0"/>
              <c:showVal val="1"/>
              <c:showCatName val="0"/>
              <c:showSerName val="0"/>
              <c:showPercent val="0"/>
              <c:showBubbleSize val="0"/>
            </c:dLbl>
            <c:dLbl>
              <c:idx val="13"/>
              <c:layout>
                <c:manualLayout>
                  <c:x val="7.7519368015722392E-3"/>
                  <c:y val="0"/>
                </c:manualLayout>
              </c:layout>
              <c:showLegendKey val="0"/>
              <c:showVal val="1"/>
              <c:showCatName val="0"/>
              <c:showSerName val="0"/>
              <c:showPercent val="0"/>
              <c:showBubbleSize val="0"/>
            </c:dLbl>
            <c:txPr>
              <a:bodyPr/>
              <a:lstStyle/>
              <a:p>
                <a:pPr>
                  <a:defRPr b="1"/>
                </a:pPr>
                <a:endParaRPr lang="pt-BR"/>
              </a:p>
            </c:txPr>
            <c:showLegendKey val="0"/>
            <c:showVal val="0"/>
            <c:showCatName val="0"/>
            <c:showSerName val="0"/>
            <c:showPercent val="0"/>
            <c:showBubbleSize val="0"/>
          </c:dLbls>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(para_graficos!$U$249,para_graficos!$W$249:$AI$249)</c:f>
              <c:numCache>
                <c:formatCode>#,##0</c:formatCode>
                <c:ptCount val="14"/>
                <c:pt idx="0">
                  <c:v>769983</c:v>
                </c:pt>
                <c:pt idx="1">
                  <c:v>773195</c:v>
                </c:pt>
                <c:pt idx="2">
                  <c:v>776142</c:v>
                </c:pt>
                <c:pt idx="3">
                  <c:v>719243</c:v>
                </c:pt>
                <c:pt idx="4">
                  <c:v>719788</c:v>
                </c:pt>
                <c:pt idx="5">
                  <c:v>697754</c:v>
                </c:pt>
                <c:pt idx="6">
                  <c:v>709576</c:v>
                </c:pt>
                <c:pt idx="7">
                  <c:v>687712</c:v>
                </c:pt>
                <c:pt idx="8">
                  <c:v>619047.06070530927</c:v>
                </c:pt>
                <c:pt idx="9">
                  <c:v>611870.54896031134</c:v>
                </c:pt>
                <c:pt idx="10">
                  <c:v>633016.8527855071</c:v>
                </c:pt>
                <c:pt idx="11">
                  <c:v>640917.74262927647</c:v>
                </c:pt>
                <c:pt idx="12">
                  <c:v>656027.99039288529</c:v>
                </c:pt>
                <c:pt idx="13">
                  <c:v>636088.27732513077</c:v>
                </c:pt>
              </c:numCache>
            </c:numRef>
          </c:val>
          <c:smooth val="0"/>
        </c:ser>
        <c:dLbls>
          <c:showLegendKey val="0"/>
          <c:showVal val="0"/>
          <c:showCatName val="0"/>
          <c:showSerName val="0"/>
          <c:showPercent val="0"/>
          <c:showBubbleSize val="0"/>
        </c:dLbls>
        <c:marker val="1"/>
        <c:smooth val="0"/>
        <c:axId val="135121920"/>
        <c:axId val="135123712"/>
      </c:lineChart>
      <c:catAx>
        <c:axId val="135121920"/>
        <c:scaling>
          <c:orientation val="minMax"/>
        </c:scaling>
        <c:delete val="0"/>
        <c:axPos val="b"/>
        <c:numFmt formatCode="General" sourceLinked="1"/>
        <c:majorTickMark val="out"/>
        <c:minorTickMark val="none"/>
        <c:tickLblPos val="nextTo"/>
        <c:crossAx val="135123712"/>
        <c:crosses val="autoZero"/>
        <c:auto val="1"/>
        <c:lblAlgn val="ctr"/>
        <c:lblOffset val="100"/>
        <c:noMultiLvlLbl val="0"/>
      </c:catAx>
      <c:valAx>
        <c:axId val="135123712"/>
        <c:scaling>
          <c:orientation val="minMax"/>
        </c:scaling>
        <c:delete val="0"/>
        <c:axPos val="l"/>
        <c:majorGridlines/>
        <c:title>
          <c:tx>
            <c:rich>
              <a:bodyPr rot="-5400000" vert="horz"/>
              <a:lstStyle/>
              <a:p>
                <a:pPr>
                  <a:defRPr/>
                </a:pPr>
                <a:r>
                  <a:rPr lang="en-US"/>
                  <a:t>EG (toneladas de CO</a:t>
                </a:r>
                <a:r>
                  <a:rPr lang="en-US" baseline="-25000"/>
                  <a:t>2</a:t>
                </a:r>
                <a:r>
                  <a:rPr lang="en-US"/>
                  <a:t>e)</a:t>
                </a:r>
              </a:p>
            </c:rich>
          </c:tx>
          <c:overlay val="0"/>
        </c:title>
        <c:numFmt formatCode="#,##0" sourceLinked="1"/>
        <c:majorTickMark val="out"/>
        <c:minorTickMark val="none"/>
        <c:tickLblPos val="nextTo"/>
        <c:crossAx val="135121920"/>
        <c:crosses val="autoZero"/>
        <c:crossBetween val="between"/>
      </c:valAx>
    </c:plotArea>
    <c:legend>
      <c:legendPos val="r"/>
      <c:layout>
        <c:manualLayout>
          <c:xMode val="edge"/>
          <c:yMode val="edge"/>
          <c:x val="0.79037240872674486"/>
          <c:y val="0.31566361797441955"/>
          <c:w val="0.19509534924391339"/>
          <c:h val="0.14225726481363668"/>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chemeClr val="bg1">
                <a:lumMod val="85000"/>
              </a:schemeClr>
            </a:solidFill>
            <a:ln>
              <a:solidFill>
                <a:schemeClr val="tx1"/>
              </a:solidFill>
            </a:ln>
          </c:spPr>
          <c:invertIfNegative val="0"/>
          <c:dLbls>
            <c:dLbl>
              <c:idx val="0"/>
              <c:layout>
                <c:manualLayout>
                  <c:x val="0"/>
                  <c:y val="-0.19907407407407407"/>
                </c:manualLayout>
              </c:layout>
              <c:tx>
                <c:rich>
                  <a:bodyPr/>
                  <a:lstStyle/>
                  <a:p>
                    <a:r>
                      <a:rPr lang="en-US" b="1"/>
                      <a:t>636.088</a:t>
                    </a:r>
                    <a:br>
                      <a:rPr lang="en-US" b="1"/>
                    </a:br>
                    <a:r>
                      <a:rPr lang="en-US" b="1"/>
                      <a:t>27,2%</a:t>
                    </a:r>
                  </a:p>
                </c:rich>
              </c:tx>
              <c:showLegendKey val="0"/>
              <c:showVal val="1"/>
              <c:showCatName val="0"/>
              <c:showSerName val="0"/>
              <c:showPercent val="0"/>
              <c:showBubbleSize val="0"/>
            </c:dLbl>
            <c:dLbl>
              <c:idx val="1"/>
              <c:layout>
                <c:manualLayout>
                  <c:x val="0.11944444444444445"/>
                  <c:y val="-0.28240740740740738"/>
                </c:manualLayout>
              </c:layout>
              <c:tx>
                <c:rich>
                  <a:bodyPr/>
                  <a:lstStyle/>
                  <a:p>
                    <a:r>
                      <a:rPr lang="en-US" b="1"/>
                      <a:t>1.670.019</a:t>
                    </a:r>
                    <a:br>
                      <a:rPr lang="en-US" b="1"/>
                    </a:br>
                    <a:r>
                      <a:rPr lang="en-US" b="1"/>
                      <a:t>71,4%</a:t>
                    </a:r>
                  </a:p>
                </c:rich>
              </c:tx>
              <c:showLegendKey val="0"/>
              <c:showVal val="1"/>
              <c:showCatName val="0"/>
              <c:showSerName val="0"/>
              <c:showPercent val="0"/>
              <c:showBubbleSize val="0"/>
            </c:dLbl>
            <c:dLbl>
              <c:idx val="2"/>
              <c:layout>
                <c:manualLayout>
                  <c:x val="0"/>
                  <c:y val="-7.407407407407407E-2"/>
                </c:manualLayout>
              </c:layout>
              <c:tx>
                <c:rich>
                  <a:bodyPr/>
                  <a:lstStyle/>
                  <a:p>
                    <a:r>
                      <a:rPr lang="en-US"/>
                      <a:t>843</a:t>
                    </a:r>
                    <a:br>
                      <a:rPr lang="en-US"/>
                    </a:br>
                    <a:r>
                      <a:rPr lang="en-US"/>
                      <a:t>0,1%</a:t>
                    </a:r>
                  </a:p>
                </c:rich>
              </c:tx>
              <c:showLegendKey val="0"/>
              <c:showVal val="1"/>
              <c:showCatName val="0"/>
              <c:showSerName val="0"/>
              <c:showPercent val="0"/>
              <c:showBubbleSize val="0"/>
            </c:dLbl>
            <c:dLbl>
              <c:idx val="3"/>
              <c:layout>
                <c:manualLayout>
                  <c:x val="0"/>
                  <c:y val="-7.8703703703703706E-2"/>
                </c:manualLayout>
              </c:layout>
              <c:tx>
                <c:rich>
                  <a:bodyPr/>
                  <a:lstStyle/>
                  <a:p>
                    <a:r>
                      <a:rPr lang="en-US"/>
                      <a:t>30.884</a:t>
                    </a:r>
                    <a:br>
                      <a:rPr lang="en-US"/>
                    </a:br>
                    <a:r>
                      <a:rPr lang="en-US"/>
                      <a:t>1,3%</a:t>
                    </a:r>
                  </a:p>
                </c:rich>
              </c:tx>
              <c:showLegendKey val="0"/>
              <c:showVal val="1"/>
              <c:showCatName val="0"/>
              <c:showSerName val="0"/>
              <c:showPercent val="0"/>
              <c:showBubbleSize val="0"/>
            </c:dLbl>
            <c:txPr>
              <a:bodyPr/>
              <a:lstStyle/>
              <a:p>
                <a:pPr>
                  <a:defRPr b="1"/>
                </a:pPr>
                <a:endParaRPr lang="pt-BR"/>
              </a:p>
            </c:txPr>
            <c:showLegendKey val="0"/>
            <c:showVal val="1"/>
            <c:showCatName val="0"/>
            <c:showSerName val="0"/>
            <c:showPercent val="0"/>
            <c:showBubbleSize val="0"/>
            <c:showLeaderLines val="0"/>
          </c:dLbls>
          <c:cat>
            <c:strRef>
              <c:f>para_graficos!$BE$249:$BE$252</c:f>
              <c:strCache>
                <c:ptCount val="4"/>
                <c:pt idx="0">
                  <c:v>óleo diesel</c:v>
                </c:pt>
                <c:pt idx="1">
                  <c:v>gasolina</c:v>
                </c:pt>
                <c:pt idx="2">
                  <c:v>etanol</c:v>
                </c:pt>
                <c:pt idx="3">
                  <c:v>GNV ou GNC aumomotivo</c:v>
                </c:pt>
              </c:strCache>
            </c:strRef>
          </c:cat>
          <c:val>
            <c:numRef>
              <c:f>para_graficos!$AI$249:$AI$252</c:f>
              <c:numCache>
                <c:formatCode>#,##0</c:formatCode>
                <c:ptCount val="4"/>
                <c:pt idx="0">
                  <c:v>636088.27732513077</c:v>
                </c:pt>
                <c:pt idx="1">
                  <c:v>1670018.8341378185</c:v>
                </c:pt>
                <c:pt idx="2">
                  <c:v>843.44652215528049</c:v>
                </c:pt>
                <c:pt idx="3">
                  <c:v>30883.91215360464</c:v>
                </c:pt>
              </c:numCache>
            </c:numRef>
          </c:val>
        </c:ser>
        <c:dLbls>
          <c:showLegendKey val="0"/>
          <c:showVal val="1"/>
          <c:showCatName val="0"/>
          <c:showSerName val="0"/>
          <c:showPercent val="0"/>
          <c:showBubbleSize val="0"/>
        </c:dLbls>
        <c:gapWidth val="150"/>
        <c:overlap val="100"/>
        <c:axId val="135157248"/>
        <c:axId val="135168384"/>
      </c:barChart>
      <c:catAx>
        <c:axId val="135157248"/>
        <c:scaling>
          <c:orientation val="minMax"/>
        </c:scaling>
        <c:delete val="0"/>
        <c:axPos val="b"/>
        <c:majorTickMark val="out"/>
        <c:minorTickMark val="none"/>
        <c:tickLblPos val="nextTo"/>
        <c:crossAx val="135168384"/>
        <c:crosses val="autoZero"/>
        <c:auto val="1"/>
        <c:lblAlgn val="ctr"/>
        <c:lblOffset val="100"/>
        <c:noMultiLvlLbl val="0"/>
      </c:catAx>
      <c:valAx>
        <c:axId val="135168384"/>
        <c:scaling>
          <c:orientation val="minMax"/>
        </c:scaling>
        <c:delete val="0"/>
        <c:axPos val="l"/>
        <c:title>
          <c:tx>
            <c:rich>
              <a:bodyPr rot="-5400000" vert="horz"/>
              <a:lstStyle/>
              <a:p>
                <a:pPr>
                  <a:defRPr/>
                </a:pPr>
                <a:r>
                  <a:rPr lang="en-US"/>
                  <a:t>EG (toneladas de CO</a:t>
                </a:r>
                <a:r>
                  <a:rPr lang="en-US" baseline="-25000"/>
                  <a:t>2</a:t>
                </a:r>
                <a:r>
                  <a:rPr lang="en-US"/>
                  <a:t>e)</a:t>
                </a:r>
              </a:p>
            </c:rich>
          </c:tx>
          <c:overlay val="0"/>
        </c:title>
        <c:numFmt formatCode="#,##0" sourceLinked="1"/>
        <c:majorTickMark val="out"/>
        <c:minorTickMark val="none"/>
        <c:tickLblPos val="nextTo"/>
        <c:crossAx val="135157248"/>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85000"/>
              </a:schemeClr>
            </a:solidFill>
            <a:ln>
              <a:solidFill>
                <a:schemeClr val="tx1"/>
              </a:solidFill>
            </a:ln>
          </c:spPr>
          <c:invertIfNegative val="0"/>
          <c:dLbls>
            <c:dLbl>
              <c:idx val="2"/>
              <c:layout>
                <c:manualLayout>
                  <c:x val="-5.0925337632079971E-17"/>
                  <c:y val="8.7962962962962965E-2"/>
                </c:manualLayout>
              </c:layout>
              <c:dLblPos val="outEnd"/>
              <c:showLegendKey val="0"/>
              <c:showVal val="1"/>
              <c:showCatName val="0"/>
              <c:showSerName val="0"/>
              <c:showPercent val="0"/>
              <c:showBubbleSize val="0"/>
            </c:dLbl>
            <c:dLbl>
              <c:idx val="3"/>
              <c:layout>
                <c:manualLayout>
                  <c:x val="0"/>
                  <c:y val="0.17592592592592585"/>
                </c:manualLayout>
              </c:layout>
              <c:dLblPos val="outEnd"/>
              <c:showLegendKey val="0"/>
              <c:showVal val="1"/>
              <c:showCatName val="0"/>
              <c:showSerName val="0"/>
              <c:showPercent val="0"/>
              <c:showBubbleSize val="0"/>
            </c:dLbl>
            <c:dLbl>
              <c:idx val="4"/>
              <c:layout>
                <c:manualLayout>
                  <c:x val="0"/>
                  <c:y val="0.34722222222222215"/>
                </c:manualLayout>
              </c:layout>
              <c:dLblPos val="outEnd"/>
              <c:showLegendKey val="0"/>
              <c:showVal val="1"/>
              <c:showCatName val="0"/>
              <c:showSerName val="0"/>
              <c:showPercent val="0"/>
              <c:showBubbleSize val="0"/>
            </c:dLbl>
            <c:dLbl>
              <c:idx val="5"/>
              <c:layout>
                <c:manualLayout>
                  <c:x val="0"/>
                  <c:y val="0.20833333333333343"/>
                </c:manualLayout>
              </c:layout>
              <c:dLblPos val="outEnd"/>
              <c:showLegendKey val="0"/>
              <c:showVal val="1"/>
              <c:showCatName val="0"/>
              <c:showSerName val="0"/>
              <c:showPercent val="0"/>
              <c:showBubbleSize val="0"/>
            </c:dLbl>
            <c:txPr>
              <a:bodyPr/>
              <a:lstStyle/>
              <a:p>
                <a:pPr>
                  <a:defRPr sz="1200" b="1">
                    <a:solidFill>
                      <a:srgbClr val="002060"/>
                    </a:solidFill>
                  </a:defRPr>
                </a:pPr>
                <a:endParaRPr lang="pt-BR"/>
              </a:p>
            </c:txPr>
            <c:dLblPos val="outEnd"/>
            <c:showLegendKey val="0"/>
            <c:showVal val="1"/>
            <c:showCatName val="0"/>
            <c:showSerName val="0"/>
            <c:showPercent val="0"/>
            <c:showBubbleSize val="0"/>
            <c:showLeaderLines val="0"/>
          </c:dLbls>
          <c:cat>
            <c:numRef>
              <c:f>para_graficos!$AD$3:$AI$3</c:f>
              <c:numCache>
                <c:formatCode>General</c:formatCode>
                <c:ptCount val="6"/>
                <c:pt idx="0">
                  <c:v>2008</c:v>
                </c:pt>
                <c:pt idx="1">
                  <c:v>2009</c:v>
                </c:pt>
                <c:pt idx="2">
                  <c:v>2010</c:v>
                </c:pt>
                <c:pt idx="3">
                  <c:v>2011</c:v>
                </c:pt>
                <c:pt idx="4">
                  <c:v>2012</c:v>
                </c:pt>
                <c:pt idx="5">
                  <c:v>2013</c:v>
                </c:pt>
              </c:numCache>
            </c:numRef>
          </c:cat>
          <c:val>
            <c:numRef>
              <c:f>para_graficos!$AD$244:$AI$244</c:f>
              <c:numCache>
                <c:formatCode>0.00%</c:formatCode>
                <c:ptCount val="6"/>
                <c:pt idx="0">
                  <c:v>2.0366789724989627E-2</c:v>
                </c:pt>
                <c:pt idx="1">
                  <c:v>6.4030124426976212E-2</c:v>
                </c:pt>
                <c:pt idx="2">
                  <c:v>-4.0862069957891959E-4</c:v>
                </c:pt>
                <c:pt idx="3">
                  <c:v>-1.3946155684370727E-2</c:v>
                </c:pt>
                <c:pt idx="4">
                  <c:v>-4.0257581151730414E-2</c:v>
                </c:pt>
                <c:pt idx="5">
                  <c:v>-1.3031670474753478E-2</c:v>
                </c:pt>
              </c:numCache>
            </c:numRef>
          </c:val>
        </c:ser>
        <c:dLbls>
          <c:showLegendKey val="0"/>
          <c:showVal val="0"/>
          <c:showCatName val="0"/>
          <c:showSerName val="0"/>
          <c:showPercent val="0"/>
          <c:showBubbleSize val="0"/>
        </c:dLbls>
        <c:gapWidth val="150"/>
        <c:axId val="135266688"/>
        <c:axId val="135268224"/>
      </c:barChart>
      <c:catAx>
        <c:axId val="135266688"/>
        <c:scaling>
          <c:orientation val="minMax"/>
        </c:scaling>
        <c:delete val="0"/>
        <c:axPos val="b"/>
        <c:numFmt formatCode="General" sourceLinked="1"/>
        <c:majorTickMark val="out"/>
        <c:minorTickMark val="none"/>
        <c:tickLblPos val="nextTo"/>
        <c:txPr>
          <a:bodyPr rot="0" vert="horz"/>
          <a:lstStyle/>
          <a:p>
            <a:pPr>
              <a:defRPr sz="900"/>
            </a:pPr>
            <a:endParaRPr lang="pt-BR"/>
          </a:p>
        </c:txPr>
        <c:crossAx val="135268224"/>
        <c:crosses val="autoZero"/>
        <c:auto val="1"/>
        <c:lblAlgn val="ctr"/>
        <c:lblOffset val="100"/>
        <c:noMultiLvlLbl val="0"/>
      </c:catAx>
      <c:valAx>
        <c:axId val="135268224"/>
        <c:scaling>
          <c:orientation val="minMax"/>
        </c:scaling>
        <c:delete val="0"/>
        <c:axPos val="l"/>
        <c:numFmt formatCode="0.00%" sourceLinked="1"/>
        <c:majorTickMark val="out"/>
        <c:minorTickMark val="none"/>
        <c:tickLblPos val="nextTo"/>
        <c:crossAx val="135266688"/>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v>gap</c:v>
          </c:tx>
          <c:spPr>
            <a:solidFill>
              <a:schemeClr val="bg1">
                <a:lumMod val="85000"/>
              </a:schemeClr>
            </a:solidFill>
            <a:ln>
              <a:solidFill>
                <a:schemeClr val="tx1">
                  <a:lumMod val="65000"/>
                  <a:lumOff val="35000"/>
                </a:schemeClr>
              </a:solidFill>
            </a:ln>
          </c:spPr>
          <c:invertIfNegative val="0"/>
          <c:dLbls>
            <c:txPr>
              <a:bodyPr/>
              <a:lstStyle/>
              <a:p>
                <a:pPr>
                  <a:defRPr sz="1200" b="1" i="0">
                    <a:solidFill>
                      <a:srgbClr val="002060"/>
                    </a:solidFill>
                  </a:defRPr>
                </a:pPr>
                <a:endParaRPr lang="pt-BR"/>
              </a:p>
            </c:txPr>
            <c:dLblPos val="outEnd"/>
            <c:showLegendKey val="0"/>
            <c:showVal val="1"/>
            <c:showCatName val="0"/>
            <c:showSerName val="0"/>
            <c:showPercent val="0"/>
            <c:showBubbleSize val="0"/>
            <c:showLeaderLines val="0"/>
          </c:dLbls>
          <c:cat>
            <c:numRef>
              <c:f>para_graficos!$AD$3:$AI$3</c:f>
              <c:numCache>
                <c:formatCode>General</c:formatCode>
                <c:ptCount val="6"/>
                <c:pt idx="0">
                  <c:v>2008</c:v>
                </c:pt>
                <c:pt idx="1">
                  <c:v>2009</c:v>
                </c:pt>
                <c:pt idx="2">
                  <c:v>2010</c:v>
                </c:pt>
                <c:pt idx="3">
                  <c:v>2011</c:v>
                </c:pt>
                <c:pt idx="4">
                  <c:v>2012</c:v>
                </c:pt>
                <c:pt idx="5">
                  <c:v>2013</c:v>
                </c:pt>
              </c:numCache>
            </c:numRef>
          </c:cat>
          <c:val>
            <c:numRef>
              <c:f>para_graficos!$AD$240:$AI$240</c:f>
              <c:numCache>
                <c:formatCode>0.00%</c:formatCode>
                <c:ptCount val="6"/>
                <c:pt idx="0">
                  <c:v>-1.7165859522743906E-2</c:v>
                </c:pt>
                <c:pt idx="1">
                  <c:v>2.8832186078485977E-2</c:v>
                </c:pt>
                <c:pt idx="2">
                  <c:v>1.0129009829907218E-3</c:v>
                </c:pt>
                <c:pt idx="3">
                  <c:v>-6.083243788924316E-3</c:v>
                </c:pt>
                <c:pt idx="4">
                  <c:v>-2.7344697627649146E-2</c:v>
                </c:pt>
                <c:pt idx="5">
                  <c:v>-2.1865763988891198E-2</c:v>
                </c:pt>
              </c:numCache>
            </c:numRef>
          </c:val>
        </c:ser>
        <c:dLbls>
          <c:showLegendKey val="0"/>
          <c:showVal val="0"/>
          <c:showCatName val="0"/>
          <c:showSerName val="0"/>
          <c:showPercent val="0"/>
          <c:showBubbleSize val="0"/>
        </c:dLbls>
        <c:gapWidth val="150"/>
        <c:axId val="135284224"/>
        <c:axId val="135285760"/>
      </c:barChart>
      <c:catAx>
        <c:axId val="135284224"/>
        <c:scaling>
          <c:orientation val="minMax"/>
        </c:scaling>
        <c:delete val="0"/>
        <c:axPos val="b"/>
        <c:numFmt formatCode="General" sourceLinked="1"/>
        <c:majorTickMark val="out"/>
        <c:minorTickMark val="none"/>
        <c:tickLblPos val="nextTo"/>
        <c:txPr>
          <a:bodyPr/>
          <a:lstStyle/>
          <a:p>
            <a:pPr>
              <a:defRPr sz="900"/>
            </a:pPr>
            <a:endParaRPr lang="pt-BR"/>
          </a:p>
        </c:txPr>
        <c:crossAx val="135285760"/>
        <c:crosses val="autoZero"/>
        <c:auto val="1"/>
        <c:lblAlgn val="ctr"/>
        <c:lblOffset val="100"/>
        <c:noMultiLvlLbl val="0"/>
      </c:catAx>
      <c:valAx>
        <c:axId val="135285760"/>
        <c:scaling>
          <c:orientation val="minMax"/>
        </c:scaling>
        <c:delete val="0"/>
        <c:axPos val="l"/>
        <c:numFmt formatCode="0.00%" sourceLinked="1"/>
        <c:majorTickMark val="out"/>
        <c:minorTickMark val="none"/>
        <c:tickLblPos val="nextTo"/>
        <c:crossAx val="135284224"/>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BH</c:v>
          </c:tx>
          <c:spPr>
            <a:ln w="19050">
              <a:solidFill>
                <a:schemeClr val="tx1">
                  <a:lumMod val="50000"/>
                  <a:lumOff val="50000"/>
                </a:schemeClr>
              </a:solidFill>
            </a:ln>
          </c:spPr>
          <c:marker>
            <c:symbol val="circle"/>
            <c:size val="7"/>
            <c:spPr>
              <a:solidFill>
                <a:schemeClr val="tx2">
                  <a:lumMod val="60000"/>
                  <a:lumOff val="40000"/>
                </a:schemeClr>
              </a:solidFill>
              <a:ln>
                <a:solidFill>
                  <a:schemeClr val="tx1">
                    <a:lumMod val="85000"/>
                    <a:lumOff val="15000"/>
                  </a:schemeClr>
                </a:solidFill>
              </a:ln>
            </c:spPr>
          </c:marker>
          <c:dLbls>
            <c:dLbl>
              <c:idx val="0"/>
              <c:layout>
                <c:manualLayout>
                  <c:x val="-2.8500808567174955E-2"/>
                  <c:y val="4.3037963244502944E-2"/>
                </c:manualLayout>
              </c:layout>
              <c:tx>
                <c:rich>
                  <a:bodyPr/>
                  <a:lstStyle/>
                  <a:p>
                    <a:pPr>
                      <a:defRPr b="1">
                        <a:solidFill>
                          <a:sysClr val="windowText" lastClr="000000"/>
                        </a:solidFill>
                      </a:defRPr>
                    </a:pPr>
                    <a:r>
                      <a:rPr lang="en-US">
                        <a:solidFill>
                          <a:sysClr val="windowText" lastClr="000000"/>
                        </a:solidFill>
                      </a:rPr>
                      <a:t>13(nr)</a:t>
                    </a:r>
                  </a:p>
                </c:rich>
              </c:tx>
              <c:numFmt formatCode="#,##0" sourceLinked="0"/>
              <c:spPr>
                <a:solidFill>
                  <a:sysClr val="window" lastClr="FFFFFF"/>
                </a:solidFill>
              </c:spPr>
              <c:dLblPos val="r"/>
              <c:showLegendKey val="0"/>
              <c:showVal val="1"/>
              <c:showCatName val="0"/>
              <c:showSerName val="0"/>
              <c:showPercent val="0"/>
              <c:showBubbleSize val="0"/>
            </c:dLbl>
            <c:dLbl>
              <c:idx val="4"/>
              <c:layout>
                <c:manualLayout>
                  <c:x val="-2.295973179592993E-2"/>
                  <c:y val="-3.4599146922051384E-2"/>
                </c:manualLayout>
              </c:layout>
              <c:tx>
                <c:rich>
                  <a:bodyPr/>
                  <a:lstStyle/>
                  <a:p>
                    <a:pPr>
                      <a:defRPr b="1">
                        <a:solidFill>
                          <a:sysClr val="windowText" lastClr="000000"/>
                        </a:solidFill>
                      </a:defRPr>
                    </a:pPr>
                    <a:r>
                      <a:rPr lang="en-US">
                        <a:solidFill>
                          <a:sysClr val="windowText" lastClr="000000"/>
                        </a:solidFill>
                      </a:rPr>
                      <a:t>29(nr)</a:t>
                    </a:r>
                  </a:p>
                </c:rich>
              </c:tx>
              <c:numFmt formatCode="#,##0" sourceLinked="0"/>
              <c:spPr/>
              <c:dLblPos val="r"/>
              <c:showLegendKey val="0"/>
              <c:showVal val="1"/>
              <c:showCatName val="0"/>
              <c:showSerName val="0"/>
              <c:showPercent val="0"/>
              <c:showBubbleSize val="0"/>
            </c:dLbl>
            <c:dLbl>
              <c:idx val="9"/>
              <c:layout>
                <c:manualLayout>
                  <c:x val="-2.4900537526777771E-2"/>
                  <c:y val="4.6413489773483564E-2"/>
                </c:manualLayout>
              </c:layout>
              <c:tx>
                <c:rich>
                  <a:bodyPr/>
                  <a:lstStyle/>
                  <a:p>
                    <a:pPr>
                      <a:defRPr b="1">
                        <a:solidFill>
                          <a:sysClr val="windowText" lastClr="000000"/>
                        </a:solidFill>
                      </a:defRPr>
                    </a:pPr>
                    <a:r>
                      <a:rPr lang="en-US">
                        <a:solidFill>
                          <a:sysClr val="windowText" lastClr="000000"/>
                        </a:solidFill>
                      </a:rPr>
                      <a:t>28(nr)</a:t>
                    </a:r>
                  </a:p>
                </c:rich>
              </c:tx>
              <c:numFmt formatCode="#,##0" sourceLinked="0"/>
              <c:spPr/>
              <c:dLblPos val="r"/>
              <c:showLegendKey val="0"/>
              <c:showVal val="1"/>
              <c:showCatName val="0"/>
              <c:showSerName val="0"/>
              <c:showPercent val="0"/>
              <c:showBubbleSize val="0"/>
            </c:dLbl>
            <c:dLbl>
              <c:idx val="10"/>
              <c:layout>
                <c:manualLayout>
                  <c:x val="-2.295973179592993E-2"/>
                  <c:y val="4.6413489773483564E-2"/>
                </c:manualLayout>
              </c:layout>
              <c:tx>
                <c:rich>
                  <a:bodyPr/>
                  <a:lstStyle/>
                  <a:p>
                    <a:pPr>
                      <a:defRPr b="1">
                        <a:solidFill>
                          <a:sysClr val="windowText" lastClr="000000"/>
                        </a:solidFill>
                      </a:defRPr>
                    </a:pPr>
                    <a:r>
                      <a:rPr lang="en-US"/>
                      <a:t>31(nr)</a:t>
                    </a:r>
                  </a:p>
                </c:rich>
              </c:tx>
              <c:numFmt formatCode="#,##0" sourceLinked="0"/>
              <c:spPr/>
              <c:dLblPos val="r"/>
              <c:showLegendKey val="0"/>
              <c:showVal val="1"/>
              <c:showCatName val="0"/>
              <c:showSerName val="0"/>
              <c:showPercent val="0"/>
              <c:showBubbleSize val="0"/>
            </c:dLbl>
            <c:dLbl>
              <c:idx val="11"/>
              <c:layout>
                <c:manualLayout>
                  <c:x val="-3.4604566181016962E-2"/>
                  <c:y val="-6.2447240786141521E-2"/>
                </c:manualLayout>
              </c:layout>
              <c:tx>
                <c:rich>
                  <a:bodyPr/>
                  <a:lstStyle/>
                  <a:p>
                    <a:pPr>
                      <a:defRPr b="1">
                        <a:solidFill>
                          <a:sysClr val="windowText" lastClr="000000"/>
                        </a:solidFill>
                      </a:defRPr>
                    </a:pPr>
                    <a:r>
                      <a:rPr lang="en-US"/>
                      <a:t>52</a:t>
                    </a:r>
                  </a:p>
                  <a:p>
                    <a:pPr>
                      <a:defRPr b="1">
                        <a:solidFill>
                          <a:sysClr val="windowText" lastClr="000000"/>
                        </a:solidFill>
                      </a:defRPr>
                    </a:pPr>
                    <a:r>
                      <a:rPr lang="en-US"/>
                      <a:t>(nr)</a:t>
                    </a:r>
                  </a:p>
                </c:rich>
              </c:tx>
              <c:numFmt formatCode="#,##0" sourceLinked="0"/>
              <c:spPr/>
              <c:dLblPos val="r"/>
              <c:showLegendKey val="0"/>
              <c:showVal val="1"/>
              <c:showCatName val="0"/>
              <c:showSerName val="0"/>
              <c:showPercent val="0"/>
              <c:showBubbleSize val="0"/>
            </c:dLbl>
            <c:numFmt formatCode="#,##0" sourceLinked="0"/>
            <c:txPr>
              <a:bodyPr/>
              <a:lstStyle/>
              <a:p>
                <a:pPr>
                  <a:defRPr b="1"/>
                </a:pPr>
                <a:endParaRPr lang="pt-BR"/>
              </a:p>
            </c:txPr>
            <c:dLblPos val="b"/>
            <c:showLegendKey val="0"/>
            <c:showVal val="1"/>
            <c:showCatName val="0"/>
            <c:showSerName val="0"/>
            <c:showPercent val="0"/>
            <c:showBubbleSize val="0"/>
            <c:showLeaderLines val="0"/>
          </c:dLbls>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(para_graficos!$U$630,para_graficos!$W$630:$AI$630)</c:f>
              <c:numCache>
                <c:formatCode>General</c:formatCode>
                <c:ptCount val="14"/>
                <c:pt idx="0">
                  <c:v>13.2</c:v>
                </c:pt>
                <c:pt idx="1">
                  <c:v>21.3</c:v>
                </c:pt>
                <c:pt idx="2" formatCode="0.0">
                  <c:v>25.6</c:v>
                </c:pt>
                <c:pt idx="3" formatCode="0.0">
                  <c:v>38.9</c:v>
                </c:pt>
                <c:pt idx="4" formatCode="0.0">
                  <c:v>28.6</c:v>
                </c:pt>
                <c:pt idx="5" formatCode="0.0">
                  <c:v>21.5</c:v>
                </c:pt>
                <c:pt idx="6" formatCode="0.0">
                  <c:v>25.9</c:v>
                </c:pt>
                <c:pt idx="7" formatCode="0.0">
                  <c:v>26.1</c:v>
                </c:pt>
                <c:pt idx="8" formatCode="0.0">
                  <c:v>27.8</c:v>
                </c:pt>
                <c:pt idx="9" formatCode="0.0">
                  <c:v>28</c:v>
                </c:pt>
                <c:pt idx="10" formatCode="0.0">
                  <c:v>31.3</c:v>
                </c:pt>
                <c:pt idx="11" formatCode="0.0">
                  <c:v>51.7</c:v>
                </c:pt>
                <c:pt idx="12">
                  <c:v>30.4</c:v>
                </c:pt>
              </c:numCache>
            </c:numRef>
          </c:val>
          <c:smooth val="1"/>
        </c:ser>
        <c:ser>
          <c:idx val="1"/>
          <c:order val="1"/>
          <c:tx>
            <c:v>padrão Conama (50µg/m3)</c:v>
          </c:tx>
          <c:spPr>
            <a:ln>
              <a:solidFill>
                <a:schemeClr val="tx1">
                  <a:lumMod val="75000"/>
                  <a:lumOff val="25000"/>
                </a:schemeClr>
              </a:solidFill>
              <a:prstDash val="sysDot"/>
            </a:ln>
          </c:spPr>
          <c:marker>
            <c:symbol val="none"/>
          </c:marker>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(para_graficos!$U$623,para_graficos!$W$623:$AI$623)</c:f>
              <c:numCache>
                <c:formatCode>General</c:formatCode>
                <c:ptCount val="1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numCache>
            </c:numRef>
          </c:val>
          <c:smooth val="0"/>
        </c:ser>
        <c:ser>
          <c:idx val="2"/>
          <c:order val="2"/>
          <c:tx>
            <c:v>recomendação OMS (20µg/m3)</c:v>
          </c:tx>
          <c:spPr>
            <a:ln>
              <a:solidFill>
                <a:schemeClr val="tx1">
                  <a:lumMod val="75000"/>
                  <a:lumOff val="25000"/>
                </a:schemeClr>
              </a:solidFill>
              <a:prstDash val="dash"/>
            </a:ln>
          </c:spPr>
          <c:marker>
            <c:symbol val="none"/>
          </c:marker>
          <c:cat>
            <c:numRef>
              <c:f>(para_graficos!$U$3,para_graficos!$W$3:$AI$3)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(para_graficos!$U$624,para_graficos!$W$624:$AI$624)</c:f>
              <c:numCache>
                <c:formatCode>General</c:formatCode>
                <c:ptCount val="14"/>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numCache>
            </c:numRef>
          </c:val>
          <c:smooth val="0"/>
        </c:ser>
        <c:dLbls>
          <c:showLegendKey val="0"/>
          <c:showVal val="0"/>
          <c:showCatName val="0"/>
          <c:showSerName val="0"/>
          <c:showPercent val="0"/>
          <c:showBubbleSize val="0"/>
        </c:dLbls>
        <c:marker val="1"/>
        <c:smooth val="0"/>
        <c:axId val="134867584"/>
        <c:axId val="108413312"/>
      </c:lineChart>
      <c:catAx>
        <c:axId val="134867584"/>
        <c:scaling>
          <c:orientation val="minMax"/>
        </c:scaling>
        <c:delete val="0"/>
        <c:axPos val="b"/>
        <c:numFmt formatCode="General" sourceLinked="1"/>
        <c:majorTickMark val="out"/>
        <c:minorTickMark val="none"/>
        <c:tickLblPos val="nextTo"/>
        <c:crossAx val="108413312"/>
        <c:crosses val="autoZero"/>
        <c:auto val="1"/>
        <c:lblAlgn val="ctr"/>
        <c:lblOffset val="100"/>
        <c:noMultiLvlLbl val="0"/>
      </c:catAx>
      <c:valAx>
        <c:axId val="108413312"/>
        <c:scaling>
          <c:orientation val="minMax"/>
        </c:scaling>
        <c:delete val="0"/>
        <c:axPos val="l"/>
        <c:title>
          <c:tx>
            <c:rich>
              <a:bodyPr rot="-5400000" vert="horz"/>
              <a:lstStyle/>
              <a:p>
                <a:pPr>
                  <a:defRPr/>
                </a:pPr>
                <a:r>
                  <a:rPr lang="en-US"/>
                  <a:t>PM 10 média (µg/m3)</a:t>
                </a:r>
              </a:p>
            </c:rich>
          </c:tx>
          <c:overlay val="0"/>
        </c:title>
        <c:numFmt formatCode="General" sourceLinked="1"/>
        <c:majorTickMark val="out"/>
        <c:minorTickMark val="none"/>
        <c:tickLblPos val="nextTo"/>
        <c:crossAx val="134867584"/>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85000"/>
              </a:schemeClr>
            </a:solidFill>
            <a:ln>
              <a:solidFill>
                <a:schemeClr val="tx1">
                  <a:lumMod val="85000"/>
                  <a:lumOff val="15000"/>
                </a:schemeClr>
              </a:solidFill>
            </a:ln>
          </c:spPr>
          <c:invertIfNegative val="0"/>
          <c:dPt>
            <c:idx val="4"/>
            <c:invertIfNegative val="0"/>
            <c:bubble3D val="0"/>
            <c:spPr>
              <a:solidFill>
                <a:schemeClr val="bg1">
                  <a:lumMod val="50000"/>
                </a:schemeClr>
              </a:solidFill>
              <a:ln>
                <a:solidFill>
                  <a:schemeClr val="tx1">
                    <a:lumMod val="85000"/>
                    <a:lumOff val="15000"/>
                  </a:schemeClr>
                </a:solidFill>
              </a:ln>
            </c:spPr>
          </c:dPt>
          <c:dPt>
            <c:idx val="5"/>
            <c:invertIfNegative val="0"/>
            <c:bubble3D val="0"/>
            <c:spPr>
              <a:solidFill>
                <a:schemeClr val="bg1">
                  <a:lumMod val="50000"/>
                </a:schemeClr>
              </a:solidFill>
              <a:ln>
                <a:solidFill>
                  <a:schemeClr val="tx1">
                    <a:lumMod val="85000"/>
                    <a:lumOff val="15000"/>
                  </a:schemeClr>
                </a:solidFill>
              </a:ln>
            </c:spPr>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spPr>
              <a:solidFill>
                <a:schemeClr val="bg1">
                  <a:lumMod val="50000"/>
                </a:schemeClr>
              </a:solidFill>
              <a:ln>
                <a:solidFill>
                  <a:schemeClr val="tx1">
                    <a:lumMod val="85000"/>
                    <a:lumOff val="15000"/>
                  </a:schemeClr>
                </a:solidFill>
              </a:ln>
            </c:spPr>
          </c:dPt>
          <c:dPt>
            <c:idx val="13"/>
            <c:invertIfNegative val="0"/>
            <c:bubble3D val="0"/>
            <c:spPr>
              <a:solidFill>
                <a:schemeClr val="bg1">
                  <a:lumMod val="50000"/>
                </a:schemeClr>
              </a:solidFill>
              <a:ln>
                <a:solidFill>
                  <a:schemeClr val="tx1">
                    <a:lumMod val="85000"/>
                    <a:lumOff val="15000"/>
                  </a:schemeClr>
                </a:solidFill>
              </a:ln>
            </c:spPr>
          </c:dPt>
          <c:dPt>
            <c:idx val="14"/>
            <c:invertIfNegative val="0"/>
            <c:bubble3D val="0"/>
            <c:spPr>
              <a:solidFill>
                <a:schemeClr val="bg1">
                  <a:lumMod val="50000"/>
                </a:schemeClr>
              </a:solidFill>
              <a:ln>
                <a:solidFill>
                  <a:schemeClr val="tx1">
                    <a:lumMod val="85000"/>
                    <a:lumOff val="15000"/>
                  </a:schemeClr>
                </a:solidFill>
              </a:ln>
            </c:spPr>
          </c:dPt>
          <c:dPt>
            <c:idx val="15"/>
            <c:invertIfNegative val="0"/>
            <c:bubble3D val="0"/>
            <c:spPr>
              <a:solidFill>
                <a:schemeClr val="bg1">
                  <a:lumMod val="50000"/>
                </a:schemeClr>
              </a:solidFill>
              <a:ln>
                <a:solidFill>
                  <a:schemeClr val="tx1">
                    <a:lumMod val="85000"/>
                    <a:lumOff val="15000"/>
                  </a:schemeClr>
                </a:solidFill>
              </a:ln>
            </c:spPr>
          </c:dPt>
          <c:dPt>
            <c:idx val="19"/>
            <c:invertIfNegative val="0"/>
            <c:bubble3D val="0"/>
          </c:dPt>
          <c:dPt>
            <c:idx val="20"/>
            <c:invertIfNegative val="0"/>
            <c:bubble3D val="0"/>
          </c:dPt>
          <c:dPt>
            <c:idx val="21"/>
            <c:invertIfNegative val="0"/>
            <c:bubble3D val="0"/>
          </c:dPt>
          <c:dPt>
            <c:idx val="23"/>
            <c:invertIfNegative val="0"/>
            <c:bubble3D val="0"/>
            <c:spPr>
              <a:solidFill>
                <a:schemeClr val="bg1">
                  <a:lumMod val="50000"/>
                </a:schemeClr>
              </a:solidFill>
              <a:ln>
                <a:solidFill>
                  <a:schemeClr val="tx1">
                    <a:lumMod val="85000"/>
                    <a:lumOff val="15000"/>
                  </a:schemeClr>
                </a:solidFill>
              </a:ln>
            </c:spPr>
          </c:dPt>
          <c:dPt>
            <c:idx val="27"/>
            <c:invertIfNegative val="0"/>
            <c:bubble3D val="0"/>
            <c:spPr>
              <a:solidFill>
                <a:schemeClr val="bg1">
                  <a:lumMod val="50000"/>
                </a:schemeClr>
              </a:solidFill>
              <a:ln>
                <a:solidFill>
                  <a:schemeClr val="tx1">
                    <a:lumMod val="85000"/>
                    <a:lumOff val="15000"/>
                  </a:schemeClr>
                </a:solidFill>
              </a:ln>
            </c:spPr>
          </c:dPt>
          <c:dPt>
            <c:idx val="34"/>
            <c:invertIfNegative val="0"/>
            <c:bubble3D val="0"/>
            <c:spPr>
              <a:solidFill>
                <a:schemeClr val="bg1">
                  <a:lumMod val="50000"/>
                </a:schemeClr>
              </a:solidFill>
              <a:ln>
                <a:solidFill>
                  <a:schemeClr val="tx1">
                    <a:lumMod val="85000"/>
                    <a:lumOff val="15000"/>
                  </a:schemeClr>
                </a:solidFill>
              </a:ln>
            </c:spPr>
          </c:dPt>
          <c:dPt>
            <c:idx val="37"/>
            <c:invertIfNegative val="0"/>
            <c:bubble3D val="0"/>
            <c:spPr>
              <a:solidFill>
                <a:schemeClr val="bg1">
                  <a:lumMod val="50000"/>
                </a:schemeClr>
              </a:solidFill>
              <a:ln>
                <a:solidFill>
                  <a:schemeClr val="tx1">
                    <a:lumMod val="85000"/>
                    <a:lumOff val="15000"/>
                  </a:schemeClr>
                </a:solidFill>
              </a:ln>
            </c:spPr>
          </c:dPt>
          <c:dPt>
            <c:idx val="41"/>
            <c:invertIfNegative val="0"/>
            <c:bubble3D val="0"/>
            <c:spPr>
              <a:solidFill>
                <a:schemeClr val="bg1">
                  <a:lumMod val="50000"/>
                </a:schemeClr>
              </a:solidFill>
              <a:ln>
                <a:solidFill>
                  <a:schemeClr val="tx1">
                    <a:lumMod val="85000"/>
                    <a:lumOff val="15000"/>
                  </a:schemeClr>
                </a:solidFill>
              </a:ln>
            </c:spPr>
          </c:dPt>
          <c:dPt>
            <c:idx val="45"/>
            <c:invertIfNegative val="0"/>
            <c:bubble3D val="0"/>
            <c:spPr>
              <a:solidFill>
                <a:schemeClr val="bg1">
                  <a:lumMod val="50000"/>
                </a:schemeClr>
              </a:solidFill>
              <a:ln>
                <a:solidFill>
                  <a:schemeClr val="tx1">
                    <a:lumMod val="85000"/>
                    <a:lumOff val="15000"/>
                  </a:schemeClr>
                </a:solidFill>
              </a:ln>
            </c:spPr>
          </c:dPt>
          <c:dPt>
            <c:idx val="47"/>
            <c:invertIfNegative val="0"/>
            <c:bubble3D val="0"/>
            <c:spPr>
              <a:solidFill>
                <a:schemeClr val="bg1">
                  <a:lumMod val="50000"/>
                </a:schemeClr>
              </a:solidFill>
              <a:ln>
                <a:solidFill>
                  <a:schemeClr val="tx1">
                    <a:lumMod val="85000"/>
                    <a:lumOff val="15000"/>
                  </a:schemeClr>
                </a:solidFill>
              </a:ln>
            </c:spPr>
          </c:dPt>
          <c:dPt>
            <c:idx val="48"/>
            <c:invertIfNegative val="0"/>
            <c:bubble3D val="0"/>
            <c:spPr>
              <a:solidFill>
                <a:schemeClr val="bg1">
                  <a:lumMod val="50000"/>
                </a:schemeClr>
              </a:solidFill>
              <a:ln>
                <a:solidFill>
                  <a:schemeClr val="tx1">
                    <a:lumMod val="85000"/>
                    <a:lumOff val="15000"/>
                  </a:schemeClr>
                </a:solidFill>
              </a:ln>
            </c:spPr>
          </c:dPt>
          <c:dLbls>
            <c:dLbl>
              <c:idx val="4"/>
              <c:showLegendKey val="0"/>
              <c:showVal val="1"/>
              <c:showCatName val="0"/>
              <c:showSerName val="0"/>
              <c:showPercent val="0"/>
              <c:showBubbleSize val="0"/>
            </c:dLbl>
            <c:dLbl>
              <c:idx val="5"/>
              <c:showLegendKey val="0"/>
              <c:showVal val="1"/>
              <c:showCatName val="0"/>
              <c:showSerName val="0"/>
              <c:showPercent val="0"/>
              <c:showBubbleSize val="0"/>
            </c:dLbl>
            <c:dLbl>
              <c:idx val="12"/>
              <c:showLegendKey val="0"/>
              <c:showVal val="1"/>
              <c:showCatName val="0"/>
              <c:showSerName val="0"/>
              <c:showPercent val="0"/>
              <c:showBubbleSize val="0"/>
            </c:dLbl>
            <c:dLbl>
              <c:idx val="13"/>
              <c:showLegendKey val="0"/>
              <c:showVal val="1"/>
              <c:showCatName val="0"/>
              <c:showSerName val="0"/>
              <c:showPercent val="0"/>
              <c:showBubbleSize val="0"/>
            </c:dLbl>
            <c:dLbl>
              <c:idx val="14"/>
              <c:showLegendKey val="0"/>
              <c:showVal val="1"/>
              <c:showCatName val="0"/>
              <c:showSerName val="0"/>
              <c:showPercent val="0"/>
              <c:showBubbleSize val="0"/>
            </c:dLbl>
            <c:dLbl>
              <c:idx val="15"/>
              <c:showLegendKey val="0"/>
              <c:showVal val="1"/>
              <c:showCatName val="0"/>
              <c:showSerName val="0"/>
              <c:showPercent val="0"/>
              <c:showBubbleSize val="0"/>
            </c:dLbl>
            <c:dLbl>
              <c:idx val="23"/>
              <c:showLegendKey val="0"/>
              <c:showVal val="1"/>
              <c:showCatName val="0"/>
              <c:showSerName val="0"/>
              <c:showPercent val="0"/>
              <c:showBubbleSize val="0"/>
            </c:dLbl>
            <c:dLbl>
              <c:idx val="27"/>
              <c:showLegendKey val="0"/>
              <c:showVal val="1"/>
              <c:showCatName val="0"/>
              <c:showSerName val="0"/>
              <c:showPercent val="0"/>
              <c:showBubbleSize val="0"/>
            </c:dLbl>
            <c:dLbl>
              <c:idx val="34"/>
              <c:showLegendKey val="0"/>
              <c:showVal val="1"/>
              <c:showCatName val="0"/>
              <c:showSerName val="0"/>
              <c:showPercent val="0"/>
              <c:showBubbleSize val="0"/>
            </c:dLbl>
            <c:dLbl>
              <c:idx val="37"/>
              <c:showLegendKey val="0"/>
              <c:showVal val="1"/>
              <c:showCatName val="0"/>
              <c:showSerName val="0"/>
              <c:showPercent val="0"/>
              <c:showBubbleSize val="0"/>
            </c:dLbl>
            <c:dLbl>
              <c:idx val="41"/>
              <c:showLegendKey val="0"/>
              <c:showVal val="1"/>
              <c:showCatName val="0"/>
              <c:showSerName val="0"/>
              <c:showPercent val="0"/>
              <c:showBubbleSize val="0"/>
            </c:dLbl>
            <c:dLbl>
              <c:idx val="45"/>
              <c:showLegendKey val="0"/>
              <c:showVal val="1"/>
              <c:showCatName val="0"/>
              <c:showSerName val="0"/>
              <c:showPercent val="0"/>
              <c:showBubbleSize val="0"/>
            </c:dLbl>
            <c:dLbl>
              <c:idx val="47"/>
              <c:showLegendKey val="0"/>
              <c:showVal val="1"/>
              <c:showCatName val="0"/>
              <c:showSerName val="0"/>
              <c:showPercent val="0"/>
              <c:showBubbleSize val="0"/>
            </c:dLbl>
            <c:dLbl>
              <c:idx val="48"/>
              <c:showLegendKey val="0"/>
              <c:showVal val="1"/>
              <c:showCatName val="0"/>
              <c:showSerName val="0"/>
              <c:showPercent val="0"/>
              <c:showBubbleSize val="0"/>
            </c:dLbl>
            <c:numFmt formatCode="#,##0" sourceLinked="0"/>
            <c:txPr>
              <a:bodyPr/>
              <a:lstStyle/>
              <a:p>
                <a:pPr>
                  <a:defRPr b="1"/>
                </a:pPr>
                <a:endParaRPr lang="pt-BR"/>
              </a:p>
            </c:txPr>
            <c:showLegendKey val="0"/>
            <c:showVal val="0"/>
            <c:showCatName val="0"/>
            <c:showSerName val="0"/>
            <c:showPercent val="0"/>
            <c:showBubbleSize val="0"/>
          </c:dLbls>
          <c:cat>
            <c:strRef>
              <c:f>base_bench!$A$340:$A$390</c:f>
              <c:strCache>
                <c:ptCount val="51"/>
                <c:pt idx="0">
                  <c:v>Salvador</c:v>
                </c:pt>
                <c:pt idx="1">
                  <c:v>Marília</c:v>
                </c:pt>
                <c:pt idx="2">
                  <c:v>Presidente Prudente</c:v>
                </c:pt>
                <c:pt idx="3">
                  <c:v>São José dos Campos</c:v>
                </c:pt>
                <c:pt idx="4">
                  <c:v>Ibirité/B.Piratininga 2013</c:v>
                </c:pt>
                <c:pt idx="5">
                  <c:v>Ibirité/B.Castata 2012</c:v>
                </c:pt>
                <c:pt idx="6">
                  <c:v>Tatuí</c:v>
                </c:pt>
                <c:pt idx="7">
                  <c:v>Jacareí</c:v>
                </c:pt>
                <c:pt idx="8">
                  <c:v>Jundiaí</c:v>
                </c:pt>
                <c:pt idx="9">
                  <c:v>Bauru</c:v>
                </c:pt>
                <c:pt idx="10">
                  <c:v>Grande Vitoria</c:v>
                </c:pt>
                <c:pt idx="11">
                  <c:v>Ribeirão Preto</c:v>
                </c:pt>
                <c:pt idx="12">
                  <c:v>Ibirité/B.Piratininga 2013</c:v>
                </c:pt>
                <c:pt idx="13">
                  <c:v>BH/Pça.Rui Barbosa 2012</c:v>
                </c:pt>
                <c:pt idx="14">
                  <c:v>Betim/Petrovale 2012</c:v>
                </c:pt>
                <c:pt idx="15">
                  <c:v>Ibirité 2011 (ONU)</c:v>
                </c:pt>
                <c:pt idx="16">
                  <c:v>Araucária</c:v>
                </c:pt>
                <c:pt idx="17">
                  <c:v>Araraquara</c:v>
                </c:pt>
                <c:pt idx="18">
                  <c:v>Campinas-Centro</c:v>
                </c:pt>
                <c:pt idx="19">
                  <c:v>Pirassununga</c:v>
                </c:pt>
                <c:pt idx="20">
                  <c:v>Curitiba</c:v>
                </c:pt>
                <c:pt idx="21">
                  <c:v>Paulínia</c:v>
                </c:pt>
                <c:pt idx="22">
                  <c:v>Socoraba</c:v>
                </c:pt>
                <c:pt idx="23">
                  <c:v>Ibirité/B.Castata 2012</c:v>
                </c:pt>
                <c:pt idx="24">
                  <c:v>Jau</c:v>
                </c:pt>
                <c:pt idx="25">
                  <c:v>Americana</c:v>
                </c:pt>
                <c:pt idx="26">
                  <c:v>Carapicuíba</c:v>
                </c:pt>
                <c:pt idx="27">
                  <c:v>Betim/Petrovale 2013</c:v>
                </c:pt>
                <c:pt idx="28">
                  <c:v>Sao Paulo</c:v>
                </c:pt>
                <c:pt idx="29">
                  <c:v>Diadema</c:v>
                </c:pt>
                <c:pt idx="30">
                  <c:v>Mauá</c:v>
                </c:pt>
                <c:pt idx="31">
                  <c:v>São Bernardo do Campo</c:v>
                </c:pt>
                <c:pt idx="32">
                  <c:v>Taboão da Serra</c:v>
                </c:pt>
                <c:pt idx="33">
                  <c:v>Santo André</c:v>
                </c:pt>
                <c:pt idx="34">
                  <c:v>Betim/B.J.Alterosas 2012</c:v>
                </c:pt>
                <c:pt idx="35">
                  <c:v>Catanduva</c:v>
                </c:pt>
                <c:pt idx="36">
                  <c:v>São José do Rio Preto</c:v>
                </c:pt>
                <c:pt idx="37">
                  <c:v>Betim/B.J.Alterosas 2013</c:v>
                </c:pt>
                <c:pt idx="38">
                  <c:v>Araçatuba</c:v>
                </c:pt>
                <c:pt idx="39">
                  <c:v>São Caetano do Sul</c:v>
                </c:pt>
                <c:pt idx="40">
                  <c:v>Piracicaba</c:v>
                </c:pt>
                <c:pt idx="41">
                  <c:v>Betim 2011 (ONU)</c:v>
                </c:pt>
                <c:pt idx="42">
                  <c:v>Osasco</c:v>
                </c:pt>
                <c:pt idx="43">
                  <c:v>Colombo</c:v>
                </c:pt>
                <c:pt idx="44">
                  <c:v>Limeira</c:v>
                </c:pt>
                <c:pt idx="45">
                  <c:v>Betim/Centro Adm. 2013</c:v>
                </c:pt>
                <c:pt idx="46">
                  <c:v>Rio Claro</c:v>
                </c:pt>
                <c:pt idx="47">
                  <c:v>Betim/Centro Adm. 2012</c:v>
                </c:pt>
                <c:pt idx="48">
                  <c:v>BH 2011(ONU)</c:v>
                </c:pt>
                <c:pt idx="49">
                  <c:v>Rio de Janeiro</c:v>
                </c:pt>
                <c:pt idx="50">
                  <c:v>Santa Gertrudes</c:v>
                </c:pt>
              </c:strCache>
            </c:strRef>
          </c:cat>
          <c:val>
            <c:numRef>
              <c:f>base_bench!$B$340:$B$390</c:f>
              <c:numCache>
                <c:formatCode>0.00</c:formatCode>
                <c:ptCount val="51"/>
                <c:pt idx="0">
                  <c:v>17</c:v>
                </c:pt>
                <c:pt idx="1">
                  <c:v>21</c:v>
                </c:pt>
                <c:pt idx="2">
                  <c:v>22</c:v>
                </c:pt>
                <c:pt idx="3">
                  <c:v>23</c:v>
                </c:pt>
                <c:pt idx="4">
                  <c:v>24.2</c:v>
                </c:pt>
                <c:pt idx="5">
                  <c:v>24.6</c:v>
                </c:pt>
                <c:pt idx="6">
                  <c:v>25</c:v>
                </c:pt>
                <c:pt idx="7">
                  <c:v>26</c:v>
                </c:pt>
                <c:pt idx="8">
                  <c:v>29</c:v>
                </c:pt>
                <c:pt idx="9">
                  <c:v>30</c:v>
                </c:pt>
                <c:pt idx="10">
                  <c:v>30</c:v>
                </c:pt>
                <c:pt idx="11">
                  <c:v>30</c:v>
                </c:pt>
                <c:pt idx="12">
                  <c:v>30.2</c:v>
                </c:pt>
                <c:pt idx="13">
                  <c:v>30.4</c:v>
                </c:pt>
                <c:pt idx="14">
                  <c:v>30.6</c:v>
                </c:pt>
                <c:pt idx="15">
                  <c:v>30.7</c:v>
                </c:pt>
                <c:pt idx="16">
                  <c:v>30.909999999999997</c:v>
                </c:pt>
                <c:pt idx="17">
                  <c:v>31</c:v>
                </c:pt>
                <c:pt idx="18">
                  <c:v>31</c:v>
                </c:pt>
                <c:pt idx="19">
                  <c:v>31</c:v>
                </c:pt>
                <c:pt idx="20">
                  <c:v>31.478571428571424</c:v>
                </c:pt>
                <c:pt idx="21">
                  <c:v>32</c:v>
                </c:pt>
                <c:pt idx="22">
                  <c:v>32</c:v>
                </c:pt>
                <c:pt idx="23">
                  <c:v>32.9</c:v>
                </c:pt>
                <c:pt idx="24">
                  <c:v>33</c:v>
                </c:pt>
                <c:pt idx="25">
                  <c:v>34</c:v>
                </c:pt>
                <c:pt idx="26">
                  <c:v>34</c:v>
                </c:pt>
                <c:pt idx="27">
                  <c:v>34.1</c:v>
                </c:pt>
                <c:pt idx="28">
                  <c:v>34.555555555555557</c:v>
                </c:pt>
                <c:pt idx="29">
                  <c:v>35</c:v>
                </c:pt>
                <c:pt idx="30">
                  <c:v>35</c:v>
                </c:pt>
                <c:pt idx="31">
                  <c:v>35</c:v>
                </c:pt>
                <c:pt idx="32">
                  <c:v>35</c:v>
                </c:pt>
                <c:pt idx="33">
                  <c:v>35.5</c:v>
                </c:pt>
                <c:pt idx="34">
                  <c:v>36.5</c:v>
                </c:pt>
                <c:pt idx="35">
                  <c:v>38</c:v>
                </c:pt>
                <c:pt idx="36">
                  <c:v>38</c:v>
                </c:pt>
                <c:pt idx="37">
                  <c:v>38.700000000000003</c:v>
                </c:pt>
                <c:pt idx="38">
                  <c:v>39</c:v>
                </c:pt>
                <c:pt idx="39">
                  <c:v>39</c:v>
                </c:pt>
                <c:pt idx="40">
                  <c:v>41.5</c:v>
                </c:pt>
                <c:pt idx="41">
                  <c:v>42.633333333333333</c:v>
                </c:pt>
                <c:pt idx="42">
                  <c:v>45</c:v>
                </c:pt>
                <c:pt idx="43">
                  <c:v>45.7</c:v>
                </c:pt>
                <c:pt idx="44">
                  <c:v>46</c:v>
                </c:pt>
                <c:pt idx="45">
                  <c:v>49.7</c:v>
                </c:pt>
                <c:pt idx="46">
                  <c:v>50</c:v>
                </c:pt>
                <c:pt idx="47">
                  <c:v>50.6</c:v>
                </c:pt>
                <c:pt idx="48">
                  <c:v>51.7</c:v>
                </c:pt>
                <c:pt idx="49">
                  <c:v>67</c:v>
                </c:pt>
                <c:pt idx="50">
                  <c:v>81</c:v>
                </c:pt>
              </c:numCache>
            </c:numRef>
          </c:val>
        </c:ser>
        <c:dLbls>
          <c:showLegendKey val="0"/>
          <c:showVal val="0"/>
          <c:showCatName val="0"/>
          <c:showSerName val="0"/>
          <c:showPercent val="0"/>
          <c:showBubbleSize val="0"/>
        </c:dLbls>
        <c:gapWidth val="150"/>
        <c:axId val="108456576"/>
        <c:axId val="108458368"/>
      </c:barChart>
      <c:catAx>
        <c:axId val="108456576"/>
        <c:scaling>
          <c:orientation val="minMax"/>
        </c:scaling>
        <c:delete val="0"/>
        <c:axPos val="b"/>
        <c:numFmt formatCode="General" sourceLinked="1"/>
        <c:majorTickMark val="out"/>
        <c:minorTickMark val="none"/>
        <c:tickLblPos val="nextTo"/>
        <c:crossAx val="108458368"/>
        <c:crosses val="autoZero"/>
        <c:auto val="1"/>
        <c:lblAlgn val="ctr"/>
        <c:lblOffset val="100"/>
        <c:noMultiLvlLbl val="0"/>
      </c:catAx>
      <c:valAx>
        <c:axId val="108458368"/>
        <c:scaling>
          <c:orientation val="minMax"/>
        </c:scaling>
        <c:delete val="0"/>
        <c:axPos val="l"/>
        <c:title>
          <c:tx>
            <c:rich>
              <a:bodyPr rot="-5400000" vert="horz"/>
              <a:lstStyle/>
              <a:p>
                <a:pPr>
                  <a:defRPr/>
                </a:pPr>
                <a:r>
                  <a:rPr lang="en-US"/>
                  <a:t>PM 10</a:t>
                </a:r>
                <a:r>
                  <a:rPr lang="en-US" baseline="0"/>
                  <a:t> </a:t>
                </a:r>
                <a:r>
                  <a:rPr lang="en-US"/>
                  <a:t>(µg/m</a:t>
                </a:r>
                <a:r>
                  <a:rPr lang="en-US" baseline="30000"/>
                  <a:t>3</a:t>
                </a:r>
                <a:r>
                  <a:rPr lang="en-US"/>
                  <a:t>)</a:t>
                </a:r>
              </a:p>
            </c:rich>
          </c:tx>
          <c:overlay val="0"/>
        </c:title>
        <c:numFmt formatCode="0.00" sourceLinked="1"/>
        <c:majorTickMark val="out"/>
        <c:minorTickMark val="none"/>
        <c:tickLblPos val="nextTo"/>
        <c:crossAx val="108456576"/>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39370078740157483" l="0.39370078740157483" r="0.39370078740157483" t="0.39370078740157483" header="0.31496062992125984" footer="0.31496062992125984"/>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chemeClr val="tx1">
                  <a:lumMod val="50000"/>
                  <a:lumOff val="50000"/>
                </a:schemeClr>
              </a:solidFill>
            </a:ln>
          </c:spPr>
          <c:marker>
            <c:symbol val="circle"/>
            <c:size val="7"/>
            <c:spPr>
              <a:solidFill>
                <a:schemeClr val="tx2">
                  <a:lumMod val="60000"/>
                  <a:lumOff val="40000"/>
                </a:schemeClr>
              </a:solidFill>
              <a:ln>
                <a:solidFill>
                  <a:schemeClr val="tx1">
                    <a:lumMod val="95000"/>
                    <a:lumOff val="5000"/>
                  </a:schemeClr>
                </a:solidFill>
              </a:ln>
            </c:spPr>
          </c:marker>
          <c:dLbls>
            <c:dLbl>
              <c:idx val="2"/>
              <c:layout>
                <c:manualLayout>
                  <c:x val="-3.0136426493221773E-2"/>
                  <c:y val="3.9946732098691533E-2"/>
                </c:manualLayout>
              </c:layout>
              <c:dLblPos val="r"/>
              <c:showLegendKey val="0"/>
              <c:showVal val="1"/>
              <c:showCatName val="0"/>
              <c:showSerName val="0"/>
              <c:showPercent val="0"/>
              <c:showBubbleSize val="0"/>
            </c:dLbl>
            <c:dLbl>
              <c:idx val="6"/>
              <c:layout>
                <c:manualLayout>
                  <c:x val="-3.0136426493221714E-2"/>
                  <c:y val="3.9946732098691567E-2"/>
                </c:manualLayout>
              </c:layout>
              <c:dLblPos val="r"/>
              <c:showLegendKey val="0"/>
              <c:showVal val="1"/>
              <c:showCatName val="0"/>
              <c:showSerName val="0"/>
              <c:showPercent val="0"/>
              <c:showBubbleSize val="0"/>
            </c:dLbl>
            <c:dLbl>
              <c:idx val="7"/>
              <c:layout>
                <c:manualLayout>
                  <c:x val="-3.0136426493221773E-2"/>
                  <c:y val="4.7048373360681142E-2"/>
                </c:manualLayout>
              </c:layout>
              <c:dLblPos val="r"/>
              <c:showLegendKey val="0"/>
              <c:showVal val="1"/>
              <c:showCatName val="0"/>
              <c:showSerName val="0"/>
              <c:showPercent val="0"/>
              <c:showBubbleSize val="0"/>
            </c:dLbl>
            <c:dLbl>
              <c:idx val="10"/>
              <c:layout>
                <c:manualLayout>
                  <c:x val="-3.0136426493221773E-2"/>
                  <c:y val="4.3497552729686369E-2"/>
                </c:manualLayout>
              </c:layout>
              <c:dLblPos val="r"/>
              <c:showLegendKey val="0"/>
              <c:showVal val="1"/>
              <c:showCatName val="0"/>
              <c:showSerName val="0"/>
              <c:showPercent val="0"/>
              <c:showBubbleSize val="0"/>
            </c:dLbl>
            <c:numFmt formatCode="0%" sourceLinked="0"/>
            <c:txPr>
              <a:bodyPr/>
              <a:lstStyle/>
              <a:p>
                <a:pPr>
                  <a:defRPr b="1"/>
                </a:pPr>
                <a:endParaRPr lang="pt-BR"/>
              </a:p>
            </c:txPr>
            <c:dLblPos val="t"/>
            <c:showLegendKey val="0"/>
            <c:showVal val="1"/>
            <c:showCatName val="0"/>
            <c:showSerName val="0"/>
            <c:showPercent val="0"/>
            <c:showBubbleSize val="0"/>
            <c:showLeaderLines val="0"/>
          </c:dLbls>
          <c:cat>
            <c:numRef>
              <c:f>para_graficos!$W$3:$AK$3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para_graficos!$W$680:$AK$680</c:f>
              <c:numCache>
                <c:formatCode>0.00%</c:formatCode>
                <c:ptCount val="15"/>
                <c:pt idx="0">
                  <c:v>0.93506493506493504</c:v>
                </c:pt>
                <c:pt idx="1">
                  <c:v>0.86470588235294121</c:v>
                </c:pt>
                <c:pt idx="2">
                  <c:v>0.78212290502793291</c:v>
                </c:pt>
                <c:pt idx="3">
                  <c:v>0.9017857142857143</c:v>
                </c:pt>
                <c:pt idx="4">
                  <c:v>0.93093922651933703</c:v>
                </c:pt>
                <c:pt idx="5">
                  <c:v>0.84722222222222221</c:v>
                </c:pt>
                <c:pt idx="6">
                  <c:v>0.79420289855072468</c:v>
                </c:pt>
                <c:pt idx="7">
                  <c:v>0.75652173913043474</c:v>
                </c:pt>
                <c:pt idx="8">
                  <c:v>0.85648148148148151</c:v>
                </c:pt>
                <c:pt idx="9">
                  <c:v>0.80478087649402386</c:v>
                </c:pt>
                <c:pt idx="10">
                  <c:v>0.6657303370786517</c:v>
                </c:pt>
                <c:pt idx="11">
                  <c:v>0.7016574585635359</c:v>
                </c:pt>
              </c:numCache>
            </c:numRef>
          </c:val>
          <c:smooth val="1"/>
        </c:ser>
        <c:ser>
          <c:idx val="1"/>
          <c:order val="1"/>
          <c:tx>
            <c:v>meta</c:v>
          </c:tx>
          <c:spPr>
            <a:ln>
              <a:solidFill>
                <a:schemeClr val="tx1"/>
              </a:solidFill>
              <a:prstDash val="sysDot"/>
            </a:ln>
          </c:spPr>
          <c:marker>
            <c:symbol val="none"/>
          </c:marker>
          <c:dLbls>
            <c:dLbl>
              <c:idx val="14"/>
              <c:layout>
                <c:manualLayout>
                  <c:x val="-5.2127872853140363E-2"/>
                  <c:y val="-5.3262436428365804E-2"/>
                </c:manualLayout>
              </c:layout>
              <c:tx>
                <c:rich>
                  <a:bodyPr/>
                  <a:lstStyle/>
                  <a:p>
                    <a:pPr>
                      <a:defRPr b="1"/>
                    </a:pPr>
                    <a:r>
                      <a:rPr lang="en-US" b="1"/>
                      <a:t>meta (83%)</a:t>
                    </a:r>
                  </a:p>
                </c:rich>
              </c:tx>
              <c:spPr/>
              <c:showLegendKey val="0"/>
              <c:showVal val="1"/>
              <c:showCatName val="0"/>
              <c:showSerName val="0"/>
              <c:showPercent val="0"/>
              <c:showBubbleSize val="0"/>
            </c:dLbl>
            <c:showLegendKey val="0"/>
            <c:showVal val="0"/>
            <c:showCatName val="0"/>
            <c:showSerName val="0"/>
            <c:showPercent val="0"/>
            <c:showBubbleSize val="0"/>
          </c:dLbls>
          <c:cat>
            <c:numRef>
              <c:f>para_graficos!$W$3:$AK$3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para_graficos!$W$681:$AK$681</c:f>
              <c:numCache>
                <c:formatCode>0%</c:formatCode>
                <c:ptCount val="15"/>
                <c:pt idx="0">
                  <c:v>0.83</c:v>
                </c:pt>
                <c:pt idx="1">
                  <c:v>0.83</c:v>
                </c:pt>
                <c:pt idx="2">
                  <c:v>0.83</c:v>
                </c:pt>
                <c:pt idx="3">
                  <c:v>0.83</c:v>
                </c:pt>
                <c:pt idx="4">
                  <c:v>0.83</c:v>
                </c:pt>
                <c:pt idx="5">
                  <c:v>0.83</c:v>
                </c:pt>
                <c:pt idx="6">
                  <c:v>0.83</c:v>
                </c:pt>
                <c:pt idx="7">
                  <c:v>0.83</c:v>
                </c:pt>
                <c:pt idx="8">
                  <c:v>0.83</c:v>
                </c:pt>
                <c:pt idx="9">
                  <c:v>0.83</c:v>
                </c:pt>
                <c:pt idx="10">
                  <c:v>0.83</c:v>
                </c:pt>
                <c:pt idx="11">
                  <c:v>0.83</c:v>
                </c:pt>
                <c:pt idx="12">
                  <c:v>0.83</c:v>
                </c:pt>
                <c:pt idx="13">
                  <c:v>0.83</c:v>
                </c:pt>
                <c:pt idx="14">
                  <c:v>0.83</c:v>
                </c:pt>
              </c:numCache>
            </c:numRef>
          </c:val>
          <c:smooth val="0"/>
        </c:ser>
        <c:dLbls>
          <c:showLegendKey val="0"/>
          <c:showVal val="0"/>
          <c:showCatName val="0"/>
          <c:showSerName val="0"/>
          <c:showPercent val="0"/>
          <c:showBubbleSize val="0"/>
        </c:dLbls>
        <c:marker val="1"/>
        <c:smooth val="0"/>
        <c:axId val="134813952"/>
        <c:axId val="135327744"/>
      </c:lineChart>
      <c:catAx>
        <c:axId val="134813952"/>
        <c:scaling>
          <c:orientation val="minMax"/>
        </c:scaling>
        <c:delete val="0"/>
        <c:axPos val="b"/>
        <c:numFmt formatCode="General" sourceLinked="1"/>
        <c:majorTickMark val="out"/>
        <c:minorTickMark val="none"/>
        <c:tickLblPos val="nextTo"/>
        <c:crossAx val="135327744"/>
        <c:crosses val="autoZero"/>
        <c:auto val="1"/>
        <c:lblAlgn val="ctr"/>
        <c:lblOffset val="100"/>
        <c:noMultiLvlLbl val="0"/>
      </c:catAx>
      <c:valAx>
        <c:axId val="135327744"/>
        <c:scaling>
          <c:orientation val="minMax"/>
        </c:scaling>
        <c:delete val="0"/>
        <c:axPos val="l"/>
        <c:numFmt formatCode="0%" sourceLinked="0"/>
        <c:majorTickMark val="out"/>
        <c:minorTickMark val="none"/>
        <c:tickLblPos val="nextTo"/>
        <c:crossAx val="134813952"/>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solidFill>
            <a:ln>
              <a:solidFill>
                <a:schemeClr val="tx1">
                  <a:lumMod val="95000"/>
                  <a:lumOff val="5000"/>
                </a:schemeClr>
              </a:solidFill>
            </a:ln>
          </c:spPr>
          <c:invertIfNegative val="0"/>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6"/>
            <c:invertIfNegative val="0"/>
            <c:bubble3D val="0"/>
            <c:spPr>
              <a:solidFill>
                <a:srgbClr val="0070C0"/>
              </a:solidFill>
              <a:ln>
                <a:solidFill>
                  <a:schemeClr val="tx1">
                    <a:lumMod val="95000"/>
                    <a:lumOff val="5000"/>
                  </a:schemeClr>
                </a:solidFill>
              </a:ln>
            </c:spPr>
          </c:dPt>
          <c:dPt>
            <c:idx val="17"/>
            <c:invertIfNegative val="0"/>
            <c:bubble3D val="0"/>
            <c:spPr>
              <a:solidFill>
                <a:sysClr val="window" lastClr="FFFFFF"/>
              </a:solidFill>
              <a:ln>
                <a:solidFill>
                  <a:schemeClr val="tx1">
                    <a:lumMod val="95000"/>
                    <a:lumOff val="5000"/>
                  </a:schemeClr>
                </a:solidFill>
              </a:ln>
            </c:spPr>
          </c:dPt>
          <c:dPt>
            <c:idx val="18"/>
            <c:invertIfNegative val="0"/>
            <c:bubble3D val="0"/>
            <c:spPr>
              <a:solidFill>
                <a:srgbClr val="0070C0"/>
              </a:solidFill>
              <a:ln>
                <a:solidFill>
                  <a:schemeClr val="tx1">
                    <a:lumMod val="95000"/>
                    <a:lumOff val="5000"/>
                  </a:schemeClr>
                </a:solidFill>
              </a:ln>
            </c:spPr>
          </c:dPt>
          <c:dPt>
            <c:idx val="19"/>
            <c:invertIfNegative val="0"/>
            <c:bubble3D val="0"/>
          </c:dPt>
          <c:dPt>
            <c:idx val="20"/>
            <c:invertIfNegative val="0"/>
            <c:bubble3D val="0"/>
          </c:dPt>
          <c:dPt>
            <c:idx val="21"/>
            <c:invertIfNegative val="0"/>
            <c:bubble3D val="0"/>
          </c:dPt>
          <c:dPt>
            <c:idx val="26"/>
            <c:invertIfNegative val="0"/>
            <c:bubble3D val="0"/>
            <c:spPr>
              <a:solidFill>
                <a:srgbClr val="0070C0"/>
              </a:solidFill>
              <a:ln>
                <a:solidFill>
                  <a:schemeClr val="tx1">
                    <a:lumMod val="95000"/>
                    <a:lumOff val="5000"/>
                  </a:schemeClr>
                </a:solidFill>
              </a:ln>
            </c:spPr>
          </c:dPt>
          <c:dPt>
            <c:idx val="27"/>
            <c:invertIfNegative val="0"/>
            <c:bubble3D val="0"/>
            <c:spPr>
              <a:solidFill>
                <a:srgbClr val="0070C0"/>
              </a:solidFill>
              <a:ln>
                <a:solidFill>
                  <a:schemeClr val="tx1">
                    <a:lumMod val="95000"/>
                    <a:lumOff val="5000"/>
                  </a:schemeClr>
                </a:solidFill>
              </a:ln>
            </c:spPr>
          </c:dPt>
          <c:dPt>
            <c:idx val="28"/>
            <c:invertIfNegative val="0"/>
            <c:bubble3D val="0"/>
            <c:spPr>
              <a:solidFill>
                <a:srgbClr val="0070C0"/>
              </a:solidFill>
              <a:ln>
                <a:solidFill>
                  <a:schemeClr val="tx1">
                    <a:lumMod val="95000"/>
                    <a:lumOff val="5000"/>
                  </a:schemeClr>
                </a:solidFill>
              </a:ln>
            </c:spPr>
          </c:dPt>
          <c:dPt>
            <c:idx val="29"/>
            <c:invertIfNegative val="0"/>
            <c:bubble3D val="0"/>
            <c:spPr>
              <a:solidFill>
                <a:srgbClr val="0070C0"/>
              </a:solidFill>
              <a:ln>
                <a:solidFill>
                  <a:schemeClr val="tx1">
                    <a:lumMod val="95000"/>
                    <a:lumOff val="5000"/>
                  </a:schemeClr>
                </a:solidFill>
              </a:ln>
            </c:spPr>
          </c:dPt>
          <c:dPt>
            <c:idx val="34"/>
            <c:invertIfNegative val="0"/>
            <c:bubble3D val="0"/>
            <c:spPr>
              <a:solidFill>
                <a:srgbClr val="0070C0"/>
              </a:solidFill>
              <a:ln>
                <a:solidFill>
                  <a:schemeClr val="tx1">
                    <a:lumMod val="95000"/>
                    <a:lumOff val="5000"/>
                  </a:schemeClr>
                </a:solidFill>
              </a:ln>
            </c:spPr>
          </c:dPt>
          <c:dPt>
            <c:idx val="36"/>
            <c:invertIfNegative val="0"/>
            <c:bubble3D val="0"/>
            <c:spPr>
              <a:solidFill>
                <a:srgbClr val="0070C0"/>
              </a:solidFill>
              <a:ln>
                <a:solidFill>
                  <a:schemeClr val="tx1">
                    <a:lumMod val="95000"/>
                    <a:lumOff val="5000"/>
                  </a:schemeClr>
                </a:solidFill>
              </a:ln>
            </c:spPr>
          </c:dPt>
          <c:dPt>
            <c:idx val="38"/>
            <c:invertIfNegative val="0"/>
            <c:bubble3D val="0"/>
            <c:spPr>
              <a:solidFill>
                <a:srgbClr val="0070C0"/>
              </a:solidFill>
              <a:ln>
                <a:solidFill>
                  <a:schemeClr val="tx1">
                    <a:lumMod val="95000"/>
                    <a:lumOff val="5000"/>
                  </a:schemeClr>
                </a:solidFill>
              </a:ln>
            </c:spPr>
          </c:dPt>
          <c:dPt>
            <c:idx val="39"/>
            <c:invertIfNegative val="0"/>
            <c:bubble3D val="0"/>
            <c:spPr>
              <a:solidFill>
                <a:srgbClr val="0070C0"/>
              </a:solidFill>
              <a:ln>
                <a:solidFill>
                  <a:schemeClr val="tx1">
                    <a:lumMod val="95000"/>
                    <a:lumOff val="5000"/>
                  </a:schemeClr>
                </a:solidFill>
              </a:ln>
            </c:spPr>
          </c:dPt>
          <c:dPt>
            <c:idx val="41"/>
            <c:invertIfNegative val="0"/>
            <c:bubble3D val="0"/>
            <c:spPr>
              <a:solidFill>
                <a:srgbClr val="0070C0"/>
              </a:solidFill>
              <a:ln>
                <a:solidFill>
                  <a:schemeClr val="tx1">
                    <a:lumMod val="95000"/>
                    <a:lumOff val="5000"/>
                  </a:schemeClr>
                </a:solidFill>
              </a:ln>
            </c:spPr>
          </c:dPt>
          <c:dPt>
            <c:idx val="43"/>
            <c:invertIfNegative val="0"/>
            <c:bubble3D val="0"/>
            <c:spPr>
              <a:solidFill>
                <a:srgbClr val="0070C0"/>
              </a:solidFill>
              <a:ln>
                <a:solidFill>
                  <a:schemeClr val="tx1">
                    <a:lumMod val="95000"/>
                    <a:lumOff val="5000"/>
                  </a:schemeClr>
                </a:solidFill>
              </a:ln>
            </c:spPr>
          </c:dPt>
          <c:dPt>
            <c:idx val="44"/>
            <c:invertIfNegative val="0"/>
            <c:bubble3D val="0"/>
            <c:spPr>
              <a:solidFill>
                <a:srgbClr val="0070C0"/>
              </a:solidFill>
              <a:ln>
                <a:solidFill>
                  <a:schemeClr val="tx1">
                    <a:lumMod val="95000"/>
                    <a:lumOff val="5000"/>
                  </a:schemeClr>
                </a:solidFill>
              </a:ln>
            </c:spPr>
          </c:dPt>
          <c:dPt>
            <c:idx val="45"/>
            <c:invertIfNegative val="0"/>
            <c:bubble3D val="0"/>
            <c:spPr>
              <a:solidFill>
                <a:srgbClr val="0070C0"/>
              </a:solidFill>
              <a:ln>
                <a:solidFill>
                  <a:schemeClr val="tx1">
                    <a:lumMod val="95000"/>
                    <a:lumOff val="5000"/>
                  </a:schemeClr>
                </a:solidFill>
              </a:ln>
            </c:spPr>
          </c:dPt>
          <c:dLbls>
            <c:dLbl>
              <c:idx val="0"/>
              <c:showLegendKey val="0"/>
              <c:showVal val="1"/>
              <c:showCatName val="0"/>
              <c:showSerName val="0"/>
              <c:showPercent val="0"/>
              <c:showBubbleSize val="0"/>
            </c:dLbl>
            <c:dLbl>
              <c:idx val="16"/>
              <c:showLegendKey val="0"/>
              <c:showVal val="1"/>
              <c:showCatName val="0"/>
              <c:showSerName val="0"/>
              <c:showPercent val="0"/>
              <c:showBubbleSize val="0"/>
            </c:dLbl>
            <c:dLbl>
              <c:idx val="18"/>
              <c:showLegendKey val="0"/>
              <c:showVal val="1"/>
              <c:showCatName val="0"/>
              <c:showSerName val="0"/>
              <c:showPercent val="0"/>
              <c:showBubbleSize val="0"/>
            </c:dLbl>
            <c:dLbl>
              <c:idx val="26"/>
              <c:showLegendKey val="0"/>
              <c:showVal val="1"/>
              <c:showCatName val="0"/>
              <c:showSerName val="0"/>
              <c:showPercent val="0"/>
              <c:showBubbleSize val="0"/>
            </c:dLbl>
            <c:dLbl>
              <c:idx val="27"/>
              <c:showLegendKey val="0"/>
              <c:showVal val="1"/>
              <c:showCatName val="0"/>
              <c:showSerName val="0"/>
              <c:showPercent val="0"/>
              <c:showBubbleSize val="0"/>
            </c:dLbl>
            <c:dLbl>
              <c:idx val="28"/>
              <c:showLegendKey val="0"/>
              <c:showVal val="1"/>
              <c:showCatName val="0"/>
              <c:showSerName val="0"/>
              <c:showPercent val="0"/>
              <c:showBubbleSize val="0"/>
            </c:dLbl>
            <c:dLbl>
              <c:idx val="29"/>
              <c:showLegendKey val="0"/>
              <c:showVal val="1"/>
              <c:showCatName val="0"/>
              <c:showSerName val="0"/>
              <c:showPercent val="0"/>
              <c:showBubbleSize val="0"/>
            </c:dLbl>
            <c:dLbl>
              <c:idx val="34"/>
              <c:showLegendKey val="0"/>
              <c:showVal val="1"/>
              <c:showCatName val="0"/>
              <c:showSerName val="0"/>
              <c:showPercent val="0"/>
              <c:showBubbleSize val="0"/>
            </c:dLbl>
            <c:dLbl>
              <c:idx val="36"/>
              <c:showLegendKey val="0"/>
              <c:showVal val="1"/>
              <c:showCatName val="0"/>
              <c:showSerName val="0"/>
              <c:showPercent val="0"/>
              <c:showBubbleSize val="0"/>
            </c:dLbl>
            <c:dLbl>
              <c:idx val="38"/>
              <c:showLegendKey val="0"/>
              <c:showVal val="1"/>
              <c:showCatName val="0"/>
              <c:showSerName val="0"/>
              <c:showPercent val="0"/>
              <c:showBubbleSize val="0"/>
            </c:dLbl>
            <c:dLbl>
              <c:idx val="39"/>
              <c:showLegendKey val="0"/>
              <c:showVal val="1"/>
              <c:showCatName val="0"/>
              <c:showSerName val="0"/>
              <c:showPercent val="0"/>
              <c:showBubbleSize val="0"/>
            </c:dLbl>
            <c:dLbl>
              <c:idx val="41"/>
              <c:showLegendKey val="0"/>
              <c:showVal val="1"/>
              <c:showCatName val="0"/>
              <c:showSerName val="0"/>
              <c:showPercent val="0"/>
              <c:showBubbleSize val="0"/>
            </c:dLbl>
            <c:dLbl>
              <c:idx val="43"/>
              <c:showLegendKey val="0"/>
              <c:showVal val="1"/>
              <c:showCatName val="0"/>
              <c:showSerName val="0"/>
              <c:showPercent val="0"/>
              <c:showBubbleSize val="0"/>
            </c:dLbl>
            <c:dLbl>
              <c:idx val="44"/>
              <c:showLegendKey val="0"/>
              <c:showVal val="1"/>
              <c:showCatName val="0"/>
              <c:showSerName val="0"/>
              <c:showPercent val="0"/>
              <c:showBubbleSize val="0"/>
            </c:dLbl>
            <c:dLbl>
              <c:idx val="45"/>
              <c:showLegendKey val="0"/>
              <c:showVal val="1"/>
              <c:showCatName val="0"/>
              <c:showSerName val="0"/>
              <c:showPercent val="0"/>
              <c:showBubbleSize val="0"/>
            </c:dLbl>
            <c:numFmt formatCode="#,##0" sourceLinked="0"/>
            <c:txPr>
              <a:bodyPr/>
              <a:lstStyle/>
              <a:p>
                <a:pPr>
                  <a:defRPr sz="800" b="1"/>
                </a:pPr>
                <a:endParaRPr lang="pt-BR"/>
              </a:p>
            </c:txPr>
            <c:showLegendKey val="0"/>
            <c:showVal val="0"/>
            <c:showCatName val="0"/>
            <c:showSerName val="0"/>
            <c:showPercent val="0"/>
            <c:showBubbleSize val="0"/>
          </c:dLbls>
          <c:cat>
            <c:strRef>
              <c:f>base_bench!$A$291:$A$337</c:f>
              <c:strCache>
                <c:ptCount val="47"/>
                <c:pt idx="0">
                  <c:v>Helsinque (Finlândia)</c:v>
                </c:pt>
                <c:pt idx="1">
                  <c:v>Estocolmo (Suécia)</c:v>
                </c:pt>
                <c:pt idx="2">
                  <c:v>Salvador</c:v>
                </c:pt>
                <c:pt idx="3">
                  <c:v>Gotemburgo (Suécia)</c:v>
                </c:pt>
                <c:pt idx="4">
                  <c:v>Marburg (Alemanha)</c:v>
                </c:pt>
                <c:pt idx="5">
                  <c:v>Gdynia (Polônia)</c:v>
                </c:pt>
                <c:pt idx="6">
                  <c:v>Logroño (Espanha)</c:v>
                </c:pt>
                <c:pt idx="7">
                  <c:v>Nantes (França)</c:v>
                </c:pt>
                <c:pt idx="8">
                  <c:v>Salzburgo (Áustria)</c:v>
                </c:pt>
                <c:pt idx="9">
                  <c:v>Dresden (Alemanha)</c:v>
                </c:pt>
                <c:pt idx="10">
                  <c:v>Madri (Espanha)</c:v>
                </c:pt>
                <c:pt idx="11">
                  <c:v>Londres (Inglaterra)</c:v>
                </c:pt>
                <c:pt idx="12">
                  <c:v>Colônia (Alemanha)</c:v>
                </c:pt>
                <c:pt idx="13">
                  <c:v>Pamplona/Iruña (Espanha)</c:v>
                </c:pt>
                <c:pt idx="14">
                  <c:v>Santander (Espanha)</c:v>
                </c:pt>
                <c:pt idx="15">
                  <c:v>Paris (França)</c:v>
                </c:pt>
                <c:pt idx="16">
                  <c:v>Ibirité/B.Piratininga 2013</c:v>
                </c:pt>
                <c:pt idx="17">
                  <c:v>Berlim (Alemanha)</c:v>
                </c:pt>
                <c:pt idx="18">
                  <c:v>Ibirité/B.Castata 2012</c:v>
                </c:pt>
                <c:pt idx="19">
                  <c:v>Amsterdan (Holanda)</c:v>
                </c:pt>
                <c:pt idx="20">
                  <c:v>Barcelona (Espanha)</c:v>
                </c:pt>
                <c:pt idx="21">
                  <c:v>Burgos (Espanha)</c:v>
                </c:pt>
                <c:pt idx="22">
                  <c:v>Grenoble (França)</c:v>
                </c:pt>
                <c:pt idx="23">
                  <c:v>Bruxelas (Bélgica)</c:v>
                </c:pt>
                <c:pt idx="24">
                  <c:v>Viena (Áustria)</c:v>
                </c:pt>
                <c:pt idx="25">
                  <c:v>Sevilha (Espanha)</c:v>
                </c:pt>
                <c:pt idx="26">
                  <c:v>Ibirité/B.Castata 2013</c:v>
                </c:pt>
                <c:pt idx="27">
                  <c:v>Belo Horizonte/Pça.Rui Barbosa 2012</c:v>
                </c:pt>
                <c:pt idx="28">
                  <c:v>Betim/Petrovale 2012</c:v>
                </c:pt>
                <c:pt idx="29">
                  <c:v>Ibirité 2011 (ONU)</c:v>
                </c:pt>
                <c:pt idx="30">
                  <c:v>Liubliana (Eslovênia)</c:v>
                </c:pt>
                <c:pt idx="31">
                  <c:v>Bilbao (Espanha)</c:v>
                </c:pt>
                <c:pt idx="32">
                  <c:v>Curitiba</c:v>
                </c:pt>
                <c:pt idx="33">
                  <c:v>Málaga (Espanha)</c:v>
                </c:pt>
                <c:pt idx="34">
                  <c:v>Ibirité/B.Castata 2012</c:v>
                </c:pt>
                <c:pt idx="35">
                  <c:v>Budapeste (Hungria)</c:v>
                </c:pt>
                <c:pt idx="36">
                  <c:v>Betim/Petrovale 2013</c:v>
                </c:pt>
                <c:pt idx="37">
                  <c:v>São Paulo</c:v>
                </c:pt>
                <c:pt idx="38">
                  <c:v>Betim/B.J.Alterosas 2012</c:v>
                </c:pt>
                <c:pt idx="39">
                  <c:v>Betim/B.J.Alterosas 2013</c:v>
                </c:pt>
                <c:pt idx="40">
                  <c:v>Posnânia [Poznań] na Polônia</c:v>
                </c:pt>
                <c:pt idx="41">
                  <c:v>Betim 2011 (ONU)</c:v>
                </c:pt>
                <c:pt idx="42">
                  <c:v>Bogotá</c:v>
                </c:pt>
                <c:pt idx="43">
                  <c:v>Betim/Centro Adm. 2013</c:v>
                </c:pt>
                <c:pt idx="44">
                  <c:v>Betim/Centro Adm. 2012</c:v>
                </c:pt>
                <c:pt idx="45">
                  <c:v>Belo Horizonte 2011(ONU)</c:v>
                </c:pt>
                <c:pt idx="46">
                  <c:v>Cracóvia (Polônia)</c:v>
                </c:pt>
              </c:strCache>
            </c:strRef>
          </c:cat>
          <c:val>
            <c:numRef>
              <c:f>base_bench!$B$291:$B$337</c:f>
              <c:numCache>
                <c:formatCode>0.00</c:formatCode>
                <c:ptCount val="47"/>
                <c:pt idx="0">
                  <c:v>13.0655</c:v>
                </c:pt>
                <c:pt idx="1">
                  <c:v>14.661</c:v>
                </c:pt>
                <c:pt idx="2">
                  <c:v>17</c:v>
                </c:pt>
                <c:pt idx="3">
                  <c:v>17.745999999999999</c:v>
                </c:pt>
                <c:pt idx="4">
                  <c:v>18.003</c:v>
                </c:pt>
                <c:pt idx="5">
                  <c:v>18.085999999999999</c:v>
                </c:pt>
                <c:pt idx="6">
                  <c:v>21</c:v>
                </c:pt>
                <c:pt idx="7">
                  <c:v>21.282499999999999</c:v>
                </c:pt>
                <c:pt idx="8">
                  <c:v>21.48</c:v>
                </c:pt>
                <c:pt idx="9">
                  <c:v>21.518000000000001</c:v>
                </c:pt>
                <c:pt idx="10">
                  <c:v>21.754714285714282</c:v>
                </c:pt>
                <c:pt idx="11">
                  <c:v>21.809333333333331</c:v>
                </c:pt>
                <c:pt idx="12">
                  <c:v>22.137</c:v>
                </c:pt>
                <c:pt idx="13">
                  <c:v>22.560500000000001</c:v>
                </c:pt>
                <c:pt idx="14">
                  <c:v>23.588000000000001</c:v>
                </c:pt>
                <c:pt idx="15">
                  <c:v>23.598500000000001</c:v>
                </c:pt>
                <c:pt idx="16" formatCode="0.0">
                  <c:v>24.2</c:v>
                </c:pt>
                <c:pt idx="17">
                  <c:v>24.484000000000002</c:v>
                </c:pt>
                <c:pt idx="18" formatCode="0.0">
                  <c:v>24.6</c:v>
                </c:pt>
                <c:pt idx="19">
                  <c:v>24.718499999999999</c:v>
                </c:pt>
                <c:pt idx="20">
                  <c:v>24.902000000000001</c:v>
                </c:pt>
                <c:pt idx="21">
                  <c:v>25.263999999999999</c:v>
                </c:pt>
                <c:pt idx="22">
                  <c:v>25.825500000000002</c:v>
                </c:pt>
                <c:pt idx="23">
                  <c:v>26.515999999999998</c:v>
                </c:pt>
                <c:pt idx="24">
                  <c:v>27.272500000000001</c:v>
                </c:pt>
                <c:pt idx="25">
                  <c:v>28.881</c:v>
                </c:pt>
                <c:pt idx="26" formatCode="0.0">
                  <c:v>30.2</c:v>
                </c:pt>
                <c:pt idx="27">
                  <c:v>30.4</c:v>
                </c:pt>
                <c:pt idx="28">
                  <c:v>30.6</c:v>
                </c:pt>
                <c:pt idx="29">
                  <c:v>30.7</c:v>
                </c:pt>
                <c:pt idx="30">
                  <c:v>30.998000000000001</c:v>
                </c:pt>
                <c:pt idx="31">
                  <c:v>31.477</c:v>
                </c:pt>
                <c:pt idx="32">
                  <c:v>31.478571428571424</c:v>
                </c:pt>
                <c:pt idx="33">
                  <c:v>31.619</c:v>
                </c:pt>
                <c:pt idx="34" formatCode="0.0">
                  <c:v>32.9</c:v>
                </c:pt>
                <c:pt idx="35">
                  <c:v>33.237666666666662</c:v>
                </c:pt>
                <c:pt idx="36">
                  <c:v>34.1</c:v>
                </c:pt>
                <c:pt idx="37">
                  <c:v>34.555555555555557</c:v>
                </c:pt>
                <c:pt idx="38">
                  <c:v>36.5</c:v>
                </c:pt>
                <c:pt idx="39">
                  <c:v>38.700000000000003</c:v>
                </c:pt>
                <c:pt idx="40">
                  <c:v>39.085999999999999</c:v>
                </c:pt>
                <c:pt idx="41">
                  <c:v>42.633333333333333</c:v>
                </c:pt>
                <c:pt idx="42">
                  <c:v>47.6</c:v>
                </c:pt>
                <c:pt idx="43">
                  <c:v>49.7</c:v>
                </c:pt>
                <c:pt idx="44">
                  <c:v>50.6</c:v>
                </c:pt>
                <c:pt idx="45">
                  <c:v>51.7</c:v>
                </c:pt>
                <c:pt idx="46">
                  <c:v>58.822000000000003</c:v>
                </c:pt>
              </c:numCache>
            </c:numRef>
          </c:val>
        </c:ser>
        <c:dLbls>
          <c:showLegendKey val="0"/>
          <c:showVal val="0"/>
          <c:showCatName val="0"/>
          <c:showSerName val="0"/>
          <c:showPercent val="0"/>
          <c:showBubbleSize val="0"/>
        </c:dLbls>
        <c:gapWidth val="150"/>
        <c:axId val="108640896"/>
        <c:axId val="108724608"/>
      </c:barChart>
      <c:catAx>
        <c:axId val="108640896"/>
        <c:scaling>
          <c:orientation val="minMax"/>
        </c:scaling>
        <c:delete val="0"/>
        <c:axPos val="b"/>
        <c:numFmt formatCode="General" sourceLinked="1"/>
        <c:majorTickMark val="out"/>
        <c:minorTickMark val="none"/>
        <c:tickLblPos val="nextTo"/>
        <c:crossAx val="108724608"/>
        <c:crosses val="autoZero"/>
        <c:auto val="1"/>
        <c:lblAlgn val="ctr"/>
        <c:lblOffset val="100"/>
        <c:noMultiLvlLbl val="0"/>
      </c:catAx>
      <c:valAx>
        <c:axId val="108724608"/>
        <c:scaling>
          <c:orientation val="minMax"/>
        </c:scaling>
        <c:delete val="0"/>
        <c:axPos val="l"/>
        <c:title>
          <c:tx>
            <c:rich>
              <a:bodyPr rot="-5400000" vert="horz"/>
              <a:lstStyle/>
              <a:p>
                <a:pPr>
                  <a:defRPr/>
                </a:pPr>
                <a:r>
                  <a:rPr lang="en-US"/>
                  <a:t>PM 10</a:t>
                </a:r>
                <a:r>
                  <a:rPr lang="en-US" baseline="0"/>
                  <a:t> </a:t>
                </a:r>
                <a:r>
                  <a:rPr lang="en-US"/>
                  <a:t>(µg/m</a:t>
                </a:r>
                <a:r>
                  <a:rPr lang="en-US" baseline="30000"/>
                  <a:t>3</a:t>
                </a:r>
                <a:r>
                  <a:rPr lang="en-US"/>
                  <a:t>)</a:t>
                </a:r>
              </a:p>
            </c:rich>
          </c:tx>
          <c:overlay val="0"/>
        </c:title>
        <c:numFmt formatCode="0.00" sourceLinked="1"/>
        <c:majorTickMark val="out"/>
        <c:minorTickMark val="none"/>
        <c:tickLblPos val="nextTo"/>
        <c:crossAx val="108640896"/>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39370078740157483" l="0.39370078740157483" r="0.39370078740157483" t="0.39370078740157483" header="0.31496062992125984" footer="0.31496062992125984"/>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AN </c:v>
          </c:tx>
          <c:spPr>
            <a:ln w="31750">
              <a:solidFill>
                <a:schemeClr val="tx1">
                  <a:lumMod val="95000"/>
                  <a:lumOff val="5000"/>
                </a:schemeClr>
              </a:solidFill>
              <a:prstDash val="sysDot"/>
            </a:ln>
          </c:spPr>
          <c:marker>
            <c:symbol val="circle"/>
            <c:size val="5"/>
            <c:spPr>
              <a:solidFill>
                <a:srgbClr val="0070C0"/>
              </a:solidFill>
              <a:ln>
                <a:solidFill>
                  <a:schemeClr val="tx1"/>
                </a:solidFill>
              </a:ln>
            </c:spPr>
          </c:marker>
          <c:dLbls>
            <c:dLbl>
              <c:idx val="4"/>
              <c:layout>
                <c:manualLayout>
                  <c:x val="1.0575553522293472E-2"/>
                  <c:y val="1.5847857902033136E-2"/>
                </c:manualLayout>
              </c:layout>
              <c:dLblPos val="r"/>
              <c:showLegendKey val="0"/>
              <c:showVal val="1"/>
              <c:showCatName val="0"/>
              <c:showSerName val="0"/>
              <c:showPercent val="0"/>
              <c:showBubbleSize val="0"/>
            </c:dLbl>
            <c:numFmt formatCode="0%" sourceLinked="0"/>
            <c:spPr>
              <a:ln>
                <a:solidFill>
                  <a:schemeClr val="tx1"/>
                </a:solidFill>
              </a:ln>
            </c:spPr>
            <c:txPr>
              <a:bodyPr/>
              <a:lstStyle/>
              <a:p>
                <a:pPr>
                  <a:defRPr sz="1000" b="1"/>
                </a:pPr>
                <a:endParaRPr lang="pt-BR"/>
              </a:p>
            </c:txPr>
            <c:dLblPos val="b"/>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para_graficos!$AG$52:$AK$52</c:f>
              <c:numCache>
                <c:formatCode>0.00%</c:formatCode>
                <c:ptCount val="5"/>
                <c:pt idx="0">
                  <c:v>0.4943820224719101</c:v>
                </c:pt>
                <c:pt idx="1">
                  <c:v>0.83750000000000002</c:v>
                </c:pt>
                <c:pt idx="2">
                  <c:v>0.81739130434782614</c:v>
                </c:pt>
                <c:pt idx="3">
                  <c:v>0.75167785234899331</c:v>
                </c:pt>
                <c:pt idx="4">
                  <c:v>0.87577639751552794</c:v>
                </c:pt>
              </c:numCache>
            </c:numRef>
          </c:val>
          <c:smooth val="0"/>
        </c:ser>
        <c:ser>
          <c:idx val="1"/>
          <c:order val="1"/>
          <c:tx>
            <c:v>ANdv</c:v>
          </c:tx>
          <c:marker>
            <c:symbol val="diamond"/>
            <c:size val="5"/>
            <c:spPr>
              <a:solidFill>
                <a:schemeClr val="bg1"/>
              </a:solidFill>
              <a:ln>
                <a:solidFill>
                  <a:schemeClr val="tx1"/>
                </a:solidFill>
              </a:ln>
            </c:spPr>
          </c:marker>
          <c:dLbls>
            <c:dLbl>
              <c:idx val="4"/>
              <c:layout>
                <c:manualLayout>
                  <c:x val="0"/>
                  <c:y val="-7.3956670209487886E-3"/>
                </c:manualLayout>
              </c:layout>
              <c:dLblPos val="r"/>
              <c:showLegendKey val="0"/>
              <c:showVal val="1"/>
              <c:showCatName val="0"/>
              <c:showSerName val="0"/>
              <c:showPercent val="0"/>
              <c:showBubbleSize val="0"/>
            </c:dLbl>
            <c:numFmt formatCode="0%" sourceLinked="0"/>
            <c:txPr>
              <a:bodyPr/>
              <a:lstStyle/>
              <a:p>
                <a:pPr>
                  <a:defRPr sz="1000" b="1"/>
                </a:pPr>
                <a:endParaRPr lang="pt-BR"/>
              </a:p>
            </c:txPr>
            <c:dLblPos val="t"/>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para_graficos!$AG$58:$AK$58</c:f>
              <c:numCache>
                <c:formatCode>0.00%</c:formatCode>
                <c:ptCount val="5"/>
                <c:pt idx="0">
                  <c:v>0.52</c:v>
                </c:pt>
                <c:pt idx="1">
                  <c:v>0.91489361702127658</c:v>
                </c:pt>
                <c:pt idx="2">
                  <c:v>0.85</c:v>
                </c:pt>
                <c:pt idx="3">
                  <c:v>0.78947368421052633</c:v>
                </c:pt>
                <c:pt idx="4">
                  <c:v>1</c:v>
                </c:pt>
              </c:numCache>
            </c:numRef>
          </c:val>
          <c:smooth val="0"/>
        </c:ser>
        <c:dLbls>
          <c:showLegendKey val="0"/>
          <c:showVal val="0"/>
          <c:showCatName val="0"/>
          <c:showSerName val="0"/>
          <c:showPercent val="0"/>
          <c:showBubbleSize val="0"/>
        </c:dLbls>
        <c:marker val="1"/>
        <c:smooth val="0"/>
        <c:axId val="111501696"/>
        <c:axId val="111503232"/>
      </c:lineChart>
      <c:catAx>
        <c:axId val="111501696"/>
        <c:scaling>
          <c:orientation val="minMax"/>
        </c:scaling>
        <c:delete val="0"/>
        <c:axPos val="b"/>
        <c:numFmt formatCode="General" sourceLinked="1"/>
        <c:majorTickMark val="out"/>
        <c:minorTickMark val="none"/>
        <c:tickLblPos val="nextTo"/>
        <c:crossAx val="111503232"/>
        <c:crosses val="autoZero"/>
        <c:auto val="1"/>
        <c:lblAlgn val="ctr"/>
        <c:lblOffset val="100"/>
        <c:noMultiLvlLbl val="0"/>
      </c:catAx>
      <c:valAx>
        <c:axId val="111503232"/>
        <c:scaling>
          <c:orientation val="minMax"/>
          <c:max val="1"/>
        </c:scaling>
        <c:delete val="0"/>
        <c:axPos val="l"/>
        <c:numFmt formatCode="0%" sourceLinked="0"/>
        <c:majorTickMark val="out"/>
        <c:minorTickMark val="none"/>
        <c:tickLblPos val="nextTo"/>
        <c:crossAx val="111501696"/>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n.º de dias nos quais o padrão máximo foi excedido</c:v>
          </c:tx>
          <c:spPr>
            <a:solidFill>
              <a:schemeClr val="bg1">
                <a:lumMod val="85000"/>
              </a:schemeClr>
            </a:solidFill>
            <a:ln>
              <a:solidFill>
                <a:schemeClr val="tx1">
                  <a:lumMod val="95000"/>
                  <a:lumOff val="5000"/>
                </a:schemeClr>
              </a:solidFill>
            </a:ln>
          </c:spPr>
          <c:invertIfNegative val="0"/>
          <c:dLbls>
            <c:txPr>
              <a:bodyPr/>
              <a:lstStyle/>
              <a:p>
                <a:pPr>
                  <a:defRPr b="1"/>
                </a:pPr>
                <a:endParaRPr lang="pt-BR"/>
              </a:p>
            </c:txPr>
            <c:showLegendKey val="0"/>
            <c:showVal val="1"/>
            <c:showCatName val="0"/>
            <c:showSerName val="0"/>
            <c:showPercent val="0"/>
            <c:showBubbleSize val="0"/>
            <c:showLeaderLines val="0"/>
          </c:dLbls>
          <c:cat>
            <c:numRef>
              <c:f>para_graficos!$AB$3:$AH$3</c:f>
              <c:numCache>
                <c:formatCode>General</c:formatCode>
                <c:ptCount val="7"/>
                <c:pt idx="0">
                  <c:v>2006</c:v>
                </c:pt>
                <c:pt idx="1">
                  <c:v>2007</c:v>
                </c:pt>
                <c:pt idx="2">
                  <c:v>2008</c:v>
                </c:pt>
                <c:pt idx="3">
                  <c:v>2009</c:v>
                </c:pt>
                <c:pt idx="4">
                  <c:v>2010</c:v>
                </c:pt>
                <c:pt idx="5">
                  <c:v>2011</c:v>
                </c:pt>
                <c:pt idx="6">
                  <c:v>2012</c:v>
                </c:pt>
              </c:numCache>
            </c:numRef>
          </c:cat>
          <c:val>
            <c:numRef>
              <c:f>para_graficos!$AB$668:$AH$668</c:f>
              <c:numCache>
                <c:formatCode>General</c:formatCode>
                <c:ptCount val="7"/>
                <c:pt idx="0">
                  <c:v>2</c:v>
                </c:pt>
                <c:pt idx="1">
                  <c:v>0</c:v>
                </c:pt>
                <c:pt idx="2">
                  <c:v>4</c:v>
                </c:pt>
                <c:pt idx="3">
                  <c:v>0</c:v>
                </c:pt>
                <c:pt idx="4">
                  <c:v>1</c:v>
                </c:pt>
                <c:pt idx="5">
                  <c:v>7</c:v>
                </c:pt>
                <c:pt idx="6">
                  <c:v>6</c:v>
                </c:pt>
              </c:numCache>
            </c:numRef>
          </c:val>
        </c:ser>
        <c:dLbls>
          <c:showLegendKey val="0"/>
          <c:showVal val="0"/>
          <c:showCatName val="0"/>
          <c:showSerName val="0"/>
          <c:showPercent val="0"/>
          <c:showBubbleSize val="0"/>
        </c:dLbls>
        <c:gapWidth val="150"/>
        <c:axId val="108754432"/>
        <c:axId val="108755968"/>
      </c:barChart>
      <c:lineChart>
        <c:grouping val="standard"/>
        <c:varyColors val="0"/>
        <c:ser>
          <c:idx val="1"/>
          <c:order val="1"/>
          <c:tx>
            <c:v>padrão máximo admitido (1 dia por ano)</c:v>
          </c:tx>
          <c:spPr>
            <a:ln w="38100">
              <a:solidFill>
                <a:schemeClr val="tx1"/>
              </a:solidFill>
              <a:prstDash val="sysDot"/>
            </a:ln>
          </c:spPr>
          <c:marker>
            <c:symbol val="none"/>
          </c:marker>
          <c:cat>
            <c:numRef>
              <c:f>para_graficos!$AB$3:$AH$3</c:f>
              <c:numCache>
                <c:formatCode>General</c:formatCode>
                <c:ptCount val="7"/>
                <c:pt idx="0">
                  <c:v>2006</c:v>
                </c:pt>
                <c:pt idx="1">
                  <c:v>2007</c:v>
                </c:pt>
                <c:pt idx="2">
                  <c:v>2008</c:v>
                </c:pt>
                <c:pt idx="3">
                  <c:v>2009</c:v>
                </c:pt>
                <c:pt idx="4">
                  <c:v>2010</c:v>
                </c:pt>
                <c:pt idx="5">
                  <c:v>2011</c:v>
                </c:pt>
                <c:pt idx="6">
                  <c:v>2012</c:v>
                </c:pt>
              </c:numCache>
            </c:numRef>
          </c:cat>
          <c:val>
            <c:numRef>
              <c:f>para_graficos!$AB$669:$AH$669</c:f>
              <c:numCache>
                <c:formatCode>General</c:formatCode>
                <c:ptCount val="7"/>
                <c:pt idx="0">
                  <c:v>1</c:v>
                </c:pt>
                <c:pt idx="1">
                  <c:v>1</c:v>
                </c:pt>
                <c:pt idx="2">
                  <c:v>1</c:v>
                </c:pt>
                <c:pt idx="3">
                  <c:v>1</c:v>
                </c:pt>
                <c:pt idx="4">
                  <c:v>1</c:v>
                </c:pt>
                <c:pt idx="5">
                  <c:v>1</c:v>
                </c:pt>
                <c:pt idx="6">
                  <c:v>1</c:v>
                </c:pt>
              </c:numCache>
            </c:numRef>
          </c:val>
          <c:smooth val="0"/>
        </c:ser>
        <c:dLbls>
          <c:showLegendKey val="0"/>
          <c:showVal val="0"/>
          <c:showCatName val="0"/>
          <c:showSerName val="0"/>
          <c:showPercent val="0"/>
          <c:showBubbleSize val="0"/>
        </c:dLbls>
        <c:marker val="1"/>
        <c:smooth val="0"/>
        <c:axId val="108754432"/>
        <c:axId val="108755968"/>
      </c:lineChart>
      <c:catAx>
        <c:axId val="108754432"/>
        <c:scaling>
          <c:orientation val="minMax"/>
        </c:scaling>
        <c:delete val="0"/>
        <c:axPos val="b"/>
        <c:numFmt formatCode="General" sourceLinked="1"/>
        <c:majorTickMark val="out"/>
        <c:minorTickMark val="none"/>
        <c:tickLblPos val="nextTo"/>
        <c:crossAx val="108755968"/>
        <c:crosses val="autoZero"/>
        <c:auto val="1"/>
        <c:lblAlgn val="ctr"/>
        <c:lblOffset val="100"/>
        <c:noMultiLvlLbl val="0"/>
      </c:catAx>
      <c:valAx>
        <c:axId val="108755968"/>
        <c:scaling>
          <c:orientation val="minMax"/>
        </c:scaling>
        <c:delete val="0"/>
        <c:axPos val="l"/>
        <c:numFmt formatCode="General" sourceLinked="1"/>
        <c:majorTickMark val="out"/>
        <c:minorTickMark val="none"/>
        <c:tickLblPos val="nextTo"/>
        <c:crossAx val="108754432"/>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70C0"/>
            </a:solidFill>
            <a:ln>
              <a:solidFill>
                <a:schemeClr val="tx1">
                  <a:lumMod val="95000"/>
                  <a:lumOff val="5000"/>
                </a:schemeClr>
              </a:solidFill>
            </a:ln>
          </c:spPr>
          <c:invertIfNegative val="0"/>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spPr>
              <a:solidFill>
                <a:schemeClr val="bg1"/>
              </a:solidFill>
              <a:ln>
                <a:solidFill>
                  <a:schemeClr val="tx1">
                    <a:lumMod val="95000"/>
                    <a:lumOff val="5000"/>
                  </a:schemeClr>
                </a:solidFill>
              </a:ln>
            </c:spPr>
          </c:dPt>
          <c:dPt>
            <c:idx val="13"/>
            <c:invertIfNegative val="0"/>
            <c:bubble3D val="0"/>
            <c:spPr>
              <a:solidFill>
                <a:schemeClr val="bg1"/>
              </a:solidFill>
              <a:ln>
                <a:solidFill>
                  <a:schemeClr val="tx1">
                    <a:lumMod val="95000"/>
                    <a:lumOff val="5000"/>
                  </a:schemeClr>
                </a:solidFill>
              </a:ln>
            </c:spPr>
          </c:dPt>
          <c:dPt>
            <c:idx val="14"/>
            <c:invertIfNegative val="0"/>
            <c:bubble3D val="0"/>
            <c:spPr>
              <a:solidFill>
                <a:schemeClr val="bg1"/>
              </a:solidFill>
              <a:ln>
                <a:solidFill>
                  <a:schemeClr val="tx1">
                    <a:lumMod val="95000"/>
                    <a:lumOff val="5000"/>
                  </a:schemeClr>
                </a:solidFill>
              </a:ln>
            </c:spPr>
          </c:dPt>
          <c:dPt>
            <c:idx val="16"/>
            <c:invertIfNegative val="0"/>
            <c:bubble3D val="0"/>
          </c:dPt>
          <c:dPt>
            <c:idx val="17"/>
            <c:invertIfNegative val="0"/>
            <c:bubble3D val="0"/>
          </c:dPt>
          <c:dPt>
            <c:idx val="18"/>
            <c:invertIfNegative val="0"/>
            <c:bubble3D val="0"/>
          </c:dPt>
          <c:dPt>
            <c:idx val="19"/>
            <c:invertIfNegative val="0"/>
            <c:bubble3D val="0"/>
          </c:dPt>
          <c:dPt>
            <c:idx val="20"/>
            <c:invertIfNegative val="0"/>
            <c:bubble3D val="0"/>
          </c:dPt>
          <c:dPt>
            <c:idx val="21"/>
            <c:invertIfNegative val="0"/>
            <c:bubble3D val="0"/>
          </c:dPt>
          <c:dPt>
            <c:idx val="26"/>
            <c:invertIfNegative val="0"/>
            <c:bubble3D val="0"/>
          </c:dPt>
          <c:dPt>
            <c:idx val="27"/>
            <c:invertIfNegative val="0"/>
            <c:bubble3D val="0"/>
          </c:dPt>
          <c:dPt>
            <c:idx val="28"/>
            <c:invertIfNegative val="0"/>
            <c:bubble3D val="0"/>
          </c:dPt>
          <c:dPt>
            <c:idx val="29"/>
            <c:invertIfNegative val="0"/>
            <c:bubble3D val="0"/>
          </c:dPt>
          <c:dPt>
            <c:idx val="34"/>
            <c:invertIfNegative val="0"/>
            <c:bubble3D val="0"/>
          </c:dPt>
          <c:dPt>
            <c:idx val="36"/>
            <c:invertIfNegative val="0"/>
            <c:bubble3D val="0"/>
          </c:dPt>
          <c:dPt>
            <c:idx val="38"/>
            <c:invertIfNegative val="0"/>
            <c:bubble3D val="0"/>
          </c:dPt>
          <c:dPt>
            <c:idx val="39"/>
            <c:invertIfNegative val="0"/>
            <c:bubble3D val="0"/>
          </c:dPt>
          <c:dPt>
            <c:idx val="41"/>
            <c:invertIfNegative val="0"/>
            <c:bubble3D val="0"/>
          </c:dPt>
          <c:dPt>
            <c:idx val="43"/>
            <c:invertIfNegative val="0"/>
            <c:bubble3D val="0"/>
          </c:dPt>
          <c:dPt>
            <c:idx val="44"/>
            <c:invertIfNegative val="0"/>
            <c:bubble3D val="0"/>
          </c:dPt>
          <c:dPt>
            <c:idx val="45"/>
            <c:invertIfNegative val="0"/>
            <c:bubble3D val="0"/>
          </c:dPt>
          <c:dLbls>
            <c:numFmt formatCode="#,##0" sourceLinked="0"/>
            <c:txPr>
              <a:bodyPr/>
              <a:lstStyle/>
              <a:p>
                <a:pPr>
                  <a:defRPr b="1"/>
                </a:pPr>
                <a:endParaRPr lang="pt-BR"/>
              </a:p>
            </c:txPr>
            <c:showLegendKey val="0"/>
            <c:showVal val="1"/>
            <c:showCatName val="0"/>
            <c:showSerName val="0"/>
            <c:showPercent val="0"/>
            <c:showBubbleSize val="0"/>
            <c:showLeaderLines val="0"/>
          </c:dLbls>
          <c:cat>
            <c:strRef>
              <c:f>base_bench!$C$291:$C$305</c:f>
              <c:strCache>
                <c:ptCount val="15"/>
                <c:pt idx="0">
                  <c:v>BH (2001)</c:v>
                </c:pt>
                <c:pt idx="1">
                  <c:v>BH (2002)</c:v>
                </c:pt>
                <c:pt idx="2">
                  <c:v>BH (2003)</c:v>
                </c:pt>
                <c:pt idx="3">
                  <c:v>BH (2004)</c:v>
                </c:pt>
                <c:pt idx="4">
                  <c:v>BH (2005)</c:v>
                </c:pt>
                <c:pt idx="5">
                  <c:v>BH (2006)</c:v>
                </c:pt>
                <c:pt idx="6">
                  <c:v>BH (2007)</c:v>
                </c:pt>
                <c:pt idx="7">
                  <c:v>BH (2008)</c:v>
                </c:pt>
                <c:pt idx="8">
                  <c:v>BH (2009)</c:v>
                </c:pt>
                <c:pt idx="9">
                  <c:v>BH (2010)</c:v>
                </c:pt>
                <c:pt idx="10">
                  <c:v>BH (2011)</c:v>
                </c:pt>
                <c:pt idx="11">
                  <c:v>BH (2012)</c:v>
                </c:pt>
                <c:pt idx="12">
                  <c:v>Brasil (2014)</c:v>
                </c:pt>
                <c:pt idx="13">
                  <c:v>América Latina (2014)</c:v>
                </c:pt>
                <c:pt idx="14">
                  <c:v>Mundo (2014)</c:v>
                </c:pt>
              </c:strCache>
            </c:strRef>
          </c:cat>
          <c:val>
            <c:numRef>
              <c:f>base_bench!$D$291:$D$305</c:f>
              <c:numCache>
                <c:formatCode>0.0</c:formatCode>
                <c:ptCount val="15"/>
                <c:pt idx="0">
                  <c:v>11.56803</c:v>
                </c:pt>
                <c:pt idx="1">
                  <c:v>13.903360000000001</c:v>
                </c:pt>
                <c:pt idx="2">
                  <c:v>21.12659</c:v>
                </c:pt>
                <c:pt idx="3">
                  <c:v>15.532660000000002</c:v>
                </c:pt>
                <c:pt idx="4">
                  <c:v>11.67665</c:v>
                </c:pt>
                <c:pt idx="5">
                  <c:v>14.06629</c:v>
                </c:pt>
                <c:pt idx="6">
                  <c:v>14.174910000000002</c:v>
                </c:pt>
                <c:pt idx="7">
                  <c:v>15.098180000000001</c:v>
                </c:pt>
                <c:pt idx="8">
                  <c:v>15.206800000000001</c:v>
                </c:pt>
                <c:pt idx="9">
                  <c:v>16.999030000000001</c:v>
                </c:pt>
                <c:pt idx="10">
                  <c:v>28.078270000000003</c:v>
                </c:pt>
                <c:pt idx="11">
                  <c:v>16.51024</c:v>
                </c:pt>
                <c:pt idx="12" formatCode="0.00">
                  <c:v>12</c:v>
                </c:pt>
                <c:pt idx="13" formatCode="0.00">
                  <c:v>19</c:v>
                </c:pt>
                <c:pt idx="14" formatCode="0.00">
                  <c:v>45</c:v>
                </c:pt>
              </c:numCache>
            </c:numRef>
          </c:val>
        </c:ser>
        <c:dLbls>
          <c:showLegendKey val="0"/>
          <c:showVal val="0"/>
          <c:showCatName val="0"/>
          <c:showSerName val="0"/>
          <c:showPercent val="0"/>
          <c:showBubbleSize val="0"/>
        </c:dLbls>
        <c:gapWidth val="150"/>
        <c:axId val="108798336"/>
        <c:axId val="108799872"/>
      </c:barChart>
      <c:catAx>
        <c:axId val="108798336"/>
        <c:scaling>
          <c:orientation val="minMax"/>
        </c:scaling>
        <c:delete val="0"/>
        <c:axPos val="b"/>
        <c:numFmt formatCode="General" sourceLinked="1"/>
        <c:majorTickMark val="out"/>
        <c:minorTickMark val="none"/>
        <c:tickLblPos val="nextTo"/>
        <c:crossAx val="108799872"/>
        <c:crosses val="autoZero"/>
        <c:auto val="1"/>
        <c:lblAlgn val="ctr"/>
        <c:lblOffset val="100"/>
        <c:noMultiLvlLbl val="0"/>
      </c:catAx>
      <c:valAx>
        <c:axId val="108799872"/>
        <c:scaling>
          <c:orientation val="minMax"/>
        </c:scaling>
        <c:delete val="0"/>
        <c:axPos val="l"/>
        <c:title>
          <c:tx>
            <c:rich>
              <a:bodyPr rot="-5400000" vert="horz"/>
              <a:lstStyle/>
              <a:p>
                <a:pPr>
                  <a:defRPr/>
                </a:pPr>
                <a:r>
                  <a:rPr lang="en-US"/>
                  <a:t>PM 2,5</a:t>
                </a:r>
                <a:r>
                  <a:rPr lang="en-US" baseline="0"/>
                  <a:t> </a:t>
                </a:r>
                <a:r>
                  <a:rPr lang="en-US"/>
                  <a:t>(µg/m</a:t>
                </a:r>
                <a:r>
                  <a:rPr lang="en-US" baseline="30000"/>
                  <a:t>3</a:t>
                </a:r>
                <a:r>
                  <a:rPr lang="en-US"/>
                  <a:t>)</a:t>
                </a:r>
              </a:p>
            </c:rich>
          </c:tx>
          <c:overlay val="0"/>
        </c:title>
        <c:numFmt formatCode="0" sourceLinked="0"/>
        <c:majorTickMark val="out"/>
        <c:minorTickMark val="none"/>
        <c:tickLblPos val="nextTo"/>
        <c:crossAx val="108798336"/>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39370078740157483" l="0.39370078740157483" r="0.39370078740157483" t="0.39370078740157483" header="0.31496062992125984" footer="0.31496062992125984"/>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95000"/>
              </a:schemeClr>
            </a:solidFill>
            <a:ln>
              <a:solidFill>
                <a:schemeClr val="tx1">
                  <a:lumMod val="95000"/>
                  <a:lumOff val="5000"/>
                </a:schemeClr>
              </a:solidFill>
            </a:ln>
          </c:spPr>
          <c:invertIfNegative val="0"/>
          <c:dPt>
            <c:idx val="14"/>
            <c:invertIfNegative val="0"/>
            <c:bubble3D val="0"/>
          </c:dPt>
          <c:dPt>
            <c:idx val="33"/>
            <c:invertIfNegative val="0"/>
            <c:bubble3D val="0"/>
            <c:spPr>
              <a:solidFill>
                <a:srgbClr val="0070C0"/>
              </a:solidFill>
              <a:ln>
                <a:solidFill>
                  <a:schemeClr val="tx1">
                    <a:lumMod val="95000"/>
                    <a:lumOff val="5000"/>
                  </a:schemeClr>
                </a:solidFill>
              </a:ln>
            </c:spPr>
          </c:dPt>
          <c:dLbls>
            <c:dLbl>
              <c:idx val="0"/>
              <c:layout>
                <c:manualLayout>
                  <c:x val="0"/>
                  <c:y val="-2.7777777777777776E-2"/>
                </c:manualLayout>
              </c:layout>
              <c:showLegendKey val="0"/>
              <c:showVal val="1"/>
              <c:showCatName val="0"/>
              <c:showSerName val="0"/>
              <c:showPercent val="0"/>
              <c:showBubbleSize val="0"/>
            </c:dLbl>
            <c:dLbl>
              <c:idx val="33"/>
              <c:showLegendKey val="0"/>
              <c:showVal val="1"/>
              <c:showCatName val="0"/>
              <c:showSerName val="0"/>
              <c:showPercent val="0"/>
              <c:showBubbleSize val="0"/>
            </c:dLbl>
            <c:txPr>
              <a:bodyPr/>
              <a:lstStyle/>
              <a:p>
                <a:pPr>
                  <a:defRPr sz="900" b="1"/>
                </a:pPr>
                <a:endParaRPr lang="pt-BR"/>
              </a:p>
            </c:txPr>
            <c:showLegendKey val="0"/>
            <c:showVal val="0"/>
            <c:showCatName val="0"/>
            <c:showSerName val="0"/>
            <c:showPercent val="0"/>
            <c:showBubbleSize val="0"/>
          </c:dLbls>
          <c:cat>
            <c:strRef>
              <c:f>base_bench!$C$119:$C$152</c:f>
              <c:strCache>
                <c:ptCount val="34"/>
                <c:pt idx="0">
                  <c:v>Esmeraldas</c:v>
                </c:pt>
                <c:pt idx="1">
                  <c:v>Jaboticatubas</c:v>
                </c:pt>
                <c:pt idx="2">
                  <c:v>São Joaquim de Bicas</c:v>
                </c:pt>
                <c:pt idx="3">
                  <c:v>Mateus Leme</c:v>
                </c:pt>
                <c:pt idx="4">
                  <c:v>Mário Campos</c:v>
                </c:pt>
                <c:pt idx="5">
                  <c:v>Juatuba</c:v>
                </c:pt>
                <c:pt idx="6">
                  <c:v>Taquaraçu de Minas</c:v>
                </c:pt>
                <c:pt idx="7">
                  <c:v>Capim Branco</c:v>
                </c:pt>
                <c:pt idx="8">
                  <c:v>Baldim</c:v>
                </c:pt>
                <c:pt idx="9">
                  <c:v>Rio Manso</c:v>
                </c:pt>
                <c:pt idx="10">
                  <c:v>Ribeirão das Neves</c:v>
                </c:pt>
                <c:pt idx="11">
                  <c:v>Igarapé</c:v>
                </c:pt>
                <c:pt idx="12">
                  <c:v>Nova União</c:v>
                </c:pt>
                <c:pt idx="13">
                  <c:v>Brumadinho</c:v>
                </c:pt>
                <c:pt idx="14">
                  <c:v>Ibirité</c:v>
                </c:pt>
                <c:pt idx="15">
                  <c:v>Confins</c:v>
                </c:pt>
                <c:pt idx="16">
                  <c:v>Matozinhos</c:v>
                </c:pt>
                <c:pt idx="17">
                  <c:v>Lagoa Santa</c:v>
                </c:pt>
                <c:pt idx="18">
                  <c:v>Santa Luzia</c:v>
                </c:pt>
                <c:pt idx="19">
                  <c:v>Sabará</c:v>
                </c:pt>
                <c:pt idx="20">
                  <c:v>Vespasiano</c:v>
                </c:pt>
                <c:pt idx="21">
                  <c:v>Florestal</c:v>
                </c:pt>
                <c:pt idx="22">
                  <c:v>São José da Lapa</c:v>
                </c:pt>
                <c:pt idx="23">
                  <c:v>Rio Acima</c:v>
                </c:pt>
                <c:pt idx="24">
                  <c:v>Caeté</c:v>
                </c:pt>
                <c:pt idx="25">
                  <c:v>Itatiaiuçu</c:v>
                </c:pt>
                <c:pt idx="26">
                  <c:v>Betim</c:v>
                </c:pt>
                <c:pt idx="27">
                  <c:v>Itaguara</c:v>
                </c:pt>
                <c:pt idx="28">
                  <c:v>Contagem</c:v>
                </c:pt>
                <c:pt idx="29">
                  <c:v>Pedro Leopoldo</c:v>
                </c:pt>
                <c:pt idx="30">
                  <c:v>Sarzedo</c:v>
                </c:pt>
                <c:pt idx="31">
                  <c:v>Nova Lima</c:v>
                </c:pt>
                <c:pt idx="32">
                  <c:v>Raposos</c:v>
                </c:pt>
                <c:pt idx="33">
                  <c:v>Belo Horizonte</c:v>
                </c:pt>
              </c:strCache>
            </c:strRef>
          </c:cat>
          <c:val>
            <c:numRef>
              <c:f>base_bench!$D$119:$D$152</c:f>
              <c:numCache>
                <c:formatCode>General</c:formatCode>
                <c:ptCount val="34"/>
                <c:pt idx="0">
                  <c:v>0.252</c:v>
                </c:pt>
                <c:pt idx="1">
                  <c:v>0.34399999999999997</c:v>
                </c:pt>
                <c:pt idx="2">
                  <c:v>0.36599999999999999</c:v>
                </c:pt>
                <c:pt idx="3">
                  <c:v>0.40899999999999997</c:v>
                </c:pt>
                <c:pt idx="4">
                  <c:v>0.441</c:v>
                </c:pt>
                <c:pt idx="5">
                  <c:v>0.45500000000000002</c:v>
                </c:pt>
                <c:pt idx="6">
                  <c:v>0.46400000000000002</c:v>
                </c:pt>
                <c:pt idx="7">
                  <c:v>0.46800000000000003</c:v>
                </c:pt>
                <c:pt idx="8">
                  <c:v>0.47899999999999998</c:v>
                </c:pt>
                <c:pt idx="9">
                  <c:v>0.48099999999999998</c:v>
                </c:pt>
                <c:pt idx="10">
                  <c:v>0.48699999999999999</c:v>
                </c:pt>
                <c:pt idx="11">
                  <c:v>0.498</c:v>
                </c:pt>
                <c:pt idx="12">
                  <c:v>0.502</c:v>
                </c:pt>
                <c:pt idx="13">
                  <c:v>0.53300000000000003</c:v>
                </c:pt>
                <c:pt idx="14">
                  <c:v>0.55500000000000005</c:v>
                </c:pt>
                <c:pt idx="15">
                  <c:v>0.56200000000000006</c:v>
                </c:pt>
                <c:pt idx="16">
                  <c:v>0.56399999999999995</c:v>
                </c:pt>
                <c:pt idx="17">
                  <c:v>0.56699999999999995</c:v>
                </c:pt>
                <c:pt idx="18">
                  <c:v>0.57099999999999995</c:v>
                </c:pt>
                <c:pt idx="19">
                  <c:v>0.57399999999999995</c:v>
                </c:pt>
                <c:pt idx="20">
                  <c:v>0.57799999999999996</c:v>
                </c:pt>
                <c:pt idx="21">
                  <c:v>0.58699999999999997</c:v>
                </c:pt>
                <c:pt idx="22">
                  <c:v>0.59</c:v>
                </c:pt>
                <c:pt idx="23">
                  <c:v>0.59699999999999998</c:v>
                </c:pt>
                <c:pt idx="24">
                  <c:v>0.60199999999999998</c:v>
                </c:pt>
                <c:pt idx="25">
                  <c:v>0.60699999999999998</c:v>
                </c:pt>
                <c:pt idx="26">
                  <c:v>0.65200000000000002</c:v>
                </c:pt>
                <c:pt idx="27">
                  <c:v>0.66400000000000003</c:v>
                </c:pt>
                <c:pt idx="28">
                  <c:v>0.68200000000000005</c:v>
                </c:pt>
                <c:pt idx="29">
                  <c:v>0.68799999999999994</c:v>
                </c:pt>
                <c:pt idx="30">
                  <c:v>0.69099999999999995</c:v>
                </c:pt>
                <c:pt idx="31">
                  <c:v>0.70099999999999996</c:v>
                </c:pt>
                <c:pt idx="32">
                  <c:v>0.748</c:v>
                </c:pt>
                <c:pt idx="33">
                  <c:v>0.76600000000000001</c:v>
                </c:pt>
              </c:numCache>
            </c:numRef>
          </c:val>
        </c:ser>
        <c:dLbls>
          <c:showLegendKey val="0"/>
          <c:showVal val="0"/>
          <c:showCatName val="0"/>
          <c:showSerName val="0"/>
          <c:showPercent val="0"/>
          <c:showBubbleSize val="0"/>
        </c:dLbls>
        <c:gapWidth val="150"/>
        <c:axId val="108878848"/>
        <c:axId val="108884736"/>
      </c:barChart>
      <c:catAx>
        <c:axId val="108878848"/>
        <c:scaling>
          <c:orientation val="minMax"/>
        </c:scaling>
        <c:delete val="0"/>
        <c:axPos val="b"/>
        <c:majorTickMark val="out"/>
        <c:minorTickMark val="none"/>
        <c:tickLblPos val="nextTo"/>
        <c:crossAx val="108884736"/>
        <c:crosses val="autoZero"/>
        <c:auto val="1"/>
        <c:lblAlgn val="ctr"/>
        <c:lblOffset val="100"/>
        <c:noMultiLvlLbl val="0"/>
      </c:catAx>
      <c:valAx>
        <c:axId val="108884736"/>
        <c:scaling>
          <c:orientation val="minMax"/>
          <c:max val="1"/>
        </c:scaling>
        <c:delete val="0"/>
        <c:axPos val="l"/>
        <c:majorGridlines/>
        <c:title>
          <c:tx>
            <c:rich>
              <a:bodyPr rot="-5400000" vert="horz"/>
              <a:lstStyle/>
              <a:p>
                <a:pPr>
                  <a:defRPr/>
                </a:pPr>
                <a:r>
                  <a:rPr lang="en-US"/>
                  <a:t>ibeu(D5)</a:t>
                </a:r>
              </a:p>
            </c:rich>
          </c:tx>
          <c:overlay val="0"/>
        </c:title>
        <c:numFmt formatCode="#,##0.000" sourceLinked="0"/>
        <c:majorTickMark val="out"/>
        <c:minorTickMark val="none"/>
        <c:tickLblPos val="nextTo"/>
        <c:crossAx val="108878848"/>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oddFooter>&amp;C6) Sistema de transportes ativos (não motorizados)</c:oddFooter>
    </c:headerFooter>
    <c:pageMargins b="0.39370078740157483" l="0.39370078740157483" r="0.39370078740157483" t="0.39370078740157483" header="0.31496062992125984" footer="0.31496062992125984"/>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95000"/>
              </a:schemeClr>
            </a:solidFill>
            <a:ln>
              <a:solidFill>
                <a:schemeClr val="tx1">
                  <a:lumMod val="95000"/>
                  <a:lumOff val="5000"/>
                </a:schemeClr>
              </a:solidFill>
            </a:ln>
          </c:spPr>
          <c:invertIfNegative val="0"/>
          <c:dPt>
            <c:idx val="2"/>
            <c:invertIfNegative val="0"/>
            <c:bubble3D val="0"/>
          </c:dPt>
          <c:dPt>
            <c:idx val="5"/>
            <c:invertIfNegative val="0"/>
            <c:bubble3D val="0"/>
            <c:spPr>
              <a:solidFill>
                <a:srgbClr val="0070C0"/>
              </a:solidFill>
              <a:ln>
                <a:solidFill>
                  <a:schemeClr val="tx1">
                    <a:lumMod val="95000"/>
                    <a:lumOff val="5000"/>
                  </a:schemeClr>
                </a:solidFill>
              </a:ln>
            </c:spPr>
          </c:dPt>
          <c:dPt>
            <c:idx val="9"/>
            <c:invertIfNegative val="0"/>
            <c:bubble3D val="0"/>
          </c:dPt>
          <c:dPt>
            <c:idx val="13"/>
            <c:invertIfNegative val="0"/>
            <c:bubble3D val="0"/>
            <c:spPr>
              <a:solidFill>
                <a:srgbClr val="0070C0"/>
              </a:solidFill>
              <a:ln>
                <a:solidFill>
                  <a:schemeClr val="tx1">
                    <a:lumMod val="95000"/>
                    <a:lumOff val="5000"/>
                  </a:schemeClr>
                </a:solidFill>
              </a:ln>
            </c:spPr>
          </c:dPt>
          <c:dLbls>
            <c:txPr>
              <a:bodyPr/>
              <a:lstStyle/>
              <a:p>
                <a:pPr>
                  <a:defRPr b="1"/>
                </a:pPr>
                <a:endParaRPr lang="pt-BR"/>
              </a:p>
            </c:txPr>
            <c:showLegendKey val="0"/>
            <c:showVal val="1"/>
            <c:showCatName val="0"/>
            <c:showSerName val="0"/>
            <c:showPercent val="0"/>
            <c:showBubbleSize val="0"/>
            <c:showLeaderLines val="0"/>
          </c:dLbls>
          <c:cat>
            <c:strRef>
              <c:f>(base_bench!$C$157:$C$164,base_bench!$C$166:$C$173)</c:f>
              <c:strCache>
                <c:ptCount val="16"/>
                <c:pt idx="0">
                  <c:v>Fortaleza (CE)</c:v>
                </c:pt>
                <c:pt idx="1">
                  <c:v>Salvador (BA)</c:v>
                </c:pt>
                <c:pt idx="2">
                  <c:v>Recife (PE)</c:v>
                </c:pt>
                <c:pt idx="3">
                  <c:v>Porto Alegre (RS)</c:v>
                </c:pt>
                <c:pt idx="4">
                  <c:v>Brasília (DF)</c:v>
                </c:pt>
                <c:pt idx="5">
                  <c:v>Belo Horizonte (MG)</c:v>
                </c:pt>
                <c:pt idx="6">
                  <c:v>Curitiba (PR)</c:v>
                </c:pt>
                <c:pt idx="7">
                  <c:v>São Paulo (SP)</c:v>
                </c:pt>
                <c:pt idx="8">
                  <c:v>RM Recife</c:v>
                </c:pt>
                <c:pt idx="9">
                  <c:v>RM Fortaleza</c:v>
                </c:pt>
                <c:pt idx="10">
                  <c:v>RM Salvador</c:v>
                </c:pt>
                <c:pt idx="11">
                  <c:v>RM Porto Alegre</c:v>
                </c:pt>
                <c:pt idx="12">
                  <c:v>RM Curitiba</c:v>
                </c:pt>
                <c:pt idx="13">
                  <c:v>RMBH</c:v>
                </c:pt>
                <c:pt idx="14">
                  <c:v>RIDE-DF</c:v>
                </c:pt>
                <c:pt idx="15">
                  <c:v>RMSP</c:v>
                </c:pt>
              </c:strCache>
            </c:strRef>
          </c:cat>
          <c:val>
            <c:numRef>
              <c:f>(base_bench!$D$157:$D$164,base_bench!$D$166:$D$173)</c:f>
              <c:numCache>
                <c:formatCode>General</c:formatCode>
                <c:ptCount val="16"/>
                <c:pt idx="0">
                  <c:v>0.60099999999999998</c:v>
                </c:pt>
                <c:pt idx="1">
                  <c:v>0.62</c:v>
                </c:pt>
                <c:pt idx="2">
                  <c:v>0.63900000000000001</c:v>
                </c:pt>
                <c:pt idx="3">
                  <c:v>0.749</c:v>
                </c:pt>
                <c:pt idx="4">
                  <c:v>0.75800000000000001</c:v>
                </c:pt>
                <c:pt idx="5" formatCode="#,##0.000">
                  <c:v>0.76600000000000001</c:v>
                </c:pt>
                <c:pt idx="6">
                  <c:v>0.77700000000000002</c:v>
                </c:pt>
                <c:pt idx="7">
                  <c:v>0.78100000000000003</c:v>
                </c:pt>
                <c:pt idx="8">
                  <c:v>0.27400000000000002</c:v>
                </c:pt>
                <c:pt idx="9">
                  <c:v>0.438</c:v>
                </c:pt>
                <c:pt idx="10">
                  <c:v>0.47799999999999998</c:v>
                </c:pt>
                <c:pt idx="11">
                  <c:v>0.55900000000000005</c:v>
                </c:pt>
                <c:pt idx="12">
                  <c:v>0.59899999999999998</c:v>
                </c:pt>
                <c:pt idx="13">
                  <c:v>0.67300000000000004</c:v>
                </c:pt>
                <c:pt idx="14">
                  <c:v>0.72099999999999997</c:v>
                </c:pt>
                <c:pt idx="15">
                  <c:v>0.78200000000000003</c:v>
                </c:pt>
              </c:numCache>
            </c:numRef>
          </c:val>
        </c:ser>
        <c:dLbls>
          <c:showLegendKey val="0"/>
          <c:showVal val="0"/>
          <c:showCatName val="0"/>
          <c:showSerName val="0"/>
          <c:showPercent val="0"/>
          <c:showBubbleSize val="0"/>
        </c:dLbls>
        <c:gapWidth val="150"/>
        <c:axId val="134874624"/>
        <c:axId val="134876160"/>
      </c:barChart>
      <c:catAx>
        <c:axId val="134874624"/>
        <c:scaling>
          <c:orientation val="minMax"/>
        </c:scaling>
        <c:delete val="0"/>
        <c:axPos val="b"/>
        <c:majorTickMark val="out"/>
        <c:minorTickMark val="none"/>
        <c:tickLblPos val="nextTo"/>
        <c:crossAx val="134876160"/>
        <c:crosses val="autoZero"/>
        <c:auto val="1"/>
        <c:lblAlgn val="ctr"/>
        <c:lblOffset val="100"/>
        <c:noMultiLvlLbl val="0"/>
      </c:catAx>
      <c:valAx>
        <c:axId val="134876160"/>
        <c:scaling>
          <c:orientation val="minMax"/>
        </c:scaling>
        <c:delete val="0"/>
        <c:axPos val="l"/>
        <c:title>
          <c:tx>
            <c:rich>
              <a:bodyPr rot="-5400000" vert="horz"/>
              <a:lstStyle/>
              <a:p>
                <a:pPr>
                  <a:defRPr/>
                </a:pPr>
                <a:r>
                  <a:rPr lang="en-US"/>
                  <a:t>ibeu (D5)</a:t>
                </a:r>
              </a:p>
            </c:rich>
          </c:tx>
          <c:overlay val="0"/>
        </c:title>
        <c:numFmt formatCode="#,##0.000" sourceLinked="0"/>
        <c:majorTickMark val="out"/>
        <c:minorTickMark val="none"/>
        <c:tickLblPos val="nextTo"/>
        <c:crossAx val="134874624"/>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6">
                <a:lumMod val="20000"/>
                <a:lumOff val="80000"/>
              </a:schemeClr>
            </a:solidFill>
            <a:ln>
              <a:solidFill>
                <a:schemeClr val="tx1">
                  <a:lumMod val="95000"/>
                  <a:lumOff val="5000"/>
                </a:schemeClr>
              </a:solidFill>
            </a:ln>
          </c:spPr>
          <c:invertIfNegative val="0"/>
          <c:dLbls>
            <c:numFmt formatCode="#,##0.00" sourceLinked="0"/>
            <c:txPr>
              <a:bodyPr/>
              <a:lstStyle/>
              <a:p>
                <a:pPr>
                  <a:defRPr b="1"/>
                </a:pPr>
                <a:endParaRPr lang="pt-BR"/>
              </a:p>
            </c:txPr>
            <c:showLegendKey val="0"/>
            <c:showVal val="1"/>
            <c:showCatName val="0"/>
            <c:showSerName val="0"/>
            <c:showPercent val="0"/>
            <c:showBubbleSize val="0"/>
            <c:showLeaderLines val="0"/>
          </c:dLbls>
          <c:cat>
            <c:strRef>
              <c:f>(para_graficos!$BE$165,para_graficos!$BE$166,para_graficos!$BE$167,para_graficos!$BE$168,para_graficos!$BE$169,para_graficos!$BF$169)</c:f>
              <c:strCache>
                <c:ptCount val="5"/>
                <c:pt idx="0">
                  <c:v>Belo Horizonte (2015)</c:v>
                </c:pt>
                <c:pt idx="1">
                  <c:v>Distrito Federal (2015)</c:v>
                </c:pt>
                <c:pt idx="2">
                  <c:v>Rio de Janeiro (2014)</c:v>
                </c:pt>
                <c:pt idx="3">
                  <c:v>São Paulo (2014)</c:v>
                </c:pt>
                <c:pt idx="4">
                  <c:v>densidade mínima recomendada</c:v>
                </c:pt>
              </c:strCache>
            </c:strRef>
          </c:cat>
          <c:val>
            <c:numRef>
              <c:f>(para_graficos!$AK$165,para_graficos!$AK$166,para_graficos!$AJ$167,para_graficos!$AJ$168,para_graficos!$AJ$169)</c:f>
              <c:numCache>
                <c:formatCode>General</c:formatCode>
                <c:ptCount val="5"/>
                <c:pt idx="0">
                  <c:v>2.74</c:v>
                </c:pt>
                <c:pt idx="1">
                  <c:v>2.72</c:v>
                </c:pt>
                <c:pt idx="2">
                  <c:v>3.13</c:v>
                </c:pt>
                <c:pt idx="3">
                  <c:v>2.6</c:v>
                </c:pt>
                <c:pt idx="4">
                  <c:v>10</c:v>
                </c:pt>
              </c:numCache>
            </c:numRef>
          </c:val>
        </c:ser>
        <c:dLbls>
          <c:showLegendKey val="0"/>
          <c:showVal val="0"/>
          <c:showCatName val="0"/>
          <c:showSerName val="0"/>
          <c:showPercent val="0"/>
          <c:showBubbleSize val="0"/>
        </c:dLbls>
        <c:gapWidth val="150"/>
        <c:axId val="134913408"/>
        <c:axId val="134927488"/>
      </c:barChart>
      <c:catAx>
        <c:axId val="134913408"/>
        <c:scaling>
          <c:orientation val="minMax"/>
        </c:scaling>
        <c:delete val="0"/>
        <c:axPos val="b"/>
        <c:numFmt formatCode="General" sourceLinked="1"/>
        <c:majorTickMark val="out"/>
        <c:minorTickMark val="none"/>
        <c:tickLblPos val="nextTo"/>
        <c:crossAx val="134927488"/>
        <c:crosses val="autoZero"/>
        <c:auto val="1"/>
        <c:lblAlgn val="ctr"/>
        <c:lblOffset val="100"/>
        <c:noMultiLvlLbl val="0"/>
      </c:catAx>
      <c:valAx>
        <c:axId val="134927488"/>
        <c:scaling>
          <c:orientation val="minMax"/>
        </c:scaling>
        <c:delete val="0"/>
        <c:axPos val="l"/>
        <c:title>
          <c:tx>
            <c:rich>
              <a:bodyPr rot="-5400000" vert="horz"/>
              <a:lstStyle/>
              <a:p>
                <a:pPr>
                  <a:defRPr/>
                </a:pPr>
                <a:r>
                  <a:rPr lang="en-US"/>
                  <a:t>densidade b </a:t>
                </a:r>
              </a:p>
              <a:p>
                <a:pPr>
                  <a:defRPr/>
                </a:pPr>
                <a:r>
                  <a:rPr lang="en-US"/>
                  <a:t>(n.º de estações por km</a:t>
                </a:r>
                <a:r>
                  <a:rPr lang="en-US" baseline="30000"/>
                  <a:t>2</a:t>
                </a:r>
                <a:r>
                  <a:rPr lang="en-US"/>
                  <a:t>)</a:t>
                </a:r>
                <a:endParaRPr lang="en-US" baseline="30000"/>
              </a:p>
            </c:rich>
          </c:tx>
          <c:overlay val="0"/>
        </c:title>
        <c:numFmt formatCode="General" sourceLinked="1"/>
        <c:majorTickMark val="out"/>
        <c:minorTickMark val="none"/>
        <c:tickLblPos val="nextTo"/>
        <c:crossAx val="134913408"/>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21211864645951"/>
          <c:y val="3.6943744752308987E-2"/>
          <c:w val="0.85868969604605883"/>
          <c:h val="0.88408047230871956"/>
        </c:manualLayout>
      </c:layout>
      <c:barChart>
        <c:barDir val="col"/>
        <c:grouping val="clustered"/>
        <c:varyColors val="0"/>
        <c:ser>
          <c:idx val="1"/>
          <c:order val="1"/>
          <c:tx>
            <c:v>acréscimo anual</c:v>
          </c:tx>
          <c:spPr>
            <a:solidFill>
              <a:schemeClr val="accent1">
                <a:lumMod val="60000"/>
                <a:lumOff val="40000"/>
              </a:schemeClr>
            </a:solidFill>
            <a:ln>
              <a:solidFill>
                <a:schemeClr val="tx1">
                  <a:lumMod val="95000"/>
                  <a:lumOff val="5000"/>
                </a:schemeClr>
              </a:solidFill>
            </a:ln>
          </c:spPr>
          <c:invertIfNegative val="0"/>
          <c:dLbls>
            <c:dLbl>
              <c:idx val="8"/>
              <c:layout>
                <c:manualLayout>
                  <c:x val="1.8912529550827422E-3"/>
                  <c:y val="0"/>
                </c:manualLayout>
              </c:layout>
              <c:dLblPos val="outEnd"/>
              <c:showLegendKey val="0"/>
              <c:showVal val="1"/>
              <c:showCatName val="0"/>
              <c:showSerName val="0"/>
              <c:showPercent val="0"/>
              <c:showBubbleSize val="0"/>
            </c:dLbl>
            <c:dLbl>
              <c:idx val="9"/>
              <c:layout>
                <c:manualLayout>
                  <c:x val="5.6736099476927086E-3"/>
                  <c:y val="0"/>
                </c:manualLayout>
              </c:layout>
              <c:dLblPos val="outEnd"/>
              <c:showLegendKey val="0"/>
              <c:showVal val="1"/>
              <c:showCatName val="0"/>
              <c:showSerName val="0"/>
              <c:showPercent val="0"/>
              <c:showBubbleSize val="0"/>
            </c:dLbl>
            <c:dLbl>
              <c:idx val="10"/>
              <c:layout>
                <c:manualLayout>
                  <c:x val="3.7825059101654845E-3"/>
                  <c:y val="0"/>
                </c:manualLayout>
              </c:layout>
              <c:dLblPos val="outEnd"/>
              <c:showLegendKey val="0"/>
              <c:showVal val="1"/>
              <c:showCatName val="0"/>
              <c:showSerName val="0"/>
              <c:showPercent val="0"/>
              <c:showBubbleSize val="0"/>
            </c:dLbl>
            <c:dLbl>
              <c:idx val="11"/>
              <c:layout>
                <c:manualLayout>
                  <c:x val="3.7825059101654845E-3"/>
                  <c:y val="0"/>
                </c:manualLayout>
              </c:layout>
              <c:dLblPos val="outEnd"/>
              <c:showLegendKey val="0"/>
              <c:showVal val="1"/>
              <c:showCatName val="0"/>
              <c:showSerName val="0"/>
              <c:showPercent val="0"/>
              <c:showBubbleSize val="0"/>
            </c:dLbl>
            <c:dLbl>
              <c:idx val="12"/>
              <c:layout>
                <c:manualLayout>
                  <c:x val="5.6737588652482273E-3"/>
                  <c:y val="0"/>
                </c:manualLayout>
              </c:layout>
              <c:dLblPos val="outEnd"/>
              <c:showLegendKey val="0"/>
              <c:showVal val="1"/>
              <c:showCatName val="0"/>
              <c:showSerName val="0"/>
              <c:showPercent val="0"/>
              <c:showBubbleSize val="0"/>
            </c:dLbl>
            <c:numFmt formatCode="#,##0.00" sourceLinked="0"/>
            <c:txPr>
              <a:bodyPr/>
              <a:lstStyle/>
              <a:p>
                <a:pPr>
                  <a:defRPr sz="800" b="1">
                    <a:solidFill>
                      <a:srgbClr val="002060"/>
                    </a:solidFill>
                  </a:defRPr>
                </a:pPr>
                <a:endParaRPr lang="pt-BR"/>
              </a:p>
            </c:txPr>
            <c:dLblPos val="outEnd"/>
            <c:showLegendKey val="0"/>
            <c:showVal val="1"/>
            <c:showCatName val="0"/>
            <c:showSerName val="0"/>
            <c:showPercent val="0"/>
            <c:showBubbleSize val="0"/>
            <c:showLeaderLines val="0"/>
          </c:dLbls>
          <c:cat>
            <c:numRef>
              <c:f>(para_graficos!$Y$3:$AK$3,para_graficos!$AM$3)</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para_graficos!$Y$274:$AK$274</c:f>
              <c:numCache>
                <c:formatCode>0.00</c:formatCode>
                <c:ptCount val="13"/>
                <c:pt idx="0">
                  <c:v>11.55</c:v>
                </c:pt>
                <c:pt idx="1">
                  <c:v>0</c:v>
                </c:pt>
                <c:pt idx="2">
                  <c:v>0</c:v>
                </c:pt>
                <c:pt idx="3">
                  <c:v>0</c:v>
                </c:pt>
                <c:pt idx="4">
                  <c:v>3.5</c:v>
                </c:pt>
                <c:pt idx="5">
                  <c:v>8.76</c:v>
                </c:pt>
                <c:pt idx="6">
                  <c:v>0</c:v>
                </c:pt>
                <c:pt idx="7">
                  <c:v>0</c:v>
                </c:pt>
                <c:pt idx="8">
                  <c:v>8.1</c:v>
                </c:pt>
                <c:pt idx="9">
                  <c:v>11.49</c:v>
                </c:pt>
                <c:pt idx="10">
                  <c:v>15.83</c:v>
                </c:pt>
                <c:pt idx="11">
                  <c:v>11.19</c:v>
                </c:pt>
                <c:pt idx="12">
                  <c:v>12.86</c:v>
                </c:pt>
              </c:numCache>
            </c:numRef>
          </c:val>
        </c:ser>
        <c:dLbls>
          <c:showLegendKey val="0"/>
          <c:showVal val="0"/>
          <c:showCatName val="0"/>
          <c:showSerName val="0"/>
          <c:showPercent val="0"/>
          <c:showBubbleSize val="0"/>
        </c:dLbls>
        <c:gapWidth val="150"/>
        <c:axId val="109066880"/>
        <c:axId val="109105536"/>
      </c:barChart>
      <c:lineChart>
        <c:grouping val="standard"/>
        <c:varyColors val="0"/>
        <c:ser>
          <c:idx val="0"/>
          <c:order val="0"/>
          <c:tx>
            <c:v>total                       EV b</c:v>
          </c:tx>
          <c:spPr>
            <a:ln w="22225">
              <a:solidFill>
                <a:schemeClr val="accent3">
                  <a:lumMod val="75000"/>
                </a:schemeClr>
              </a:solidFill>
            </a:ln>
          </c:spPr>
          <c:marker>
            <c:symbol val="diamond"/>
            <c:size val="7"/>
            <c:spPr>
              <a:solidFill>
                <a:schemeClr val="accent3">
                  <a:lumMod val="75000"/>
                </a:schemeClr>
              </a:solidFill>
              <a:ln>
                <a:solidFill>
                  <a:schemeClr val="accent3">
                    <a:lumMod val="50000"/>
                  </a:schemeClr>
                </a:solidFill>
              </a:ln>
            </c:spPr>
          </c:marker>
          <c:dLbls>
            <c:dLbl>
              <c:idx val="0"/>
              <c:delete val="1"/>
            </c:dLbl>
            <c:dLbl>
              <c:idx val="1"/>
              <c:delete val="1"/>
            </c:dLbl>
            <c:dLbl>
              <c:idx val="2"/>
              <c:delete val="1"/>
            </c:dLbl>
            <c:dLbl>
              <c:idx val="4"/>
              <c:layout>
                <c:manualLayout>
                  <c:x val="-6.4874664860440828E-2"/>
                  <c:y val="-5.4315767204162452E-2"/>
                </c:manualLayout>
              </c:layout>
              <c:dLblPos val="r"/>
              <c:showLegendKey val="0"/>
              <c:showVal val="1"/>
              <c:showCatName val="0"/>
              <c:showSerName val="0"/>
              <c:showPercent val="0"/>
              <c:showBubbleSize val="0"/>
            </c:dLbl>
            <c:dLbl>
              <c:idx val="6"/>
              <c:delete val="1"/>
            </c:dLbl>
            <c:dLbl>
              <c:idx val="7"/>
              <c:layout>
                <c:manualLayout>
                  <c:x val="-6.7742048372985642E-2"/>
                  <c:y val="-4.4240200453532726E-2"/>
                </c:manualLayout>
              </c:layout>
              <c:dLblPos val="r"/>
              <c:showLegendKey val="0"/>
              <c:showVal val="1"/>
              <c:showCatName val="0"/>
              <c:showSerName val="0"/>
              <c:showPercent val="0"/>
              <c:showBubbleSize val="0"/>
            </c:dLbl>
            <c:dLbl>
              <c:idx val="8"/>
              <c:layout>
                <c:manualLayout>
                  <c:x val="1.075155928089634E-3"/>
                  <c:y val="-1.4013500201643561E-2"/>
                </c:manualLayout>
              </c:layout>
              <c:dLblPos val="r"/>
              <c:showLegendKey val="0"/>
              <c:showVal val="1"/>
              <c:showCatName val="0"/>
              <c:showSerName val="0"/>
              <c:showPercent val="0"/>
              <c:showBubbleSize val="0"/>
            </c:dLbl>
            <c:dLbl>
              <c:idx val="9"/>
              <c:layout>
                <c:manualLayout>
                  <c:x val="-9.3548499985888864E-2"/>
                  <c:y val="-4.0881678203322822E-2"/>
                </c:manualLayout>
              </c:layout>
              <c:dLblPos val="r"/>
              <c:showLegendKey val="0"/>
              <c:showVal val="1"/>
              <c:showCatName val="0"/>
              <c:showSerName val="0"/>
              <c:showPercent val="0"/>
              <c:showBubbleSize val="0"/>
            </c:dLbl>
            <c:dLbl>
              <c:idx val="10"/>
              <c:layout>
                <c:manualLayout>
                  <c:x val="-8.7813732960799251E-2"/>
                  <c:y val="-4.7598722703742637E-2"/>
                </c:manualLayout>
              </c:layout>
              <c:dLblPos val="r"/>
              <c:showLegendKey val="0"/>
              <c:showVal val="1"/>
              <c:showCatName val="0"/>
              <c:showSerName val="0"/>
              <c:showPercent val="0"/>
              <c:showBubbleSize val="0"/>
            </c:dLbl>
            <c:dLbl>
              <c:idx val="11"/>
              <c:layout>
                <c:manualLayout>
                  <c:x val="-9.6416109276662998E-2"/>
                  <c:y val="-3.4164633702903006E-2"/>
                </c:manualLayout>
              </c:layout>
              <c:dLblPos val="r"/>
              <c:showLegendKey val="0"/>
              <c:showVal val="1"/>
              <c:showCatName val="0"/>
              <c:showSerName val="0"/>
              <c:showPercent val="0"/>
              <c:showBubbleSize val="0"/>
            </c:dLbl>
            <c:numFmt formatCode="#,##0.00" sourceLinked="0"/>
            <c:txPr>
              <a:bodyPr/>
              <a:lstStyle/>
              <a:p>
                <a:pPr>
                  <a:defRPr sz="900" b="1">
                    <a:solidFill>
                      <a:schemeClr val="accent3">
                        <a:lumMod val="50000"/>
                      </a:schemeClr>
                    </a:solidFill>
                  </a:defRPr>
                </a:pPr>
                <a:endParaRPr lang="pt-BR"/>
              </a:p>
            </c:txPr>
            <c:dLblPos val="t"/>
            <c:showLegendKey val="0"/>
            <c:showVal val="1"/>
            <c:showCatName val="0"/>
            <c:showSerName val="0"/>
            <c:showPercent val="0"/>
            <c:showBubbleSize val="0"/>
            <c:showLeaderLines val="0"/>
          </c:dLbls>
          <c:cat>
            <c:numRef>
              <c:f>(para_graficos!$Y$3:$AK$3,para_graficos!$AM$3)</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para_graficos!$Y$270:$AK$270</c:f>
              <c:numCache>
                <c:formatCode>General</c:formatCode>
                <c:ptCount val="13"/>
                <c:pt idx="0">
                  <c:v>11.55</c:v>
                </c:pt>
                <c:pt idx="1">
                  <c:v>11.55</c:v>
                </c:pt>
                <c:pt idx="2">
                  <c:v>11.55</c:v>
                </c:pt>
                <c:pt idx="3">
                  <c:v>11.55</c:v>
                </c:pt>
                <c:pt idx="4">
                  <c:v>15.05</c:v>
                </c:pt>
                <c:pt idx="5">
                  <c:v>23.810000000000002</c:v>
                </c:pt>
                <c:pt idx="6">
                  <c:v>23.810000000000002</c:v>
                </c:pt>
                <c:pt idx="7">
                  <c:v>23.810000000000002</c:v>
                </c:pt>
                <c:pt idx="8">
                  <c:v>31.910000000000004</c:v>
                </c:pt>
                <c:pt idx="9">
                  <c:v>43.400000000000006</c:v>
                </c:pt>
                <c:pt idx="10">
                  <c:v>59.230000000000004</c:v>
                </c:pt>
                <c:pt idx="11">
                  <c:v>70.42</c:v>
                </c:pt>
                <c:pt idx="12">
                  <c:v>83.28</c:v>
                </c:pt>
              </c:numCache>
            </c:numRef>
          </c:val>
          <c:smooth val="0"/>
        </c:ser>
        <c:dLbls>
          <c:showLegendKey val="0"/>
          <c:showVal val="0"/>
          <c:showCatName val="0"/>
          <c:showSerName val="0"/>
          <c:showPercent val="0"/>
          <c:showBubbleSize val="0"/>
        </c:dLbls>
        <c:marker val="1"/>
        <c:smooth val="0"/>
        <c:axId val="109066880"/>
        <c:axId val="109105536"/>
      </c:lineChart>
      <c:catAx>
        <c:axId val="109066880"/>
        <c:scaling>
          <c:orientation val="minMax"/>
        </c:scaling>
        <c:delete val="0"/>
        <c:axPos val="b"/>
        <c:numFmt formatCode="General" sourceLinked="1"/>
        <c:majorTickMark val="out"/>
        <c:minorTickMark val="none"/>
        <c:tickLblPos val="nextTo"/>
        <c:crossAx val="109105536"/>
        <c:crosses val="autoZero"/>
        <c:auto val="1"/>
        <c:lblAlgn val="ctr"/>
        <c:lblOffset val="100"/>
        <c:noMultiLvlLbl val="0"/>
      </c:catAx>
      <c:valAx>
        <c:axId val="109105536"/>
        <c:scaling>
          <c:orientation val="minMax"/>
        </c:scaling>
        <c:delete val="0"/>
        <c:axPos val="l"/>
        <c:title>
          <c:tx>
            <c:rich>
              <a:bodyPr rot="-5400000" vert="horz"/>
              <a:lstStyle/>
              <a:p>
                <a:pPr>
                  <a:defRPr/>
                </a:pPr>
                <a:r>
                  <a:rPr lang="en-US"/>
                  <a:t>km</a:t>
                </a:r>
              </a:p>
            </c:rich>
          </c:tx>
          <c:overlay val="0"/>
        </c:title>
        <c:numFmt formatCode="0" sourceLinked="0"/>
        <c:majorTickMark val="out"/>
        <c:minorTickMark val="none"/>
        <c:tickLblPos val="nextTo"/>
        <c:crossAx val="109066880"/>
        <c:crosses val="autoZero"/>
        <c:crossBetween val="between"/>
      </c:valAx>
    </c:plotArea>
    <c:legend>
      <c:legendPos val="r"/>
      <c:layout>
        <c:manualLayout>
          <c:xMode val="edge"/>
          <c:yMode val="edge"/>
          <c:x val="0.21484333813112072"/>
          <c:y val="5.5176289361814651E-2"/>
          <c:w val="0.24035379448536676"/>
          <c:h val="0.47319066225034206"/>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02567153849221"/>
          <c:y val="3.6943744752308987E-2"/>
          <c:w val="0.87043676107898549"/>
          <c:h val="0.88408047230871956"/>
        </c:manualLayout>
      </c:layout>
      <c:barChart>
        <c:barDir val="col"/>
        <c:grouping val="clustered"/>
        <c:varyColors val="0"/>
        <c:ser>
          <c:idx val="2"/>
          <c:order val="0"/>
          <c:tx>
            <c:v>meta anual</c:v>
          </c:tx>
          <c:spPr>
            <a:solidFill>
              <a:schemeClr val="bg1"/>
            </a:solidFill>
            <a:ln>
              <a:solidFill>
                <a:sysClr val="windowText" lastClr="000000"/>
              </a:solidFill>
            </a:ln>
          </c:spPr>
          <c:invertIfNegative val="0"/>
          <c:dLbls>
            <c:numFmt formatCode="#,##0" sourceLinked="0"/>
            <c:spPr>
              <a:ln>
                <a:solidFill>
                  <a:schemeClr val="tx1"/>
                </a:solidFill>
              </a:ln>
            </c:spPr>
            <c:txPr>
              <a:bodyPr/>
              <a:lstStyle/>
              <a:p>
                <a:pPr>
                  <a:defRPr sz="900" b="1"/>
                </a:pPr>
                <a:endParaRPr lang="pt-BR"/>
              </a:p>
            </c:txPr>
            <c:showLegendKey val="0"/>
            <c:showVal val="1"/>
            <c:showCatName val="0"/>
            <c:showSerName val="0"/>
            <c:showPercent val="0"/>
            <c:showBubbleSize val="0"/>
            <c:showLeaderLines val="0"/>
          </c:dLbls>
          <c:cat>
            <c:numRef>
              <c:f>(para_graficos!$Y$3:$AK$3,para_graficos!$AM$3,para_graficos!$AN$3)</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(para_graficos!$Y$275:$AK$275,para_graficos!$AM$275,para_graficos!$AN$275)</c:f>
              <c:numCache>
                <c:formatCode>0.00</c:formatCode>
                <c:ptCount val="15"/>
                <c:pt idx="8">
                  <c:v>56</c:v>
                </c:pt>
                <c:pt idx="9">
                  <c:v>110</c:v>
                </c:pt>
                <c:pt idx="10">
                  <c:v>75</c:v>
                </c:pt>
                <c:pt idx="11">
                  <c:v>21</c:v>
                </c:pt>
                <c:pt idx="12">
                  <c:v>59</c:v>
                </c:pt>
                <c:pt idx="13">
                  <c:v>60</c:v>
                </c:pt>
                <c:pt idx="14" formatCode="General">
                  <c:v>0</c:v>
                </c:pt>
              </c:numCache>
            </c:numRef>
          </c:val>
        </c:ser>
        <c:ser>
          <c:idx val="1"/>
          <c:order val="1"/>
          <c:tx>
            <c:v>acréscimo anual</c:v>
          </c:tx>
          <c:spPr>
            <a:solidFill>
              <a:schemeClr val="accent1">
                <a:lumMod val="60000"/>
                <a:lumOff val="40000"/>
              </a:schemeClr>
            </a:solidFill>
            <a:ln>
              <a:solidFill>
                <a:schemeClr val="tx1">
                  <a:lumMod val="95000"/>
                  <a:lumOff val="5000"/>
                </a:schemeClr>
              </a:solidFill>
            </a:ln>
          </c:spPr>
          <c:invertIfNegative val="0"/>
          <c:dLbls>
            <c:dLbl>
              <c:idx val="8"/>
              <c:layout>
                <c:manualLayout>
                  <c:x val="1.047502946278047E-2"/>
                  <c:y val="0"/>
                </c:manualLayout>
              </c:layout>
              <c:dLblPos val="outEnd"/>
              <c:showLegendKey val="0"/>
              <c:showVal val="1"/>
              <c:showCatName val="0"/>
              <c:showSerName val="0"/>
              <c:showPercent val="0"/>
              <c:showBubbleSize val="0"/>
            </c:dLbl>
            <c:dLbl>
              <c:idx val="9"/>
              <c:layout>
                <c:manualLayout>
                  <c:x val="1.4257259694443199E-2"/>
                  <c:y val="0"/>
                </c:manualLayout>
              </c:layout>
              <c:dLblPos val="outEnd"/>
              <c:showLegendKey val="0"/>
              <c:showVal val="1"/>
              <c:showCatName val="0"/>
              <c:showSerName val="0"/>
              <c:showPercent val="0"/>
              <c:showBubbleSize val="0"/>
            </c:dLbl>
            <c:dLbl>
              <c:idx val="10"/>
              <c:layout>
                <c:manualLayout>
                  <c:x val="9.504914894187446E-3"/>
                  <c:y val="6.7170445004198151E-3"/>
                </c:manualLayout>
              </c:layout>
              <c:dLblPos val="outEnd"/>
              <c:showLegendKey val="0"/>
              <c:showVal val="1"/>
              <c:showCatName val="0"/>
              <c:showSerName val="0"/>
              <c:showPercent val="0"/>
              <c:showBubbleSize val="0"/>
            </c:dLbl>
            <c:dLbl>
              <c:idx val="11"/>
              <c:layout>
                <c:manualLayout>
                  <c:x val="9.504914894187446E-3"/>
                  <c:y val="0"/>
                </c:manualLayout>
              </c:layout>
              <c:dLblPos val="outEnd"/>
              <c:showLegendKey val="0"/>
              <c:showVal val="1"/>
              <c:showCatName val="0"/>
              <c:showSerName val="0"/>
              <c:showPercent val="0"/>
              <c:showBubbleSize val="0"/>
            </c:dLbl>
            <c:dLbl>
              <c:idx val="12"/>
              <c:layout>
                <c:manualLayout>
                  <c:x val="1.4257484988119138E-2"/>
                  <c:y val="0"/>
                </c:manualLayout>
              </c:layout>
              <c:dLblPos val="outEnd"/>
              <c:showLegendKey val="0"/>
              <c:showVal val="1"/>
              <c:showCatName val="0"/>
              <c:showSerName val="0"/>
              <c:showPercent val="0"/>
              <c:showBubbleSize val="0"/>
            </c:dLbl>
            <c:numFmt formatCode="#,##0" sourceLinked="0"/>
            <c:txPr>
              <a:bodyPr/>
              <a:lstStyle/>
              <a:p>
                <a:pPr>
                  <a:defRPr sz="800" b="1">
                    <a:solidFill>
                      <a:srgbClr val="002060"/>
                    </a:solidFill>
                  </a:defRPr>
                </a:pPr>
                <a:endParaRPr lang="pt-BR"/>
              </a:p>
            </c:txPr>
            <c:dLblPos val="outEnd"/>
            <c:showLegendKey val="0"/>
            <c:showVal val="1"/>
            <c:showCatName val="0"/>
            <c:showSerName val="0"/>
            <c:showPercent val="0"/>
            <c:showBubbleSize val="0"/>
            <c:showLeaderLines val="0"/>
          </c:dLbls>
          <c:cat>
            <c:numRef>
              <c:f>(para_graficos!$Y$3:$AK$3,para_graficos!$AM$3,para_graficos!$AN$3)</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para_graficos!$Y$274:$AK$274</c:f>
              <c:numCache>
                <c:formatCode>0.00</c:formatCode>
                <c:ptCount val="13"/>
                <c:pt idx="0">
                  <c:v>11.55</c:v>
                </c:pt>
                <c:pt idx="1">
                  <c:v>0</c:v>
                </c:pt>
                <c:pt idx="2">
                  <c:v>0</c:v>
                </c:pt>
                <c:pt idx="3">
                  <c:v>0</c:v>
                </c:pt>
                <c:pt idx="4">
                  <c:v>3.5</c:v>
                </c:pt>
                <c:pt idx="5">
                  <c:v>8.76</c:v>
                </c:pt>
                <c:pt idx="6">
                  <c:v>0</c:v>
                </c:pt>
                <c:pt idx="7">
                  <c:v>0</c:v>
                </c:pt>
                <c:pt idx="8">
                  <c:v>8.1</c:v>
                </c:pt>
                <c:pt idx="9">
                  <c:v>11.49</c:v>
                </c:pt>
                <c:pt idx="10">
                  <c:v>15.83</c:v>
                </c:pt>
                <c:pt idx="11">
                  <c:v>11.19</c:v>
                </c:pt>
                <c:pt idx="12">
                  <c:v>12.86</c:v>
                </c:pt>
              </c:numCache>
            </c:numRef>
          </c:val>
        </c:ser>
        <c:dLbls>
          <c:showLegendKey val="0"/>
          <c:showVal val="0"/>
          <c:showCatName val="0"/>
          <c:showSerName val="0"/>
          <c:showPercent val="0"/>
          <c:showBubbleSize val="0"/>
        </c:dLbls>
        <c:gapWidth val="150"/>
        <c:axId val="109132032"/>
        <c:axId val="109146112"/>
      </c:barChart>
      <c:catAx>
        <c:axId val="109132032"/>
        <c:scaling>
          <c:orientation val="minMax"/>
        </c:scaling>
        <c:delete val="0"/>
        <c:axPos val="b"/>
        <c:numFmt formatCode="General" sourceLinked="1"/>
        <c:majorTickMark val="out"/>
        <c:minorTickMark val="none"/>
        <c:tickLblPos val="nextTo"/>
        <c:txPr>
          <a:bodyPr/>
          <a:lstStyle/>
          <a:p>
            <a:pPr>
              <a:defRPr sz="900"/>
            </a:pPr>
            <a:endParaRPr lang="pt-BR"/>
          </a:p>
        </c:txPr>
        <c:crossAx val="109146112"/>
        <c:crosses val="autoZero"/>
        <c:auto val="1"/>
        <c:lblAlgn val="ctr"/>
        <c:lblOffset val="100"/>
        <c:noMultiLvlLbl val="0"/>
      </c:catAx>
      <c:valAx>
        <c:axId val="109146112"/>
        <c:scaling>
          <c:orientation val="minMax"/>
        </c:scaling>
        <c:delete val="0"/>
        <c:axPos val="l"/>
        <c:title>
          <c:tx>
            <c:rich>
              <a:bodyPr rot="-5400000" vert="horz"/>
              <a:lstStyle/>
              <a:p>
                <a:pPr>
                  <a:defRPr/>
                </a:pPr>
                <a:r>
                  <a:rPr lang="en-US"/>
                  <a:t>km</a:t>
                </a:r>
              </a:p>
            </c:rich>
          </c:tx>
          <c:overlay val="0"/>
        </c:title>
        <c:numFmt formatCode="0" sourceLinked="0"/>
        <c:majorTickMark val="out"/>
        <c:minorTickMark val="none"/>
        <c:tickLblPos val="nextTo"/>
        <c:crossAx val="109132032"/>
        <c:crosses val="autoZero"/>
        <c:crossBetween val="between"/>
      </c:valAx>
    </c:plotArea>
    <c:legend>
      <c:legendPos val="r"/>
      <c:layout>
        <c:manualLayout>
          <c:xMode val="edge"/>
          <c:yMode val="edge"/>
          <c:x val="0.20757658126309098"/>
          <c:y val="3.8383678110765124E-2"/>
          <c:w val="0.20873256311433361"/>
          <c:h val="0.36571795024362502"/>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85000"/>
              </a:schemeClr>
            </a:solidFill>
            <a:ln>
              <a:solidFill>
                <a:schemeClr val="tx1"/>
              </a:solidFill>
            </a:ln>
          </c:spPr>
          <c:invertIfNegative val="0"/>
          <c:dPt>
            <c:idx val="3"/>
            <c:invertIfNegative val="0"/>
            <c:bubble3D val="0"/>
            <c:spPr>
              <a:solidFill>
                <a:schemeClr val="bg1">
                  <a:lumMod val="50000"/>
                </a:schemeClr>
              </a:solidFill>
              <a:ln>
                <a:solidFill>
                  <a:schemeClr val="tx1"/>
                </a:solidFill>
              </a:ln>
            </c:spPr>
          </c:dPt>
          <c:dLbls>
            <c:txPr>
              <a:bodyPr/>
              <a:lstStyle/>
              <a:p>
                <a:pPr>
                  <a:defRPr b="1"/>
                </a:pPr>
                <a:endParaRPr lang="pt-BR"/>
              </a:p>
            </c:txPr>
            <c:showLegendKey val="0"/>
            <c:showVal val="1"/>
            <c:showCatName val="0"/>
            <c:showSerName val="0"/>
            <c:showPercent val="0"/>
            <c:showBubbleSize val="0"/>
            <c:showLeaderLines val="0"/>
          </c:dLbls>
          <c:cat>
            <c:strRef>
              <c:f>(para_graficos!$D$810,para_graficos!$D$811,para_graficos!$D$812,para_graficos!$D$808)</c:f>
              <c:strCache>
                <c:ptCount val="4"/>
                <c:pt idx="0">
                  <c:v>Área Central</c:v>
                </c:pt>
                <c:pt idx="1">
                  <c:v>Antônio Carlos</c:v>
                </c:pt>
                <c:pt idx="2">
                  <c:v>Cristiano Machado</c:v>
                </c:pt>
                <c:pt idx="3">
                  <c:v>média do sistema</c:v>
                </c:pt>
              </c:strCache>
            </c:strRef>
          </c:cat>
          <c:val>
            <c:numRef>
              <c:f>(para_graficos!$AK$810,para_graficos!$AK$811,para_graficos!$AK$812,para_graficos!$AK$808)</c:f>
              <c:numCache>
                <c:formatCode>0%</c:formatCode>
                <c:ptCount val="4"/>
                <c:pt idx="0">
                  <c:v>0.65</c:v>
                </c:pt>
                <c:pt idx="1">
                  <c:v>0.62</c:v>
                </c:pt>
                <c:pt idx="2">
                  <c:v>0.61</c:v>
                </c:pt>
                <c:pt idx="3">
                  <c:v>0.62</c:v>
                </c:pt>
              </c:numCache>
            </c:numRef>
          </c:val>
        </c:ser>
        <c:dLbls>
          <c:showLegendKey val="0"/>
          <c:showVal val="0"/>
          <c:showCatName val="0"/>
          <c:showSerName val="0"/>
          <c:showPercent val="0"/>
          <c:showBubbleSize val="0"/>
        </c:dLbls>
        <c:gapWidth val="150"/>
        <c:axId val="108164224"/>
        <c:axId val="108165760"/>
      </c:barChart>
      <c:catAx>
        <c:axId val="108164224"/>
        <c:scaling>
          <c:orientation val="minMax"/>
        </c:scaling>
        <c:delete val="0"/>
        <c:axPos val="b"/>
        <c:majorTickMark val="out"/>
        <c:minorTickMark val="none"/>
        <c:tickLblPos val="nextTo"/>
        <c:crossAx val="108165760"/>
        <c:crosses val="autoZero"/>
        <c:auto val="1"/>
        <c:lblAlgn val="ctr"/>
        <c:lblOffset val="100"/>
        <c:noMultiLvlLbl val="0"/>
      </c:catAx>
      <c:valAx>
        <c:axId val="108165760"/>
        <c:scaling>
          <c:orientation val="minMax"/>
          <c:max val="1"/>
        </c:scaling>
        <c:delete val="0"/>
        <c:axPos val="l"/>
        <c:numFmt formatCode="0%" sourceLinked="1"/>
        <c:majorTickMark val="out"/>
        <c:minorTickMark val="none"/>
        <c:tickLblPos val="nextTo"/>
        <c:crossAx val="108164224"/>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85000"/>
              </a:schemeClr>
            </a:solidFill>
            <a:ln>
              <a:solidFill>
                <a:schemeClr val="tx1"/>
              </a:solidFill>
            </a:ln>
          </c:spPr>
          <c:invertIfNegative val="0"/>
          <c:dPt>
            <c:idx val="0"/>
            <c:invertIfNegative val="0"/>
            <c:bubble3D val="0"/>
            <c:spPr>
              <a:solidFill>
                <a:srgbClr val="E49CD6"/>
              </a:solidFill>
              <a:ln>
                <a:solidFill>
                  <a:schemeClr val="tx1"/>
                </a:solidFill>
              </a:ln>
            </c:spPr>
          </c:dPt>
          <c:dPt>
            <c:idx val="1"/>
            <c:invertIfNegative val="0"/>
            <c:bubble3D val="0"/>
            <c:spPr>
              <a:solidFill>
                <a:schemeClr val="accent3">
                  <a:lumMod val="60000"/>
                  <a:lumOff val="40000"/>
                </a:schemeClr>
              </a:solidFill>
              <a:ln>
                <a:solidFill>
                  <a:schemeClr val="tx1"/>
                </a:solidFill>
              </a:ln>
            </c:spPr>
          </c:dPt>
          <c:dPt>
            <c:idx val="2"/>
            <c:invertIfNegative val="0"/>
            <c:bubble3D val="0"/>
            <c:spPr>
              <a:solidFill>
                <a:schemeClr val="accent5">
                  <a:lumMod val="40000"/>
                  <a:lumOff val="60000"/>
                </a:schemeClr>
              </a:solidFill>
              <a:ln>
                <a:solidFill>
                  <a:schemeClr val="tx1"/>
                </a:solidFill>
              </a:ln>
            </c:spPr>
          </c:dPt>
          <c:dPt>
            <c:idx val="3"/>
            <c:invertIfNegative val="0"/>
            <c:bubble3D val="0"/>
            <c:spPr>
              <a:solidFill>
                <a:schemeClr val="accent6">
                  <a:lumMod val="60000"/>
                  <a:lumOff val="40000"/>
                </a:schemeClr>
              </a:solidFill>
              <a:ln>
                <a:solidFill>
                  <a:schemeClr val="tx1"/>
                </a:solidFill>
              </a:ln>
            </c:spPr>
          </c:dPt>
          <c:dPt>
            <c:idx val="4"/>
            <c:invertIfNegative val="0"/>
            <c:bubble3D val="0"/>
            <c:spPr>
              <a:solidFill>
                <a:schemeClr val="bg1">
                  <a:lumMod val="50000"/>
                </a:schemeClr>
              </a:solidFill>
              <a:ln>
                <a:solidFill>
                  <a:schemeClr val="tx1"/>
                </a:solidFill>
              </a:ln>
            </c:spPr>
          </c:dPt>
          <c:dLbls>
            <c:txPr>
              <a:bodyPr/>
              <a:lstStyle/>
              <a:p>
                <a:pPr>
                  <a:defRPr b="1"/>
                </a:pPr>
                <a:endParaRPr lang="pt-BR"/>
              </a:p>
            </c:txPr>
            <c:showLegendKey val="0"/>
            <c:showVal val="1"/>
            <c:showCatName val="0"/>
            <c:showSerName val="0"/>
            <c:showPercent val="0"/>
            <c:showBubbleSize val="0"/>
            <c:showLeaderLines val="0"/>
          </c:dLbls>
          <c:cat>
            <c:strRef>
              <c:f>(para_graficos!$D$813,para_graficos!$D$814,para_graficos!$D$815,para_graficos!$D$816,para_graficos!$D$808)</c:f>
              <c:strCache>
                <c:ptCount val="5"/>
                <c:pt idx="0">
                  <c:v>travessias</c:v>
                </c:pt>
                <c:pt idx="1">
                  <c:v>passarelas</c:v>
                </c:pt>
                <c:pt idx="2">
                  <c:v>acessos às plataformas</c:v>
                </c:pt>
                <c:pt idx="3">
                  <c:v>elementos das plataformas</c:v>
                </c:pt>
                <c:pt idx="4">
                  <c:v>média do sistema</c:v>
                </c:pt>
              </c:strCache>
            </c:strRef>
          </c:cat>
          <c:val>
            <c:numRef>
              <c:f>(para_graficos!$AK$813,para_graficos!$AK$814,para_graficos!$AK$815,para_graficos!$AK$816,para_graficos!$AK$808)</c:f>
              <c:numCache>
                <c:formatCode>0%</c:formatCode>
                <c:ptCount val="5"/>
                <c:pt idx="0">
                  <c:v>0.6</c:v>
                </c:pt>
                <c:pt idx="1">
                  <c:v>0.65</c:v>
                </c:pt>
                <c:pt idx="2">
                  <c:v>0.69</c:v>
                </c:pt>
                <c:pt idx="3">
                  <c:v>0.44</c:v>
                </c:pt>
                <c:pt idx="4">
                  <c:v>0.62</c:v>
                </c:pt>
              </c:numCache>
            </c:numRef>
          </c:val>
        </c:ser>
        <c:dLbls>
          <c:showLegendKey val="0"/>
          <c:showVal val="0"/>
          <c:showCatName val="0"/>
          <c:showSerName val="0"/>
          <c:showPercent val="0"/>
          <c:showBubbleSize val="0"/>
        </c:dLbls>
        <c:gapWidth val="150"/>
        <c:axId val="108274048"/>
        <c:axId val="108275584"/>
      </c:barChart>
      <c:catAx>
        <c:axId val="108274048"/>
        <c:scaling>
          <c:orientation val="minMax"/>
        </c:scaling>
        <c:delete val="0"/>
        <c:axPos val="b"/>
        <c:majorTickMark val="out"/>
        <c:minorTickMark val="none"/>
        <c:tickLblPos val="nextTo"/>
        <c:crossAx val="108275584"/>
        <c:crosses val="autoZero"/>
        <c:auto val="1"/>
        <c:lblAlgn val="ctr"/>
        <c:lblOffset val="100"/>
        <c:noMultiLvlLbl val="0"/>
      </c:catAx>
      <c:valAx>
        <c:axId val="108275584"/>
        <c:scaling>
          <c:orientation val="minMax"/>
          <c:max val="1"/>
        </c:scaling>
        <c:delete val="0"/>
        <c:axPos val="l"/>
        <c:numFmt formatCode="0%" sourceLinked="1"/>
        <c:majorTickMark val="out"/>
        <c:minorTickMark val="none"/>
        <c:tickLblPos val="nextTo"/>
        <c:crossAx val="108274048"/>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85000"/>
              </a:schemeClr>
            </a:solidFill>
            <a:ln>
              <a:solidFill>
                <a:schemeClr val="tx1"/>
              </a:solidFill>
            </a:ln>
          </c:spPr>
          <c:invertIfNegative val="0"/>
          <c:dPt>
            <c:idx val="0"/>
            <c:invertIfNegative val="0"/>
            <c:bubble3D val="0"/>
            <c:spPr>
              <a:solidFill>
                <a:srgbClr val="E49CD6"/>
              </a:solidFill>
              <a:ln>
                <a:solidFill>
                  <a:schemeClr val="tx1"/>
                </a:solidFill>
              </a:ln>
            </c:spPr>
          </c:dPt>
          <c:dPt>
            <c:idx val="1"/>
            <c:invertIfNegative val="0"/>
            <c:bubble3D val="0"/>
            <c:spPr>
              <a:solidFill>
                <a:srgbClr val="E49CD6"/>
              </a:solidFill>
              <a:ln>
                <a:solidFill>
                  <a:schemeClr val="tx1"/>
                </a:solidFill>
              </a:ln>
            </c:spPr>
          </c:dPt>
          <c:dPt>
            <c:idx val="2"/>
            <c:invertIfNegative val="0"/>
            <c:bubble3D val="0"/>
            <c:spPr>
              <a:solidFill>
                <a:srgbClr val="E49CD6"/>
              </a:solidFill>
              <a:ln>
                <a:solidFill>
                  <a:schemeClr val="tx1"/>
                </a:solidFill>
              </a:ln>
            </c:spPr>
          </c:dPt>
          <c:dPt>
            <c:idx val="3"/>
            <c:invertIfNegative val="0"/>
            <c:bubble3D val="0"/>
            <c:spPr>
              <a:solidFill>
                <a:schemeClr val="accent3">
                  <a:lumMod val="60000"/>
                  <a:lumOff val="40000"/>
                </a:schemeClr>
              </a:solidFill>
              <a:ln>
                <a:solidFill>
                  <a:schemeClr val="tx1"/>
                </a:solidFill>
              </a:ln>
            </c:spPr>
          </c:dPt>
          <c:dPt>
            <c:idx val="4"/>
            <c:invertIfNegative val="0"/>
            <c:bubble3D val="0"/>
            <c:spPr>
              <a:solidFill>
                <a:schemeClr val="accent3">
                  <a:lumMod val="60000"/>
                  <a:lumOff val="40000"/>
                </a:schemeClr>
              </a:solidFill>
              <a:ln>
                <a:solidFill>
                  <a:schemeClr val="tx1"/>
                </a:solidFill>
              </a:ln>
            </c:spPr>
          </c:dPt>
          <c:dPt>
            <c:idx val="5"/>
            <c:invertIfNegative val="0"/>
            <c:bubble3D val="0"/>
            <c:spPr>
              <a:solidFill>
                <a:schemeClr val="accent3">
                  <a:lumMod val="60000"/>
                  <a:lumOff val="40000"/>
                </a:schemeClr>
              </a:solidFill>
              <a:ln>
                <a:solidFill>
                  <a:schemeClr val="tx1"/>
                </a:solidFill>
              </a:ln>
            </c:spPr>
          </c:dPt>
          <c:dPt>
            <c:idx val="6"/>
            <c:invertIfNegative val="0"/>
            <c:bubble3D val="0"/>
            <c:spPr>
              <a:solidFill>
                <a:schemeClr val="accent3">
                  <a:lumMod val="60000"/>
                  <a:lumOff val="40000"/>
                </a:schemeClr>
              </a:solidFill>
              <a:ln>
                <a:solidFill>
                  <a:schemeClr val="tx1"/>
                </a:solidFill>
              </a:ln>
            </c:spPr>
          </c:dPt>
          <c:dPt>
            <c:idx val="7"/>
            <c:invertIfNegative val="0"/>
            <c:bubble3D val="0"/>
            <c:spPr>
              <a:solidFill>
                <a:schemeClr val="accent5">
                  <a:lumMod val="40000"/>
                  <a:lumOff val="60000"/>
                </a:schemeClr>
              </a:solidFill>
              <a:ln>
                <a:solidFill>
                  <a:schemeClr val="tx1"/>
                </a:solidFill>
              </a:ln>
            </c:spPr>
          </c:dPt>
          <c:dPt>
            <c:idx val="8"/>
            <c:invertIfNegative val="0"/>
            <c:bubble3D val="0"/>
            <c:spPr>
              <a:solidFill>
                <a:schemeClr val="accent5">
                  <a:lumMod val="40000"/>
                  <a:lumOff val="60000"/>
                </a:schemeClr>
              </a:solidFill>
              <a:ln>
                <a:solidFill>
                  <a:schemeClr val="tx1"/>
                </a:solidFill>
              </a:ln>
            </c:spPr>
          </c:dPt>
          <c:dPt>
            <c:idx val="9"/>
            <c:invertIfNegative val="0"/>
            <c:bubble3D val="0"/>
            <c:spPr>
              <a:solidFill>
                <a:schemeClr val="accent5">
                  <a:lumMod val="40000"/>
                  <a:lumOff val="60000"/>
                </a:schemeClr>
              </a:solidFill>
              <a:ln>
                <a:solidFill>
                  <a:schemeClr val="tx1"/>
                </a:solidFill>
              </a:ln>
            </c:spPr>
          </c:dPt>
          <c:dPt>
            <c:idx val="10"/>
            <c:invertIfNegative val="0"/>
            <c:bubble3D val="0"/>
            <c:spPr>
              <a:solidFill>
                <a:schemeClr val="accent6">
                  <a:lumMod val="60000"/>
                  <a:lumOff val="40000"/>
                </a:schemeClr>
              </a:solidFill>
              <a:ln>
                <a:solidFill>
                  <a:schemeClr val="tx1"/>
                </a:solidFill>
              </a:ln>
            </c:spPr>
          </c:dPt>
          <c:dPt>
            <c:idx val="11"/>
            <c:invertIfNegative val="0"/>
            <c:bubble3D val="0"/>
            <c:spPr>
              <a:solidFill>
                <a:schemeClr val="accent6">
                  <a:lumMod val="60000"/>
                  <a:lumOff val="40000"/>
                </a:schemeClr>
              </a:solidFill>
              <a:ln>
                <a:solidFill>
                  <a:schemeClr val="tx1"/>
                </a:solidFill>
              </a:ln>
            </c:spPr>
          </c:dPt>
          <c:dPt>
            <c:idx val="12"/>
            <c:invertIfNegative val="0"/>
            <c:bubble3D val="0"/>
            <c:spPr>
              <a:solidFill>
                <a:schemeClr val="accent6">
                  <a:lumMod val="60000"/>
                  <a:lumOff val="40000"/>
                </a:schemeClr>
              </a:solidFill>
              <a:ln>
                <a:solidFill>
                  <a:schemeClr val="tx1"/>
                </a:solidFill>
              </a:ln>
            </c:spPr>
          </c:dPt>
          <c:dPt>
            <c:idx val="14"/>
            <c:invertIfNegative val="0"/>
            <c:bubble3D val="0"/>
            <c:spPr>
              <a:solidFill>
                <a:schemeClr val="accent6">
                  <a:lumMod val="60000"/>
                  <a:lumOff val="40000"/>
                </a:schemeClr>
              </a:solidFill>
              <a:ln>
                <a:solidFill>
                  <a:schemeClr val="tx1"/>
                </a:solidFill>
              </a:ln>
            </c:spPr>
          </c:dPt>
          <c:dPt>
            <c:idx val="15"/>
            <c:invertIfNegative val="0"/>
            <c:bubble3D val="0"/>
            <c:spPr>
              <a:solidFill>
                <a:schemeClr val="accent6">
                  <a:lumMod val="60000"/>
                  <a:lumOff val="40000"/>
                </a:schemeClr>
              </a:solidFill>
              <a:ln>
                <a:solidFill>
                  <a:schemeClr val="tx1"/>
                </a:solidFill>
              </a:ln>
            </c:spPr>
          </c:dPt>
          <c:dPt>
            <c:idx val="16"/>
            <c:invertIfNegative val="0"/>
            <c:bubble3D val="0"/>
            <c:spPr>
              <a:solidFill>
                <a:schemeClr val="bg1">
                  <a:lumMod val="50000"/>
                </a:schemeClr>
              </a:solidFill>
              <a:ln>
                <a:solidFill>
                  <a:schemeClr val="tx1"/>
                </a:solidFill>
              </a:ln>
            </c:spPr>
          </c:dPt>
          <c:dLbls>
            <c:txPr>
              <a:bodyPr/>
              <a:lstStyle/>
              <a:p>
                <a:pPr>
                  <a:defRPr b="1"/>
                </a:pPr>
                <a:endParaRPr lang="pt-BR"/>
              </a:p>
            </c:txPr>
            <c:showLegendKey val="0"/>
            <c:showVal val="1"/>
            <c:showCatName val="0"/>
            <c:showSerName val="0"/>
            <c:showPercent val="0"/>
            <c:showBubbleSize val="0"/>
            <c:showLeaderLines val="0"/>
          </c:dLbls>
          <c:cat>
            <c:strRef>
              <c:f>(para_graficos!$D$832:$D$847,para_graficos!$D$808)</c:f>
              <c:strCache>
                <c:ptCount val="17"/>
                <c:pt idx="0">
                  <c:v>calçadas</c:v>
                </c:pt>
                <c:pt idx="1">
                  <c:v>rebaixos</c:v>
                </c:pt>
                <c:pt idx="2">
                  <c:v>travessias</c:v>
                </c:pt>
                <c:pt idx="3">
                  <c:v>geral passarelas</c:v>
                </c:pt>
                <c:pt idx="4">
                  <c:v>rampas passarelas</c:v>
                </c:pt>
                <c:pt idx="5">
                  <c:v>escadarias passarelas</c:v>
                </c:pt>
                <c:pt idx="6">
                  <c:v>corrimãos passarelas</c:v>
                </c:pt>
                <c:pt idx="7">
                  <c:v>rampas plataformas</c:v>
                </c:pt>
                <c:pt idx="8">
                  <c:v>escadarias plataformas</c:v>
                </c:pt>
                <c:pt idx="9">
                  <c:v>corrimãos plataformas</c:v>
                </c:pt>
                <c:pt idx="10">
                  <c:v>bilheterias</c:v>
                </c:pt>
                <c:pt idx="11">
                  <c:v>máquinas</c:v>
                </c:pt>
                <c:pt idx="12">
                  <c:v>catracas</c:v>
                </c:pt>
                <c:pt idx="13">
                  <c:v>mapas</c:v>
                </c:pt>
                <c:pt idx="14">
                  <c:v>geral plataformas</c:v>
                </c:pt>
                <c:pt idx="15">
                  <c:v>sinalização</c:v>
                </c:pt>
                <c:pt idx="16">
                  <c:v>média do sistema</c:v>
                </c:pt>
              </c:strCache>
            </c:strRef>
          </c:cat>
          <c:val>
            <c:numRef>
              <c:f>(para_graficos!$AK$832:$AK$847,para_graficos!$AK$808)</c:f>
              <c:numCache>
                <c:formatCode>0%</c:formatCode>
                <c:ptCount val="17"/>
                <c:pt idx="0">
                  <c:v>0.56000000000000005</c:v>
                </c:pt>
                <c:pt idx="1">
                  <c:v>0.64</c:v>
                </c:pt>
                <c:pt idx="2">
                  <c:v>0.6</c:v>
                </c:pt>
                <c:pt idx="3">
                  <c:v>0.86</c:v>
                </c:pt>
                <c:pt idx="4">
                  <c:v>0.72</c:v>
                </c:pt>
                <c:pt idx="5">
                  <c:v>0.38</c:v>
                </c:pt>
                <c:pt idx="6">
                  <c:v>0.62</c:v>
                </c:pt>
                <c:pt idx="7">
                  <c:v>0.84</c:v>
                </c:pt>
                <c:pt idx="8">
                  <c:v>0.53</c:v>
                </c:pt>
                <c:pt idx="9">
                  <c:v>0.71</c:v>
                </c:pt>
                <c:pt idx="10">
                  <c:v>0.4</c:v>
                </c:pt>
                <c:pt idx="11">
                  <c:v>0.25</c:v>
                </c:pt>
                <c:pt idx="12">
                  <c:v>0.95</c:v>
                </c:pt>
                <c:pt idx="13">
                  <c:v>0</c:v>
                </c:pt>
                <c:pt idx="14">
                  <c:v>0.57999999999999996</c:v>
                </c:pt>
                <c:pt idx="15">
                  <c:v>0.51</c:v>
                </c:pt>
                <c:pt idx="16">
                  <c:v>0.62</c:v>
                </c:pt>
              </c:numCache>
            </c:numRef>
          </c:val>
        </c:ser>
        <c:dLbls>
          <c:showLegendKey val="0"/>
          <c:showVal val="0"/>
          <c:showCatName val="0"/>
          <c:showSerName val="0"/>
          <c:showPercent val="0"/>
          <c:showBubbleSize val="0"/>
        </c:dLbls>
        <c:gapWidth val="150"/>
        <c:axId val="109174784"/>
        <c:axId val="109176320"/>
      </c:barChart>
      <c:catAx>
        <c:axId val="109174784"/>
        <c:scaling>
          <c:orientation val="minMax"/>
        </c:scaling>
        <c:delete val="0"/>
        <c:axPos val="b"/>
        <c:majorTickMark val="out"/>
        <c:minorTickMark val="none"/>
        <c:tickLblPos val="nextTo"/>
        <c:crossAx val="109176320"/>
        <c:crosses val="autoZero"/>
        <c:auto val="1"/>
        <c:lblAlgn val="ctr"/>
        <c:lblOffset val="100"/>
        <c:noMultiLvlLbl val="0"/>
      </c:catAx>
      <c:valAx>
        <c:axId val="109176320"/>
        <c:scaling>
          <c:orientation val="minMax"/>
          <c:max val="1"/>
        </c:scaling>
        <c:delete val="0"/>
        <c:axPos val="l"/>
        <c:numFmt formatCode="0%" sourceLinked="1"/>
        <c:majorTickMark val="out"/>
        <c:minorTickMark val="none"/>
        <c:tickLblPos val="nextTo"/>
        <c:crossAx val="109174784"/>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AN </c:v>
          </c:tx>
          <c:spPr>
            <a:ln w="31750">
              <a:solidFill>
                <a:schemeClr val="tx1">
                  <a:lumMod val="95000"/>
                  <a:lumOff val="5000"/>
                </a:schemeClr>
              </a:solidFill>
              <a:prstDash val="sysDot"/>
            </a:ln>
          </c:spPr>
          <c:marker>
            <c:symbol val="circle"/>
            <c:size val="5"/>
            <c:spPr>
              <a:solidFill>
                <a:srgbClr val="0070C0"/>
              </a:solidFill>
              <a:ln>
                <a:solidFill>
                  <a:schemeClr val="tx1"/>
                </a:solidFill>
              </a:ln>
            </c:spPr>
          </c:marker>
          <c:dLbls>
            <c:dLbl>
              <c:idx val="0"/>
              <c:layout>
                <c:manualLayout>
                  <c:x val="-6.101280878246234E-2"/>
                  <c:y val="-1.0416666666666666E-2"/>
                </c:manualLayout>
              </c:layout>
              <c:dLblPos val="r"/>
              <c:showLegendKey val="0"/>
              <c:showVal val="1"/>
              <c:showCatName val="0"/>
              <c:showSerName val="0"/>
              <c:showPercent val="0"/>
              <c:showBubbleSize val="0"/>
            </c:dLbl>
            <c:dLbl>
              <c:idx val="4"/>
              <c:layout>
                <c:manualLayout>
                  <c:x val="-8.1350411709949779E-4"/>
                  <c:y val="-2.6405522288755832E-2"/>
                </c:manualLayout>
              </c:layout>
              <c:dLblPos val="r"/>
              <c:showLegendKey val="0"/>
              <c:showVal val="1"/>
              <c:showCatName val="0"/>
              <c:showSerName val="0"/>
              <c:showPercent val="0"/>
              <c:showBubbleSize val="0"/>
            </c:dLbl>
            <c:numFmt formatCode="0%" sourceLinked="0"/>
            <c:spPr>
              <a:ln>
                <a:solidFill>
                  <a:schemeClr val="tx1"/>
                </a:solidFill>
              </a:ln>
            </c:spPr>
            <c:txPr>
              <a:bodyPr/>
              <a:lstStyle/>
              <a:p>
                <a:pPr>
                  <a:defRPr sz="1000" b="1"/>
                </a:pPr>
                <a:endParaRPr lang="pt-BR"/>
              </a:p>
            </c:txPr>
            <c:dLblPos val="b"/>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para_graficos!$AG$52:$AK$52</c:f>
              <c:numCache>
                <c:formatCode>0.00%</c:formatCode>
                <c:ptCount val="5"/>
                <c:pt idx="0">
                  <c:v>0.4943820224719101</c:v>
                </c:pt>
                <c:pt idx="1">
                  <c:v>0.83750000000000002</c:v>
                </c:pt>
                <c:pt idx="2">
                  <c:v>0.81739130434782614</c:v>
                </c:pt>
                <c:pt idx="3">
                  <c:v>0.75167785234899331</c:v>
                </c:pt>
                <c:pt idx="4">
                  <c:v>0.87577639751552794</c:v>
                </c:pt>
              </c:numCache>
            </c:numRef>
          </c:val>
          <c:smooth val="0"/>
        </c:ser>
        <c:ser>
          <c:idx val="2"/>
          <c:order val="1"/>
          <c:tx>
            <c:v>ANpc</c:v>
          </c:tx>
          <c:marker>
            <c:symbol val="diamond"/>
            <c:size val="5"/>
            <c:spPr>
              <a:solidFill>
                <a:schemeClr val="bg1"/>
              </a:solidFill>
              <a:ln>
                <a:solidFill>
                  <a:schemeClr val="tx1"/>
                </a:solidFill>
              </a:ln>
            </c:spPr>
          </c:marker>
          <c:dLbls>
            <c:dLbl>
              <c:idx val="0"/>
              <c:layout>
                <c:manualLayout>
                  <c:x val="-5.7758792314064347E-2"/>
                  <c:y val="3.3564814814814818E-2"/>
                </c:manualLayout>
              </c:layout>
              <c:dLblPos val="r"/>
              <c:showLegendKey val="0"/>
              <c:showVal val="1"/>
              <c:showCatName val="0"/>
              <c:showSerName val="0"/>
              <c:showPercent val="0"/>
              <c:showBubbleSize val="0"/>
            </c:dLbl>
            <c:dLbl>
              <c:idx val="2"/>
              <c:layout>
                <c:manualLayout>
                  <c:x val="-3.4167172918178848E-2"/>
                  <c:y val="4.7529940119760479E-2"/>
                </c:manualLayout>
              </c:layout>
              <c:dLblPos val="r"/>
              <c:showLegendKey val="0"/>
              <c:showVal val="1"/>
              <c:showCatName val="0"/>
              <c:showSerName val="0"/>
              <c:showPercent val="0"/>
              <c:showBubbleSize val="0"/>
            </c:dLbl>
            <c:dLbl>
              <c:idx val="3"/>
              <c:layout>
                <c:manualLayout>
                  <c:x val="-3.4167172918178911E-2"/>
                  <c:y val="4.7529940119760479E-2"/>
                </c:manualLayout>
              </c:layout>
              <c:dLblPos val="r"/>
              <c:showLegendKey val="0"/>
              <c:showVal val="1"/>
              <c:showCatName val="0"/>
              <c:showSerName val="0"/>
              <c:showPercent val="0"/>
              <c:showBubbleSize val="0"/>
            </c:dLbl>
            <c:dLbl>
              <c:idx val="4"/>
              <c:layout>
                <c:manualLayout>
                  <c:x val="8.1350411709949779E-4"/>
                  <c:y val="2.6405522288755822E-2"/>
                </c:manualLayout>
              </c:layout>
              <c:dLblPos val="r"/>
              <c:showLegendKey val="0"/>
              <c:showVal val="1"/>
              <c:showCatName val="0"/>
              <c:showSerName val="0"/>
              <c:showPercent val="0"/>
              <c:showBubbleSize val="0"/>
            </c:dLbl>
            <c:numFmt formatCode="0%" sourceLinked="0"/>
            <c:txPr>
              <a:bodyPr/>
              <a:lstStyle/>
              <a:p>
                <a:pPr>
                  <a:defRPr sz="1000" b="1"/>
                </a:pPr>
                <a:endParaRPr lang="pt-BR"/>
              </a:p>
            </c:txPr>
            <c:dLblPos val="t"/>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para_graficos!$AG$70:$AK$70</c:f>
              <c:numCache>
                <c:formatCode>0.00%</c:formatCode>
                <c:ptCount val="5"/>
                <c:pt idx="0">
                  <c:v>0.375</c:v>
                </c:pt>
                <c:pt idx="1">
                  <c:v>0.9</c:v>
                </c:pt>
                <c:pt idx="2">
                  <c:v>1</c:v>
                </c:pt>
                <c:pt idx="3">
                  <c:v>1</c:v>
                </c:pt>
                <c:pt idx="4">
                  <c:v>0.83333333333333337</c:v>
                </c:pt>
              </c:numCache>
            </c:numRef>
          </c:val>
          <c:smooth val="0"/>
        </c:ser>
        <c:dLbls>
          <c:showLegendKey val="0"/>
          <c:showVal val="0"/>
          <c:showCatName val="0"/>
          <c:showSerName val="0"/>
          <c:showPercent val="0"/>
          <c:showBubbleSize val="0"/>
        </c:dLbls>
        <c:marker val="1"/>
        <c:smooth val="0"/>
        <c:axId val="111674880"/>
        <c:axId val="111676416"/>
      </c:lineChart>
      <c:catAx>
        <c:axId val="111674880"/>
        <c:scaling>
          <c:orientation val="minMax"/>
        </c:scaling>
        <c:delete val="0"/>
        <c:axPos val="b"/>
        <c:numFmt formatCode="General" sourceLinked="1"/>
        <c:majorTickMark val="out"/>
        <c:minorTickMark val="none"/>
        <c:tickLblPos val="nextTo"/>
        <c:crossAx val="111676416"/>
        <c:crosses val="autoZero"/>
        <c:auto val="1"/>
        <c:lblAlgn val="ctr"/>
        <c:lblOffset val="100"/>
        <c:noMultiLvlLbl val="0"/>
      </c:catAx>
      <c:valAx>
        <c:axId val="111676416"/>
        <c:scaling>
          <c:orientation val="minMax"/>
          <c:max val="1"/>
        </c:scaling>
        <c:delete val="0"/>
        <c:axPos val="l"/>
        <c:numFmt formatCode="0%" sourceLinked="0"/>
        <c:majorTickMark val="out"/>
        <c:minorTickMark val="none"/>
        <c:tickLblPos val="nextTo"/>
        <c:crossAx val="111674880"/>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904471487138906E-2"/>
          <c:y val="3.2335410561342266E-2"/>
          <c:w val="0.66784747798598676"/>
          <c:h val="0.89854018467523744"/>
        </c:manualLayout>
      </c:layout>
      <c:lineChart>
        <c:grouping val="standard"/>
        <c:varyColors val="0"/>
        <c:ser>
          <c:idx val="0"/>
          <c:order val="0"/>
          <c:tx>
            <c:v>n.º de veículos</c:v>
          </c:tx>
          <c:spPr>
            <a:ln>
              <a:solidFill>
                <a:schemeClr val="tx1">
                  <a:lumMod val="50000"/>
                  <a:lumOff val="50000"/>
                </a:schemeClr>
              </a:solidFill>
            </a:ln>
          </c:spPr>
          <c:marker>
            <c:symbol val="square"/>
            <c:size val="5"/>
            <c:spPr>
              <a:solidFill>
                <a:schemeClr val="tx1">
                  <a:lumMod val="50000"/>
                  <a:lumOff val="50000"/>
                </a:schemeClr>
              </a:solidFill>
              <a:ln>
                <a:solidFill>
                  <a:schemeClr val="tx1">
                    <a:lumMod val="95000"/>
                    <a:lumOff val="5000"/>
                  </a:schemeClr>
                </a:solidFill>
              </a:ln>
            </c:spPr>
          </c:marker>
          <c:dLbls>
            <c:numFmt formatCode="#,##0" sourceLinked="0"/>
            <c:txPr>
              <a:bodyPr/>
              <a:lstStyle/>
              <a:p>
                <a:pPr>
                  <a:defRPr sz="900" b="1"/>
                </a:pPr>
                <a:endParaRPr lang="pt-BR"/>
              </a:p>
            </c:txPr>
            <c:dLblPos val="t"/>
            <c:showLegendKey val="0"/>
            <c:showVal val="1"/>
            <c:showCatName val="0"/>
            <c:showSerName val="0"/>
            <c:showPercent val="0"/>
            <c:showBubbleSize val="0"/>
            <c:showLeaderLines val="0"/>
          </c:dLbls>
          <c:cat>
            <c:numRef>
              <c:f>para_graficos!$AB$3:$AK$3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para_graficos!$AB$759:$AK$759</c:f>
              <c:numCache>
                <c:formatCode>#,##0</c:formatCode>
                <c:ptCount val="10"/>
                <c:pt idx="0">
                  <c:v>6048</c:v>
                </c:pt>
                <c:pt idx="1">
                  <c:v>6035</c:v>
                </c:pt>
                <c:pt idx="2">
                  <c:v>6027</c:v>
                </c:pt>
                <c:pt idx="3">
                  <c:v>6017</c:v>
                </c:pt>
                <c:pt idx="4">
                  <c:v>5998</c:v>
                </c:pt>
                <c:pt idx="5">
                  <c:v>5997</c:v>
                </c:pt>
                <c:pt idx="6">
                  <c:v>5991</c:v>
                </c:pt>
                <c:pt idx="7">
                  <c:v>6515</c:v>
                </c:pt>
                <c:pt idx="8">
                  <c:v>6613</c:v>
                </c:pt>
                <c:pt idx="9" formatCode="General">
                  <c:v>6915</c:v>
                </c:pt>
              </c:numCache>
            </c:numRef>
          </c:val>
          <c:smooth val="0"/>
        </c:ser>
        <c:ser>
          <c:idx val="1"/>
          <c:order val="1"/>
          <c:tx>
            <c:v>n.º de condutores auxiliares</c:v>
          </c:tx>
          <c:spPr>
            <a:ln>
              <a:solidFill>
                <a:schemeClr val="tx1">
                  <a:lumMod val="75000"/>
                  <a:lumOff val="25000"/>
                </a:schemeClr>
              </a:solidFill>
              <a:prstDash val="sysDot"/>
            </a:ln>
          </c:spPr>
          <c:marker>
            <c:symbol val="circle"/>
            <c:size val="5"/>
            <c:spPr>
              <a:solidFill>
                <a:schemeClr val="bg1"/>
              </a:solidFill>
              <a:ln>
                <a:solidFill>
                  <a:schemeClr val="tx1">
                    <a:lumMod val="95000"/>
                    <a:lumOff val="5000"/>
                  </a:schemeClr>
                </a:solidFill>
              </a:ln>
            </c:spPr>
          </c:marker>
          <c:dLbls>
            <c:dLbl>
              <c:idx val="7"/>
              <c:layout>
                <c:manualLayout>
                  <c:x val="-1.9407421125351546E-2"/>
                  <c:y val="3.7260800536818149E-2"/>
                </c:manualLayout>
              </c:layout>
              <c:dLblPos val="r"/>
              <c:showLegendKey val="0"/>
              <c:showVal val="1"/>
              <c:showCatName val="0"/>
              <c:showSerName val="0"/>
              <c:showPercent val="0"/>
              <c:showBubbleSize val="0"/>
            </c:dLbl>
            <c:dLbl>
              <c:idx val="8"/>
              <c:layout>
                <c:manualLayout>
                  <c:x val="-2.2181586276074465E-2"/>
                  <c:y val="3.6261804831169892E-2"/>
                </c:manualLayout>
              </c:layout>
              <c:dLblPos val="r"/>
              <c:showLegendKey val="0"/>
              <c:showVal val="1"/>
              <c:showCatName val="0"/>
              <c:showSerName val="0"/>
              <c:showPercent val="0"/>
              <c:showBubbleSize val="0"/>
            </c:dLbl>
            <c:numFmt formatCode="#,##0" sourceLinked="0"/>
            <c:txPr>
              <a:bodyPr/>
              <a:lstStyle/>
              <a:p>
                <a:pPr>
                  <a:defRPr sz="900" b="1"/>
                </a:pPr>
                <a:endParaRPr lang="pt-BR"/>
              </a:p>
            </c:txPr>
            <c:dLblPos val="b"/>
            <c:showLegendKey val="0"/>
            <c:showVal val="1"/>
            <c:showCatName val="0"/>
            <c:showSerName val="0"/>
            <c:showPercent val="0"/>
            <c:showBubbleSize val="0"/>
            <c:showLeaderLines val="0"/>
          </c:dLbls>
          <c:cat>
            <c:numRef>
              <c:f>para_graficos!$AB$3:$AK$3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para_graficos!$AB$156:$AK$156</c:f>
              <c:numCache>
                <c:formatCode>#,##0</c:formatCode>
                <c:ptCount val="10"/>
                <c:pt idx="0">
                  <c:v>5316</c:v>
                </c:pt>
                <c:pt idx="1">
                  <c:v>5167</c:v>
                </c:pt>
                <c:pt idx="2">
                  <c:v>5106</c:v>
                </c:pt>
                <c:pt idx="3">
                  <c:v>5142</c:v>
                </c:pt>
                <c:pt idx="4">
                  <c:v>5181</c:v>
                </c:pt>
                <c:pt idx="5">
                  <c:v>5279</c:v>
                </c:pt>
                <c:pt idx="6">
                  <c:v>5312</c:v>
                </c:pt>
                <c:pt idx="7">
                  <c:v>5903</c:v>
                </c:pt>
                <c:pt idx="8">
                  <c:v>6398</c:v>
                </c:pt>
                <c:pt idx="9" formatCode="General">
                  <c:v>6441</c:v>
                </c:pt>
              </c:numCache>
            </c:numRef>
          </c:val>
          <c:smooth val="0"/>
        </c:ser>
        <c:dLbls>
          <c:showLegendKey val="0"/>
          <c:showVal val="0"/>
          <c:showCatName val="0"/>
          <c:showSerName val="0"/>
          <c:showPercent val="0"/>
          <c:showBubbleSize val="0"/>
        </c:dLbls>
        <c:marker val="1"/>
        <c:smooth val="0"/>
        <c:axId val="108378752"/>
        <c:axId val="108392832"/>
      </c:lineChart>
      <c:catAx>
        <c:axId val="108378752"/>
        <c:scaling>
          <c:orientation val="minMax"/>
        </c:scaling>
        <c:delete val="0"/>
        <c:axPos val="b"/>
        <c:numFmt formatCode="General" sourceLinked="1"/>
        <c:majorTickMark val="out"/>
        <c:minorTickMark val="none"/>
        <c:tickLblPos val="nextTo"/>
        <c:crossAx val="108392832"/>
        <c:crosses val="autoZero"/>
        <c:auto val="1"/>
        <c:lblAlgn val="ctr"/>
        <c:lblOffset val="100"/>
        <c:noMultiLvlLbl val="0"/>
      </c:catAx>
      <c:valAx>
        <c:axId val="108392832"/>
        <c:scaling>
          <c:orientation val="minMax"/>
          <c:min val="4000"/>
        </c:scaling>
        <c:delete val="0"/>
        <c:axPos val="l"/>
        <c:title>
          <c:tx>
            <c:rich>
              <a:bodyPr rot="-5400000" vert="horz"/>
              <a:lstStyle/>
              <a:p>
                <a:pPr>
                  <a:defRPr/>
                </a:pPr>
                <a:r>
                  <a:rPr lang="en-US"/>
                  <a:t>n.º de veículos ou de condutores auxiliares</a:t>
                </a:r>
              </a:p>
            </c:rich>
          </c:tx>
          <c:overlay val="0"/>
        </c:title>
        <c:numFmt formatCode="#,##0" sourceLinked="1"/>
        <c:majorTickMark val="out"/>
        <c:minorTickMark val="none"/>
        <c:tickLblPos val="nextTo"/>
        <c:crossAx val="108378752"/>
        <c:crosses val="autoZero"/>
        <c:crossBetween val="between"/>
      </c:valAx>
    </c:plotArea>
    <c:legend>
      <c:legendPos val="r"/>
      <c:layout>
        <c:manualLayout>
          <c:xMode val="edge"/>
          <c:yMode val="edge"/>
          <c:x val="0.77608678520157814"/>
          <c:y val="0.10210947102539157"/>
          <c:w val="0.19190967478104132"/>
          <c:h val="0.32884140395399347"/>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spPr>
            <a:solidFill>
              <a:schemeClr val="bg1">
                <a:lumMod val="85000"/>
              </a:schemeClr>
            </a:solidFill>
            <a:ln>
              <a:solidFill>
                <a:schemeClr val="tx1">
                  <a:lumMod val="75000"/>
                  <a:lumOff val="25000"/>
                </a:schemeClr>
              </a:solidFill>
            </a:ln>
          </c:spPr>
          <c:invertIfNegative val="0"/>
          <c:dLbls>
            <c:dLbl>
              <c:idx val="0"/>
              <c:layout>
                <c:manualLayout>
                  <c:x val="-7.575757575757576E-3"/>
                  <c:y val="1.2066363096817837E-2"/>
                </c:manualLayout>
              </c:layout>
              <c:dLblPos val="outEnd"/>
              <c:showLegendKey val="0"/>
              <c:showVal val="1"/>
              <c:showCatName val="0"/>
              <c:showSerName val="0"/>
              <c:showPercent val="0"/>
              <c:showBubbleSize val="0"/>
            </c:dLbl>
            <c:dLbl>
              <c:idx val="2"/>
              <c:layout>
                <c:manualLayout>
                  <c:x val="-6.0606060606060606E-3"/>
                  <c:y val="-7.3738033763606211E-17"/>
                </c:manualLayout>
              </c:layout>
              <c:dLblPos val="outEnd"/>
              <c:showLegendKey val="0"/>
              <c:showVal val="1"/>
              <c:showCatName val="0"/>
              <c:showSerName val="0"/>
              <c:showPercent val="0"/>
              <c:showBubbleSize val="0"/>
            </c:dLbl>
            <c:dLbl>
              <c:idx val="4"/>
              <c:layout>
                <c:manualLayout>
                  <c:x val="-7.575757575757576E-3"/>
                  <c:y val="8.0442420645452251E-3"/>
                </c:manualLayout>
              </c:layout>
              <c:dLblPos val="outEnd"/>
              <c:showLegendKey val="0"/>
              <c:showVal val="1"/>
              <c:showCatName val="0"/>
              <c:showSerName val="0"/>
              <c:showPercent val="0"/>
              <c:showBubbleSize val="0"/>
            </c:dLbl>
            <c:dLbl>
              <c:idx val="5"/>
              <c:layout>
                <c:manualLayout>
                  <c:x val="-1.0606060606060607E-2"/>
                  <c:y val="4.0221210322726126E-3"/>
                </c:manualLayout>
              </c:layout>
              <c:dLblPos val="outEnd"/>
              <c:showLegendKey val="0"/>
              <c:showVal val="1"/>
              <c:showCatName val="0"/>
              <c:showSerName val="0"/>
              <c:showPercent val="0"/>
              <c:showBubbleSize val="0"/>
            </c:dLbl>
            <c:dLbl>
              <c:idx val="8"/>
              <c:layout>
                <c:manualLayout>
                  <c:x val="-9.0909090909090905E-3"/>
                  <c:y val="4.0221210322726126E-3"/>
                </c:manualLayout>
              </c:layout>
              <c:dLblPos val="outEnd"/>
              <c:showLegendKey val="0"/>
              <c:showVal val="1"/>
              <c:showCatName val="0"/>
              <c:showSerName val="0"/>
              <c:showPercent val="0"/>
              <c:showBubbleSize val="0"/>
            </c:dLbl>
            <c:dLbl>
              <c:idx val="10"/>
              <c:layout>
                <c:manualLayout>
                  <c:x val="-7.575757575757576E-3"/>
                  <c:y val="0"/>
                </c:manualLayout>
              </c:layout>
              <c:dLblPos val="outEnd"/>
              <c:showLegendKey val="0"/>
              <c:showVal val="1"/>
              <c:showCatName val="0"/>
              <c:showSerName val="0"/>
              <c:showPercent val="0"/>
              <c:showBubbleSize val="0"/>
            </c:dLbl>
            <c:txPr>
              <a:bodyPr/>
              <a:lstStyle/>
              <a:p>
                <a:pPr>
                  <a:defRPr sz="800"/>
                </a:pPr>
                <a:endParaRPr lang="pt-BR"/>
              </a:p>
            </c:txPr>
            <c:dLblPos val="outEnd"/>
            <c:showLegendKey val="0"/>
            <c:showVal val="1"/>
            <c:showCatName val="0"/>
            <c:showSerName val="0"/>
            <c:showPercent val="0"/>
            <c:showBubbleSize val="0"/>
            <c:showLeaderLines val="0"/>
          </c:dLbls>
          <c:cat>
            <c:strRef>
              <c:f>(para_graficos!$BE$773,para_graficos!$BE$774,para_graficos!$BE$775,para_graficos!$BE$772,para_graficos!$BE$781,para_graficos!$BE$760,para_graficos!$BE$769,para_graficos!$BE$770,para_graficos!$BE$759,para_graficos!$BE$771,para_graficos!$BE$768)</c:f>
              <c:strCache>
                <c:ptCount val="11"/>
                <c:pt idx="0">
                  <c:v>convencional</c:v>
                </c:pt>
                <c:pt idx="1">
                  <c:v>especial</c:v>
                </c:pt>
                <c:pt idx="2">
                  <c:v>lotação</c:v>
                </c:pt>
                <c:pt idx="3">
                  <c:v>acessível</c:v>
                </c:pt>
                <c:pt idx="4">
                  <c:v>total</c:v>
                </c:pt>
                <c:pt idx="5">
                  <c:v>Belo Horizonte</c:v>
                </c:pt>
                <c:pt idx="6">
                  <c:v>Ibirité</c:v>
                </c:pt>
                <c:pt idx="7">
                  <c:v>Ribeirão das Neves</c:v>
                </c:pt>
                <c:pt idx="8">
                  <c:v>sub-total gestão BHTrans</c:v>
                </c:pt>
                <c:pt idx="9">
                  <c:v>Sabará</c:v>
                </c:pt>
                <c:pt idx="10">
                  <c:v>Contagem</c:v>
                </c:pt>
              </c:strCache>
            </c:strRef>
          </c:cat>
          <c:val>
            <c:numRef>
              <c:f>(para_graficos!$AJ$773,para_graficos!$AJ$774,para_graficos!$AJ$775,para_graficos!$AJ$772,para_graficos!$AJ$781,para_graficos!$AJ$760,para_graficos!$AJ$769,para_graficos!$AJ$770,para_graficos!$AJ$759,para_graficos!$AJ$771,para_graficos!$AJ$768)</c:f>
              <c:numCache>
                <c:formatCode>General</c:formatCode>
                <c:ptCount val="11"/>
                <c:pt idx="0" formatCode="#,##0">
                  <c:v>6757</c:v>
                </c:pt>
                <c:pt idx="1">
                  <c:v>93</c:v>
                </c:pt>
                <c:pt idx="2">
                  <c:v>113</c:v>
                </c:pt>
                <c:pt idx="3">
                  <c:v>60</c:v>
                </c:pt>
                <c:pt idx="4" formatCode="#,##0">
                  <c:v>7023</c:v>
                </c:pt>
                <c:pt idx="5" formatCode="#,##0">
                  <c:v>6577</c:v>
                </c:pt>
                <c:pt idx="6">
                  <c:v>25</c:v>
                </c:pt>
                <c:pt idx="7">
                  <c:v>11</c:v>
                </c:pt>
                <c:pt idx="8" formatCode="#,##0">
                  <c:v>6613</c:v>
                </c:pt>
                <c:pt idx="9">
                  <c:v>28</c:v>
                </c:pt>
                <c:pt idx="10">
                  <c:v>382</c:v>
                </c:pt>
              </c:numCache>
            </c:numRef>
          </c:val>
        </c:ser>
        <c:ser>
          <c:idx val="1"/>
          <c:order val="1"/>
          <c:tx>
            <c:v>2015</c:v>
          </c:tx>
          <c:spPr>
            <a:solidFill>
              <a:schemeClr val="tx1">
                <a:lumMod val="65000"/>
                <a:lumOff val="35000"/>
              </a:schemeClr>
            </a:solidFill>
            <a:ln>
              <a:solidFill>
                <a:schemeClr val="tx1">
                  <a:lumMod val="95000"/>
                  <a:lumOff val="5000"/>
                </a:schemeClr>
              </a:solidFill>
            </a:ln>
          </c:spPr>
          <c:invertIfNegative val="0"/>
          <c:dLbls>
            <c:txPr>
              <a:bodyPr/>
              <a:lstStyle/>
              <a:p>
                <a:pPr>
                  <a:defRPr b="1"/>
                </a:pPr>
                <a:endParaRPr lang="pt-BR"/>
              </a:p>
            </c:txPr>
            <c:dLblPos val="outEnd"/>
            <c:showLegendKey val="0"/>
            <c:showVal val="1"/>
            <c:showCatName val="0"/>
            <c:showSerName val="0"/>
            <c:showPercent val="0"/>
            <c:showBubbleSize val="0"/>
            <c:showLeaderLines val="0"/>
          </c:dLbls>
          <c:val>
            <c:numRef>
              <c:f>(para_graficos!$AK$773,para_graficos!$AK$774,para_graficos!$AK$775,para_graficos!$AK$772,para_graficos!$AK$781,para_graficos!$AK$760,para_graficos!$AK$769,para_graficos!$AK$770,para_graficos!$AK$759,para_graficos!$AK$771,para_graficos!$AK$768)</c:f>
              <c:numCache>
                <c:formatCode>General</c:formatCode>
                <c:ptCount val="11"/>
                <c:pt idx="0">
                  <c:v>7076</c:v>
                </c:pt>
                <c:pt idx="1">
                  <c:v>76</c:v>
                </c:pt>
                <c:pt idx="2">
                  <c:v>113</c:v>
                </c:pt>
                <c:pt idx="3">
                  <c:v>60</c:v>
                </c:pt>
                <c:pt idx="4">
                  <c:v>7325</c:v>
                </c:pt>
                <c:pt idx="5">
                  <c:v>6879</c:v>
                </c:pt>
                <c:pt idx="6">
                  <c:v>25</c:v>
                </c:pt>
                <c:pt idx="7">
                  <c:v>11</c:v>
                </c:pt>
                <c:pt idx="8">
                  <c:v>6915</c:v>
                </c:pt>
                <c:pt idx="9">
                  <c:v>30</c:v>
                </c:pt>
                <c:pt idx="10">
                  <c:v>380</c:v>
                </c:pt>
              </c:numCache>
            </c:numRef>
          </c:val>
        </c:ser>
        <c:dLbls>
          <c:dLblPos val="outEnd"/>
          <c:showLegendKey val="0"/>
          <c:showVal val="1"/>
          <c:showCatName val="0"/>
          <c:showSerName val="0"/>
          <c:showPercent val="0"/>
          <c:showBubbleSize val="0"/>
        </c:dLbls>
        <c:gapWidth val="150"/>
        <c:axId val="134960640"/>
        <c:axId val="134962176"/>
      </c:barChart>
      <c:catAx>
        <c:axId val="134960640"/>
        <c:scaling>
          <c:orientation val="minMax"/>
        </c:scaling>
        <c:delete val="0"/>
        <c:axPos val="b"/>
        <c:majorTickMark val="out"/>
        <c:minorTickMark val="none"/>
        <c:tickLblPos val="nextTo"/>
        <c:crossAx val="134962176"/>
        <c:crosses val="autoZero"/>
        <c:auto val="1"/>
        <c:lblAlgn val="ctr"/>
        <c:lblOffset val="100"/>
        <c:noMultiLvlLbl val="0"/>
      </c:catAx>
      <c:valAx>
        <c:axId val="134962176"/>
        <c:scaling>
          <c:orientation val="minMax"/>
        </c:scaling>
        <c:delete val="0"/>
        <c:axPos val="l"/>
        <c:numFmt formatCode="#,##0" sourceLinked="1"/>
        <c:majorTickMark val="out"/>
        <c:minorTickMark val="none"/>
        <c:tickLblPos val="nextTo"/>
        <c:crossAx val="134960640"/>
        <c:crosses val="autoZero"/>
        <c:crossBetween val="between"/>
      </c:valAx>
    </c:plotArea>
    <c:legend>
      <c:legendPos val="r"/>
      <c:layout>
        <c:manualLayout>
          <c:xMode val="edge"/>
          <c:yMode val="edge"/>
          <c:x val="0.85004927225005966"/>
          <c:y val="0.23276328740157481"/>
          <c:w val="0.11510224290145549"/>
          <c:h val="0.11780675853018373"/>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85000"/>
              </a:schemeClr>
            </a:solidFill>
            <a:ln>
              <a:solidFill>
                <a:schemeClr val="tx1">
                  <a:lumMod val="95000"/>
                  <a:lumOff val="5000"/>
                </a:schemeClr>
              </a:solidFill>
            </a:ln>
          </c:spPr>
          <c:invertIfNegative val="0"/>
          <c:dLbls>
            <c:numFmt formatCode="#,##0.00" sourceLinked="0"/>
            <c:txPr>
              <a:bodyPr/>
              <a:lstStyle/>
              <a:p>
                <a:pPr>
                  <a:defRPr b="1"/>
                </a:pPr>
                <a:endParaRPr lang="pt-BR"/>
              </a:p>
            </c:txPr>
            <c:dLblPos val="outEnd"/>
            <c:showLegendKey val="0"/>
            <c:showVal val="1"/>
            <c:showCatName val="0"/>
            <c:showSerName val="0"/>
            <c:showPercent val="0"/>
            <c:showBubbleSize val="0"/>
            <c:showLeaderLines val="0"/>
          </c:dLbls>
          <c:cat>
            <c:strRef>
              <c:f>(para_graficos!$BE$761,para_graficos!$BE$762,para_graficos!$BE$763,para_graficos!$BE$764,para_graficos!$BE$765,para_graficos!$BE$766,para_graficos!$BE$767)</c:f>
              <c:strCache>
                <c:ptCount val="7"/>
                <c:pt idx="0">
                  <c:v>Belo Horizonte</c:v>
                </c:pt>
                <c:pt idx="1">
                  <c:v>&gt; 1 milhão habitantes</c:v>
                </c:pt>
                <c:pt idx="2">
                  <c:v>500 mil a 1 milhão habitantes</c:v>
                </c:pt>
                <c:pt idx="3">
                  <c:v>250 a 500 mil habitantes)</c:v>
                </c:pt>
                <c:pt idx="4">
                  <c:v>100 a 250 mil habitantes</c:v>
                </c:pt>
                <c:pt idx="5">
                  <c:v>60 a 100 mil habitantes</c:v>
                </c:pt>
                <c:pt idx="6">
                  <c:v>Brasil</c:v>
                </c:pt>
              </c:strCache>
            </c:strRef>
          </c:cat>
          <c:val>
            <c:numRef>
              <c:f>(para_graficos!$AK$761,para_graficos!$AI$762,para_graficos!$AI$763,para_graficos!$AI$764,para_graficos!$AI$765,para_graficos!$AI$766,para_graficos!$AI$767)</c:f>
              <c:numCache>
                <c:formatCode>General</c:formatCode>
                <c:ptCount val="7"/>
                <c:pt idx="0" formatCode="0.00">
                  <c:v>2.7487885390822266</c:v>
                </c:pt>
                <c:pt idx="1">
                  <c:v>2.73</c:v>
                </c:pt>
                <c:pt idx="2">
                  <c:v>1.1599999999999999</c:v>
                </c:pt>
                <c:pt idx="3">
                  <c:v>1</c:v>
                </c:pt>
                <c:pt idx="4">
                  <c:v>0.96</c:v>
                </c:pt>
                <c:pt idx="5">
                  <c:v>0.84</c:v>
                </c:pt>
                <c:pt idx="6">
                  <c:v>1.6</c:v>
                </c:pt>
              </c:numCache>
            </c:numRef>
          </c:val>
        </c:ser>
        <c:dLbls>
          <c:showLegendKey val="0"/>
          <c:showVal val="0"/>
          <c:showCatName val="0"/>
          <c:showSerName val="0"/>
          <c:showPercent val="0"/>
          <c:showBubbleSize val="0"/>
        </c:dLbls>
        <c:gapWidth val="150"/>
        <c:axId val="135003136"/>
        <c:axId val="135017216"/>
      </c:barChart>
      <c:catAx>
        <c:axId val="135003136"/>
        <c:scaling>
          <c:orientation val="minMax"/>
        </c:scaling>
        <c:delete val="0"/>
        <c:axPos val="b"/>
        <c:majorTickMark val="out"/>
        <c:minorTickMark val="none"/>
        <c:tickLblPos val="nextTo"/>
        <c:crossAx val="135017216"/>
        <c:crosses val="autoZero"/>
        <c:auto val="1"/>
        <c:lblAlgn val="ctr"/>
        <c:lblOffset val="100"/>
        <c:noMultiLvlLbl val="0"/>
      </c:catAx>
      <c:valAx>
        <c:axId val="135017216"/>
        <c:scaling>
          <c:orientation val="minMax"/>
        </c:scaling>
        <c:delete val="0"/>
        <c:axPos val="l"/>
        <c:numFmt formatCode="0.00" sourceLinked="1"/>
        <c:majorTickMark val="out"/>
        <c:minorTickMark val="none"/>
        <c:tickLblPos val="nextTo"/>
        <c:crossAx val="135003136"/>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n.º de veículos</c:v>
          </c:tx>
          <c:spPr>
            <a:ln w="22225">
              <a:solidFill>
                <a:schemeClr val="tx1">
                  <a:lumMod val="50000"/>
                  <a:lumOff val="50000"/>
                </a:schemeClr>
              </a:solidFill>
            </a:ln>
          </c:spPr>
          <c:marker>
            <c:symbol val="triangle"/>
            <c:size val="7"/>
            <c:spPr>
              <a:solidFill>
                <a:schemeClr val="bg1">
                  <a:lumMod val="85000"/>
                </a:schemeClr>
              </a:solidFill>
              <a:ln>
                <a:solidFill>
                  <a:schemeClr val="tx1">
                    <a:lumMod val="65000"/>
                    <a:lumOff val="35000"/>
                  </a:schemeClr>
                </a:solidFill>
              </a:ln>
            </c:spPr>
          </c:marker>
          <c:dLbls>
            <c:dLbl>
              <c:idx val="5"/>
              <c:layout>
                <c:manualLayout>
                  <c:x val="-2.5053078556263271E-2"/>
                  <c:y val="4.6658752591668601E-2"/>
                </c:manualLayout>
              </c:layout>
              <c:dLblPos val="r"/>
              <c:showLegendKey val="0"/>
              <c:showVal val="1"/>
              <c:showCatName val="0"/>
              <c:showSerName val="0"/>
              <c:showPercent val="0"/>
              <c:showBubbleSize val="0"/>
            </c:dLbl>
            <c:dLbl>
              <c:idx val="7"/>
              <c:layout>
                <c:manualLayout>
                  <c:x val="-3.5244161358811039E-2"/>
                  <c:y val="-4.1913794700990437E-2"/>
                </c:manualLayout>
              </c:layout>
              <c:dLblPos val="r"/>
              <c:showLegendKey val="0"/>
              <c:showVal val="1"/>
              <c:showCatName val="0"/>
              <c:showSerName val="0"/>
              <c:showPercent val="0"/>
              <c:showBubbleSize val="0"/>
            </c:dLbl>
            <c:txPr>
              <a:bodyPr/>
              <a:lstStyle/>
              <a:p>
                <a:pPr>
                  <a:defRPr b="1"/>
                </a:pPr>
                <a:endParaRPr lang="pt-BR"/>
              </a:p>
            </c:txPr>
            <c:dLblPos val="b"/>
            <c:showLegendKey val="0"/>
            <c:showVal val="1"/>
            <c:showCatName val="0"/>
            <c:showSerName val="0"/>
            <c:showPercent val="0"/>
            <c:showBubbleSize val="0"/>
            <c:showLeaderLines val="0"/>
          </c:dLbls>
          <c:cat>
            <c:numRef>
              <c:f>para_graficos!$AB$3:$AJ$3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para_graficos!$AB$312:$AK$312</c:f>
              <c:numCache>
                <c:formatCode>#,##0</c:formatCode>
                <c:ptCount val="10"/>
                <c:pt idx="0">
                  <c:v>1104</c:v>
                </c:pt>
                <c:pt idx="1">
                  <c:v>1106</c:v>
                </c:pt>
                <c:pt idx="2">
                  <c:v>1195</c:v>
                </c:pt>
                <c:pt idx="3">
                  <c:v>1194</c:v>
                </c:pt>
                <c:pt idx="4">
                  <c:v>1206</c:v>
                </c:pt>
                <c:pt idx="5">
                  <c:v>1776</c:v>
                </c:pt>
                <c:pt idx="6">
                  <c:v>1793</c:v>
                </c:pt>
                <c:pt idx="7">
                  <c:v>2049</c:v>
                </c:pt>
                <c:pt idx="8">
                  <c:v>1903</c:v>
                </c:pt>
                <c:pt idx="9">
                  <c:v>1871</c:v>
                </c:pt>
              </c:numCache>
            </c:numRef>
          </c:val>
          <c:smooth val="0"/>
        </c:ser>
        <c:dLbls>
          <c:showLegendKey val="0"/>
          <c:showVal val="0"/>
          <c:showCatName val="0"/>
          <c:showSerName val="0"/>
          <c:showPercent val="0"/>
          <c:showBubbleSize val="0"/>
        </c:dLbls>
        <c:marker val="1"/>
        <c:smooth val="0"/>
        <c:axId val="112174208"/>
        <c:axId val="112175744"/>
      </c:lineChart>
      <c:lineChart>
        <c:grouping val="standard"/>
        <c:varyColors val="0"/>
        <c:ser>
          <c:idx val="1"/>
          <c:order val="1"/>
          <c:tx>
            <c:v>idade média</c:v>
          </c:tx>
          <c:spPr>
            <a:ln>
              <a:solidFill>
                <a:schemeClr val="tx1">
                  <a:lumMod val="50000"/>
                  <a:lumOff val="50000"/>
                </a:schemeClr>
              </a:solidFill>
              <a:prstDash val="sysDot"/>
            </a:ln>
          </c:spPr>
          <c:marker>
            <c:symbol val="square"/>
            <c:size val="7"/>
            <c:spPr>
              <a:solidFill>
                <a:schemeClr val="tx1">
                  <a:lumMod val="50000"/>
                  <a:lumOff val="50000"/>
                </a:schemeClr>
              </a:solidFill>
              <a:ln>
                <a:solidFill>
                  <a:schemeClr val="tx1">
                    <a:lumMod val="95000"/>
                    <a:lumOff val="5000"/>
                  </a:schemeClr>
                </a:solidFill>
              </a:ln>
            </c:spPr>
          </c:marker>
          <c:dLbls>
            <c:dLbl>
              <c:idx val="8"/>
              <c:layout>
                <c:manualLayout>
                  <c:x val="-3.0997876857749469E-2"/>
                  <c:y val="3.5587184180086225E-2"/>
                </c:manualLayout>
              </c:layout>
              <c:dLblPos val="r"/>
              <c:showLegendKey val="0"/>
              <c:showVal val="1"/>
              <c:showCatName val="0"/>
              <c:showSerName val="0"/>
              <c:showPercent val="0"/>
              <c:showBubbleSize val="0"/>
            </c:dLbl>
            <c:dLbl>
              <c:idx val="9"/>
              <c:layout>
                <c:manualLayout>
                  <c:x val="-2.9299363057324841E-2"/>
                  <c:y val="3.8750489440538327E-2"/>
                </c:manualLayout>
              </c:layout>
              <c:dLblPos val="r"/>
              <c:showLegendKey val="0"/>
              <c:showVal val="1"/>
              <c:showCatName val="0"/>
              <c:showSerName val="0"/>
              <c:showPercent val="0"/>
              <c:showBubbleSize val="0"/>
            </c:dLbl>
            <c:spPr>
              <a:solidFill>
                <a:schemeClr val="tx1">
                  <a:lumMod val="50000"/>
                  <a:lumOff val="50000"/>
                </a:schemeClr>
              </a:solidFill>
            </c:spPr>
            <c:txPr>
              <a:bodyPr/>
              <a:lstStyle/>
              <a:p>
                <a:pPr>
                  <a:defRPr b="1">
                    <a:solidFill>
                      <a:schemeClr val="bg1"/>
                    </a:solidFill>
                  </a:defRPr>
                </a:pPr>
                <a:endParaRPr lang="pt-BR"/>
              </a:p>
            </c:txPr>
            <c:dLblPos val="t"/>
            <c:showLegendKey val="0"/>
            <c:showVal val="1"/>
            <c:showCatName val="0"/>
            <c:showSerName val="0"/>
            <c:showPercent val="0"/>
            <c:showBubbleSize val="0"/>
            <c:showLeaderLines val="0"/>
          </c:dLbls>
          <c:cat>
            <c:numRef>
              <c:f>para_graficos!$AB$3:$AK$3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para_graficos!$AB$437:$AK$437</c:f>
              <c:numCache>
                <c:formatCode>0.00</c:formatCode>
                <c:ptCount val="10"/>
                <c:pt idx="0">
                  <c:v>7.3862318840579713</c:v>
                </c:pt>
                <c:pt idx="1">
                  <c:v>7.8117902350813742</c:v>
                </c:pt>
                <c:pt idx="2">
                  <c:v>6.6297071129707117</c:v>
                </c:pt>
                <c:pt idx="3">
                  <c:v>6.4264656616415419</c:v>
                </c:pt>
                <c:pt idx="4">
                  <c:v>7.5231343283582088</c:v>
                </c:pt>
                <c:pt idx="5">
                  <c:v>6.3833333333333329</c:v>
                </c:pt>
                <c:pt idx="6">
                  <c:v>6.421528165086448</c:v>
                </c:pt>
                <c:pt idx="7">
                  <c:v>6.3656417764763304</c:v>
                </c:pt>
                <c:pt idx="8">
                  <c:v>5.295265370467682</c:v>
                </c:pt>
                <c:pt idx="9">
                  <c:v>5.7690700160342061</c:v>
                </c:pt>
              </c:numCache>
            </c:numRef>
          </c:val>
          <c:smooth val="0"/>
        </c:ser>
        <c:dLbls>
          <c:showLegendKey val="0"/>
          <c:showVal val="0"/>
          <c:showCatName val="0"/>
          <c:showSerName val="0"/>
          <c:showPercent val="0"/>
          <c:showBubbleSize val="0"/>
        </c:dLbls>
        <c:marker val="1"/>
        <c:smooth val="0"/>
        <c:axId val="112188032"/>
        <c:axId val="112186112"/>
      </c:lineChart>
      <c:catAx>
        <c:axId val="112174208"/>
        <c:scaling>
          <c:orientation val="minMax"/>
        </c:scaling>
        <c:delete val="0"/>
        <c:axPos val="b"/>
        <c:numFmt formatCode="General" sourceLinked="1"/>
        <c:majorTickMark val="out"/>
        <c:minorTickMark val="none"/>
        <c:tickLblPos val="nextTo"/>
        <c:crossAx val="112175744"/>
        <c:crosses val="autoZero"/>
        <c:auto val="1"/>
        <c:lblAlgn val="ctr"/>
        <c:lblOffset val="100"/>
        <c:noMultiLvlLbl val="0"/>
      </c:catAx>
      <c:valAx>
        <c:axId val="112175744"/>
        <c:scaling>
          <c:orientation val="minMax"/>
        </c:scaling>
        <c:delete val="0"/>
        <c:axPos val="l"/>
        <c:title>
          <c:tx>
            <c:rich>
              <a:bodyPr rot="-5400000" vert="horz"/>
              <a:lstStyle/>
              <a:p>
                <a:pPr>
                  <a:defRPr/>
                </a:pPr>
                <a:r>
                  <a:rPr lang="en-US"/>
                  <a:t>n.º de veículos</a:t>
                </a:r>
              </a:p>
            </c:rich>
          </c:tx>
          <c:overlay val="0"/>
        </c:title>
        <c:numFmt formatCode="#,##0" sourceLinked="1"/>
        <c:majorTickMark val="out"/>
        <c:minorTickMark val="none"/>
        <c:tickLblPos val="nextTo"/>
        <c:crossAx val="112174208"/>
        <c:crosses val="autoZero"/>
        <c:crossBetween val="between"/>
      </c:valAx>
      <c:valAx>
        <c:axId val="112186112"/>
        <c:scaling>
          <c:orientation val="minMax"/>
        </c:scaling>
        <c:delete val="0"/>
        <c:axPos val="r"/>
        <c:title>
          <c:tx>
            <c:rich>
              <a:bodyPr rot="-5400000" vert="horz"/>
              <a:lstStyle/>
              <a:p>
                <a:pPr>
                  <a:defRPr/>
                </a:pPr>
                <a:r>
                  <a:rPr lang="en-US"/>
                  <a:t>idade média (anos)</a:t>
                </a:r>
              </a:p>
            </c:rich>
          </c:tx>
          <c:overlay val="0"/>
        </c:title>
        <c:numFmt formatCode="0.00" sourceLinked="1"/>
        <c:majorTickMark val="out"/>
        <c:minorTickMark val="none"/>
        <c:tickLblPos val="nextTo"/>
        <c:crossAx val="112188032"/>
        <c:crosses val="max"/>
        <c:crossBetween val="between"/>
      </c:valAx>
      <c:catAx>
        <c:axId val="112188032"/>
        <c:scaling>
          <c:orientation val="minMax"/>
        </c:scaling>
        <c:delete val="1"/>
        <c:axPos val="b"/>
        <c:numFmt formatCode="General" sourceLinked="1"/>
        <c:majorTickMark val="out"/>
        <c:minorTickMark val="none"/>
        <c:tickLblPos val="nextTo"/>
        <c:crossAx val="112186112"/>
        <c:crosses val="autoZero"/>
        <c:auto val="1"/>
        <c:lblAlgn val="ctr"/>
        <c:lblOffset val="100"/>
        <c:noMultiLvlLbl val="0"/>
      </c:catAx>
    </c:plotArea>
    <c:legend>
      <c:legendPos val="r"/>
      <c:layout>
        <c:manualLayout>
          <c:xMode val="edge"/>
          <c:yMode val="edge"/>
          <c:x val="0.83415549541493272"/>
          <c:y val="0.17745619444912156"/>
          <c:w val="0.15607649606920981"/>
          <c:h val="0.26865428510795591"/>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para_graficos!$D$315</c:f>
              <c:strCache>
                <c:ptCount val="1"/>
                <c:pt idx="0">
                  <c:v>kombi</c:v>
                </c:pt>
              </c:strCache>
            </c:strRef>
          </c:tx>
          <c:spPr>
            <a:solidFill>
              <a:schemeClr val="accent5">
                <a:lumMod val="50000"/>
              </a:schemeClr>
            </a:solidFill>
            <a:ln>
              <a:solidFill>
                <a:sysClr val="windowText" lastClr="000000"/>
              </a:solidFill>
            </a:ln>
          </c:spPr>
          <c:invertIfNegative val="0"/>
          <c:cat>
            <c:numRef>
              <c:f>para_graficos!$AB$3:$AK$3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para_graficos!$AB$315:$AK$315</c:f>
              <c:numCache>
                <c:formatCode>#,##0</c:formatCode>
                <c:ptCount val="10"/>
                <c:pt idx="0">
                  <c:v>49</c:v>
                </c:pt>
                <c:pt idx="1">
                  <c:v>47</c:v>
                </c:pt>
                <c:pt idx="2">
                  <c:v>34</c:v>
                </c:pt>
                <c:pt idx="3">
                  <c:v>28</c:v>
                </c:pt>
                <c:pt idx="4">
                  <c:v>30</c:v>
                </c:pt>
                <c:pt idx="5">
                  <c:v>29</c:v>
                </c:pt>
                <c:pt idx="6">
                  <c:v>26</c:v>
                </c:pt>
                <c:pt idx="7">
                  <c:v>21</c:v>
                </c:pt>
                <c:pt idx="8">
                  <c:v>18</c:v>
                </c:pt>
                <c:pt idx="9">
                  <c:v>16</c:v>
                </c:pt>
              </c:numCache>
            </c:numRef>
          </c:val>
        </c:ser>
        <c:ser>
          <c:idx val="2"/>
          <c:order val="1"/>
          <c:tx>
            <c:strRef>
              <c:f>para_graficos!$D$317</c:f>
              <c:strCache>
                <c:ptCount val="1"/>
                <c:pt idx="0">
                  <c:v>ônibus</c:v>
                </c:pt>
              </c:strCache>
            </c:strRef>
          </c:tx>
          <c:spPr>
            <a:solidFill>
              <a:schemeClr val="bg1"/>
            </a:solidFill>
            <a:ln>
              <a:solidFill>
                <a:schemeClr val="tx1"/>
              </a:solidFill>
            </a:ln>
          </c:spPr>
          <c:invertIfNegative val="0"/>
          <c:cat>
            <c:numRef>
              <c:f>para_graficos!$AB$3:$AK$3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para_graficos!$AB$317:$AK$317</c:f>
              <c:numCache>
                <c:formatCode>#,##0</c:formatCode>
                <c:ptCount val="10"/>
                <c:pt idx="0">
                  <c:v>276</c:v>
                </c:pt>
                <c:pt idx="1">
                  <c:v>271</c:v>
                </c:pt>
                <c:pt idx="2">
                  <c:v>289</c:v>
                </c:pt>
                <c:pt idx="3">
                  <c:v>284</c:v>
                </c:pt>
                <c:pt idx="4">
                  <c:v>301</c:v>
                </c:pt>
                <c:pt idx="5">
                  <c:v>340</c:v>
                </c:pt>
                <c:pt idx="6">
                  <c:v>358</c:v>
                </c:pt>
                <c:pt idx="7">
                  <c:v>389</c:v>
                </c:pt>
                <c:pt idx="8">
                  <c:v>278</c:v>
                </c:pt>
                <c:pt idx="9">
                  <c:v>283</c:v>
                </c:pt>
              </c:numCache>
            </c:numRef>
          </c:val>
        </c:ser>
        <c:ser>
          <c:idx val="1"/>
          <c:order val="2"/>
          <c:tx>
            <c:strRef>
              <c:f>para_graficos!$D$316</c:f>
              <c:strCache>
                <c:ptCount val="1"/>
                <c:pt idx="0">
                  <c:v>micro/van</c:v>
                </c:pt>
              </c:strCache>
            </c:strRef>
          </c:tx>
          <c:spPr>
            <a:solidFill>
              <a:schemeClr val="accent3">
                <a:lumMod val="60000"/>
                <a:lumOff val="40000"/>
              </a:schemeClr>
            </a:solidFill>
            <a:ln>
              <a:solidFill>
                <a:sysClr val="windowText" lastClr="000000"/>
              </a:solidFill>
            </a:ln>
          </c:spPr>
          <c:invertIfNegative val="0"/>
          <c:cat>
            <c:numRef>
              <c:f>para_graficos!$AB$3:$AK$3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para_graficos!$AB$316:$AK$316</c:f>
              <c:numCache>
                <c:formatCode>#,##0</c:formatCode>
                <c:ptCount val="10"/>
                <c:pt idx="0">
                  <c:v>779</c:v>
                </c:pt>
                <c:pt idx="1">
                  <c:v>788</c:v>
                </c:pt>
                <c:pt idx="2">
                  <c:v>872</c:v>
                </c:pt>
                <c:pt idx="3">
                  <c:v>882</c:v>
                </c:pt>
                <c:pt idx="4">
                  <c:v>875</c:v>
                </c:pt>
                <c:pt idx="5">
                  <c:v>1407</c:v>
                </c:pt>
                <c:pt idx="6">
                  <c:v>1409</c:v>
                </c:pt>
                <c:pt idx="7">
                  <c:v>1639</c:v>
                </c:pt>
                <c:pt idx="8">
                  <c:v>1607</c:v>
                </c:pt>
                <c:pt idx="9">
                  <c:v>1572</c:v>
                </c:pt>
              </c:numCache>
            </c:numRef>
          </c:val>
        </c:ser>
        <c:dLbls>
          <c:showLegendKey val="0"/>
          <c:showVal val="0"/>
          <c:showCatName val="0"/>
          <c:showSerName val="0"/>
          <c:showPercent val="0"/>
          <c:showBubbleSize val="0"/>
        </c:dLbls>
        <c:gapWidth val="150"/>
        <c:overlap val="100"/>
        <c:axId val="134749568"/>
        <c:axId val="134767744"/>
      </c:barChart>
      <c:catAx>
        <c:axId val="134749568"/>
        <c:scaling>
          <c:orientation val="minMax"/>
        </c:scaling>
        <c:delete val="0"/>
        <c:axPos val="b"/>
        <c:numFmt formatCode="General" sourceLinked="1"/>
        <c:majorTickMark val="out"/>
        <c:minorTickMark val="none"/>
        <c:tickLblPos val="nextTo"/>
        <c:crossAx val="134767744"/>
        <c:crosses val="autoZero"/>
        <c:auto val="1"/>
        <c:lblAlgn val="ctr"/>
        <c:lblOffset val="100"/>
        <c:noMultiLvlLbl val="0"/>
      </c:catAx>
      <c:valAx>
        <c:axId val="134767744"/>
        <c:scaling>
          <c:orientation val="minMax"/>
        </c:scaling>
        <c:delete val="0"/>
        <c:axPos val="l"/>
        <c:title>
          <c:tx>
            <c:rich>
              <a:bodyPr rot="-5400000" vert="horz"/>
              <a:lstStyle/>
              <a:p>
                <a:pPr>
                  <a:defRPr/>
                </a:pPr>
                <a:r>
                  <a:rPr lang="en-US"/>
                  <a:t>n.º de veículos</a:t>
                </a:r>
              </a:p>
            </c:rich>
          </c:tx>
          <c:overlay val="0"/>
        </c:title>
        <c:numFmt formatCode="#,##0" sourceLinked="1"/>
        <c:majorTickMark val="out"/>
        <c:minorTickMark val="none"/>
        <c:tickLblPos val="nextTo"/>
        <c:crossAx val="134749568"/>
        <c:crosses val="autoZero"/>
        <c:crossBetween val="between"/>
      </c:valAx>
    </c:plotArea>
    <c:legend>
      <c:legendPos val="r"/>
      <c:layout>
        <c:manualLayout>
          <c:xMode val="edge"/>
          <c:yMode val="edge"/>
          <c:x val="0.89170943375667788"/>
          <c:y val="0.73441419220187842"/>
          <c:w val="9.2010549963305863E-2"/>
          <c:h val="0.1325326033464567"/>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para_graficos!$D$438</c:f>
              <c:strCache>
                <c:ptCount val="1"/>
                <c:pt idx="0">
                  <c:v>kombi</c:v>
                </c:pt>
              </c:strCache>
            </c:strRef>
          </c:tx>
          <c:spPr>
            <a:solidFill>
              <a:schemeClr val="accent5">
                <a:lumMod val="50000"/>
              </a:schemeClr>
            </a:solidFill>
            <a:ln>
              <a:solidFill>
                <a:sysClr val="windowText" lastClr="000000"/>
              </a:solidFill>
            </a:ln>
          </c:spPr>
          <c:invertIfNegative val="0"/>
          <c:dLbls>
            <c:spPr>
              <a:solidFill>
                <a:schemeClr val="accent5">
                  <a:lumMod val="50000"/>
                </a:schemeClr>
              </a:solidFill>
              <a:ln>
                <a:solidFill>
                  <a:schemeClr val="tx1">
                    <a:lumMod val="50000"/>
                    <a:lumOff val="50000"/>
                  </a:schemeClr>
                </a:solidFill>
              </a:ln>
            </c:spPr>
            <c:txPr>
              <a:bodyPr/>
              <a:lstStyle/>
              <a:p>
                <a:pPr>
                  <a:defRPr sz="1100" b="1">
                    <a:solidFill>
                      <a:schemeClr val="bg1"/>
                    </a:solidFill>
                  </a:defRPr>
                </a:pPr>
                <a:endParaRPr lang="pt-BR"/>
              </a:p>
            </c:txPr>
            <c:dLblPos val="ctr"/>
            <c:showLegendKey val="0"/>
            <c:showVal val="1"/>
            <c:showCatName val="0"/>
            <c:showSerName val="0"/>
            <c:showPercent val="0"/>
            <c:showBubbleSize val="0"/>
            <c:showLeaderLines val="0"/>
          </c:dLbls>
          <c:cat>
            <c:numRef>
              <c:f>para_graficos!$AB$3:$AK$3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para_graficos!$AB$438:$AK$438</c:f>
              <c:numCache>
                <c:formatCode>#,##0.00</c:formatCode>
                <c:ptCount val="10"/>
                <c:pt idx="0">
                  <c:v>3.7</c:v>
                </c:pt>
                <c:pt idx="1">
                  <c:v>7.12</c:v>
                </c:pt>
                <c:pt idx="2">
                  <c:v>7</c:v>
                </c:pt>
                <c:pt idx="3">
                  <c:v>7</c:v>
                </c:pt>
                <c:pt idx="4">
                  <c:v>8.5</c:v>
                </c:pt>
                <c:pt idx="5">
                  <c:v>7</c:v>
                </c:pt>
                <c:pt idx="6">
                  <c:v>7</c:v>
                </c:pt>
                <c:pt idx="7">
                  <c:v>7</c:v>
                </c:pt>
                <c:pt idx="8">
                  <c:v>6.33</c:v>
                </c:pt>
                <c:pt idx="9">
                  <c:v>6.75</c:v>
                </c:pt>
              </c:numCache>
            </c:numRef>
          </c:val>
        </c:ser>
        <c:ser>
          <c:idx val="2"/>
          <c:order val="1"/>
          <c:tx>
            <c:strRef>
              <c:f>para_graficos!$D$440</c:f>
              <c:strCache>
                <c:ptCount val="1"/>
                <c:pt idx="0">
                  <c:v>ônibus</c:v>
                </c:pt>
              </c:strCache>
            </c:strRef>
          </c:tx>
          <c:spPr>
            <a:solidFill>
              <a:sysClr val="window" lastClr="FFFFFF"/>
            </a:solidFill>
            <a:ln>
              <a:solidFill>
                <a:sysClr val="windowText" lastClr="000000"/>
              </a:solidFill>
            </a:ln>
          </c:spPr>
          <c:invertIfNegative val="0"/>
          <c:dLbls>
            <c:spPr>
              <a:solidFill>
                <a:schemeClr val="bg1"/>
              </a:solidFill>
              <a:ln>
                <a:solidFill>
                  <a:schemeClr val="tx1">
                    <a:lumMod val="50000"/>
                    <a:lumOff val="50000"/>
                  </a:schemeClr>
                </a:solidFill>
              </a:ln>
            </c:spPr>
            <c:txPr>
              <a:bodyPr/>
              <a:lstStyle/>
              <a:p>
                <a:pPr>
                  <a:defRPr sz="1100" b="1"/>
                </a:pPr>
                <a:endParaRPr lang="pt-BR"/>
              </a:p>
            </c:txPr>
            <c:dLblPos val="ctr"/>
            <c:showLegendKey val="0"/>
            <c:showVal val="1"/>
            <c:showCatName val="0"/>
            <c:showSerName val="0"/>
            <c:showPercent val="0"/>
            <c:showBubbleSize val="0"/>
            <c:showLeaderLines val="0"/>
          </c:dLbls>
          <c:cat>
            <c:numRef>
              <c:f>para_graficos!$AB$3:$AK$3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para_graficos!$AB$440:$AK$440</c:f>
              <c:numCache>
                <c:formatCode>#,##0.00</c:formatCode>
                <c:ptCount val="10"/>
                <c:pt idx="0">
                  <c:v>12.8</c:v>
                </c:pt>
                <c:pt idx="1">
                  <c:v>13.2</c:v>
                </c:pt>
                <c:pt idx="2">
                  <c:v>10.9</c:v>
                </c:pt>
                <c:pt idx="3">
                  <c:v>10.8</c:v>
                </c:pt>
                <c:pt idx="4">
                  <c:v>10.4</c:v>
                </c:pt>
                <c:pt idx="5">
                  <c:v>10.4</c:v>
                </c:pt>
                <c:pt idx="6">
                  <c:v>10.4</c:v>
                </c:pt>
                <c:pt idx="7">
                  <c:v>10.4</c:v>
                </c:pt>
                <c:pt idx="8">
                  <c:v>10.23</c:v>
                </c:pt>
                <c:pt idx="9">
                  <c:v>10.43</c:v>
                </c:pt>
              </c:numCache>
            </c:numRef>
          </c:val>
        </c:ser>
        <c:ser>
          <c:idx val="1"/>
          <c:order val="2"/>
          <c:tx>
            <c:strRef>
              <c:f>para_graficos!$D$439</c:f>
              <c:strCache>
                <c:ptCount val="1"/>
                <c:pt idx="0">
                  <c:v>micro/van</c:v>
                </c:pt>
              </c:strCache>
            </c:strRef>
          </c:tx>
          <c:spPr>
            <a:solidFill>
              <a:schemeClr val="accent3">
                <a:lumMod val="60000"/>
                <a:lumOff val="40000"/>
              </a:schemeClr>
            </a:solidFill>
            <a:ln>
              <a:solidFill>
                <a:sysClr val="windowText" lastClr="000000"/>
              </a:solidFill>
            </a:ln>
          </c:spPr>
          <c:invertIfNegative val="0"/>
          <c:dLbls>
            <c:spPr>
              <a:solidFill>
                <a:schemeClr val="accent3">
                  <a:lumMod val="60000"/>
                  <a:lumOff val="40000"/>
                </a:schemeClr>
              </a:solidFill>
              <a:ln>
                <a:solidFill>
                  <a:schemeClr val="tx1">
                    <a:lumMod val="50000"/>
                    <a:lumOff val="50000"/>
                  </a:schemeClr>
                </a:solidFill>
              </a:ln>
            </c:spPr>
            <c:txPr>
              <a:bodyPr/>
              <a:lstStyle/>
              <a:p>
                <a:pPr>
                  <a:defRPr sz="1100" b="1"/>
                </a:pPr>
                <a:endParaRPr lang="pt-BR"/>
              </a:p>
            </c:txPr>
            <c:dLblPos val="ctr"/>
            <c:showLegendKey val="0"/>
            <c:showVal val="1"/>
            <c:showCatName val="0"/>
            <c:showSerName val="0"/>
            <c:showPercent val="0"/>
            <c:showBubbleSize val="0"/>
            <c:showLeaderLines val="0"/>
          </c:dLbls>
          <c:cat>
            <c:numRef>
              <c:f>para_graficos!$AB$3:$AK$3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para_graficos!$AB$439:$AK$439</c:f>
              <c:numCache>
                <c:formatCode>#,##0.00</c:formatCode>
                <c:ptCount val="10"/>
                <c:pt idx="0">
                  <c:v>5.7</c:v>
                </c:pt>
                <c:pt idx="1">
                  <c:v>6</c:v>
                </c:pt>
                <c:pt idx="2">
                  <c:v>5.2</c:v>
                </c:pt>
                <c:pt idx="3">
                  <c:v>5</c:v>
                </c:pt>
                <c:pt idx="4">
                  <c:v>6.5</c:v>
                </c:pt>
                <c:pt idx="5">
                  <c:v>5.4</c:v>
                </c:pt>
                <c:pt idx="6">
                  <c:v>5.4</c:v>
                </c:pt>
                <c:pt idx="7">
                  <c:v>5.4</c:v>
                </c:pt>
                <c:pt idx="8">
                  <c:v>4.43</c:v>
                </c:pt>
                <c:pt idx="9">
                  <c:v>4.92</c:v>
                </c:pt>
              </c:numCache>
            </c:numRef>
          </c:val>
        </c:ser>
        <c:dLbls>
          <c:showLegendKey val="0"/>
          <c:showVal val="0"/>
          <c:showCatName val="0"/>
          <c:showSerName val="0"/>
          <c:showPercent val="0"/>
          <c:showBubbleSize val="0"/>
        </c:dLbls>
        <c:gapWidth val="150"/>
        <c:overlap val="100"/>
        <c:axId val="135859584"/>
        <c:axId val="135877760"/>
      </c:barChart>
      <c:catAx>
        <c:axId val="135859584"/>
        <c:scaling>
          <c:orientation val="minMax"/>
        </c:scaling>
        <c:delete val="0"/>
        <c:axPos val="b"/>
        <c:numFmt formatCode="General" sourceLinked="1"/>
        <c:majorTickMark val="out"/>
        <c:minorTickMark val="none"/>
        <c:tickLblPos val="nextTo"/>
        <c:crossAx val="135877760"/>
        <c:crosses val="autoZero"/>
        <c:auto val="1"/>
        <c:lblAlgn val="ctr"/>
        <c:lblOffset val="100"/>
        <c:noMultiLvlLbl val="0"/>
      </c:catAx>
      <c:valAx>
        <c:axId val="135877760"/>
        <c:scaling>
          <c:orientation val="minMax"/>
        </c:scaling>
        <c:delete val="1"/>
        <c:axPos val="l"/>
        <c:title>
          <c:tx>
            <c:rich>
              <a:bodyPr rot="-5400000" vert="horz"/>
              <a:lstStyle/>
              <a:p>
                <a:pPr>
                  <a:defRPr/>
                </a:pPr>
                <a:r>
                  <a:rPr lang="en-US"/>
                  <a:t>idade</a:t>
                </a:r>
                <a:r>
                  <a:rPr lang="en-US" baseline="0"/>
                  <a:t> média (anos)</a:t>
                </a:r>
                <a:endParaRPr lang="en-US"/>
              </a:p>
            </c:rich>
          </c:tx>
          <c:overlay val="0"/>
        </c:title>
        <c:numFmt formatCode="#,##0.00" sourceLinked="1"/>
        <c:majorTickMark val="out"/>
        <c:minorTickMark val="none"/>
        <c:tickLblPos val="nextTo"/>
        <c:crossAx val="135859584"/>
        <c:crosses val="autoZero"/>
        <c:crossBetween val="between"/>
      </c:valAx>
    </c:plotArea>
    <c:legend>
      <c:legendPos val="r"/>
      <c:layout>
        <c:manualLayout>
          <c:xMode val="edge"/>
          <c:yMode val="edge"/>
          <c:x val="0.88682542887267302"/>
          <c:y val="0.48809558443748746"/>
          <c:w val="9.2010549963305863E-2"/>
          <c:h val="0.13331373853317452"/>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tcc BH</c:v>
          </c:tx>
          <c:spPr>
            <a:ln>
              <a:solidFill>
                <a:schemeClr val="tx1">
                  <a:lumMod val="50000"/>
                  <a:lumOff val="50000"/>
                </a:schemeClr>
              </a:solidFill>
            </a:ln>
          </c:spPr>
          <c:marker>
            <c:symbol val="circle"/>
            <c:size val="9"/>
            <c:spPr>
              <a:solidFill>
                <a:schemeClr val="bg1">
                  <a:lumMod val="75000"/>
                </a:schemeClr>
              </a:solidFill>
              <a:ln>
                <a:solidFill>
                  <a:schemeClr val="tx1"/>
                </a:solidFill>
              </a:ln>
            </c:spPr>
          </c:marker>
          <c:dPt>
            <c:idx val="10"/>
            <c:bubble3D val="0"/>
            <c:spPr>
              <a:ln>
                <a:solidFill>
                  <a:schemeClr val="tx1">
                    <a:lumMod val="50000"/>
                    <a:lumOff val="50000"/>
                  </a:schemeClr>
                </a:solidFill>
                <a:prstDash val="sysDot"/>
              </a:ln>
            </c:spPr>
          </c:dPt>
          <c:dPt>
            <c:idx val="16"/>
            <c:bubble3D val="0"/>
            <c:spPr>
              <a:ln>
                <a:solidFill>
                  <a:schemeClr val="tx1">
                    <a:lumMod val="50000"/>
                    <a:lumOff val="50000"/>
                  </a:schemeClr>
                </a:solidFill>
                <a:prstDash val="sysDot"/>
              </a:ln>
            </c:spPr>
          </c:dPt>
          <c:dLbls>
            <c:txPr>
              <a:bodyPr/>
              <a:lstStyle/>
              <a:p>
                <a:pPr>
                  <a:defRPr b="1"/>
                </a:pPr>
                <a:endParaRPr lang="pt-BR"/>
              </a:p>
            </c:txPr>
            <c:dLblPos val="t"/>
            <c:showLegendKey val="0"/>
            <c:showVal val="1"/>
            <c:showCatName val="0"/>
            <c:showSerName val="0"/>
            <c:showPercent val="0"/>
            <c:showBubbleSize val="0"/>
            <c:showLeaderLines val="0"/>
          </c:dLbls>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(para_graficos!$M$429:$R$429,para_graficos!$T$429:$U$429,para_graficos!$W$429:$AK$429,para_graficos!$AM$429)</c:f>
              <c:numCache>
                <c:formatCode>0.00</c:formatCode>
                <c:ptCount val="24"/>
                <c:pt idx="0">
                  <c:v>1</c:v>
                </c:pt>
                <c:pt idx="1">
                  <c:v>1</c:v>
                </c:pt>
                <c:pt idx="2">
                  <c:v>1</c:v>
                </c:pt>
                <c:pt idx="10">
                  <c:v>1.2727907789032484</c:v>
                </c:pt>
                <c:pt idx="16">
                  <c:v>1.8360196215837421</c:v>
                </c:pt>
                <c:pt idx="17">
                  <c:v>2.0056497175141241</c:v>
                </c:pt>
                <c:pt idx="18">
                  <c:v>2.170764119601329</c:v>
                </c:pt>
                <c:pt idx="19">
                  <c:v>2.2666227781435153</c:v>
                </c:pt>
                <c:pt idx="20">
                  <c:v>2.3715882933245642</c:v>
                </c:pt>
                <c:pt idx="21">
                  <c:v>3.0406880582203111</c:v>
                </c:pt>
                <c:pt idx="22">
                  <c:v>3.1067567567567567</c:v>
                </c:pt>
                <c:pt idx="23">
                  <c:v>3.2660115215181293</c:v>
                </c:pt>
              </c:numCache>
            </c:numRef>
          </c:val>
          <c:smooth val="0"/>
        </c:ser>
        <c:ser>
          <c:idx val="2"/>
          <c:order val="1"/>
          <c:tx>
            <c:v>desenho universal</c:v>
          </c:tx>
          <c:spPr>
            <a:ln>
              <a:solidFill>
                <a:schemeClr val="tx1"/>
              </a:solidFill>
              <a:prstDash val="dash"/>
            </a:ln>
          </c:spPr>
          <c:marker>
            <c:symbol val="none"/>
          </c:marker>
          <c:dLbls>
            <c:dLbl>
              <c:idx val="0"/>
              <c:layout>
                <c:manualLayout>
                  <c:x val="-1.2290413156839149E-2"/>
                  <c:y val="5.3975200583515681E-2"/>
                </c:manualLayout>
              </c:layout>
              <c:tx>
                <c:rich>
                  <a:bodyPr/>
                  <a:lstStyle/>
                  <a:p>
                    <a:r>
                      <a:rPr lang="en-US" b="1" baseline="0"/>
                      <a:t>RPI de acessibilidade com desenho universal</a:t>
                    </a:r>
                    <a:endParaRPr lang="en-US"/>
                  </a:p>
                </c:rich>
              </c:tx>
              <c:dLblPos val="r"/>
              <c:showLegendKey val="0"/>
              <c:showVal val="1"/>
              <c:showCatName val="0"/>
              <c:showSerName val="0"/>
              <c:showPercent val="0"/>
              <c:showBubbleSize val="0"/>
            </c:dLbl>
            <c:txPr>
              <a:bodyPr/>
              <a:lstStyle/>
              <a:p>
                <a:pPr>
                  <a:defRPr b="1"/>
                </a:pPr>
                <a:endParaRPr lang="pt-BR"/>
              </a:p>
            </c:txPr>
            <c:dLblPos val="b"/>
            <c:showLegendKey val="0"/>
            <c:showVal val="0"/>
            <c:showCatName val="0"/>
            <c:showSerName val="0"/>
            <c:showPercent val="0"/>
            <c:showBubbleSize val="0"/>
          </c:dLbls>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(para_graficos!$M$45:$R$45,para_graficos!$T$45:$U$45,para_graficos!$W$45:$AK$45,para_graficos!$AM$45)</c:f>
              <c:numCache>
                <c:formatCode>General</c:formatCode>
                <c:ptCount val="2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numCache>
            </c:numRef>
          </c:val>
          <c:smooth val="0"/>
        </c:ser>
        <c:ser>
          <c:idx val="5"/>
          <c:order val="2"/>
          <c:tx>
            <c:v>acessível</c:v>
          </c:tx>
          <c:spPr>
            <a:ln w="28575">
              <a:solidFill>
                <a:schemeClr val="tx1"/>
              </a:solidFill>
              <a:prstDash val="dash"/>
            </a:ln>
          </c:spPr>
          <c:marker>
            <c:symbol val="none"/>
          </c:marker>
          <c:dLbls>
            <c:dLbl>
              <c:idx val="0"/>
              <c:layout>
                <c:manualLayout>
                  <c:x val="-1.201764941837144E-2"/>
                  <c:y val="5.3975200583515626E-2"/>
                </c:manualLayout>
              </c:layout>
              <c:tx>
                <c:rich>
                  <a:bodyPr/>
                  <a:lstStyle/>
                  <a:p>
                    <a:pPr>
                      <a:defRPr b="1"/>
                    </a:pPr>
                    <a:r>
                      <a:rPr lang="en-US" b="1"/>
                      <a:t>RPI de</a:t>
                    </a:r>
                    <a:r>
                      <a:rPr lang="en-US" b="1" baseline="0"/>
                      <a:t> a</a:t>
                    </a:r>
                    <a:r>
                      <a:rPr lang="en-US" b="1"/>
                      <a:t>cessibilidade sem desenho universal</a:t>
                    </a:r>
                  </a:p>
                </c:rich>
              </c:tx>
              <c:spPr/>
              <c:dLblPos val="r"/>
              <c:showLegendKey val="0"/>
              <c:showVal val="1"/>
              <c:showCatName val="0"/>
              <c:showSerName val="0"/>
              <c:showPercent val="0"/>
              <c:showBubbleSize val="0"/>
            </c:dLbl>
            <c:dLblPos val="b"/>
            <c:showLegendKey val="0"/>
            <c:showVal val="0"/>
            <c:showCatName val="0"/>
            <c:showSerName val="0"/>
            <c:showPercent val="0"/>
            <c:showBubbleSize val="0"/>
          </c:dLbls>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(para_graficos!$M$41:$R$41,para_graficos!$T$41:$U$41,para_graficos!$W$41:$AK$41,para_graficos!$AM$41)</c:f>
              <c:numCache>
                <c:formatCode>General</c:formatCode>
                <c:ptCount val="24"/>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numCache>
            </c:numRef>
          </c:val>
          <c:smooth val="0"/>
        </c:ser>
        <c:dLbls>
          <c:showLegendKey val="0"/>
          <c:showVal val="0"/>
          <c:showCatName val="0"/>
          <c:showSerName val="0"/>
          <c:showPercent val="0"/>
          <c:showBubbleSize val="0"/>
        </c:dLbls>
        <c:marker val="1"/>
        <c:smooth val="0"/>
        <c:axId val="135762304"/>
        <c:axId val="135763840"/>
      </c:lineChart>
      <c:catAx>
        <c:axId val="135762304"/>
        <c:scaling>
          <c:orientation val="minMax"/>
        </c:scaling>
        <c:delete val="0"/>
        <c:axPos val="b"/>
        <c:numFmt formatCode="General" sourceLinked="1"/>
        <c:majorTickMark val="out"/>
        <c:minorTickMark val="none"/>
        <c:tickLblPos val="nextTo"/>
        <c:crossAx val="135763840"/>
        <c:crosses val="autoZero"/>
        <c:auto val="1"/>
        <c:lblAlgn val="ctr"/>
        <c:lblOffset val="100"/>
        <c:noMultiLvlLbl val="0"/>
      </c:catAx>
      <c:valAx>
        <c:axId val="135763840"/>
        <c:scaling>
          <c:orientation val="minMax"/>
          <c:max val="10"/>
        </c:scaling>
        <c:delete val="0"/>
        <c:axPos val="l"/>
        <c:title>
          <c:tx>
            <c:rich>
              <a:bodyPr rot="-5400000" vert="horz"/>
              <a:lstStyle/>
              <a:p>
                <a:pPr>
                  <a:defRPr/>
                </a:pPr>
                <a:r>
                  <a:rPr lang="en-US"/>
                  <a:t>escala IAED</a:t>
                </a:r>
              </a:p>
            </c:rich>
          </c:tx>
          <c:overlay val="0"/>
        </c:title>
        <c:numFmt formatCode="#,##0.00" sourceLinked="0"/>
        <c:majorTickMark val="out"/>
        <c:minorTickMark val="none"/>
        <c:tickLblPos val="nextTo"/>
        <c:crossAx val="135762304"/>
        <c:crosses val="autoZero"/>
        <c:crossBetween val="between"/>
      </c:valAx>
    </c:plotArea>
    <c:plotVisOnly val="1"/>
    <c:dispBlanksAs val="span"/>
    <c:showDLblsOverMax val="0"/>
  </c:chart>
  <c:txPr>
    <a:bodyPr/>
    <a:lstStyle/>
    <a:p>
      <a:pPr>
        <a:defRPr sz="1000">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para_graficos!$BE$373</c:f>
              <c:strCache>
                <c:ptCount val="1"/>
                <c:pt idx="0">
                  <c:v>2 = elevador exclusivo</c:v>
                </c:pt>
              </c:strCache>
            </c:strRef>
          </c:tx>
          <c:spPr>
            <a:ln w="25400">
              <a:solidFill>
                <a:schemeClr val="tx1">
                  <a:lumMod val="95000"/>
                  <a:lumOff val="5000"/>
                </a:schemeClr>
              </a:solidFill>
            </a:ln>
          </c:spPr>
          <c:marker>
            <c:symbol val="x"/>
            <c:size val="4"/>
            <c:spPr>
              <a:solidFill>
                <a:schemeClr val="bg1"/>
              </a:solidFill>
              <a:ln>
                <a:solidFill>
                  <a:schemeClr val="tx1">
                    <a:lumMod val="95000"/>
                    <a:lumOff val="5000"/>
                  </a:schemeClr>
                </a:solidFill>
              </a:ln>
            </c:spPr>
          </c:marker>
          <c:dPt>
            <c:idx val="16"/>
            <c:bubble3D val="0"/>
            <c:spPr>
              <a:ln w="25400">
                <a:solidFill>
                  <a:schemeClr val="tx1">
                    <a:lumMod val="95000"/>
                    <a:lumOff val="5000"/>
                  </a:schemeClr>
                </a:solidFill>
                <a:prstDash val="sysDot"/>
              </a:ln>
            </c:spPr>
          </c:dPt>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(para_graficos!$M$373:$R$373,para_graficos!$T$373:$U$373,para_graficos!$W$373:$AK$373,para_graficos!$AM$373)</c:f>
              <c:numCache>
                <c:formatCode>#,##0</c:formatCode>
                <c:ptCount val="24"/>
                <c:pt idx="0">
                  <c:v>0</c:v>
                </c:pt>
                <c:pt idx="1">
                  <c:v>0</c:v>
                </c:pt>
                <c:pt idx="2">
                  <c:v>0</c:v>
                </c:pt>
                <c:pt idx="3">
                  <c:v>0</c:v>
                </c:pt>
                <c:pt idx="4">
                  <c:v>0</c:v>
                </c:pt>
                <c:pt idx="10">
                  <c:v>21</c:v>
                </c:pt>
                <c:pt idx="16">
                  <c:v>1120</c:v>
                </c:pt>
                <c:pt idx="17">
                  <c:v>1017</c:v>
                </c:pt>
                <c:pt idx="18">
                  <c:v>913</c:v>
                </c:pt>
                <c:pt idx="19">
                  <c:v>834</c:v>
                </c:pt>
                <c:pt idx="20" formatCode="General">
                  <c:v>741</c:v>
                </c:pt>
                <c:pt idx="21" formatCode="General">
                  <c:v>459</c:v>
                </c:pt>
                <c:pt idx="22" formatCode="General">
                  <c:v>382</c:v>
                </c:pt>
                <c:pt idx="23" formatCode="General">
                  <c:v>201</c:v>
                </c:pt>
              </c:numCache>
            </c:numRef>
          </c:val>
          <c:smooth val="0"/>
        </c:ser>
        <c:ser>
          <c:idx val="3"/>
          <c:order val="1"/>
          <c:tx>
            <c:strRef>
              <c:f>para_graficos!$BE$374</c:f>
              <c:strCache>
                <c:ptCount val="1"/>
                <c:pt idx="0">
                  <c:v>3 = elevador não exclusivo</c:v>
                </c:pt>
              </c:strCache>
            </c:strRef>
          </c:tx>
          <c:spPr>
            <a:ln w="25400">
              <a:solidFill>
                <a:schemeClr val="tx1"/>
              </a:solidFill>
            </a:ln>
          </c:spPr>
          <c:marker>
            <c:symbol val="circle"/>
            <c:size val="7"/>
            <c:spPr>
              <a:solidFill>
                <a:schemeClr val="bg1">
                  <a:lumMod val="85000"/>
                </a:schemeClr>
              </a:solidFill>
              <a:ln>
                <a:solidFill>
                  <a:schemeClr val="tx1"/>
                </a:solidFill>
              </a:ln>
            </c:spPr>
          </c:marker>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(para_graficos!$M$374:$R$374,para_graficos!$T$374:$U$374,para_graficos!$W$374:$AK$374,para_graficos!$AM$374)</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253</c:v>
                </c:pt>
                <c:pt idx="17">
                  <c:v>708</c:v>
                </c:pt>
                <c:pt idx="18">
                  <c:v>1303</c:v>
                </c:pt>
                <c:pt idx="19">
                  <c:v>1507</c:v>
                </c:pt>
                <c:pt idx="20" formatCode="General">
                  <c:v>1715</c:v>
                </c:pt>
                <c:pt idx="21">
                  <c:v>1834</c:v>
                </c:pt>
                <c:pt idx="22">
                  <c:v>1906</c:v>
                </c:pt>
                <c:pt idx="23" formatCode="General">
                  <c:v>2224</c:v>
                </c:pt>
              </c:numCache>
            </c:numRef>
          </c:val>
          <c:smooth val="0"/>
        </c:ser>
        <c:ser>
          <c:idx val="1"/>
          <c:order val="2"/>
          <c:tx>
            <c:strRef>
              <c:f>para_graficos!$BE$375</c:f>
              <c:strCache>
                <c:ptCount val="1"/>
                <c:pt idx="0">
                  <c:v>5 = BRTmisto c/elevador não exclusivo</c:v>
                </c:pt>
              </c:strCache>
            </c:strRef>
          </c:tx>
          <c:spPr>
            <a:ln w="25400">
              <a:solidFill>
                <a:schemeClr val="tx1"/>
              </a:solidFill>
            </a:ln>
          </c:spPr>
          <c:marker>
            <c:symbol val="triangle"/>
            <c:size val="5"/>
            <c:spPr>
              <a:solidFill>
                <a:schemeClr val="bg1">
                  <a:lumMod val="85000"/>
                </a:schemeClr>
              </a:solidFill>
              <a:ln>
                <a:solidFill>
                  <a:schemeClr val="tx1">
                    <a:lumMod val="50000"/>
                    <a:lumOff val="50000"/>
                  </a:schemeClr>
                </a:solidFill>
              </a:ln>
            </c:spPr>
          </c:marker>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(para_graficos!$M$375:$R$375,para_graficos!$T$375:$U$375,para_graficos!$W$375:$AK$375,para_graficos!$AM$375)</c:f>
              <c:numCache>
                <c:formatCode>General</c:formatCode>
                <c:ptCount val="24"/>
                <c:pt idx="21">
                  <c:v>318</c:v>
                </c:pt>
                <c:pt idx="22">
                  <c:v>318</c:v>
                </c:pt>
                <c:pt idx="23">
                  <c:v>317</c:v>
                </c:pt>
              </c:numCache>
            </c:numRef>
          </c:val>
          <c:smooth val="0"/>
        </c:ser>
        <c:ser>
          <c:idx val="0"/>
          <c:order val="3"/>
          <c:tx>
            <c:strRef>
              <c:f>para_graficos!$BE$376</c:f>
              <c:strCache>
                <c:ptCount val="1"/>
                <c:pt idx="0">
                  <c:v>6 = nível s/rampa tcc BH</c:v>
                </c:pt>
              </c:strCache>
            </c:strRef>
          </c:tx>
          <c:spPr>
            <a:ln w="25400">
              <a:solidFill>
                <a:schemeClr val="tx1"/>
              </a:solidFill>
            </a:ln>
          </c:spPr>
          <c:marker>
            <c:symbol val="square"/>
            <c:size val="5"/>
            <c:spPr>
              <a:solidFill>
                <a:schemeClr val="bg1">
                  <a:lumMod val="85000"/>
                </a:schemeClr>
              </a:solidFill>
              <a:ln>
                <a:solidFill>
                  <a:schemeClr val="tx1">
                    <a:lumMod val="50000"/>
                    <a:lumOff val="50000"/>
                  </a:schemeClr>
                </a:solidFill>
              </a:ln>
            </c:spPr>
          </c:marker>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(para_graficos!$M$376:$R$376,para_graficos!$T$376:$U$376,para_graficos!$W$376:$AK$376,para_graficos!$AM$376)</c:f>
              <c:numCache>
                <c:formatCode>General</c:formatCode>
                <c:ptCount val="24"/>
                <c:pt idx="0">
                  <c:v>0</c:v>
                </c:pt>
                <c:pt idx="1">
                  <c:v>0</c:v>
                </c:pt>
                <c:pt idx="2">
                  <c:v>0</c:v>
                </c:pt>
                <c:pt idx="3">
                  <c:v>0</c:v>
                </c:pt>
                <c:pt idx="4">
                  <c:v>0</c:v>
                </c:pt>
                <c:pt idx="5">
                  <c:v>0</c:v>
                </c:pt>
                <c:pt idx="6">
                  <c:v>83</c:v>
                </c:pt>
                <c:pt idx="8">
                  <c:v>153</c:v>
                </c:pt>
                <c:pt idx="9">
                  <c:v>152</c:v>
                </c:pt>
                <c:pt idx="10">
                  <c:v>152</c:v>
                </c:pt>
                <c:pt idx="11">
                  <c:v>152</c:v>
                </c:pt>
                <c:pt idx="12">
                  <c:v>152</c:v>
                </c:pt>
                <c:pt idx="13">
                  <c:v>152</c:v>
                </c:pt>
                <c:pt idx="14">
                  <c:v>152</c:v>
                </c:pt>
                <c:pt idx="15">
                  <c:v>152</c:v>
                </c:pt>
                <c:pt idx="16" formatCode="#,##0">
                  <c:v>152</c:v>
                </c:pt>
                <c:pt idx="17" formatCode="#,##0">
                  <c:v>83</c:v>
                </c:pt>
                <c:pt idx="18" formatCode="#,##0">
                  <c:v>1</c:v>
                </c:pt>
                <c:pt idx="19" formatCode="#,##0">
                  <c:v>0</c:v>
                </c:pt>
                <c:pt idx="20">
                  <c:v>0</c:v>
                </c:pt>
                <c:pt idx="21">
                  <c:v>0</c:v>
                </c:pt>
                <c:pt idx="22">
                  <c:v>0</c:v>
                </c:pt>
                <c:pt idx="23">
                  <c:v>0</c:v>
                </c:pt>
              </c:numCache>
            </c:numRef>
          </c:val>
          <c:smooth val="0"/>
        </c:ser>
        <c:ser>
          <c:idx val="2"/>
          <c:order val="4"/>
          <c:tx>
            <c:v>F tcc</c:v>
          </c:tx>
          <c:spPr>
            <a:ln w="25400">
              <a:solidFill>
                <a:schemeClr val="tx1">
                  <a:lumMod val="95000"/>
                  <a:lumOff val="5000"/>
                </a:schemeClr>
              </a:solidFill>
              <a:prstDash val="solid"/>
            </a:ln>
          </c:spPr>
          <c:marker>
            <c:symbol val="circle"/>
            <c:size val="5"/>
            <c:spPr>
              <a:solidFill>
                <a:schemeClr val="tx1"/>
              </a:solidFill>
              <a:ln>
                <a:solidFill>
                  <a:schemeClr val="tx1">
                    <a:lumMod val="50000"/>
                    <a:lumOff val="50000"/>
                  </a:schemeClr>
                </a:solidFill>
              </a:ln>
            </c:spPr>
          </c:marker>
          <c:dPt>
            <c:idx val="6"/>
            <c:bubble3D val="0"/>
            <c:spPr>
              <a:ln w="25400">
                <a:solidFill>
                  <a:schemeClr val="tx1">
                    <a:lumMod val="95000"/>
                    <a:lumOff val="5000"/>
                  </a:schemeClr>
                </a:solidFill>
                <a:prstDash val="sysDot"/>
              </a:ln>
            </c:spPr>
          </c:dPt>
          <c:dLbls>
            <c:dLbl>
              <c:idx val="0"/>
              <c:dLblPos val="t"/>
              <c:showLegendKey val="0"/>
              <c:showVal val="1"/>
              <c:showCatName val="0"/>
              <c:showSerName val="0"/>
              <c:showPercent val="0"/>
              <c:showBubbleSize val="0"/>
            </c:dLbl>
            <c:dLbl>
              <c:idx val="7"/>
              <c:dLblPos val="t"/>
              <c:showLegendKey val="0"/>
              <c:showVal val="1"/>
              <c:showCatName val="0"/>
              <c:showSerName val="0"/>
              <c:showPercent val="0"/>
              <c:showBubbleSize val="0"/>
            </c:dLbl>
            <c:dLbl>
              <c:idx val="17"/>
              <c:dLblPos val="t"/>
              <c:showLegendKey val="0"/>
              <c:showVal val="1"/>
              <c:showCatName val="0"/>
              <c:showSerName val="0"/>
              <c:showPercent val="0"/>
              <c:showBubbleSize val="0"/>
            </c:dLbl>
            <c:dLbl>
              <c:idx val="22"/>
              <c:dLblPos val="t"/>
              <c:showLegendKey val="0"/>
              <c:showVal val="1"/>
              <c:showCatName val="0"/>
              <c:showSerName val="0"/>
              <c:showPercent val="0"/>
              <c:showBubbleSize val="0"/>
            </c:dLbl>
            <c:txPr>
              <a:bodyPr/>
              <a:lstStyle/>
              <a:p>
                <a:pPr>
                  <a:defRPr b="1"/>
                </a:pPr>
                <a:endParaRPr lang="pt-BR"/>
              </a:p>
            </c:txPr>
            <c:dLblPos val="t"/>
            <c:showLegendKey val="0"/>
            <c:showVal val="0"/>
            <c:showCatName val="0"/>
            <c:showSerName val="0"/>
            <c:showPercent val="0"/>
            <c:showBubbleSize val="0"/>
          </c:dLbls>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(para_graficos!$M$371:$R$371,para_graficos!$T$371:$U$371,para_graficos!$W$371:$AK$371,para_graficos!$AM$371)</c:f>
              <c:numCache>
                <c:formatCode>#,##0</c:formatCode>
                <c:ptCount val="24"/>
                <c:pt idx="0">
                  <c:v>2491</c:v>
                </c:pt>
                <c:pt idx="1">
                  <c:v>2574</c:v>
                </c:pt>
                <c:pt idx="2">
                  <c:v>2670</c:v>
                </c:pt>
                <c:pt idx="6">
                  <c:v>2927</c:v>
                </c:pt>
                <c:pt idx="7">
                  <c:v>2986</c:v>
                </c:pt>
                <c:pt idx="8">
                  <c:v>2912</c:v>
                </c:pt>
                <c:pt idx="9">
                  <c:v>2849</c:v>
                </c:pt>
                <c:pt idx="10">
                  <c:v>2863</c:v>
                </c:pt>
                <c:pt idx="11">
                  <c:v>2819</c:v>
                </c:pt>
                <c:pt idx="12">
                  <c:v>2819</c:v>
                </c:pt>
                <c:pt idx="13">
                  <c:v>2821</c:v>
                </c:pt>
                <c:pt idx="14">
                  <c:v>2823</c:v>
                </c:pt>
                <c:pt idx="15">
                  <c:v>2849</c:v>
                </c:pt>
                <c:pt idx="16">
                  <c:v>2854</c:v>
                </c:pt>
                <c:pt idx="17">
                  <c:v>2832</c:v>
                </c:pt>
                <c:pt idx="18">
                  <c:v>3010</c:v>
                </c:pt>
                <c:pt idx="19">
                  <c:v>3038</c:v>
                </c:pt>
                <c:pt idx="20">
                  <c:v>3041</c:v>
                </c:pt>
                <c:pt idx="21">
                  <c:v>3023</c:v>
                </c:pt>
                <c:pt idx="22">
                  <c:v>2960</c:v>
                </c:pt>
                <c:pt idx="23">
                  <c:v>2951</c:v>
                </c:pt>
              </c:numCache>
            </c:numRef>
          </c:val>
          <c:smooth val="0"/>
        </c:ser>
        <c:ser>
          <c:idx val="5"/>
          <c:order val="5"/>
          <c:tx>
            <c:strRef>
              <c:f>para_graficos!$BE$377</c:f>
              <c:strCache>
                <c:ptCount val="1"/>
                <c:pt idx="0">
                  <c:v>8 = nível c/rampa manual</c:v>
                </c:pt>
              </c:strCache>
            </c:strRef>
          </c:tx>
          <c:spPr>
            <a:ln w="25400">
              <a:solidFill>
                <a:schemeClr val="tx1"/>
              </a:solidFill>
            </a:ln>
          </c:spPr>
          <c:marker>
            <c:symbol val="star"/>
            <c:size val="7"/>
            <c:spPr>
              <a:ln>
                <a:solidFill>
                  <a:schemeClr val="tx1"/>
                </a:solidFill>
              </a:ln>
            </c:spPr>
          </c:marker>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(para_graficos!$M$377:$R$377,para_graficos!$T$377:$U$377,para_graficos!$W$377:$AK$377,para_graficos!$AM$377)</c:f>
              <c:numCache>
                <c:formatCode>General</c:formatCode>
                <c:ptCount val="24"/>
                <c:pt idx="21">
                  <c:v>110</c:v>
                </c:pt>
                <c:pt idx="22">
                  <c:v>110</c:v>
                </c:pt>
                <c:pt idx="23">
                  <c:v>110</c:v>
                </c:pt>
              </c:numCache>
            </c:numRef>
          </c:val>
          <c:smooth val="0"/>
        </c:ser>
        <c:dLbls>
          <c:showLegendKey val="0"/>
          <c:showVal val="0"/>
          <c:showCatName val="0"/>
          <c:showSerName val="0"/>
          <c:showPercent val="0"/>
          <c:showBubbleSize val="0"/>
        </c:dLbls>
        <c:marker val="1"/>
        <c:smooth val="0"/>
        <c:axId val="135830912"/>
        <c:axId val="135841280"/>
      </c:lineChart>
      <c:catAx>
        <c:axId val="135830912"/>
        <c:scaling>
          <c:orientation val="minMax"/>
        </c:scaling>
        <c:delete val="0"/>
        <c:axPos val="b"/>
        <c:numFmt formatCode="General" sourceLinked="1"/>
        <c:majorTickMark val="out"/>
        <c:minorTickMark val="none"/>
        <c:tickLblPos val="nextTo"/>
        <c:crossAx val="135841280"/>
        <c:crosses val="autoZero"/>
        <c:auto val="1"/>
        <c:lblAlgn val="ctr"/>
        <c:lblOffset val="100"/>
        <c:noMultiLvlLbl val="0"/>
      </c:catAx>
      <c:valAx>
        <c:axId val="135841280"/>
        <c:scaling>
          <c:orientation val="minMax"/>
        </c:scaling>
        <c:delete val="0"/>
        <c:axPos val="l"/>
        <c:title>
          <c:tx>
            <c:rich>
              <a:bodyPr rot="-5400000" vert="horz"/>
              <a:lstStyle/>
              <a:p>
                <a:pPr>
                  <a:defRPr/>
                </a:pPr>
                <a:r>
                  <a:rPr lang="en-US"/>
                  <a:t>n.º</a:t>
                </a:r>
                <a:r>
                  <a:rPr lang="en-US" baseline="0"/>
                  <a:t> de veículos</a:t>
                </a:r>
                <a:endParaRPr lang="en-US"/>
              </a:p>
            </c:rich>
          </c:tx>
          <c:overlay val="0"/>
        </c:title>
        <c:numFmt formatCode="#,##0" sourceLinked="1"/>
        <c:majorTickMark val="out"/>
        <c:minorTickMark val="none"/>
        <c:tickLblPos val="nextTo"/>
        <c:crossAx val="135830912"/>
        <c:crosses val="autoZero"/>
        <c:crossBetween val="between"/>
      </c:valAx>
    </c:plotArea>
    <c:legend>
      <c:legendPos val="b"/>
      <c:overlay val="0"/>
    </c:legend>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69596593666353E-2"/>
          <c:y val="3.2093362509117436E-2"/>
          <c:w val="0.87141820990070074"/>
          <c:h val="0.70479114618331351"/>
        </c:manualLayout>
      </c:layout>
      <c:barChart>
        <c:barDir val="col"/>
        <c:grouping val="clustered"/>
        <c:varyColors val="0"/>
        <c:ser>
          <c:idx val="0"/>
          <c:order val="0"/>
          <c:spPr>
            <a:solidFill>
              <a:schemeClr val="bg1">
                <a:lumMod val="85000"/>
              </a:schemeClr>
            </a:solidFill>
            <a:ln>
              <a:solidFill>
                <a:schemeClr val="tx1">
                  <a:lumMod val="85000"/>
                  <a:lumOff val="15000"/>
                </a:schemeClr>
              </a:solidFill>
            </a:ln>
          </c:spPr>
          <c:invertIfNegative val="0"/>
          <c:dLbls>
            <c:dLbl>
              <c:idx val="0"/>
              <c:tx>
                <c:rich>
                  <a:bodyPr/>
                  <a:lstStyle/>
                  <a:p>
                    <a:r>
                      <a:rPr lang="en-US" sz="800" b="1" i="0" baseline="0">
                        <a:solidFill>
                          <a:sysClr val="windowText" lastClr="000000"/>
                        </a:solidFill>
                        <a:effectLst/>
                      </a:rPr>
                      <a:t>Belo Horizonte</a:t>
                    </a:r>
                    <a:endParaRPr lang="pt-BR" sz="800">
                      <a:solidFill>
                        <a:sysClr val="windowText" lastClr="000000"/>
                      </a:solidFill>
                      <a:effectLst/>
                    </a:endParaRPr>
                  </a:p>
                  <a:p>
                    <a:r>
                      <a:rPr lang="en-US" sz="800" b="1" i="0" baseline="0">
                        <a:solidFill>
                          <a:sysClr val="windowText" lastClr="000000"/>
                        </a:solidFill>
                        <a:effectLst/>
                      </a:rPr>
                      <a:t>Contagem</a:t>
                    </a:r>
                    <a:endParaRPr lang="pt-BR" sz="800">
                      <a:solidFill>
                        <a:sysClr val="windowText" lastClr="000000"/>
                      </a:solidFill>
                      <a:effectLst/>
                    </a:endParaRPr>
                  </a:p>
                  <a:p>
                    <a:r>
                      <a:rPr lang="en-US" sz="800" b="1" i="0" baseline="0">
                        <a:solidFill>
                          <a:sysClr val="windowText" lastClr="000000"/>
                        </a:solidFill>
                        <a:effectLst/>
                      </a:rPr>
                      <a:t>Joinville</a:t>
                    </a:r>
                  </a:p>
                  <a:p>
                    <a:r>
                      <a:rPr lang="en-US" sz="800" b="1" i="0" baseline="0">
                        <a:solidFill>
                          <a:sysClr val="windowText" lastClr="000000"/>
                        </a:solidFill>
                        <a:effectLst/>
                      </a:rPr>
                      <a:t>RMBH</a:t>
                    </a:r>
                    <a:endParaRPr lang="pt-BR" sz="800">
                      <a:solidFill>
                        <a:sysClr val="windowText" lastClr="000000"/>
                      </a:solidFill>
                      <a:effectLst/>
                    </a:endParaRPr>
                  </a:p>
                  <a:p>
                    <a:r>
                      <a:rPr lang="en-US" sz="900">
                        <a:solidFill>
                          <a:sysClr val="windowText" lastClr="000000"/>
                        </a:solidFill>
                      </a:rPr>
                      <a:t>1</a:t>
                    </a:r>
                    <a:endParaRPr lang="en-US" sz="900"/>
                  </a:p>
                </c:rich>
              </c:tx>
              <c:dLblPos val="outEnd"/>
              <c:showLegendKey val="0"/>
              <c:showVal val="1"/>
              <c:showCatName val="0"/>
              <c:showSerName val="0"/>
              <c:showPercent val="0"/>
              <c:showBubbleSize val="0"/>
            </c:dLbl>
            <c:dLbl>
              <c:idx val="1"/>
              <c:tx>
                <c:rich>
                  <a:bodyPr/>
                  <a:lstStyle/>
                  <a:p>
                    <a:r>
                      <a:rPr lang="en-US" sz="800">
                        <a:solidFill>
                          <a:sysClr val="windowText" lastClr="000000"/>
                        </a:solidFill>
                      </a:rPr>
                      <a:t>Belo Horizonte</a:t>
                    </a:r>
                  </a:p>
                  <a:p>
                    <a:r>
                      <a:rPr lang="en-US" sz="800">
                        <a:solidFill>
                          <a:sysClr val="windowText" lastClr="000000"/>
                        </a:solidFill>
                      </a:rPr>
                      <a:t>Joinville</a:t>
                    </a:r>
                  </a:p>
                  <a:p>
                    <a:r>
                      <a:rPr lang="en-US" sz="800">
                        <a:solidFill>
                          <a:sysClr val="windowText" lastClr="000000"/>
                        </a:solidFill>
                      </a:rPr>
                      <a:t>RMBH</a:t>
                    </a:r>
                  </a:p>
                  <a:p>
                    <a:r>
                      <a:rPr lang="en-US" sz="900">
                        <a:solidFill>
                          <a:sysClr val="windowText" lastClr="000000"/>
                        </a:solidFill>
                      </a:rPr>
                      <a:t>2</a:t>
                    </a:r>
                  </a:p>
                </c:rich>
              </c:tx>
              <c:dLblPos val="outEnd"/>
              <c:showLegendKey val="0"/>
              <c:showVal val="1"/>
              <c:showCatName val="0"/>
              <c:showSerName val="0"/>
              <c:showPercent val="0"/>
              <c:showBubbleSize val="0"/>
            </c:dLbl>
            <c:dLbl>
              <c:idx val="2"/>
              <c:tx>
                <c:rich>
                  <a:bodyPr/>
                  <a:lstStyle/>
                  <a:p>
                    <a:r>
                      <a:rPr lang="en-US" sz="800">
                        <a:solidFill>
                          <a:sysClr val="windowText" lastClr="000000"/>
                        </a:solidFill>
                      </a:rPr>
                      <a:t>Belo Horizonte</a:t>
                    </a:r>
                  </a:p>
                  <a:p>
                    <a:r>
                      <a:rPr lang="en-US" sz="800">
                        <a:solidFill>
                          <a:sysClr val="windowText" lastClr="000000"/>
                        </a:solidFill>
                      </a:rPr>
                      <a:t>Contagem</a:t>
                    </a:r>
                  </a:p>
                  <a:p>
                    <a:r>
                      <a:rPr lang="en-US" sz="800">
                        <a:solidFill>
                          <a:sysClr val="windowText" lastClr="000000"/>
                        </a:solidFill>
                      </a:rPr>
                      <a:t>Curitiba</a:t>
                    </a:r>
                  </a:p>
                  <a:p>
                    <a:r>
                      <a:rPr lang="en-US" sz="800">
                        <a:solidFill>
                          <a:sysClr val="windowText" lastClr="000000"/>
                        </a:solidFill>
                      </a:rPr>
                      <a:t>Joinville</a:t>
                    </a:r>
                  </a:p>
                  <a:p>
                    <a:r>
                      <a:rPr lang="en-US" sz="900">
                        <a:solidFill>
                          <a:sysClr val="windowText" lastClr="000000"/>
                        </a:solidFill>
                      </a:rPr>
                      <a:t>3</a:t>
                    </a:r>
                  </a:p>
                </c:rich>
              </c:tx>
              <c:dLblPos val="outEnd"/>
              <c:showLegendKey val="0"/>
              <c:showVal val="1"/>
              <c:showCatName val="0"/>
              <c:showSerName val="0"/>
              <c:showPercent val="0"/>
              <c:showBubbleSize val="0"/>
            </c:dLbl>
            <c:dLbl>
              <c:idx val="3"/>
              <c:tx>
                <c:rich>
                  <a:bodyPr/>
                  <a:lstStyle/>
                  <a:p>
                    <a:r>
                      <a:rPr lang="en-US" sz="800">
                        <a:solidFill>
                          <a:sysClr val="windowText" lastClr="000000"/>
                        </a:solidFill>
                      </a:rPr>
                      <a:t>Bogotá</a:t>
                    </a:r>
                  </a:p>
                  <a:p>
                    <a:r>
                      <a:rPr lang="en-US" sz="800">
                        <a:solidFill>
                          <a:sysClr val="windowText" lastClr="000000"/>
                        </a:solidFill>
                      </a:rPr>
                      <a:t>Quito</a:t>
                    </a:r>
                  </a:p>
                  <a:p>
                    <a:r>
                      <a:rPr lang="en-US" sz="800">
                        <a:solidFill>
                          <a:sysClr val="windowText" lastClr="000000"/>
                        </a:solidFill>
                      </a:rPr>
                      <a:t>RMBH</a:t>
                    </a:r>
                  </a:p>
                  <a:p>
                    <a:r>
                      <a:rPr lang="en-US" sz="900">
                        <a:solidFill>
                          <a:sysClr val="windowText" lastClr="000000"/>
                        </a:solidFill>
                      </a:rPr>
                      <a:t>4</a:t>
                    </a:r>
                  </a:p>
                </c:rich>
              </c:tx>
              <c:dLblPos val="outEnd"/>
              <c:showLegendKey val="0"/>
              <c:showVal val="1"/>
              <c:showCatName val="0"/>
              <c:showSerName val="0"/>
              <c:showPercent val="0"/>
              <c:showBubbleSize val="0"/>
            </c:dLbl>
            <c:dLbl>
              <c:idx val="4"/>
              <c:tx>
                <c:rich>
                  <a:bodyPr/>
                  <a:lstStyle/>
                  <a:p>
                    <a:r>
                      <a:rPr lang="en-US" sz="800">
                        <a:solidFill>
                          <a:sysClr val="windowText" lastClr="000000"/>
                        </a:solidFill>
                      </a:rPr>
                      <a:t>Belo Horizonte</a:t>
                    </a:r>
                  </a:p>
                  <a:p>
                    <a:r>
                      <a:rPr lang="en-US" sz="900">
                        <a:solidFill>
                          <a:sysClr val="windowText" lastClr="000000"/>
                        </a:solidFill>
                      </a:rPr>
                      <a:t>5</a:t>
                    </a:r>
                  </a:p>
                </c:rich>
              </c:tx>
              <c:dLblPos val="outEnd"/>
              <c:showLegendKey val="0"/>
              <c:showVal val="1"/>
              <c:showCatName val="0"/>
              <c:showSerName val="0"/>
              <c:showPercent val="0"/>
              <c:showBubbleSize val="0"/>
            </c:dLbl>
            <c:dLbl>
              <c:idx val="5"/>
              <c:tx>
                <c:rich>
                  <a:bodyPr/>
                  <a:lstStyle/>
                  <a:p>
                    <a:r>
                      <a:rPr lang="en-US" sz="800">
                        <a:solidFill>
                          <a:sysClr val="windowText" lastClr="000000"/>
                        </a:solidFill>
                      </a:rPr>
                      <a:t>Belo Horizonte</a:t>
                    </a:r>
                  </a:p>
                  <a:p>
                    <a:r>
                      <a:rPr lang="en-US" sz="800">
                        <a:solidFill>
                          <a:sysClr val="windowText" lastClr="000000"/>
                        </a:solidFill>
                      </a:rPr>
                      <a:t>Guatemala</a:t>
                    </a:r>
                  </a:p>
                  <a:p>
                    <a:r>
                      <a:rPr lang="en-US" sz="900">
                        <a:solidFill>
                          <a:sysClr val="windowText" lastClr="000000"/>
                        </a:solidFill>
                      </a:rPr>
                      <a:t>6</a:t>
                    </a:r>
                  </a:p>
                </c:rich>
              </c:tx>
              <c:dLblPos val="outEnd"/>
              <c:showLegendKey val="0"/>
              <c:showVal val="1"/>
              <c:showCatName val="0"/>
              <c:showSerName val="0"/>
              <c:showPercent val="0"/>
              <c:showBubbleSize val="0"/>
            </c:dLbl>
            <c:dLbl>
              <c:idx val="6"/>
              <c:tx>
                <c:rich>
                  <a:bodyPr/>
                  <a:lstStyle/>
                  <a:p>
                    <a:r>
                      <a:rPr lang="en-US" sz="900">
                        <a:solidFill>
                          <a:sysClr val="windowText" lastClr="000000"/>
                        </a:solidFill>
                      </a:rPr>
                      <a:t>7</a:t>
                    </a:r>
                  </a:p>
                </c:rich>
              </c:tx>
              <c:dLblPos val="outEnd"/>
              <c:showLegendKey val="0"/>
              <c:showVal val="1"/>
              <c:showCatName val="0"/>
              <c:showSerName val="0"/>
              <c:showPercent val="0"/>
              <c:showBubbleSize val="0"/>
            </c:dLbl>
            <c:dLbl>
              <c:idx val="7"/>
              <c:tx>
                <c:rich>
                  <a:bodyPr/>
                  <a:lstStyle/>
                  <a:p>
                    <a:r>
                      <a:rPr lang="en-US" sz="800" baseline="0">
                        <a:solidFill>
                          <a:sysClr val="windowText" lastClr="000000"/>
                        </a:solidFill>
                      </a:rPr>
                      <a:t>Belo Horizonte</a:t>
                    </a:r>
                  </a:p>
                  <a:p>
                    <a:r>
                      <a:rPr lang="en-US" sz="800" baseline="0">
                        <a:solidFill>
                          <a:sysClr val="windowText" lastClr="000000"/>
                        </a:solidFill>
                      </a:rPr>
                      <a:t>Curitiba</a:t>
                    </a:r>
                  </a:p>
                  <a:p>
                    <a:r>
                      <a:rPr lang="en-US" sz="800" baseline="0">
                        <a:solidFill>
                          <a:sysClr val="windowText" lastClr="000000"/>
                        </a:solidFill>
                      </a:rPr>
                      <a:t>Joinville</a:t>
                    </a:r>
                  </a:p>
                  <a:p>
                    <a:r>
                      <a:rPr lang="en-US" sz="800" baseline="0">
                        <a:solidFill>
                          <a:sysClr val="windowText" lastClr="000000"/>
                        </a:solidFill>
                      </a:rPr>
                      <a:t>RM Curitiba</a:t>
                    </a:r>
                  </a:p>
                  <a:p>
                    <a:r>
                      <a:rPr lang="en-US" sz="800" baseline="0">
                        <a:solidFill>
                          <a:sysClr val="windowText" lastClr="000000"/>
                        </a:solidFill>
                      </a:rPr>
                      <a:t>RMBH</a:t>
                    </a:r>
                  </a:p>
                  <a:p>
                    <a:r>
                      <a:rPr lang="en-US" sz="800" baseline="0">
                        <a:solidFill>
                          <a:sysClr val="windowText" lastClr="000000"/>
                        </a:solidFill>
                      </a:rPr>
                      <a:t>Salzburgo</a:t>
                    </a:r>
                  </a:p>
                  <a:p>
                    <a:r>
                      <a:rPr lang="en-US" sz="900" baseline="0">
                        <a:solidFill>
                          <a:sysClr val="windowText" lastClr="000000"/>
                        </a:solidFill>
                      </a:rPr>
                      <a:t>8</a:t>
                    </a:r>
                    <a:endParaRPr lang="en-US" sz="900">
                      <a:solidFill>
                        <a:sysClr val="windowText" lastClr="000000"/>
                      </a:solidFill>
                    </a:endParaRPr>
                  </a:p>
                </c:rich>
              </c:tx>
              <c:dLblPos val="outEnd"/>
              <c:showLegendKey val="0"/>
              <c:showVal val="1"/>
              <c:showCatName val="0"/>
              <c:showSerName val="0"/>
              <c:showPercent val="0"/>
              <c:showBubbleSize val="0"/>
            </c:dLbl>
            <c:dLbl>
              <c:idx val="8"/>
              <c:tx>
                <c:rich>
                  <a:bodyPr/>
                  <a:lstStyle/>
                  <a:p>
                    <a:r>
                      <a:rPr lang="en-US" sz="800">
                        <a:solidFill>
                          <a:sysClr val="windowText" lastClr="000000"/>
                        </a:solidFill>
                      </a:rPr>
                      <a:t>Barcelona</a:t>
                    </a:r>
                  </a:p>
                  <a:p>
                    <a:r>
                      <a:rPr lang="en-US" sz="800">
                        <a:solidFill>
                          <a:sysClr val="windowText" lastClr="000000"/>
                        </a:solidFill>
                      </a:rPr>
                      <a:t>Metz, Parma</a:t>
                    </a:r>
                  </a:p>
                  <a:p>
                    <a:r>
                      <a:rPr lang="en-US" sz="800">
                        <a:solidFill>
                          <a:sysClr val="windowText" lastClr="000000"/>
                        </a:solidFill>
                      </a:rPr>
                      <a:t>Nova York</a:t>
                    </a:r>
                  </a:p>
                  <a:p>
                    <a:r>
                      <a:rPr lang="en-US" sz="800">
                        <a:solidFill>
                          <a:sysClr val="windowText" lastClr="000000"/>
                        </a:solidFill>
                      </a:rPr>
                      <a:t>Winnipeg</a:t>
                    </a:r>
                  </a:p>
                  <a:p>
                    <a:r>
                      <a:rPr lang="en-US" sz="900">
                        <a:solidFill>
                          <a:sysClr val="windowText" lastClr="000000"/>
                        </a:solidFill>
                      </a:rPr>
                      <a:t>9</a:t>
                    </a:r>
                  </a:p>
                </c:rich>
              </c:tx>
              <c:dLblPos val="outEnd"/>
              <c:showLegendKey val="0"/>
              <c:showVal val="1"/>
              <c:showCatName val="0"/>
              <c:showSerName val="0"/>
              <c:showPercent val="0"/>
              <c:showBubbleSize val="0"/>
            </c:dLbl>
            <c:dLbl>
              <c:idx val="9"/>
              <c:tx>
                <c:rich>
                  <a:bodyPr/>
                  <a:lstStyle/>
                  <a:p>
                    <a:r>
                      <a:rPr lang="en-US" sz="800">
                        <a:solidFill>
                          <a:sysClr val="windowText" lastClr="000000"/>
                        </a:solidFill>
                      </a:rPr>
                      <a:t>Curitiba</a:t>
                    </a:r>
                  </a:p>
                  <a:p>
                    <a:r>
                      <a:rPr lang="en-US" sz="800">
                        <a:solidFill>
                          <a:sysClr val="windowText" lastClr="000000"/>
                        </a:solidFill>
                      </a:rPr>
                      <a:t>Quito</a:t>
                    </a:r>
                  </a:p>
                  <a:p>
                    <a:r>
                      <a:rPr lang="en-US" sz="900">
                        <a:solidFill>
                          <a:sysClr val="windowText" lastClr="000000"/>
                        </a:solidFill>
                      </a:rPr>
                      <a:t>10</a:t>
                    </a:r>
                  </a:p>
                </c:rich>
              </c:tx>
              <c:dLblPos val="outEnd"/>
              <c:showLegendKey val="0"/>
              <c:showVal val="1"/>
              <c:showCatName val="0"/>
              <c:showSerName val="0"/>
              <c:showPercent val="0"/>
              <c:showBubbleSize val="0"/>
            </c:dLbl>
            <c:txPr>
              <a:bodyPr/>
              <a:lstStyle/>
              <a:p>
                <a:pPr>
                  <a:defRPr sz="800" b="1">
                    <a:solidFill>
                      <a:sysClr val="windowText" lastClr="000000"/>
                    </a:solidFill>
                  </a:defRPr>
                </a:pPr>
                <a:endParaRPr lang="pt-BR"/>
              </a:p>
            </c:txPr>
            <c:dLblPos val="outEnd"/>
            <c:showLegendKey val="0"/>
            <c:showVal val="1"/>
            <c:showCatName val="0"/>
            <c:showSerName val="0"/>
            <c:showPercent val="0"/>
            <c:showBubbleSize val="0"/>
            <c:showLeaderLines val="0"/>
          </c:dLbls>
          <c:cat>
            <c:strRef>
              <c:f>para_graficos!$BE$361:$BE$370</c:f>
              <c:strCache>
                <c:ptCount val="10"/>
                <c:pt idx="0">
                  <c:v>não acessível</c:v>
                </c:pt>
                <c:pt idx="1">
                  <c:v>elevador exclusivo</c:v>
                </c:pt>
                <c:pt idx="2">
                  <c:v>elevador não exclusivo</c:v>
                </c:pt>
                <c:pt idx="3">
                  <c:v>BRT misto c/elevador exclusivo</c:v>
                </c:pt>
                <c:pt idx="4">
                  <c:v>BRT misto c/elevador não exclusivo</c:v>
                </c:pt>
                <c:pt idx="5">
                  <c:v>em nível parcial s/rampa</c:v>
                </c:pt>
                <c:pt idx="6">
                  <c:v>em nível total s/rampa</c:v>
                </c:pt>
                <c:pt idx="7">
                  <c:v>em nível c/ uma rampa manual</c:v>
                </c:pt>
                <c:pt idx="8">
                  <c:v>em nível c/uma rampa automática</c:v>
                </c:pt>
                <c:pt idx="9">
                  <c:v>desenho universal</c:v>
                </c:pt>
              </c:strCache>
            </c:strRef>
          </c:cat>
          <c:val>
            <c:numRef>
              <c:f>para_graficos!$BF$361:$BF$370</c:f>
              <c:numCache>
                <c:formatCode>0</c:formatCode>
                <c:ptCount val="10"/>
                <c:pt idx="0">
                  <c:v>1</c:v>
                </c:pt>
                <c:pt idx="1">
                  <c:v>2</c:v>
                </c:pt>
                <c:pt idx="2">
                  <c:v>3</c:v>
                </c:pt>
                <c:pt idx="3">
                  <c:v>4</c:v>
                </c:pt>
                <c:pt idx="4">
                  <c:v>5</c:v>
                </c:pt>
                <c:pt idx="5">
                  <c:v>6</c:v>
                </c:pt>
                <c:pt idx="6">
                  <c:v>7</c:v>
                </c:pt>
                <c:pt idx="7">
                  <c:v>8</c:v>
                </c:pt>
                <c:pt idx="8">
                  <c:v>9</c:v>
                </c:pt>
                <c:pt idx="9">
                  <c:v>10</c:v>
                </c:pt>
              </c:numCache>
            </c:numRef>
          </c:val>
        </c:ser>
        <c:dLbls>
          <c:showLegendKey val="0"/>
          <c:showVal val="0"/>
          <c:showCatName val="0"/>
          <c:showSerName val="0"/>
          <c:showPercent val="0"/>
          <c:showBubbleSize val="0"/>
        </c:dLbls>
        <c:gapWidth val="150"/>
        <c:axId val="135097344"/>
        <c:axId val="135776512"/>
      </c:barChart>
      <c:catAx>
        <c:axId val="135097344"/>
        <c:scaling>
          <c:orientation val="minMax"/>
        </c:scaling>
        <c:delete val="0"/>
        <c:axPos val="b"/>
        <c:numFmt formatCode="General" sourceLinked="1"/>
        <c:majorTickMark val="out"/>
        <c:minorTickMark val="none"/>
        <c:tickLblPos val="nextTo"/>
        <c:txPr>
          <a:bodyPr rot="-1260000" vert="horz"/>
          <a:lstStyle/>
          <a:p>
            <a:pPr>
              <a:defRPr sz="1000" b="0"/>
            </a:pPr>
            <a:endParaRPr lang="pt-BR"/>
          </a:p>
        </c:txPr>
        <c:crossAx val="135776512"/>
        <c:crosses val="autoZero"/>
        <c:auto val="1"/>
        <c:lblAlgn val="ctr"/>
        <c:lblOffset val="100"/>
        <c:noMultiLvlLbl val="0"/>
      </c:catAx>
      <c:valAx>
        <c:axId val="135776512"/>
        <c:scaling>
          <c:orientation val="minMax"/>
          <c:max val="12"/>
        </c:scaling>
        <c:delete val="1"/>
        <c:axPos val="l"/>
        <c:numFmt formatCode="#,##0.00" sourceLinked="0"/>
        <c:majorTickMark val="out"/>
        <c:minorTickMark val="none"/>
        <c:tickLblPos val="nextTo"/>
        <c:crossAx val="135097344"/>
        <c:crosses val="autoZero"/>
        <c:crossBetween val="between"/>
      </c:valAx>
    </c:plotArea>
    <c:plotVisOnly val="1"/>
    <c:dispBlanksAs val="gap"/>
    <c:showDLblsOverMax val="0"/>
  </c:chart>
  <c:txPr>
    <a:bodyPr/>
    <a:lstStyle/>
    <a:p>
      <a:pPr>
        <a:defRPr sz="1000">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6"/>
          <c:order val="0"/>
          <c:tx>
            <c:strRef>
              <c:f>para_graficos!$BE$372</c:f>
              <c:strCache>
                <c:ptCount val="1"/>
                <c:pt idx="0">
                  <c:v>1 = não acessível</c:v>
                </c:pt>
              </c:strCache>
            </c:strRef>
          </c:tx>
          <c:spPr>
            <a:ln>
              <a:solidFill>
                <a:schemeClr val="tx1">
                  <a:lumMod val="75000"/>
                  <a:lumOff val="25000"/>
                </a:schemeClr>
              </a:solidFill>
            </a:ln>
          </c:spPr>
          <c:marker>
            <c:symbol val="circle"/>
            <c:size val="10"/>
            <c:spPr>
              <a:solidFill>
                <a:schemeClr val="bg1"/>
              </a:solidFill>
              <a:ln>
                <a:solidFill>
                  <a:schemeClr val="tx1">
                    <a:lumMod val="95000"/>
                    <a:lumOff val="5000"/>
                  </a:schemeClr>
                </a:solidFill>
              </a:ln>
            </c:spPr>
          </c:marker>
          <c:dPt>
            <c:idx val="16"/>
            <c:bubble3D val="0"/>
            <c:spPr>
              <a:ln>
                <a:solidFill>
                  <a:schemeClr val="tx1">
                    <a:lumMod val="75000"/>
                    <a:lumOff val="25000"/>
                  </a:schemeClr>
                </a:solidFill>
                <a:prstDash val="sysDot"/>
              </a:ln>
            </c:spPr>
          </c:dPt>
          <c:dLbls>
            <c:dLbl>
              <c:idx val="16"/>
              <c:spPr/>
              <c:txPr>
                <a:bodyPr/>
                <a:lstStyle/>
                <a:p>
                  <a:pPr>
                    <a:defRPr sz="800" b="1"/>
                  </a:pPr>
                  <a:endParaRPr lang="pt-BR"/>
                </a:p>
              </c:txPr>
              <c:dLblPos val="b"/>
              <c:showLegendKey val="0"/>
              <c:showVal val="1"/>
              <c:showCatName val="0"/>
              <c:showSerName val="0"/>
              <c:showPercent val="0"/>
              <c:showBubbleSize val="0"/>
            </c:dLbl>
            <c:dLbl>
              <c:idx val="21"/>
              <c:layout>
                <c:manualLayout>
                  <c:x val="-2.2267876796772185E-2"/>
                  <c:y val="-3.4890247923503273E-2"/>
                </c:manualLayout>
              </c:layout>
              <c:dLblPos val="r"/>
              <c:showLegendKey val="0"/>
              <c:showVal val="1"/>
              <c:showCatName val="0"/>
              <c:showSerName val="0"/>
              <c:showPercent val="0"/>
              <c:showBubbleSize val="0"/>
            </c:dLbl>
            <c:dLbl>
              <c:idx val="22"/>
              <c:layout>
                <c:manualLayout>
                  <c:x val="-1.8471316519959181E-2"/>
                  <c:y val="-4.1695078540138125E-2"/>
                </c:manualLayout>
              </c:layout>
              <c:dLblPos val="r"/>
              <c:showLegendKey val="0"/>
              <c:showVal val="1"/>
              <c:showCatName val="0"/>
              <c:showSerName val="0"/>
              <c:showPercent val="0"/>
              <c:showBubbleSize val="0"/>
            </c:dLbl>
            <c:dLbl>
              <c:idx val="23"/>
              <c:layout>
                <c:manualLayout>
                  <c:x val="-2.3858439425113172E-2"/>
                  <c:y val="-4.237387931981975E-2"/>
                </c:manualLayout>
              </c:layout>
              <c:spPr/>
              <c:txPr>
                <a:bodyPr/>
                <a:lstStyle/>
                <a:p>
                  <a:pPr>
                    <a:defRPr sz="1000" b="1"/>
                  </a:pPr>
                  <a:endParaRPr lang="pt-BR"/>
                </a:p>
              </c:txPr>
              <c:dLblPos val="r"/>
              <c:showLegendKey val="0"/>
              <c:showVal val="1"/>
              <c:showCatName val="0"/>
              <c:showSerName val="0"/>
              <c:showPercent val="0"/>
              <c:showBubbleSize val="0"/>
            </c:dLbl>
            <c:txPr>
              <a:bodyPr/>
              <a:lstStyle/>
              <a:p>
                <a:pPr>
                  <a:defRPr sz="800"/>
                </a:pPr>
                <a:endParaRPr lang="pt-BR"/>
              </a:p>
            </c:txPr>
            <c:dLblPos val="b"/>
            <c:showLegendKey val="0"/>
            <c:showVal val="1"/>
            <c:showCatName val="0"/>
            <c:showSerName val="0"/>
            <c:showPercent val="0"/>
            <c:showBubbleSize val="0"/>
            <c:showLeaderLines val="0"/>
          </c:dLbls>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(para_graficos!$M$372:$R$372,para_graficos!$T$372:$U$372,para_graficos!$W$372:$AK$372,para_graficos!$AM$372)</c:f>
              <c:numCache>
                <c:formatCode>#,##0</c:formatCode>
                <c:ptCount val="24"/>
                <c:pt idx="0">
                  <c:v>2491</c:v>
                </c:pt>
                <c:pt idx="1">
                  <c:v>2574</c:v>
                </c:pt>
                <c:pt idx="2">
                  <c:v>2670</c:v>
                </c:pt>
                <c:pt idx="16">
                  <c:v>1329</c:v>
                </c:pt>
                <c:pt idx="17">
                  <c:v>1024</c:v>
                </c:pt>
                <c:pt idx="18">
                  <c:v>793</c:v>
                </c:pt>
                <c:pt idx="19">
                  <c:v>697</c:v>
                </c:pt>
                <c:pt idx="20" formatCode="General">
                  <c:v>585</c:v>
                </c:pt>
                <c:pt idx="21" formatCode="General">
                  <c:v>302</c:v>
                </c:pt>
                <c:pt idx="22" formatCode="General">
                  <c:v>244</c:v>
                </c:pt>
                <c:pt idx="23" formatCode="General">
                  <c:v>99</c:v>
                </c:pt>
              </c:numCache>
            </c:numRef>
          </c:val>
          <c:smooth val="0"/>
        </c:ser>
        <c:ser>
          <c:idx val="0"/>
          <c:order val="1"/>
          <c:tx>
            <c:strRef>
              <c:f>para_graficos!$BE$379</c:f>
              <c:strCache>
                <c:ptCount val="1"/>
                <c:pt idx="0">
                  <c:v>2 a 10 = com alguma facilidade</c:v>
                </c:pt>
              </c:strCache>
            </c:strRef>
          </c:tx>
          <c:spPr>
            <a:ln>
              <a:solidFill>
                <a:schemeClr val="tx1">
                  <a:lumMod val="75000"/>
                  <a:lumOff val="25000"/>
                </a:schemeClr>
              </a:solidFill>
            </a:ln>
          </c:spPr>
          <c:marker>
            <c:symbol val="diamond"/>
            <c:size val="10"/>
            <c:spPr>
              <a:solidFill>
                <a:schemeClr val="bg1"/>
              </a:solidFill>
              <a:ln>
                <a:solidFill>
                  <a:schemeClr val="tx1">
                    <a:lumMod val="95000"/>
                    <a:lumOff val="5000"/>
                  </a:schemeClr>
                </a:solidFill>
              </a:ln>
            </c:spPr>
          </c:marker>
          <c:dPt>
            <c:idx val="16"/>
            <c:bubble3D val="0"/>
            <c:spPr>
              <a:ln>
                <a:solidFill>
                  <a:schemeClr val="tx1">
                    <a:lumMod val="75000"/>
                    <a:lumOff val="25000"/>
                  </a:schemeClr>
                </a:solidFill>
                <a:prstDash val="sysDot"/>
              </a:ln>
            </c:spPr>
          </c:dPt>
          <c:dLbls>
            <c:dLbl>
              <c:idx val="16"/>
              <c:spPr/>
              <c:txPr>
                <a:bodyPr/>
                <a:lstStyle/>
                <a:p>
                  <a:pPr>
                    <a:defRPr sz="1000" b="1"/>
                  </a:pPr>
                  <a:endParaRPr lang="pt-BR"/>
                </a:p>
              </c:txPr>
              <c:dLblPos val="t"/>
              <c:showLegendKey val="0"/>
              <c:showVal val="1"/>
              <c:showCatName val="0"/>
              <c:showSerName val="0"/>
              <c:showPercent val="0"/>
              <c:showBubbleSize val="0"/>
            </c:dLbl>
            <c:dLbl>
              <c:idx val="17"/>
              <c:layout>
                <c:manualLayout>
                  <c:x val="-2.7039564681794796E-2"/>
                  <c:y val="4.237387931981975E-2"/>
                </c:manualLayout>
              </c:layout>
              <c:spPr/>
              <c:txPr>
                <a:bodyPr/>
                <a:lstStyle/>
                <a:p>
                  <a:pPr>
                    <a:defRPr sz="800"/>
                  </a:pPr>
                  <a:endParaRPr lang="pt-BR"/>
                </a:p>
              </c:txPr>
              <c:dLblPos val="r"/>
              <c:showLegendKey val="0"/>
              <c:showVal val="1"/>
              <c:showCatName val="0"/>
              <c:showSerName val="0"/>
              <c:showPercent val="0"/>
              <c:showBubbleSize val="0"/>
            </c:dLbl>
            <c:dLbl>
              <c:idx val="18"/>
              <c:layout>
                <c:manualLayout>
                  <c:x val="-2.3858439425113055E-2"/>
                  <c:y val="4.5934709514762584E-2"/>
                </c:manualLayout>
              </c:layout>
              <c:spPr/>
              <c:txPr>
                <a:bodyPr/>
                <a:lstStyle/>
                <a:p>
                  <a:pPr>
                    <a:defRPr sz="800"/>
                  </a:pPr>
                  <a:endParaRPr lang="pt-BR"/>
                </a:p>
              </c:txPr>
              <c:dLblPos val="r"/>
              <c:showLegendKey val="0"/>
              <c:showVal val="1"/>
              <c:showCatName val="0"/>
              <c:showSerName val="0"/>
              <c:showPercent val="0"/>
              <c:showBubbleSize val="0"/>
            </c:dLbl>
            <c:dLbl>
              <c:idx val="19"/>
              <c:layout>
                <c:manualLayout>
                  <c:x val="-3.0220689938476538E-2"/>
                  <c:y val="4.237387931981975E-2"/>
                </c:manualLayout>
              </c:layout>
              <c:spPr/>
              <c:txPr>
                <a:bodyPr/>
                <a:lstStyle/>
                <a:p>
                  <a:pPr>
                    <a:defRPr sz="800"/>
                  </a:pPr>
                  <a:endParaRPr lang="pt-BR"/>
                </a:p>
              </c:txPr>
              <c:dLblPos val="r"/>
              <c:showLegendKey val="0"/>
              <c:showVal val="1"/>
              <c:showCatName val="0"/>
              <c:showSerName val="0"/>
              <c:showPercent val="0"/>
              <c:showBubbleSize val="0"/>
            </c:dLbl>
            <c:dLbl>
              <c:idx val="20"/>
              <c:layout>
                <c:manualLayout>
                  <c:x val="-3.0618330595561755E-2"/>
                  <c:y val="4.8961415180463999E-2"/>
                </c:manualLayout>
              </c:layout>
              <c:spPr/>
              <c:txPr>
                <a:bodyPr/>
                <a:lstStyle/>
                <a:p>
                  <a:pPr>
                    <a:defRPr sz="800"/>
                  </a:pPr>
                  <a:endParaRPr lang="pt-BR"/>
                </a:p>
              </c:txPr>
              <c:dLblPos val="r"/>
              <c:showLegendKey val="0"/>
              <c:showVal val="1"/>
              <c:showCatName val="0"/>
              <c:showSerName val="0"/>
              <c:showPercent val="0"/>
              <c:showBubbleSize val="0"/>
            </c:dLbl>
            <c:dLbl>
              <c:idx val="21"/>
              <c:layout>
                <c:manualLayout>
                  <c:x val="-3.0419572887594948E-2"/>
                  <c:y val="4.3235934827433292E-2"/>
                </c:manualLayout>
              </c:layout>
              <c:dLblPos val="r"/>
              <c:showLegendKey val="0"/>
              <c:showVal val="1"/>
              <c:showCatName val="0"/>
              <c:showSerName val="0"/>
              <c:showPercent val="0"/>
              <c:showBubbleSize val="0"/>
            </c:dLbl>
            <c:dLbl>
              <c:idx val="22"/>
              <c:layout>
                <c:manualLayout>
                  <c:x val="-2.5516507034294533E-2"/>
                  <c:y val="4.7430258196638611E-2"/>
                </c:manualLayout>
              </c:layout>
              <c:spPr/>
              <c:txPr>
                <a:bodyPr/>
                <a:lstStyle/>
                <a:p>
                  <a:pPr>
                    <a:defRPr sz="800"/>
                  </a:pPr>
                  <a:endParaRPr lang="pt-BR"/>
                </a:p>
              </c:txPr>
              <c:dLblPos val="r"/>
              <c:showLegendKey val="0"/>
              <c:showVal val="1"/>
              <c:showCatName val="0"/>
              <c:showSerName val="0"/>
              <c:showPercent val="0"/>
              <c:showBubbleSize val="0"/>
            </c:dLbl>
            <c:dLbl>
              <c:idx val="23"/>
              <c:layout>
                <c:manualLayout>
                  <c:x val="-7.0151326378943817E-3"/>
                  <c:y val="4.1839754790578325E-2"/>
                </c:manualLayout>
              </c:layout>
              <c:dLblPos val="r"/>
              <c:showLegendKey val="0"/>
              <c:showVal val="1"/>
              <c:showCatName val="0"/>
              <c:showSerName val="0"/>
              <c:showPercent val="0"/>
              <c:showBubbleSize val="0"/>
            </c:dLbl>
            <c:txPr>
              <a:bodyPr/>
              <a:lstStyle/>
              <a:p>
                <a:pPr>
                  <a:defRPr sz="1000"/>
                </a:pPr>
                <a:endParaRPr lang="pt-BR"/>
              </a:p>
            </c:txPr>
            <c:dLblPos val="t"/>
            <c:showLegendKey val="0"/>
            <c:showVal val="1"/>
            <c:showCatName val="0"/>
            <c:showSerName val="0"/>
            <c:showPercent val="0"/>
            <c:showBubbleSize val="0"/>
            <c:showLeaderLines val="0"/>
          </c:dLbls>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(para_graficos!$M$379:$R$379,para_graficos!$T$379:$U$379,para_graficos!$W$379:$AK$379,para_graficos!$AM$379)</c:f>
              <c:numCache>
                <c:formatCode>#,##0</c:formatCode>
                <c:ptCount val="24"/>
                <c:pt idx="0">
                  <c:v>0</c:v>
                </c:pt>
                <c:pt idx="1">
                  <c:v>0</c:v>
                </c:pt>
                <c:pt idx="2">
                  <c:v>0</c:v>
                </c:pt>
                <c:pt idx="3">
                  <c:v>0</c:v>
                </c:pt>
                <c:pt idx="4">
                  <c:v>0</c:v>
                </c:pt>
                <c:pt idx="16">
                  <c:v>1525</c:v>
                </c:pt>
                <c:pt idx="17">
                  <c:v>1808</c:v>
                </c:pt>
                <c:pt idx="18">
                  <c:v>2217</c:v>
                </c:pt>
                <c:pt idx="19">
                  <c:v>2341</c:v>
                </c:pt>
                <c:pt idx="20">
                  <c:v>2456</c:v>
                </c:pt>
                <c:pt idx="21">
                  <c:v>2721</c:v>
                </c:pt>
                <c:pt idx="22">
                  <c:v>2716</c:v>
                </c:pt>
                <c:pt idx="23">
                  <c:v>2852</c:v>
                </c:pt>
              </c:numCache>
            </c:numRef>
          </c:val>
          <c:smooth val="0"/>
        </c:ser>
        <c:ser>
          <c:idx val="2"/>
          <c:order val="2"/>
          <c:tx>
            <c:v>F tcc</c:v>
          </c:tx>
          <c:spPr>
            <a:ln w="25400">
              <a:solidFill>
                <a:schemeClr val="tx1">
                  <a:lumMod val="95000"/>
                  <a:lumOff val="5000"/>
                </a:schemeClr>
              </a:solidFill>
              <a:prstDash val="solid"/>
            </a:ln>
          </c:spPr>
          <c:marker>
            <c:symbol val="circle"/>
            <c:size val="5"/>
            <c:spPr>
              <a:solidFill>
                <a:schemeClr val="tx1"/>
              </a:solidFill>
              <a:ln>
                <a:solidFill>
                  <a:schemeClr val="tx1">
                    <a:lumMod val="50000"/>
                    <a:lumOff val="50000"/>
                  </a:schemeClr>
                </a:solidFill>
              </a:ln>
            </c:spPr>
          </c:marker>
          <c:dPt>
            <c:idx val="6"/>
            <c:bubble3D val="0"/>
            <c:spPr>
              <a:ln w="25400">
                <a:solidFill>
                  <a:schemeClr val="tx1">
                    <a:lumMod val="95000"/>
                    <a:lumOff val="5000"/>
                  </a:schemeClr>
                </a:solidFill>
                <a:prstDash val="sysDot"/>
              </a:ln>
            </c:spPr>
          </c:dPt>
          <c:dLbls>
            <c:dLbl>
              <c:idx val="0"/>
              <c:dLblPos val="t"/>
              <c:showLegendKey val="0"/>
              <c:showVal val="1"/>
              <c:showCatName val="0"/>
              <c:showSerName val="0"/>
              <c:showPercent val="0"/>
              <c:showBubbleSize val="0"/>
            </c:dLbl>
            <c:dLbl>
              <c:idx val="6"/>
              <c:spPr/>
              <c:txPr>
                <a:bodyPr/>
                <a:lstStyle/>
                <a:p>
                  <a:pPr>
                    <a:defRPr sz="800" b="0"/>
                  </a:pPr>
                  <a:endParaRPr lang="pt-BR"/>
                </a:p>
              </c:txPr>
              <c:dLblPos val="t"/>
              <c:showLegendKey val="0"/>
              <c:showVal val="1"/>
              <c:showCatName val="0"/>
              <c:showSerName val="0"/>
              <c:showPercent val="0"/>
              <c:showBubbleSize val="0"/>
            </c:dLbl>
            <c:dLbl>
              <c:idx val="7"/>
              <c:dLblPos val="t"/>
              <c:showLegendKey val="0"/>
              <c:showVal val="1"/>
              <c:showCatName val="0"/>
              <c:showSerName val="0"/>
              <c:showPercent val="0"/>
              <c:showBubbleSize val="0"/>
            </c:dLbl>
            <c:dLbl>
              <c:idx val="8"/>
              <c:spPr/>
              <c:txPr>
                <a:bodyPr/>
                <a:lstStyle/>
                <a:p>
                  <a:pPr>
                    <a:defRPr sz="800" b="0"/>
                  </a:pPr>
                  <a:endParaRPr lang="pt-BR"/>
                </a:p>
              </c:txPr>
              <c:dLblPos val="t"/>
              <c:showLegendKey val="0"/>
              <c:showVal val="1"/>
              <c:showCatName val="0"/>
              <c:showSerName val="0"/>
              <c:showPercent val="0"/>
              <c:showBubbleSize val="0"/>
            </c:dLbl>
            <c:dLbl>
              <c:idx val="9"/>
              <c:spPr/>
              <c:txPr>
                <a:bodyPr/>
                <a:lstStyle/>
                <a:p>
                  <a:pPr>
                    <a:defRPr sz="800" b="0"/>
                  </a:pPr>
                  <a:endParaRPr lang="pt-BR"/>
                </a:p>
              </c:txPr>
              <c:dLblPos val="t"/>
              <c:showLegendKey val="0"/>
              <c:showVal val="1"/>
              <c:showCatName val="0"/>
              <c:showSerName val="0"/>
              <c:showPercent val="0"/>
              <c:showBubbleSize val="0"/>
            </c:dLbl>
            <c:dLbl>
              <c:idx val="10"/>
              <c:spPr/>
              <c:txPr>
                <a:bodyPr/>
                <a:lstStyle/>
                <a:p>
                  <a:pPr>
                    <a:defRPr sz="800" b="0"/>
                  </a:pPr>
                  <a:endParaRPr lang="pt-BR"/>
                </a:p>
              </c:txPr>
              <c:dLblPos val="t"/>
              <c:showLegendKey val="0"/>
              <c:showVal val="1"/>
              <c:showCatName val="0"/>
              <c:showSerName val="0"/>
              <c:showPercent val="0"/>
              <c:showBubbleSize val="0"/>
            </c:dLbl>
            <c:dLbl>
              <c:idx val="11"/>
              <c:spPr/>
              <c:txPr>
                <a:bodyPr/>
                <a:lstStyle/>
                <a:p>
                  <a:pPr>
                    <a:defRPr sz="800" b="0"/>
                  </a:pPr>
                  <a:endParaRPr lang="pt-BR"/>
                </a:p>
              </c:txPr>
              <c:dLblPos val="t"/>
              <c:showLegendKey val="0"/>
              <c:showVal val="1"/>
              <c:showCatName val="0"/>
              <c:showSerName val="0"/>
              <c:showPercent val="0"/>
              <c:showBubbleSize val="0"/>
            </c:dLbl>
            <c:dLbl>
              <c:idx val="12"/>
              <c:spPr/>
              <c:txPr>
                <a:bodyPr/>
                <a:lstStyle/>
                <a:p>
                  <a:pPr>
                    <a:defRPr sz="800" b="0"/>
                  </a:pPr>
                  <a:endParaRPr lang="pt-BR"/>
                </a:p>
              </c:txPr>
              <c:dLblPos val="t"/>
              <c:showLegendKey val="0"/>
              <c:showVal val="1"/>
              <c:showCatName val="0"/>
              <c:showSerName val="0"/>
              <c:showPercent val="0"/>
              <c:showBubbleSize val="0"/>
            </c:dLbl>
            <c:dLbl>
              <c:idx val="13"/>
              <c:spPr/>
              <c:txPr>
                <a:bodyPr/>
                <a:lstStyle/>
                <a:p>
                  <a:pPr>
                    <a:defRPr sz="800" b="0"/>
                  </a:pPr>
                  <a:endParaRPr lang="pt-BR"/>
                </a:p>
              </c:txPr>
              <c:dLblPos val="t"/>
              <c:showLegendKey val="0"/>
              <c:showVal val="1"/>
              <c:showCatName val="0"/>
              <c:showSerName val="0"/>
              <c:showPercent val="0"/>
              <c:showBubbleSize val="0"/>
            </c:dLbl>
            <c:dLbl>
              <c:idx val="14"/>
              <c:spPr/>
              <c:txPr>
                <a:bodyPr/>
                <a:lstStyle/>
                <a:p>
                  <a:pPr>
                    <a:defRPr sz="800" b="0"/>
                  </a:pPr>
                  <a:endParaRPr lang="pt-BR"/>
                </a:p>
              </c:txPr>
              <c:dLblPos val="t"/>
              <c:showLegendKey val="0"/>
              <c:showVal val="1"/>
              <c:showCatName val="0"/>
              <c:showSerName val="0"/>
              <c:showPercent val="0"/>
              <c:showBubbleSize val="0"/>
            </c:dLbl>
            <c:dLbl>
              <c:idx val="15"/>
              <c:spPr/>
              <c:txPr>
                <a:bodyPr/>
                <a:lstStyle/>
                <a:p>
                  <a:pPr>
                    <a:defRPr sz="800" b="0"/>
                  </a:pPr>
                  <a:endParaRPr lang="pt-BR"/>
                </a:p>
              </c:txPr>
              <c:dLblPos val="t"/>
              <c:showLegendKey val="0"/>
              <c:showVal val="1"/>
              <c:showCatName val="0"/>
              <c:showSerName val="0"/>
              <c:showPercent val="0"/>
              <c:showBubbleSize val="0"/>
            </c:dLbl>
            <c:dLbl>
              <c:idx val="16"/>
              <c:spPr/>
              <c:txPr>
                <a:bodyPr/>
                <a:lstStyle/>
                <a:p>
                  <a:pPr>
                    <a:defRPr sz="800" b="0"/>
                  </a:pPr>
                  <a:endParaRPr lang="pt-BR"/>
                </a:p>
              </c:txPr>
              <c:dLblPos val="t"/>
              <c:showLegendKey val="0"/>
              <c:showVal val="1"/>
              <c:showCatName val="0"/>
              <c:showSerName val="0"/>
              <c:showPercent val="0"/>
              <c:showBubbleSize val="0"/>
            </c:dLbl>
            <c:dLbl>
              <c:idx val="17"/>
              <c:dLblPos val="t"/>
              <c:showLegendKey val="0"/>
              <c:showVal val="1"/>
              <c:showCatName val="0"/>
              <c:showSerName val="0"/>
              <c:showPercent val="0"/>
              <c:showBubbleSize val="0"/>
            </c:dLbl>
            <c:dLbl>
              <c:idx val="18"/>
              <c:spPr/>
              <c:txPr>
                <a:bodyPr/>
                <a:lstStyle/>
                <a:p>
                  <a:pPr>
                    <a:defRPr sz="800" b="0"/>
                  </a:pPr>
                  <a:endParaRPr lang="pt-BR"/>
                </a:p>
              </c:txPr>
              <c:dLblPos val="t"/>
              <c:showLegendKey val="0"/>
              <c:showVal val="1"/>
              <c:showCatName val="0"/>
              <c:showSerName val="0"/>
              <c:showPercent val="0"/>
              <c:showBubbleSize val="0"/>
            </c:dLbl>
            <c:dLbl>
              <c:idx val="19"/>
              <c:dLblPos val="t"/>
              <c:showLegendKey val="0"/>
              <c:showVal val="1"/>
              <c:showCatName val="0"/>
              <c:showSerName val="0"/>
              <c:showPercent val="0"/>
              <c:showBubbleSize val="0"/>
            </c:dLbl>
            <c:dLbl>
              <c:idx val="20"/>
              <c:spPr/>
              <c:txPr>
                <a:bodyPr/>
                <a:lstStyle/>
                <a:p>
                  <a:pPr>
                    <a:defRPr sz="800" b="0"/>
                  </a:pPr>
                  <a:endParaRPr lang="pt-BR"/>
                </a:p>
              </c:txPr>
              <c:dLblPos val="t"/>
              <c:showLegendKey val="0"/>
              <c:showVal val="1"/>
              <c:showCatName val="0"/>
              <c:showSerName val="0"/>
              <c:showPercent val="0"/>
              <c:showBubbleSize val="0"/>
            </c:dLbl>
            <c:dLbl>
              <c:idx val="21"/>
              <c:spPr/>
              <c:txPr>
                <a:bodyPr/>
                <a:lstStyle/>
                <a:p>
                  <a:pPr>
                    <a:defRPr sz="800" b="0"/>
                  </a:pPr>
                  <a:endParaRPr lang="pt-BR"/>
                </a:p>
              </c:txPr>
              <c:dLblPos val="t"/>
              <c:showLegendKey val="0"/>
              <c:showVal val="1"/>
              <c:showCatName val="0"/>
              <c:showSerName val="0"/>
              <c:showPercent val="0"/>
              <c:showBubbleSize val="0"/>
            </c:dLbl>
            <c:dLbl>
              <c:idx val="22"/>
              <c:spPr/>
              <c:txPr>
                <a:bodyPr/>
                <a:lstStyle/>
                <a:p>
                  <a:pPr>
                    <a:defRPr sz="800" b="0"/>
                  </a:pPr>
                  <a:endParaRPr lang="pt-BR"/>
                </a:p>
              </c:txPr>
              <c:dLblPos val="t"/>
              <c:showLegendKey val="0"/>
              <c:showVal val="1"/>
              <c:showCatName val="0"/>
              <c:showSerName val="0"/>
              <c:showPercent val="0"/>
              <c:showBubbleSize val="0"/>
            </c:dLbl>
            <c:dLbl>
              <c:idx val="23"/>
              <c:layout>
                <c:manualLayout>
                  <c:x val="-5.4245700095535117E-3"/>
                  <c:y val="-4.5400584985521159E-2"/>
                </c:manualLayout>
              </c:layout>
              <c:dLblPos val="r"/>
              <c:showLegendKey val="0"/>
              <c:showVal val="1"/>
              <c:showCatName val="0"/>
              <c:showSerName val="0"/>
              <c:showPercent val="0"/>
              <c:showBubbleSize val="0"/>
            </c:dLbl>
            <c:txPr>
              <a:bodyPr/>
              <a:lstStyle/>
              <a:p>
                <a:pPr>
                  <a:defRPr b="1"/>
                </a:pPr>
                <a:endParaRPr lang="pt-BR"/>
              </a:p>
            </c:txPr>
            <c:dLblPos val="t"/>
            <c:showLegendKey val="0"/>
            <c:showVal val="0"/>
            <c:showCatName val="0"/>
            <c:showSerName val="0"/>
            <c:showPercent val="0"/>
            <c:showBubbleSize val="0"/>
          </c:dLbls>
          <c:cat>
            <c:numRef>
              <c:f>(para_graficos!$M$3:$R$3,para_graficos!$T$3:$U$3,para_graficos!$W$3:$AK$3,para_graficos!$AM$3)</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(para_graficos!$M$371:$R$371,para_graficos!$T$371:$U$371,para_graficos!$W$371:$AK$371,para_graficos!$AM$371)</c:f>
              <c:numCache>
                <c:formatCode>#,##0</c:formatCode>
                <c:ptCount val="24"/>
                <c:pt idx="0">
                  <c:v>2491</c:v>
                </c:pt>
                <c:pt idx="1">
                  <c:v>2574</c:v>
                </c:pt>
                <c:pt idx="2">
                  <c:v>2670</c:v>
                </c:pt>
                <c:pt idx="6">
                  <c:v>2927</c:v>
                </c:pt>
                <c:pt idx="7">
                  <c:v>2986</c:v>
                </c:pt>
                <c:pt idx="8">
                  <c:v>2912</c:v>
                </c:pt>
                <c:pt idx="9">
                  <c:v>2849</c:v>
                </c:pt>
                <c:pt idx="10">
                  <c:v>2863</c:v>
                </c:pt>
                <c:pt idx="11">
                  <c:v>2819</c:v>
                </c:pt>
                <c:pt idx="12">
                  <c:v>2819</c:v>
                </c:pt>
                <c:pt idx="13">
                  <c:v>2821</c:v>
                </c:pt>
                <c:pt idx="14">
                  <c:v>2823</c:v>
                </c:pt>
                <c:pt idx="15">
                  <c:v>2849</c:v>
                </c:pt>
                <c:pt idx="16">
                  <c:v>2854</c:v>
                </c:pt>
                <c:pt idx="17">
                  <c:v>2832</c:v>
                </c:pt>
                <c:pt idx="18">
                  <c:v>3010</c:v>
                </c:pt>
                <c:pt idx="19">
                  <c:v>3038</c:v>
                </c:pt>
                <c:pt idx="20">
                  <c:v>3041</c:v>
                </c:pt>
                <c:pt idx="21">
                  <c:v>3023</c:v>
                </c:pt>
                <c:pt idx="22">
                  <c:v>2960</c:v>
                </c:pt>
                <c:pt idx="23">
                  <c:v>2951</c:v>
                </c:pt>
              </c:numCache>
            </c:numRef>
          </c:val>
          <c:smooth val="0"/>
        </c:ser>
        <c:dLbls>
          <c:showLegendKey val="0"/>
          <c:showVal val="0"/>
          <c:showCatName val="0"/>
          <c:showSerName val="0"/>
          <c:showPercent val="0"/>
          <c:showBubbleSize val="0"/>
        </c:dLbls>
        <c:marker val="1"/>
        <c:smooth val="0"/>
        <c:axId val="136393856"/>
        <c:axId val="136395392"/>
      </c:lineChart>
      <c:catAx>
        <c:axId val="136393856"/>
        <c:scaling>
          <c:orientation val="minMax"/>
        </c:scaling>
        <c:delete val="0"/>
        <c:axPos val="b"/>
        <c:numFmt formatCode="General" sourceLinked="1"/>
        <c:majorTickMark val="out"/>
        <c:minorTickMark val="none"/>
        <c:tickLblPos val="nextTo"/>
        <c:crossAx val="136395392"/>
        <c:crosses val="autoZero"/>
        <c:auto val="1"/>
        <c:lblAlgn val="ctr"/>
        <c:lblOffset val="100"/>
        <c:noMultiLvlLbl val="0"/>
      </c:catAx>
      <c:valAx>
        <c:axId val="136395392"/>
        <c:scaling>
          <c:orientation val="minMax"/>
        </c:scaling>
        <c:delete val="0"/>
        <c:axPos val="l"/>
        <c:title>
          <c:tx>
            <c:rich>
              <a:bodyPr rot="-5400000" vert="horz"/>
              <a:lstStyle/>
              <a:p>
                <a:pPr>
                  <a:defRPr/>
                </a:pPr>
                <a:r>
                  <a:rPr lang="en-US"/>
                  <a:t>n.º</a:t>
                </a:r>
                <a:r>
                  <a:rPr lang="en-US" baseline="0"/>
                  <a:t> de veículos</a:t>
                </a:r>
                <a:endParaRPr lang="en-US"/>
              </a:p>
            </c:rich>
          </c:tx>
          <c:overlay val="0"/>
        </c:title>
        <c:numFmt formatCode="#,##0" sourceLinked="1"/>
        <c:majorTickMark val="out"/>
        <c:minorTickMark val="none"/>
        <c:tickLblPos val="nextTo"/>
        <c:crossAx val="136393856"/>
        <c:crosses val="autoZero"/>
        <c:crossBetween val="between"/>
      </c:valAx>
    </c:plotArea>
    <c:legend>
      <c:legendPos val="b"/>
      <c:overlay val="0"/>
    </c:legend>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AN </c:v>
          </c:tx>
          <c:spPr>
            <a:ln w="31750">
              <a:solidFill>
                <a:schemeClr val="tx1">
                  <a:lumMod val="95000"/>
                  <a:lumOff val="5000"/>
                </a:schemeClr>
              </a:solidFill>
              <a:prstDash val="sysDot"/>
            </a:ln>
          </c:spPr>
          <c:marker>
            <c:symbol val="circle"/>
            <c:size val="5"/>
            <c:spPr>
              <a:solidFill>
                <a:srgbClr val="0070C0"/>
              </a:solidFill>
              <a:ln>
                <a:solidFill>
                  <a:schemeClr val="tx1"/>
                </a:solidFill>
              </a:ln>
            </c:spPr>
          </c:marker>
          <c:dLbls>
            <c:dLbl>
              <c:idx val="3"/>
              <c:layout>
                <c:manualLayout>
                  <c:x val="-3.0099652332681418E-2"/>
                  <c:y val="5.6910569105691054E-2"/>
                </c:manualLayout>
              </c:layout>
              <c:dLblPos val="r"/>
              <c:showLegendKey val="0"/>
              <c:showVal val="1"/>
              <c:showCatName val="0"/>
              <c:showSerName val="0"/>
              <c:showPercent val="0"/>
              <c:showBubbleSize val="0"/>
            </c:dLbl>
            <c:numFmt formatCode="0%" sourceLinked="0"/>
            <c:spPr>
              <a:ln>
                <a:solidFill>
                  <a:schemeClr val="tx1"/>
                </a:solidFill>
              </a:ln>
            </c:spPr>
            <c:txPr>
              <a:bodyPr/>
              <a:lstStyle/>
              <a:p>
                <a:pPr>
                  <a:defRPr sz="1000" b="1"/>
                </a:pPr>
                <a:endParaRPr lang="pt-BR"/>
              </a:p>
            </c:txPr>
            <c:dLblPos val="t"/>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para_graficos!$AG$52:$AK$52</c:f>
              <c:numCache>
                <c:formatCode>0.00%</c:formatCode>
                <c:ptCount val="5"/>
                <c:pt idx="0">
                  <c:v>0.4943820224719101</c:v>
                </c:pt>
                <c:pt idx="1">
                  <c:v>0.83750000000000002</c:v>
                </c:pt>
                <c:pt idx="2">
                  <c:v>0.81739130434782614</c:v>
                </c:pt>
                <c:pt idx="3">
                  <c:v>0.75167785234899331</c:v>
                </c:pt>
                <c:pt idx="4">
                  <c:v>0.87577639751552794</c:v>
                </c:pt>
              </c:numCache>
            </c:numRef>
          </c:val>
          <c:smooth val="0"/>
        </c:ser>
        <c:ser>
          <c:idx val="3"/>
          <c:order val="1"/>
          <c:tx>
            <c:v>ANei</c:v>
          </c:tx>
          <c:marker>
            <c:symbol val="diamond"/>
            <c:size val="5"/>
            <c:spPr>
              <a:solidFill>
                <a:schemeClr val="bg1"/>
              </a:solidFill>
              <a:ln>
                <a:solidFill>
                  <a:schemeClr val="tx1"/>
                </a:solidFill>
              </a:ln>
            </c:spPr>
          </c:marker>
          <c:dLbls>
            <c:dLbl>
              <c:idx val="3"/>
              <c:layout>
                <c:manualLayout>
                  <c:x val="-2.6845635864283429E-2"/>
                  <c:y val="-5.6910569105691054E-2"/>
                </c:manualLayout>
              </c:layout>
              <c:dLblPos val="r"/>
              <c:showLegendKey val="0"/>
              <c:showVal val="1"/>
              <c:showCatName val="0"/>
              <c:showSerName val="0"/>
              <c:showPercent val="0"/>
              <c:showBubbleSize val="0"/>
            </c:dLbl>
            <c:numFmt formatCode="0%" sourceLinked="0"/>
            <c:txPr>
              <a:bodyPr/>
              <a:lstStyle/>
              <a:p>
                <a:pPr>
                  <a:defRPr sz="1000" b="1"/>
                </a:pPr>
                <a:endParaRPr lang="pt-BR"/>
              </a:p>
            </c:txPr>
            <c:dLblPos val="b"/>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para_graficos!$AG$64:$AK$64</c:f>
              <c:numCache>
                <c:formatCode>0.00%</c:formatCode>
                <c:ptCount val="5"/>
                <c:pt idx="0">
                  <c:v>0.4838709677419355</c:v>
                </c:pt>
                <c:pt idx="1">
                  <c:v>0.65217391304347827</c:v>
                </c:pt>
                <c:pt idx="2">
                  <c:v>0.80769230769230771</c:v>
                </c:pt>
                <c:pt idx="3">
                  <c:v>0.75757575757575757</c:v>
                </c:pt>
                <c:pt idx="4">
                  <c:v>0.73333333333333328</c:v>
                </c:pt>
              </c:numCache>
            </c:numRef>
          </c:val>
          <c:smooth val="0"/>
        </c:ser>
        <c:dLbls>
          <c:showLegendKey val="0"/>
          <c:showVal val="0"/>
          <c:showCatName val="0"/>
          <c:showSerName val="0"/>
          <c:showPercent val="0"/>
          <c:showBubbleSize val="0"/>
        </c:dLbls>
        <c:marker val="1"/>
        <c:smooth val="0"/>
        <c:axId val="111722880"/>
        <c:axId val="111724416"/>
      </c:lineChart>
      <c:catAx>
        <c:axId val="111722880"/>
        <c:scaling>
          <c:orientation val="minMax"/>
        </c:scaling>
        <c:delete val="0"/>
        <c:axPos val="b"/>
        <c:numFmt formatCode="General" sourceLinked="1"/>
        <c:majorTickMark val="out"/>
        <c:minorTickMark val="none"/>
        <c:tickLblPos val="nextTo"/>
        <c:crossAx val="111724416"/>
        <c:crosses val="autoZero"/>
        <c:auto val="1"/>
        <c:lblAlgn val="ctr"/>
        <c:lblOffset val="100"/>
        <c:noMultiLvlLbl val="0"/>
      </c:catAx>
      <c:valAx>
        <c:axId val="111724416"/>
        <c:scaling>
          <c:orientation val="minMax"/>
        </c:scaling>
        <c:delete val="0"/>
        <c:axPos val="l"/>
        <c:numFmt formatCode="0%" sourceLinked="0"/>
        <c:majorTickMark val="out"/>
        <c:minorTickMark val="none"/>
        <c:tickLblPos val="nextTo"/>
        <c:crossAx val="111722880"/>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52286774446292"/>
          <c:y val="3.2093362509117436E-2"/>
          <c:w val="0.74547707898158333"/>
          <c:h val="0.93276596896309394"/>
        </c:manualLayout>
      </c:layout>
      <c:barChart>
        <c:barDir val="bar"/>
        <c:grouping val="clustered"/>
        <c:varyColors val="0"/>
        <c:ser>
          <c:idx val="0"/>
          <c:order val="0"/>
          <c:spPr>
            <a:solidFill>
              <a:schemeClr val="bg1">
                <a:lumMod val="85000"/>
              </a:schemeClr>
            </a:solidFill>
            <a:ln>
              <a:solidFill>
                <a:schemeClr val="tx1">
                  <a:lumMod val="85000"/>
                  <a:lumOff val="15000"/>
                </a:schemeClr>
              </a:solidFill>
            </a:ln>
          </c:spPr>
          <c:invertIfNegative val="0"/>
          <c:dLbls>
            <c:dLbl>
              <c:idx val="0"/>
              <c:tx>
                <c:rich>
                  <a:bodyPr/>
                  <a:lstStyle/>
                  <a:p>
                    <a:pPr>
                      <a:defRPr sz="900" b="1"/>
                    </a:pPr>
                    <a:r>
                      <a:rPr lang="en-US" sz="900"/>
                      <a:t>1</a:t>
                    </a:r>
                  </a:p>
                </c:rich>
              </c:tx>
              <c:spPr/>
              <c:dLblPos val="outEnd"/>
              <c:showLegendKey val="0"/>
              <c:showVal val="1"/>
              <c:showCatName val="0"/>
              <c:showSerName val="0"/>
              <c:showPercent val="0"/>
              <c:showBubbleSize val="0"/>
            </c:dLbl>
            <c:dLbl>
              <c:idx val="1"/>
              <c:tx>
                <c:rich>
                  <a:bodyPr/>
                  <a:lstStyle/>
                  <a:p>
                    <a:r>
                      <a:rPr lang="en-US" sz="1100">
                        <a:solidFill>
                          <a:sysClr val="windowText" lastClr="000000"/>
                        </a:solidFill>
                      </a:rPr>
                      <a:t>2</a:t>
                    </a:r>
                  </a:p>
                </c:rich>
              </c:tx>
              <c:dLblPos val="outEnd"/>
              <c:showLegendKey val="0"/>
              <c:showVal val="1"/>
              <c:showCatName val="0"/>
              <c:showSerName val="0"/>
              <c:showPercent val="0"/>
              <c:showBubbleSize val="0"/>
            </c:dLbl>
            <c:dLbl>
              <c:idx val="2"/>
              <c:tx>
                <c:rich>
                  <a:bodyPr/>
                  <a:lstStyle/>
                  <a:p>
                    <a:r>
                      <a:rPr lang="en-US" sz="1100">
                        <a:solidFill>
                          <a:sysClr val="windowText" lastClr="000000"/>
                        </a:solidFill>
                      </a:rPr>
                      <a:t>3</a:t>
                    </a:r>
                  </a:p>
                </c:rich>
              </c:tx>
              <c:dLblPos val="outEnd"/>
              <c:showLegendKey val="0"/>
              <c:showVal val="1"/>
              <c:showCatName val="0"/>
              <c:showSerName val="0"/>
              <c:showPercent val="0"/>
              <c:showBubbleSize val="0"/>
            </c:dLbl>
            <c:dLbl>
              <c:idx val="3"/>
              <c:tx>
                <c:rich>
                  <a:bodyPr/>
                  <a:lstStyle/>
                  <a:p>
                    <a:r>
                      <a:rPr lang="en-US" sz="1100">
                        <a:solidFill>
                          <a:sysClr val="windowText" lastClr="000000"/>
                        </a:solidFill>
                      </a:rPr>
                      <a:t>4</a:t>
                    </a:r>
                  </a:p>
                </c:rich>
              </c:tx>
              <c:dLblPos val="outEnd"/>
              <c:showLegendKey val="0"/>
              <c:showVal val="1"/>
              <c:showCatName val="0"/>
              <c:showSerName val="0"/>
              <c:showPercent val="0"/>
              <c:showBubbleSize val="0"/>
            </c:dLbl>
            <c:dLbl>
              <c:idx val="4"/>
              <c:tx>
                <c:rich>
                  <a:bodyPr/>
                  <a:lstStyle/>
                  <a:p>
                    <a:r>
                      <a:rPr lang="en-US" sz="1100">
                        <a:solidFill>
                          <a:sysClr val="windowText" lastClr="000000"/>
                        </a:solidFill>
                      </a:rPr>
                      <a:t>5</a:t>
                    </a:r>
                  </a:p>
                </c:rich>
              </c:tx>
              <c:dLblPos val="outEnd"/>
              <c:showLegendKey val="0"/>
              <c:showVal val="1"/>
              <c:showCatName val="0"/>
              <c:showSerName val="0"/>
              <c:showPercent val="0"/>
              <c:showBubbleSize val="0"/>
            </c:dLbl>
            <c:dLbl>
              <c:idx val="5"/>
              <c:tx>
                <c:rich>
                  <a:bodyPr/>
                  <a:lstStyle/>
                  <a:p>
                    <a:r>
                      <a:rPr lang="en-US" sz="1100">
                        <a:solidFill>
                          <a:sysClr val="windowText" lastClr="000000"/>
                        </a:solidFill>
                      </a:rPr>
                      <a:t>6</a:t>
                    </a:r>
                  </a:p>
                </c:rich>
              </c:tx>
              <c:dLblPos val="outEnd"/>
              <c:showLegendKey val="0"/>
              <c:showVal val="1"/>
              <c:showCatName val="0"/>
              <c:showSerName val="0"/>
              <c:showPercent val="0"/>
              <c:showBubbleSize val="0"/>
            </c:dLbl>
            <c:dLbl>
              <c:idx val="6"/>
              <c:tx>
                <c:rich>
                  <a:bodyPr/>
                  <a:lstStyle/>
                  <a:p>
                    <a:r>
                      <a:rPr lang="en-US" sz="1100">
                        <a:solidFill>
                          <a:sysClr val="windowText" lastClr="000000"/>
                        </a:solidFill>
                      </a:rPr>
                      <a:t>7</a:t>
                    </a:r>
                  </a:p>
                </c:rich>
              </c:tx>
              <c:dLblPos val="outEnd"/>
              <c:showLegendKey val="0"/>
              <c:showVal val="1"/>
              <c:showCatName val="0"/>
              <c:showSerName val="0"/>
              <c:showPercent val="0"/>
              <c:showBubbleSize val="0"/>
            </c:dLbl>
            <c:dLbl>
              <c:idx val="7"/>
              <c:tx>
                <c:rich>
                  <a:bodyPr/>
                  <a:lstStyle/>
                  <a:p>
                    <a:r>
                      <a:rPr lang="en-US" sz="1100" baseline="0">
                        <a:solidFill>
                          <a:sysClr val="windowText" lastClr="000000"/>
                        </a:solidFill>
                      </a:rPr>
                      <a:t>8</a:t>
                    </a:r>
                    <a:endParaRPr lang="en-US" sz="1100">
                      <a:solidFill>
                        <a:sysClr val="windowText" lastClr="000000"/>
                      </a:solidFill>
                    </a:endParaRPr>
                  </a:p>
                </c:rich>
              </c:tx>
              <c:dLblPos val="outEnd"/>
              <c:showLegendKey val="0"/>
              <c:showVal val="1"/>
              <c:showCatName val="0"/>
              <c:showSerName val="0"/>
              <c:showPercent val="0"/>
              <c:showBubbleSize val="0"/>
            </c:dLbl>
            <c:dLbl>
              <c:idx val="8"/>
              <c:tx>
                <c:rich>
                  <a:bodyPr/>
                  <a:lstStyle/>
                  <a:p>
                    <a:r>
                      <a:rPr lang="en-US" sz="1100">
                        <a:solidFill>
                          <a:sysClr val="windowText" lastClr="000000"/>
                        </a:solidFill>
                      </a:rPr>
                      <a:t>9</a:t>
                    </a:r>
                  </a:p>
                </c:rich>
              </c:tx>
              <c:dLblPos val="outEnd"/>
              <c:showLegendKey val="0"/>
              <c:showVal val="1"/>
              <c:showCatName val="0"/>
              <c:showSerName val="0"/>
              <c:showPercent val="0"/>
              <c:showBubbleSize val="0"/>
            </c:dLbl>
            <c:dLbl>
              <c:idx val="9"/>
              <c:tx>
                <c:rich>
                  <a:bodyPr/>
                  <a:lstStyle/>
                  <a:p>
                    <a:r>
                      <a:rPr lang="en-US" sz="1100">
                        <a:solidFill>
                          <a:sysClr val="windowText" lastClr="000000"/>
                        </a:solidFill>
                      </a:rPr>
                      <a:t>10</a:t>
                    </a:r>
                  </a:p>
                </c:rich>
              </c:tx>
              <c:dLblPos val="outEnd"/>
              <c:showLegendKey val="0"/>
              <c:showVal val="1"/>
              <c:showCatName val="0"/>
              <c:showSerName val="0"/>
              <c:showPercent val="0"/>
              <c:showBubbleSize val="0"/>
            </c:dLbl>
            <c:txPr>
              <a:bodyPr/>
              <a:lstStyle/>
              <a:p>
                <a:pPr>
                  <a:defRPr b="1"/>
                </a:pPr>
                <a:endParaRPr lang="pt-BR"/>
              </a:p>
            </c:txPr>
            <c:dLblPos val="outEnd"/>
            <c:showLegendKey val="0"/>
            <c:showVal val="1"/>
            <c:showCatName val="0"/>
            <c:showSerName val="0"/>
            <c:showPercent val="0"/>
            <c:showBubbleSize val="0"/>
            <c:showLeaderLines val="0"/>
          </c:dLbls>
          <c:cat>
            <c:strRef>
              <c:f>para_graficos!$BE$361:$BE$370</c:f>
              <c:strCache>
                <c:ptCount val="10"/>
                <c:pt idx="0">
                  <c:v>não acessível</c:v>
                </c:pt>
                <c:pt idx="1">
                  <c:v>elevador exclusivo</c:v>
                </c:pt>
                <c:pt idx="2">
                  <c:v>elevador não exclusivo</c:v>
                </c:pt>
                <c:pt idx="3">
                  <c:v>BRT misto c/elevador exclusivo</c:v>
                </c:pt>
                <c:pt idx="4">
                  <c:v>BRT misto c/elevador não exclusivo</c:v>
                </c:pt>
                <c:pt idx="5">
                  <c:v>em nível parcial s/rampa</c:v>
                </c:pt>
                <c:pt idx="6">
                  <c:v>em nível total s/rampa</c:v>
                </c:pt>
                <c:pt idx="7">
                  <c:v>em nível c/ uma rampa manual</c:v>
                </c:pt>
                <c:pt idx="8">
                  <c:v>em nível c/uma rampa automática</c:v>
                </c:pt>
                <c:pt idx="9">
                  <c:v>desenho universal</c:v>
                </c:pt>
              </c:strCache>
            </c:strRef>
          </c:cat>
          <c:val>
            <c:numRef>
              <c:f>para_graficos!$BF$361:$BF$370</c:f>
              <c:numCache>
                <c:formatCode>0</c:formatCode>
                <c:ptCount val="10"/>
                <c:pt idx="0">
                  <c:v>1</c:v>
                </c:pt>
                <c:pt idx="1">
                  <c:v>2</c:v>
                </c:pt>
                <c:pt idx="2">
                  <c:v>3</c:v>
                </c:pt>
                <c:pt idx="3">
                  <c:v>4</c:v>
                </c:pt>
                <c:pt idx="4">
                  <c:v>5</c:v>
                </c:pt>
                <c:pt idx="5">
                  <c:v>6</c:v>
                </c:pt>
                <c:pt idx="6">
                  <c:v>7</c:v>
                </c:pt>
                <c:pt idx="7">
                  <c:v>8</c:v>
                </c:pt>
                <c:pt idx="8">
                  <c:v>9</c:v>
                </c:pt>
                <c:pt idx="9">
                  <c:v>10</c:v>
                </c:pt>
              </c:numCache>
            </c:numRef>
          </c:val>
        </c:ser>
        <c:dLbls>
          <c:showLegendKey val="0"/>
          <c:showVal val="0"/>
          <c:showCatName val="0"/>
          <c:showSerName val="0"/>
          <c:showPercent val="0"/>
          <c:showBubbleSize val="0"/>
        </c:dLbls>
        <c:gapWidth val="150"/>
        <c:axId val="136430720"/>
        <c:axId val="136432256"/>
      </c:barChart>
      <c:catAx>
        <c:axId val="136430720"/>
        <c:scaling>
          <c:orientation val="minMax"/>
        </c:scaling>
        <c:delete val="0"/>
        <c:axPos val="l"/>
        <c:numFmt formatCode="General" sourceLinked="1"/>
        <c:majorTickMark val="out"/>
        <c:minorTickMark val="none"/>
        <c:tickLblPos val="nextTo"/>
        <c:txPr>
          <a:bodyPr rot="0" vert="horz"/>
          <a:lstStyle/>
          <a:p>
            <a:pPr>
              <a:defRPr sz="1000" b="0"/>
            </a:pPr>
            <a:endParaRPr lang="pt-BR"/>
          </a:p>
        </c:txPr>
        <c:crossAx val="136432256"/>
        <c:crosses val="autoZero"/>
        <c:auto val="1"/>
        <c:lblAlgn val="ctr"/>
        <c:lblOffset val="100"/>
        <c:noMultiLvlLbl val="0"/>
      </c:catAx>
      <c:valAx>
        <c:axId val="136432256"/>
        <c:scaling>
          <c:orientation val="minMax"/>
          <c:max val="12"/>
        </c:scaling>
        <c:delete val="1"/>
        <c:axPos val="b"/>
        <c:numFmt formatCode="#,##0.00" sourceLinked="0"/>
        <c:majorTickMark val="out"/>
        <c:minorTickMark val="none"/>
        <c:tickLblPos val="nextTo"/>
        <c:crossAx val="136430720"/>
        <c:crosses val="autoZero"/>
        <c:crossBetween val="between"/>
      </c:valAx>
    </c:plotArea>
    <c:plotVisOnly val="1"/>
    <c:dispBlanksAs val="gap"/>
    <c:showDLblsOverMax val="0"/>
  </c:chart>
  <c:txPr>
    <a:bodyPr/>
    <a:lstStyle/>
    <a:p>
      <a:pPr>
        <a:defRPr sz="1000">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2"/>
          <c:spPr>
            <a:solidFill>
              <a:sysClr val="window" lastClr="FFFFFF"/>
            </a:solidFill>
            <a:ln>
              <a:solidFill>
                <a:sysClr val="windowText" lastClr="000000"/>
              </a:solidFill>
            </a:ln>
          </c:spPr>
          <c:invertIfNegative val="0"/>
          <c:dPt>
            <c:idx val="4"/>
            <c:invertIfNegative val="0"/>
            <c:bubble3D val="0"/>
            <c:spPr>
              <a:solidFill>
                <a:srgbClr val="0070C0"/>
              </a:solidFill>
              <a:ln>
                <a:solidFill>
                  <a:sysClr val="windowText" lastClr="000000"/>
                </a:solidFill>
              </a:ln>
            </c:spPr>
          </c:dPt>
          <c:dPt>
            <c:idx val="5"/>
            <c:invertIfNegative val="0"/>
            <c:bubble3D val="0"/>
            <c:spPr>
              <a:solidFill>
                <a:srgbClr val="0070C0"/>
              </a:solidFill>
              <a:ln>
                <a:solidFill>
                  <a:sysClr val="windowText" lastClr="000000"/>
                </a:solidFill>
              </a:ln>
            </c:spPr>
          </c:dPt>
          <c:dPt>
            <c:idx val="6"/>
            <c:invertIfNegative val="0"/>
            <c:bubble3D val="0"/>
            <c:spPr>
              <a:solidFill>
                <a:srgbClr val="0070C0"/>
              </a:solidFill>
              <a:ln>
                <a:solidFill>
                  <a:sysClr val="windowText" lastClr="000000"/>
                </a:solidFill>
              </a:ln>
            </c:spPr>
          </c:dPt>
          <c:dLbls>
            <c:dLbl>
              <c:idx val="8"/>
              <c:layout>
                <c:manualLayout>
                  <c:x val="0"/>
                  <c:y val="1.7857147878837954E-2"/>
                </c:manualLayout>
              </c:layout>
              <c:dLblPos val="outEnd"/>
              <c:showLegendKey val="0"/>
              <c:showVal val="1"/>
              <c:showCatName val="0"/>
              <c:showSerName val="0"/>
              <c:showPercent val="0"/>
              <c:showBubbleSize val="0"/>
            </c:dLbl>
            <c:dLbl>
              <c:idx val="9"/>
              <c:layout>
                <c:manualLayout>
                  <c:x val="1.7536867277800038E-2"/>
                  <c:y val="0"/>
                </c:manualLayout>
              </c:layout>
              <c:dLblPos val="outEnd"/>
              <c:showLegendKey val="0"/>
              <c:showVal val="1"/>
              <c:showCatName val="0"/>
              <c:showSerName val="0"/>
              <c:showPercent val="0"/>
              <c:showBubbleSize val="0"/>
            </c:dLbl>
            <c:txPr>
              <a:bodyPr/>
              <a:lstStyle/>
              <a:p>
                <a:pPr>
                  <a:defRPr b="1"/>
                </a:pPr>
                <a:endParaRPr lang="pt-BR"/>
              </a:p>
            </c:txPr>
            <c:dLblPos val="outEnd"/>
            <c:showLegendKey val="0"/>
            <c:showVal val="1"/>
            <c:showCatName val="0"/>
            <c:showSerName val="0"/>
            <c:showPercent val="0"/>
            <c:showBubbleSize val="0"/>
            <c:showLeaderLines val="0"/>
          </c:dLbls>
          <c:cat>
            <c:strRef>
              <c:f>base_bench!$A$393:$A$402</c:f>
              <c:strCache>
                <c:ptCount val="10"/>
                <c:pt idx="0">
                  <c:v>São Paulo local 2015</c:v>
                </c:pt>
                <c:pt idx="1">
                  <c:v>RMBH metropolitano 2015</c:v>
                </c:pt>
                <c:pt idx="2">
                  <c:v>Joinville 2015</c:v>
                </c:pt>
                <c:pt idx="3">
                  <c:v>Contagem 2014</c:v>
                </c:pt>
                <c:pt idx="4">
                  <c:v>BH suplementar 2015</c:v>
                </c:pt>
                <c:pt idx="5">
                  <c:v>BH total 2015</c:v>
                </c:pt>
                <c:pt idx="6">
                  <c:v>BH convencional 2016</c:v>
                </c:pt>
                <c:pt idx="7">
                  <c:v>São Paulo total 2015</c:v>
                </c:pt>
                <c:pt idx="8">
                  <c:v>Curitiba 2015</c:v>
                </c:pt>
                <c:pt idx="9">
                  <c:v>São Paulo estrutural 2015</c:v>
                </c:pt>
              </c:strCache>
            </c:strRef>
          </c:cat>
          <c:val>
            <c:numRef>
              <c:f>base_bench!$D$393:$D$402</c:f>
              <c:numCache>
                <c:formatCode>0.00</c:formatCode>
                <c:ptCount val="10"/>
                <c:pt idx="0" formatCode="#,##0.00">
                  <c:v>1.9241706161137442</c:v>
                </c:pt>
                <c:pt idx="1">
                  <c:v>2.0558410414525521</c:v>
                </c:pt>
                <c:pt idx="2">
                  <c:v>2.3159340659340661</c:v>
                </c:pt>
                <c:pt idx="3">
                  <c:v>2.808383233532934</c:v>
                </c:pt>
                <c:pt idx="4">
                  <c:v>2.9635036496350367</c:v>
                </c:pt>
                <c:pt idx="5">
                  <c:v>3.0946196660482377</c:v>
                </c:pt>
                <c:pt idx="6">
                  <c:v>3.2660115215181293</c:v>
                </c:pt>
                <c:pt idx="7" formatCode="#,##0.00">
                  <c:v>4.0922857530897732</c:v>
                </c:pt>
                <c:pt idx="8">
                  <c:v>5.1169590643274852</c:v>
                </c:pt>
                <c:pt idx="9" formatCode="#,##0.00">
                  <c:v>5.5449081424359266</c:v>
                </c:pt>
              </c:numCache>
            </c:numRef>
          </c:val>
        </c:ser>
        <c:dLbls>
          <c:showLegendKey val="0"/>
          <c:showVal val="0"/>
          <c:showCatName val="0"/>
          <c:showSerName val="0"/>
          <c:showPercent val="0"/>
          <c:showBubbleSize val="0"/>
        </c:dLbls>
        <c:gapWidth val="150"/>
        <c:axId val="136486272"/>
        <c:axId val="136512640"/>
      </c:barChart>
      <c:lineChart>
        <c:grouping val="standard"/>
        <c:varyColors val="0"/>
        <c:ser>
          <c:idx val="2"/>
          <c:order val="0"/>
          <c:spPr>
            <a:ln w="28575">
              <a:solidFill>
                <a:schemeClr val="tx1"/>
              </a:solidFill>
              <a:prstDash val="dash"/>
            </a:ln>
          </c:spPr>
          <c:marker>
            <c:symbol val="none"/>
          </c:marker>
          <c:dLbls>
            <c:dLbl>
              <c:idx val="0"/>
              <c:layout>
                <c:manualLayout>
                  <c:x val="-8.2822469032741968E-3"/>
                  <c:y val="7.6216222704083653E-2"/>
                </c:manualLayout>
              </c:layout>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000" b="1" i="0" baseline="0">
                        <a:effectLst/>
                      </a:rPr>
                      <a:t>RPI de acessibilidade com desenho universal</a:t>
                    </a:r>
                    <a:endParaRPr lang="pt-B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sz="1000"/>
                  </a:p>
                </c:rich>
              </c:tx>
              <c:spPr>
                <a:ln>
                  <a:prstDash val="sysDot"/>
                </a:ln>
              </c:spPr>
              <c:dLblPos val="r"/>
              <c:showLegendKey val="0"/>
              <c:showVal val="1"/>
              <c:showCatName val="0"/>
              <c:showSerName val="0"/>
              <c:showPercent val="0"/>
              <c:showBubbleSize val="0"/>
            </c:dLbl>
            <c:spPr>
              <a:ln>
                <a:prstDash val="sysDot"/>
              </a:ln>
            </c:spPr>
            <c:dLblPos val="b"/>
            <c:showLegendKey val="0"/>
            <c:showVal val="0"/>
            <c:showCatName val="0"/>
            <c:showSerName val="0"/>
            <c:showPercent val="0"/>
            <c:showBubbleSize val="0"/>
          </c:dLbls>
          <c:cat>
            <c:strRef>
              <c:f>base_bench!$A$393:$A$402</c:f>
              <c:strCache>
                <c:ptCount val="10"/>
                <c:pt idx="0">
                  <c:v>São Paulo local 2015</c:v>
                </c:pt>
                <c:pt idx="1">
                  <c:v>RMBH metropolitano 2015</c:v>
                </c:pt>
                <c:pt idx="2">
                  <c:v>Joinville 2015</c:v>
                </c:pt>
                <c:pt idx="3">
                  <c:v>Contagem 2014</c:v>
                </c:pt>
                <c:pt idx="4">
                  <c:v>BH suplementar 2015</c:v>
                </c:pt>
                <c:pt idx="5">
                  <c:v>BH total 2015</c:v>
                </c:pt>
                <c:pt idx="6">
                  <c:v>BH convencional 2016</c:v>
                </c:pt>
                <c:pt idx="7">
                  <c:v>São Paulo total 2015</c:v>
                </c:pt>
                <c:pt idx="8">
                  <c:v>Curitiba 2015</c:v>
                </c:pt>
                <c:pt idx="9">
                  <c:v>São Paulo estrutural 2015</c:v>
                </c:pt>
              </c:strCache>
            </c:strRef>
          </c:cat>
          <c:val>
            <c:numRef>
              <c:f>base_bench!$B$393:$B$402</c:f>
              <c:numCache>
                <c:formatCode>General</c:formatCode>
                <c:ptCount val="10"/>
                <c:pt idx="0">
                  <c:v>10</c:v>
                </c:pt>
                <c:pt idx="1">
                  <c:v>10</c:v>
                </c:pt>
                <c:pt idx="2">
                  <c:v>10</c:v>
                </c:pt>
                <c:pt idx="3">
                  <c:v>10</c:v>
                </c:pt>
                <c:pt idx="4">
                  <c:v>10</c:v>
                </c:pt>
                <c:pt idx="5">
                  <c:v>10</c:v>
                </c:pt>
                <c:pt idx="6">
                  <c:v>10</c:v>
                </c:pt>
                <c:pt idx="7">
                  <c:v>10</c:v>
                </c:pt>
                <c:pt idx="8">
                  <c:v>10</c:v>
                </c:pt>
                <c:pt idx="9">
                  <c:v>10</c:v>
                </c:pt>
              </c:numCache>
            </c:numRef>
          </c:val>
          <c:smooth val="0"/>
        </c:ser>
        <c:ser>
          <c:idx val="3"/>
          <c:order val="1"/>
          <c:spPr>
            <a:ln w="28575">
              <a:solidFill>
                <a:schemeClr val="tx1"/>
              </a:solidFill>
              <a:prstDash val="dash"/>
            </a:ln>
          </c:spPr>
          <c:marker>
            <c:symbol val="none"/>
          </c:marker>
          <c:dLbls>
            <c:dLbl>
              <c:idx val="0"/>
              <c:layout>
                <c:manualLayout>
                  <c:x val="-9.8765075648923426E-3"/>
                  <c:y val="7.864865534357568E-2"/>
                </c:manualLayout>
              </c:layout>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000" b="1" i="0" baseline="0">
                        <a:effectLst/>
                      </a:rPr>
                      <a:t>RPI de acessibilidade sem desenho universal</a:t>
                    </a:r>
                    <a:endParaRPr lang="pt-B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sz="1000"/>
                  </a:p>
                </c:rich>
              </c:tx>
              <c:spPr>
                <a:ln w="3175"/>
              </c:spPr>
              <c:dLblPos val="r"/>
              <c:showLegendKey val="0"/>
              <c:showVal val="1"/>
              <c:showCatName val="0"/>
              <c:showSerName val="0"/>
              <c:showPercent val="0"/>
              <c:showBubbleSize val="0"/>
            </c:dLbl>
            <c:spPr>
              <a:ln w="3175"/>
            </c:spPr>
            <c:dLblPos val="b"/>
            <c:showLegendKey val="0"/>
            <c:showVal val="0"/>
            <c:showCatName val="0"/>
            <c:showSerName val="0"/>
            <c:showPercent val="0"/>
            <c:showBubbleSize val="0"/>
          </c:dLbls>
          <c:cat>
            <c:strRef>
              <c:f>base_bench!$A$393:$A$402</c:f>
              <c:strCache>
                <c:ptCount val="10"/>
                <c:pt idx="0">
                  <c:v>São Paulo local 2015</c:v>
                </c:pt>
                <c:pt idx="1">
                  <c:v>RMBH metropolitano 2015</c:v>
                </c:pt>
                <c:pt idx="2">
                  <c:v>Joinville 2015</c:v>
                </c:pt>
                <c:pt idx="3">
                  <c:v>Contagem 2014</c:v>
                </c:pt>
                <c:pt idx="4">
                  <c:v>BH suplementar 2015</c:v>
                </c:pt>
                <c:pt idx="5">
                  <c:v>BH total 2015</c:v>
                </c:pt>
                <c:pt idx="6">
                  <c:v>BH convencional 2016</c:v>
                </c:pt>
                <c:pt idx="7">
                  <c:v>São Paulo total 2015</c:v>
                </c:pt>
                <c:pt idx="8">
                  <c:v>Curitiba 2015</c:v>
                </c:pt>
                <c:pt idx="9">
                  <c:v>São Paulo estrutural 2015</c:v>
                </c:pt>
              </c:strCache>
            </c:strRef>
          </c:cat>
          <c:val>
            <c:numRef>
              <c:f>base_bench!$C$393:$C$402</c:f>
              <c:numCache>
                <c:formatCode>General</c:formatCode>
                <c:ptCount val="10"/>
                <c:pt idx="0">
                  <c:v>6</c:v>
                </c:pt>
                <c:pt idx="1">
                  <c:v>6</c:v>
                </c:pt>
                <c:pt idx="2">
                  <c:v>6</c:v>
                </c:pt>
                <c:pt idx="3">
                  <c:v>6</c:v>
                </c:pt>
                <c:pt idx="4">
                  <c:v>6</c:v>
                </c:pt>
                <c:pt idx="5">
                  <c:v>6</c:v>
                </c:pt>
                <c:pt idx="6">
                  <c:v>6</c:v>
                </c:pt>
                <c:pt idx="7">
                  <c:v>6</c:v>
                </c:pt>
                <c:pt idx="8">
                  <c:v>6</c:v>
                </c:pt>
                <c:pt idx="9">
                  <c:v>6</c:v>
                </c:pt>
              </c:numCache>
            </c:numRef>
          </c:val>
          <c:smooth val="0"/>
        </c:ser>
        <c:dLbls>
          <c:showLegendKey val="0"/>
          <c:showVal val="0"/>
          <c:showCatName val="0"/>
          <c:showSerName val="0"/>
          <c:showPercent val="0"/>
          <c:showBubbleSize val="0"/>
        </c:dLbls>
        <c:marker val="1"/>
        <c:smooth val="0"/>
        <c:axId val="136486272"/>
        <c:axId val="136512640"/>
      </c:lineChart>
      <c:catAx>
        <c:axId val="136486272"/>
        <c:scaling>
          <c:orientation val="minMax"/>
        </c:scaling>
        <c:delete val="0"/>
        <c:axPos val="b"/>
        <c:numFmt formatCode="General" sourceLinked="1"/>
        <c:majorTickMark val="out"/>
        <c:minorTickMark val="none"/>
        <c:tickLblPos val="nextTo"/>
        <c:crossAx val="136512640"/>
        <c:crosses val="autoZero"/>
        <c:auto val="1"/>
        <c:lblAlgn val="ctr"/>
        <c:lblOffset val="100"/>
        <c:noMultiLvlLbl val="0"/>
      </c:catAx>
      <c:valAx>
        <c:axId val="136512640"/>
        <c:scaling>
          <c:orientation val="minMax"/>
          <c:max val="10"/>
        </c:scaling>
        <c:delete val="0"/>
        <c:axPos val="l"/>
        <c:title>
          <c:tx>
            <c:rich>
              <a:bodyPr rot="-5400000" vert="horz"/>
              <a:lstStyle/>
              <a:p>
                <a:pPr>
                  <a:defRPr/>
                </a:pPr>
                <a:r>
                  <a:rPr lang="en-US"/>
                  <a:t>escala IAED</a:t>
                </a:r>
              </a:p>
            </c:rich>
          </c:tx>
          <c:overlay val="0"/>
        </c:title>
        <c:numFmt formatCode="#,##0.00" sourceLinked="0"/>
        <c:majorTickMark val="out"/>
        <c:minorTickMark val="none"/>
        <c:tickLblPos val="nextTo"/>
        <c:crossAx val="136486272"/>
        <c:crosses val="autoZero"/>
        <c:crossBetween val="between"/>
      </c:valAx>
    </c:plotArea>
    <c:plotVisOnly val="1"/>
    <c:dispBlanksAs val="gap"/>
    <c:showDLblsOverMax val="0"/>
  </c:chart>
  <c:txPr>
    <a:bodyPr/>
    <a:lstStyle/>
    <a:p>
      <a:pPr>
        <a:defRPr sz="1000">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convencional</c:v>
          </c:tx>
          <c:spPr>
            <a:solidFill>
              <a:schemeClr val="bg1"/>
            </a:solidFill>
            <a:ln>
              <a:solidFill>
                <a:schemeClr val="tx1">
                  <a:lumMod val="85000"/>
                  <a:lumOff val="15000"/>
                </a:schemeClr>
              </a:solidFill>
            </a:ln>
          </c:spPr>
          <c:invertIfNegative val="0"/>
          <c:dLbls>
            <c:numFmt formatCode="0%" sourceLinked="0"/>
            <c:spPr>
              <a:solidFill>
                <a:schemeClr val="bg1"/>
              </a:solidFill>
              <a:ln>
                <a:solidFill>
                  <a:schemeClr val="tx1"/>
                </a:solidFill>
              </a:ln>
            </c:spPr>
            <c:txPr>
              <a:bodyPr/>
              <a:lstStyle/>
              <a:p>
                <a:pPr>
                  <a:defRPr b="1"/>
                </a:pPr>
                <a:endParaRPr lang="pt-BR"/>
              </a:p>
            </c:txPr>
            <c:dLblPos val="ctr"/>
            <c:showLegendKey val="0"/>
            <c:showVal val="1"/>
            <c:showCatName val="0"/>
            <c:showSerName val="0"/>
            <c:showPercent val="0"/>
            <c:showBubbleSize val="0"/>
            <c:showLeaderLines val="0"/>
          </c:dLbls>
          <c:cat>
            <c:numRef>
              <c:f>para_graficos!$AE$3:$AK$3</c:f>
              <c:numCache>
                <c:formatCode>General</c:formatCode>
                <c:ptCount val="7"/>
                <c:pt idx="0">
                  <c:v>2009</c:v>
                </c:pt>
                <c:pt idx="1">
                  <c:v>2010</c:v>
                </c:pt>
                <c:pt idx="2">
                  <c:v>2011</c:v>
                </c:pt>
                <c:pt idx="3">
                  <c:v>2012</c:v>
                </c:pt>
                <c:pt idx="4">
                  <c:v>2013</c:v>
                </c:pt>
                <c:pt idx="5">
                  <c:v>2014</c:v>
                </c:pt>
                <c:pt idx="6">
                  <c:v>2015</c:v>
                </c:pt>
              </c:numCache>
            </c:numRef>
          </c:cat>
          <c:val>
            <c:numRef>
              <c:f>para_graficos!$AE$380:$AK$380</c:f>
              <c:numCache>
                <c:formatCode>0.00%</c:formatCode>
                <c:ptCount val="7"/>
                <c:pt idx="0">
                  <c:v>0.53433777154870354</c:v>
                </c:pt>
                <c:pt idx="1">
                  <c:v>0.6384180790960452</c:v>
                </c:pt>
                <c:pt idx="2">
                  <c:v>0.73654485049833884</c:v>
                </c:pt>
                <c:pt idx="3">
                  <c:v>0.77057274522712316</c:v>
                </c:pt>
                <c:pt idx="4">
                  <c:v>0.80762906938507073</c:v>
                </c:pt>
                <c:pt idx="5" formatCode="0%">
                  <c:v>0.90009923916639101</c:v>
                </c:pt>
                <c:pt idx="6" formatCode="0%">
                  <c:v>0.91756756756756752</c:v>
                </c:pt>
              </c:numCache>
            </c:numRef>
          </c:val>
        </c:ser>
        <c:ser>
          <c:idx val="2"/>
          <c:order val="1"/>
          <c:tx>
            <c:v>suplementar</c:v>
          </c:tx>
          <c:spPr>
            <a:solidFill>
              <a:schemeClr val="bg1">
                <a:lumMod val="50000"/>
              </a:schemeClr>
            </a:solidFill>
            <a:ln>
              <a:solidFill>
                <a:sysClr val="windowText" lastClr="000000"/>
              </a:solidFill>
            </a:ln>
          </c:spPr>
          <c:invertIfNegative val="0"/>
          <c:dLbls>
            <c:dLbl>
              <c:idx val="5"/>
              <c:spPr>
                <a:solidFill>
                  <a:schemeClr val="bg1"/>
                </a:solidFill>
                <a:ln>
                  <a:solidFill>
                    <a:schemeClr val="tx1"/>
                  </a:solidFill>
                </a:ln>
              </c:spPr>
              <c:txPr>
                <a:bodyPr/>
                <a:lstStyle/>
                <a:p>
                  <a:pPr>
                    <a:defRPr b="1"/>
                  </a:pPr>
                  <a:endParaRPr lang="pt-BR"/>
                </a:p>
              </c:txPr>
              <c:dLblPos val="inEnd"/>
              <c:showLegendKey val="0"/>
              <c:showVal val="1"/>
              <c:showCatName val="0"/>
              <c:showSerName val="0"/>
              <c:showPercent val="0"/>
              <c:showBubbleSize val="0"/>
            </c:dLbl>
            <c:dLbl>
              <c:idx val="6"/>
              <c:spPr>
                <a:solidFill>
                  <a:schemeClr val="bg1"/>
                </a:solidFill>
                <a:ln>
                  <a:solidFill>
                    <a:schemeClr val="tx1"/>
                  </a:solidFill>
                </a:ln>
              </c:spPr>
              <c:txPr>
                <a:bodyPr/>
                <a:lstStyle/>
                <a:p>
                  <a:pPr>
                    <a:defRPr b="1"/>
                  </a:pPr>
                  <a:endParaRPr lang="pt-BR"/>
                </a:p>
              </c:txPr>
              <c:dLblPos val="inEnd"/>
              <c:showLegendKey val="0"/>
              <c:showVal val="1"/>
              <c:showCatName val="0"/>
              <c:showSerName val="0"/>
              <c:showPercent val="0"/>
              <c:showBubbleSize val="0"/>
            </c:dLbl>
            <c:spPr>
              <a:solidFill>
                <a:schemeClr val="bg1"/>
              </a:solidFill>
              <a:ln>
                <a:solidFill>
                  <a:schemeClr val="tx1"/>
                </a:solidFill>
              </a:ln>
            </c:spPr>
            <c:dLblPos val="inEnd"/>
            <c:showLegendKey val="0"/>
            <c:showVal val="1"/>
            <c:showCatName val="0"/>
            <c:showSerName val="0"/>
            <c:showPercent val="0"/>
            <c:showBubbleSize val="0"/>
            <c:showLeaderLines val="0"/>
          </c:dLbls>
          <c:cat>
            <c:numRef>
              <c:f>para_graficos!$AE$3:$AK$3</c:f>
              <c:numCache>
                <c:formatCode>General</c:formatCode>
                <c:ptCount val="7"/>
                <c:pt idx="0">
                  <c:v>2009</c:v>
                </c:pt>
                <c:pt idx="1">
                  <c:v>2010</c:v>
                </c:pt>
                <c:pt idx="2">
                  <c:v>2011</c:v>
                </c:pt>
                <c:pt idx="3">
                  <c:v>2012</c:v>
                </c:pt>
                <c:pt idx="4">
                  <c:v>2013</c:v>
                </c:pt>
                <c:pt idx="5">
                  <c:v>2014</c:v>
                </c:pt>
                <c:pt idx="6">
                  <c:v>2015</c:v>
                </c:pt>
              </c:numCache>
            </c:numRef>
          </c:cat>
          <c:val>
            <c:numRef>
              <c:f>para_graficos!$AE$382:$AK$382</c:f>
              <c:numCache>
                <c:formatCode>General</c:formatCode>
                <c:ptCount val="7"/>
                <c:pt idx="5" formatCode="0%">
                  <c:v>0.97472924187725629</c:v>
                </c:pt>
                <c:pt idx="6" formatCode="0%">
                  <c:v>0.98175182481751821</c:v>
                </c:pt>
              </c:numCache>
            </c:numRef>
          </c:val>
        </c:ser>
        <c:ser>
          <c:idx val="1"/>
          <c:order val="2"/>
          <c:tx>
            <c:v>total</c:v>
          </c:tx>
          <c:spPr>
            <a:solidFill>
              <a:schemeClr val="tx1"/>
            </a:solidFill>
          </c:spPr>
          <c:invertIfNegative val="0"/>
          <c:dLbls>
            <c:spPr>
              <a:solidFill>
                <a:schemeClr val="bg1"/>
              </a:solidFill>
              <a:ln>
                <a:solidFill>
                  <a:schemeClr val="tx1"/>
                </a:solidFill>
              </a:ln>
            </c:spPr>
            <c:txPr>
              <a:bodyPr/>
              <a:lstStyle/>
              <a:p>
                <a:pPr>
                  <a:defRPr b="1"/>
                </a:pPr>
                <a:endParaRPr lang="pt-BR"/>
              </a:p>
            </c:txPr>
            <c:dLblPos val="ctr"/>
            <c:showLegendKey val="0"/>
            <c:showVal val="1"/>
            <c:showCatName val="0"/>
            <c:showSerName val="0"/>
            <c:showPercent val="0"/>
            <c:showBubbleSize val="0"/>
            <c:showLeaderLines val="0"/>
          </c:dLbls>
          <c:cat>
            <c:numRef>
              <c:f>para_graficos!$AE$3:$AK$3</c:f>
              <c:numCache>
                <c:formatCode>General</c:formatCode>
                <c:ptCount val="7"/>
                <c:pt idx="0">
                  <c:v>2009</c:v>
                </c:pt>
                <c:pt idx="1">
                  <c:v>2010</c:v>
                </c:pt>
                <c:pt idx="2">
                  <c:v>2011</c:v>
                </c:pt>
                <c:pt idx="3">
                  <c:v>2012</c:v>
                </c:pt>
                <c:pt idx="4">
                  <c:v>2013</c:v>
                </c:pt>
                <c:pt idx="5">
                  <c:v>2014</c:v>
                </c:pt>
                <c:pt idx="6">
                  <c:v>2015</c:v>
                </c:pt>
              </c:numCache>
            </c:numRef>
          </c:cat>
          <c:val>
            <c:numRef>
              <c:f>para_graficos!$AE$378:$AK$378</c:f>
              <c:numCache>
                <c:formatCode>General</c:formatCode>
                <c:ptCount val="7"/>
                <c:pt idx="5" formatCode="0%">
                  <c:v>0.90636363636363637</c:v>
                </c:pt>
                <c:pt idx="6" formatCode="0%">
                  <c:v>0.92300556586270877</c:v>
                </c:pt>
              </c:numCache>
            </c:numRef>
          </c:val>
        </c:ser>
        <c:dLbls>
          <c:showLegendKey val="0"/>
          <c:showVal val="0"/>
          <c:showCatName val="0"/>
          <c:showSerName val="0"/>
          <c:showPercent val="0"/>
          <c:showBubbleSize val="0"/>
        </c:dLbls>
        <c:gapWidth val="150"/>
        <c:axId val="136556928"/>
        <c:axId val="136558464"/>
      </c:barChart>
      <c:catAx>
        <c:axId val="136556928"/>
        <c:scaling>
          <c:orientation val="minMax"/>
        </c:scaling>
        <c:delete val="0"/>
        <c:axPos val="b"/>
        <c:numFmt formatCode="General" sourceLinked="1"/>
        <c:majorTickMark val="out"/>
        <c:minorTickMark val="none"/>
        <c:tickLblPos val="nextTo"/>
        <c:crossAx val="136558464"/>
        <c:crosses val="autoZero"/>
        <c:auto val="1"/>
        <c:lblAlgn val="ctr"/>
        <c:lblOffset val="100"/>
        <c:noMultiLvlLbl val="0"/>
      </c:catAx>
      <c:valAx>
        <c:axId val="136558464"/>
        <c:scaling>
          <c:orientation val="minMax"/>
          <c:max val="1"/>
        </c:scaling>
        <c:delete val="0"/>
        <c:axPos val="l"/>
        <c:numFmt formatCode="0%" sourceLinked="0"/>
        <c:majorTickMark val="out"/>
        <c:minorTickMark val="none"/>
        <c:tickLblPos val="nextTo"/>
        <c:crossAx val="136556928"/>
        <c:crosses val="autoZero"/>
        <c:crossBetween val="between"/>
      </c:valAx>
    </c:plotArea>
    <c:legend>
      <c:legendPos val="b"/>
      <c:layout>
        <c:manualLayout>
          <c:xMode val="edge"/>
          <c:yMode val="edge"/>
          <c:x val="0.18843160253635499"/>
          <c:y val="0.9129596148370811"/>
          <c:w val="0.65824305960861529"/>
          <c:h val="6.4298773445198978E-2"/>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ysClr val="window" lastClr="FFFFFF"/>
            </a:solidFill>
            <a:ln>
              <a:solidFill>
                <a:schemeClr val="tx1"/>
              </a:solidFill>
            </a:ln>
          </c:spPr>
          <c:invertIfNegative val="0"/>
          <c:dPt>
            <c:idx val="1"/>
            <c:invertIfNegative val="0"/>
            <c:bubble3D val="0"/>
            <c:spPr>
              <a:solidFill>
                <a:srgbClr val="0070C0"/>
              </a:solidFill>
              <a:ln>
                <a:solidFill>
                  <a:schemeClr val="tx1"/>
                </a:solidFill>
              </a:ln>
            </c:spPr>
          </c:dPt>
          <c:dPt>
            <c:idx val="6"/>
            <c:invertIfNegative val="0"/>
            <c:bubble3D val="0"/>
            <c:spPr>
              <a:solidFill>
                <a:srgbClr val="0070C0"/>
              </a:solidFill>
              <a:ln>
                <a:solidFill>
                  <a:schemeClr val="tx1"/>
                </a:solidFill>
              </a:ln>
            </c:spPr>
          </c:dPt>
          <c:dPt>
            <c:idx val="7"/>
            <c:invertIfNegative val="0"/>
            <c:bubble3D val="0"/>
            <c:spPr>
              <a:solidFill>
                <a:srgbClr val="0070C0"/>
              </a:solidFill>
              <a:ln>
                <a:solidFill>
                  <a:schemeClr val="tx1"/>
                </a:solidFill>
              </a:ln>
            </c:spPr>
          </c:dPt>
          <c:dPt>
            <c:idx val="10"/>
            <c:invertIfNegative val="0"/>
            <c:bubble3D val="0"/>
            <c:spPr>
              <a:solidFill>
                <a:srgbClr val="0070C0"/>
              </a:solidFill>
              <a:ln>
                <a:solidFill>
                  <a:schemeClr val="tx1"/>
                </a:solidFill>
              </a:ln>
            </c:spPr>
          </c:dPt>
          <c:dLbls>
            <c:numFmt formatCode="0%" sourceLinked="0"/>
            <c:txPr>
              <a:bodyPr/>
              <a:lstStyle/>
              <a:p>
                <a:pPr>
                  <a:defRPr sz="1100" b="1"/>
                </a:pPr>
                <a:endParaRPr lang="pt-BR"/>
              </a:p>
            </c:txPr>
            <c:dLblPos val="outEnd"/>
            <c:showLegendKey val="0"/>
            <c:showVal val="1"/>
            <c:showCatName val="0"/>
            <c:showSerName val="0"/>
            <c:showPercent val="0"/>
            <c:showBubbleSize val="0"/>
            <c:showLeaderLines val="0"/>
          </c:dLbls>
          <c:cat>
            <c:strRef>
              <c:f>(base_bench!$A$405,base_bench!$A$406:$A$415)</c:f>
              <c:strCache>
                <c:ptCount val="11"/>
                <c:pt idx="0">
                  <c:v>Porto Alegre 2015</c:v>
                </c:pt>
                <c:pt idx="1">
                  <c:v>RMBH metropolitano 2015</c:v>
                </c:pt>
                <c:pt idx="2">
                  <c:v>Joinville 2015</c:v>
                </c:pt>
                <c:pt idx="3">
                  <c:v>São Paulo estrutural 2015</c:v>
                </c:pt>
                <c:pt idx="4">
                  <c:v>São Paulo total 2015</c:v>
                </c:pt>
                <c:pt idx="5">
                  <c:v>Contagem 2014</c:v>
                </c:pt>
                <c:pt idx="6">
                  <c:v>BH convencional 2015</c:v>
                </c:pt>
                <c:pt idx="7">
                  <c:v>BH total 2015 total</c:v>
                </c:pt>
                <c:pt idx="8">
                  <c:v>São Paulo local 2015</c:v>
                </c:pt>
                <c:pt idx="9">
                  <c:v>Curitiba 2015</c:v>
                </c:pt>
                <c:pt idx="10">
                  <c:v>BH suplementar 2015 </c:v>
                </c:pt>
              </c:strCache>
            </c:strRef>
          </c:cat>
          <c:val>
            <c:numRef>
              <c:f>(base_bench!$B$405,base_bench!$B$406:$B$415)</c:f>
              <c:numCache>
                <c:formatCode>0.00%</c:formatCode>
                <c:ptCount val="11"/>
                <c:pt idx="0">
                  <c:v>0.51673517322372287</c:v>
                </c:pt>
                <c:pt idx="1">
                  <c:v>0.75779376498800954</c:v>
                </c:pt>
                <c:pt idx="2">
                  <c:v>0.76454293628808867</c:v>
                </c:pt>
                <c:pt idx="3">
                  <c:v>0.8345429802676344</c:v>
                </c:pt>
                <c:pt idx="4">
                  <c:v>0.87050115442075238</c:v>
                </c:pt>
                <c:pt idx="5">
                  <c:v>0.90419161676646709</c:v>
                </c:pt>
                <c:pt idx="6">
                  <c:v>0.91756756756756752</c:v>
                </c:pt>
                <c:pt idx="7">
                  <c:v>0.92300556586270877</c:v>
                </c:pt>
                <c:pt idx="8">
                  <c:v>0.92417061611374407</c:v>
                </c:pt>
                <c:pt idx="9">
                  <c:v>0.92690058479532167</c:v>
                </c:pt>
                <c:pt idx="10">
                  <c:v>0.98175182481751821</c:v>
                </c:pt>
              </c:numCache>
            </c:numRef>
          </c:val>
        </c:ser>
        <c:dLbls>
          <c:showLegendKey val="0"/>
          <c:showVal val="0"/>
          <c:showCatName val="0"/>
          <c:showSerName val="0"/>
          <c:showPercent val="0"/>
          <c:showBubbleSize val="0"/>
        </c:dLbls>
        <c:gapWidth val="150"/>
        <c:axId val="136916352"/>
        <c:axId val="136918144"/>
      </c:barChart>
      <c:catAx>
        <c:axId val="136916352"/>
        <c:scaling>
          <c:orientation val="minMax"/>
        </c:scaling>
        <c:delete val="0"/>
        <c:axPos val="b"/>
        <c:majorTickMark val="out"/>
        <c:minorTickMark val="none"/>
        <c:tickLblPos val="nextTo"/>
        <c:crossAx val="136918144"/>
        <c:crosses val="autoZero"/>
        <c:auto val="1"/>
        <c:lblAlgn val="ctr"/>
        <c:lblOffset val="100"/>
        <c:noMultiLvlLbl val="0"/>
      </c:catAx>
      <c:valAx>
        <c:axId val="136918144"/>
        <c:scaling>
          <c:orientation val="minMax"/>
          <c:max val="1"/>
        </c:scaling>
        <c:delete val="0"/>
        <c:axPos val="l"/>
        <c:numFmt formatCode="0%" sourceLinked="0"/>
        <c:majorTickMark val="out"/>
        <c:minorTickMark val="none"/>
        <c:tickLblPos val="nextTo"/>
        <c:crossAx val="136916352"/>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ysClr val="window" lastClr="FFFFFF"/>
            </a:solidFill>
            <a:ln>
              <a:solidFill>
                <a:sysClr val="windowText" lastClr="000000"/>
              </a:solidFill>
            </a:ln>
          </c:spPr>
          <c:invertIfNegative val="0"/>
          <c:dPt>
            <c:idx val="2"/>
            <c:invertIfNegative val="0"/>
            <c:bubble3D val="0"/>
            <c:spPr>
              <a:solidFill>
                <a:srgbClr val="0070C0"/>
              </a:solidFill>
              <a:ln>
                <a:solidFill>
                  <a:sysClr val="windowText" lastClr="000000"/>
                </a:solidFill>
              </a:ln>
            </c:spPr>
          </c:dPt>
          <c:dPt>
            <c:idx val="3"/>
            <c:invertIfNegative val="0"/>
            <c:bubble3D val="0"/>
            <c:spPr>
              <a:solidFill>
                <a:srgbClr val="0070C0"/>
              </a:solidFill>
              <a:ln>
                <a:solidFill>
                  <a:sysClr val="windowText" lastClr="000000"/>
                </a:solidFill>
              </a:ln>
            </c:spPr>
          </c:dPt>
          <c:dPt>
            <c:idx val="4"/>
            <c:invertIfNegative val="0"/>
            <c:bubble3D val="0"/>
            <c:spPr>
              <a:solidFill>
                <a:srgbClr val="0070C0"/>
              </a:solidFill>
              <a:ln>
                <a:solidFill>
                  <a:sysClr val="windowText" lastClr="000000"/>
                </a:solidFill>
              </a:ln>
            </c:spPr>
          </c:dPt>
          <c:dPt>
            <c:idx val="5"/>
            <c:invertIfNegative val="0"/>
            <c:bubble3D val="0"/>
            <c:spPr>
              <a:solidFill>
                <a:srgbClr val="0070C0"/>
              </a:solidFill>
              <a:ln>
                <a:solidFill>
                  <a:sysClr val="windowText" lastClr="000000"/>
                </a:solidFill>
              </a:ln>
            </c:spPr>
          </c:dPt>
          <c:dPt>
            <c:idx val="6"/>
            <c:invertIfNegative val="0"/>
            <c:bubble3D val="0"/>
            <c:spPr>
              <a:solidFill>
                <a:srgbClr val="0070C0"/>
              </a:solidFill>
              <a:ln>
                <a:solidFill>
                  <a:sysClr val="windowText" lastClr="000000"/>
                </a:solidFill>
              </a:ln>
            </c:spPr>
          </c:dPt>
          <c:dLbls>
            <c:dLbl>
              <c:idx val="0"/>
              <c:spPr/>
              <c:txPr>
                <a:bodyPr/>
                <a:lstStyle/>
                <a:p>
                  <a:pPr>
                    <a:defRPr b="1">
                      <a:solidFill>
                        <a:srgbClr val="002060"/>
                      </a:solidFill>
                    </a:defRPr>
                  </a:pPr>
                  <a:endParaRPr lang="pt-BR"/>
                </a:p>
              </c:txPr>
              <c:showLegendKey val="0"/>
              <c:showVal val="1"/>
              <c:showCatName val="0"/>
              <c:showSerName val="0"/>
              <c:showPercent val="0"/>
              <c:showBubbleSize val="0"/>
            </c:dLbl>
            <c:txPr>
              <a:bodyPr/>
              <a:lstStyle/>
              <a:p>
                <a:pPr>
                  <a:defRPr b="1"/>
                </a:pPr>
                <a:endParaRPr lang="pt-BR"/>
              </a:p>
            </c:txPr>
            <c:showLegendKey val="0"/>
            <c:showVal val="1"/>
            <c:showCatName val="0"/>
            <c:showSerName val="0"/>
            <c:showPercent val="0"/>
            <c:showBubbleSize val="0"/>
            <c:showLeaderLines val="0"/>
          </c:dLbls>
          <c:cat>
            <c:strRef>
              <c:f>(base_bench!$A$448:$A$455,base_bench!$A$457:$A$458,base_bench!$A$460)</c:f>
              <c:strCache>
                <c:ptCount val="11"/>
                <c:pt idx="0">
                  <c:v>BH (suplementar) 2016</c:v>
                </c:pt>
                <c:pt idx="1">
                  <c:v>Contagem 2015</c:v>
                </c:pt>
                <c:pt idx="2">
                  <c:v>São Paulo (local) 2015</c:v>
                </c:pt>
                <c:pt idx="3">
                  <c:v>BH (total) 2015</c:v>
                </c:pt>
                <c:pt idx="4">
                  <c:v>RMBH metropolitano 2015</c:v>
                </c:pt>
                <c:pt idx="5">
                  <c:v>BH (convencional) 2016</c:v>
                </c:pt>
                <c:pt idx="6">
                  <c:v>BH (convencional) 2006</c:v>
                </c:pt>
                <c:pt idx="7">
                  <c:v>Joinville 2014</c:v>
                </c:pt>
                <c:pt idx="8">
                  <c:v>Curitiba 2015</c:v>
                </c:pt>
                <c:pt idx="9">
                  <c:v>São Paulo (total) 2015</c:v>
                </c:pt>
                <c:pt idx="10">
                  <c:v>São Paulo (estrutural) 2015</c:v>
                </c:pt>
              </c:strCache>
            </c:strRef>
          </c:cat>
          <c:val>
            <c:numRef>
              <c:f>(base_bench!$B$448:$B$455,base_bench!$B$457:$B$458,base_bench!$B$460)</c:f>
              <c:numCache>
                <c:formatCode>0%</c:formatCode>
                <c:ptCount val="11"/>
                <c:pt idx="0">
                  <c:v>0</c:v>
                </c:pt>
                <c:pt idx="1">
                  <c:v>0</c:v>
                </c:pt>
                <c:pt idx="2">
                  <c:v>0</c:v>
                </c:pt>
                <c:pt idx="3" formatCode="0.00%">
                  <c:v>3.4013605442176874E-2</c:v>
                </c:pt>
                <c:pt idx="4" formatCode="0.00%">
                  <c:v>3.5286056868790681E-2</c:v>
                </c:pt>
                <c:pt idx="5" formatCode="0.00%">
                  <c:v>3.7275499830565911E-2</c:v>
                </c:pt>
                <c:pt idx="6" formatCode="0.00%">
                  <c:v>5.3881602268699043E-2</c:v>
                </c:pt>
                <c:pt idx="7" formatCode="0.00%">
                  <c:v>9.3406593406593408E-2</c:v>
                </c:pt>
                <c:pt idx="8" formatCode="0.00%">
                  <c:v>0.32456140350877194</c:v>
                </c:pt>
                <c:pt idx="9" formatCode="0.00%">
                  <c:v>0.49972837158766809</c:v>
                </c:pt>
                <c:pt idx="10" formatCode="0.00%">
                  <c:v>0.8345429802676344</c:v>
                </c:pt>
              </c:numCache>
            </c:numRef>
          </c:val>
        </c:ser>
        <c:dLbls>
          <c:showLegendKey val="0"/>
          <c:showVal val="0"/>
          <c:showCatName val="0"/>
          <c:showSerName val="0"/>
          <c:showPercent val="0"/>
          <c:showBubbleSize val="0"/>
        </c:dLbls>
        <c:gapWidth val="150"/>
        <c:axId val="136965120"/>
        <c:axId val="136643328"/>
      </c:barChart>
      <c:catAx>
        <c:axId val="136965120"/>
        <c:scaling>
          <c:orientation val="minMax"/>
        </c:scaling>
        <c:delete val="0"/>
        <c:axPos val="b"/>
        <c:majorTickMark val="out"/>
        <c:minorTickMark val="none"/>
        <c:tickLblPos val="nextTo"/>
        <c:crossAx val="136643328"/>
        <c:crosses val="autoZero"/>
        <c:auto val="1"/>
        <c:lblAlgn val="ctr"/>
        <c:lblOffset val="100"/>
        <c:noMultiLvlLbl val="0"/>
      </c:catAx>
      <c:valAx>
        <c:axId val="136643328"/>
        <c:scaling>
          <c:orientation val="minMax"/>
          <c:max val="1"/>
        </c:scaling>
        <c:delete val="0"/>
        <c:axPos val="l"/>
        <c:numFmt formatCode="0%" sourceLinked="0"/>
        <c:majorTickMark val="out"/>
        <c:minorTickMark val="none"/>
        <c:tickLblPos val="nextTo"/>
        <c:crossAx val="136965120"/>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c:v>
          </c:tx>
          <c:spPr>
            <a:solidFill>
              <a:schemeClr val="bg1">
                <a:lumMod val="85000"/>
              </a:schemeClr>
            </a:solidFill>
            <a:ln>
              <a:solidFill>
                <a:sysClr val="windowText" lastClr="000000"/>
              </a:solidFill>
            </a:ln>
          </c:spPr>
          <c:invertIfNegative val="0"/>
          <c:dLbls>
            <c:numFmt formatCode="0%" sourceLinked="0"/>
            <c:spPr>
              <a:solidFill>
                <a:schemeClr val="bg1"/>
              </a:solidFill>
            </c:spPr>
            <c:txPr>
              <a:bodyPr/>
              <a:lstStyle/>
              <a:p>
                <a:pPr>
                  <a:defRPr b="1"/>
                </a:pPr>
                <a:endParaRPr lang="pt-BR"/>
              </a:p>
            </c:txPr>
            <c:dLblPos val="ctr"/>
            <c:showLegendKey val="0"/>
            <c:showVal val="1"/>
            <c:showCatName val="0"/>
            <c:showSerName val="0"/>
            <c:showPercent val="0"/>
            <c:showBubbleSize val="0"/>
            <c:showLeaderLines val="0"/>
          </c:dLbls>
          <c:cat>
            <c:numRef>
              <c:f>(para_graficos!$AE$3:$AK$3,para_graficos!$AM$3)</c:f>
              <c:numCache>
                <c:formatCode>General</c:formatCode>
                <c:ptCount val="8"/>
                <c:pt idx="0">
                  <c:v>2009</c:v>
                </c:pt>
                <c:pt idx="1">
                  <c:v>2010</c:v>
                </c:pt>
                <c:pt idx="2">
                  <c:v>2011</c:v>
                </c:pt>
                <c:pt idx="3">
                  <c:v>2012</c:v>
                </c:pt>
                <c:pt idx="4">
                  <c:v>2013</c:v>
                </c:pt>
                <c:pt idx="5">
                  <c:v>2014</c:v>
                </c:pt>
                <c:pt idx="6">
                  <c:v>2015</c:v>
                </c:pt>
                <c:pt idx="7">
                  <c:v>2016</c:v>
                </c:pt>
              </c:numCache>
            </c:numRef>
          </c:cat>
          <c:val>
            <c:numRef>
              <c:f>(para_graficos!$AE$352:$AK$352,para_graficos!$AM$352)</c:f>
              <c:numCache>
                <c:formatCode>0.00%</c:formatCode>
                <c:ptCount val="8"/>
                <c:pt idx="0">
                  <c:v>0.48107918710581637</c:v>
                </c:pt>
                <c:pt idx="1">
                  <c:v>0.60911016949152541</c:v>
                </c:pt>
                <c:pt idx="2">
                  <c:v>0.73621262458471759</c:v>
                </c:pt>
                <c:pt idx="3">
                  <c:v>0.77057274522712316</c:v>
                </c:pt>
                <c:pt idx="4">
                  <c:v>0.80762906938507073</c:v>
                </c:pt>
                <c:pt idx="5">
                  <c:v>0.75851802844856098</c:v>
                </c:pt>
                <c:pt idx="6">
                  <c:v>0.77297297297297296</c:v>
                </c:pt>
                <c:pt idx="7">
                  <c:v>0.82175533717383942</c:v>
                </c:pt>
              </c:numCache>
            </c:numRef>
          </c:val>
        </c:ser>
        <c:dLbls>
          <c:showLegendKey val="0"/>
          <c:showVal val="0"/>
          <c:showCatName val="0"/>
          <c:showSerName val="0"/>
          <c:showPercent val="0"/>
          <c:showBubbleSize val="0"/>
        </c:dLbls>
        <c:gapWidth val="150"/>
        <c:axId val="136692480"/>
        <c:axId val="136686208"/>
      </c:barChart>
      <c:lineChart>
        <c:grouping val="standard"/>
        <c:varyColors val="0"/>
        <c:ser>
          <c:idx val="1"/>
          <c:order val="1"/>
          <c:tx>
            <c:v>n.º</c:v>
          </c:tx>
          <c:spPr>
            <a:ln>
              <a:solidFill>
                <a:schemeClr val="tx1"/>
              </a:solidFill>
              <a:prstDash val="sysDot"/>
            </a:ln>
          </c:spPr>
          <c:marker>
            <c:symbol val="circle"/>
            <c:size val="7"/>
            <c:spPr>
              <a:solidFill>
                <a:schemeClr val="bg1"/>
              </a:solidFill>
              <a:ln>
                <a:solidFill>
                  <a:schemeClr val="tx1">
                    <a:lumMod val="85000"/>
                    <a:lumOff val="15000"/>
                  </a:schemeClr>
                </a:solidFill>
              </a:ln>
            </c:spPr>
          </c:marker>
          <c:dLbls>
            <c:txPr>
              <a:bodyPr/>
              <a:lstStyle/>
              <a:p>
                <a:pPr>
                  <a:defRPr b="1"/>
                </a:pPr>
                <a:endParaRPr lang="pt-BR"/>
              </a:p>
            </c:txPr>
            <c:dLblPos val="t"/>
            <c:showLegendKey val="0"/>
            <c:showVal val="1"/>
            <c:showCatName val="0"/>
            <c:showSerName val="0"/>
            <c:showPercent val="0"/>
            <c:showBubbleSize val="0"/>
            <c:showLeaderLines val="0"/>
          </c:dLbls>
          <c:cat>
            <c:numRef>
              <c:f>(para_graficos!$AE$3:$AK$3,para_graficos!$AM$3)</c:f>
              <c:numCache>
                <c:formatCode>General</c:formatCode>
                <c:ptCount val="8"/>
                <c:pt idx="0">
                  <c:v>2009</c:v>
                </c:pt>
                <c:pt idx="1">
                  <c:v>2010</c:v>
                </c:pt>
                <c:pt idx="2">
                  <c:v>2011</c:v>
                </c:pt>
                <c:pt idx="3">
                  <c:v>2012</c:v>
                </c:pt>
                <c:pt idx="4">
                  <c:v>2013</c:v>
                </c:pt>
                <c:pt idx="5">
                  <c:v>2014</c:v>
                </c:pt>
                <c:pt idx="6">
                  <c:v>2015</c:v>
                </c:pt>
                <c:pt idx="7">
                  <c:v>2016</c:v>
                </c:pt>
              </c:numCache>
            </c:numRef>
          </c:cat>
          <c:val>
            <c:numRef>
              <c:f>(para_graficos!$AE$351:$AK$351,para_graficos!$AM$351)</c:f>
              <c:numCache>
                <c:formatCode>#,##0</c:formatCode>
                <c:ptCount val="8"/>
                <c:pt idx="0">
                  <c:v>1373</c:v>
                </c:pt>
                <c:pt idx="1">
                  <c:v>1725</c:v>
                </c:pt>
                <c:pt idx="2">
                  <c:v>2216</c:v>
                </c:pt>
                <c:pt idx="3">
                  <c:v>2341</c:v>
                </c:pt>
                <c:pt idx="4">
                  <c:v>2456</c:v>
                </c:pt>
                <c:pt idx="5">
                  <c:v>2293</c:v>
                </c:pt>
                <c:pt idx="6">
                  <c:v>2288</c:v>
                </c:pt>
                <c:pt idx="7">
                  <c:v>2425</c:v>
                </c:pt>
              </c:numCache>
            </c:numRef>
          </c:val>
          <c:smooth val="0"/>
        </c:ser>
        <c:dLbls>
          <c:showLegendKey val="0"/>
          <c:showVal val="0"/>
          <c:showCatName val="0"/>
          <c:showSerName val="0"/>
          <c:showPercent val="0"/>
          <c:showBubbleSize val="0"/>
        </c:dLbls>
        <c:marker val="1"/>
        <c:smooth val="0"/>
        <c:axId val="136670208"/>
        <c:axId val="136684288"/>
      </c:lineChart>
      <c:catAx>
        <c:axId val="136670208"/>
        <c:scaling>
          <c:orientation val="minMax"/>
        </c:scaling>
        <c:delete val="0"/>
        <c:axPos val="b"/>
        <c:numFmt formatCode="General" sourceLinked="1"/>
        <c:majorTickMark val="out"/>
        <c:minorTickMark val="none"/>
        <c:tickLblPos val="nextTo"/>
        <c:crossAx val="136684288"/>
        <c:crosses val="autoZero"/>
        <c:auto val="1"/>
        <c:lblAlgn val="ctr"/>
        <c:lblOffset val="100"/>
        <c:noMultiLvlLbl val="0"/>
      </c:catAx>
      <c:valAx>
        <c:axId val="136684288"/>
        <c:scaling>
          <c:orientation val="minMax"/>
        </c:scaling>
        <c:delete val="0"/>
        <c:axPos val="l"/>
        <c:title>
          <c:tx>
            <c:rich>
              <a:bodyPr rot="-5400000" vert="horz"/>
              <a:lstStyle/>
              <a:p>
                <a:pPr>
                  <a:defRPr sz="1000"/>
                </a:pPr>
                <a:r>
                  <a:rPr lang="en-US" sz="1000"/>
                  <a:t>F tcc eh (n.º)</a:t>
                </a:r>
              </a:p>
            </c:rich>
          </c:tx>
          <c:overlay val="0"/>
        </c:title>
        <c:numFmt formatCode="#,##0" sourceLinked="1"/>
        <c:majorTickMark val="out"/>
        <c:minorTickMark val="none"/>
        <c:tickLblPos val="nextTo"/>
        <c:crossAx val="136670208"/>
        <c:crosses val="autoZero"/>
        <c:crossBetween val="between"/>
      </c:valAx>
      <c:valAx>
        <c:axId val="136686208"/>
        <c:scaling>
          <c:orientation val="minMax"/>
          <c:max val="1"/>
        </c:scaling>
        <c:delete val="0"/>
        <c:axPos val="r"/>
        <c:title>
          <c:tx>
            <c:rich>
              <a:bodyPr rot="-5400000" vert="horz"/>
              <a:lstStyle/>
              <a:p>
                <a:pPr>
                  <a:defRPr sz="1000"/>
                </a:pPr>
                <a:r>
                  <a:rPr lang="en-US" sz="1000"/>
                  <a:t>F tcc eh (%)</a:t>
                </a:r>
              </a:p>
            </c:rich>
          </c:tx>
          <c:overlay val="0"/>
        </c:title>
        <c:numFmt formatCode="0%" sourceLinked="0"/>
        <c:majorTickMark val="out"/>
        <c:minorTickMark val="none"/>
        <c:tickLblPos val="nextTo"/>
        <c:crossAx val="136692480"/>
        <c:crosses val="max"/>
        <c:crossBetween val="between"/>
      </c:valAx>
      <c:catAx>
        <c:axId val="136692480"/>
        <c:scaling>
          <c:orientation val="minMax"/>
        </c:scaling>
        <c:delete val="1"/>
        <c:axPos val="b"/>
        <c:numFmt formatCode="General" sourceLinked="1"/>
        <c:majorTickMark val="out"/>
        <c:minorTickMark val="none"/>
        <c:tickLblPos val="nextTo"/>
        <c:crossAx val="136686208"/>
        <c:crosses val="autoZero"/>
        <c:auto val="1"/>
        <c:lblAlgn val="ctr"/>
        <c:lblOffset val="100"/>
        <c:noMultiLvlLbl val="0"/>
      </c:cat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69596593666353E-2"/>
          <c:y val="3.2093362509117436E-2"/>
          <c:w val="0.87141820990070074"/>
          <c:h val="0.70479114618331351"/>
        </c:manualLayout>
      </c:layout>
      <c:barChart>
        <c:barDir val="col"/>
        <c:grouping val="clustered"/>
        <c:varyColors val="0"/>
        <c:ser>
          <c:idx val="0"/>
          <c:order val="0"/>
          <c:spPr>
            <a:solidFill>
              <a:schemeClr val="bg1">
                <a:lumMod val="85000"/>
              </a:schemeClr>
            </a:solidFill>
            <a:ln>
              <a:solidFill>
                <a:schemeClr val="tx1">
                  <a:lumMod val="85000"/>
                  <a:lumOff val="15000"/>
                </a:schemeClr>
              </a:solidFill>
            </a:ln>
          </c:spPr>
          <c:invertIfNegative val="0"/>
          <c:dLbls>
            <c:dLbl>
              <c:idx val="0"/>
              <c:tx>
                <c:rich>
                  <a:bodyPr/>
                  <a:lstStyle/>
                  <a:p>
                    <a:pPr>
                      <a:defRPr sz="900" b="1"/>
                    </a:pPr>
                    <a:r>
                      <a:rPr lang="en-US" sz="900" b="1" i="0" baseline="0">
                        <a:solidFill>
                          <a:srgbClr val="0070C0"/>
                        </a:solidFill>
                        <a:effectLst/>
                      </a:rPr>
                      <a:t>Belo Horizonte</a:t>
                    </a:r>
                    <a:endParaRPr lang="pt-BR" sz="900">
                      <a:solidFill>
                        <a:srgbClr val="0070C0"/>
                      </a:solidFill>
                      <a:effectLst/>
                    </a:endParaRPr>
                  </a:p>
                  <a:p>
                    <a:pPr>
                      <a:defRPr sz="900" b="1"/>
                    </a:pPr>
                    <a:r>
                      <a:rPr lang="en-US" sz="900" b="1" i="0" baseline="0">
                        <a:effectLst/>
                      </a:rPr>
                      <a:t>Contagem</a:t>
                    </a:r>
                    <a:endParaRPr lang="pt-BR" sz="900">
                      <a:effectLst/>
                    </a:endParaRPr>
                  </a:p>
                  <a:p>
                    <a:pPr>
                      <a:defRPr sz="900" b="1"/>
                    </a:pPr>
                    <a:r>
                      <a:rPr lang="en-US" sz="900" b="1" i="0" baseline="0">
                        <a:effectLst/>
                      </a:rPr>
                      <a:t>Joinville</a:t>
                    </a:r>
                  </a:p>
                  <a:p>
                    <a:pPr>
                      <a:defRPr sz="900" b="1"/>
                    </a:pPr>
                    <a:r>
                      <a:rPr lang="en-US" sz="900" b="1" i="0" baseline="0">
                        <a:effectLst/>
                      </a:rPr>
                      <a:t>RMBH</a:t>
                    </a:r>
                  </a:p>
                  <a:p>
                    <a:pPr>
                      <a:defRPr sz="900" b="1"/>
                    </a:pPr>
                    <a:r>
                      <a:rPr lang="en-US" sz="900" b="1" i="0" baseline="0">
                        <a:effectLst/>
                      </a:rPr>
                      <a:t>São Paulo</a:t>
                    </a:r>
                    <a:endParaRPr lang="pt-BR" sz="900">
                      <a:effectLst/>
                    </a:endParaRPr>
                  </a:p>
                  <a:p>
                    <a:pPr>
                      <a:defRPr sz="900" b="1"/>
                    </a:pPr>
                    <a:r>
                      <a:rPr lang="en-US" sz="900"/>
                      <a:t>1</a:t>
                    </a:r>
                  </a:p>
                </c:rich>
              </c:tx>
              <c:spPr/>
              <c:dLblPos val="outEnd"/>
              <c:showLegendKey val="0"/>
              <c:showVal val="1"/>
              <c:showCatName val="0"/>
              <c:showSerName val="0"/>
              <c:showPercent val="0"/>
              <c:showBubbleSize val="0"/>
            </c:dLbl>
            <c:dLbl>
              <c:idx val="1"/>
              <c:tx>
                <c:rich>
                  <a:bodyPr/>
                  <a:lstStyle/>
                  <a:p>
                    <a:r>
                      <a:rPr lang="en-US" sz="900">
                        <a:solidFill>
                          <a:srgbClr val="0070C0"/>
                        </a:solidFill>
                      </a:rPr>
                      <a:t>Belo Horizonte</a:t>
                    </a:r>
                  </a:p>
                  <a:p>
                    <a:r>
                      <a:rPr lang="en-US" sz="900">
                        <a:solidFill>
                          <a:sysClr val="windowText" lastClr="000000"/>
                        </a:solidFill>
                      </a:rPr>
                      <a:t>Joinville</a:t>
                    </a:r>
                  </a:p>
                  <a:p>
                    <a:r>
                      <a:rPr lang="en-US" sz="900">
                        <a:solidFill>
                          <a:sysClr val="windowText" lastClr="000000"/>
                        </a:solidFill>
                      </a:rPr>
                      <a:t>RMBH</a:t>
                    </a:r>
                  </a:p>
                  <a:p>
                    <a:r>
                      <a:rPr lang="en-US" sz="900">
                        <a:solidFill>
                          <a:sysClr val="windowText" lastClr="000000"/>
                        </a:solidFill>
                      </a:rPr>
                      <a:t>São Paulo</a:t>
                    </a:r>
                  </a:p>
                  <a:p>
                    <a:r>
                      <a:rPr lang="en-US" sz="1100">
                        <a:solidFill>
                          <a:sysClr val="windowText" lastClr="000000"/>
                        </a:solidFill>
                      </a:rPr>
                      <a:t>2</a:t>
                    </a:r>
                  </a:p>
                </c:rich>
              </c:tx>
              <c:dLblPos val="outEnd"/>
              <c:showLegendKey val="0"/>
              <c:showVal val="1"/>
              <c:showCatName val="0"/>
              <c:showSerName val="0"/>
              <c:showPercent val="0"/>
              <c:showBubbleSize val="0"/>
            </c:dLbl>
            <c:dLbl>
              <c:idx val="2"/>
              <c:tx>
                <c:rich>
                  <a:bodyPr/>
                  <a:lstStyle/>
                  <a:p>
                    <a:r>
                      <a:rPr lang="en-US" sz="900">
                        <a:solidFill>
                          <a:srgbClr val="0070C0"/>
                        </a:solidFill>
                      </a:rPr>
                      <a:t>Belo Horizonte</a:t>
                    </a:r>
                  </a:p>
                  <a:p>
                    <a:r>
                      <a:rPr lang="en-US" sz="900">
                        <a:solidFill>
                          <a:sysClr val="windowText" lastClr="000000"/>
                        </a:solidFill>
                      </a:rPr>
                      <a:t>Contagem</a:t>
                    </a:r>
                  </a:p>
                  <a:p>
                    <a:r>
                      <a:rPr lang="en-US" sz="900" b="1">
                        <a:solidFill>
                          <a:sysClr val="windowText" lastClr="000000"/>
                        </a:solidFill>
                      </a:rPr>
                      <a:t>Curitiba</a:t>
                    </a:r>
                  </a:p>
                  <a:p>
                    <a:r>
                      <a:rPr lang="en-US" sz="900">
                        <a:solidFill>
                          <a:sysClr val="windowText" lastClr="000000"/>
                        </a:solidFill>
                      </a:rPr>
                      <a:t>Joinville</a:t>
                    </a:r>
                  </a:p>
                  <a:p>
                    <a:r>
                      <a:rPr lang="en-US" sz="1100">
                        <a:solidFill>
                          <a:sysClr val="windowText" lastClr="000000"/>
                        </a:solidFill>
                      </a:rPr>
                      <a:t>3</a:t>
                    </a:r>
                  </a:p>
                </c:rich>
              </c:tx>
              <c:dLblPos val="outEnd"/>
              <c:showLegendKey val="0"/>
              <c:showVal val="1"/>
              <c:showCatName val="0"/>
              <c:showSerName val="0"/>
              <c:showPercent val="0"/>
              <c:showBubbleSize val="0"/>
            </c:dLbl>
            <c:dLbl>
              <c:idx val="3"/>
              <c:tx>
                <c:rich>
                  <a:bodyPr/>
                  <a:lstStyle/>
                  <a:p>
                    <a:r>
                      <a:rPr lang="en-US" sz="900">
                        <a:solidFill>
                          <a:sysClr val="windowText" lastClr="000000"/>
                        </a:solidFill>
                      </a:rPr>
                      <a:t>RMBH</a:t>
                    </a:r>
                  </a:p>
                  <a:p>
                    <a:r>
                      <a:rPr lang="en-US" sz="1100">
                        <a:solidFill>
                          <a:sysClr val="windowText" lastClr="000000"/>
                        </a:solidFill>
                      </a:rPr>
                      <a:t>4</a:t>
                    </a:r>
                  </a:p>
                </c:rich>
              </c:tx>
              <c:dLblPos val="outEnd"/>
              <c:showLegendKey val="0"/>
              <c:showVal val="1"/>
              <c:showCatName val="0"/>
              <c:showSerName val="0"/>
              <c:showPercent val="0"/>
              <c:showBubbleSize val="0"/>
            </c:dLbl>
            <c:dLbl>
              <c:idx val="4"/>
              <c:tx>
                <c:rich>
                  <a:bodyPr/>
                  <a:lstStyle/>
                  <a:p>
                    <a:r>
                      <a:rPr lang="en-US" sz="900">
                        <a:solidFill>
                          <a:srgbClr val="0070C0"/>
                        </a:solidFill>
                      </a:rPr>
                      <a:t>Belo Horizonte</a:t>
                    </a:r>
                  </a:p>
                  <a:p>
                    <a:r>
                      <a:rPr lang="en-US" sz="1100">
                        <a:solidFill>
                          <a:sysClr val="windowText" lastClr="000000"/>
                        </a:solidFill>
                      </a:rPr>
                      <a:t>5</a:t>
                    </a:r>
                  </a:p>
                </c:rich>
              </c:tx>
              <c:dLblPos val="outEnd"/>
              <c:showLegendKey val="0"/>
              <c:showVal val="1"/>
              <c:showCatName val="0"/>
              <c:showSerName val="0"/>
              <c:showPercent val="0"/>
              <c:showBubbleSize val="0"/>
            </c:dLbl>
            <c:dLbl>
              <c:idx val="5"/>
              <c:tx>
                <c:rich>
                  <a:bodyPr/>
                  <a:lstStyle/>
                  <a:p>
                    <a:r>
                      <a:rPr lang="en-US" sz="900">
                        <a:solidFill>
                          <a:srgbClr val="0070C0"/>
                        </a:solidFill>
                      </a:rPr>
                      <a:t>Belo Horizonte</a:t>
                    </a:r>
                  </a:p>
                  <a:p>
                    <a:r>
                      <a:rPr lang="en-US" sz="1100">
                        <a:solidFill>
                          <a:sysClr val="windowText" lastClr="000000"/>
                        </a:solidFill>
                      </a:rPr>
                      <a:t>6</a:t>
                    </a:r>
                  </a:p>
                </c:rich>
              </c:tx>
              <c:dLblPos val="outEnd"/>
              <c:showLegendKey val="0"/>
              <c:showVal val="1"/>
              <c:showCatName val="0"/>
              <c:showSerName val="0"/>
              <c:showPercent val="0"/>
              <c:showBubbleSize val="0"/>
            </c:dLbl>
            <c:dLbl>
              <c:idx val="6"/>
              <c:tx>
                <c:rich>
                  <a:bodyPr/>
                  <a:lstStyle/>
                  <a:p>
                    <a:r>
                      <a:rPr lang="en-US" sz="1100">
                        <a:solidFill>
                          <a:sysClr val="windowText" lastClr="000000"/>
                        </a:solidFill>
                      </a:rPr>
                      <a:t>7</a:t>
                    </a:r>
                  </a:p>
                </c:rich>
              </c:tx>
              <c:dLblPos val="outEnd"/>
              <c:showLegendKey val="0"/>
              <c:showVal val="1"/>
              <c:showCatName val="0"/>
              <c:showSerName val="0"/>
              <c:showPercent val="0"/>
              <c:showBubbleSize val="0"/>
            </c:dLbl>
            <c:dLbl>
              <c:idx val="7"/>
              <c:tx>
                <c:rich>
                  <a:bodyPr/>
                  <a:lstStyle/>
                  <a:p>
                    <a:r>
                      <a:rPr lang="en-US" sz="900" baseline="0">
                        <a:solidFill>
                          <a:srgbClr val="0070C0"/>
                        </a:solidFill>
                      </a:rPr>
                      <a:t>Belo Horizonte</a:t>
                    </a:r>
                  </a:p>
                  <a:p>
                    <a:r>
                      <a:rPr lang="en-US" sz="900" baseline="0">
                        <a:solidFill>
                          <a:sysClr val="windowText" lastClr="000000"/>
                        </a:solidFill>
                      </a:rPr>
                      <a:t>Curitiba</a:t>
                    </a:r>
                  </a:p>
                  <a:p>
                    <a:r>
                      <a:rPr lang="en-US" sz="900" baseline="0">
                        <a:solidFill>
                          <a:sysClr val="windowText" lastClr="000000"/>
                        </a:solidFill>
                      </a:rPr>
                      <a:t>Joinville</a:t>
                    </a:r>
                  </a:p>
                  <a:p>
                    <a:r>
                      <a:rPr lang="en-US" sz="900" baseline="0">
                        <a:solidFill>
                          <a:sysClr val="windowText" lastClr="000000"/>
                        </a:solidFill>
                      </a:rPr>
                      <a:t>RMBH</a:t>
                    </a:r>
                  </a:p>
                  <a:p>
                    <a:r>
                      <a:rPr lang="en-US" sz="900" baseline="0">
                        <a:solidFill>
                          <a:sysClr val="windowText" lastClr="000000"/>
                        </a:solidFill>
                      </a:rPr>
                      <a:t>São Paulo</a:t>
                    </a:r>
                  </a:p>
                  <a:p>
                    <a:r>
                      <a:rPr lang="en-US" sz="1100" baseline="0">
                        <a:solidFill>
                          <a:sysClr val="windowText" lastClr="000000"/>
                        </a:solidFill>
                      </a:rPr>
                      <a:t>8</a:t>
                    </a:r>
                    <a:endParaRPr lang="en-US" sz="1100">
                      <a:solidFill>
                        <a:sysClr val="windowText" lastClr="000000"/>
                      </a:solidFill>
                    </a:endParaRPr>
                  </a:p>
                </c:rich>
              </c:tx>
              <c:dLblPos val="outEnd"/>
              <c:showLegendKey val="0"/>
              <c:showVal val="1"/>
              <c:showCatName val="0"/>
              <c:showSerName val="0"/>
              <c:showPercent val="0"/>
              <c:showBubbleSize val="0"/>
            </c:dLbl>
            <c:dLbl>
              <c:idx val="8"/>
              <c:tx>
                <c:rich>
                  <a:bodyPr/>
                  <a:lstStyle/>
                  <a:p>
                    <a:r>
                      <a:rPr lang="en-US" sz="1100">
                        <a:solidFill>
                          <a:sysClr val="windowText" lastClr="000000"/>
                        </a:solidFill>
                      </a:rPr>
                      <a:t>9</a:t>
                    </a:r>
                  </a:p>
                </c:rich>
              </c:tx>
              <c:dLblPos val="outEnd"/>
              <c:showLegendKey val="0"/>
              <c:showVal val="1"/>
              <c:showCatName val="0"/>
              <c:showSerName val="0"/>
              <c:showPercent val="0"/>
              <c:showBubbleSize val="0"/>
            </c:dLbl>
            <c:dLbl>
              <c:idx val="9"/>
              <c:tx>
                <c:rich>
                  <a:bodyPr/>
                  <a:lstStyle/>
                  <a:p>
                    <a:pPr>
                      <a:defRPr b="1">
                        <a:solidFill>
                          <a:sysClr val="windowText" lastClr="000000"/>
                        </a:solidFill>
                      </a:defRPr>
                    </a:pPr>
                    <a:r>
                      <a:rPr lang="en-US" sz="900">
                        <a:solidFill>
                          <a:sysClr val="windowText" lastClr="000000"/>
                        </a:solidFill>
                      </a:rPr>
                      <a:t>Curitiba</a:t>
                    </a:r>
                  </a:p>
                  <a:p>
                    <a:pPr>
                      <a:defRPr b="1">
                        <a:solidFill>
                          <a:sysClr val="windowText" lastClr="000000"/>
                        </a:solidFill>
                      </a:defRPr>
                    </a:pPr>
                    <a:r>
                      <a:rPr lang="en-US" sz="1100">
                        <a:solidFill>
                          <a:sysClr val="windowText" lastClr="000000"/>
                        </a:solidFill>
                      </a:rPr>
                      <a:t>10</a:t>
                    </a:r>
                  </a:p>
                </c:rich>
              </c:tx>
              <c:spPr/>
              <c:dLblPos val="outEnd"/>
              <c:showLegendKey val="0"/>
              <c:showVal val="1"/>
              <c:showCatName val="0"/>
              <c:showSerName val="0"/>
              <c:showPercent val="0"/>
              <c:showBubbleSize val="0"/>
            </c:dLbl>
            <c:txPr>
              <a:bodyPr/>
              <a:lstStyle/>
              <a:p>
                <a:pPr>
                  <a:defRPr b="1"/>
                </a:pPr>
                <a:endParaRPr lang="pt-BR"/>
              </a:p>
            </c:txPr>
            <c:dLblPos val="outEnd"/>
            <c:showLegendKey val="0"/>
            <c:showVal val="1"/>
            <c:showCatName val="0"/>
            <c:showSerName val="0"/>
            <c:showPercent val="0"/>
            <c:showBubbleSize val="0"/>
            <c:showLeaderLines val="0"/>
          </c:dLbls>
          <c:cat>
            <c:strRef>
              <c:f>para_graficos!$BE$361:$BE$370</c:f>
              <c:strCache>
                <c:ptCount val="10"/>
                <c:pt idx="0">
                  <c:v>não acessível</c:v>
                </c:pt>
                <c:pt idx="1">
                  <c:v>elevador exclusivo</c:v>
                </c:pt>
                <c:pt idx="2">
                  <c:v>elevador não exclusivo</c:v>
                </c:pt>
                <c:pt idx="3">
                  <c:v>BRT misto c/elevador exclusivo</c:v>
                </c:pt>
                <c:pt idx="4">
                  <c:v>BRT misto c/elevador não exclusivo</c:v>
                </c:pt>
                <c:pt idx="5">
                  <c:v>em nível parcial s/rampa</c:v>
                </c:pt>
                <c:pt idx="6">
                  <c:v>em nível total s/rampa</c:v>
                </c:pt>
                <c:pt idx="7">
                  <c:v>em nível c/ uma rampa manual</c:v>
                </c:pt>
                <c:pt idx="8">
                  <c:v>em nível c/uma rampa automática</c:v>
                </c:pt>
                <c:pt idx="9">
                  <c:v>desenho universal</c:v>
                </c:pt>
              </c:strCache>
            </c:strRef>
          </c:cat>
          <c:val>
            <c:numRef>
              <c:f>para_graficos!$BF$361:$BF$370</c:f>
              <c:numCache>
                <c:formatCode>0</c:formatCode>
                <c:ptCount val="10"/>
                <c:pt idx="0">
                  <c:v>1</c:v>
                </c:pt>
                <c:pt idx="1">
                  <c:v>2</c:v>
                </c:pt>
                <c:pt idx="2">
                  <c:v>3</c:v>
                </c:pt>
                <c:pt idx="3">
                  <c:v>4</c:v>
                </c:pt>
                <c:pt idx="4">
                  <c:v>5</c:v>
                </c:pt>
                <c:pt idx="5">
                  <c:v>6</c:v>
                </c:pt>
                <c:pt idx="6">
                  <c:v>7</c:v>
                </c:pt>
                <c:pt idx="7">
                  <c:v>8</c:v>
                </c:pt>
                <c:pt idx="8">
                  <c:v>9</c:v>
                </c:pt>
                <c:pt idx="9">
                  <c:v>10</c:v>
                </c:pt>
              </c:numCache>
            </c:numRef>
          </c:val>
        </c:ser>
        <c:dLbls>
          <c:showLegendKey val="0"/>
          <c:showVal val="0"/>
          <c:showCatName val="0"/>
          <c:showSerName val="0"/>
          <c:showPercent val="0"/>
          <c:showBubbleSize val="0"/>
        </c:dLbls>
        <c:gapWidth val="150"/>
        <c:axId val="136774400"/>
        <c:axId val="136775936"/>
      </c:barChart>
      <c:catAx>
        <c:axId val="136774400"/>
        <c:scaling>
          <c:orientation val="minMax"/>
        </c:scaling>
        <c:delete val="0"/>
        <c:axPos val="b"/>
        <c:numFmt formatCode="General" sourceLinked="1"/>
        <c:majorTickMark val="out"/>
        <c:minorTickMark val="none"/>
        <c:tickLblPos val="nextTo"/>
        <c:txPr>
          <a:bodyPr rot="-1140000" vert="horz"/>
          <a:lstStyle/>
          <a:p>
            <a:pPr>
              <a:defRPr sz="1000" b="0"/>
            </a:pPr>
            <a:endParaRPr lang="pt-BR"/>
          </a:p>
        </c:txPr>
        <c:crossAx val="136775936"/>
        <c:crosses val="autoZero"/>
        <c:auto val="1"/>
        <c:lblAlgn val="ctr"/>
        <c:lblOffset val="100"/>
        <c:noMultiLvlLbl val="0"/>
      </c:catAx>
      <c:valAx>
        <c:axId val="136775936"/>
        <c:scaling>
          <c:orientation val="minMax"/>
          <c:max val="12"/>
        </c:scaling>
        <c:delete val="1"/>
        <c:axPos val="l"/>
        <c:numFmt formatCode="#,##0.00" sourceLinked="0"/>
        <c:majorTickMark val="out"/>
        <c:minorTickMark val="none"/>
        <c:tickLblPos val="nextTo"/>
        <c:crossAx val="136774400"/>
        <c:crosses val="autoZero"/>
        <c:crossBetween val="between"/>
      </c:valAx>
    </c:plotArea>
    <c:plotVisOnly val="1"/>
    <c:dispBlanksAs val="gap"/>
    <c:showDLblsOverMax val="0"/>
  </c:chart>
  <c:txPr>
    <a:bodyPr/>
    <a:lstStyle/>
    <a:p>
      <a:pPr>
        <a:defRPr sz="1000">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85000"/>
              </a:schemeClr>
            </a:solidFill>
            <a:ln>
              <a:solidFill>
                <a:sysClr val="windowText" lastClr="000000"/>
              </a:solidFill>
            </a:ln>
          </c:spPr>
          <c:invertIfNegative val="0"/>
          <c:dLbls>
            <c:txPr>
              <a:bodyPr/>
              <a:lstStyle/>
              <a:p>
                <a:pPr>
                  <a:defRPr b="1"/>
                </a:pPr>
                <a:endParaRPr lang="pt-BR"/>
              </a:p>
            </c:txPr>
            <c:showLegendKey val="0"/>
            <c:showVal val="1"/>
            <c:showCatName val="0"/>
            <c:showSerName val="0"/>
            <c:showPercent val="0"/>
            <c:showBubbleSize val="0"/>
            <c:showLeaderLines val="0"/>
          </c:dLbls>
          <c:cat>
            <c:strRef>
              <c:f>(base_bench!$A$265:$A$271,base_bench!$A$274:$A$275,base_bench!$A$280:$A$281,base_bench!$A$283,base_bench!$A$285)</c:f>
              <c:strCache>
                <c:ptCount val="13"/>
                <c:pt idx="0">
                  <c:v>Contagem</c:v>
                </c:pt>
                <c:pt idx="1">
                  <c:v>Belo Horizonte total 2016</c:v>
                </c:pt>
                <c:pt idx="2">
                  <c:v>RMBH metropolitano</c:v>
                </c:pt>
                <c:pt idx="3">
                  <c:v>São Paulo local 2015</c:v>
                </c:pt>
                <c:pt idx="4">
                  <c:v>Curitiba</c:v>
                </c:pt>
                <c:pt idx="5">
                  <c:v>Belo Horizonte (convencional) 2006</c:v>
                </c:pt>
                <c:pt idx="6">
                  <c:v>Joinville</c:v>
                </c:pt>
                <c:pt idx="7">
                  <c:v>Europa</c:v>
                </c:pt>
                <c:pt idx="8">
                  <c:v>São Paulo estrutural 2015</c:v>
                </c:pt>
                <c:pt idx="9">
                  <c:v>Estocolmo (Suécia)</c:v>
                </c:pt>
                <c:pt idx="10">
                  <c:v>Londres (Inglaterra)</c:v>
                </c:pt>
                <c:pt idx="11">
                  <c:v>Paris (França)</c:v>
                </c:pt>
                <c:pt idx="12">
                  <c:v>Viena (Áustria)</c:v>
                </c:pt>
              </c:strCache>
            </c:strRef>
          </c:cat>
          <c:val>
            <c:numRef>
              <c:f>(base_bench!$E$265:$E$271,base_bench!$E$274:$E$275,base_bench!$E$280:$E$281,base_bench!$E$283,base_bench!$E$285)</c:f>
              <c:numCache>
                <c:formatCode>0%</c:formatCode>
                <c:ptCount val="13"/>
                <c:pt idx="0">
                  <c:v>0</c:v>
                </c:pt>
                <c:pt idx="1">
                  <c:v>0</c:v>
                </c:pt>
                <c:pt idx="2">
                  <c:v>0</c:v>
                </c:pt>
                <c:pt idx="3">
                  <c:v>0</c:v>
                </c:pt>
                <c:pt idx="4" formatCode="0.0%">
                  <c:v>4.3859649122807015E-3</c:v>
                </c:pt>
                <c:pt idx="5" formatCode="0.0%">
                  <c:v>5.3881602268699043E-2</c:v>
                </c:pt>
                <c:pt idx="6" formatCode="0.0%">
                  <c:v>9.3406593406593408E-2</c:v>
                </c:pt>
                <c:pt idx="7">
                  <c:v>0.8</c:v>
                </c:pt>
                <c:pt idx="8" formatCode="0.0%">
                  <c:v>0.8345429802676344</c:v>
                </c:pt>
                <c:pt idx="9">
                  <c:v>1</c:v>
                </c:pt>
                <c:pt idx="10">
                  <c:v>1</c:v>
                </c:pt>
                <c:pt idx="11">
                  <c:v>1</c:v>
                </c:pt>
                <c:pt idx="12">
                  <c:v>1</c:v>
                </c:pt>
              </c:numCache>
            </c:numRef>
          </c:val>
        </c:ser>
        <c:dLbls>
          <c:showLegendKey val="0"/>
          <c:showVal val="0"/>
          <c:showCatName val="0"/>
          <c:showSerName val="0"/>
          <c:showPercent val="0"/>
          <c:showBubbleSize val="0"/>
        </c:dLbls>
        <c:gapWidth val="150"/>
        <c:axId val="136816512"/>
        <c:axId val="136818048"/>
      </c:barChart>
      <c:catAx>
        <c:axId val="136816512"/>
        <c:scaling>
          <c:orientation val="minMax"/>
        </c:scaling>
        <c:delete val="0"/>
        <c:axPos val="b"/>
        <c:majorTickMark val="out"/>
        <c:minorTickMark val="none"/>
        <c:tickLblPos val="nextTo"/>
        <c:txPr>
          <a:bodyPr rot="-3060000"/>
          <a:lstStyle/>
          <a:p>
            <a:pPr>
              <a:defRPr b="0"/>
            </a:pPr>
            <a:endParaRPr lang="pt-BR"/>
          </a:p>
        </c:txPr>
        <c:crossAx val="136818048"/>
        <c:crosses val="autoZero"/>
        <c:auto val="1"/>
        <c:lblAlgn val="ctr"/>
        <c:lblOffset val="100"/>
        <c:noMultiLvlLbl val="0"/>
      </c:catAx>
      <c:valAx>
        <c:axId val="136818048"/>
        <c:scaling>
          <c:orientation val="minMax"/>
          <c:max val="1"/>
        </c:scaling>
        <c:delete val="0"/>
        <c:axPos val="l"/>
        <c:numFmt formatCode="0%" sourceLinked="1"/>
        <c:majorTickMark val="out"/>
        <c:minorTickMark val="none"/>
        <c:tickLblPos val="nextTo"/>
        <c:crossAx val="136816512"/>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convencional</c:v>
          </c:tx>
          <c:spPr>
            <a:ln>
              <a:solidFill>
                <a:srgbClr val="0070C0"/>
              </a:solidFill>
            </a:ln>
          </c:spPr>
          <c:marker>
            <c:symbol val="diamond"/>
            <c:size val="7"/>
            <c:spPr>
              <a:ln>
                <a:solidFill>
                  <a:schemeClr val="tx1"/>
                </a:solidFill>
              </a:ln>
            </c:spPr>
          </c:marker>
          <c:dLbls>
            <c:numFmt formatCode="0%" sourceLinked="0"/>
            <c:dLblPos val="b"/>
            <c:showLegendKey val="0"/>
            <c:showVal val="1"/>
            <c:showCatName val="0"/>
            <c:showSerName val="0"/>
            <c:showPercent val="0"/>
            <c:showBubbleSize val="0"/>
            <c:showLeaderLines val="0"/>
          </c:dLbls>
          <c:cat>
            <c:numRef>
              <c:f>para_graficos!$W$3:$AK$3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para_graficos!$W$344:$AK$344</c:f>
              <c:numCache>
                <c:formatCode>0.00%</c:formatCode>
                <c:ptCount val="15"/>
                <c:pt idx="0">
                  <c:v>0.91428571428571426</c:v>
                </c:pt>
                <c:pt idx="1">
                  <c:v>0.91255605381165916</c:v>
                </c:pt>
                <c:pt idx="2">
                  <c:v>0.90888888888888886</c:v>
                </c:pt>
                <c:pt idx="3">
                  <c:v>0.90759819703799094</c:v>
                </c:pt>
                <c:pt idx="4">
                  <c:v>0.90847566870770224</c:v>
                </c:pt>
                <c:pt idx="5">
                  <c:v>0.90707395498392285</c:v>
                </c:pt>
                <c:pt idx="6">
                  <c:v>0.90713367609254503</c:v>
                </c:pt>
                <c:pt idx="7">
                  <c:v>0.90790312300828557</c:v>
                </c:pt>
                <c:pt idx="8">
                  <c:v>0.90833863781031188</c:v>
                </c:pt>
                <c:pt idx="9">
                  <c:v>0.90856592877767084</c:v>
                </c:pt>
                <c:pt idx="10">
                  <c:v>0.91350531107738997</c:v>
                </c:pt>
                <c:pt idx="11">
                  <c:v>0.91423412578994889</c:v>
                </c:pt>
                <c:pt idx="12">
                  <c:v>0.91513692446584416</c:v>
                </c:pt>
                <c:pt idx="13">
                  <c:v>0.91606060606060602</c:v>
                </c:pt>
                <c:pt idx="14">
                  <c:v>0.91527520098948667</c:v>
                </c:pt>
              </c:numCache>
            </c:numRef>
          </c:val>
          <c:smooth val="0"/>
        </c:ser>
        <c:ser>
          <c:idx val="1"/>
          <c:order val="1"/>
          <c:tx>
            <c:v>suplementar</c:v>
          </c:tx>
          <c:spPr>
            <a:ln>
              <a:solidFill>
                <a:srgbClr val="002060"/>
              </a:solidFill>
              <a:prstDash val="sysDot"/>
            </a:ln>
          </c:spPr>
          <c:marker>
            <c:symbol val="circle"/>
            <c:size val="7"/>
            <c:spPr>
              <a:solidFill>
                <a:schemeClr val="bg1"/>
              </a:solidFill>
              <a:ln>
                <a:solidFill>
                  <a:schemeClr val="tx1"/>
                </a:solidFill>
              </a:ln>
            </c:spPr>
          </c:marker>
          <c:dLbls>
            <c:numFmt formatCode="0%" sourceLinked="0"/>
            <c:dLblPos val="t"/>
            <c:showLegendKey val="0"/>
            <c:showVal val="1"/>
            <c:showCatName val="0"/>
            <c:showSerName val="0"/>
            <c:showPercent val="0"/>
            <c:showBubbleSize val="0"/>
            <c:showLeaderLines val="0"/>
          </c:dLbls>
          <c:cat>
            <c:numRef>
              <c:f>para_graficos!$W$3:$AK$3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para_graficos!$W$346:$AK$346</c:f>
              <c:numCache>
                <c:formatCode>0.00%</c:formatCode>
                <c:ptCount val="15"/>
                <c:pt idx="0">
                  <c:v>8.5714285714285715E-2</c:v>
                </c:pt>
                <c:pt idx="1">
                  <c:v>8.744394618834081E-2</c:v>
                </c:pt>
                <c:pt idx="2">
                  <c:v>9.1111111111111115E-2</c:v>
                </c:pt>
                <c:pt idx="3">
                  <c:v>9.2401802962009019E-2</c:v>
                </c:pt>
                <c:pt idx="4">
                  <c:v>9.152433129229777E-2</c:v>
                </c:pt>
                <c:pt idx="5">
                  <c:v>9.2926045016077166E-2</c:v>
                </c:pt>
                <c:pt idx="6">
                  <c:v>9.2866323907455015E-2</c:v>
                </c:pt>
                <c:pt idx="7">
                  <c:v>9.2096876991714469E-2</c:v>
                </c:pt>
                <c:pt idx="8">
                  <c:v>9.1661362189688095E-2</c:v>
                </c:pt>
                <c:pt idx="9">
                  <c:v>9.1434071222329161E-2</c:v>
                </c:pt>
                <c:pt idx="10">
                  <c:v>8.6494688922610016E-2</c:v>
                </c:pt>
                <c:pt idx="11">
                  <c:v>8.5765874210051163E-2</c:v>
                </c:pt>
                <c:pt idx="12">
                  <c:v>8.4863075534155882E-2</c:v>
                </c:pt>
                <c:pt idx="13">
                  <c:v>8.3939393939393939E-2</c:v>
                </c:pt>
                <c:pt idx="14">
                  <c:v>8.4724799010513302E-2</c:v>
                </c:pt>
              </c:numCache>
            </c:numRef>
          </c:val>
          <c:smooth val="0"/>
        </c:ser>
        <c:dLbls>
          <c:showLegendKey val="0"/>
          <c:showVal val="0"/>
          <c:showCatName val="0"/>
          <c:showSerName val="0"/>
          <c:showPercent val="0"/>
          <c:showBubbleSize val="0"/>
        </c:dLbls>
        <c:marker val="1"/>
        <c:smooth val="0"/>
        <c:axId val="137302400"/>
        <c:axId val="137303936"/>
      </c:lineChart>
      <c:catAx>
        <c:axId val="137302400"/>
        <c:scaling>
          <c:orientation val="minMax"/>
        </c:scaling>
        <c:delete val="0"/>
        <c:axPos val="b"/>
        <c:numFmt formatCode="General" sourceLinked="1"/>
        <c:majorTickMark val="out"/>
        <c:minorTickMark val="none"/>
        <c:tickLblPos val="nextTo"/>
        <c:crossAx val="137303936"/>
        <c:crosses val="autoZero"/>
        <c:auto val="1"/>
        <c:lblAlgn val="ctr"/>
        <c:lblOffset val="100"/>
        <c:noMultiLvlLbl val="0"/>
      </c:catAx>
      <c:valAx>
        <c:axId val="137303936"/>
        <c:scaling>
          <c:orientation val="minMax"/>
        </c:scaling>
        <c:delete val="0"/>
        <c:axPos val="l"/>
        <c:numFmt formatCode="0%" sourceLinked="0"/>
        <c:majorTickMark val="out"/>
        <c:minorTickMark val="none"/>
        <c:tickLblPos val="nextTo"/>
        <c:crossAx val="137302400"/>
        <c:crosses val="autoZero"/>
        <c:crossBetween val="between"/>
      </c:valAx>
    </c:plotArea>
    <c:legend>
      <c:legendPos val="r"/>
      <c:layout>
        <c:manualLayout>
          <c:xMode val="edge"/>
          <c:yMode val="edge"/>
          <c:x val="0.84519121235958339"/>
          <c:y val="0.32428789450846629"/>
          <c:w val="0.14521518377920509"/>
          <c:h val="0.31083797962237403"/>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85000"/>
              </a:schemeClr>
            </a:solidFill>
            <a:ln>
              <a:solidFill>
                <a:sysClr val="windowText" lastClr="000000"/>
              </a:solidFill>
            </a:ln>
          </c:spPr>
          <c:invertIfNegative val="0"/>
          <c:dPt>
            <c:idx val="2"/>
            <c:invertIfNegative val="0"/>
            <c:bubble3D val="0"/>
          </c:dPt>
          <c:dPt>
            <c:idx val="3"/>
            <c:invertIfNegative val="0"/>
            <c:bubble3D val="0"/>
            <c:spPr>
              <a:solidFill>
                <a:srgbClr val="0070C0"/>
              </a:solidFill>
              <a:ln>
                <a:solidFill>
                  <a:sysClr val="windowText" lastClr="000000"/>
                </a:solidFill>
              </a:ln>
            </c:spPr>
          </c:dPt>
          <c:dPt>
            <c:idx val="4"/>
            <c:invertIfNegative val="0"/>
            <c:bubble3D val="0"/>
            <c:spPr>
              <a:solidFill>
                <a:srgbClr val="0070C0"/>
              </a:solidFill>
              <a:ln>
                <a:solidFill>
                  <a:sysClr val="windowText" lastClr="000000"/>
                </a:solidFill>
              </a:ln>
            </c:spPr>
          </c:dPt>
          <c:dPt>
            <c:idx val="5"/>
            <c:invertIfNegative val="0"/>
            <c:bubble3D val="0"/>
            <c:spPr>
              <a:solidFill>
                <a:srgbClr val="0070C0"/>
              </a:solidFill>
              <a:ln>
                <a:solidFill>
                  <a:sysClr val="windowText" lastClr="000000"/>
                </a:solidFill>
              </a:ln>
            </c:spPr>
          </c:dPt>
          <c:dPt>
            <c:idx val="6"/>
            <c:invertIfNegative val="0"/>
            <c:bubble3D val="0"/>
          </c:dPt>
          <c:dLbls>
            <c:dLbl>
              <c:idx val="0"/>
              <c:spPr/>
              <c:txPr>
                <a:bodyPr/>
                <a:lstStyle/>
                <a:p>
                  <a:pPr>
                    <a:defRPr sz="900" b="1">
                      <a:solidFill>
                        <a:schemeClr val="tx2">
                          <a:lumMod val="50000"/>
                        </a:schemeClr>
                      </a:solidFill>
                    </a:defRPr>
                  </a:pPr>
                  <a:endParaRPr lang="pt-BR"/>
                </a:p>
              </c:txPr>
              <c:showLegendKey val="0"/>
              <c:showVal val="1"/>
              <c:showCatName val="0"/>
              <c:showSerName val="0"/>
              <c:showPercent val="0"/>
              <c:showBubbleSize val="0"/>
            </c:dLbl>
            <c:txPr>
              <a:bodyPr/>
              <a:lstStyle/>
              <a:p>
                <a:pPr>
                  <a:defRPr sz="900" b="1"/>
                </a:pPr>
                <a:endParaRPr lang="pt-BR"/>
              </a:p>
            </c:txPr>
            <c:showLegendKey val="0"/>
            <c:showVal val="1"/>
            <c:showCatName val="0"/>
            <c:showSerName val="0"/>
            <c:showPercent val="0"/>
            <c:showBubbleSize val="0"/>
            <c:showLeaderLines val="0"/>
          </c:dLbls>
          <c:cat>
            <c:strRef>
              <c:f>(base_bench!$A$448:$A$450,base_bench!$A$452:$A$455,base_bench!$A$457,base_bench!$A$459:$A$460,base_bench!$A$465:$A$466,base_bench!$A$468,base_bench!$A$470)</c:f>
              <c:strCache>
                <c:ptCount val="14"/>
                <c:pt idx="0">
                  <c:v>BH (suplementar) 2016</c:v>
                </c:pt>
                <c:pt idx="1">
                  <c:v>Contagem 2015</c:v>
                </c:pt>
                <c:pt idx="2">
                  <c:v>São Paulo (local) 2015</c:v>
                </c:pt>
                <c:pt idx="3">
                  <c:v>RMBH metropolitano 2015</c:v>
                </c:pt>
                <c:pt idx="4">
                  <c:v>BH (convencional) 2016</c:v>
                </c:pt>
                <c:pt idx="5">
                  <c:v>BH (convencional) 2006</c:v>
                </c:pt>
                <c:pt idx="6">
                  <c:v>Joinville 2014</c:v>
                </c:pt>
                <c:pt idx="7">
                  <c:v>Curitiba 2015</c:v>
                </c:pt>
                <c:pt idx="8">
                  <c:v>Europa (média)</c:v>
                </c:pt>
                <c:pt idx="9">
                  <c:v>São Paulo (estrutural) 2015</c:v>
                </c:pt>
                <c:pt idx="10">
                  <c:v>Estocolmo (Suécia)</c:v>
                </c:pt>
                <c:pt idx="11">
                  <c:v>Londres (Inglaterra)</c:v>
                </c:pt>
                <c:pt idx="12">
                  <c:v>Paris (França)</c:v>
                </c:pt>
                <c:pt idx="13">
                  <c:v>Viena (Áustria)</c:v>
                </c:pt>
              </c:strCache>
            </c:strRef>
          </c:cat>
          <c:val>
            <c:numRef>
              <c:f>(base_bench!$B$448:$B$450,base_bench!$B$452:$B$455,base_bench!$B$457,base_bench!$B$459:$B$460,base_bench!$B$465:$B$466,base_bench!$B$468,base_bench!$B$470)</c:f>
              <c:numCache>
                <c:formatCode>0%</c:formatCode>
                <c:ptCount val="14"/>
                <c:pt idx="0">
                  <c:v>0</c:v>
                </c:pt>
                <c:pt idx="1">
                  <c:v>0</c:v>
                </c:pt>
                <c:pt idx="2">
                  <c:v>0</c:v>
                </c:pt>
                <c:pt idx="3" formatCode="0.00%">
                  <c:v>3.5286056868790681E-2</c:v>
                </c:pt>
                <c:pt idx="4" formatCode="0.00%">
                  <c:v>3.7275499830565911E-2</c:v>
                </c:pt>
                <c:pt idx="5" formatCode="0.00%">
                  <c:v>5.3881602268699043E-2</c:v>
                </c:pt>
                <c:pt idx="6" formatCode="0.00%">
                  <c:v>9.3406593406593408E-2</c:v>
                </c:pt>
                <c:pt idx="7" formatCode="0.00%">
                  <c:v>0.32456140350877194</c:v>
                </c:pt>
                <c:pt idx="8">
                  <c:v>0.8</c:v>
                </c:pt>
                <c:pt idx="9" formatCode="0.00%">
                  <c:v>0.8345429802676344</c:v>
                </c:pt>
                <c:pt idx="10">
                  <c:v>1</c:v>
                </c:pt>
                <c:pt idx="11">
                  <c:v>1</c:v>
                </c:pt>
                <c:pt idx="12">
                  <c:v>1</c:v>
                </c:pt>
                <c:pt idx="13">
                  <c:v>1</c:v>
                </c:pt>
              </c:numCache>
            </c:numRef>
          </c:val>
        </c:ser>
        <c:dLbls>
          <c:showLegendKey val="0"/>
          <c:showVal val="0"/>
          <c:showCatName val="0"/>
          <c:showSerName val="0"/>
          <c:showPercent val="0"/>
          <c:showBubbleSize val="0"/>
        </c:dLbls>
        <c:gapWidth val="150"/>
        <c:axId val="137341952"/>
        <c:axId val="137343744"/>
      </c:barChart>
      <c:catAx>
        <c:axId val="137341952"/>
        <c:scaling>
          <c:orientation val="minMax"/>
        </c:scaling>
        <c:delete val="0"/>
        <c:axPos val="b"/>
        <c:majorTickMark val="out"/>
        <c:minorTickMark val="none"/>
        <c:tickLblPos val="nextTo"/>
        <c:crossAx val="137343744"/>
        <c:crosses val="autoZero"/>
        <c:auto val="1"/>
        <c:lblAlgn val="ctr"/>
        <c:lblOffset val="100"/>
        <c:noMultiLvlLbl val="0"/>
      </c:catAx>
      <c:valAx>
        <c:axId val="137343744"/>
        <c:scaling>
          <c:orientation val="minMax"/>
          <c:max val="1"/>
        </c:scaling>
        <c:delete val="0"/>
        <c:axPos val="l"/>
        <c:numFmt formatCode="0%" sourceLinked="0"/>
        <c:majorTickMark val="out"/>
        <c:minorTickMark val="none"/>
        <c:tickLblPos val="nextTo"/>
        <c:crossAx val="137341952"/>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AN </c:v>
          </c:tx>
          <c:spPr>
            <a:ln>
              <a:solidFill>
                <a:schemeClr val="tx1">
                  <a:lumMod val="95000"/>
                  <a:lumOff val="5000"/>
                </a:schemeClr>
              </a:solidFill>
              <a:prstDash val="sysDot"/>
            </a:ln>
          </c:spPr>
          <c:marker>
            <c:symbol val="circle"/>
            <c:size val="5"/>
            <c:spPr>
              <a:solidFill>
                <a:srgbClr val="0070C0"/>
              </a:solidFill>
              <a:ln>
                <a:solidFill>
                  <a:schemeClr val="tx1"/>
                </a:solidFill>
              </a:ln>
            </c:spPr>
          </c:marker>
          <c:dLbls>
            <c:numFmt formatCode="0%" sourceLinked="0"/>
            <c:spPr>
              <a:ln>
                <a:solidFill>
                  <a:schemeClr val="tx1"/>
                </a:solidFill>
              </a:ln>
            </c:spPr>
            <c:txPr>
              <a:bodyPr/>
              <a:lstStyle/>
              <a:p>
                <a:pPr>
                  <a:defRPr sz="1000" b="1"/>
                </a:pPr>
                <a:endParaRPr lang="pt-BR"/>
              </a:p>
            </c:txPr>
            <c:dLblPos val="t"/>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para_graficos!$AG$52:$AK$52</c:f>
              <c:numCache>
                <c:formatCode>0.00%</c:formatCode>
                <c:ptCount val="5"/>
                <c:pt idx="0">
                  <c:v>0.4943820224719101</c:v>
                </c:pt>
                <c:pt idx="1">
                  <c:v>0.83750000000000002</c:v>
                </c:pt>
                <c:pt idx="2">
                  <c:v>0.81739130434782614</c:v>
                </c:pt>
                <c:pt idx="3">
                  <c:v>0.75167785234899331</c:v>
                </c:pt>
                <c:pt idx="4">
                  <c:v>0.87577639751552794</c:v>
                </c:pt>
              </c:numCache>
            </c:numRef>
          </c:val>
          <c:smooth val="0"/>
        </c:ser>
        <c:ser>
          <c:idx val="4"/>
          <c:order val="1"/>
          <c:tx>
            <c:v>ANpv</c:v>
          </c:tx>
          <c:marker>
            <c:symbol val="diamond"/>
            <c:size val="5"/>
            <c:spPr>
              <a:solidFill>
                <a:schemeClr val="bg1"/>
              </a:solidFill>
              <a:ln>
                <a:solidFill>
                  <a:schemeClr val="tx1"/>
                </a:solidFill>
              </a:ln>
            </c:spPr>
          </c:marker>
          <c:dLbls>
            <c:numFmt formatCode="0%" sourceLinked="0"/>
            <c:txPr>
              <a:bodyPr/>
              <a:lstStyle/>
              <a:p>
                <a:pPr>
                  <a:defRPr sz="1000" b="1"/>
                </a:pPr>
                <a:endParaRPr lang="pt-BR"/>
              </a:p>
            </c:txPr>
            <c:dLblPos val="b"/>
            <c:showLegendKey val="0"/>
            <c:showVal val="1"/>
            <c:showCatName val="0"/>
            <c:showSerName val="0"/>
            <c:showPercent val="0"/>
            <c:showBubbleSize val="0"/>
            <c:showLeaderLines val="0"/>
          </c:dLbls>
          <c:cat>
            <c:numRef>
              <c:f>para_graficos!$AG$3:$AK$3</c:f>
              <c:numCache>
                <c:formatCode>General</c:formatCode>
                <c:ptCount val="5"/>
                <c:pt idx="0">
                  <c:v>2011</c:v>
                </c:pt>
                <c:pt idx="1">
                  <c:v>2012</c:v>
                </c:pt>
                <c:pt idx="2">
                  <c:v>2013</c:v>
                </c:pt>
                <c:pt idx="3">
                  <c:v>2014</c:v>
                </c:pt>
                <c:pt idx="4">
                  <c:v>2015</c:v>
                </c:pt>
              </c:numCache>
            </c:numRef>
          </c:cat>
          <c:val>
            <c:numRef>
              <c:f>para_graficos!$AG$76:$AK$76</c:f>
              <c:numCache>
                <c:formatCode>General</c:formatCode>
                <c:ptCount val="5"/>
                <c:pt idx="2" formatCode="0.00%">
                  <c:v>0.2</c:v>
                </c:pt>
                <c:pt idx="3" formatCode="0.00%">
                  <c:v>0.18181818181818182</c:v>
                </c:pt>
                <c:pt idx="4" formatCode="0.00%">
                  <c:v>0.41666666666666669</c:v>
                </c:pt>
              </c:numCache>
            </c:numRef>
          </c:val>
          <c:smooth val="0"/>
        </c:ser>
        <c:dLbls>
          <c:showLegendKey val="0"/>
          <c:showVal val="0"/>
          <c:showCatName val="0"/>
          <c:showSerName val="0"/>
          <c:showPercent val="0"/>
          <c:showBubbleSize val="0"/>
        </c:dLbls>
        <c:marker val="1"/>
        <c:smooth val="0"/>
        <c:axId val="111758336"/>
        <c:axId val="111764224"/>
      </c:lineChart>
      <c:catAx>
        <c:axId val="111758336"/>
        <c:scaling>
          <c:orientation val="minMax"/>
        </c:scaling>
        <c:delete val="0"/>
        <c:axPos val="b"/>
        <c:numFmt formatCode="General" sourceLinked="1"/>
        <c:majorTickMark val="out"/>
        <c:minorTickMark val="none"/>
        <c:tickLblPos val="nextTo"/>
        <c:crossAx val="111764224"/>
        <c:crosses val="autoZero"/>
        <c:auto val="1"/>
        <c:lblAlgn val="ctr"/>
        <c:lblOffset val="100"/>
        <c:noMultiLvlLbl val="0"/>
      </c:catAx>
      <c:valAx>
        <c:axId val="111764224"/>
        <c:scaling>
          <c:orientation val="minMax"/>
        </c:scaling>
        <c:delete val="0"/>
        <c:axPos val="l"/>
        <c:numFmt formatCode="0%" sourceLinked="0"/>
        <c:majorTickMark val="out"/>
        <c:minorTickMark val="none"/>
        <c:tickLblPos val="nextTo"/>
        <c:crossAx val="111758336"/>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ysClr val="window" lastClr="FFFFFF"/>
            </a:solidFill>
            <a:ln>
              <a:solidFill>
                <a:sysClr val="windowText" lastClr="000000"/>
              </a:solidFill>
            </a:ln>
          </c:spPr>
          <c:invertIfNegative val="0"/>
          <c:dPt>
            <c:idx val="0"/>
            <c:invertIfNegative val="0"/>
            <c:bubble3D val="0"/>
          </c:dPt>
          <c:dPt>
            <c:idx val="4"/>
            <c:invertIfNegative val="0"/>
            <c:bubble3D val="0"/>
            <c:spPr>
              <a:solidFill>
                <a:srgbClr val="0070C0"/>
              </a:solidFill>
              <a:ln>
                <a:solidFill>
                  <a:sysClr val="windowText" lastClr="000000"/>
                </a:solidFill>
              </a:ln>
            </c:spPr>
          </c:dPt>
          <c:dLbls>
            <c:txPr>
              <a:bodyPr/>
              <a:lstStyle/>
              <a:p>
                <a:pPr>
                  <a:defRPr sz="900" b="1"/>
                </a:pPr>
                <a:endParaRPr lang="pt-BR"/>
              </a:p>
            </c:txPr>
            <c:showLegendKey val="0"/>
            <c:showVal val="1"/>
            <c:showCatName val="0"/>
            <c:showSerName val="0"/>
            <c:showPercent val="0"/>
            <c:showBubbleSize val="0"/>
            <c:showLeaderLines val="0"/>
          </c:dLbls>
          <c:cat>
            <c:strRef>
              <c:f>(base_bench!$A$506:$A$509,base_bench!$A$510:$A$531)</c:f>
              <c:strCache>
                <c:ptCount val="26"/>
                <c:pt idx="0">
                  <c:v>Brasília</c:v>
                </c:pt>
                <c:pt idx="1">
                  <c:v>Los Angeles</c:v>
                </c:pt>
                <c:pt idx="2">
                  <c:v>São Paulo</c:v>
                </c:pt>
                <c:pt idx="3">
                  <c:v>Jacarta</c:v>
                </c:pt>
                <c:pt idx="4">
                  <c:v>Belo Horizonte</c:v>
                </c:pt>
                <c:pt idx="5">
                  <c:v>Guangzhou</c:v>
                </c:pt>
                <c:pt idx="6">
                  <c:v>Chicago</c:v>
                </c:pt>
                <c:pt idx="7">
                  <c:v>Vancouver</c:v>
                </c:pt>
                <c:pt idx="8">
                  <c:v>Quito</c:v>
                </c:pt>
                <c:pt idx="9">
                  <c:v>San Francisco</c:v>
                </c:pt>
                <c:pt idx="10">
                  <c:v>Joanesburgo</c:v>
                </c:pt>
                <c:pt idx="11">
                  <c:v>Manila</c:v>
                </c:pt>
                <c:pt idx="12">
                  <c:v>Rio de Janeiro</c:v>
                </c:pt>
                <c:pt idx="13">
                  <c:v>México, Cidade do</c:v>
                </c:pt>
                <c:pt idx="14">
                  <c:v>Chennai</c:v>
                </c:pt>
                <c:pt idx="15">
                  <c:v>Washington D.C.</c:v>
                </c:pt>
                <c:pt idx="16">
                  <c:v>Pequim</c:v>
                </c:pt>
                <c:pt idx="17">
                  <c:v>Boston</c:v>
                </c:pt>
                <c:pt idx="18">
                  <c:v>Buenos Aires</c:v>
                </c:pt>
                <c:pt idx="19">
                  <c:v>Nova York</c:v>
                </c:pt>
                <c:pt idx="20">
                  <c:v>Seul</c:v>
                </c:pt>
                <c:pt idx="21">
                  <c:v>Roterdan</c:v>
                </c:pt>
                <c:pt idx="22">
                  <c:v>Londres</c:v>
                </c:pt>
                <c:pt idx="23">
                  <c:v>Madri Espanha)</c:v>
                </c:pt>
                <c:pt idx="24">
                  <c:v>Barcelona (Espanha)</c:v>
                </c:pt>
                <c:pt idx="25">
                  <c:v>Paris (França)</c:v>
                </c:pt>
              </c:strCache>
            </c:strRef>
          </c:cat>
          <c:val>
            <c:numRef>
              <c:f>(base_bench!$B$506:$B$509,base_bench!$B$510:$B$531)</c:f>
              <c:numCache>
                <c:formatCode>0%</c:formatCode>
                <c:ptCount val="26"/>
                <c:pt idx="0">
                  <c:v>0.17</c:v>
                </c:pt>
                <c:pt idx="1">
                  <c:v>0.24</c:v>
                </c:pt>
                <c:pt idx="2">
                  <c:v>0.25</c:v>
                </c:pt>
                <c:pt idx="3">
                  <c:v>0.25</c:v>
                </c:pt>
                <c:pt idx="4">
                  <c:v>0.28000000000000003</c:v>
                </c:pt>
                <c:pt idx="5">
                  <c:v>0.39</c:v>
                </c:pt>
                <c:pt idx="6">
                  <c:v>0.4</c:v>
                </c:pt>
                <c:pt idx="7">
                  <c:v>0.4</c:v>
                </c:pt>
                <c:pt idx="8">
                  <c:v>0.41</c:v>
                </c:pt>
                <c:pt idx="9">
                  <c:v>0.41</c:v>
                </c:pt>
                <c:pt idx="10">
                  <c:v>0.44</c:v>
                </c:pt>
                <c:pt idx="11">
                  <c:v>0.46</c:v>
                </c:pt>
                <c:pt idx="12">
                  <c:v>0.47</c:v>
                </c:pt>
                <c:pt idx="13">
                  <c:v>0.47</c:v>
                </c:pt>
                <c:pt idx="14">
                  <c:v>0.55000000000000004</c:v>
                </c:pt>
                <c:pt idx="15">
                  <c:v>0.56999999999999995</c:v>
                </c:pt>
                <c:pt idx="16">
                  <c:v>0.6</c:v>
                </c:pt>
                <c:pt idx="17">
                  <c:v>0.63</c:v>
                </c:pt>
                <c:pt idx="18">
                  <c:v>0.65</c:v>
                </c:pt>
                <c:pt idx="19">
                  <c:v>0.77</c:v>
                </c:pt>
                <c:pt idx="20">
                  <c:v>0.83</c:v>
                </c:pt>
                <c:pt idx="21">
                  <c:v>0.84</c:v>
                </c:pt>
                <c:pt idx="22">
                  <c:v>0.91</c:v>
                </c:pt>
                <c:pt idx="23">
                  <c:v>0.92</c:v>
                </c:pt>
                <c:pt idx="24">
                  <c:v>0.99</c:v>
                </c:pt>
                <c:pt idx="25">
                  <c:v>1</c:v>
                </c:pt>
              </c:numCache>
            </c:numRef>
          </c:val>
        </c:ser>
        <c:dLbls>
          <c:showLegendKey val="0"/>
          <c:showVal val="0"/>
          <c:showCatName val="0"/>
          <c:showSerName val="0"/>
          <c:showPercent val="0"/>
          <c:showBubbleSize val="0"/>
        </c:dLbls>
        <c:gapWidth val="150"/>
        <c:axId val="137036544"/>
        <c:axId val="137038080"/>
      </c:barChart>
      <c:catAx>
        <c:axId val="137036544"/>
        <c:scaling>
          <c:orientation val="minMax"/>
        </c:scaling>
        <c:delete val="0"/>
        <c:axPos val="b"/>
        <c:majorTickMark val="out"/>
        <c:minorTickMark val="none"/>
        <c:tickLblPos val="nextTo"/>
        <c:crossAx val="137038080"/>
        <c:crosses val="autoZero"/>
        <c:auto val="1"/>
        <c:lblAlgn val="ctr"/>
        <c:lblOffset val="100"/>
        <c:noMultiLvlLbl val="0"/>
      </c:catAx>
      <c:valAx>
        <c:axId val="137038080"/>
        <c:scaling>
          <c:orientation val="minMax"/>
        </c:scaling>
        <c:delete val="0"/>
        <c:axPos val="l"/>
        <c:numFmt formatCode="0%" sourceLinked="1"/>
        <c:majorTickMark val="out"/>
        <c:minorTickMark val="none"/>
        <c:tickLblPos val="nextTo"/>
        <c:crossAx val="137036544"/>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ysClr val="window" lastClr="FFFFFF"/>
            </a:solidFill>
            <a:ln>
              <a:solidFill>
                <a:sysClr val="windowText" lastClr="000000"/>
              </a:solidFill>
            </a:ln>
          </c:spPr>
          <c:invertIfNegative val="0"/>
          <c:dPt>
            <c:idx val="0"/>
            <c:invertIfNegative val="0"/>
            <c:bubble3D val="0"/>
          </c:dPt>
          <c:dPt>
            <c:idx val="2"/>
            <c:invertIfNegative val="0"/>
            <c:bubble3D val="0"/>
            <c:spPr>
              <a:solidFill>
                <a:srgbClr val="0070C0"/>
              </a:solidFill>
              <a:ln>
                <a:solidFill>
                  <a:sysClr val="windowText" lastClr="000000"/>
                </a:solidFill>
              </a:ln>
            </c:spPr>
          </c:dPt>
          <c:dLbls>
            <c:txPr>
              <a:bodyPr/>
              <a:lstStyle/>
              <a:p>
                <a:pPr>
                  <a:defRPr b="1"/>
                </a:pPr>
                <a:endParaRPr lang="pt-BR"/>
              </a:p>
            </c:txPr>
            <c:showLegendKey val="0"/>
            <c:showVal val="1"/>
            <c:showCatName val="0"/>
            <c:showSerName val="0"/>
            <c:showPercent val="0"/>
            <c:showBubbleSize val="0"/>
            <c:showLeaderLines val="0"/>
          </c:dLbls>
          <c:cat>
            <c:strRef>
              <c:f>(base_bench!$A$506,base_bench!$A$508,base_bench!$A$510,base_bench!$A$518,base_bench!$A$529:$A$531)</c:f>
              <c:strCache>
                <c:ptCount val="7"/>
                <c:pt idx="0">
                  <c:v>Brasília</c:v>
                </c:pt>
                <c:pt idx="1">
                  <c:v>São Paulo</c:v>
                </c:pt>
                <c:pt idx="2">
                  <c:v>Belo Horizonte</c:v>
                </c:pt>
                <c:pt idx="3">
                  <c:v>Rio de Janeiro</c:v>
                </c:pt>
                <c:pt idx="4">
                  <c:v>Madri Espanha)</c:v>
                </c:pt>
                <c:pt idx="5">
                  <c:v>Barcelona (Espanha)</c:v>
                </c:pt>
                <c:pt idx="6">
                  <c:v>Paris (França)</c:v>
                </c:pt>
              </c:strCache>
            </c:strRef>
          </c:cat>
          <c:val>
            <c:numRef>
              <c:f>(base_bench!$B$506,base_bench!$B$508,base_bench!$B$510,base_bench!$B$518,base_bench!$B$529:$B$531)</c:f>
              <c:numCache>
                <c:formatCode>0%</c:formatCode>
                <c:ptCount val="7"/>
                <c:pt idx="0">
                  <c:v>0.17</c:v>
                </c:pt>
                <c:pt idx="1">
                  <c:v>0.25</c:v>
                </c:pt>
                <c:pt idx="2">
                  <c:v>0.28000000000000003</c:v>
                </c:pt>
                <c:pt idx="3">
                  <c:v>0.47</c:v>
                </c:pt>
                <c:pt idx="4">
                  <c:v>0.92</c:v>
                </c:pt>
                <c:pt idx="5">
                  <c:v>0.99</c:v>
                </c:pt>
                <c:pt idx="6">
                  <c:v>1</c:v>
                </c:pt>
              </c:numCache>
            </c:numRef>
          </c:val>
        </c:ser>
        <c:dLbls>
          <c:showLegendKey val="0"/>
          <c:showVal val="0"/>
          <c:showCatName val="0"/>
          <c:showSerName val="0"/>
          <c:showPercent val="0"/>
          <c:showBubbleSize val="0"/>
        </c:dLbls>
        <c:gapWidth val="150"/>
        <c:axId val="137099136"/>
        <c:axId val="137100672"/>
      </c:barChart>
      <c:catAx>
        <c:axId val="137099136"/>
        <c:scaling>
          <c:orientation val="minMax"/>
        </c:scaling>
        <c:delete val="0"/>
        <c:axPos val="b"/>
        <c:majorTickMark val="out"/>
        <c:minorTickMark val="none"/>
        <c:tickLblPos val="nextTo"/>
        <c:crossAx val="137100672"/>
        <c:crosses val="autoZero"/>
        <c:auto val="1"/>
        <c:lblAlgn val="ctr"/>
        <c:lblOffset val="100"/>
        <c:noMultiLvlLbl val="0"/>
      </c:catAx>
      <c:valAx>
        <c:axId val="137100672"/>
        <c:scaling>
          <c:orientation val="minMax"/>
        </c:scaling>
        <c:delete val="0"/>
        <c:axPos val="l"/>
        <c:numFmt formatCode="0%" sourceLinked="1"/>
        <c:majorTickMark val="out"/>
        <c:minorTickMark val="none"/>
        <c:tickLblPos val="nextTo"/>
        <c:crossAx val="137099136"/>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69596593666353E-2"/>
          <c:y val="3.2093362509117436E-2"/>
          <c:w val="0.87141820990070074"/>
          <c:h val="0.70479114618331351"/>
        </c:manualLayout>
      </c:layout>
      <c:barChart>
        <c:barDir val="col"/>
        <c:grouping val="clustered"/>
        <c:varyColors val="0"/>
        <c:ser>
          <c:idx val="0"/>
          <c:order val="0"/>
          <c:spPr>
            <a:solidFill>
              <a:schemeClr val="bg1">
                <a:lumMod val="85000"/>
              </a:schemeClr>
            </a:solidFill>
            <a:ln>
              <a:solidFill>
                <a:schemeClr val="tx1">
                  <a:lumMod val="85000"/>
                  <a:lumOff val="15000"/>
                </a:schemeClr>
              </a:solidFill>
            </a:ln>
          </c:spPr>
          <c:invertIfNegative val="0"/>
          <c:dLbls>
            <c:dLbl>
              <c:idx val="0"/>
              <c:tx>
                <c:rich>
                  <a:bodyPr/>
                  <a:lstStyle/>
                  <a:p>
                    <a:r>
                      <a:rPr lang="en-US" sz="800" b="1" i="0" baseline="0">
                        <a:solidFill>
                          <a:sysClr val="windowText" lastClr="000000"/>
                        </a:solidFill>
                        <a:effectLst/>
                      </a:rPr>
                      <a:t>Belo Horizonte</a:t>
                    </a:r>
                    <a:endParaRPr lang="pt-BR" sz="800">
                      <a:solidFill>
                        <a:sysClr val="windowText" lastClr="000000"/>
                      </a:solidFill>
                      <a:effectLst/>
                    </a:endParaRPr>
                  </a:p>
                  <a:p>
                    <a:r>
                      <a:rPr lang="en-US" sz="900">
                        <a:solidFill>
                          <a:sysClr val="windowText" lastClr="000000"/>
                        </a:solidFill>
                      </a:rPr>
                      <a:t>1</a:t>
                    </a:r>
                    <a:endParaRPr lang="en-US" sz="900"/>
                  </a:p>
                </c:rich>
              </c:tx>
              <c:dLblPos val="outEnd"/>
              <c:showLegendKey val="0"/>
              <c:showVal val="1"/>
              <c:showCatName val="0"/>
              <c:showSerName val="0"/>
              <c:showPercent val="0"/>
              <c:showBubbleSize val="0"/>
            </c:dLbl>
            <c:dLbl>
              <c:idx val="1"/>
              <c:tx>
                <c:rich>
                  <a:bodyPr/>
                  <a:lstStyle/>
                  <a:p>
                    <a:r>
                      <a:rPr lang="en-US" sz="800">
                        <a:solidFill>
                          <a:sysClr val="windowText" lastClr="000000"/>
                        </a:solidFill>
                      </a:rPr>
                      <a:t>RMBH</a:t>
                    </a:r>
                  </a:p>
                  <a:p>
                    <a:r>
                      <a:rPr lang="en-US" sz="900">
                        <a:solidFill>
                          <a:sysClr val="windowText" lastClr="000000"/>
                        </a:solidFill>
                      </a:rPr>
                      <a:t>2</a:t>
                    </a:r>
                  </a:p>
                </c:rich>
              </c:tx>
              <c:dLblPos val="outEnd"/>
              <c:showLegendKey val="0"/>
              <c:showVal val="1"/>
              <c:showCatName val="0"/>
              <c:showSerName val="0"/>
              <c:showPercent val="0"/>
              <c:showBubbleSize val="0"/>
            </c:dLbl>
            <c:dLbl>
              <c:idx val="2"/>
              <c:tx>
                <c:rich>
                  <a:bodyPr/>
                  <a:lstStyle/>
                  <a:p>
                    <a:r>
                      <a:rPr lang="en-US" sz="800">
                        <a:solidFill>
                          <a:sysClr val="windowText" lastClr="000000"/>
                        </a:solidFill>
                      </a:rPr>
                      <a:t>Belo Horizonte</a:t>
                    </a:r>
                  </a:p>
                  <a:p>
                    <a:r>
                      <a:rPr lang="en-US" sz="900">
                        <a:solidFill>
                          <a:sysClr val="windowText" lastClr="000000"/>
                        </a:solidFill>
                      </a:rPr>
                      <a:t>3</a:t>
                    </a:r>
                  </a:p>
                </c:rich>
              </c:tx>
              <c:dLblPos val="outEnd"/>
              <c:showLegendKey val="0"/>
              <c:showVal val="1"/>
              <c:showCatName val="0"/>
              <c:showSerName val="0"/>
              <c:showPercent val="0"/>
              <c:showBubbleSize val="0"/>
            </c:dLbl>
            <c:dLbl>
              <c:idx val="3"/>
              <c:tx>
                <c:rich>
                  <a:bodyPr/>
                  <a:lstStyle/>
                  <a:p>
                    <a:r>
                      <a:rPr lang="en-US" sz="800">
                        <a:solidFill>
                          <a:sysClr val="windowText" lastClr="000000"/>
                        </a:solidFill>
                      </a:rPr>
                      <a:t>RMBH metropolitano</a:t>
                    </a:r>
                  </a:p>
                  <a:p>
                    <a:r>
                      <a:rPr lang="en-US" sz="900">
                        <a:solidFill>
                          <a:sysClr val="windowText" lastClr="000000"/>
                        </a:solidFill>
                      </a:rPr>
                      <a:t>4</a:t>
                    </a:r>
                  </a:p>
                </c:rich>
              </c:tx>
              <c:dLblPos val="outEnd"/>
              <c:showLegendKey val="0"/>
              <c:showVal val="1"/>
              <c:showCatName val="0"/>
              <c:showSerName val="0"/>
              <c:showPercent val="0"/>
              <c:showBubbleSize val="0"/>
            </c:dLbl>
            <c:dLbl>
              <c:idx val="4"/>
              <c:tx>
                <c:rich>
                  <a:bodyPr/>
                  <a:lstStyle/>
                  <a:p>
                    <a:r>
                      <a:rPr lang="en-US" sz="800">
                        <a:solidFill>
                          <a:sysClr val="windowText" lastClr="000000"/>
                        </a:solidFill>
                      </a:rPr>
                      <a:t>Belo Horizonte</a:t>
                    </a:r>
                  </a:p>
                  <a:p>
                    <a:r>
                      <a:rPr lang="en-US" sz="900">
                        <a:solidFill>
                          <a:sysClr val="windowText" lastClr="000000"/>
                        </a:solidFill>
                      </a:rPr>
                      <a:t>5</a:t>
                    </a:r>
                  </a:p>
                </c:rich>
              </c:tx>
              <c:dLblPos val="outEnd"/>
              <c:showLegendKey val="0"/>
              <c:showVal val="1"/>
              <c:showCatName val="0"/>
              <c:showSerName val="0"/>
              <c:showPercent val="0"/>
              <c:showBubbleSize val="0"/>
            </c:dLbl>
            <c:dLbl>
              <c:idx val="5"/>
              <c:tx>
                <c:rich>
                  <a:bodyPr/>
                  <a:lstStyle/>
                  <a:p>
                    <a:r>
                      <a:rPr lang="en-US" sz="800">
                        <a:solidFill>
                          <a:sysClr val="windowText" lastClr="000000"/>
                        </a:solidFill>
                      </a:rPr>
                      <a:t>Belo Horizonte</a:t>
                    </a:r>
                  </a:p>
                  <a:p>
                    <a:r>
                      <a:rPr lang="en-US" sz="900">
                        <a:solidFill>
                          <a:sysClr val="windowText" lastClr="000000"/>
                        </a:solidFill>
                      </a:rPr>
                      <a:t>6</a:t>
                    </a:r>
                  </a:p>
                </c:rich>
              </c:tx>
              <c:dLblPos val="outEnd"/>
              <c:showLegendKey val="0"/>
              <c:showVal val="1"/>
              <c:showCatName val="0"/>
              <c:showSerName val="0"/>
              <c:showPercent val="0"/>
              <c:showBubbleSize val="0"/>
            </c:dLbl>
            <c:dLbl>
              <c:idx val="6"/>
              <c:tx>
                <c:rich>
                  <a:bodyPr/>
                  <a:lstStyle/>
                  <a:p>
                    <a:r>
                      <a:rPr lang="en-US" sz="900">
                        <a:solidFill>
                          <a:sysClr val="windowText" lastClr="000000"/>
                        </a:solidFill>
                      </a:rPr>
                      <a:t>7</a:t>
                    </a:r>
                  </a:p>
                </c:rich>
              </c:tx>
              <c:dLblPos val="outEnd"/>
              <c:showLegendKey val="0"/>
              <c:showVal val="1"/>
              <c:showCatName val="0"/>
              <c:showSerName val="0"/>
              <c:showPercent val="0"/>
              <c:showBubbleSize val="0"/>
            </c:dLbl>
            <c:dLbl>
              <c:idx val="7"/>
              <c:tx>
                <c:rich>
                  <a:bodyPr/>
                  <a:lstStyle/>
                  <a:p>
                    <a:r>
                      <a:rPr lang="en-US" sz="800" baseline="0">
                        <a:solidFill>
                          <a:sysClr val="windowText" lastClr="000000"/>
                        </a:solidFill>
                      </a:rPr>
                      <a:t>Belo Horizonte</a:t>
                    </a:r>
                  </a:p>
                  <a:p>
                    <a:r>
                      <a:rPr lang="en-US" sz="900" baseline="0">
                        <a:solidFill>
                          <a:sysClr val="windowText" lastClr="000000"/>
                        </a:solidFill>
                      </a:rPr>
                      <a:t>8</a:t>
                    </a:r>
                    <a:endParaRPr lang="en-US" sz="900">
                      <a:solidFill>
                        <a:sysClr val="windowText" lastClr="000000"/>
                      </a:solidFill>
                    </a:endParaRPr>
                  </a:p>
                </c:rich>
              </c:tx>
              <c:dLblPos val="outEnd"/>
              <c:showLegendKey val="0"/>
              <c:showVal val="1"/>
              <c:showCatName val="0"/>
              <c:showSerName val="0"/>
              <c:showPercent val="0"/>
              <c:showBubbleSize val="0"/>
            </c:dLbl>
            <c:dLbl>
              <c:idx val="8"/>
              <c:tx>
                <c:rich>
                  <a:bodyPr/>
                  <a:lstStyle/>
                  <a:p>
                    <a:r>
                      <a:rPr lang="en-US" sz="800">
                        <a:solidFill>
                          <a:sysClr val="windowText" lastClr="000000"/>
                        </a:solidFill>
                      </a:rPr>
                      <a:t>Nova</a:t>
                    </a:r>
                    <a:r>
                      <a:rPr lang="en-US" sz="800" baseline="0">
                        <a:solidFill>
                          <a:sysClr val="windowText" lastClr="000000"/>
                        </a:solidFill>
                      </a:rPr>
                      <a:t> York</a:t>
                    </a:r>
                    <a:endParaRPr lang="en-US" sz="800">
                      <a:solidFill>
                        <a:sysClr val="windowText" lastClr="000000"/>
                      </a:solidFill>
                    </a:endParaRPr>
                  </a:p>
                  <a:p>
                    <a:r>
                      <a:rPr lang="en-US" sz="900">
                        <a:solidFill>
                          <a:sysClr val="windowText" lastClr="000000"/>
                        </a:solidFill>
                      </a:rPr>
                      <a:t>9</a:t>
                    </a:r>
                  </a:p>
                </c:rich>
              </c:tx>
              <c:dLblPos val="outEnd"/>
              <c:showLegendKey val="0"/>
              <c:showVal val="1"/>
              <c:showCatName val="0"/>
              <c:showSerName val="0"/>
              <c:showPercent val="0"/>
              <c:showBubbleSize val="0"/>
            </c:dLbl>
            <c:dLbl>
              <c:idx val="9"/>
              <c:tx>
                <c:rich>
                  <a:bodyPr/>
                  <a:lstStyle/>
                  <a:p>
                    <a:r>
                      <a:rPr lang="en-US" sz="800">
                        <a:solidFill>
                          <a:sysClr val="windowText" lastClr="000000"/>
                        </a:solidFill>
                      </a:rPr>
                      <a:t>Curitiba</a:t>
                    </a:r>
                  </a:p>
                  <a:p>
                    <a:r>
                      <a:rPr lang="en-US" sz="900">
                        <a:solidFill>
                          <a:sysClr val="windowText" lastClr="000000"/>
                        </a:solidFill>
                      </a:rPr>
                      <a:t>10</a:t>
                    </a:r>
                  </a:p>
                </c:rich>
              </c:tx>
              <c:dLblPos val="outEnd"/>
              <c:showLegendKey val="0"/>
              <c:showVal val="1"/>
              <c:showCatName val="0"/>
              <c:showSerName val="0"/>
              <c:showPercent val="0"/>
              <c:showBubbleSize val="0"/>
            </c:dLbl>
            <c:txPr>
              <a:bodyPr/>
              <a:lstStyle/>
              <a:p>
                <a:pPr>
                  <a:defRPr sz="800" b="1">
                    <a:solidFill>
                      <a:sysClr val="windowText" lastClr="000000"/>
                    </a:solidFill>
                  </a:defRPr>
                </a:pPr>
                <a:endParaRPr lang="pt-BR"/>
              </a:p>
            </c:txPr>
            <c:dLblPos val="outEnd"/>
            <c:showLegendKey val="0"/>
            <c:showVal val="1"/>
            <c:showCatName val="0"/>
            <c:showSerName val="0"/>
            <c:showPercent val="0"/>
            <c:showBubbleSize val="0"/>
            <c:showLeaderLines val="0"/>
          </c:dLbls>
          <c:cat>
            <c:strRef>
              <c:f>para_graficos!$BE$361:$BE$370</c:f>
              <c:strCache>
                <c:ptCount val="10"/>
                <c:pt idx="0">
                  <c:v>não acessível</c:v>
                </c:pt>
                <c:pt idx="1">
                  <c:v>elevador exclusivo</c:v>
                </c:pt>
                <c:pt idx="2">
                  <c:v>elevador não exclusivo</c:v>
                </c:pt>
                <c:pt idx="3">
                  <c:v>BRT misto c/elevador exclusivo</c:v>
                </c:pt>
                <c:pt idx="4">
                  <c:v>BRT misto c/elevador não exclusivo</c:v>
                </c:pt>
                <c:pt idx="5">
                  <c:v>em nível parcial s/rampa</c:v>
                </c:pt>
                <c:pt idx="6">
                  <c:v>em nível total s/rampa</c:v>
                </c:pt>
                <c:pt idx="7">
                  <c:v>em nível c/ uma rampa manual</c:v>
                </c:pt>
                <c:pt idx="8">
                  <c:v>em nível c/uma rampa automática</c:v>
                </c:pt>
                <c:pt idx="9">
                  <c:v>desenho universal</c:v>
                </c:pt>
              </c:strCache>
            </c:strRef>
          </c:cat>
          <c:val>
            <c:numRef>
              <c:f>para_graficos!$BF$361:$BF$370</c:f>
              <c:numCache>
                <c:formatCode>0</c:formatCode>
                <c:ptCount val="10"/>
                <c:pt idx="0">
                  <c:v>1</c:v>
                </c:pt>
                <c:pt idx="1">
                  <c:v>2</c:v>
                </c:pt>
                <c:pt idx="2">
                  <c:v>3</c:v>
                </c:pt>
                <c:pt idx="3">
                  <c:v>4</c:v>
                </c:pt>
                <c:pt idx="4">
                  <c:v>5</c:v>
                </c:pt>
                <c:pt idx="5">
                  <c:v>6</c:v>
                </c:pt>
                <c:pt idx="6">
                  <c:v>7</c:v>
                </c:pt>
                <c:pt idx="7">
                  <c:v>8</c:v>
                </c:pt>
                <c:pt idx="8">
                  <c:v>9</c:v>
                </c:pt>
                <c:pt idx="9">
                  <c:v>10</c:v>
                </c:pt>
              </c:numCache>
            </c:numRef>
          </c:val>
        </c:ser>
        <c:dLbls>
          <c:showLegendKey val="0"/>
          <c:showVal val="0"/>
          <c:showCatName val="0"/>
          <c:showSerName val="0"/>
          <c:showPercent val="0"/>
          <c:showBubbleSize val="0"/>
        </c:dLbls>
        <c:gapWidth val="150"/>
        <c:axId val="137190400"/>
        <c:axId val="137192192"/>
      </c:barChart>
      <c:catAx>
        <c:axId val="137190400"/>
        <c:scaling>
          <c:orientation val="minMax"/>
        </c:scaling>
        <c:delete val="0"/>
        <c:axPos val="b"/>
        <c:numFmt formatCode="General" sourceLinked="1"/>
        <c:majorTickMark val="out"/>
        <c:minorTickMark val="none"/>
        <c:tickLblPos val="nextTo"/>
        <c:txPr>
          <a:bodyPr rot="-1260000" vert="horz"/>
          <a:lstStyle/>
          <a:p>
            <a:pPr>
              <a:defRPr sz="1000" b="0"/>
            </a:pPr>
            <a:endParaRPr lang="pt-BR"/>
          </a:p>
        </c:txPr>
        <c:crossAx val="137192192"/>
        <c:crosses val="autoZero"/>
        <c:auto val="1"/>
        <c:lblAlgn val="ctr"/>
        <c:lblOffset val="100"/>
        <c:noMultiLvlLbl val="0"/>
      </c:catAx>
      <c:valAx>
        <c:axId val="137192192"/>
        <c:scaling>
          <c:orientation val="minMax"/>
          <c:max val="12"/>
        </c:scaling>
        <c:delete val="1"/>
        <c:axPos val="l"/>
        <c:numFmt formatCode="#,##0.00" sourceLinked="0"/>
        <c:majorTickMark val="out"/>
        <c:minorTickMark val="none"/>
        <c:tickLblPos val="nextTo"/>
        <c:crossAx val="137190400"/>
        <c:crosses val="autoZero"/>
        <c:crossBetween val="between"/>
      </c:valAx>
    </c:plotArea>
    <c:plotVisOnly val="1"/>
    <c:dispBlanksAs val="gap"/>
    <c:showDLblsOverMax val="0"/>
  </c:chart>
  <c:txPr>
    <a:bodyPr/>
    <a:lstStyle/>
    <a:p>
      <a:pPr>
        <a:defRPr sz="1000">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95000"/>
              </a:schemeClr>
            </a:solidFill>
            <a:ln>
              <a:solidFill>
                <a:schemeClr val="tx1"/>
              </a:solidFill>
            </a:ln>
          </c:spPr>
          <c:invertIfNegative val="0"/>
          <c:dPt>
            <c:idx val="7"/>
            <c:invertIfNegative val="0"/>
            <c:bubble3D val="0"/>
          </c:dPt>
          <c:dPt>
            <c:idx val="10"/>
            <c:invertIfNegative val="0"/>
            <c:bubble3D val="0"/>
            <c:spPr>
              <a:solidFill>
                <a:schemeClr val="accent1"/>
              </a:solidFill>
              <a:ln>
                <a:solidFill>
                  <a:schemeClr val="tx1"/>
                </a:solidFill>
              </a:ln>
            </c:spPr>
          </c:dPt>
          <c:dPt>
            <c:idx val="12"/>
            <c:invertIfNegative val="0"/>
            <c:bubble3D val="0"/>
            <c:spPr>
              <a:solidFill>
                <a:schemeClr val="accent1"/>
              </a:solidFill>
              <a:ln>
                <a:solidFill>
                  <a:schemeClr val="tx1"/>
                </a:solidFill>
              </a:ln>
            </c:spPr>
          </c:dPt>
          <c:dLbls>
            <c:dLbl>
              <c:idx val="0"/>
              <c:layout>
                <c:manualLayout>
                  <c:x val="1.2352940604310301E-2"/>
                  <c:y val="-2.5225225225225224E-2"/>
                </c:manualLayout>
              </c:layout>
              <c:showLegendKey val="0"/>
              <c:showVal val="1"/>
              <c:showCatName val="0"/>
              <c:showSerName val="0"/>
              <c:showPercent val="0"/>
              <c:showBubbleSize val="0"/>
            </c:dLbl>
            <c:dLbl>
              <c:idx val="14"/>
              <c:delete val="1"/>
            </c:dLbl>
            <c:dLbl>
              <c:idx val="16"/>
              <c:delete val="1"/>
            </c:dLbl>
            <c:dLbl>
              <c:idx val="18"/>
              <c:delete val="1"/>
            </c:dLbl>
            <c:dLbl>
              <c:idx val="20"/>
              <c:delete val="1"/>
            </c:dLbl>
            <c:dLbl>
              <c:idx val="22"/>
              <c:delete val="1"/>
            </c:dLbl>
            <c:dLbl>
              <c:idx val="24"/>
              <c:delete val="1"/>
            </c:dLbl>
            <c:txPr>
              <a:bodyPr/>
              <a:lstStyle/>
              <a:p>
                <a:pPr>
                  <a:defRPr sz="800" b="1"/>
                </a:pPr>
                <a:endParaRPr lang="pt-BR"/>
              </a:p>
            </c:txPr>
            <c:showLegendKey val="0"/>
            <c:showVal val="1"/>
            <c:showCatName val="0"/>
            <c:showSerName val="0"/>
            <c:showPercent val="0"/>
            <c:showBubbleSize val="0"/>
            <c:showLeaderLines val="0"/>
          </c:dLbls>
          <c:cat>
            <c:strRef>
              <c:f>base_bench!$A$477:$A$502</c:f>
              <c:strCache>
                <c:ptCount val="26"/>
                <c:pt idx="0">
                  <c:v>BH (convencional) 2006</c:v>
                </c:pt>
                <c:pt idx="1">
                  <c:v>BH (suplementar) 2015</c:v>
                </c:pt>
                <c:pt idx="2">
                  <c:v>BH (convencional) 2015</c:v>
                </c:pt>
                <c:pt idx="3">
                  <c:v>Cádiz</c:v>
                </c:pt>
                <c:pt idx="4">
                  <c:v>Budapeste</c:v>
                </c:pt>
                <c:pt idx="5">
                  <c:v>Praga</c:v>
                </c:pt>
                <c:pt idx="6">
                  <c:v>Vilnius</c:v>
                </c:pt>
                <c:pt idx="7">
                  <c:v>Turim</c:v>
                </c:pt>
                <c:pt idx="8">
                  <c:v>Lyon</c:v>
                </c:pt>
                <c:pt idx="9">
                  <c:v>Varsóvia</c:v>
                </c:pt>
                <c:pt idx="10">
                  <c:v>Europa</c:v>
                </c:pt>
                <c:pt idx="11">
                  <c:v>Sheffield</c:v>
                </c:pt>
                <c:pt idx="12">
                  <c:v>São Paulo (estrutural) 2015</c:v>
                </c:pt>
                <c:pt idx="13">
                  <c:v>Birmingham</c:v>
                </c:pt>
                <c:pt idx="14">
                  <c:v>Copenhagem</c:v>
                </c:pt>
                <c:pt idx="15">
                  <c:v>Valência</c:v>
                </c:pt>
                <c:pt idx="16">
                  <c:v>Helsinque</c:v>
                </c:pt>
                <c:pt idx="17">
                  <c:v>Amsterdan</c:v>
                </c:pt>
                <c:pt idx="18">
                  <c:v>Viena</c:v>
                </c:pt>
                <c:pt idx="19">
                  <c:v>Sevilha</c:v>
                </c:pt>
                <c:pt idx="20">
                  <c:v>Paris</c:v>
                </c:pt>
                <c:pt idx="21">
                  <c:v>Madri</c:v>
                </c:pt>
                <c:pt idx="22">
                  <c:v>Londres</c:v>
                </c:pt>
                <c:pt idx="23">
                  <c:v>Estocolmo</c:v>
                </c:pt>
                <c:pt idx="24">
                  <c:v>Bruxelas</c:v>
                </c:pt>
                <c:pt idx="25">
                  <c:v>Barcelona</c:v>
                </c:pt>
              </c:strCache>
            </c:strRef>
          </c:cat>
          <c:val>
            <c:numRef>
              <c:f>base_bench!$B$477:$B$502</c:f>
              <c:numCache>
                <c:formatCode>0%</c:formatCode>
                <c:ptCount val="26"/>
                <c:pt idx="0" formatCode="0.00%">
                  <c:v>5.3881602268699043E-2</c:v>
                </c:pt>
                <c:pt idx="1">
                  <c:v>0</c:v>
                </c:pt>
                <c:pt idx="2">
                  <c:v>0</c:v>
                </c:pt>
                <c:pt idx="3">
                  <c:v>0.13</c:v>
                </c:pt>
                <c:pt idx="4">
                  <c:v>0.21</c:v>
                </c:pt>
                <c:pt idx="5">
                  <c:v>0.4</c:v>
                </c:pt>
                <c:pt idx="6">
                  <c:v>0.5</c:v>
                </c:pt>
                <c:pt idx="7">
                  <c:v>0.56000000000000005</c:v>
                </c:pt>
                <c:pt idx="8">
                  <c:v>0.67</c:v>
                </c:pt>
                <c:pt idx="9">
                  <c:v>0.76</c:v>
                </c:pt>
                <c:pt idx="10">
                  <c:v>0.8</c:v>
                </c:pt>
                <c:pt idx="11">
                  <c:v>0.83</c:v>
                </c:pt>
                <c:pt idx="12">
                  <c:v>0.8345429802676344</c:v>
                </c:pt>
                <c:pt idx="13">
                  <c:v>0.88</c:v>
                </c:pt>
                <c:pt idx="14">
                  <c:v>0.95</c:v>
                </c:pt>
                <c:pt idx="15">
                  <c:v>0.96</c:v>
                </c:pt>
                <c:pt idx="16">
                  <c:v>0.99</c:v>
                </c:pt>
                <c:pt idx="17">
                  <c:v>1</c:v>
                </c:pt>
                <c:pt idx="18">
                  <c:v>1</c:v>
                </c:pt>
                <c:pt idx="19">
                  <c:v>1</c:v>
                </c:pt>
                <c:pt idx="20">
                  <c:v>1</c:v>
                </c:pt>
                <c:pt idx="21">
                  <c:v>1</c:v>
                </c:pt>
                <c:pt idx="22">
                  <c:v>1</c:v>
                </c:pt>
                <c:pt idx="23">
                  <c:v>1</c:v>
                </c:pt>
                <c:pt idx="24">
                  <c:v>1</c:v>
                </c:pt>
                <c:pt idx="25">
                  <c:v>1</c:v>
                </c:pt>
              </c:numCache>
            </c:numRef>
          </c:val>
        </c:ser>
        <c:dLbls>
          <c:showLegendKey val="0"/>
          <c:showVal val="0"/>
          <c:showCatName val="0"/>
          <c:showSerName val="0"/>
          <c:showPercent val="0"/>
          <c:showBubbleSize val="0"/>
        </c:dLbls>
        <c:gapWidth val="150"/>
        <c:axId val="137237632"/>
        <c:axId val="137239168"/>
      </c:barChart>
      <c:catAx>
        <c:axId val="137237632"/>
        <c:scaling>
          <c:orientation val="minMax"/>
        </c:scaling>
        <c:delete val="0"/>
        <c:axPos val="b"/>
        <c:majorTickMark val="out"/>
        <c:minorTickMark val="none"/>
        <c:tickLblPos val="nextTo"/>
        <c:crossAx val="137239168"/>
        <c:crosses val="autoZero"/>
        <c:auto val="1"/>
        <c:lblAlgn val="ctr"/>
        <c:lblOffset val="100"/>
        <c:noMultiLvlLbl val="0"/>
      </c:catAx>
      <c:valAx>
        <c:axId val="137239168"/>
        <c:scaling>
          <c:orientation val="minMax"/>
          <c:max val="1.2"/>
        </c:scaling>
        <c:delete val="0"/>
        <c:axPos val="l"/>
        <c:numFmt formatCode="0.00%" sourceLinked="1"/>
        <c:majorTickMark val="out"/>
        <c:minorTickMark val="none"/>
        <c:tickLblPos val="nextTo"/>
        <c:crossAx val="137237632"/>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M-DataSus</c:v>
          </c:tx>
          <c:spPr>
            <a:ln w="22225">
              <a:solidFill>
                <a:schemeClr val="tx1">
                  <a:lumMod val="50000"/>
                  <a:lumOff val="50000"/>
                </a:schemeClr>
              </a:solidFill>
            </a:ln>
          </c:spPr>
          <c:marker>
            <c:symbol val="triangle"/>
            <c:size val="5"/>
            <c:spPr>
              <a:solidFill>
                <a:schemeClr val="bg1">
                  <a:lumMod val="85000"/>
                </a:schemeClr>
              </a:solidFill>
              <a:ln>
                <a:solidFill>
                  <a:schemeClr val="tx1"/>
                </a:solidFill>
              </a:ln>
            </c:spPr>
          </c:marker>
          <c:dLbls>
            <c:dLbl>
              <c:idx val="12"/>
              <c:layout>
                <c:manualLayout>
                  <c:x val="-2.2065313327449251E-2"/>
                  <c:y val="-3.6913285600636433E-2"/>
                </c:manualLayout>
              </c:layout>
              <c:dLblPos val="r"/>
              <c:showLegendKey val="0"/>
              <c:showVal val="1"/>
              <c:showCatName val="0"/>
              <c:showSerName val="0"/>
              <c:showPercent val="0"/>
              <c:showBubbleSize val="0"/>
            </c:dLbl>
            <c:dLbl>
              <c:idx val="13"/>
              <c:layout>
                <c:manualLayout>
                  <c:x val="-1.8534863195057368E-2"/>
                  <c:y val="-3.6913285600636406E-2"/>
                </c:manualLayout>
              </c:layout>
              <c:dLblPos val="r"/>
              <c:showLegendKey val="0"/>
              <c:showVal val="1"/>
              <c:showCatName val="0"/>
              <c:showSerName val="0"/>
              <c:showPercent val="0"/>
              <c:showBubbleSize val="0"/>
            </c:dLbl>
            <c:dLbl>
              <c:idx val="14"/>
              <c:layout>
                <c:manualLayout>
                  <c:x val="-2.6478375992939102E-3"/>
                  <c:y val="-1.9093078758949881E-3"/>
                </c:manualLayout>
              </c:layout>
              <c:dLblPos val="r"/>
              <c:showLegendKey val="0"/>
              <c:showVal val="1"/>
              <c:showCatName val="0"/>
              <c:showSerName val="0"/>
              <c:showPercent val="0"/>
              <c:showBubbleSize val="0"/>
            </c:dLbl>
            <c:dLbl>
              <c:idx val="16"/>
              <c:layout>
                <c:manualLayout>
                  <c:x val="-2.2065313327449251E-2"/>
                  <c:y val="-4.3277645186953061E-2"/>
                </c:manualLayout>
              </c:layout>
              <c:dLblPos val="r"/>
              <c:showLegendKey val="0"/>
              <c:showVal val="1"/>
              <c:showCatName val="0"/>
              <c:showSerName val="0"/>
              <c:showPercent val="0"/>
              <c:showBubbleSize val="0"/>
            </c:dLbl>
            <c:spPr>
              <a:ln>
                <a:solidFill>
                  <a:schemeClr val="tx1">
                    <a:lumMod val="50000"/>
                    <a:lumOff val="50000"/>
                  </a:schemeClr>
                </a:solidFill>
              </a:ln>
            </c:spPr>
            <c:txPr>
              <a:bodyPr/>
              <a:lstStyle/>
              <a:p>
                <a:pPr>
                  <a:defRPr sz="800" b="0">
                    <a:solidFill>
                      <a:schemeClr val="tx1"/>
                    </a:solidFill>
                  </a:defRPr>
                </a:pPr>
                <a:endParaRPr lang="pt-BR"/>
              </a:p>
            </c:txPr>
            <c:dLblPos val="t"/>
            <c:showLegendKey val="0"/>
            <c:showVal val="1"/>
            <c:showCatName val="0"/>
            <c:showSerName val="0"/>
            <c:showPercent val="0"/>
            <c:showBubbleSize val="0"/>
            <c:showLeaderLines val="0"/>
          </c:dLbls>
          <c:cat>
            <c:numRef>
              <c:f>(para_graficos!$K$3:$R$3,para_graficos!$T$3:$U$3,para_graficos!$W$3:$AJ$3)</c:f>
              <c:numCache>
                <c:formatCode>General</c:formatCode>
                <c:ptCount val="2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numCache>
            </c:numRef>
          </c:cat>
          <c:val>
            <c:numRef>
              <c:f>(para_graficos!$K$529:$R$529,para_graficos!$T$529:$U$529,para_graficos!$W$529:$AJ$529)</c:f>
              <c:numCache>
                <c:formatCode>General</c:formatCode>
                <c:ptCount val="24"/>
                <c:pt idx="9" formatCode="0">
                  <c:v>381</c:v>
                </c:pt>
                <c:pt idx="10" formatCode="0">
                  <c:v>417</c:v>
                </c:pt>
                <c:pt idx="11" formatCode="0">
                  <c:v>382</c:v>
                </c:pt>
                <c:pt idx="12" formatCode="0">
                  <c:v>393</c:v>
                </c:pt>
                <c:pt idx="13" formatCode="0">
                  <c:v>410</c:v>
                </c:pt>
                <c:pt idx="14" formatCode="0">
                  <c:v>400</c:v>
                </c:pt>
                <c:pt idx="15" formatCode="0">
                  <c:v>491</c:v>
                </c:pt>
                <c:pt idx="16" formatCode="0">
                  <c:v>451</c:v>
                </c:pt>
                <c:pt idx="21" formatCode="0">
                  <c:v>539</c:v>
                </c:pt>
              </c:numCache>
            </c:numRef>
          </c:val>
          <c:smooth val="0"/>
        </c:ser>
        <c:ser>
          <c:idx val="1"/>
          <c:order val="1"/>
          <c:tx>
            <c:v>M30</c:v>
          </c:tx>
          <c:spPr>
            <a:ln w="28575">
              <a:solidFill>
                <a:srgbClr val="C00000"/>
              </a:solidFill>
              <a:prstDash val="sysDot"/>
            </a:ln>
          </c:spPr>
          <c:marker>
            <c:spPr>
              <a:solidFill>
                <a:schemeClr val="accent2"/>
              </a:solidFill>
              <a:ln>
                <a:solidFill>
                  <a:schemeClr val="accent2">
                    <a:lumMod val="50000"/>
                  </a:schemeClr>
                </a:solidFill>
              </a:ln>
            </c:spPr>
          </c:marker>
          <c:dLbls>
            <c:dLbl>
              <c:idx val="21"/>
              <c:layout>
                <c:manualLayout>
                  <c:x val="-4.7661076787290382E-2"/>
                  <c:y val="-5.3301511535401754E-2"/>
                </c:manualLayout>
              </c:layout>
              <c:dLblPos val="r"/>
              <c:showLegendKey val="0"/>
              <c:showVal val="1"/>
              <c:showCatName val="0"/>
              <c:showSerName val="0"/>
              <c:showPercent val="0"/>
              <c:showBubbleSize val="0"/>
            </c:dLbl>
            <c:spPr>
              <a:solidFill>
                <a:schemeClr val="bg1"/>
              </a:solidFill>
              <a:ln>
                <a:solidFill>
                  <a:schemeClr val="tx1">
                    <a:lumMod val="50000"/>
                    <a:lumOff val="50000"/>
                  </a:schemeClr>
                </a:solidFill>
              </a:ln>
            </c:spPr>
            <c:txPr>
              <a:bodyPr/>
              <a:lstStyle/>
              <a:p>
                <a:pPr>
                  <a:defRPr sz="900" b="1">
                    <a:solidFill>
                      <a:schemeClr val="accent2"/>
                    </a:solidFill>
                  </a:defRPr>
                </a:pPr>
                <a:endParaRPr lang="pt-BR"/>
              </a:p>
            </c:txPr>
            <c:dLblPos val="t"/>
            <c:showLegendKey val="0"/>
            <c:showVal val="1"/>
            <c:showCatName val="0"/>
            <c:showSerName val="0"/>
            <c:showPercent val="0"/>
            <c:showBubbleSize val="0"/>
            <c:showLeaderLines val="0"/>
          </c:dLbls>
          <c:cat>
            <c:numRef>
              <c:f>(para_graficos!$K$3:$R$3,para_graficos!$T$3:$U$3,para_graficos!$W$3:$AJ$3)</c:f>
              <c:numCache>
                <c:formatCode>General</c:formatCode>
                <c:ptCount val="2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numCache>
            </c:numRef>
          </c:cat>
          <c:val>
            <c:numRef>
              <c:f>(para_graficos!$K$540:$R$540,para_graficos!$T$540:$U$540,para_graficos!$W$540:$AI$540)</c:f>
              <c:numCache>
                <c:formatCode>General</c:formatCode>
                <c:ptCount val="23"/>
                <c:pt idx="20" formatCode="#,##0">
                  <c:v>338</c:v>
                </c:pt>
                <c:pt idx="21" formatCode="#,##0">
                  <c:v>248</c:v>
                </c:pt>
                <c:pt idx="22" formatCode="#,##0">
                  <c:v>231</c:v>
                </c:pt>
              </c:numCache>
            </c:numRef>
          </c:val>
          <c:smooth val="0"/>
        </c:ser>
        <c:ser>
          <c:idx val="0"/>
          <c:order val="2"/>
          <c:tx>
            <c:v>M</c:v>
          </c:tx>
          <c:spPr>
            <a:ln w="22225">
              <a:solidFill>
                <a:srgbClr val="0070C0"/>
              </a:solidFill>
            </a:ln>
          </c:spPr>
          <c:marker>
            <c:symbol val="circle"/>
            <c:size val="7"/>
            <c:spPr>
              <a:solidFill>
                <a:srgbClr val="0070C0"/>
              </a:solidFill>
              <a:ln>
                <a:solidFill>
                  <a:schemeClr val="accent1">
                    <a:lumMod val="50000"/>
                  </a:schemeClr>
                </a:solidFill>
              </a:ln>
            </c:spPr>
          </c:marker>
          <c:dLbls>
            <c:spPr>
              <a:solidFill>
                <a:schemeClr val="bg1"/>
              </a:solidFill>
              <a:ln>
                <a:solidFill>
                  <a:schemeClr val="tx1">
                    <a:lumMod val="50000"/>
                    <a:lumOff val="50000"/>
                  </a:schemeClr>
                </a:solidFill>
              </a:ln>
            </c:spPr>
            <c:txPr>
              <a:bodyPr/>
              <a:lstStyle/>
              <a:p>
                <a:pPr>
                  <a:defRPr sz="800" b="0"/>
                </a:pPr>
                <a:endParaRPr lang="pt-BR"/>
              </a:p>
            </c:txPr>
            <c:dLblPos val="b"/>
            <c:showLegendKey val="0"/>
            <c:showVal val="1"/>
            <c:showCatName val="0"/>
            <c:showSerName val="0"/>
            <c:showPercent val="0"/>
            <c:showBubbleSize val="0"/>
            <c:showLeaderLines val="0"/>
          </c:dLbls>
          <c:cat>
            <c:numRef>
              <c:f>(para_graficos!$K$3:$R$3,para_graficos!$T$3:$U$3,para_graficos!$W$3:$AJ$3)</c:f>
              <c:numCache>
                <c:formatCode>General</c:formatCode>
                <c:ptCount val="2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numCache>
            </c:numRef>
          </c:cat>
          <c:val>
            <c:numRef>
              <c:f>(para_graficos!$K$523:$R$523,para_graficos!$T$523:$U$523,para_graficos!$W$523:$AJ$523)</c:f>
              <c:numCache>
                <c:formatCode>#,##0</c:formatCode>
                <c:ptCount val="24"/>
                <c:pt idx="0">
                  <c:v>374</c:v>
                </c:pt>
                <c:pt idx="1">
                  <c:v>481</c:v>
                </c:pt>
                <c:pt idx="2">
                  <c:v>551</c:v>
                </c:pt>
                <c:pt idx="3">
                  <c:v>446</c:v>
                </c:pt>
                <c:pt idx="4">
                  <c:v>508</c:v>
                </c:pt>
                <c:pt idx="5">
                  <c:v>418</c:v>
                </c:pt>
                <c:pt idx="6">
                  <c:v>383</c:v>
                </c:pt>
                <c:pt idx="7">
                  <c:v>307</c:v>
                </c:pt>
                <c:pt idx="8">
                  <c:v>392</c:v>
                </c:pt>
                <c:pt idx="9">
                  <c:v>297</c:v>
                </c:pt>
                <c:pt idx="10">
                  <c:v>315</c:v>
                </c:pt>
                <c:pt idx="11">
                  <c:v>155</c:v>
                </c:pt>
                <c:pt idx="12">
                  <c:v>238</c:v>
                </c:pt>
                <c:pt idx="13">
                  <c:v>217</c:v>
                </c:pt>
                <c:pt idx="14">
                  <c:v>177</c:v>
                </c:pt>
                <c:pt idx="15">
                  <c:v>210</c:v>
                </c:pt>
                <c:pt idx="16">
                  <c:v>227</c:v>
                </c:pt>
                <c:pt idx="17">
                  <c:v>273</c:v>
                </c:pt>
                <c:pt idx="18">
                  <c:v>288</c:v>
                </c:pt>
                <c:pt idx="19">
                  <c:v>262</c:v>
                </c:pt>
                <c:pt idx="20">
                  <c:v>217</c:v>
                </c:pt>
                <c:pt idx="21">
                  <c:v>179</c:v>
                </c:pt>
                <c:pt idx="22">
                  <c:v>170</c:v>
                </c:pt>
                <c:pt idx="23">
                  <c:v>177</c:v>
                </c:pt>
              </c:numCache>
            </c:numRef>
          </c:val>
          <c:smooth val="1"/>
        </c:ser>
        <c:dLbls>
          <c:showLegendKey val="0"/>
          <c:showVal val="0"/>
          <c:showCatName val="0"/>
          <c:showSerName val="0"/>
          <c:showPercent val="0"/>
          <c:showBubbleSize val="0"/>
        </c:dLbls>
        <c:marker val="1"/>
        <c:smooth val="0"/>
        <c:axId val="134721536"/>
        <c:axId val="134723072"/>
      </c:lineChart>
      <c:catAx>
        <c:axId val="134721536"/>
        <c:scaling>
          <c:orientation val="minMax"/>
        </c:scaling>
        <c:delete val="0"/>
        <c:axPos val="b"/>
        <c:numFmt formatCode="General" sourceLinked="1"/>
        <c:majorTickMark val="out"/>
        <c:minorTickMark val="none"/>
        <c:tickLblPos val="nextTo"/>
        <c:crossAx val="134723072"/>
        <c:crosses val="autoZero"/>
        <c:auto val="1"/>
        <c:lblAlgn val="ctr"/>
        <c:lblOffset val="100"/>
        <c:noMultiLvlLbl val="0"/>
      </c:catAx>
      <c:valAx>
        <c:axId val="134723072"/>
        <c:scaling>
          <c:orientation val="minMax"/>
        </c:scaling>
        <c:delete val="0"/>
        <c:axPos val="l"/>
        <c:title>
          <c:tx>
            <c:rich>
              <a:bodyPr rot="-5400000" vert="horz"/>
              <a:lstStyle/>
              <a:p>
                <a:pPr>
                  <a:defRPr/>
                </a:pPr>
                <a:r>
                  <a:rPr lang="en-US"/>
                  <a:t>n.º absoluto de mortos</a:t>
                </a:r>
              </a:p>
            </c:rich>
          </c:tx>
          <c:overlay val="0"/>
        </c:title>
        <c:numFmt formatCode="0" sourceLinked="0"/>
        <c:majorTickMark val="out"/>
        <c:minorTickMark val="out"/>
        <c:tickLblPos val="nextTo"/>
        <c:crossAx val="134721536"/>
        <c:crosses val="autoZero"/>
        <c:crossBetween val="between"/>
      </c:valAx>
    </c:plotArea>
    <c:legend>
      <c:legendPos val="r"/>
      <c:layout>
        <c:manualLayout>
          <c:xMode val="edge"/>
          <c:yMode val="edge"/>
          <c:x val="0.8506871173318693"/>
          <c:y val="0.31148553924792816"/>
          <c:w val="0.12658428949691083"/>
          <c:h val="0.37833737369940923"/>
        </c:manualLayout>
      </c:layout>
      <c:overlay val="0"/>
    </c:legend>
    <c:plotVisOnly val="0"/>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747524980430078E-2"/>
          <c:y val="3.2093362509117436E-2"/>
          <c:w val="0.65519009685192864"/>
          <c:h val="0.87326039387308529"/>
        </c:manualLayout>
      </c:layout>
      <c:lineChart>
        <c:grouping val="standard"/>
        <c:varyColors val="0"/>
        <c:ser>
          <c:idx val="2"/>
          <c:order val="0"/>
          <c:tx>
            <c:v>M por mil acidentes com vítima</c:v>
          </c:tx>
          <c:spPr>
            <a:ln w="22225">
              <a:solidFill>
                <a:schemeClr val="bg1">
                  <a:lumMod val="50000"/>
                </a:schemeClr>
              </a:solidFill>
            </a:ln>
          </c:spPr>
          <c:marker>
            <c:symbol val="triangle"/>
            <c:size val="7"/>
            <c:spPr>
              <a:solidFill>
                <a:schemeClr val="bg1">
                  <a:lumMod val="65000"/>
                </a:schemeClr>
              </a:solidFill>
              <a:ln>
                <a:solidFill>
                  <a:schemeClr val="tx1"/>
                </a:solidFill>
              </a:ln>
            </c:spPr>
          </c:marker>
          <c:dLbls>
            <c:dLbl>
              <c:idx val="23"/>
              <c:layout>
                <c:manualLayout>
                  <c:x val="-2.6583961010190584E-2"/>
                  <c:y val="-3.3684210526315789E-2"/>
                </c:manualLayout>
              </c:layout>
              <c:showLegendKey val="0"/>
              <c:showVal val="1"/>
              <c:showCatName val="0"/>
              <c:showSerName val="0"/>
              <c:showPercent val="0"/>
              <c:showBubbleSize val="0"/>
            </c:dLbl>
            <c:txPr>
              <a:bodyPr/>
              <a:lstStyle/>
              <a:p>
                <a:pPr>
                  <a:defRPr b="1"/>
                </a:pPr>
                <a:endParaRPr lang="pt-BR"/>
              </a:p>
            </c:txPr>
            <c:showLegendKey val="0"/>
            <c:showVal val="0"/>
            <c:showCatName val="0"/>
            <c:showSerName val="0"/>
            <c:showPercent val="0"/>
            <c:showBubbleSize val="0"/>
          </c:dLbls>
          <c:cat>
            <c:numRef>
              <c:f>(para_graficos!$K$3:$R$3,para_graficos!$T$3:$U$3,para_graficos!$W$3:$AK$3,para_graficos!$AM$3:$BA$3)</c:f>
              <c:numCache>
                <c:formatCode>General</c:formatCode>
                <c:ptCount val="4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c:v>
                </c:pt>
                <c:pt idx="35">
                  <c:v>2026</c:v>
                </c:pt>
                <c:pt idx="36">
                  <c:v>2027</c:v>
                </c:pt>
                <c:pt idx="37">
                  <c:v>2028</c:v>
                </c:pt>
                <c:pt idx="38">
                  <c:v>2029</c:v>
                </c:pt>
                <c:pt idx="39">
                  <c:v>2030</c:v>
                </c:pt>
              </c:numCache>
            </c:numRef>
          </c:cat>
          <c:val>
            <c:numRef>
              <c:f>(para_graficos!$K$528:$R$528,para_graficos!$T$528:$U$528,para_graficos!$W$528:$AJ$528)</c:f>
              <c:numCache>
                <c:formatCode>0.00</c:formatCode>
                <c:ptCount val="24"/>
                <c:pt idx="0">
                  <c:v>10.985460420032309</c:v>
                </c:pt>
                <c:pt idx="1">
                  <c:v>12.209981215413515</c:v>
                </c:pt>
                <c:pt idx="2">
                  <c:v>12.815443656239097</c:v>
                </c:pt>
                <c:pt idx="3">
                  <c:v>11.680590838854988</c:v>
                </c:pt>
                <c:pt idx="4">
                  <c:v>13.178716891068047</c:v>
                </c:pt>
                <c:pt idx="5">
                  <c:v>16.73271686481726</c:v>
                </c:pt>
                <c:pt idx="6">
                  <c:v>34.337457414380488</c:v>
                </c:pt>
                <c:pt idx="7">
                  <c:v>27.543513368024406</c:v>
                </c:pt>
                <c:pt idx="8">
                  <c:v>34.131475838049631</c:v>
                </c:pt>
                <c:pt idx="9">
                  <c:v>25.884608680495031</c:v>
                </c:pt>
                <c:pt idx="10">
                  <c:v>28.86994775914215</c:v>
                </c:pt>
                <c:pt idx="11">
                  <c:v>15.923566878980891</c:v>
                </c:pt>
                <c:pt idx="12">
                  <c:v>20.018504499957945</c:v>
                </c:pt>
                <c:pt idx="13">
                  <c:v>16.599097376271704</c:v>
                </c:pt>
                <c:pt idx="14">
                  <c:v>13.020450198617038</c:v>
                </c:pt>
                <c:pt idx="15">
                  <c:v>15.219597043049719</c:v>
                </c:pt>
                <c:pt idx="16">
                  <c:v>15.142418784604097</c:v>
                </c:pt>
                <c:pt idx="17">
                  <c:v>17.367517017621985</c:v>
                </c:pt>
                <c:pt idx="18">
                  <c:v>17.585638395310497</c:v>
                </c:pt>
                <c:pt idx="19">
                  <c:v>15.574842468196408</c:v>
                </c:pt>
                <c:pt idx="20">
                  <c:v>13.317785687983307</c:v>
                </c:pt>
                <c:pt idx="21">
                  <c:v>11.730013106159895</c:v>
                </c:pt>
                <c:pt idx="22">
                  <c:v>12.018381053375752</c:v>
                </c:pt>
                <c:pt idx="23">
                  <c:v>11.827597728032075</c:v>
                </c:pt>
              </c:numCache>
            </c:numRef>
          </c:val>
          <c:smooth val="0"/>
        </c:ser>
        <c:ser>
          <c:idx val="1"/>
          <c:order val="1"/>
          <c:tx>
            <c:v>M por 100 mil habitantes</c:v>
          </c:tx>
          <c:spPr>
            <a:ln w="22225">
              <a:solidFill>
                <a:schemeClr val="tx1"/>
              </a:solidFill>
            </a:ln>
          </c:spPr>
          <c:marker>
            <c:symbol val="square"/>
            <c:size val="7"/>
            <c:spPr>
              <a:solidFill>
                <a:schemeClr val="bg1"/>
              </a:solidFill>
              <a:ln>
                <a:solidFill>
                  <a:schemeClr val="tx1"/>
                </a:solidFill>
              </a:ln>
            </c:spPr>
          </c:marker>
          <c:dLbls>
            <c:dLbl>
              <c:idx val="23"/>
              <c:layout>
                <c:manualLayout>
                  <c:x val="-2.6583961010190584E-2"/>
                  <c:y val="2.8070175438596492E-2"/>
                </c:manualLayout>
              </c:layout>
              <c:showLegendKey val="0"/>
              <c:showVal val="1"/>
              <c:showCatName val="0"/>
              <c:showSerName val="0"/>
              <c:showPercent val="0"/>
              <c:showBubbleSize val="0"/>
            </c:dLbl>
            <c:txPr>
              <a:bodyPr/>
              <a:lstStyle/>
              <a:p>
                <a:pPr>
                  <a:defRPr b="1"/>
                </a:pPr>
                <a:endParaRPr lang="pt-BR"/>
              </a:p>
            </c:txPr>
            <c:showLegendKey val="0"/>
            <c:showVal val="0"/>
            <c:showCatName val="0"/>
            <c:showSerName val="0"/>
            <c:showPercent val="0"/>
            <c:showBubbleSize val="0"/>
          </c:dLbls>
          <c:cat>
            <c:numRef>
              <c:f>(para_graficos!$K$3:$R$3,para_graficos!$T$3:$U$3,para_graficos!$W$3:$AK$3,para_graficos!$AM$3:$BA$3)</c:f>
              <c:numCache>
                <c:formatCode>General</c:formatCode>
                <c:ptCount val="4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c:v>
                </c:pt>
                <c:pt idx="35">
                  <c:v>2026</c:v>
                </c:pt>
                <c:pt idx="36">
                  <c:v>2027</c:v>
                </c:pt>
                <c:pt idx="37">
                  <c:v>2028</c:v>
                </c:pt>
                <c:pt idx="38">
                  <c:v>2029</c:v>
                </c:pt>
                <c:pt idx="39">
                  <c:v>2030</c:v>
                </c:pt>
              </c:numCache>
            </c:numRef>
          </c:cat>
          <c:val>
            <c:numRef>
              <c:f>(para_graficos!$K$526:$R$526,para_graficos!$T$526:$U$526,para_graficos!$W$526:$AJ$526)</c:f>
              <c:numCache>
                <c:formatCode>0.00</c:formatCode>
                <c:ptCount val="24"/>
                <c:pt idx="0">
                  <c:v>18.513375914097935</c:v>
                </c:pt>
                <c:pt idx="1">
                  <c:v>23.715118807321808</c:v>
                </c:pt>
                <c:pt idx="2">
                  <c:v>27.058150469834583</c:v>
                </c:pt>
                <c:pt idx="3">
                  <c:v>21.814624602592321</c:v>
                </c:pt>
                <c:pt idx="4">
                  <c:v>24.748158259600384</c:v>
                </c:pt>
                <c:pt idx="5">
                  <c:v>19.986153134096568</c:v>
                </c:pt>
                <c:pt idx="6">
                  <c:v>18.239710755333569</c:v>
                </c:pt>
                <c:pt idx="7">
                  <c:v>14.562095955199974</c:v>
                </c:pt>
                <c:pt idx="8">
                  <c:v>18.519865863257248</c:v>
                </c:pt>
                <c:pt idx="9">
                  <c:v>13.267659165004114</c:v>
                </c:pt>
                <c:pt idx="10">
                  <c:v>13.946525920393229</c:v>
                </c:pt>
                <c:pt idx="11">
                  <c:v>6.784949493711447</c:v>
                </c:pt>
                <c:pt idx="12">
                  <c:v>10.321743489928927</c:v>
                </c:pt>
                <c:pt idx="13">
                  <c:v>9.231826914731954</c:v>
                </c:pt>
                <c:pt idx="14">
                  <c:v>7.4515993363445663</c:v>
                </c:pt>
                <c:pt idx="15">
                  <c:v>8.750291676389212</c:v>
                </c:pt>
                <c:pt idx="16">
                  <c:v>9.4076223291366503</c:v>
                </c:pt>
                <c:pt idx="17">
                  <c:v>11.213147559271547</c:v>
                </c:pt>
                <c:pt idx="18">
                  <c:v>11.74255907057645</c:v>
                </c:pt>
                <c:pt idx="19">
                  <c:v>11.03087761578106</c:v>
                </c:pt>
                <c:pt idx="20">
                  <c:v>9.0960916148287243</c:v>
                </c:pt>
                <c:pt idx="21">
                  <c:v>7.4714550763111047</c:v>
                </c:pt>
                <c:pt idx="22">
                  <c:v>6.8571474669898933</c:v>
                </c:pt>
                <c:pt idx="23">
                  <c:v>7.1052691793092952</c:v>
                </c:pt>
              </c:numCache>
            </c:numRef>
          </c:val>
          <c:smooth val="0"/>
        </c:ser>
        <c:ser>
          <c:idx val="3"/>
          <c:order val="2"/>
          <c:tx>
            <c:strRef>
              <c:f>para_graficos!$D$527</c:f>
              <c:strCache>
                <c:ptCount val="1"/>
                <c:pt idx="0">
                  <c:v>M por 100 mil habitantes
(meta)</c:v>
                </c:pt>
              </c:strCache>
            </c:strRef>
          </c:tx>
          <c:spPr>
            <a:ln>
              <a:solidFill>
                <a:srgbClr val="002060"/>
              </a:solidFill>
              <a:prstDash val="sysDot"/>
            </a:ln>
          </c:spPr>
          <c:marker>
            <c:symbol val="square"/>
            <c:size val="7"/>
            <c:spPr>
              <a:solidFill>
                <a:srgbClr val="0070C0"/>
              </a:solidFill>
              <a:ln>
                <a:solidFill>
                  <a:srgbClr val="002060"/>
                </a:solidFill>
              </a:ln>
            </c:spPr>
          </c:marker>
          <c:dLbls>
            <c:dLbl>
              <c:idx val="23"/>
              <c:layout>
                <c:manualLayout>
                  <c:x val="-5.3169317503898635E-3"/>
                  <c:y val="-1.4035087719298246E-2"/>
                </c:manualLayout>
              </c:layout>
              <c:spPr/>
              <c:txPr>
                <a:bodyPr/>
                <a:lstStyle/>
                <a:p>
                  <a:pPr>
                    <a:defRPr b="1">
                      <a:solidFill>
                        <a:srgbClr val="002060"/>
                      </a:solidFill>
                    </a:defRPr>
                  </a:pPr>
                  <a:endParaRPr lang="pt-BR"/>
                </a:p>
              </c:txPr>
              <c:showLegendKey val="0"/>
              <c:showVal val="1"/>
              <c:showCatName val="0"/>
              <c:showSerName val="0"/>
              <c:showPercent val="0"/>
              <c:showBubbleSize val="0"/>
            </c:dLbl>
            <c:dLbl>
              <c:idx val="25"/>
              <c:layout>
                <c:manualLayout>
                  <c:x val="-5.316792202038104E-3"/>
                  <c:y val="-1.4035087719298246E-2"/>
                </c:manualLayout>
              </c:layout>
              <c:spPr/>
              <c:txPr>
                <a:bodyPr/>
                <a:lstStyle/>
                <a:p>
                  <a:pPr>
                    <a:defRPr b="1">
                      <a:solidFill>
                        <a:srgbClr val="002060"/>
                      </a:solidFill>
                    </a:defRPr>
                  </a:pPr>
                  <a:endParaRPr lang="pt-BR"/>
                </a:p>
              </c:txPr>
              <c:showLegendKey val="0"/>
              <c:showVal val="1"/>
              <c:showCatName val="0"/>
              <c:showSerName val="0"/>
              <c:showPercent val="0"/>
              <c:showBubbleSize val="0"/>
            </c:dLbl>
            <c:dLbl>
              <c:idx val="29"/>
              <c:layout>
                <c:manualLayout>
                  <c:x val="-3.0128489144882586E-2"/>
                  <c:y val="-3.0877192982456038E-2"/>
                </c:manualLayout>
              </c:layout>
              <c:spPr/>
              <c:txPr>
                <a:bodyPr/>
                <a:lstStyle/>
                <a:p>
                  <a:pPr>
                    <a:defRPr b="1">
                      <a:solidFill>
                        <a:srgbClr val="002060"/>
                      </a:solidFill>
                    </a:defRPr>
                  </a:pPr>
                  <a:endParaRPr lang="pt-BR"/>
                </a:p>
              </c:txPr>
              <c:showLegendKey val="0"/>
              <c:showVal val="1"/>
              <c:showCatName val="0"/>
              <c:showSerName val="0"/>
              <c:showPercent val="0"/>
              <c:showBubbleSize val="0"/>
            </c:dLbl>
            <c:dLbl>
              <c:idx val="31"/>
              <c:layout>
                <c:manualLayout>
                  <c:x val="-2.6583961010190518E-2"/>
                  <c:y val="-3.0877414007459594E-2"/>
                </c:manualLayout>
              </c:layout>
              <c:spPr/>
              <c:txPr>
                <a:bodyPr/>
                <a:lstStyle/>
                <a:p>
                  <a:pPr>
                    <a:defRPr b="1">
                      <a:solidFill>
                        <a:srgbClr val="002060"/>
                      </a:solidFill>
                    </a:defRPr>
                  </a:pPr>
                  <a:endParaRPr lang="pt-BR"/>
                </a:p>
              </c:txPr>
              <c:showLegendKey val="0"/>
              <c:showVal val="1"/>
              <c:showCatName val="0"/>
              <c:showSerName val="0"/>
              <c:showPercent val="0"/>
              <c:showBubbleSize val="0"/>
            </c:dLbl>
            <c:dLbl>
              <c:idx val="39"/>
              <c:spPr/>
              <c:txPr>
                <a:bodyPr/>
                <a:lstStyle/>
                <a:p>
                  <a:pPr>
                    <a:defRPr b="1">
                      <a:solidFill>
                        <a:srgbClr val="002060"/>
                      </a:solidFill>
                    </a:defRPr>
                  </a:pPr>
                  <a:endParaRPr lang="pt-BR"/>
                </a:p>
              </c:txPr>
              <c:showLegendKey val="0"/>
              <c:showVal val="1"/>
              <c:showCatName val="0"/>
              <c:showSerName val="0"/>
              <c:showPercent val="0"/>
              <c:showBubbleSize val="0"/>
            </c:dLbl>
            <c:txPr>
              <a:bodyPr/>
              <a:lstStyle/>
              <a:p>
                <a:pPr>
                  <a:defRPr>
                    <a:solidFill>
                      <a:srgbClr val="002060"/>
                    </a:solidFill>
                  </a:defRPr>
                </a:pPr>
                <a:endParaRPr lang="pt-BR"/>
              </a:p>
            </c:txPr>
            <c:showLegendKey val="0"/>
            <c:showVal val="1"/>
            <c:showCatName val="0"/>
            <c:showSerName val="0"/>
            <c:showPercent val="0"/>
            <c:showBubbleSize val="0"/>
            <c:showLeaderLines val="0"/>
          </c:dLbls>
          <c:cat>
            <c:numRef>
              <c:f>(para_graficos!$K$3:$R$3,para_graficos!$T$3:$U$3,para_graficos!$W$3:$AK$3,para_graficos!$AM$3:$BA$3)</c:f>
              <c:numCache>
                <c:formatCode>General</c:formatCode>
                <c:ptCount val="4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c:v>
                </c:pt>
                <c:pt idx="35">
                  <c:v>2026</c:v>
                </c:pt>
                <c:pt idx="36">
                  <c:v>2027</c:v>
                </c:pt>
                <c:pt idx="37">
                  <c:v>2028</c:v>
                </c:pt>
                <c:pt idx="38">
                  <c:v>2029</c:v>
                </c:pt>
                <c:pt idx="39">
                  <c:v>2030</c:v>
                </c:pt>
              </c:numCache>
            </c:numRef>
          </c:cat>
          <c:val>
            <c:numRef>
              <c:f>(para_graficos!$K$527:$R$527,para_graficos!$T$527:$U$527,para_graficos!$W$527:$AK$527,para_graficos!$AM$527:$BA$527)</c:f>
              <c:numCache>
                <c:formatCode>General</c:formatCode>
                <c:ptCount val="40"/>
                <c:pt idx="23">
                  <c:v>8.41</c:v>
                </c:pt>
                <c:pt idx="25">
                  <c:v>7.61</c:v>
                </c:pt>
                <c:pt idx="29">
                  <c:v>6.31</c:v>
                </c:pt>
                <c:pt idx="39" formatCode="0.00">
                  <c:v>5</c:v>
                </c:pt>
              </c:numCache>
            </c:numRef>
          </c:val>
          <c:smooth val="0"/>
        </c:ser>
        <c:ser>
          <c:idx val="0"/>
          <c:order val="3"/>
          <c:tx>
            <c:v>M por10 mil veículos</c:v>
          </c:tx>
          <c:spPr>
            <a:ln w="22225">
              <a:solidFill>
                <a:schemeClr val="tx1"/>
              </a:solidFill>
              <a:prstDash val="solid"/>
            </a:ln>
          </c:spPr>
          <c:marker>
            <c:symbol val="circle"/>
            <c:size val="6"/>
            <c:spPr>
              <a:solidFill>
                <a:schemeClr val="tx1"/>
              </a:solidFill>
              <a:ln>
                <a:solidFill>
                  <a:schemeClr val="tx1"/>
                </a:solidFill>
              </a:ln>
            </c:spPr>
          </c:marker>
          <c:dLbls>
            <c:dLbl>
              <c:idx val="23"/>
              <c:layout>
                <c:manualLayout>
                  <c:x val="-2.6583961010190584E-2"/>
                  <c:y val="-3.6491228070175435E-2"/>
                </c:manualLayout>
              </c:layout>
              <c:showLegendKey val="0"/>
              <c:showVal val="1"/>
              <c:showCatName val="0"/>
              <c:showSerName val="0"/>
              <c:showPercent val="0"/>
              <c:showBubbleSize val="0"/>
            </c:dLbl>
            <c:txPr>
              <a:bodyPr/>
              <a:lstStyle/>
              <a:p>
                <a:pPr>
                  <a:defRPr b="1"/>
                </a:pPr>
                <a:endParaRPr lang="pt-BR"/>
              </a:p>
            </c:txPr>
            <c:showLegendKey val="0"/>
            <c:showVal val="0"/>
            <c:showCatName val="0"/>
            <c:showSerName val="0"/>
            <c:showPercent val="0"/>
            <c:showBubbleSize val="0"/>
          </c:dLbls>
          <c:cat>
            <c:numRef>
              <c:f>(para_graficos!$K$3:$R$3,para_graficos!$T$3:$U$3,para_graficos!$W$3:$AK$3,para_graficos!$AM$3:$BA$3)</c:f>
              <c:numCache>
                <c:formatCode>General</c:formatCode>
                <c:ptCount val="4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c:v>
                </c:pt>
                <c:pt idx="35">
                  <c:v>2026</c:v>
                </c:pt>
                <c:pt idx="36">
                  <c:v>2027</c:v>
                </c:pt>
                <c:pt idx="37">
                  <c:v>2028</c:v>
                </c:pt>
                <c:pt idx="38">
                  <c:v>2029</c:v>
                </c:pt>
                <c:pt idx="39">
                  <c:v>2030</c:v>
                </c:pt>
              </c:numCache>
            </c:numRef>
          </c:cat>
          <c:val>
            <c:numRef>
              <c:f>(para_graficos!$K$525:$R$525,para_graficos!$T$525:$U$525,para_graficos!$W$525:$AJ$525)</c:f>
              <c:numCache>
                <c:formatCode>0.00</c:formatCode>
                <c:ptCount val="24"/>
                <c:pt idx="0">
                  <c:v>7.7948333177019835</c:v>
                </c:pt>
                <c:pt idx="1">
                  <c:v>9.8129821060985343</c:v>
                </c:pt>
                <c:pt idx="2">
                  <c:v>10.826529910499376</c:v>
                </c:pt>
                <c:pt idx="3">
                  <c:v>8.3073495829561494</c:v>
                </c:pt>
                <c:pt idx="4">
                  <c:v>8.9309102672065066</c:v>
                </c:pt>
                <c:pt idx="5">
                  <c:v>6.9806745536042323</c:v>
                </c:pt>
                <c:pt idx="6">
                  <c:v>6.2585994463672341</c:v>
                </c:pt>
                <c:pt idx="7">
                  <c:v>4.9205893808231647</c:v>
                </c:pt>
                <c:pt idx="8">
                  <c:v>5.982659444742052</c:v>
                </c:pt>
                <c:pt idx="9">
                  <c:v>4.3694012449115602</c:v>
                </c:pt>
                <c:pt idx="10">
                  <c:v>4.3879505484938184</c:v>
                </c:pt>
                <c:pt idx="11">
                  <c:v>2.0626486271409958</c:v>
                </c:pt>
                <c:pt idx="12">
                  <c:v>3.0105584585940695</c:v>
                </c:pt>
                <c:pt idx="13">
                  <c:v>2.6406961702604068</c:v>
                </c:pt>
                <c:pt idx="14">
                  <c:v>2.0511822110353601</c:v>
                </c:pt>
                <c:pt idx="15">
                  <c:v>2.2549439646424787</c:v>
                </c:pt>
                <c:pt idx="16">
                  <c:v>2.224476096681415</c:v>
                </c:pt>
                <c:pt idx="17">
                  <c:v>2.4655478076944961</c:v>
                </c:pt>
                <c:pt idx="18">
                  <c:v>2.3604138920192606</c:v>
                </c:pt>
                <c:pt idx="19">
                  <c:v>1.9664045044172802</c:v>
                </c:pt>
                <c:pt idx="20">
                  <c:v>1.5176257898472933</c:v>
                </c:pt>
                <c:pt idx="21">
                  <c:v>1.1875263295816789</c:v>
                </c:pt>
                <c:pt idx="22">
                  <c:v>1.0755239224990114</c:v>
                </c:pt>
                <c:pt idx="23">
                  <c:v>1.0844159623579002</c:v>
                </c:pt>
              </c:numCache>
            </c:numRef>
          </c:val>
          <c:smooth val="0"/>
        </c:ser>
        <c:dLbls>
          <c:showLegendKey val="0"/>
          <c:showVal val="0"/>
          <c:showCatName val="0"/>
          <c:showSerName val="0"/>
          <c:showPercent val="0"/>
          <c:showBubbleSize val="0"/>
        </c:dLbls>
        <c:marker val="1"/>
        <c:smooth val="0"/>
        <c:axId val="135502848"/>
        <c:axId val="135525120"/>
      </c:lineChart>
      <c:catAx>
        <c:axId val="135502848"/>
        <c:scaling>
          <c:orientation val="minMax"/>
        </c:scaling>
        <c:delete val="0"/>
        <c:axPos val="b"/>
        <c:numFmt formatCode="General" sourceLinked="1"/>
        <c:majorTickMark val="out"/>
        <c:minorTickMark val="none"/>
        <c:tickLblPos val="nextTo"/>
        <c:crossAx val="135525120"/>
        <c:crosses val="autoZero"/>
        <c:auto val="1"/>
        <c:lblAlgn val="ctr"/>
        <c:lblOffset val="100"/>
        <c:noMultiLvlLbl val="0"/>
      </c:catAx>
      <c:valAx>
        <c:axId val="135525120"/>
        <c:scaling>
          <c:orientation val="minMax"/>
        </c:scaling>
        <c:delete val="0"/>
        <c:axPos val="l"/>
        <c:majorGridlines/>
        <c:numFmt formatCode="0" sourceLinked="0"/>
        <c:majorTickMark val="out"/>
        <c:minorTickMark val="out"/>
        <c:tickLblPos val="nextTo"/>
        <c:crossAx val="135502848"/>
        <c:crosses val="autoZero"/>
        <c:crossBetween val="between"/>
      </c:valAx>
    </c:plotArea>
    <c:legend>
      <c:legendPos val="r"/>
      <c:layout>
        <c:manualLayout>
          <c:xMode val="edge"/>
          <c:yMode val="edge"/>
          <c:x val="0.75762516614975628"/>
          <c:y val="0.63961674264401158"/>
          <c:w val="0.24237483385024369"/>
          <c:h val="0.31358143389970988"/>
        </c:manualLayout>
      </c:layout>
      <c:overlay val="0"/>
    </c:legend>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747524980430078E-2"/>
          <c:y val="3.2093362509117436E-2"/>
          <c:w val="0.6434941904191801"/>
          <c:h val="0.87326039387308529"/>
        </c:manualLayout>
      </c:layout>
      <c:lineChart>
        <c:grouping val="standard"/>
        <c:varyColors val="0"/>
        <c:ser>
          <c:idx val="3"/>
          <c:order val="0"/>
          <c:tx>
            <c:v>M30 por mil acid.</c:v>
          </c:tx>
          <c:spPr>
            <a:ln w="25400">
              <a:solidFill>
                <a:schemeClr val="accent2"/>
              </a:solidFill>
              <a:prstDash val="sysDot"/>
            </a:ln>
          </c:spPr>
          <c:marker>
            <c:symbol val="triangle"/>
            <c:size val="4"/>
            <c:spPr>
              <a:solidFill>
                <a:schemeClr val="accent2"/>
              </a:solidFill>
              <a:ln>
                <a:solidFill>
                  <a:schemeClr val="tx1"/>
                </a:solidFill>
              </a:ln>
            </c:spPr>
          </c:marker>
          <c:dLbls>
            <c:dLbl>
              <c:idx val="1"/>
              <c:layout>
                <c:manualLayout>
                  <c:x val="-5.6123737373737416E-2"/>
                  <c:y val="-3.8657922812344071E-2"/>
                </c:manualLayout>
              </c:layout>
              <c:dLblPos val="r"/>
              <c:showLegendKey val="0"/>
              <c:showVal val="1"/>
              <c:showCatName val="0"/>
              <c:showSerName val="0"/>
              <c:showPercent val="0"/>
              <c:showBubbleSize val="0"/>
            </c:dLbl>
            <c:txPr>
              <a:bodyPr/>
              <a:lstStyle/>
              <a:p>
                <a:pPr>
                  <a:defRPr b="1">
                    <a:solidFill>
                      <a:schemeClr val="accent2"/>
                    </a:solidFill>
                  </a:defRPr>
                </a:pPr>
                <a:endParaRPr lang="pt-BR"/>
              </a:p>
            </c:txPr>
            <c:dLblPos val="t"/>
            <c:showLegendKey val="0"/>
            <c:showVal val="1"/>
            <c:showCatName val="0"/>
            <c:showSerName val="0"/>
            <c:showPercent val="0"/>
            <c:showBubbleSize val="0"/>
            <c:showLeaderLines val="0"/>
          </c:dLbls>
          <c:cat>
            <c:numRef>
              <c:f>para_graficos!$AG$3:$AJ$3</c:f>
              <c:numCache>
                <c:formatCode>General</c:formatCode>
                <c:ptCount val="4"/>
                <c:pt idx="0">
                  <c:v>2011</c:v>
                </c:pt>
                <c:pt idx="1">
                  <c:v>2012</c:v>
                </c:pt>
                <c:pt idx="2">
                  <c:v>2013</c:v>
                </c:pt>
                <c:pt idx="3">
                  <c:v>2014</c:v>
                </c:pt>
              </c:numCache>
            </c:numRef>
          </c:cat>
          <c:val>
            <c:numRef>
              <c:f>para_graficos!$AG$543:$AJ$543</c:f>
              <c:numCache>
                <c:formatCode>0.00</c:formatCode>
                <c:ptCount val="4"/>
                <c:pt idx="0">
                  <c:v>20.743832085430217</c:v>
                </c:pt>
                <c:pt idx="1">
                  <c:v>16.251638269986891</c:v>
                </c:pt>
                <c:pt idx="2">
                  <c:v>16.330858960763521</c:v>
                </c:pt>
              </c:numCache>
            </c:numRef>
          </c:val>
          <c:smooth val="0"/>
        </c:ser>
        <c:ser>
          <c:idx val="2"/>
          <c:order val="1"/>
          <c:tx>
            <c:v>M por mil acid.</c:v>
          </c:tx>
          <c:spPr>
            <a:ln w="22225">
              <a:solidFill>
                <a:schemeClr val="bg1">
                  <a:lumMod val="50000"/>
                </a:schemeClr>
              </a:solidFill>
            </a:ln>
          </c:spPr>
          <c:marker>
            <c:symbol val="triangle"/>
            <c:size val="7"/>
            <c:spPr>
              <a:solidFill>
                <a:schemeClr val="bg1">
                  <a:lumMod val="65000"/>
                </a:schemeClr>
              </a:solidFill>
              <a:ln>
                <a:solidFill>
                  <a:schemeClr val="tx1"/>
                </a:solidFill>
              </a:ln>
            </c:spPr>
          </c:marker>
          <c:dLbls>
            <c:txPr>
              <a:bodyPr/>
              <a:lstStyle/>
              <a:p>
                <a:pPr>
                  <a:defRPr b="1"/>
                </a:pPr>
                <a:endParaRPr lang="pt-BR"/>
              </a:p>
            </c:txPr>
            <c:dLblPos val="t"/>
            <c:showLegendKey val="0"/>
            <c:showVal val="1"/>
            <c:showCatName val="0"/>
            <c:showSerName val="0"/>
            <c:showPercent val="0"/>
            <c:showBubbleSize val="0"/>
            <c:showLeaderLines val="0"/>
          </c:dLbls>
          <c:cat>
            <c:numRef>
              <c:f>para_graficos!$AG$3:$AJ$3</c:f>
              <c:numCache>
                <c:formatCode>General</c:formatCode>
                <c:ptCount val="4"/>
                <c:pt idx="0">
                  <c:v>2011</c:v>
                </c:pt>
                <c:pt idx="1">
                  <c:v>2012</c:v>
                </c:pt>
                <c:pt idx="2">
                  <c:v>2013</c:v>
                </c:pt>
                <c:pt idx="3">
                  <c:v>2014</c:v>
                </c:pt>
              </c:numCache>
            </c:numRef>
          </c:cat>
          <c:val>
            <c:numRef>
              <c:f>para_graficos!$AG$528:$AJ$528</c:f>
              <c:numCache>
                <c:formatCode>0.00</c:formatCode>
                <c:ptCount val="4"/>
                <c:pt idx="0">
                  <c:v>13.317785687983307</c:v>
                </c:pt>
                <c:pt idx="1">
                  <c:v>11.730013106159895</c:v>
                </c:pt>
                <c:pt idx="2">
                  <c:v>12.018381053375752</c:v>
                </c:pt>
                <c:pt idx="3">
                  <c:v>11.827597728032075</c:v>
                </c:pt>
              </c:numCache>
            </c:numRef>
          </c:val>
          <c:smooth val="0"/>
        </c:ser>
        <c:dLbls>
          <c:showLegendKey val="0"/>
          <c:showVal val="0"/>
          <c:showCatName val="0"/>
          <c:showSerName val="0"/>
          <c:showPercent val="0"/>
          <c:showBubbleSize val="0"/>
        </c:dLbls>
        <c:marker val="1"/>
        <c:smooth val="0"/>
        <c:axId val="136074752"/>
        <c:axId val="136076288"/>
      </c:lineChart>
      <c:catAx>
        <c:axId val="136074752"/>
        <c:scaling>
          <c:orientation val="minMax"/>
        </c:scaling>
        <c:delete val="0"/>
        <c:axPos val="b"/>
        <c:numFmt formatCode="General" sourceLinked="1"/>
        <c:majorTickMark val="out"/>
        <c:minorTickMark val="none"/>
        <c:tickLblPos val="nextTo"/>
        <c:crossAx val="136076288"/>
        <c:crosses val="autoZero"/>
        <c:auto val="1"/>
        <c:lblAlgn val="ctr"/>
        <c:lblOffset val="100"/>
        <c:noMultiLvlLbl val="0"/>
      </c:catAx>
      <c:valAx>
        <c:axId val="136076288"/>
        <c:scaling>
          <c:orientation val="minMax"/>
        </c:scaling>
        <c:delete val="0"/>
        <c:axPos val="l"/>
        <c:numFmt formatCode="0" sourceLinked="0"/>
        <c:majorTickMark val="out"/>
        <c:minorTickMark val="out"/>
        <c:tickLblPos val="nextTo"/>
        <c:crossAx val="136074752"/>
        <c:crosses val="autoZero"/>
        <c:crossBetween val="between"/>
      </c:valAx>
    </c:plotArea>
    <c:legend>
      <c:legendPos val="r"/>
      <c:layout>
        <c:manualLayout>
          <c:xMode val="edge"/>
          <c:yMode val="edge"/>
          <c:x val="0.73254870129870131"/>
          <c:y val="0.26384494652330248"/>
          <c:w val="0.26745121306423086"/>
          <c:h val="0.37626094095066309"/>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747524980430078E-2"/>
          <c:y val="3.2093362509117436E-2"/>
          <c:w val="0.6434941904191801"/>
          <c:h val="0.87326039387308529"/>
        </c:manualLayout>
      </c:layout>
      <c:lineChart>
        <c:grouping val="standard"/>
        <c:varyColors val="0"/>
        <c:ser>
          <c:idx val="5"/>
          <c:order val="0"/>
          <c:tx>
            <c:v>M30 por 100 mil habit.</c:v>
          </c:tx>
          <c:spPr>
            <a:ln w="25400">
              <a:solidFill>
                <a:schemeClr val="accent2"/>
              </a:solidFill>
              <a:prstDash val="sysDot"/>
            </a:ln>
          </c:spPr>
          <c:marker>
            <c:symbol val="square"/>
            <c:size val="4"/>
            <c:spPr>
              <a:solidFill>
                <a:schemeClr val="accent2"/>
              </a:solidFill>
              <a:ln>
                <a:solidFill>
                  <a:schemeClr val="tx1"/>
                </a:solidFill>
              </a:ln>
            </c:spPr>
          </c:marker>
          <c:dLbls>
            <c:dLbl>
              <c:idx val="1"/>
              <c:layout>
                <c:manualLayout>
                  <c:x val="-5.1542207792207834E-2"/>
                  <c:y val="-4.7410649161196208E-2"/>
                </c:manualLayout>
              </c:layout>
              <c:dLblPos val="r"/>
              <c:showLegendKey val="0"/>
              <c:showVal val="1"/>
              <c:showCatName val="0"/>
              <c:showSerName val="0"/>
              <c:showPercent val="0"/>
              <c:showBubbleSize val="0"/>
            </c:dLbl>
            <c:txPr>
              <a:bodyPr/>
              <a:lstStyle/>
              <a:p>
                <a:pPr>
                  <a:defRPr b="1">
                    <a:solidFill>
                      <a:schemeClr val="accent2"/>
                    </a:solidFill>
                  </a:defRPr>
                </a:pPr>
                <a:endParaRPr lang="pt-BR"/>
              </a:p>
            </c:txPr>
            <c:dLblPos val="t"/>
            <c:showLegendKey val="0"/>
            <c:showVal val="1"/>
            <c:showCatName val="0"/>
            <c:showSerName val="0"/>
            <c:showPercent val="0"/>
            <c:showBubbleSize val="0"/>
            <c:showLeaderLines val="0"/>
          </c:dLbls>
          <c:cat>
            <c:numRef>
              <c:f>para_graficos!$AG$3:$AJ$3</c:f>
              <c:numCache>
                <c:formatCode>General</c:formatCode>
                <c:ptCount val="4"/>
                <c:pt idx="0">
                  <c:v>2011</c:v>
                </c:pt>
                <c:pt idx="1">
                  <c:v>2012</c:v>
                </c:pt>
                <c:pt idx="2">
                  <c:v>2013</c:v>
                </c:pt>
                <c:pt idx="3">
                  <c:v>2014</c:v>
                </c:pt>
              </c:numCache>
            </c:numRef>
          </c:cat>
          <c:val>
            <c:numRef>
              <c:f>para_graficos!$AG$542:$AJ$542</c:f>
              <c:numCache>
                <c:formatCode>0.00</c:formatCode>
                <c:ptCount val="4"/>
                <c:pt idx="0">
                  <c:v>14.168105833235526</c:v>
                </c:pt>
                <c:pt idx="1">
                  <c:v>10.351513178352816</c:v>
                </c:pt>
                <c:pt idx="2">
                  <c:v>9.3176533227921503</c:v>
                </c:pt>
              </c:numCache>
            </c:numRef>
          </c:val>
          <c:smooth val="0"/>
        </c:ser>
        <c:ser>
          <c:idx val="1"/>
          <c:order val="1"/>
          <c:tx>
            <c:v>M por 100 mil habit.</c:v>
          </c:tx>
          <c:spPr>
            <a:ln w="22225">
              <a:solidFill>
                <a:schemeClr val="tx1"/>
              </a:solidFill>
            </a:ln>
          </c:spPr>
          <c:marker>
            <c:symbol val="square"/>
            <c:size val="7"/>
            <c:spPr>
              <a:solidFill>
                <a:schemeClr val="bg1"/>
              </a:solidFill>
              <a:ln>
                <a:solidFill>
                  <a:schemeClr val="tx1"/>
                </a:solidFill>
              </a:ln>
            </c:spPr>
          </c:marker>
          <c:dLbls>
            <c:txPr>
              <a:bodyPr/>
              <a:lstStyle/>
              <a:p>
                <a:pPr>
                  <a:defRPr b="1"/>
                </a:pPr>
                <a:endParaRPr lang="pt-BR"/>
              </a:p>
            </c:txPr>
            <c:dLblPos val="t"/>
            <c:showLegendKey val="0"/>
            <c:showVal val="1"/>
            <c:showCatName val="0"/>
            <c:showSerName val="0"/>
            <c:showPercent val="0"/>
            <c:showBubbleSize val="0"/>
            <c:showLeaderLines val="0"/>
          </c:dLbls>
          <c:cat>
            <c:numRef>
              <c:f>para_graficos!$AG$3:$AJ$3</c:f>
              <c:numCache>
                <c:formatCode>General</c:formatCode>
                <c:ptCount val="4"/>
                <c:pt idx="0">
                  <c:v>2011</c:v>
                </c:pt>
                <c:pt idx="1">
                  <c:v>2012</c:v>
                </c:pt>
                <c:pt idx="2">
                  <c:v>2013</c:v>
                </c:pt>
                <c:pt idx="3">
                  <c:v>2014</c:v>
                </c:pt>
              </c:numCache>
            </c:numRef>
          </c:cat>
          <c:val>
            <c:numRef>
              <c:f>para_graficos!$AG$526:$AJ$526</c:f>
              <c:numCache>
                <c:formatCode>0.00</c:formatCode>
                <c:ptCount val="4"/>
                <c:pt idx="0">
                  <c:v>9.0960916148287243</c:v>
                </c:pt>
                <c:pt idx="1">
                  <c:v>7.4714550763111047</c:v>
                </c:pt>
                <c:pt idx="2">
                  <c:v>6.8571474669898933</c:v>
                </c:pt>
                <c:pt idx="3">
                  <c:v>7.1052691793092952</c:v>
                </c:pt>
              </c:numCache>
            </c:numRef>
          </c:val>
          <c:smooth val="0"/>
        </c:ser>
        <c:dLbls>
          <c:showLegendKey val="0"/>
          <c:showVal val="0"/>
          <c:showCatName val="0"/>
          <c:showSerName val="0"/>
          <c:showPercent val="0"/>
          <c:showBubbleSize val="0"/>
        </c:dLbls>
        <c:marker val="1"/>
        <c:smooth val="0"/>
        <c:axId val="136110464"/>
        <c:axId val="136112000"/>
      </c:lineChart>
      <c:catAx>
        <c:axId val="136110464"/>
        <c:scaling>
          <c:orientation val="minMax"/>
        </c:scaling>
        <c:delete val="0"/>
        <c:axPos val="b"/>
        <c:numFmt formatCode="General" sourceLinked="1"/>
        <c:majorTickMark val="out"/>
        <c:minorTickMark val="none"/>
        <c:tickLblPos val="nextTo"/>
        <c:crossAx val="136112000"/>
        <c:crosses val="autoZero"/>
        <c:auto val="1"/>
        <c:lblAlgn val="ctr"/>
        <c:lblOffset val="100"/>
        <c:noMultiLvlLbl val="0"/>
      </c:catAx>
      <c:valAx>
        <c:axId val="136112000"/>
        <c:scaling>
          <c:orientation val="minMax"/>
        </c:scaling>
        <c:delete val="0"/>
        <c:axPos val="l"/>
        <c:numFmt formatCode="0" sourceLinked="0"/>
        <c:majorTickMark val="out"/>
        <c:minorTickMark val="out"/>
        <c:tickLblPos val="nextTo"/>
        <c:crossAx val="136110464"/>
        <c:crosses val="autoZero"/>
        <c:crossBetween val="between"/>
      </c:valAx>
    </c:plotArea>
    <c:legend>
      <c:legendPos val="r"/>
      <c:layout>
        <c:manualLayout>
          <c:xMode val="edge"/>
          <c:yMode val="edge"/>
          <c:x val="0.72377669552669555"/>
          <c:y val="0.32803161092828387"/>
          <c:w val="0.27622323525348808"/>
          <c:h val="0.38741076402648789"/>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747524980430078E-2"/>
          <c:y val="3.2093362509117436E-2"/>
          <c:w val="0.6434941904191801"/>
          <c:h val="0.87326039387308529"/>
        </c:manualLayout>
      </c:layout>
      <c:lineChart>
        <c:grouping val="standard"/>
        <c:varyColors val="0"/>
        <c:ser>
          <c:idx val="4"/>
          <c:order val="0"/>
          <c:tx>
            <c:v>M30 por 10 mil veíc.</c:v>
          </c:tx>
          <c:spPr>
            <a:ln w="25400">
              <a:solidFill>
                <a:schemeClr val="accent2"/>
              </a:solidFill>
              <a:prstDash val="sysDot"/>
            </a:ln>
          </c:spPr>
          <c:marker>
            <c:symbol val="circle"/>
            <c:size val="4"/>
            <c:spPr>
              <a:solidFill>
                <a:schemeClr val="accent2"/>
              </a:solidFill>
              <a:ln>
                <a:solidFill>
                  <a:schemeClr val="tx1"/>
                </a:solidFill>
                <a:prstDash val="solid"/>
              </a:ln>
            </c:spPr>
          </c:marker>
          <c:dLbls>
            <c:dLbl>
              <c:idx val="1"/>
              <c:layout>
                <c:manualLayout>
                  <c:x val="-4.0088383838383881E-2"/>
                  <c:y val="-3.574033552151714E-2"/>
                </c:manualLayout>
              </c:layout>
              <c:dLblPos val="r"/>
              <c:showLegendKey val="0"/>
              <c:showVal val="1"/>
              <c:showCatName val="0"/>
              <c:showSerName val="0"/>
              <c:showPercent val="0"/>
              <c:showBubbleSize val="0"/>
            </c:dLbl>
            <c:txPr>
              <a:bodyPr/>
              <a:lstStyle/>
              <a:p>
                <a:pPr>
                  <a:defRPr b="1">
                    <a:solidFill>
                      <a:schemeClr val="accent2"/>
                    </a:solidFill>
                  </a:defRPr>
                </a:pPr>
                <a:endParaRPr lang="pt-BR"/>
              </a:p>
            </c:txPr>
            <c:dLblPos val="t"/>
            <c:showLegendKey val="0"/>
            <c:showVal val="1"/>
            <c:showCatName val="0"/>
            <c:showSerName val="0"/>
            <c:showPercent val="0"/>
            <c:showBubbleSize val="0"/>
            <c:showLeaderLines val="0"/>
          </c:dLbls>
          <c:cat>
            <c:numRef>
              <c:f>para_graficos!$AG$3:$AJ$3</c:f>
              <c:numCache>
                <c:formatCode>General</c:formatCode>
                <c:ptCount val="4"/>
                <c:pt idx="0">
                  <c:v>2011</c:v>
                </c:pt>
                <c:pt idx="1">
                  <c:v>2012</c:v>
                </c:pt>
                <c:pt idx="2">
                  <c:v>2013</c:v>
                </c:pt>
                <c:pt idx="3">
                  <c:v>2014</c:v>
                </c:pt>
              </c:numCache>
            </c:numRef>
          </c:cat>
          <c:val>
            <c:numRef>
              <c:f>para_graficos!$AG$541:$AJ$541</c:f>
              <c:numCache>
                <c:formatCode>0.00</c:formatCode>
                <c:ptCount val="4"/>
                <c:pt idx="0">
                  <c:v>2.3638595251999313</c:v>
                </c:pt>
                <c:pt idx="1">
                  <c:v>1.6452878756215441</c:v>
                </c:pt>
                <c:pt idx="2">
                  <c:v>1.4614472123368922</c:v>
                </c:pt>
              </c:numCache>
            </c:numRef>
          </c:val>
          <c:smooth val="0"/>
        </c:ser>
        <c:ser>
          <c:idx val="0"/>
          <c:order val="1"/>
          <c:tx>
            <c:v>M por10 mil veíc.</c:v>
          </c:tx>
          <c:spPr>
            <a:ln w="19050">
              <a:solidFill>
                <a:schemeClr val="tx1"/>
              </a:solidFill>
              <a:prstDash val="solid"/>
            </a:ln>
          </c:spPr>
          <c:marker>
            <c:symbol val="circle"/>
            <c:size val="5"/>
            <c:spPr>
              <a:solidFill>
                <a:schemeClr val="tx1"/>
              </a:solidFill>
              <a:ln>
                <a:solidFill>
                  <a:schemeClr val="tx1"/>
                </a:solidFill>
              </a:ln>
            </c:spPr>
          </c:marker>
          <c:dLbls>
            <c:dLbl>
              <c:idx val="1"/>
              <c:layout>
                <c:manualLayout>
                  <c:x val="-6.5286796536796574E-2"/>
                  <c:y val="-4.3034281546316555E-2"/>
                </c:manualLayout>
              </c:layout>
              <c:dLblPos val="r"/>
              <c:showLegendKey val="0"/>
              <c:showVal val="1"/>
              <c:showCatName val="0"/>
              <c:showSerName val="0"/>
              <c:showPercent val="0"/>
              <c:showBubbleSize val="0"/>
            </c:dLbl>
            <c:txPr>
              <a:bodyPr/>
              <a:lstStyle/>
              <a:p>
                <a:pPr>
                  <a:defRPr b="1"/>
                </a:pPr>
                <a:endParaRPr lang="pt-BR"/>
              </a:p>
            </c:txPr>
            <c:dLblPos val="t"/>
            <c:showLegendKey val="0"/>
            <c:showVal val="1"/>
            <c:showCatName val="0"/>
            <c:showSerName val="0"/>
            <c:showPercent val="0"/>
            <c:showBubbleSize val="0"/>
            <c:showLeaderLines val="0"/>
          </c:dLbls>
          <c:cat>
            <c:numRef>
              <c:f>para_graficos!$AG$3:$AJ$3</c:f>
              <c:numCache>
                <c:formatCode>General</c:formatCode>
                <c:ptCount val="4"/>
                <c:pt idx="0">
                  <c:v>2011</c:v>
                </c:pt>
                <c:pt idx="1">
                  <c:v>2012</c:v>
                </c:pt>
                <c:pt idx="2">
                  <c:v>2013</c:v>
                </c:pt>
                <c:pt idx="3">
                  <c:v>2014</c:v>
                </c:pt>
              </c:numCache>
            </c:numRef>
          </c:cat>
          <c:val>
            <c:numRef>
              <c:f>para_graficos!$AG$525:$AJ$525</c:f>
              <c:numCache>
                <c:formatCode>0.00</c:formatCode>
                <c:ptCount val="4"/>
                <c:pt idx="0">
                  <c:v>1.5176257898472933</c:v>
                </c:pt>
                <c:pt idx="1">
                  <c:v>1.1875263295816789</c:v>
                </c:pt>
                <c:pt idx="2">
                  <c:v>1.0755239224990114</c:v>
                </c:pt>
                <c:pt idx="3">
                  <c:v>1.0844159623579002</c:v>
                </c:pt>
              </c:numCache>
            </c:numRef>
          </c:val>
          <c:smooth val="0"/>
        </c:ser>
        <c:dLbls>
          <c:showLegendKey val="0"/>
          <c:showVal val="0"/>
          <c:showCatName val="0"/>
          <c:showSerName val="0"/>
          <c:showPercent val="0"/>
          <c:showBubbleSize val="0"/>
        </c:dLbls>
        <c:marker val="1"/>
        <c:smooth val="0"/>
        <c:axId val="137645056"/>
        <c:axId val="137679616"/>
      </c:lineChart>
      <c:catAx>
        <c:axId val="137645056"/>
        <c:scaling>
          <c:orientation val="minMax"/>
        </c:scaling>
        <c:delete val="0"/>
        <c:axPos val="b"/>
        <c:numFmt formatCode="General" sourceLinked="1"/>
        <c:majorTickMark val="out"/>
        <c:minorTickMark val="none"/>
        <c:tickLblPos val="nextTo"/>
        <c:crossAx val="137679616"/>
        <c:crosses val="autoZero"/>
        <c:auto val="1"/>
        <c:lblAlgn val="ctr"/>
        <c:lblOffset val="100"/>
        <c:noMultiLvlLbl val="0"/>
      </c:catAx>
      <c:valAx>
        <c:axId val="137679616"/>
        <c:scaling>
          <c:orientation val="minMax"/>
        </c:scaling>
        <c:delete val="0"/>
        <c:axPos val="l"/>
        <c:numFmt formatCode="0.0" sourceLinked="0"/>
        <c:majorTickMark val="out"/>
        <c:minorTickMark val="out"/>
        <c:tickLblPos val="nextTo"/>
        <c:crossAx val="137645056"/>
        <c:crosses val="autoZero"/>
        <c:crossBetween val="between"/>
      </c:valAx>
    </c:plotArea>
    <c:legend>
      <c:legendPos val="r"/>
      <c:layout>
        <c:manualLayout>
          <c:xMode val="edge"/>
          <c:yMode val="edge"/>
          <c:x val="0.72377669552669555"/>
          <c:y val="0.31927887569852453"/>
          <c:w val="0.27622323525348808"/>
          <c:h val="0.34656466628761118"/>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60585409279985E-2"/>
          <c:y val="3.2093362509117436E-2"/>
          <c:w val="0.69953707540943344"/>
          <c:h val="0.87326039387308529"/>
        </c:manualLayout>
      </c:layout>
      <c:lineChart>
        <c:grouping val="standard"/>
        <c:varyColors val="0"/>
        <c:ser>
          <c:idx val="1"/>
          <c:order val="0"/>
          <c:tx>
            <c:v>n.º de acidentes com vítima AV</c:v>
          </c:tx>
          <c:spPr>
            <a:ln w="22225">
              <a:solidFill>
                <a:schemeClr val="tx1">
                  <a:lumMod val="50000"/>
                  <a:lumOff val="50000"/>
                </a:schemeClr>
              </a:solidFill>
            </a:ln>
          </c:spPr>
          <c:marker>
            <c:symbol val="square"/>
            <c:size val="7"/>
            <c:spPr>
              <a:solidFill>
                <a:schemeClr val="bg1">
                  <a:lumMod val="65000"/>
                </a:schemeClr>
              </a:solidFill>
              <a:ln>
                <a:solidFill>
                  <a:schemeClr val="tx1">
                    <a:lumMod val="85000"/>
                    <a:lumOff val="15000"/>
                  </a:schemeClr>
                </a:solidFill>
              </a:ln>
            </c:spPr>
          </c:marker>
          <c:dLbls>
            <c:dLbl>
              <c:idx val="0"/>
              <c:layout>
                <c:manualLayout>
                  <c:x val="-2.1624007060900265E-2"/>
                  <c:y val="3.7271448663853728E-2"/>
                </c:manualLayout>
              </c:layout>
              <c:dLblPos val="r"/>
              <c:showLegendKey val="0"/>
              <c:showVal val="1"/>
              <c:showCatName val="0"/>
              <c:showSerName val="0"/>
              <c:showPercent val="0"/>
              <c:showBubbleSize val="0"/>
            </c:dLbl>
            <c:dLbl>
              <c:idx val="2"/>
              <c:layout>
                <c:manualLayout>
                  <c:x val="-4.1041482789055603E-2"/>
                  <c:y val="-5.5555555555555552E-2"/>
                </c:manualLayout>
              </c:layout>
              <c:dLblPos val="r"/>
              <c:showLegendKey val="0"/>
              <c:showVal val="1"/>
              <c:showCatName val="0"/>
              <c:showSerName val="0"/>
              <c:showPercent val="0"/>
              <c:showBubbleSize val="0"/>
            </c:dLbl>
            <c:dLbl>
              <c:idx val="6"/>
              <c:delete val="1"/>
            </c:dLbl>
            <c:dLbl>
              <c:idx val="19"/>
              <c:dLblPos val="t"/>
              <c:showLegendKey val="0"/>
              <c:showVal val="1"/>
              <c:showCatName val="0"/>
              <c:showSerName val="0"/>
              <c:showPercent val="0"/>
              <c:showBubbleSize val="0"/>
            </c:dLbl>
            <c:dLbl>
              <c:idx val="22"/>
              <c:layout>
                <c:manualLayout>
                  <c:x val="-4.2806707855251543E-2"/>
                  <c:y val="3.1645569620253167E-2"/>
                </c:manualLayout>
              </c:layout>
              <c:dLblPos val="r"/>
              <c:showLegendKey val="0"/>
              <c:showVal val="1"/>
              <c:showCatName val="0"/>
              <c:showSerName val="0"/>
              <c:showPercent val="0"/>
              <c:showBubbleSize val="0"/>
            </c:dLbl>
            <c:dLbl>
              <c:idx val="23"/>
              <c:dLblPos val="t"/>
              <c:showLegendKey val="0"/>
              <c:showVal val="1"/>
              <c:showCatName val="0"/>
              <c:showSerName val="0"/>
              <c:showPercent val="0"/>
              <c:showBubbleSize val="0"/>
            </c:dLbl>
            <c:txPr>
              <a:bodyPr/>
              <a:lstStyle/>
              <a:p>
                <a:pPr>
                  <a:defRPr b="1"/>
                </a:pPr>
                <a:endParaRPr lang="pt-BR"/>
              </a:p>
            </c:txPr>
            <c:dLblPos val="t"/>
            <c:showLegendKey val="0"/>
            <c:showVal val="0"/>
            <c:showCatName val="0"/>
            <c:showSerName val="0"/>
            <c:showPercent val="0"/>
            <c:showBubbleSize val="0"/>
          </c:dLbls>
          <c:cat>
            <c:numRef>
              <c:f>(para_graficos!$K$3:$R$3,para_graficos!$T$3:$U$3,para_graficos!$W$3:$AJ$3)</c:f>
              <c:numCache>
                <c:formatCode>General</c:formatCode>
                <c:ptCount val="2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numCache>
            </c:numRef>
          </c:cat>
          <c:val>
            <c:numRef>
              <c:f>(para_graficos!$K$146:$R$146,para_graficos!$T$146:$U$146,para_graficos!$W$146:$AJ$146)</c:f>
              <c:numCache>
                <c:formatCode>#,##0</c:formatCode>
                <c:ptCount val="24"/>
                <c:pt idx="0">
                  <c:v>34045</c:v>
                </c:pt>
                <c:pt idx="1">
                  <c:v>39394</c:v>
                </c:pt>
                <c:pt idx="2">
                  <c:v>42995</c:v>
                </c:pt>
                <c:pt idx="3">
                  <c:v>38183</c:v>
                </c:pt>
                <c:pt idx="4">
                  <c:v>38547</c:v>
                </c:pt>
                <c:pt idx="5">
                  <c:v>24981</c:v>
                </c:pt>
                <c:pt idx="6">
                  <c:v>11154</c:v>
                </c:pt>
                <c:pt idx="7">
                  <c:v>11146</c:v>
                </c:pt>
                <c:pt idx="8">
                  <c:v>11485</c:v>
                </c:pt>
                <c:pt idx="9">
                  <c:v>11474</c:v>
                </c:pt>
                <c:pt idx="10">
                  <c:v>10911</c:v>
                </c:pt>
                <c:pt idx="11">
                  <c:v>9734</c:v>
                </c:pt>
                <c:pt idx="12">
                  <c:v>11889</c:v>
                </c:pt>
                <c:pt idx="13">
                  <c:v>13073</c:v>
                </c:pt>
                <c:pt idx="14">
                  <c:v>13594</c:v>
                </c:pt>
                <c:pt idx="15">
                  <c:v>13798</c:v>
                </c:pt>
                <c:pt idx="16">
                  <c:v>14991</c:v>
                </c:pt>
                <c:pt idx="17">
                  <c:v>15719</c:v>
                </c:pt>
                <c:pt idx="18">
                  <c:v>16377</c:v>
                </c:pt>
                <c:pt idx="19">
                  <c:v>16822</c:v>
                </c:pt>
                <c:pt idx="20">
                  <c:v>16294</c:v>
                </c:pt>
                <c:pt idx="21">
                  <c:v>15260</c:v>
                </c:pt>
                <c:pt idx="22">
                  <c:v>14145</c:v>
                </c:pt>
                <c:pt idx="23">
                  <c:v>14965</c:v>
                </c:pt>
              </c:numCache>
            </c:numRef>
          </c:val>
          <c:smooth val="1"/>
        </c:ser>
        <c:ser>
          <c:idx val="0"/>
          <c:order val="1"/>
          <c:tx>
            <c:v>n.º de acidentes com atropelamento de pessoa T</c:v>
          </c:tx>
          <c:spPr>
            <a:ln w="22225">
              <a:solidFill>
                <a:schemeClr val="tx1">
                  <a:lumMod val="50000"/>
                  <a:lumOff val="50000"/>
                </a:schemeClr>
              </a:solidFill>
            </a:ln>
          </c:spPr>
          <c:marker>
            <c:symbol val="diamond"/>
            <c:size val="7"/>
            <c:spPr>
              <a:solidFill>
                <a:schemeClr val="tx1">
                  <a:lumMod val="85000"/>
                  <a:lumOff val="15000"/>
                </a:schemeClr>
              </a:solidFill>
              <a:ln>
                <a:solidFill>
                  <a:schemeClr val="tx1">
                    <a:lumMod val="75000"/>
                    <a:lumOff val="25000"/>
                  </a:schemeClr>
                </a:solidFill>
              </a:ln>
            </c:spPr>
          </c:marker>
          <c:dLbls>
            <c:dLbl>
              <c:idx val="0"/>
              <c:layout>
                <c:manualLayout>
                  <c:x val="-2.9567519858781994E-2"/>
                  <c:y val="-3.3052039381153309E-2"/>
                </c:manualLayout>
              </c:layout>
              <c:dLblPos val="r"/>
              <c:showLegendKey val="0"/>
              <c:showVal val="1"/>
              <c:showCatName val="0"/>
              <c:showSerName val="0"/>
              <c:showPercent val="0"/>
              <c:showBubbleSize val="0"/>
            </c:dLbl>
            <c:dLbl>
              <c:idx val="2"/>
              <c:dLblPos val="t"/>
              <c:showLegendKey val="0"/>
              <c:showVal val="1"/>
              <c:showCatName val="0"/>
              <c:showSerName val="0"/>
              <c:showPercent val="0"/>
              <c:showBubbleSize val="0"/>
            </c:dLbl>
            <c:dLbl>
              <c:idx val="13"/>
              <c:dLblPos val="t"/>
              <c:showLegendKey val="0"/>
              <c:showVal val="1"/>
              <c:showCatName val="0"/>
              <c:showSerName val="0"/>
              <c:showPercent val="0"/>
              <c:showBubbleSize val="0"/>
            </c:dLbl>
            <c:dLbl>
              <c:idx val="22"/>
              <c:layout>
                <c:manualLayout>
                  <c:x val="-3.6628420123565757E-2"/>
                  <c:y val="-2.461322081575246E-2"/>
                </c:manualLayout>
              </c:layout>
              <c:dLblPos val="r"/>
              <c:showLegendKey val="0"/>
              <c:showVal val="1"/>
              <c:showCatName val="0"/>
              <c:showSerName val="0"/>
              <c:showPercent val="0"/>
              <c:showBubbleSize val="0"/>
            </c:dLbl>
            <c:dLbl>
              <c:idx val="23"/>
              <c:layout>
                <c:manualLayout>
                  <c:x val="-3.8393645189761696E-2"/>
                  <c:y val="2.3206751054852322E-2"/>
                </c:manualLayout>
              </c:layout>
              <c:dLblPos val="r"/>
              <c:showLegendKey val="0"/>
              <c:showVal val="1"/>
              <c:showCatName val="0"/>
              <c:showSerName val="0"/>
              <c:showPercent val="0"/>
              <c:showBubbleSize val="0"/>
            </c:dLbl>
            <c:txPr>
              <a:bodyPr/>
              <a:lstStyle/>
              <a:p>
                <a:pPr>
                  <a:defRPr b="1"/>
                </a:pPr>
                <a:endParaRPr lang="pt-BR"/>
              </a:p>
            </c:txPr>
            <c:dLblPos val="t"/>
            <c:showLegendKey val="0"/>
            <c:showVal val="0"/>
            <c:showCatName val="0"/>
            <c:showSerName val="0"/>
            <c:showPercent val="0"/>
            <c:showBubbleSize val="0"/>
          </c:dLbls>
          <c:cat>
            <c:numRef>
              <c:f>(para_graficos!$K$3:$R$3,para_graficos!$T$3:$U$3,para_graficos!$W$3:$AJ$3)</c:f>
              <c:numCache>
                <c:formatCode>General</c:formatCode>
                <c:ptCount val="2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numCache>
            </c:numRef>
          </c:cat>
          <c:val>
            <c:numRef>
              <c:f>(para_graficos!$K$741:$R$741,para_graficos!$T$741:$U$741,para_graficos!$W$741:$AJ$741)</c:f>
              <c:numCache>
                <c:formatCode>#,##0</c:formatCode>
                <c:ptCount val="24"/>
                <c:pt idx="0">
                  <c:v>4585</c:v>
                </c:pt>
                <c:pt idx="1">
                  <c:v>4219</c:v>
                </c:pt>
                <c:pt idx="2">
                  <c:v>5133</c:v>
                </c:pt>
                <c:pt idx="3">
                  <c:v>5146</c:v>
                </c:pt>
                <c:pt idx="4">
                  <c:v>4863</c:v>
                </c:pt>
                <c:pt idx="5">
                  <c:v>4843</c:v>
                </c:pt>
                <c:pt idx="6">
                  <c:v>4517</c:v>
                </c:pt>
                <c:pt idx="7">
                  <c:v>4551</c:v>
                </c:pt>
                <c:pt idx="8">
                  <c:v>4488</c:v>
                </c:pt>
                <c:pt idx="9">
                  <c:v>4148</c:v>
                </c:pt>
                <c:pt idx="10">
                  <c:v>3733</c:v>
                </c:pt>
                <c:pt idx="11">
                  <c:v>3268</c:v>
                </c:pt>
                <c:pt idx="12">
                  <c:v>3520</c:v>
                </c:pt>
                <c:pt idx="13">
                  <c:v>3581</c:v>
                </c:pt>
                <c:pt idx="14">
                  <c:v>3552</c:v>
                </c:pt>
                <c:pt idx="15">
                  <c:v>3335</c:v>
                </c:pt>
                <c:pt idx="16">
                  <c:v>3127</c:v>
                </c:pt>
                <c:pt idx="17">
                  <c:v>3087</c:v>
                </c:pt>
                <c:pt idx="18">
                  <c:v>3076</c:v>
                </c:pt>
                <c:pt idx="19">
                  <c:v>3116</c:v>
                </c:pt>
                <c:pt idx="20">
                  <c:v>2850</c:v>
                </c:pt>
                <c:pt idx="21">
                  <c:v>2559</c:v>
                </c:pt>
                <c:pt idx="22">
                  <c:v>2269</c:v>
                </c:pt>
                <c:pt idx="23">
                  <c:v>2260</c:v>
                </c:pt>
              </c:numCache>
            </c:numRef>
          </c:val>
          <c:smooth val="1"/>
        </c:ser>
        <c:dLbls>
          <c:showLegendKey val="0"/>
          <c:showVal val="0"/>
          <c:showCatName val="0"/>
          <c:showSerName val="0"/>
          <c:showPercent val="0"/>
          <c:showBubbleSize val="0"/>
        </c:dLbls>
        <c:marker val="1"/>
        <c:smooth val="0"/>
        <c:axId val="137703424"/>
        <c:axId val="137704960"/>
      </c:lineChart>
      <c:catAx>
        <c:axId val="137703424"/>
        <c:scaling>
          <c:orientation val="minMax"/>
        </c:scaling>
        <c:delete val="0"/>
        <c:axPos val="b"/>
        <c:numFmt formatCode="General" sourceLinked="1"/>
        <c:majorTickMark val="out"/>
        <c:minorTickMark val="none"/>
        <c:tickLblPos val="nextTo"/>
        <c:crossAx val="137704960"/>
        <c:crosses val="autoZero"/>
        <c:auto val="1"/>
        <c:lblAlgn val="ctr"/>
        <c:lblOffset val="100"/>
        <c:noMultiLvlLbl val="0"/>
      </c:catAx>
      <c:valAx>
        <c:axId val="137704960"/>
        <c:scaling>
          <c:orientation val="minMax"/>
        </c:scaling>
        <c:delete val="0"/>
        <c:axPos val="l"/>
        <c:majorGridlines/>
        <c:numFmt formatCode="#,##0" sourceLinked="0"/>
        <c:majorTickMark val="out"/>
        <c:minorTickMark val="out"/>
        <c:tickLblPos val="nextTo"/>
        <c:crossAx val="137703424"/>
        <c:crosses val="autoZero"/>
        <c:crossBetween val="between"/>
      </c:valAx>
    </c:plotArea>
    <c:legend>
      <c:legendPos val="r"/>
      <c:layout>
        <c:manualLayout>
          <c:xMode val="edge"/>
          <c:yMode val="edge"/>
          <c:x val="0.79019493177387912"/>
          <c:y val="0.61680754894697243"/>
          <c:w val="0.1883625730994152"/>
          <c:h val="0.35260887793839774"/>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DMtc(P.Op.) em BH</c:v>
          </c:tx>
          <c:spPr>
            <a:ln w="25400">
              <a:solidFill>
                <a:schemeClr val="accent1"/>
              </a:solidFill>
            </a:ln>
          </c:spPr>
          <c:marker>
            <c:symbol val="circle"/>
            <c:size val="7"/>
            <c:spPr>
              <a:solidFill>
                <a:schemeClr val="tx2">
                  <a:lumMod val="60000"/>
                  <a:lumOff val="40000"/>
                </a:schemeClr>
              </a:solidFill>
              <a:ln>
                <a:solidFill>
                  <a:schemeClr val="accent1">
                    <a:lumMod val="75000"/>
                  </a:schemeClr>
                </a:solidFill>
              </a:ln>
            </c:spPr>
          </c:marker>
          <c:dLbls>
            <c:numFmt formatCode="#,##0" sourceLinked="0"/>
            <c:txPr>
              <a:bodyPr/>
              <a:lstStyle/>
              <a:p>
                <a:pPr>
                  <a:defRPr sz="900" b="1"/>
                </a:pPr>
                <a:endParaRPr lang="pt-BR"/>
              </a:p>
            </c:txPr>
            <c:dLblPos val="b"/>
            <c:showLegendKey val="0"/>
            <c:showVal val="1"/>
            <c:showCatName val="0"/>
            <c:showSerName val="0"/>
            <c:showPercent val="0"/>
            <c:showBubbleSize val="0"/>
            <c:showLeaderLines val="0"/>
          </c:dLbls>
          <c:cat>
            <c:numRef>
              <c:f>(para_graficos!$O$3:$Q$3,para_graficos!$S$3,para_graficos!$T$3:$U$3,para_graficos!$W$3:$AK$3)</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(para_graficos!$O$220:$Q$220,para_graficos!$S$220:$U$220,para_graficos!$W$220:$AK$220)</c:f>
              <c:numCache>
                <c:formatCode>0.00</c:formatCode>
                <c:ptCount val="21"/>
                <c:pt idx="1">
                  <c:v>76</c:v>
                </c:pt>
                <c:pt idx="5">
                  <c:v>79</c:v>
                </c:pt>
                <c:pt idx="6">
                  <c:v>80.790000000000006</c:v>
                </c:pt>
                <c:pt idx="7">
                  <c:v>80.45</c:v>
                </c:pt>
                <c:pt idx="8">
                  <c:v>79.63</c:v>
                </c:pt>
                <c:pt idx="9">
                  <c:v>76.83</c:v>
                </c:pt>
                <c:pt idx="10">
                  <c:v>80</c:v>
                </c:pt>
                <c:pt idx="11">
                  <c:v>70.540000000000006</c:v>
                </c:pt>
                <c:pt idx="12">
                  <c:v>74.97</c:v>
                </c:pt>
                <c:pt idx="13">
                  <c:v>69.769999999999982</c:v>
                </c:pt>
                <c:pt idx="15">
                  <c:v>67.850000000000009</c:v>
                </c:pt>
                <c:pt idx="18">
                  <c:v>67.190000000000012</c:v>
                </c:pt>
                <c:pt idx="20" formatCode="General">
                  <c:v>63.4</c:v>
                </c:pt>
              </c:numCache>
            </c:numRef>
          </c:val>
          <c:smooth val="0"/>
        </c:ser>
        <c:dLbls>
          <c:showLegendKey val="0"/>
          <c:showVal val="0"/>
          <c:showCatName val="0"/>
          <c:showSerName val="0"/>
          <c:showPercent val="0"/>
          <c:showBubbleSize val="0"/>
        </c:dLbls>
        <c:marker val="1"/>
        <c:smooth val="0"/>
        <c:axId val="110995328"/>
        <c:axId val="110996864"/>
      </c:lineChart>
      <c:catAx>
        <c:axId val="110995328"/>
        <c:scaling>
          <c:orientation val="minMax"/>
        </c:scaling>
        <c:delete val="0"/>
        <c:axPos val="b"/>
        <c:numFmt formatCode="General" sourceLinked="1"/>
        <c:majorTickMark val="out"/>
        <c:minorTickMark val="none"/>
        <c:tickLblPos val="nextTo"/>
        <c:txPr>
          <a:bodyPr rot="-2220000"/>
          <a:lstStyle/>
          <a:p>
            <a:pPr>
              <a:defRPr b="1"/>
            </a:pPr>
            <a:endParaRPr lang="pt-BR"/>
          </a:p>
        </c:txPr>
        <c:crossAx val="110996864"/>
        <c:crosses val="autoZero"/>
        <c:auto val="1"/>
        <c:lblAlgn val="ctr"/>
        <c:lblOffset val="100"/>
        <c:noMultiLvlLbl val="0"/>
      </c:catAx>
      <c:valAx>
        <c:axId val="110996864"/>
        <c:scaling>
          <c:orientation val="minMax"/>
        </c:scaling>
        <c:delete val="0"/>
        <c:axPos val="l"/>
        <c:title>
          <c:tx>
            <c:rich>
              <a:bodyPr rot="0" vert="horz"/>
              <a:lstStyle/>
              <a:p>
                <a:pPr>
                  <a:defRPr sz="1200"/>
                </a:pPr>
                <a:r>
                  <a:rPr lang="en-US" sz="1200"/>
                  <a:t>%</a:t>
                </a:r>
              </a:p>
            </c:rich>
          </c:tx>
          <c:overlay val="0"/>
        </c:title>
        <c:numFmt formatCode="0" sourceLinked="0"/>
        <c:majorTickMark val="out"/>
        <c:minorTickMark val="none"/>
        <c:tickLblPos val="nextTo"/>
        <c:txPr>
          <a:bodyPr/>
          <a:lstStyle/>
          <a:p>
            <a:pPr>
              <a:defRPr b="1"/>
            </a:pPr>
            <a:endParaRPr lang="pt-BR"/>
          </a:p>
        </c:txPr>
        <c:crossAx val="110995328"/>
        <c:crosses val="autoZero"/>
        <c:crossBetween val="between"/>
      </c:valAx>
    </c:plotArea>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M30 por 10 mil veículos em Belo Horizonte</c:v>
          </c:tx>
          <c:spPr>
            <a:ln w="19050">
              <a:solidFill>
                <a:schemeClr val="tx1"/>
              </a:solidFill>
              <a:prstDash val="sysDot"/>
            </a:ln>
          </c:spPr>
          <c:marker>
            <c:symbol val="circle"/>
            <c:size val="7"/>
            <c:spPr>
              <a:solidFill>
                <a:schemeClr val="tx1"/>
              </a:solidFill>
              <a:ln>
                <a:solidFill>
                  <a:schemeClr val="tx1"/>
                </a:solidFill>
              </a:ln>
            </c:spPr>
          </c:marker>
          <c:dLbls>
            <c:dLbl>
              <c:idx val="2"/>
              <c:layout>
                <c:manualLayout>
                  <c:x val="-8.0176767676767673E-4"/>
                  <c:y val="4.5215562565720298E-2"/>
                </c:manualLayout>
              </c:layout>
              <c:dLblPos val="r"/>
              <c:showLegendKey val="0"/>
              <c:showVal val="1"/>
              <c:showCatName val="0"/>
              <c:showSerName val="0"/>
              <c:showPercent val="0"/>
              <c:showBubbleSize val="0"/>
            </c:dLbl>
            <c:txPr>
              <a:bodyPr/>
              <a:lstStyle/>
              <a:p>
                <a:pPr>
                  <a:defRPr b="1"/>
                </a:pPr>
                <a:endParaRPr lang="pt-BR"/>
              </a:p>
            </c:txPr>
            <c:dLblPos val="b"/>
            <c:showLegendKey val="0"/>
            <c:showVal val="1"/>
            <c:showCatName val="0"/>
            <c:showSerName val="0"/>
            <c:showPercent val="0"/>
            <c:showBubbleSize val="0"/>
            <c:showLeaderLines val="0"/>
          </c:dLbls>
          <c:cat>
            <c:numRef>
              <c:f>para_graficos!$AE$3:$AJ$3</c:f>
              <c:numCache>
                <c:formatCode>General</c:formatCode>
                <c:ptCount val="6"/>
                <c:pt idx="0">
                  <c:v>2009</c:v>
                </c:pt>
                <c:pt idx="1">
                  <c:v>2010</c:v>
                </c:pt>
                <c:pt idx="2">
                  <c:v>2011</c:v>
                </c:pt>
                <c:pt idx="3">
                  <c:v>2012</c:v>
                </c:pt>
                <c:pt idx="4">
                  <c:v>2013</c:v>
                </c:pt>
                <c:pt idx="5">
                  <c:v>2014</c:v>
                </c:pt>
              </c:numCache>
            </c:numRef>
          </c:cat>
          <c:val>
            <c:numRef>
              <c:f>para_graficos!$AE$541:$AJ$541</c:f>
              <c:numCache>
                <c:formatCode>General</c:formatCode>
                <c:ptCount val="6"/>
                <c:pt idx="2" formatCode="0.00">
                  <c:v>2.3638595251999313</c:v>
                </c:pt>
                <c:pt idx="3" formatCode="0.00">
                  <c:v>1.6452878756215441</c:v>
                </c:pt>
                <c:pt idx="4" formatCode="0.00">
                  <c:v>1.4614472123368922</c:v>
                </c:pt>
              </c:numCache>
            </c:numRef>
          </c:val>
          <c:smooth val="0"/>
        </c:ser>
        <c:ser>
          <c:idx val="3"/>
          <c:order val="1"/>
          <c:tx>
            <c:v>Mortes no trânsito por 10 mil veículos em São Paulo</c:v>
          </c:tx>
          <c:spPr>
            <a:ln>
              <a:solidFill>
                <a:schemeClr val="tx1">
                  <a:lumMod val="50000"/>
                  <a:lumOff val="50000"/>
                </a:schemeClr>
              </a:solidFill>
            </a:ln>
          </c:spPr>
          <c:marker>
            <c:symbol val="diamond"/>
            <c:size val="7"/>
            <c:spPr>
              <a:solidFill>
                <a:schemeClr val="bg1">
                  <a:lumMod val="65000"/>
                </a:schemeClr>
              </a:solidFill>
              <a:ln>
                <a:solidFill>
                  <a:schemeClr val="tx1">
                    <a:lumMod val="85000"/>
                    <a:lumOff val="15000"/>
                  </a:schemeClr>
                </a:solidFill>
              </a:ln>
            </c:spPr>
          </c:marker>
          <c:dLbls>
            <c:dLbl>
              <c:idx val="3"/>
              <c:layout>
                <c:manualLayout>
                  <c:x val="-3.9286616161616161E-2"/>
                  <c:y val="-5.783385909568875E-2"/>
                </c:manualLayout>
              </c:layout>
              <c:dLblPos val="r"/>
              <c:showLegendKey val="0"/>
              <c:showVal val="1"/>
              <c:showCatName val="0"/>
              <c:showSerName val="0"/>
              <c:showPercent val="0"/>
              <c:showBubbleSize val="0"/>
            </c:dLbl>
            <c:txPr>
              <a:bodyPr/>
              <a:lstStyle/>
              <a:p>
                <a:pPr>
                  <a:defRPr sz="900"/>
                </a:pPr>
                <a:endParaRPr lang="pt-BR"/>
              </a:p>
            </c:txPr>
            <c:dLblPos val="t"/>
            <c:showLegendKey val="0"/>
            <c:showVal val="1"/>
            <c:showCatName val="0"/>
            <c:showSerName val="0"/>
            <c:showPercent val="0"/>
            <c:showBubbleSize val="0"/>
            <c:showLeaderLines val="0"/>
          </c:dLbls>
          <c:cat>
            <c:numRef>
              <c:f>para_graficos!$AE$3:$AJ$3</c:f>
              <c:numCache>
                <c:formatCode>General</c:formatCode>
                <c:ptCount val="6"/>
                <c:pt idx="0">
                  <c:v>2009</c:v>
                </c:pt>
                <c:pt idx="1">
                  <c:v>2010</c:v>
                </c:pt>
                <c:pt idx="2">
                  <c:v>2011</c:v>
                </c:pt>
                <c:pt idx="3">
                  <c:v>2012</c:v>
                </c:pt>
                <c:pt idx="4">
                  <c:v>2013</c:v>
                </c:pt>
                <c:pt idx="5">
                  <c:v>2014</c:v>
                </c:pt>
              </c:numCache>
            </c:numRef>
          </c:cat>
          <c:val>
            <c:numRef>
              <c:f>para_graficos!$AE$546:$AJ$546</c:f>
              <c:numCache>
                <c:formatCode>0.00</c:formatCode>
                <c:ptCount val="6"/>
                <c:pt idx="0">
                  <c:v>2.0712184414575803</c:v>
                </c:pt>
                <c:pt idx="1">
                  <c:v>1.966068013203516</c:v>
                </c:pt>
                <c:pt idx="2">
                  <c:v>1.8993354969524363</c:v>
                </c:pt>
                <c:pt idx="3">
                  <c:v>1.6718251958045471</c:v>
                </c:pt>
                <c:pt idx="4">
                  <c:v>1.5203473148977145</c:v>
                </c:pt>
                <c:pt idx="5">
                  <c:v>1.5834602066561363</c:v>
                </c:pt>
              </c:numCache>
            </c:numRef>
          </c:val>
          <c:smooth val="0"/>
        </c:ser>
        <c:dLbls>
          <c:showLegendKey val="0"/>
          <c:showVal val="0"/>
          <c:showCatName val="0"/>
          <c:showSerName val="0"/>
          <c:showPercent val="0"/>
          <c:showBubbleSize val="0"/>
        </c:dLbls>
        <c:marker val="1"/>
        <c:smooth val="0"/>
        <c:axId val="137750016"/>
        <c:axId val="137751552"/>
      </c:lineChart>
      <c:catAx>
        <c:axId val="137750016"/>
        <c:scaling>
          <c:orientation val="minMax"/>
        </c:scaling>
        <c:delete val="0"/>
        <c:axPos val="b"/>
        <c:numFmt formatCode="General" sourceLinked="1"/>
        <c:majorTickMark val="out"/>
        <c:minorTickMark val="none"/>
        <c:tickLblPos val="nextTo"/>
        <c:crossAx val="137751552"/>
        <c:crosses val="autoZero"/>
        <c:auto val="1"/>
        <c:lblAlgn val="ctr"/>
        <c:lblOffset val="100"/>
        <c:noMultiLvlLbl val="0"/>
      </c:catAx>
      <c:valAx>
        <c:axId val="137751552"/>
        <c:scaling>
          <c:orientation val="minMax"/>
          <c:min val="1"/>
        </c:scaling>
        <c:delete val="0"/>
        <c:axPos val="l"/>
        <c:numFmt formatCode="#,##0.00" sourceLinked="0"/>
        <c:majorTickMark val="out"/>
        <c:minorTickMark val="none"/>
        <c:tickLblPos val="nextTo"/>
        <c:crossAx val="137750016"/>
        <c:crosses val="autoZero"/>
        <c:crossBetween val="between"/>
      </c:valAx>
    </c:plotArea>
    <c:legend>
      <c:legendPos val="r"/>
      <c:layout>
        <c:manualLayout>
          <c:xMode val="edge"/>
          <c:yMode val="edge"/>
          <c:x val="0.65812379702537183"/>
          <c:y val="0.51636940731245795"/>
          <c:w val="0.32520953630796151"/>
          <c:h val="0.39447882968117359"/>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M30 por 100 mil habitantes em Belo Horizonte</c:v>
          </c:tx>
          <c:spPr>
            <a:ln w="19050">
              <a:solidFill>
                <a:schemeClr val="tx1"/>
              </a:solidFill>
              <a:prstDash val="sysDot"/>
            </a:ln>
          </c:spPr>
          <c:marker>
            <c:symbol val="square"/>
            <c:size val="7"/>
            <c:spPr>
              <a:solidFill>
                <a:schemeClr val="bg1"/>
              </a:solidFill>
              <a:ln>
                <a:solidFill>
                  <a:schemeClr val="tx1"/>
                </a:solidFill>
              </a:ln>
            </c:spPr>
          </c:marker>
          <c:dLbls>
            <c:dLbl>
              <c:idx val="2"/>
              <c:layout>
                <c:manualLayout>
                  <c:x val="-9.5348837209302359E-2"/>
                  <c:y val="5.3124999999999999E-2"/>
                </c:manualLayout>
              </c:layout>
              <c:dLblPos val="r"/>
              <c:showLegendKey val="0"/>
              <c:showVal val="1"/>
              <c:showCatName val="0"/>
              <c:showSerName val="0"/>
              <c:showPercent val="0"/>
              <c:showBubbleSize val="0"/>
            </c:dLbl>
            <c:txPr>
              <a:bodyPr/>
              <a:lstStyle/>
              <a:p>
                <a:pPr>
                  <a:defRPr b="1"/>
                </a:pPr>
                <a:endParaRPr lang="pt-BR"/>
              </a:p>
            </c:txPr>
            <c:dLblPos val="b"/>
            <c:showLegendKey val="0"/>
            <c:showVal val="1"/>
            <c:showCatName val="0"/>
            <c:showSerName val="0"/>
            <c:showPercent val="0"/>
            <c:showBubbleSize val="0"/>
            <c:showLeaderLines val="0"/>
          </c:dLbls>
          <c:cat>
            <c:numRef>
              <c:f>para_graficos!$AE$3:$AJ$3</c:f>
              <c:numCache>
                <c:formatCode>General</c:formatCode>
                <c:ptCount val="6"/>
                <c:pt idx="0">
                  <c:v>2009</c:v>
                </c:pt>
                <c:pt idx="1">
                  <c:v>2010</c:v>
                </c:pt>
                <c:pt idx="2">
                  <c:v>2011</c:v>
                </c:pt>
                <c:pt idx="3">
                  <c:v>2012</c:v>
                </c:pt>
                <c:pt idx="4">
                  <c:v>2013</c:v>
                </c:pt>
                <c:pt idx="5">
                  <c:v>2014</c:v>
                </c:pt>
              </c:numCache>
            </c:numRef>
          </c:cat>
          <c:val>
            <c:numRef>
              <c:f>para_graficos!$AE$542:$AJ$542</c:f>
              <c:numCache>
                <c:formatCode>General</c:formatCode>
                <c:ptCount val="6"/>
                <c:pt idx="2" formatCode="0.00">
                  <c:v>14.168105833235526</c:v>
                </c:pt>
                <c:pt idx="3" formatCode="0.00">
                  <c:v>10.351513178352816</c:v>
                </c:pt>
                <c:pt idx="4" formatCode="0.00">
                  <c:v>9.3176533227921503</c:v>
                </c:pt>
              </c:numCache>
            </c:numRef>
          </c:val>
          <c:smooth val="0"/>
        </c:ser>
        <c:ser>
          <c:idx val="1"/>
          <c:order val="1"/>
          <c:tx>
            <c:v>Mortes no trânsito por 100 mil habitantes em São Paulo</c:v>
          </c:tx>
          <c:spPr>
            <a:ln>
              <a:solidFill>
                <a:schemeClr val="tx1">
                  <a:lumMod val="50000"/>
                  <a:lumOff val="50000"/>
                </a:schemeClr>
              </a:solidFill>
            </a:ln>
          </c:spPr>
          <c:marker>
            <c:symbol val="diamond"/>
            <c:size val="6"/>
            <c:spPr>
              <a:solidFill>
                <a:sysClr val="window" lastClr="FFFFFF"/>
              </a:solidFill>
              <a:ln>
                <a:solidFill>
                  <a:schemeClr val="tx1">
                    <a:lumMod val="85000"/>
                    <a:lumOff val="15000"/>
                  </a:schemeClr>
                </a:solidFill>
              </a:ln>
            </c:spPr>
          </c:marker>
          <c:dLbls>
            <c:dLbl>
              <c:idx val="3"/>
              <c:layout>
                <c:manualLayout>
                  <c:x val="-3.4496246108771285E-2"/>
                  <c:y val="-5.6968832020997374E-2"/>
                </c:manualLayout>
              </c:layout>
              <c:dLblPos val="r"/>
              <c:showLegendKey val="0"/>
              <c:showVal val="1"/>
              <c:showCatName val="0"/>
              <c:showSerName val="0"/>
              <c:showPercent val="0"/>
              <c:showBubbleSize val="0"/>
            </c:dLbl>
            <c:txPr>
              <a:bodyPr/>
              <a:lstStyle/>
              <a:p>
                <a:pPr>
                  <a:defRPr sz="900" b="0"/>
                </a:pPr>
                <a:endParaRPr lang="pt-BR"/>
              </a:p>
            </c:txPr>
            <c:dLblPos val="t"/>
            <c:showLegendKey val="0"/>
            <c:showVal val="1"/>
            <c:showCatName val="0"/>
            <c:showSerName val="0"/>
            <c:showPercent val="0"/>
            <c:showBubbleSize val="0"/>
            <c:showLeaderLines val="0"/>
          </c:dLbls>
          <c:cat>
            <c:numRef>
              <c:f>para_graficos!$AE$3:$AJ$3</c:f>
              <c:numCache>
                <c:formatCode>General</c:formatCode>
                <c:ptCount val="6"/>
                <c:pt idx="0">
                  <c:v>2009</c:v>
                </c:pt>
                <c:pt idx="1">
                  <c:v>2010</c:v>
                </c:pt>
                <c:pt idx="2">
                  <c:v>2011</c:v>
                </c:pt>
                <c:pt idx="3">
                  <c:v>2012</c:v>
                </c:pt>
                <c:pt idx="4">
                  <c:v>2013</c:v>
                </c:pt>
                <c:pt idx="5">
                  <c:v>2014</c:v>
                </c:pt>
              </c:numCache>
            </c:numRef>
          </c:cat>
          <c:val>
            <c:numRef>
              <c:f>para_graficos!$AE$547:$AJ$547</c:f>
              <c:numCache>
                <c:formatCode>0.00</c:formatCode>
                <c:ptCount val="6"/>
                <c:pt idx="0">
                  <c:v>12.370678520080153</c:v>
                </c:pt>
                <c:pt idx="1">
                  <c:v>12.058467483413832</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37802112"/>
        <c:axId val="137803648"/>
      </c:lineChart>
      <c:catAx>
        <c:axId val="137802112"/>
        <c:scaling>
          <c:orientation val="minMax"/>
        </c:scaling>
        <c:delete val="0"/>
        <c:axPos val="b"/>
        <c:numFmt formatCode="General" sourceLinked="1"/>
        <c:majorTickMark val="out"/>
        <c:minorTickMark val="none"/>
        <c:tickLblPos val="nextTo"/>
        <c:crossAx val="137803648"/>
        <c:crosses val="autoZero"/>
        <c:auto val="1"/>
        <c:lblAlgn val="ctr"/>
        <c:lblOffset val="100"/>
        <c:noMultiLvlLbl val="0"/>
      </c:catAx>
      <c:valAx>
        <c:axId val="137803648"/>
        <c:scaling>
          <c:orientation val="minMax"/>
          <c:min val="8"/>
        </c:scaling>
        <c:delete val="0"/>
        <c:axPos val="l"/>
        <c:numFmt formatCode="#,##0.00" sourceLinked="0"/>
        <c:majorTickMark val="out"/>
        <c:minorTickMark val="none"/>
        <c:tickLblPos val="nextTo"/>
        <c:crossAx val="137802112"/>
        <c:crosses val="autoZero"/>
        <c:crossBetween val="between"/>
      </c:valAx>
    </c:plotArea>
    <c:legend>
      <c:legendPos val="r"/>
      <c:layout>
        <c:manualLayout>
          <c:xMode val="edge"/>
          <c:yMode val="edge"/>
          <c:x val="0.68140179352580932"/>
          <c:y val="0.38157412493980886"/>
          <c:w val="0.31711111111111112"/>
          <c:h val="0.40198986754562654"/>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60585409279985E-2"/>
          <c:y val="3.2093362509117436E-2"/>
          <c:w val="0.70025832297278634"/>
          <c:h val="0.87326039387308529"/>
        </c:manualLayout>
      </c:layout>
      <c:lineChart>
        <c:grouping val="standard"/>
        <c:varyColors val="0"/>
        <c:ser>
          <c:idx val="2"/>
          <c:order val="0"/>
          <c:tx>
            <c:v>n.º total de vítimas V</c:v>
          </c:tx>
          <c:spPr>
            <a:ln w="22225">
              <a:solidFill>
                <a:schemeClr val="tx1">
                  <a:lumMod val="50000"/>
                  <a:lumOff val="50000"/>
                </a:schemeClr>
              </a:solidFill>
            </a:ln>
          </c:spPr>
          <c:marker>
            <c:symbol val="circle"/>
            <c:size val="7"/>
            <c:spPr>
              <a:solidFill>
                <a:schemeClr val="bg1">
                  <a:lumMod val="65000"/>
                </a:schemeClr>
              </a:solidFill>
              <a:ln>
                <a:solidFill>
                  <a:schemeClr val="tx1">
                    <a:lumMod val="75000"/>
                    <a:lumOff val="25000"/>
                  </a:schemeClr>
                </a:solidFill>
              </a:ln>
            </c:spPr>
          </c:marker>
          <c:dLbls>
            <c:dLbl>
              <c:idx val="0"/>
              <c:layout>
                <c:manualLayout>
                  <c:x val="-2.4713150926743161E-2"/>
                  <c:y val="-4.0846097738876735E-2"/>
                </c:manualLayout>
              </c:layout>
              <c:showLegendKey val="0"/>
              <c:showVal val="1"/>
              <c:showCatName val="0"/>
              <c:showSerName val="0"/>
              <c:showPercent val="0"/>
              <c:showBubbleSize val="0"/>
            </c:dLbl>
            <c:dLbl>
              <c:idx val="19"/>
              <c:layout>
                <c:manualLayout>
                  <c:x val="-3.8834951456310676E-2"/>
                  <c:y val="-3.7928519328956967E-2"/>
                </c:manualLayout>
              </c:layout>
              <c:showLegendKey val="0"/>
              <c:showVal val="1"/>
              <c:showCatName val="0"/>
              <c:showSerName val="0"/>
              <c:showPercent val="0"/>
              <c:showBubbleSize val="0"/>
            </c:dLbl>
            <c:dLbl>
              <c:idx val="22"/>
              <c:layout>
                <c:manualLayout>
                  <c:x val="-4.2365401588702563E-2"/>
                  <c:y val="-3.7928749059540426E-2"/>
                </c:manualLayout>
              </c:layout>
              <c:showLegendKey val="0"/>
              <c:showVal val="1"/>
              <c:showCatName val="0"/>
              <c:showSerName val="0"/>
              <c:showPercent val="0"/>
              <c:showBubbleSize val="0"/>
            </c:dLbl>
            <c:dLbl>
              <c:idx val="23"/>
              <c:layout>
                <c:manualLayout>
                  <c:x val="-7.0609002647837602E-3"/>
                  <c:y val="-3.2093362509117436E-2"/>
                </c:manualLayout>
              </c:layout>
              <c:showLegendKey val="0"/>
              <c:showVal val="1"/>
              <c:showCatName val="0"/>
              <c:showSerName val="0"/>
              <c:showPercent val="0"/>
              <c:showBubbleSize val="0"/>
            </c:dLbl>
            <c:txPr>
              <a:bodyPr/>
              <a:lstStyle/>
              <a:p>
                <a:pPr>
                  <a:defRPr b="1"/>
                </a:pPr>
                <a:endParaRPr lang="pt-BR"/>
              </a:p>
            </c:txPr>
            <c:showLegendKey val="0"/>
            <c:showVal val="0"/>
            <c:showCatName val="0"/>
            <c:showSerName val="0"/>
            <c:showPercent val="0"/>
            <c:showBubbleSize val="0"/>
          </c:dLbls>
          <c:cat>
            <c:numRef>
              <c:f>(para_graficos!$K$3:$R$3,para_graficos!$T$3:$U$3,para_graficos!$W$3:$AJ$3)</c:f>
              <c:numCache>
                <c:formatCode>General</c:formatCode>
                <c:ptCount val="2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numCache>
            </c:numRef>
          </c:cat>
          <c:val>
            <c:numRef>
              <c:f>(para_graficos!$K$784:$R$784,para_graficos!$T$784:$U$784,para_graficos!$W$784:$AJ$784)</c:f>
              <c:numCache>
                <c:formatCode>#,##0</c:formatCode>
                <c:ptCount val="24"/>
                <c:pt idx="0">
                  <c:v>10777</c:v>
                </c:pt>
                <c:pt idx="1">
                  <c:v>9750</c:v>
                </c:pt>
                <c:pt idx="2">
                  <c:v>12242</c:v>
                </c:pt>
                <c:pt idx="3">
                  <c:v>12838</c:v>
                </c:pt>
                <c:pt idx="4">
                  <c:v>12515</c:v>
                </c:pt>
                <c:pt idx="5">
                  <c:v>13063</c:v>
                </c:pt>
                <c:pt idx="6">
                  <c:v>13648</c:v>
                </c:pt>
                <c:pt idx="7">
                  <c:v>13395</c:v>
                </c:pt>
                <c:pt idx="8">
                  <c:v>13648</c:v>
                </c:pt>
                <c:pt idx="9">
                  <c:v>13346</c:v>
                </c:pt>
                <c:pt idx="10">
                  <c:v>13093</c:v>
                </c:pt>
                <c:pt idx="11">
                  <c:v>11812</c:v>
                </c:pt>
                <c:pt idx="12">
                  <c:v>14884</c:v>
                </c:pt>
                <c:pt idx="13">
                  <c:v>17004</c:v>
                </c:pt>
                <c:pt idx="14">
                  <c:v>17636</c:v>
                </c:pt>
                <c:pt idx="15">
                  <c:v>18209</c:v>
                </c:pt>
                <c:pt idx="16">
                  <c:v>20055</c:v>
                </c:pt>
                <c:pt idx="17">
                  <c:v>20799</c:v>
                </c:pt>
                <c:pt idx="18">
                  <c:v>21945</c:v>
                </c:pt>
                <c:pt idx="19">
                  <c:v>22167</c:v>
                </c:pt>
                <c:pt idx="20">
                  <c:v>21774</c:v>
                </c:pt>
                <c:pt idx="21">
                  <c:v>20369</c:v>
                </c:pt>
                <c:pt idx="22">
                  <c:v>19871</c:v>
                </c:pt>
                <c:pt idx="23">
                  <c:v>20757</c:v>
                </c:pt>
              </c:numCache>
            </c:numRef>
          </c:val>
          <c:smooth val="0"/>
        </c:ser>
        <c:ser>
          <c:idx val="0"/>
          <c:order val="1"/>
          <c:tx>
            <c:v>n.º de vítimas não fatais NF</c:v>
          </c:tx>
          <c:spPr>
            <a:ln>
              <a:solidFill>
                <a:schemeClr val="tx1">
                  <a:lumMod val="50000"/>
                  <a:lumOff val="50000"/>
                </a:schemeClr>
              </a:solidFill>
            </a:ln>
          </c:spPr>
          <c:marker>
            <c:symbol val="diamond"/>
            <c:size val="7"/>
            <c:spPr>
              <a:solidFill>
                <a:schemeClr val="tx1">
                  <a:lumMod val="75000"/>
                  <a:lumOff val="25000"/>
                </a:schemeClr>
              </a:solidFill>
              <a:ln>
                <a:solidFill>
                  <a:schemeClr val="tx1">
                    <a:lumMod val="85000"/>
                    <a:lumOff val="15000"/>
                  </a:schemeClr>
                </a:solidFill>
              </a:ln>
            </c:spPr>
          </c:marker>
          <c:dLbls>
            <c:dLbl>
              <c:idx val="0"/>
              <c:layout>
                <c:manualLayout>
                  <c:x val="-2.2947925860547221E-2"/>
                  <c:y val="7.0021881838074396E-2"/>
                </c:manualLayout>
              </c:layout>
              <c:showLegendKey val="0"/>
              <c:showVal val="1"/>
              <c:showCatName val="0"/>
              <c:showSerName val="0"/>
              <c:showPercent val="0"/>
              <c:showBubbleSize val="0"/>
            </c:dLbl>
            <c:dLbl>
              <c:idx val="19"/>
              <c:layout>
                <c:manualLayout>
                  <c:x val="-4.2365401588702563E-2"/>
                  <c:y val="4.6681254558716266E-2"/>
                </c:manualLayout>
              </c:layout>
              <c:showLegendKey val="0"/>
              <c:showVal val="1"/>
              <c:showCatName val="0"/>
              <c:showSerName val="0"/>
              <c:showPercent val="0"/>
              <c:showBubbleSize val="0"/>
            </c:dLbl>
            <c:dLbl>
              <c:idx val="22"/>
              <c:layout>
                <c:manualLayout>
                  <c:x val="-4.2365401588702563E-2"/>
                  <c:y val="3.5010940919037198E-2"/>
                </c:manualLayout>
              </c:layout>
              <c:showLegendKey val="0"/>
              <c:showVal val="1"/>
              <c:showCatName val="0"/>
              <c:showSerName val="0"/>
              <c:showPercent val="0"/>
              <c:showBubbleSize val="0"/>
            </c:dLbl>
            <c:dLbl>
              <c:idx val="23"/>
              <c:showLegendKey val="0"/>
              <c:showVal val="1"/>
              <c:showCatName val="0"/>
              <c:showSerName val="0"/>
              <c:showPercent val="0"/>
              <c:showBubbleSize val="0"/>
            </c:dLbl>
            <c:txPr>
              <a:bodyPr/>
              <a:lstStyle/>
              <a:p>
                <a:pPr>
                  <a:defRPr b="1"/>
                </a:pPr>
                <a:endParaRPr lang="pt-BR"/>
              </a:p>
            </c:txPr>
            <c:showLegendKey val="0"/>
            <c:showVal val="0"/>
            <c:showCatName val="0"/>
            <c:showSerName val="0"/>
            <c:showPercent val="0"/>
            <c:showBubbleSize val="0"/>
          </c:dLbls>
          <c:cat>
            <c:numRef>
              <c:f>(para_graficos!$K$3:$R$3,para_graficos!$T$3:$U$3,para_graficos!$W$3:$AJ$3)</c:f>
              <c:numCache>
                <c:formatCode>General</c:formatCode>
                <c:ptCount val="2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numCache>
            </c:numRef>
          </c:cat>
          <c:val>
            <c:numRef>
              <c:f>(para_graficos!$K$575:$R$575,para_graficos!$T$575:$U$575,para_graficos!$W$575:$AJ$575)</c:f>
              <c:numCache>
                <c:formatCode>#,##0</c:formatCode>
                <c:ptCount val="24"/>
                <c:pt idx="0">
                  <c:v>10403</c:v>
                </c:pt>
                <c:pt idx="1">
                  <c:v>9269</c:v>
                </c:pt>
                <c:pt idx="2">
                  <c:v>11691</c:v>
                </c:pt>
                <c:pt idx="3">
                  <c:v>12392</c:v>
                </c:pt>
                <c:pt idx="4">
                  <c:v>12007</c:v>
                </c:pt>
                <c:pt idx="5">
                  <c:v>12645</c:v>
                </c:pt>
                <c:pt idx="6">
                  <c:v>13265</c:v>
                </c:pt>
                <c:pt idx="7">
                  <c:v>13088</c:v>
                </c:pt>
                <c:pt idx="8">
                  <c:v>13256</c:v>
                </c:pt>
                <c:pt idx="9">
                  <c:v>13049</c:v>
                </c:pt>
                <c:pt idx="10">
                  <c:v>12778</c:v>
                </c:pt>
                <c:pt idx="11">
                  <c:v>11657</c:v>
                </c:pt>
                <c:pt idx="12">
                  <c:v>14630</c:v>
                </c:pt>
                <c:pt idx="13">
                  <c:v>15972</c:v>
                </c:pt>
                <c:pt idx="14">
                  <c:v>16831</c:v>
                </c:pt>
                <c:pt idx="15">
                  <c:v>17420</c:v>
                </c:pt>
                <c:pt idx="16">
                  <c:v>19082</c:v>
                </c:pt>
                <c:pt idx="17">
                  <c:v>19675</c:v>
                </c:pt>
                <c:pt idx="18">
                  <c:v>20586</c:v>
                </c:pt>
                <c:pt idx="19">
                  <c:v>20875</c:v>
                </c:pt>
                <c:pt idx="20">
                  <c:v>20110</c:v>
                </c:pt>
                <c:pt idx="21">
                  <c:v>18719</c:v>
                </c:pt>
                <c:pt idx="22">
                  <c:v>17519</c:v>
                </c:pt>
                <c:pt idx="23">
                  <c:v>18300</c:v>
                </c:pt>
              </c:numCache>
            </c:numRef>
          </c:val>
          <c:smooth val="0"/>
        </c:ser>
        <c:dLbls>
          <c:showLegendKey val="0"/>
          <c:showVal val="0"/>
          <c:showCatName val="0"/>
          <c:showSerName val="0"/>
          <c:showPercent val="0"/>
          <c:showBubbleSize val="0"/>
        </c:dLbls>
        <c:marker val="1"/>
        <c:smooth val="0"/>
        <c:axId val="138171520"/>
        <c:axId val="138173056"/>
      </c:lineChart>
      <c:catAx>
        <c:axId val="138171520"/>
        <c:scaling>
          <c:orientation val="minMax"/>
        </c:scaling>
        <c:delete val="0"/>
        <c:axPos val="b"/>
        <c:numFmt formatCode="General" sourceLinked="1"/>
        <c:majorTickMark val="out"/>
        <c:minorTickMark val="none"/>
        <c:tickLblPos val="nextTo"/>
        <c:crossAx val="138173056"/>
        <c:crosses val="autoZero"/>
        <c:auto val="1"/>
        <c:lblAlgn val="ctr"/>
        <c:lblOffset val="100"/>
        <c:noMultiLvlLbl val="0"/>
      </c:catAx>
      <c:valAx>
        <c:axId val="138173056"/>
        <c:scaling>
          <c:orientation val="minMax"/>
        </c:scaling>
        <c:delete val="0"/>
        <c:axPos val="l"/>
        <c:majorGridlines/>
        <c:numFmt formatCode="#,##0" sourceLinked="0"/>
        <c:majorTickMark val="out"/>
        <c:minorTickMark val="out"/>
        <c:tickLblPos val="nextTo"/>
        <c:crossAx val="138171520"/>
        <c:crosses val="autoZero"/>
        <c:crossBetween val="between"/>
      </c:valAx>
    </c:plotArea>
    <c:legend>
      <c:legendPos val="r"/>
      <c:layout>
        <c:manualLayout>
          <c:xMode val="edge"/>
          <c:yMode val="edge"/>
          <c:x val="0.81748538011695904"/>
          <c:y val="0.14999500335980978"/>
          <c:w val="0.15912280701754386"/>
          <c:h val="0.29727941556539567"/>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M-taxa</c:v>
          </c:tx>
          <c:spPr>
            <a:solidFill>
              <a:schemeClr val="bg1">
                <a:lumMod val="95000"/>
              </a:schemeClr>
            </a:solidFill>
            <a:ln>
              <a:solidFill>
                <a:schemeClr val="tx1">
                  <a:lumMod val="95000"/>
                  <a:lumOff val="5000"/>
                </a:schemeClr>
              </a:solidFill>
            </a:ln>
          </c:spPr>
          <c:invertIfNegative val="0"/>
          <c:dPt>
            <c:idx val="7"/>
            <c:invertIfNegative val="0"/>
            <c:bubble3D val="0"/>
            <c:spPr>
              <a:solidFill>
                <a:schemeClr val="bg1">
                  <a:lumMod val="65000"/>
                </a:schemeClr>
              </a:solidFill>
              <a:ln>
                <a:solidFill>
                  <a:schemeClr val="tx1">
                    <a:lumMod val="95000"/>
                    <a:lumOff val="5000"/>
                  </a:schemeClr>
                </a:solidFill>
              </a:ln>
            </c:spPr>
          </c:dPt>
          <c:dLbls>
            <c:numFmt formatCode="#,##0.0" sourceLinked="0"/>
            <c:txPr>
              <a:bodyPr/>
              <a:lstStyle/>
              <a:p>
                <a:pPr>
                  <a:defRPr b="1"/>
                </a:pPr>
                <a:endParaRPr lang="pt-BR"/>
              </a:p>
            </c:txPr>
            <c:dLblPos val="outEnd"/>
            <c:showLegendKey val="0"/>
            <c:showVal val="1"/>
            <c:showCatName val="0"/>
            <c:showSerName val="0"/>
            <c:showPercent val="0"/>
            <c:showBubbleSize val="0"/>
            <c:showLeaderLines val="0"/>
          </c:dLbls>
          <c:cat>
            <c:strRef>
              <c:f>para_graficos!$D$530:$D$539</c:f>
              <c:strCache>
                <c:ptCount val="10"/>
                <c:pt idx="0">
                  <c:v>Porto Alegre</c:v>
                </c:pt>
                <c:pt idx="1">
                  <c:v>São Paulo</c:v>
                </c:pt>
                <c:pt idx="2">
                  <c:v>Salvador</c:v>
                </c:pt>
                <c:pt idx="3">
                  <c:v>Rio de Janeiro</c:v>
                </c:pt>
                <c:pt idx="4">
                  <c:v>Manaus</c:v>
                </c:pt>
                <c:pt idx="5">
                  <c:v>Curitiba</c:v>
                </c:pt>
                <c:pt idx="6">
                  <c:v>Brasília</c:v>
                </c:pt>
                <c:pt idx="7">
                  <c:v>Belo Horizonte</c:v>
                </c:pt>
                <c:pt idx="8">
                  <c:v>Fortaleza</c:v>
                </c:pt>
                <c:pt idx="9">
                  <c:v>Recife</c:v>
                </c:pt>
              </c:strCache>
            </c:strRef>
          </c:cat>
          <c:val>
            <c:numRef>
              <c:f>para_graficos!$AH$530:$AH$539</c:f>
              <c:numCache>
                <c:formatCode>0.00</c:formatCode>
                <c:ptCount val="10"/>
                <c:pt idx="0">
                  <c:v>11.7</c:v>
                </c:pt>
                <c:pt idx="1">
                  <c:v>11.8</c:v>
                </c:pt>
                <c:pt idx="2">
                  <c:v>16.5</c:v>
                </c:pt>
                <c:pt idx="3">
                  <c:v>16.600000000000001</c:v>
                </c:pt>
                <c:pt idx="4">
                  <c:v>17.2</c:v>
                </c:pt>
                <c:pt idx="5">
                  <c:v>20</c:v>
                </c:pt>
                <c:pt idx="6">
                  <c:v>20.9</c:v>
                </c:pt>
                <c:pt idx="7">
                  <c:v>22.49784517392003</c:v>
                </c:pt>
                <c:pt idx="8">
                  <c:v>27.1</c:v>
                </c:pt>
                <c:pt idx="9">
                  <c:v>34.700000000000003</c:v>
                </c:pt>
              </c:numCache>
            </c:numRef>
          </c:val>
        </c:ser>
        <c:dLbls>
          <c:showLegendKey val="0"/>
          <c:showVal val="0"/>
          <c:showCatName val="0"/>
          <c:showSerName val="0"/>
          <c:showPercent val="0"/>
          <c:showBubbleSize val="0"/>
        </c:dLbls>
        <c:gapWidth val="150"/>
        <c:axId val="138207616"/>
        <c:axId val="138209152"/>
      </c:barChart>
      <c:catAx>
        <c:axId val="138207616"/>
        <c:scaling>
          <c:orientation val="minMax"/>
        </c:scaling>
        <c:delete val="0"/>
        <c:axPos val="b"/>
        <c:majorTickMark val="out"/>
        <c:minorTickMark val="none"/>
        <c:tickLblPos val="nextTo"/>
        <c:crossAx val="138209152"/>
        <c:crosses val="autoZero"/>
        <c:auto val="1"/>
        <c:lblAlgn val="ctr"/>
        <c:lblOffset val="100"/>
        <c:noMultiLvlLbl val="0"/>
      </c:catAx>
      <c:valAx>
        <c:axId val="138209152"/>
        <c:scaling>
          <c:orientation val="minMax"/>
        </c:scaling>
        <c:delete val="0"/>
        <c:axPos val="l"/>
        <c:numFmt formatCode="0.00" sourceLinked="1"/>
        <c:majorTickMark val="out"/>
        <c:minorTickMark val="none"/>
        <c:tickLblPos val="nextTo"/>
        <c:crossAx val="138207616"/>
        <c:crosses val="autoZero"/>
        <c:crossBetween val="between"/>
      </c:valAx>
    </c:plotArea>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M amplo por 100 mil habitantes</c:v>
          </c:tx>
          <c:spPr>
            <a:solidFill>
              <a:schemeClr val="bg1">
                <a:lumMod val="95000"/>
              </a:schemeClr>
            </a:solidFill>
            <a:ln>
              <a:solidFill>
                <a:schemeClr val="tx1">
                  <a:lumMod val="50000"/>
                  <a:lumOff val="50000"/>
                </a:schemeClr>
              </a:solidFill>
            </a:ln>
          </c:spPr>
          <c:invertIfNegative val="0"/>
          <c:dLbls>
            <c:numFmt formatCode="#,##0" sourceLinked="0"/>
            <c:txPr>
              <a:bodyPr/>
              <a:lstStyle/>
              <a:p>
                <a:pPr>
                  <a:defRPr sz="800" b="1"/>
                </a:pPr>
                <a:endParaRPr lang="pt-BR"/>
              </a:p>
            </c:txPr>
            <c:dLblPos val="ctr"/>
            <c:showLegendKey val="0"/>
            <c:showVal val="1"/>
            <c:showCatName val="0"/>
            <c:showSerName val="0"/>
            <c:showPercent val="0"/>
            <c:showBubbleSize val="0"/>
            <c:showLeaderLines val="0"/>
          </c:dLbls>
          <c:cat>
            <c:numRef>
              <c:f>(para_graficos!$U$3,para_graficos!$W$3:$AH$3)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(para_graficos!$U$537,para_graficos!$W$537:$AH$537)</c:f>
              <c:numCache>
                <c:formatCode>0.00</c:formatCode>
                <c:ptCount val="13"/>
                <c:pt idx="0">
                  <c:v>17.020128423793157</c:v>
                </c:pt>
                <c:pt idx="1">
                  <c:v>18.462543837472943</c:v>
                </c:pt>
                <c:pt idx="2">
                  <c:v>16.721617461921113</c:v>
                </c:pt>
                <c:pt idx="3">
                  <c:v>17.043887359420456</c:v>
                </c:pt>
                <c:pt idx="4">
                  <c:v>17.442622281290788</c:v>
                </c:pt>
                <c:pt idx="5">
                  <c:v>16.839772511513143</c:v>
                </c:pt>
                <c:pt idx="6">
                  <c:v>20.459015300510018</c:v>
                </c:pt>
                <c:pt idx="7">
                  <c:v>18.690914847756076</c:v>
                </c:pt>
                <c:pt idx="12">
                  <c:v>22.49784517392003</c:v>
                </c:pt>
              </c:numCache>
            </c:numRef>
          </c:val>
        </c:ser>
        <c:dLbls>
          <c:showLegendKey val="0"/>
          <c:showVal val="0"/>
          <c:showCatName val="0"/>
          <c:showSerName val="0"/>
          <c:showPercent val="0"/>
          <c:showBubbleSize val="0"/>
        </c:dLbls>
        <c:gapWidth val="150"/>
        <c:axId val="137946624"/>
        <c:axId val="137940352"/>
      </c:barChart>
      <c:lineChart>
        <c:grouping val="standard"/>
        <c:varyColors val="0"/>
        <c:ser>
          <c:idx val="0"/>
          <c:order val="1"/>
          <c:tx>
            <c:v>M amplo</c:v>
          </c:tx>
          <c:spPr>
            <a:ln>
              <a:solidFill>
                <a:schemeClr val="tx1">
                  <a:lumMod val="50000"/>
                  <a:lumOff val="50000"/>
                </a:schemeClr>
              </a:solidFill>
            </a:ln>
          </c:spPr>
          <c:marker>
            <c:symbol val="diamond"/>
            <c:size val="5"/>
            <c:spPr>
              <a:solidFill>
                <a:schemeClr val="bg1">
                  <a:lumMod val="85000"/>
                </a:schemeClr>
              </a:solidFill>
              <a:ln>
                <a:solidFill>
                  <a:schemeClr val="tx1">
                    <a:lumMod val="50000"/>
                    <a:lumOff val="50000"/>
                  </a:schemeClr>
                </a:solidFill>
              </a:ln>
            </c:spPr>
          </c:marker>
          <c:dLbls>
            <c:txPr>
              <a:bodyPr/>
              <a:lstStyle/>
              <a:p>
                <a:pPr>
                  <a:defRPr sz="900" b="1"/>
                </a:pPr>
                <a:endParaRPr lang="pt-BR"/>
              </a:p>
            </c:txPr>
            <c:dLblPos val="t"/>
            <c:showLegendKey val="0"/>
            <c:showVal val="1"/>
            <c:showCatName val="0"/>
            <c:showSerName val="0"/>
            <c:showPercent val="0"/>
            <c:showBubbleSize val="0"/>
            <c:showLeaderLines val="0"/>
          </c:dLbls>
          <c:cat>
            <c:numRef>
              <c:f>(para_graficos!$U$3,para_graficos!$W$3:$AH$3)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(para_graficos!$U$529,para_graficos!$W$529:$AH$529)</c:f>
              <c:numCache>
                <c:formatCode>0</c:formatCode>
                <c:ptCount val="13"/>
                <c:pt idx="0">
                  <c:v>381</c:v>
                </c:pt>
                <c:pt idx="1">
                  <c:v>417</c:v>
                </c:pt>
                <c:pt idx="2">
                  <c:v>382</c:v>
                </c:pt>
                <c:pt idx="3">
                  <c:v>393</c:v>
                </c:pt>
                <c:pt idx="4">
                  <c:v>410</c:v>
                </c:pt>
                <c:pt idx="5">
                  <c:v>400</c:v>
                </c:pt>
                <c:pt idx="6">
                  <c:v>491</c:v>
                </c:pt>
                <c:pt idx="7">
                  <c:v>451</c:v>
                </c:pt>
                <c:pt idx="12">
                  <c:v>539</c:v>
                </c:pt>
              </c:numCache>
            </c:numRef>
          </c:val>
          <c:smooth val="0"/>
        </c:ser>
        <c:dLbls>
          <c:showLegendKey val="0"/>
          <c:showVal val="0"/>
          <c:showCatName val="0"/>
          <c:showSerName val="0"/>
          <c:showPercent val="0"/>
          <c:showBubbleSize val="0"/>
        </c:dLbls>
        <c:marker val="1"/>
        <c:smooth val="0"/>
        <c:axId val="137936896"/>
        <c:axId val="137938432"/>
      </c:lineChart>
      <c:catAx>
        <c:axId val="137936896"/>
        <c:scaling>
          <c:orientation val="minMax"/>
        </c:scaling>
        <c:delete val="0"/>
        <c:axPos val="b"/>
        <c:numFmt formatCode="General" sourceLinked="1"/>
        <c:majorTickMark val="out"/>
        <c:minorTickMark val="none"/>
        <c:tickLblPos val="nextTo"/>
        <c:crossAx val="137938432"/>
        <c:crosses val="autoZero"/>
        <c:auto val="1"/>
        <c:lblAlgn val="ctr"/>
        <c:lblOffset val="100"/>
        <c:noMultiLvlLbl val="0"/>
      </c:catAx>
      <c:valAx>
        <c:axId val="137938432"/>
        <c:scaling>
          <c:orientation val="minMax"/>
        </c:scaling>
        <c:delete val="0"/>
        <c:axPos val="l"/>
        <c:title>
          <c:tx>
            <c:rich>
              <a:bodyPr rot="-5400000" vert="horz"/>
              <a:lstStyle/>
              <a:p>
                <a:pPr>
                  <a:defRPr/>
                </a:pPr>
                <a:r>
                  <a:rPr lang="en-US"/>
                  <a:t>n.º amplo de mortos</a:t>
                </a:r>
              </a:p>
            </c:rich>
          </c:tx>
          <c:overlay val="0"/>
        </c:title>
        <c:numFmt formatCode="0" sourceLinked="1"/>
        <c:majorTickMark val="out"/>
        <c:minorTickMark val="none"/>
        <c:tickLblPos val="nextTo"/>
        <c:crossAx val="137936896"/>
        <c:crosses val="autoZero"/>
        <c:crossBetween val="between"/>
      </c:valAx>
      <c:valAx>
        <c:axId val="137940352"/>
        <c:scaling>
          <c:orientation val="minMax"/>
        </c:scaling>
        <c:delete val="0"/>
        <c:axPos val="r"/>
        <c:title>
          <c:tx>
            <c:rich>
              <a:bodyPr rot="-5400000" vert="horz"/>
              <a:lstStyle/>
              <a:p>
                <a:pPr>
                  <a:defRPr/>
                </a:pPr>
                <a:r>
                  <a:rPr lang="en-US"/>
                  <a:t>n.º amplo de mortos/100 mil habitantes</a:t>
                </a:r>
              </a:p>
            </c:rich>
          </c:tx>
          <c:overlay val="0"/>
        </c:title>
        <c:numFmt formatCode="0" sourceLinked="0"/>
        <c:majorTickMark val="out"/>
        <c:minorTickMark val="none"/>
        <c:tickLblPos val="nextTo"/>
        <c:crossAx val="137946624"/>
        <c:crosses val="max"/>
        <c:crossBetween val="between"/>
      </c:valAx>
      <c:catAx>
        <c:axId val="137946624"/>
        <c:scaling>
          <c:orientation val="minMax"/>
        </c:scaling>
        <c:delete val="1"/>
        <c:axPos val="b"/>
        <c:numFmt formatCode="General" sourceLinked="1"/>
        <c:majorTickMark val="out"/>
        <c:minorTickMark val="none"/>
        <c:tickLblPos val="nextTo"/>
        <c:crossAx val="137940352"/>
        <c:crosses val="autoZero"/>
        <c:auto val="1"/>
        <c:lblAlgn val="ctr"/>
        <c:lblOffset val="100"/>
        <c:noMultiLvlLbl val="0"/>
      </c:catAx>
    </c:plotArea>
    <c:legend>
      <c:legendPos val="b"/>
      <c:overlay val="0"/>
    </c:legend>
    <c:plotVisOnly val="1"/>
    <c:dispBlanksAs val="span"/>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2"/>
          <c:tx>
            <c:v>RTqr (n.º de quarteirões regulamentados)</c:v>
          </c:tx>
          <c:spPr>
            <a:solidFill>
              <a:schemeClr val="bg1">
                <a:lumMod val="85000"/>
              </a:schemeClr>
            </a:solidFill>
            <a:ln>
              <a:solidFill>
                <a:schemeClr val="bg1">
                  <a:lumMod val="75000"/>
                </a:schemeClr>
              </a:solidFill>
            </a:ln>
          </c:spPr>
          <c:invertIfNegative val="0"/>
          <c:dLbls>
            <c:txPr>
              <a:bodyPr/>
              <a:lstStyle/>
              <a:p>
                <a:pPr>
                  <a:defRPr sz="800" b="1"/>
                </a:pPr>
                <a:endParaRPr lang="pt-BR"/>
              </a:p>
            </c:txPr>
            <c:dLblPos val="ctr"/>
            <c:showLegendKey val="0"/>
            <c:showVal val="1"/>
            <c:showCatName val="0"/>
            <c:showSerName val="0"/>
            <c:showPercent val="0"/>
            <c:showBubbleSize val="0"/>
            <c:showLeaderLines val="0"/>
          </c:dLbls>
          <c:cat>
            <c:numRef>
              <c:f>para_graficos!$W$3:$AK$3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para_graficos!$W$720:$AK$720</c:f>
              <c:numCache>
                <c:formatCode>General</c:formatCode>
                <c:ptCount val="15"/>
                <c:pt idx="0">
                  <c:v>446</c:v>
                </c:pt>
                <c:pt idx="1">
                  <c:v>442</c:v>
                </c:pt>
                <c:pt idx="2">
                  <c:v>445</c:v>
                </c:pt>
                <c:pt idx="3">
                  <c:v>477</c:v>
                </c:pt>
                <c:pt idx="4">
                  <c:v>475</c:v>
                </c:pt>
                <c:pt idx="5" formatCode="0">
                  <c:v>503</c:v>
                </c:pt>
                <c:pt idx="6">
                  <c:v>523</c:v>
                </c:pt>
                <c:pt idx="7" formatCode="0">
                  <c:v>604</c:v>
                </c:pt>
                <c:pt idx="8" formatCode="0">
                  <c:v>632</c:v>
                </c:pt>
                <c:pt idx="9">
                  <c:v>711</c:v>
                </c:pt>
                <c:pt idx="10" formatCode="0">
                  <c:v>775</c:v>
                </c:pt>
                <c:pt idx="11" formatCode="0">
                  <c:v>795</c:v>
                </c:pt>
                <c:pt idx="12" formatCode="0">
                  <c:v>791</c:v>
                </c:pt>
                <c:pt idx="13" formatCode="0">
                  <c:v>815</c:v>
                </c:pt>
                <c:pt idx="14">
                  <c:v>817</c:v>
                </c:pt>
              </c:numCache>
            </c:numRef>
          </c:val>
        </c:ser>
        <c:dLbls>
          <c:showLegendKey val="0"/>
          <c:showVal val="0"/>
          <c:showCatName val="0"/>
          <c:showSerName val="0"/>
          <c:showPercent val="0"/>
          <c:showBubbleSize val="0"/>
        </c:dLbls>
        <c:gapWidth val="150"/>
        <c:axId val="138073600"/>
        <c:axId val="138063232"/>
      </c:barChart>
      <c:lineChart>
        <c:grouping val="standard"/>
        <c:varyColors val="0"/>
        <c:ser>
          <c:idx val="2"/>
          <c:order val="0"/>
          <c:tx>
            <c:v>RTvr (n.º de vagas rotativas)</c:v>
          </c:tx>
          <c:spPr>
            <a:ln>
              <a:solidFill>
                <a:schemeClr val="bg1">
                  <a:lumMod val="50000"/>
                </a:schemeClr>
              </a:solidFill>
            </a:ln>
          </c:spPr>
          <c:marker>
            <c:spPr>
              <a:solidFill>
                <a:schemeClr val="bg1">
                  <a:lumMod val="75000"/>
                </a:schemeClr>
              </a:solidFill>
              <a:ln>
                <a:solidFill>
                  <a:schemeClr val="tx1">
                    <a:lumMod val="75000"/>
                    <a:lumOff val="25000"/>
                  </a:schemeClr>
                </a:solidFill>
              </a:ln>
            </c:spPr>
          </c:marker>
          <c:dLbls>
            <c:txPr>
              <a:bodyPr/>
              <a:lstStyle/>
              <a:p>
                <a:pPr>
                  <a:defRPr sz="800" b="1"/>
                </a:pPr>
                <a:endParaRPr lang="pt-BR"/>
              </a:p>
            </c:txPr>
            <c:dLblPos val="t"/>
            <c:showLegendKey val="0"/>
            <c:showVal val="1"/>
            <c:showCatName val="0"/>
            <c:showSerName val="0"/>
            <c:showPercent val="0"/>
            <c:showBubbleSize val="0"/>
            <c:showLeaderLines val="0"/>
          </c:dLbls>
          <c:cat>
            <c:numRef>
              <c:f>para_graficos!$W$3:$AK$3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para_graficos!$W$734:$AK$734</c:f>
              <c:numCache>
                <c:formatCode>#,##0</c:formatCode>
                <c:ptCount val="15"/>
                <c:pt idx="0">
                  <c:v>65102</c:v>
                </c:pt>
                <c:pt idx="1">
                  <c:v>64588</c:v>
                </c:pt>
                <c:pt idx="2">
                  <c:v>65729</c:v>
                </c:pt>
                <c:pt idx="3">
                  <c:v>66318</c:v>
                </c:pt>
                <c:pt idx="4">
                  <c:v>57136</c:v>
                </c:pt>
                <c:pt idx="5">
                  <c:v>60520</c:v>
                </c:pt>
                <c:pt idx="6">
                  <c:v>62899</c:v>
                </c:pt>
                <c:pt idx="7">
                  <c:v>71504</c:v>
                </c:pt>
                <c:pt idx="8">
                  <c:v>74005</c:v>
                </c:pt>
                <c:pt idx="9">
                  <c:v>84363</c:v>
                </c:pt>
                <c:pt idx="10">
                  <c:v>90949</c:v>
                </c:pt>
                <c:pt idx="11">
                  <c:v>90950</c:v>
                </c:pt>
                <c:pt idx="12">
                  <c:v>95264</c:v>
                </c:pt>
                <c:pt idx="13">
                  <c:v>97864</c:v>
                </c:pt>
                <c:pt idx="14">
                  <c:v>97492</c:v>
                </c:pt>
              </c:numCache>
            </c:numRef>
          </c:val>
          <c:smooth val="0"/>
        </c:ser>
        <c:ser>
          <c:idx val="0"/>
          <c:order val="1"/>
          <c:tx>
            <c:v>RTvf (n.º de vagas físicas)</c:v>
          </c:tx>
          <c:spPr>
            <a:ln>
              <a:solidFill>
                <a:schemeClr val="bg1">
                  <a:lumMod val="50000"/>
                </a:schemeClr>
              </a:solidFill>
            </a:ln>
          </c:spPr>
          <c:marker>
            <c:symbol val="diamond"/>
            <c:size val="9"/>
            <c:spPr>
              <a:solidFill>
                <a:schemeClr val="bg1">
                  <a:lumMod val="75000"/>
                </a:schemeClr>
              </a:solidFill>
              <a:ln>
                <a:solidFill>
                  <a:schemeClr val="tx1">
                    <a:lumMod val="95000"/>
                    <a:lumOff val="5000"/>
                  </a:schemeClr>
                </a:solidFill>
              </a:ln>
            </c:spPr>
          </c:marker>
          <c:dLbls>
            <c:txPr>
              <a:bodyPr/>
              <a:lstStyle/>
              <a:p>
                <a:pPr>
                  <a:defRPr sz="800" b="1"/>
                </a:pPr>
                <a:endParaRPr lang="pt-BR"/>
              </a:p>
            </c:txPr>
            <c:dLblPos val="b"/>
            <c:showLegendKey val="0"/>
            <c:showVal val="1"/>
            <c:showCatName val="0"/>
            <c:showSerName val="0"/>
            <c:showPercent val="0"/>
            <c:showBubbleSize val="0"/>
            <c:showLeaderLines val="0"/>
          </c:dLbls>
          <c:cat>
            <c:numRef>
              <c:f>para_graficos!$W$3:$AK$3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para_graficos!$W$724:$AK$724</c:f>
              <c:numCache>
                <c:formatCode>#,##0</c:formatCode>
                <c:ptCount val="15"/>
                <c:pt idx="0">
                  <c:v>12387</c:v>
                </c:pt>
                <c:pt idx="1">
                  <c:v>12243</c:v>
                </c:pt>
                <c:pt idx="2">
                  <c:v>11956</c:v>
                </c:pt>
                <c:pt idx="3">
                  <c:v>12166</c:v>
                </c:pt>
                <c:pt idx="4">
                  <c:v>12172</c:v>
                </c:pt>
                <c:pt idx="5">
                  <c:v>13039</c:v>
                </c:pt>
                <c:pt idx="6">
                  <c:v>13563</c:v>
                </c:pt>
                <c:pt idx="7">
                  <c:v>15340</c:v>
                </c:pt>
                <c:pt idx="8">
                  <c:v>16099</c:v>
                </c:pt>
                <c:pt idx="9">
                  <c:v>18685</c:v>
                </c:pt>
                <c:pt idx="10">
                  <c:v>20619</c:v>
                </c:pt>
                <c:pt idx="11">
                  <c:v>20806</c:v>
                </c:pt>
                <c:pt idx="12">
                  <c:v>20828</c:v>
                </c:pt>
                <c:pt idx="13">
                  <c:v>21071</c:v>
                </c:pt>
                <c:pt idx="14">
                  <c:v>21272</c:v>
                </c:pt>
              </c:numCache>
            </c:numRef>
          </c:val>
          <c:smooth val="0"/>
        </c:ser>
        <c:dLbls>
          <c:showLegendKey val="0"/>
          <c:showVal val="0"/>
          <c:showCatName val="0"/>
          <c:showSerName val="0"/>
          <c:showPercent val="0"/>
          <c:showBubbleSize val="0"/>
        </c:dLbls>
        <c:marker val="1"/>
        <c:smooth val="0"/>
        <c:axId val="138059776"/>
        <c:axId val="138061312"/>
      </c:lineChart>
      <c:catAx>
        <c:axId val="138059776"/>
        <c:scaling>
          <c:orientation val="minMax"/>
        </c:scaling>
        <c:delete val="0"/>
        <c:axPos val="b"/>
        <c:numFmt formatCode="General" sourceLinked="1"/>
        <c:majorTickMark val="out"/>
        <c:minorTickMark val="none"/>
        <c:tickLblPos val="nextTo"/>
        <c:crossAx val="138061312"/>
        <c:crosses val="autoZero"/>
        <c:auto val="1"/>
        <c:lblAlgn val="ctr"/>
        <c:lblOffset val="100"/>
        <c:noMultiLvlLbl val="0"/>
      </c:catAx>
      <c:valAx>
        <c:axId val="138061312"/>
        <c:scaling>
          <c:orientation val="minMax"/>
        </c:scaling>
        <c:delete val="0"/>
        <c:axPos val="l"/>
        <c:title>
          <c:tx>
            <c:rich>
              <a:bodyPr rot="0" vert="horz"/>
              <a:lstStyle/>
              <a:p>
                <a:pPr>
                  <a:defRPr sz="1200"/>
                </a:pPr>
                <a:r>
                  <a:rPr lang="en-US" sz="1200"/>
                  <a:t>RT</a:t>
                </a:r>
                <a:r>
                  <a:rPr lang="en-US" sz="1200" baseline="-25000"/>
                  <a:t>vf</a:t>
                </a:r>
              </a:p>
              <a:p>
                <a:pPr>
                  <a:defRPr sz="1200"/>
                </a:pPr>
                <a:endParaRPr lang="en-US" sz="1200"/>
              </a:p>
              <a:p>
                <a:pPr>
                  <a:defRPr sz="1200"/>
                </a:pPr>
                <a:r>
                  <a:rPr lang="en-US" sz="1200"/>
                  <a:t>RT</a:t>
                </a:r>
                <a:r>
                  <a:rPr lang="en-US" sz="1200" baseline="-25000"/>
                  <a:t>vr</a:t>
                </a:r>
              </a:p>
            </c:rich>
          </c:tx>
          <c:overlay val="0"/>
        </c:title>
        <c:numFmt formatCode="#,##0" sourceLinked="1"/>
        <c:majorTickMark val="out"/>
        <c:minorTickMark val="none"/>
        <c:tickLblPos val="nextTo"/>
        <c:crossAx val="138059776"/>
        <c:crosses val="autoZero"/>
        <c:crossBetween val="between"/>
      </c:valAx>
      <c:valAx>
        <c:axId val="138063232"/>
        <c:scaling>
          <c:orientation val="minMax"/>
        </c:scaling>
        <c:delete val="0"/>
        <c:axPos val="r"/>
        <c:title>
          <c:tx>
            <c:rich>
              <a:bodyPr rot="0" vert="horz"/>
              <a:lstStyle/>
              <a:p>
                <a:pPr>
                  <a:defRPr sz="1200"/>
                </a:pPr>
                <a:r>
                  <a:rPr lang="en-US" sz="1200"/>
                  <a:t>RT</a:t>
                </a:r>
                <a:r>
                  <a:rPr lang="en-US" sz="1200" baseline="-25000"/>
                  <a:t>qr</a:t>
                </a:r>
              </a:p>
            </c:rich>
          </c:tx>
          <c:overlay val="0"/>
        </c:title>
        <c:numFmt formatCode="General" sourceLinked="1"/>
        <c:majorTickMark val="out"/>
        <c:minorTickMark val="none"/>
        <c:tickLblPos val="nextTo"/>
        <c:crossAx val="138073600"/>
        <c:crosses val="max"/>
        <c:crossBetween val="between"/>
      </c:valAx>
      <c:catAx>
        <c:axId val="138073600"/>
        <c:scaling>
          <c:orientation val="minMax"/>
        </c:scaling>
        <c:delete val="1"/>
        <c:axPos val="b"/>
        <c:numFmt formatCode="General" sourceLinked="1"/>
        <c:majorTickMark val="out"/>
        <c:minorTickMark val="none"/>
        <c:tickLblPos val="nextTo"/>
        <c:crossAx val="138063232"/>
        <c:crosses val="autoZero"/>
        <c:auto val="1"/>
        <c:lblAlgn val="ctr"/>
        <c:lblOffset val="100"/>
        <c:noMultiLvlLbl val="0"/>
      </c:cat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1"/>
          <c:tx>
            <c:v>Rtrot (rotatividade média em n.º de veículos estacionados/vaga)</c:v>
          </c:tx>
          <c:spPr>
            <a:ln>
              <a:solidFill>
                <a:schemeClr val="tx1">
                  <a:lumMod val="50000"/>
                  <a:lumOff val="50000"/>
                </a:schemeClr>
              </a:solidFill>
              <a:prstDash val="sysDash"/>
            </a:ln>
          </c:spPr>
          <c:marker>
            <c:symbol val="star"/>
            <c:size val="5"/>
            <c:spPr>
              <a:noFill/>
              <a:ln>
                <a:solidFill>
                  <a:schemeClr val="tx1"/>
                </a:solidFill>
              </a:ln>
            </c:spPr>
          </c:marker>
          <c:dLbls>
            <c:dLbl>
              <c:idx val="6"/>
              <c:layout>
                <c:manualLayout>
                  <c:x val="-3.1034482758620689E-2"/>
                  <c:y val="-5.6149732620320858E-2"/>
                </c:manualLayout>
              </c:layout>
              <c:dLblPos val="r"/>
              <c:showLegendKey val="0"/>
              <c:showVal val="1"/>
              <c:showCatName val="0"/>
              <c:showSerName val="0"/>
              <c:showPercent val="0"/>
              <c:showBubbleSize val="0"/>
            </c:dLbl>
            <c:dLbl>
              <c:idx val="9"/>
              <c:layout>
                <c:manualLayout>
                  <c:x val="-2.6436781609195402E-2"/>
                  <c:y val="4.3672014260249553E-2"/>
                </c:manualLayout>
              </c:layout>
              <c:dLblPos val="r"/>
              <c:showLegendKey val="0"/>
              <c:showVal val="1"/>
              <c:showCatName val="0"/>
              <c:showSerName val="0"/>
              <c:showPercent val="0"/>
              <c:showBubbleSize val="0"/>
            </c:dLbl>
            <c:dLbl>
              <c:idx val="10"/>
              <c:layout>
                <c:manualLayout>
                  <c:x val="-2.6436781609195402E-2"/>
                  <c:y val="4.0106951871657755E-2"/>
                </c:manualLayout>
              </c:layout>
              <c:dLblPos val="r"/>
              <c:showLegendKey val="0"/>
              <c:showVal val="1"/>
              <c:showCatName val="0"/>
              <c:showSerName val="0"/>
              <c:showPercent val="0"/>
              <c:showBubbleSize val="0"/>
            </c:dLbl>
            <c:dLbl>
              <c:idx val="11"/>
              <c:layout>
                <c:manualLayout>
                  <c:x val="-2.6436781609195402E-2"/>
                  <c:y val="5.0802139037433122E-2"/>
                </c:manualLayout>
              </c:layout>
              <c:dLblPos val="r"/>
              <c:showLegendKey val="0"/>
              <c:showVal val="1"/>
              <c:showCatName val="0"/>
              <c:showSerName val="0"/>
              <c:showPercent val="0"/>
              <c:showBubbleSize val="0"/>
            </c:dLbl>
            <c:dLbl>
              <c:idx val="12"/>
              <c:layout>
                <c:manualLayout>
                  <c:x val="-2.7969348659003832E-2"/>
                  <c:y val="4.0106951871657755E-2"/>
                </c:manualLayout>
              </c:layout>
              <c:dLblPos val="r"/>
              <c:showLegendKey val="0"/>
              <c:showVal val="1"/>
              <c:showCatName val="0"/>
              <c:showSerName val="0"/>
              <c:showPercent val="0"/>
              <c:showBubbleSize val="0"/>
            </c:dLbl>
            <c:dLbl>
              <c:idx val="13"/>
              <c:layout>
                <c:manualLayout>
                  <c:x val="-2.6436781609195513E-2"/>
                  <c:y val="4.7237076648841352E-2"/>
                </c:manualLayout>
              </c:layout>
              <c:dLblPos val="r"/>
              <c:showLegendKey val="0"/>
              <c:showVal val="1"/>
              <c:showCatName val="0"/>
              <c:showSerName val="0"/>
              <c:showPercent val="0"/>
              <c:showBubbleSize val="0"/>
            </c:dLbl>
            <c:dLbl>
              <c:idx val="14"/>
              <c:layout>
                <c:manualLayout>
                  <c:x val="-2.5211761924678697E-2"/>
                  <c:y val="3.5211318097432942E-2"/>
                </c:manualLayout>
              </c:layout>
              <c:dLblPos val="r"/>
              <c:showLegendKey val="0"/>
              <c:showVal val="1"/>
              <c:showCatName val="0"/>
              <c:showSerName val="0"/>
              <c:showPercent val="0"/>
              <c:showBubbleSize val="0"/>
            </c:dLbl>
            <c:spPr>
              <a:solidFill>
                <a:sysClr val="window" lastClr="FFFFFF"/>
              </a:solidFill>
            </c:spPr>
            <c:txPr>
              <a:bodyPr/>
              <a:lstStyle/>
              <a:p>
                <a:pPr>
                  <a:defRPr sz="900" b="1"/>
                </a:pPr>
                <a:endParaRPr lang="pt-BR"/>
              </a:p>
            </c:txPr>
            <c:dLblPos val="t"/>
            <c:showLegendKey val="0"/>
            <c:showVal val="1"/>
            <c:showCatName val="0"/>
            <c:showSerName val="0"/>
            <c:showPercent val="0"/>
            <c:showBubbleSize val="0"/>
            <c:showLeaderLines val="0"/>
          </c:dLbls>
          <c:cat>
            <c:numRef>
              <c:f>para_graficos!$W$3:$AK$3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para_graficos!$W$721:$AK$721</c:f>
              <c:numCache>
                <c:formatCode>General</c:formatCode>
                <c:ptCount val="15"/>
                <c:pt idx="0">
                  <c:v>3.35</c:v>
                </c:pt>
                <c:pt idx="1">
                  <c:v>3.49</c:v>
                </c:pt>
                <c:pt idx="2">
                  <c:v>3.62</c:v>
                </c:pt>
                <c:pt idx="3">
                  <c:v>3.98</c:v>
                </c:pt>
                <c:pt idx="4">
                  <c:v>3.73</c:v>
                </c:pt>
                <c:pt idx="5">
                  <c:v>3.58</c:v>
                </c:pt>
                <c:pt idx="6">
                  <c:v>3.36</c:v>
                </c:pt>
                <c:pt idx="7">
                  <c:v>3.82</c:v>
                </c:pt>
                <c:pt idx="8" formatCode="0.00">
                  <c:v>3.93</c:v>
                </c:pt>
                <c:pt idx="9" formatCode="0.00">
                  <c:v>3.65</c:v>
                </c:pt>
                <c:pt idx="10" formatCode="0.00">
                  <c:v>3.52</c:v>
                </c:pt>
                <c:pt idx="11" formatCode="0.00">
                  <c:v>3.34</c:v>
                </c:pt>
                <c:pt idx="12" formatCode="0.00">
                  <c:v>3.13</c:v>
                </c:pt>
                <c:pt idx="13" formatCode="0.00">
                  <c:v>2.92</c:v>
                </c:pt>
                <c:pt idx="14" formatCode="0.00">
                  <c:v>2.57</c:v>
                </c:pt>
              </c:numCache>
            </c:numRef>
          </c:val>
          <c:smooth val="0"/>
        </c:ser>
        <c:dLbls>
          <c:showLegendKey val="0"/>
          <c:showVal val="0"/>
          <c:showCatName val="0"/>
          <c:showSerName val="0"/>
          <c:showPercent val="0"/>
          <c:showBubbleSize val="0"/>
        </c:dLbls>
        <c:marker val="1"/>
        <c:smooth val="0"/>
        <c:axId val="138129408"/>
        <c:axId val="138130944"/>
      </c:lineChart>
      <c:lineChart>
        <c:grouping val="standard"/>
        <c:varyColors val="0"/>
        <c:ser>
          <c:idx val="0"/>
          <c:order val="0"/>
          <c:tx>
            <c:v>RTinf (% de veículos infratores)</c:v>
          </c:tx>
          <c:spPr>
            <a:ln w="19050">
              <a:solidFill>
                <a:schemeClr val="tx1">
                  <a:lumMod val="65000"/>
                  <a:lumOff val="35000"/>
                </a:schemeClr>
              </a:solidFill>
            </a:ln>
          </c:spPr>
          <c:marker>
            <c:symbol val="diamond"/>
            <c:size val="7"/>
            <c:spPr>
              <a:solidFill>
                <a:schemeClr val="bg1">
                  <a:lumMod val="65000"/>
                </a:schemeClr>
              </a:solidFill>
              <a:ln w="9525">
                <a:solidFill>
                  <a:schemeClr val="tx1">
                    <a:lumMod val="65000"/>
                    <a:lumOff val="35000"/>
                  </a:schemeClr>
                </a:solidFill>
              </a:ln>
            </c:spPr>
          </c:marker>
          <c:dLbls>
            <c:dLbl>
              <c:idx val="5"/>
              <c:layout>
                <c:manualLayout>
                  <c:x val="-2.9885057471264367E-2"/>
                  <c:y val="4.3672014260249553E-2"/>
                </c:manualLayout>
              </c:layout>
              <c:dLblPos val="r"/>
              <c:showLegendKey val="0"/>
              <c:showVal val="1"/>
              <c:showCatName val="0"/>
              <c:showSerName val="0"/>
              <c:showPercent val="0"/>
              <c:showBubbleSize val="0"/>
            </c:dLbl>
            <c:dLbl>
              <c:idx val="6"/>
              <c:layout>
                <c:manualLayout>
                  <c:x val="-3.1417624521072794E-2"/>
                  <c:y val="3.4500821087203669E-2"/>
                </c:manualLayout>
              </c:layout>
              <c:dLblPos val="r"/>
              <c:showLegendKey val="0"/>
              <c:showVal val="1"/>
              <c:showCatName val="0"/>
              <c:showSerName val="0"/>
              <c:showPercent val="0"/>
              <c:showBubbleSize val="0"/>
            </c:dLbl>
            <c:dLbl>
              <c:idx val="7"/>
              <c:layout>
                <c:manualLayout>
                  <c:x val="-2.9885057471264367E-2"/>
                  <c:y val="4.3672014260249588E-2"/>
                </c:manualLayout>
              </c:layout>
              <c:dLblPos val="r"/>
              <c:showLegendKey val="0"/>
              <c:showVal val="1"/>
              <c:showCatName val="0"/>
              <c:showSerName val="0"/>
              <c:showPercent val="0"/>
              <c:showBubbleSize val="0"/>
            </c:dLbl>
            <c:dLbl>
              <c:idx val="8"/>
              <c:layout>
                <c:manualLayout>
                  <c:x val="-2.9885057471264367E-2"/>
                  <c:y val="4.3672014260249553E-2"/>
                </c:manualLayout>
              </c:layout>
              <c:dLblPos val="r"/>
              <c:showLegendKey val="0"/>
              <c:showVal val="1"/>
              <c:showCatName val="0"/>
              <c:showSerName val="0"/>
              <c:showPercent val="0"/>
              <c:showBubbleSize val="0"/>
            </c:dLbl>
            <c:numFmt formatCode="0%" sourceLinked="0"/>
            <c:txPr>
              <a:bodyPr/>
              <a:lstStyle/>
              <a:p>
                <a:pPr>
                  <a:defRPr sz="900" b="1" baseline="0">
                    <a:solidFill>
                      <a:sysClr val="windowText" lastClr="000000"/>
                    </a:solidFill>
                  </a:defRPr>
                </a:pPr>
                <a:endParaRPr lang="pt-BR"/>
              </a:p>
            </c:txPr>
            <c:dLblPos val="t"/>
            <c:showLegendKey val="0"/>
            <c:showVal val="1"/>
            <c:showCatName val="0"/>
            <c:showSerName val="0"/>
            <c:showPercent val="0"/>
            <c:showBubbleSize val="0"/>
            <c:showLeaderLines val="0"/>
          </c:dLbls>
          <c:cat>
            <c:numRef>
              <c:f>para_graficos!$W$3:$AK$3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para_graficos!$W$718:$AK$718</c:f>
              <c:numCache>
                <c:formatCode>0.00</c:formatCode>
                <c:ptCount val="15"/>
                <c:pt idx="0">
                  <c:v>0.56020000000000003</c:v>
                </c:pt>
                <c:pt idx="1">
                  <c:v>0.52390000000000003</c:v>
                </c:pt>
                <c:pt idx="2">
                  <c:v>0.58540000000000003</c:v>
                </c:pt>
                <c:pt idx="3">
                  <c:v>0.59970000000000001</c:v>
                </c:pt>
                <c:pt idx="4">
                  <c:v>0.61609999999999998</c:v>
                </c:pt>
                <c:pt idx="5">
                  <c:v>0.64599999999999991</c:v>
                </c:pt>
                <c:pt idx="6">
                  <c:v>0.59240000000000004</c:v>
                </c:pt>
                <c:pt idx="7">
                  <c:v>0.66659999999999997</c:v>
                </c:pt>
                <c:pt idx="8">
                  <c:v>0.6976</c:v>
                </c:pt>
                <c:pt idx="9">
                  <c:v>0.75309999999999999</c:v>
                </c:pt>
                <c:pt idx="10">
                  <c:v>0.75099999999999989</c:v>
                </c:pt>
                <c:pt idx="11">
                  <c:v>0.77129999999999999</c:v>
                </c:pt>
                <c:pt idx="12">
                  <c:v>0.80090000000000006</c:v>
                </c:pt>
                <c:pt idx="13">
                  <c:v>0.78859999999999997</c:v>
                </c:pt>
                <c:pt idx="14">
                  <c:v>0.78760000000000008</c:v>
                </c:pt>
              </c:numCache>
            </c:numRef>
          </c:val>
          <c:smooth val="0"/>
        </c:ser>
        <c:dLbls>
          <c:showLegendKey val="0"/>
          <c:showVal val="0"/>
          <c:showCatName val="0"/>
          <c:showSerName val="0"/>
          <c:showPercent val="0"/>
          <c:showBubbleSize val="0"/>
        </c:dLbls>
        <c:marker val="1"/>
        <c:smooth val="0"/>
        <c:axId val="138139136"/>
        <c:axId val="138132864"/>
      </c:lineChart>
      <c:catAx>
        <c:axId val="138129408"/>
        <c:scaling>
          <c:orientation val="minMax"/>
        </c:scaling>
        <c:delete val="0"/>
        <c:axPos val="b"/>
        <c:numFmt formatCode="General" sourceLinked="1"/>
        <c:majorTickMark val="out"/>
        <c:minorTickMark val="none"/>
        <c:tickLblPos val="nextTo"/>
        <c:crossAx val="138130944"/>
        <c:crosses val="autoZero"/>
        <c:auto val="1"/>
        <c:lblAlgn val="ctr"/>
        <c:lblOffset val="100"/>
        <c:noMultiLvlLbl val="0"/>
      </c:catAx>
      <c:valAx>
        <c:axId val="138130944"/>
        <c:scaling>
          <c:orientation val="minMax"/>
        </c:scaling>
        <c:delete val="0"/>
        <c:axPos val="l"/>
        <c:title>
          <c:tx>
            <c:rich>
              <a:bodyPr rot="0" vert="horz"/>
              <a:lstStyle/>
              <a:p>
                <a:pPr>
                  <a:defRPr sz="1100"/>
                </a:pPr>
                <a:r>
                  <a:rPr lang="en-US" sz="1100"/>
                  <a:t>RT</a:t>
                </a:r>
                <a:r>
                  <a:rPr lang="en-US" sz="1100" baseline="-25000"/>
                  <a:t>rot</a:t>
                </a:r>
              </a:p>
            </c:rich>
          </c:tx>
          <c:overlay val="0"/>
        </c:title>
        <c:numFmt formatCode="#,##0.00" sourceLinked="0"/>
        <c:majorTickMark val="out"/>
        <c:minorTickMark val="none"/>
        <c:tickLblPos val="nextTo"/>
        <c:crossAx val="138129408"/>
        <c:crosses val="autoZero"/>
        <c:crossBetween val="between"/>
      </c:valAx>
      <c:valAx>
        <c:axId val="138132864"/>
        <c:scaling>
          <c:orientation val="minMax"/>
        </c:scaling>
        <c:delete val="0"/>
        <c:axPos val="r"/>
        <c:title>
          <c:tx>
            <c:rich>
              <a:bodyPr rot="0" vert="horz"/>
              <a:lstStyle/>
              <a:p>
                <a:pPr>
                  <a:defRPr sz="1100" baseline="-25000"/>
                </a:pPr>
                <a:r>
                  <a:rPr lang="en-US" sz="1100" baseline="0"/>
                  <a:t>RT</a:t>
                </a:r>
                <a:r>
                  <a:rPr lang="en-US" sz="1100" baseline="-25000"/>
                  <a:t>inf</a:t>
                </a:r>
              </a:p>
            </c:rich>
          </c:tx>
          <c:overlay val="0"/>
        </c:title>
        <c:numFmt formatCode="0%" sourceLinked="0"/>
        <c:majorTickMark val="out"/>
        <c:minorTickMark val="none"/>
        <c:tickLblPos val="nextTo"/>
        <c:crossAx val="138139136"/>
        <c:crosses val="max"/>
        <c:crossBetween val="between"/>
      </c:valAx>
      <c:catAx>
        <c:axId val="138139136"/>
        <c:scaling>
          <c:orientation val="minMax"/>
        </c:scaling>
        <c:delete val="1"/>
        <c:axPos val="b"/>
        <c:numFmt formatCode="General" sourceLinked="1"/>
        <c:majorTickMark val="out"/>
        <c:minorTickMark val="none"/>
        <c:tickLblPos val="nextTo"/>
        <c:crossAx val="138132864"/>
        <c:crosses val="autoZero"/>
        <c:auto val="1"/>
        <c:lblAlgn val="ctr"/>
        <c:lblOffset val="100"/>
        <c:noMultiLvlLbl val="0"/>
      </c:cat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RTtl (n.º de talões vendidos por ano)</c:v>
          </c:tx>
          <c:spPr>
            <a:ln w="22225">
              <a:solidFill>
                <a:schemeClr val="tx1">
                  <a:lumMod val="65000"/>
                  <a:lumOff val="35000"/>
                </a:schemeClr>
              </a:solidFill>
            </a:ln>
          </c:spPr>
          <c:marker>
            <c:symbol val="circle"/>
            <c:size val="7"/>
            <c:spPr>
              <a:solidFill>
                <a:schemeClr val="bg1">
                  <a:lumMod val="65000"/>
                </a:schemeClr>
              </a:solidFill>
              <a:ln>
                <a:solidFill>
                  <a:schemeClr val="tx1">
                    <a:lumMod val="65000"/>
                    <a:lumOff val="35000"/>
                  </a:schemeClr>
                </a:solidFill>
              </a:ln>
            </c:spPr>
          </c:marker>
          <c:dLbls>
            <c:dLbl>
              <c:idx val="14"/>
              <c:numFmt formatCode="#,##0" sourceLinked="0"/>
              <c:spPr/>
              <c:txPr>
                <a:bodyPr/>
                <a:lstStyle/>
                <a:p>
                  <a:pPr>
                    <a:defRPr sz="900" b="1"/>
                  </a:pPr>
                  <a:endParaRPr lang="pt-BR"/>
                </a:p>
              </c:txPr>
              <c:dLblPos val="b"/>
              <c:showLegendKey val="0"/>
              <c:showVal val="1"/>
              <c:showCatName val="0"/>
              <c:showSerName val="0"/>
              <c:showPercent val="0"/>
              <c:showBubbleSize val="0"/>
            </c:dLbl>
            <c:txPr>
              <a:bodyPr/>
              <a:lstStyle/>
              <a:p>
                <a:pPr>
                  <a:defRPr sz="900" b="1"/>
                </a:pPr>
                <a:endParaRPr lang="pt-BR"/>
              </a:p>
            </c:txPr>
            <c:dLblPos val="b"/>
            <c:showLegendKey val="0"/>
            <c:showVal val="1"/>
            <c:showCatName val="0"/>
            <c:showSerName val="0"/>
            <c:showPercent val="0"/>
            <c:showBubbleSize val="0"/>
            <c:showLeaderLines val="0"/>
          </c:dLbls>
          <c:cat>
            <c:numRef>
              <c:f>para_graficos!$W$3:$AK$3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para_graficos!$W$722:$AK$722</c:f>
              <c:numCache>
                <c:formatCode>#,##0</c:formatCode>
                <c:ptCount val="15"/>
                <c:pt idx="0">
                  <c:v>549520</c:v>
                </c:pt>
                <c:pt idx="1">
                  <c:v>585209</c:v>
                </c:pt>
                <c:pt idx="2">
                  <c:v>496995</c:v>
                </c:pt>
                <c:pt idx="3">
                  <c:v>591429</c:v>
                </c:pt>
                <c:pt idx="4">
                  <c:v>579591</c:v>
                </c:pt>
                <c:pt idx="5">
                  <c:v>571073</c:v>
                </c:pt>
                <c:pt idx="6">
                  <c:v>580569</c:v>
                </c:pt>
                <c:pt idx="7">
                  <c:v>605732</c:v>
                </c:pt>
                <c:pt idx="8">
                  <c:v>608773</c:v>
                </c:pt>
                <c:pt idx="9">
                  <c:v>612265</c:v>
                </c:pt>
                <c:pt idx="10">
                  <c:v>645076</c:v>
                </c:pt>
                <c:pt idx="11">
                  <c:v>700777</c:v>
                </c:pt>
                <c:pt idx="12">
                  <c:v>639170</c:v>
                </c:pt>
                <c:pt idx="13">
                  <c:v>579651</c:v>
                </c:pt>
                <c:pt idx="14">
                  <c:v>553890</c:v>
                </c:pt>
              </c:numCache>
            </c:numRef>
          </c:val>
          <c:smooth val="0"/>
        </c:ser>
        <c:ser>
          <c:idx val="1"/>
          <c:order val="1"/>
          <c:tx>
            <c:v>RT$ (receita bruta média mensal)</c:v>
          </c:tx>
          <c:spPr>
            <a:ln>
              <a:solidFill>
                <a:schemeClr val="tx1">
                  <a:lumMod val="50000"/>
                  <a:lumOff val="50000"/>
                </a:schemeClr>
              </a:solidFill>
              <a:prstDash val="sysDash"/>
            </a:ln>
          </c:spPr>
          <c:marker>
            <c:symbol val="square"/>
            <c:size val="7"/>
            <c:spPr>
              <a:solidFill>
                <a:schemeClr val="bg1">
                  <a:lumMod val="95000"/>
                </a:schemeClr>
              </a:solidFill>
              <a:ln>
                <a:solidFill>
                  <a:schemeClr val="tx1">
                    <a:lumMod val="75000"/>
                    <a:lumOff val="25000"/>
                  </a:schemeClr>
                </a:solidFill>
              </a:ln>
            </c:spPr>
          </c:marker>
          <c:dLbls>
            <c:dLbl>
              <c:idx val="14"/>
              <c:numFmt formatCode="#,##0" sourceLinked="0"/>
              <c:spPr/>
              <c:txPr>
                <a:bodyPr/>
                <a:lstStyle/>
                <a:p>
                  <a:pPr>
                    <a:defRPr sz="900" b="1"/>
                  </a:pPr>
                  <a:endParaRPr lang="pt-BR"/>
                </a:p>
              </c:txPr>
              <c:dLblPos val="t"/>
              <c:showLegendKey val="0"/>
              <c:showVal val="1"/>
              <c:showCatName val="0"/>
              <c:showSerName val="0"/>
              <c:showPercent val="0"/>
              <c:showBubbleSize val="0"/>
            </c:dLbl>
            <c:txPr>
              <a:bodyPr/>
              <a:lstStyle/>
              <a:p>
                <a:pPr>
                  <a:defRPr sz="900" b="1"/>
                </a:pPr>
                <a:endParaRPr lang="pt-BR"/>
              </a:p>
            </c:txPr>
            <c:dLblPos val="t"/>
            <c:showLegendKey val="0"/>
            <c:showVal val="1"/>
            <c:showCatName val="0"/>
            <c:showSerName val="0"/>
            <c:showPercent val="0"/>
            <c:showBubbleSize val="0"/>
            <c:showLeaderLines val="0"/>
          </c:dLbls>
          <c:cat>
            <c:numRef>
              <c:f>para_graficos!$W$3:$AK$3</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para_graficos!$W$716:$AK$716</c:f>
              <c:numCache>
                <c:formatCode>#,##0</c:formatCode>
                <c:ptCount val="15"/>
                <c:pt idx="0">
                  <c:v>681239</c:v>
                </c:pt>
                <c:pt idx="1">
                  <c:v>731511</c:v>
                </c:pt>
                <c:pt idx="2">
                  <c:v>778764</c:v>
                </c:pt>
                <c:pt idx="3">
                  <c:v>985715</c:v>
                </c:pt>
                <c:pt idx="4">
                  <c:v>965985</c:v>
                </c:pt>
                <c:pt idx="5">
                  <c:v>952122</c:v>
                </c:pt>
                <c:pt idx="6">
                  <c:v>1095961</c:v>
                </c:pt>
                <c:pt idx="7">
                  <c:v>1206074</c:v>
                </c:pt>
                <c:pt idx="8">
                  <c:v>1275856</c:v>
                </c:pt>
                <c:pt idx="9">
                  <c:v>1355694</c:v>
                </c:pt>
                <c:pt idx="10">
                  <c:v>1451421</c:v>
                </c:pt>
                <c:pt idx="11">
                  <c:v>1690981</c:v>
                </c:pt>
                <c:pt idx="12">
                  <c:v>1619711</c:v>
                </c:pt>
                <c:pt idx="13">
                  <c:v>1574796</c:v>
                </c:pt>
                <c:pt idx="14">
                  <c:v>1658729.6666666667</c:v>
                </c:pt>
              </c:numCache>
            </c:numRef>
          </c:val>
          <c:smooth val="0"/>
        </c:ser>
        <c:dLbls>
          <c:dLblPos val="b"/>
          <c:showLegendKey val="0"/>
          <c:showVal val="1"/>
          <c:showCatName val="0"/>
          <c:showSerName val="0"/>
          <c:showPercent val="0"/>
          <c:showBubbleSize val="0"/>
        </c:dLbls>
        <c:marker val="1"/>
        <c:smooth val="0"/>
        <c:axId val="138562944"/>
        <c:axId val="138568832"/>
      </c:lineChart>
      <c:catAx>
        <c:axId val="138562944"/>
        <c:scaling>
          <c:orientation val="minMax"/>
        </c:scaling>
        <c:delete val="0"/>
        <c:axPos val="b"/>
        <c:numFmt formatCode="General" sourceLinked="1"/>
        <c:majorTickMark val="out"/>
        <c:minorTickMark val="none"/>
        <c:tickLblPos val="nextTo"/>
        <c:crossAx val="138568832"/>
        <c:crosses val="autoZero"/>
        <c:auto val="1"/>
        <c:lblAlgn val="ctr"/>
        <c:lblOffset val="100"/>
        <c:noMultiLvlLbl val="0"/>
      </c:catAx>
      <c:valAx>
        <c:axId val="138568832"/>
        <c:scaling>
          <c:orientation val="minMax"/>
        </c:scaling>
        <c:delete val="0"/>
        <c:axPos val="l"/>
        <c:numFmt formatCode="#,##0" sourceLinked="1"/>
        <c:majorTickMark val="out"/>
        <c:minorTickMark val="none"/>
        <c:tickLblPos val="nextTo"/>
        <c:crossAx val="138562944"/>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RLvfdi (n.º total de vagas físicas reservadas para inclusão, ou seja, para idosos ou para pessoas com deficiência)</c:v>
          </c:tx>
          <c:spPr>
            <a:solidFill>
              <a:schemeClr val="accent3">
                <a:lumMod val="40000"/>
                <a:lumOff val="60000"/>
              </a:schemeClr>
            </a:solidFill>
            <a:ln>
              <a:solidFill>
                <a:sysClr val="windowText" lastClr="000000"/>
              </a:solidFill>
            </a:ln>
          </c:spPr>
          <c:invertIfNegative val="0"/>
          <c:dLbls>
            <c:dLbl>
              <c:idx val="0"/>
              <c:showLegendKey val="0"/>
              <c:showVal val="1"/>
              <c:showCatName val="0"/>
              <c:showSerName val="0"/>
              <c:showPercent val="0"/>
              <c:showBubbleSize val="0"/>
            </c:dLbl>
            <c:dLbl>
              <c:idx val="8"/>
              <c:showLegendKey val="0"/>
              <c:showVal val="1"/>
              <c:showCatName val="0"/>
              <c:showSerName val="0"/>
              <c:showPercent val="0"/>
              <c:showBubbleSize val="0"/>
            </c:dLbl>
            <c:dLbl>
              <c:idx val="9"/>
              <c:showLegendKey val="0"/>
              <c:showVal val="1"/>
              <c:showCatName val="0"/>
              <c:showSerName val="0"/>
              <c:showPercent val="0"/>
              <c:showBubbleSize val="0"/>
            </c:dLbl>
            <c:dLbl>
              <c:idx val="10"/>
              <c:showLegendKey val="0"/>
              <c:showVal val="1"/>
              <c:showCatName val="0"/>
              <c:showSerName val="0"/>
              <c:showPercent val="0"/>
              <c:showBubbleSize val="0"/>
            </c:dLbl>
            <c:dLbl>
              <c:idx val="11"/>
              <c:showLegendKey val="0"/>
              <c:showVal val="1"/>
              <c:showCatName val="0"/>
              <c:showSerName val="0"/>
              <c:showPercent val="0"/>
              <c:showBubbleSize val="0"/>
            </c:dLbl>
            <c:dLbl>
              <c:idx val="12"/>
              <c:showLegendKey val="0"/>
              <c:showVal val="1"/>
              <c:showCatName val="0"/>
              <c:showSerName val="0"/>
              <c:showPercent val="0"/>
              <c:showBubbleSize val="0"/>
            </c:dLbl>
            <c:dLbl>
              <c:idx val="13"/>
              <c:showLegendKey val="0"/>
              <c:showVal val="1"/>
              <c:showCatName val="0"/>
              <c:showSerName val="0"/>
              <c:showPercent val="0"/>
              <c:showBubbleSize val="0"/>
            </c:dLbl>
            <c:txPr>
              <a:bodyPr/>
              <a:lstStyle/>
              <a:p>
                <a:pPr>
                  <a:defRPr b="1">
                    <a:solidFill>
                      <a:schemeClr val="accent3">
                        <a:lumMod val="50000"/>
                      </a:schemeClr>
                    </a:solidFill>
                  </a:defRPr>
                </a:pPr>
                <a:endParaRPr lang="pt-BR"/>
              </a:p>
            </c:txPr>
            <c:showLegendKey val="0"/>
            <c:showVal val="0"/>
            <c:showCatName val="0"/>
            <c:showSerName val="0"/>
            <c:showPercent val="0"/>
            <c:showBubbleSize val="0"/>
          </c:dLbls>
          <c:cat>
            <c:numRef>
              <c:f>para_graficos!$X$3:$AK$3</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para_graficos!$X$713:$AK$713</c:f>
              <c:numCache>
                <c:formatCode>General</c:formatCode>
                <c:ptCount val="14"/>
                <c:pt idx="0">
                  <c:v>147</c:v>
                </c:pt>
                <c:pt idx="1">
                  <c:v>343</c:v>
                </c:pt>
                <c:pt idx="2">
                  <c:v>512</c:v>
                </c:pt>
                <c:pt idx="3">
                  <c:v>532</c:v>
                </c:pt>
                <c:pt idx="4">
                  <c:v>534</c:v>
                </c:pt>
                <c:pt idx="5">
                  <c:v>546</c:v>
                </c:pt>
                <c:pt idx="6">
                  <c:v>553</c:v>
                </c:pt>
                <c:pt idx="7">
                  <c:v>631</c:v>
                </c:pt>
                <c:pt idx="8">
                  <c:v>714</c:v>
                </c:pt>
                <c:pt idx="9">
                  <c:v>787</c:v>
                </c:pt>
                <c:pt idx="10">
                  <c:v>870</c:v>
                </c:pt>
                <c:pt idx="11">
                  <c:v>908</c:v>
                </c:pt>
                <c:pt idx="12" formatCode="#,##0">
                  <c:v>1021</c:v>
                </c:pt>
                <c:pt idx="13" formatCode="#,##0">
                  <c:v>1290</c:v>
                </c:pt>
              </c:numCache>
            </c:numRef>
          </c:val>
        </c:ser>
        <c:dLbls>
          <c:showLegendKey val="0"/>
          <c:showVal val="0"/>
          <c:showCatName val="0"/>
          <c:showSerName val="0"/>
          <c:showPercent val="0"/>
          <c:showBubbleSize val="0"/>
        </c:dLbls>
        <c:gapWidth val="150"/>
        <c:axId val="138583040"/>
        <c:axId val="138601216"/>
      </c:barChart>
      <c:lineChart>
        <c:grouping val="standard"/>
        <c:varyColors val="0"/>
        <c:ser>
          <c:idx val="1"/>
          <c:order val="1"/>
          <c:tx>
            <c:v>CREdi (n.º de credenciais para utilização de estacionamento reservado por idosos ou por pessoas com deficiência)</c:v>
          </c:tx>
          <c:spPr>
            <a:ln w="25400">
              <a:solidFill>
                <a:schemeClr val="tx1">
                  <a:lumMod val="50000"/>
                  <a:lumOff val="50000"/>
                </a:schemeClr>
              </a:solidFill>
            </a:ln>
          </c:spPr>
          <c:marker>
            <c:symbol val="triangle"/>
            <c:size val="7"/>
            <c:spPr>
              <a:solidFill>
                <a:schemeClr val="bg1">
                  <a:lumMod val="65000"/>
                </a:schemeClr>
              </a:solidFill>
              <a:ln>
                <a:solidFill>
                  <a:schemeClr val="tx1">
                    <a:lumMod val="75000"/>
                    <a:lumOff val="25000"/>
                  </a:schemeClr>
                </a:solidFill>
              </a:ln>
            </c:spPr>
          </c:marker>
          <c:dLbls>
            <c:dLbl>
              <c:idx val="11"/>
              <c:layout>
                <c:manualLayout>
                  <c:x val="-5.1207226433144452E-2"/>
                  <c:y val="-4.0282934816634162E-2"/>
                </c:manualLayout>
              </c:layout>
              <c:dLblPos val="r"/>
              <c:showLegendKey val="0"/>
              <c:showVal val="1"/>
              <c:showCatName val="0"/>
              <c:showSerName val="0"/>
              <c:showPercent val="0"/>
              <c:showBubbleSize val="0"/>
            </c:dLbl>
            <c:dLbl>
              <c:idx val="12"/>
              <c:layout>
                <c:manualLayout>
                  <c:x val="-5.2764858831898347E-2"/>
                  <c:y val="-4.0282934816634162E-2"/>
                </c:manualLayout>
              </c:layout>
              <c:dLblPos val="r"/>
              <c:showLegendKey val="0"/>
              <c:showVal val="1"/>
              <c:showCatName val="0"/>
              <c:showSerName val="0"/>
              <c:showPercent val="0"/>
              <c:showBubbleSize val="0"/>
            </c:dLbl>
            <c:txPr>
              <a:bodyPr/>
              <a:lstStyle/>
              <a:p>
                <a:pPr>
                  <a:defRPr sz="900" b="1"/>
                </a:pPr>
                <a:endParaRPr lang="pt-BR"/>
              </a:p>
            </c:txPr>
            <c:dLblPos val="t"/>
            <c:showLegendKey val="0"/>
            <c:showVal val="1"/>
            <c:showCatName val="0"/>
            <c:showSerName val="0"/>
            <c:showPercent val="0"/>
            <c:showBubbleSize val="0"/>
            <c:showLeaderLines val="0"/>
          </c:dLbls>
          <c:cat>
            <c:numRef>
              <c:f>para_graficos!$X$3:$AK$3</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para_graficos!$X$161:$AK$161</c:f>
              <c:numCache>
                <c:formatCode>#,##0</c:formatCode>
                <c:ptCount val="14"/>
                <c:pt idx="1">
                  <c:v>351</c:v>
                </c:pt>
                <c:pt idx="2">
                  <c:v>723</c:v>
                </c:pt>
                <c:pt idx="3">
                  <c:v>1018</c:v>
                </c:pt>
                <c:pt idx="4">
                  <c:v>1207</c:v>
                </c:pt>
                <c:pt idx="5">
                  <c:v>1437</c:v>
                </c:pt>
                <c:pt idx="6">
                  <c:v>1677</c:v>
                </c:pt>
                <c:pt idx="7">
                  <c:v>1896</c:v>
                </c:pt>
                <c:pt idx="8">
                  <c:v>4353</c:v>
                </c:pt>
                <c:pt idx="9">
                  <c:v>5654</c:v>
                </c:pt>
                <c:pt idx="10">
                  <c:v>8226</c:v>
                </c:pt>
                <c:pt idx="11">
                  <c:v>12050</c:v>
                </c:pt>
                <c:pt idx="12">
                  <c:v>16099</c:v>
                </c:pt>
                <c:pt idx="13">
                  <c:v>24180</c:v>
                </c:pt>
              </c:numCache>
            </c:numRef>
          </c:val>
          <c:smooth val="0"/>
        </c:ser>
        <c:dLbls>
          <c:showLegendKey val="0"/>
          <c:showVal val="0"/>
          <c:showCatName val="0"/>
          <c:showSerName val="0"/>
          <c:showPercent val="0"/>
          <c:showBubbleSize val="0"/>
        </c:dLbls>
        <c:marker val="1"/>
        <c:smooth val="0"/>
        <c:axId val="138583040"/>
        <c:axId val="138601216"/>
      </c:lineChart>
      <c:catAx>
        <c:axId val="138583040"/>
        <c:scaling>
          <c:orientation val="minMax"/>
        </c:scaling>
        <c:delete val="0"/>
        <c:axPos val="b"/>
        <c:numFmt formatCode="General" sourceLinked="1"/>
        <c:majorTickMark val="out"/>
        <c:minorTickMark val="none"/>
        <c:tickLblPos val="nextTo"/>
        <c:crossAx val="138601216"/>
        <c:crosses val="autoZero"/>
        <c:auto val="1"/>
        <c:lblAlgn val="ctr"/>
        <c:lblOffset val="100"/>
        <c:noMultiLvlLbl val="0"/>
      </c:catAx>
      <c:valAx>
        <c:axId val="138601216"/>
        <c:scaling>
          <c:orientation val="minMax"/>
        </c:scaling>
        <c:delete val="0"/>
        <c:axPos val="l"/>
        <c:title>
          <c:tx>
            <c:rich>
              <a:bodyPr rot="0" vert="horz"/>
              <a:lstStyle/>
              <a:p>
                <a:pPr>
                  <a:defRPr/>
                </a:pPr>
                <a:r>
                  <a:rPr lang="en-US"/>
                  <a:t>RL
</a:t>
                </a:r>
              </a:p>
              <a:p>
                <a:pPr>
                  <a:defRPr/>
                </a:pPr>
                <a:r>
                  <a:rPr lang="en-US"/>
                  <a:t>CRE</a:t>
                </a:r>
              </a:p>
            </c:rich>
          </c:tx>
          <c:overlay val="0"/>
        </c:title>
        <c:numFmt formatCode="General" sourceLinked="1"/>
        <c:majorTickMark val="out"/>
        <c:minorTickMark val="none"/>
        <c:tickLblPos val="nextTo"/>
        <c:crossAx val="138583040"/>
        <c:crosses val="autoZero"/>
        <c:crossBetween val="between"/>
      </c:valAx>
    </c:plotArea>
    <c:legend>
      <c:legendPos val="b"/>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CREd (n.º de credenciais para pessoa com deficiência)</c:v>
          </c:tx>
          <c:spPr>
            <a:solidFill>
              <a:srgbClr val="0070C0"/>
            </a:solidFill>
            <a:ln>
              <a:solidFill>
                <a:sysClr val="windowText" lastClr="000000"/>
              </a:solidFill>
            </a:ln>
          </c:spPr>
          <c:invertIfNegative val="0"/>
          <c:dLbls>
            <c:dLbl>
              <c:idx val="12"/>
              <c:layout>
                <c:manualLayout>
                  <c:x val="-8.7527352297592995E-3"/>
                  <c:y val="7.0175419208338384E-3"/>
                </c:manualLayout>
              </c:layout>
              <c:showLegendKey val="0"/>
              <c:showVal val="1"/>
              <c:showCatName val="0"/>
              <c:showSerName val="0"/>
              <c:showPercent val="0"/>
              <c:showBubbleSize val="0"/>
            </c:dLbl>
            <c:dLbl>
              <c:idx val="13"/>
              <c:layout>
                <c:manualLayout>
                  <c:x val="1.7505470459518491E-2"/>
                  <c:y val="-1.4035083841667677E-2"/>
                </c:manualLayout>
              </c:layout>
              <c:showLegendKey val="0"/>
              <c:showVal val="1"/>
              <c:showCatName val="0"/>
              <c:showSerName val="0"/>
              <c:showPercent val="0"/>
              <c:showBubbleSize val="0"/>
            </c:dLbl>
            <c:spPr>
              <a:solidFill>
                <a:srgbClr val="0070C0"/>
              </a:solidFill>
              <a:ln>
                <a:solidFill>
                  <a:schemeClr val="tx1"/>
                </a:solidFill>
              </a:ln>
            </c:spPr>
            <c:txPr>
              <a:bodyPr/>
              <a:lstStyle/>
              <a:p>
                <a:pPr>
                  <a:defRPr sz="900" b="1">
                    <a:solidFill>
                      <a:schemeClr val="bg1"/>
                    </a:solidFill>
                  </a:defRPr>
                </a:pPr>
                <a:endParaRPr lang="pt-BR"/>
              </a:p>
            </c:txPr>
            <c:showLegendKey val="0"/>
            <c:showVal val="0"/>
            <c:showCatName val="0"/>
            <c:showSerName val="0"/>
            <c:showPercent val="0"/>
            <c:showBubbleSize val="0"/>
          </c:dLbls>
          <c:cat>
            <c:numRef>
              <c:f>para_graficos!$X$3:$AK$3</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para_graficos!$X$158:$AK$158</c:f>
              <c:numCache>
                <c:formatCode>#,##0</c:formatCode>
                <c:ptCount val="14"/>
                <c:pt idx="1">
                  <c:v>351</c:v>
                </c:pt>
                <c:pt idx="2">
                  <c:v>723</c:v>
                </c:pt>
                <c:pt idx="3">
                  <c:v>1018</c:v>
                </c:pt>
                <c:pt idx="4">
                  <c:v>1207</c:v>
                </c:pt>
                <c:pt idx="5">
                  <c:v>1437</c:v>
                </c:pt>
                <c:pt idx="6">
                  <c:v>1677</c:v>
                </c:pt>
                <c:pt idx="7">
                  <c:v>1892</c:v>
                </c:pt>
                <c:pt idx="8">
                  <c:v>2304</c:v>
                </c:pt>
                <c:pt idx="9">
                  <c:v>2630</c:v>
                </c:pt>
                <c:pt idx="10">
                  <c:v>2967</c:v>
                </c:pt>
                <c:pt idx="11">
                  <c:v>3382</c:v>
                </c:pt>
                <c:pt idx="12">
                  <c:v>3764</c:v>
                </c:pt>
                <c:pt idx="13">
                  <c:v>4216</c:v>
                </c:pt>
              </c:numCache>
            </c:numRef>
          </c:val>
        </c:ser>
        <c:ser>
          <c:idx val="1"/>
          <c:order val="1"/>
          <c:tx>
            <c:v>CREi (n.º de credenciais para idoso)</c:v>
          </c:tx>
          <c:spPr>
            <a:solidFill>
              <a:schemeClr val="bg1">
                <a:lumMod val="95000"/>
              </a:schemeClr>
            </a:solidFill>
            <a:ln>
              <a:solidFill>
                <a:schemeClr val="tx1"/>
              </a:solidFill>
            </a:ln>
          </c:spPr>
          <c:invertIfNegative val="0"/>
          <c:dLbls>
            <c:dLbl>
              <c:idx val="12"/>
              <c:layout>
                <c:manualLayout>
                  <c:x val="0"/>
                  <c:y val="0"/>
                </c:manualLayout>
              </c:layout>
              <c:showLegendKey val="0"/>
              <c:showVal val="1"/>
              <c:showCatName val="0"/>
              <c:showSerName val="0"/>
              <c:showPercent val="0"/>
              <c:showBubbleSize val="0"/>
            </c:dLbl>
            <c:dLbl>
              <c:idx val="13"/>
              <c:layout>
                <c:manualLayout>
                  <c:x val="0"/>
                  <c:y val="-9.1228044970839903E-2"/>
                </c:manualLayout>
              </c:layout>
              <c:showLegendKey val="0"/>
              <c:showVal val="1"/>
              <c:showCatName val="0"/>
              <c:showSerName val="0"/>
              <c:showPercent val="0"/>
              <c:showBubbleSize val="0"/>
            </c:dLbl>
            <c:numFmt formatCode="#,##0" sourceLinked="0"/>
            <c:spPr>
              <a:solidFill>
                <a:sysClr val="window" lastClr="FFFFFF"/>
              </a:solidFill>
              <a:ln>
                <a:solidFill>
                  <a:schemeClr val="tx1"/>
                </a:solidFill>
              </a:ln>
            </c:spPr>
            <c:txPr>
              <a:bodyPr/>
              <a:lstStyle/>
              <a:p>
                <a:pPr>
                  <a:defRPr sz="900" b="1"/>
                </a:pPr>
                <a:endParaRPr lang="pt-BR"/>
              </a:p>
            </c:txPr>
            <c:showLegendKey val="0"/>
            <c:showVal val="0"/>
            <c:showCatName val="0"/>
            <c:showSerName val="0"/>
            <c:showPercent val="0"/>
            <c:showBubbleSize val="0"/>
          </c:dLbls>
          <c:cat>
            <c:numRef>
              <c:f>para_graficos!$X$3:$AK$3</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para_graficos!$X$163:$AK$163</c:f>
              <c:numCache>
                <c:formatCode>#,##0</c:formatCode>
                <c:ptCount val="14"/>
                <c:pt idx="1">
                  <c:v>0</c:v>
                </c:pt>
                <c:pt idx="2">
                  <c:v>0</c:v>
                </c:pt>
                <c:pt idx="3">
                  <c:v>0</c:v>
                </c:pt>
                <c:pt idx="4">
                  <c:v>0</c:v>
                </c:pt>
                <c:pt idx="5">
                  <c:v>0</c:v>
                </c:pt>
                <c:pt idx="6">
                  <c:v>0</c:v>
                </c:pt>
                <c:pt idx="7">
                  <c:v>4</c:v>
                </c:pt>
                <c:pt idx="8">
                  <c:v>2049</c:v>
                </c:pt>
                <c:pt idx="9">
                  <c:v>3024</c:v>
                </c:pt>
                <c:pt idx="10">
                  <c:v>5259</c:v>
                </c:pt>
                <c:pt idx="11">
                  <c:v>8668</c:v>
                </c:pt>
                <c:pt idx="12">
                  <c:v>12335</c:v>
                </c:pt>
                <c:pt idx="13">
                  <c:v>19964</c:v>
                </c:pt>
              </c:numCache>
            </c:numRef>
          </c:val>
        </c:ser>
        <c:dLbls>
          <c:showLegendKey val="0"/>
          <c:showVal val="0"/>
          <c:showCatName val="0"/>
          <c:showSerName val="0"/>
          <c:showPercent val="0"/>
          <c:showBubbleSize val="0"/>
        </c:dLbls>
        <c:gapWidth val="150"/>
        <c:overlap val="100"/>
        <c:axId val="138340992"/>
        <c:axId val="138342784"/>
      </c:barChart>
      <c:catAx>
        <c:axId val="138340992"/>
        <c:scaling>
          <c:orientation val="minMax"/>
        </c:scaling>
        <c:delete val="0"/>
        <c:axPos val="b"/>
        <c:numFmt formatCode="General" sourceLinked="1"/>
        <c:majorTickMark val="out"/>
        <c:minorTickMark val="none"/>
        <c:tickLblPos val="nextTo"/>
        <c:txPr>
          <a:bodyPr/>
          <a:lstStyle/>
          <a:p>
            <a:pPr>
              <a:defRPr sz="900"/>
            </a:pPr>
            <a:endParaRPr lang="pt-BR"/>
          </a:p>
        </c:txPr>
        <c:crossAx val="138342784"/>
        <c:crosses val="autoZero"/>
        <c:auto val="1"/>
        <c:lblAlgn val="ctr"/>
        <c:lblOffset val="100"/>
        <c:noMultiLvlLbl val="0"/>
      </c:catAx>
      <c:valAx>
        <c:axId val="138342784"/>
        <c:scaling>
          <c:orientation val="minMax"/>
        </c:scaling>
        <c:delete val="0"/>
        <c:axPos val="l"/>
        <c:majorGridlines/>
        <c:numFmt formatCode="#,##0" sourceLinked="0"/>
        <c:majorTickMark val="out"/>
        <c:minorTickMark val="none"/>
        <c:tickLblPos val="nextTo"/>
        <c:crossAx val="138340992"/>
        <c:crosses val="autoZero"/>
        <c:crossBetween val="between"/>
      </c:valAx>
    </c:plotArea>
    <c:legend>
      <c:legendPos val="b"/>
      <c:layout>
        <c:manualLayout>
          <c:xMode val="edge"/>
          <c:yMode val="edge"/>
          <c:x val="0.16658270013841267"/>
          <c:y val="0.8655175977018621"/>
          <c:w val="0.73685625183066561"/>
          <c:h val="0.11348502697005394"/>
        </c:manualLayout>
      </c:layout>
      <c:overlay val="0"/>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27.xml"/><Relationship Id="rId7" Type="http://schemas.openxmlformats.org/officeDocument/2006/relationships/image" Target="../media/image1.png"/><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32.xml"/><Relationship Id="rId1" Type="http://schemas.openxmlformats.org/officeDocument/2006/relationships/chart" Target="../charts/chart31.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8.xml"/><Relationship Id="rId7" Type="http://schemas.openxmlformats.org/officeDocument/2006/relationships/chart" Target="../charts/chart51.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png"/><Relationship Id="rId1" Type="http://schemas.openxmlformats.org/officeDocument/2006/relationships/chart" Target="../charts/chart52.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54.xml"/><Relationship Id="rId1" Type="http://schemas.openxmlformats.org/officeDocument/2006/relationships/image" Target="../media/image6.jpeg"/><Relationship Id="rId5" Type="http://schemas.openxmlformats.org/officeDocument/2006/relationships/chart" Target="../charts/chart56.xml"/><Relationship Id="rId4" Type="http://schemas.openxmlformats.org/officeDocument/2006/relationships/chart" Target="../charts/chart55.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image" Target="../media/image1.png"/><Relationship Id="rId4" Type="http://schemas.openxmlformats.org/officeDocument/2006/relationships/chart" Target="../charts/chart59.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image" Target="../media/image1.png"/></Relationships>
</file>

<file path=xl/drawings/_rels/drawing25.xml.rels><?xml version="1.0" encoding="UTF-8" standalone="yes"?>
<Relationships xmlns="http://schemas.openxmlformats.org/package/2006/relationships"><Relationship Id="rId8" Type="http://schemas.openxmlformats.org/officeDocument/2006/relationships/chart" Target="../charts/chart73.xml"/><Relationship Id="rId13" Type="http://schemas.openxmlformats.org/officeDocument/2006/relationships/chart" Target="../charts/chart77.xml"/><Relationship Id="rId18" Type="http://schemas.openxmlformats.org/officeDocument/2006/relationships/chart" Target="../charts/chart82.xml"/><Relationship Id="rId3" Type="http://schemas.openxmlformats.org/officeDocument/2006/relationships/chart" Target="../charts/chart68.xml"/><Relationship Id="rId7" Type="http://schemas.openxmlformats.org/officeDocument/2006/relationships/chart" Target="../charts/chart72.xml"/><Relationship Id="rId12" Type="http://schemas.openxmlformats.org/officeDocument/2006/relationships/image" Target="../media/image1.png"/><Relationship Id="rId17" Type="http://schemas.openxmlformats.org/officeDocument/2006/relationships/chart" Target="../charts/chart81.xml"/><Relationship Id="rId2" Type="http://schemas.openxmlformats.org/officeDocument/2006/relationships/chart" Target="../charts/chart67.xml"/><Relationship Id="rId16" Type="http://schemas.openxmlformats.org/officeDocument/2006/relationships/chart" Target="../charts/chart80.xml"/><Relationship Id="rId1" Type="http://schemas.openxmlformats.org/officeDocument/2006/relationships/chart" Target="../charts/chart66.xml"/><Relationship Id="rId6" Type="http://schemas.openxmlformats.org/officeDocument/2006/relationships/chart" Target="../charts/chart71.xml"/><Relationship Id="rId11" Type="http://schemas.openxmlformats.org/officeDocument/2006/relationships/chart" Target="../charts/chart76.xml"/><Relationship Id="rId5" Type="http://schemas.openxmlformats.org/officeDocument/2006/relationships/chart" Target="../charts/chart70.xml"/><Relationship Id="rId15" Type="http://schemas.openxmlformats.org/officeDocument/2006/relationships/chart" Target="../charts/chart79.xml"/><Relationship Id="rId10" Type="http://schemas.openxmlformats.org/officeDocument/2006/relationships/chart" Target="../charts/chart75.xml"/><Relationship Id="rId19" Type="http://schemas.openxmlformats.org/officeDocument/2006/relationships/chart" Target="../charts/chart83.xml"/><Relationship Id="rId4" Type="http://schemas.openxmlformats.org/officeDocument/2006/relationships/chart" Target="../charts/chart69.xml"/><Relationship Id="rId9" Type="http://schemas.openxmlformats.org/officeDocument/2006/relationships/chart" Target="../charts/chart74.xml"/><Relationship Id="rId14" Type="http://schemas.openxmlformats.org/officeDocument/2006/relationships/chart" Target="../charts/chart78.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91.xml"/><Relationship Id="rId3" Type="http://schemas.openxmlformats.org/officeDocument/2006/relationships/chart" Target="../charts/chart86.xml"/><Relationship Id="rId7" Type="http://schemas.openxmlformats.org/officeDocument/2006/relationships/chart" Target="../charts/chart90.xml"/><Relationship Id="rId12" Type="http://schemas.openxmlformats.org/officeDocument/2006/relationships/image" Target="../media/image1.png"/><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11" Type="http://schemas.openxmlformats.org/officeDocument/2006/relationships/chart" Target="../charts/chart94.xml"/><Relationship Id="rId5" Type="http://schemas.openxmlformats.org/officeDocument/2006/relationships/chart" Target="../charts/chart88.xml"/><Relationship Id="rId10" Type="http://schemas.openxmlformats.org/officeDocument/2006/relationships/chart" Target="../charts/chart93.xml"/><Relationship Id="rId4" Type="http://schemas.openxmlformats.org/officeDocument/2006/relationships/chart" Target="../charts/chart87.xml"/><Relationship Id="rId9" Type="http://schemas.openxmlformats.org/officeDocument/2006/relationships/chart" Target="../charts/chart92.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101.xml"/><Relationship Id="rId3" Type="http://schemas.openxmlformats.org/officeDocument/2006/relationships/chart" Target="../charts/chart96.xml"/><Relationship Id="rId7" Type="http://schemas.openxmlformats.org/officeDocument/2006/relationships/chart" Target="../charts/chart100.xml"/><Relationship Id="rId2" Type="http://schemas.openxmlformats.org/officeDocument/2006/relationships/chart" Target="../charts/chart95.xml"/><Relationship Id="rId1" Type="http://schemas.openxmlformats.org/officeDocument/2006/relationships/image" Target="../media/image2.jpeg"/><Relationship Id="rId6" Type="http://schemas.openxmlformats.org/officeDocument/2006/relationships/chart" Target="../charts/chart99.xml"/><Relationship Id="rId11" Type="http://schemas.openxmlformats.org/officeDocument/2006/relationships/image" Target="../media/image4.png"/><Relationship Id="rId5" Type="http://schemas.openxmlformats.org/officeDocument/2006/relationships/chart" Target="../charts/chart98.xml"/><Relationship Id="rId10" Type="http://schemas.openxmlformats.org/officeDocument/2006/relationships/image" Target="../media/image3.jpeg"/><Relationship Id="rId4" Type="http://schemas.openxmlformats.org/officeDocument/2006/relationships/chart" Target="../charts/chart97.xml"/><Relationship Id="rId9" Type="http://schemas.openxmlformats.org/officeDocument/2006/relationships/chart" Target="../charts/chart10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4"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image" Target="../media/image1.png"/><Relationship Id="rId1" Type="http://schemas.openxmlformats.org/officeDocument/2006/relationships/chart" Target="../charts/chart106.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chart" Target="../charts/chart3.xml"/><Relationship Id="rId4" Type="http://schemas.openxmlformats.org/officeDocument/2006/relationships/chart" Target="../charts/chart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image" Target="../media/image4.png"/><Relationship Id="rId7" Type="http://schemas.openxmlformats.org/officeDocument/2006/relationships/chart" Target="../charts/chart7.xml"/><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png"/><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5</xdr:col>
      <xdr:colOff>660400</xdr:colOff>
      <xdr:row>0</xdr:row>
      <xdr:rowOff>47626</xdr:rowOff>
    </xdr:from>
    <xdr:to>
      <xdr:col>5</xdr:col>
      <xdr:colOff>5232400</xdr:colOff>
      <xdr:row>4</xdr:row>
      <xdr:rowOff>25401</xdr:rowOff>
    </xdr:to>
    <xdr:pic>
      <xdr:nvPicPr>
        <xdr:cNvPr id="6" name="Imagem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9900" y="250032"/>
          <a:ext cx="4572000" cy="787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190500</xdr:colOff>
      <xdr:row>0</xdr:row>
      <xdr:rowOff>95250</xdr:rowOff>
    </xdr:from>
    <xdr:to>
      <xdr:col>9</xdr:col>
      <xdr:colOff>38100</xdr:colOff>
      <xdr:row>3</xdr:row>
      <xdr:rowOff>123825</xdr:rowOff>
    </xdr:to>
    <xdr:pic>
      <xdr:nvPicPr>
        <xdr:cNvPr id="2" name="Imagem 1" descr="BHTRANS_PBH VERTICA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0" y="95250"/>
          <a:ext cx="16764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xdr:row>
      <xdr:rowOff>0</xdr:rowOff>
    </xdr:from>
    <xdr:to>
      <xdr:col>6</xdr:col>
      <xdr:colOff>142875</xdr:colOff>
      <xdr:row>4</xdr:row>
      <xdr:rowOff>9525</xdr:rowOff>
    </xdr:to>
    <xdr:pic>
      <xdr:nvPicPr>
        <xdr:cNvPr id="3" name="Imagem 2" descr="http://www.bhtrans.pbh.gov.br/portal/pls/portal/docs/912223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38450" y="190500"/>
          <a:ext cx="828675"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0</xdr:row>
      <xdr:rowOff>171450</xdr:rowOff>
    </xdr:from>
    <xdr:to>
      <xdr:col>10</xdr:col>
      <xdr:colOff>319566</xdr:colOff>
      <xdr:row>3</xdr:row>
      <xdr:rowOff>65211</xdr:rowOff>
    </xdr:to>
    <xdr:pic>
      <xdr:nvPicPr>
        <xdr:cNvPr id="4" name="Imagem 3" descr="PlanMob BH_Observatóri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5925" y="171450"/>
          <a:ext cx="786291" cy="465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428625</xdr:colOff>
      <xdr:row>6</xdr:row>
      <xdr:rowOff>33336</xdr:rowOff>
    </xdr:from>
    <xdr:to>
      <xdr:col>12</xdr:col>
      <xdr:colOff>400050</xdr:colOff>
      <xdr:row>25</xdr:row>
      <xdr:rowOff>161924</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8</xdr:row>
      <xdr:rowOff>19049</xdr:rowOff>
    </xdr:from>
    <xdr:to>
      <xdr:col>7</xdr:col>
      <xdr:colOff>323850</xdr:colOff>
      <xdr:row>24</xdr:row>
      <xdr:rowOff>200024</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7</xdr:col>
      <xdr:colOff>381000</xdr:colOff>
      <xdr:row>43</xdr:row>
      <xdr:rowOff>170447</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419100</xdr:colOff>
      <xdr:row>29</xdr:row>
      <xdr:rowOff>0</xdr:rowOff>
    </xdr:from>
    <xdr:to>
      <xdr:col>14</xdr:col>
      <xdr:colOff>561975</xdr:colOff>
      <xdr:row>43</xdr:row>
      <xdr:rowOff>170446</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581024</xdr:colOff>
      <xdr:row>9</xdr:row>
      <xdr:rowOff>0</xdr:rowOff>
    </xdr:from>
    <xdr:to>
      <xdr:col>14</xdr:col>
      <xdr:colOff>600075</xdr:colOff>
      <xdr:row>21</xdr:row>
      <xdr:rowOff>190500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152401</xdr:colOff>
      <xdr:row>46</xdr:row>
      <xdr:rowOff>9525</xdr:rowOff>
    </xdr:from>
    <xdr:to>
      <xdr:col>14</xdr:col>
      <xdr:colOff>485775</xdr:colOff>
      <xdr:row>65</xdr:row>
      <xdr:rowOff>14287</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67</xdr:row>
      <xdr:rowOff>33337</xdr:rowOff>
    </xdr:from>
    <xdr:to>
      <xdr:col>13</xdr:col>
      <xdr:colOff>590550</xdr:colOff>
      <xdr:row>82</xdr:row>
      <xdr:rowOff>171451</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23811</xdr:colOff>
      <xdr:row>85</xdr:row>
      <xdr:rowOff>61912</xdr:rowOff>
    </xdr:from>
    <xdr:to>
      <xdr:col>13</xdr:col>
      <xdr:colOff>600074</xdr:colOff>
      <xdr:row>102</xdr:row>
      <xdr:rowOff>171450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106</xdr:row>
      <xdr:rowOff>33336</xdr:rowOff>
    </xdr:from>
    <xdr:to>
      <xdr:col>14</xdr:col>
      <xdr:colOff>0</xdr:colOff>
      <xdr:row>122</xdr:row>
      <xdr:rowOff>171450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495300</xdr:colOff>
      <xdr:row>0</xdr:row>
      <xdr:rowOff>9525</xdr:rowOff>
    </xdr:from>
    <xdr:to>
      <xdr:col>11</xdr:col>
      <xdr:colOff>419100</xdr:colOff>
      <xdr:row>4</xdr:row>
      <xdr:rowOff>38100</xdr:rowOff>
    </xdr:to>
    <xdr:pic>
      <xdr:nvPicPr>
        <xdr:cNvPr id="13" name="Imagem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19350" y="9525"/>
          <a:ext cx="4572000" cy="790575"/>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0.45493</cdr:x>
      <cdr:y>0.41176</cdr:y>
    </cdr:from>
    <cdr:to>
      <cdr:x>0.5122</cdr:x>
      <cdr:y>0.49632</cdr:y>
    </cdr:to>
    <cdr:cxnSp macro="">
      <cdr:nvCxnSpPr>
        <cdr:cNvPr id="3" name="Conector de seta reta 2"/>
        <cdr:cNvCxnSpPr/>
      </cdr:nvCxnSpPr>
      <cdr:spPr>
        <a:xfrm xmlns:a="http://schemas.openxmlformats.org/drawingml/2006/main" flipH="1" flipV="1">
          <a:off x="2043113" y="1066800"/>
          <a:ext cx="257175" cy="219075"/>
        </a:xfrm>
        <a:prstGeom xmlns:a="http://schemas.openxmlformats.org/drawingml/2006/main" prst="straightConnector1">
          <a:avLst/>
        </a:prstGeom>
        <a:ln xmlns:a="http://schemas.openxmlformats.org/drawingml/2006/main" w="1270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0.77943</cdr:x>
      <cdr:y>0.08456</cdr:y>
    </cdr:from>
    <cdr:to>
      <cdr:x>0.85578</cdr:x>
      <cdr:y>0.19853</cdr:y>
    </cdr:to>
    <cdr:cxnSp macro="">
      <cdr:nvCxnSpPr>
        <cdr:cNvPr id="5" name="Conector de seta reta 4"/>
        <cdr:cNvCxnSpPr/>
      </cdr:nvCxnSpPr>
      <cdr:spPr>
        <a:xfrm xmlns:a="http://schemas.openxmlformats.org/drawingml/2006/main" flipH="1">
          <a:off x="3500438" y="219075"/>
          <a:ext cx="342900" cy="295275"/>
        </a:xfrm>
        <a:prstGeom xmlns:a="http://schemas.openxmlformats.org/drawingml/2006/main" prst="straightConnector1">
          <a:avLst/>
        </a:prstGeom>
        <a:ln xmlns:a="http://schemas.openxmlformats.org/drawingml/2006/main" w="1270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0.6246</cdr:x>
      <cdr:y>0.0625</cdr:y>
    </cdr:from>
    <cdr:to>
      <cdr:x>0.6246</cdr:x>
      <cdr:y>0.21691</cdr:y>
    </cdr:to>
    <cdr:cxnSp macro="">
      <cdr:nvCxnSpPr>
        <cdr:cNvPr id="7" name="Conector de seta reta 6"/>
        <cdr:cNvCxnSpPr/>
      </cdr:nvCxnSpPr>
      <cdr:spPr>
        <a:xfrm xmlns:a="http://schemas.openxmlformats.org/drawingml/2006/main">
          <a:off x="2805113" y="161925"/>
          <a:ext cx="1" cy="400050"/>
        </a:xfrm>
        <a:prstGeom xmlns:a="http://schemas.openxmlformats.org/drawingml/2006/main" prst="straightConnector1">
          <a:avLst/>
        </a:prstGeom>
        <a:ln xmlns:a="http://schemas.openxmlformats.org/drawingml/2006/main" w="1270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editAs="oneCell">
    <xdr:from>
      <xdr:col>4</xdr:col>
      <xdr:colOff>85725</xdr:colOff>
      <xdr:row>0</xdr:row>
      <xdr:rowOff>9525</xdr:rowOff>
    </xdr:from>
    <xdr:to>
      <xdr:col>11</xdr:col>
      <xdr:colOff>152401</xdr:colOff>
      <xdr:row>3</xdr:row>
      <xdr:rowOff>161925</xdr:rowOff>
    </xdr:to>
    <xdr:pic>
      <xdr:nvPicPr>
        <xdr:cNvPr id="3"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24125" y="9525"/>
          <a:ext cx="4333876" cy="723900"/>
        </a:xfrm>
        <a:prstGeom prst="rect">
          <a:avLst/>
        </a:prstGeom>
      </xdr:spPr>
    </xdr:pic>
    <xdr:clientData/>
  </xdr:twoCellAnchor>
  <xdr:twoCellAnchor editAs="oneCell">
    <xdr:from>
      <xdr:col>1</xdr:col>
      <xdr:colOff>561975</xdr:colOff>
      <xdr:row>4</xdr:row>
      <xdr:rowOff>219075</xdr:rowOff>
    </xdr:from>
    <xdr:to>
      <xdr:col>13</xdr:col>
      <xdr:colOff>19051</xdr:colOff>
      <xdr:row>26</xdr:row>
      <xdr:rowOff>3420</xdr:rowOff>
    </xdr:to>
    <xdr:pic>
      <xdr:nvPicPr>
        <xdr:cNvPr id="5" name="Imagem 4" descr="http://www.baixarmapas.com.br/wp-content/uploads/mapa-metropolitana-de-belo-horizont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1575" y="981075"/>
          <a:ext cx="6772276" cy="4784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285750</xdr:colOff>
      <xdr:row>6</xdr:row>
      <xdr:rowOff>104775</xdr:rowOff>
    </xdr:from>
    <xdr:to>
      <xdr:col>12</xdr:col>
      <xdr:colOff>390525</xdr:colOff>
      <xdr:row>25</xdr:row>
      <xdr:rowOff>9525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695325</xdr:colOff>
      <xdr:row>28</xdr:row>
      <xdr:rowOff>57149</xdr:rowOff>
    </xdr:from>
    <xdr:to>
      <xdr:col>13</xdr:col>
      <xdr:colOff>19050</xdr:colOff>
      <xdr:row>45</xdr:row>
      <xdr:rowOff>190499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676276</xdr:colOff>
      <xdr:row>48</xdr:row>
      <xdr:rowOff>38099</xdr:rowOff>
    </xdr:from>
    <xdr:to>
      <xdr:col>13</xdr:col>
      <xdr:colOff>28575</xdr:colOff>
      <xdr:row>71</xdr:row>
      <xdr:rowOff>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73</xdr:row>
      <xdr:rowOff>57150</xdr:rowOff>
    </xdr:from>
    <xdr:to>
      <xdr:col>13</xdr:col>
      <xdr:colOff>1</xdr:colOff>
      <xdr:row>96</xdr:row>
      <xdr:rowOff>161926</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121</xdr:row>
      <xdr:rowOff>38099</xdr:rowOff>
    </xdr:from>
    <xdr:to>
      <xdr:col>13</xdr:col>
      <xdr:colOff>38101</xdr:colOff>
      <xdr:row>142</xdr:row>
      <xdr:rowOff>152400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361950</xdr:colOff>
      <xdr:row>99</xdr:row>
      <xdr:rowOff>38100</xdr:rowOff>
    </xdr:from>
    <xdr:to>
      <xdr:col>12</xdr:col>
      <xdr:colOff>247650</xdr:colOff>
      <xdr:row>118</xdr:row>
      <xdr:rowOff>123825</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171450</xdr:colOff>
      <xdr:row>0</xdr:row>
      <xdr:rowOff>9525</xdr:rowOff>
    </xdr:from>
    <xdr:to>
      <xdr:col>11</xdr:col>
      <xdr:colOff>95250</xdr:colOff>
      <xdr:row>4</xdr:row>
      <xdr:rowOff>38100</xdr:rowOff>
    </xdr:to>
    <xdr:pic>
      <xdr:nvPicPr>
        <xdr:cNvPr id="9" name="Imagem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95500" y="9525"/>
          <a:ext cx="4572000" cy="790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200025</xdr:colOff>
      <xdr:row>6</xdr:row>
      <xdr:rowOff>47624</xdr:rowOff>
    </xdr:from>
    <xdr:to>
      <xdr:col>14</xdr:col>
      <xdr:colOff>476250</xdr:colOff>
      <xdr:row>25</xdr:row>
      <xdr:rowOff>171450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28</xdr:row>
      <xdr:rowOff>47627</xdr:rowOff>
    </xdr:from>
    <xdr:to>
      <xdr:col>12</xdr:col>
      <xdr:colOff>714375</xdr:colOff>
      <xdr:row>45</xdr:row>
      <xdr:rowOff>171451</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485775</xdr:colOff>
      <xdr:row>0</xdr:row>
      <xdr:rowOff>9525</xdr:rowOff>
    </xdr:from>
    <xdr:to>
      <xdr:col>11</xdr:col>
      <xdr:colOff>409575</xdr:colOff>
      <xdr:row>4</xdr:row>
      <xdr:rowOff>38100</xdr:rowOff>
    </xdr:to>
    <xdr:pic>
      <xdr:nvPicPr>
        <xdr:cNvPr id="6" name="Imagem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09825" y="9525"/>
          <a:ext cx="4572000" cy="790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190500</xdr:colOff>
      <xdr:row>6</xdr:row>
      <xdr:rowOff>76199</xdr:rowOff>
    </xdr:from>
    <xdr:to>
      <xdr:col>13</xdr:col>
      <xdr:colOff>438750</xdr:colOff>
      <xdr:row>25</xdr:row>
      <xdr:rowOff>171449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200025</xdr:colOff>
      <xdr:row>29</xdr:row>
      <xdr:rowOff>9525</xdr:rowOff>
    </xdr:from>
    <xdr:to>
      <xdr:col>13</xdr:col>
      <xdr:colOff>447675</xdr:colOff>
      <xdr:row>49</xdr:row>
      <xdr:rowOff>95250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200025</xdr:colOff>
      <xdr:row>0</xdr:row>
      <xdr:rowOff>9525</xdr:rowOff>
    </xdr:from>
    <xdr:to>
      <xdr:col>11</xdr:col>
      <xdr:colOff>123825</xdr:colOff>
      <xdr:row>4</xdr:row>
      <xdr:rowOff>38100</xdr:rowOff>
    </xdr:to>
    <xdr:pic>
      <xdr:nvPicPr>
        <xdr:cNvPr id="2" name="Imagem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24075" y="9525"/>
          <a:ext cx="4572000" cy="790575"/>
        </a:xfrm>
        <a:prstGeom prst="rect">
          <a:avLst/>
        </a:prstGeom>
      </xdr:spPr>
    </xdr:pic>
    <xdr:clientData/>
  </xdr:twoCellAnchor>
  <xdr:twoCellAnchor>
    <xdr:from>
      <xdr:col>2</xdr:col>
      <xdr:colOff>33337</xdr:colOff>
      <xdr:row>52</xdr:row>
      <xdr:rowOff>1</xdr:rowOff>
    </xdr:from>
    <xdr:to>
      <xdr:col>12</xdr:col>
      <xdr:colOff>76201</xdr:colOff>
      <xdr:row>69</xdr:row>
      <xdr:rowOff>166688</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95249</xdr:colOff>
      <xdr:row>73</xdr:row>
      <xdr:rowOff>38100</xdr:rowOff>
    </xdr:from>
    <xdr:to>
      <xdr:col>6</xdr:col>
      <xdr:colOff>561974</xdr:colOff>
      <xdr:row>92</xdr:row>
      <xdr:rowOff>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38100</xdr:colOff>
      <xdr:row>73</xdr:row>
      <xdr:rowOff>38100</xdr:rowOff>
    </xdr:from>
    <xdr:to>
      <xdr:col>13</xdr:col>
      <xdr:colOff>542926</xdr:colOff>
      <xdr:row>92</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19050</xdr:colOff>
      <xdr:row>6</xdr:row>
      <xdr:rowOff>38100</xdr:rowOff>
    </xdr:from>
    <xdr:to>
      <xdr:col>14</xdr:col>
      <xdr:colOff>9525</xdr:colOff>
      <xdr:row>24</xdr:row>
      <xdr:rowOff>171450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9525</xdr:colOff>
      <xdr:row>0</xdr:row>
      <xdr:rowOff>9525</xdr:rowOff>
    </xdr:from>
    <xdr:to>
      <xdr:col>11</xdr:col>
      <xdr:colOff>314325</xdr:colOff>
      <xdr:row>4</xdr:row>
      <xdr:rowOff>38100</xdr:rowOff>
    </xdr:to>
    <xdr:pic>
      <xdr:nvPicPr>
        <xdr:cNvPr id="6" name="Imagem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7925" y="9525"/>
          <a:ext cx="4572000" cy="790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6</xdr:row>
      <xdr:rowOff>47626</xdr:rowOff>
    </xdr:from>
    <xdr:to>
      <xdr:col>14</xdr:col>
      <xdr:colOff>0</xdr:colOff>
      <xdr:row>25</xdr:row>
      <xdr:rowOff>161925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133351</xdr:colOff>
      <xdr:row>70</xdr:row>
      <xdr:rowOff>0</xdr:rowOff>
    </xdr:from>
    <xdr:to>
      <xdr:col>14</xdr:col>
      <xdr:colOff>466725</xdr:colOff>
      <xdr:row>95</xdr:row>
      <xdr:rowOff>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600075</xdr:colOff>
      <xdr:row>28</xdr:row>
      <xdr:rowOff>9524</xdr:rowOff>
    </xdr:from>
    <xdr:to>
      <xdr:col>13</xdr:col>
      <xdr:colOff>590550</xdr:colOff>
      <xdr:row>48</xdr:row>
      <xdr:rowOff>171449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19049</xdr:colOff>
      <xdr:row>114</xdr:row>
      <xdr:rowOff>0</xdr:rowOff>
    </xdr:from>
    <xdr:to>
      <xdr:col>12</xdr:col>
      <xdr:colOff>704850</xdr:colOff>
      <xdr:row>129</xdr:row>
      <xdr:rowOff>171449</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228600</xdr:colOff>
      <xdr:row>97</xdr:row>
      <xdr:rowOff>76200</xdr:rowOff>
    </xdr:from>
    <xdr:to>
      <xdr:col>12</xdr:col>
      <xdr:colOff>295275</xdr:colOff>
      <xdr:row>111</xdr:row>
      <xdr:rowOff>152400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51</xdr:row>
      <xdr:rowOff>33337</xdr:rowOff>
    </xdr:from>
    <xdr:to>
      <xdr:col>6</xdr:col>
      <xdr:colOff>590551</xdr:colOff>
      <xdr:row>67</xdr:row>
      <xdr:rowOff>180975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19051</xdr:colOff>
      <xdr:row>51</xdr:row>
      <xdr:rowOff>19050</xdr:rowOff>
    </xdr:from>
    <xdr:to>
      <xdr:col>14</xdr:col>
      <xdr:colOff>571501</xdr:colOff>
      <xdr:row>68</xdr:row>
      <xdr:rowOff>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4</xdr:col>
      <xdr:colOff>38100</xdr:colOff>
      <xdr:row>0</xdr:row>
      <xdr:rowOff>19050</xdr:rowOff>
    </xdr:from>
    <xdr:to>
      <xdr:col>11</xdr:col>
      <xdr:colOff>352425</xdr:colOff>
      <xdr:row>4</xdr:row>
      <xdr:rowOff>47625</xdr:rowOff>
    </xdr:to>
    <xdr:pic>
      <xdr:nvPicPr>
        <xdr:cNvPr id="11" name="Imagem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476500" y="19050"/>
          <a:ext cx="4572000" cy="790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19051</xdr:colOff>
      <xdr:row>6</xdr:row>
      <xdr:rowOff>0</xdr:rowOff>
    </xdr:from>
    <xdr:to>
      <xdr:col>12</xdr:col>
      <xdr:colOff>695325</xdr:colOff>
      <xdr:row>24</xdr:row>
      <xdr:rowOff>161926</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27</xdr:row>
      <xdr:rowOff>9524</xdr:rowOff>
    </xdr:from>
    <xdr:to>
      <xdr:col>14</xdr:col>
      <xdr:colOff>552450</xdr:colOff>
      <xdr:row>43</xdr:row>
      <xdr:rowOff>180975</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14286</xdr:colOff>
      <xdr:row>85</xdr:row>
      <xdr:rowOff>23812</xdr:rowOff>
    </xdr:from>
    <xdr:to>
      <xdr:col>13</xdr:col>
      <xdr:colOff>609599</xdr:colOff>
      <xdr:row>104</xdr:row>
      <xdr:rowOff>114300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561975</xdr:colOff>
      <xdr:row>0</xdr:row>
      <xdr:rowOff>19050</xdr:rowOff>
    </xdr:from>
    <xdr:to>
      <xdr:col>11</xdr:col>
      <xdr:colOff>485775</xdr:colOff>
      <xdr:row>4</xdr:row>
      <xdr:rowOff>47625</xdr:rowOff>
    </xdr:to>
    <xdr:pic>
      <xdr:nvPicPr>
        <xdr:cNvPr id="6" name="Imagem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90775" y="209550"/>
          <a:ext cx="4572000" cy="790575"/>
        </a:xfrm>
        <a:prstGeom prst="rect">
          <a:avLst/>
        </a:prstGeom>
      </xdr:spPr>
    </xdr:pic>
    <xdr:clientData/>
  </xdr:twoCellAnchor>
  <xdr:twoCellAnchor>
    <xdr:from>
      <xdr:col>0</xdr:col>
      <xdr:colOff>66675</xdr:colOff>
      <xdr:row>47</xdr:row>
      <xdr:rowOff>19050</xdr:rowOff>
    </xdr:from>
    <xdr:to>
      <xdr:col>14</xdr:col>
      <xdr:colOff>533400</xdr:colOff>
      <xdr:row>64</xdr:row>
      <xdr:rowOff>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14287</xdr:colOff>
      <xdr:row>107</xdr:row>
      <xdr:rowOff>33336</xdr:rowOff>
    </xdr:from>
    <xdr:to>
      <xdr:col>13</xdr:col>
      <xdr:colOff>28575</xdr:colOff>
      <xdr:row>121</xdr:row>
      <xdr:rowOff>152399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66</xdr:row>
      <xdr:rowOff>0</xdr:rowOff>
    </xdr:from>
    <xdr:to>
      <xdr:col>13</xdr:col>
      <xdr:colOff>590550</xdr:colOff>
      <xdr:row>82</xdr:row>
      <xdr:rowOff>171451</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1143000</xdr:colOff>
      <xdr:row>0</xdr:row>
      <xdr:rowOff>25977</xdr:rowOff>
    </xdr:from>
    <xdr:to>
      <xdr:col>7</xdr:col>
      <xdr:colOff>233795</xdr:colOff>
      <xdr:row>4</xdr:row>
      <xdr:rowOff>19916</xdr:rowOff>
    </xdr:to>
    <xdr:pic>
      <xdr:nvPicPr>
        <xdr:cNvPr id="7" name="Imagem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75955" y="225136"/>
          <a:ext cx="4572000" cy="790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114300</xdr:colOff>
      <xdr:row>6</xdr:row>
      <xdr:rowOff>47626</xdr:rowOff>
    </xdr:from>
    <xdr:to>
      <xdr:col>14</xdr:col>
      <xdr:colOff>466725</xdr:colOff>
      <xdr:row>23</xdr:row>
      <xdr:rowOff>161926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476250</xdr:colOff>
      <xdr:row>0</xdr:row>
      <xdr:rowOff>9525</xdr:rowOff>
    </xdr:from>
    <xdr:to>
      <xdr:col>11</xdr:col>
      <xdr:colOff>400050</xdr:colOff>
      <xdr:row>4</xdr:row>
      <xdr:rowOff>38100</xdr:rowOff>
    </xdr:to>
    <xdr:pic>
      <xdr:nvPicPr>
        <xdr:cNvPr id="3" name="Imagem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05050" y="9525"/>
          <a:ext cx="4800600" cy="790575"/>
        </a:xfrm>
        <a:prstGeom prst="rect">
          <a:avLst/>
        </a:prstGeom>
      </xdr:spPr>
    </xdr:pic>
    <xdr:clientData/>
  </xdr:twoCellAnchor>
  <xdr:twoCellAnchor>
    <xdr:from>
      <xdr:col>1</xdr:col>
      <xdr:colOff>14286</xdr:colOff>
      <xdr:row>27</xdr:row>
      <xdr:rowOff>9525</xdr:rowOff>
    </xdr:from>
    <xdr:to>
      <xdr:col>13</xdr:col>
      <xdr:colOff>609599</xdr:colOff>
      <xdr:row>41</xdr:row>
      <xdr:rowOff>180975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487488</xdr:colOff>
      <xdr:row>28</xdr:row>
      <xdr:rowOff>28575</xdr:rowOff>
    </xdr:from>
    <xdr:to>
      <xdr:col>12</xdr:col>
      <xdr:colOff>353644</xdr:colOff>
      <xdr:row>46</xdr:row>
      <xdr:rowOff>133350</xdr:rowOff>
    </xdr:to>
    <xdr:pic>
      <xdr:nvPicPr>
        <xdr:cNvPr id="2" name="Imagem 1" descr="Estrutura cicloviária em cidades do Brasil (k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6688" y="5800725"/>
          <a:ext cx="5962156" cy="3533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590550</xdr:colOff>
      <xdr:row>49</xdr:row>
      <xdr:rowOff>109538</xdr:rowOff>
    </xdr:from>
    <xdr:to>
      <xdr:col>11</xdr:col>
      <xdr:colOff>600074</xdr:colOff>
      <xdr:row>63</xdr:row>
      <xdr:rowOff>161926</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600075</xdr:colOff>
      <xdr:row>0</xdr:row>
      <xdr:rowOff>0</xdr:rowOff>
    </xdr:from>
    <xdr:to>
      <xdr:col>11</xdr:col>
      <xdr:colOff>295275</xdr:colOff>
      <xdr:row>4</xdr:row>
      <xdr:rowOff>28575</xdr:rowOff>
    </xdr:to>
    <xdr:pic>
      <xdr:nvPicPr>
        <xdr:cNvPr id="9" name="Imagem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28875" y="0"/>
          <a:ext cx="4572000" cy="790575"/>
        </a:xfrm>
        <a:prstGeom prst="rect">
          <a:avLst/>
        </a:prstGeom>
      </xdr:spPr>
    </xdr:pic>
    <xdr:clientData/>
  </xdr:twoCellAnchor>
  <xdr:twoCellAnchor>
    <xdr:from>
      <xdr:col>0</xdr:col>
      <xdr:colOff>38101</xdr:colOff>
      <xdr:row>7</xdr:row>
      <xdr:rowOff>47625</xdr:rowOff>
    </xdr:from>
    <xdr:to>
      <xdr:col>7</xdr:col>
      <xdr:colOff>0</xdr:colOff>
      <xdr:row>25</xdr:row>
      <xdr:rowOff>171450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9524</xdr:colOff>
      <xdr:row>7</xdr:row>
      <xdr:rowOff>66675</xdr:rowOff>
    </xdr:from>
    <xdr:to>
      <xdr:col>14</xdr:col>
      <xdr:colOff>552451</xdr:colOff>
      <xdr:row>26</xdr:row>
      <xdr:rowOff>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323850</xdr:colOff>
      <xdr:row>0</xdr:row>
      <xdr:rowOff>9525</xdr:rowOff>
    </xdr:from>
    <xdr:to>
      <xdr:col>11</xdr:col>
      <xdr:colOff>476250</xdr:colOff>
      <xdr:row>4</xdr:row>
      <xdr:rowOff>38100</xdr:rowOff>
    </xdr:to>
    <xdr:pic>
      <xdr:nvPicPr>
        <xdr:cNvPr id="5" name="Imagem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7900" y="9525"/>
          <a:ext cx="4800600" cy="790575"/>
        </a:xfrm>
        <a:prstGeom prst="rect">
          <a:avLst/>
        </a:prstGeom>
      </xdr:spPr>
    </xdr:pic>
    <xdr:clientData/>
  </xdr:twoCellAnchor>
  <xdr:twoCellAnchor>
    <xdr:from>
      <xdr:col>2</xdr:col>
      <xdr:colOff>590550</xdr:colOff>
      <xdr:row>6</xdr:row>
      <xdr:rowOff>9525</xdr:rowOff>
    </xdr:from>
    <xdr:to>
      <xdr:col>11</xdr:col>
      <xdr:colOff>600075</xdr:colOff>
      <xdr:row>19</xdr:row>
      <xdr:rowOff>180975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22</xdr:row>
      <xdr:rowOff>57150</xdr:rowOff>
    </xdr:from>
    <xdr:to>
      <xdr:col>12</xdr:col>
      <xdr:colOff>66676</xdr:colOff>
      <xdr:row>36</xdr:row>
      <xdr:rowOff>133350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533400</xdr:colOff>
      <xdr:row>39</xdr:row>
      <xdr:rowOff>38099</xdr:rowOff>
    </xdr:from>
    <xdr:to>
      <xdr:col>12</xdr:col>
      <xdr:colOff>390525</xdr:colOff>
      <xdr:row>58</xdr:row>
      <xdr:rowOff>161924</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704849</xdr:colOff>
      <xdr:row>6</xdr:row>
      <xdr:rowOff>19050</xdr:rowOff>
    </xdr:from>
    <xdr:to>
      <xdr:col>13</xdr:col>
      <xdr:colOff>19050</xdr:colOff>
      <xdr:row>27</xdr:row>
      <xdr:rowOff>138866</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104775</xdr:colOff>
      <xdr:row>29</xdr:row>
      <xdr:rowOff>0</xdr:rowOff>
    </xdr:from>
    <xdr:ext cx="76200" cy="190500"/>
    <xdr:sp macro="" textlink="">
      <xdr:nvSpPr>
        <xdr:cNvPr id="10" name="Text Box 17"/>
        <xdr:cNvSpPr txBox="1">
          <a:spLocks noChangeArrowheads="1"/>
        </xdr:cNvSpPr>
      </xdr:nvSpPr>
      <xdr:spPr bwMode="auto">
        <a:xfrm>
          <a:off x="3962400" y="36642675"/>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104775</xdr:colOff>
      <xdr:row>29</xdr:row>
      <xdr:rowOff>0</xdr:rowOff>
    </xdr:from>
    <xdr:ext cx="76200" cy="190500"/>
    <xdr:sp macro="" textlink="">
      <xdr:nvSpPr>
        <xdr:cNvPr id="11" name="Text Box 17"/>
        <xdr:cNvSpPr txBox="1">
          <a:spLocks noChangeArrowheads="1"/>
        </xdr:cNvSpPr>
      </xdr:nvSpPr>
      <xdr:spPr bwMode="auto">
        <a:xfrm>
          <a:off x="8229600" y="36642675"/>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104775</xdr:colOff>
      <xdr:row>29</xdr:row>
      <xdr:rowOff>0</xdr:rowOff>
    </xdr:from>
    <xdr:ext cx="76200" cy="190500"/>
    <xdr:sp macro="" textlink="">
      <xdr:nvSpPr>
        <xdr:cNvPr id="12" name="Text Box 17"/>
        <xdr:cNvSpPr txBox="1">
          <a:spLocks noChangeArrowheads="1"/>
        </xdr:cNvSpPr>
      </xdr:nvSpPr>
      <xdr:spPr bwMode="auto">
        <a:xfrm>
          <a:off x="8229600" y="36642675"/>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0</xdr:col>
      <xdr:colOff>190500</xdr:colOff>
      <xdr:row>30</xdr:row>
      <xdr:rowOff>85725</xdr:rowOff>
    </xdr:from>
    <xdr:to>
      <xdr:col>13</xdr:col>
      <xdr:colOff>438150</xdr:colOff>
      <xdr:row>49</xdr:row>
      <xdr:rowOff>123825</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104775</xdr:colOff>
      <xdr:row>29</xdr:row>
      <xdr:rowOff>0</xdr:rowOff>
    </xdr:from>
    <xdr:ext cx="76200" cy="190500"/>
    <xdr:sp macro="" textlink="">
      <xdr:nvSpPr>
        <xdr:cNvPr id="16" name="Text Box 17"/>
        <xdr:cNvSpPr txBox="1">
          <a:spLocks noChangeArrowheads="1"/>
        </xdr:cNvSpPr>
      </xdr:nvSpPr>
      <xdr:spPr bwMode="auto">
        <a:xfrm>
          <a:off x="2638425" y="6905625"/>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9525</xdr:colOff>
      <xdr:row>52</xdr:row>
      <xdr:rowOff>9525</xdr:rowOff>
    </xdr:from>
    <xdr:to>
      <xdr:col>12</xdr:col>
      <xdr:colOff>9524</xdr:colOff>
      <xdr:row>68</xdr:row>
      <xdr:rowOff>1</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314325</xdr:colOff>
      <xdr:row>0</xdr:row>
      <xdr:rowOff>9525</xdr:rowOff>
    </xdr:from>
    <xdr:to>
      <xdr:col>11</xdr:col>
      <xdr:colOff>9525</xdr:colOff>
      <xdr:row>4</xdr:row>
      <xdr:rowOff>38100</xdr:rowOff>
    </xdr:to>
    <xdr:pic>
      <xdr:nvPicPr>
        <xdr:cNvPr id="5" name="Imagem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38375" y="9525"/>
          <a:ext cx="4572000" cy="790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9524</xdr:colOff>
      <xdr:row>5</xdr:row>
      <xdr:rowOff>385762</xdr:rowOff>
    </xdr:from>
    <xdr:to>
      <xdr:col>14</xdr:col>
      <xdr:colOff>0</xdr:colOff>
      <xdr:row>26</xdr:row>
      <xdr:rowOff>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28</xdr:row>
      <xdr:rowOff>57150</xdr:rowOff>
    </xdr:from>
    <xdr:to>
      <xdr:col>14</xdr:col>
      <xdr:colOff>9525</xdr:colOff>
      <xdr:row>53</xdr:row>
      <xdr:rowOff>171450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56</xdr:row>
      <xdr:rowOff>76200</xdr:rowOff>
    </xdr:from>
    <xdr:to>
      <xdr:col>14</xdr:col>
      <xdr:colOff>19050</xdr:colOff>
      <xdr:row>79</xdr:row>
      <xdr:rowOff>171450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495300</xdr:colOff>
      <xdr:row>0</xdr:row>
      <xdr:rowOff>9525</xdr:rowOff>
    </xdr:from>
    <xdr:to>
      <xdr:col>11</xdr:col>
      <xdr:colOff>419100</xdr:colOff>
      <xdr:row>4</xdr:row>
      <xdr:rowOff>38100</xdr:rowOff>
    </xdr:to>
    <xdr:pic>
      <xdr:nvPicPr>
        <xdr:cNvPr id="4" name="Imagem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19350" y="9525"/>
          <a:ext cx="4572000" cy="790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107</xdr:row>
      <xdr:rowOff>38100</xdr:rowOff>
    </xdr:from>
    <xdr:to>
      <xdr:col>13</xdr:col>
      <xdr:colOff>600075</xdr:colOff>
      <xdr:row>123</xdr:row>
      <xdr:rowOff>169334</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604836</xdr:colOff>
      <xdr:row>126</xdr:row>
      <xdr:rowOff>66674</xdr:rowOff>
    </xdr:from>
    <xdr:to>
      <xdr:col>13</xdr:col>
      <xdr:colOff>609599</xdr:colOff>
      <xdr:row>145</xdr:row>
      <xdr:rowOff>179915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42334</xdr:colOff>
      <xdr:row>27</xdr:row>
      <xdr:rowOff>19051</xdr:rowOff>
    </xdr:from>
    <xdr:to>
      <xdr:col>14</xdr:col>
      <xdr:colOff>42333</xdr:colOff>
      <xdr:row>43</xdr:row>
      <xdr:rowOff>169333</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31750</xdr:colOff>
      <xdr:row>148</xdr:row>
      <xdr:rowOff>21167</xdr:rowOff>
    </xdr:from>
    <xdr:to>
      <xdr:col>14</xdr:col>
      <xdr:colOff>36512</xdr:colOff>
      <xdr:row>166</xdr:row>
      <xdr:rowOff>158751</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10585</xdr:colOff>
      <xdr:row>6</xdr:row>
      <xdr:rowOff>31750</xdr:rowOff>
    </xdr:from>
    <xdr:to>
      <xdr:col>14</xdr:col>
      <xdr:colOff>31751</xdr:colOff>
      <xdr:row>24</xdr:row>
      <xdr:rowOff>169334</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10584</xdr:colOff>
      <xdr:row>85</xdr:row>
      <xdr:rowOff>42334</xdr:rowOff>
    </xdr:from>
    <xdr:to>
      <xdr:col>13</xdr:col>
      <xdr:colOff>610659</xdr:colOff>
      <xdr:row>104</xdr:row>
      <xdr:rowOff>158750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xdr:colOff>
      <xdr:row>169</xdr:row>
      <xdr:rowOff>57149</xdr:rowOff>
    </xdr:from>
    <xdr:to>
      <xdr:col>13</xdr:col>
      <xdr:colOff>0</xdr:colOff>
      <xdr:row>186</xdr:row>
      <xdr:rowOff>169335</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10584</xdr:colOff>
      <xdr:row>189</xdr:row>
      <xdr:rowOff>52916</xdr:rowOff>
    </xdr:from>
    <xdr:to>
      <xdr:col>13</xdr:col>
      <xdr:colOff>613833</xdr:colOff>
      <xdr:row>207</xdr:row>
      <xdr:rowOff>158749</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10584</xdr:colOff>
      <xdr:row>210</xdr:row>
      <xdr:rowOff>52916</xdr:rowOff>
    </xdr:from>
    <xdr:to>
      <xdr:col>13</xdr:col>
      <xdr:colOff>613833</xdr:colOff>
      <xdr:row>228</xdr:row>
      <xdr:rowOff>158749</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10584</xdr:colOff>
      <xdr:row>252</xdr:row>
      <xdr:rowOff>57149</xdr:rowOff>
    </xdr:from>
    <xdr:to>
      <xdr:col>13</xdr:col>
      <xdr:colOff>603249</xdr:colOff>
      <xdr:row>269</xdr:row>
      <xdr:rowOff>169333</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190499</xdr:colOff>
      <xdr:row>65</xdr:row>
      <xdr:rowOff>190501</xdr:rowOff>
    </xdr:from>
    <xdr:to>
      <xdr:col>14</xdr:col>
      <xdr:colOff>465665</xdr:colOff>
      <xdr:row>82</xdr:row>
      <xdr:rowOff>158750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613828</xdr:colOff>
      <xdr:row>0</xdr:row>
      <xdr:rowOff>1</xdr:rowOff>
    </xdr:from>
    <xdr:to>
      <xdr:col>11</xdr:col>
      <xdr:colOff>275161</xdr:colOff>
      <xdr:row>4</xdr:row>
      <xdr:rowOff>28576</xdr:rowOff>
    </xdr:to>
    <xdr:pic>
      <xdr:nvPicPr>
        <xdr:cNvPr id="3" name="Imagem 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455328" y="1"/>
          <a:ext cx="4572000" cy="790575"/>
        </a:xfrm>
        <a:prstGeom prst="rect">
          <a:avLst/>
        </a:prstGeom>
      </xdr:spPr>
    </xdr:pic>
    <xdr:clientData/>
  </xdr:twoCellAnchor>
  <xdr:twoCellAnchor>
    <xdr:from>
      <xdr:col>2</xdr:col>
      <xdr:colOff>31749</xdr:colOff>
      <xdr:row>271</xdr:row>
      <xdr:rowOff>423334</xdr:rowOff>
    </xdr:from>
    <xdr:to>
      <xdr:col>13</xdr:col>
      <xdr:colOff>21166</xdr:colOff>
      <xdr:row>290</xdr:row>
      <xdr:rowOff>169335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15875</xdr:colOff>
      <xdr:row>293</xdr:row>
      <xdr:rowOff>30691</xdr:rowOff>
    </xdr:from>
    <xdr:to>
      <xdr:col>13</xdr:col>
      <xdr:colOff>592667</xdr:colOff>
      <xdr:row>301</xdr:row>
      <xdr:rowOff>158750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412751</xdr:colOff>
      <xdr:row>231</xdr:row>
      <xdr:rowOff>21164</xdr:rowOff>
    </xdr:from>
    <xdr:to>
      <xdr:col>13</xdr:col>
      <xdr:colOff>296334</xdr:colOff>
      <xdr:row>249</xdr:row>
      <xdr:rowOff>179916</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296333</xdr:colOff>
      <xdr:row>304</xdr:row>
      <xdr:rowOff>9524</xdr:rowOff>
    </xdr:from>
    <xdr:to>
      <xdr:col>14</xdr:col>
      <xdr:colOff>349250</xdr:colOff>
      <xdr:row>320</xdr:row>
      <xdr:rowOff>169333</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608540</xdr:colOff>
      <xdr:row>322</xdr:row>
      <xdr:rowOff>506941</xdr:rowOff>
    </xdr:from>
    <xdr:to>
      <xdr:col>12</xdr:col>
      <xdr:colOff>613832</xdr:colOff>
      <xdr:row>335</xdr:row>
      <xdr:rowOff>159808</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31750</xdr:colOff>
      <xdr:row>46</xdr:row>
      <xdr:rowOff>0</xdr:rowOff>
    </xdr:from>
    <xdr:to>
      <xdr:col>13</xdr:col>
      <xdr:colOff>603249</xdr:colOff>
      <xdr:row>63</xdr:row>
      <xdr:rowOff>150282</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433916</xdr:colOff>
      <xdr:row>338</xdr:row>
      <xdr:rowOff>42335</xdr:rowOff>
    </xdr:from>
    <xdr:to>
      <xdr:col>13</xdr:col>
      <xdr:colOff>264583</xdr:colOff>
      <xdr:row>354</xdr:row>
      <xdr:rowOff>158751</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31750</xdr:colOff>
      <xdr:row>338</xdr:row>
      <xdr:rowOff>105832</xdr:rowOff>
    </xdr:from>
    <xdr:to>
      <xdr:col>3</xdr:col>
      <xdr:colOff>10582</xdr:colOff>
      <xdr:row>339</xdr:row>
      <xdr:rowOff>95249</xdr:rowOff>
    </xdr:to>
    <xdr:sp macro="" textlink="">
      <xdr:nvSpPr>
        <xdr:cNvPr id="22" name="Retângulo 21"/>
        <xdr:cNvSpPr/>
      </xdr:nvSpPr>
      <xdr:spPr>
        <a:xfrm>
          <a:off x="1259417" y="81227082"/>
          <a:ext cx="592665" cy="17991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6</xdr:row>
      <xdr:rowOff>0</xdr:rowOff>
    </xdr:from>
    <xdr:to>
      <xdr:col>12</xdr:col>
      <xdr:colOff>717550</xdr:colOff>
      <xdr:row>25</xdr:row>
      <xdr:rowOff>190500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19049</xdr:colOff>
      <xdr:row>28</xdr:row>
      <xdr:rowOff>38100</xdr:rowOff>
    </xdr:from>
    <xdr:to>
      <xdr:col>12</xdr:col>
      <xdr:colOff>708024</xdr:colOff>
      <xdr:row>48</xdr:row>
      <xdr:rowOff>171450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19050</xdr:rowOff>
    </xdr:from>
    <xdr:to>
      <xdr:col>4</xdr:col>
      <xdr:colOff>238350</xdr:colOff>
      <xdr:row>74</xdr:row>
      <xdr:rowOff>180974</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342900</xdr:colOff>
      <xdr:row>52</xdr:row>
      <xdr:rowOff>0</xdr:rowOff>
    </xdr:from>
    <xdr:to>
      <xdr:col>9</xdr:col>
      <xdr:colOff>295500</xdr:colOff>
      <xdr:row>74</xdr:row>
      <xdr:rowOff>161925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381001</xdr:colOff>
      <xdr:row>52</xdr:row>
      <xdr:rowOff>9525</xdr:rowOff>
    </xdr:from>
    <xdr:to>
      <xdr:col>13</xdr:col>
      <xdr:colOff>600301</xdr:colOff>
      <xdr:row>74</xdr:row>
      <xdr:rowOff>171450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78</xdr:row>
      <xdr:rowOff>19051</xdr:rowOff>
    </xdr:from>
    <xdr:to>
      <xdr:col>12</xdr:col>
      <xdr:colOff>717550</xdr:colOff>
      <xdr:row>101</xdr:row>
      <xdr:rowOff>152401</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266699</xdr:colOff>
      <xdr:row>130</xdr:row>
      <xdr:rowOff>9525</xdr:rowOff>
    </xdr:from>
    <xdr:to>
      <xdr:col>13</xdr:col>
      <xdr:colOff>454799</xdr:colOff>
      <xdr:row>145</xdr:row>
      <xdr:rowOff>171450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85725</xdr:colOff>
      <xdr:row>129</xdr:row>
      <xdr:rowOff>238125</xdr:rowOff>
    </xdr:from>
    <xdr:to>
      <xdr:col>7</xdr:col>
      <xdr:colOff>47625</xdr:colOff>
      <xdr:row>145</xdr:row>
      <xdr:rowOff>180975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9525</xdr:colOff>
      <xdr:row>104</xdr:row>
      <xdr:rowOff>19050</xdr:rowOff>
    </xdr:from>
    <xdr:to>
      <xdr:col>13</xdr:col>
      <xdr:colOff>3175</xdr:colOff>
      <xdr:row>126</xdr:row>
      <xdr:rowOff>180975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14287</xdr:colOff>
      <xdr:row>149</xdr:row>
      <xdr:rowOff>47625</xdr:rowOff>
    </xdr:from>
    <xdr:to>
      <xdr:col>13</xdr:col>
      <xdr:colOff>9525</xdr:colOff>
      <xdr:row>163</xdr:row>
      <xdr:rowOff>171449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166</xdr:row>
      <xdr:rowOff>19051</xdr:rowOff>
    </xdr:from>
    <xdr:to>
      <xdr:col>12</xdr:col>
      <xdr:colOff>714375</xdr:colOff>
      <xdr:row>181</xdr:row>
      <xdr:rowOff>152401</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200025</xdr:colOff>
      <xdr:row>0</xdr:row>
      <xdr:rowOff>0</xdr:rowOff>
    </xdr:from>
    <xdr:to>
      <xdr:col>11</xdr:col>
      <xdr:colOff>123825</xdr:colOff>
      <xdr:row>4</xdr:row>
      <xdr:rowOff>28575</xdr:rowOff>
    </xdr:to>
    <xdr:pic>
      <xdr:nvPicPr>
        <xdr:cNvPr id="11" name="Imagem 1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124075" y="0"/>
          <a:ext cx="4572000" cy="7905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5</xdr:col>
      <xdr:colOff>200025</xdr:colOff>
      <xdr:row>0</xdr:row>
      <xdr:rowOff>95250</xdr:rowOff>
    </xdr:from>
    <xdr:to>
      <xdr:col>8</xdr:col>
      <xdr:colOff>276225</xdr:colOff>
      <xdr:row>3</xdr:row>
      <xdr:rowOff>123825</xdr:rowOff>
    </xdr:to>
    <xdr:pic>
      <xdr:nvPicPr>
        <xdr:cNvPr id="3" name="Imagem 2" descr="BHTRANS_PBH VERTICA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3275" y="95250"/>
          <a:ext cx="16764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6</xdr:row>
      <xdr:rowOff>38101</xdr:rowOff>
    </xdr:from>
    <xdr:to>
      <xdr:col>13</xdr:col>
      <xdr:colOff>342900</xdr:colOff>
      <xdr:row>19</xdr:row>
      <xdr:rowOff>171450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123826</xdr:colOff>
      <xdr:row>22</xdr:row>
      <xdr:rowOff>38100</xdr:rowOff>
    </xdr:from>
    <xdr:to>
      <xdr:col>13</xdr:col>
      <xdr:colOff>466726</xdr:colOff>
      <xdr:row>36</xdr:row>
      <xdr:rowOff>180975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180976</xdr:colOff>
      <xdr:row>39</xdr:row>
      <xdr:rowOff>28575</xdr:rowOff>
    </xdr:from>
    <xdr:to>
      <xdr:col>13</xdr:col>
      <xdr:colOff>428626</xdr:colOff>
      <xdr:row>55</xdr:row>
      <xdr:rowOff>171451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190501</xdr:colOff>
      <xdr:row>59</xdr:row>
      <xdr:rowOff>19050</xdr:rowOff>
    </xdr:from>
    <xdr:to>
      <xdr:col>13</xdr:col>
      <xdr:colOff>438151</xdr:colOff>
      <xdr:row>80</xdr:row>
      <xdr:rowOff>171450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82</xdr:row>
      <xdr:rowOff>714374</xdr:rowOff>
    </xdr:from>
    <xdr:to>
      <xdr:col>7</xdr:col>
      <xdr:colOff>219075</xdr:colOff>
      <xdr:row>102</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390526</xdr:colOff>
      <xdr:row>82</xdr:row>
      <xdr:rowOff>714374</xdr:rowOff>
    </xdr:from>
    <xdr:to>
      <xdr:col>13</xdr:col>
      <xdr:colOff>600076</xdr:colOff>
      <xdr:row>101</xdr:row>
      <xdr:rowOff>180974</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152400</xdr:colOff>
      <xdr:row>104</xdr:row>
      <xdr:rowOff>19050</xdr:rowOff>
    </xdr:from>
    <xdr:to>
      <xdr:col>13</xdr:col>
      <xdr:colOff>504825</xdr:colOff>
      <xdr:row>124</xdr:row>
      <xdr:rowOff>133349</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4761</xdr:colOff>
      <xdr:row>126</xdr:row>
      <xdr:rowOff>514350</xdr:rowOff>
    </xdr:from>
    <xdr:to>
      <xdr:col>12</xdr:col>
      <xdr:colOff>714374</xdr:colOff>
      <xdr:row>143</xdr:row>
      <xdr:rowOff>171450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514350</xdr:colOff>
      <xdr:row>0</xdr:row>
      <xdr:rowOff>171450</xdr:rowOff>
    </xdr:from>
    <xdr:to>
      <xdr:col>5</xdr:col>
      <xdr:colOff>59531</xdr:colOff>
      <xdr:row>3</xdr:row>
      <xdr:rowOff>180975</xdr:rowOff>
    </xdr:to>
    <xdr:pic>
      <xdr:nvPicPr>
        <xdr:cNvPr id="13" name="Imagem 12" descr="http://www.bhtrans.pbh.gov.br/portal/pls/portal/docs/9122233.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438400" y="171450"/>
          <a:ext cx="76438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419100</xdr:colOff>
      <xdr:row>1</xdr:row>
      <xdr:rowOff>47625</xdr:rowOff>
    </xdr:from>
    <xdr:to>
      <xdr:col>9</xdr:col>
      <xdr:colOff>595791</xdr:colOff>
      <xdr:row>3</xdr:row>
      <xdr:rowOff>131886</xdr:rowOff>
    </xdr:to>
    <xdr:pic>
      <xdr:nvPicPr>
        <xdr:cNvPr id="14" name="Imagem 13" descr="PlanMob BH_Observatório"/>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62550" y="238125"/>
          <a:ext cx="786291" cy="465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171450</xdr:colOff>
      <xdr:row>6</xdr:row>
      <xdr:rowOff>28575</xdr:rowOff>
    </xdr:from>
    <xdr:to>
      <xdr:col>13</xdr:col>
      <xdr:colOff>457200</xdr:colOff>
      <xdr:row>23</xdr:row>
      <xdr:rowOff>171450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26</xdr:row>
      <xdr:rowOff>28576</xdr:rowOff>
    </xdr:from>
    <xdr:to>
      <xdr:col>13</xdr:col>
      <xdr:colOff>295275</xdr:colOff>
      <xdr:row>43</xdr:row>
      <xdr:rowOff>142876</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247651</xdr:colOff>
      <xdr:row>45</xdr:row>
      <xdr:rowOff>361951</xdr:rowOff>
    </xdr:from>
    <xdr:to>
      <xdr:col>13</xdr:col>
      <xdr:colOff>409575</xdr:colOff>
      <xdr:row>57</xdr:row>
      <xdr:rowOff>171450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257175</xdr:colOff>
      <xdr:row>0</xdr:row>
      <xdr:rowOff>9525</xdr:rowOff>
    </xdr:from>
    <xdr:to>
      <xdr:col>11</xdr:col>
      <xdr:colOff>180975</xdr:colOff>
      <xdr:row>4</xdr:row>
      <xdr:rowOff>38100</xdr:rowOff>
    </xdr:to>
    <xdr:pic>
      <xdr:nvPicPr>
        <xdr:cNvPr id="3" name="Imagem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81225" y="9525"/>
          <a:ext cx="4572000" cy="7905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6</xdr:row>
      <xdr:rowOff>47626</xdr:rowOff>
    </xdr:from>
    <xdr:to>
      <xdr:col>14</xdr:col>
      <xdr:colOff>504825</xdr:colOff>
      <xdr:row>23</xdr:row>
      <xdr:rowOff>161926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476250</xdr:colOff>
      <xdr:row>0</xdr:row>
      <xdr:rowOff>9525</xdr:rowOff>
    </xdr:from>
    <xdr:to>
      <xdr:col>11</xdr:col>
      <xdr:colOff>400050</xdr:colOff>
      <xdr:row>4</xdr:row>
      <xdr:rowOff>38100</xdr:rowOff>
    </xdr:to>
    <xdr:pic>
      <xdr:nvPicPr>
        <xdr:cNvPr id="3" name="Imagem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05050" y="9525"/>
          <a:ext cx="4800600" cy="790575"/>
        </a:xfrm>
        <a:prstGeom prst="rect">
          <a:avLst/>
        </a:prstGeom>
      </xdr:spPr>
    </xdr:pic>
    <xdr:clientData/>
  </xdr:twoCellAnchor>
  <xdr:twoCellAnchor>
    <xdr:from>
      <xdr:col>1</xdr:col>
      <xdr:colOff>14286</xdr:colOff>
      <xdr:row>27</xdr:row>
      <xdr:rowOff>9525</xdr:rowOff>
    </xdr:from>
    <xdr:to>
      <xdr:col>13</xdr:col>
      <xdr:colOff>609599</xdr:colOff>
      <xdr:row>41</xdr:row>
      <xdr:rowOff>180975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4038600</xdr:colOff>
      <xdr:row>0</xdr:row>
      <xdr:rowOff>63500</xdr:rowOff>
    </xdr:from>
    <xdr:to>
      <xdr:col>1</xdr:col>
      <xdr:colOff>8610600</xdr:colOff>
      <xdr:row>4</xdr:row>
      <xdr:rowOff>66675</xdr:rowOff>
    </xdr:to>
    <xdr:pic>
      <xdr:nvPicPr>
        <xdr:cNvPr id="8" name="Imagem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02100" y="63500"/>
          <a:ext cx="4572000" cy="7905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257175</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0" y="63500"/>
          <a:ext cx="4572000" cy="781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1009650</xdr:colOff>
      <xdr:row>0</xdr:row>
      <xdr:rowOff>63500</xdr:rowOff>
    </xdr:from>
    <xdr:to>
      <xdr:col>5</xdr:col>
      <xdr:colOff>196850</xdr:colOff>
      <xdr:row>4</xdr:row>
      <xdr:rowOff>92075</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0450" y="63500"/>
          <a:ext cx="4572000" cy="790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6</xdr:row>
      <xdr:rowOff>57150</xdr:rowOff>
    </xdr:from>
    <xdr:to>
      <xdr:col>13</xdr:col>
      <xdr:colOff>600075</xdr:colOff>
      <xdr:row>25</xdr:row>
      <xdr:rowOff>180975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504825</xdr:colOff>
      <xdr:row>0</xdr:row>
      <xdr:rowOff>19050</xdr:rowOff>
    </xdr:from>
    <xdr:to>
      <xdr:col>11</xdr:col>
      <xdr:colOff>428625</xdr:colOff>
      <xdr:row>4</xdr:row>
      <xdr:rowOff>47625</xdr:rowOff>
    </xdr:to>
    <xdr:pic>
      <xdr:nvPicPr>
        <xdr:cNvPr id="2" name="Imagem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28875" y="19050"/>
          <a:ext cx="4572000" cy="790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190500</xdr:colOff>
      <xdr:row>0</xdr:row>
      <xdr:rowOff>95250</xdr:rowOff>
    </xdr:from>
    <xdr:to>
      <xdr:col>9</xdr:col>
      <xdr:colOff>38100</xdr:colOff>
      <xdr:row>3</xdr:row>
      <xdr:rowOff>123825</xdr:rowOff>
    </xdr:to>
    <xdr:pic>
      <xdr:nvPicPr>
        <xdr:cNvPr id="2" name="Imagem 1" descr="BHTRANS_PBH VERTICA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0" y="95250"/>
          <a:ext cx="16764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1</xdr:row>
      <xdr:rowOff>0</xdr:rowOff>
    </xdr:from>
    <xdr:to>
      <xdr:col>6</xdr:col>
      <xdr:colOff>88106</xdr:colOff>
      <xdr:row>4</xdr:row>
      <xdr:rowOff>9525</xdr:rowOff>
    </xdr:to>
    <xdr:pic>
      <xdr:nvPicPr>
        <xdr:cNvPr id="3" name="Imagem 2" descr="http://www.bhtrans.pbh.gov.br/portal/pls/portal/docs/912223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75" y="190500"/>
          <a:ext cx="99298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0</xdr:row>
      <xdr:rowOff>171450</xdr:rowOff>
    </xdr:from>
    <xdr:to>
      <xdr:col>10</xdr:col>
      <xdr:colOff>338616</xdr:colOff>
      <xdr:row>3</xdr:row>
      <xdr:rowOff>65211</xdr:rowOff>
    </xdr:to>
    <xdr:pic>
      <xdr:nvPicPr>
        <xdr:cNvPr id="5" name="Imagem 4" descr="PlanMob BH_Observatóri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171450"/>
          <a:ext cx="786291" cy="465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xdr:colOff>
      <xdr:row>6</xdr:row>
      <xdr:rowOff>38099</xdr:rowOff>
    </xdr:from>
    <xdr:to>
      <xdr:col>13</xdr:col>
      <xdr:colOff>600075</xdr:colOff>
      <xdr:row>25</xdr:row>
      <xdr:rowOff>190499</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28</xdr:row>
      <xdr:rowOff>28575</xdr:rowOff>
    </xdr:from>
    <xdr:to>
      <xdr:col>11</xdr:col>
      <xdr:colOff>438149</xdr:colOff>
      <xdr:row>49</xdr:row>
      <xdr:rowOff>180975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190500</xdr:colOff>
      <xdr:row>0</xdr:row>
      <xdr:rowOff>95250</xdr:rowOff>
    </xdr:from>
    <xdr:to>
      <xdr:col>9</xdr:col>
      <xdr:colOff>38100</xdr:colOff>
      <xdr:row>3</xdr:row>
      <xdr:rowOff>123825</xdr:rowOff>
    </xdr:to>
    <xdr:pic>
      <xdr:nvPicPr>
        <xdr:cNvPr id="2" name="Imagem 1" descr="BHTRANS_PBH VERTICA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0" y="95250"/>
          <a:ext cx="16764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0</xdr:row>
      <xdr:rowOff>180975</xdr:rowOff>
    </xdr:from>
    <xdr:to>
      <xdr:col>6</xdr:col>
      <xdr:colOff>104775</xdr:colOff>
      <xdr:row>4</xdr:row>
      <xdr:rowOff>0</xdr:rowOff>
    </xdr:to>
    <xdr:pic>
      <xdr:nvPicPr>
        <xdr:cNvPr id="3" name="Imagem 2" descr="http://www.bhtrans.pbh.gov.br/portal/pls/portal/docs/912223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0350" y="180975"/>
          <a:ext cx="828675"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xdr:row>
      <xdr:rowOff>38100</xdr:rowOff>
    </xdr:from>
    <xdr:to>
      <xdr:col>10</xdr:col>
      <xdr:colOff>319566</xdr:colOff>
      <xdr:row>3</xdr:row>
      <xdr:rowOff>122361</xdr:rowOff>
    </xdr:to>
    <xdr:pic>
      <xdr:nvPicPr>
        <xdr:cNvPr id="5" name="Imagem 4" descr="PlanMob BH_Observatóri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5925" y="228600"/>
          <a:ext cx="786291" cy="465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28576</xdr:colOff>
      <xdr:row>6</xdr:row>
      <xdr:rowOff>19050</xdr:rowOff>
    </xdr:from>
    <xdr:to>
      <xdr:col>13</xdr:col>
      <xdr:colOff>590550</xdr:colOff>
      <xdr:row>23</xdr:row>
      <xdr:rowOff>171450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26</xdr:row>
      <xdr:rowOff>23811</xdr:rowOff>
    </xdr:from>
    <xdr:to>
      <xdr:col>13</xdr:col>
      <xdr:colOff>590550</xdr:colOff>
      <xdr:row>43</xdr:row>
      <xdr:rowOff>180975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19049</xdr:colOff>
      <xdr:row>46</xdr:row>
      <xdr:rowOff>0</xdr:rowOff>
    </xdr:from>
    <xdr:to>
      <xdr:col>13</xdr:col>
      <xdr:colOff>590550</xdr:colOff>
      <xdr:row>62</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28574</xdr:colOff>
      <xdr:row>64</xdr:row>
      <xdr:rowOff>95250</xdr:rowOff>
    </xdr:from>
    <xdr:to>
      <xdr:col>13</xdr:col>
      <xdr:colOff>604837</xdr:colOff>
      <xdr:row>79</xdr:row>
      <xdr:rowOff>171450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83</xdr:row>
      <xdr:rowOff>0</xdr:rowOff>
    </xdr:from>
    <xdr:to>
      <xdr:col>13</xdr:col>
      <xdr:colOff>590551</xdr:colOff>
      <xdr:row>98</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7</xdr:row>
      <xdr:rowOff>9525</xdr:rowOff>
    </xdr:from>
    <xdr:to>
      <xdr:col>7</xdr:col>
      <xdr:colOff>381000</xdr:colOff>
      <xdr:row>26</xdr:row>
      <xdr:rowOff>191559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419100</xdr:colOff>
      <xdr:row>7</xdr:row>
      <xdr:rowOff>9524</xdr:rowOff>
    </xdr:from>
    <xdr:to>
      <xdr:col>14</xdr:col>
      <xdr:colOff>600075</xdr:colOff>
      <xdr:row>26</xdr:row>
      <xdr:rowOff>190498</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600075</xdr:colOff>
      <xdr:row>29</xdr:row>
      <xdr:rowOff>0</xdr:rowOff>
    </xdr:from>
    <xdr:to>
      <xdr:col>14</xdr:col>
      <xdr:colOff>9525</xdr:colOff>
      <xdr:row>48</xdr:row>
      <xdr:rowOff>190501</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590550</xdr:colOff>
      <xdr:row>0</xdr:row>
      <xdr:rowOff>19050</xdr:rowOff>
    </xdr:from>
    <xdr:to>
      <xdr:col>11</xdr:col>
      <xdr:colOff>285750</xdr:colOff>
      <xdr:row>4</xdr:row>
      <xdr:rowOff>9525</xdr:rowOff>
    </xdr:to>
    <xdr:pic>
      <xdr:nvPicPr>
        <xdr:cNvPr id="6" name="Imagem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19350" y="19050"/>
          <a:ext cx="4572000" cy="790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11</xdr:col>
      <xdr:colOff>304800</xdr:colOff>
      <xdr:row>4</xdr:row>
      <xdr:rowOff>28575</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8400" y="0"/>
          <a:ext cx="4572000" cy="790575"/>
        </a:xfrm>
        <a:prstGeom prst="rect">
          <a:avLst/>
        </a:prstGeom>
      </xdr:spPr>
    </xdr:pic>
    <xdr:clientData/>
  </xdr:twoCellAnchor>
  <xdr:twoCellAnchor>
    <xdr:from>
      <xdr:col>0</xdr:col>
      <xdr:colOff>85725</xdr:colOff>
      <xdr:row>6</xdr:row>
      <xdr:rowOff>19050</xdr:rowOff>
    </xdr:from>
    <xdr:to>
      <xdr:col>14</xdr:col>
      <xdr:colOff>514350</xdr:colOff>
      <xdr:row>23</xdr:row>
      <xdr:rowOff>171450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26</xdr:row>
      <xdr:rowOff>9525</xdr:rowOff>
    </xdr:from>
    <xdr:to>
      <xdr:col>14</xdr:col>
      <xdr:colOff>533400</xdr:colOff>
      <xdr:row>43</xdr:row>
      <xdr:rowOff>152400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46</xdr:row>
      <xdr:rowOff>19050</xdr:rowOff>
    </xdr:from>
    <xdr:to>
      <xdr:col>14</xdr:col>
      <xdr:colOff>542925</xdr:colOff>
      <xdr:row>64</xdr:row>
      <xdr:rowOff>152400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67</xdr:row>
      <xdr:rowOff>19050</xdr:rowOff>
    </xdr:from>
    <xdr:to>
      <xdr:col>14</xdr:col>
      <xdr:colOff>533401</xdr:colOff>
      <xdr:row>85</xdr:row>
      <xdr:rowOff>171450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cos\Downloads\MatrizesAtualizadas2013\Tabela841_TAX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841"/>
      <sheetName val="tabela para gráficos"/>
      <sheetName val="2013-2ºsemestre"/>
      <sheetName val="2014_2ºsemestre"/>
      <sheetName val="LIXO2"/>
      <sheetName val="LIXO"/>
      <sheetName val="Plan4"/>
      <sheetName val="Plan1"/>
    </sheetNames>
    <sheetDataSet>
      <sheetData sheetId="0" refreshError="1"/>
      <sheetData sheetId="1" refreshError="1"/>
      <sheetData sheetId="2" refreshError="1">
        <row r="7">
          <cell r="G7">
            <v>36</v>
          </cell>
        </row>
      </sheetData>
      <sheetData sheetId="3" refreshError="1">
        <row r="37">
          <cell r="G37">
            <v>36</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ibge.gov.br/home/estatistica/populacao/estimativa2016/default.shtm"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625"/>
  <sheetViews>
    <sheetView tabSelected="1" zoomScale="70" zoomScaleNormal="70" workbookViewId="0">
      <selection activeCell="D362" sqref="D362"/>
    </sheetView>
  </sheetViews>
  <sheetFormatPr defaultRowHeight="15.75" x14ac:dyDescent="0.25"/>
  <cols>
    <col min="1" max="1" width="7" style="105" customWidth="1"/>
    <col min="2" max="2" width="12.85546875" style="401" customWidth="1"/>
    <col min="3" max="3" width="10.28515625" style="52" customWidth="1"/>
    <col min="4" max="4" width="17.85546875" style="965" customWidth="1"/>
    <col min="5" max="5" width="12.85546875" style="1489" customWidth="1"/>
    <col min="6" max="6" width="105.5703125" style="89" customWidth="1"/>
    <col min="7" max="7" width="18.85546875" style="89" customWidth="1"/>
    <col min="8" max="8" width="12.140625" style="41" customWidth="1"/>
    <col min="9" max="10" width="10" style="2" customWidth="1"/>
    <col min="11" max="11" width="11.5703125" style="7" bestFit="1" customWidth="1"/>
    <col min="12" max="12" width="10.42578125" style="7" bestFit="1" customWidth="1"/>
    <col min="13" max="14" width="13.42578125" style="7" bestFit="1" customWidth="1"/>
    <col min="15" max="15" width="10.42578125" style="7" bestFit="1" customWidth="1"/>
    <col min="16" max="16" width="12.5703125" style="7" customWidth="1"/>
    <col min="17" max="17" width="13.85546875" style="7" bestFit="1" customWidth="1"/>
    <col min="18" max="18" width="15.42578125" style="7" bestFit="1" customWidth="1"/>
    <col min="19" max="19" width="10.5703125" style="79" bestFit="1" customWidth="1"/>
    <col min="20" max="20" width="13.85546875" style="7" bestFit="1" customWidth="1"/>
    <col min="21" max="21" width="15.42578125" style="7" customWidth="1"/>
    <col min="22" max="22" width="13.85546875" style="79" customWidth="1"/>
    <col min="23" max="31" width="13.85546875" style="7" bestFit="1" customWidth="1"/>
    <col min="32" max="32" width="13.28515625" style="7" customWidth="1"/>
    <col min="33" max="33" width="13.85546875" style="7" bestFit="1" customWidth="1"/>
    <col min="34" max="34" width="13.140625" style="7" bestFit="1" customWidth="1"/>
    <col min="35" max="35" width="13.28515625" style="7" customWidth="1"/>
    <col min="36" max="36" width="11.5703125" style="7" customWidth="1"/>
    <col min="37" max="37" width="14.140625" style="105" customWidth="1"/>
    <col min="38" max="38" width="5.7109375" style="7" customWidth="1"/>
    <col min="39" max="53" width="14.140625" style="105" customWidth="1"/>
    <col min="54" max="54" width="9.85546875" style="7" customWidth="1"/>
    <col min="55" max="55" width="12.140625" style="7" customWidth="1"/>
    <col min="56" max="56" width="9.140625" style="7"/>
    <col min="57" max="57" width="12.85546875" style="7" customWidth="1"/>
    <col min="58" max="16384" width="9.140625" style="7"/>
  </cols>
  <sheetData>
    <row r="1" spans="1:56" s="105" customFormat="1" ht="15.75" customHeight="1" x14ac:dyDescent="0.25">
      <c r="B1" s="274"/>
      <c r="D1" s="965"/>
      <c r="E1" s="1489"/>
      <c r="F1" s="967"/>
      <c r="G1" s="967"/>
      <c r="H1" s="967"/>
      <c r="I1" s="967"/>
      <c r="J1" s="967"/>
    </row>
    <row r="2" spans="1:56" s="105" customFormat="1" ht="15.75" customHeight="1" x14ac:dyDescent="0.25">
      <c r="B2" s="274"/>
      <c r="D2" s="965"/>
      <c r="E2" s="1489"/>
      <c r="F2" s="967"/>
      <c r="G2" s="967"/>
      <c r="H2" s="967"/>
      <c r="I2" s="967"/>
      <c r="J2" s="967"/>
    </row>
    <row r="3" spans="1:56" ht="15.75" customHeight="1" x14ac:dyDescent="0.25">
      <c r="B3" s="274"/>
      <c r="C3" s="105"/>
      <c r="I3" s="69"/>
      <c r="J3" s="69"/>
    </row>
    <row r="4" spans="1:56" x14ac:dyDescent="0.25">
      <c r="B4" s="274"/>
      <c r="C4" s="105"/>
    </row>
    <row r="5" spans="1:56" ht="18.75" x14ac:dyDescent="0.25">
      <c r="B5" s="1602" t="s">
        <v>0</v>
      </c>
      <c r="C5" s="1602"/>
      <c r="D5" s="1602"/>
      <c r="E5" s="1602"/>
      <c r="F5" s="1602"/>
      <c r="G5" s="1602"/>
      <c r="H5" s="1602"/>
      <c r="I5" s="1602"/>
      <c r="J5" s="28"/>
    </row>
    <row r="6" spans="1:56" ht="24.75" customHeight="1" x14ac:dyDescent="0.25">
      <c r="A6" s="1606" t="s">
        <v>6356</v>
      </c>
      <c r="B6" s="1606"/>
      <c r="C6" s="1606"/>
      <c r="D6" s="1606"/>
      <c r="E6" s="1606"/>
      <c r="F6" s="1606"/>
      <c r="G6" s="1606"/>
      <c r="H6" s="1606"/>
      <c r="I6" s="1606"/>
      <c r="J6" s="29"/>
    </row>
    <row r="7" spans="1:56" s="8" customFormat="1" ht="68.25" x14ac:dyDescent="0.25">
      <c r="A7" s="240" t="s">
        <v>998</v>
      </c>
      <c r="B7" s="240" t="s">
        <v>939</v>
      </c>
      <c r="C7" s="228" t="s">
        <v>936</v>
      </c>
      <c r="D7" s="480" t="s">
        <v>4161</v>
      </c>
      <c r="E7" s="1490" t="s">
        <v>2415</v>
      </c>
      <c r="F7" s="170" t="s">
        <v>434</v>
      </c>
      <c r="G7" s="170" t="s">
        <v>435</v>
      </c>
      <c r="H7" s="228" t="s">
        <v>937</v>
      </c>
      <c r="I7" s="166" t="s">
        <v>940</v>
      </c>
      <c r="J7" s="237">
        <v>1990</v>
      </c>
      <c r="K7" s="238">
        <v>1991</v>
      </c>
      <c r="L7" s="238">
        <v>1992</v>
      </c>
      <c r="M7" s="238">
        <v>1993</v>
      </c>
      <c r="N7" s="238">
        <v>1994</v>
      </c>
      <c r="O7" s="238">
        <v>1995</v>
      </c>
      <c r="P7" s="238">
        <v>1996</v>
      </c>
      <c r="Q7" s="238">
        <v>1997</v>
      </c>
      <c r="R7" s="237" t="s">
        <v>665</v>
      </c>
      <c r="S7" s="152" t="s">
        <v>763</v>
      </c>
      <c r="T7" s="238">
        <v>1999</v>
      </c>
      <c r="U7" s="237" t="s">
        <v>666</v>
      </c>
      <c r="V7" s="155" t="s">
        <v>753</v>
      </c>
      <c r="W7" s="238">
        <v>2001</v>
      </c>
      <c r="X7" s="238">
        <v>2002</v>
      </c>
      <c r="Y7" s="238">
        <v>2003</v>
      </c>
      <c r="Z7" s="238">
        <v>2004</v>
      </c>
      <c r="AA7" s="238">
        <v>2005</v>
      </c>
      <c r="AB7" s="238">
        <v>2006</v>
      </c>
      <c r="AC7" s="238">
        <v>2007</v>
      </c>
      <c r="AD7" s="238">
        <v>2008</v>
      </c>
      <c r="AE7" s="238">
        <v>2009</v>
      </c>
      <c r="AF7" s="238">
        <v>2010</v>
      </c>
      <c r="AG7" s="238">
        <v>2011</v>
      </c>
      <c r="AH7" s="238">
        <v>2012</v>
      </c>
      <c r="AI7" s="238">
        <v>2013</v>
      </c>
      <c r="AJ7" s="238">
        <v>2014</v>
      </c>
      <c r="AK7" s="238">
        <v>2015</v>
      </c>
      <c r="AL7" s="600" t="s">
        <v>432</v>
      </c>
      <c r="AM7" s="238">
        <v>2016</v>
      </c>
      <c r="AN7" s="238">
        <v>2017</v>
      </c>
      <c r="AO7" s="238">
        <v>2018</v>
      </c>
      <c r="AP7" s="238">
        <v>2019</v>
      </c>
      <c r="AQ7" s="238">
        <v>2020</v>
      </c>
      <c r="AR7" s="907">
        <v>2021</v>
      </c>
      <c r="AS7" s="907">
        <v>2022</v>
      </c>
      <c r="AT7" s="907">
        <v>2023</v>
      </c>
      <c r="AU7" s="907">
        <v>2024</v>
      </c>
      <c r="AV7" s="238">
        <v>2025</v>
      </c>
      <c r="AW7" s="907">
        <v>2026</v>
      </c>
      <c r="AX7" s="907">
        <v>2027</v>
      </c>
      <c r="AY7" s="907">
        <v>2028</v>
      </c>
      <c r="AZ7" s="907">
        <v>2029</v>
      </c>
      <c r="BA7" s="238">
        <v>2030</v>
      </c>
      <c r="BB7" s="1603" t="s">
        <v>938</v>
      </c>
      <c r="BC7" s="1604"/>
      <c r="BD7" s="1605"/>
    </row>
    <row r="8" spans="1:56" s="3" customFormat="1" ht="25.5" customHeight="1" x14ac:dyDescent="0.25">
      <c r="A8" s="262" t="s">
        <v>432</v>
      </c>
      <c r="B8" s="252" t="s">
        <v>742</v>
      </c>
      <c r="C8" s="167" t="s">
        <v>432</v>
      </c>
      <c r="D8" s="323" t="s">
        <v>1</v>
      </c>
      <c r="E8" s="1491" t="s">
        <v>432</v>
      </c>
      <c r="F8" s="11" t="s">
        <v>906</v>
      </c>
      <c r="G8" s="167" t="s">
        <v>3879</v>
      </c>
      <c r="H8" s="168" t="s">
        <v>432</v>
      </c>
      <c r="I8" s="167" t="s">
        <v>432</v>
      </c>
      <c r="J8" s="107" t="s">
        <v>432</v>
      </c>
      <c r="K8" s="107" t="s">
        <v>432</v>
      </c>
      <c r="L8" s="107" t="s">
        <v>432</v>
      </c>
      <c r="M8" s="107" t="s">
        <v>432</v>
      </c>
      <c r="N8" s="107" t="s">
        <v>432</v>
      </c>
      <c r="O8" s="107" t="s">
        <v>432</v>
      </c>
      <c r="P8" s="107" t="s">
        <v>432</v>
      </c>
      <c r="Q8" s="107" t="s">
        <v>432</v>
      </c>
      <c r="R8" s="107" t="s">
        <v>432</v>
      </c>
      <c r="S8" s="109" t="s">
        <v>2209</v>
      </c>
      <c r="T8" s="107" t="s">
        <v>432</v>
      </c>
      <c r="U8" s="107" t="s">
        <v>432</v>
      </c>
      <c r="V8" s="109" t="s">
        <v>2209</v>
      </c>
      <c r="W8" s="107" t="s">
        <v>432</v>
      </c>
      <c r="X8" s="107" t="s">
        <v>432</v>
      </c>
      <c r="Y8" s="107" t="s">
        <v>432</v>
      </c>
      <c r="Z8" s="107" t="s">
        <v>432</v>
      </c>
      <c r="AA8" s="107" t="s">
        <v>432</v>
      </c>
      <c r="AB8" s="107" t="s">
        <v>432</v>
      </c>
      <c r="AC8" s="107" t="s">
        <v>432</v>
      </c>
      <c r="AD8" s="107" t="s">
        <v>432</v>
      </c>
      <c r="AE8" s="107" t="s">
        <v>432</v>
      </c>
      <c r="AF8" s="107" t="s">
        <v>432</v>
      </c>
      <c r="AG8" s="107" t="s">
        <v>432</v>
      </c>
      <c r="AH8" s="107" t="s">
        <v>432</v>
      </c>
      <c r="AI8" s="107" t="s">
        <v>432</v>
      </c>
      <c r="AJ8" s="107" t="s">
        <v>432</v>
      </c>
      <c r="AK8" s="137" t="s">
        <v>432</v>
      </c>
      <c r="AL8" s="600" t="s">
        <v>432</v>
      </c>
      <c r="AM8" s="137" t="s">
        <v>432</v>
      </c>
      <c r="AN8" s="137" t="s">
        <v>432</v>
      </c>
      <c r="AO8" s="137" t="s">
        <v>432</v>
      </c>
      <c r="AP8" s="137" t="s">
        <v>432</v>
      </c>
      <c r="AQ8" s="137" t="s">
        <v>432</v>
      </c>
      <c r="AR8" s="137" t="s">
        <v>432</v>
      </c>
      <c r="AS8" s="137" t="s">
        <v>432</v>
      </c>
      <c r="AT8" s="137" t="s">
        <v>432</v>
      </c>
      <c r="AU8" s="137" t="s">
        <v>432</v>
      </c>
      <c r="AV8" s="137" t="s">
        <v>432</v>
      </c>
      <c r="AW8" s="137" t="s">
        <v>432</v>
      </c>
      <c r="AX8" s="137" t="s">
        <v>432</v>
      </c>
      <c r="AY8" s="137" t="s">
        <v>432</v>
      </c>
      <c r="AZ8" s="137" t="s">
        <v>432</v>
      </c>
      <c r="BA8" s="137" t="s">
        <v>432</v>
      </c>
      <c r="BB8" s="239" t="str">
        <f t="shared" ref="BB8:BB13" si="0">B8&amp;C8</f>
        <v>geralx</v>
      </c>
      <c r="BC8" s="239" t="str">
        <f t="shared" ref="BC8:BC13" si="1">B8&amp;C8&amp;H8</f>
        <v>geralxx</v>
      </c>
      <c r="BD8" s="239" t="str">
        <f t="shared" ref="BD8:BD13" si="2">B8&amp;H8</f>
        <v>geralx</v>
      </c>
    </row>
    <row r="9" spans="1:56" s="3" customFormat="1" ht="25.5" x14ac:dyDescent="0.25">
      <c r="A9" s="262" t="s">
        <v>432</v>
      </c>
      <c r="B9" s="252" t="s">
        <v>742</v>
      </c>
      <c r="C9" s="167" t="s">
        <v>432</v>
      </c>
      <c r="D9" s="968" t="s">
        <v>4</v>
      </c>
      <c r="E9" s="1364" t="s">
        <v>432</v>
      </c>
      <c r="F9" s="53" t="s">
        <v>5438</v>
      </c>
      <c r="G9" s="167" t="s">
        <v>3879</v>
      </c>
      <c r="H9" s="168" t="s">
        <v>432</v>
      </c>
      <c r="I9" s="167" t="s">
        <v>432</v>
      </c>
      <c r="J9" s="136" t="s">
        <v>432</v>
      </c>
      <c r="K9" s="136" t="s">
        <v>432</v>
      </c>
      <c r="L9" s="136" t="s">
        <v>432</v>
      </c>
      <c r="M9" s="136" t="s">
        <v>432</v>
      </c>
      <c r="N9" s="136" t="s">
        <v>432</v>
      </c>
      <c r="O9" s="136" t="s">
        <v>432</v>
      </c>
      <c r="P9" s="136" t="s">
        <v>432</v>
      </c>
      <c r="Q9" s="136" t="s">
        <v>432</v>
      </c>
      <c r="R9" s="136" t="s">
        <v>432</v>
      </c>
      <c r="S9" s="109" t="s">
        <v>2209</v>
      </c>
      <c r="T9" s="136" t="s">
        <v>432</v>
      </c>
      <c r="U9" s="136" t="s">
        <v>432</v>
      </c>
      <c r="V9" s="109" t="s">
        <v>2209</v>
      </c>
      <c r="W9" s="136" t="s">
        <v>432</v>
      </c>
      <c r="X9" s="136" t="s">
        <v>432</v>
      </c>
      <c r="Y9" s="136" t="s">
        <v>432</v>
      </c>
      <c r="Z9" s="136" t="s">
        <v>432</v>
      </c>
      <c r="AA9" s="136" t="s">
        <v>432</v>
      </c>
      <c r="AB9" s="136" t="s">
        <v>432</v>
      </c>
      <c r="AC9" s="136" t="s">
        <v>432</v>
      </c>
      <c r="AD9" s="136" t="s">
        <v>432</v>
      </c>
      <c r="AE9" s="136" t="s">
        <v>432</v>
      </c>
      <c r="AF9" s="136" t="s">
        <v>432</v>
      </c>
      <c r="AG9" s="136" t="s">
        <v>432</v>
      </c>
      <c r="AH9" s="136" t="s">
        <v>432</v>
      </c>
      <c r="AI9" s="136" t="s">
        <v>432</v>
      </c>
      <c r="AJ9" s="136" t="s">
        <v>432</v>
      </c>
      <c r="AK9" s="137" t="s">
        <v>432</v>
      </c>
      <c r="AL9" s="600" t="s">
        <v>432</v>
      </c>
      <c r="AM9" s="137" t="s">
        <v>432</v>
      </c>
      <c r="AN9" s="137" t="s">
        <v>432</v>
      </c>
      <c r="AO9" s="137" t="s">
        <v>432</v>
      </c>
      <c r="AP9" s="137" t="s">
        <v>432</v>
      </c>
      <c r="AQ9" s="137" t="s">
        <v>432</v>
      </c>
      <c r="AR9" s="137" t="s">
        <v>432</v>
      </c>
      <c r="AS9" s="137" t="s">
        <v>432</v>
      </c>
      <c r="AT9" s="137" t="s">
        <v>432</v>
      </c>
      <c r="AU9" s="137" t="s">
        <v>432</v>
      </c>
      <c r="AV9" s="137" t="s">
        <v>432</v>
      </c>
      <c r="AW9" s="137" t="s">
        <v>432</v>
      </c>
      <c r="AX9" s="137" t="s">
        <v>432</v>
      </c>
      <c r="AY9" s="137" t="s">
        <v>432</v>
      </c>
      <c r="AZ9" s="137" t="s">
        <v>432</v>
      </c>
      <c r="BA9" s="137" t="s">
        <v>432</v>
      </c>
      <c r="BB9" s="239" t="str">
        <f t="shared" si="0"/>
        <v>geralx</v>
      </c>
      <c r="BC9" s="239" t="str">
        <f t="shared" si="1"/>
        <v>geralxx</v>
      </c>
      <c r="BD9" s="239" t="str">
        <f t="shared" si="2"/>
        <v>geralx</v>
      </c>
    </row>
    <row r="10" spans="1:56" s="3" customFormat="1" ht="274.5" customHeight="1" x14ac:dyDescent="0.25">
      <c r="A10" s="262" t="str">
        <f>'Q100b-totais'!$B$26</f>
        <v>3.2.1</v>
      </c>
      <c r="B10" s="53" t="str">
        <f>'Q100b-totais'!C26</f>
        <v>Avaliações em pesquisas externas de opinião</v>
      </c>
      <c r="C10" s="167" t="s">
        <v>432</v>
      </c>
      <c r="D10" s="324" t="s">
        <v>3</v>
      </c>
      <c r="E10" s="1402" t="s">
        <v>432</v>
      </c>
      <c r="F10" s="182" t="s">
        <v>1459</v>
      </c>
      <c r="G10" s="167" t="s">
        <v>1916</v>
      </c>
      <c r="H10" s="173" t="s">
        <v>2408</v>
      </c>
      <c r="I10" s="57" t="s">
        <v>432</v>
      </c>
      <c r="J10" s="107" t="s">
        <v>432</v>
      </c>
      <c r="K10" s="107" t="s">
        <v>432</v>
      </c>
      <c r="L10" s="107" t="s">
        <v>432</v>
      </c>
      <c r="M10" s="107" t="s">
        <v>432</v>
      </c>
      <c r="N10" s="107" t="s">
        <v>432</v>
      </c>
      <c r="O10" s="107" t="s">
        <v>432</v>
      </c>
      <c r="P10" s="107" t="s">
        <v>432</v>
      </c>
      <c r="Q10" s="107" t="s">
        <v>432</v>
      </c>
      <c r="R10" s="107" t="s">
        <v>432</v>
      </c>
      <c r="S10" s="109" t="s">
        <v>2209</v>
      </c>
      <c r="T10" s="107" t="s">
        <v>432</v>
      </c>
      <c r="U10" s="107" t="s">
        <v>432</v>
      </c>
      <c r="V10" s="109" t="s">
        <v>2209</v>
      </c>
      <c r="W10" s="107" t="s">
        <v>432</v>
      </c>
      <c r="X10" s="107" t="s">
        <v>432</v>
      </c>
      <c r="Y10" s="107" t="s">
        <v>432</v>
      </c>
      <c r="Z10" s="107" t="s">
        <v>432</v>
      </c>
      <c r="AA10" s="107" t="s">
        <v>432</v>
      </c>
      <c r="AB10" s="107" t="s">
        <v>432</v>
      </c>
      <c r="AC10" s="107" t="s">
        <v>432</v>
      </c>
      <c r="AD10" s="107" t="s">
        <v>432</v>
      </c>
      <c r="AE10" s="107" t="s">
        <v>2208</v>
      </c>
      <c r="AF10" s="107" t="s">
        <v>432</v>
      </c>
      <c r="AG10" s="107" t="s">
        <v>432</v>
      </c>
      <c r="AH10" s="107" t="s">
        <v>2208</v>
      </c>
      <c r="AI10" s="107" t="s">
        <v>432</v>
      </c>
      <c r="AJ10" s="107" t="s">
        <v>2208</v>
      </c>
      <c r="AK10" s="137" t="s">
        <v>432</v>
      </c>
      <c r="AL10" s="600" t="s">
        <v>432</v>
      </c>
      <c r="AM10" s="137" t="s">
        <v>432</v>
      </c>
      <c r="AN10" s="137" t="s">
        <v>432</v>
      </c>
      <c r="AO10" s="137" t="s">
        <v>432</v>
      </c>
      <c r="AP10" s="137" t="s">
        <v>432</v>
      </c>
      <c r="AQ10" s="137" t="s">
        <v>432</v>
      </c>
      <c r="AR10" s="137" t="s">
        <v>432</v>
      </c>
      <c r="AS10" s="137" t="s">
        <v>432</v>
      </c>
      <c r="AT10" s="137" t="s">
        <v>432</v>
      </c>
      <c r="AU10" s="137" t="s">
        <v>432</v>
      </c>
      <c r="AV10" s="137" t="s">
        <v>432</v>
      </c>
      <c r="AW10" s="137" t="s">
        <v>432</v>
      </c>
      <c r="AX10" s="137" t="s">
        <v>432</v>
      </c>
      <c r="AY10" s="137" t="s">
        <v>432</v>
      </c>
      <c r="AZ10" s="137" t="s">
        <v>432</v>
      </c>
      <c r="BA10" s="137" t="s">
        <v>432</v>
      </c>
      <c r="BB10" s="239" t="str">
        <f t="shared" si="0"/>
        <v>Avaliações em pesquisas externas de opiniãox</v>
      </c>
      <c r="BC10" s="239" t="str">
        <f t="shared" si="1"/>
        <v>Avaliações em pesquisas externas de opiniãoxsigla/verbete</v>
      </c>
      <c r="BD10" s="239" t="str">
        <f t="shared" si="2"/>
        <v>Avaliações em pesquisas externas de opiniãosigla/verbete</v>
      </c>
    </row>
    <row r="11" spans="1:56" s="3" customFormat="1" ht="59.25" customHeight="1" x14ac:dyDescent="0.25">
      <c r="A11" s="275" t="str">
        <f>'Q100b-totais'!B28</f>
        <v>3.3</v>
      </c>
      <c r="B11" s="53" t="str">
        <f>'Q100b-totais'!$C$28</f>
        <v>Pesquisas internas</v>
      </c>
      <c r="C11" s="167" t="s">
        <v>432</v>
      </c>
      <c r="D11" s="969" t="s">
        <v>3</v>
      </c>
      <c r="E11" s="1492" t="s">
        <v>432</v>
      </c>
      <c r="F11" s="56" t="s">
        <v>511</v>
      </c>
      <c r="G11" s="11" t="s">
        <v>678</v>
      </c>
      <c r="H11" s="173" t="s">
        <v>2408</v>
      </c>
      <c r="I11" s="169" t="s">
        <v>432</v>
      </c>
      <c r="J11" s="156" t="s">
        <v>432</v>
      </c>
      <c r="K11" s="156" t="s">
        <v>432</v>
      </c>
      <c r="L11" s="156" t="s">
        <v>432</v>
      </c>
      <c r="M11" s="156" t="s">
        <v>432</v>
      </c>
      <c r="N11" s="156" t="s">
        <v>432</v>
      </c>
      <c r="O11" s="156" t="s">
        <v>432</v>
      </c>
      <c r="P11" s="156" t="s">
        <v>432</v>
      </c>
      <c r="Q11" s="156" t="s">
        <v>432</v>
      </c>
      <c r="R11" s="156" t="s">
        <v>432</v>
      </c>
      <c r="S11" s="109" t="s">
        <v>2209</v>
      </c>
      <c r="T11" s="156" t="s">
        <v>432</v>
      </c>
      <c r="U11" s="156" t="s">
        <v>432</v>
      </c>
      <c r="V11" s="109" t="s">
        <v>2209</v>
      </c>
      <c r="W11" s="156" t="s">
        <v>432</v>
      </c>
      <c r="X11" s="156" t="s">
        <v>432</v>
      </c>
      <c r="Y11" s="156" t="s">
        <v>432</v>
      </c>
      <c r="Z11" s="156" t="s">
        <v>432</v>
      </c>
      <c r="AA11" s="156" t="s">
        <v>432</v>
      </c>
      <c r="AB11" s="156" t="s">
        <v>432</v>
      </c>
      <c r="AC11" s="156" t="s">
        <v>432</v>
      </c>
      <c r="AD11" s="156" t="s">
        <v>432</v>
      </c>
      <c r="AE11" s="156" t="s">
        <v>432</v>
      </c>
      <c r="AF11" s="156" t="s">
        <v>432</v>
      </c>
      <c r="AG11" s="156" t="s">
        <v>432</v>
      </c>
      <c r="AH11" s="156" t="s">
        <v>432</v>
      </c>
      <c r="AI11" s="156" t="s">
        <v>432</v>
      </c>
      <c r="AJ11" s="156" t="s">
        <v>432</v>
      </c>
      <c r="AK11" s="137" t="s">
        <v>432</v>
      </c>
      <c r="AL11" s="600" t="s">
        <v>432</v>
      </c>
      <c r="AM11" s="137" t="s">
        <v>432</v>
      </c>
      <c r="AN11" s="137" t="s">
        <v>432</v>
      </c>
      <c r="AO11" s="137" t="s">
        <v>432</v>
      </c>
      <c r="AP11" s="137" t="s">
        <v>432</v>
      </c>
      <c r="AQ11" s="137" t="s">
        <v>432</v>
      </c>
      <c r="AR11" s="137" t="s">
        <v>432</v>
      </c>
      <c r="AS11" s="137" t="s">
        <v>432</v>
      </c>
      <c r="AT11" s="137" t="s">
        <v>432</v>
      </c>
      <c r="AU11" s="137" t="s">
        <v>432</v>
      </c>
      <c r="AV11" s="137" t="s">
        <v>432</v>
      </c>
      <c r="AW11" s="137" t="s">
        <v>432</v>
      </c>
      <c r="AX11" s="137" t="s">
        <v>432</v>
      </c>
      <c r="AY11" s="137" t="s">
        <v>432</v>
      </c>
      <c r="AZ11" s="137" t="s">
        <v>432</v>
      </c>
      <c r="BA11" s="137" t="s">
        <v>432</v>
      </c>
      <c r="BB11" s="239" t="str">
        <f t="shared" si="0"/>
        <v>Pesquisas internasx</v>
      </c>
      <c r="BC11" s="239" t="str">
        <f t="shared" si="1"/>
        <v>Pesquisas internasxsigla/verbete</v>
      </c>
      <c r="BD11" s="239" t="str">
        <f t="shared" si="2"/>
        <v>Pesquisas internassigla/verbete</v>
      </c>
    </row>
    <row r="12" spans="1:56" s="3" customFormat="1" ht="45" customHeight="1" x14ac:dyDescent="0.25">
      <c r="A12" s="275" t="str">
        <f>'Q100b-totais'!$B$19</f>
        <v>2.4</v>
      </c>
      <c r="B12" s="54" t="str">
        <f>'Q100b-totais'!$C$19</f>
        <v>População</v>
      </c>
      <c r="C12" s="167" t="s">
        <v>432</v>
      </c>
      <c r="D12" s="968" t="s">
        <v>1482</v>
      </c>
      <c r="E12" s="1364" t="s">
        <v>1306</v>
      </c>
      <c r="F12" s="54" t="s">
        <v>1484</v>
      </c>
      <c r="G12" s="54" t="s">
        <v>1485</v>
      </c>
      <c r="H12" s="444" t="s">
        <v>678</v>
      </c>
      <c r="I12" s="167">
        <v>1</v>
      </c>
      <c r="J12" s="107" t="s">
        <v>432</v>
      </c>
      <c r="K12" s="107" t="s">
        <v>432</v>
      </c>
      <c r="L12" s="107" t="s">
        <v>432</v>
      </c>
      <c r="M12" s="107" t="s">
        <v>432</v>
      </c>
      <c r="N12" s="107" t="s">
        <v>432</v>
      </c>
      <c r="O12" s="107" t="s">
        <v>432</v>
      </c>
      <c r="P12" s="107" t="s">
        <v>432</v>
      </c>
      <c r="Q12" s="107" t="s">
        <v>432</v>
      </c>
      <c r="R12" s="107" t="s">
        <v>432</v>
      </c>
      <c r="S12" s="109" t="s">
        <v>2209</v>
      </c>
      <c r="T12" s="107" t="s">
        <v>432</v>
      </c>
      <c r="U12" s="107" t="s">
        <v>432</v>
      </c>
      <c r="V12" s="109" t="s">
        <v>2209</v>
      </c>
      <c r="W12" s="107" t="s">
        <v>432</v>
      </c>
      <c r="X12" s="107" t="s">
        <v>432</v>
      </c>
      <c r="Y12" s="107" t="s">
        <v>432</v>
      </c>
      <c r="Z12" s="107" t="s">
        <v>432</v>
      </c>
      <c r="AA12" s="107" t="s">
        <v>432</v>
      </c>
      <c r="AB12" s="107" t="s">
        <v>432</v>
      </c>
      <c r="AC12" s="107" t="s">
        <v>432</v>
      </c>
      <c r="AD12" s="107" t="s">
        <v>432</v>
      </c>
      <c r="AE12" s="107" t="s">
        <v>432</v>
      </c>
      <c r="AF12" s="107" t="s">
        <v>432</v>
      </c>
      <c r="AG12" s="107" t="s">
        <v>432</v>
      </c>
      <c r="AH12" s="107" t="s">
        <v>432</v>
      </c>
      <c r="AI12" s="107" t="s">
        <v>432</v>
      </c>
      <c r="AJ12" s="107" t="s">
        <v>432</v>
      </c>
      <c r="AK12" s="137" t="s">
        <v>432</v>
      </c>
      <c r="AL12" s="600" t="s">
        <v>432</v>
      </c>
      <c r="AM12" s="137" t="s">
        <v>432</v>
      </c>
      <c r="AN12" s="137" t="s">
        <v>432</v>
      </c>
      <c r="AO12" s="137" t="s">
        <v>432</v>
      </c>
      <c r="AP12" s="137" t="s">
        <v>432</v>
      </c>
      <c r="AQ12" s="137" t="s">
        <v>432</v>
      </c>
      <c r="AR12" s="137" t="s">
        <v>432</v>
      </c>
      <c r="AS12" s="137" t="s">
        <v>432</v>
      </c>
      <c r="AT12" s="137" t="s">
        <v>432</v>
      </c>
      <c r="AU12" s="137" t="s">
        <v>432</v>
      </c>
      <c r="AV12" s="137" t="s">
        <v>432</v>
      </c>
      <c r="AW12" s="137" t="s">
        <v>432</v>
      </c>
      <c r="AX12" s="137" t="s">
        <v>432</v>
      </c>
      <c r="AY12" s="137" t="s">
        <v>432</v>
      </c>
      <c r="AZ12" s="137" t="s">
        <v>432</v>
      </c>
      <c r="BA12" s="137" t="s">
        <v>432</v>
      </c>
      <c r="BB12" s="239" t="str">
        <f t="shared" si="0"/>
        <v>Populaçãox</v>
      </c>
      <c r="BC12" s="239" t="str">
        <f t="shared" si="1"/>
        <v>Populaçãoxainda não incorporado ao SisMob-BH</v>
      </c>
      <c r="BD12" s="239" t="str">
        <f t="shared" si="2"/>
        <v>Populaçãoainda não incorporado ao SisMob-BH</v>
      </c>
    </row>
    <row r="13" spans="1:56" s="3" customFormat="1" ht="45" customHeight="1" x14ac:dyDescent="0.25">
      <c r="A13" s="275" t="str">
        <f>'Q100b-totais'!$B$19</f>
        <v>2.4</v>
      </c>
      <c r="B13" s="54" t="str">
        <f>'Q100b-totais'!$C$19</f>
        <v>População</v>
      </c>
      <c r="C13" s="167" t="s">
        <v>432</v>
      </c>
      <c r="D13" s="968" t="s">
        <v>1483</v>
      </c>
      <c r="E13" s="1364" t="s">
        <v>1306</v>
      </c>
      <c r="F13" s="54" t="s">
        <v>1481</v>
      </c>
      <c r="G13" s="54" t="s">
        <v>1485</v>
      </c>
      <c r="H13" s="444" t="s">
        <v>678</v>
      </c>
      <c r="I13" s="167">
        <v>1</v>
      </c>
      <c r="J13" s="107" t="s">
        <v>432</v>
      </c>
      <c r="K13" s="107" t="s">
        <v>432</v>
      </c>
      <c r="L13" s="107" t="s">
        <v>432</v>
      </c>
      <c r="M13" s="107" t="s">
        <v>432</v>
      </c>
      <c r="N13" s="107" t="s">
        <v>432</v>
      </c>
      <c r="O13" s="107" t="s">
        <v>432</v>
      </c>
      <c r="P13" s="107" t="s">
        <v>432</v>
      </c>
      <c r="Q13" s="107" t="s">
        <v>432</v>
      </c>
      <c r="R13" s="107" t="s">
        <v>432</v>
      </c>
      <c r="S13" s="109" t="s">
        <v>2209</v>
      </c>
      <c r="T13" s="107" t="s">
        <v>432</v>
      </c>
      <c r="U13" s="107" t="s">
        <v>432</v>
      </c>
      <c r="V13" s="109" t="s">
        <v>2209</v>
      </c>
      <c r="W13" s="107" t="s">
        <v>432</v>
      </c>
      <c r="X13" s="107" t="s">
        <v>432</v>
      </c>
      <c r="Y13" s="107" t="s">
        <v>432</v>
      </c>
      <c r="Z13" s="107" t="s">
        <v>432</v>
      </c>
      <c r="AA13" s="107" t="s">
        <v>432</v>
      </c>
      <c r="AB13" s="107" t="s">
        <v>432</v>
      </c>
      <c r="AC13" s="107" t="s">
        <v>432</v>
      </c>
      <c r="AD13" s="107" t="s">
        <v>432</v>
      </c>
      <c r="AE13" s="107" t="s">
        <v>432</v>
      </c>
      <c r="AF13" s="107" t="s">
        <v>432</v>
      </c>
      <c r="AG13" s="107" t="s">
        <v>432</v>
      </c>
      <c r="AH13" s="107" t="s">
        <v>432</v>
      </c>
      <c r="AI13" s="107" t="s">
        <v>432</v>
      </c>
      <c r="AJ13" s="107" t="s">
        <v>432</v>
      </c>
      <c r="AK13" s="137" t="s">
        <v>432</v>
      </c>
      <c r="AL13" s="600" t="s">
        <v>432</v>
      </c>
      <c r="AM13" s="137" t="s">
        <v>432</v>
      </c>
      <c r="AN13" s="137" t="s">
        <v>432</v>
      </c>
      <c r="AO13" s="137" t="s">
        <v>432</v>
      </c>
      <c r="AP13" s="137" t="s">
        <v>432</v>
      </c>
      <c r="AQ13" s="137" t="s">
        <v>432</v>
      </c>
      <c r="AR13" s="137" t="s">
        <v>432</v>
      </c>
      <c r="AS13" s="137" t="s">
        <v>432</v>
      </c>
      <c r="AT13" s="137" t="s">
        <v>432</v>
      </c>
      <c r="AU13" s="137" t="s">
        <v>432</v>
      </c>
      <c r="AV13" s="137" t="s">
        <v>432</v>
      </c>
      <c r="AW13" s="137" t="s">
        <v>432</v>
      </c>
      <c r="AX13" s="137" t="s">
        <v>432</v>
      </c>
      <c r="AY13" s="137" t="s">
        <v>432</v>
      </c>
      <c r="AZ13" s="137" t="s">
        <v>432</v>
      </c>
      <c r="BA13" s="137" t="s">
        <v>432</v>
      </c>
      <c r="BB13" s="239" t="str">
        <f t="shared" si="0"/>
        <v>Populaçãox</v>
      </c>
      <c r="BC13" s="239" t="str">
        <f t="shared" si="1"/>
        <v>Populaçãoxainda não incorporado ao SisMob-BH</v>
      </c>
      <c r="BD13" s="239" t="str">
        <f t="shared" si="2"/>
        <v>Populaçãoainda não incorporado ao SisMob-BH</v>
      </c>
    </row>
    <row r="14" spans="1:56" s="3" customFormat="1" ht="15.75" customHeight="1" x14ac:dyDescent="0.25">
      <c r="A14" s="398"/>
      <c r="B14" s="399"/>
      <c r="C14" s="399"/>
      <c r="D14" s="221"/>
      <c r="E14" s="1493"/>
      <c r="F14" s="221"/>
      <c r="G14" s="399"/>
      <c r="H14" s="221"/>
      <c r="I14" s="399"/>
      <c r="J14" s="221"/>
      <c r="K14" s="221"/>
      <c r="L14" s="221"/>
      <c r="M14" s="221"/>
      <c r="N14" s="221"/>
      <c r="O14" s="403"/>
      <c r="P14" s="403"/>
      <c r="Q14" s="223"/>
      <c r="R14" s="403"/>
      <c r="S14" s="109" t="s">
        <v>2209</v>
      </c>
      <c r="T14" s="403"/>
      <c r="U14" s="403"/>
      <c r="V14" s="109" t="s">
        <v>2209</v>
      </c>
      <c r="W14" s="403"/>
      <c r="X14" s="403"/>
      <c r="Y14" s="403"/>
      <c r="Z14" s="403"/>
      <c r="AA14" s="403"/>
      <c r="AB14" s="403"/>
      <c r="AC14" s="403"/>
      <c r="AD14" s="403"/>
      <c r="AE14" s="403"/>
      <c r="AF14" s="403"/>
      <c r="AG14" s="403"/>
      <c r="AH14" s="403"/>
      <c r="AI14" s="403"/>
      <c r="AJ14" s="403"/>
      <c r="AK14" s="221"/>
      <c r="AL14" s="600" t="s">
        <v>432</v>
      </c>
      <c r="AM14" s="223"/>
      <c r="AN14" s="223"/>
      <c r="AO14" s="223"/>
      <c r="AP14" s="223"/>
      <c r="AQ14" s="223"/>
      <c r="AR14" s="223"/>
      <c r="AS14" s="223"/>
      <c r="AT14" s="223"/>
      <c r="AU14" s="223"/>
      <c r="AV14" s="223"/>
      <c r="AW14" s="137" t="s">
        <v>432</v>
      </c>
      <c r="AX14" s="223"/>
      <c r="AY14" s="223"/>
      <c r="AZ14" s="223"/>
      <c r="BA14" s="223"/>
      <c r="BB14" s="400"/>
      <c r="BC14" s="400"/>
      <c r="BD14" s="400"/>
    </row>
    <row r="15" spans="1:56" s="3" customFormat="1" ht="103.5" customHeight="1" x14ac:dyDescent="0.25">
      <c r="A15" s="275" t="str">
        <f>'Q100b-totais'!$B$26</f>
        <v>3.2.1</v>
      </c>
      <c r="B15" s="252" t="str">
        <f>'Q100b-totais'!$C$26</f>
        <v>Avaliações em pesquisas externas de opinião</v>
      </c>
      <c r="C15" s="167" t="s">
        <v>432</v>
      </c>
      <c r="D15" s="324" t="s">
        <v>5</v>
      </c>
      <c r="E15" s="254" t="s">
        <v>1306</v>
      </c>
      <c r="F15" s="11" t="s">
        <v>1647</v>
      </c>
      <c r="G15" s="111" t="s">
        <v>667</v>
      </c>
      <c r="H15" s="173" t="s">
        <v>432</v>
      </c>
      <c r="I15" s="167">
        <v>1</v>
      </c>
      <c r="J15" s="107" t="s">
        <v>432</v>
      </c>
      <c r="K15" s="107" t="s">
        <v>432</v>
      </c>
      <c r="L15" s="107" t="s">
        <v>432</v>
      </c>
      <c r="M15" s="107" t="s">
        <v>432</v>
      </c>
      <c r="N15" s="107" t="s">
        <v>432</v>
      </c>
      <c r="O15" s="64">
        <f>((O21*5)+(O16*4)+(O25*3)+(O24*2)+(O22*1))/(100-O17)</f>
        <v>3.5862068965517242</v>
      </c>
      <c r="P15" s="64">
        <f>((P21*5)+(P16*4)+(P25*3)+(P24*2)+(P22*1))/(100-P17)</f>
        <v>3.4565217391304346</v>
      </c>
      <c r="Q15" s="107" t="s">
        <v>432</v>
      </c>
      <c r="R15" s="64">
        <f>((R21*5)+(R16*4)+(R25*3)+(R24*2)+(R22*1))/(100-R17)</f>
        <v>3.5765306122448979</v>
      </c>
      <c r="S15" s="109" t="s">
        <v>2209</v>
      </c>
      <c r="T15" s="107" t="s">
        <v>432</v>
      </c>
      <c r="U15" s="64">
        <f>((U21*5)+(U16*4)+(U25*3)+(U24*2)+(U22*1))/(100-U17)</f>
        <v>3.1855670103092781</v>
      </c>
      <c r="V15" s="109" t="s">
        <v>2209</v>
      </c>
      <c r="W15" s="64">
        <f t="shared" ref="W15:AD15" si="3">((W21*5)+(W16*4)+(W25*3)+(W24*2)+(W22*1))/(100-W17)</f>
        <v>3.0871564320016351</v>
      </c>
      <c r="X15" s="64">
        <f t="shared" si="3"/>
        <v>3.2245663860432092</v>
      </c>
      <c r="Y15" s="64">
        <f t="shared" si="3"/>
        <v>2.9459571814591561</v>
      </c>
      <c r="Z15" s="64">
        <f t="shared" si="3"/>
        <v>3.1962922573609598</v>
      </c>
      <c r="AA15" s="64">
        <f t="shared" si="3"/>
        <v>3.1458333333333335</v>
      </c>
      <c r="AB15" s="64">
        <f t="shared" si="3"/>
        <v>3.129278350515464</v>
      </c>
      <c r="AC15" s="64">
        <f t="shared" si="3"/>
        <v>3.2613008795254652</v>
      </c>
      <c r="AD15" s="64">
        <f t="shared" si="3"/>
        <v>2.9373916590190681</v>
      </c>
      <c r="AE15" s="107" t="s">
        <v>2208</v>
      </c>
      <c r="AF15" s="64">
        <f>((AF21*5)+(AF16*4)+(AF25*3)+(AF24*2)+(AF22*1))/(100-AF17)</f>
        <v>2.7759522812892423</v>
      </c>
      <c r="AG15" s="83" t="s">
        <v>432</v>
      </c>
      <c r="AH15" s="107" t="s">
        <v>2208</v>
      </c>
      <c r="AI15" s="81">
        <f>((AI21*5)+(AI16*4)+(AI25*3)+(AI24*2)+(AI22*1))/(100-AI17)</f>
        <v>2.6428571428571428</v>
      </c>
      <c r="AJ15" s="107" t="s">
        <v>2208</v>
      </c>
      <c r="AK15" s="93" t="s">
        <v>1519</v>
      </c>
      <c r="AL15" s="600" t="s">
        <v>432</v>
      </c>
      <c r="AM15" s="137" t="s">
        <v>432</v>
      </c>
      <c r="AN15" s="137" t="s">
        <v>432</v>
      </c>
      <c r="AO15" s="137" t="s">
        <v>432</v>
      </c>
      <c r="AP15" s="137" t="s">
        <v>432</v>
      </c>
      <c r="AQ15" s="137" t="s">
        <v>432</v>
      </c>
      <c r="AR15" s="137" t="s">
        <v>432</v>
      </c>
      <c r="AS15" s="137" t="s">
        <v>432</v>
      </c>
      <c r="AT15" s="137" t="s">
        <v>432</v>
      </c>
      <c r="AU15" s="137" t="s">
        <v>432</v>
      </c>
      <c r="AV15" s="137" t="s">
        <v>432</v>
      </c>
      <c r="AW15" s="137" t="s">
        <v>432</v>
      </c>
      <c r="AX15" s="137" t="s">
        <v>432</v>
      </c>
      <c r="AY15" s="137" t="s">
        <v>432</v>
      </c>
      <c r="AZ15" s="137" t="s">
        <v>432</v>
      </c>
      <c r="BA15" s="137" t="s">
        <v>432</v>
      </c>
      <c r="BB15" s="239" t="str">
        <f t="shared" ref="BB15:BB25" si="4">B15&amp;C15</f>
        <v>Avaliações em pesquisas externas de opiniãox</v>
      </c>
      <c r="BC15" s="239" t="str">
        <f t="shared" ref="BC15:BC25" si="5">B15&amp;C15&amp;H15</f>
        <v>Avaliações em pesquisas externas de opiniãoxx</v>
      </c>
      <c r="BD15" s="239" t="str">
        <f t="shared" ref="BD15:BD25" si="6">B15&amp;H15</f>
        <v>Avaliações em pesquisas externas de opiniãox</v>
      </c>
    </row>
    <row r="16" spans="1:56" s="3" customFormat="1" ht="57" customHeight="1" x14ac:dyDescent="0.25">
      <c r="A16" s="275" t="str">
        <f>'Q100b-totais'!$B$26</f>
        <v>3.2.1</v>
      </c>
      <c r="B16" s="252" t="str">
        <f>'Q100b-totais'!$C$26</f>
        <v>Avaliações em pesquisas externas de opinião</v>
      </c>
      <c r="C16" s="167" t="s">
        <v>432</v>
      </c>
      <c r="D16" s="323" t="s">
        <v>7</v>
      </c>
      <c r="E16" s="254" t="s">
        <v>1306</v>
      </c>
      <c r="F16" s="11" t="s">
        <v>1486</v>
      </c>
      <c r="G16" s="110" t="s">
        <v>8</v>
      </c>
      <c r="H16" s="173" t="s">
        <v>432</v>
      </c>
      <c r="I16" s="167">
        <v>1</v>
      </c>
      <c r="J16" s="107" t="s">
        <v>432</v>
      </c>
      <c r="K16" s="107" t="s">
        <v>432</v>
      </c>
      <c r="L16" s="107" t="s">
        <v>432</v>
      </c>
      <c r="M16" s="107" t="s">
        <v>432</v>
      </c>
      <c r="N16" s="107" t="s">
        <v>432</v>
      </c>
      <c r="O16" s="83">
        <v>44</v>
      </c>
      <c r="P16" s="83">
        <v>43</v>
      </c>
      <c r="Q16" s="137" t="s">
        <v>432</v>
      </c>
      <c r="R16" s="83">
        <v>48</v>
      </c>
      <c r="S16" s="109" t="s">
        <v>2209</v>
      </c>
      <c r="T16" s="107" t="s">
        <v>432</v>
      </c>
      <c r="U16" s="83">
        <v>31</v>
      </c>
      <c r="V16" s="109" t="s">
        <v>2209</v>
      </c>
      <c r="W16" s="83">
        <v>28.95</v>
      </c>
      <c r="X16" s="83">
        <v>32.96</v>
      </c>
      <c r="Y16" s="83">
        <v>28.22</v>
      </c>
      <c r="Z16" s="83">
        <v>33.4</v>
      </c>
      <c r="AA16" s="83">
        <v>31</v>
      </c>
      <c r="AB16" s="83">
        <v>29.96</v>
      </c>
      <c r="AC16" s="83">
        <v>39.33</v>
      </c>
      <c r="AD16" s="83">
        <v>22.74</v>
      </c>
      <c r="AE16" s="107" t="s">
        <v>2208</v>
      </c>
      <c r="AF16" s="83">
        <v>17.04</v>
      </c>
      <c r="AG16" s="83" t="s">
        <v>432</v>
      </c>
      <c r="AH16" s="107" t="s">
        <v>2208</v>
      </c>
      <c r="AI16" s="83">
        <v>16</v>
      </c>
      <c r="AJ16" s="107" t="s">
        <v>2208</v>
      </c>
      <c r="AK16" s="93" t="s">
        <v>1519</v>
      </c>
      <c r="AL16" s="600" t="s">
        <v>432</v>
      </c>
      <c r="AM16" s="137" t="s">
        <v>432</v>
      </c>
      <c r="AN16" s="137" t="s">
        <v>432</v>
      </c>
      <c r="AO16" s="137" t="s">
        <v>432</v>
      </c>
      <c r="AP16" s="137" t="s">
        <v>432</v>
      </c>
      <c r="AQ16" s="137" t="s">
        <v>432</v>
      </c>
      <c r="AR16" s="137" t="s">
        <v>432</v>
      </c>
      <c r="AS16" s="137" t="s">
        <v>432</v>
      </c>
      <c r="AT16" s="137" t="s">
        <v>432</v>
      </c>
      <c r="AU16" s="137" t="s">
        <v>432</v>
      </c>
      <c r="AV16" s="137" t="s">
        <v>432</v>
      </c>
      <c r="AW16" s="137" t="s">
        <v>432</v>
      </c>
      <c r="AX16" s="137" t="s">
        <v>432</v>
      </c>
      <c r="AY16" s="137" t="s">
        <v>432</v>
      </c>
      <c r="AZ16" s="137" t="s">
        <v>432</v>
      </c>
      <c r="BA16" s="137" t="s">
        <v>432</v>
      </c>
      <c r="BB16" s="239" t="str">
        <f t="shared" si="4"/>
        <v>Avaliações em pesquisas externas de opiniãox</v>
      </c>
      <c r="BC16" s="239" t="str">
        <f t="shared" si="5"/>
        <v>Avaliações em pesquisas externas de opiniãoxx</v>
      </c>
      <c r="BD16" s="239" t="str">
        <f t="shared" si="6"/>
        <v>Avaliações em pesquisas externas de opiniãox</v>
      </c>
    </row>
    <row r="17" spans="1:56" s="3" customFormat="1" ht="57" customHeight="1" x14ac:dyDescent="0.25">
      <c r="A17" s="275" t="str">
        <f>'Q100b-totais'!$B$26</f>
        <v>3.2.1</v>
      </c>
      <c r="B17" s="252" t="str">
        <f>'Q100b-totais'!$C$26</f>
        <v>Avaliações em pesquisas externas de opinião</v>
      </c>
      <c r="C17" s="167" t="s">
        <v>432</v>
      </c>
      <c r="D17" s="323" t="s">
        <v>653</v>
      </c>
      <c r="E17" s="254" t="s">
        <v>1306</v>
      </c>
      <c r="F17" s="11" t="s">
        <v>1487</v>
      </c>
      <c r="G17" s="110" t="s">
        <v>6</v>
      </c>
      <c r="H17" s="173" t="s">
        <v>432</v>
      </c>
      <c r="I17" s="167">
        <v>1</v>
      </c>
      <c r="J17" s="107" t="s">
        <v>432</v>
      </c>
      <c r="K17" s="107" t="s">
        <v>432</v>
      </c>
      <c r="L17" s="107" t="s">
        <v>432</v>
      </c>
      <c r="M17" s="107" t="s">
        <v>432</v>
      </c>
      <c r="N17" s="107" t="s">
        <v>432</v>
      </c>
      <c r="O17" s="83">
        <v>13</v>
      </c>
      <c r="P17" s="83">
        <v>8</v>
      </c>
      <c r="Q17" s="137" t="s">
        <v>432</v>
      </c>
      <c r="R17" s="83">
        <v>2</v>
      </c>
      <c r="S17" s="109" t="s">
        <v>2209</v>
      </c>
      <c r="T17" s="107" t="s">
        <v>432</v>
      </c>
      <c r="U17" s="83">
        <v>3</v>
      </c>
      <c r="V17" s="109" t="s">
        <v>2209</v>
      </c>
      <c r="W17" s="83">
        <v>2.13</v>
      </c>
      <c r="X17" s="83">
        <v>1.41</v>
      </c>
      <c r="Y17" s="83">
        <v>3.78</v>
      </c>
      <c r="Z17" s="83">
        <v>8.3000000000000007</v>
      </c>
      <c r="AA17" s="83">
        <v>4</v>
      </c>
      <c r="AB17" s="83">
        <v>3</v>
      </c>
      <c r="AC17" s="83">
        <v>2.2200000000000002</v>
      </c>
      <c r="AD17" s="83">
        <v>1.93</v>
      </c>
      <c r="AE17" s="107" t="s">
        <v>2208</v>
      </c>
      <c r="AF17" s="83">
        <v>4.4400000000000004</v>
      </c>
      <c r="AG17" s="83" t="s">
        <v>432</v>
      </c>
      <c r="AH17" s="107" t="s">
        <v>2208</v>
      </c>
      <c r="AI17" s="83">
        <v>2</v>
      </c>
      <c r="AJ17" s="107" t="s">
        <v>2208</v>
      </c>
      <c r="AK17" s="93" t="s">
        <v>1519</v>
      </c>
      <c r="AL17" s="600" t="s">
        <v>432</v>
      </c>
      <c r="AM17" s="137" t="s">
        <v>432</v>
      </c>
      <c r="AN17" s="137" t="s">
        <v>432</v>
      </c>
      <c r="AO17" s="137" t="s">
        <v>432</v>
      </c>
      <c r="AP17" s="137" t="s">
        <v>432</v>
      </c>
      <c r="AQ17" s="137" t="s">
        <v>432</v>
      </c>
      <c r="AR17" s="137" t="s">
        <v>432</v>
      </c>
      <c r="AS17" s="137" t="s">
        <v>432</v>
      </c>
      <c r="AT17" s="137" t="s">
        <v>432</v>
      </c>
      <c r="AU17" s="137" t="s">
        <v>432</v>
      </c>
      <c r="AV17" s="137" t="s">
        <v>432</v>
      </c>
      <c r="AW17" s="137" t="s">
        <v>432</v>
      </c>
      <c r="AX17" s="137" t="s">
        <v>432</v>
      </c>
      <c r="AY17" s="137" t="s">
        <v>432</v>
      </c>
      <c r="AZ17" s="137" t="s">
        <v>432</v>
      </c>
      <c r="BA17" s="137" t="s">
        <v>432</v>
      </c>
      <c r="BB17" s="239" t="str">
        <f t="shared" si="4"/>
        <v>Avaliações em pesquisas externas de opiniãox</v>
      </c>
      <c r="BC17" s="239" t="str">
        <f t="shared" si="5"/>
        <v>Avaliações em pesquisas externas de opiniãoxx</v>
      </c>
      <c r="BD17" s="239" t="str">
        <f t="shared" si="6"/>
        <v>Avaliações em pesquisas externas de opiniãox</v>
      </c>
    </row>
    <row r="18" spans="1:56" s="3" customFormat="1" ht="110.25" customHeight="1" x14ac:dyDescent="0.25">
      <c r="A18" s="275" t="str">
        <f>'Q100b-totais'!$B$26</f>
        <v>3.2.1</v>
      </c>
      <c r="B18" s="252" t="str">
        <f>'Q100b-totais'!$C$26</f>
        <v>Avaliações em pesquisas externas de opinião</v>
      </c>
      <c r="C18" s="167" t="s">
        <v>432</v>
      </c>
      <c r="D18" s="378" t="s">
        <v>9</v>
      </c>
      <c r="E18" s="1494" t="s">
        <v>1306</v>
      </c>
      <c r="F18" s="418" t="s">
        <v>1520</v>
      </c>
      <c r="G18" s="111" t="s">
        <v>1433</v>
      </c>
      <c r="H18" s="173" t="s">
        <v>432</v>
      </c>
      <c r="I18" s="167">
        <v>1</v>
      </c>
      <c r="J18" s="107" t="s">
        <v>432</v>
      </c>
      <c r="K18" s="107" t="s">
        <v>432</v>
      </c>
      <c r="L18" s="107" t="s">
        <v>432</v>
      </c>
      <c r="M18" s="107" t="s">
        <v>432</v>
      </c>
      <c r="N18" s="107" t="s">
        <v>432</v>
      </c>
      <c r="O18" s="64">
        <f>O21+O16</f>
        <v>52</v>
      </c>
      <c r="P18" s="64">
        <f>P21+P16</f>
        <v>48</v>
      </c>
      <c r="Q18" s="137" t="s">
        <v>432</v>
      </c>
      <c r="R18" s="64">
        <f>R21+R16</f>
        <v>56</v>
      </c>
      <c r="S18" s="109" t="s">
        <v>2209</v>
      </c>
      <c r="T18" s="107" t="s">
        <v>432</v>
      </c>
      <c r="U18" s="64">
        <f>U21+U16</f>
        <v>34</v>
      </c>
      <c r="V18" s="109" t="s">
        <v>2209</v>
      </c>
      <c r="W18" s="64">
        <f t="shared" ref="W18:AD18" si="7">W21+W16</f>
        <v>32.42</v>
      </c>
      <c r="X18" s="64">
        <f t="shared" si="7"/>
        <v>37.33</v>
      </c>
      <c r="Y18" s="64">
        <f t="shared" si="7"/>
        <v>31.63</v>
      </c>
      <c r="Z18" s="64">
        <f t="shared" si="7"/>
        <v>38.4</v>
      </c>
      <c r="AA18" s="64">
        <f t="shared" si="7"/>
        <v>36</v>
      </c>
      <c r="AB18" s="64">
        <f t="shared" si="7"/>
        <v>32.53</v>
      </c>
      <c r="AC18" s="64">
        <f t="shared" si="7"/>
        <v>42.37</v>
      </c>
      <c r="AD18" s="64">
        <f t="shared" si="7"/>
        <v>25.259999999999998</v>
      </c>
      <c r="AE18" s="107" t="s">
        <v>2208</v>
      </c>
      <c r="AF18" s="64">
        <f>AF21+AF16</f>
        <v>18.89</v>
      </c>
      <c r="AG18" s="83" t="s">
        <v>432</v>
      </c>
      <c r="AH18" s="107" t="s">
        <v>2208</v>
      </c>
      <c r="AI18" s="64">
        <f>AI21+AI16</f>
        <v>17</v>
      </c>
      <c r="AJ18" s="107" t="s">
        <v>2208</v>
      </c>
      <c r="AK18" s="93" t="s">
        <v>1519</v>
      </c>
      <c r="AL18" s="600" t="s">
        <v>432</v>
      </c>
      <c r="AM18" s="137" t="s">
        <v>432</v>
      </c>
      <c r="AN18" s="137" t="s">
        <v>432</v>
      </c>
      <c r="AO18" s="137" t="s">
        <v>432</v>
      </c>
      <c r="AP18" s="137" t="s">
        <v>432</v>
      </c>
      <c r="AQ18" s="137" t="s">
        <v>432</v>
      </c>
      <c r="AR18" s="137" t="s">
        <v>432</v>
      </c>
      <c r="AS18" s="137" t="s">
        <v>432</v>
      </c>
      <c r="AT18" s="137" t="s">
        <v>432</v>
      </c>
      <c r="AU18" s="137" t="s">
        <v>432</v>
      </c>
      <c r="AV18" s="137" t="s">
        <v>432</v>
      </c>
      <c r="AW18" s="137" t="s">
        <v>432</v>
      </c>
      <c r="AX18" s="137" t="s">
        <v>432</v>
      </c>
      <c r="AY18" s="137" t="s">
        <v>432</v>
      </c>
      <c r="AZ18" s="137" t="s">
        <v>432</v>
      </c>
      <c r="BA18" s="137" t="s">
        <v>432</v>
      </c>
      <c r="BB18" s="239" t="str">
        <f t="shared" si="4"/>
        <v>Avaliações em pesquisas externas de opiniãox</v>
      </c>
      <c r="BC18" s="239" t="str">
        <f t="shared" si="5"/>
        <v>Avaliações em pesquisas externas de opiniãoxx</v>
      </c>
      <c r="BD18" s="239" t="str">
        <f t="shared" si="6"/>
        <v>Avaliações em pesquisas externas de opiniãox</v>
      </c>
    </row>
    <row r="19" spans="1:56" s="3" customFormat="1" ht="101.25" customHeight="1" x14ac:dyDescent="0.25">
      <c r="A19" s="275" t="str">
        <f>'Q100b-totais'!$B$26</f>
        <v>3.2.1</v>
      </c>
      <c r="B19" s="252" t="str">
        <f>'Q100b-totais'!$C$26</f>
        <v>Avaliações em pesquisas externas de opinião</v>
      </c>
      <c r="C19" s="167" t="s">
        <v>432</v>
      </c>
      <c r="D19" s="323" t="s">
        <v>1527</v>
      </c>
      <c r="E19" s="1491" t="s">
        <v>1306</v>
      </c>
      <c r="F19" s="11" t="s">
        <v>2280</v>
      </c>
      <c r="G19" s="110" t="s">
        <v>77</v>
      </c>
      <c r="H19" s="173" t="s">
        <v>432</v>
      </c>
      <c r="I19" s="167">
        <v>1</v>
      </c>
      <c r="J19" s="109" t="s">
        <v>432</v>
      </c>
      <c r="K19" s="109" t="s">
        <v>432</v>
      </c>
      <c r="L19" s="109" t="s">
        <v>432</v>
      </c>
      <c r="M19" s="109" t="s">
        <v>432</v>
      </c>
      <c r="N19" s="109" t="s">
        <v>432</v>
      </c>
      <c r="O19" s="109" t="s">
        <v>432</v>
      </c>
      <c r="P19" s="109" t="s">
        <v>432</v>
      </c>
      <c r="Q19" s="109" t="s">
        <v>432</v>
      </c>
      <c r="R19" s="109" t="s">
        <v>432</v>
      </c>
      <c r="S19" s="109" t="s">
        <v>2209</v>
      </c>
      <c r="T19" s="109" t="s">
        <v>432</v>
      </c>
      <c r="U19" s="109" t="s">
        <v>432</v>
      </c>
      <c r="V19" s="109" t="s">
        <v>2209</v>
      </c>
      <c r="W19" s="109" t="s">
        <v>432</v>
      </c>
      <c r="X19" s="109" t="s">
        <v>432</v>
      </c>
      <c r="Y19" s="109" t="s">
        <v>432</v>
      </c>
      <c r="Z19" s="109" t="s">
        <v>432</v>
      </c>
      <c r="AA19" s="109" t="s">
        <v>432</v>
      </c>
      <c r="AB19" s="109" t="s">
        <v>432</v>
      </c>
      <c r="AC19" s="109" t="s">
        <v>432</v>
      </c>
      <c r="AD19" s="301" t="s">
        <v>1522</v>
      </c>
      <c r="AE19" s="107" t="s">
        <v>2208</v>
      </c>
      <c r="AF19" s="301" t="s">
        <v>1523</v>
      </c>
      <c r="AG19" s="301" t="s">
        <v>1524</v>
      </c>
      <c r="AH19" s="107" t="s">
        <v>2208</v>
      </c>
      <c r="AI19" s="301" t="s">
        <v>1525</v>
      </c>
      <c r="AJ19" s="107" t="s">
        <v>2208</v>
      </c>
      <c r="AK19" s="301" t="s">
        <v>1525</v>
      </c>
      <c r="AL19" s="600" t="s">
        <v>432</v>
      </c>
      <c r="AM19" s="137" t="s">
        <v>432</v>
      </c>
      <c r="AN19" s="137" t="s">
        <v>432</v>
      </c>
      <c r="AO19" s="137" t="s">
        <v>432</v>
      </c>
      <c r="AP19" s="137" t="s">
        <v>432</v>
      </c>
      <c r="AQ19" s="137" t="s">
        <v>432</v>
      </c>
      <c r="AR19" s="137" t="s">
        <v>432</v>
      </c>
      <c r="AS19" s="137" t="s">
        <v>432</v>
      </c>
      <c r="AT19" s="137" t="s">
        <v>432</v>
      </c>
      <c r="AU19" s="137" t="s">
        <v>432</v>
      </c>
      <c r="AV19" s="137" t="s">
        <v>432</v>
      </c>
      <c r="AW19" s="137" t="s">
        <v>432</v>
      </c>
      <c r="AX19" s="137" t="s">
        <v>432</v>
      </c>
      <c r="AY19" s="137" t="s">
        <v>432</v>
      </c>
      <c r="AZ19" s="137" t="s">
        <v>432</v>
      </c>
      <c r="BA19" s="137" t="s">
        <v>432</v>
      </c>
      <c r="BB19" s="239" t="str">
        <f t="shared" si="4"/>
        <v>Avaliações em pesquisas externas de opiniãox</v>
      </c>
      <c r="BC19" s="239" t="str">
        <f t="shared" si="5"/>
        <v>Avaliações em pesquisas externas de opiniãoxx</v>
      </c>
      <c r="BD19" s="239" t="str">
        <f t="shared" si="6"/>
        <v>Avaliações em pesquisas externas de opiniãox</v>
      </c>
    </row>
    <row r="20" spans="1:56" s="3" customFormat="1" ht="62.25" customHeight="1" x14ac:dyDescent="0.25">
      <c r="A20" s="275" t="str">
        <f>'Q100b-totais'!$B$26</f>
        <v>3.2.1</v>
      </c>
      <c r="B20" s="252" t="str">
        <f>'Q100b-totais'!$C$26</f>
        <v>Avaliações em pesquisas externas de opinião</v>
      </c>
      <c r="C20" s="167" t="s">
        <v>432</v>
      </c>
      <c r="D20" s="323" t="s">
        <v>1526</v>
      </c>
      <c r="E20" s="1491" t="s">
        <v>1306</v>
      </c>
      <c r="F20" s="11" t="s">
        <v>1512</v>
      </c>
      <c r="G20" s="110" t="s">
        <v>768</v>
      </c>
      <c r="H20" s="173" t="s">
        <v>765</v>
      </c>
      <c r="I20" s="167" t="s">
        <v>432</v>
      </c>
      <c r="J20" s="109" t="s">
        <v>432</v>
      </c>
      <c r="K20" s="109" t="s">
        <v>432</v>
      </c>
      <c r="L20" s="109" t="s">
        <v>432</v>
      </c>
      <c r="M20" s="109" t="s">
        <v>432</v>
      </c>
      <c r="N20" s="109" t="s">
        <v>432</v>
      </c>
      <c r="O20" s="109" t="s">
        <v>432</v>
      </c>
      <c r="P20" s="109" t="s">
        <v>432</v>
      </c>
      <c r="Q20" s="109" t="s">
        <v>432</v>
      </c>
      <c r="R20" s="109" t="s">
        <v>432</v>
      </c>
      <c r="S20" s="109" t="s">
        <v>2209</v>
      </c>
      <c r="T20" s="109" t="s">
        <v>432</v>
      </c>
      <c r="U20" s="109" t="s">
        <v>432</v>
      </c>
      <c r="V20" s="109" t="s">
        <v>2209</v>
      </c>
      <c r="W20" s="109" t="s">
        <v>432</v>
      </c>
      <c r="X20" s="109" t="s">
        <v>432</v>
      </c>
      <c r="Y20" s="109" t="s">
        <v>432</v>
      </c>
      <c r="Z20" s="109" t="s">
        <v>432</v>
      </c>
      <c r="AA20" s="109" t="s">
        <v>432</v>
      </c>
      <c r="AB20" s="109" t="s">
        <v>432</v>
      </c>
      <c r="AC20" s="109" t="s">
        <v>432</v>
      </c>
      <c r="AD20" s="109" t="s">
        <v>432</v>
      </c>
      <c r="AE20" s="107" t="s">
        <v>2208</v>
      </c>
      <c r="AF20" s="109" t="s">
        <v>432</v>
      </c>
      <c r="AG20" s="109" t="s">
        <v>432</v>
      </c>
      <c r="AH20" s="107" t="s">
        <v>2208</v>
      </c>
      <c r="AI20" s="109" t="s">
        <v>432</v>
      </c>
      <c r="AJ20" s="107" t="s">
        <v>2208</v>
      </c>
      <c r="AK20" s="109" t="s">
        <v>432</v>
      </c>
      <c r="AL20" s="600" t="s">
        <v>432</v>
      </c>
      <c r="AM20" s="95">
        <v>0.45</v>
      </c>
      <c r="AN20" s="137" t="s">
        <v>432</v>
      </c>
      <c r="AO20" s="137" t="s">
        <v>432</v>
      </c>
      <c r="AP20" s="137" t="s">
        <v>432</v>
      </c>
      <c r="AQ20" s="95">
        <v>0.5</v>
      </c>
      <c r="AR20" s="137" t="s">
        <v>432</v>
      </c>
      <c r="AS20" s="137" t="s">
        <v>432</v>
      </c>
      <c r="AT20" s="137" t="s">
        <v>432</v>
      </c>
      <c r="AU20" s="137" t="s">
        <v>432</v>
      </c>
      <c r="AV20" s="137" t="s">
        <v>432</v>
      </c>
      <c r="AW20" s="137" t="s">
        <v>432</v>
      </c>
      <c r="AX20" s="137" t="s">
        <v>432</v>
      </c>
      <c r="AY20" s="137" t="s">
        <v>432</v>
      </c>
      <c r="AZ20" s="137" t="s">
        <v>432</v>
      </c>
      <c r="BA20" s="137" t="s">
        <v>432</v>
      </c>
      <c r="BB20" s="239" t="str">
        <f t="shared" si="4"/>
        <v>Avaliações em pesquisas externas de opiniãox</v>
      </c>
      <c r="BC20" s="239" t="str">
        <f t="shared" si="5"/>
        <v>Avaliações em pesquisas externas de opiniãoxmeta/RPI</v>
      </c>
      <c r="BD20" s="239" t="str">
        <f t="shared" si="6"/>
        <v>Avaliações em pesquisas externas de opiniãometa/RPI</v>
      </c>
    </row>
    <row r="21" spans="1:56" s="3" customFormat="1" ht="57" customHeight="1" x14ac:dyDescent="0.25">
      <c r="A21" s="275" t="str">
        <f>'Q100b-totais'!$B$26</f>
        <v>3.2.1</v>
      </c>
      <c r="B21" s="252" t="str">
        <f>'Q100b-totais'!$C$26</f>
        <v>Avaliações em pesquisas externas de opinião</v>
      </c>
      <c r="C21" s="167" t="s">
        <v>432</v>
      </c>
      <c r="D21" s="323" t="s">
        <v>10</v>
      </c>
      <c r="E21" s="1491" t="s">
        <v>1306</v>
      </c>
      <c r="F21" s="11" t="s">
        <v>1488</v>
      </c>
      <c r="G21" s="110" t="s">
        <v>11</v>
      </c>
      <c r="H21" s="173" t="s">
        <v>432</v>
      </c>
      <c r="I21" s="167">
        <v>1</v>
      </c>
      <c r="J21" s="107" t="s">
        <v>432</v>
      </c>
      <c r="K21" s="107" t="s">
        <v>432</v>
      </c>
      <c r="L21" s="107" t="s">
        <v>432</v>
      </c>
      <c r="M21" s="107" t="s">
        <v>432</v>
      </c>
      <c r="N21" s="107" t="s">
        <v>432</v>
      </c>
      <c r="O21" s="83">
        <v>8</v>
      </c>
      <c r="P21" s="83">
        <v>5</v>
      </c>
      <c r="Q21" s="137" t="s">
        <v>432</v>
      </c>
      <c r="R21" s="83">
        <v>8</v>
      </c>
      <c r="S21" s="109" t="s">
        <v>2209</v>
      </c>
      <c r="T21" s="107" t="s">
        <v>432</v>
      </c>
      <c r="U21" s="83">
        <v>3</v>
      </c>
      <c r="V21" s="109" t="s">
        <v>2209</v>
      </c>
      <c r="W21" s="83">
        <v>3.47</v>
      </c>
      <c r="X21" s="83">
        <v>4.37</v>
      </c>
      <c r="Y21" s="83">
        <v>3.41</v>
      </c>
      <c r="Z21" s="83">
        <v>5</v>
      </c>
      <c r="AA21" s="83">
        <v>5</v>
      </c>
      <c r="AB21" s="83">
        <v>2.57</v>
      </c>
      <c r="AC21" s="83">
        <v>3.04</v>
      </c>
      <c r="AD21" s="83">
        <v>2.52</v>
      </c>
      <c r="AE21" s="107" t="s">
        <v>2208</v>
      </c>
      <c r="AF21" s="83">
        <v>1.85</v>
      </c>
      <c r="AG21" s="83" t="s">
        <v>432</v>
      </c>
      <c r="AH21" s="107" t="s">
        <v>2208</v>
      </c>
      <c r="AI21" s="83">
        <v>1</v>
      </c>
      <c r="AJ21" s="107" t="s">
        <v>2208</v>
      </c>
      <c r="AK21" s="93" t="s">
        <v>1519</v>
      </c>
      <c r="AL21" s="600" t="s">
        <v>432</v>
      </c>
      <c r="AM21" s="137" t="s">
        <v>432</v>
      </c>
      <c r="AN21" s="137" t="s">
        <v>432</v>
      </c>
      <c r="AO21" s="137" t="s">
        <v>432</v>
      </c>
      <c r="AP21" s="137" t="s">
        <v>432</v>
      </c>
      <c r="AQ21" s="137" t="s">
        <v>432</v>
      </c>
      <c r="AR21" s="137" t="s">
        <v>432</v>
      </c>
      <c r="AS21" s="137" t="s">
        <v>432</v>
      </c>
      <c r="AT21" s="137" t="s">
        <v>432</v>
      </c>
      <c r="AU21" s="137" t="s">
        <v>432</v>
      </c>
      <c r="AV21" s="137" t="s">
        <v>432</v>
      </c>
      <c r="AW21" s="137" t="s">
        <v>432</v>
      </c>
      <c r="AX21" s="137" t="s">
        <v>432</v>
      </c>
      <c r="AY21" s="137" t="s">
        <v>432</v>
      </c>
      <c r="AZ21" s="137" t="s">
        <v>432</v>
      </c>
      <c r="BA21" s="137" t="s">
        <v>432</v>
      </c>
      <c r="BB21" s="239" t="str">
        <f t="shared" si="4"/>
        <v>Avaliações em pesquisas externas de opiniãox</v>
      </c>
      <c r="BC21" s="239" t="str">
        <f t="shared" si="5"/>
        <v>Avaliações em pesquisas externas de opiniãoxx</v>
      </c>
      <c r="BD21" s="239" t="str">
        <f t="shared" si="6"/>
        <v>Avaliações em pesquisas externas de opiniãox</v>
      </c>
    </row>
    <row r="22" spans="1:56" s="3" customFormat="1" ht="57" customHeight="1" x14ac:dyDescent="0.25">
      <c r="A22" s="275" t="str">
        <f>'Q100b-totais'!$B$26</f>
        <v>3.2.1</v>
      </c>
      <c r="B22" s="252" t="str">
        <f>'Q100b-totais'!$C$26</f>
        <v>Avaliações em pesquisas externas de opinião</v>
      </c>
      <c r="C22" s="167" t="s">
        <v>432</v>
      </c>
      <c r="D22" s="323" t="s">
        <v>12</v>
      </c>
      <c r="E22" s="1491" t="s">
        <v>1306</v>
      </c>
      <c r="F22" s="11" t="s">
        <v>1489</v>
      </c>
      <c r="G22" s="110" t="s">
        <v>13</v>
      </c>
      <c r="H22" s="173" t="s">
        <v>432</v>
      </c>
      <c r="I22" s="167">
        <v>1</v>
      </c>
      <c r="J22" s="107" t="s">
        <v>432</v>
      </c>
      <c r="K22" s="107" t="s">
        <v>432</v>
      </c>
      <c r="L22" s="107" t="s">
        <v>432</v>
      </c>
      <c r="M22" s="107" t="s">
        <v>432</v>
      </c>
      <c r="N22" s="107" t="s">
        <v>432</v>
      </c>
      <c r="O22" s="83">
        <v>3</v>
      </c>
      <c r="P22" s="83">
        <v>3</v>
      </c>
      <c r="Q22" s="137" t="s">
        <v>432</v>
      </c>
      <c r="R22" s="83">
        <v>2.5</v>
      </c>
      <c r="S22" s="109" t="s">
        <v>2209</v>
      </c>
      <c r="T22" s="107" t="s">
        <v>432</v>
      </c>
      <c r="U22" s="83">
        <v>6</v>
      </c>
      <c r="V22" s="109" t="s">
        <v>2209</v>
      </c>
      <c r="W22" s="83">
        <v>9.48</v>
      </c>
      <c r="X22" s="83">
        <v>6.3</v>
      </c>
      <c r="Y22" s="83">
        <v>14.07</v>
      </c>
      <c r="Z22" s="83">
        <v>8.3000000000000007</v>
      </c>
      <c r="AA22" s="83">
        <v>9</v>
      </c>
      <c r="AB22" s="83">
        <v>6.85</v>
      </c>
      <c r="AC22" s="83">
        <v>5.19</v>
      </c>
      <c r="AD22" s="83">
        <v>9.48</v>
      </c>
      <c r="AE22" s="107" t="s">
        <v>2208</v>
      </c>
      <c r="AF22" s="83">
        <v>10</v>
      </c>
      <c r="AG22" s="83" t="s">
        <v>432</v>
      </c>
      <c r="AH22" s="107" t="s">
        <v>2208</v>
      </c>
      <c r="AI22" s="83">
        <v>17</v>
      </c>
      <c r="AJ22" s="107" t="s">
        <v>2208</v>
      </c>
      <c r="AK22" s="93" t="s">
        <v>1519</v>
      </c>
      <c r="AL22" s="600" t="s">
        <v>432</v>
      </c>
      <c r="AM22" s="137" t="s">
        <v>432</v>
      </c>
      <c r="AN22" s="137" t="s">
        <v>432</v>
      </c>
      <c r="AO22" s="137" t="s">
        <v>432</v>
      </c>
      <c r="AP22" s="137" t="s">
        <v>432</v>
      </c>
      <c r="AQ22" s="137" t="s">
        <v>432</v>
      </c>
      <c r="AR22" s="137" t="s">
        <v>432</v>
      </c>
      <c r="AS22" s="137" t="s">
        <v>432</v>
      </c>
      <c r="AT22" s="137" t="s">
        <v>432</v>
      </c>
      <c r="AU22" s="137" t="s">
        <v>432</v>
      </c>
      <c r="AV22" s="137" t="s">
        <v>432</v>
      </c>
      <c r="AW22" s="137" t="s">
        <v>432</v>
      </c>
      <c r="AX22" s="137" t="s">
        <v>432</v>
      </c>
      <c r="AY22" s="137" t="s">
        <v>432</v>
      </c>
      <c r="AZ22" s="137" t="s">
        <v>432</v>
      </c>
      <c r="BA22" s="137" t="s">
        <v>432</v>
      </c>
      <c r="BB22" s="239" t="str">
        <f t="shared" si="4"/>
        <v>Avaliações em pesquisas externas de opiniãox</v>
      </c>
      <c r="BC22" s="239" t="str">
        <f t="shared" si="5"/>
        <v>Avaliações em pesquisas externas de opiniãoxx</v>
      </c>
      <c r="BD22" s="239" t="str">
        <f t="shared" si="6"/>
        <v>Avaliações em pesquisas externas de opiniãox</v>
      </c>
    </row>
    <row r="23" spans="1:56" s="3" customFormat="1" ht="57" customHeight="1" x14ac:dyDescent="0.25">
      <c r="A23" s="275" t="str">
        <f>'Q100b-totais'!$B$26</f>
        <v>3.2.1</v>
      </c>
      <c r="B23" s="252" t="str">
        <f>'Q100b-totais'!$C$26</f>
        <v>Avaliações em pesquisas externas de opinião</v>
      </c>
      <c r="C23" s="167" t="s">
        <v>432</v>
      </c>
      <c r="D23" s="378" t="s">
        <v>14</v>
      </c>
      <c r="E23" s="1494" t="s">
        <v>1306</v>
      </c>
      <c r="F23" s="418" t="s">
        <v>15</v>
      </c>
      <c r="G23" s="111" t="s">
        <v>16</v>
      </c>
      <c r="H23" s="173" t="s">
        <v>432</v>
      </c>
      <c r="I23" s="167">
        <v>1</v>
      </c>
      <c r="J23" s="107" t="s">
        <v>432</v>
      </c>
      <c r="K23" s="107" t="s">
        <v>432</v>
      </c>
      <c r="L23" s="107" t="s">
        <v>432</v>
      </c>
      <c r="M23" s="107" t="s">
        <v>432</v>
      </c>
      <c r="N23" s="107" t="s">
        <v>432</v>
      </c>
      <c r="O23" s="64">
        <f>O22+O24</f>
        <v>6</v>
      </c>
      <c r="P23" s="64">
        <f>P22+P24</f>
        <v>8</v>
      </c>
      <c r="Q23" s="137" t="s">
        <v>432</v>
      </c>
      <c r="R23" s="64">
        <f>R22+R24</f>
        <v>5</v>
      </c>
      <c r="S23" s="109" t="s">
        <v>2209</v>
      </c>
      <c r="T23" s="107" t="s">
        <v>432</v>
      </c>
      <c r="U23" s="64">
        <f>U22+U24</f>
        <v>13</v>
      </c>
      <c r="V23" s="109" t="s">
        <v>2209</v>
      </c>
      <c r="W23" s="64">
        <f>W22+W24</f>
        <v>17.850000000000001</v>
      </c>
      <c r="X23" s="64">
        <f>X22+X24</f>
        <v>13.26</v>
      </c>
      <c r="Y23" s="64">
        <f>Y22+Y24</f>
        <v>26.14</v>
      </c>
      <c r="Z23" s="64">
        <f>Z22+Z24</f>
        <v>17.100000000000001</v>
      </c>
      <c r="AA23" s="64">
        <f>AA22+AA24</f>
        <v>18</v>
      </c>
      <c r="AB23" s="83">
        <v>15.76</v>
      </c>
      <c r="AC23" s="64">
        <f>AC22+AC24</f>
        <v>14.670000000000002</v>
      </c>
      <c r="AD23" s="64">
        <f>AD22+AD24</f>
        <v>24.44</v>
      </c>
      <c r="AE23" s="107" t="s">
        <v>2208</v>
      </c>
      <c r="AF23" s="64">
        <f>AF22+AF24</f>
        <v>32.15</v>
      </c>
      <c r="AG23" s="83" t="s">
        <v>432</v>
      </c>
      <c r="AH23" s="107" t="s">
        <v>2208</v>
      </c>
      <c r="AI23" s="64">
        <f>AI22+AI24</f>
        <v>36</v>
      </c>
      <c r="AJ23" s="107" t="s">
        <v>2208</v>
      </c>
      <c r="AK23" s="93" t="s">
        <v>1519</v>
      </c>
      <c r="AL23" s="600" t="s">
        <v>432</v>
      </c>
      <c r="AM23" s="137" t="s">
        <v>432</v>
      </c>
      <c r="AN23" s="137" t="s">
        <v>432</v>
      </c>
      <c r="AO23" s="137" t="s">
        <v>432</v>
      </c>
      <c r="AP23" s="137" t="s">
        <v>432</v>
      </c>
      <c r="AQ23" s="137" t="s">
        <v>432</v>
      </c>
      <c r="AR23" s="137" t="s">
        <v>432</v>
      </c>
      <c r="AS23" s="137" t="s">
        <v>432</v>
      </c>
      <c r="AT23" s="137" t="s">
        <v>432</v>
      </c>
      <c r="AU23" s="137" t="s">
        <v>432</v>
      </c>
      <c r="AV23" s="137" t="s">
        <v>432</v>
      </c>
      <c r="AW23" s="137" t="s">
        <v>432</v>
      </c>
      <c r="AX23" s="137" t="s">
        <v>432</v>
      </c>
      <c r="AY23" s="137" t="s">
        <v>432</v>
      </c>
      <c r="AZ23" s="137" t="s">
        <v>432</v>
      </c>
      <c r="BA23" s="137" t="s">
        <v>432</v>
      </c>
      <c r="BB23" s="239" t="str">
        <f t="shared" si="4"/>
        <v>Avaliações em pesquisas externas de opiniãox</v>
      </c>
      <c r="BC23" s="239" t="str">
        <f t="shared" si="5"/>
        <v>Avaliações em pesquisas externas de opiniãoxx</v>
      </c>
      <c r="BD23" s="239" t="str">
        <f t="shared" si="6"/>
        <v>Avaliações em pesquisas externas de opiniãox</v>
      </c>
    </row>
    <row r="24" spans="1:56" s="3" customFormat="1" ht="57" customHeight="1" x14ac:dyDescent="0.25">
      <c r="A24" s="275" t="str">
        <f>'Q100b-totais'!$B$26</f>
        <v>3.2.1</v>
      </c>
      <c r="B24" s="252" t="str">
        <f>'Q100b-totais'!$C$26</f>
        <v>Avaliações em pesquisas externas de opinião</v>
      </c>
      <c r="C24" s="167" t="s">
        <v>432</v>
      </c>
      <c r="D24" s="323" t="s">
        <v>17</v>
      </c>
      <c r="E24" s="1491" t="s">
        <v>1306</v>
      </c>
      <c r="F24" s="11" t="s">
        <v>1490</v>
      </c>
      <c r="G24" s="110" t="s">
        <v>18</v>
      </c>
      <c r="H24" s="173" t="s">
        <v>432</v>
      </c>
      <c r="I24" s="167">
        <v>1</v>
      </c>
      <c r="J24" s="107" t="s">
        <v>432</v>
      </c>
      <c r="K24" s="107" t="s">
        <v>432</v>
      </c>
      <c r="L24" s="107" t="s">
        <v>432</v>
      </c>
      <c r="M24" s="107" t="s">
        <v>432</v>
      </c>
      <c r="N24" s="107" t="s">
        <v>432</v>
      </c>
      <c r="O24" s="83">
        <v>3</v>
      </c>
      <c r="P24" s="83">
        <v>5</v>
      </c>
      <c r="Q24" s="137" t="s">
        <v>432</v>
      </c>
      <c r="R24" s="83">
        <v>2.5</v>
      </c>
      <c r="S24" s="109" t="s">
        <v>2209</v>
      </c>
      <c r="T24" s="107" t="s">
        <v>432</v>
      </c>
      <c r="U24" s="83">
        <v>7</v>
      </c>
      <c r="V24" s="109" t="s">
        <v>2209</v>
      </c>
      <c r="W24" s="83">
        <v>8.3699999999999992</v>
      </c>
      <c r="X24" s="83">
        <v>6.96</v>
      </c>
      <c r="Y24" s="83">
        <v>12.07</v>
      </c>
      <c r="Z24" s="83">
        <v>8.8000000000000007</v>
      </c>
      <c r="AA24" s="83">
        <v>9</v>
      </c>
      <c r="AB24" s="83">
        <v>8.92</v>
      </c>
      <c r="AC24" s="83">
        <v>9.48</v>
      </c>
      <c r="AD24" s="83">
        <v>14.96</v>
      </c>
      <c r="AE24" s="107" t="s">
        <v>2208</v>
      </c>
      <c r="AF24" s="83">
        <v>22.15</v>
      </c>
      <c r="AG24" s="83" t="s">
        <v>432</v>
      </c>
      <c r="AH24" s="107" t="s">
        <v>2208</v>
      </c>
      <c r="AI24" s="83">
        <v>19</v>
      </c>
      <c r="AJ24" s="107" t="s">
        <v>2208</v>
      </c>
      <c r="AK24" s="93" t="s">
        <v>1519</v>
      </c>
      <c r="AL24" s="600" t="s">
        <v>432</v>
      </c>
      <c r="AM24" s="137" t="s">
        <v>432</v>
      </c>
      <c r="AN24" s="137" t="s">
        <v>432</v>
      </c>
      <c r="AO24" s="137" t="s">
        <v>432</v>
      </c>
      <c r="AP24" s="137" t="s">
        <v>432</v>
      </c>
      <c r="AQ24" s="137" t="s">
        <v>432</v>
      </c>
      <c r="AR24" s="137" t="s">
        <v>432</v>
      </c>
      <c r="AS24" s="137" t="s">
        <v>432</v>
      </c>
      <c r="AT24" s="137" t="s">
        <v>432</v>
      </c>
      <c r="AU24" s="137" t="s">
        <v>432</v>
      </c>
      <c r="AV24" s="137" t="s">
        <v>432</v>
      </c>
      <c r="AW24" s="137" t="s">
        <v>432</v>
      </c>
      <c r="AX24" s="137" t="s">
        <v>432</v>
      </c>
      <c r="AY24" s="137" t="s">
        <v>432</v>
      </c>
      <c r="AZ24" s="137" t="s">
        <v>432</v>
      </c>
      <c r="BA24" s="137" t="s">
        <v>432</v>
      </c>
      <c r="BB24" s="239" t="str">
        <f t="shared" si="4"/>
        <v>Avaliações em pesquisas externas de opiniãox</v>
      </c>
      <c r="BC24" s="239" t="str">
        <f t="shared" si="5"/>
        <v>Avaliações em pesquisas externas de opiniãoxx</v>
      </c>
      <c r="BD24" s="239" t="str">
        <f t="shared" si="6"/>
        <v>Avaliações em pesquisas externas de opiniãox</v>
      </c>
    </row>
    <row r="25" spans="1:56" s="3" customFormat="1" ht="57" customHeight="1" x14ac:dyDescent="0.25">
      <c r="A25" s="275" t="str">
        <f>'Q100b-totais'!$B$26</f>
        <v>3.2.1</v>
      </c>
      <c r="B25" s="252" t="str">
        <f>'Q100b-totais'!$C$26</f>
        <v>Avaliações em pesquisas externas de opinião</v>
      </c>
      <c r="C25" s="167" t="s">
        <v>432</v>
      </c>
      <c r="D25" s="378" t="s">
        <v>19</v>
      </c>
      <c r="E25" s="1494" t="s">
        <v>1306</v>
      </c>
      <c r="F25" s="418" t="s">
        <v>1514</v>
      </c>
      <c r="G25" s="110" t="s">
        <v>20</v>
      </c>
      <c r="H25" s="173" t="s">
        <v>432</v>
      </c>
      <c r="I25" s="167">
        <v>1</v>
      </c>
      <c r="J25" s="107" t="s">
        <v>432</v>
      </c>
      <c r="K25" s="107" t="s">
        <v>432</v>
      </c>
      <c r="L25" s="107" t="s">
        <v>432</v>
      </c>
      <c r="M25" s="107" t="s">
        <v>432</v>
      </c>
      <c r="N25" s="107" t="s">
        <v>432</v>
      </c>
      <c r="O25" s="83">
        <v>29</v>
      </c>
      <c r="P25" s="83">
        <v>36</v>
      </c>
      <c r="Q25" s="137" t="s">
        <v>432</v>
      </c>
      <c r="R25" s="83">
        <v>37</v>
      </c>
      <c r="S25" s="109" t="s">
        <v>2209</v>
      </c>
      <c r="T25" s="107" t="s">
        <v>432</v>
      </c>
      <c r="U25" s="83">
        <v>50</v>
      </c>
      <c r="V25" s="109" t="s">
        <v>2209</v>
      </c>
      <c r="W25" s="84">
        <v>47.59</v>
      </c>
      <c r="X25" s="83">
        <v>48</v>
      </c>
      <c r="Y25" s="83">
        <v>38.44</v>
      </c>
      <c r="Z25" s="83">
        <v>36.200000000000003</v>
      </c>
      <c r="AA25" s="83">
        <v>42</v>
      </c>
      <c r="AB25" s="83">
        <v>48.72</v>
      </c>
      <c r="AC25" s="83">
        <v>40.74</v>
      </c>
      <c r="AD25" s="83">
        <v>48.37</v>
      </c>
      <c r="AE25" s="107" t="s">
        <v>2208</v>
      </c>
      <c r="AF25" s="83">
        <v>44.52</v>
      </c>
      <c r="AG25" s="83" t="s">
        <v>432</v>
      </c>
      <c r="AH25" s="107" t="s">
        <v>2208</v>
      </c>
      <c r="AI25" s="83">
        <v>45</v>
      </c>
      <c r="AJ25" s="107" t="s">
        <v>2208</v>
      </c>
      <c r="AK25" s="93" t="s">
        <v>1519</v>
      </c>
      <c r="AL25" s="600" t="s">
        <v>432</v>
      </c>
      <c r="AM25" s="137" t="s">
        <v>432</v>
      </c>
      <c r="AN25" s="137" t="s">
        <v>432</v>
      </c>
      <c r="AO25" s="137" t="s">
        <v>432</v>
      </c>
      <c r="AP25" s="137" t="s">
        <v>432</v>
      </c>
      <c r="AQ25" s="137" t="s">
        <v>432</v>
      </c>
      <c r="AR25" s="137" t="s">
        <v>432</v>
      </c>
      <c r="AS25" s="137" t="s">
        <v>432</v>
      </c>
      <c r="AT25" s="137" t="s">
        <v>432</v>
      </c>
      <c r="AU25" s="137" t="s">
        <v>432</v>
      </c>
      <c r="AV25" s="137" t="s">
        <v>432</v>
      </c>
      <c r="AW25" s="137" t="s">
        <v>432</v>
      </c>
      <c r="AX25" s="137" t="s">
        <v>432</v>
      </c>
      <c r="AY25" s="137" t="s">
        <v>432</v>
      </c>
      <c r="AZ25" s="137" t="s">
        <v>432</v>
      </c>
      <c r="BA25" s="137" t="s">
        <v>432</v>
      </c>
      <c r="BB25" s="239" t="str">
        <f t="shared" si="4"/>
        <v>Avaliações em pesquisas externas de opiniãox</v>
      </c>
      <c r="BC25" s="239" t="str">
        <f t="shared" si="5"/>
        <v>Avaliações em pesquisas externas de opiniãoxx</v>
      </c>
      <c r="BD25" s="239" t="str">
        <f t="shared" si="6"/>
        <v>Avaliações em pesquisas externas de opiniãox</v>
      </c>
    </row>
    <row r="26" spans="1:56" s="3" customFormat="1" ht="15.75" customHeight="1" x14ac:dyDescent="0.25">
      <c r="A26" s="398"/>
      <c r="B26" s="399"/>
      <c r="C26" s="399"/>
      <c r="D26" s="970"/>
      <c r="E26" s="1495"/>
      <c r="F26" s="221"/>
      <c r="G26" s="399"/>
      <c r="H26" s="221"/>
      <c r="I26" s="399"/>
      <c r="J26" s="221"/>
      <c r="K26" s="221"/>
      <c r="L26" s="221"/>
      <c r="M26" s="221"/>
      <c r="N26" s="221"/>
      <c r="O26" s="403"/>
      <c r="P26" s="403"/>
      <c r="Q26" s="223"/>
      <c r="R26" s="403"/>
      <c r="S26" s="109" t="s">
        <v>2209</v>
      </c>
      <c r="T26" s="403"/>
      <c r="U26" s="403"/>
      <c r="V26" s="109" t="s">
        <v>2209</v>
      </c>
      <c r="W26" s="403"/>
      <c r="X26" s="403"/>
      <c r="Y26" s="403"/>
      <c r="Z26" s="403"/>
      <c r="AA26" s="403"/>
      <c r="AB26" s="403"/>
      <c r="AC26" s="403"/>
      <c r="AD26" s="403"/>
      <c r="AE26" s="403"/>
      <c r="AF26" s="403"/>
      <c r="AG26" s="403"/>
      <c r="AH26" s="403"/>
      <c r="AI26" s="403"/>
      <c r="AJ26" s="403"/>
      <c r="AK26" s="221"/>
      <c r="AL26" s="600" t="s">
        <v>432</v>
      </c>
      <c r="AM26" s="223"/>
      <c r="AN26" s="223"/>
      <c r="AO26" s="223"/>
      <c r="AP26" s="223"/>
      <c r="AQ26" s="223"/>
      <c r="AR26" s="223"/>
      <c r="AS26" s="223"/>
      <c r="AT26" s="223"/>
      <c r="AU26" s="223"/>
      <c r="AV26" s="223"/>
      <c r="AW26" s="137" t="s">
        <v>432</v>
      </c>
      <c r="AX26" s="223"/>
      <c r="AY26" s="223"/>
      <c r="AZ26" s="223"/>
      <c r="BA26" s="223"/>
      <c r="BB26" s="400"/>
      <c r="BC26" s="400"/>
      <c r="BD26" s="400"/>
    </row>
    <row r="27" spans="1:56" s="3" customFormat="1" ht="47.25" customHeight="1" x14ac:dyDescent="0.25">
      <c r="A27" s="262" t="s">
        <v>432</v>
      </c>
      <c r="B27" s="252" t="s">
        <v>742</v>
      </c>
      <c r="C27" s="167" t="s">
        <v>432</v>
      </c>
      <c r="D27" s="325" t="s">
        <v>21</v>
      </c>
      <c r="E27" s="1491" t="s">
        <v>1306</v>
      </c>
      <c r="F27" s="165" t="s">
        <v>880</v>
      </c>
      <c r="G27" s="167" t="s">
        <v>3879</v>
      </c>
      <c r="H27" s="168" t="s">
        <v>432</v>
      </c>
      <c r="I27" s="167" t="s">
        <v>432</v>
      </c>
      <c r="J27" s="107" t="s">
        <v>432</v>
      </c>
      <c r="K27" s="107" t="s">
        <v>432</v>
      </c>
      <c r="L27" s="107" t="s">
        <v>432</v>
      </c>
      <c r="M27" s="107" t="s">
        <v>432</v>
      </c>
      <c r="N27" s="107" t="s">
        <v>432</v>
      </c>
      <c r="O27" s="107" t="s">
        <v>432</v>
      </c>
      <c r="P27" s="107" t="s">
        <v>432</v>
      </c>
      <c r="Q27" s="107" t="s">
        <v>432</v>
      </c>
      <c r="R27" s="107" t="s">
        <v>432</v>
      </c>
      <c r="S27" s="109" t="s">
        <v>2209</v>
      </c>
      <c r="T27" s="107" t="s">
        <v>432</v>
      </c>
      <c r="U27" s="107" t="s">
        <v>432</v>
      </c>
      <c r="V27" s="109" t="s">
        <v>2209</v>
      </c>
      <c r="W27" s="107" t="s">
        <v>432</v>
      </c>
      <c r="X27" s="107" t="s">
        <v>432</v>
      </c>
      <c r="Y27" s="107" t="s">
        <v>432</v>
      </c>
      <c r="Z27" s="107" t="s">
        <v>432</v>
      </c>
      <c r="AA27" s="107" t="s">
        <v>432</v>
      </c>
      <c r="AB27" s="107" t="s">
        <v>432</v>
      </c>
      <c r="AC27" s="107" t="s">
        <v>432</v>
      </c>
      <c r="AD27" s="107" t="s">
        <v>432</v>
      </c>
      <c r="AE27" s="107" t="s">
        <v>432</v>
      </c>
      <c r="AF27" s="107" t="s">
        <v>432</v>
      </c>
      <c r="AG27" s="107" t="s">
        <v>432</v>
      </c>
      <c r="AH27" s="107" t="s">
        <v>432</v>
      </c>
      <c r="AI27" s="107" t="s">
        <v>432</v>
      </c>
      <c r="AJ27" s="107" t="s">
        <v>432</v>
      </c>
      <c r="AK27" s="137" t="s">
        <v>432</v>
      </c>
      <c r="AL27" s="600" t="s">
        <v>432</v>
      </c>
      <c r="AM27" s="137" t="s">
        <v>432</v>
      </c>
      <c r="AN27" s="137" t="s">
        <v>432</v>
      </c>
      <c r="AO27" s="137" t="s">
        <v>432</v>
      </c>
      <c r="AP27" s="137" t="s">
        <v>432</v>
      </c>
      <c r="AQ27" s="137" t="s">
        <v>432</v>
      </c>
      <c r="AR27" s="137" t="s">
        <v>432</v>
      </c>
      <c r="AS27" s="137" t="s">
        <v>432</v>
      </c>
      <c r="AT27" s="137" t="s">
        <v>432</v>
      </c>
      <c r="AU27" s="137" t="s">
        <v>432</v>
      </c>
      <c r="AV27" s="137" t="s">
        <v>432</v>
      </c>
      <c r="AW27" s="137" t="s">
        <v>432</v>
      </c>
      <c r="AX27" s="137" t="s">
        <v>432</v>
      </c>
      <c r="AY27" s="137" t="s">
        <v>432</v>
      </c>
      <c r="AZ27" s="137" t="s">
        <v>432</v>
      </c>
      <c r="BA27" s="137" t="s">
        <v>432</v>
      </c>
      <c r="BB27" s="239" t="str">
        <f t="shared" ref="BB27:BB46" si="8">B27&amp;C27</f>
        <v>geralx</v>
      </c>
      <c r="BC27" s="239" t="str">
        <f t="shared" ref="BC27:BC46" si="9">B27&amp;C27&amp;H27</f>
        <v>geralxx</v>
      </c>
      <c r="BD27" s="239" t="str">
        <f t="shared" ref="BD27:BD46" si="10">B27&amp;H27</f>
        <v>geralx</v>
      </c>
    </row>
    <row r="28" spans="1:56" s="3" customFormat="1" ht="124.5" customHeight="1" x14ac:dyDescent="0.25">
      <c r="A28" s="262" t="str">
        <f>'Q100b-totais'!B34</f>
        <v>3.9</v>
      </c>
      <c r="B28" s="252" t="str">
        <f>'Q100b-totais'!C34</f>
        <v>Verbetes gerais</v>
      </c>
      <c r="C28" s="167" t="s">
        <v>432</v>
      </c>
      <c r="D28" s="325" t="s">
        <v>2289</v>
      </c>
      <c r="E28" s="1491" t="s">
        <v>1767</v>
      </c>
      <c r="F28" s="252" t="s">
        <v>2290</v>
      </c>
      <c r="G28" s="167" t="s">
        <v>3507</v>
      </c>
      <c r="H28" s="173" t="s">
        <v>2408</v>
      </c>
      <c r="I28" s="167" t="s">
        <v>432</v>
      </c>
      <c r="J28" s="107" t="s">
        <v>432</v>
      </c>
      <c r="K28" s="107" t="s">
        <v>432</v>
      </c>
      <c r="L28" s="107" t="s">
        <v>432</v>
      </c>
      <c r="M28" s="107" t="s">
        <v>432</v>
      </c>
      <c r="N28" s="107" t="s">
        <v>432</v>
      </c>
      <c r="O28" s="107" t="s">
        <v>432</v>
      </c>
      <c r="P28" s="107" t="s">
        <v>432</v>
      </c>
      <c r="Q28" s="107" t="s">
        <v>432</v>
      </c>
      <c r="R28" s="107" t="s">
        <v>432</v>
      </c>
      <c r="S28" s="109" t="s">
        <v>2209</v>
      </c>
      <c r="T28" s="107" t="s">
        <v>432</v>
      </c>
      <c r="U28" s="107" t="s">
        <v>432</v>
      </c>
      <c r="V28" s="109" t="s">
        <v>2209</v>
      </c>
      <c r="W28" s="107" t="s">
        <v>432</v>
      </c>
      <c r="X28" s="107" t="s">
        <v>432</v>
      </c>
      <c r="Y28" s="107" t="s">
        <v>432</v>
      </c>
      <c r="Z28" s="107" t="s">
        <v>432</v>
      </c>
      <c r="AA28" s="107" t="s">
        <v>432</v>
      </c>
      <c r="AB28" s="107" t="s">
        <v>432</v>
      </c>
      <c r="AC28" s="107" t="s">
        <v>432</v>
      </c>
      <c r="AD28" s="107" t="s">
        <v>432</v>
      </c>
      <c r="AE28" s="107" t="s">
        <v>432</v>
      </c>
      <c r="AF28" s="107" t="s">
        <v>432</v>
      </c>
      <c r="AG28" s="107" t="s">
        <v>432</v>
      </c>
      <c r="AH28" s="107" t="s">
        <v>432</v>
      </c>
      <c r="AI28" s="107" t="s">
        <v>432</v>
      </c>
      <c r="AJ28" s="107" t="s">
        <v>432</v>
      </c>
      <c r="AK28" s="137" t="s">
        <v>432</v>
      </c>
      <c r="AL28" s="600" t="s">
        <v>432</v>
      </c>
      <c r="AM28" s="137" t="s">
        <v>432</v>
      </c>
      <c r="AN28" s="137" t="s">
        <v>432</v>
      </c>
      <c r="AO28" s="137" t="s">
        <v>432</v>
      </c>
      <c r="AP28" s="137" t="s">
        <v>432</v>
      </c>
      <c r="AQ28" s="137" t="s">
        <v>432</v>
      </c>
      <c r="AR28" s="137" t="s">
        <v>432</v>
      </c>
      <c r="AS28" s="137" t="s">
        <v>432</v>
      </c>
      <c r="AT28" s="137" t="s">
        <v>432</v>
      </c>
      <c r="AU28" s="137" t="s">
        <v>432</v>
      </c>
      <c r="AV28" s="137" t="s">
        <v>432</v>
      </c>
      <c r="AW28" s="137" t="s">
        <v>432</v>
      </c>
      <c r="AX28" s="137" t="s">
        <v>432</v>
      </c>
      <c r="AY28" s="137" t="s">
        <v>432</v>
      </c>
      <c r="AZ28" s="137" t="s">
        <v>432</v>
      </c>
      <c r="BA28" s="137" t="s">
        <v>432</v>
      </c>
      <c r="BB28" s="239" t="str">
        <f t="shared" si="8"/>
        <v>Verbetes geraisx</v>
      </c>
      <c r="BC28" s="239" t="str">
        <f t="shared" si="9"/>
        <v>Verbetes geraisxsigla/verbete</v>
      </c>
      <c r="BD28" s="239" t="str">
        <f t="shared" si="10"/>
        <v>Verbetes geraissigla/verbete</v>
      </c>
    </row>
    <row r="29" spans="1:56" s="3" customFormat="1" ht="90" customHeight="1" x14ac:dyDescent="0.25">
      <c r="A29" s="275" t="str">
        <f>'Q100b-totais'!$B$26</f>
        <v>3.2.1</v>
      </c>
      <c r="B29" s="252" t="str">
        <f>'Q100b-totais'!$C$26</f>
        <v>Avaliações em pesquisas externas de opinião</v>
      </c>
      <c r="C29" s="167" t="s">
        <v>432</v>
      </c>
      <c r="D29" s="324" t="s">
        <v>22</v>
      </c>
      <c r="E29" s="1491" t="s">
        <v>1306</v>
      </c>
      <c r="F29" s="11" t="s">
        <v>23</v>
      </c>
      <c r="G29" s="111" t="s">
        <v>669</v>
      </c>
      <c r="H29" s="173" t="s">
        <v>432</v>
      </c>
      <c r="I29" s="167">
        <v>1</v>
      </c>
      <c r="J29" s="107" t="s">
        <v>432</v>
      </c>
      <c r="K29" s="107" t="s">
        <v>432</v>
      </c>
      <c r="L29" s="107" t="s">
        <v>432</v>
      </c>
      <c r="M29" s="107" t="s">
        <v>432</v>
      </c>
      <c r="N29" s="107" t="s">
        <v>432</v>
      </c>
      <c r="O29" s="107" t="s">
        <v>432</v>
      </c>
      <c r="P29" s="64">
        <f>((P33*5)+(P30*4)+(P37*3)+(P36*2)+(P34*1))/(100-P31)</f>
        <v>3.3829787234042552</v>
      </c>
      <c r="Q29" s="107" t="s">
        <v>432</v>
      </c>
      <c r="R29" s="64">
        <f>((R33*5)+(R30*4)+(R37*3)+(R36*2)+(R34*1))/(100-R31)</f>
        <v>3.5670103092783507</v>
      </c>
      <c r="S29" s="109" t="s">
        <v>2209</v>
      </c>
      <c r="T29" s="107" t="s">
        <v>432</v>
      </c>
      <c r="U29" s="64">
        <f>((U33*5)+(U30*4)+(U37*3)+(U36*2)+(U34*1))/(100-U31)</f>
        <v>3.1770833333333335</v>
      </c>
      <c r="V29" s="109" t="s">
        <v>2209</v>
      </c>
      <c r="W29" s="64">
        <f t="shared" ref="W29:AD29" si="11">((W33*5)+(W30*4)+(W37*3)+(W36*2)+(W34*1))/(100-W31)</f>
        <v>3.0865907458705237</v>
      </c>
      <c r="X29" s="64">
        <f t="shared" si="11"/>
        <v>3.2048241613459001</v>
      </c>
      <c r="Y29" s="64">
        <f t="shared" si="11"/>
        <v>2.7954758678202856</v>
      </c>
      <c r="Z29" s="64">
        <f t="shared" si="11"/>
        <v>3.0465142344765748</v>
      </c>
      <c r="AA29" s="64">
        <f t="shared" si="11"/>
        <v>3.125</v>
      </c>
      <c r="AB29" s="64">
        <f t="shared" si="11"/>
        <v>3.1435257410296411</v>
      </c>
      <c r="AC29" s="64">
        <f t="shared" si="11"/>
        <v>3.1813520301381337</v>
      </c>
      <c r="AD29" s="64">
        <f t="shared" si="11"/>
        <v>2.8640605557859806</v>
      </c>
      <c r="AE29" s="107" t="s">
        <v>2208</v>
      </c>
      <c r="AF29" s="64">
        <f>((AF33*5)+(AF30*4)+(AF37*3)+(AF36*2)+(AF34*1))/(100-AF31)</f>
        <v>2.782460489618841</v>
      </c>
      <c r="AG29" s="64">
        <f>((AG33*5)+(AG30*4)+(AG37*3)+(AG36*2)+(AG34*1))/(100-AG31)</f>
        <v>3.1062186978297164</v>
      </c>
      <c r="AH29" s="107" t="s">
        <v>2208</v>
      </c>
      <c r="AI29" s="81">
        <f>((AI33*5)+(AI30*4)+(AI37*3)+(AI36*2)+(AI34*1))/(100-AI31)</f>
        <v>2.268041237113402</v>
      </c>
      <c r="AJ29" s="107" t="s">
        <v>2208</v>
      </c>
      <c r="AK29" s="422" t="s">
        <v>1521</v>
      </c>
      <c r="AL29" s="600" t="s">
        <v>432</v>
      </c>
      <c r="AM29" s="137" t="s">
        <v>432</v>
      </c>
      <c r="AN29" s="137" t="s">
        <v>432</v>
      </c>
      <c r="AO29" s="137" t="s">
        <v>432</v>
      </c>
      <c r="AP29" s="137" t="s">
        <v>432</v>
      </c>
      <c r="AQ29" s="137" t="s">
        <v>432</v>
      </c>
      <c r="AR29" s="137" t="s">
        <v>432</v>
      </c>
      <c r="AS29" s="137" t="s">
        <v>432</v>
      </c>
      <c r="AT29" s="137" t="s">
        <v>432</v>
      </c>
      <c r="AU29" s="137" t="s">
        <v>432</v>
      </c>
      <c r="AV29" s="137" t="s">
        <v>432</v>
      </c>
      <c r="AW29" s="137" t="s">
        <v>432</v>
      </c>
      <c r="AX29" s="137" t="s">
        <v>432</v>
      </c>
      <c r="AY29" s="137" t="s">
        <v>432</v>
      </c>
      <c r="AZ29" s="137" t="s">
        <v>432</v>
      </c>
      <c r="BA29" s="137" t="s">
        <v>432</v>
      </c>
      <c r="BB29" s="239" t="str">
        <f t="shared" si="8"/>
        <v>Avaliações em pesquisas externas de opiniãox</v>
      </c>
      <c r="BC29" s="239" t="str">
        <f t="shared" si="9"/>
        <v>Avaliações em pesquisas externas de opiniãoxx</v>
      </c>
      <c r="BD29" s="239" t="str">
        <f t="shared" si="10"/>
        <v>Avaliações em pesquisas externas de opiniãox</v>
      </c>
    </row>
    <row r="30" spans="1:56" s="3" customFormat="1" ht="51" customHeight="1" x14ac:dyDescent="0.25">
      <c r="A30" s="275" t="str">
        <f>'Q100b-totais'!$B$26</f>
        <v>3.2.1</v>
      </c>
      <c r="B30" s="252" t="str">
        <f>'Q100b-totais'!$C$26</f>
        <v>Avaliações em pesquisas externas de opinião</v>
      </c>
      <c r="C30" s="167" t="s">
        <v>432</v>
      </c>
      <c r="D30" s="323" t="s">
        <v>24</v>
      </c>
      <c r="E30" s="1491" t="s">
        <v>1306</v>
      </c>
      <c r="F30" s="11" t="s">
        <v>1491</v>
      </c>
      <c r="G30" s="110" t="s">
        <v>8</v>
      </c>
      <c r="H30" s="173" t="s">
        <v>432</v>
      </c>
      <c r="I30" s="167">
        <v>1</v>
      </c>
      <c r="J30" s="107" t="s">
        <v>432</v>
      </c>
      <c r="K30" s="107" t="s">
        <v>432</v>
      </c>
      <c r="L30" s="107" t="s">
        <v>432</v>
      </c>
      <c r="M30" s="107" t="s">
        <v>432</v>
      </c>
      <c r="N30" s="107" t="s">
        <v>432</v>
      </c>
      <c r="O30" s="107" t="s">
        <v>432</v>
      </c>
      <c r="P30" s="83">
        <v>45</v>
      </c>
      <c r="Q30" s="107" t="s">
        <v>432</v>
      </c>
      <c r="R30" s="83">
        <v>49</v>
      </c>
      <c r="S30" s="109" t="s">
        <v>2209</v>
      </c>
      <c r="T30" s="107" t="s">
        <v>432</v>
      </c>
      <c r="U30" s="83">
        <v>32</v>
      </c>
      <c r="V30" s="109" t="s">
        <v>2209</v>
      </c>
      <c r="W30" s="83">
        <v>30.44</v>
      </c>
      <c r="X30" s="83">
        <v>32</v>
      </c>
      <c r="Y30" s="83">
        <v>25.56</v>
      </c>
      <c r="Z30" s="83">
        <v>30.51</v>
      </c>
      <c r="AA30" s="83">
        <v>33</v>
      </c>
      <c r="AB30" s="83">
        <v>31.31</v>
      </c>
      <c r="AC30" s="83">
        <v>33.630000000000003</v>
      </c>
      <c r="AD30" s="83">
        <v>21.04</v>
      </c>
      <c r="AE30" s="107" t="s">
        <v>2208</v>
      </c>
      <c r="AF30" s="83">
        <v>18.37</v>
      </c>
      <c r="AG30" s="83">
        <v>23.11</v>
      </c>
      <c r="AH30" s="107" t="s">
        <v>2208</v>
      </c>
      <c r="AI30" s="83">
        <v>12</v>
      </c>
      <c r="AJ30" s="107" t="s">
        <v>2208</v>
      </c>
      <c r="AK30" s="422" t="s">
        <v>1521</v>
      </c>
      <c r="AL30" s="600" t="s">
        <v>432</v>
      </c>
      <c r="AM30" s="137" t="s">
        <v>432</v>
      </c>
      <c r="AN30" s="137" t="s">
        <v>432</v>
      </c>
      <c r="AO30" s="137" t="s">
        <v>432</v>
      </c>
      <c r="AP30" s="137" t="s">
        <v>432</v>
      </c>
      <c r="AQ30" s="137" t="s">
        <v>432</v>
      </c>
      <c r="AR30" s="137" t="s">
        <v>432</v>
      </c>
      <c r="AS30" s="137" t="s">
        <v>432</v>
      </c>
      <c r="AT30" s="137" t="s">
        <v>432</v>
      </c>
      <c r="AU30" s="137" t="s">
        <v>432</v>
      </c>
      <c r="AV30" s="137" t="s">
        <v>432</v>
      </c>
      <c r="AW30" s="137" t="s">
        <v>432</v>
      </c>
      <c r="AX30" s="137" t="s">
        <v>432</v>
      </c>
      <c r="AY30" s="137" t="s">
        <v>432</v>
      </c>
      <c r="AZ30" s="137" t="s">
        <v>432</v>
      </c>
      <c r="BA30" s="137" t="s">
        <v>432</v>
      </c>
      <c r="BB30" s="239" t="str">
        <f t="shared" si="8"/>
        <v>Avaliações em pesquisas externas de opiniãox</v>
      </c>
      <c r="BC30" s="239" t="str">
        <f t="shared" si="9"/>
        <v>Avaliações em pesquisas externas de opiniãoxx</v>
      </c>
      <c r="BD30" s="239" t="str">
        <f t="shared" si="10"/>
        <v>Avaliações em pesquisas externas de opiniãox</v>
      </c>
    </row>
    <row r="31" spans="1:56" s="3" customFormat="1" ht="51" customHeight="1" x14ac:dyDescent="0.25">
      <c r="A31" s="275" t="str">
        <f>'Q100b-totais'!$B$26</f>
        <v>3.2.1</v>
      </c>
      <c r="B31" s="252" t="str">
        <f>'Q100b-totais'!$C$26</f>
        <v>Avaliações em pesquisas externas de opinião</v>
      </c>
      <c r="C31" s="167" t="s">
        <v>432</v>
      </c>
      <c r="D31" s="323" t="s">
        <v>25</v>
      </c>
      <c r="E31" s="1491" t="s">
        <v>1306</v>
      </c>
      <c r="F31" s="11" t="s">
        <v>1492</v>
      </c>
      <c r="G31" s="110" t="s">
        <v>6</v>
      </c>
      <c r="H31" s="173" t="s">
        <v>432</v>
      </c>
      <c r="I31" s="167">
        <v>1</v>
      </c>
      <c r="J31" s="107" t="s">
        <v>432</v>
      </c>
      <c r="K31" s="107" t="s">
        <v>432</v>
      </c>
      <c r="L31" s="107" t="s">
        <v>432</v>
      </c>
      <c r="M31" s="107" t="s">
        <v>432</v>
      </c>
      <c r="N31" s="107" t="s">
        <v>432</v>
      </c>
      <c r="O31" s="107" t="s">
        <v>432</v>
      </c>
      <c r="P31" s="83">
        <v>6</v>
      </c>
      <c r="Q31" s="107" t="s">
        <v>432</v>
      </c>
      <c r="R31" s="83">
        <v>3</v>
      </c>
      <c r="S31" s="109" t="s">
        <v>2209</v>
      </c>
      <c r="T31" s="107" t="s">
        <v>432</v>
      </c>
      <c r="U31" s="83">
        <v>4</v>
      </c>
      <c r="V31" s="109" t="s">
        <v>2209</v>
      </c>
      <c r="W31" s="83">
        <v>2.5299999999999998</v>
      </c>
      <c r="X31" s="83">
        <v>1.33</v>
      </c>
      <c r="Y31" s="83">
        <v>4.07</v>
      </c>
      <c r="Z31" s="83">
        <v>10.78</v>
      </c>
      <c r="AA31" s="83">
        <v>4</v>
      </c>
      <c r="AB31" s="83">
        <v>3.85</v>
      </c>
      <c r="AC31" s="83">
        <v>4.4400000000000004</v>
      </c>
      <c r="AD31" s="83">
        <v>3.56</v>
      </c>
      <c r="AE31" s="107" t="s">
        <v>2208</v>
      </c>
      <c r="AF31" s="83">
        <v>3.19</v>
      </c>
      <c r="AG31" s="83">
        <v>4.16</v>
      </c>
      <c r="AH31" s="107" t="s">
        <v>2208</v>
      </c>
      <c r="AI31" s="83">
        <v>3</v>
      </c>
      <c r="AJ31" s="107" t="s">
        <v>2208</v>
      </c>
      <c r="AK31" s="422" t="s">
        <v>1521</v>
      </c>
      <c r="AL31" s="600" t="s">
        <v>432</v>
      </c>
      <c r="AM31" s="137" t="s">
        <v>432</v>
      </c>
      <c r="AN31" s="137" t="s">
        <v>432</v>
      </c>
      <c r="AO31" s="137" t="s">
        <v>432</v>
      </c>
      <c r="AP31" s="137" t="s">
        <v>432</v>
      </c>
      <c r="AQ31" s="137" t="s">
        <v>432</v>
      </c>
      <c r="AR31" s="137" t="s">
        <v>432</v>
      </c>
      <c r="AS31" s="137" t="s">
        <v>432</v>
      </c>
      <c r="AT31" s="137" t="s">
        <v>432</v>
      </c>
      <c r="AU31" s="137" t="s">
        <v>432</v>
      </c>
      <c r="AV31" s="137" t="s">
        <v>432</v>
      </c>
      <c r="AW31" s="137" t="s">
        <v>432</v>
      </c>
      <c r="AX31" s="137" t="s">
        <v>432</v>
      </c>
      <c r="AY31" s="137" t="s">
        <v>432</v>
      </c>
      <c r="AZ31" s="137" t="s">
        <v>432</v>
      </c>
      <c r="BA31" s="137" t="s">
        <v>432</v>
      </c>
      <c r="BB31" s="239" t="str">
        <f t="shared" si="8"/>
        <v>Avaliações em pesquisas externas de opiniãox</v>
      </c>
      <c r="BC31" s="239" t="str">
        <f t="shared" si="9"/>
        <v>Avaliações em pesquisas externas de opiniãoxx</v>
      </c>
      <c r="BD31" s="239" t="str">
        <f t="shared" si="10"/>
        <v>Avaliações em pesquisas externas de opiniãox</v>
      </c>
    </row>
    <row r="32" spans="1:56" s="3" customFormat="1" ht="51" customHeight="1" x14ac:dyDescent="0.25">
      <c r="A32" s="275" t="str">
        <f>'Q100b-totais'!$B$26</f>
        <v>3.2.1</v>
      </c>
      <c r="B32" s="252" t="str">
        <f>'Q100b-totais'!$C$26</f>
        <v>Avaliações em pesquisas externas de opinião</v>
      </c>
      <c r="C32" s="167" t="s">
        <v>432</v>
      </c>
      <c r="D32" s="323" t="s">
        <v>26</v>
      </c>
      <c r="E32" s="1491" t="s">
        <v>1306</v>
      </c>
      <c r="F32" s="11" t="s">
        <v>27</v>
      </c>
      <c r="G32" s="111" t="s">
        <v>28</v>
      </c>
      <c r="H32" s="173" t="s">
        <v>432</v>
      </c>
      <c r="I32" s="167">
        <v>1</v>
      </c>
      <c r="J32" s="107" t="s">
        <v>432</v>
      </c>
      <c r="K32" s="107" t="s">
        <v>432</v>
      </c>
      <c r="L32" s="107" t="s">
        <v>432</v>
      </c>
      <c r="M32" s="107" t="s">
        <v>432</v>
      </c>
      <c r="N32" s="107" t="s">
        <v>432</v>
      </c>
      <c r="O32" s="107" t="s">
        <v>432</v>
      </c>
      <c r="P32" s="64">
        <f>P30+P33</f>
        <v>49</v>
      </c>
      <c r="Q32" s="107" t="s">
        <v>432</v>
      </c>
      <c r="R32" s="64">
        <f>R33+R30</f>
        <v>57</v>
      </c>
      <c r="S32" s="109" t="s">
        <v>2209</v>
      </c>
      <c r="T32" s="107" t="s">
        <v>432</v>
      </c>
      <c r="U32" s="64">
        <f>U33+U30</f>
        <v>36</v>
      </c>
      <c r="V32" s="109" t="s">
        <v>2209</v>
      </c>
      <c r="W32" s="64">
        <f t="shared" ref="W32:AD32" si="12">W33+W30</f>
        <v>33.450000000000003</v>
      </c>
      <c r="X32" s="64">
        <f t="shared" si="12"/>
        <v>36.519999999999996</v>
      </c>
      <c r="Y32" s="64">
        <f t="shared" si="12"/>
        <v>27.709999999999997</v>
      </c>
      <c r="Z32" s="64">
        <f t="shared" si="12"/>
        <v>33.5</v>
      </c>
      <c r="AA32" s="64">
        <f t="shared" si="12"/>
        <v>37</v>
      </c>
      <c r="AB32" s="64">
        <f t="shared" si="12"/>
        <v>34.159999999999997</v>
      </c>
      <c r="AC32" s="64">
        <f t="shared" si="12"/>
        <v>37.260000000000005</v>
      </c>
      <c r="AD32" s="64">
        <f t="shared" si="12"/>
        <v>22.89</v>
      </c>
      <c r="AE32" s="107" t="s">
        <v>2208</v>
      </c>
      <c r="AF32" s="64">
        <f>AF33+AF30</f>
        <v>19.700000000000003</v>
      </c>
      <c r="AG32" s="64">
        <f>AG33+AG30</f>
        <v>31.42</v>
      </c>
      <c r="AH32" s="107" t="s">
        <v>2208</v>
      </c>
      <c r="AI32" s="64">
        <f>AI30+AI33</f>
        <v>13</v>
      </c>
      <c r="AJ32" s="107" t="s">
        <v>2208</v>
      </c>
      <c r="AK32" s="422" t="s">
        <v>1521</v>
      </c>
      <c r="AL32" s="600" t="s">
        <v>432</v>
      </c>
      <c r="AM32" s="137" t="s">
        <v>432</v>
      </c>
      <c r="AN32" s="137" t="s">
        <v>432</v>
      </c>
      <c r="AO32" s="137" t="s">
        <v>432</v>
      </c>
      <c r="AP32" s="137" t="s">
        <v>432</v>
      </c>
      <c r="AQ32" s="137" t="s">
        <v>432</v>
      </c>
      <c r="AR32" s="137" t="s">
        <v>432</v>
      </c>
      <c r="AS32" s="137" t="s">
        <v>432</v>
      </c>
      <c r="AT32" s="137" t="s">
        <v>432</v>
      </c>
      <c r="AU32" s="137" t="s">
        <v>432</v>
      </c>
      <c r="AV32" s="137" t="s">
        <v>432</v>
      </c>
      <c r="AW32" s="137" t="s">
        <v>432</v>
      </c>
      <c r="AX32" s="137" t="s">
        <v>432</v>
      </c>
      <c r="AY32" s="137" t="s">
        <v>432</v>
      </c>
      <c r="AZ32" s="137" t="s">
        <v>432</v>
      </c>
      <c r="BA32" s="137" t="s">
        <v>432</v>
      </c>
      <c r="BB32" s="239" t="str">
        <f t="shared" si="8"/>
        <v>Avaliações em pesquisas externas de opiniãox</v>
      </c>
      <c r="BC32" s="239" t="str">
        <f t="shared" si="9"/>
        <v>Avaliações em pesquisas externas de opiniãoxx</v>
      </c>
      <c r="BD32" s="239" t="str">
        <f t="shared" si="10"/>
        <v>Avaliações em pesquisas externas de opiniãox</v>
      </c>
    </row>
    <row r="33" spans="1:56" s="3" customFormat="1" ht="51" customHeight="1" x14ac:dyDescent="0.25">
      <c r="A33" s="275" t="str">
        <f>'Q100b-totais'!$B$26</f>
        <v>3.2.1</v>
      </c>
      <c r="B33" s="252" t="str">
        <f>'Q100b-totais'!$C$26</f>
        <v>Avaliações em pesquisas externas de opinião</v>
      </c>
      <c r="C33" s="167" t="s">
        <v>432</v>
      </c>
      <c r="D33" s="323" t="s">
        <v>29</v>
      </c>
      <c r="E33" s="1491" t="s">
        <v>1306</v>
      </c>
      <c r="F33" s="11" t="s">
        <v>1493</v>
      </c>
      <c r="G33" s="110" t="s">
        <v>11</v>
      </c>
      <c r="H33" s="173" t="s">
        <v>432</v>
      </c>
      <c r="I33" s="167">
        <v>1</v>
      </c>
      <c r="J33" s="107" t="s">
        <v>432</v>
      </c>
      <c r="K33" s="107" t="s">
        <v>432</v>
      </c>
      <c r="L33" s="107" t="s">
        <v>432</v>
      </c>
      <c r="M33" s="107" t="s">
        <v>432</v>
      </c>
      <c r="N33" s="107" t="s">
        <v>432</v>
      </c>
      <c r="O33" s="107" t="s">
        <v>432</v>
      </c>
      <c r="P33" s="83">
        <v>4</v>
      </c>
      <c r="Q33" s="107" t="s">
        <v>432</v>
      </c>
      <c r="R33" s="83">
        <v>8</v>
      </c>
      <c r="S33" s="109" t="s">
        <v>2209</v>
      </c>
      <c r="T33" s="107" t="s">
        <v>432</v>
      </c>
      <c r="U33" s="83">
        <v>4</v>
      </c>
      <c r="V33" s="109" t="s">
        <v>2209</v>
      </c>
      <c r="W33" s="83">
        <v>3.01</v>
      </c>
      <c r="X33" s="83">
        <v>4.5199999999999996</v>
      </c>
      <c r="Y33" s="83">
        <v>2.15</v>
      </c>
      <c r="Z33" s="83">
        <v>2.99</v>
      </c>
      <c r="AA33" s="83">
        <v>4</v>
      </c>
      <c r="AB33" s="83">
        <v>2.85</v>
      </c>
      <c r="AC33" s="83">
        <v>3.63</v>
      </c>
      <c r="AD33" s="83">
        <v>1.85</v>
      </c>
      <c r="AE33" s="107" t="s">
        <v>2208</v>
      </c>
      <c r="AF33" s="83">
        <v>1.33</v>
      </c>
      <c r="AG33" s="83">
        <v>8.31</v>
      </c>
      <c r="AH33" s="107" t="s">
        <v>2208</v>
      </c>
      <c r="AI33" s="83">
        <v>1</v>
      </c>
      <c r="AJ33" s="107" t="s">
        <v>2208</v>
      </c>
      <c r="AK33" s="422" t="s">
        <v>1521</v>
      </c>
      <c r="AL33" s="600" t="s">
        <v>432</v>
      </c>
      <c r="AM33" s="137" t="s">
        <v>432</v>
      </c>
      <c r="AN33" s="137" t="s">
        <v>432</v>
      </c>
      <c r="AO33" s="137" t="s">
        <v>432</v>
      </c>
      <c r="AP33" s="137" t="s">
        <v>432</v>
      </c>
      <c r="AQ33" s="137" t="s">
        <v>432</v>
      </c>
      <c r="AR33" s="137" t="s">
        <v>432</v>
      </c>
      <c r="AS33" s="137" t="s">
        <v>432</v>
      </c>
      <c r="AT33" s="137" t="s">
        <v>432</v>
      </c>
      <c r="AU33" s="137" t="s">
        <v>432</v>
      </c>
      <c r="AV33" s="137" t="s">
        <v>432</v>
      </c>
      <c r="AW33" s="137" t="s">
        <v>432</v>
      </c>
      <c r="AX33" s="137" t="s">
        <v>432</v>
      </c>
      <c r="AY33" s="137" t="s">
        <v>432</v>
      </c>
      <c r="AZ33" s="137" t="s">
        <v>432</v>
      </c>
      <c r="BA33" s="137" t="s">
        <v>432</v>
      </c>
      <c r="BB33" s="239" t="str">
        <f t="shared" si="8"/>
        <v>Avaliações em pesquisas externas de opiniãox</v>
      </c>
      <c r="BC33" s="239" t="str">
        <f t="shared" si="9"/>
        <v>Avaliações em pesquisas externas de opiniãoxx</v>
      </c>
      <c r="BD33" s="239" t="str">
        <f t="shared" si="10"/>
        <v>Avaliações em pesquisas externas de opiniãox</v>
      </c>
    </row>
    <row r="34" spans="1:56" s="3" customFormat="1" ht="47.25" customHeight="1" x14ac:dyDescent="0.25">
      <c r="A34" s="275" t="str">
        <f>'Q100b-totais'!$B$26</f>
        <v>3.2.1</v>
      </c>
      <c r="B34" s="252" t="str">
        <f>'Q100b-totais'!$C$26</f>
        <v>Avaliações em pesquisas externas de opinião</v>
      </c>
      <c r="C34" s="167" t="s">
        <v>432</v>
      </c>
      <c r="D34" s="323" t="s">
        <v>30</v>
      </c>
      <c r="E34" s="1491" t="s">
        <v>1306</v>
      </c>
      <c r="F34" s="11" t="s">
        <v>1494</v>
      </c>
      <c r="G34" s="110" t="s">
        <v>13</v>
      </c>
      <c r="H34" s="173" t="s">
        <v>432</v>
      </c>
      <c r="I34" s="167">
        <v>1</v>
      </c>
      <c r="J34" s="107" t="s">
        <v>432</v>
      </c>
      <c r="K34" s="107" t="s">
        <v>432</v>
      </c>
      <c r="L34" s="107" t="s">
        <v>432</v>
      </c>
      <c r="M34" s="107" t="s">
        <v>432</v>
      </c>
      <c r="N34" s="107" t="s">
        <v>432</v>
      </c>
      <c r="O34" s="107" t="s">
        <v>432</v>
      </c>
      <c r="P34" s="83">
        <v>6</v>
      </c>
      <c r="Q34" s="107" t="s">
        <v>432</v>
      </c>
      <c r="R34" s="83">
        <v>3</v>
      </c>
      <c r="S34" s="109" t="s">
        <v>2209</v>
      </c>
      <c r="T34" s="107" t="s">
        <v>432</v>
      </c>
      <c r="U34" s="83">
        <v>7</v>
      </c>
      <c r="V34" s="109" t="s">
        <v>2209</v>
      </c>
      <c r="W34" s="83">
        <v>9.49</v>
      </c>
      <c r="X34" s="83">
        <v>7.41</v>
      </c>
      <c r="Y34" s="83">
        <v>16.96</v>
      </c>
      <c r="Z34" s="83">
        <v>9.2899999999999991</v>
      </c>
      <c r="AA34" s="83">
        <v>9</v>
      </c>
      <c r="AB34" s="83">
        <v>6.99</v>
      </c>
      <c r="AC34" s="83">
        <v>6.3</v>
      </c>
      <c r="AD34" s="83">
        <v>11.63</v>
      </c>
      <c r="AE34" s="107" t="s">
        <v>2208</v>
      </c>
      <c r="AF34" s="83">
        <v>10.81</v>
      </c>
      <c r="AG34" s="83">
        <v>8.7899999999999991</v>
      </c>
      <c r="AH34" s="107" t="s">
        <v>2208</v>
      </c>
      <c r="AI34" s="83">
        <v>31</v>
      </c>
      <c r="AJ34" s="107" t="s">
        <v>2208</v>
      </c>
      <c r="AK34" s="422" t="s">
        <v>1521</v>
      </c>
      <c r="AL34" s="600" t="s">
        <v>432</v>
      </c>
      <c r="AM34" s="137" t="s">
        <v>432</v>
      </c>
      <c r="AN34" s="137" t="s">
        <v>432</v>
      </c>
      <c r="AO34" s="137" t="s">
        <v>432</v>
      </c>
      <c r="AP34" s="137" t="s">
        <v>432</v>
      </c>
      <c r="AQ34" s="137" t="s">
        <v>432</v>
      </c>
      <c r="AR34" s="137" t="s">
        <v>432</v>
      </c>
      <c r="AS34" s="137" t="s">
        <v>432</v>
      </c>
      <c r="AT34" s="137" t="s">
        <v>432</v>
      </c>
      <c r="AU34" s="137" t="s">
        <v>432</v>
      </c>
      <c r="AV34" s="137" t="s">
        <v>432</v>
      </c>
      <c r="AW34" s="137" t="s">
        <v>432</v>
      </c>
      <c r="AX34" s="137" t="s">
        <v>432</v>
      </c>
      <c r="AY34" s="137" t="s">
        <v>432</v>
      </c>
      <c r="AZ34" s="137" t="s">
        <v>432</v>
      </c>
      <c r="BA34" s="137" t="s">
        <v>432</v>
      </c>
      <c r="BB34" s="239" t="str">
        <f t="shared" si="8"/>
        <v>Avaliações em pesquisas externas de opiniãox</v>
      </c>
      <c r="BC34" s="239" t="str">
        <f t="shared" si="9"/>
        <v>Avaliações em pesquisas externas de opiniãoxx</v>
      </c>
      <c r="BD34" s="239" t="str">
        <f t="shared" si="10"/>
        <v>Avaliações em pesquisas externas de opiniãox</v>
      </c>
    </row>
    <row r="35" spans="1:56" s="3" customFormat="1" ht="47.25" customHeight="1" x14ac:dyDescent="0.25">
      <c r="A35" s="275" t="str">
        <f>'Q100b-totais'!$B$26</f>
        <v>3.2.1</v>
      </c>
      <c r="B35" s="252" t="str">
        <f>'Q100b-totais'!$C$26</f>
        <v>Avaliações em pesquisas externas de opinião</v>
      </c>
      <c r="C35" s="167" t="s">
        <v>432</v>
      </c>
      <c r="D35" s="323" t="s">
        <v>31</v>
      </c>
      <c r="E35" s="1491" t="s">
        <v>1306</v>
      </c>
      <c r="F35" s="11" t="s">
        <v>32</v>
      </c>
      <c r="G35" s="111" t="s">
        <v>33</v>
      </c>
      <c r="H35" s="173" t="s">
        <v>432</v>
      </c>
      <c r="I35" s="167">
        <v>1</v>
      </c>
      <c r="J35" s="107" t="s">
        <v>432</v>
      </c>
      <c r="K35" s="107" t="s">
        <v>432</v>
      </c>
      <c r="L35" s="107" t="s">
        <v>432</v>
      </c>
      <c r="M35" s="107" t="s">
        <v>432</v>
      </c>
      <c r="N35" s="107" t="s">
        <v>432</v>
      </c>
      <c r="O35" s="107" t="s">
        <v>432</v>
      </c>
      <c r="P35" s="64">
        <f>P34+P36</f>
        <v>11</v>
      </c>
      <c r="Q35" s="107" t="s">
        <v>432</v>
      </c>
      <c r="R35" s="64">
        <f>R34+R36</f>
        <v>7</v>
      </c>
      <c r="S35" s="109" t="s">
        <v>2209</v>
      </c>
      <c r="T35" s="107" t="s">
        <v>432</v>
      </c>
      <c r="U35" s="64">
        <f>U34+U36</f>
        <v>16</v>
      </c>
      <c r="V35" s="109" t="s">
        <v>2209</v>
      </c>
      <c r="W35" s="64">
        <f t="shared" ref="W35:AD35" si="13">W34+W36</f>
        <v>18.53</v>
      </c>
      <c r="X35" s="64">
        <f t="shared" si="13"/>
        <v>16.3</v>
      </c>
      <c r="Y35" s="64">
        <f t="shared" si="13"/>
        <v>32.520000000000003</v>
      </c>
      <c r="Z35" s="64">
        <f t="shared" si="13"/>
        <v>23.049999999999997</v>
      </c>
      <c r="AA35" s="64">
        <f t="shared" si="13"/>
        <v>20</v>
      </c>
      <c r="AB35" s="64">
        <f t="shared" si="13"/>
        <v>16.189999999999998</v>
      </c>
      <c r="AC35" s="64">
        <f t="shared" si="13"/>
        <v>17.260000000000002</v>
      </c>
      <c r="AD35" s="64">
        <f t="shared" si="13"/>
        <v>26.22</v>
      </c>
      <c r="AE35" s="107" t="s">
        <v>2208</v>
      </c>
      <c r="AF35" s="64">
        <f>AF34+AF36</f>
        <v>31.25</v>
      </c>
      <c r="AG35" s="64">
        <f>AG34+AG36</f>
        <v>20.759999999999998</v>
      </c>
      <c r="AH35" s="107" t="s">
        <v>2208</v>
      </c>
      <c r="AI35" s="64">
        <f>AI34+AI36</f>
        <v>54</v>
      </c>
      <c r="AJ35" s="107" t="s">
        <v>2208</v>
      </c>
      <c r="AK35" s="422" t="s">
        <v>1521</v>
      </c>
      <c r="AL35" s="600" t="s">
        <v>432</v>
      </c>
      <c r="AM35" s="137" t="s">
        <v>432</v>
      </c>
      <c r="AN35" s="137" t="s">
        <v>432</v>
      </c>
      <c r="AO35" s="137" t="s">
        <v>432</v>
      </c>
      <c r="AP35" s="137" t="s">
        <v>432</v>
      </c>
      <c r="AQ35" s="137" t="s">
        <v>432</v>
      </c>
      <c r="AR35" s="137" t="s">
        <v>432</v>
      </c>
      <c r="AS35" s="137" t="s">
        <v>432</v>
      </c>
      <c r="AT35" s="137" t="s">
        <v>432</v>
      </c>
      <c r="AU35" s="137" t="s">
        <v>432</v>
      </c>
      <c r="AV35" s="137" t="s">
        <v>432</v>
      </c>
      <c r="AW35" s="137" t="s">
        <v>432</v>
      </c>
      <c r="AX35" s="137" t="s">
        <v>432</v>
      </c>
      <c r="AY35" s="137" t="s">
        <v>432</v>
      </c>
      <c r="AZ35" s="137" t="s">
        <v>432</v>
      </c>
      <c r="BA35" s="137" t="s">
        <v>432</v>
      </c>
      <c r="BB35" s="239" t="str">
        <f t="shared" si="8"/>
        <v>Avaliações em pesquisas externas de opiniãox</v>
      </c>
      <c r="BC35" s="239" t="str">
        <f t="shared" si="9"/>
        <v>Avaliações em pesquisas externas de opiniãoxx</v>
      </c>
      <c r="BD35" s="239" t="str">
        <f t="shared" si="10"/>
        <v>Avaliações em pesquisas externas de opiniãox</v>
      </c>
    </row>
    <row r="36" spans="1:56" s="3" customFormat="1" ht="47.25" customHeight="1" x14ac:dyDescent="0.25">
      <c r="A36" s="275" t="str">
        <f>'Q100b-totais'!$B$26</f>
        <v>3.2.1</v>
      </c>
      <c r="B36" s="252" t="str">
        <f>'Q100b-totais'!$C$26</f>
        <v>Avaliações em pesquisas externas de opinião</v>
      </c>
      <c r="C36" s="167" t="s">
        <v>432</v>
      </c>
      <c r="D36" s="323" t="s">
        <v>34</v>
      </c>
      <c r="E36" s="1491" t="s">
        <v>1306</v>
      </c>
      <c r="F36" s="11" t="s">
        <v>1495</v>
      </c>
      <c r="G36" s="110" t="s">
        <v>18</v>
      </c>
      <c r="H36" s="173" t="s">
        <v>432</v>
      </c>
      <c r="I36" s="167">
        <v>1</v>
      </c>
      <c r="J36" s="107" t="s">
        <v>432</v>
      </c>
      <c r="K36" s="107" t="s">
        <v>432</v>
      </c>
      <c r="L36" s="107" t="s">
        <v>432</v>
      </c>
      <c r="M36" s="107" t="s">
        <v>432</v>
      </c>
      <c r="N36" s="107" t="s">
        <v>432</v>
      </c>
      <c r="O36" s="107" t="s">
        <v>432</v>
      </c>
      <c r="P36" s="83">
        <v>5</v>
      </c>
      <c r="Q36" s="107" t="s">
        <v>432</v>
      </c>
      <c r="R36" s="83">
        <v>4</v>
      </c>
      <c r="S36" s="109" t="s">
        <v>2209</v>
      </c>
      <c r="T36" s="107" t="s">
        <v>432</v>
      </c>
      <c r="U36" s="83">
        <v>9</v>
      </c>
      <c r="V36" s="109" t="s">
        <v>2209</v>
      </c>
      <c r="W36" s="83">
        <v>9.0399999999999991</v>
      </c>
      <c r="X36" s="83">
        <v>8.89</v>
      </c>
      <c r="Y36" s="83">
        <v>15.56</v>
      </c>
      <c r="Z36" s="83">
        <v>13.76</v>
      </c>
      <c r="AA36" s="83">
        <v>11</v>
      </c>
      <c r="AB36" s="83">
        <v>9.1999999999999993</v>
      </c>
      <c r="AC36" s="83">
        <v>10.96</v>
      </c>
      <c r="AD36" s="83">
        <v>14.59</v>
      </c>
      <c r="AE36" s="107" t="s">
        <v>2208</v>
      </c>
      <c r="AF36" s="83">
        <v>20.440000000000001</v>
      </c>
      <c r="AG36" s="83">
        <v>11.97</v>
      </c>
      <c r="AH36" s="107" t="s">
        <v>2208</v>
      </c>
      <c r="AI36" s="83">
        <v>23</v>
      </c>
      <c r="AJ36" s="107" t="s">
        <v>2208</v>
      </c>
      <c r="AK36" s="422" t="s">
        <v>1521</v>
      </c>
      <c r="AL36" s="600" t="s">
        <v>432</v>
      </c>
      <c r="AM36" s="137" t="s">
        <v>432</v>
      </c>
      <c r="AN36" s="137" t="s">
        <v>432</v>
      </c>
      <c r="AO36" s="137" t="s">
        <v>432</v>
      </c>
      <c r="AP36" s="137" t="s">
        <v>432</v>
      </c>
      <c r="AQ36" s="137" t="s">
        <v>432</v>
      </c>
      <c r="AR36" s="137" t="s">
        <v>432</v>
      </c>
      <c r="AS36" s="137" t="s">
        <v>432</v>
      </c>
      <c r="AT36" s="137" t="s">
        <v>432</v>
      </c>
      <c r="AU36" s="137" t="s">
        <v>432</v>
      </c>
      <c r="AV36" s="137" t="s">
        <v>432</v>
      </c>
      <c r="AW36" s="137" t="s">
        <v>432</v>
      </c>
      <c r="AX36" s="137" t="s">
        <v>432</v>
      </c>
      <c r="AY36" s="137" t="s">
        <v>432</v>
      </c>
      <c r="AZ36" s="137" t="s">
        <v>432</v>
      </c>
      <c r="BA36" s="137" t="s">
        <v>432</v>
      </c>
      <c r="BB36" s="239" t="str">
        <f t="shared" si="8"/>
        <v>Avaliações em pesquisas externas de opiniãox</v>
      </c>
      <c r="BC36" s="239" t="str">
        <f t="shared" si="9"/>
        <v>Avaliações em pesquisas externas de opiniãoxx</v>
      </c>
      <c r="BD36" s="239" t="str">
        <f t="shared" si="10"/>
        <v>Avaliações em pesquisas externas de opiniãox</v>
      </c>
    </row>
    <row r="37" spans="1:56" s="3" customFormat="1" ht="47.25" customHeight="1" x14ac:dyDescent="0.25">
      <c r="A37" s="275" t="str">
        <f>'Q100b-totais'!$B$26</f>
        <v>3.2.1</v>
      </c>
      <c r="B37" s="252" t="str">
        <f>'Q100b-totais'!$C$26</f>
        <v>Avaliações em pesquisas externas de opinião</v>
      </c>
      <c r="C37" s="167" t="s">
        <v>432</v>
      </c>
      <c r="D37" s="323" t="s">
        <v>35</v>
      </c>
      <c r="E37" s="1491" t="s">
        <v>1306</v>
      </c>
      <c r="F37" s="11" t="s">
        <v>1515</v>
      </c>
      <c r="G37" s="110" t="s">
        <v>20</v>
      </c>
      <c r="H37" s="173" t="s">
        <v>432</v>
      </c>
      <c r="I37" s="167">
        <v>1</v>
      </c>
      <c r="J37" s="107" t="s">
        <v>432</v>
      </c>
      <c r="K37" s="107" t="s">
        <v>432</v>
      </c>
      <c r="L37" s="107" t="s">
        <v>432</v>
      </c>
      <c r="M37" s="107" t="s">
        <v>432</v>
      </c>
      <c r="N37" s="107" t="s">
        <v>432</v>
      </c>
      <c r="O37" s="107" t="s">
        <v>432</v>
      </c>
      <c r="P37" s="83">
        <v>34</v>
      </c>
      <c r="Q37" s="107" t="s">
        <v>432</v>
      </c>
      <c r="R37" s="83">
        <v>33</v>
      </c>
      <c r="S37" s="109" t="s">
        <v>2209</v>
      </c>
      <c r="T37" s="107" t="s">
        <v>432</v>
      </c>
      <c r="U37" s="83">
        <v>44</v>
      </c>
      <c r="V37" s="109" t="s">
        <v>2209</v>
      </c>
      <c r="W37" s="83">
        <v>45.49</v>
      </c>
      <c r="X37" s="83">
        <v>46.81</v>
      </c>
      <c r="Y37" s="83">
        <v>35.700000000000003</v>
      </c>
      <c r="Z37" s="83">
        <v>32.67</v>
      </c>
      <c r="AA37" s="83">
        <v>39</v>
      </c>
      <c r="AB37" s="83">
        <v>45.79</v>
      </c>
      <c r="AC37" s="83">
        <v>41.04</v>
      </c>
      <c r="AD37" s="83">
        <v>47.33</v>
      </c>
      <c r="AE37" s="107" t="s">
        <v>2208</v>
      </c>
      <c r="AF37" s="83">
        <v>45.85</v>
      </c>
      <c r="AG37" s="83">
        <v>43.66</v>
      </c>
      <c r="AH37" s="107" t="s">
        <v>2208</v>
      </c>
      <c r="AI37" s="83">
        <v>30</v>
      </c>
      <c r="AJ37" s="107" t="s">
        <v>2208</v>
      </c>
      <c r="AK37" s="422" t="s">
        <v>1521</v>
      </c>
      <c r="AL37" s="600" t="s">
        <v>432</v>
      </c>
      <c r="AM37" s="137" t="s">
        <v>432</v>
      </c>
      <c r="AN37" s="137" t="s">
        <v>432</v>
      </c>
      <c r="AO37" s="137" t="s">
        <v>432</v>
      </c>
      <c r="AP37" s="137" t="s">
        <v>432</v>
      </c>
      <c r="AQ37" s="137" t="s">
        <v>432</v>
      </c>
      <c r="AR37" s="137" t="s">
        <v>432</v>
      </c>
      <c r="AS37" s="137" t="s">
        <v>432</v>
      </c>
      <c r="AT37" s="137" t="s">
        <v>432</v>
      </c>
      <c r="AU37" s="137" t="s">
        <v>432</v>
      </c>
      <c r="AV37" s="137" t="s">
        <v>432</v>
      </c>
      <c r="AW37" s="137" t="s">
        <v>432</v>
      </c>
      <c r="AX37" s="137" t="s">
        <v>432</v>
      </c>
      <c r="AY37" s="137" t="s">
        <v>432</v>
      </c>
      <c r="AZ37" s="137" t="s">
        <v>432</v>
      </c>
      <c r="BA37" s="137" t="s">
        <v>432</v>
      </c>
      <c r="BB37" s="239" t="str">
        <f t="shared" si="8"/>
        <v>Avaliações em pesquisas externas de opiniãox</v>
      </c>
      <c r="BC37" s="239" t="str">
        <f t="shared" si="9"/>
        <v>Avaliações em pesquisas externas de opiniãoxx</v>
      </c>
      <c r="BD37" s="239" t="str">
        <f t="shared" si="10"/>
        <v>Avaliações em pesquisas externas de opiniãox</v>
      </c>
    </row>
    <row r="38" spans="1:56" s="3" customFormat="1" ht="76.5" customHeight="1" x14ac:dyDescent="0.25">
      <c r="A38" s="275" t="str">
        <f>'Q100b-totais'!$B$26</f>
        <v>3.2.1</v>
      </c>
      <c r="B38" s="252" t="str">
        <f>'Q100b-totais'!$C$26</f>
        <v>Avaliações em pesquisas externas de opinião</v>
      </c>
      <c r="C38" s="167" t="s">
        <v>432</v>
      </c>
      <c r="D38" s="324" t="s">
        <v>36</v>
      </c>
      <c r="E38" s="1491" t="s">
        <v>1306</v>
      </c>
      <c r="F38" s="11" t="s">
        <v>37</v>
      </c>
      <c r="G38" s="111" t="s">
        <v>670</v>
      </c>
      <c r="H38" s="173" t="s">
        <v>432</v>
      </c>
      <c r="I38" s="167">
        <v>1</v>
      </c>
      <c r="J38" s="107" t="s">
        <v>432</v>
      </c>
      <c r="K38" s="107" t="s">
        <v>432</v>
      </c>
      <c r="L38" s="107" t="s">
        <v>432</v>
      </c>
      <c r="M38" s="107" t="s">
        <v>432</v>
      </c>
      <c r="N38" s="107" t="s">
        <v>432</v>
      </c>
      <c r="O38" s="107" t="s">
        <v>432</v>
      </c>
      <c r="P38" s="64">
        <f>((P42*5)+(P39*4)+(P46*3)+(P45*2)+(P43*1))/(100-P40)</f>
        <v>3.375</v>
      </c>
      <c r="Q38" s="107" t="s">
        <v>432</v>
      </c>
      <c r="R38" s="64">
        <f>((R42*5)+(R39*4)+(R46*3)+(R45*2)+(R43*1))/(100-R40)</f>
        <v>3.5257731958762886</v>
      </c>
      <c r="S38" s="109" t="s">
        <v>2209</v>
      </c>
      <c r="T38" s="107" t="s">
        <v>432</v>
      </c>
      <c r="U38" s="64">
        <f>((U42*5)+(U39*4)+(U46*3)+(U45*2)+(U43*1))/(100-U40)</f>
        <v>3.2021276595744679</v>
      </c>
      <c r="V38" s="109" t="s">
        <v>2209</v>
      </c>
      <c r="W38" s="81">
        <f t="shared" ref="W38:AD38" si="14">((W42*5)+(W39*4)+(W46*3)+(W45*2)+(W43*1))/(100-W40)</f>
        <v>3.0669817135812623</v>
      </c>
      <c r="X38" s="81">
        <f t="shared" si="14"/>
        <v>3.1875950136819706</v>
      </c>
      <c r="Y38" s="81">
        <f t="shared" si="14"/>
        <v>2.92084542063821</v>
      </c>
      <c r="Z38" s="81">
        <f t="shared" si="14"/>
        <v>2.9329852972512254</v>
      </c>
      <c r="AA38" s="81">
        <f t="shared" si="14"/>
        <v>3.0306122448979593</v>
      </c>
      <c r="AB38" s="81">
        <f t="shared" si="14"/>
        <v>3.0159337816864977</v>
      </c>
      <c r="AC38" s="81">
        <f t="shared" si="14"/>
        <v>3.1224552745218999</v>
      </c>
      <c r="AD38" s="81">
        <f t="shared" si="14"/>
        <v>2.8060204081632656</v>
      </c>
      <c r="AE38" s="107" t="s">
        <v>2208</v>
      </c>
      <c r="AF38" s="81">
        <f>((AF42*5)+(AF39*4)+(AF46*3)+(AF45*2)+(AF43*1))/(100-AF40)</f>
        <v>2.7120774938169827</v>
      </c>
      <c r="AG38" s="81">
        <f>((AG42*5)+(AG39*4)+(AG46*3)+(AG45*2)+(AG43*1))/(100-AG40)</f>
        <v>2.9903416761865196</v>
      </c>
      <c r="AH38" s="107" t="s">
        <v>2208</v>
      </c>
      <c r="AI38" s="81">
        <f>((AI42*5)+(AI39*4)+(AI46*3)+(AI45*2)+(AI43*1))/(100-AI40)</f>
        <v>2.0909090909090908</v>
      </c>
      <c r="AJ38" s="107" t="s">
        <v>2208</v>
      </c>
      <c r="AK38" s="422" t="s">
        <v>1521</v>
      </c>
      <c r="AL38" s="600" t="s">
        <v>432</v>
      </c>
      <c r="AM38" s="137" t="s">
        <v>432</v>
      </c>
      <c r="AN38" s="137" t="s">
        <v>432</v>
      </c>
      <c r="AO38" s="137" t="s">
        <v>432</v>
      </c>
      <c r="AP38" s="137" t="s">
        <v>432</v>
      </c>
      <c r="AQ38" s="137" t="s">
        <v>432</v>
      </c>
      <c r="AR38" s="137" t="s">
        <v>432</v>
      </c>
      <c r="AS38" s="137" t="s">
        <v>432</v>
      </c>
      <c r="AT38" s="137" t="s">
        <v>432</v>
      </c>
      <c r="AU38" s="137" t="s">
        <v>432</v>
      </c>
      <c r="AV38" s="137" t="s">
        <v>432</v>
      </c>
      <c r="AW38" s="137" t="s">
        <v>432</v>
      </c>
      <c r="AX38" s="137" t="s">
        <v>432</v>
      </c>
      <c r="AY38" s="137" t="s">
        <v>432</v>
      </c>
      <c r="AZ38" s="137" t="s">
        <v>432</v>
      </c>
      <c r="BA38" s="137" t="s">
        <v>432</v>
      </c>
      <c r="BB38" s="239" t="str">
        <f t="shared" si="8"/>
        <v>Avaliações em pesquisas externas de opiniãox</v>
      </c>
      <c r="BC38" s="239" t="str">
        <f t="shared" si="9"/>
        <v>Avaliações em pesquisas externas de opiniãoxx</v>
      </c>
      <c r="BD38" s="239" t="str">
        <f t="shared" si="10"/>
        <v>Avaliações em pesquisas externas de opiniãox</v>
      </c>
    </row>
    <row r="39" spans="1:56" s="3" customFormat="1" ht="47.25" customHeight="1" x14ac:dyDescent="0.25">
      <c r="A39" s="275" t="str">
        <f>'Q100b-totais'!$B$26</f>
        <v>3.2.1</v>
      </c>
      <c r="B39" s="252" t="str">
        <f>'Q100b-totais'!$C$26</f>
        <v>Avaliações em pesquisas externas de opinião</v>
      </c>
      <c r="C39" s="167" t="s">
        <v>432</v>
      </c>
      <c r="D39" s="323" t="s">
        <v>655</v>
      </c>
      <c r="E39" s="1491" t="s">
        <v>1306</v>
      </c>
      <c r="F39" s="11" t="s">
        <v>1496</v>
      </c>
      <c r="G39" s="110" t="s">
        <v>8</v>
      </c>
      <c r="H39" s="173" t="s">
        <v>432</v>
      </c>
      <c r="I39" s="167">
        <v>1</v>
      </c>
      <c r="J39" s="107" t="s">
        <v>432</v>
      </c>
      <c r="K39" s="107" t="s">
        <v>432</v>
      </c>
      <c r="L39" s="107" t="s">
        <v>432</v>
      </c>
      <c r="M39" s="107" t="s">
        <v>432</v>
      </c>
      <c r="N39" s="107" t="s">
        <v>432</v>
      </c>
      <c r="O39" s="107" t="s">
        <v>432</v>
      </c>
      <c r="P39" s="83">
        <v>44</v>
      </c>
      <c r="Q39" s="107" t="s">
        <v>432</v>
      </c>
      <c r="R39" s="83">
        <v>45</v>
      </c>
      <c r="S39" s="109" t="s">
        <v>2209</v>
      </c>
      <c r="T39" s="107" t="s">
        <v>432</v>
      </c>
      <c r="U39" s="83">
        <v>32</v>
      </c>
      <c r="V39" s="109" t="s">
        <v>2209</v>
      </c>
      <c r="W39" s="83">
        <v>28.55</v>
      </c>
      <c r="X39" s="83">
        <v>32.299999999999997</v>
      </c>
      <c r="Y39" s="83">
        <v>28.37</v>
      </c>
      <c r="Z39" s="83">
        <v>27.53</v>
      </c>
      <c r="AA39" s="83">
        <v>30</v>
      </c>
      <c r="AB39" s="83">
        <v>26.46</v>
      </c>
      <c r="AC39" s="83">
        <v>33.409999999999997</v>
      </c>
      <c r="AD39" s="83">
        <v>19.260000000000002</v>
      </c>
      <c r="AE39" s="107" t="s">
        <v>2208</v>
      </c>
      <c r="AF39" s="83">
        <v>16.22</v>
      </c>
      <c r="AG39" s="83">
        <v>22.11</v>
      </c>
      <c r="AH39" s="107" t="s">
        <v>2208</v>
      </c>
      <c r="AI39" s="83">
        <v>9</v>
      </c>
      <c r="AJ39" s="107" t="s">
        <v>2208</v>
      </c>
      <c r="AK39" s="422" t="s">
        <v>1521</v>
      </c>
      <c r="AL39" s="600" t="s">
        <v>432</v>
      </c>
      <c r="AM39" s="137" t="s">
        <v>432</v>
      </c>
      <c r="AN39" s="137" t="s">
        <v>432</v>
      </c>
      <c r="AO39" s="137" t="s">
        <v>432</v>
      </c>
      <c r="AP39" s="137" t="s">
        <v>432</v>
      </c>
      <c r="AQ39" s="137" t="s">
        <v>432</v>
      </c>
      <c r="AR39" s="137" t="s">
        <v>432</v>
      </c>
      <c r="AS39" s="137" t="s">
        <v>432</v>
      </c>
      <c r="AT39" s="137" t="s">
        <v>432</v>
      </c>
      <c r="AU39" s="137" t="s">
        <v>432</v>
      </c>
      <c r="AV39" s="137" t="s">
        <v>432</v>
      </c>
      <c r="AW39" s="137" t="s">
        <v>432</v>
      </c>
      <c r="AX39" s="137" t="s">
        <v>432</v>
      </c>
      <c r="AY39" s="137" t="s">
        <v>432</v>
      </c>
      <c r="AZ39" s="137" t="s">
        <v>432</v>
      </c>
      <c r="BA39" s="137" t="s">
        <v>432</v>
      </c>
      <c r="BB39" s="239" t="str">
        <f t="shared" si="8"/>
        <v>Avaliações em pesquisas externas de opiniãox</v>
      </c>
      <c r="BC39" s="239" t="str">
        <f t="shared" si="9"/>
        <v>Avaliações em pesquisas externas de opiniãoxx</v>
      </c>
      <c r="BD39" s="239" t="str">
        <f t="shared" si="10"/>
        <v>Avaliações em pesquisas externas de opiniãox</v>
      </c>
    </row>
    <row r="40" spans="1:56" s="3" customFormat="1" ht="47.25" customHeight="1" x14ac:dyDescent="0.25">
      <c r="A40" s="275" t="str">
        <f>'Q100b-totais'!$B$26</f>
        <v>3.2.1</v>
      </c>
      <c r="B40" s="252" t="str">
        <f>'Q100b-totais'!$C$26</f>
        <v>Avaliações em pesquisas externas de opinião</v>
      </c>
      <c r="C40" s="167" t="s">
        <v>432</v>
      </c>
      <c r="D40" s="323" t="s">
        <v>654</v>
      </c>
      <c r="E40" s="1491" t="s">
        <v>1306</v>
      </c>
      <c r="F40" s="11" t="s">
        <v>1497</v>
      </c>
      <c r="G40" s="110" t="s">
        <v>6</v>
      </c>
      <c r="H40" s="173" t="s">
        <v>432</v>
      </c>
      <c r="I40" s="167">
        <v>1</v>
      </c>
      <c r="J40" s="107" t="s">
        <v>432</v>
      </c>
      <c r="K40" s="107" t="s">
        <v>432</v>
      </c>
      <c r="L40" s="107" t="s">
        <v>432</v>
      </c>
      <c r="M40" s="107" t="s">
        <v>432</v>
      </c>
      <c r="N40" s="107" t="s">
        <v>432</v>
      </c>
      <c r="O40" s="107" t="s">
        <v>432</v>
      </c>
      <c r="P40" s="83">
        <v>4</v>
      </c>
      <c r="Q40" s="107" t="s">
        <v>432</v>
      </c>
      <c r="R40" s="83">
        <v>3</v>
      </c>
      <c r="S40" s="109" t="s">
        <v>2209</v>
      </c>
      <c r="T40" s="107" t="s">
        <v>432</v>
      </c>
      <c r="U40" s="83">
        <v>6</v>
      </c>
      <c r="V40" s="109" t="s">
        <v>2209</v>
      </c>
      <c r="W40" s="83">
        <v>2.66</v>
      </c>
      <c r="X40" s="83">
        <v>1.33</v>
      </c>
      <c r="Y40" s="83">
        <v>3.48</v>
      </c>
      <c r="Z40" s="83">
        <v>6.14</v>
      </c>
      <c r="AA40" s="83">
        <v>2</v>
      </c>
      <c r="AB40" s="83">
        <v>3.35</v>
      </c>
      <c r="AC40" s="83">
        <v>2.74</v>
      </c>
      <c r="AD40" s="83">
        <v>2</v>
      </c>
      <c r="AE40" s="107" t="s">
        <v>2208</v>
      </c>
      <c r="AF40" s="83">
        <v>2.96</v>
      </c>
      <c r="AG40" s="83">
        <v>3.71</v>
      </c>
      <c r="AH40" s="107" t="s">
        <v>2208</v>
      </c>
      <c r="AI40" s="83">
        <v>1</v>
      </c>
      <c r="AJ40" s="107" t="s">
        <v>2208</v>
      </c>
      <c r="AK40" s="422" t="s">
        <v>1521</v>
      </c>
      <c r="AL40" s="600" t="s">
        <v>432</v>
      </c>
      <c r="AM40" s="137" t="s">
        <v>432</v>
      </c>
      <c r="AN40" s="137" t="s">
        <v>432</v>
      </c>
      <c r="AO40" s="137" t="s">
        <v>432</v>
      </c>
      <c r="AP40" s="137" t="s">
        <v>432</v>
      </c>
      <c r="AQ40" s="137" t="s">
        <v>432</v>
      </c>
      <c r="AR40" s="137" t="s">
        <v>432</v>
      </c>
      <c r="AS40" s="137" t="s">
        <v>432</v>
      </c>
      <c r="AT40" s="137" t="s">
        <v>432</v>
      </c>
      <c r="AU40" s="137" t="s">
        <v>432</v>
      </c>
      <c r="AV40" s="137" t="s">
        <v>432</v>
      </c>
      <c r="AW40" s="137" t="s">
        <v>432</v>
      </c>
      <c r="AX40" s="137" t="s">
        <v>432</v>
      </c>
      <c r="AY40" s="137" t="s">
        <v>432</v>
      </c>
      <c r="AZ40" s="137" t="s">
        <v>432</v>
      </c>
      <c r="BA40" s="137" t="s">
        <v>432</v>
      </c>
      <c r="BB40" s="239" t="str">
        <f t="shared" si="8"/>
        <v>Avaliações em pesquisas externas de opiniãox</v>
      </c>
      <c r="BC40" s="239" t="str">
        <f t="shared" si="9"/>
        <v>Avaliações em pesquisas externas de opiniãoxx</v>
      </c>
      <c r="BD40" s="239" t="str">
        <f t="shared" si="10"/>
        <v>Avaliações em pesquisas externas de opiniãox</v>
      </c>
    </row>
    <row r="41" spans="1:56" s="3" customFormat="1" ht="47.25" customHeight="1" x14ac:dyDescent="0.25">
      <c r="A41" s="275" t="str">
        <f>'Q100b-totais'!$B$26</f>
        <v>3.2.1</v>
      </c>
      <c r="B41" s="252" t="str">
        <f>'Q100b-totais'!$C$26</f>
        <v>Avaliações em pesquisas externas de opinião</v>
      </c>
      <c r="C41" s="167" t="s">
        <v>432</v>
      </c>
      <c r="D41" s="323" t="s">
        <v>38</v>
      </c>
      <c r="E41" s="1491" t="s">
        <v>1306</v>
      </c>
      <c r="F41" s="11" t="s">
        <v>39</v>
      </c>
      <c r="G41" s="111" t="s">
        <v>40</v>
      </c>
      <c r="H41" s="173" t="s">
        <v>432</v>
      </c>
      <c r="I41" s="167">
        <v>1</v>
      </c>
      <c r="J41" s="107" t="s">
        <v>432</v>
      </c>
      <c r="K41" s="107" t="s">
        <v>432</v>
      </c>
      <c r="L41" s="107" t="s">
        <v>432</v>
      </c>
      <c r="M41" s="107" t="s">
        <v>432</v>
      </c>
      <c r="N41" s="107" t="s">
        <v>432</v>
      </c>
      <c r="O41" s="107" t="s">
        <v>432</v>
      </c>
      <c r="P41" s="64">
        <f>P39+P42</f>
        <v>47</v>
      </c>
      <c r="Q41" s="107" t="s">
        <v>432</v>
      </c>
      <c r="R41" s="64">
        <f>R42+R39</f>
        <v>53</v>
      </c>
      <c r="S41" s="109" t="s">
        <v>2209</v>
      </c>
      <c r="T41" s="107" t="s">
        <v>432</v>
      </c>
      <c r="U41" s="64">
        <f>U42+U39</f>
        <v>35</v>
      </c>
      <c r="V41" s="109" t="s">
        <v>2209</v>
      </c>
      <c r="W41" s="64">
        <f t="shared" ref="W41:AD41" si="15">W42+W39</f>
        <v>32.79</v>
      </c>
      <c r="X41" s="64">
        <f t="shared" si="15"/>
        <v>37.26</v>
      </c>
      <c r="Y41" s="64">
        <f t="shared" si="15"/>
        <v>32</v>
      </c>
      <c r="Z41" s="64">
        <f t="shared" si="15"/>
        <v>31.18</v>
      </c>
      <c r="AA41" s="64">
        <f t="shared" si="15"/>
        <v>33</v>
      </c>
      <c r="AB41" s="64">
        <f t="shared" si="15"/>
        <v>28.1</v>
      </c>
      <c r="AC41" s="64">
        <f t="shared" si="15"/>
        <v>35.849999999999994</v>
      </c>
      <c r="AD41" s="64">
        <f t="shared" si="15"/>
        <v>20.67</v>
      </c>
      <c r="AE41" s="107" t="s">
        <v>2208</v>
      </c>
      <c r="AF41" s="64">
        <f>AF42+AF39</f>
        <v>17.41</v>
      </c>
      <c r="AG41" s="64">
        <f>AG42+AG39</f>
        <v>29.31</v>
      </c>
      <c r="AH41" s="107" t="s">
        <v>2208</v>
      </c>
      <c r="AI41" s="83">
        <f>AI39+AI42</f>
        <v>10</v>
      </c>
      <c r="AJ41" s="107" t="s">
        <v>2208</v>
      </c>
      <c r="AK41" s="422" t="s">
        <v>1521</v>
      </c>
      <c r="AL41" s="600" t="s">
        <v>432</v>
      </c>
      <c r="AM41" s="137" t="s">
        <v>432</v>
      </c>
      <c r="AN41" s="137" t="s">
        <v>432</v>
      </c>
      <c r="AO41" s="137" t="s">
        <v>432</v>
      </c>
      <c r="AP41" s="137" t="s">
        <v>432</v>
      </c>
      <c r="AQ41" s="137" t="s">
        <v>432</v>
      </c>
      <c r="AR41" s="137" t="s">
        <v>432</v>
      </c>
      <c r="AS41" s="137" t="s">
        <v>432</v>
      </c>
      <c r="AT41" s="137" t="s">
        <v>432</v>
      </c>
      <c r="AU41" s="137" t="s">
        <v>432</v>
      </c>
      <c r="AV41" s="137" t="s">
        <v>432</v>
      </c>
      <c r="AW41" s="137" t="s">
        <v>432</v>
      </c>
      <c r="AX41" s="137" t="s">
        <v>432</v>
      </c>
      <c r="AY41" s="137" t="s">
        <v>432</v>
      </c>
      <c r="AZ41" s="137" t="s">
        <v>432</v>
      </c>
      <c r="BA41" s="137" t="s">
        <v>432</v>
      </c>
      <c r="BB41" s="239" t="str">
        <f t="shared" si="8"/>
        <v>Avaliações em pesquisas externas de opiniãox</v>
      </c>
      <c r="BC41" s="239" t="str">
        <f t="shared" si="9"/>
        <v>Avaliações em pesquisas externas de opiniãoxx</v>
      </c>
      <c r="BD41" s="239" t="str">
        <f t="shared" si="10"/>
        <v>Avaliações em pesquisas externas de opiniãox</v>
      </c>
    </row>
    <row r="42" spans="1:56" s="3" customFormat="1" ht="47.25" customHeight="1" x14ac:dyDescent="0.25">
      <c r="A42" s="275" t="str">
        <f>'Q100b-totais'!$B$26</f>
        <v>3.2.1</v>
      </c>
      <c r="B42" s="252" t="str">
        <f>'Q100b-totais'!$C$26</f>
        <v>Avaliações em pesquisas externas de opinião</v>
      </c>
      <c r="C42" s="167" t="s">
        <v>432</v>
      </c>
      <c r="D42" s="323" t="s">
        <v>656</v>
      </c>
      <c r="E42" s="1491" t="s">
        <v>1306</v>
      </c>
      <c r="F42" s="11" t="s">
        <v>1498</v>
      </c>
      <c r="G42" s="110" t="s">
        <v>11</v>
      </c>
      <c r="H42" s="173" t="s">
        <v>432</v>
      </c>
      <c r="I42" s="167">
        <v>1</v>
      </c>
      <c r="J42" s="107" t="s">
        <v>432</v>
      </c>
      <c r="K42" s="107" t="s">
        <v>432</v>
      </c>
      <c r="L42" s="107" t="s">
        <v>432</v>
      </c>
      <c r="M42" s="107" t="s">
        <v>432</v>
      </c>
      <c r="N42" s="107" t="s">
        <v>432</v>
      </c>
      <c r="O42" s="107" t="s">
        <v>432</v>
      </c>
      <c r="P42" s="83">
        <v>3</v>
      </c>
      <c r="Q42" s="107" t="s">
        <v>432</v>
      </c>
      <c r="R42" s="83">
        <v>8</v>
      </c>
      <c r="S42" s="109" t="s">
        <v>2209</v>
      </c>
      <c r="T42" s="107" t="s">
        <v>432</v>
      </c>
      <c r="U42" s="83">
        <v>3</v>
      </c>
      <c r="V42" s="109" t="s">
        <v>2209</v>
      </c>
      <c r="W42" s="83">
        <v>4.24</v>
      </c>
      <c r="X42" s="83">
        <v>4.96</v>
      </c>
      <c r="Y42" s="83">
        <v>3.63</v>
      </c>
      <c r="Z42" s="83">
        <v>3.65</v>
      </c>
      <c r="AA42" s="83">
        <v>3</v>
      </c>
      <c r="AB42" s="83">
        <v>1.64</v>
      </c>
      <c r="AC42" s="83">
        <v>2.44</v>
      </c>
      <c r="AD42" s="83">
        <v>1.41</v>
      </c>
      <c r="AE42" s="107" t="s">
        <v>2208</v>
      </c>
      <c r="AF42" s="83">
        <v>1.19</v>
      </c>
      <c r="AG42" s="83">
        <v>7.2</v>
      </c>
      <c r="AH42" s="107" t="s">
        <v>2208</v>
      </c>
      <c r="AI42" s="83">
        <v>1</v>
      </c>
      <c r="AJ42" s="107" t="s">
        <v>2208</v>
      </c>
      <c r="AK42" s="422" t="s">
        <v>1521</v>
      </c>
      <c r="AL42" s="600" t="s">
        <v>432</v>
      </c>
      <c r="AM42" s="137" t="s">
        <v>432</v>
      </c>
      <c r="AN42" s="137" t="s">
        <v>432</v>
      </c>
      <c r="AO42" s="137" t="s">
        <v>432</v>
      </c>
      <c r="AP42" s="137" t="s">
        <v>432</v>
      </c>
      <c r="AQ42" s="137" t="s">
        <v>432</v>
      </c>
      <c r="AR42" s="137" t="s">
        <v>432</v>
      </c>
      <c r="AS42" s="137" t="s">
        <v>432</v>
      </c>
      <c r="AT42" s="137" t="s">
        <v>432</v>
      </c>
      <c r="AU42" s="137" t="s">
        <v>432</v>
      </c>
      <c r="AV42" s="137" t="s">
        <v>432</v>
      </c>
      <c r="AW42" s="137" t="s">
        <v>432</v>
      </c>
      <c r="AX42" s="137" t="s">
        <v>432</v>
      </c>
      <c r="AY42" s="137" t="s">
        <v>432</v>
      </c>
      <c r="AZ42" s="137" t="s">
        <v>432</v>
      </c>
      <c r="BA42" s="137" t="s">
        <v>432</v>
      </c>
      <c r="BB42" s="239" t="str">
        <f t="shared" si="8"/>
        <v>Avaliações em pesquisas externas de opiniãox</v>
      </c>
      <c r="BC42" s="239" t="str">
        <f t="shared" si="9"/>
        <v>Avaliações em pesquisas externas de opiniãoxx</v>
      </c>
      <c r="BD42" s="239" t="str">
        <f t="shared" si="10"/>
        <v>Avaliações em pesquisas externas de opiniãox</v>
      </c>
    </row>
    <row r="43" spans="1:56" s="3" customFormat="1" ht="47.25" customHeight="1" x14ac:dyDescent="0.25">
      <c r="A43" s="275" t="str">
        <f>'Q100b-totais'!$B$26</f>
        <v>3.2.1</v>
      </c>
      <c r="B43" s="252" t="str">
        <f>'Q100b-totais'!$C$26</f>
        <v>Avaliações em pesquisas externas de opinião</v>
      </c>
      <c r="C43" s="167" t="s">
        <v>432</v>
      </c>
      <c r="D43" s="323" t="s">
        <v>41</v>
      </c>
      <c r="E43" s="1491" t="s">
        <v>1306</v>
      </c>
      <c r="F43" s="11" t="s">
        <v>1499</v>
      </c>
      <c r="G43" s="110" t="s">
        <v>13</v>
      </c>
      <c r="H43" s="173" t="s">
        <v>432</v>
      </c>
      <c r="I43" s="167">
        <v>1</v>
      </c>
      <c r="J43" s="107" t="s">
        <v>432</v>
      </c>
      <c r="K43" s="107" t="s">
        <v>432</v>
      </c>
      <c r="L43" s="107" t="s">
        <v>432</v>
      </c>
      <c r="M43" s="107" t="s">
        <v>432</v>
      </c>
      <c r="N43" s="107" t="s">
        <v>432</v>
      </c>
      <c r="O43" s="107" t="s">
        <v>432</v>
      </c>
      <c r="P43" s="83">
        <v>4</v>
      </c>
      <c r="Q43" s="107" t="s">
        <v>432</v>
      </c>
      <c r="R43" s="83">
        <v>3</v>
      </c>
      <c r="S43" s="109" t="s">
        <v>2209</v>
      </c>
      <c r="T43" s="107" t="s">
        <v>432</v>
      </c>
      <c r="U43" s="83">
        <v>6</v>
      </c>
      <c r="V43" s="109" t="s">
        <v>2209</v>
      </c>
      <c r="W43" s="83">
        <v>11.1</v>
      </c>
      <c r="X43" s="83">
        <v>7.41</v>
      </c>
      <c r="Y43" s="83">
        <v>15.56</v>
      </c>
      <c r="Z43" s="83">
        <v>13.43</v>
      </c>
      <c r="AA43" s="83">
        <v>10</v>
      </c>
      <c r="AB43" s="83">
        <v>8.6999999999999993</v>
      </c>
      <c r="AC43" s="83">
        <v>7.93</v>
      </c>
      <c r="AD43" s="83">
        <v>12.3</v>
      </c>
      <c r="AE43" s="107" t="s">
        <v>2208</v>
      </c>
      <c r="AF43" s="83">
        <v>12.59</v>
      </c>
      <c r="AG43" s="83">
        <v>11.44</v>
      </c>
      <c r="AH43" s="107" t="s">
        <v>2208</v>
      </c>
      <c r="AI43" s="83">
        <v>38</v>
      </c>
      <c r="AJ43" s="107" t="s">
        <v>2208</v>
      </c>
      <c r="AK43" s="422" t="s">
        <v>1521</v>
      </c>
      <c r="AL43" s="600" t="s">
        <v>432</v>
      </c>
      <c r="AM43" s="137" t="s">
        <v>432</v>
      </c>
      <c r="AN43" s="137" t="s">
        <v>432</v>
      </c>
      <c r="AO43" s="137" t="s">
        <v>432</v>
      </c>
      <c r="AP43" s="137" t="s">
        <v>432</v>
      </c>
      <c r="AQ43" s="137" t="s">
        <v>432</v>
      </c>
      <c r="AR43" s="137" t="s">
        <v>432</v>
      </c>
      <c r="AS43" s="137" t="s">
        <v>432</v>
      </c>
      <c r="AT43" s="137" t="s">
        <v>432</v>
      </c>
      <c r="AU43" s="137" t="s">
        <v>432</v>
      </c>
      <c r="AV43" s="137" t="s">
        <v>432</v>
      </c>
      <c r="AW43" s="137" t="s">
        <v>432</v>
      </c>
      <c r="AX43" s="137" t="s">
        <v>432</v>
      </c>
      <c r="AY43" s="137" t="s">
        <v>432</v>
      </c>
      <c r="AZ43" s="137" t="s">
        <v>432</v>
      </c>
      <c r="BA43" s="137" t="s">
        <v>432</v>
      </c>
      <c r="BB43" s="239" t="str">
        <f t="shared" si="8"/>
        <v>Avaliações em pesquisas externas de opiniãox</v>
      </c>
      <c r="BC43" s="239" t="str">
        <f t="shared" si="9"/>
        <v>Avaliações em pesquisas externas de opiniãoxx</v>
      </c>
      <c r="BD43" s="239" t="str">
        <f t="shared" si="10"/>
        <v>Avaliações em pesquisas externas de opiniãox</v>
      </c>
    </row>
    <row r="44" spans="1:56" s="3" customFormat="1" ht="47.25" customHeight="1" x14ac:dyDescent="0.25">
      <c r="A44" s="275" t="str">
        <f>'Q100b-totais'!$B$26</f>
        <v>3.2.1</v>
      </c>
      <c r="B44" s="252" t="str">
        <f>'Q100b-totais'!$C$26</f>
        <v>Avaliações em pesquisas externas de opinião</v>
      </c>
      <c r="C44" s="167" t="s">
        <v>432</v>
      </c>
      <c r="D44" s="323" t="s">
        <v>42</v>
      </c>
      <c r="E44" s="1491" t="s">
        <v>1306</v>
      </c>
      <c r="F44" s="11" t="s">
        <v>43</v>
      </c>
      <c r="G44" s="111" t="s">
        <v>44</v>
      </c>
      <c r="H44" s="173" t="s">
        <v>432</v>
      </c>
      <c r="I44" s="167">
        <v>1</v>
      </c>
      <c r="J44" s="107" t="s">
        <v>432</v>
      </c>
      <c r="K44" s="107" t="s">
        <v>432</v>
      </c>
      <c r="L44" s="107" t="s">
        <v>432</v>
      </c>
      <c r="M44" s="107" t="s">
        <v>432</v>
      </c>
      <c r="N44" s="107" t="s">
        <v>432</v>
      </c>
      <c r="O44" s="107" t="s">
        <v>432</v>
      </c>
      <c r="P44" s="64">
        <f>P43+P45</f>
        <v>10</v>
      </c>
      <c r="Q44" s="107" t="s">
        <v>432</v>
      </c>
      <c r="R44" s="64">
        <f>R43+R45</f>
        <v>7</v>
      </c>
      <c r="S44" s="109" t="s">
        <v>2209</v>
      </c>
      <c r="T44" s="107" t="s">
        <v>432</v>
      </c>
      <c r="U44" s="64">
        <f>U43+U45</f>
        <v>13</v>
      </c>
      <c r="V44" s="109" t="s">
        <v>2209</v>
      </c>
      <c r="W44" s="64">
        <f t="shared" ref="W44:AD44" si="16">W43+W45</f>
        <v>19.41</v>
      </c>
      <c r="X44" s="64">
        <f t="shared" si="16"/>
        <v>16.3</v>
      </c>
      <c r="Y44" s="64">
        <f t="shared" si="16"/>
        <v>27.71</v>
      </c>
      <c r="Z44" s="64">
        <f t="shared" si="16"/>
        <v>27.689999999999998</v>
      </c>
      <c r="AA44" s="64">
        <f t="shared" si="16"/>
        <v>23</v>
      </c>
      <c r="AB44" s="64">
        <f t="shared" si="16"/>
        <v>19.47</v>
      </c>
      <c r="AC44" s="64">
        <f t="shared" si="16"/>
        <v>18.45</v>
      </c>
      <c r="AD44" s="64">
        <f t="shared" si="16"/>
        <v>28.82</v>
      </c>
      <c r="AE44" s="107" t="s">
        <v>2208</v>
      </c>
      <c r="AF44" s="64">
        <f>AF43+AF45</f>
        <v>33.92</v>
      </c>
      <c r="AG44" s="64">
        <f>AG43+AG45</f>
        <v>26</v>
      </c>
      <c r="AH44" s="107" t="s">
        <v>2208</v>
      </c>
      <c r="AI44" s="83">
        <f>AI43+AI45</f>
        <v>63</v>
      </c>
      <c r="AJ44" s="107" t="s">
        <v>2208</v>
      </c>
      <c r="AK44" s="422" t="s">
        <v>1521</v>
      </c>
      <c r="AL44" s="600" t="s">
        <v>432</v>
      </c>
      <c r="AM44" s="137" t="s">
        <v>432</v>
      </c>
      <c r="AN44" s="137" t="s">
        <v>432</v>
      </c>
      <c r="AO44" s="137" t="s">
        <v>432</v>
      </c>
      <c r="AP44" s="137" t="s">
        <v>432</v>
      </c>
      <c r="AQ44" s="137" t="s">
        <v>432</v>
      </c>
      <c r="AR44" s="137" t="s">
        <v>432</v>
      </c>
      <c r="AS44" s="137" t="s">
        <v>432</v>
      </c>
      <c r="AT44" s="137" t="s">
        <v>432</v>
      </c>
      <c r="AU44" s="137" t="s">
        <v>432</v>
      </c>
      <c r="AV44" s="137" t="s">
        <v>432</v>
      </c>
      <c r="AW44" s="137" t="s">
        <v>432</v>
      </c>
      <c r="AX44" s="137" t="s">
        <v>432</v>
      </c>
      <c r="AY44" s="137" t="s">
        <v>432</v>
      </c>
      <c r="AZ44" s="137" t="s">
        <v>432</v>
      </c>
      <c r="BA44" s="137" t="s">
        <v>432</v>
      </c>
      <c r="BB44" s="239" t="str">
        <f t="shared" si="8"/>
        <v>Avaliações em pesquisas externas de opiniãox</v>
      </c>
      <c r="BC44" s="239" t="str">
        <f t="shared" si="9"/>
        <v>Avaliações em pesquisas externas de opiniãoxx</v>
      </c>
      <c r="BD44" s="239" t="str">
        <f t="shared" si="10"/>
        <v>Avaliações em pesquisas externas de opiniãox</v>
      </c>
    </row>
    <row r="45" spans="1:56" s="3" customFormat="1" ht="47.25" customHeight="1" x14ac:dyDescent="0.25">
      <c r="A45" s="275" t="str">
        <f>'Q100b-totais'!$B$26</f>
        <v>3.2.1</v>
      </c>
      <c r="B45" s="252" t="str">
        <f>'Q100b-totais'!$C$26</f>
        <v>Avaliações em pesquisas externas de opinião</v>
      </c>
      <c r="C45" s="167" t="s">
        <v>432</v>
      </c>
      <c r="D45" s="323" t="s">
        <v>45</v>
      </c>
      <c r="E45" s="1491" t="s">
        <v>1306</v>
      </c>
      <c r="F45" s="11" t="s">
        <v>1500</v>
      </c>
      <c r="G45" s="110" t="s">
        <v>18</v>
      </c>
      <c r="H45" s="173" t="s">
        <v>432</v>
      </c>
      <c r="I45" s="167">
        <v>1</v>
      </c>
      <c r="J45" s="107" t="s">
        <v>432</v>
      </c>
      <c r="K45" s="107" t="s">
        <v>432</v>
      </c>
      <c r="L45" s="107" t="s">
        <v>432</v>
      </c>
      <c r="M45" s="107" t="s">
        <v>432</v>
      </c>
      <c r="N45" s="107" t="s">
        <v>432</v>
      </c>
      <c r="O45" s="107" t="s">
        <v>432</v>
      </c>
      <c r="P45" s="83">
        <v>6</v>
      </c>
      <c r="Q45" s="107" t="s">
        <v>432</v>
      </c>
      <c r="R45" s="83">
        <v>4</v>
      </c>
      <c r="S45" s="109" t="s">
        <v>2209</v>
      </c>
      <c r="T45" s="107" t="s">
        <v>432</v>
      </c>
      <c r="U45" s="83">
        <v>7</v>
      </c>
      <c r="V45" s="109" t="s">
        <v>2209</v>
      </c>
      <c r="W45" s="83">
        <v>8.31</v>
      </c>
      <c r="X45" s="83">
        <v>8.89</v>
      </c>
      <c r="Y45" s="83">
        <v>12.15</v>
      </c>
      <c r="Z45" s="83">
        <v>14.26</v>
      </c>
      <c r="AA45" s="83">
        <v>13</v>
      </c>
      <c r="AB45" s="83">
        <v>10.77</v>
      </c>
      <c r="AC45" s="83">
        <v>10.52</v>
      </c>
      <c r="AD45" s="83">
        <v>16.52</v>
      </c>
      <c r="AE45" s="107" t="s">
        <v>2208</v>
      </c>
      <c r="AF45" s="83">
        <v>21.33</v>
      </c>
      <c r="AG45" s="83">
        <v>14.56</v>
      </c>
      <c r="AH45" s="107" t="s">
        <v>2208</v>
      </c>
      <c r="AI45" s="83">
        <v>25</v>
      </c>
      <c r="AJ45" s="107" t="s">
        <v>2208</v>
      </c>
      <c r="AK45" s="422" t="s">
        <v>1521</v>
      </c>
      <c r="AL45" s="600" t="s">
        <v>432</v>
      </c>
      <c r="AM45" s="137" t="s">
        <v>432</v>
      </c>
      <c r="AN45" s="137" t="s">
        <v>432</v>
      </c>
      <c r="AO45" s="137" t="s">
        <v>432</v>
      </c>
      <c r="AP45" s="137" t="s">
        <v>432</v>
      </c>
      <c r="AQ45" s="137" t="s">
        <v>432</v>
      </c>
      <c r="AR45" s="137" t="s">
        <v>432</v>
      </c>
      <c r="AS45" s="137" t="s">
        <v>432</v>
      </c>
      <c r="AT45" s="137" t="s">
        <v>432</v>
      </c>
      <c r="AU45" s="137" t="s">
        <v>432</v>
      </c>
      <c r="AV45" s="137" t="s">
        <v>432</v>
      </c>
      <c r="AW45" s="137" t="s">
        <v>432</v>
      </c>
      <c r="AX45" s="137" t="s">
        <v>432</v>
      </c>
      <c r="AY45" s="137" t="s">
        <v>432</v>
      </c>
      <c r="AZ45" s="137" t="s">
        <v>432</v>
      </c>
      <c r="BA45" s="137" t="s">
        <v>432</v>
      </c>
      <c r="BB45" s="239" t="str">
        <f t="shared" si="8"/>
        <v>Avaliações em pesquisas externas de opiniãox</v>
      </c>
      <c r="BC45" s="239" t="str">
        <f t="shared" si="9"/>
        <v>Avaliações em pesquisas externas de opiniãoxx</v>
      </c>
      <c r="BD45" s="239" t="str">
        <f t="shared" si="10"/>
        <v>Avaliações em pesquisas externas de opiniãox</v>
      </c>
    </row>
    <row r="46" spans="1:56" s="3" customFormat="1" ht="51" customHeight="1" x14ac:dyDescent="0.25">
      <c r="A46" s="275" t="str">
        <f>'Q100b-totais'!$B$26</f>
        <v>3.2.1</v>
      </c>
      <c r="B46" s="252" t="str">
        <f>'Q100b-totais'!$C$26</f>
        <v>Avaliações em pesquisas externas de opinião</v>
      </c>
      <c r="C46" s="167" t="s">
        <v>432</v>
      </c>
      <c r="D46" s="323" t="s">
        <v>46</v>
      </c>
      <c r="E46" s="1491" t="s">
        <v>1306</v>
      </c>
      <c r="F46" s="11" t="s">
        <v>1516</v>
      </c>
      <c r="G46" s="110" t="s">
        <v>20</v>
      </c>
      <c r="H46" s="173" t="s">
        <v>432</v>
      </c>
      <c r="I46" s="167">
        <v>1</v>
      </c>
      <c r="J46" s="107" t="s">
        <v>432</v>
      </c>
      <c r="K46" s="107" t="s">
        <v>432</v>
      </c>
      <c r="L46" s="107" t="s">
        <v>432</v>
      </c>
      <c r="M46" s="107" t="s">
        <v>432</v>
      </c>
      <c r="N46" s="107" t="s">
        <v>432</v>
      </c>
      <c r="O46" s="107" t="s">
        <v>432</v>
      </c>
      <c r="P46" s="83">
        <v>39</v>
      </c>
      <c r="Q46" s="107" t="s">
        <v>432</v>
      </c>
      <c r="R46" s="83">
        <v>37</v>
      </c>
      <c r="S46" s="109" t="s">
        <v>2209</v>
      </c>
      <c r="T46" s="107" t="s">
        <v>432</v>
      </c>
      <c r="U46" s="85">
        <v>46</v>
      </c>
      <c r="V46" s="109" t="s">
        <v>2209</v>
      </c>
      <c r="W46" s="83">
        <v>45.14</v>
      </c>
      <c r="X46" s="83">
        <v>45.11</v>
      </c>
      <c r="Y46" s="83">
        <v>36.81</v>
      </c>
      <c r="Z46" s="83">
        <v>34.99</v>
      </c>
      <c r="AA46" s="83">
        <v>42</v>
      </c>
      <c r="AB46" s="83">
        <v>49.07</v>
      </c>
      <c r="AC46" s="83">
        <v>42.96</v>
      </c>
      <c r="AD46" s="83">
        <v>48.52</v>
      </c>
      <c r="AE46" s="107" t="s">
        <v>2208</v>
      </c>
      <c r="AF46" s="83">
        <v>45.7</v>
      </c>
      <c r="AG46" s="85">
        <v>40.98</v>
      </c>
      <c r="AH46" s="107" t="s">
        <v>2208</v>
      </c>
      <c r="AI46" s="83">
        <v>26</v>
      </c>
      <c r="AJ46" s="107" t="s">
        <v>2208</v>
      </c>
      <c r="AK46" s="422" t="s">
        <v>1521</v>
      </c>
      <c r="AL46" s="600" t="s">
        <v>432</v>
      </c>
      <c r="AM46" s="137" t="s">
        <v>432</v>
      </c>
      <c r="AN46" s="137" t="s">
        <v>432</v>
      </c>
      <c r="AO46" s="137" t="s">
        <v>432</v>
      </c>
      <c r="AP46" s="137" t="s">
        <v>432</v>
      </c>
      <c r="AQ46" s="137" t="s">
        <v>432</v>
      </c>
      <c r="AR46" s="137" t="s">
        <v>432</v>
      </c>
      <c r="AS46" s="137" t="s">
        <v>432</v>
      </c>
      <c r="AT46" s="137" t="s">
        <v>432</v>
      </c>
      <c r="AU46" s="137" t="s">
        <v>432</v>
      </c>
      <c r="AV46" s="137" t="s">
        <v>432</v>
      </c>
      <c r="AW46" s="137" t="s">
        <v>432</v>
      </c>
      <c r="AX46" s="137" t="s">
        <v>432</v>
      </c>
      <c r="AY46" s="137" t="s">
        <v>432</v>
      </c>
      <c r="AZ46" s="137" t="s">
        <v>432</v>
      </c>
      <c r="BA46" s="137" t="s">
        <v>432</v>
      </c>
      <c r="BB46" s="239" t="str">
        <f t="shared" si="8"/>
        <v>Avaliações em pesquisas externas de opiniãox</v>
      </c>
      <c r="BC46" s="239" t="str">
        <f t="shared" si="9"/>
        <v>Avaliações em pesquisas externas de opiniãoxx</v>
      </c>
      <c r="BD46" s="239" t="str">
        <f t="shared" si="10"/>
        <v>Avaliações em pesquisas externas de opiniãox</v>
      </c>
    </row>
    <row r="47" spans="1:56" s="3" customFormat="1" ht="15.75" customHeight="1" x14ac:dyDescent="0.25">
      <c r="A47" s="398"/>
      <c r="B47" s="399"/>
      <c r="C47" s="399"/>
      <c r="D47" s="970"/>
      <c r="E47" s="1495"/>
      <c r="F47" s="221"/>
      <c r="G47" s="399"/>
      <c r="H47" s="221"/>
      <c r="I47" s="399"/>
      <c r="J47" s="221"/>
      <c r="K47" s="221"/>
      <c r="L47" s="221"/>
      <c r="M47" s="221"/>
      <c r="N47" s="221"/>
      <c r="O47" s="403"/>
      <c r="P47" s="403"/>
      <c r="Q47" s="223"/>
      <c r="R47" s="403"/>
      <c r="S47" s="109" t="s">
        <v>2209</v>
      </c>
      <c r="T47" s="403"/>
      <c r="U47" s="403"/>
      <c r="V47" s="109" t="s">
        <v>2209</v>
      </c>
      <c r="W47" s="403"/>
      <c r="X47" s="403"/>
      <c r="Y47" s="403"/>
      <c r="Z47" s="403"/>
      <c r="AA47" s="403"/>
      <c r="AB47" s="403"/>
      <c r="AC47" s="403"/>
      <c r="AD47" s="403"/>
      <c r="AE47" s="403"/>
      <c r="AF47" s="403"/>
      <c r="AG47" s="403"/>
      <c r="AH47" s="403"/>
      <c r="AI47" s="403"/>
      <c r="AJ47" s="403"/>
      <c r="AK47" s="221"/>
      <c r="AL47" s="600" t="s">
        <v>432</v>
      </c>
      <c r="AM47" s="223"/>
      <c r="AN47" s="223"/>
      <c r="AO47" s="223"/>
      <c r="AP47" s="223"/>
      <c r="AQ47" s="223"/>
      <c r="AR47" s="223"/>
      <c r="AS47" s="223"/>
      <c r="AT47" s="223"/>
      <c r="AU47" s="223"/>
      <c r="AV47" s="223"/>
      <c r="AW47" s="137" t="s">
        <v>432</v>
      </c>
      <c r="AX47" s="223"/>
      <c r="AY47" s="223"/>
      <c r="AZ47" s="223"/>
      <c r="BA47" s="223"/>
      <c r="BB47" s="400"/>
      <c r="BC47" s="400"/>
      <c r="BD47" s="400"/>
    </row>
    <row r="48" spans="1:56" s="3" customFormat="1" ht="75" customHeight="1" x14ac:dyDescent="0.25">
      <c r="A48" s="262" t="str">
        <f>'Q100b-totais'!B26</f>
        <v>3.2.1</v>
      </c>
      <c r="B48" s="252" t="str">
        <f>'Q100b-totais'!C26</f>
        <v>Avaliações em pesquisas externas de opinião</v>
      </c>
      <c r="C48" s="167" t="s">
        <v>432</v>
      </c>
      <c r="D48" s="325" t="s">
        <v>2513</v>
      </c>
      <c r="E48" s="1445" t="s">
        <v>1306</v>
      </c>
      <c r="F48" s="11" t="s">
        <v>2511</v>
      </c>
      <c r="G48" s="57" t="s">
        <v>768</v>
      </c>
      <c r="H48" s="57" t="s">
        <v>765</v>
      </c>
      <c r="I48" s="167" t="s">
        <v>432</v>
      </c>
      <c r="J48" s="107" t="s">
        <v>2516</v>
      </c>
      <c r="K48" s="107" t="s">
        <v>2516</v>
      </c>
      <c r="L48" s="107" t="s">
        <v>2516</v>
      </c>
      <c r="M48" s="107" t="s">
        <v>2516</v>
      </c>
      <c r="N48" s="107" t="s">
        <v>2516</v>
      </c>
      <c r="O48" s="107" t="s">
        <v>2516</v>
      </c>
      <c r="P48" s="107" t="s">
        <v>2516</v>
      </c>
      <c r="Q48" s="107" t="s">
        <v>2516</v>
      </c>
      <c r="R48" s="107" t="s">
        <v>2516</v>
      </c>
      <c r="S48" s="109" t="s">
        <v>2209</v>
      </c>
      <c r="T48" s="107" t="s">
        <v>2516</v>
      </c>
      <c r="U48" s="107" t="s">
        <v>2516</v>
      </c>
      <c r="V48" s="109" t="s">
        <v>2209</v>
      </c>
      <c r="W48" s="107" t="s">
        <v>2516</v>
      </c>
      <c r="X48" s="107" t="s">
        <v>2516</v>
      </c>
      <c r="Y48" s="107" t="s">
        <v>2516</v>
      </c>
      <c r="Z48" s="107" t="s">
        <v>2516</v>
      </c>
      <c r="AA48" s="107" t="s">
        <v>2516</v>
      </c>
      <c r="AB48" s="107" t="s">
        <v>2516</v>
      </c>
      <c r="AC48" s="107" t="s">
        <v>2516</v>
      </c>
      <c r="AD48" s="107" t="s">
        <v>2516</v>
      </c>
      <c r="AE48" s="107" t="s">
        <v>2516</v>
      </c>
      <c r="AF48" s="107" t="s">
        <v>2516</v>
      </c>
      <c r="AG48" s="107" t="s">
        <v>2516</v>
      </c>
      <c r="AH48" s="107" t="s">
        <v>2516</v>
      </c>
      <c r="AI48" s="107" t="s">
        <v>2516</v>
      </c>
      <c r="AJ48" s="107" t="s">
        <v>2516</v>
      </c>
      <c r="AK48" s="107" t="s">
        <v>2516</v>
      </c>
      <c r="AL48" s="600" t="s">
        <v>432</v>
      </c>
      <c r="AM48" s="137" t="s">
        <v>432</v>
      </c>
      <c r="AN48" s="137" t="s">
        <v>432</v>
      </c>
      <c r="AO48" s="137" t="s">
        <v>432</v>
      </c>
      <c r="AP48" s="137" t="s">
        <v>432</v>
      </c>
      <c r="AQ48" s="95">
        <v>0.3</v>
      </c>
      <c r="AR48" s="137" t="s">
        <v>432</v>
      </c>
      <c r="AS48" s="137" t="s">
        <v>432</v>
      </c>
      <c r="AT48" s="137" t="s">
        <v>432</v>
      </c>
      <c r="AU48" s="137" t="s">
        <v>432</v>
      </c>
      <c r="AV48" s="95">
        <v>0.5</v>
      </c>
      <c r="AW48" s="137" t="s">
        <v>432</v>
      </c>
      <c r="AX48" s="877" t="s">
        <v>432</v>
      </c>
      <c r="AY48" s="877" t="s">
        <v>432</v>
      </c>
      <c r="AZ48" s="877" t="s">
        <v>432</v>
      </c>
      <c r="BA48" s="95">
        <v>0.6</v>
      </c>
      <c r="BB48" s="239" t="str">
        <f t="shared" ref="BB48:BB53" si="17">B48&amp;C48</f>
        <v>Avaliações em pesquisas externas de opiniãox</v>
      </c>
      <c r="BC48" s="239" t="str">
        <f t="shared" ref="BC48:BC53" si="18">B48&amp;C48&amp;H48</f>
        <v>Avaliações em pesquisas externas de opiniãoxmeta/RPI</v>
      </c>
      <c r="BD48" s="239" t="str">
        <f t="shared" ref="BD48:BD53" si="19">B48&amp;H48</f>
        <v>Avaliações em pesquisas externas de opiniãometa/RPI</v>
      </c>
    </row>
    <row r="49" spans="1:56" s="3" customFormat="1" ht="71.25" customHeight="1" x14ac:dyDescent="0.25">
      <c r="A49" s="262" t="str">
        <f>'Q100b-totais'!B26</f>
        <v>3.2.1</v>
      </c>
      <c r="B49" s="252" t="str">
        <f>'Q100b-totais'!C26</f>
        <v>Avaliações em pesquisas externas de opinião</v>
      </c>
      <c r="C49" s="167" t="s">
        <v>432</v>
      </c>
      <c r="D49" s="847" t="s">
        <v>2514</v>
      </c>
      <c r="E49" s="1496" t="s">
        <v>1306</v>
      </c>
      <c r="F49" s="54" t="s">
        <v>2512</v>
      </c>
      <c r="G49" s="230" t="s">
        <v>768</v>
      </c>
      <c r="H49" s="169" t="s">
        <v>765</v>
      </c>
      <c r="I49" s="167" t="s">
        <v>432</v>
      </c>
      <c r="J49" s="107" t="s">
        <v>2516</v>
      </c>
      <c r="K49" s="107" t="s">
        <v>2516</v>
      </c>
      <c r="L49" s="107" t="s">
        <v>2516</v>
      </c>
      <c r="M49" s="107" t="s">
        <v>2516</v>
      </c>
      <c r="N49" s="107" t="s">
        <v>2516</v>
      </c>
      <c r="O49" s="107" t="s">
        <v>2516</v>
      </c>
      <c r="P49" s="107" t="s">
        <v>2516</v>
      </c>
      <c r="Q49" s="107" t="s">
        <v>2516</v>
      </c>
      <c r="R49" s="107" t="s">
        <v>2516</v>
      </c>
      <c r="S49" s="109" t="s">
        <v>2209</v>
      </c>
      <c r="T49" s="107" t="s">
        <v>2516</v>
      </c>
      <c r="U49" s="107" t="s">
        <v>2516</v>
      </c>
      <c r="V49" s="109" t="s">
        <v>2209</v>
      </c>
      <c r="W49" s="107" t="s">
        <v>2516</v>
      </c>
      <c r="X49" s="107" t="s">
        <v>2516</v>
      </c>
      <c r="Y49" s="107" t="s">
        <v>2516</v>
      </c>
      <c r="Z49" s="107" t="s">
        <v>2516</v>
      </c>
      <c r="AA49" s="107" t="s">
        <v>2516</v>
      </c>
      <c r="AB49" s="107" t="s">
        <v>2516</v>
      </c>
      <c r="AC49" s="107" t="s">
        <v>2516</v>
      </c>
      <c r="AD49" s="107" t="s">
        <v>2516</v>
      </c>
      <c r="AE49" s="107" t="s">
        <v>2516</v>
      </c>
      <c r="AF49" s="107" t="s">
        <v>2516</v>
      </c>
      <c r="AG49" s="107" t="s">
        <v>2516</v>
      </c>
      <c r="AH49" s="107" t="s">
        <v>2516</v>
      </c>
      <c r="AI49" s="107" t="s">
        <v>2516</v>
      </c>
      <c r="AJ49" s="107" t="s">
        <v>2516</v>
      </c>
      <c r="AK49" s="107" t="s">
        <v>2516</v>
      </c>
      <c r="AL49" s="600" t="s">
        <v>432</v>
      </c>
      <c r="AM49" s="137" t="s">
        <v>432</v>
      </c>
      <c r="AN49" s="137" t="s">
        <v>432</v>
      </c>
      <c r="AO49" s="137" t="s">
        <v>432</v>
      </c>
      <c r="AP49" s="137" t="s">
        <v>432</v>
      </c>
      <c r="AQ49" s="95">
        <v>0.15</v>
      </c>
      <c r="AR49" s="137" t="s">
        <v>432</v>
      </c>
      <c r="AS49" s="137" t="s">
        <v>432</v>
      </c>
      <c r="AT49" s="137" t="s">
        <v>432</v>
      </c>
      <c r="AU49" s="137" t="s">
        <v>432</v>
      </c>
      <c r="AV49" s="95">
        <v>0.25</v>
      </c>
      <c r="AW49" s="137" t="s">
        <v>432</v>
      </c>
      <c r="AX49" s="877" t="s">
        <v>432</v>
      </c>
      <c r="AY49" s="877" t="s">
        <v>432</v>
      </c>
      <c r="AZ49" s="877" t="s">
        <v>432</v>
      </c>
      <c r="BA49" s="95">
        <v>0.3</v>
      </c>
      <c r="BB49" s="239" t="str">
        <f t="shared" si="17"/>
        <v>Avaliações em pesquisas externas de opiniãox</v>
      </c>
      <c r="BC49" s="239" t="str">
        <f t="shared" si="18"/>
        <v>Avaliações em pesquisas externas de opiniãoxmeta/RPI</v>
      </c>
      <c r="BD49" s="239" t="str">
        <f t="shared" si="19"/>
        <v>Avaliações em pesquisas externas de opiniãometa/RPI</v>
      </c>
    </row>
    <row r="50" spans="1:56" s="3" customFormat="1" ht="49.5" customHeight="1" x14ac:dyDescent="0.25">
      <c r="A50" s="262" t="s">
        <v>432</v>
      </c>
      <c r="B50" s="252" t="s">
        <v>742</v>
      </c>
      <c r="C50" s="167" t="s">
        <v>432</v>
      </c>
      <c r="D50" s="325" t="s">
        <v>47</v>
      </c>
      <c r="E50" s="1445" t="s">
        <v>432</v>
      </c>
      <c r="F50" s="252" t="s">
        <v>2839</v>
      </c>
      <c r="G50" s="167" t="s">
        <v>3879</v>
      </c>
      <c r="H50" s="167" t="s">
        <v>432</v>
      </c>
      <c r="I50" s="167" t="s">
        <v>432</v>
      </c>
      <c r="J50" s="109" t="s">
        <v>432</v>
      </c>
      <c r="K50" s="109" t="s">
        <v>432</v>
      </c>
      <c r="L50" s="109" t="s">
        <v>432</v>
      </c>
      <c r="M50" s="109" t="s">
        <v>432</v>
      </c>
      <c r="N50" s="109" t="s">
        <v>432</v>
      </c>
      <c r="O50" s="109" t="s">
        <v>432</v>
      </c>
      <c r="P50" s="109" t="s">
        <v>432</v>
      </c>
      <c r="Q50" s="109" t="s">
        <v>432</v>
      </c>
      <c r="R50" s="109" t="s">
        <v>432</v>
      </c>
      <c r="S50" s="109" t="s">
        <v>2209</v>
      </c>
      <c r="T50" s="109" t="s">
        <v>432</v>
      </c>
      <c r="U50" s="109" t="s">
        <v>432</v>
      </c>
      <c r="V50" s="109" t="s">
        <v>2209</v>
      </c>
      <c r="W50" s="109" t="s">
        <v>432</v>
      </c>
      <c r="X50" s="109" t="s">
        <v>432</v>
      </c>
      <c r="Y50" s="109" t="s">
        <v>432</v>
      </c>
      <c r="Z50" s="109" t="s">
        <v>432</v>
      </c>
      <c r="AA50" s="109" t="s">
        <v>432</v>
      </c>
      <c r="AB50" s="109" t="s">
        <v>432</v>
      </c>
      <c r="AC50" s="109" t="s">
        <v>432</v>
      </c>
      <c r="AD50" s="109" t="s">
        <v>432</v>
      </c>
      <c r="AE50" s="109" t="s">
        <v>432</v>
      </c>
      <c r="AF50" s="109" t="s">
        <v>432</v>
      </c>
      <c r="AG50" s="109" t="s">
        <v>432</v>
      </c>
      <c r="AH50" s="109" t="s">
        <v>432</v>
      </c>
      <c r="AI50" s="109" t="s">
        <v>432</v>
      </c>
      <c r="AJ50" s="109" t="s">
        <v>432</v>
      </c>
      <c r="AK50" s="877" t="s">
        <v>432</v>
      </c>
      <c r="AL50" s="600" t="s">
        <v>432</v>
      </c>
      <c r="AM50" s="877" t="s">
        <v>432</v>
      </c>
      <c r="AN50" s="877" t="s">
        <v>432</v>
      </c>
      <c r="AO50" s="877" t="s">
        <v>432</v>
      </c>
      <c r="AP50" s="877" t="s">
        <v>432</v>
      </c>
      <c r="AQ50" s="877" t="s">
        <v>432</v>
      </c>
      <c r="AR50" s="137" t="s">
        <v>432</v>
      </c>
      <c r="AS50" s="137" t="s">
        <v>432</v>
      </c>
      <c r="AT50" s="137" t="s">
        <v>432</v>
      </c>
      <c r="AU50" s="137" t="s">
        <v>432</v>
      </c>
      <c r="AV50" s="877" t="s">
        <v>432</v>
      </c>
      <c r="AW50" s="137" t="s">
        <v>432</v>
      </c>
      <c r="AX50" s="877" t="s">
        <v>432</v>
      </c>
      <c r="AY50" s="877" t="s">
        <v>432</v>
      </c>
      <c r="AZ50" s="877" t="s">
        <v>432</v>
      </c>
      <c r="BA50" s="877" t="s">
        <v>432</v>
      </c>
      <c r="BB50" s="239" t="str">
        <f t="shared" si="17"/>
        <v>geralx</v>
      </c>
      <c r="BC50" s="239" t="str">
        <f t="shared" si="18"/>
        <v>geralxx</v>
      </c>
      <c r="BD50" s="239" t="str">
        <f t="shared" si="19"/>
        <v>geralx</v>
      </c>
    </row>
    <row r="51" spans="1:56" s="3" customFormat="1" ht="25.5" customHeight="1" x14ac:dyDescent="0.25">
      <c r="A51" s="262" t="s">
        <v>432</v>
      </c>
      <c r="B51" s="252" t="s">
        <v>742</v>
      </c>
      <c r="C51" s="167" t="s">
        <v>432</v>
      </c>
      <c r="D51" s="325" t="s">
        <v>2515</v>
      </c>
      <c r="E51" s="1445" t="s">
        <v>432</v>
      </c>
      <c r="F51" s="11" t="s">
        <v>5471</v>
      </c>
      <c r="G51" s="167" t="s">
        <v>3719</v>
      </c>
      <c r="H51" s="173" t="s">
        <v>2408</v>
      </c>
      <c r="I51" s="167" t="s">
        <v>432</v>
      </c>
      <c r="J51" s="107" t="s">
        <v>432</v>
      </c>
      <c r="K51" s="107" t="s">
        <v>432</v>
      </c>
      <c r="L51" s="107" t="s">
        <v>432</v>
      </c>
      <c r="M51" s="107" t="s">
        <v>432</v>
      </c>
      <c r="N51" s="107" t="s">
        <v>432</v>
      </c>
      <c r="O51" s="107" t="s">
        <v>432</v>
      </c>
      <c r="P51" s="107" t="s">
        <v>432</v>
      </c>
      <c r="Q51" s="107" t="s">
        <v>432</v>
      </c>
      <c r="R51" s="107" t="s">
        <v>432</v>
      </c>
      <c r="S51" s="109" t="s">
        <v>2209</v>
      </c>
      <c r="T51" s="107" t="s">
        <v>432</v>
      </c>
      <c r="U51" s="107" t="s">
        <v>432</v>
      </c>
      <c r="V51" s="109" t="s">
        <v>2209</v>
      </c>
      <c r="W51" s="107" t="s">
        <v>432</v>
      </c>
      <c r="X51" s="107" t="s">
        <v>432</v>
      </c>
      <c r="Y51" s="107" t="s">
        <v>432</v>
      </c>
      <c r="Z51" s="107" t="s">
        <v>432</v>
      </c>
      <c r="AA51" s="107" t="s">
        <v>432</v>
      </c>
      <c r="AB51" s="107" t="s">
        <v>432</v>
      </c>
      <c r="AC51" s="107" t="s">
        <v>432</v>
      </c>
      <c r="AD51" s="107" t="s">
        <v>432</v>
      </c>
      <c r="AE51" s="107" t="s">
        <v>432</v>
      </c>
      <c r="AF51" s="107" t="s">
        <v>432</v>
      </c>
      <c r="AG51" s="107" t="s">
        <v>432</v>
      </c>
      <c r="AH51" s="107" t="s">
        <v>432</v>
      </c>
      <c r="AI51" s="107" t="s">
        <v>432</v>
      </c>
      <c r="AJ51" s="107" t="s">
        <v>432</v>
      </c>
      <c r="AK51" s="137" t="s">
        <v>432</v>
      </c>
      <c r="AL51" s="600" t="s">
        <v>432</v>
      </c>
      <c r="AM51" s="137" t="s">
        <v>432</v>
      </c>
      <c r="AN51" s="137" t="s">
        <v>432</v>
      </c>
      <c r="AO51" s="137" t="s">
        <v>432</v>
      </c>
      <c r="AP51" s="137" t="s">
        <v>432</v>
      </c>
      <c r="AQ51" s="137" t="s">
        <v>432</v>
      </c>
      <c r="AR51" s="137" t="s">
        <v>432</v>
      </c>
      <c r="AS51" s="137" t="s">
        <v>432</v>
      </c>
      <c r="AT51" s="137" t="s">
        <v>432</v>
      </c>
      <c r="AU51" s="137" t="s">
        <v>432</v>
      </c>
      <c r="AV51" s="137" t="s">
        <v>432</v>
      </c>
      <c r="AW51" s="137" t="s">
        <v>432</v>
      </c>
      <c r="AX51" s="137" t="s">
        <v>432</v>
      </c>
      <c r="AY51" s="137" t="s">
        <v>432</v>
      </c>
      <c r="AZ51" s="137" t="s">
        <v>432</v>
      </c>
      <c r="BA51" s="137" t="s">
        <v>432</v>
      </c>
      <c r="BB51" s="239" t="str">
        <f t="shared" si="17"/>
        <v>geralx</v>
      </c>
      <c r="BC51" s="239" t="str">
        <f t="shared" si="18"/>
        <v>geralxsigla/verbete</v>
      </c>
      <c r="BD51" s="239" t="str">
        <f t="shared" si="19"/>
        <v>geralsigla/verbete</v>
      </c>
    </row>
    <row r="52" spans="1:56" s="3" customFormat="1" ht="49.5" customHeight="1" x14ac:dyDescent="0.25">
      <c r="A52" s="262" t="s">
        <v>432</v>
      </c>
      <c r="B52" s="252" t="s">
        <v>742</v>
      </c>
      <c r="C52" s="167" t="s">
        <v>432</v>
      </c>
      <c r="D52" s="325" t="s">
        <v>2838</v>
      </c>
      <c r="E52" s="1445" t="s">
        <v>432</v>
      </c>
      <c r="F52" s="252" t="s">
        <v>2840</v>
      </c>
      <c r="G52" s="167" t="s">
        <v>3879</v>
      </c>
      <c r="H52" s="167" t="s">
        <v>432</v>
      </c>
      <c r="I52" s="167" t="s">
        <v>432</v>
      </c>
      <c r="J52" s="109" t="s">
        <v>432</v>
      </c>
      <c r="K52" s="109" t="s">
        <v>432</v>
      </c>
      <c r="L52" s="109" t="s">
        <v>432</v>
      </c>
      <c r="M52" s="109" t="s">
        <v>432</v>
      </c>
      <c r="N52" s="109" t="s">
        <v>432</v>
      </c>
      <c r="O52" s="109" t="s">
        <v>432</v>
      </c>
      <c r="P52" s="109" t="s">
        <v>432</v>
      </c>
      <c r="Q52" s="109" t="s">
        <v>432</v>
      </c>
      <c r="R52" s="109" t="s">
        <v>432</v>
      </c>
      <c r="S52" s="109" t="s">
        <v>2209</v>
      </c>
      <c r="T52" s="109" t="s">
        <v>432</v>
      </c>
      <c r="U52" s="109" t="s">
        <v>432</v>
      </c>
      <c r="V52" s="109" t="s">
        <v>2209</v>
      </c>
      <c r="W52" s="109" t="s">
        <v>432</v>
      </c>
      <c r="X52" s="109" t="s">
        <v>432</v>
      </c>
      <c r="Y52" s="109" t="s">
        <v>432</v>
      </c>
      <c r="Z52" s="109" t="s">
        <v>432</v>
      </c>
      <c r="AA52" s="109" t="s">
        <v>432</v>
      </c>
      <c r="AB52" s="109" t="s">
        <v>432</v>
      </c>
      <c r="AC52" s="109" t="s">
        <v>432</v>
      </c>
      <c r="AD52" s="109" t="s">
        <v>432</v>
      </c>
      <c r="AE52" s="109" t="s">
        <v>432</v>
      </c>
      <c r="AF52" s="109" t="s">
        <v>432</v>
      </c>
      <c r="AG52" s="109" t="s">
        <v>432</v>
      </c>
      <c r="AH52" s="109" t="s">
        <v>432</v>
      </c>
      <c r="AI52" s="109" t="s">
        <v>432</v>
      </c>
      <c r="AJ52" s="109" t="s">
        <v>432</v>
      </c>
      <c r="AK52" s="877" t="s">
        <v>432</v>
      </c>
      <c r="AL52" s="600" t="s">
        <v>432</v>
      </c>
      <c r="AM52" s="877" t="s">
        <v>432</v>
      </c>
      <c r="AN52" s="877" t="s">
        <v>432</v>
      </c>
      <c r="AO52" s="877" t="s">
        <v>432</v>
      </c>
      <c r="AP52" s="877" t="s">
        <v>432</v>
      </c>
      <c r="AQ52" s="877" t="s">
        <v>432</v>
      </c>
      <c r="AR52" s="137" t="s">
        <v>432</v>
      </c>
      <c r="AS52" s="137" t="s">
        <v>432</v>
      </c>
      <c r="AT52" s="137" t="s">
        <v>432</v>
      </c>
      <c r="AU52" s="137" t="s">
        <v>432</v>
      </c>
      <c r="AV52" s="877" t="s">
        <v>432</v>
      </c>
      <c r="AW52" s="137" t="s">
        <v>432</v>
      </c>
      <c r="AX52" s="877" t="s">
        <v>432</v>
      </c>
      <c r="AY52" s="877" t="s">
        <v>432</v>
      </c>
      <c r="AZ52" s="877" t="s">
        <v>432</v>
      </c>
      <c r="BA52" s="877" t="s">
        <v>432</v>
      </c>
      <c r="BB52" s="239" t="str">
        <f t="shared" si="17"/>
        <v>geralx</v>
      </c>
      <c r="BC52" s="239" t="str">
        <f t="shared" si="18"/>
        <v>geralxx</v>
      </c>
      <c r="BD52" s="239" t="str">
        <f t="shared" si="19"/>
        <v>geralx</v>
      </c>
    </row>
    <row r="53" spans="1:56" s="3" customFormat="1" ht="51" customHeight="1" x14ac:dyDescent="0.25">
      <c r="A53" s="262" t="s">
        <v>432</v>
      </c>
      <c r="B53" s="252" t="s">
        <v>742</v>
      </c>
      <c r="C53" s="167" t="s">
        <v>432</v>
      </c>
      <c r="D53" s="847" t="s">
        <v>48</v>
      </c>
      <c r="E53" s="1496" t="s">
        <v>432</v>
      </c>
      <c r="F53" s="11" t="s">
        <v>49</v>
      </c>
      <c r="G53" s="167" t="s">
        <v>3879</v>
      </c>
      <c r="H53" s="167" t="s">
        <v>432</v>
      </c>
      <c r="I53" s="167" t="s">
        <v>432</v>
      </c>
      <c r="J53" s="107" t="s">
        <v>432</v>
      </c>
      <c r="K53" s="107" t="s">
        <v>432</v>
      </c>
      <c r="L53" s="107" t="s">
        <v>432</v>
      </c>
      <c r="M53" s="107" t="s">
        <v>432</v>
      </c>
      <c r="N53" s="107" t="s">
        <v>432</v>
      </c>
      <c r="O53" s="107" t="s">
        <v>432</v>
      </c>
      <c r="P53" s="107" t="s">
        <v>432</v>
      </c>
      <c r="Q53" s="107" t="s">
        <v>432</v>
      </c>
      <c r="R53" s="107" t="s">
        <v>432</v>
      </c>
      <c r="S53" s="109" t="s">
        <v>2209</v>
      </c>
      <c r="T53" s="107" t="s">
        <v>432</v>
      </c>
      <c r="U53" s="107" t="s">
        <v>432</v>
      </c>
      <c r="V53" s="109" t="s">
        <v>2209</v>
      </c>
      <c r="W53" s="107" t="s">
        <v>432</v>
      </c>
      <c r="X53" s="107" t="s">
        <v>432</v>
      </c>
      <c r="Y53" s="107" t="s">
        <v>432</v>
      </c>
      <c r="Z53" s="107" t="s">
        <v>432</v>
      </c>
      <c r="AA53" s="107" t="s">
        <v>432</v>
      </c>
      <c r="AB53" s="107" t="s">
        <v>432</v>
      </c>
      <c r="AC53" s="107" t="s">
        <v>432</v>
      </c>
      <c r="AD53" s="107" t="s">
        <v>432</v>
      </c>
      <c r="AE53" s="107" t="s">
        <v>432</v>
      </c>
      <c r="AF53" s="107" t="s">
        <v>432</v>
      </c>
      <c r="AG53" s="107" t="s">
        <v>432</v>
      </c>
      <c r="AH53" s="107" t="s">
        <v>432</v>
      </c>
      <c r="AI53" s="107" t="s">
        <v>432</v>
      </c>
      <c r="AJ53" s="107" t="s">
        <v>432</v>
      </c>
      <c r="AK53" s="107" t="s">
        <v>432</v>
      </c>
      <c r="AL53" s="600" t="s">
        <v>432</v>
      </c>
      <c r="AM53" s="137" t="s">
        <v>432</v>
      </c>
      <c r="AN53" s="137" t="s">
        <v>432</v>
      </c>
      <c r="AO53" s="137" t="s">
        <v>432</v>
      </c>
      <c r="AP53" s="137" t="s">
        <v>432</v>
      </c>
      <c r="AQ53" s="137" t="s">
        <v>432</v>
      </c>
      <c r="AR53" s="137" t="s">
        <v>432</v>
      </c>
      <c r="AS53" s="137" t="s">
        <v>432</v>
      </c>
      <c r="AT53" s="137" t="s">
        <v>432</v>
      </c>
      <c r="AU53" s="137" t="s">
        <v>432</v>
      </c>
      <c r="AV53" s="137" t="s">
        <v>432</v>
      </c>
      <c r="AW53" s="137" t="s">
        <v>432</v>
      </c>
      <c r="AX53" s="137" t="s">
        <v>432</v>
      </c>
      <c r="AY53" s="137" t="s">
        <v>432</v>
      </c>
      <c r="AZ53" s="137" t="s">
        <v>432</v>
      </c>
      <c r="BA53" s="137" t="s">
        <v>432</v>
      </c>
      <c r="BB53" s="239" t="str">
        <f t="shared" si="17"/>
        <v>geralx</v>
      </c>
      <c r="BC53" s="239" t="str">
        <f t="shared" si="18"/>
        <v>geralxx</v>
      </c>
      <c r="BD53" s="239" t="str">
        <f t="shared" si="19"/>
        <v>geralx</v>
      </c>
    </row>
    <row r="54" spans="1:56" s="3" customFormat="1" ht="15.75" customHeight="1" x14ac:dyDescent="0.25">
      <c r="A54" s="402"/>
      <c r="B54" s="399"/>
      <c r="C54" s="399"/>
      <c r="D54" s="970"/>
      <c r="E54" s="1495"/>
      <c r="F54" s="221"/>
      <c r="G54" s="221"/>
      <c r="H54" s="221"/>
      <c r="I54" s="399"/>
      <c r="J54" s="221"/>
      <c r="K54" s="221"/>
      <c r="L54" s="221"/>
      <c r="M54" s="221"/>
      <c r="N54" s="221"/>
      <c r="O54" s="221"/>
      <c r="P54" s="221"/>
      <c r="Q54" s="221"/>
      <c r="R54" s="221"/>
      <c r="S54" s="109" t="s">
        <v>2209</v>
      </c>
      <c r="T54" s="221"/>
      <c r="U54" s="221"/>
      <c r="V54" s="109" t="s">
        <v>2209</v>
      </c>
      <c r="W54" s="221"/>
      <c r="X54" s="221"/>
      <c r="Y54" s="221"/>
      <c r="Z54" s="221"/>
      <c r="AA54" s="221"/>
      <c r="AB54" s="221"/>
      <c r="AC54" s="221"/>
      <c r="AD54" s="221"/>
      <c r="AE54" s="221"/>
      <c r="AF54" s="221"/>
      <c r="AG54" s="221"/>
      <c r="AH54" s="221"/>
      <c r="AI54" s="221"/>
      <c r="AJ54" s="221"/>
      <c r="AK54" s="223"/>
      <c r="AL54" s="600" t="s">
        <v>432</v>
      </c>
      <c r="AM54" s="223"/>
      <c r="AN54" s="223"/>
      <c r="AO54" s="223"/>
      <c r="AP54" s="223"/>
      <c r="AQ54" s="223"/>
      <c r="AR54" s="223"/>
      <c r="AS54" s="223"/>
      <c r="AT54" s="223"/>
      <c r="AU54" s="223"/>
      <c r="AV54" s="223"/>
      <c r="AW54" s="137" t="s">
        <v>432</v>
      </c>
      <c r="AX54" s="223"/>
      <c r="AY54" s="223"/>
      <c r="AZ54" s="223"/>
      <c r="BA54" s="223"/>
      <c r="BB54" s="400"/>
      <c r="BC54" s="400"/>
      <c r="BD54" s="400"/>
    </row>
    <row r="55" spans="1:56" s="3" customFormat="1" ht="135" customHeight="1" x14ac:dyDescent="0.25">
      <c r="A55" s="262" t="str">
        <f>'Q100b-totais'!B33</f>
        <v>3.8</v>
      </c>
      <c r="B55" s="252" t="str">
        <f>'Q100b-totais'!C33</f>
        <v>Relatórios e outros documentos</v>
      </c>
      <c r="C55" s="167" t="s">
        <v>743</v>
      </c>
      <c r="D55" s="939" t="s">
        <v>3009</v>
      </c>
      <c r="E55" s="509" t="s">
        <v>3010</v>
      </c>
      <c r="F55" s="1172" t="s">
        <v>6157</v>
      </c>
      <c r="G55" s="230" t="s">
        <v>3507</v>
      </c>
      <c r="H55" s="167" t="s">
        <v>2408</v>
      </c>
      <c r="I55" s="167" t="s">
        <v>432</v>
      </c>
      <c r="J55" s="107" t="s">
        <v>432</v>
      </c>
      <c r="K55" s="107" t="s">
        <v>432</v>
      </c>
      <c r="L55" s="107" t="s">
        <v>432</v>
      </c>
      <c r="M55" s="107" t="s">
        <v>432</v>
      </c>
      <c r="N55" s="107" t="s">
        <v>432</v>
      </c>
      <c r="O55" s="107" t="s">
        <v>432</v>
      </c>
      <c r="P55" s="107" t="s">
        <v>432</v>
      </c>
      <c r="Q55" s="107" t="s">
        <v>432</v>
      </c>
      <c r="R55" s="107" t="s">
        <v>432</v>
      </c>
      <c r="S55" s="109" t="s">
        <v>2209</v>
      </c>
      <c r="T55" s="107" t="s">
        <v>432</v>
      </c>
      <c r="U55" s="107" t="s">
        <v>432</v>
      </c>
      <c r="V55" s="109" t="s">
        <v>2209</v>
      </c>
      <c r="W55" s="107" t="s">
        <v>432</v>
      </c>
      <c r="X55" s="107" t="s">
        <v>432</v>
      </c>
      <c r="Y55" s="107" t="s">
        <v>432</v>
      </c>
      <c r="Z55" s="107" t="s">
        <v>432</v>
      </c>
      <c r="AA55" s="107" t="s">
        <v>432</v>
      </c>
      <c r="AB55" s="107" t="s">
        <v>432</v>
      </c>
      <c r="AC55" s="107" t="s">
        <v>432</v>
      </c>
      <c r="AD55" s="107" t="s">
        <v>432</v>
      </c>
      <c r="AE55" s="107" t="s">
        <v>432</v>
      </c>
      <c r="AF55" s="107" t="s">
        <v>432</v>
      </c>
      <c r="AG55" s="107" t="s">
        <v>432</v>
      </c>
      <c r="AH55" s="107" t="s">
        <v>432</v>
      </c>
      <c r="AI55" s="107" t="s">
        <v>432</v>
      </c>
      <c r="AJ55" s="107" t="s">
        <v>432</v>
      </c>
      <c r="AK55" s="107" t="s">
        <v>432</v>
      </c>
      <c r="AL55" s="600" t="s">
        <v>432</v>
      </c>
      <c r="AM55" s="137" t="s">
        <v>432</v>
      </c>
      <c r="AN55" s="137" t="s">
        <v>432</v>
      </c>
      <c r="AO55" s="137" t="s">
        <v>432</v>
      </c>
      <c r="AP55" s="137" t="s">
        <v>432</v>
      </c>
      <c r="AQ55" s="137" t="s">
        <v>432</v>
      </c>
      <c r="AR55" s="137" t="s">
        <v>432</v>
      </c>
      <c r="AS55" s="137" t="s">
        <v>432</v>
      </c>
      <c r="AT55" s="137" t="s">
        <v>432</v>
      </c>
      <c r="AU55" s="137" t="s">
        <v>432</v>
      </c>
      <c r="AV55" s="137" t="s">
        <v>432</v>
      </c>
      <c r="AW55" s="137" t="s">
        <v>432</v>
      </c>
      <c r="AX55" s="137" t="s">
        <v>432</v>
      </c>
      <c r="AY55" s="137" t="s">
        <v>432</v>
      </c>
      <c r="AZ55" s="137" t="s">
        <v>432</v>
      </c>
      <c r="BA55" s="137" t="s">
        <v>432</v>
      </c>
      <c r="BB55" s="239" t="str">
        <f t="shared" ref="BB55:BB61" si="20">B55&amp;C55</f>
        <v>Relatórios e outros documentosacessibilidade</v>
      </c>
      <c r="BC55" s="239" t="str">
        <f t="shared" ref="BC55:BC61" si="21">B55&amp;C55&amp;H55</f>
        <v>Relatórios e outros documentosacessibilidadesigla/verbete</v>
      </c>
      <c r="BD55" s="239" t="str">
        <f t="shared" ref="BD55:BD61" si="22">B55&amp;H55</f>
        <v>Relatórios e outros documentossigla/verbete</v>
      </c>
    </row>
    <row r="56" spans="1:56" s="3" customFormat="1" ht="56.25" customHeight="1" x14ac:dyDescent="0.2">
      <c r="A56" s="262" t="str">
        <f>'Q100b-totais'!B33</f>
        <v>3.8</v>
      </c>
      <c r="B56" s="252" t="str">
        <f>'Q100b-totais'!C33</f>
        <v>Relatórios e outros documentos</v>
      </c>
      <c r="C56" s="167" t="s">
        <v>743</v>
      </c>
      <c r="D56" s="939" t="s">
        <v>3008</v>
      </c>
      <c r="E56" s="509" t="s">
        <v>3010</v>
      </c>
      <c r="F56" s="945" t="s">
        <v>6155</v>
      </c>
      <c r="G56" s="230" t="s">
        <v>3507</v>
      </c>
      <c r="H56" s="167" t="s">
        <v>2408</v>
      </c>
      <c r="I56" s="167" t="s">
        <v>432</v>
      </c>
      <c r="J56" s="107" t="s">
        <v>432</v>
      </c>
      <c r="K56" s="107" t="s">
        <v>432</v>
      </c>
      <c r="L56" s="107" t="s">
        <v>432</v>
      </c>
      <c r="M56" s="107" t="s">
        <v>432</v>
      </c>
      <c r="N56" s="107" t="s">
        <v>432</v>
      </c>
      <c r="O56" s="107" t="s">
        <v>432</v>
      </c>
      <c r="P56" s="107" t="s">
        <v>432</v>
      </c>
      <c r="Q56" s="107" t="s">
        <v>432</v>
      </c>
      <c r="R56" s="107" t="s">
        <v>432</v>
      </c>
      <c r="S56" s="109" t="s">
        <v>2209</v>
      </c>
      <c r="T56" s="107" t="s">
        <v>432</v>
      </c>
      <c r="U56" s="107" t="s">
        <v>432</v>
      </c>
      <c r="V56" s="109" t="s">
        <v>2209</v>
      </c>
      <c r="W56" s="107" t="s">
        <v>432</v>
      </c>
      <c r="X56" s="107" t="s">
        <v>432</v>
      </c>
      <c r="Y56" s="107" t="s">
        <v>432</v>
      </c>
      <c r="Z56" s="107" t="s">
        <v>432</v>
      </c>
      <c r="AA56" s="107" t="s">
        <v>432</v>
      </c>
      <c r="AB56" s="107" t="s">
        <v>432</v>
      </c>
      <c r="AC56" s="107" t="s">
        <v>432</v>
      </c>
      <c r="AD56" s="107" t="s">
        <v>432</v>
      </c>
      <c r="AE56" s="107" t="s">
        <v>432</v>
      </c>
      <c r="AF56" s="107" t="s">
        <v>432</v>
      </c>
      <c r="AG56" s="107" t="s">
        <v>432</v>
      </c>
      <c r="AH56" s="107" t="s">
        <v>432</v>
      </c>
      <c r="AI56" s="107" t="s">
        <v>432</v>
      </c>
      <c r="AJ56" s="107" t="s">
        <v>432</v>
      </c>
      <c r="AK56" s="107" t="s">
        <v>432</v>
      </c>
      <c r="AL56" s="600" t="s">
        <v>432</v>
      </c>
      <c r="AM56" s="137" t="s">
        <v>432</v>
      </c>
      <c r="AN56" s="137" t="s">
        <v>432</v>
      </c>
      <c r="AO56" s="137" t="s">
        <v>432</v>
      </c>
      <c r="AP56" s="137" t="s">
        <v>432</v>
      </c>
      <c r="AQ56" s="137" t="s">
        <v>432</v>
      </c>
      <c r="AR56" s="137" t="s">
        <v>432</v>
      </c>
      <c r="AS56" s="137" t="s">
        <v>432</v>
      </c>
      <c r="AT56" s="137" t="s">
        <v>432</v>
      </c>
      <c r="AU56" s="137" t="s">
        <v>432</v>
      </c>
      <c r="AV56" s="137" t="s">
        <v>432</v>
      </c>
      <c r="AW56" s="137" t="s">
        <v>432</v>
      </c>
      <c r="AX56" s="137" t="s">
        <v>432</v>
      </c>
      <c r="AY56" s="137" t="s">
        <v>432</v>
      </c>
      <c r="AZ56" s="137" t="s">
        <v>432</v>
      </c>
      <c r="BA56" s="137" t="s">
        <v>432</v>
      </c>
      <c r="BB56" s="239" t="str">
        <f t="shared" si="20"/>
        <v>Relatórios e outros documentosacessibilidade</v>
      </c>
      <c r="BC56" s="239" t="str">
        <f t="shared" si="21"/>
        <v>Relatórios e outros documentosacessibilidadesigla/verbete</v>
      </c>
      <c r="BD56" s="239" t="str">
        <f t="shared" si="22"/>
        <v>Relatórios e outros documentossigla/verbete</v>
      </c>
    </row>
    <row r="57" spans="1:56" s="3" customFormat="1" ht="77.25" customHeight="1" x14ac:dyDescent="0.25">
      <c r="A57" s="262" t="str">
        <f>'Q100b-totais'!B33</f>
        <v>3.8</v>
      </c>
      <c r="B57" s="252" t="str">
        <f>'Q100b-totais'!C33</f>
        <v>Relatórios e outros documentos</v>
      </c>
      <c r="C57" s="167" t="s">
        <v>743</v>
      </c>
      <c r="D57" s="939" t="s">
        <v>3052</v>
      </c>
      <c r="E57" s="509" t="s">
        <v>3010</v>
      </c>
      <c r="F57" s="1172" t="s">
        <v>6156</v>
      </c>
      <c r="G57" s="230" t="s">
        <v>3507</v>
      </c>
      <c r="H57" s="167" t="s">
        <v>2408</v>
      </c>
      <c r="I57" s="167" t="s">
        <v>432</v>
      </c>
      <c r="J57" s="107" t="s">
        <v>432</v>
      </c>
      <c r="K57" s="107" t="s">
        <v>432</v>
      </c>
      <c r="L57" s="107" t="s">
        <v>432</v>
      </c>
      <c r="M57" s="107" t="s">
        <v>432</v>
      </c>
      <c r="N57" s="107" t="s">
        <v>432</v>
      </c>
      <c r="O57" s="107" t="s">
        <v>432</v>
      </c>
      <c r="P57" s="107" t="s">
        <v>432</v>
      </c>
      <c r="Q57" s="107" t="s">
        <v>432</v>
      </c>
      <c r="R57" s="107" t="s">
        <v>432</v>
      </c>
      <c r="S57" s="109" t="s">
        <v>2209</v>
      </c>
      <c r="T57" s="107" t="s">
        <v>432</v>
      </c>
      <c r="U57" s="107" t="s">
        <v>432</v>
      </c>
      <c r="V57" s="109" t="s">
        <v>2209</v>
      </c>
      <c r="W57" s="107" t="s">
        <v>432</v>
      </c>
      <c r="X57" s="107" t="s">
        <v>432</v>
      </c>
      <c r="Y57" s="107" t="s">
        <v>432</v>
      </c>
      <c r="Z57" s="107" t="s">
        <v>432</v>
      </c>
      <c r="AA57" s="107" t="s">
        <v>432</v>
      </c>
      <c r="AB57" s="107" t="s">
        <v>432</v>
      </c>
      <c r="AC57" s="107" t="s">
        <v>432</v>
      </c>
      <c r="AD57" s="107" t="s">
        <v>432</v>
      </c>
      <c r="AE57" s="107" t="s">
        <v>432</v>
      </c>
      <c r="AF57" s="107" t="s">
        <v>432</v>
      </c>
      <c r="AG57" s="107" t="s">
        <v>432</v>
      </c>
      <c r="AH57" s="107" t="s">
        <v>432</v>
      </c>
      <c r="AI57" s="107" t="s">
        <v>432</v>
      </c>
      <c r="AJ57" s="107" t="s">
        <v>432</v>
      </c>
      <c r="AK57" s="107" t="s">
        <v>432</v>
      </c>
      <c r="AL57" s="600" t="s">
        <v>432</v>
      </c>
      <c r="AM57" s="137" t="s">
        <v>432</v>
      </c>
      <c r="AN57" s="137" t="s">
        <v>432</v>
      </c>
      <c r="AO57" s="137" t="s">
        <v>432</v>
      </c>
      <c r="AP57" s="137" t="s">
        <v>432</v>
      </c>
      <c r="AQ57" s="137" t="s">
        <v>432</v>
      </c>
      <c r="AR57" s="137" t="s">
        <v>432</v>
      </c>
      <c r="AS57" s="137" t="s">
        <v>432</v>
      </c>
      <c r="AT57" s="137" t="s">
        <v>432</v>
      </c>
      <c r="AU57" s="137" t="s">
        <v>432</v>
      </c>
      <c r="AV57" s="137" t="s">
        <v>432</v>
      </c>
      <c r="AW57" s="137" t="s">
        <v>432</v>
      </c>
      <c r="AX57" s="137" t="s">
        <v>432</v>
      </c>
      <c r="AY57" s="137" t="s">
        <v>432</v>
      </c>
      <c r="AZ57" s="137" t="s">
        <v>432</v>
      </c>
      <c r="BA57" s="137" t="s">
        <v>432</v>
      </c>
      <c r="BB57" s="239" t="str">
        <f t="shared" si="20"/>
        <v>Relatórios e outros documentosacessibilidade</v>
      </c>
      <c r="BC57" s="239" t="str">
        <f t="shared" si="21"/>
        <v>Relatórios e outros documentosacessibilidadesigla/verbete</v>
      </c>
      <c r="BD57" s="239" t="str">
        <f t="shared" si="22"/>
        <v>Relatórios e outros documentossigla/verbete</v>
      </c>
    </row>
    <row r="58" spans="1:56" s="3" customFormat="1" ht="72" customHeight="1" x14ac:dyDescent="0.25">
      <c r="A58" s="262" t="str">
        <f>'Q100b-totais'!B33</f>
        <v>3.8</v>
      </c>
      <c r="B58" s="252" t="str">
        <f>'Q100b-totais'!C33</f>
        <v>Relatórios e outros documentos</v>
      </c>
      <c r="C58" s="167" t="s">
        <v>743</v>
      </c>
      <c r="D58" s="939" t="s">
        <v>3007</v>
      </c>
      <c r="E58" s="509" t="s">
        <v>3010</v>
      </c>
      <c r="F58" s="1172" t="s">
        <v>6152</v>
      </c>
      <c r="G58" s="230" t="s">
        <v>3507</v>
      </c>
      <c r="H58" s="167" t="s">
        <v>2408</v>
      </c>
      <c r="I58" s="167" t="s">
        <v>432</v>
      </c>
      <c r="J58" s="107" t="s">
        <v>432</v>
      </c>
      <c r="K58" s="107" t="s">
        <v>432</v>
      </c>
      <c r="L58" s="107" t="s">
        <v>432</v>
      </c>
      <c r="M58" s="107" t="s">
        <v>432</v>
      </c>
      <c r="N58" s="107" t="s">
        <v>432</v>
      </c>
      <c r="O58" s="107" t="s">
        <v>432</v>
      </c>
      <c r="P58" s="107" t="s">
        <v>432</v>
      </c>
      <c r="Q58" s="107" t="s">
        <v>432</v>
      </c>
      <c r="R58" s="107" t="s">
        <v>432</v>
      </c>
      <c r="S58" s="109" t="s">
        <v>2209</v>
      </c>
      <c r="T58" s="107" t="s">
        <v>432</v>
      </c>
      <c r="U58" s="107" t="s">
        <v>432</v>
      </c>
      <c r="V58" s="109" t="s">
        <v>2209</v>
      </c>
      <c r="W58" s="107" t="s">
        <v>432</v>
      </c>
      <c r="X58" s="107" t="s">
        <v>432</v>
      </c>
      <c r="Y58" s="107" t="s">
        <v>432</v>
      </c>
      <c r="Z58" s="107" t="s">
        <v>432</v>
      </c>
      <c r="AA58" s="107" t="s">
        <v>432</v>
      </c>
      <c r="AB58" s="107" t="s">
        <v>432</v>
      </c>
      <c r="AC58" s="107" t="s">
        <v>432</v>
      </c>
      <c r="AD58" s="107" t="s">
        <v>432</v>
      </c>
      <c r="AE58" s="107" t="s">
        <v>432</v>
      </c>
      <c r="AF58" s="107" t="s">
        <v>432</v>
      </c>
      <c r="AG58" s="107" t="s">
        <v>432</v>
      </c>
      <c r="AH58" s="107" t="s">
        <v>432</v>
      </c>
      <c r="AI58" s="107" t="s">
        <v>432</v>
      </c>
      <c r="AJ58" s="107" t="s">
        <v>432</v>
      </c>
      <c r="AK58" s="107" t="s">
        <v>432</v>
      </c>
      <c r="AL58" s="600" t="s">
        <v>432</v>
      </c>
      <c r="AM58" s="137" t="s">
        <v>432</v>
      </c>
      <c r="AN58" s="137" t="s">
        <v>432</v>
      </c>
      <c r="AO58" s="137" t="s">
        <v>432</v>
      </c>
      <c r="AP58" s="137" t="s">
        <v>432</v>
      </c>
      <c r="AQ58" s="137" t="s">
        <v>432</v>
      </c>
      <c r="AR58" s="137" t="s">
        <v>432</v>
      </c>
      <c r="AS58" s="137" t="s">
        <v>432</v>
      </c>
      <c r="AT58" s="137" t="s">
        <v>432</v>
      </c>
      <c r="AU58" s="137" t="s">
        <v>432</v>
      </c>
      <c r="AV58" s="137" t="s">
        <v>432</v>
      </c>
      <c r="AW58" s="137" t="s">
        <v>432</v>
      </c>
      <c r="AX58" s="137" t="s">
        <v>432</v>
      </c>
      <c r="AY58" s="137" t="s">
        <v>432</v>
      </c>
      <c r="AZ58" s="137" t="s">
        <v>432</v>
      </c>
      <c r="BA58" s="137" t="s">
        <v>432</v>
      </c>
      <c r="BB58" s="239" t="str">
        <f t="shared" si="20"/>
        <v>Relatórios e outros documentosacessibilidade</v>
      </c>
      <c r="BC58" s="239" t="str">
        <f t="shared" si="21"/>
        <v>Relatórios e outros documentosacessibilidadesigla/verbete</v>
      </c>
      <c r="BD58" s="239" t="str">
        <f t="shared" si="22"/>
        <v>Relatórios e outros documentossigla/verbete</v>
      </c>
    </row>
    <row r="59" spans="1:56" s="3" customFormat="1" ht="72" customHeight="1" x14ac:dyDescent="0.25">
      <c r="A59" s="262" t="str">
        <f>'Q100b-totais'!B33</f>
        <v>3.8</v>
      </c>
      <c r="B59" s="252" t="str">
        <f>'Q100b-totais'!C33</f>
        <v>Relatórios e outros documentos</v>
      </c>
      <c r="C59" s="167" t="s">
        <v>743</v>
      </c>
      <c r="D59" s="939" t="s">
        <v>3006</v>
      </c>
      <c r="E59" s="509" t="s">
        <v>3010</v>
      </c>
      <c r="F59" s="1172" t="s">
        <v>6153</v>
      </c>
      <c r="G59" s="230" t="s">
        <v>3507</v>
      </c>
      <c r="H59" s="167" t="s">
        <v>2408</v>
      </c>
      <c r="I59" s="167" t="s">
        <v>432</v>
      </c>
      <c r="J59" s="107" t="s">
        <v>432</v>
      </c>
      <c r="K59" s="107" t="s">
        <v>432</v>
      </c>
      <c r="L59" s="107" t="s">
        <v>432</v>
      </c>
      <c r="M59" s="107" t="s">
        <v>432</v>
      </c>
      <c r="N59" s="107" t="s">
        <v>432</v>
      </c>
      <c r="O59" s="107" t="s">
        <v>432</v>
      </c>
      <c r="P59" s="107" t="s">
        <v>432</v>
      </c>
      <c r="Q59" s="107" t="s">
        <v>432</v>
      </c>
      <c r="R59" s="107" t="s">
        <v>432</v>
      </c>
      <c r="S59" s="109" t="s">
        <v>2209</v>
      </c>
      <c r="T59" s="107" t="s">
        <v>432</v>
      </c>
      <c r="U59" s="107" t="s">
        <v>432</v>
      </c>
      <c r="V59" s="109" t="s">
        <v>2209</v>
      </c>
      <c r="W59" s="107" t="s">
        <v>432</v>
      </c>
      <c r="X59" s="107" t="s">
        <v>432</v>
      </c>
      <c r="Y59" s="107" t="s">
        <v>432</v>
      </c>
      <c r="Z59" s="107" t="s">
        <v>432</v>
      </c>
      <c r="AA59" s="107" t="s">
        <v>432</v>
      </c>
      <c r="AB59" s="107" t="s">
        <v>432</v>
      </c>
      <c r="AC59" s="107" t="s">
        <v>432</v>
      </c>
      <c r="AD59" s="107" t="s">
        <v>432</v>
      </c>
      <c r="AE59" s="107" t="s">
        <v>432</v>
      </c>
      <c r="AF59" s="107" t="s">
        <v>432</v>
      </c>
      <c r="AG59" s="107" t="s">
        <v>432</v>
      </c>
      <c r="AH59" s="107" t="s">
        <v>432</v>
      </c>
      <c r="AI59" s="107" t="s">
        <v>432</v>
      </c>
      <c r="AJ59" s="107" t="s">
        <v>432</v>
      </c>
      <c r="AK59" s="107" t="s">
        <v>432</v>
      </c>
      <c r="AL59" s="600" t="s">
        <v>432</v>
      </c>
      <c r="AM59" s="137" t="s">
        <v>432</v>
      </c>
      <c r="AN59" s="137" t="s">
        <v>432</v>
      </c>
      <c r="AO59" s="137" t="s">
        <v>432</v>
      </c>
      <c r="AP59" s="137" t="s">
        <v>432</v>
      </c>
      <c r="AQ59" s="137" t="s">
        <v>432</v>
      </c>
      <c r="AR59" s="137" t="s">
        <v>432</v>
      </c>
      <c r="AS59" s="137" t="s">
        <v>432</v>
      </c>
      <c r="AT59" s="137" t="s">
        <v>432</v>
      </c>
      <c r="AU59" s="137" t="s">
        <v>432</v>
      </c>
      <c r="AV59" s="137" t="s">
        <v>432</v>
      </c>
      <c r="AW59" s="137" t="s">
        <v>432</v>
      </c>
      <c r="AX59" s="137" t="s">
        <v>432</v>
      </c>
      <c r="AY59" s="137" t="s">
        <v>432</v>
      </c>
      <c r="AZ59" s="137" t="s">
        <v>432</v>
      </c>
      <c r="BA59" s="137" t="s">
        <v>432</v>
      </c>
      <c r="BB59" s="239" t="str">
        <f t="shared" si="20"/>
        <v>Relatórios e outros documentosacessibilidade</v>
      </c>
      <c r="BC59" s="239" t="str">
        <f t="shared" si="21"/>
        <v>Relatórios e outros documentosacessibilidadesigla/verbete</v>
      </c>
      <c r="BD59" s="239" t="str">
        <f t="shared" si="22"/>
        <v>Relatórios e outros documentossigla/verbete</v>
      </c>
    </row>
    <row r="60" spans="1:56" s="3" customFormat="1" ht="63" customHeight="1" x14ac:dyDescent="0.25">
      <c r="A60" s="262" t="str">
        <f>'Q100b-totais'!B33</f>
        <v>3.8</v>
      </c>
      <c r="B60" s="252" t="str">
        <f>'Q100b-totais'!C33</f>
        <v>Relatórios e outros documentos</v>
      </c>
      <c r="C60" s="167" t="s">
        <v>743</v>
      </c>
      <c r="D60" s="939" t="s">
        <v>3005</v>
      </c>
      <c r="E60" s="509" t="s">
        <v>3010</v>
      </c>
      <c r="F60" s="1172" t="s">
        <v>6154</v>
      </c>
      <c r="G60" s="230" t="s">
        <v>3507</v>
      </c>
      <c r="H60" s="167" t="s">
        <v>2408</v>
      </c>
      <c r="I60" s="167" t="s">
        <v>432</v>
      </c>
      <c r="J60" s="107" t="s">
        <v>432</v>
      </c>
      <c r="K60" s="107" t="s">
        <v>432</v>
      </c>
      <c r="L60" s="107" t="s">
        <v>432</v>
      </c>
      <c r="M60" s="107" t="s">
        <v>432</v>
      </c>
      <c r="N60" s="107" t="s">
        <v>432</v>
      </c>
      <c r="O60" s="107" t="s">
        <v>432</v>
      </c>
      <c r="P60" s="107" t="s">
        <v>432</v>
      </c>
      <c r="Q60" s="107" t="s">
        <v>432</v>
      </c>
      <c r="R60" s="107" t="s">
        <v>432</v>
      </c>
      <c r="S60" s="109" t="s">
        <v>2209</v>
      </c>
      <c r="T60" s="107" t="s">
        <v>432</v>
      </c>
      <c r="U60" s="107" t="s">
        <v>432</v>
      </c>
      <c r="V60" s="109" t="s">
        <v>2209</v>
      </c>
      <c r="W60" s="107" t="s">
        <v>432</v>
      </c>
      <c r="X60" s="107" t="s">
        <v>432</v>
      </c>
      <c r="Y60" s="107" t="s">
        <v>432</v>
      </c>
      <c r="Z60" s="107" t="s">
        <v>432</v>
      </c>
      <c r="AA60" s="107" t="s">
        <v>432</v>
      </c>
      <c r="AB60" s="107" t="s">
        <v>432</v>
      </c>
      <c r="AC60" s="107" t="s">
        <v>432</v>
      </c>
      <c r="AD60" s="107" t="s">
        <v>432</v>
      </c>
      <c r="AE60" s="107" t="s">
        <v>432</v>
      </c>
      <c r="AF60" s="107" t="s">
        <v>432</v>
      </c>
      <c r="AG60" s="107" t="s">
        <v>432</v>
      </c>
      <c r="AH60" s="107" t="s">
        <v>432</v>
      </c>
      <c r="AI60" s="107" t="s">
        <v>432</v>
      </c>
      <c r="AJ60" s="107" t="s">
        <v>432</v>
      </c>
      <c r="AK60" s="107" t="s">
        <v>432</v>
      </c>
      <c r="AL60" s="600" t="s">
        <v>432</v>
      </c>
      <c r="AM60" s="137" t="s">
        <v>432</v>
      </c>
      <c r="AN60" s="137" t="s">
        <v>432</v>
      </c>
      <c r="AO60" s="137" t="s">
        <v>432</v>
      </c>
      <c r="AP60" s="137" t="s">
        <v>432</v>
      </c>
      <c r="AQ60" s="137" t="s">
        <v>432</v>
      </c>
      <c r="AR60" s="137" t="s">
        <v>432</v>
      </c>
      <c r="AS60" s="137" t="s">
        <v>432</v>
      </c>
      <c r="AT60" s="137" t="s">
        <v>432</v>
      </c>
      <c r="AU60" s="137" t="s">
        <v>432</v>
      </c>
      <c r="AV60" s="137" t="s">
        <v>432</v>
      </c>
      <c r="AW60" s="137" t="s">
        <v>432</v>
      </c>
      <c r="AX60" s="137" t="s">
        <v>432</v>
      </c>
      <c r="AY60" s="137" t="s">
        <v>432</v>
      </c>
      <c r="AZ60" s="137" t="s">
        <v>432</v>
      </c>
      <c r="BA60" s="137" t="s">
        <v>432</v>
      </c>
      <c r="BB60" s="239" t="str">
        <f t="shared" si="20"/>
        <v>Relatórios e outros documentosacessibilidade</v>
      </c>
      <c r="BC60" s="239" t="str">
        <f t="shared" si="21"/>
        <v>Relatórios e outros documentosacessibilidadesigla/verbete</v>
      </c>
      <c r="BD60" s="239" t="str">
        <f t="shared" si="22"/>
        <v>Relatórios e outros documentossigla/verbete</v>
      </c>
    </row>
    <row r="61" spans="1:56" s="3" customFormat="1" ht="63" customHeight="1" x14ac:dyDescent="0.25">
      <c r="A61" s="262" t="str">
        <f>'Q100b-totais'!B33</f>
        <v>3.8</v>
      </c>
      <c r="B61" s="252" t="str">
        <f>'Q100b-totais'!C33</f>
        <v>Relatórios e outros documentos</v>
      </c>
      <c r="C61" s="167" t="s">
        <v>743</v>
      </c>
      <c r="D61" s="939" t="s">
        <v>6150</v>
      </c>
      <c r="E61" s="509" t="s">
        <v>3010</v>
      </c>
      <c r="F61" s="1205" t="s">
        <v>6151</v>
      </c>
      <c r="G61" s="230" t="s">
        <v>3507</v>
      </c>
      <c r="H61" s="167" t="s">
        <v>2408</v>
      </c>
      <c r="I61" s="167" t="s">
        <v>432</v>
      </c>
      <c r="J61" s="107" t="s">
        <v>432</v>
      </c>
      <c r="K61" s="107" t="s">
        <v>432</v>
      </c>
      <c r="L61" s="107" t="s">
        <v>432</v>
      </c>
      <c r="M61" s="107" t="s">
        <v>432</v>
      </c>
      <c r="N61" s="107" t="s">
        <v>432</v>
      </c>
      <c r="O61" s="107" t="s">
        <v>432</v>
      </c>
      <c r="P61" s="107" t="s">
        <v>432</v>
      </c>
      <c r="Q61" s="107" t="s">
        <v>432</v>
      </c>
      <c r="R61" s="107" t="s">
        <v>432</v>
      </c>
      <c r="S61" s="109" t="s">
        <v>2209</v>
      </c>
      <c r="T61" s="107" t="s">
        <v>432</v>
      </c>
      <c r="U61" s="107" t="s">
        <v>432</v>
      </c>
      <c r="V61" s="109" t="s">
        <v>2209</v>
      </c>
      <c r="W61" s="107" t="s">
        <v>432</v>
      </c>
      <c r="X61" s="107" t="s">
        <v>432</v>
      </c>
      <c r="Y61" s="107" t="s">
        <v>432</v>
      </c>
      <c r="Z61" s="107" t="s">
        <v>432</v>
      </c>
      <c r="AA61" s="107" t="s">
        <v>432</v>
      </c>
      <c r="AB61" s="107" t="s">
        <v>432</v>
      </c>
      <c r="AC61" s="107" t="s">
        <v>432</v>
      </c>
      <c r="AD61" s="107" t="s">
        <v>432</v>
      </c>
      <c r="AE61" s="107" t="s">
        <v>432</v>
      </c>
      <c r="AF61" s="107" t="s">
        <v>432</v>
      </c>
      <c r="AG61" s="107" t="s">
        <v>432</v>
      </c>
      <c r="AH61" s="107" t="s">
        <v>432</v>
      </c>
      <c r="AI61" s="107" t="s">
        <v>432</v>
      </c>
      <c r="AJ61" s="107" t="s">
        <v>432</v>
      </c>
      <c r="AK61" s="107" t="s">
        <v>432</v>
      </c>
      <c r="AL61" s="600" t="s">
        <v>432</v>
      </c>
      <c r="AM61" s="137" t="s">
        <v>432</v>
      </c>
      <c r="AN61" s="137" t="s">
        <v>432</v>
      </c>
      <c r="AO61" s="137" t="s">
        <v>432</v>
      </c>
      <c r="AP61" s="137" t="s">
        <v>432</v>
      </c>
      <c r="AQ61" s="137" t="s">
        <v>432</v>
      </c>
      <c r="AR61" s="137" t="s">
        <v>432</v>
      </c>
      <c r="AS61" s="137" t="s">
        <v>432</v>
      </c>
      <c r="AT61" s="137" t="s">
        <v>432</v>
      </c>
      <c r="AU61" s="137" t="s">
        <v>432</v>
      </c>
      <c r="AV61" s="137" t="s">
        <v>432</v>
      </c>
      <c r="AW61" s="137" t="s">
        <v>432</v>
      </c>
      <c r="AX61" s="137" t="s">
        <v>432</v>
      </c>
      <c r="AY61" s="137" t="s">
        <v>432</v>
      </c>
      <c r="AZ61" s="137" t="s">
        <v>432</v>
      </c>
      <c r="BA61" s="137" t="s">
        <v>432</v>
      </c>
      <c r="BB61" s="239" t="str">
        <f t="shared" si="20"/>
        <v>Relatórios e outros documentosacessibilidade</v>
      </c>
      <c r="BC61" s="239" t="str">
        <f t="shared" si="21"/>
        <v>Relatórios e outros documentosacessibilidadesigla/verbete</v>
      </c>
      <c r="BD61" s="239" t="str">
        <f t="shared" si="22"/>
        <v>Relatórios e outros documentossigla/verbete</v>
      </c>
    </row>
    <row r="62" spans="1:56" s="3" customFormat="1" ht="15.75" customHeight="1" x14ac:dyDescent="0.25">
      <c r="A62" s="223"/>
      <c r="B62" s="223"/>
      <c r="C62" s="223"/>
      <c r="D62" s="971"/>
      <c r="E62" s="1497"/>
      <c r="F62" s="946"/>
      <c r="G62" s="946"/>
      <c r="H62" s="223"/>
      <c r="I62" s="223"/>
      <c r="J62" s="223"/>
      <c r="K62" s="223"/>
      <c r="L62" s="223"/>
      <c r="M62" s="223"/>
      <c r="N62" s="223"/>
      <c r="O62" s="223"/>
      <c r="P62" s="223"/>
      <c r="Q62" s="223"/>
      <c r="R62" s="223"/>
      <c r="S62" s="109" t="s">
        <v>2209</v>
      </c>
      <c r="T62" s="223"/>
      <c r="U62" s="223"/>
      <c r="V62" s="109" t="s">
        <v>2209</v>
      </c>
      <c r="W62" s="223"/>
      <c r="X62" s="223"/>
      <c r="Y62" s="223"/>
      <c r="Z62" s="223"/>
      <c r="AA62" s="223"/>
      <c r="AB62" s="223"/>
      <c r="AC62" s="223"/>
      <c r="AD62" s="223"/>
      <c r="AE62" s="223"/>
      <c r="AF62" s="223"/>
      <c r="AG62" s="223"/>
      <c r="AH62" s="223"/>
      <c r="AI62" s="223"/>
      <c r="AJ62" s="223"/>
      <c r="AK62" s="223"/>
      <c r="AL62" s="600" t="s">
        <v>432</v>
      </c>
      <c r="AM62" s="223"/>
      <c r="AN62" s="223"/>
      <c r="AO62" s="223"/>
      <c r="AP62" s="223"/>
      <c r="AQ62" s="223"/>
      <c r="AR62" s="223"/>
      <c r="AS62" s="223"/>
      <c r="AT62" s="223"/>
      <c r="AU62" s="223"/>
      <c r="AV62" s="223"/>
      <c r="AW62" s="223"/>
      <c r="AX62" s="223"/>
      <c r="AY62" s="223"/>
      <c r="AZ62" s="223"/>
      <c r="BA62" s="223"/>
      <c r="BB62" s="400"/>
      <c r="BC62" s="400"/>
      <c r="BD62" s="400"/>
    </row>
    <row r="63" spans="1:56" s="3" customFormat="1" ht="321" customHeight="1" x14ac:dyDescent="0.25">
      <c r="A63" s="262" t="s">
        <v>432</v>
      </c>
      <c r="B63" s="252" t="s">
        <v>742</v>
      </c>
      <c r="C63" s="167" t="s">
        <v>743</v>
      </c>
      <c r="D63" s="847" t="s">
        <v>743</v>
      </c>
      <c r="E63" s="1496" t="s">
        <v>1767</v>
      </c>
      <c r="F63" s="1364" t="s">
        <v>4715</v>
      </c>
      <c r="G63" s="230" t="s">
        <v>3507</v>
      </c>
      <c r="H63" s="173" t="s">
        <v>2408</v>
      </c>
      <c r="I63" s="167" t="s">
        <v>432</v>
      </c>
      <c r="J63" s="107" t="s">
        <v>432</v>
      </c>
      <c r="K63" s="107" t="s">
        <v>432</v>
      </c>
      <c r="L63" s="107" t="s">
        <v>432</v>
      </c>
      <c r="M63" s="107" t="s">
        <v>432</v>
      </c>
      <c r="N63" s="107" t="s">
        <v>432</v>
      </c>
      <c r="O63" s="107" t="s">
        <v>432</v>
      </c>
      <c r="P63" s="107" t="s">
        <v>432</v>
      </c>
      <c r="Q63" s="107" t="s">
        <v>432</v>
      </c>
      <c r="R63" s="107" t="s">
        <v>432</v>
      </c>
      <c r="S63" s="109" t="s">
        <v>2209</v>
      </c>
      <c r="T63" s="107" t="s">
        <v>432</v>
      </c>
      <c r="U63" s="107" t="s">
        <v>432</v>
      </c>
      <c r="V63" s="109" t="s">
        <v>2209</v>
      </c>
      <c r="W63" s="107" t="s">
        <v>432</v>
      </c>
      <c r="X63" s="107" t="s">
        <v>432</v>
      </c>
      <c r="Y63" s="107" t="s">
        <v>432</v>
      </c>
      <c r="Z63" s="107" t="s">
        <v>432</v>
      </c>
      <c r="AA63" s="107" t="s">
        <v>432</v>
      </c>
      <c r="AB63" s="107" t="s">
        <v>432</v>
      </c>
      <c r="AC63" s="107" t="s">
        <v>432</v>
      </c>
      <c r="AD63" s="107" t="s">
        <v>432</v>
      </c>
      <c r="AE63" s="107" t="s">
        <v>432</v>
      </c>
      <c r="AF63" s="107" t="s">
        <v>432</v>
      </c>
      <c r="AG63" s="107" t="s">
        <v>432</v>
      </c>
      <c r="AH63" s="107" t="s">
        <v>432</v>
      </c>
      <c r="AI63" s="107" t="s">
        <v>432</v>
      </c>
      <c r="AJ63" s="107" t="s">
        <v>432</v>
      </c>
      <c r="AK63" s="137" t="s">
        <v>432</v>
      </c>
      <c r="AL63" s="600" t="s">
        <v>432</v>
      </c>
      <c r="AM63" s="137" t="s">
        <v>432</v>
      </c>
      <c r="AN63" s="137" t="s">
        <v>432</v>
      </c>
      <c r="AO63" s="137" t="s">
        <v>432</v>
      </c>
      <c r="AP63" s="137" t="s">
        <v>432</v>
      </c>
      <c r="AQ63" s="137" t="s">
        <v>432</v>
      </c>
      <c r="AR63" s="137" t="s">
        <v>432</v>
      </c>
      <c r="AS63" s="137" t="s">
        <v>432</v>
      </c>
      <c r="AT63" s="137" t="s">
        <v>432</v>
      </c>
      <c r="AU63" s="137" t="s">
        <v>432</v>
      </c>
      <c r="AV63" s="137" t="s">
        <v>432</v>
      </c>
      <c r="AW63" s="137" t="s">
        <v>432</v>
      </c>
      <c r="AX63" s="137" t="s">
        <v>432</v>
      </c>
      <c r="AY63" s="137" t="s">
        <v>432</v>
      </c>
      <c r="AZ63" s="137" t="s">
        <v>432</v>
      </c>
      <c r="BA63" s="137" t="s">
        <v>432</v>
      </c>
      <c r="BB63" s="239" t="str">
        <f t="shared" ref="BB63:BB94" si="23">B63&amp;C63</f>
        <v>geralacessibilidade</v>
      </c>
      <c r="BC63" s="239" t="str">
        <f t="shared" ref="BC63:BC94" si="24">B63&amp;C63&amp;H63</f>
        <v>geralacessibilidadesigla/verbete</v>
      </c>
      <c r="BD63" s="239" t="str">
        <f t="shared" ref="BD63:BD94" si="25">B63&amp;H63</f>
        <v>geralsigla/verbete</v>
      </c>
    </row>
    <row r="64" spans="1:56" s="3" customFormat="1" ht="66" customHeight="1" x14ac:dyDescent="0.25">
      <c r="A64" s="262" t="s">
        <v>432</v>
      </c>
      <c r="B64" s="252" t="s">
        <v>742</v>
      </c>
      <c r="C64" s="167" t="s">
        <v>743</v>
      </c>
      <c r="D64" s="847" t="s">
        <v>743</v>
      </c>
      <c r="E64" s="1496" t="s">
        <v>3010</v>
      </c>
      <c r="F64" s="1364" t="s">
        <v>5305</v>
      </c>
      <c r="G64" s="230" t="s">
        <v>3507</v>
      </c>
      <c r="H64" s="173" t="s">
        <v>2408</v>
      </c>
      <c r="I64" s="167" t="s">
        <v>432</v>
      </c>
      <c r="J64" s="107" t="s">
        <v>432</v>
      </c>
      <c r="K64" s="107" t="s">
        <v>432</v>
      </c>
      <c r="L64" s="107" t="s">
        <v>432</v>
      </c>
      <c r="M64" s="107" t="s">
        <v>432</v>
      </c>
      <c r="N64" s="107" t="s">
        <v>432</v>
      </c>
      <c r="O64" s="107" t="s">
        <v>432</v>
      </c>
      <c r="P64" s="107" t="s">
        <v>432</v>
      </c>
      <c r="Q64" s="107" t="s">
        <v>432</v>
      </c>
      <c r="R64" s="107" t="s">
        <v>432</v>
      </c>
      <c r="S64" s="109" t="s">
        <v>2209</v>
      </c>
      <c r="T64" s="107" t="s">
        <v>432</v>
      </c>
      <c r="U64" s="107" t="s">
        <v>432</v>
      </c>
      <c r="V64" s="109" t="s">
        <v>2209</v>
      </c>
      <c r="W64" s="107" t="s">
        <v>432</v>
      </c>
      <c r="X64" s="107" t="s">
        <v>432</v>
      </c>
      <c r="Y64" s="107" t="s">
        <v>432</v>
      </c>
      <c r="Z64" s="107" t="s">
        <v>432</v>
      </c>
      <c r="AA64" s="107" t="s">
        <v>432</v>
      </c>
      <c r="AB64" s="107" t="s">
        <v>432</v>
      </c>
      <c r="AC64" s="107" t="s">
        <v>432</v>
      </c>
      <c r="AD64" s="107" t="s">
        <v>432</v>
      </c>
      <c r="AE64" s="107" t="s">
        <v>432</v>
      </c>
      <c r="AF64" s="107" t="s">
        <v>432</v>
      </c>
      <c r="AG64" s="107" t="s">
        <v>432</v>
      </c>
      <c r="AH64" s="107" t="s">
        <v>432</v>
      </c>
      <c r="AI64" s="107" t="s">
        <v>432</v>
      </c>
      <c r="AJ64" s="107" t="s">
        <v>432</v>
      </c>
      <c r="AK64" s="137" t="s">
        <v>432</v>
      </c>
      <c r="AL64" s="600" t="s">
        <v>432</v>
      </c>
      <c r="AM64" s="137" t="s">
        <v>432</v>
      </c>
      <c r="AN64" s="137" t="s">
        <v>432</v>
      </c>
      <c r="AO64" s="137" t="s">
        <v>432</v>
      </c>
      <c r="AP64" s="137" t="s">
        <v>432</v>
      </c>
      <c r="AQ64" s="137" t="s">
        <v>432</v>
      </c>
      <c r="AR64" s="137" t="s">
        <v>432</v>
      </c>
      <c r="AS64" s="137" t="s">
        <v>432</v>
      </c>
      <c r="AT64" s="137" t="s">
        <v>432</v>
      </c>
      <c r="AU64" s="137" t="s">
        <v>432</v>
      </c>
      <c r="AV64" s="137" t="s">
        <v>432</v>
      </c>
      <c r="AW64" s="137" t="s">
        <v>432</v>
      </c>
      <c r="AX64" s="137" t="s">
        <v>432</v>
      </c>
      <c r="AY64" s="137" t="s">
        <v>432</v>
      </c>
      <c r="AZ64" s="137" t="s">
        <v>432</v>
      </c>
      <c r="BA64" s="137" t="s">
        <v>432</v>
      </c>
      <c r="BB64" s="239" t="str">
        <f t="shared" si="23"/>
        <v>geralacessibilidade</v>
      </c>
      <c r="BC64" s="239" t="str">
        <f t="shared" si="24"/>
        <v>geralacessibilidadesigla/verbete</v>
      </c>
      <c r="BD64" s="239" t="str">
        <f t="shared" si="25"/>
        <v>geralsigla/verbete</v>
      </c>
    </row>
    <row r="65" spans="1:56" s="3" customFormat="1" ht="82.5" customHeight="1" x14ac:dyDescent="0.25">
      <c r="A65" s="262" t="s">
        <v>432</v>
      </c>
      <c r="B65" s="252" t="s">
        <v>742</v>
      </c>
      <c r="C65" s="167" t="s">
        <v>743</v>
      </c>
      <c r="D65" s="847" t="s">
        <v>5999</v>
      </c>
      <c r="E65" s="1496" t="s">
        <v>1767</v>
      </c>
      <c r="F65" s="54" t="s">
        <v>5998</v>
      </c>
      <c r="G65" s="230" t="s">
        <v>3507</v>
      </c>
      <c r="H65" s="167" t="s">
        <v>2408</v>
      </c>
      <c r="I65" s="167" t="s">
        <v>432</v>
      </c>
      <c r="J65" s="107" t="s">
        <v>432</v>
      </c>
      <c r="K65" s="107" t="s">
        <v>432</v>
      </c>
      <c r="L65" s="107" t="s">
        <v>432</v>
      </c>
      <c r="M65" s="107" t="s">
        <v>432</v>
      </c>
      <c r="N65" s="107" t="s">
        <v>432</v>
      </c>
      <c r="O65" s="107" t="s">
        <v>432</v>
      </c>
      <c r="P65" s="107" t="s">
        <v>432</v>
      </c>
      <c r="Q65" s="107" t="s">
        <v>432</v>
      </c>
      <c r="R65" s="107" t="s">
        <v>432</v>
      </c>
      <c r="S65" s="109" t="s">
        <v>2209</v>
      </c>
      <c r="T65" s="107" t="s">
        <v>432</v>
      </c>
      <c r="U65" s="107" t="s">
        <v>432</v>
      </c>
      <c r="V65" s="109" t="s">
        <v>2209</v>
      </c>
      <c r="W65" s="107" t="s">
        <v>432</v>
      </c>
      <c r="X65" s="107" t="s">
        <v>432</v>
      </c>
      <c r="Y65" s="107" t="s">
        <v>432</v>
      </c>
      <c r="Z65" s="107" t="s">
        <v>432</v>
      </c>
      <c r="AA65" s="1376" t="s">
        <v>5996</v>
      </c>
      <c r="AB65" s="107" t="s">
        <v>432</v>
      </c>
      <c r="AC65" s="107" t="s">
        <v>432</v>
      </c>
      <c r="AD65" s="107" t="s">
        <v>432</v>
      </c>
      <c r="AE65" s="107" t="s">
        <v>432</v>
      </c>
      <c r="AF65" s="107" t="s">
        <v>432</v>
      </c>
      <c r="AG65" s="107" t="s">
        <v>432</v>
      </c>
      <c r="AH65" s="107" t="s">
        <v>432</v>
      </c>
      <c r="AI65" s="107" t="s">
        <v>432</v>
      </c>
      <c r="AJ65" s="107" t="s">
        <v>432</v>
      </c>
      <c r="AK65" s="107" t="s">
        <v>432</v>
      </c>
      <c r="AL65" s="600" t="s">
        <v>432</v>
      </c>
      <c r="AM65" s="137" t="s">
        <v>432</v>
      </c>
      <c r="AN65" s="137" t="s">
        <v>432</v>
      </c>
      <c r="AO65" s="137" t="s">
        <v>432</v>
      </c>
      <c r="AP65" s="137" t="s">
        <v>432</v>
      </c>
      <c r="AQ65" s="137" t="s">
        <v>432</v>
      </c>
      <c r="AR65" s="137" t="s">
        <v>432</v>
      </c>
      <c r="AS65" s="137" t="s">
        <v>432</v>
      </c>
      <c r="AT65" s="137" t="s">
        <v>432</v>
      </c>
      <c r="AU65" s="137" t="s">
        <v>432</v>
      </c>
      <c r="AV65" s="137" t="s">
        <v>432</v>
      </c>
      <c r="AW65" s="137" t="s">
        <v>432</v>
      </c>
      <c r="AX65" s="137" t="s">
        <v>432</v>
      </c>
      <c r="AY65" s="137" t="s">
        <v>432</v>
      </c>
      <c r="AZ65" s="137" t="s">
        <v>432</v>
      </c>
      <c r="BA65" s="137" t="s">
        <v>432</v>
      </c>
      <c r="BB65" s="239" t="str">
        <f t="shared" si="23"/>
        <v>geralacessibilidade</v>
      </c>
      <c r="BC65" s="239" t="str">
        <f t="shared" si="24"/>
        <v>geralacessibilidadesigla/verbete</v>
      </c>
      <c r="BD65" s="239" t="str">
        <f t="shared" si="25"/>
        <v>geralsigla/verbete</v>
      </c>
    </row>
    <row r="66" spans="1:56" s="3" customFormat="1" ht="216" customHeight="1" x14ac:dyDescent="0.25">
      <c r="A66" s="262" t="s">
        <v>432</v>
      </c>
      <c r="B66" s="252" t="s">
        <v>742</v>
      </c>
      <c r="C66" s="167" t="s">
        <v>743</v>
      </c>
      <c r="D66" s="847" t="s">
        <v>6000</v>
      </c>
      <c r="E66" s="1496" t="s">
        <v>1767</v>
      </c>
      <c r="F66" s="54" t="s">
        <v>5995</v>
      </c>
      <c r="G66" s="230" t="s">
        <v>3507</v>
      </c>
      <c r="H66" s="167" t="s">
        <v>2408</v>
      </c>
      <c r="I66" s="167" t="s">
        <v>432</v>
      </c>
      <c r="J66" s="107" t="s">
        <v>432</v>
      </c>
      <c r="K66" s="107" t="s">
        <v>432</v>
      </c>
      <c r="L66" s="107" t="s">
        <v>432</v>
      </c>
      <c r="M66" s="107" t="s">
        <v>432</v>
      </c>
      <c r="N66" s="107" t="s">
        <v>432</v>
      </c>
      <c r="O66" s="107" t="s">
        <v>432</v>
      </c>
      <c r="P66" s="107" t="s">
        <v>432</v>
      </c>
      <c r="Q66" s="93" t="s">
        <v>2304</v>
      </c>
      <c r="R66" s="107" t="s">
        <v>432</v>
      </c>
      <c r="S66" s="109" t="s">
        <v>2209</v>
      </c>
      <c r="T66" s="107" t="s">
        <v>432</v>
      </c>
      <c r="U66" s="107" t="s">
        <v>432</v>
      </c>
      <c r="V66" s="109" t="s">
        <v>2209</v>
      </c>
      <c r="W66" s="107" t="s">
        <v>432</v>
      </c>
      <c r="X66" s="107" t="s">
        <v>432</v>
      </c>
      <c r="Y66" s="107" t="s">
        <v>432</v>
      </c>
      <c r="Z66" s="93" t="s">
        <v>2311</v>
      </c>
      <c r="AA66" s="93" t="s">
        <v>2293</v>
      </c>
      <c r="AB66" s="93" t="s">
        <v>2310</v>
      </c>
      <c r="AC66" s="107" t="s">
        <v>432</v>
      </c>
      <c r="AD66" s="93" t="s">
        <v>2309</v>
      </c>
      <c r="AE66" s="93" t="s">
        <v>2307</v>
      </c>
      <c r="AF66" s="107" t="s">
        <v>432</v>
      </c>
      <c r="AG66" s="93" t="s">
        <v>2308</v>
      </c>
      <c r="AH66" s="107" t="s">
        <v>432</v>
      </c>
      <c r="AI66" s="107" t="s">
        <v>432</v>
      </c>
      <c r="AJ66" s="107" t="s">
        <v>432</v>
      </c>
      <c r="AK66" s="93" t="s">
        <v>2292</v>
      </c>
      <c r="AL66" s="600" t="s">
        <v>432</v>
      </c>
      <c r="AM66" s="93" t="s">
        <v>2312</v>
      </c>
      <c r="AN66" s="137" t="s">
        <v>432</v>
      </c>
      <c r="AO66" s="137" t="s">
        <v>432</v>
      </c>
      <c r="AP66" s="137" t="s">
        <v>432</v>
      </c>
      <c r="AQ66" s="137" t="s">
        <v>432</v>
      </c>
      <c r="AR66" s="137" t="s">
        <v>432</v>
      </c>
      <c r="AS66" s="137" t="s">
        <v>432</v>
      </c>
      <c r="AT66" s="137" t="s">
        <v>432</v>
      </c>
      <c r="AU66" s="137" t="s">
        <v>432</v>
      </c>
      <c r="AV66" s="137" t="s">
        <v>432</v>
      </c>
      <c r="AW66" s="137" t="s">
        <v>432</v>
      </c>
      <c r="AX66" s="137" t="s">
        <v>432</v>
      </c>
      <c r="AY66" s="137" t="s">
        <v>432</v>
      </c>
      <c r="AZ66" s="137" t="s">
        <v>432</v>
      </c>
      <c r="BA66" s="137" t="s">
        <v>432</v>
      </c>
      <c r="BB66" s="239" t="str">
        <f t="shared" si="23"/>
        <v>geralacessibilidade</v>
      </c>
      <c r="BC66" s="239" t="str">
        <f t="shared" si="24"/>
        <v>geralacessibilidadesigla/verbete</v>
      </c>
      <c r="BD66" s="239" t="str">
        <f t="shared" si="25"/>
        <v>geralsigla/verbete</v>
      </c>
    </row>
    <row r="67" spans="1:56" s="3" customFormat="1" ht="53.25" customHeight="1" x14ac:dyDescent="0.25">
      <c r="A67" s="262" t="s">
        <v>432</v>
      </c>
      <c r="B67" s="252" t="s">
        <v>742</v>
      </c>
      <c r="C67" s="167" t="s">
        <v>743</v>
      </c>
      <c r="D67" s="847" t="s">
        <v>2904</v>
      </c>
      <c r="E67" s="1491" t="s">
        <v>1306</v>
      </c>
      <c r="F67" s="53" t="s">
        <v>2905</v>
      </c>
      <c r="G67" s="230" t="s">
        <v>3507</v>
      </c>
      <c r="H67" s="167" t="s">
        <v>2408</v>
      </c>
      <c r="I67" s="167" t="s">
        <v>432</v>
      </c>
      <c r="J67" s="109" t="s">
        <v>432</v>
      </c>
      <c r="K67" s="109" t="s">
        <v>432</v>
      </c>
      <c r="L67" s="109" t="s">
        <v>432</v>
      </c>
      <c r="M67" s="109" t="s">
        <v>432</v>
      </c>
      <c r="N67" s="109" t="s">
        <v>432</v>
      </c>
      <c r="O67" s="109" t="s">
        <v>432</v>
      </c>
      <c r="P67" s="109" t="s">
        <v>432</v>
      </c>
      <c r="Q67" s="109" t="s">
        <v>432</v>
      </c>
      <c r="R67" s="109" t="s">
        <v>432</v>
      </c>
      <c r="S67" s="109" t="s">
        <v>2209</v>
      </c>
      <c r="T67" s="109" t="s">
        <v>432</v>
      </c>
      <c r="U67" s="109" t="s">
        <v>432</v>
      </c>
      <c r="V67" s="109" t="s">
        <v>2209</v>
      </c>
      <c r="W67" s="109" t="s">
        <v>432</v>
      </c>
      <c r="X67" s="109" t="s">
        <v>432</v>
      </c>
      <c r="Y67" s="109" t="s">
        <v>432</v>
      </c>
      <c r="Z67" s="109" t="s">
        <v>432</v>
      </c>
      <c r="AA67" s="109" t="s">
        <v>432</v>
      </c>
      <c r="AB67" s="109" t="s">
        <v>432</v>
      </c>
      <c r="AC67" s="109" t="s">
        <v>432</v>
      </c>
      <c r="AD67" s="109" t="s">
        <v>432</v>
      </c>
      <c r="AE67" s="109" t="s">
        <v>432</v>
      </c>
      <c r="AF67" s="109" t="s">
        <v>432</v>
      </c>
      <c r="AG67" s="109" t="s">
        <v>432</v>
      </c>
      <c r="AH67" s="109" t="s">
        <v>432</v>
      </c>
      <c r="AI67" s="109" t="s">
        <v>432</v>
      </c>
      <c r="AJ67" s="109" t="s">
        <v>432</v>
      </c>
      <c r="AK67" s="877" t="s">
        <v>432</v>
      </c>
      <c r="AL67" s="600" t="s">
        <v>432</v>
      </c>
      <c r="AM67" s="877" t="s">
        <v>432</v>
      </c>
      <c r="AN67" s="877" t="s">
        <v>432</v>
      </c>
      <c r="AO67" s="877" t="s">
        <v>432</v>
      </c>
      <c r="AP67" s="877" t="s">
        <v>432</v>
      </c>
      <c r="AQ67" s="877" t="s">
        <v>432</v>
      </c>
      <c r="AR67" s="137" t="s">
        <v>432</v>
      </c>
      <c r="AS67" s="137" t="s">
        <v>432</v>
      </c>
      <c r="AT67" s="137" t="s">
        <v>432</v>
      </c>
      <c r="AU67" s="137" t="s">
        <v>432</v>
      </c>
      <c r="AV67" s="877" t="s">
        <v>432</v>
      </c>
      <c r="AW67" s="137" t="s">
        <v>432</v>
      </c>
      <c r="AX67" s="877" t="s">
        <v>432</v>
      </c>
      <c r="AY67" s="877" t="s">
        <v>432</v>
      </c>
      <c r="AZ67" s="877" t="s">
        <v>432</v>
      </c>
      <c r="BA67" s="877" t="s">
        <v>432</v>
      </c>
      <c r="BB67" s="239" t="str">
        <f t="shared" si="23"/>
        <v>geralacessibilidade</v>
      </c>
      <c r="BC67" s="239" t="str">
        <f t="shared" si="24"/>
        <v>geralacessibilidadesigla/verbete</v>
      </c>
      <c r="BD67" s="239" t="str">
        <f t="shared" si="25"/>
        <v>geralsigla/verbete</v>
      </c>
    </row>
    <row r="68" spans="1:56" s="3" customFormat="1" ht="31.5" x14ac:dyDescent="0.25">
      <c r="A68" s="262" t="s">
        <v>432</v>
      </c>
      <c r="B68" s="252" t="s">
        <v>742</v>
      </c>
      <c r="C68" s="167" t="s">
        <v>743</v>
      </c>
      <c r="D68" s="847" t="s">
        <v>2612</v>
      </c>
      <c r="E68" s="1496" t="s">
        <v>432</v>
      </c>
      <c r="F68" s="53" t="s">
        <v>2614</v>
      </c>
      <c r="G68" s="230" t="s">
        <v>3507</v>
      </c>
      <c r="H68" s="167" t="s">
        <v>2408</v>
      </c>
      <c r="I68" s="167" t="s">
        <v>432</v>
      </c>
      <c r="J68" s="109" t="s">
        <v>432</v>
      </c>
      <c r="K68" s="109" t="s">
        <v>432</v>
      </c>
      <c r="L68" s="109" t="s">
        <v>432</v>
      </c>
      <c r="M68" s="109" t="s">
        <v>432</v>
      </c>
      <c r="N68" s="109" t="s">
        <v>432</v>
      </c>
      <c r="O68" s="109" t="s">
        <v>432</v>
      </c>
      <c r="P68" s="109" t="s">
        <v>432</v>
      </c>
      <c r="Q68" s="109" t="s">
        <v>432</v>
      </c>
      <c r="R68" s="109" t="s">
        <v>432</v>
      </c>
      <c r="S68" s="109" t="s">
        <v>2209</v>
      </c>
      <c r="T68" s="109" t="s">
        <v>432</v>
      </c>
      <c r="U68" s="109" t="s">
        <v>432</v>
      </c>
      <c r="V68" s="109" t="s">
        <v>2209</v>
      </c>
      <c r="W68" s="109" t="s">
        <v>432</v>
      </c>
      <c r="X68" s="109" t="s">
        <v>432</v>
      </c>
      <c r="Y68" s="109" t="s">
        <v>432</v>
      </c>
      <c r="Z68" s="109" t="s">
        <v>432</v>
      </c>
      <c r="AA68" s="109" t="s">
        <v>432</v>
      </c>
      <c r="AB68" s="109" t="s">
        <v>432</v>
      </c>
      <c r="AC68" s="109" t="s">
        <v>432</v>
      </c>
      <c r="AD68" s="109" t="s">
        <v>432</v>
      </c>
      <c r="AE68" s="109" t="s">
        <v>432</v>
      </c>
      <c r="AF68" s="109" t="s">
        <v>432</v>
      </c>
      <c r="AG68" s="109" t="s">
        <v>432</v>
      </c>
      <c r="AH68" s="109" t="s">
        <v>432</v>
      </c>
      <c r="AI68" s="109" t="s">
        <v>432</v>
      </c>
      <c r="AJ68" s="109" t="s">
        <v>432</v>
      </c>
      <c r="AK68" s="877" t="s">
        <v>432</v>
      </c>
      <c r="AL68" s="600" t="s">
        <v>432</v>
      </c>
      <c r="AM68" s="877" t="s">
        <v>432</v>
      </c>
      <c r="AN68" s="877" t="s">
        <v>432</v>
      </c>
      <c r="AO68" s="877" t="s">
        <v>432</v>
      </c>
      <c r="AP68" s="877" t="s">
        <v>432</v>
      </c>
      <c r="AQ68" s="877" t="s">
        <v>432</v>
      </c>
      <c r="AR68" s="137" t="s">
        <v>432</v>
      </c>
      <c r="AS68" s="137" t="s">
        <v>432</v>
      </c>
      <c r="AT68" s="137" t="s">
        <v>432</v>
      </c>
      <c r="AU68" s="137" t="s">
        <v>432</v>
      </c>
      <c r="AV68" s="877" t="s">
        <v>432</v>
      </c>
      <c r="AW68" s="137" t="s">
        <v>432</v>
      </c>
      <c r="AX68" s="877" t="s">
        <v>432</v>
      </c>
      <c r="AY68" s="877" t="s">
        <v>432</v>
      </c>
      <c r="AZ68" s="877" t="s">
        <v>432</v>
      </c>
      <c r="BA68" s="877" t="s">
        <v>432</v>
      </c>
      <c r="BB68" s="239" t="str">
        <f t="shared" si="23"/>
        <v>geralacessibilidade</v>
      </c>
      <c r="BC68" s="239" t="str">
        <f t="shared" si="24"/>
        <v>geralacessibilidadesigla/verbete</v>
      </c>
      <c r="BD68" s="239" t="str">
        <f t="shared" si="25"/>
        <v>geralsigla/verbete</v>
      </c>
    </row>
    <row r="69" spans="1:56" s="3" customFormat="1" ht="47.25" x14ac:dyDescent="0.25">
      <c r="A69" s="262" t="s">
        <v>432</v>
      </c>
      <c r="B69" s="252" t="s">
        <v>742</v>
      </c>
      <c r="C69" s="167" t="s">
        <v>743</v>
      </c>
      <c r="D69" s="847" t="s">
        <v>4264</v>
      </c>
      <c r="E69" s="1496" t="s">
        <v>4265</v>
      </c>
      <c r="F69" s="53" t="s">
        <v>4266</v>
      </c>
      <c r="G69" s="230" t="s">
        <v>3507</v>
      </c>
      <c r="H69" s="167" t="s">
        <v>2408</v>
      </c>
      <c r="I69" s="167" t="s">
        <v>432</v>
      </c>
      <c r="J69" s="109" t="s">
        <v>432</v>
      </c>
      <c r="K69" s="109" t="s">
        <v>432</v>
      </c>
      <c r="L69" s="109" t="s">
        <v>432</v>
      </c>
      <c r="M69" s="109" t="s">
        <v>432</v>
      </c>
      <c r="N69" s="109" t="s">
        <v>432</v>
      </c>
      <c r="O69" s="109" t="s">
        <v>432</v>
      </c>
      <c r="P69" s="109" t="s">
        <v>432</v>
      </c>
      <c r="Q69" s="109" t="s">
        <v>432</v>
      </c>
      <c r="R69" s="109" t="s">
        <v>432</v>
      </c>
      <c r="S69" s="109" t="s">
        <v>2209</v>
      </c>
      <c r="T69" s="109" t="s">
        <v>432</v>
      </c>
      <c r="U69" s="109" t="s">
        <v>432</v>
      </c>
      <c r="V69" s="109" t="s">
        <v>2209</v>
      </c>
      <c r="W69" s="109" t="s">
        <v>432</v>
      </c>
      <c r="X69" s="109" t="s">
        <v>432</v>
      </c>
      <c r="Y69" s="109" t="s">
        <v>432</v>
      </c>
      <c r="Z69" s="109" t="s">
        <v>432</v>
      </c>
      <c r="AA69" s="109" t="s">
        <v>432</v>
      </c>
      <c r="AB69" s="109" t="s">
        <v>432</v>
      </c>
      <c r="AC69" s="109" t="s">
        <v>432</v>
      </c>
      <c r="AD69" s="109" t="s">
        <v>432</v>
      </c>
      <c r="AE69" s="109" t="s">
        <v>432</v>
      </c>
      <c r="AF69" s="109" t="s">
        <v>432</v>
      </c>
      <c r="AG69" s="109" t="s">
        <v>432</v>
      </c>
      <c r="AH69" s="109" t="s">
        <v>432</v>
      </c>
      <c r="AI69" s="109" t="s">
        <v>432</v>
      </c>
      <c r="AJ69" s="109" t="s">
        <v>432</v>
      </c>
      <c r="AK69" s="877" t="s">
        <v>432</v>
      </c>
      <c r="AL69" s="600" t="s">
        <v>432</v>
      </c>
      <c r="AM69" s="877" t="s">
        <v>432</v>
      </c>
      <c r="AN69" s="877" t="s">
        <v>432</v>
      </c>
      <c r="AO69" s="877" t="s">
        <v>432</v>
      </c>
      <c r="AP69" s="877" t="s">
        <v>432</v>
      </c>
      <c r="AQ69" s="877" t="s">
        <v>432</v>
      </c>
      <c r="AR69" s="137" t="s">
        <v>432</v>
      </c>
      <c r="AS69" s="137" t="s">
        <v>432</v>
      </c>
      <c r="AT69" s="137" t="s">
        <v>432</v>
      </c>
      <c r="AU69" s="137" t="s">
        <v>432</v>
      </c>
      <c r="AV69" s="877" t="s">
        <v>432</v>
      </c>
      <c r="AW69" s="137" t="s">
        <v>432</v>
      </c>
      <c r="AX69" s="877" t="s">
        <v>432</v>
      </c>
      <c r="AY69" s="877" t="s">
        <v>432</v>
      </c>
      <c r="AZ69" s="877" t="s">
        <v>432</v>
      </c>
      <c r="BA69" s="877" t="s">
        <v>432</v>
      </c>
      <c r="BB69" s="239" t="str">
        <f t="shared" si="23"/>
        <v>geralacessibilidade</v>
      </c>
      <c r="BC69" s="239" t="str">
        <f t="shared" si="24"/>
        <v>geralacessibilidadesigla/verbete</v>
      </c>
      <c r="BD69" s="239" t="str">
        <f t="shared" si="25"/>
        <v>geralsigla/verbete</v>
      </c>
    </row>
    <row r="70" spans="1:56" s="3" customFormat="1" ht="112.5" customHeight="1" x14ac:dyDescent="0.25">
      <c r="A70" s="262" t="str">
        <f>'Q100b-totais'!B62</f>
        <v>8.10</v>
      </c>
      <c r="B70" s="252" t="str">
        <f>'Q100b-totais'!C62</f>
        <v>Sistema de transporte coletivo com um todo</v>
      </c>
      <c r="C70" s="167" t="s">
        <v>743</v>
      </c>
      <c r="D70" s="847" t="s">
        <v>1056</v>
      </c>
      <c r="E70" s="1491" t="s">
        <v>1306</v>
      </c>
      <c r="F70" s="54" t="s">
        <v>1914</v>
      </c>
      <c r="G70" s="416" t="s">
        <v>77</v>
      </c>
      <c r="H70" s="171" t="s">
        <v>432</v>
      </c>
      <c r="I70" s="167">
        <v>1</v>
      </c>
      <c r="J70" s="109" t="s">
        <v>432</v>
      </c>
      <c r="K70" s="109" t="s">
        <v>432</v>
      </c>
      <c r="L70" s="109" t="s">
        <v>432</v>
      </c>
      <c r="M70" s="109" t="s">
        <v>432</v>
      </c>
      <c r="N70" s="109" t="s">
        <v>432</v>
      </c>
      <c r="O70" s="109" t="s">
        <v>432</v>
      </c>
      <c r="P70" s="109" t="s">
        <v>432</v>
      </c>
      <c r="Q70" s="109" t="s">
        <v>432</v>
      </c>
      <c r="R70" s="109" t="s">
        <v>432</v>
      </c>
      <c r="S70" s="109" t="s">
        <v>2209</v>
      </c>
      <c r="T70" s="109" t="s">
        <v>432</v>
      </c>
      <c r="U70" s="109" t="s">
        <v>432</v>
      </c>
      <c r="V70" s="109" t="s">
        <v>2209</v>
      </c>
      <c r="W70" s="109" t="s">
        <v>432</v>
      </c>
      <c r="X70" s="109" t="s">
        <v>432</v>
      </c>
      <c r="Y70" s="109" t="s">
        <v>432</v>
      </c>
      <c r="Z70" s="109" t="s">
        <v>432</v>
      </c>
      <c r="AA70" s="109" t="s">
        <v>432</v>
      </c>
      <c r="AB70" s="109" t="s">
        <v>432</v>
      </c>
      <c r="AC70" s="109" t="s">
        <v>432</v>
      </c>
      <c r="AD70" s="299">
        <v>0.2382</v>
      </c>
      <c r="AE70" s="299">
        <v>0.2334</v>
      </c>
      <c r="AF70" s="299">
        <v>0.21210000000000001</v>
      </c>
      <c r="AG70" s="110">
        <v>21.11</v>
      </c>
      <c r="AH70" s="110">
        <v>19.95</v>
      </c>
      <c r="AI70" s="110">
        <v>18.34</v>
      </c>
      <c r="AJ70" s="109" t="s">
        <v>432</v>
      </c>
      <c r="AK70" s="109" t="s">
        <v>432</v>
      </c>
      <c r="AL70" s="600" t="s">
        <v>432</v>
      </c>
      <c r="AM70" s="137" t="s">
        <v>432</v>
      </c>
      <c r="AN70" s="137" t="s">
        <v>432</v>
      </c>
      <c r="AO70" s="137" t="s">
        <v>432</v>
      </c>
      <c r="AP70" s="137" t="s">
        <v>432</v>
      </c>
      <c r="AQ70" s="137" t="s">
        <v>432</v>
      </c>
      <c r="AR70" s="137" t="s">
        <v>432</v>
      </c>
      <c r="AS70" s="137" t="s">
        <v>432</v>
      </c>
      <c r="AT70" s="137" t="s">
        <v>432</v>
      </c>
      <c r="AU70" s="137" t="s">
        <v>432</v>
      </c>
      <c r="AV70" s="137" t="s">
        <v>432</v>
      </c>
      <c r="AW70" s="137" t="s">
        <v>432</v>
      </c>
      <c r="AX70" s="137" t="s">
        <v>432</v>
      </c>
      <c r="AY70" s="137" t="s">
        <v>432</v>
      </c>
      <c r="AZ70" s="137" t="s">
        <v>432</v>
      </c>
      <c r="BA70" s="137" t="s">
        <v>432</v>
      </c>
      <c r="BB70" s="239" t="str">
        <f t="shared" si="23"/>
        <v>Sistema de transporte coletivo com um todoacessibilidade</v>
      </c>
      <c r="BC70" s="239" t="str">
        <f t="shared" si="24"/>
        <v>Sistema de transporte coletivo com um todoacessibilidadex</v>
      </c>
      <c r="BD70" s="239" t="str">
        <f t="shared" si="25"/>
        <v>Sistema de transporte coletivo com um todox</v>
      </c>
    </row>
    <row r="71" spans="1:56" s="3" customFormat="1" ht="72" customHeight="1" x14ac:dyDescent="0.25">
      <c r="A71" s="262" t="str">
        <f>'Q100b-totais'!B62</f>
        <v>8.10</v>
      </c>
      <c r="B71" s="252" t="str">
        <f>'Q100b-totais'!C62</f>
        <v>Sistema de transporte coletivo com um todo</v>
      </c>
      <c r="C71" s="167" t="s">
        <v>743</v>
      </c>
      <c r="D71" s="847" t="s">
        <v>1057</v>
      </c>
      <c r="E71" s="1491" t="s">
        <v>1306</v>
      </c>
      <c r="F71" s="54" t="s">
        <v>1982</v>
      </c>
      <c r="G71" s="416" t="s">
        <v>768</v>
      </c>
      <c r="H71" s="171" t="s">
        <v>765</v>
      </c>
      <c r="I71" s="167" t="s">
        <v>432</v>
      </c>
      <c r="J71" s="109" t="s">
        <v>432</v>
      </c>
      <c r="K71" s="109" t="s">
        <v>432</v>
      </c>
      <c r="L71" s="109" t="s">
        <v>432</v>
      </c>
      <c r="M71" s="109" t="s">
        <v>432</v>
      </c>
      <c r="N71" s="109" t="s">
        <v>432</v>
      </c>
      <c r="O71" s="109" t="s">
        <v>432</v>
      </c>
      <c r="P71" s="109" t="s">
        <v>432</v>
      </c>
      <c r="Q71" s="109" t="s">
        <v>432</v>
      </c>
      <c r="R71" s="109" t="s">
        <v>432</v>
      </c>
      <c r="S71" s="109" t="s">
        <v>2209</v>
      </c>
      <c r="T71" s="109" t="s">
        <v>432</v>
      </c>
      <c r="U71" s="109" t="s">
        <v>432</v>
      </c>
      <c r="V71" s="109" t="s">
        <v>2209</v>
      </c>
      <c r="W71" s="109" t="s">
        <v>432</v>
      </c>
      <c r="X71" s="109" t="s">
        <v>432</v>
      </c>
      <c r="Y71" s="109" t="s">
        <v>432</v>
      </c>
      <c r="Z71" s="109" t="s">
        <v>432</v>
      </c>
      <c r="AA71" s="109" t="s">
        <v>432</v>
      </c>
      <c r="AB71" s="109" t="s">
        <v>432</v>
      </c>
      <c r="AC71" s="109" t="s">
        <v>432</v>
      </c>
      <c r="AD71" s="109" t="s">
        <v>432</v>
      </c>
      <c r="AE71" s="109" t="s">
        <v>432</v>
      </c>
      <c r="AF71" s="109" t="s">
        <v>432</v>
      </c>
      <c r="AG71" s="109" t="s">
        <v>432</v>
      </c>
      <c r="AH71" s="109" t="s">
        <v>432</v>
      </c>
      <c r="AI71" s="109" t="s">
        <v>432</v>
      </c>
      <c r="AJ71" s="93" t="s">
        <v>432</v>
      </c>
      <c r="AK71" s="137" t="s">
        <v>432</v>
      </c>
      <c r="AL71" s="600" t="s">
        <v>432</v>
      </c>
      <c r="AM71" s="125">
        <v>0.1673</v>
      </c>
      <c r="AN71" s="137" t="s">
        <v>432</v>
      </c>
      <c r="AO71" s="137" t="s">
        <v>432</v>
      </c>
      <c r="AP71" s="137" t="s">
        <v>432</v>
      </c>
      <c r="AQ71" s="125">
        <v>0.14019999999999999</v>
      </c>
      <c r="AR71" s="137" t="s">
        <v>432</v>
      </c>
      <c r="AS71" s="137" t="s">
        <v>432</v>
      </c>
      <c r="AT71" s="137" t="s">
        <v>432</v>
      </c>
      <c r="AU71" s="137" t="s">
        <v>432</v>
      </c>
      <c r="AV71" s="137" t="s">
        <v>432</v>
      </c>
      <c r="AW71" s="137" t="s">
        <v>432</v>
      </c>
      <c r="AX71" s="137" t="s">
        <v>432</v>
      </c>
      <c r="AY71" s="137" t="s">
        <v>432</v>
      </c>
      <c r="AZ71" s="137" t="s">
        <v>432</v>
      </c>
      <c r="BA71" s="137" t="s">
        <v>432</v>
      </c>
      <c r="BB71" s="239" t="str">
        <f t="shared" si="23"/>
        <v>Sistema de transporte coletivo com um todoacessibilidade</v>
      </c>
      <c r="BC71" s="239" t="str">
        <f t="shared" si="24"/>
        <v>Sistema de transporte coletivo com um todoacessibilidademeta/RPI</v>
      </c>
      <c r="BD71" s="239" t="str">
        <f t="shared" si="25"/>
        <v>Sistema de transporte coletivo com um todometa/RPI</v>
      </c>
    </row>
    <row r="72" spans="1:56" s="3" customFormat="1" ht="96" customHeight="1" x14ac:dyDescent="0.25">
      <c r="A72" s="262" t="str">
        <f>'Q100b-totais'!B54</f>
        <v>8.2</v>
      </c>
      <c r="B72" s="252" t="str">
        <f>'Q100b-totais'!C54</f>
        <v>BRT</v>
      </c>
      <c r="C72" s="167" t="s">
        <v>743</v>
      </c>
      <c r="D72" s="324" t="s">
        <v>5916</v>
      </c>
      <c r="E72" s="1491" t="s">
        <v>1306</v>
      </c>
      <c r="F72" s="760" t="s">
        <v>6145</v>
      </c>
      <c r="G72" s="230" t="s">
        <v>3507</v>
      </c>
      <c r="H72" s="168" t="s">
        <v>2408</v>
      </c>
      <c r="I72" s="167" t="s">
        <v>432</v>
      </c>
      <c r="J72" s="109" t="s">
        <v>432</v>
      </c>
      <c r="K72" s="109" t="s">
        <v>432</v>
      </c>
      <c r="L72" s="109" t="s">
        <v>432</v>
      </c>
      <c r="M72" s="109" t="s">
        <v>432</v>
      </c>
      <c r="N72" s="109" t="s">
        <v>432</v>
      </c>
      <c r="O72" s="109" t="s">
        <v>432</v>
      </c>
      <c r="P72" s="109" t="s">
        <v>432</v>
      </c>
      <c r="Q72" s="109" t="s">
        <v>432</v>
      </c>
      <c r="R72" s="109" t="s">
        <v>432</v>
      </c>
      <c r="S72" s="109" t="s">
        <v>2209</v>
      </c>
      <c r="T72" s="109" t="s">
        <v>432</v>
      </c>
      <c r="U72" s="109" t="s">
        <v>432</v>
      </c>
      <c r="V72" s="109" t="s">
        <v>2209</v>
      </c>
      <c r="W72" s="109" t="s">
        <v>432</v>
      </c>
      <c r="X72" s="109" t="s">
        <v>432</v>
      </c>
      <c r="Y72" s="109" t="s">
        <v>432</v>
      </c>
      <c r="Z72" s="109" t="s">
        <v>432</v>
      </c>
      <c r="AA72" s="109" t="s">
        <v>432</v>
      </c>
      <c r="AB72" s="109" t="s">
        <v>432</v>
      </c>
      <c r="AC72" s="109" t="s">
        <v>432</v>
      </c>
      <c r="AD72" s="109" t="s">
        <v>432</v>
      </c>
      <c r="AE72" s="109" t="s">
        <v>432</v>
      </c>
      <c r="AF72" s="109" t="s">
        <v>432</v>
      </c>
      <c r="AG72" s="109" t="s">
        <v>432</v>
      </c>
      <c r="AH72" s="109" t="s">
        <v>432</v>
      </c>
      <c r="AI72" s="109" t="s">
        <v>432</v>
      </c>
      <c r="AJ72" s="109" t="s">
        <v>432</v>
      </c>
      <c r="AK72" s="109" t="s">
        <v>432</v>
      </c>
      <c r="AL72" s="601" t="s">
        <v>432</v>
      </c>
      <c r="AM72" s="137" t="s">
        <v>432</v>
      </c>
      <c r="AN72" s="137" t="s">
        <v>432</v>
      </c>
      <c r="AO72" s="137" t="s">
        <v>432</v>
      </c>
      <c r="AP72" s="137" t="s">
        <v>432</v>
      </c>
      <c r="AQ72" s="137" t="s">
        <v>432</v>
      </c>
      <c r="AR72" s="137" t="s">
        <v>432</v>
      </c>
      <c r="AS72" s="137" t="s">
        <v>432</v>
      </c>
      <c r="AT72" s="137" t="s">
        <v>432</v>
      </c>
      <c r="AU72" s="137" t="s">
        <v>432</v>
      </c>
      <c r="AV72" s="137" t="s">
        <v>432</v>
      </c>
      <c r="AW72" s="137" t="s">
        <v>432</v>
      </c>
      <c r="AX72" s="137" t="s">
        <v>432</v>
      </c>
      <c r="AY72" s="137" t="s">
        <v>432</v>
      </c>
      <c r="AZ72" s="137" t="s">
        <v>432</v>
      </c>
      <c r="BA72" s="137" t="s">
        <v>432</v>
      </c>
      <c r="BB72" s="239" t="str">
        <f t="shared" si="23"/>
        <v>BRTacessibilidade</v>
      </c>
      <c r="BC72" s="239" t="str">
        <f t="shared" si="24"/>
        <v>BRTacessibilidadesigla/verbete</v>
      </c>
      <c r="BD72" s="239" t="str">
        <f t="shared" si="25"/>
        <v>BRTsigla/verbete</v>
      </c>
    </row>
    <row r="73" spans="1:56" s="3" customFormat="1" ht="72" customHeight="1" x14ac:dyDescent="0.25">
      <c r="A73" s="262" t="str">
        <f>'Q100b-totais'!B54</f>
        <v>8.2</v>
      </c>
      <c r="B73" s="53" t="str">
        <f>'Q100b-totais'!C54</f>
        <v>BRT</v>
      </c>
      <c r="C73" s="167" t="s">
        <v>743</v>
      </c>
      <c r="D73" s="324" t="s">
        <v>5918</v>
      </c>
      <c r="E73" s="1491" t="s">
        <v>1306</v>
      </c>
      <c r="F73" s="760" t="s">
        <v>6130</v>
      </c>
      <c r="G73" s="230" t="s">
        <v>3507</v>
      </c>
      <c r="H73" s="168" t="s">
        <v>2408</v>
      </c>
      <c r="I73" s="167" t="s">
        <v>432</v>
      </c>
      <c r="J73" s="109" t="s">
        <v>432</v>
      </c>
      <c r="K73" s="109" t="s">
        <v>432</v>
      </c>
      <c r="L73" s="109" t="s">
        <v>432</v>
      </c>
      <c r="M73" s="109" t="s">
        <v>432</v>
      </c>
      <c r="N73" s="109" t="s">
        <v>432</v>
      </c>
      <c r="O73" s="109" t="s">
        <v>432</v>
      </c>
      <c r="P73" s="109" t="s">
        <v>432</v>
      </c>
      <c r="Q73" s="109" t="s">
        <v>432</v>
      </c>
      <c r="R73" s="109" t="s">
        <v>432</v>
      </c>
      <c r="S73" s="109" t="s">
        <v>2209</v>
      </c>
      <c r="T73" s="109" t="s">
        <v>432</v>
      </c>
      <c r="U73" s="109" t="s">
        <v>432</v>
      </c>
      <c r="V73" s="109" t="s">
        <v>2209</v>
      </c>
      <c r="W73" s="109" t="s">
        <v>432</v>
      </c>
      <c r="X73" s="109" t="s">
        <v>432</v>
      </c>
      <c r="Y73" s="109" t="s">
        <v>432</v>
      </c>
      <c r="Z73" s="109" t="s">
        <v>432</v>
      </c>
      <c r="AA73" s="109" t="s">
        <v>432</v>
      </c>
      <c r="AB73" s="109" t="s">
        <v>432</v>
      </c>
      <c r="AC73" s="109" t="s">
        <v>432</v>
      </c>
      <c r="AD73" s="109" t="s">
        <v>432</v>
      </c>
      <c r="AE73" s="109" t="s">
        <v>432</v>
      </c>
      <c r="AF73" s="109" t="s">
        <v>432</v>
      </c>
      <c r="AG73" s="109" t="s">
        <v>432</v>
      </c>
      <c r="AH73" s="109" t="s">
        <v>432</v>
      </c>
      <c r="AI73" s="109" t="s">
        <v>432</v>
      </c>
      <c r="AJ73" s="109" t="s">
        <v>432</v>
      </c>
      <c r="AK73" s="109" t="s">
        <v>432</v>
      </c>
      <c r="AL73" s="601" t="s">
        <v>432</v>
      </c>
      <c r="AM73" s="137" t="s">
        <v>432</v>
      </c>
      <c r="AN73" s="137" t="s">
        <v>432</v>
      </c>
      <c r="AO73" s="137" t="s">
        <v>432</v>
      </c>
      <c r="AP73" s="137" t="s">
        <v>432</v>
      </c>
      <c r="AQ73" s="137" t="s">
        <v>432</v>
      </c>
      <c r="AR73" s="137" t="s">
        <v>432</v>
      </c>
      <c r="AS73" s="137" t="s">
        <v>432</v>
      </c>
      <c r="AT73" s="137" t="s">
        <v>432</v>
      </c>
      <c r="AU73" s="137" t="s">
        <v>432</v>
      </c>
      <c r="AV73" s="137" t="s">
        <v>432</v>
      </c>
      <c r="AW73" s="137" t="s">
        <v>432</v>
      </c>
      <c r="AX73" s="137" t="s">
        <v>432</v>
      </c>
      <c r="AY73" s="137" t="s">
        <v>432</v>
      </c>
      <c r="AZ73" s="137" t="s">
        <v>432</v>
      </c>
      <c r="BA73" s="137" t="s">
        <v>432</v>
      </c>
      <c r="BB73" s="239" t="str">
        <f t="shared" si="23"/>
        <v>BRTacessibilidade</v>
      </c>
      <c r="BC73" s="239" t="str">
        <f t="shared" si="24"/>
        <v>BRTacessibilidadesigla/verbete</v>
      </c>
      <c r="BD73" s="239" t="str">
        <f t="shared" si="25"/>
        <v>BRTsigla/verbete</v>
      </c>
    </row>
    <row r="74" spans="1:56" s="3" customFormat="1" ht="72" customHeight="1" x14ac:dyDescent="0.25">
      <c r="A74" s="262" t="str">
        <f>'Q100b-totais'!B54</f>
        <v>8.2</v>
      </c>
      <c r="B74" s="53" t="str">
        <f>'Q100b-totais'!C54</f>
        <v>BRT</v>
      </c>
      <c r="C74" s="167" t="s">
        <v>743</v>
      </c>
      <c r="D74" s="324" t="s">
        <v>5917</v>
      </c>
      <c r="E74" s="1491" t="s">
        <v>1306</v>
      </c>
      <c r="F74" s="760" t="s">
        <v>6127</v>
      </c>
      <c r="G74" s="230" t="s">
        <v>3507</v>
      </c>
      <c r="H74" s="168" t="s">
        <v>2408</v>
      </c>
      <c r="I74" s="167" t="s">
        <v>432</v>
      </c>
      <c r="J74" s="109" t="s">
        <v>432</v>
      </c>
      <c r="K74" s="109" t="s">
        <v>432</v>
      </c>
      <c r="L74" s="109" t="s">
        <v>432</v>
      </c>
      <c r="M74" s="109" t="s">
        <v>432</v>
      </c>
      <c r="N74" s="109" t="s">
        <v>432</v>
      </c>
      <c r="O74" s="109" t="s">
        <v>432</v>
      </c>
      <c r="P74" s="109" t="s">
        <v>432</v>
      </c>
      <c r="Q74" s="109" t="s">
        <v>432</v>
      </c>
      <c r="R74" s="109" t="s">
        <v>432</v>
      </c>
      <c r="S74" s="109" t="s">
        <v>2209</v>
      </c>
      <c r="T74" s="109" t="s">
        <v>432</v>
      </c>
      <c r="U74" s="109" t="s">
        <v>432</v>
      </c>
      <c r="V74" s="109" t="s">
        <v>2209</v>
      </c>
      <c r="W74" s="109" t="s">
        <v>432</v>
      </c>
      <c r="X74" s="109" t="s">
        <v>432</v>
      </c>
      <c r="Y74" s="109" t="s">
        <v>432</v>
      </c>
      <c r="Z74" s="109" t="s">
        <v>432</v>
      </c>
      <c r="AA74" s="109" t="s">
        <v>432</v>
      </c>
      <c r="AB74" s="109" t="s">
        <v>432</v>
      </c>
      <c r="AC74" s="109" t="s">
        <v>432</v>
      </c>
      <c r="AD74" s="109" t="s">
        <v>432</v>
      </c>
      <c r="AE74" s="109" t="s">
        <v>432</v>
      </c>
      <c r="AF74" s="109" t="s">
        <v>432</v>
      </c>
      <c r="AG74" s="109" t="s">
        <v>432</v>
      </c>
      <c r="AH74" s="109" t="s">
        <v>432</v>
      </c>
      <c r="AI74" s="109" t="s">
        <v>432</v>
      </c>
      <c r="AJ74" s="109" t="s">
        <v>432</v>
      </c>
      <c r="AK74" s="109" t="s">
        <v>432</v>
      </c>
      <c r="AL74" s="601" t="s">
        <v>432</v>
      </c>
      <c r="AM74" s="137" t="s">
        <v>432</v>
      </c>
      <c r="AN74" s="137" t="s">
        <v>432</v>
      </c>
      <c r="AO74" s="137" t="s">
        <v>432</v>
      </c>
      <c r="AP74" s="137" t="s">
        <v>432</v>
      </c>
      <c r="AQ74" s="137" t="s">
        <v>432</v>
      </c>
      <c r="AR74" s="137" t="s">
        <v>432</v>
      </c>
      <c r="AS74" s="137" t="s">
        <v>432</v>
      </c>
      <c r="AT74" s="137" t="s">
        <v>432</v>
      </c>
      <c r="AU74" s="137" t="s">
        <v>432</v>
      </c>
      <c r="AV74" s="137" t="s">
        <v>432</v>
      </c>
      <c r="AW74" s="137" t="s">
        <v>432</v>
      </c>
      <c r="AX74" s="137" t="s">
        <v>432</v>
      </c>
      <c r="AY74" s="137" t="s">
        <v>432</v>
      </c>
      <c r="AZ74" s="137" t="s">
        <v>432</v>
      </c>
      <c r="BA74" s="137" t="s">
        <v>432</v>
      </c>
      <c r="BB74" s="239" t="str">
        <f t="shared" si="23"/>
        <v>BRTacessibilidade</v>
      </c>
      <c r="BC74" s="239" t="str">
        <f t="shared" si="24"/>
        <v>BRTacessibilidadesigla/verbete</v>
      </c>
      <c r="BD74" s="239" t="str">
        <f t="shared" si="25"/>
        <v>BRTsigla/verbete</v>
      </c>
    </row>
    <row r="75" spans="1:56" s="3" customFormat="1" ht="72" customHeight="1" x14ac:dyDescent="0.25">
      <c r="A75" s="262" t="str">
        <f>'Q100b-totais'!B54</f>
        <v>8.2</v>
      </c>
      <c r="B75" s="53" t="str">
        <f>'Q100b-totais'!C54</f>
        <v>BRT</v>
      </c>
      <c r="C75" s="167" t="s">
        <v>743</v>
      </c>
      <c r="D75" s="325" t="s">
        <v>6129</v>
      </c>
      <c r="E75" s="1491" t="s">
        <v>1306</v>
      </c>
      <c r="F75" s="760" t="s">
        <v>6131</v>
      </c>
      <c r="G75" s="230" t="s">
        <v>3507</v>
      </c>
      <c r="H75" s="168" t="s">
        <v>2408</v>
      </c>
      <c r="I75" s="167" t="s">
        <v>432</v>
      </c>
      <c r="J75" s="109" t="s">
        <v>432</v>
      </c>
      <c r="K75" s="109" t="s">
        <v>432</v>
      </c>
      <c r="L75" s="109" t="s">
        <v>432</v>
      </c>
      <c r="M75" s="109" t="s">
        <v>432</v>
      </c>
      <c r="N75" s="109" t="s">
        <v>432</v>
      </c>
      <c r="O75" s="109" t="s">
        <v>432</v>
      </c>
      <c r="P75" s="109" t="s">
        <v>432</v>
      </c>
      <c r="Q75" s="109" t="s">
        <v>432</v>
      </c>
      <c r="R75" s="109" t="s">
        <v>432</v>
      </c>
      <c r="S75" s="109" t="s">
        <v>2209</v>
      </c>
      <c r="T75" s="109" t="s">
        <v>432</v>
      </c>
      <c r="U75" s="109" t="s">
        <v>432</v>
      </c>
      <c r="V75" s="109" t="s">
        <v>2209</v>
      </c>
      <c r="W75" s="109" t="s">
        <v>432</v>
      </c>
      <c r="X75" s="109" t="s">
        <v>432</v>
      </c>
      <c r="Y75" s="109" t="s">
        <v>432</v>
      </c>
      <c r="Z75" s="109" t="s">
        <v>432</v>
      </c>
      <c r="AA75" s="109" t="s">
        <v>432</v>
      </c>
      <c r="AB75" s="109" t="s">
        <v>432</v>
      </c>
      <c r="AC75" s="109" t="s">
        <v>432</v>
      </c>
      <c r="AD75" s="109" t="s">
        <v>432</v>
      </c>
      <c r="AE75" s="109" t="s">
        <v>432</v>
      </c>
      <c r="AF75" s="109" t="s">
        <v>432</v>
      </c>
      <c r="AG75" s="109" t="s">
        <v>432</v>
      </c>
      <c r="AH75" s="109" t="s">
        <v>432</v>
      </c>
      <c r="AI75" s="109" t="s">
        <v>432</v>
      </c>
      <c r="AJ75" s="109" t="s">
        <v>432</v>
      </c>
      <c r="AK75" s="109" t="s">
        <v>432</v>
      </c>
      <c r="AL75" s="601" t="s">
        <v>432</v>
      </c>
      <c r="AM75" s="137" t="s">
        <v>432</v>
      </c>
      <c r="AN75" s="137" t="s">
        <v>432</v>
      </c>
      <c r="AO75" s="137" t="s">
        <v>432</v>
      </c>
      <c r="AP75" s="137" t="s">
        <v>432</v>
      </c>
      <c r="AQ75" s="137" t="s">
        <v>432</v>
      </c>
      <c r="AR75" s="137" t="s">
        <v>432</v>
      </c>
      <c r="AS75" s="137" t="s">
        <v>432</v>
      </c>
      <c r="AT75" s="137" t="s">
        <v>432</v>
      </c>
      <c r="AU75" s="137" t="s">
        <v>432</v>
      </c>
      <c r="AV75" s="137" t="s">
        <v>432</v>
      </c>
      <c r="AW75" s="137" t="s">
        <v>432</v>
      </c>
      <c r="AX75" s="137" t="s">
        <v>432</v>
      </c>
      <c r="AY75" s="137" t="s">
        <v>432</v>
      </c>
      <c r="AZ75" s="137" t="s">
        <v>432</v>
      </c>
      <c r="BA75" s="137" t="s">
        <v>432</v>
      </c>
      <c r="BB75" s="239" t="str">
        <f t="shared" si="23"/>
        <v>BRTacessibilidade</v>
      </c>
      <c r="BC75" s="239" t="str">
        <f t="shared" si="24"/>
        <v>BRTacessibilidadesigla/verbete</v>
      </c>
      <c r="BD75" s="239" t="str">
        <f t="shared" si="25"/>
        <v>BRTsigla/verbete</v>
      </c>
    </row>
    <row r="76" spans="1:56" s="3" customFormat="1" ht="72" customHeight="1" x14ac:dyDescent="0.25">
      <c r="A76" s="262" t="str">
        <f>'Q100b-totais'!B54</f>
        <v>8.2</v>
      </c>
      <c r="B76" s="53" t="str">
        <f>'Q100b-totais'!C54</f>
        <v>BRT</v>
      </c>
      <c r="C76" s="167" t="s">
        <v>743</v>
      </c>
      <c r="D76" s="847" t="s">
        <v>5891</v>
      </c>
      <c r="E76" s="1491" t="s">
        <v>1306</v>
      </c>
      <c r="F76" s="760" t="s">
        <v>6128</v>
      </c>
      <c r="G76" s="230" t="s">
        <v>3507</v>
      </c>
      <c r="H76" s="168" t="s">
        <v>2408</v>
      </c>
      <c r="I76" s="167" t="s">
        <v>432</v>
      </c>
      <c r="J76" s="109" t="s">
        <v>432</v>
      </c>
      <c r="K76" s="109" t="s">
        <v>432</v>
      </c>
      <c r="L76" s="109" t="s">
        <v>432</v>
      </c>
      <c r="M76" s="109" t="s">
        <v>432</v>
      </c>
      <c r="N76" s="109" t="s">
        <v>432</v>
      </c>
      <c r="O76" s="109" t="s">
        <v>432</v>
      </c>
      <c r="P76" s="109" t="s">
        <v>432</v>
      </c>
      <c r="Q76" s="109" t="s">
        <v>432</v>
      </c>
      <c r="R76" s="109" t="s">
        <v>432</v>
      </c>
      <c r="S76" s="109" t="s">
        <v>2209</v>
      </c>
      <c r="T76" s="109" t="s">
        <v>432</v>
      </c>
      <c r="U76" s="109" t="s">
        <v>432</v>
      </c>
      <c r="V76" s="109" t="s">
        <v>2209</v>
      </c>
      <c r="W76" s="109" t="s">
        <v>432</v>
      </c>
      <c r="X76" s="109" t="s">
        <v>432</v>
      </c>
      <c r="Y76" s="109" t="s">
        <v>432</v>
      </c>
      <c r="Z76" s="109" t="s">
        <v>432</v>
      </c>
      <c r="AA76" s="109" t="s">
        <v>432</v>
      </c>
      <c r="AB76" s="109" t="s">
        <v>432</v>
      </c>
      <c r="AC76" s="109" t="s">
        <v>432</v>
      </c>
      <c r="AD76" s="109" t="s">
        <v>432</v>
      </c>
      <c r="AE76" s="109" t="s">
        <v>432</v>
      </c>
      <c r="AF76" s="109" t="s">
        <v>432</v>
      </c>
      <c r="AG76" s="109" t="s">
        <v>432</v>
      </c>
      <c r="AH76" s="109" t="s">
        <v>432</v>
      </c>
      <c r="AI76" s="109" t="s">
        <v>432</v>
      </c>
      <c r="AJ76" s="109" t="s">
        <v>432</v>
      </c>
      <c r="AK76" s="109" t="s">
        <v>432</v>
      </c>
      <c r="AL76" s="601" t="s">
        <v>432</v>
      </c>
      <c r="AM76" s="137" t="s">
        <v>432</v>
      </c>
      <c r="AN76" s="137" t="s">
        <v>432</v>
      </c>
      <c r="AO76" s="137" t="s">
        <v>432</v>
      </c>
      <c r="AP76" s="137" t="s">
        <v>432</v>
      </c>
      <c r="AQ76" s="137" t="s">
        <v>432</v>
      </c>
      <c r="AR76" s="137" t="s">
        <v>432</v>
      </c>
      <c r="AS76" s="137" t="s">
        <v>432</v>
      </c>
      <c r="AT76" s="137" t="s">
        <v>432</v>
      </c>
      <c r="AU76" s="137" t="s">
        <v>432</v>
      </c>
      <c r="AV76" s="137" t="s">
        <v>432</v>
      </c>
      <c r="AW76" s="137" t="s">
        <v>432</v>
      </c>
      <c r="AX76" s="137" t="s">
        <v>432</v>
      </c>
      <c r="AY76" s="137" t="s">
        <v>432</v>
      </c>
      <c r="AZ76" s="137" t="s">
        <v>432</v>
      </c>
      <c r="BA76" s="137" t="s">
        <v>432</v>
      </c>
      <c r="BB76" s="239" t="str">
        <f t="shared" si="23"/>
        <v>BRTacessibilidade</v>
      </c>
      <c r="BC76" s="239" t="str">
        <f t="shared" si="24"/>
        <v>BRTacessibilidadesigla/verbete</v>
      </c>
      <c r="BD76" s="239" t="str">
        <f t="shared" si="25"/>
        <v>BRTsigla/verbete</v>
      </c>
    </row>
    <row r="77" spans="1:56" s="3" customFormat="1" ht="72" customHeight="1" x14ac:dyDescent="0.25">
      <c r="A77" s="262" t="str">
        <f>'Q100b-totais'!B61</f>
        <v>8.9</v>
      </c>
      <c r="B77" s="53" t="str">
        <f>'Q100b-totais'!C61</f>
        <v>Metrô</v>
      </c>
      <c r="C77" s="167" t="s">
        <v>743</v>
      </c>
      <c r="D77" s="847" t="s">
        <v>5891</v>
      </c>
      <c r="E77" s="1491" t="s">
        <v>5027</v>
      </c>
      <c r="F77" s="1446" t="s">
        <v>5892</v>
      </c>
      <c r="G77" s="230" t="s">
        <v>3507</v>
      </c>
      <c r="H77" s="168" t="s">
        <v>2408</v>
      </c>
      <c r="I77" s="167" t="s">
        <v>432</v>
      </c>
      <c r="J77" s="109" t="s">
        <v>432</v>
      </c>
      <c r="K77" s="109" t="s">
        <v>432</v>
      </c>
      <c r="L77" s="109" t="s">
        <v>432</v>
      </c>
      <c r="M77" s="109" t="s">
        <v>432</v>
      </c>
      <c r="N77" s="109" t="s">
        <v>432</v>
      </c>
      <c r="O77" s="109" t="s">
        <v>432</v>
      </c>
      <c r="P77" s="109" t="s">
        <v>432</v>
      </c>
      <c r="Q77" s="109" t="s">
        <v>432</v>
      </c>
      <c r="R77" s="109" t="s">
        <v>432</v>
      </c>
      <c r="S77" s="109" t="s">
        <v>2209</v>
      </c>
      <c r="T77" s="109" t="s">
        <v>432</v>
      </c>
      <c r="U77" s="109" t="s">
        <v>432</v>
      </c>
      <c r="V77" s="109" t="s">
        <v>2209</v>
      </c>
      <c r="W77" s="109" t="s">
        <v>432</v>
      </c>
      <c r="X77" s="109" t="s">
        <v>432</v>
      </c>
      <c r="Y77" s="109" t="s">
        <v>432</v>
      </c>
      <c r="Z77" s="109" t="s">
        <v>432</v>
      </c>
      <c r="AA77" s="109" t="s">
        <v>432</v>
      </c>
      <c r="AB77" s="109" t="s">
        <v>432</v>
      </c>
      <c r="AC77" s="109" t="s">
        <v>432</v>
      </c>
      <c r="AD77" s="109" t="s">
        <v>432</v>
      </c>
      <c r="AE77" s="109" t="s">
        <v>432</v>
      </c>
      <c r="AF77" s="109" t="s">
        <v>432</v>
      </c>
      <c r="AG77" s="109" t="s">
        <v>432</v>
      </c>
      <c r="AH77" s="109" t="s">
        <v>432</v>
      </c>
      <c r="AI77" s="109" t="s">
        <v>432</v>
      </c>
      <c r="AJ77" s="109" t="s">
        <v>432</v>
      </c>
      <c r="AK77" s="109" t="s">
        <v>432</v>
      </c>
      <c r="AL77" s="601" t="s">
        <v>432</v>
      </c>
      <c r="AM77" s="137" t="s">
        <v>432</v>
      </c>
      <c r="AN77" s="137" t="s">
        <v>432</v>
      </c>
      <c r="AO77" s="137" t="s">
        <v>432</v>
      </c>
      <c r="AP77" s="137" t="s">
        <v>432</v>
      </c>
      <c r="AQ77" s="137" t="s">
        <v>432</v>
      </c>
      <c r="AR77" s="137" t="s">
        <v>432</v>
      </c>
      <c r="AS77" s="137" t="s">
        <v>432</v>
      </c>
      <c r="AT77" s="137" t="s">
        <v>432</v>
      </c>
      <c r="AU77" s="137" t="s">
        <v>432</v>
      </c>
      <c r="AV77" s="137" t="s">
        <v>432</v>
      </c>
      <c r="AW77" s="137" t="s">
        <v>432</v>
      </c>
      <c r="AX77" s="137" t="s">
        <v>432</v>
      </c>
      <c r="AY77" s="137" t="s">
        <v>432</v>
      </c>
      <c r="AZ77" s="137" t="s">
        <v>432</v>
      </c>
      <c r="BA77" s="137" t="s">
        <v>432</v>
      </c>
      <c r="BB77" s="239" t="str">
        <f t="shared" si="23"/>
        <v>Metrôacessibilidade</v>
      </c>
      <c r="BC77" s="239" t="str">
        <f t="shared" si="24"/>
        <v>Metrôacessibilidadesigla/verbete</v>
      </c>
      <c r="BD77" s="239" t="str">
        <f t="shared" si="25"/>
        <v>Metrôsigla/verbete</v>
      </c>
    </row>
    <row r="78" spans="1:56" s="1" customFormat="1" ht="114.75" x14ac:dyDescent="0.25">
      <c r="A78" s="262" t="str">
        <f>'Q100b-totais'!B62</f>
        <v>8.10</v>
      </c>
      <c r="B78" s="53" t="str">
        <f>'Q100b-totais'!C62</f>
        <v>Sistema de transporte coletivo com um todo</v>
      </c>
      <c r="C78" s="229" t="s">
        <v>743</v>
      </c>
      <c r="D78" s="325" t="s">
        <v>4348</v>
      </c>
      <c r="E78" s="1498" t="s">
        <v>432</v>
      </c>
      <c r="F78" s="188" t="s">
        <v>4713</v>
      </c>
      <c r="G78" s="230" t="s">
        <v>3507</v>
      </c>
      <c r="H78" s="168" t="s">
        <v>2408</v>
      </c>
      <c r="I78" s="167" t="s">
        <v>432</v>
      </c>
      <c r="J78" s="109" t="s">
        <v>432</v>
      </c>
      <c r="K78" s="109" t="s">
        <v>432</v>
      </c>
      <c r="L78" s="109" t="s">
        <v>432</v>
      </c>
      <c r="M78" s="109" t="s">
        <v>432</v>
      </c>
      <c r="N78" s="109" t="s">
        <v>432</v>
      </c>
      <c r="O78" s="109" t="s">
        <v>432</v>
      </c>
      <c r="P78" s="109" t="s">
        <v>432</v>
      </c>
      <c r="Q78" s="109" t="s">
        <v>432</v>
      </c>
      <c r="R78" s="109" t="s">
        <v>432</v>
      </c>
      <c r="S78" s="109" t="s">
        <v>2209</v>
      </c>
      <c r="T78" s="109" t="s">
        <v>432</v>
      </c>
      <c r="U78" s="109" t="s">
        <v>432</v>
      </c>
      <c r="V78" s="109" t="s">
        <v>2209</v>
      </c>
      <c r="W78" s="109" t="s">
        <v>432</v>
      </c>
      <c r="X78" s="109" t="s">
        <v>432</v>
      </c>
      <c r="Y78" s="109" t="s">
        <v>432</v>
      </c>
      <c r="Z78" s="109" t="s">
        <v>432</v>
      </c>
      <c r="AA78" s="109" t="s">
        <v>432</v>
      </c>
      <c r="AB78" s="109" t="s">
        <v>432</v>
      </c>
      <c r="AC78" s="109" t="s">
        <v>432</v>
      </c>
      <c r="AD78" s="109" t="s">
        <v>432</v>
      </c>
      <c r="AE78" s="109" t="s">
        <v>432</v>
      </c>
      <c r="AF78" s="109" t="s">
        <v>432</v>
      </c>
      <c r="AG78" s="109" t="s">
        <v>432</v>
      </c>
      <c r="AH78" s="109" t="s">
        <v>432</v>
      </c>
      <c r="AI78" s="109" t="s">
        <v>432</v>
      </c>
      <c r="AJ78" s="109" t="s">
        <v>432</v>
      </c>
      <c r="AK78" s="109" t="s">
        <v>432</v>
      </c>
      <c r="AL78" s="601" t="s">
        <v>432</v>
      </c>
      <c r="AM78" s="137" t="s">
        <v>432</v>
      </c>
      <c r="AN78" s="137" t="s">
        <v>432</v>
      </c>
      <c r="AO78" s="137" t="s">
        <v>432</v>
      </c>
      <c r="AP78" s="137" t="s">
        <v>432</v>
      </c>
      <c r="AQ78" s="137" t="s">
        <v>432</v>
      </c>
      <c r="AR78" s="137" t="s">
        <v>432</v>
      </c>
      <c r="AS78" s="137" t="s">
        <v>432</v>
      </c>
      <c r="AT78" s="137" t="s">
        <v>432</v>
      </c>
      <c r="AU78" s="137" t="s">
        <v>432</v>
      </c>
      <c r="AV78" s="137" t="s">
        <v>432</v>
      </c>
      <c r="AW78" s="137" t="s">
        <v>432</v>
      </c>
      <c r="AX78" s="137" t="s">
        <v>432</v>
      </c>
      <c r="AY78" s="137" t="s">
        <v>432</v>
      </c>
      <c r="AZ78" s="137" t="s">
        <v>432</v>
      </c>
      <c r="BA78" s="137" t="s">
        <v>432</v>
      </c>
      <c r="BB78" s="239" t="str">
        <f t="shared" si="23"/>
        <v>Sistema de transporte coletivo com um todoacessibilidade</v>
      </c>
      <c r="BC78" s="239" t="str">
        <f t="shared" si="24"/>
        <v>Sistema de transporte coletivo com um todoacessibilidadesigla/verbete</v>
      </c>
      <c r="BD78" s="239" t="str">
        <f t="shared" si="25"/>
        <v>Sistema de transporte coletivo com um todosigla/verbete</v>
      </c>
    </row>
    <row r="79" spans="1:56" s="3" customFormat="1" ht="117.75" customHeight="1" x14ac:dyDescent="0.25">
      <c r="A79" s="262" t="str">
        <f>'Q100b-totais'!B62</f>
        <v>8.10</v>
      </c>
      <c r="B79" s="252" t="str">
        <f>'Q100b-totais'!C62</f>
        <v>Sistema de transporte coletivo com um todo</v>
      </c>
      <c r="C79" s="167" t="s">
        <v>743</v>
      </c>
      <c r="D79" s="847" t="s">
        <v>1369</v>
      </c>
      <c r="E79" s="1496" t="s">
        <v>432</v>
      </c>
      <c r="F79" s="53" t="s">
        <v>2613</v>
      </c>
      <c r="G79" s="230" t="s">
        <v>3507</v>
      </c>
      <c r="H79" s="167" t="s">
        <v>2408</v>
      </c>
      <c r="I79" s="167" t="s">
        <v>432</v>
      </c>
      <c r="J79" s="109" t="s">
        <v>432</v>
      </c>
      <c r="K79" s="109" t="s">
        <v>432</v>
      </c>
      <c r="L79" s="109" t="s">
        <v>432</v>
      </c>
      <c r="M79" s="109" t="s">
        <v>432</v>
      </c>
      <c r="N79" s="109" t="s">
        <v>432</v>
      </c>
      <c r="O79" s="109" t="s">
        <v>432</v>
      </c>
      <c r="P79" s="109" t="s">
        <v>432</v>
      </c>
      <c r="Q79" s="109" t="s">
        <v>432</v>
      </c>
      <c r="R79" s="109" t="s">
        <v>432</v>
      </c>
      <c r="S79" s="109" t="s">
        <v>2209</v>
      </c>
      <c r="T79" s="109" t="s">
        <v>432</v>
      </c>
      <c r="U79" s="109" t="s">
        <v>432</v>
      </c>
      <c r="V79" s="109" t="s">
        <v>2209</v>
      </c>
      <c r="W79" s="109" t="s">
        <v>432</v>
      </c>
      <c r="X79" s="109" t="s">
        <v>432</v>
      </c>
      <c r="Y79" s="109" t="s">
        <v>432</v>
      </c>
      <c r="Z79" s="109" t="s">
        <v>432</v>
      </c>
      <c r="AA79" s="109" t="s">
        <v>432</v>
      </c>
      <c r="AB79" s="109" t="s">
        <v>432</v>
      </c>
      <c r="AC79" s="109" t="s">
        <v>432</v>
      </c>
      <c r="AD79" s="109" t="s">
        <v>432</v>
      </c>
      <c r="AE79" s="109" t="s">
        <v>432</v>
      </c>
      <c r="AF79" s="109" t="s">
        <v>432</v>
      </c>
      <c r="AG79" s="109" t="s">
        <v>432</v>
      </c>
      <c r="AH79" s="109" t="s">
        <v>432</v>
      </c>
      <c r="AI79" s="109" t="s">
        <v>432</v>
      </c>
      <c r="AJ79" s="109" t="s">
        <v>432</v>
      </c>
      <c r="AK79" s="109" t="s">
        <v>432</v>
      </c>
      <c r="AL79" s="600" t="s">
        <v>432</v>
      </c>
      <c r="AM79" s="137" t="s">
        <v>432</v>
      </c>
      <c r="AN79" s="137" t="s">
        <v>432</v>
      </c>
      <c r="AO79" s="137" t="s">
        <v>432</v>
      </c>
      <c r="AP79" s="137" t="s">
        <v>432</v>
      </c>
      <c r="AQ79" s="137" t="s">
        <v>432</v>
      </c>
      <c r="AR79" s="137" t="s">
        <v>432</v>
      </c>
      <c r="AS79" s="137" t="s">
        <v>432</v>
      </c>
      <c r="AT79" s="137" t="s">
        <v>432</v>
      </c>
      <c r="AU79" s="137" t="s">
        <v>432</v>
      </c>
      <c r="AV79" s="137" t="s">
        <v>432</v>
      </c>
      <c r="AW79" s="137" t="s">
        <v>432</v>
      </c>
      <c r="AX79" s="137" t="s">
        <v>432</v>
      </c>
      <c r="AY79" s="137" t="s">
        <v>432</v>
      </c>
      <c r="AZ79" s="137" t="s">
        <v>432</v>
      </c>
      <c r="BA79" s="137" t="s">
        <v>432</v>
      </c>
      <c r="BB79" s="239" t="str">
        <f t="shared" si="23"/>
        <v>Sistema de transporte coletivo com um todoacessibilidade</v>
      </c>
      <c r="BC79" s="239" t="str">
        <f t="shared" si="24"/>
        <v>Sistema de transporte coletivo com um todoacessibilidadesigla/verbete</v>
      </c>
      <c r="BD79" s="239" t="str">
        <f t="shared" si="25"/>
        <v>Sistema de transporte coletivo com um todosigla/verbete</v>
      </c>
    </row>
    <row r="80" spans="1:56" s="3" customFormat="1" ht="67.5" customHeight="1" x14ac:dyDescent="0.25">
      <c r="A80" s="262" t="str">
        <f>'Q100b-totais'!B62</f>
        <v>8.10</v>
      </c>
      <c r="B80" s="252" t="str">
        <f>'Q100b-totais'!C62</f>
        <v>Sistema de transporte coletivo com um todo</v>
      </c>
      <c r="C80" s="167" t="s">
        <v>743</v>
      </c>
      <c r="D80" s="847" t="str">
        <f>'Q100e-FrotaOnibus'!I5</f>
        <v>acessibilidade em ônibus urbano (peso 1 da escala)</v>
      </c>
      <c r="E80" s="1496" t="str">
        <f>'Q100e-FrotaOnibus'!J5</f>
        <v>x</v>
      </c>
      <c r="F80" s="53" t="str">
        <f>'Q100e-FrotaOnibus'!K5</f>
        <v>veículos considerados pelo SisMob-BH como "não acessíveis", pois não fornecem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 para informações e resultados de municípios/regiões já incorporados ao SisMob-BH acesse "F tc nac" (Belo Horizonte, Contagem, Joinville, RMBH metropolitano, São Paulo)</v>
      </c>
      <c r="G80" s="230" t="s">
        <v>3507</v>
      </c>
      <c r="H80" s="167" t="s">
        <v>2408</v>
      </c>
      <c r="I80" s="167" t="s">
        <v>432</v>
      </c>
      <c r="J80" s="109" t="s">
        <v>432</v>
      </c>
      <c r="K80" s="109" t="s">
        <v>432</v>
      </c>
      <c r="L80" s="109" t="s">
        <v>432</v>
      </c>
      <c r="M80" s="109" t="s">
        <v>432</v>
      </c>
      <c r="N80" s="109" t="s">
        <v>432</v>
      </c>
      <c r="O80" s="109" t="s">
        <v>432</v>
      </c>
      <c r="P80" s="109" t="s">
        <v>432</v>
      </c>
      <c r="Q80" s="109" t="s">
        <v>432</v>
      </c>
      <c r="R80" s="109" t="s">
        <v>432</v>
      </c>
      <c r="S80" s="109" t="s">
        <v>2209</v>
      </c>
      <c r="T80" s="109" t="s">
        <v>432</v>
      </c>
      <c r="U80" s="109" t="s">
        <v>432</v>
      </c>
      <c r="V80" s="109" t="s">
        <v>2209</v>
      </c>
      <c r="W80" s="109" t="s">
        <v>432</v>
      </c>
      <c r="X80" s="109" t="s">
        <v>432</v>
      </c>
      <c r="Y80" s="109" t="s">
        <v>432</v>
      </c>
      <c r="Z80" s="109" t="s">
        <v>432</v>
      </c>
      <c r="AA80" s="109" t="s">
        <v>432</v>
      </c>
      <c r="AB80" s="109" t="s">
        <v>432</v>
      </c>
      <c r="AC80" s="109" t="s">
        <v>432</v>
      </c>
      <c r="AD80" s="109" t="s">
        <v>432</v>
      </c>
      <c r="AE80" s="109" t="s">
        <v>432</v>
      </c>
      <c r="AF80" s="109" t="s">
        <v>432</v>
      </c>
      <c r="AG80" s="109" t="s">
        <v>432</v>
      </c>
      <c r="AH80" s="109" t="s">
        <v>432</v>
      </c>
      <c r="AI80" s="109" t="s">
        <v>432</v>
      </c>
      <c r="AJ80" s="109" t="s">
        <v>432</v>
      </c>
      <c r="AK80" s="109" t="s">
        <v>432</v>
      </c>
      <c r="AL80" s="600" t="s">
        <v>432</v>
      </c>
      <c r="AM80" s="137" t="s">
        <v>432</v>
      </c>
      <c r="AN80" s="137" t="s">
        <v>432</v>
      </c>
      <c r="AO80" s="137" t="s">
        <v>432</v>
      </c>
      <c r="AP80" s="137" t="s">
        <v>432</v>
      </c>
      <c r="AQ80" s="137" t="s">
        <v>432</v>
      </c>
      <c r="AR80" s="137" t="s">
        <v>432</v>
      </c>
      <c r="AS80" s="137" t="s">
        <v>432</v>
      </c>
      <c r="AT80" s="137" t="s">
        <v>432</v>
      </c>
      <c r="AU80" s="137" t="s">
        <v>432</v>
      </c>
      <c r="AV80" s="137" t="s">
        <v>432</v>
      </c>
      <c r="AW80" s="137" t="s">
        <v>432</v>
      </c>
      <c r="AX80" s="137" t="s">
        <v>432</v>
      </c>
      <c r="AY80" s="137" t="s">
        <v>432</v>
      </c>
      <c r="AZ80" s="137" t="s">
        <v>432</v>
      </c>
      <c r="BA80" s="137" t="s">
        <v>432</v>
      </c>
      <c r="BB80" s="239" t="str">
        <f t="shared" si="23"/>
        <v>Sistema de transporte coletivo com um todoacessibilidade</v>
      </c>
      <c r="BC80" s="239" t="str">
        <f t="shared" si="24"/>
        <v>Sistema de transporte coletivo com um todoacessibilidadesigla/verbete</v>
      </c>
      <c r="BD80" s="239" t="str">
        <f t="shared" si="25"/>
        <v>Sistema de transporte coletivo com um todosigla/verbete</v>
      </c>
    </row>
    <row r="81" spans="1:56" s="3" customFormat="1" ht="76.5" x14ac:dyDescent="0.25">
      <c r="A81" s="262" t="str">
        <f>'Q100b-totais'!B62</f>
        <v>8.10</v>
      </c>
      <c r="B81" s="252" t="str">
        <f>'Q100b-totais'!C62</f>
        <v>Sistema de transporte coletivo com um todo</v>
      </c>
      <c r="C81" s="167" t="s">
        <v>743</v>
      </c>
      <c r="D81" s="847" t="str">
        <f>'Q100e-FrotaOnibus'!I6</f>
        <v>acessibilidade em ônibus urbano (peso 2 da escala)</v>
      </c>
      <c r="E81" s="1496" t="str">
        <f>'Q100e-FrotaOnibus'!J6</f>
        <v>x</v>
      </c>
      <c r="F81" s="53" t="str">
        <f>'Q100e-FrotaOnibus'!K6</f>
        <v>veículos equipados com elevador hidráulico acionado exclusivamente para embarque/desembarque de pessoas em cadeira de rodas e que não operam em plataforma elevada (o embarque/desembarque nunca acontece em nível)
obs.1: esta categoria é também utilizada quando os resultados de frota disponíveis para determinado município/região não detalharem as quantidades de veículos nas quais o elevador hidráulido é de uso exclusivo para cadeirantes
obs.2: para resultados de municípios/regiões já incorporados ao SisMob-BH acesse "F tc eh ec"  (Belo Horizonte, Contagem, Joinville, RMBH metropolitano, São Paulo)</v>
      </c>
      <c r="G81" s="230" t="s">
        <v>3507</v>
      </c>
      <c r="H81" s="167" t="s">
        <v>2408</v>
      </c>
      <c r="I81" s="167" t="s">
        <v>432</v>
      </c>
      <c r="J81" s="109" t="s">
        <v>432</v>
      </c>
      <c r="K81" s="109" t="s">
        <v>432</v>
      </c>
      <c r="L81" s="109" t="s">
        <v>432</v>
      </c>
      <c r="M81" s="109" t="s">
        <v>432</v>
      </c>
      <c r="N81" s="109" t="s">
        <v>432</v>
      </c>
      <c r="O81" s="109" t="s">
        <v>432</v>
      </c>
      <c r="P81" s="109" t="s">
        <v>432</v>
      </c>
      <c r="Q81" s="109" t="s">
        <v>432</v>
      </c>
      <c r="R81" s="109" t="s">
        <v>432</v>
      </c>
      <c r="S81" s="109" t="s">
        <v>2209</v>
      </c>
      <c r="T81" s="109" t="s">
        <v>432</v>
      </c>
      <c r="U81" s="109" t="s">
        <v>432</v>
      </c>
      <c r="V81" s="109" t="s">
        <v>2209</v>
      </c>
      <c r="W81" s="109" t="s">
        <v>432</v>
      </c>
      <c r="X81" s="109" t="s">
        <v>432</v>
      </c>
      <c r="Y81" s="109" t="s">
        <v>432</v>
      </c>
      <c r="Z81" s="109" t="s">
        <v>432</v>
      </c>
      <c r="AA81" s="109" t="s">
        <v>432</v>
      </c>
      <c r="AB81" s="109" t="s">
        <v>432</v>
      </c>
      <c r="AC81" s="109" t="s">
        <v>432</v>
      </c>
      <c r="AD81" s="109" t="s">
        <v>432</v>
      </c>
      <c r="AE81" s="109" t="s">
        <v>432</v>
      </c>
      <c r="AF81" s="109" t="s">
        <v>432</v>
      </c>
      <c r="AG81" s="109" t="s">
        <v>432</v>
      </c>
      <c r="AH81" s="109" t="s">
        <v>432</v>
      </c>
      <c r="AI81" s="109" t="s">
        <v>432</v>
      </c>
      <c r="AJ81" s="109" t="s">
        <v>432</v>
      </c>
      <c r="AK81" s="109" t="s">
        <v>432</v>
      </c>
      <c r="AL81" s="600" t="s">
        <v>432</v>
      </c>
      <c r="AM81" s="137" t="s">
        <v>432</v>
      </c>
      <c r="AN81" s="137" t="s">
        <v>432</v>
      </c>
      <c r="AO81" s="137" t="s">
        <v>432</v>
      </c>
      <c r="AP81" s="137" t="s">
        <v>432</v>
      </c>
      <c r="AQ81" s="137" t="s">
        <v>432</v>
      </c>
      <c r="AR81" s="137" t="s">
        <v>432</v>
      </c>
      <c r="AS81" s="137" t="s">
        <v>432</v>
      </c>
      <c r="AT81" s="137" t="s">
        <v>432</v>
      </c>
      <c r="AU81" s="137" t="s">
        <v>432</v>
      </c>
      <c r="AV81" s="137" t="s">
        <v>432</v>
      </c>
      <c r="AW81" s="137" t="s">
        <v>432</v>
      </c>
      <c r="AX81" s="137" t="s">
        <v>432</v>
      </c>
      <c r="AY81" s="137" t="s">
        <v>432</v>
      </c>
      <c r="AZ81" s="137" t="s">
        <v>432</v>
      </c>
      <c r="BA81" s="137" t="s">
        <v>432</v>
      </c>
      <c r="BB81" s="239" t="str">
        <f t="shared" si="23"/>
        <v>Sistema de transporte coletivo com um todoacessibilidade</v>
      </c>
      <c r="BC81" s="239" t="str">
        <f t="shared" si="24"/>
        <v>Sistema de transporte coletivo com um todoacessibilidadesigla/verbete</v>
      </c>
      <c r="BD81" s="239" t="str">
        <f t="shared" si="25"/>
        <v>Sistema de transporte coletivo com um todosigla/verbete</v>
      </c>
    </row>
    <row r="82" spans="1:56" s="3" customFormat="1" ht="89.25" customHeight="1" x14ac:dyDescent="0.25">
      <c r="A82" s="262" t="str">
        <f>'Q100b-totais'!B62</f>
        <v>8.10</v>
      </c>
      <c r="B82" s="252" t="str">
        <f>'Q100b-totais'!C62</f>
        <v>Sistema de transporte coletivo com um todo</v>
      </c>
      <c r="C82" s="167" t="s">
        <v>743</v>
      </c>
      <c r="D82" s="847" t="str">
        <f>'Q100e-FrotaOnibus'!I7</f>
        <v>acessibilidade em ônibus urbano (peso 3 da escala)</v>
      </c>
      <c r="E82" s="1496" t="str">
        <f>'Q100e-FrotaOnibus'!J7</f>
        <v>x</v>
      </c>
      <c r="F82" s="53" t="str">
        <f>'Q100e-FrotaOnibus'!K7</f>
        <v>veículos equipados com elevador hidráulico que permitem embarque/desembarque não exclusivo de usuários cadeirantes (pessoas em pé podem utuilizar o equipamento caso se sintam seguras  e o operador permita) e que não operam em plataforma elevada
obs.1: esta categoria só é utilizada quando o gestor local informa, claramente, que o uso sem restrições é permitido e informado aos usuários
obs.2: acesse informações quantitativas relativas ao indicador "IAED" das cidades/regiões já incorporadas ao SisMob-BH</v>
      </c>
      <c r="G82" s="230" t="s">
        <v>3507</v>
      </c>
      <c r="H82" s="167" t="s">
        <v>2408</v>
      </c>
      <c r="I82" s="167" t="s">
        <v>432</v>
      </c>
      <c r="J82" s="109" t="s">
        <v>432</v>
      </c>
      <c r="K82" s="109" t="s">
        <v>432</v>
      </c>
      <c r="L82" s="109" t="s">
        <v>432</v>
      </c>
      <c r="M82" s="109" t="s">
        <v>432</v>
      </c>
      <c r="N82" s="109" t="s">
        <v>432</v>
      </c>
      <c r="O82" s="109" t="s">
        <v>432</v>
      </c>
      <c r="P82" s="109" t="s">
        <v>432</v>
      </c>
      <c r="Q82" s="109" t="s">
        <v>432</v>
      </c>
      <c r="R82" s="109" t="s">
        <v>432</v>
      </c>
      <c r="S82" s="109" t="s">
        <v>2209</v>
      </c>
      <c r="T82" s="109" t="s">
        <v>432</v>
      </c>
      <c r="U82" s="109" t="s">
        <v>432</v>
      </c>
      <c r="V82" s="109" t="s">
        <v>2209</v>
      </c>
      <c r="W82" s="109" t="s">
        <v>432</v>
      </c>
      <c r="X82" s="109" t="s">
        <v>432</v>
      </c>
      <c r="Y82" s="109" t="s">
        <v>432</v>
      </c>
      <c r="Z82" s="109" t="s">
        <v>432</v>
      </c>
      <c r="AA82" s="109" t="s">
        <v>432</v>
      </c>
      <c r="AB82" s="109" t="s">
        <v>432</v>
      </c>
      <c r="AC82" s="109" t="s">
        <v>432</v>
      </c>
      <c r="AD82" s="109" t="s">
        <v>432</v>
      </c>
      <c r="AE82" s="109" t="s">
        <v>432</v>
      </c>
      <c r="AF82" s="109" t="s">
        <v>432</v>
      </c>
      <c r="AG82" s="109" t="s">
        <v>432</v>
      </c>
      <c r="AH82" s="109" t="s">
        <v>432</v>
      </c>
      <c r="AI82" s="109" t="s">
        <v>432</v>
      </c>
      <c r="AJ82" s="109" t="s">
        <v>432</v>
      </c>
      <c r="AK82" s="109" t="s">
        <v>432</v>
      </c>
      <c r="AL82" s="600" t="s">
        <v>432</v>
      </c>
      <c r="AM82" s="137" t="s">
        <v>432</v>
      </c>
      <c r="AN82" s="137" t="s">
        <v>432</v>
      </c>
      <c r="AO82" s="137" t="s">
        <v>432</v>
      </c>
      <c r="AP82" s="137" t="s">
        <v>432</v>
      </c>
      <c r="AQ82" s="137" t="s">
        <v>432</v>
      </c>
      <c r="AR82" s="137" t="s">
        <v>432</v>
      </c>
      <c r="AS82" s="137" t="s">
        <v>432</v>
      </c>
      <c r="AT82" s="137" t="s">
        <v>432</v>
      </c>
      <c r="AU82" s="137" t="s">
        <v>432</v>
      </c>
      <c r="AV82" s="137" t="s">
        <v>432</v>
      </c>
      <c r="AW82" s="137" t="s">
        <v>432</v>
      </c>
      <c r="AX82" s="137" t="s">
        <v>432</v>
      </c>
      <c r="AY82" s="137" t="s">
        <v>432</v>
      </c>
      <c r="AZ82" s="137" t="s">
        <v>432</v>
      </c>
      <c r="BA82" s="137" t="s">
        <v>432</v>
      </c>
      <c r="BB82" s="239" t="str">
        <f t="shared" si="23"/>
        <v>Sistema de transporte coletivo com um todoacessibilidade</v>
      </c>
      <c r="BC82" s="239" t="str">
        <f t="shared" si="24"/>
        <v>Sistema de transporte coletivo com um todoacessibilidadesigla/verbete</v>
      </c>
      <c r="BD82" s="239" t="str">
        <f t="shared" si="25"/>
        <v>Sistema de transporte coletivo com um todosigla/verbete</v>
      </c>
    </row>
    <row r="83" spans="1:56" s="3" customFormat="1" ht="102" customHeight="1" x14ac:dyDescent="0.25">
      <c r="A83" s="262" t="str">
        <f>'Q100b-totais'!B62</f>
        <v>8.10</v>
      </c>
      <c r="B83" s="252" t="str">
        <f>'Q100b-totais'!C62</f>
        <v>Sistema de transporte coletivo com um todo</v>
      </c>
      <c r="C83" s="167" t="s">
        <v>743</v>
      </c>
      <c r="D83" s="847" t="str">
        <f>'Q100e-FrotaOnibus'!I9</f>
        <v>acessibilidade em ônibus urbano (peso 4 da escala)</v>
      </c>
      <c r="E83" s="1496" t="str">
        <f>'Q100e-FrotaOnibus'!J9</f>
        <v>x</v>
      </c>
      <c r="F83" s="53" t="str">
        <f>'Q100e-FrotaOnibus'!K9</f>
        <v>veículos com operação diferente em cada um dos lados: do lado esquerdo operação em corredor de BRT com plataforma elevada e embarque/desembarque em nível com o apoio ou não de plataforma manual em uma das portas; do lado direito operação em vias comuns fora do corredor de BRT, equipados com elevador hidráulico em uma das portas que permite embarque/desembarque exclusivo de cadeirante [esta categoria de BRT misto também recebe veículos de piso alto que, em determinadas viagens, operam fora de estações com plataforma elevada com, para permitir o desembarque com a utilização de escadas implantadas na calçada] 
obs.1: para informações e resultados de municípios/regiões já incorporados ao SisMob-BH acesse "F tc BRTmisto eh ec" (Bogotá e Quito)</v>
      </c>
      <c r="G83" s="230" t="s">
        <v>3507</v>
      </c>
      <c r="H83" s="167" t="s">
        <v>2408</v>
      </c>
      <c r="I83" s="167" t="s">
        <v>432</v>
      </c>
      <c r="J83" s="109" t="s">
        <v>432</v>
      </c>
      <c r="K83" s="109" t="s">
        <v>432</v>
      </c>
      <c r="L83" s="109" t="s">
        <v>432</v>
      </c>
      <c r="M83" s="109" t="s">
        <v>432</v>
      </c>
      <c r="N83" s="109" t="s">
        <v>432</v>
      </c>
      <c r="O83" s="109" t="s">
        <v>432</v>
      </c>
      <c r="P83" s="109" t="s">
        <v>432</v>
      </c>
      <c r="Q83" s="109" t="s">
        <v>432</v>
      </c>
      <c r="R83" s="109" t="s">
        <v>432</v>
      </c>
      <c r="S83" s="109" t="s">
        <v>2209</v>
      </c>
      <c r="T83" s="109" t="s">
        <v>432</v>
      </c>
      <c r="U83" s="109" t="s">
        <v>432</v>
      </c>
      <c r="V83" s="109" t="s">
        <v>2209</v>
      </c>
      <c r="W83" s="109" t="s">
        <v>432</v>
      </c>
      <c r="X83" s="109" t="s">
        <v>432</v>
      </c>
      <c r="Y83" s="109" t="s">
        <v>432</v>
      </c>
      <c r="Z83" s="109" t="s">
        <v>432</v>
      </c>
      <c r="AA83" s="109" t="s">
        <v>432</v>
      </c>
      <c r="AB83" s="109" t="s">
        <v>432</v>
      </c>
      <c r="AC83" s="109" t="s">
        <v>432</v>
      </c>
      <c r="AD83" s="109" t="s">
        <v>432</v>
      </c>
      <c r="AE83" s="109" t="s">
        <v>432</v>
      </c>
      <c r="AF83" s="109" t="s">
        <v>432</v>
      </c>
      <c r="AG83" s="109" t="s">
        <v>432</v>
      </c>
      <c r="AH83" s="109" t="s">
        <v>432</v>
      </c>
      <c r="AI83" s="109" t="s">
        <v>432</v>
      </c>
      <c r="AJ83" s="109" t="s">
        <v>432</v>
      </c>
      <c r="AK83" s="109" t="s">
        <v>432</v>
      </c>
      <c r="AL83" s="600" t="s">
        <v>432</v>
      </c>
      <c r="AM83" s="137" t="s">
        <v>432</v>
      </c>
      <c r="AN83" s="137" t="s">
        <v>432</v>
      </c>
      <c r="AO83" s="137" t="s">
        <v>432</v>
      </c>
      <c r="AP83" s="137" t="s">
        <v>432</v>
      </c>
      <c r="AQ83" s="137" t="s">
        <v>432</v>
      </c>
      <c r="AR83" s="137" t="s">
        <v>432</v>
      </c>
      <c r="AS83" s="137" t="s">
        <v>432</v>
      </c>
      <c r="AT83" s="137" t="s">
        <v>432</v>
      </c>
      <c r="AU83" s="137" t="s">
        <v>432</v>
      </c>
      <c r="AV83" s="137" t="s">
        <v>432</v>
      </c>
      <c r="AW83" s="137" t="s">
        <v>432</v>
      </c>
      <c r="AX83" s="137" t="s">
        <v>432</v>
      </c>
      <c r="AY83" s="137" t="s">
        <v>432</v>
      </c>
      <c r="AZ83" s="137" t="s">
        <v>432</v>
      </c>
      <c r="BA83" s="137" t="s">
        <v>432</v>
      </c>
      <c r="BB83" s="239" t="str">
        <f t="shared" si="23"/>
        <v>Sistema de transporte coletivo com um todoacessibilidade</v>
      </c>
      <c r="BC83" s="239" t="str">
        <f t="shared" si="24"/>
        <v>Sistema de transporte coletivo com um todoacessibilidadesigla/verbete</v>
      </c>
      <c r="BD83" s="239" t="str">
        <f t="shared" si="25"/>
        <v>Sistema de transporte coletivo com um todosigla/verbete</v>
      </c>
    </row>
    <row r="84" spans="1:56" s="3" customFormat="1" ht="89.25" customHeight="1" x14ac:dyDescent="0.25">
      <c r="A84" s="262" t="str">
        <f>'Q100b-totais'!B62</f>
        <v>8.10</v>
      </c>
      <c r="B84" s="252" t="str">
        <f>'Q100b-totais'!C62</f>
        <v>Sistema de transporte coletivo com um todo</v>
      </c>
      <c r="C84" s="167" t="s">
        <v>743</v>
      </c>
      <c r="D84" s="847" t="str">
        <f>'Q100e-FrotaOnibus'!I10</f>
        <v>acessibilidade em ônibus urbano (peso 5 da escala)</v>
      </c>
      <c r="E84" s="1496" t="str">
        <f>'Q100e-FrotaOnibus'!J10</f>
        <v>x</v>
      </c>
      <c r="F84" s="53" t="str">
        <f>'Q100e-FrotaOnibus'!K10</f>
        <v>veículos com operação diferente em cada um dos lados: do lado esquerdo operação em corredor de BRT com plataforma elevada e embarque/desembarque em nível com o apoio de plataforma manual em uma das portas; do lado direito operação em vias comuns fora do corredor de BRT, equipados com elevador hidráulico em uma das portas que permite embarque/desembarque não exclusivo de usuários cadeirantes (pessoas em pé podem utilizar o equipamento caso se sintam seguras e o operador permita)
obs.: para informações e resultados de municípios/regiões já incorporados ao SisMob-BH acesse "F tc BRTmisto eh ecp" (Belo Horizonte)</v>
      </c>
      <c r="G84" s="230" t="s">
        <v>3507</v>
      </c>
      <c r="H84" s="167" t="s">
        <v>2408</v>
      </c>
      <c r="I84" s="167" t="s">
        <v>432</v>
      </c>
      <c r="J84" s="109" t="s">
        <v>432</v>
      </c>
      <c r="K84" s="109" t="s">
        <v>432</v>
      </c>
      <c r="L84" s="109" t="s">
        <v>432</v>
      </c>
      <c r="M84" s="109" t="s">
        <v>432</v>
      </c>
      <c r="N84" s="109" t="s">
        <v>432</v>
      </c>
      <c r="O84" s="109" t="s">
        <v>432</v>
      </c>
      <c r="P84" s="109" t="s">
        <v>432</v>
      </c>
      <c r="Q84" s="109" t="s">
        <v>432</v>
      </c>
      <c r="R84" s="109" t="s">
        <v>432</v>
      </c>
      <c r="S84" s="109" t="s">
        <v>2209</v>
      </c>
      <c r="T84" s="109" t="s">
        <v>432</v>
      </c>
      <c r="U84" s="109" t="s">
        <v>432</v>
      </c>
      <c r="V84" s="109" t="s">
        <v>2209</v>
      </c>
      <c r="W84" s="109" t="s">
        <v>432</v>
      </c>
      <c r="X84" s="109" t="s">
        <v>432</v>
      </c>
      <c r="Y84" s="109" t="s">
        <v>432</v>
      </c>
      <c r="Z84" s="109" t="s">
        <v>432</v>
      </c>
      <c r="AA84" s="109" t="s">
        <v>432</v>
      </c>
      <c r="AB84" s="109" t="s">
        <v>432</v>
      </c>
      <c r="AC84" s="109" t="s">
        <v>432</v>
      </c>
      <c r="AD84" s="109" t="s">
        <v>432</v>
      </c>
      <c r="AE84" s="109" t="s">
        <v>432</v>
      </c>
      <c r="AF84" s="109" t="s">
        <v>432</v>
      </c>
      <c r="AG84" s="109" t="s">
        <v>432</v>
      </c>
      <c r="AH84" s="109" t="s">
        <v>432</v>
      </c>
      <c r="AI84" s="109" t="s">
        <v>432</v>
      </c>
      <c r="AJ84" s="109" t="s">
        <v>432</v>
      </c>
      <c r="AK84" s="109" t="s">
        <v>432</v>
      </c>
      <c r="AL84" s="600" t="s">
        <v>432</v>
      </c>
      <c r="AM84" s="137" t="s">
        <v>432</v>
      </c>
      <c r="AN84" s="137" t="s">
        <v>432</v>
      </c>
      <c r="AO84" s="137" t="s">
        <v>432</v>
      </c>
      <c r="AP84" s="137" t="s">
        <v>432</v>
      </c>
      <c r="AQ84" s="137" t="s">
        <v>432</v>
      </c>
      <c r="AR84" s="137" t="s">
        <v>432</v>
      </c>
      <c r="AS84" s="137" t="s">
        <v>432</v>
      </c>
      <c r="AT84" s="137" t="s">
        <v>432</v>
      </c>
      <c r="AU84" s="137" t="s">
        <v>432</v>
      </c>
      <c r="AV84" s="137" t="s">
        <v>432</v>
      </c>
      <c r="AW84" s="137" t="s">
        <v>432</v>
      </c>
      <c r="AX84" s="137" t="s">
        <v>432</v>
      </c>
      <c r="AY84" s="137" t="s">
        <v>432</v>
      </c>
      <c r="AZ84" s="137" t="s">
        <v>432</v>
      </c>
      <c r="BA84" s="137" t="s">
        <v>432</v>
      </c>
      <c r="BB84" s="239" t="str">
        <f t="shared" si="23"/>
        <v>Sistema de transporte coletivo com um todoacessibilidade</v>
      </c>
      <c r="BC84" s="239" t="str">
        <f t="shared" si="24"/>
        <v>Sistema de transporte coletivo com um todoacessibilidadesigla/verbete</v>
      </c>
      <c r="BD84" s="239" t="str">
        <f t="shared" si="25"/>
        <v>Sistema de transporte coletivo com um todosigla/verbete</v>
      </c>
    </row>
    <row r="85" spans="1:56" s="3" customFormat="1" ht="89.25" customHeight="1" x14ac:dyDescent="0.25">
      <c r="A85" s="262" t="str">
        <f>'Q100b-totais'!B62</f>
        <v>8.10</v>
      </c>
      <c r="B85" s="252" t="str">
        <f>'Q100b-totais'!C62</f>
        <v>Sistema de transporte coletivo com um todo</v>
      </c>
      <c r="C85" s="167" t="s">
        <v>743</v>
      </c>
      <c r="D85" s="847" t="str">
        <f>'Q100e-FrotaOnibus'!I11</f>
        <v>acessibilidade em ônibus urbano (peso 6 da escala)</v>
      </c>
      <c r="E85" s="1496" t="str">
        <f>'Q100e-FrotaOnibus'!J11</f>
        <v>x</v>
      </c>
      <c r="F85" s="53" t="str">
        <f>'Q100e-FrotaOnibus'!K11</f>
        <v>veículos de piso alto operando com embarque/desembarque apenas em plataformas elevadas (BRT, por exemplo) ou veículos de piso baixo dianteiro, traseiro ou central, em ambos os caso sem rampa veicular (com embarque/desembarque podendo acontecer em nível em todas as portas ou em parte das portas, embora sem o apoio de uma rampa e dependente no motorista estacionar rente à plataforma ou rente à plataforma, sempre sem garantia de fronteira máxima conforme normas brasileiras vigentes
obs.: para informações e resultados de municípios/regiões já incorporados ao SisMob-BH acesse "F tc en s/rampa" (Belo Horizonte) e para informações não quantitativas acesse Cidade da Guatemala)</v>
      </c>
      <c r="G85" s="230" t="s">
        <v>3507</v>
      </c>
      <c r="H85" s="167" t="s">
        <v>2408</v>
      </c>
      <c r="I85" s="167" t="s">
        <v>432</v>
      </c>
      <c r="J85" s="109" t="s">
        <v>432</v>
      </c>
      <c r="K85" s="109" t="s">
        <v>432</v>
      </c>
      <c r="L85" s="109" t="s">
        <v>432</v>
      </c>
      <c r="M85" s="109" t="s">
        <v>432</v>
      </c>
      <c r="N85" s="109" t="s">
        <v>432</v>
      </c>
      <c r="O85" s="109" t="s">
        <v>432</v>
      </c>
      <c r="P85" s="109" t="s">
        <v>432</v>
      </c>
      <c r="Q85" s="109" t="s">
        <v>432</v>
      </c>
      <c r="R85" s="109" t="s">
        <v>432</v>
      </c>
      <c r="S85" s="109" t="s">
        <v>2209</v>
      </c>
      <c r="T85" s="109" t="s">
        <v>432</v>
      </c>
      <c r="U85" s="109" t="s">
        <v>432</v>
      </c>
      <c r="V85" s="109" t="s">
        <v>2209</v>
      </c>
      <c r="W85" s="109" t="s">
        <v>432</v>
      </c>
      <c r="X85" s="109" t="s">
        <v>432</v>
      </c>
      <c r="Y85" s="109" t="s">
        <v>432</v>
      </c>
      <c r="Z85" s="109" t="s">
        <v>432</v>
      </c>
      <c r="AA85" s="109" t="s">
        <v>432</v>
      </c>
      <c r="AB85" s="109" t="s">
        <v>432</v>
      </c>
      <c r="AC85" s="109" t="s">
        <v>432</v>
      </c>
      <c r="AD85" s="109" t="s">
        <v>432</v>
      </c>
      <c r="AE85" s="109" t="s">
        <v>432</v>
      </c>
      <c r="AF85" s="109" t="s">
        <v>432</v>
      </c>
      <c r="AG85" s="109" t="s">
        <v>432</v>
      </c>
      <c r="AH85" s="109" t="s">
        <v>432</v>
      </c>
      <c r="AI85" s="109" t="s">
        <v>432</v>
      </c>
      <c r="AJ85" s="109" t="s">
        <v>432</v>
      </c>
      <c r="AK85" s="109" t="s">
        <v>432</v>
      </c>
      <c r="AL85" s="600" t="s">
        <v>432</v>
      </c>
      <c r="AM85" s="137" t="s">
        <v>432</v>
      </c>
      <c r="AN85" s="137" t="s">
        <v>432</v>
      </c>
      <c r="AO85" s="137" t="s">
        <v>432</v>
      </c>
      <c r="AP85" s="137" t="s">
        <v>432</v>
      </c>
      <c r="AQ85" s="137" t="s">
        <v>432</v>
      </c>
      <c r="AR85" s="137" t="s">
        <v>432</v>
      </c>
      <c r="AS85" s="137" t="s">
        <v>432</v>
      </c>
      <c r="AT85" s="137" t="s">
        <v>432</v>
      </c>
      <c r="AU85" s="137" t="s">
        <v>432</v>
      </c>
      <c r="AV85" s="137" t="s">
        <v>432</v>
      </c>
      <c r="AW85" s="137" t="s">
        <v>432</v>
      </c>
      <c r="AX85" s="137" t="s">
        <v>432</v>
      </c>
      <c r="AY85" s="137" t="s">
        <v>432</v>
      </c>
      <c r="AZ85" s="137" t="s">
        <v>432</v>
      </c>
      <c r="BA85" s="137" t="s">
        <v>432</v>
      </c>
      <c r="BB85" s="239" t="str">
        <f t="shared" si="23"/>
        <v>Sistema de transporte coletivo com um todoacessibilidade</v>
      </c>
      <c r="BC85" s="239" t="str">
        <f t="shared" si="24"/>
        <v>Sistema de transporte coletivo com um todoacessibilidadesigla/verbete</v>
      </c>
      <c r="BD85" s="239" t="str">
        <f t="shared" si="25"/>
        <v>Sistema de transporte coletivo com um todosigla/verbete</v>
      </c>
    </row>
    <row r="86" spans="1:56" s="3" customFormat="1" ht="63.75" customHeight="1" x14ac:dyDescent="0.25">
      <c r="A86" s="262" t="str">
        <f>'Q100b-totais'!B62</f>
        <v>8.10</v>
      </c>
      <c r="B86" s="252" t="str">
        <f>'Q100b-totais'!C62</f>
        <v>Sistema de transporte coletivo com um todo</v>
      </c>
      <c r="C86" s="167" t="s">
        <v>743</v>
      </c>
      <c r="D86" s="847" t="str">
        <f>'Q100e-FrotaOnibus'!I12</f>
        <v>acessibilidade em ônibus urbano (peso 7 da escala)</v>
      </c>
      <c r="E86" s="1496" t="str">
        <f>'Q100e-FrotaOnibus'!J12</f>
        <v>x</v>
      </c>
      <c r="F86" s="53" t="str">
        <f>'Q100e-FrotaOnibus'!K12</f>
        <v>veículos de piso baixo total sem rampa veicular (com embarque/desembarque podendo acontecer sempre em nível e em qualquer porta, mas sem o apoio de uma rampa e dependente no motorista estacionar rente ao meio fio)
obs.: o SisMob-BH informou (errado) em 2016 que ônibus de Barcelona, Parma e Metz faziam parte desta categoria</v>
      </c>
      <c r="G86" s="230" t="s">
        <v>3507</v>
      </c>
      <c r="H86" s="167" t="s">
        <v>2408</v>
      </c>
      <c r="I86" s="167" t="s">
        <v>432</v>
      </c>
      <c r="J86" s="109" t="s">
        <v>432</v>
      </c>
      <c r="K86" s="109" t="s">
        <v>432</v>
      </c>
      <c r="L86" s="109" t="s">
        <v>432</v>
      </c>
      <c r="M86" s="109" t="s">
        <v>432</v>
      </c>
      <c r="N86" s="109" t="s">
        <v>432</v>
      </c>
      <c r="O86" s="109" t="s">
        <v>432</v>
      </c>
      <c r="P86" s="109" t="s">
        <v>432</v>
      </c>
      <c r="Q86" s="109" t="s">
        <v>432</v>
      </c>
      <c r="R86" s="109" t="s">
        <v>432</v>
      </c>
      <c r="S86" s="109" t="s">
        <v>2209</v>
      </c>
      <c r="T86" s="109" t="s">
        <v>432</v>
      </c>
      <c r="U86" s="109" t="s">
        <v>432</v>
      </c>
      <c r="V86" s="109" t="s">
        <v>2209</v>
      </c>
      <c r="W86" s="109" t="s">
        <v>432</v>
      </c>
      <c r="X86" s="109" t="s">
        <v>432</v>
      </c>
      <c r="Y86" s="109" t="s">
        <v>432</v>
      </c>
      <c r="Z86" s="109" t="s">
        <v>432</v>
      </c>
      <c r="AA86" s="109" t="s">
        <v>432</v>
      </c>
      <c r="AB86" s="109" t="s">
        <v>432</v>
      </c>
      <c r="AC86" s="109" t="s">
        <v>432</v>
      </c>
      <c r="AD86" s="109" t="s">
        <v>432</v>
      </c>
      <c r="AE86" s="109" t="s">
        <v>432</v>
      </c>
      <c r="AF86" s="109" t="s">
        <v>432</v>
      </c>
      <c r="AG86" s="109" t="s">
        <v>432</v>
      </c>
      <c r="AH86" s="109" t="s">
        <v>432</v>
      </c>
      <c r="AI86" s="109" t="s">
        <v>432</v>
      </c>
      <c r="AJ86" s="109" t="s">
        <v>432</v>
      </c>
      <c r="AK86" s="109" t="s">
        <v>432</v>
      </c>
      <c r="AL86" s="600" t="s">
        <v>432</v>
      </c>
      <c r="AM86" s="137" t="s">
        <v>432</v>
      </c>
      <c r="AN86" s="137" t="s">
        <v>432</v>
      </c>
      <c r="AO86" s="137" t="s">
        <v>432</v>
      </c>
      <c r="AP86" s="137" t="s">
        <v>432</v>
      </c>
      <c r="AQ86" s="137" t="s">
        <v>432</v>
      </c>
      <c r="AR86" s="137" t="s">
        <v>432</v>
      </c>
      <c r="AS86" s="137" t="s">
        <v>432</v>
      </c>
      <c r="AT86" s="137" t="s">
        <v>432</v>
      </c>
      <c r="AU86" s="137" t="s">
        <v>432</v>
      </c>
      <c r="AV86" s="137" t="s">
        <v>432</v>
      </c>
      <c r="AW86" s="137" t="s">
        <v>432</v>
      </c>
      <c r="AX86" s="137" t="s">
        <v>432</v>
      </c>
      <c r="AY86" s="137" t="s">
        <v>432</v>
      </c>
      <c r="AZ86" s="137" t="s">
        <v>432</v>
      </c>
      <c r="BA86" s="137" t="s">
        <v>432</v>
      </c>
      <c r="BB86" s="239" t="str">
        <f t="shared" si="23"/>
        <v>Sistema de transporte coletivo com um todoacessibilidade</v>
      </c>
      <c r="BC86" s="239" t="str">
        <f t="shared" si="24"/>
        <v>Sistema de transporte coletivo com um todoacessibilidadesigla/verbete</v>
      </c>
      <c r="BD86" s="239" t="str">
        <f t="shared" si="25"/>
        <v>Sistema de transporte coletivo com um todosigla/verbete</v>
      </c>
    </row>
    <row r="87" spans="1:56" s="3" customFormat="1" ht="63" x14ac:dyDescent="0.25">
      <c r="A87" s="262" t="str">
        <f>'Q100b-totais'!B62</f>
        <v>8.10</v>
      </c>
      <c r="B87" s="252" t="str">
        <f>'Q100b-totais'!C62</f>
        <v>Sistema de transporte coletivo com um todo</v>
      </c>
      <c r="C87" s="167" t="s">
        <v>743</v>
      </c>
      <c r="D87" s="847" t="str">
        <f>'Q100e-FrotaOnibus'!I13</f>
        <v>acessibilidade em ônibus urbano (peso 8 da escala)</v>
      </c>
      <c r="E87" s="1496" t="str">
        <f>'Q100e-FrotaOnibus'!J13</f>
        <v>x</v>
      </c>
      <c r="F87" s="53" t="str">
        <f>'Q100e-FrotaOnibus'!K13</f>
        <v>veículos de piso baixo (dianteiro, traseiro, central ou total) ou piso alto com rampa veicular não automática em pelo menos uma das portas (com embarque/desembarque sempre em nível, mas dependente da abertura manual da rampa)
obs.: para informações e resultados de municípios/regiões já incorporados ao SisMob-BH acesse "F tc en c/rampa manual" (Belo Horizonte, Curitiba, Joinville, RMBH metropolitano, São Paulo) e para informações não quantitativas acesse RM Curitiba e Salzburgo</v>
      </c>
      <c r="G87" s="230" t="s">
        <v>3507</v>
      </c>
      <c r="H87" s="167" t="s">
        <v>2408</v>
      </c>
      <c r="I87" s="167" t="s">
        <v>432</v>
      </c>
      <c r="J87" s="109" t="s">
        <v>432</v>
      </c>
      <c r="K87" s="109" t="s">
        <v>432</v>
      </c>
      <c r="L87" s="109" t="s">
        <v>432</v>
      </c>
      <c r="M87" s="109" t="s">
        <v>432</v>
      </c>
      <c r="N87" s="109" t="s">
        <v>432</v>
      </c>
      <c r="O87" s="109" t="s">
        <v>432</v>
      </c>
      <c r="P87" s="109" t="s">
        <v>432</v>
      </c>
      <c r="Q87" s="109" t="s">
        <v>432</v>
      </c>
      <c r="R87" s="109" t="s">
        <v>432</v>
      </c>
      <c r="S87" s="109" t="s">
        <v>2209</v>
      </c>
      <c r="T87" s="109" t="s">
        <v>432</v>
      </c>
      <c r="U87" s="109" t="s">
        <v>432</v>
      </c>
      <c r="V87" s="109" t="s">
        <v>2209</v>
      </c>
      <c r="W87" s="109" t="s">
        <v>432</v>
      </c>
      <c r="X87" s="109" t="s">
        <v>432</v>
      </c>
      <c r="Y87" s="109" t="s">
        <v>432</v>
      </c>
      <c r="Z87" s="109" t="s">
        <v>432</v>
      </c>
      <c r="AA87" s="109" t="s">
        <v>432</v>
      </c>
      <c r="AB87" s="109" t="s">
        <v>432</v>
      </c>
      <c r="AC87" s="109" t="s">
        <v>432</v>
      </c>
      <c r="AD87" s="109" t="s">
        <v>432</v>
      </c>
      <c r="AE87" s="109" t="s">
        <v>432</v>
      </c>
      <c r="AF87" s="109" t="s">
        <v>432</v>
      </c>
      <c r="AG87" s="109" t="s">
        <v>432</v>
      </c>
      <c r="AH87" s="109" t="s">
        <v>432</v>
      </c>
      <c r="AI87" s="109" t="s">
        <v>432</v>
      </c>
      <c r="AJ87" s="109" t="s">
        <v>432</v>
      </c>
      <c r="AK87" s="109" t="s">
        <v>432</v>
      </c>
      <c r="AL87" s="600" t="s">
        <v>432</v>
      </c>
      <c r="AM87" s="137" t="s">
        <v>432</v>
      </c>
      <c r="AN87" s="137" t="s">
        <v>432</v>
      </c>
      <c r="AO87" s="137" t="s">
        <v>432</v>
      </c>
      <c r="AP87" s="137" t="s">
        <v>432</v>
      </c>
      <c r="AQ87" s="137" t="s">
        <v>432</v>
      </c>
      <c r="AR87" s="137" t="s">
        <v>432</v>
      </c>
      <c r="AS87" s="137" t="s">
        <v>432</v>
      </c>
      <c r="AT87" s="137" t="s">
        <v>432</v>
      </c>
      <c r="AU87" s="137" t="s">
        <v>432</v>
      </c>
      <c r="AV87" s="137" t="s">
        <v>432</v>
      </c>
      <c r="AW87" s="137" t="s">
        <v>432</v>
      </c>
      <c r="AX87" s="137" t="s">
        <v>432</v>
      </c>
      <c r="AY87" s="137" t="s">
        <v>432</v>
      </c>
      <c r="AZ87" s="137" t="s">
        <v>432</v>
      </c>
      <c r="BA87" s="137" t="s">
        <v>432</v>
      </c>
      <c r="BB87" s="239" t="str">
        <f t="shared" si="23"/>
        <v>Sistema de transporte coletivo com um todoacessibilidade</v>
      </c>
      <c r="BC87" s="239" t="str">
        <f t="shared" si="24"/>
        <v>Sistema de transporte coletivo com um todoacessibilidadesigla/verbete</v>
      </c>
      <c r="BD87" s="239" t="str">
        <f t="shared" si="25"/>
        <v>Sistema de transporte coletivo com um todosigla/verbete</v>
      </c>
    </row>
    <row r="88" spans="1:56" s="3" customFormat="1" ht="63.75" customHeight="1" x14ac:dyDescent="0.25">
      <c r="A88" s="262" t="str">
        <f>'Q100b-totais'!B62</f>
        <v>8.10</v>
      </c>
      <c r="B88" s="252" t="str">
        <f>'Q100b-totais'!C62</f>
        <v>Sistema de transporte coletivo com um todo</v>
      </c>
      <c r="C88" s="167" t="s">
        <v>743</v>
      </c>
      <c r="D88" s="847" t="str">
        <f>'Q100e-FrotaOnibus'!I14</f>
        <v>acessibilidade em ônibus urbano (peso 9 da escala)</v>
      </c>
      <c r="E88" s="1496" t="str">
        <f>'Q100e-FrotaOnibus'!J14</f>
        <v>x</v>
      </c>
      <c r="F88" s="53" t="str">
        <f>'Q100e-FrotaOnibus'!K14</f>
        <v>veículos de piso baixo (dianteiro, traseiro, central ou total) ou piso alto com rampa veicular automática em parte das portas (com embarque/desembarque sempre em nível e autonomia garantida desde que se utilize a porta certa)
obs.1: para informações não quantitativas de municípios/regiões já incorporados ao SisMob-BH acesse "F tc en c/uma rampa aut." (Nova York, Winnipeg)
obs.2: para informações não quantitativas de municípios/regiões já incorporados ao SisMob-BH acesse "F tc en c/uma rampa aut." (Barcelona, Parma, Metz)</v>
      </c>
      <c r="G88" s="230" t="s">
        <v>3507</v>
      </c>
      <c r="H88" s="167" t="s">
        <v>2408</v>
      </c>
      <c r="I88" s="167" t="s">
        <v>432</v>
      </c>
      <c r="J88" s="109" t="s">
        <v>432</v>
      </c>
      <c r="K88" s="109" t="s">
        <v>432</v>
      </c>
      <c r="L88" s="109" t="s">
        <v>432</v>
      </c>
      <c r="M88" s="109" t="s">
        <v>432</v>
      </c>
      <c r="N88" s="109" t="s">
        <v>432</v>
      </c>
      <c r="O88" s="109" t="s">
        <v>432</v>
      </c>
      <c r="P88" s="109" t="s">
        <v>432</v>
      </c>
      <c r="Q88" s="109" t="s">
        <v>432</v>
      </c>
      <c r="R88" s="109" t="s">
        <v>432</v>
      </c>
      <c r="S88" s="109" t="s">
        <v>2209</v>
      </c>
      <c r="T88" s="109" t="s">
        <v>432</v>
      </c>
      <c r="U88" s="109" t="s">
        <v>432</v>
      </c>
      <c r="V88" s="109" t="s">
        <v>2209</v>
      </c>
      <c r="W88" s="109" t="s">
        <v>432</v>
      </c>
      <c r="X88" s="109" t="s">
        <v>432</v>
      </c>
      <c r="Y88" s="109" t="s">
        <v>432</v>
      </c>
      <c r="Z88" s="109" t="s">
        <v>432</v>
      </c>
      <c r="AA88" s="109" t="s">
        <v>432</v>
      </c>
      <c r="AB88" s="109" t="s">
        <v>432</v>
      </c>
      <c r="AC88" s="109" t="s">
        <v>432</v>
      </c>
      <c r="AD88" s="109" t="s">
        <v>432</v>
      </c>
      <c r="AE88" s="109" t="s">
        <v>432</v>
      </c>
      <c r="AF88" s="109" t="s">
        <v>432</v>
      </c>
      <c r="AG88" s="109" t="s">
        <v>432</v>
      </c>
      <c r="AH88" s="109" t="s">
        <v>432</v>
      </c>
      <c r="AI88" s="109" t="s">
        <v>432</v>
      </c>
      <c r="AJ88" s="109" t="s">
        <v>432</v>
      </c>
      <c r="AK88" s="109" t="s">
        <v>432</v>
      </c>
      <c r="AL88" s="600" t="s">
        <v>432</v>
      </c>
      <c r="AM88" s="137" t="s">
        <v>432</v>
      </c>
      <c r="AN88" s="137" t="s">
        <v>432</v>
      </c>
      <c r="AO88" s="137" t="s">
        <v>432</v>
      </c>
      <c r="AP88" s="137" t="s">
        <v>432</v>
      </c>
      <c r="AQ88" s="137" t="s">
        <v>432</v>
      </c>
      <c r="AR88" s="137" t="s">
        <v>432</v>
      </c>
      <c r="AS88" s="137" t="s">
        <v>432</v>
      </c>
      <c r="AT88" s="137" t="s">
        <v>432</v>
      </c>
      <c r="AU88" s="137" t="s">
        <v>432</v>
      </c>
      <c r="AV88" s="137" t="s">
        <v>432</v>
      </c>
      <c r="AW88" s="137" t="s">
        <v>432</v>
      </c>
      <c r="AX88" s="137" t="s">
        <v>432</v>
      </c>
      <c r="AY88" s="137" t="s">
        <v>432</v>
      </c>
      <c r="AZ88" s="137" t="s">
        <v>432</v>
      </c>
      <c r="BA88" s="137" t="s">
        <v>432</v>
      </c>
      <c r="BB88" s="239" t="str">
        <f t="shared" si="23"/>
        <v>Sistema de transporte coletivo com um todoacessibilidade</v>
      </c>
      <c r="BC88" s="239" t="str">
        <f t="shared" si="24"/>
        <v>Sistema de transporte coletivo com um todoacessibilidadesigla/verbete</v>
      </c>
      <c r="BD88" s="239" t="str">
        <f t="shared" si="25"/>
        <v>Sistema de transporte coletivo com um todosigla/verbete</v>
      </c>
    </row>
    <row r="89" spans="1:56" s="3" customFormat="1" ht="114" customHeight="1" x14ac:dyDescent="0.25">
      <c r="A89" s="262" t="str">
        <f>'Q100b-totais'!B62</f>
        <v>8.10</v>
      </c>
      <c r="B89" s="252" t="str">
        <f>'Q100b-totais'!C62</f>
        <v>Sistema de transporte coletivo com um todo</v>
      </c>
      <c r="C89" s="167" t="s">
        <v>743</v>
      </c>
      <c r="D89" s="847" t="str">
        <f>'Q100e-FrotaOnibus'!I15</f>
        <v>acessibilidade em ônibus urbano (peso 10 da escala)</v>
      </c>
      <c r="E89" s="1496" t="str">
        <f>'Q100e-FrotaOnibus'!J15</f>
        <v>x</v>
      </c>
      <c r="F89" s="53" t="str">
        <f>'Q100e-FrotaOnibus'!K15</f>
        <v>veículos com desenho universal no embarque/desembarque, ou seja, veículos de piso baixo ou piso alto com embarque exclusivo em nível com fronteira máxima conforme normas brasileiras vigentes ou com rampa veicular automática em todas as portas, ou seja, com embarque/desembarque sempre em nível e autonomia garantida em todas as portas proporcionando acessibilidade universal
obs.1: para informações e resultados de municípios/regiões já incorporados ao SisMob-BH acesse "F tc enu" (Curitiba e Quito)
obs.2: é preciso confirmar se Guayaquil também está nesta categoria como parece pela fotografia em WRIGHT(2008,p.281)</v>
      </c>
      <c r="G89" s="230" t="s">
        <v>3507</v>
      </c>
      <c r="H89" s="167" t="s">
        <v>2408</v>
      </c>
      <c r="I89" s="167" t="s">
        <v>432</v>
      </c>
      <c r="J89" s="109" t="s">
        <v>432</v>
      </c>
      <c r="K89" s="109" t="s">
        <v>432</v>
      </c>
      <c r="L89" s="109" t="s">
        <v>432</v>
      </c>
      <c r="M89" s="109" t="s">
        <v>432</v>
      </c>
      <c r="N89" s="109" t="s">
        <v>432</v>
      </c>
      <c r="O89" s="109" t="s">
        <v>432</v>
      </c>
      <c r="P89" s="109" t="s">
        <v>432</v>
      </c>
      <c r="Q89" s="109" t="s">
        <v>432</v>
      </c>
      <c r="R89" s="109" t="s">
        <v>432</v>
      </c>
      <c r="S89" s="109" t="s">
        <v>2209</v>
      </c>
      <c r="T89" s="109" t="s">
        <v>432</v>
      </c>
      <c r="U89" s="109" t="s">
        <v>432</v>
      </c>
      <c r="V89" s="109" t="s">
        <v>2209</v>
      </c>
      <c r="W89" s="109" t="s">
        <v>432</v>
      </c>
      <c r="X89" s="109" t="s">
        <v>432</v>
      </c>
      <c r="Y89" s="109" t="s">
        <v>432</v>
      </c>
      <c r="Z89" s="109" t="s">
        <v>432</v>
      </c>
      <c r="AA89" s="109" t="s">
        <v>432</v>
      </c>
      <c r="AB89" s="109" t="s">
        <v>432</v>
      </c>
      <c r="AC89" s="109" t="s">
        <v>432</v>
      </c>
      <c r="AD89" s="109" t="s">
        <v>432</v>
      </c>
      <c r="AE89" s="109" t="s">
        <v>432</v>
      </c>
      <c r="AF89" s="109" t="s">
        <v>432</v>
      </c>
      <c r="AG89" s="109" t="s">
        <v>432</v>
      </c>
      <c r="AH89" s="109" t="s">
        <v>432</v>
      </c>
      <c r="AI89" s="109" t="s">
        <v>432</v>
      </c>
      <c r="AJ89" s="109" t="s">
        <v>432</v>
      </c>
      <c r="AK89" s="109" t="s">
        <v>432</v>
      </c>
      <c r="AL89" s="600" t="s">
        <v>432</v>
      </c>
      <c r="AM89" s="137" t="s">
        <v>432</v>
      </c>
      <c r="AN89" s="137" t="s">
        <v>432</v>
      </c>
      <c r="AO89" s="137" t="s">
        <v>432</v>
      </c>
      <c r="AP89" s="137" t="s">
        <v>432</v>
      </c>
      <c r="AQ89" s="137" t="s">
        <v>432</v>
      </c>
      <c r="AR89" s="137" t="s">
        <v>432</v>
      </c>
      <c r="AS89" s="137" t="s">
        <v>432</v>
      </c>
      <c r="AT89" s="137" t="s">
        <v>432</v>
      </c>
      <c r="AU89" s="137" t="s">
        <v>432</v>
      </c>
      <c r="AV89" s="137" t="s">
        <v>432</v>
      </c>
      <c r="AW89" s="137" t="s">
        <v>432</v>
      </c>
      <c r="AX89" s="137" t="s">
        <v>432</v>
      </c>
      <c r="AY89" s="137" t="s">
        <v>432</v>
      </c>
      <c r="AZ89" s="137" t="s">
        <v>432</v>
      </c>
      <c r="BA89" s="137" t="s">
        <v>432</v>
      </c>
      <c r="BB89" s="239" t="str">
        <f t="shared" si="23"/>
        <v>Sistema de transporte coletivo com um todoacessibilidade</v>
      </c>
      <c r="BC89" s="239" t="str">
        <f t="shared" si="24"/>
        <v>Sistema de transporte coletivo com um todoacessibilidadesigla/verbete</v>
      </c>
      <c r="BD89" s="239" t="str">
        <f t="shared" si="25"/>
        <v>Sistema de transporte coletivo com um todosigla/verbete</v>
      </c>
    </row>
    <row r="90" spans="1:56" s="3" customFormat="1" ht="72" customHeight="1" x14ac:dyDescent="0.25">
      <c r="A90" s="262" t="str">
        <f>'Q100b-totais'!B54</f>
        <v>8.2</v>
      </c>
      <c r="B90" s="53" t="str">
        <f>'Q100b-totais'!C54</f>
        <v>BRT</v>
      </c>
      <c r="C90" s="167" t="s">
        <v>743</v>
      </c>
      <c r="D90" s="324" t="s">
        <v>5920</v>
      </c>
      <c r="E90" s="1491" t="s">
        <v>1306</v>
      </c>
      <c r="F90" s="760" t="s">
        <v>6132</v>
      </c>
      <c r="G90" s="230" t="s">
        <v>3507</v>
      </c>
      <c r="H90" s="168" t="s">
        <v>2408</v>
      </c>
      <c r="I90" s="167" t="s">
        <v>432</v>
      </c>
      <c r="J90" s="109" t="s">
        <v>432</v>
      </c>
      <c r="K90" s="109" t="s">
        <v>432</v>
      </c>
      <c r="L90" s="109" t="s">
        <v>432</v>
      </c>
      <c r="M90" s="109" t="s">
        <v>432</v>
      </c>
      <c r="N90" s="109" t="s">
        <v>432</v>
      </c>
      <c r="O90" s="109" t="s">
        <v>432</v>
      </c>
      <c r="P90" s="109" t="s">
        <v>432</v>
      </c>
      <c r="Q90" s="109" t="s">
        <v>432</v>
      </c>
      <c r="R90" s="109" t="s">
        <v>432</v>
      </c>
      <c r="S90" s="109" t="s">
        <v>2209</v>
      </c>
      <c r="T90" s="109" t="s">
        <v>432</v>
      </c>
      <c r="U90" s="109" t="s">
        <v>432</v>
      </c>
      <c r="V90" s="109" t="s">
        <v>2209</v>
      </c>
      <c r="W90" s="109" t="s">
        <v>432</v>
      </c>
      <c r="X90" s="109" t="s">
        <v>432</v>
      </c>
      <c r="Y90" s="109" t="s">
        <v>432</v>
      </c>
      <c r="Z90" s="109" t="s">
        <v>432</v>
      </c>
      <c r="AA90" s="109" t="s">
        <v>432</v>
      </c>
      <c r="AB90" s="109" t="s">
        <v>432</v>
      </c>
      <c r="AC90" s="109" t="s">
        <v>432</v>
      </c>
      <c r="AD90" s="109" t="s">
        <v>432</v>
      </c>
      <c r="AE90" s="109" t="s">
        <v>432</v>
      </c>
      <c r="AF90" s="109" t="s">
        <v>432</v>
      </c>
      <c r="AG90" s="109" t="s">
        <v>432</v>
      </c>
      <c r="AH90" s="109" t="s">
        <v>432</v>
      </c>
      <c r="AI90" s="109" t="s">
        <v>432</v>
      </c>
      <c r="AJ90" s="109" t="s">
        <v>432</v>
      </c>
      <c r="AK90" s="109" t="s">
        <v>432</v>
      </c>
      <c r="AL90" s="601" t="s">
        <v>432</v>
      </c>
      <c r="AM90" s="137" t="s">
        <v>432</v>
      </c>
      <c r="AN90" s="137" t="s">
        <v>432</v>
      </c>
      <c r="AO90" s="137" t="s">
        <v>432</v>
      </c>
      <c r="AP90" s="137" t="s">
        <v>432</v>
      </c>
      <c r="AQ90" s="137" t="s">
        <v>432</v>
      </c>
      <c r="AR90" s="137" t="s">
        <v>432</v>
      </c>
      <c r="AS90" s="137" t="s">
        <v>432</v>
      </c>
      <c r="AT90" s="137" t="s">
        <v>432</v>
      </c>
      <c r="AU90" s="137" t="s">
        <v>432</v>
      </c>
      <c r="AV90" s="137" t="s">
        <v>432</v>
      </c>
      <c r="AW90" s="137" t="s">
        <v>432</v>
      </c>
      <c r="AX90" s="137" t="s">
        <v>432</v>
      </c>
      <c r="AY90" s="137" t="s">
        <v>432</v>
      </c>
      <c r="AZ90" s="137" t="s">
        <v>432</v>
      </c>
      <c r="BA90" s="137" t="s">
        <v>432</v>
      </c>
      <c r="BB90" s="239" t="str">
        <f t="shared" si="23"/>
        <v>BRTacessibilidade</v>
      </c>
      <c r="BC90" s="239" t="str">
        <f t="shared" si="24"/>
        <v>BRTacessibilidadesigla/verbete</v>
      </c>
      <c r="BD90" s="239" t="str">
        <f t="shared" si="25"/>
        <v>BRTsigla/verbete</v>
      </c>
    </row>
    <row r="91" spans="1:56" s="3" customFormat="1" ht="139.5" customHeight="1" x14ac:dyDescent="0.25">
      <c r="A91" s="262" t="s">
        <v>432</v>
      </c>
      <c r="B91" s="252" t="s">
        <v>742</v>
      </c>
      <c r="C91" s="167" t="s">
        <v>743</v>
      </c>
      <c r="D91" s="847" t="s">
        <v>1905</v>
      </c>
      <c r="E91" s="1496" t="s">
        <v>432</v>
      </c>
      <c r="F91" s="53" t="s">
        <v>4649</v>
      </c>
      <c r="G91" s="230" t="s">
        <v>3507</v>
      </c>
      <c r="H91" s="167" t="s">
        <v>2408</v>
      </c>
      <c r="I91" s="167" t="s">
        <v>432</v>
      </c>
      <c r="J91" s="109" t="s">
        <v>432</v>
      </c>
      <c r="K91" s="109" t="s">
        <v>432</v>
      </c>
      <c r="L91" s="109" t="s">
        <v>432</v>
      </c>
      <c r="M91" s="109" t="s">
        <v>432</v>
      </c>
      <c r="N91" s="109" t="s">
        <v>432</v>
      </c>
      <c r="O91" s="109" t="s">
        <v>432</v>
      </c>
      <c r="P91" s="109" t="s">
        <v>432</v>
      </c>
      <c r="Q91" s="109" t="s">
        <v>432</v>
      </c>
      <c r="R91" s="109" t="s">
        <v>432</v>
      </c>
      <c r="S91" s="109" t="s">
        <v>2209</v>
      </c>
      <c r="T91" s="109" t="s">
        <v>432</v>
      </c>
      <c r="U91" s="109" t="s">
        <v>432</v>
      </c>
      <c r="V91" s="109" t="s">
        <v>2209</v>
      </c>
      <c r="W91" s="109" t="s">
        <v>432</v>
      </c>
      <c r="X91" s="109" t="s">
        <v>432</v>
      </c>
      <c r="Y91" s="109" t="s">
        <v>432</v>
      </c>
      <c r="Z91" s="109" t="s">
        <v>432</v>
      </c>
      <c r="AA91" s="109" t="s">
        <v>432</v>
      </c>
      <c r="AB91" s="109" t="s">
        <v>432</v>
      </c>
      <c r="AC91" s="109" t="s">
        <v>432</v>
      </c>
      <c r="AD91" s="109" t="s">
        <v>432</v>
      </c>
      <c r="AE91" s="109" t="s">
        <v>432</v>
      </c>
      <c r="AF91" s="109" t="s">
        <v>432</v>
      </c>
      <c r="AG91" s="109" t="s">
        <v>432</v>
      </c>
      <c r="AH91" s="109" t="s">
        <v>432</v>
      </c>
      <c r="AI91" s="109" t="s">
        <v>432</v>
      </c>
      <c r="AJ91" s="109" t="s">
        <v>432</v>
      </c>
      <c r="AK91" s="109" t="s">
        <v>432</v>
      </c>
      <c r="AL91" s="600" t="s">
        <v>432</v>
      </c>
      <c r="AM91" s="109" t="s">
        <v>432</v>
      </c>
      <c r="AN91" s="109" t="s">
        <v>432</v>
      </c>
      <c r="AO91" s="109" t="s">
        <v>432</v>
      </c>
      <c r="AP91" s="109" t="s">
        <v>432</v>
      </c>
      <c r="AQ91" s="109" t="s">
        <v>432</v>
      </c>
      <c r="AR91" s="137" t="s">
        <v>432</v>
      </c>
      <c r="AS91" s="137" t="s">
        <v>432</v>
      </c>
      <c r="AT91" s="137" t="s">
        <v>432</v>
      </c>
      <c r="AU91" s="137" t="s">
        <v>432</v>
      </c>
      <c r="AV91" s="109" t="s">
        <v>432</v>
      </c>
      <c r="AW91" s="137" t="s">
        <v>432</v>
      </c>
      <c r="AX91" s="109" t="s">
        <v>432</v>
      </c>
      <c r="AY91" s="109" t="s">
        <v>432</v>
      </c>
      <c r="AZ91" s="109" t="s">
        <v>432</v>
      </c>
      <c r="BA91" s="109" t="s">
        <v>432</v>
      </c>
      <c r="BB91" s="239" t="str">
        <f t="shared" si="23"/>
        <v>geralacessibilidade</v>
      </c>
      <c r="BC91" s="239" t="str">
        <f t="shared" si="24"/>
        <v>geralacessibilidadesigla/verbete</v>
      </c>
      <c r="BD91" s="239" t="str">
        <f t="shared" si="25"/>
        <v>geralsigla/verbete</v>
      </c>
    </row>
    <row r="92" spans="1:56" s="3" customFormat="1" ht="80.25" customHeight="1" x14ac:dyDescent="0.25">
      <c r="A92" s="262" t="str">
        <f>'Q100b-totais'!B54</f>
        <v>8.2</v>
      </c>
      <c r="B92" s="252" t="str">
        <f>'Q100b-totais'!C54</f>
        <v>BRT</v>
      </c>
      <c r="C92" s="167" t="s">
        <v>743</v>
      </c>
      <c r="D92" s="847" t="s">
        <v>5314</v>
      </c>
      <c r="E92" s="1496" t="s">
        <v>432</v>
      </c>
      <c r="F92" s="518" t="s">
        <v>2611</v>
      </c>
      <c r="G92" s="230" t="s">
        <v>3507</v>
      </c>
      <c r="H92" s="167" t="s">
        <v>2408</v>
      </c>
      <c r="I92" s="167" t="s">
        <v>432</v>
      </c>
      <c r="J92" s="107" t="s">
        <v>432</v>
      </c>
      <c r="K92" s="107" t="s">
        <v>432</v>
      </c>
      <c r="L92" s="107" t="s">
        <v>432</v>
      </c>
      <c r="M92" s="107" t="s">
        <v>432</v>
      </c>
      <c r="N92" s="107" t="s">
        <v>432</v>
      </c>
      <c r="O92" s="107" t="s">
        <v>432</v>
      </c>
      <c r="P92" s="107" t="s">
        <v>432</v>
      </c>
      <c r="Q92" s="107" t="s">
        <v>432</v>
      </c>
      <c r="R92" s="107" t="s">
        <v>432</v>
      </c>
      <c r="S92" s="109" t="s">
        <v>2209</v>
      </c>
      <c r="T92" s="107" t="s">
        <v>432</v>
      </c>
      <c r="U92" s="107" t="s">
        <v>432</v>
      </c>
      <c r="V92" s="109" t="s">
        <v>2209</v>
      </c>
      <c r="W92" s="107" t="s">
        <v>432</v>
      </c>
      <c r="X92" s="107" t="s">
        <v>432</v>
      </c>
      <c r="Y92" s="107" t="s">
        <v>432</v>
      </c>
      <c r="Z92" s="107" t="s">
        <v>432</v>
      </c>
      <c r="AA92" s="107" t="s">
        <v>432</v>
      </c>
      <c r="AB92" s="107" t="s">
        <v>432</v>
      </c>
      <c r="AC92" s="107" t="s">
        <v>432</v>
      </c>
      <c r="AD92" s="107" t="s">
        <v>432</v>
      </c>
      <c r="AE92" s="107" t="s">
        <v>432</v>
      </c>
      <c r="AF92" s="107" t="s">
        <v>432</v>
      </c>
      <c r="AG92" s="107" t="s">
        <v>432</v>
      </c>
      <c r="AH92" s="107" t="s">
        <v>432</v>
      </c>
      <c r="AI92" s="107" t="s">
        <v>432</v>
      </c>
      <c r="AJ92" s="107" t="s">
        <v>432</v>
      </c>
      <c r="AK92" s="137" t="s">
        <v>432</v>
      </c>
      <c r="AL92" s="600" t="s">
        <v>432</v>
      </c>
      <c r="AM92" s="137" t="s">
        <v>432</v>
      </c>
      <c r="AN92" s="137" t="s">
        <v>432</v>
      </c>
      <c r="AO92" s="137" t="s">
        <v>432</v>
      </c>
      <c r="AP92" s="137" t="s">
        <v>432</v>
      </c>
      <c r="AQ92" s="137" t="s">
        <v>432</v>
      </c>
      <c r="AR92" s="137" t="s">
        <v>432</v>
      </c>
      <c r="AS92" s="137" t="s">
        <v>432</v>
      </c>
      <c r="AT92" s="137" t="s">
        <v>432</v>
      </c>
      <c r="AU92" s="137" t="s">
        <v>432</v>
      </c>
      <c r="AV92" s="137" t="s">
        <v>432</v>
      </c>
      <c r="AW92" s="137" t="s">
        <v>432</v>
      </c>
      <c r="AX92" s="137" t="s">
        <v>432</v>
      </c>
      <c r="AY92" s="137" t="s">
        <v>432</v>
      </c>
      <c r="AZ92" s="137" t="s">
        <v>432</v>
      </c>
      <c r="BA92" s="137" t="s">
        <v>432</v>
      </c>
      <c r="BB92" s="239" t="str">
        <f t="shared" si="23"/>
        <v>BRTacessibilidade</v>
      </c>
      <c r="BC92" s="239" t="str">
        <f t="shared" si="24"/>
        <v>BRTacessibilidadesigla/verbete</v>
      </c>
      <c r="BD92" s="239" t="str">
        <f t="shared" si="25"/>
        <v>BRTsigla/verbete</v>
      </c>
    </row>
    <row r="93" spans="1:56" s="3" customFormat="1" ht="31.5" x14ac:dyDescent="0.25">
      <c r="A93" s="262" t="str">
        <f>'Q100b-totais'!B54</f>
        <v>8.2</v>
      </c>
      <c r="B93" s="252" t="str">
        <f>'Q100b-totais'!C54</f>
        <v>BRT</v>
      </c>
      <c r="C93" s="167" t="s">
        <v>743</v>
      </c>
      <c r="D93" s="847" t="s">
        <v>5314</v>
      </c>
      <c r="E93" s="1496" t="s">
        <v>5932</v>
      </c>
      <c r="F93" s="53" t="s">
        <v>5929</v>
      </c>
      <c r="G93" s="230" t="s">
        <v>3507</v>
      </c>
      <c r="H93" s="167" t="s">
        <v>2408</v>
      </c>
      <c r="I93" s="167" t="s">
        <v>432</v>
      </c>
      <c r="J93" s="109" t="s">
        <v>432</v>
      </c>
      <c r="K93" s="109" t="s">
        <v>432</v>
      </c>
      <c r="L93" s="109" t="s">
        <v>432</v>
      </c>
      <c r="M93" s="109" t="s">
        <v>432</v>
      </c>
      <c r="N93" s="109" t="s">
        <v>432</v>
      </c>
      <c r="O93" s="109" t="s">
        <v>432</v>
      </c>
      <c r="P93" s="109" t="s">
        <v>432</v>
      </c>
      <c r="Q93" s="109" t="s">
        <v>432</v>
      </c>
      <c r="R93" s="109" t="s">
        <v>432</v>
      </c>
      <c r="S93" s="109" t="s">
        <v>2209</v>
      </c>
      <c r="T93" s="109" t="s">
        <v>432</v>
      </c>
      <c r="U93" s="109" t="s">
        <v>432</v>
      </c>
      <c r="V93" s="109" t="s">
        <v>2209</v>
      </c>
      <c r="W93" s="109" t="s">
        <v>432</v>
      </c>
      <c r="X93" s="109" t="s">
        <v>432</v>
      </c>
      <c r="Y93" s="109" t="s">
        <v>432</v>
      </c>
      <c r="Z93" s="109" t="s">
        <v>432</v>
      </c>
      <c r="AA93" s="109" t="s">
        <v>432</v>
      </c>
      <c r="AB93" s="109" t="s">
        <v>432</v>
      </c>
      <c r="AC93" s="109" t="s">
        <v>432</v>
      </c>
      <c r="AD93" s="109" t="s">
        <v>432</v>
      </c>
      <c r="AE93" s="109" t="s">
        <v>432</v>
      </c>
      <c r="AF93" s="109" t="s">
        <v>432</v>
      </c>
      <c r="AG93" s="109" t="s">
        <v>432</v>
      </c>
      <c r="AH93" s="109" t="s">
        <v>432</v>
      </c>
      <c r="AI93" s="109" t="s">
        <v>432</v>
      </c>
      <c r="AJ93" s="109" t="s">
        <v>432</v>
      </c>
      <c r="AK93" s="109" t="s">
        <v>432</v>
      </c>
      <c r="AL93" s="600" t="s">
        <v>432</v>
      </c>
      <c r="AM93" s="109" t="s">
        <v>432</v>
      </c>
      <c r="AN93" s="109" t="s">
        <v>432</v>
      </c>
      <c r="AO93" s="109" t="s">
        <v>432</v>
      </c>
      <c r="AP93" s="109" t="s">
        <v>432</v>
      </c>
      <c r="AQ93" s="109" t="s">
        <v>432</v>
      </c>
      <c r="AR93" s="137" t="s">
        <v>432</v>
      </c>
      <c r="AS93" s="137" t="s">
        <v>432</v>
      </c>
      <c r="AT93" s="137" t="s">
        <v>432</v>
      </c>
      <c r="AU93" s="137" t="s">
        <v>432</v>
      </c>
      <c r="AV93" s="109" t="s">
        <v>432</v>
      </c>
      <c r="AW93" s="137" t="s">
        <v>432</v>
      </c>
      <c r="AX93" s="109" t="s">
        <v>432</v>
      </c>
      <c r="AY93" s="109" t="s">
        <v>432</v>
      </c>
      <c r="AZ93" s="109" t="s">
        <v>432</v>
      </c>
      <c r="BA93" s="109" t="s">
        <v>432</v>
      </c>
      <c r="BB93" s="239" t="str">
        <f t="shared" si="23"/>
        <v>BRTacessibilidade</v>
      </c>
      <c r="BC93" s="239" t="str">
        <f t="shared" si="24"/>
        <v>BRTacessibilidadesigla/verbete</v>
      </c>
      <c r="BD93" s="239" t="str">
        <f t="shared" si="25"/>
        <v>BRTsigla/verbete</v>
      </c>
    </row>
    <row r="94" spans="1:56" s="3" customFormat="1" ht="31.5" x14ac:dyDescent="0.25">
      <c r="A94" s="262" t="str">
        <f>'Q100b-totais'!B54</f>
        <v>8.2</v>
      </c>
      <c r="B94" s="252" t="str">
        <f>'Q100b-totais'!C54</f>
        <v>BRT</v>
      </c>
      <c r="C94" s="167" t="s">
        <v>743</v>
      </c>
      <c r="D94" s="847" t="s">
        <v>5314</v>
      </c>
      <c r="E94" s="1496" t="s">
        <v>5933</v>
      </c>
      <c r="F94" s="53" t="s">
        <v>5929</v>
      </c>
      <c r="G94" s="230" t="s">
        <v>3507</v>
      </c>
      <c r="H94" s="167" t="s">
        <v>2408</v>
      </c>
      <c r="I94" s="167" t="s">
        <v>432</v>
      </c>
      <c r="J94" s="109" t="s">
        <v>432</v>
      </c>
      <c r="K94" s="109" t="s">
        <v>432</v>
      </c>
      <c r="L94" s="109" t="s">
        <v>432</v>
      </c>
      <c r="M94" s="109" t="s">
        <v>432</v>
      </c>
      <c r="N94" s="109" t="s">
        <v>432</v>
      </c>
      <c r="O94" s="109" t="s">
        <v>432</v>
      </c>
      <c r="P94" s="109" t="s">
        <v>432</v>
      </c>
      <c r="Q94" s="109" t="s">
        <v>432</v>
      </c>
      <c r="R94" s="109" t="s">
        <v>432</v>
      </c>
      <c r="S94" s="109" t="s">
        <v>2209</v>
      </c>
      <c r="T94" s="109" t="s">
        <v>432</v>
      </c>
      <c r="U94" s="109" t="s">
        <v>432</v>
      </c>
      <c r="V94" s="109" t="s">
        <v>2209</v>
      </c>
      <c r="W94" s="109" t="s">
        <v>432</v>
      </c>
      <c r="X94" s="109" t="s">
        <v>432</v>
      </c>
      <c r="Y94" s="109" t="s">
        <v>432</v>
      </c>
      <c r="Z94" s="109" t="s">
        <v>432</v>
      </c>
      <c r="AA94" s="109" t="s">
        <v>432</v>
      </c>
      <c r="AB94" s="109" t="s">
        <v>432</v>
      </c>
      <c r="AC94" s="109" t="s">
        <v>432</v>
      </c>
      <c r="AD94" s="109" t="s">
        <v>432</v>
      </c>
      <c r="AE94" s="109" t="s">
        <v>432</v>
      </c>
      <c r="AF94" s="109" t="s">
        <v>432</v>
      </c>
      <c r="AG94" s="109" t="s">
        <v>432</v>
      </c>
      <c r="AH94" s="109" t="s">
        <v>432</v>
      </c>
      <c r="AI94" s="109" t="s">
        <v>432</v>
      </c>
      <c r="AJ94" s="109" t="s">
        <v>432</v>
      </c>
      <c r="AK94" s="109" t="s">
        <v>432</v>
      </c>
      <c r="AL94" s="600" t="s">
        <v>432</v>
      </c>
      <c r="AM94" s="109" t="s">
        <v>432</v>
      </c>
      <c r="AN94" s="109" t="s">
        <v>432</v>
      </c>
      <c r="AO94" s="109" t="s">
        <v>432</v>
      </c>
      <c r="AP94" s="109" t="s">
        <v>432</v>
      </c>
      <c r="AQ94" s="109" t="s">
        <v>432</v>
      </c>
      <c r="AR94" s="137" t="s">
        <v>432</v>
      </c>
      <c r="AS94" s="137" t="s">
        <v>432</v>
      </c>
      <c r="AT94" s="137" t="s">
        <v>432</v>
      </c>
      <c r="AU94" s="137" t="s">
        <v>432</v>
      </c>
      <c r="AV94" s="109" t="s">
        <v>432</v>
      </c>
      <c r="AW94" s="137" t="s">
        <v>432</v>
      </c>
      <c r="AX94" s="109" t="s">
        <v>432</v>
      </c>
      <c r="AY94" s="109" t="s">
        <v>432</v>
      </c>
      <c r="AZ94" s="109" t="s">
        <v>432</v>
      </c>
      <c r="BA94" s="109" t="s">
        <v>432</v>
      </c>
      <c r="BB94" s="239" t="str">
        <f t="shared" si="23"/>
        <v>BRTacessibilidade</v>
      </c>
      <c r="BC94" s="239" t="str">
        <f t="shared" si="24"/>
        <v>BRTacessibilidadesigla/verbete</v>
      </c>
      <c r="BD94" s="239" t="str">
        <f t="shared" si="25"/>
        <v>BRTsigla/verbete</v>
      </c>
    </row>
    <row r="95" spans="1:56" s="3" customFormat="1" ht="31.5" x14ac:dyDescent="0.25">
      <c r="A95" s="262" t="str">
        <f>'Q100b-totais'!B54</f>
        <v>8.2</v>
      </c>
      <c r="B95" s="252" t="str">
        <f>'Q100b-totais'!C54</f>
        <v>BRT</v>
      </c>
      <c r="C95" s="167" t="s">
        <v>743</v>
      </c>
      <c r="D95" s="847" t="s">
        <v>5314</v>
      </c>
      <c r="E95" s="1496" t="s">
        <v>5930</v>
      </c>
      <c r="F95" s="53" t="s">
        <v>5929</v>
      </c>
      <c r="G95" s="230" t="s">
        <v>3507</v>
      </c>
      <c r="H95" s="167" t="s">
        <v>2408</v>
      </c>
      <c r="I95" s="167" t="s">
        <v>432</v>
      </c>
      <c r="J95" s="109" t="s">
        <v>432</v>
      </c>
      <c r="K95" s="109" t="s">
        <v>432</v>
      </c>
      <c r="L95" s="109" t="s">
        <v>432</v>
      </c>
      <c r="M95" s="109" t="s">
        <v>432</v>
      </c>
      <c r="N95" s="109" t="s">
        <v>432</v>
      </c>
      <c r="O95" s="109" t="s">
        <v>432</v>
      </c>
      <c r="P95" s="109" t="s">
        <v>432</v>
      </c>
      <c r="Q95" s="109" t="s">
        <v>432</v>
      </c>
      <c r="R95" s="109" t="s">
        <v>432</v>
      </c>
      <c r="S95" s="109" t="s">
        <v>2209</v>
      </c>
      <c r="T95" s="109" t="s">
        <v>432</v>
      </c>
      <c r="U95" s="109" t="s">
        <v>432</v>
      </c>
      <c r="V95" s="109" t="s">
        <v>2209</v>
      </c>
      <c r="W95" s="109" t="s">
        <v>432</v>
      </c>
      <c r="X95" s="109" t="s">
        <v>432</v>
      </c>
      <c r="Y95" s="109" t="s">
        <v>432</v>
      </c>
      <c r="Z95" s="109" t="s">
        <v>432</v>
      </c>
      <c r="AA95" s="109" t="s">
        <v>432</v>
      </c>
      <c r="AB95" s="109" t="s">
        <v>432</v>
      </c>
      <c r="AC95" s="109" t="s">
        <v>432</v>
      </c>
      <c r="AD95" s="109" t="s">
        <v>432</v>
      </c>
      <c r="AE95" s="109" t="s">
        <v>432</v>
      </c>
      <c r="AF95" s="109" t="s">
        <v>432</v>
      </c>
      <c r="AG95" s="109" t="s">
        <v>432</v>
      </c>
      <c r="AH95" s="109" t="s">
        <v>432</v>
      </c>
      <c r="AI95" s="109" t="s">
        <v>432</v>
      </c>
      <c r="AJ95" s="109" t="s">
        <v>432</v>
      </c>
      <c r="AK95" s="109" t="s">
        <v>432</v>
      </c>
      <c r="AL95" s="600" t="s">
        <v>432</v>
      </c>
      <c r="AM95" s="109" t="s">
        <v>432</v>
      </c>
      <c r="AN95" s="109" t="s">
        <v>432</v>
      </c>
      <c r="AO95" s="109" t="s">
        <v>432</v>
      </c>
      <c r="AP95" s="109" t="s">
        <v>432</v>
      </c>
      <c r="AQ95" s="109" t="s">
        <v>432</v>
      </c>
      <c r="AR95" s="137" t="s">
        <v>432</v>
      </c>
      <c r="AS95" s="137" t="s">
        <v>432</v>
      </c>
      <c r="AT95" s="137" t="s">
        <v>432</v>
      </c>
      <c r="AU95" s="137" t="s">
        <v>432</v>
      </c>
      <c r="AV95" s="109" t="s">
        <v>432</v>
      </c>
      <c r="AW95" s="137" t="s">
        <v>432</v>
      </c>
      <c r="AX95" s="109" t="s">
        <v>432</v>
      </c>
      <c r="AY95" s="109" t="s">
        <v>432</v>
      </c>
      <c r="AZ95" s="109" t="s">
        <v>432</v>
      </c>
      <c r="BA95" s="109" t="s">
        <v>432</v>
      </c>
      <c r="BB95" s="239" t="str">
        <f t="shared" ref="BB95:BB118" si="26">B95&amp;C95</f>
        <v>BRTacessibilidade</v>
      </c>
      <c r="BC95" s="239" t="str">
        <f t="shared" ref="BC95:BC118" si="27">B95&amp;C95&amp;H95</f>
        <v>BRTacessibilidadesigla/verbete</v>
      </c>
      <c r="BD95" s="239" t="str">
        <f t="shared" ref="BD95:BD118" si="28">B95&amp;H95</f>
        <v>BRTsigla/verbete</v>
      </c>
    </row>
    <row r="96" spans="1:56" s="3" customFormat="1" ht="31.5" x14ac:dyDescent="0.25">
      <c r="A96" s="262" t="str">
        <f>'Q100b-totais'!B54</f>
        <v>8.2</v>
      </c>
      <c r="B96" s="252" t="str">
        <f>'Q100b-totais'!C54</f>
        <v>BRT</v>
      </c>
      <c r="C96" s="167" t="s">
        <v>743</v>
      </c>
      <c r="D96" s="847" t="s">
        <v>5314</v>
      </c>
      <c r="E96" s="1496" t="s">
        <v>4518</v>
      </c>
      <c r="F96" s="53" t="s">
        <v>5929</v>
      </c>
      <c r="G96" s="230" t="s">
        <v>3507</v>
      </c>
      <c r="H96" s="167" t="s">
        <v>2408</v>
      </c>
      <c r="I96" s="167" t="s">
        <v>432</v>
      </c>
      <c r="J96" s="109" t="s">
        <v>432</v>
      </c>
      <c r="K96" s="109" t="s">
        <v>432</v>
      </c>
      <c r="L96" s="109" t="s">
        <v>432</v>
      </c>
      <c r="M96" s="109" t="s">
        <v>432</v>
      </c>
      <c r="N96" s="109" t="s">
        <v>432</v>
      </c>
      <c r="O96" s="109" t="s">
        <v>432</v>
      </c>
      <c r="P96" s="109" t="s">
        <v>432</v>
      </c>
      <c r="Q96" s="109" t="s">
        <v>432</v>
      </c>
      <c r="R96" s="109" t="s">
        <v>432</v>
      </c>
      <c r="S96" s="109" t="s">
        <v>2209</v>
      </c>
      <c r="T96" s="109" t="s">
        <v>432</v>
      </c>
      <c r="U96" s="109" t="s">
        <v>432</v>
      </c>
      <c r="V96" s="109" t="s">
        <v>2209</v>
      </c>
      <c r="W96" s="109" t="s">
        <v>432</v>
      </c>
      <c r="X96" s="109" t="s">
        <v>432</v>
      </c>
      <c r="Y96" s="109" t="s">
        <v>432</v>
      </c>
      <c r="Z96" s="109" t="s">
        <v>432</v>
      </c>
      <c r="AA96" s="109" t="s">
        <v>432</v>
      </c>
      <c r="AB96" s="109" t="s">
        <v>432</v>
      </c>
      <c r="AC96" s="109" t="s">
        <v>432</v>
      </c>
      <c r="AD96" s="109" t="s">
        <v>432</v>
      </c>
      <c r="AE96" s="109" t="s">
        <v>432</v>
      </c>
      <c r="AF96" s="109" t="s">
        <v>432</v>
      </c>
      <c r="AG96" s="109" t="s">
        <v>432</v>
      </c>
      <c r="AH96" s="109" t="s">
        <v>432</v>
      </c>
      <c r="AI96" s="109" t="s">
        <v>432</v>
      </c>
      <c r="AJ96" s="109" t="s">
        <v>432</v>
      </c>
      <c r="AK96" s="109" t="s">
        <v>432</v>
      </c>
      <c r="AL96" s="600" t="s">
        <v>432</v>
      </c>
      <c r="AM96" s="109" t="s">
        <v>432</v>
      </c>
      <c r="AN96" s="109" t="s">
        <v>432</v>
      </c>
      <c r="AO96" s="109" t="s">
        <v>432</v>
      </c>
      <c r="AP96" s="109" t="s">
        <v>432</v>
      </c>
      <c r="AQ96" s="109" t="s">
        <v>432</v>
      </c>
      <c r="AR96" s="137" t="s">
        <v>432</v>
      </c>
      <c r="AS96" s="137" t="s">
        <v>432</v>
      </c>
      <c r="AT96" s="137" t="s">
        <v>432</v>
      </c>
      <c r="AU96" s="137" t="s">
        <v>432</v>
      </c>
      <c r="AV96" s="109" t="s">
        <v>432</v>
      </c>
      <c r="AW96" s="137" t="s">
        <v>432</v>
      </c>
      <c r="AX96" s="109" t="s">
        <v>432</v>
      </c>
      <c r="AY96" s="109" t="s">
        <v>432</v>
      </c>
      <c r="AZ96" s="109" t="s">
        <v>432</v>
      </c>
      <c r="BA96" s="109" t="s">
        <v>432</v>
      </c>
      <c r="BB96" s="239" t="str">
        <f t="shared" si="26"/>
        <v>BRTacessibilidade</v>
      </c>
      <c r="BC96" s="239" t="str">
        <f t="shared" si="27"/>
        <v>BRTacessibilidadesigla/verbete</v>
      </c>
      <c r="BD96" s="239" t="str">
        <f t="shared" si="28"/>
        <v>BRTsigla/verbete</v>
      </c>
    </row>
    <row r="97" spans="1:56" s="3" customFormat="1" ht="196.5" customHeight="1" x14ac:dyDescent="0.25">
      <c r="A97" s="262" t="str">
        <f>'Q100b-totais'!B54</f>
        <v>8.2</v>
      </c>
      <c r="B97" s="252" t="str">
        <f>'Q100b-totais'!C54</f>
        <v>BRT</v>
      </c>
      <c r="C97" s="167" t="s">
        <v>743</v>
      </c>
      <c r="D97" s="847" t="s">
        <v>5314</v>
      </c>
      <c r="E97" s="1496" t="s">
        <v>5888</v>
      </c>
      <c r="F97" s="53" t="s">
        <v>5939</v>
      </c>
      <c r="G97" s="230" t="s">
        <v>3507</v>
      </c>
      <c r="H97" s="167" t="s">
        <v>2408</v>
      </c>
      <c r="I97" s="167" t="s">
        <v>432</v>
      </c>
      <c r="J97" s="109" t="s">
        <v>432</v>
      </c>
      <c r="K97" s="109" t="s">
        <v>432</v>
      </c>
      <c r="L97" s="109" t="s">
        <v>432</v>
      </c>
      <c r="M97" s="109" t="s">
        <v>432</v>
      </c>
      <c r="N97" s="109" t="s">
        <v>432</v>
      </c>
      <c r="O97" s="109" t="s">
        <v>432</v>
      </c>
      <c r="P97" s="109" t="s">
        <v>432</v>
      </c>
      <c r="Q97" s="109" t="s">
        <v>432</v>
      </c>
      <c r="R97" s="109" t="s">
        <v>432</v>
      </c>
      <c r="S97" s="109" t="s">
        <v>2209</v>
      </c>
      <c r="T97" s="109" t="s">
        <v>432</v>
      </c>
      <c r="U97" s="109" t="s">
        <v>432</v>
      </c>
      <c r="V97" s="109" t="s">
        <v>2209</v>
      </c>
      <c r="W97" s="109" t="s">
        <v>432</v>
      </c>
      <c r="X97" s="109" t="s">
        <v>432</v>
      </c>
      <c r="Y97" s="109" t="s">
        <v>432</v>
      </c>
      <c r="Z97" s="109" t="s">
        <v>432</v>
      </c>
      <c r="AA97" s="109" t="s">
        <v>432</v>
      </c>
      <c r="AB97" s="109" t="s">
        <v>432</v>
      </c>
      <c r="AC97" s="109" t="s">
        <v>432</v>
      </c>
      <c r="AD97" s="109" t="s">
        <v>432</v>
      </c>
      <c r="AE97" s="109" t="s">
        <v>432</v>
      </c>
      <c r="AF97" s="109" t="s">
        <v>432</v>
      </c>
      <c r="AG97" s="109" t="s">
        <v>432</v>
      </c>
      <c r="AH97" s="109" t="s">
        <v>432</v>
      </c>
      <c r="AI97" s="109" t="s">
        <v>432</v>
      </c>
      <c r="AJ97" s="109" t="s">
        <v>432</v>
      </c>
      <c r="AK97" s="109" t="s">
        <v>432</v>
      </c>
      <c r="AL97" s="600" t="s">
        <v>432</v>
      </c>
      <c r="AM97" s="109" t="s">
        <v>432</v>
      </c>
      <c r="AN97" s="109" t="s">
        <v>432</v>
      </c>
      <c r="AO97" s="109" t="s">
        <v>432</v>
      </c>
      <c r="AP97" s="109" t="s">
        <v>432</v>
      </c>
      <c r="AQ97" s="109" t="s">
        <v>432</v>
      </c>
      <c r="AR97" s="137" t="s">
        <v>432</v>
      </c>
      <c r="AS97" s="137" t="s">
        <v>432</v>
      </c>
      <c r="AT97" s="137" t="s">
        <v>432</v>
      </c>
      <c r="AU97" s="137" t="s">
        <v>432</v>
      </c>
      <c r="AV97" s="109" t="s">
        <v>432</v>
      </c>
      <c r="AW97" s="137" t="s">
        <v>432</v>
      </c>
      <c r="AX97" s="109" t="s">
        <v>432</v>
      </c>
      <c r="AY97" s="109" t="s">
        <v>432</v>
      </c>
      <c r="AZ97" s="109" t="s">
        <v>432</v>
      </c>
      <c r="BA97" s="109" t="s">
        <v>432</v>
      </c>
      <c r="BB97" s="239" t="str">
        <f t="shared" si="26"/>
        <v>BRTacessibilidade</v>
      </c>
      <c r="BC97" s="239" t="str">
        <f t="shared" si="27"/>
        <v>BRTacessibilidadesigla/verbete</v>
      </c>
      <c r="BD97" s="239" t="str">
        <f t="shared" si="28"/>
        <v>BRTsigla/verbete</v>
      </c>
    </row>
    <row r="98" spans="1:56" s="3" customFormat="1" ht="31.5" x14ac:dyDescent="0.25">
      <c r="A98" s="262" t="str">
        <f>'Q100b-totais'!B54</f>
        <v>8.2</v>
      </c>
      <c r="B98" s="252" t="str">
        <f>'Q100b-totais'!C54</f>
        <v>BRT</v>
      </c>
      <c r="C98" s="167" t="s">
        <v>743</v>
      </c>
      <c r="D98" s="847" t="s">
        <v>5314</v>
      </c>
      <c r="E98" s="1496" t="s">
        <v>2273</v>
      </c>
      <c r="F98" s="53" t="s">
        <v>5929</v>
      </c>
      <c r="G98" s="230" t="s">
        <v>3507</v>
      </c>
      <c r="H98" s="167" t="s">
        <v>2408</v>
      </c>
      <c r="I98" s="167" t="s">
        <v>432</v>
      </c>
      <c r="J98" s="109" t="s">
        <v>432</v>
      </c>
      <c r="K98" s="109" t="s">
        <v>432</v>
      </c>
      <c r="L98" s="109" t="s">
        <v>432</v>
      </c>
      <c r="M98" s="109" t="s">
        <v>432</v>
      </c>
      <c r="N98" s="109" t="s">
        <v>432</v>
      </c>
      <c r="O98" s="109" t="s">
        <v>432</v>
      </c>
      <c r="P98" s="109" t="s">
        <v>432</v>
      </c>
      <c r="Q98" s="109" t="s">
        <v>432</v>
      </c>
      <c r="R98" s="109" t="s">
        <v>432</v>
      </c>
      <c r="S98" s="109" t="s">
        <v>2209</v>
      </c>
      <c r="T98" s="109" t="s">
        <v>432</v>
      </c>
      <c r="U98" s="109" t="s">
        <v>432</v>
      </c>
      <c r="V98" s="109" t="s">
        <v>2209</v>
      </c>
      <c r="W98" s="109" t="s">
        <v>432</v>
      </c>
      <c r="X98" s="109" t="s">
        <v>432</v>
      </c>
      <c r="Y98" s="109" t="s">
        <v>432</v>
      </c>
      <c r="Z98" s="109" t="s">
        <v>432</v>
      </c>
      <c r="AA98" s="109" t="s">
        <v>432</v>
      </c>
      <c r="AB98" s="109" t="s">
        <v>432</v>
      </c>
      <c r="AC98" s="109" t="s">
        <v>432</v>
      </c>
      <c r="AD98" s="109" t="s">
        <v>432</v>
      </c>
      <c r="AE98" s="109" t="s">
        <v>432</v>
      </c>
      <c r="AF98" s="109" t="s">
        <v>432</v>
      </c>
      <c r="AG98" s="109" t="s">
        <v>432</v>
      </c>
      <c r="AH98" s="109" t="s">
        <v>432</v>
      </c>
      <c r="AI98" s="109" t="s">
        <v>432</v>
      </c>
      <c r="AJ98" s="109" t="s">
        <v>432</v>
      </c>
      <c r="AK98" s="109" t="s">
        <v>432</v>
      </c>
      <c r="AL98" s="600" t="s">
        <v>432</v>
      </c>
      <c r="AM98" s="109" t="s">
        <v>432</v>
      </c>
      <c r="AN98" s="109" t="s">
        <v>432</v>
      </c>
      <c r="AO98" s="109" t="s">
        <v>432</v>
      </c>
      <c r="AP98" s="109" t="s">
        <v>432</v>
      </c>
      <c r="AQ98" s="109" t="s">
        <v>432</v>
      </c>
      <c r="AR98" s="137" t="s">
        <v>432</v>
      </c>
      <c r="AS98" s="137" t="s">
        <v>432</v>
      </c>
      <c r="AT98" s="137" t="s">
        <v>432</v>
      </c>
      <c r="AU98" s="137" t="s">
        <v>432</v>
      </c>
      <c r="AV98" s="109" t="s">
        <v>432</v>
      </c>
      <c r="AW98" s="137" t="s">
        <v>432</v>
      </c>
      <c r="AX98" s="109" t="s">
        <v>432</v>
      </c>
      <c r="AY98" s="109" t="s">
        <v>432</v>
      </c>
      <c r="AZ98" s="109" t="s">
        <v>432</v>
      </c>
      <c r="BA98" s="109" t="s">
        <v>432</v>
      </c>
      <c r="BB98" s="239" t="str">
        <f t="shared" si="26"/>
        <v>BRTacessibilidade</v>
      </c>
      <c r="BC98" s="239" t="str">
        <f t="shared" si="27"/>
        <v>BRTacessibilidadesigla/verbete</v>
      </c>
      <c r="BD98" s="239" t="str">
        <f t="shared" si="28"/>
        <v>BRTsigla/verbete</v>
      </c>
    </row>
    <row r="99" spans="1:56" s="3" customFormat="1" ht="31.5" x14ac:dyDescent="0.25">
      <c r="A99" s="262" t="str">
        <f>'Q100b-totais'!B54</f>
        <v>8.2</v>
      </c>
      <c r="B99" s="252" t="str">
        <f>'Q100b-totais'!C54</f>
        <v>BRT</v>
      </c>
      <c r="C99" s="167" t="s">
        <v>743</v>
      </c>
      <c r="D99" s="847" t="s">
        <v>5314</v>
      </c>
      <c r="E99" s="1496" t="s">
        <v>5935</v>
      </c>
      <c r="F99" s="53" t="s">
        <v>5929</v>
      </c>
      <c r="G99" s="230" t="s">
        <v>3507</v>
      </c>
      <c r="H99" s="167" t="s">
        <v>2408</v>
      </c>
      <c r="I99" s="167" t="s">
        <v>432</v>
      </c>
      <c r="J99" s="109" t="s">
        <v>432</v>
      </c>
      <c r="K99" s="109" t="s">
        <v>432</v>
      </c>
      <c r="L99" s="109" t="s">
        <v>432</v>
      </c>
      <c r="M99" s="109" t="s">
        <v>432</v>
      </c>
      <c r="N99" s="109" t="s">
        <v>432</v>
      </c>
      <c r="O99" s="109" t="s">
        <v>432</v>
      </c>
      <c r="P99" s="109" t="s">
        <v>432</v>
      </c>
      <c r="Q99" s="109" t="s">
        <v>432</v>
      </c>
      <c r="R99" s="109" t="s">
        <v>432</v>
      </c>
      <c r="S99" s="109" t="s">
        <v>2209</v>
      </c>
      <c r="T99" s="109" t="s">
        <v>432</v>
      </c>
      <c r="U99" s="109" t="s">
        <v>432</v>
      </c>
      <c r="V99" s="109" t="s">
        <v>2209</v>
      </c>
      <c r="W99" s="109" t="s">
        <v>432</v>
      </c>
      <c r="X99" s="109" t="s">
        <v>432</v>
      </c>
      <c r="Y99" s="109" t="s">
        <v>432</v>
      </c>
      <c r="Z99" s="109" t="s">
        <v>432</v>
      </c>
      <c r="AA99" s="109" t="s">
        <v>432</v>
      </c>
      <c r="AB99" s="109" t="s">
        <v>432</v>
      </c>
      <c r="AC99" s="109" t="s">
        <v>432</v>
      </c>
      <c r="AD99" s="109" t="s">
        <v>432</v>
      </c>
      <c r="AE99" s="109" t="s">
        <v>432</v>
      </c>
      <c r="AF99" s="109" t="s">
        <v>432</v>
      </c>
      <c r="AG99" s="109" t="s">
        <v>432</v>
      </c>
      <c r="AH99" s="109" t="s">
        <v>432</v>
      </c>
      <c r="AI99" s="109" t="s">
        <v>432</v>
      </c>
      <c r="AJ99" s="109" t="s">
        <v>432</v>
      </c>
      <c r="AK99" s="109" t="s">
        <v>432</v>
      </c>
      <c r="AL99" s="600" t="s">
        <v>432</v>
      </c>
      <c r="AM99" s="109" t="s">
        <v>432</v>
      </c>
      <c r="AN99" s="109" t="s">
        <v>432</v>
      </c>
      <c r="AO99" s="109" t="s">
        <v>432</v>
      </c>
      <c r="AP99" s="109" t="s">
        <v>432</v>
      </c>
      <c r="AQ99" s="109" t="s">
        <v>432</v>
      </c>
      <c r="AR99" s="137" t="s">
        <v>432</v>
      </c>
      <c r="AS99" s="137" t="s">
        <v>432</v>
      </c>
      <c r="AT99" s="137" t="s">
        <v>432</v>
      </c>
      <c r="AU99" s="137" t="s">
        <v>432</v>
      </c>
      <c r="AV99" s="109" t="s">
        <v>432</v>
      </c>
      <c r="AW99" s="137" t="s">
        <v>432</v>
      </c>
      <c r="AX99" s="109" t="s">
        <v>432</v>
      </c>
      <c r="AY99" s="109" t="s">
        <v>432</v>
      </c>
      <c r="AZ99" s="109" t="s">
        <v>432</v>
      </c>
      <c r="BA99" s="109" t="s">
        <v>432</v>
      </c>
      <c r="BB99" s="239" t="str">
        <f t="shared" si="26"/>
        <v>BRTacessibilidade</v>
      </c>
      <c r="BC99" s="239" t="str">
        <f t="shared" si="27"/>
        <v>BRTacessibilidadesigla/verbete</v>
      </c>
      <c r="BD99" s="239" t="str">
        <f t="shared" si="28"/>
        <v>BRTsigla/verbete</v>
      </c>
    </row>
    <row r="100" spans="1:56" s="3" customFormat="1" ht="31.5" x14ac:dyDescent="0.25">
      <c r="A100" s="262" t="str">
        <f>'Q100b-totais'!B54</f>
        <v>8.2</v>
      </c>
      <c r="B100" s="252" t="str">
        <f>'Q100b-totais'!C54</f>
        <v>BRT</v>
      </c>
      <c r="C100" s="167" t="s">
        <v>743</v>
      </c>
      <c r="D100" s="847" t="s">
        <v>5314</v>
      </c>
      <c r="E100" s="1496" t="s">
        <v>5931</v>
      </c>
      <c r="F100" s="53" t="s">
        <v>5929</v>
      </c>
      <c r="G100" s="230" t="s">
        <v>3507</v>
      </c>
      <c r="H100" s="167" t="s">
        <v>2408</v>
      </c>
      <c r="I100" s="167" t="s">
        <v>432</v>
      </c>
      <c r="J100" s="109" t="s">
        <v>432</v>
      </c>
      <c r="K100" s="109" t="s">
        <v>432</v>
      </c>
      <c r="L100" s="109" t="s">
        <v>432</v>
      </c>
      <c r="M100" s="109" t="s">
        <v>432</v>
      </c>
      <c r="N100" s="109" t="s">
        <v>432</v>
      </c>
      <c r="O100" s="109" t="s">
        <v>432</v>
      </c>
      <c r="P100" s="109" t="s">
        <v>432</v>
      </c>
      <c r="Q100" s="109" t="s">
        <v>432</v>
      </c>
      <c r="R100" s="109" t="s">
        <v>432</v>
      </c>
      <c r="S100" s="109" t="s">
        <v>2209</v>
      </c>
      <c r="T100" s="109" t="s">
        <v>432</v>
      </c>
      <c r="U100" s="109" t="s">
        <v>432</v>
      </c>
      <c r="V100" s="109" t="s">
        <v>2209</v>
      </c>
      <c r="W100" s="109" t="s">
        <v>432</v>
      </c>
      <c r="X100" s="109" t="s">
        <v>432</v>
      </c>
      <c r="Y100" s="109" t="s">
        <v>432</v>
      </c>
      <c r="Z100" s="109" t="s">
        <v>432</v>
      </c>
      <c r="AA100" s="109" t="s">
        <v>432</v>
      </c>
      <c r="AB100" s="109" t="s">
        <v>432</v>
      </c>
      <c r="AC100" s="109" t="s">
        <v>432</v>
      </c>
      <c r="AD100" s="109" t="s">
        <v>432</v>
      </c>
      <c r="AE100" s="109" t="s">
        <v>432</v>
      </c>
      <c r="AF100" s="109" t="s">
        <v>432</v>
      </c>
      <c r="AG100" s="109" t="s">
        <v>432</v>
      </c>
      <c r="AH100" s="109" t="s">
        <v>432</v>
      </c>
      <c r="AI100" s="109" t="s">
        <v>432</v>
      </c>
      <c r="AJ100" s="109" t="s">
        <v>432</v>
      </c>
      <c r="AK100" s="109" t="s">
        <v>432</v>
      </c>
      <c r="AL100" s="600" t="s">
        <v>432</v>
      </c>
      <c r="AM100" s="109" t="s">
        <v>432</v>
      </c>
      <c r="AN100" s="109" t="s">
        <v>432</v>
      </c>
      <c r="AO100" s="109" t="s">
        <v>432</v>
      </c>
      <c r="AP100" s="109" t="s">
        <v>432</v>
      </c>
      <c r="AQ100" s="109" t="s">
        <v>432</v>
      </c>
      <c r="AR100" s="137" t="s">
        <v>432</v>
      </c>
      <c r="AS100" s="137" t="s">
        <v>432</v>
      </c>
      <c r="AT100" s="137" t="s">
        <v>432</v>
      </c>
      <c r="AU100" s="137" t="s">
        <v>432</v>
      </c>
      <c r="AV100" s="109" t="s">
        <v>432</v>
      </c>
      <c r="AW100" s="137" t="s">
        <v>432</v>
      </c>
      <c r="AX100" s="109" t="s">
        <v>432</v>
      </c>
      <c r="AY100" s="109" t="s">
        <v>432</v>
      </c>
      <c r="AZ100" s="109" t="s">
        <v>432</v>
      </c>
      <c r="BA100" s="109" t="s">
        <v>432</v>
      </c>
      <c r="BB100" s="239" t="str">
        <f t="shared" si="26"/>
        <v>BRTacessibilidade</v>
      </c>
      <c r="BC100" s="239" t="str">
        <f t="shared" si="27"/>
        <v>BRTacessibilidadesigla/verbete</v>
      </c>
      <c r="BD100" s="239" t="str">
        <f t="shared" si="28"/>
        <v>BRTsigla/verbete</v>
      </c>
    </row>
    <row r="101" spans="1:56" s="3" customFormat="1" ht="31.5" x14ac:dyDescent="0.25">
      <c r="A101" s="262" t="str">
        <f>'Q100b-totais'!B54</f>
        <v>8.2</v>
      </c>
      <c r="B101" s="252" t="str">
        <f>'Q100b-totais'!C54</f>
        <v>BRT</v>
      </c>
      <c r="C101" s="167" t="s">
        <v>743</v>
      </c>
      <c r="D101" s="847" t="s">
        <v>5314</v>
      </c>
      <c r="E101" s="1496" t="s">
        <v>5934</v>
      </c>
      <c r="F101" s="53" t="s">
        <v>5929</v>
      </c>
      <c r="G101" s="230" t="s">
        <v>3507</v>
      </c>
      <c r="H101" s="167" t="s">
        <v>2408</v>
      </c>
      <c r="I101" s="167" t="s">
        <v>432</v>
      </c>
      <c r="J101" s="109" t="s">
        <v>432</v>
      </c>
      <c r="K101" s="109" t="s">
        <v>432</v>
      </c>
      <c r="L101" s="109" t="s">
        <v>432</v>
      </c>
      <c r="M101" s="109" t="s">
        <v>432</v>
      </c>
      <c r="N101" s="109" t="s">
        <v>432</v>
      </c>
      <c r="O101" s="109" t="s">
        <v>432</v>
      </c>
      <c r="P101" s="109" t="s">
        <v>432</v>
      </c>
      <c r="Q101" s="109" t="s">
        <v>432</v>
      </c>
      <c r="R101" s="109" t="s">
        <v>432</v>
      </c>
      <c r="S101" s="109" t="s">
        <v>2209</v>
      </c>
      <c r="T101" s="109" t="s">
        <v>432</v>
      </c>
      <c r="U101" s="109" t="s">
        <v>432</v>
      </c>
      <c r="V101" s="109" t="s">
        <v>2209</v>
      </c>
      <c r="W101" s="109" t="s">
        <v>432</v>
      </c>
      <c r="X101" s="109" t="s">
        <v>432</v>
      </c>
      <c r="Y101" s="109" t="s">
        <v>432</v>
      </c>
      <c r="Z101" s="109" t="s">
        <v>432</v>
      </c>
      <c r="AA101" s="109" t="s">
        <v>432</v>
      </c>
      <c r="AB101" s="109" t="s">
        <v>432</v>
      </c>
      <c r="AC101" s="109" t="s">
        <v>432</v>
      </c>
      <c r="AD101" s="109" t="s">
        <v>432</v>
      </c>
      <c r="AE101" s="109" t="s">
        <v>432</v>
      </c>
      <c r="AF101" s="109" t="s">
        <v>432</v>
      </c>
      <c r="AG101" s="109" t="s">
        <v>432</v>
      </c>
      <c r="AH101" s="109" t="s">
        <v>432</v>
      </c>
      <c r="AI101" s="109" t="s">
        <v>432</v>
      </c>
      <c r="AJ101" s="109" t="s">
        <v>432</v>
      </c>
      <c r="AK101" s="109" t="s">
        <v>432</v>
      </c>
      <c r="AL101" s="600" t="s">
        <v>432</v>
      </c>
      <c r="AM101" s="109" t="s">
        <v>432</v>
      </c>
      <c r="AN101" s="109" t="s">
        <v>432</v>
      </c>
      <c r="AO101" s="109" t="s">
        <v>432</v>
      </c>
      <c r="AP101" s="109" t="s">
        <v>432</v>
      </c>
      <c r="AQ101" s="109" t="s">
        <v>432</v>
      </c>
      <c r="AR101" s="137" t="s">
        <v>432</v>
      </c>
      <c r="AS101" s="137" t="s">
        <v>432</v>
      </c>
      <c r="AT101" s="137" t="s">
        <v>432</v>
      </c>
      <c r="AU101" s="137" t="s">
        <v>432</v>
      </c>
      <c r="AV101" s="109" t="s">
        <v>432</v>
      </c>
      <c r="AW101" s="137" t="s">
        <v>432</v>
      </c>
      <c r="AX101" s="109" t="s">
        <v>432</v>
      </c>
      <c r="AY101" s="109" t="s">
        <v>432</v>
      </c>
      <c r="AZ101" s="109" t="s">
        <v>432</v>
      </c>
      <c r="BA101" s="109" t="s">
        <v>432</v>
      </c>
      <c r="BB101" s="239" t="str">
        <f t="shared" si="26"/>
        <v>BRTacessibilidade</v>
      </c>
      <c r="BC101" s="239" t="str">
        <f t="shared" si="27"/>
        <v>BRTacessibilidadesigla/verbete</v>
      </c>
      <c r="BD101" s="239" t="str">
        <f t="shared" si="28"/>
        <v>BRTsigla/verbete</v>
      </c>
    </row>
    <row r="102" spans="1:56" s="3" customFormat="1" ht="130.5" customHeight="1" x14ac:dyDescent="0.25">
      <c r="A102" s="262" t="str">
        <f>'Q100b-totais'!B54</f>
        <v>8.2</v>
      </c>
      <c r="B102" s="252" t="str">
        <f>'Q100b-totais'!C54</f>
        <v>BRT</v>
      </c>
      <c r="C102" s="167" t="s">
        <v>743</v>
      </c>
      <c r="D102" s="847" t="s">
        <v>5314</v>
      </c>
      <c r="E102" s="1496" t="s">
        <v>1306</v>
      </c>
      <c r="F102" s="53" t="s">
        <v>5780</v>
      </c>
      <c r="G102" s="230" t="s">
        <v>3507</v>
      </c>
      <c r="H102" s="167" t="s">
        <v>2408</v>
      </c>
      <c r="I102" s="167" t="s">
        <v>432</v>
      </c>
      <c r="J102" s="109" t="s">
        <v>432</v>
      </c>
      <c r="K102" s="109" t="s">
        <v>432</v>
      </c>
      <c r="L102" s="109" t="s">
        <v>432</v>
      </c>
      <c r="M102" s="109" t="s">
        <v>432</v>
      </c>
      <c r="N102" s="109" t="s">
        <v>432</v>
      </c>
      <c r="O102" s="109" t="s">
        <v>432</v>
      </c>
      <c r="P102" s="109" t="s">
        <v>432</v>
      </c>
      <c r="Q102" s="109" t="s">
        <v>432</v>
      </c>
      <c r="R102" s="109" t="s">
        <v>432</v>
      </c>
      <c r="S102" s="109" t="s">
        <v>2209</v>
      </c>
      <c r="T102" s="109" t="s">
        <v>432</v>
      </c>
      <c r="U102" s="109" t="s">
        <v>432</v>
      </c>
      <c r="V102" s="109" t="s">
        <v>2209</v>
      </c>
      <c r="W102" s="109" t="s">
        <v>432</v>
      </c>
      <c r="X102" s="109" t="s">
        <v>432</v>
      </c>
      <c r="Y102" s="109" t="s">
        <v>432</v>
      </c>
      <c r="Z102" s="109" t="s">
        <v>432</v>
      </c>
      <c r="AA102" s="109" t="s">
        <v>432</v>
      </c>
      <c r="AB102" s="109" t="s">
        <v>432</v>
      </c>
      <c r="AC102" s="109" t="s">
        <v>432</v>
      </c>
      <c r="AD102" s="109" t="s">
        <v>432</v>
      </c>
      <c r="AE102" s="109" t="s">
        <v>432</v>
      </c>
      <c r="AF102" s="109" t="s">
        <v>432</v>
      </c>
      <c r="AG102" s="109" t="s">
        <v>432</v>
      </c>
      <c r="AH102" s="109" t="s">
        <v>432</v>
      </c>
      <c r="AI102" s="109" t="s">
        <v>432</v>
      </c>
      <c r="AJ102" s="109" t="s">
        <v>432</v>
      </c>
      <c r="AK102" s="109" t="s">
        <v>432</v>
      </c>
      <c r="AL102" s="600" t="s">
        <v>432</v>
      </c>
      <c r="AM102" s="109" t="s">
        <v>432</v>
      </c>
      <c r="AN102" s="109" t="s">
        <v>432</v>
      </c>
      <c r="AO102" s="109" t="s">
        <v>432</v>
      </c>
      <c r="AP102" s="109" t="s">
        <v>432</v>
      </c>
      <c r="AQ102" s="109" t="s">
        <v>432</v>
      </c>
      <c r="AR102" s="137" t="s">
        <v>432</v>
      </c>
      <c r="AS102" s="137" t="s">
        <v>432</v>
      </c>
      <c r="AT102" s="137" t="s">
        <v>432</v>
      </c>
      <c r="AU102" s="137" t="s">
        <v>432</v>
      </c>
      <c r="AV102" s="109" t="s">
        <v>432</v>
      </c>
      <c r="AW102" s="137" t="s">
        <v>432</v>
      </c>
      <c r="AX102" s="109" t="s">
        <v>432</v>
      </c>
      <c r="AY102" s="109" t="s">
        <v>432</v>
      </c>
      <c r="AZ102" s="109" t="s">
        <v>432</v>
      </c>
      <c r="BA102" s="109" t="s">
        <v>432</v>
      </c>
      <c r="BB102" s="239" t="str">
        <f t="shared" si="26"/>
        <v>BRTacessibilidade</v>
      </c>
      <c r="BC102" s="239" t="str">
        <f t="shared" si="27"/>
        <v>BRTacessibilidadesigla/verbete</v>
      </c>
      <c r="BD102" s="239" t="str">
        <f t="shared" si="28"/>
        <v>BRTsigla/verbete</v>
      </c>
    </row>
    <row r="103" spans="1:56" s="3" customFormat="1" ht="55.5" customHeight="1" x14ac:dyDescent="0.25">
      <c r="A103" s="262" t="str">
        <f>'Q100b-totais'!B61</f>
        <v>8.9</v>
      </c>
      <c r="B103" s="252" t="str">
        <f>'Q100b-totais'!C61</f>
        <v>Metrô</v>
      </c>
      <c r="C103" s="167" t="s">
        <v>743</v>
      </c>
      <c r="D103" s="847" t="s">
        <v>6147</v>
      </c>
      <c r="E103" s="1496" t="s">
        <v>1306</v>
      </c>
      <c r="F103" s="53" t="s">
        <v>6148</v>
      </c>
      <c r="G103" s="230" t="s">
        <v>3507</v>
      </c>
      <c r="H103" s="167" t="s">
        <v>2408</v>
      </c>
      <c r="I103" s="167" t="s">
        <v>432</v>
      </c>
      <c r="J103" s="109" t="s">
        <v>432</v>
      </c>
      <c r="K103" s="109" t="s">
        <v>432</v>
      </c>
      <c r="L103" s="109" t="s">
        <v>432</v>
      </c>
      <c r="M103" s="109" t="s">
        <v>432</v>
      </c>
      <c r="N103" s="109" t="s">
        <v>432</v>
      </c>
      <c r="O103" s="109" t="s">
        <v>432</v>
      </c>
      <c r="P103" s="109" t="s">
        <v>432</v>
      </c>
      <c r="Q103" s="109" t="s">
        <v>432</v>
      </c>
      <c r="R103" s="109" t="s">
        <v>432</v>
      </c>
      <c r="S103" s="109" t="s">
        <v>2209</v>
      </c>
      <c r="T103" s="109" t="s">
        <v>432</v>
      </c>
      <c r="U103" s="109" t="s">
        <v>432</v>
      </c>
      <c r="V103" s="109" t="s">
        <v>2209</v>
      </c>
      <c r="W103" s="109" t="s">
        <v>432</v>
      </c>
      <c r="X103" s="109" t="s">
        <v>432</v>
      </c>
      <c r="Y103" s="109" t="s">
        <v>432</v>
      </c>
      <c r="Z103" s="109" t="s">
        <v>432</v>
      </c>
      <c r="AA103" s="109" t="s">
        <v>432</v>
      </c>
      <c r="AB103" s="109" t="s">
        <v>432</v>
      </c>
      <c r="AC103" s="109" t="s">
        <v>432</v>
      </c>
      <c r="AD103" s="109" t="s">
        <v>432</v>
      </c>
      <c r="AE103" s="109" t="s">
        <v>432</v>
      </c>
      <c r="AF103" s="109" t="s">
        <v>432</v>
      </c>
      <c r="AG103" s="109" t="s">
        <v>432</v>
      </c>
      <c r="AH103" s="109" t="s">
        <v>432</v>
      </c>
      <c r="AI103" s="109" t="s">
        <v>432</v>
      </c>
      <c r="AJ103" s="109" t="s">
        <v>432</v>
      </c>
      <c r="AK103" s="109" t="s">
        <v>432</v>
      </c>
      <c r="AL103" s="600" t="s">
        <v>432</v>
      </c>
      <c r="AM103" s="109" t="s">
        <v>432</v>
      </c>
      <c r="AN103" s="109" t="s">
        <v>432</v>
      </c>
      <c r="AO103" s="109" t="s">
        <v>432</v>
      </c>
      <c r="AP103" s="109" t="s">
        <v>432</v>
      </c>
      <c r="AQ103" s="109" t="s">
        <v>432</v>
      </c>
      <c r="AR103" s="137" t="s">
        <v>432</v>
      </c>
      <c r="AS103" s="137" t="s">
        <v>432</v>
      </c>
      <c r="AT103" s="137" t="s">
        <v>432</v>
      </c>
      <c r="AU103" s="137" t="s">
        <v>432</v>
      </c>
      <c r="AV103" s="109" t="s">
        <v>432</v>
      </c>
      <c r="AW103" s="137" t="s">
        <v>432</v>
      </c>
      <c r="AX103" s="109" t="s">
        <v>432</v>
      </c>
      <c r="AY103" s="109" t="s">
        <v>432</v>
      </c>
      <c r="AZ103" s="109" t="s">
        <v>432</v>
      </c>
      <c r="BA103" s="109" t="s">
        <v>432</v>
      </c>
      <c r="BB103" s="239" t="str">
        <f t="shared" si="26"/>
        <v>Metrôacessibilidade</v>
      </c>
      <c r="BC103" s="239" t="str">
        <f t="shared" si="27"/>
        <v>Metrôacessibilidadesigla/verbete</v>
      </c>
      <c r="BD103" s="239" t="str">
        <f t="shared" si="28"/>
        <v>Metrôsigla/verbete</v>
      </c>
    </row>
    <row r="104" spans="1:56" s="3" customFormat="1" ht="246" customHeight="1" x14ac:dyDescent="0.25">
      <c r="A104" s="262" t="str">
        <f>'Q100b-totais'!B57</f>
        <v>8.5</v>
      </c>
      <c r="B104" s="252" t="str">
        <f>'Q100b-totais'!C57</f>
        <v>Transporte convencional</v>
      </c>
      <c r="C104" s="167" t="s">
        <v>743</v>
      </c>
      <c r="D104" s="325" t="s">
        <v>2393</v>
      </c>
      <c r="E104" s="1496" t="s">
        <v>1306</v>
      </c>
      <c r="F104" s="252" t="s">
        <v>2404</v>
      </c>
      <c r="G104" s="230" t="s">
        <v>3507</v>
      </c>
      <c r="H104" s="167" t="s">
        <v>2408</v>
      </c>
      <c r="I104" s="167" t="s">
        <v>432</v>
      </c>
      <c r="J104" s="107" t="s">
        <v>432</v>
      </c>
      <c r="K104" s="107" t="s">
        <v>432</v>
      </c>
      <c r="L104" s="107" t="s">
        <v>432</v>
      </c>
      <c r="M104" s="107" t="s">
        <v>432</v>
      </c>
      <c r="N104" s="107" t="s">
        <v>432</v>
      </c>
      <c r="O104" s="107" t="s">
        <v>432</v>
      </c>
      <c r="P104" s="107" t="s">
        <v>432</v>
      </c>
      <c r="Q104" s="107" t="s">
        <v>432</v>
      </c>
      <c r="R104" s="107" t="s">
        <v>432</v>
      </c>
      <c r="S104" s="109" t="s">
        <v>2209</v>
      </c>
      <c r="T104" s="107" t="s">
        <v>432</v>
      </c>
      <c r="U104" s="107" t="s">
        <v>432</v>
      </c>
      <c r="V104" s="109" t="s">
        <v>2209</v>
      </c>
      <c r="W104" s="107" t="s">
        <v>432</v>
      </c>
      <c r="X104" s="107" t="s">
        <v>432</v>
      </c>
      <c r="Y104" s="107" t="s">
        <v>432</v>
      </c>
      <c r="Z104" s="107" t="s">
        <v>432</v>
      </c>
      <c r="AA104" s="107" t="s">
        <v>432</v>
      </c>
      <c r="AB104" s="107" t="s">
        <v>432</v>
      </c>
      <c r="AC104" s="107" t="s">
        <v>432</v>
      </c>
      <c r="AD104" s="107" t="s">
        <v>432</v>
      </c>
      <c r="AE104" s="107" t="s">
        <v>432</v>
      </c>
      <c r="AF104" s="107" t="s">
        <v>432</v>
      </c>
      <c r="AG104" s="107" t="s">
        <v>432</v>
      </c>
      <c r="AH104" s="107" t="s">
        <v>432</v>
      </c>
      <c r="AI104" s="107" t="s">
        <v>432</v>
      </c>
      <c r="AJ104" s="107" t="s">
        <v>432</v>
      </c>
      <c r="AK104" s="137" t="s">
        <v>432</v>
      </c>
      <c r="AL104" s="600" t="s">
        <v>432</v>
      </c>
      <c r="AM104" s="137" t="s">
        <v>432</v>
      </c>
      <c r="AN104" s="137" t="s">
        <v>432</v>
      </c>
      <c r="AO104" s="137" t="s">
        <v>432</v>
      </c>
      <c r="AP104" s="137" t="s">
        <v>432</v>
      </c>
      <c r="AQ104" s="137" t="s">
        <v>432</v>
      </c>
      <c r="AR104" s="137" t="s">
        <v>432</v>
      </c>
      <c r="AS104" s="137" t="s">
        <v>432</v>
      </c>
      <c r="AT104" s="137" t="s">
        <v>432</v>
      </c>
      <c r="AU104" s="137" t="s">
        <v>432</v>
      </c>
      <c r="AV104" s="137" t="s">
        <v>432</v>
      </c>
      <c r="AW104" s="137" t="s">
        <v>432</v>
      </c>
      <c r="AX104" s="137" t="s">
        <v>432</v>
      </c>
      <c r="AY104" s="137" t="s">
        <v>432</v>
      </c>
      <c r="AZ104" s="137" t="s">
        <v>432</v>
      </c>
      <c r="BA104" s="137" t="s">
        <v>432</v>
      </c>
      <c r="BB104" s="239" t="str">
        <f t="shared" si="26"/>
        <v>Transporte convencionalacessibilidade</v>
      </c>
      <c r="BC104" s="239" t="str">
        <f t="shared" si="27"/>
        <v>Transporte convencionalacessibilidadesigla/verbete</v>
      </c>
      <c r="BD104" s="239" t="str">
        <f t="shared" si="28"/>
        <v>Transporte convencionalsigla/verbete</v>
      </c>
    </row>
    <row r="105" spans="1:56" s="3" customFormat="1" ht="127.5" customHeight="1" x14ac:dyDescent="0.25">
      <c r="A105" s="262" t="str">
        <f>'Q100b-totais'!B62</f>
        <v>8.10</v>
      </c>
      <c r="B105" s="252" t="str">
        <f>'Q100b-totais'!C62</f>
        <v>Sistema de transporte coletivo com um todo</v>
      </c>
      <c r="C105" s="167" t="s">
        <v>743</v>
      </c>
      <c r="D105" s="325" t="s">
        <v>2393</v>
      </c>
      <c r="E105" s="1496" t="s">
        <v>2388</v>
      </c>
      <c r="F105" s="252" t="s">
        <v>2397</v>
      </c>
      <c r="G105" s="230" t="s">
        <v>3507</v>
      </c>
      <c r="H105" s="167" t="s">
        <v>819</v>
      </c>
      <c r="I105" s="167" t="s">
        <v>432</v>
      </c>
      <c r="J105" s="107" t="s">
        <v>432</v>
      </c>
      <c r="K105" s="107" t="s">
        <v>432</v>
      </c>
      <c r="L105" s="107" t="s">
        <v>432</v>
      </c>
      <c r="M105" s="107" t="s">
        <v>432</v>
      </c>
      <c r="N105" s="107" t="s">
        <v>432</v>
      </c>
      <c r="O105" s="107" t="s">
        <v>432</v>
      </c>
      <c r="P105" s="107" t="s">
        <v>432</v>
      </c>
      <c r="Q105" s="107" t="s">
        <v>432</v>
      </c>
      <c r="R105" s="107" t="s">
        <v>432</v>
      </c>
      <c r="S105" s="109" t="s">
        <v>2209</v>
      </c>
      <c r="T105" s="107" t="s">
        <v>432</v>
      </c>
      <c r="U105" s="107" t="s">
        <v>432</v>
      </c>
      <c r="V105" s="109" t="s">
        <v>2209</v>
      </c>
      <c r="W105" s="107" t="s">
        <v>432</v>
      </c>
      <c r="X105" s="107" t="s">
        <v>432</v>
      </c>
      <c r="Y105" s="107" t="s">
        <v>432</v>
      </c>
      <c r="Z105" s="107" t="s">
        <v>432</v>
      </c>
      <c r="AA105" s="107" t="s">
        <v>432</v>
      </c>
      <c r="AB105" s="107" t="s">
        <v>432</v>
      </c>
      <c r="AC105" s="107" t="s">
        <v>432</v>
      </c>
      <c r="AD105" s="107" t="s">
        <v>432</v>
      </c>
      <c r="AE105" s="107" t="s">
        <v>432</v>
      </c>
      <c r="AF105" s="107" t="s">
        <v>432</v>
      </c>
      <c r="AG105" s="107" t="s">
        <v>432</v>
      </c>
      <c r="AH105" s="107" t="s">
        <v>432</v>
      </c>
      <c r="AI105" s="107" t="s">
        <v>432</v>
      </c>
      <c r="AJ105" s="107" t="s">
        <v>432</v>
      </c>
      <c r="AK105" s="137" t="s">
        <v>432</v>
      </c>
      <c r="AL105" s="600" t="s">
        <v>432</v>
      </c>
      <c r="AM105" s="137" t="s">
        <v>432</v>
      </c>
      <c r="AN105" s="137" t="s">
        <v>432</v>
      </c>
      <c r="AO105" s="137" t="s">
        <v>432</v>
      </c>
      <c r="AP105" s="137" t="s">
        <v>432</v>
      </c>
      <c r="AQ105" s="137" t="s">
        <v>432</v>
      </c>
      <c r="AR105" s="137" t="s">
        <v>432</v>
      </c>
      <c r="AS105" s="137" t="s">
        <v>432</v>
      </c>
      <c r="AT105" s="137" t="s">
        <v>432</v>
      </c>
      <c r="AU105" s="137" t="s">
        <v>432</v>
      </c>
      <c r="AV105" s="137" t="s">
        <v>432</v>
      </c>
      <c r="AW105" s="137" t="s">
        <v>432</v>
      </c>
      <c r="AX105" s="137" t="s">
        <v>432</v>
      </c>
      <c r="AY105" s="137" t="s">
        <v>432</v>
      </c>
      <c r="AZ105" s="137" t="s">
        <v>432</v>
      </c>
      <c r="BA105" s="137" t="s">
        <v>432</v>
      </c>
      <c r="BB105" s="239" t="str">
        <f t="shared" si="26"/>
        <v>Sistema de transporte coletivo com um todoacessibilidade</v>
      </c>
      <c r="BC105" s="239" t="str">
        <f t="shared" si="27"/>
        <v>Sistema de transporte coletivo com um todoacessibilidadebenchmarking</v>
      </c>
      <c r="BD105" s="239" t="str">
        <f t="shared" si="28"/>
        <v>Sistema de transporte coletivo com um todobenchmarking</v>
      </c>
    </row>
    <row r="106" spans="1:56" s="3" customFormat="1" ht="177.75" customHeight="1" x14ac:dyDescent="0.25">
      <c r="A106" s="262" t="s">
        <v>432</v>
      </c>
      <c r="B106" s="252" t="s">
        <v>742</v>
      </c>
      <c r="C106" s="167" t="s">
        <v>743</v>
      </c>
      <c r="D106" s="325" t="s">
        <v>2843</v>
      </c>
      <c r="E106" s="1496" t="s">
        <v>1306</v>
      </c>
      <c r="F106" s="252" t="s">
        <v>5313</v>
      </c>
      <c r="G106" s="230" t="s">
        <v>3507</v>
      </c>
      <c r="H106" s="167" t="s">
        <v>2408</v>
      </c>
      <c r="I106" s="167" t="s">
        <v>432</v>
      </c>
      <c r="J106" s="107" t="s">
        <v>432</v>
      </c>
      <c r="K106" s="107" t="s">
        <v>432</v>
      </c>
      <c r="L106" s="107" t="s">
        <v>432</v>
      </c>
      <c r="M106" s="107" t="s">
        <v>432</v>
      </c>
      <c r="N106" s="107" t="s">
        <v>432</v>
      </c>
      <c r="O106" s="107" t="s">
        <v>432</v>
      </c>
      <c r="P106" s="107" t="s">
        <v>432</v>
      </c>
      <c r="Q106" s="107" t="s">
        <v>432</v>
      </c>
      <c r="R106" s="107" t="s">
        <v>432</v>
      </c>
      <c r="S106" s="109" t="s">
        <v>2209</v>
      </c>
      <c r="T106" s="107" t="s">
        <v>432</v>
      </c>
      <c r="U106" s="107" t="s">
        <v>432</v>
      </c>
      <c r="V106" s="109" t="s">
        <v>2209</v>
      </c>
      <c r="W106" s="107" t="s">
        <v>432</v>
      </c>
      <c r="X106" s="107" t="s">
        <v>432</v>
      </c>
      <c r="Y106" s="107" t="s">
        <v>432</v>
      </c>
      <c r="Z106" s="107" t="s">
        <v>432</v>
      </c>
      <c r="AA106" s="107" t="s">
        <v>432</v>
      </c>
      <c r="AB106" s="107" t="s">
        <v>432</v>
      </c>
      <c r="AC106" s="107" t="s">
        <v>432</v>
      </c>
      <c r="AD106" s="107" t="s">
        <v>432</v>
      </c>
      <c r="AE106" s="107" t="s">
        <v>432</v>
      </c>
      <c r="AF106" s="107" t="s">
        <v>432</v>
      </c>
      <c r="AG106" s="107" t="s">
        <v>432</v>
      </c>
      <c r="AH106" s="107" t="s">
        <v>432</v>
      </c>
      <c r="AI106" s="107" t="s">
        <v>432</v>
      </c>
      <c r="AJ106" s="107" t="s">
        <v>432</v>
      </c>
      <c r="AK106" s="137" t="s">
        <v>432</v>
      </c>
      <c r="AL106" s="600" t="s">
        <v>432</v>
      </c>
      <c r="AM106" s="137" t="s">
        <v>432</v>
      </c>
      <c r="AN106" s="137" t="s">
        <v>432</v>
      </c>
      <c r="AO106" s="137" t="s">
        <v>432</v>
      </c>
      <c r="AP106" s="137" t="s">
        <v>432</v>
      </c>
      <c r="AQ106" s="137" t="s">
        <v>432</v>
      </c>
      <c r="AR106" s="137" t="s">
        <v>432</v>
      </c>
      <c r="AS106" s="137" t="s">
        <v>432</v>
      </c>
      <c r="AT106" s="137" t="s">
        <v>432</v>
      </c>
      <c r="AU106" s="137" t="s">
        <v>432</v>
      </c>
      <c r="AV106" s="137" t="s">
        <v>432</v>
      </c>
      <c r="AW106" s="137" t="s">
        <v>432</v>
      </c>
      <c r="AX106" s="137" t="s">
        <v>432</v>
      </c>
      <c r="AY106" s="137" t="s">
        <v>432</v>
      </c>
      <c r="AZ106" s="137" t="s">
        <v>432</v>
      </c>
      <c r="BA106" s="137" t="s">
        <v>432</v>
      </c>
      <c r="BB106" s="239" t="str">
        <f t="shared" si="26"/>
        <v>geralacessibilidade</v>
      </c>
      <c r="BC106" s="239" t="str">
        <f t="shared" si="27"/>
        <v>geralacessibilidadesigla/verbete</v>
      </c>
      <c r="BD106" s="239" t="str">
        <f t="shared" si="28"/>
        <v>geralsigla/verbete</v>
      </c>
    </row>
    <row r="107" spans="1:56" s="3" customFormat="1" ht="75" customHeight="1" x14ac:dyDescent="0.25">
      <c r="A107" s="262" t="s">
        <v>432</v>
      </c>
      <c r="B107" s="252" t="s">
        <v>742</v>
      </c>
      <c r="C107" s="167" t="s">
        <v>743</v>
      </c>
      <c r="D107" s="325" t="s">
        <v>3550</v>
      </c>
      <c r="E107" s="1496" t="s">
        <v>1306</v>
      </c>
      <c r="F107" s="53" t="s">
        <v>3553</v>
      </c>
      <c r="G107" s="230" t="s">
        <v>3507</v>
      </c>
      <c r="H107" s="167" t="s">
        <v>2408</v>
      </c>
      <c r="I107" s="167" t="s">
        <v>432</v>
      </c>
      <c r="J107" s="107" t="s">
        <v>432</v>
      </c>
      <c r="K107" s="107" t="s">
        <v>432</v>
      </c>
      <c r="L107" s="107" t="s">
        <v>432</v>
      </c>
      <c r="M107" s="107" t="s">
        <v>432</v>
      </c>
      <c r="N107" s="107" t="s">
        <v>432</v>
      </c>
      <c r="O107" s="107" t="s">
        <v>432</v>
      </c>
      <c r="P107" s="107" t="s">
        <v>432</v>
      </c>
      <c r="Q107" s="107" t="s">
        <v>432</v>
      </c>
      <c r="R107" s="107" t="s">
        <v>432</v>
      </c>
      <c r="S107" s="109" t="s">
        <v>2209</v>
      </c>
      <c r="T107" s="107" t="s">
        <v>432</v>
      </c>
      <c r="U107" s="107" t="s">
        <v>432</v>
      </c>
      <c r="V107" s="109" t="s">
        <v>2209</v>
      </c>
      <c r="W107" s="107" t="s">
        <v>432</v>
      </c>
      <c r="X107" s="107" t="s">
        <v>432</v>
      </c>
      <c r="Y107" s="107" t="s">
        <v>432</v>
      </c>
      <c r="Z107" s="107" t="s">
        <v>432</v>
      </c>
      <c r="AA107" s="107" t="s">
        <v>432</v>
      </c>
      <c r="AB107" s="107" t="s">
        <v>432</v>
      </c>
      <c r="AC107" s="107" t="s">
        <v>432</v>
      </c>
      <c r="AD107" s="107" t="s">
        <v>432</v>
      </c>
      <c r="AE107" s="107" t="s">
        <v>432</v>
      </c>
      <c r="AF107" s="107" t="s">
        <v>432</v>
      </c>
      <c r="AG107" s="107" t="s">
        <v>432</v>
      </c>
      <c r="AH107" s="107" t="s">
        <v>432</v>
      </c>
      <c r="AI107" s="107" t="s">
        <v>432</v>
      </c>
      <c r="AJ107" s="107" t="s">
        <v>432</v>
      </c>
      <c r="AK107" s="137" t="s">
        <v>432</v>
      </c>
      <c r="AL107" s="600" t="s">
        <v>432</v>
      </c>
      <c r="AM107" s="137" t="s">
        <v>432</v>
      </c>
      <c r="AN107" s="137" t="s">
        <v>432</v>
      </c>
      <c r="AO107" s="137" t="s">
        <v>432</v>
      </c>
      <c r="AP107" s="137" t="s">
        <v>432</v>
      </c>
      <c r="AQ107" s="137" t="s">
        <v>432</v>
      </c>
      <c r="AR107" s="137" t="s">
        <v>432</v>
      </c>
      <c r="AS107" s="137" t="s">
        <v>432</v>
      </c>
      <c r="AT107" s="137" t="s">
        <v>432</v>
      </c>
      <c r="AU107" s="137" t="s">
        <v>432</v>
      </c>
      <c r="AV107" s="137" t="s">
        <v>432</v>
      </c>
      <c r="AW107" s="137" t="s">
        <v>432</v>
      </c>
      <c r="AX107" s="137" t="s">
        <v>432</v>
      </c>
      <c r="AY107" s="137" t="s">
        <v>432</v>
      </c>
      <c r="AZ107" s="137" t="s">
        <v>432</v>
      </c>
      <c r="BA107" s="137" t="s">
        <v>432</v>
      </c>
      <c r="BB107" s="239" t="str">
        <f t="shared" si="26"/>
        <v>geralacessibilidade</v>
      </c>
      <c r="BC107" s="239" t="str">
        <f t="shared" si="27"/>
        <v>geralacessibilidadesigla/verbete</v>
      </c>
      <c r="BD107" s="239" t="str">
        <f t="shared" si="28"/>
        <v>geralsigla/verbete</v>
      </c>
    </row>
    <row r="108" spans="1:56" s="3" customFormat="1" ht="85.5" customHeight="1" x14ac:dyDescent="0.25">
      <c r="A108" s="262" t="s">
        <v>432</v>
      </c>
      <c r="B108" s="252" t="s">
        <v>742</v>
      </c>
      <c r="C108" s="167" t="s">
        <v>743</v>
      </c>
      <c r="D108" s="847" t="s">
        <v>2020</v>
      </c>
      <c r="E108" s="1496" t="s">
        <v>432</v>
      </c>
      <c r="F108" s="53" t="s">
        <v>2021</v>
      </c>
      <c r="G108" s="230" t="s">
        <v>3507</v>
      </c>
      <c r="H108" s="167" t="s">
        <v>2408</v>
      </c>
      <c r="I108" s="167" t="s">
        <v>432</v>
      </c>
      <c r="J108" s="109" t="s">
        <v>432</v>
      </c>
      <c r="K108" s="109" t="s">
        <v>432</v>
      </c>
      <c r="L108" s="109" t="s">
        <v>432</v>
      </c>
      <c r="M108" s="109" t="s">
        <v>432</v>
      </c>
      <c r="N108" s="109" t="s">
        <v>432</v>
      </c>
      <c r="O108" s="109" t="s">
        <v>432</v>
      </c>
      <c r="P108" s="109" t="s">
        <v>432</v>
      </c>
      <c r="Q108" s="109" t="s">
        <v>432</v>
      </c>
      <c r="R108" s="109" t="s">
        <v>432</v>
      </c>
      <c r="S108" s="109" t="s">
        <v>2209</v>
      </c>
      <c r="T108" s="109" t="s">
        <v>432</v>
      </c>
      <c r="U108" s="109" t="s">
        <v>432</v>
      </c>
      <c r="V108" s="109" t="s">
        <v>2209</v>
      </c>
      <c r="W108" s="109" t="s">
        <v>432</v>
      </c>
      <c r="X108" s="109" t="s">
        <v>432</v>
      </c>
      <c r="Y108" s="109" t="s">
        <v>432</v>
      </c>
      <c r="Z108" s="109" t="s">
        <v>432</v>
      </c>
      <c r="AA108" s="109" t="s">
        <v>432</v>
      </c>
      <c r="AB108" s="109" t="s">
        <v>432</v>
      </c>
      <c r="AC108" s="109" t="s">
        <v>432</v>
      </c>
      <c r="AD108" s="109" t="s">
        <v>432</v>
      </c>
      <c r="AE108" s="109" t="s">
        <v>432</v>
      </c>
      <c r="AF108" s="109" t="s">
        <v>432</v>
      </c>
      <c r="AG108" s="109" t="s">
        <v>432</v>
      </c>
      <c r="AH108" s="109" t="s">
        <v>432</v>
      </c>
      <c r="AI108" s="109" t="s">
        <v>432</v>
      </c>
      <c r="AJ108" s="109" t="s">
        <v>432</v>
      </c>
      <c r="AK108" s="109" t="s">
        <v>432</v>
      </c>
      <c r="AL108" s="600" t="s">
        <v>432</v>
      </c>
      <c r="AM108" s="109" t="s">
        <v>432</v>
      </c>
      <c r="AN108" s="109" t="s">
        <v>432</v>
      </c>
      <c r="AO108" s="109" t="s">
        <v>432</v>
      </c>
      <c r="AP108" s="109" t="s">
        <v>432</v>
      </c>
      <c r="AQ108" s="109" t="s">
        <v>432</v>
      </c>
      <c r="AR108" s="137" t="s">
        <v>432</v>
      </c>
      <c r="AS108" s="137" t="s">
        <v>432</v>
      </c>
      <c r="AT108" s="137" t="s">
        <v>432</v>
      </c>
      <c r="AU108" s="137" t="s">
        <v>432</v>
      </c>
      <c r="AV108" s="109" t="s">
        <v>432</v>
      </c>
      <c r="AW108" s="137" t="s">
        <v>432</v>
      </c>
      <c r="AX108" s="109" t="s">
        <v>432</v>
      </c>
      <c r="AY108" s="109" t="s">
        <v>432</v>
      </c>
      <c r="AZ108" s="109" t="s">
        <v>432</v>
      </c>
      <c r="BA108" s="109" t="s">
        <v>432</v>
      </c>
      <c r="BB108" s="239" t="str">
        <f t="shared" si="26"/>
        <v>geralacessibilidade</v>
      </c>
      <c r="BC108" s="239" t="str">
        <f t="shared" si="27"/>
        <v>geralacessibilidadesigla/verbete</v>
      </c>
      <c r="BD108" s="239" t="str">
        <f t="shared" si="28"/>
        <v>geralsigla/verbete</v>
      </c>
    </row>
    <row r="109" spans="1:56" s="3" customFormat="1" ht="122.25" customHeight="1" x14ac:dyDescent="0.25">
      <c r="A109" s="262" t="s">
        <v>432</v>
      </c>
      <c r="B109" s="252" t="s">
        <v>742</v>
      </c>
      <c r="C109" s="167" t="s">
        <v>743</v>
      </c>
      <c r="D109" s="847" t="s">
        <v>1981</v>
      </c>
      <c r="E109" s="1496" t="s">
        <v>432</v>
      </c>
      <c r="F109" s="53" t="s">
        <v>1983</v>
      </c>
      <c r="G109" s="230" t="s">
        <v>3507</v>
      </c>
      <c r="H109" s="167" t="s">
        <v>2408</v>
      </c>
      <c r="I109" s="167" t="s">
        <v>432</v>
      </c>
      <c r="J109" s="107" t="s">
        <v>432</v>
      </c>
      <c r="K109" s="107" t="s">
        <v>432</v>
      </c>
      <c r="L109" s="107" t="s">
        <v>432</v>
      </c>
      <c r="M109" s="107" t="s">
        <v>432</v>
      </c>
      <c r="N109" s="107" t="s">
        <v>432</v>
      </c>
      <c r="O109" s="107" t="s">
        <v>432</v>
      </c>
      <c r="P109" s="107" t="s">
        <v>432</v>
      </c>
      <c r="Q109" s="107" t="s">
        <v>432</v>
      </c>
      <c r="R109" s="107" t="s">
        <v>432</v>
      </c>
      <c r="S109" s="109" t="s">
        <v>2209</v>
      </c>
      <c r="T109" s="107" t="s">
        <v>432</v>
      </c>
      <c r="U109" s="107" t="s">
        <v>432</v>
      </c>
      <c r="V109" s="109" t="s">
        <v>2209</v>
      </c>
      <c r="W109" s="107" t="s">
        <v>432</v>
      </c>
      <c r="X109" s="107" t="s">
        <v>432</v>
      </c>
      <c r="Y109" s="107" t="s">
        <v>432</v>
      </c>
      <c r="Z109" s="107" t="s">
        <v>432</v>
      </c>
      <c r="AA109" s="107" t="s">
        <v>432</v>
      </c>
      <c r="AB109" s="107" t="s">
        <v>432</v>
      </c>
      <c r="AC109" s="107" t="s">
        <v>432</v>
      </c>
      <c r="AD109" s="107" t="s">
        <v>432</v>
      </c>
      <c r="AE109" s="107" t="s">
        <v>432</v>
      </c>
      <c r="AF109" s="107" t="s">
        <v>432</v>
      </c>
      <c r="AG109" s="107" t="s">
        <v>432</v>
      </c>
      <c r="AH109" s="107" t="s">
        <v>432</v>
      </c>
      <c r="AI109" s="107" t="s">
        <v>432</v>
      </c>
      <c r="AJ109" s="107" t="s">
        <v>432</v>
      </c>
      <c r="AK109" s="137" t="s">
        <v>432</v>
      </c>
      <c r="AL109" s="600" t="s">
        <v>432</v>
      </c>
      <c r="AM109" s="137" t="s">
        <v>432</v>
      </c>
      <c r="AN109" s="137" t="s">
        <v>432</v>
      </c>
      <c r="AO109" s="137" t="s">
        <v>432</v>
      </c>
      <c r="AP109" s="137" t="s">
        <v>432</v>
      </c>
      <c r="AQ109" s="137" t="s">
        <v>432</v>
      </c>
      <c r="AR109" s="137" t="s">
        <v>432</v>
      </c>
      <c r="AS109" s="137" t="s">
        <v>432</v>
      </c>
      <c r="AT109" s="137" t="s">
        <v>432</v>
      </c>
      <c r="AU109" s="137" t="s">
        <v>432</v>
      </c>
      <c r="AV109" s="137" t="s">
        <v>432</v>
      </c>
      <c r="AW109" s="137" t="s">
        <v>432</v>
      </c>
      <c r="AX109" s="137" t="s">
        <v>432</v>
      </c>
      <c r="AY109" s="137" t="s">
        <v>432</v>
      </c>
      <c r="AZ109" s="137" t="s">
        <v>432</v>
      </c>
      <c r="BA109" s="137" t="s">
        <v>432</v>
      </c>
      <c r="BB109" s="239" t="str">
        <f t="shared" si="26"/>
        <v>geralacessibilidade</v>
      </c>
      <c r="BC109" s="239" t="str">
        <f t="shared" si="27"/>
        <v>geralacessibilidadesigla/verbete</v>
      </c>
      <c r="BD109" s="239" t="str">
        <f t="shared" si="28"/>
        <v>geralsigla/verbete</v>
      </c>
    </row>
    <row r="110" spans="1:56" s="3" customFormat="1" ht="80.25" customHeight="1" x14ac:dyDescent="0.25">
      <c r="A110" s="262" t="str">
        <f>'Q100b-totais'!B54</f>
        <v>8.2</v>
      </c>
      <c r="B110" s="252" t="str">
        <f>'Q100b-totais'!C54</f>
        <v>BRT</v>
      </c>
      <c r="C110" s="167" t="s">
        <v>743</v>
      </c>
      <c r="D110" s="847" t="s">
        <v>5928</v>
      </c>
      <c r="E110" s="1496" t="s">
        <v>432</v>
      </c>
      <c r="F110" s="518" t="s">
        <v>2611</v>
      </c>
      <c r="G110" s="230" t="s">
        <v>3507</v>
      </c>
      <c r="H110" s="167" t="s">
        <v>2408</v>
      </c>
      <c r="I110" s="167" t="s">
        <v>432</v>
      </c>
      <c r="J110" s="107" t="s">
        <v>432</v>
      </c>
      <c r="K110" s="107" t="s">
        <v>432</v>
      </c>
      <c r="L110" s="107" t="s">
        <v>432</v>
      </c>
      <c r="M110" s="107" t="s">
        <v>432</v>
      </c>
      <c r="N110" s="107" t="s">
        <v>432</v>
      </c>
      <c r="O110" s="107" t="s">
        <v>432</v>
      </c>
      <c r="P110" s="107" t="s">
        <v>432</v>
      </c>
      <c r="Q110" s="107" t="s">
        <v>432</v>
      </c>
      <c r="R110" s="107" t="s">
        <v>432</v>
      </c>
      <c r="S110" s="109" t="s">
        <v>2209</v>
      </c>
      <c r="T110" s="107" t="s">
        <v>432</v>
      </c>
      <c r="U110" s="107" t="s">
        <v>432</v>
      </c>
      <c r="V110" s="109" t="s">
        <v>2209</v>
      </c>
      <c r="W110" s="107" t="s">
        <v>432</v>
      </c>
      <c r="X110" s="107" t="s">
        <v>432</v>
      </c>
      <c r="Y110" s="107" t="s">
        <v>432</v>
      </c>
      <c r="Z110" s="107" t="s">
        <v>432</v>
      </c>
      <c r="AA110" s="107" t="s">
        <v>432</v>
      </c>
      <c r="AB110" s="107" t="s">
        <v>432</v>
      </c>
      <c r="AC110" s="107" t="s">
        <v>432</v>
      </c>
      <c r="AD110" s="107" t="s">
        <v>432</v>
      </c>
      <c r="AE110" s="107" t="s">
        <v>432</v>
      </c>
      <c r="AF110" s="107" t="s">
        <v>432</v>
      </c>
      <c r="AG110" s="107" t="s">
        <v>432</v>
      </c>
      <c r="AH110" s="107" t="s">
        <v>432</v>
      </c>
      <c r="AI110" s="107" t="s">
        <v>432</v>
      </c>
      <c r="AJ110" s="107" t="s">
        <v>432</v>
      </c>
      <c r="AK110" s="137" t="s">
        <v>432</v>
      </c>
      <c r="AL110" s="600" t="s">
        <v>432</v>
      </c>
      <c r="AM110" s="137" t="s">
        <v>432</v>
      </c>
      <c r="AN110" s="137" t="s">
        <v>432</v>
      </c>
      <c r="AO110" s="137" t="s">
        <v>432</v>
      </c>
      <c r="AP110" s="137" t="s">
        <v>432</v>
      </c>
      <c r="AQ110" s="137" t="s">
        <v>432</v>
      </c>
      <c r="AR110" s="137" t="s">
        <v>432</v>
      </c>
      <c r="AS110" s="137" t="s">
        <v>432</v>
      </c>
      <c r="AT110" s="137" t="s">
        <v>432</v>
      </c>
      <c r="AU110" s="137" t="s">
        <v>432</v>
      </c>
      <c r="AV110" s="137" t="s">
        <v>432</v>
      </c>
      <c r="AW110" s="137" t="s">
        <v>432</v>
      </c>
      <c r="AX110" s="137" t="s">
        <v>432</v>
      </c>
      <c r="AY110" s="137" t="s">
        <v>432</v>
      </c>
      <c r="AZ110" s="137" t="s">
        <v>432</v>
      </c>
      <c r="BA110" s="137" t="s">
        <v>432</v>
      </c>
      <c r="BB110" s="239" t="str">
        <f t="shared" si="26"/>
        <v>BRTacessibilidade</v>
      </c>
      <c r="BC110" s="239" t="str">
        <f t="shared" si="27"/>
        <v>BRTacessibilidadesigla/verbete</v>
      </c>
      <c r="BD110" s="239" t="str">
        <f t="shared" si="28"/>
        <v>BRTsigla/verbete</v>
      </c>
    </row>
    <row r="111" spans="1:56" s="3" customFormat="1" ht="300.75" customHeight="1" x14ac:dyDescent="0.25">
      <c r="A111" s="262" t="s">
        <v>432</v>
      </c>
      <c r="B111" s="252" t="s">
        <v>742</v>
      </c>
      <c r="C111" s="167" t="s">
        <v>743</v>
      </c>
      <c r="D111" s="325" t="s">
        <v>4716</v>
      </c>
      <c r="E111" s="1496" t="s">
        <v>1767</v>
      </c>
      <c r="F111" s="252" t="s">
        <v>4718</v>
      </c>
      <c r="G111" s="230" t="s">
        <v>3507</v>
      </c>
      <c r="H111" s="167" t="s">
        <v>2408</v>
      </c>
      <c r="I111" s="167" t="s">
        <v>432</v>
      </c>
      <c r="J111" s="107" t="s">
        <v>432</v>
      </c>
      <c r="K111" s="107" t="s">
        <v>432</v>
      </c>
      <c r="L111" s="107" t="s">
        <v>432</v>
      </c>
      <c r="M111" s="107" t="s">
        <v>432</v>
      </c>
      <c r="N111" s="107" t="s">
        <v>432</v>
      </c>
      <c r="O111" s="107" t="s">
        <v>432</v>
      </c>
      <c r="P111" s="107" t="s">
        <v>432</v>
      </c>
      <c r="Q111" s="107" t="s">
        <v>432</v>
      </c>
      <c r="R111" s="107" t="s">
        <v>432</v>
      </c>
      <c r="S111" s="109" t="s">
        <v>2209</v>
      </c>
      <c r="T111" s="107" t="s">
        <v>432</v>
      </c>
      <c r="U111" s="107" t="s">
        <v>432</v>
      </c>
      <c r="V111" s="109" t="s">
        <v>2209</v>
      </c>
      <c r="W111" s="107" t="s">
        <v>432</v>
      </c>
      <c r="X111" s="107" t="s">
        <v>432</v>
      </c>
      <c r="Y111" s="107" t="s">
        <v>432</v>
      </c>
      <c r="Z111" s="107" t="s">
        <v>432</v>
      </c>
      <c r="AA111" s="107" t="s">
        <v>432</v>
      </c>
      <c r="AB111" s="107" t="s">
        <v>432</v>
      </c>
      <c r="AC111" s="107" t="s">
        <v>432</v>
      </c>
      <c r="AD111" s="107" t="s">
        <v>432</v>
      </c>
      <c r="AE111" s="107" t="s">
        <v>432</v>
      </c>
      <c r="AF111" s="107" t="s">
        <v>432</v>
      </c>
      <c r="AG111" s="107" t="s">
        <v>432</v>
      </c>
      <c r="AH111" s="107" t="s">
        <v>432</v>
      </c>
      <c r="AI111" s="107" t="s">
        <v>432</v>
      </c>
      <c r="AJ111" s="107" t="s">
        <v>432</v>
      </c>
      <c r="AK111" s="137" t="s">
        <v>432</v>
      </c>
      <c r="AL111" s="600" t="s">
        <v>432</v>
      </c>
      <c r="AM111" s="137" t="s">
        <v>432</v>
      </c>
      <c r="AN111" s="137" t="s">
        <v>432</v>
      </c>
      <c r="AO111" s="137" t="s">
        <v>432</v>
      </c>
      <c r="AP111" s="137" t="s">
        <v>432</v>
      </c>
      <c r="AQ111" s="137" t="s">
        <v>432</v>
      </c>
      <c r="AR111" s="137" t="s">
        <v>432</v>
      </c>
      <c r="AS111" s="137" t="s">
        <v>432</v>
      </c>
      <c r="AT111" s="137" t="s">
        <v>432</v>
      </c>
      <c r="AU111" s="137" t="s">
        <v>432</v>
      </c>
      <c r="AV111" s="137" t="s">
        <v>432</v>
      </c>
      <c r="AW111" s="137" t="s">
        <v>432</v>
      </c>
      <c r="AX111" s="137" t="s">
        <v>432</v>
      </c>
      <c r="AY111" s="137" t="s">
        <v>432</v>
      </c>
      <c r="AZ111" s="137" t="s">
        <v>432</v>
      </c>
      <c r="BA111" s="137" t="s">
        <v>432</v>
      </c>
      <c r="BB111" s="239" t="str">
        <f t="shared" si="26"/>
        <v>geralacessibilidade</v>
      </c>
      <c r="BC111" s="239" t="str">
        <f t="shared" si="27"/>
        <v>geralacessibilidadesigla/verbete</v>
      </c>
      <c r="BD111" s="239" t="str">
        <f t="shared" si="28"/>
        <v>geralsigla/verbete</v>
      </c>
    </row>
    <row r="112" spans="1:56" s="3" customFormat="1" ht="257.25" customHeight="1" x14ac:dyDescent="0.25">
      <c r="A112" s="262" t="s">
        <v>432</v>
      </c>
      <c r="B112" s="252" t="s">
        <v>742</v>
      </c>
      <c r="C112" s="167" t="s">
        <v>743</v>
      </c>
      <c r="D112" s="325" t="s">
        <v>4717</v>
      </c>
      <c r="E112" s="1496" t="s">
        <v>1767</v>
      </c>
      <c r="F112" s="1365" t="s">
        <v>5331</v>
      </c>
      <c r="G112" s="230" t="s">
        <v>3507</v>
      </c>
      <c r="H112" s="167" t="s">
        <v>2408</v>
      </c>
      <c r="I112" s="167" t="s">
        <v>432</v>
      </c>
      <c r="J112" s="107" t="s">
        <v>432</v>
      </c>
      <c r="K112" s="107" t="s">
        <v>432</v>
      </c>
      <c r="L112" s="107" t="s">
        <v>432</v>
      </c>
      <c r="M112" s="107" t="s">
        <v>432</v>
      </c>
      <c r="N112" s="107" t="s">
        <v>432</v>
      </c>
      <c r="O112" s="107" t="s">
        <v>432</v>
      </c>
      <c r="P112" s="107" t="s">
        <v>432</v>
      </c>
      <c r="Q112" s="107" t="s">
        <v>432</v>
      </c>
      <c r="R112" s="107" t="s">
        <v>432</v>
      </c>
      <c r="S112" s="109" t="s">
        <v>2209</v>
      </c>
      <c r="T112" s="107" t="s">
        <v>432</v>
      </c>
      <c r="U112" s="107" t="s">
        <v>432</v>
      </c>
      <c r="V112" s="109" t="s">
        <v>2209</v>
      </c>
      <c r="W112" s="107" t="s">
        <v>432</v>
      </c>
      <c r="X112" s="107" t="s">
        <v>432</v>
      </c>
      <c r="Y112" s="107" t="s">
        <v>432</v>
      </c>
      <c r="Z112" s="107" t="s">
        <v>432</v>
      </c>
      <c r="AA112" s="107" t="s">
        <v>432</v>
      </c>
      <c r="AB112" s="107" t="s">
        <v>432</v>
      </c>
      <c r="AC112" s="107" t="s">
        <v>432</v>
      </c>
      <c r="AD112" s="107" t="s">
        <v>432</v>
      </c>
      <c r="AE112" s="107" t="s">
        <v>432</v>
      </c>
      <c r="AF112" s="107" t="s">
        <v>432</v>
      </c>
      <c r="AG112" s="107" t="s">
        <v>432</v>
      </c>
      <c r="AH112" s="107" t="s">
        <v>432</v>
      </c>
      <c r="AI112" s="107" t="s">
        <v>432</v>
      </c>
      <c r="AJ112" s="107" t="s">
        <v>432</v>
      </c>
      <c r="AK112" s="137" t="s">
        <v>432</v>
      </c>
      <c r="AL112" s="600" t="s">
        <v>432</v>
      </c>
      <c r="AM112" s="137" t="s">
        <v>432</v>
      </c>
      <c r="AN112" s="137" t="s">
        <v>432</v>
      </c>
      <c r="AO112" s="137" t="s">
        <v>432</v>
      </c>
      <c r="AP112" s="137" t="s">
        <v>432</v>
      </c>
      <c r="AQ112" s="137" t="s">
        <v>432</v>
      </c>
      <c r="AR112" s="137" t="s">
        <v>432</v>
      </c>
      <c r="AS112" s="137" t="s">
        <v>432</v>
      </c>
      <c r="AT112" s="137" t="s">
        <v>432</v>
      </c>
      <c r="AU112" s="137" t="s">
        <v>432</v>
      </c>
      <c r="AV112" s="137" t="s">
        <v>432</v>
      </c>
      <c r="AW112" s="137" t="s">
        <v>432</v>
      </c>
      <c r="AX112" s="137" t="s">
        <v>432</v>
      </c>
      <c r="AY112" s="137" t="s">
        <v>432</v>
      </c>
      <c r="AZ112" s="137" t="s">
        <v>432</v>
      </c>
      <c r="BA112" s="137" t="s">
        <v>432</v>
      </c>
      <c r="BB112" s="239" t="str">
        <f t="shared" si="26"/>
        <v>geralacessibilidade</v>
      </c>
      <c r="BC112" s="239" t="str">
        <f t="shared" si="27"/>
        <v>geralacessibilidadesigla/verbete</v>
      </c>
      <c r="BD112" s="239" t="str">
        <f t="shared" si="28"/>
        <v>geralsigla/verbete</v>
      </c>
    </row>
    <row r="113" spans="1:56" s="3" customFormat="1" ht="62.25" customHeight="1" x14ac:dyDescent="0.25">
      <c r="A113" s="1366" t="s">
        <v>432</v>
      </c>
      <c r="B113" s="53" t="s">
        <v>742</v>
      </c>
      <c r="C113" s="229" t="s">
        <v>743</v>
      </c>
      <c r="D113" s="847" t="s">
        <v>2708</v>
      </c>
      <c r="E113" s="1496" t="s">
        <v>1767</v>
      </c>
      <c r="F113" s="53" t="s">
        <v>2707</v>
      </c>
      <c r="G113" s="230" t="s">
        <v>3507</v>
      </c>
      <c r="H113" s="167" t="s">
        <v>2408</v>
      </c>
      <c r="I113" s="167" t="s">
        <v>432</v>
      </c>
      <c r="J113" s="107" t="s">
        <v>432</v>
      </c>
      <c r="K113" s="107" t="s">
        <v>432</v>
      </c>
      <c r="L113" s="107" t="s">
        <v>432</v>
      </c>
      <c r="M113" s="107" t="s">
        <v>432</v>
      </c>
      <c r="N113" s="107" t="s">
        <v>432</v>
      </c>
      <c r="O113" s="107" t="s">
        <v>432</v>
      </c>
      <c r="P113" s="107" t="s">
        <v>432</v>
      </c>
      <c r="Q113" s="107" t="s">
        <v>432</v>
      </c>
      <c r="R113" s="107" t="s">
        <v>432</v>
      </c>
      <c r="S113" s="109" t="s">
        <v>2209</v>
      </c>
      <c r="T113" s="107" t="s">
        <v>432</v>
      </c>
      <c r="U113" s="107" t="s">
        <v>432</v>
      </c>
      <c r="V113" s="109" t="s">
        <v>2209</v>
      </c>
      <c r="W113" s="107" t="s">
        <v>432</v>
      </c>
      <c r="X113" s="107" t="s">
        <v>432</v>
      </c>
      <c r="Y113" s="107" t="s">
        <v>432</v>
      </c>
      <c r="Z113" s="107" t="s">
        <v>432</v>
      </c>
      <c r="AA113" s="107" t="s">
        <v>432</v>
      </c>
      <c r="AB113" s="107" t="s">
        <v>432</v>
      </c>
      <c r="AC113" s="107" t="s">
        <v>432</v>
      </c>
      <c r="AD113" s="107" t="s">
        <v>432</v>
      </c>
      <c r="AE113" s="107" t="s">
        <v>432</v>
      </c>
      <c r="AF113" s="107" t="s">
        <v>432</v>
      </c>
      <c r="AG113" s="107" t="s">
        <v>432</v>
      </c>
      <c r="AH113" s="107" t="s">
        <v>432</v>
      </c>
      <c r="AI113" s="107" t="s">
        <v>432</v>
      </c>
      <c r="AJ113" s="107" t="s">
        <v>432</v>
      </c>
      <c r="AK113" s="137" t="s">
        <v>432</v>
      </c>
      <c r="AL113" s="600" t="s">
        <v>432</v>
      </c>
      <c r="AM113" s="137" t="s">
        <v>432</v>
      </c>
      <c r="AN113" s="137" t="s">
        <v>432</v>
      </c>
      <c r="AO113" s="137" t="s">
        <v>432</v>
      </c>
      <c r="AP113" s="137" t="s">
        <v>432</v>
      </c>
      <c r="AQ113" s="137" t="s">
        <v>432</v>
      </c>
      <c r="AR113" s="137" t="s">
        <v>432</v>
      </c>
      <c r="AS113" s="137" t="s">
        <v>432</v>
      </c>
      <c r="AT113" s="137" t="s">
        <v>432</v>
      </c>
      <c r="AU113" s="137" t="s">
        <v>432</v>
      </c>
      <c r="AV113" s="137" t="s">
        <v>432</v>
      </c>
      <c r="AW113" s="137" t="s">
        <v>432</v>
      </c>
      <c r="AX113" s="137" t="s">
        <v>432</v>
      </c>
      <c r="AY113" s="137" t="s">
        <v>432</v>
      </c>
      <c r="AZ113" s="137" t="s">
        <v>432</v>
      </c>
      <c r="BA113" s="137" t="s">
        <v>432</v>
      </c>
      <c r="BB113" s="239" t="str">
        <f t="shared" si="26"/>
        <v>geralacessibilidade</v>
      </c>
      <c r="BC113" s="239" t="str">
        <f t="shared" si="27"/>
        <v>geralacessibilidadesigla/verbete</v>
      </c>
      <c r="BD113" s="239" t="str">
        <f t="shared" si="28"/>
        <v>geralsigla/verbete</v>
      </c>
    </row>
    <row r="114" spans="1:56" s="3" customFormat="1" ht="83.25" customHeight="1" x14ac:dyDescent="0.25">
      <c r="A114" s="262" t="s">
        <v>432</v>
      </c>
      <c r="B114" s="252" t="s">
        <v>742</v>
      </c>
      <c r="C114" s="167" t="s">
        <v>743</v>
      </c>
      <c r="D114" s="325" t="s">
        <v>4617</v>
      </c>
      <c r="E114" s="1496" t="s">
        <v>3010</v>
      </c>
      <c r="F114" s="252" t="s">
        <v>4618</v>
      </c>
      <c r="G114" s="230" t="s">
        <v>3507</v>
      </c>
      <c r="H114" s="167" t="s">
        <v>2408</v>
      </c>
      <c r="I114" s="167" t="s">
        <v>432</v>
      </c>
      <c r="J114" s="107" t="s">
        <v>432</v>
      </c>
      <c r="K114" s="107" t="s">
        <v>432</v>
      </c>
      <c r="L114" s="107" t="s">
        <v>432</v>
      </c>
      <c r="M114" s="107" t="s">
        <v>432</v>
      </c>
      <c r="N114" s="107" t="s">
        <v>432</v>
      </c>
      <c r="O114" s="107" t="s">
        <v>432</v>
      </c>
      <c r="P114" s="107" t="s">
        <v>432</v>
      </c>
      <c r="Q114" s="107" t="s">
        <v>432</v>
      </c>
      <c r="R114" s="107" t="s">
        <v>432</v>
      </c>
      <c r="S114" s="109" t="s">
        <v>2209</v>
      </c>
      <c r="T114" s="107" t="s">
        <v>432</v>
      </c>
      <c r="U114" s="107" t="s">
        <v>432</v>
      </c>
      <c r="V114" s="109" t="s">
        <v>2209</v>
      </c>
      <c r="W114" s="107" t="s">
        <v>432</v>
      </c>
      <c r="X114" s="107" t="s">
        <v>432</v>
      </c>
      <c r="Y114" s="107" t="s">
        <v>432</v>
      </c>
      <c r="Z114" s="107" t="s">
        <v>432</v>
      </c>
      <c r="AA114" s="107" t="s">
        <v>432</v>
      </c>
      <c r="AB114" s="107" t="s">
        <v>432</v>
      </c>
      <c r="AC114" s="107" t="s">
        <v>432</v>
      </c>
      <c r="AD114" s="107" t="s">
        <v>432</v>
      </c>
      <c r="AE114" s="107" t="s">
        <v>432</v>
      </c>
      <c r="AF114" s="107" t="s">
        <v>432</v>
      </c>
      <c r="AG114" s="107" t="s">
        <v>432</v>
      </c>
      <c r="AH114" s="107" t="s">
        <v>432</v>
      </c>
      <c r="AI114" s="107" t="s">
        <v>432</v>
      </c>
      <c r="AJ114" s="107" t="s">
        <v>432</v>
      </c>
      <c r="AK114" s="137" t="s">
        <v>432</v>
      </c>
      <c r="AL114" s="600" t="s">
        <v>432</v>
      </c>
      <c r="AM114" s="137" t="s">
        <v>432</v>
      </c>
      <c r="AN114" s="137" t="s">
        <v>432</v>
      </c>
      <c r="AO114" s="137" t="s">
        <v>432</v>
      </c>
      <c r="AP114" s="137" t="s">
        <v>432</v>
      </c>
      <c r="AQ114" s="137" t="s">
        <v>432</v>
      </c>
      <c r="AR114" s="137" t="s">
        <v>432</v>
      </c>
      <c r="AS114" s="137" t="s">
        <v>432</v>
      </c>
      <c r="AT114" s="137" t="s">
        <v>432</v>
      </c>
      <c r="AU114" s="137" t="s">
        <v>432</v>
      </c>
      <c r="AV114" s="137" t="s">
        <v>432</v>
      </c>
      <c r="AW114" s="137" t="s">
        <v>432</v>
      </c>
      <c r="AX114" s="137" t="s">
        <v>432</v>
      </c>
      <c r="AY114" s="137" t="s">
        <v>432</v>
      </c>
      <c r="AZ114" s="137" t="s">
        <v>432</v>
      </c>
      <c r="BA114" s="137" t="s">
        <v>432</v>
      </c>
      <c r="BB114" s="239" t="str">
        <f t="shared" si="26"/>
        <v>geralacessibilidade</v>
      </c>
      <c r="BC114" s="239" t="str">
        <f t="shared" si="27"/>
        <v>geralacessibilidadesigla/verbete</v>
      </c>
      <c r="BD114" s="239" t="str">
        <f t="shared" si="28"/>
        <v>geralsigla/verbete</v>
      </c>
    </row>
    <row r="115" spans="1:56" s="3" customFormat="1" ht="98.25" customHeight="1" x14ac:dyDescent="0.25">
      <c r="A115" s="262" t="s">
        <v>432</v>
      </c>
      <c r="B115" s="252" t="s">
        <v>742</v>
      </c>
      <c r="C115" s="167" t="s">
        <v>743</v>
      </c>
      <c r="D115" s="325" t="s">
        <v>4619</v>
      </c>
      <c r="E115" s="1496" t="s">
        <v>3010</v>
      </c>
      <c r="F115" s="252" t="s">
        <v>4620</v>
      </c>
      <c r="G115" s="230" t="s">
        <v>3507</v>
      </c>
      <c r="H115" s="167" t="s">
        <v>2408</v>
      </c>
      <c r="I115" s="167" t="s">
        <v>432</v>
      </c>
      <c r="J115" s="107" t="s">
        <v>432</v>
      </c>
      <c r="K115" s="107" t="s">
        <v>432</v>
      </c>
      <c r="L115" s="107" t="s">
        <v>432</v>
      </c>
      <c r="M115" s="107" t="s">
        <v>432</v>
      </c>
      <c r="N115" s="107" t="s">
        <v>432</v>
      </c>
      <c r="O115" s="107" t="s">
        <v>432</v>
      </c>
      <c r="P115" s="107" t="s">
        <v>432</v>
      </c>
      <c r="Q115" s="107" t="s">
        <v>432</v>
      </c>
      <c r="R115" s="107" t="s">
        <v>432</v>
      </c>
      <c r="S115" s="109" t="s">
        <v>2209</v>
      </c>
      <c r="T115" s="107" t="s">
        <v>432</v>
      </c>
      <c r="U115" s="107" t="s">
        <v>432</v>
      </c>
      <c r="V115" s="109" t="s">
        <v>2209</v>
      </c>
      <c r="W115" s="107" t="s">
        <v>432</v>
      </c>
      <c r="X115" s="107" t="s">
        <v>432</v>
      </c>
      <c r="Y115" s="107" t="s">
        <v>432</v>
      </c>
      <c r="Z115" s="107" t="s">
        <v>432</v>
      </c>
      <c r="AA115" s="107" t="s">
        <v>432</v>
      </c>
      <c r="AB115" s="107" t="s">
        <v>432</v>
      </c>
      <c r="AC115" s="107" t="s">
        <v>432</v>
      </c>
      <c r="AD115" s="107" t="s">
        <v>432</v>
      </c>
      <c r="AE115" s="107" t="s">
        <v>432</v>
      </c>
      <c r="AF115" s="107" t="s">
        <v>432</v>
      </c>
      <c r="AG115" s="107" t="s">
        <v>432</v>
      </c>
      <c r="AH115" s="107" t="s">
        <v>432</v>
      </c>
      <c r="AI115" s="107" t="s">
        <v>432</v>
      </c>
      <c r="AJ115" s="107" t="s">
        <v>432</v>
      </c>
      <c r="AK115" s="137" t="s">
        <v>432</v>
      </c>
      <c r="AL115" s="600" t="s">
        <v>432</v>
      </c>
      <c r="AM115" s="137" t="s">
        <v>432</v>
      </c>
      <c r="AN115" s="137" t="s">
        <v>432</v>
      </c>
      <c r="AO115" s="137" t="s">
        <v>432</v>
      </c>
      <c r="AP115" s="137" t="s">
        <v>432</v>
      </c>
      <c r="AQ115" s="137" t="s">
        <v>432</v>
      </c>
      <c r="AR115" s="137" t="s">
        <v>432</v>
      </c>
      <c r="AS115" s="137" t="s">
        <v>432</v>
      </c>
      <c r="AT115" s="137" t="s">
        <v>432</v>
      </c>
      <c r="AU115" s="137" t="s">
        <v>432</v>
      </c>
      <c r="AV115" s="137" t="s">
        <v>432</v>
      </c>
      <c r="AW115" s="137" t="s">
        <v>432</v>
      </c>
      <c r="AX115" s="137" t="s">
        <v>432</v>
      </c>
      <c r="AY115" s="137" t="s">
        <v>432</v>
      </c>
      <c r="AZ115" s="137" t="s">
        <v>432</v>
      </c>
      <c r="BA115" s="137" t="s">
        <v>432</v>
      </c>
      <c r="BB115" s="239" t="str">
        <f t="shared" si="26"/>
        <v>geralacessibilidade</v>
      </c>
      <c r="BC115" s="239" t="str">
        <f t="shared" si="27"/>
        <v>geralacessibilidadesigla/verbete</v>
      </c>
      <c r="BD115" s="239" t="str">
        <f t="shared" si="28"/>
        <v>geralsigla/verbete</v>
      </c>
    </row>
    <row r="116" spans="1:56" s="3" customFormat="1" ht="159.75" customHeight="1" x14ac:dyDescent="0.25">
      <c r="A116" s="262" t="s">
        <v>432</v>
      </c>
      <c r="B116" s="252" t="s">
        <v>742</v>
      </c>
      <c r="C116" s="167" t="s">
        <v>743</v>
      </c>
      <c r="D116" s="325" t="s">
        <v>2451</v>
      </c>
      <c r="E116" s="1496" t="s">
        <v>1767</v>
      </c>
      <c r="F116" s="252" t="s">
        <v>4677</v>
      </c>
      <c r="G116" s="230" t="s">
        <v>3507</v>
      </c>
      <c r="H116" s="167" t="s">
        <v>2408</v>
      </c>
      <c r="I116" s="167" t="s">
        <v>432</v>
      </c>
      <c r="J116" s="109" t="s">
        <v>432</v>
      </c>
      <c r="K116" s="109" t="s">
        <v>432</v>
      </c>
      <c r="L116" s="109" t="s">
        <v>432</v>
      </c>
      <c r="M116" s="109" t="s">
        <v>432</v>
      </c>
      <c r="N116" s="109" t="s">
        <v>432</v>
      </c>
      <c r="O116" s="109" t="s">
        <v>432</v>
      </c>
      <c r="P116" s="109" t="s">
        <v>432</v>
      </c>
      <c r="Q116" s="109" t="s">
        <v>432</v>
      </c>
      <c r="R116" s="109" t="s">
        <v>432</v>
      </c>
      <c r="S116" s="109" t="s">
        <v>2209</v>
      </c>
      <c r="T116" s="109" t="s">
        <v>432</v>
      </c>
      <c r="U116" s="109" t="s">
        <v>432</v>
      </c>
      <c r="V116" s="109" t="s">
        <v>2209</v>
      </c>
      <c r="W116" s="109" t="s">
        <v>432</v>
      </c>
      <c r="X116" s="109" t="s">
        <v>432</v>
      </c>
      <c r="Y116" s="109" t="s">
        <v>432</v>
      </c>
      <c r="Z116" s="109" t="s">
        <v>432</v>
      </c>
      <c r="AA116" s="109" t="s">
        <v>432</v>
      </c>
      <c r="AB116" s="109" t="s">
        <v>432</v>
      </c>
      <c r="AC116" s="109" t="s">
        <v>432</v>
      </c>
      <c r="AD116" s="109" t="s">
        <v>432</v>
      </c>
      <c r="AE116" s="109" t="s">
        <v>432</v>
      </c>
      <c r="AF116" s="109" t="s">
        <v>432</v>
      </c>
      <c r="AG116" s="109" t="s">
        <v>432</v>
      </c>
      <c r="AH116" s="109" t="s">
        <v>432</v>
      </c>
      <c r="AI116" s="109" t="s">
        <v>432</v>
      </c>
      <c r="AJ116" s="109" t="s">
        <v>432</v>
      </c>
      <c r="AK116" s="877" t="s">
        <v>432</v>
      </c>
      <c r="AL116" s="600" t="s">
        <v>432</v>
      </c>
      <c r="AM116" s="877" t="s">
        <v>432</v>
      </c>
      <c r="AN116" s="877" t="s">
        <v>432</v>
      </c>
      <c r="AO116" s="877" t="s">
        <v>432</v>
      </c>
      <c r="AP116" s="877" t="s">
        <v>432</v>
      </c>
      <c r="AQ116" s="877" t="s">
        <v>432</v>
      </c>
      <c r="AR116" s="137" t="s">
        <v>432</v>
      </c>
      <c r="AS116" s="137" t="s">
        <v>432</v>
      </c>
      <c r="AT116" s="137" t="s">
        <v>432</v>
      </c>
      <c r="AU116" s="137" t="s">
        <v>432</v>
      </c>
      <c r="AV116" s="877" t="s">
        <v>432</v>
      </c>
      <c r="AW116" s="137" t="s">
        <v>432</v>
      </c>
      <c r="AX116" s="877" t="s">
        <v>432</v>
      </c>
      <c r="AY116" s="877" t="s">
        <v>432</v>
      </c>
      <c r="AZ116" s="877" t="s">
        <v>432</v>
      </c>
      <c r="BA116" s="877" t="s">
        <v>432</v>
      </c>
      <c r="BB116" s="239" t="str">
        <f t="shared" si="26"/>
        <v>geralacessibilidade</v>
      </c>
      <c r="BC116" s="239" t="str">
        <f t="shared" si="27"/>
        <v>geralacessibilidadesigla/verbete</v>
      </c>
      <c r="BD116" s="239" t="str">
        <f t="shared" si="28"/>
        <v>geralsigla/verbete</v>
      </c>
    </row>
    <row r="117" spans="1:56" s="3" customFormat="1" ht="51" x14ac:dyDescent="0.25">
      <c r="A117" s="262" t="str">
        <f>'Q100b-totais'!B62</f>
        <v>8.10</v>
      </c>
      <c r="B117" s="252" t="str">
        <f>'Q100b-totais'!C62</f>
        <v>Sistema de transporte coletivo com um todo</v>
      </c>
      <c r="C117" s="167" t="s">
        <v>743</v>
      </c>
      <c r="D117" s="325" t="s">
        <v>2179</v>
      </c>
      <c r="E117" s="1496" t="s">
        <v>432</v>
      </c>
      <c r="F117" s="252" t="s">
        <v>2608</v>
      </c>
      <c r="G117" s="230" t="s">
        <v>3507</v>
      </c>
      <c r="H117" s="167" t="s">
        <v>2408</v>
      </c>
      <c r="I117" s="167" t="s">
        <v>432</v>
      </c>
      <c r="J117" s="107" t="s">
        <v>432</v>
      </c>
      <c r="K117" s="107" t="s">
        <v>432</v>
      </c>
      <c r="L117" s="107" t="s">
        <v>432</v>
      </c>
      <c r="M117" s="107" t="s">
        <v>432</v>
      </c>
      <c r="N117" s="107" t="s">
        <v>432</v>
      </c>
      <c r="O117" s="107" t="s">
        <v>432</v>
      </c>
      <c r="P117" s="107" t="s">
        <v>432</v>
      </c>
      <c r="Q117" s="107" t="s">
        <v>432</v>
      </c>
      <c r="R117" s="107" t="s">
        <v>432</v>
      </c>
      <c r="S117" s="109" t="s">
        <v>2209</v>
      </c>
      <c r="T117" s="107" t="s">
        <v>432</v>
      </c>
      <c r="U117" s="107" t="s">
        <v>432</v>
      </c>
      <c r="V117" s="109" t="s">
        <v>2209</v>
      </c>
      <c r="W117" s="107" t="s">
        <v>432</v>
      </c>
      <c r="X117" s="107" t="s">
        <v>432</v>
      </c>
      <c r="Y117" s="107" t="s">
        <v>432</v>
      </c>
      <c r="Z117" s="107" t="s">
        <v>432</v>
      </c>
      <c r="AA117" s="107" t="s">
        <v>432</v>
      </c>
      <c r="AB117" s="107" t="s">
        <v>432</v>
      </c>
      <c r="AC117" s="107" t="s">
        <v>432</v>
      </c>
      <c r="AD117" s="107" t="s">
        <v>432</v>
      </c>
      <c r="AE117" s="107" t="s">
        <v>432</v>
      </c>
      <c r="AF117" s="107" t="s">
        <v>432</v>
      </c>
      <c r="AG117" s="107" t="s">
        <v>432</v>
      </c>
      <c r="AH117" s="107" t="s">
        <v>432</v>
      </c>
      <c r="AI117" s="107" t="s">
        <v>432</v>
      </c>
      <c r="AJ117" s="107" t="s">
        <v>432</v>
      </c>
      <c r="AK117" s="137" t="s">
        <v>432</v>
      </c>
      <c r="AL117" s="600" t="s">
        <v>432</v>
      </c>
      <c r="AM117" s="137" t="s">
        <v>432</v>
      </c>
      <c r="AN117" s="137" t="s">
        <v>432</v>
      </c>
      <c r="AO117" s="137" t="s">
        <v>432</v>
      </c>
      <c r="AP117" s="137" t="s">
        <v>432</v>
      </c>
      <c r="AQ117" s="137" t="s">
        <v>432</v>
      </c>
      <c r="AR117" s="137" t="s">
        <v>432</v>
      </c>
      <c r="AS117" s="137" t="s">
        <v>432</v>
      </c>
      <c r="AT117" s="137" t="s">
        <v>432</v>
      </c>
      <c r="AU117" s="137" t="s">
        <v>432</v>
      </c>
      <c r="AV117" s="137" t="s">
        <v>432</v>
      </c>
      <c r="AW117" s="137" t="s">
        <v>432</v>
      </c>
      <c r="AX117" s="137" t="s">
        <v>432</v>
      </c>
      <c r="AY117" s="137" t="s">
        <v>432</v>
      </c>
      <c r="AZ117" s="137" t="s">
        <v>432</v>
      </c>
      <c r="BA117" s="137" t="s">
        <v>432</v>
      </c>
      <c r="BB117" s="239" t="str">
        <f t="shared" si="26"/>
        <v>Sistema de transporte coletivo com um todoacessibilidade</v>
      </c>
      <c r="BC117" s="239" t="str">
        <f t="shared" si="27"/>
        <v>Sistema de transporte coletivo com um todoacessibilidadesigla/verbete</v>
      </c>
      <c r="BD117" s="239" t="str">
        <f t="shared" si="28"/>
        <v>Sistema de transporte coletivo com um todosigla/verbete</v>
      </c>
    </row>
    <row r="118" spans="1:56" s="1" customFormat="1" ht="25.5" x14ac:dyDescent="0.25">
      <c r="A118" s="262" t="s">
        <v>432</v>
      </c>
      <c r="B118" s="252" t="s">
        <v>742</v>
      </c>
      <c r="C118" s="167" t="s">
        <v>743</v>
      </c>
      <c r="D118" s="324" t="s">
        <v>3197</v>
      </c>
      <c r="E118" s="254" t="s">
        <v>1767</v>
      </c>
      <c r="F118" s="11" t="s">
        <v>3196</v>
      </c>
      <c r="G118" s="230" t="s">
        <v>3507</v>
      </c>
      <c r="H118" s="167" t="s">
        <v>2408</v>
      </c>
      <c r="I118" s="887" t="s">
        <v>432</v>
      </c>
      <c r="J118" s="109" t="s">
        <v>432</v>
      </c>
      <c r="K118" s="109" t="s">
        <v>432</v>
      </c>
      <c r="L118" s="109" t="s">
        <v>432</v>
      </c>
      <c r="M118" s="109" t="s">
        <v>432</v>
      </c>
      <c r="N118" s="109" t="s">
        <v>432</v>
      </c>
      <c r="O118" s="109" t="s">
        <v>432</v>
      </c>
      <c r="P118" s="109" t="s">
        <v>432</v>
      </c>
      <c r="Q118" s="109" t="s">
        <v>432</v>
      </c>
      <c r="R118" s="109" t="s">
        <v>432</v>
      </c>
      <c r="S118" s="109" t="s">
        <v>2209</v>
      </c>
      <c r="T118" s="109" t="s">
        <v>432</v>
      </c>
      <c r="U118" s="109" t="s">
        <v>432</v>
      </c>
      <c r="V118" s="109" t="s">
        <v>2209</v>
      </c>
      <c r="W118" s="109" t="s">
        <v>432</v>
      </c>
      <c r="X118" s="109" t="s">
        <v>432</v>
      </c>
      <c r="Y118" s="109" t="s">
        <v>432</v>
      </c>
      <c r="Z118" s="109" t="s">
        <v>432</v>
      </c>
      <c r="AA118" s="109" t="s">
        <v>432</v>
      </c>
      <c r="AB118" s="109" t="s">
        <v>432</v>
      </c>
      <c r="AC118" s="109" t="s">
        <v>432</v>
      </c>
      <c r="AD118" s="109" t="s">
        <v>432</v>
      </c>
      <c r="AE118" s="109" t="s">
        <v>432</v>
      </c>
      <c r="AF118" s="109" t="s">
        <v>432</v>
      </c>
      <c r="AG118" s="109" t="s">
        <v>432</v>
      </c>
      <c r="AH118" s="109" t="s">
        <v>432</v>
      </c>
      <c r="AI118" s="109" t="s">
        <v>432</v>
      </c>
      <c r="AJ118" s="109" t="s">
        <v>432</v>
      </c>
      <c r="AK118" s="877" t="s">
        <v>432</v>
      </c>
      <c r="AL118" s="600" t="s">
        <v>432</v>
      </c>
      <c r="AM118" s="877" t="s">
        <v>432</v>
      </c>
      <c r="AN118" s="877" t="s">
        <v>432</v>
      </c>
      <c r="AO118" s="877" t="s">
        <v>432</v>
      </c>
      <c r="AP118" s="877" t="s">
        <v>432</v>
      </c>
      <c r="AQ118" s="877" t="s">
        <v>432</v>
      </c>
      <c r="AR118" s="877" t="s">
        <v>432</v>
      </c>
      <c r="AS118" s="877" t="s">
        <v>432</v>
      </c>
      <c r="AT118" s="877" t="s">
        <v>432</v>
      </c>
      <c r="AU118" s="877" t="s">
        <v>432</v>
      </c>
      <c r="AV118" s="877" t="s">
        <v>432</v>
      </c>
      <c r="AW118" s="137" t="s">
        <v>432</v>
      </c>
      <c r="AX118" s="877" t="s">
        <v>432</v>
      </c>
      <c r="AY118" s="877" t="s">
        <v>432</v>
      </c>
      <c r="AZ118" s="877" t="s">
        <v>432</v>
      </c>
      <c r="BA118" s="877" t="s">
        <v>432</v>
      </c>
      <c r="BB118" s="239" t="str">
        <f t="shared" si="26"/>
        <v>geralacessibilidade</v>
      </c>
      <c r="BC118" s="239" t="str">
        <f t="shared" si="27"/>
        <v>geralacessibilidadesigla/verbete</v>
      </c>
      <c r="BD118" s="239" t="str">
        <f t="shared" si="28"/>
        <v>geralsigla/verbete</v>
      </c>
    </row>
    <row r="119" spans="1:56" s="3" customFormat="1" ht="15.75" customHeight="1" x14ac:dyDescent="0.25">
      <c r="A119" s="402"/>
      <c r="B119" s="399"/>
      <c r="C119" s="399"/>
      <c r="D119" s="970"/>
      <c r="E119" s="1495"/>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3"/>
      <c r="BB119" s="400"/>
      <c r="BC119" s="400"/>
      <c r="BD119" s="400"/>
    </row>
    <row r="120" spans="1:56" s="3" customFormat="1" ht="32.25" customHeight="1" x14ac:dyDescent="0.25">
      <c r="A120" s="262" t="s">
        <v>432</v>
      </c>
      <c r="B120" s="252" t="s">
        <v>742</v>
      </c>
      <c r="C120" s="167" t="s">
        <v>743</v>
      </c>
      <c r="D120" s="972" t="s">
        <v>4664</v>
      </c>
      <c r="E120" s="1445" t="s">
        <v>1767</v>
      </c>
      <c r="F120" s="1205" t="s">
        <v>4663</v>
      </c>
      <c r="G120" s="230" t="s">
        <v>3507</v>
      </c>
      <c r="H120" s="167" t="s">
        <v>2408</v>
      </c>
      <c r="I120" s="887" t="s">
        <v>432</v>
      </c>
      <c r="J120" s="109" t="s">
        <v>432</v>
      </c>
      <c r="K120" s="109" t="s">
        <v>432</v>
      </c>
      <c r="L120" s="109" t="s">
        <v>432</v>
      </c>
      <c r="M120" s="109" t="s">
        <v>432</v>
      </c>
      <c r="N120" s="109" t="s">
        <v>432</v>
      </c>
      <c r="O120" s="109" t="s">
        <v>432</v>
      </c>
      <c r="P120" s="109" t="s">
        <v>432</v>
      </c>
      <c r="Q120" s="109" t="s">
        <v>432</v>
      </c>
      <c r="R120" s="109" t="s">
        <v>432</v>
      </c>
      <c r="S120" s="109" t="s">
        <v>2209</v>
      </c>
      <c r="T120" s="109" t="s">
        <v>432</v>
      </c>
      <c r="U120" s="109" t="s">
        <v>432</v>
      </c>
      <c r="V120" s="109" t="s">
        <v>2209</v>
      </c>
      <c r="W120" s="109" t="s">
        <v>432</v>
      </c>
      <c r="X120" s="109" t="s">
        <v>432</v>
      </c>
      <c r="Y120" s="109" t="s">
        <v>432</v>
      </c>
      <c r="Z120" s="109" t="s">
        <v>432</v>
      </c>
      <c r="AA120" s="109" t="s">
        <v>432</v>
      </c>
      <c r="AB120" s="109" t="s">
        <v>432</v>
      </c>
      <c r="AC120" s="109" t="s">
        <v>432</v>
      </c>
      <c r="AD120" s="109" t="s">
        <v>432</v>
      </c>
      <c r="AE120" s="109" t="s">
        <v>432</v>
      </c>
      <c r="AF120" s="109" t="s">
        <v>432</v>
      </c>
      <c r="AG120" s="109" t="s">
        <v>432</v>
      </c>
      <c r="AH120" s="109" t="s">
        <v>432</v>
      </c>
      <c r="AI120" s="109" t="s">
        <v>432</v>
      </c>
      <c r="AJ120" s="109" t="s">
        <v>432</v>
      </c>
      <c r="AK120" s="877" t="s">
        <v>432</v>
      </c>
      <c r="AL120" s="600" t="s">
        <v>432</v>
      </c>
      <c r="AM120" s="877" t="s">
        <v>432</v>
      </c>
      <c r="AN120" s="877" t="s">
        <v>432</v>
      </c>
      <c r="AO120" s="877" t="s">
        <v>432</v>
      </c>
      <c r="AP120" s="877" t="s">
        <v>432</v>
      </c>
      <c r="AQ120" s="877" t="s">
        <v>432</v>
      </c>
      <c r="AR120" s="877" t="s">
        <v>432</v>
      </c>
      <c r="AS120" s="877" t="s">
        <v>432</v>
      </c>
      <c r="AT120" s="877" t="s">
        <v>432</v>
      </c>
      <c r="AU120" s="877" t="s">
        <v>432</v>
      </c>
      <c r="AV120" s="877" t="s">
        <v>432</v>
      </c>
      <c r="AW120" s="137" t="s">
        <v>432</v>
      </c>
      <c r="AX120" s="877" t="s">
        <v>432</v>
      </c>
      <c r="AY120" s="877" t="s">
        <v>432</v>
      </c>
      <c r="AZ120" s="877" t="s">
        <v>432</v>
      </c>
      <c r="BA120" s="877" t="s">
        <v>432</v>
      </c>
      <c r="BB120" s="879" t="str">
        <f t="shared" ref="BB120:BB126" si="29">B120&amp;C120</f>
        <v>geralacessibilidade</v>
      </c>
      <c r="BC120" s="879" t="str">
        <f t="shared" ref="BC120:BC126" si="30">B120&amp;C120&amp;H120</f>
        <v>geralacessibilidadesigla/verbete</v>
      </c>
      <c r="BD120" s="879" t="str">
        <f t="shared" ref="BD120:BD126" si="31">B120&amp;H120</f>
        <v>geralsigla/verbete</v>
      </c>
    </row>
    <row r="121" spans="1:56" s="3" customFormat="1" ht="34.5" customHeight="1" x14ac:dyDescent="0.25">
      <c r="A121" s="262" t="s">
        <v>432</v>
      </c>
      <c r="B121" s="252" t="s">
        <v>742</v>
      </c>
      <c r="C121" s="167" t="s">
        <v>432</v>
      </c>
      <c r="D121" s="972" t="s">
        <v>711</v>
      </c>
      <c r="E121" s="1496" t="s">
        <v>432</v>
      </c>
      <c r="F121" s="53" t="s">
        <v>909</v>
      </c>
      <c r="G121" s="167" t="s">
        <v>3879</v>
      </c>
      <c r="H121" s="169" t="s">
        <v>432</v>
      </c>
      <c r="I121" s="167" t="s">
        <v>432</v>
      </c>
      <c r="J121" s="107" t="s">
        <v>432</v>
      </c>
      <c r="K121" s="107" t="s">
        <v>432</v>
      </c>
      <c r="L121" s="107" t="s">
        <v>432</v>
      </c>
      <c r="M121" s="107" t="s">
        <v>432</v>
      </c>
      <c r="N121" s="107" t="s">
        <v>432</v>
      </c>
      <c r="O121" s="107" t="s">
        <v>432</v>
      </c>
      <c r="P121" s="107" t="s">
        <v>432</v>
      </c>
      <c r="Q121" s="107" t="s">
        <v>432</v>
      </c>
      <c r="R121" s="107" t="s">
        <v>432</v>
      </c>
      <c r="S121" s="109" t="s">
        <v>2209</v>
      </c>
      <c r="T121" s="107" t="s">
        <v>432</v>
      </c>
      <c r="U121" s="107" t="s">
        <v>432</v>
      </c>
      <c r="V121" s="109" t="s">
        <v>2209</v>
      </c>
      <c r="W121" s="107" t="s">
        <v>432</v>
      </c>
      <c r="X121" s="107" t="s">
        <v>432</v>
      </c>
      <c r="Y121" s="107" t="s">
        <v>432</v>
      </c>
      <c r="Z121" s="107" t="s">
        <v>432</v>
      </c>
      <c r="AA121" s="107" t="s">
        <v>432</v>
      </c>
      <c r="AB121" s="107" t="s">
        <v>432</v>
      </c>
      <c r="AC121" s="107" t="s">
        <v>432</v>
      </c>
      <c r="AD121" s="107" t="s">
        <v>432</v>
      </c>
      <c r="AE121" s="107" t="s">
        <v>432</v>
      </c>
      <c r="AF121" s="107" t="s">
        <v>432</v>
      </c>
      <c r="AG121" s="107" t="s">
        <v>432</v>
      </c>
      <c r="AH121" s="107" t="s">
        <v>432</v>
      </c>
      <c r="AI121" s="107" t="s">
        <v>432</v>
      </c>
      <c r="AJ121" s="107" t="s">
        <v>432</v>
      </c>
      <c r="AK121" s="137" t="s">
        <v>432</v>
      </c>
      <c r="AL121" s="600" t="s">
        <v>432</v>
      </c>
      <c r="AM121" s="137" t="s">
        <v>432</v>
      </c>
      <c r="AN121" s="137" t="s">
        <v>432</v>
      </c>
      <c r="AO121" s="137" t="s">
        <v>432</v>
      </c>
      <c r="AP121" s="137" t="s">
        <v>432</v>
      </c>
      <c r="AQ121" s="137" t="s">
        <v>432</v>
      </c>
      <c r="AR121" s="137" t="s">
        <v>432</v>
      </c>
      <c r="AS121" s="137" t="s">
        <v>432</v>
      </c>
      <c r="AT121" s="137" t="s">
        <v>432</v>
      </c>
      <c r="AU121" s="137" t="s">
        <v>432</v>
      </c>
      <c r="AV121" s="137" t="s">
        <v>432</v>
      </c>
      <c r="AW121" s="137" t="s">
        <v>432</v>
      </c>
      <c r="AX121" s="137" t="s">
        <v>432</v>
      </c>
      <c r="AY121" s="137" t="s">
        <v>432</v>
      </c>
      <c r="AZ121" s="137" t="s">
        <v>432</v>
      </c>
      <c r="BA121" s="137" t="s">
        <v>432</v>
      </c>
      <c r="BB121" s="879" t="str">
        <f t="shared" si="29"/>
        <v>geralx</v>
      </c>
      <c r="BC121" s="879" t="str">
        <f t="shared" si="30"/>
        <v>geralxx</v>
      </c>
      <c r="BD121" s="879" t="str">
        <f t="shared" si="31"/>
        <v>geralx</v>
      </c>
    </row>
    <row r="122" spans="1:56" s="3" customFormat="1" ht="25.5" customHeight="1" x14ac:dyDescent="0.25">
      <c r="A122" s="262" t="s">
        <v>432</v>
      </c>
      <c r="B122" s="252" t="s">
        <v>742</v>
      </c>
      <c r="C122" s="167" t="s">
        <v>432</v>
      </c>
      <c r="D122" s="968" t="s">
        <v>51</v>
      </c>
      <c r="E122" s="1496" t="s">
        <v>432</v>
      </c>
      <c r="F122" s="54" t="s">
        <v>52</v>
      </c>
      <c r="G122" s="167" t="s">
        <v>3879</v>
      </c>
      <c r="H122" s="173" t="s">
        <v>432</v>
      </c>
      <c r="I122" s="167" t="s">
        <v>432</v>
      </c>
      <c r="J122" s="107" t="s">
        <v>432</v>
      </c>
      <c r="K122" s="107" t="s">
        <v>432</v>
      </c>
      <c r="L122" s="107" t="s">
        <v>432</v>
      </c>
      <c r="M122" s="107" t="s">
        <v>432</v>
      </c>
      <c r="N122" s="107" t="s">
        <v>432</v>
      </c>
      <c r="O122" s="107" t="s">
        <v>432</v>
      </c>
      <c r="P122" s="107" t="s">
        <v>432</v>
      </c>
      <c r="Q122" s="107" t="s">
        <v>432</v>
      </c>
      <c r="R122" s="107" t="s">
        <v>432</v>
      </c>
      <c r="S122" s="109" t="s">
        <v>2209</v>
      </c>
      <c r="T122" s="107" t="s">
        <v>432</v>
      </c>
      <c r="U122" s="107" t="s">
        <v>432</v>
      </c>
      <c r="V122" s="109" t="s">
        <v>2209</v>
      </c>
      <c r="W122" s="107" t="s">
        <v>432</v>
      </c>
      <c r="X122" s="107" t="s">
        <v>432</v>
      </c>
      <c r="Y122" s="107" t="s">
        <v>432</v>
      </c>
      <c r="Z122" s="107" t="s">
        <v>432</v>
      </c>
      <c r="AA122" s="107" t="s">
        <v>432</v>
      </c>
      <c r="AB122" s="107" t="s">
        <v>432</v>
      </c>
      <c r="AC122" s="107" t="s">
        <v>432</v>
      </c>
      <c r="AD122" s="107" t="s">
        <v>432</v>
      </c>
      <c r="AE122" s="107" t="s">
        <v>432</v>
      </c>
      <c r="AF122" s="107" t="s">
        <v>432</v>
      </c>
      <c r="AG122" s="107" t="s">
        <v>432</v>
      </c>
      <c r="AH122" s="107" t="s">
        <v>432</v>
      </c>
      <c r="AI122" s="107" t="s">
        <v>432</v>
      </c>
      <c r="AJ122" s="107" t="s">
        <v>432</v>
      </c>
      <c r="AK122" s="137" t="s">
        <v>432</v>
      </c>
      <c r="AL122" s="600" t="s">
        <v>432</v>
      </c>
      <c r="AM122" s="137" t="s">
        <v>432</v>
      </c>
      <c r="AN122" s="137" t="s">
        <v>432</v>
      </c>
      <c r="AO122" s="137" t="s">
        <v>432</v>
      </c>
      <c r="AP122" s="137" t="s">
        <v>432</v>
      </c>
      <c r="AQ122" s="137" t="s">
        <v>432</v>
      </c>
      <c r="AR122" s="137" t="s">
        <v>432</v>
      </c>
      <c r="AS122" s="137" t="s">
        <v>432</v>
      </c>
      <c r="AT122" s="137" t="s">
        <v>432</v>
      </c>
      <c r="AU122" s="137" t="s">
        <v>432</v>
      </c>
      <c r="AV122" s="137" t="s">
        <v>432</v>
      </c>
      <c r="AW122" s="137" t="s">
        <v>432</v>
      </c>
      <c r="AX122" s="137" t="s">
        <v>432</v>
      </c>
      <c r="AY122" s="137" t="s">
        <v>432</v>
      </c>
      <c r="AZ122" s="137" t="s">
        <v>432</v>
      </c>
      <c r="BA122" s="137" t="s">
        <v>432</v>
      </c>
      <c r="BB122" s="879" t="str">
        <f t="shared" si="29"/>
        <v>geralx</v>
      </c>
      <c r="BC122" s="879" t="str">
        <f t="shared" si="30"/>
        <v>geralxx</v>
      </c>
      <c r="BD122" s="879" t="str">
        <f t="shared" si="31"/>
        <v>geralx</v>
      </c>
    </row>
    <row r="123" spans="1:56" s="3" customFormat="1" ht="42" customHeight="1" x14ac:dyDescent="0.25">
      <c r="A123" s="262" t="s">
        <v>432</v>
      </c>
      <c r="B123" s="252" t="s">
        <v>742</v>
      </c>
      <c r="C123" s="167" t="s">
        <v>432</v>
      </c>
      <c r="D123" s="1359" t="s">
        <v>4656</v>
      </c>
      <c r="E123" s="1496" t="s">
        <v>1767</v>
      </c>
      <c r="F123" s="1360" t="s">
        <v>4657</v>
      </c>
      <c r="G123" s="230" t="s">
        <v>3507</v>
      </c>
      <c r="H123" s="167" t="s">
        <v>2408</v>
      </c>
      <c r="I123" s="167" t="s">
        <v>432</v>
      </c>
      <c r="J123" s="107" t="s">
        <v>432</v>
      </c>
      <c r="K123" s="107" t="s">
        <v>432</v>
      </c>
      <c r="L123" s="107" t="s">
        <v>432</v>
      </c>
      <c r="M123" s="107" t="s">
        <v>432</v>
      </c>
      <c r="N123" s="107" t="s">
        <v>432</v>
      </c>
      <c r="O123" s="107" t="s">
        <v>432</v>
      </c>
      <c r="P123" s="107" t="s">
        <v>432</v>
      </c>
      <c r="Q123" s="107" t="s">
        <v>432</v>
      </c>
      <c r="R123" s="107" t="s">
        <v>432</v>
      </c>
      <c r="S123" s="109" t="s">
        <v>2209</v>
      </c>
      <c r="T123" s="107" t="s">
        <v>432</v>
      </c>
      <c r="U123" s="107" t="s">
        <v>432</v>
      </c>
      <c r="V123" s="109" t="s">
        <v>2209</v>
      </c>
      <c r="W123" s="107" t="s">
        <v>432</v>
      </c>
      <c r="X123" s="107" t="s">
        <v>432</v>
      </c>
      <c r="Y123" s="107" t="s">
        <v>432</v>
      </c>
      <c r="Z123" s="107" t="s">
        <v>432</v>
      </c>
      <c r="AA123" s="107" t="s">
        <v>432</v>
      </c>
      <c r="AB123" s="107" t="s">
        <v>432</v>
      </c>
      <c r="AC123" s="107" t="s">
        <v>432</v>
      </c>
      <c r="AD123" s="107" t="s">
        <v>432</v>
      </c>
      <c r="AE123" s="107" t="s">
        <v>432</v>
      </c>
      <c r="AF123" s="107" t="s">
        <v>432</v>
      </c>
      <c r="AG123" s="107" t="s">
        <v>432</v>
      </c>
      <c r="AH123" s="107" t="s">
        <v>432</v>
      </c>
      <c r="AI123" s="107" t="s">
        <v>432</v>
      </c>
      <c r="AJ123" s="107" t="s">
        <v>432</v>
      </c>
      <c r="AK123" s="137" t="s">
        <v>432</v>
      </c>
      <c r="AL123" s="600" t="s">
        <v>432</v>
      </c>
      <c r="AM123" s="137" t="s">
        <v>432</v>
      </c>
      <c r="AN123" s="137" t="s">
        <v>432</v>
      </c>
      <c r="AO123" s="137" t="s">
        <v>432</v>
      </c>
      <c r="AP123" s="137" t="s">
        <v>432</v>
      </c>
      <c r="AQ123" s="137" t="s">
        <v>432</v>
      </c>
      <c r="AR123" s="137" t="s">
        <v>432</v>
      </c>
      <c r="AS123" s="137" t="s">
        <v>432</v>
      </c>
      <c r="AT123" s="137" t="s">
        <v>432</v>
      </c>
      <c r="AU123" s="137" t="s">
        <v>432</v>
      </c>
      <c r="AV123" s="137" t="s">
        <v>432</v>
      </c>
      <c r="AW123" s="137" t="s">
        <v>432</v>
      </c>
      <c r="AX123" s="137" t="s">
        <v>432</v>
      </c>
      <c r="AY123" s="137" t="s">
        <v>432</v>
      </c>
      <c r="AZ123" s="137" t="s">
        <v>432</v>
      </c>
      <c r="BA123" s="137" t="s">
        <v>432</v>
      </c>
      <c r="BB123" s="879" t="str">
        <f t="shared" si="29"/>
        <v>geralx</v>
      </c>
      <c r="BC123" s="879" t="str">
        <f t="shared" si="30"/>
        <v>geralxsigla/verbete</v>
      </c>
      <c r="BD123" s="879" t="str">
        <f t="shared" si="31"/>
        <v>geralsigla/verbete</v>
      </c>
    </row>
    <row r="124" spans="1:56" s="3" customFormat="1" ht="30.75" customHeight="1" x14ac:dyDescent="0.25">
      <c r="A124" s="262" t="s">
        <v>432</v>
      </c>
      <c r="B124" s="252" t="s">
        <v>742</v>
      </c>
      <c r="C124" s="167" t="s">
        <v>432</v>
      </c>
      <c r="D124" s="1359" t="s">
        <v>4721</v>
      </c>
      <c r="E124" s="1496" t="s">
        <v>1767</v>
      </c>
      <c r="F124" s="1360" t="s">
        <v>4722</v>
      </c>
      <c r="G124" s="230" t="s">
        <v>3507</v>
      </c>
      <c r="H124" s="167" t="s">
        <v>2408</v>
      </c>
      <c r="I124" s="167" t="s">
        <v>432</v>
      </c>
      <c r="J124" s="107" t="s">
        <v>432</v>
      </c>
      <c r="K124" s="107" t="s">
        <v>432</v>
      </c>
      <c r="L124" s="107" t="s">
        <v>432</v>
      </c>
      <c r="M124" s="107" t="s">
        <v>432</v>
      </c>
      <c r="N124" s="107" t="s">
        <v>432</v>
      </c>
      <c r="O124" s="107" t="s">
        <v>432</v>
      </c>
      <c r="P124" s="107" t="s">
        <v>432</v>
      </c>
      <c r="Q124" s="107" t="s">
        <v>432</v>
      </c>
      <c r="R124" s="107" t="s">
        <v>432</v>
      </c>
      <c r="S124" s="109" t="s">
        <v>2209</v>
      </c>
      <c r="T124" s="107" t="s">
        <v>432</v>
      </c>
      <c r="U124" s="107" t="s">
        <v>432</v>
      </c>
      <c r="V124" s="109" t="s">
        <v>2209</v>
      </c>
      <c r="W124" s="107" t="s">
        <v>432</v>
      </c>
      <c r="X124" s="107" t="s">
        <v>432</v>
      </c>
      <c r="Y124" s="107" t="s">
        <v>432</v>
      </c>
      <c r="Z124" s="107" t="s">
        <v>432</v>
      </c>
      <c r="AA124" s="107" t="s">
        <v>432</v>
      </c>
      <c r="AB124" s="107" t="s">
        <v>432</v>
      </c>
      <c r="AC124" s="107" t="s">
        <v>432</v>
      </c>
      <c r="AD124" s="107" t="s">
        <v>432</v>
      </c>
      <c r="AE124" s="107" t="s">
        <v>432</v>
      </c>
      <c r="AF124" s="107" t="s">
        <v>432</v>
      </c>
      <c r="AG124" s="107" t="s">
        <v>432</v>
      </c>
      <c r="AH124" s="107" t="s">
        <v>432</v>
      </c>
      <c r="AI124" s="107" t="s">
        <v>432</v>
      </c>
      <c r="AJ124" s="107" t="s">
        <v>432</v>
      </c>
      <c r="AK124" s="137" t="s">
        <v>432</v>
      </c>
      <c r="AL124" s="600" t="s">
        <v>432</v>
      </c>
      <c r="AM124" s="137" t="s">
        <v>432</v>
      </c>
      <c r="AN124" s="137" t="s">
        <v>432</v>
      </c>
      <c r="AO124" s="137" t="s">
        <v>432</v>
      </c>
      <c r="AP124" s="137" t="s">
        <v>432</v>
      </c>
      <c r="AQ124" s="137" t="s">
        <v>432</v>
      </c>
      <c r="AR124" s="137" t="s">
        <v>432</v>
      </c>
      <c r="AS124" s="137" t="s">
        <v>432</v>
      </c>
      <c r="AT124" s="137" t="s">
        <v>432</v>
      </c>
      <c r="AU124" s="137" t="s">
        <v>432</v>
      </c>
      <c r="AV124" s="137" t="s">
        <v>432</v>
      </c>
      <c r="AW124" s="137" t="s">
        <v>432</v>
      </c>
      <c r="AX124" s="137" t="s">
        <v>432</v>
      </c>
      <c r="AY124" s="137" t="s">
        <v>432</v>
      </c>
      <c r="AZ124" s="137" t="s">
        <v>432</v>
      </c>
      <c r="BA124" s="137" t="s">
        <v>432</v>
      </c>
      <c r="BB124" s="879" t="str">
        <f t="shared" si="29"/>
        <v>geralx</v>
      </c>
      <c r="BC124" s="879" t="str">
        <f t="shared" si="30"/>
        <v>geralxsigla/verbete</v>
      </c>
      <c r="BD124" s="879" t="str">
        <f t="shared" si="31"/>
        <v>geralsigla/verbete</v>
      </c>
    </row>
    <row r="125" spans="1:56" s="3" customFormat="1" ht="28.5" customHeight="1" x14ac:dyDescent="0.25">
      <c r="A125" s="262" t="s">
        <v>432</v>
      </c>
      <c r="B125" s="252" t="s">
        <v>742</v>
      </c>
      <c r="C125" s="167" t="s">
        <v>432</v>
      </c>
      <c r="D125" s="1359" t="s">
        <v>4719</v>
      </c>
      <c r="E125" s="1496" t="s">
        <v>1767</v>
      </c>
      <c r="F125" s="1360" t="s">
        <v>4720</v>
      </c>
      <c r="G125" s="230" t="s">
        <v>3507</v>
      </c>
      <c r="H125" s="167" t="s">
        <v>2408</v>
      </c>
      <c r="I125" s="167" t="s">
        <v>432</v>
      </c>
      <c r="J125" s="107" t="s">
        <v>432</v>
      </c>
      <c r="K125" s="107" t="s">
        <v>432</v>
      </c>
      <c r="L125" s="107" t="s">
        <v>432</v>
      </c>
      <c r="M125" s="107" t="s">
        <v>432</v>
      </c>
      <c r="N125" s="107" t="s">
        <v>432</v>
      </c>
      <c r="O125" s="107" t="s">
        <v>432</v>
      </c>
      <c r="P125" s="107" t="s">
        <v>432</v>
      </c>
      <c r="Q125" s="107" t="s">
        <v>432</v>
      </c>
      <c r="R125" s="107" t="s">
        <v>432</v>
      </c>
      <c r="S125" s="109" t="s">
        <v>2209</v>
      </c>
      <c r="T125" s="107" t="s">
        <v>432</v>
      </c>
      <c r="U125" s="107" t="s">
        <v>432</v>
      </c>
      <c r="V125" s="109" t="s">
        <v>2209</v>
      </c>
      <c r="W125" s="107" t="s">
        <v>432</v>
      </c>
      <c r="X125" s="107" t="s">
        <v>432</v>
      </c>
      <c r="Y125" s="107" t="s">
        <v>432</v>
      </c>
      <c r="Z125" s="107" t="s">
        <v>432</v>
      </c>
      <c r="AA125" s="107" t="s">
        <v>432</v>
      </c>
      <c r="AB125" s="107" t="s">
        <v>432</v>
      </c>
      <c r="AC125" s="107" t="s">
        <v>432</v>
      </c>
      <c r="AD125" s="107" t="s">
        <v>432</v>
      </c>
      <c r="AE125" s="107" t="s">
        <v>432</v>
      </c>
      <c r="AF125" s="107" t="s">
        <v>432</v>
      </c>
      <c r="AG125" s="107" t="s">
        <v>432</v>
      </c>
      <c r="AH125" s="107" t="s">
        <v>432</v>
      </c>
      <c r="AI125" s="107" t="s">
        <v>432</v>
      </c>
      <c r="AJ125" s="107" t="s">
        <v>432</v>
      </c>
      <c r="AK125" s="137" t="s">
        <v>432</v>
      </c>
      <c r="AL125" s="600" t="s">
        <v>432</v>
      </c>
      <c r="AM125" s="137" t="s">
        <v>432</v>
      </c>
      <c r="AN125" s="137" t="s">
        <v>432</v>
      </c>
      <c r="AO125" s="137" t="s">
        <v>432</v>
      </c>
      <c r="AP125" s="137" t="s">
        <v>432</v>
      </c>
      <c r="AQ125" s="137" t="s">
        <v>432</v>
      </c>
      <c r="AR125" s="137" t="s">
        <v>432</v>
      </c>
      <c r="AS125" s="137" t="s">
        <v>432</v>
      </c>
      <c r="AT125" s="137" t="s">
        <v>432</v>
      </c>
      <c r="AU125" s="137" t="s">
        <v>432</v>
      </c>
      <c r="AV125" s="137" t="s">
        <v>432</v>
      </c>
      <c r="AW125" s="137" t="s">
        <v>432</v>
      </c>
      <c r="AX125" s="137" t="s">
        <v>432</v>
      </c>
      <c r="AY125" s="137" t="s">
        <v>432</v>
      </c>
      <c r="AZ125" s="137" t="s">
        <v>432</v>
      </c>
      <c r="BA125" s="137" t="s">
        <v>432</v>
      </c>
      <c r="BB125" s="879" t="str">
        <f t="shared" si="29"/>
        <v>geralx</v>
      </c>
      <c r="BC125" s="879" t="str">
        <f t="shared" si="30"/>
        <v>geralxsigla/verbete</v>
      </c>
      <c r="BD125" s="879" t="str">
        <f t="shared" si="31"/>
        <v>geralsigla/verbete</v>
      </c>
    </row>
    <row r="126" spans="1:56" s="3" customFormat="1" ht="31.5" customHeight="1" x14ac:dyDescent="0.25">
      <c r="A126" s="262" t="s">
        <v>432</v>
      </c>
      <c r="B126" s="252" t="s">
        <v>742</v>
      </c>
      <c r="C126" s="167" t="s">
        <v>432</v>
      </c>
      <c r="D126" s="1359" t="s">
        <v>4723</v>
      </c>
      <c r="E126" s="1496" t="s">
        <v>1767</v>
      </c>
      <c r="F126" s="1360" t="s">
        <v>4724</v>
      </c>
      <c r="G126" s="230" t="s">
        <v>3507</v>
      </c>
      <c r="H126" s="167" t="s">
        <v>2408</v>
      </c>
      <c r="I126" s="167" t="s">
        <v>432</v>
      </c>
      <c r="J126" s="107" t="s">
        <v>432</v>
      </c>
      <c r="K126" s="107" t="s">
        <v>432</v>
      </c>
      <c r="L126" s="107" t="s">
        <v>432</v>
      </c>
      <c r="M126" s="107" t="s">
        <v>432</v>
      </c>
      <c r="N126" s="107" t="s">
        <v>432</v>
      </c>
      <c r="O126" s="107" t="s">
        <v>432</v>
      </c>
      <c r="P126" s="107" t="s">
        <v>432</v>
      </c>
      <c r="Q126" s="107" t="s">
        <v>432</v>
      </c>
      <c r="R126" s="107" t="s">
        <v>432</v>
      </c>
      <c r="S126" s="109" t="s">
        <v>2209</v>
      </c>
      <c r="T126" s="107" t="s">
        <v>432</v>
      </c>
      <c r="U126" s="107" t="s">
        <v>432</v>
      </c>
      <c r="V126" s="109" t="s">
        <v>2209</v>
      </c>
      <c r="W126" s="107" t="s">
        <v>432</v>
      </c>
      <c r="X126" s="107" t="s">
        <v>432</v>
      </c>
      <c r="Y126" s="107" t="s">
        <v>432</v>
      </c>
      <c r="Z126" s="107" t="s">
        <v>432</v>
      </c>
      <c r="AA126" s="107" t="s">
        <v>432</v>
      </c>
      <c r="AB126" s="107" t="s">
        <v>432</v>
      </c>
      <c r="AC126" s="107" t="s">
        <v>432</v>
      </c>
      <c r="AD126" s="107" t="s">
        <v>432</v>
      </c>
      <c r="AE126" s="107" t="s">
        <v>432</v>
      </c>
      <c r="AF126" s="107" t="s">
        <v>432</v>
      </c>
      <c r="AG126" s="107" t="s">
        <v>432</v>
      </c>
      <c r="AH126" s="107" t="s">
        <v>432</v>
      </c>
      <c r="AI126" s="107" t="s">
        <v>432</v>
      </c>
      <c r="AJ126" s="107" t="s">
        <v>432</v>
      </c>
      <c r="AK126" s="137" t="s">
        <v>432</v>
      </c>
      <c r="AL126" s="600" t="s">
        <v>432</v>
      </c>
      <c r="AM126" s="137" t="s">
        <v>432</v>
      </c>
      <c r="AN126" s="137" t="s">
        <v>432</v>
      </c>
      <c r="AO126" s="137" t="s">
        <v>432</v>
      </c>
      <c r="AP126" s="137" t="s">
        <v>432</v>
      </c>
      <c r="AQ126" s="137" t="s">
        <v>432</v>
      </c>
      <c r="AR126" s="137" t="s">
        <v>432</v>
      </c>
      <c r="AS126" s="137" t="s">
        <v>432</v>
      </c>
      <c r="AT126" s="137" t="s">
        <v>432</v>
      </c>
      <c r="AU126" s="137" t="s">
        <v>432</v>
      </c>
      <c r="AV126" s="137" t="s">
        <v>432</v>
      </c>
      <c r="AW126" s="137" t="s">
        <v>432</v>
      </c>
      <c r="AX126" s="137" t="s">
        <v>432</v>
      </c>
      <c r="AY126" s="137" t="s">
        <v>432</v>
      </c>
      <c r="AZ126" s="137" t="s">
        <v>432</v>
      </c>
      <c r="BA126" s="137" t="s">
        <v>432</v>
      </c>
      <c r="BB126" s="879" t="str">
        <f t="shared" si="29"/>
        <v>geralx</v>
      </c>
      <c r="BC126" s="879" t="str">
        <f t="shared" si="30"/>
        <v>geralxsigla/verbete</v>
      </c>
      <c r="BD126" s="879" t="str">
        <f t="shared" si="31"/>
        <v>geralsigla/verbete</v>
      </c>
    </row>
    <row r="127" spans="1:56" s="3" customFormat="1" ht="15.75" customHeight="1" x14ac:dyDescent="0.25">
      <c r="A127" s="402"/>
      <c r="B127" s="399"/>
      <c r="C127" s="399"/>
      <c r="D127" s="970"/>
      <c r="E127" s="1495"/>
      <c r="F127" s="221"/>
      <c r="G127" s="221"/>
      <c r="H127" s="221"/>
      <c r="I127" s="399"/>
      <c r="J127" s="221"/>
      <c r="K127" s="221"/>
      <c r="L127" s="221"/>
      <c r="M127" s="221"/>
      <c r="N127" s="221"/>
      <c r="O127" s="221"/>
      <c r="P127" s="221"/>
      <c r="Q127" s="400"/>
      <c r="R127" s="400"/>
      <c r="S127" s="400"/>
      <c r="T127" s="400"/>
      <c r="U127" s="400"/>
      <c r="V127" s="400"/>
      <c r="W127" s="400"/>
      <c r="X127" s="400"/>
      <c r="Y127" s="400"/>
      <c r="Z127" s="400"/>
      <c r="AA127" s="400"/>
      <c r="AB127" s="400"/>
      <c r="AC127" s="400"/>
      <c r="AD127" s="400"/>
      <c r="AE127" s="400"/>
      <c r="AF127" s="400"/>
      <c r="AG127" s="400"/>
      <c r="AH127" s="400"/>
      <c r="AI127" s="400"/>
      <c r="AJ127" s="400"/>
      <c r="AK127" s="400"/>
      <c r="AL127" s="400"/>
      <c r="AM127" s="400"/>
      <c r="AN127" s="400"/>
      <c r="AO127" s="400"/>
      <c r="AP127" s="400"/>
      <c r="AQ127" s="400"/>
      <c r="AR127" s="400"/>
      <c r="AS127" s="400"/>
      <c r="AT127" s="400"/>
      <c r="AU127" s="400"/>
      <c r="AV127" s="400"/>
      <c r="AW127" s="400"/>
      <c r="AX127" s="400"/>
      <c r="AY127" s="400"/>
      <c r="AZ127" s="400"/>
      <c r="BA127" s="400"/>
      <c r="BB127" s="400"/>
      <c r="BC127" s="400"/>
      <c r="BD127" s="400"/>
    </row>
    <row r="128" spans="1:56" s="3" customFormat="1" ht="63" customHeight="1" x14ac:dyDescent="0.25">
      <c r="A128" s="262" t="s">
        <v>432</v>
      </c>
      <c r="B128" s="252" t="s">
        <v>742</v>
      </c>
      <c r="C128" s="167" t="s">
        <v>432</v>
      </c>
      <c r="D128" s="968" t="s">
        <v>53</v>
      </c>
      <c r="E128" s="1496" t="s">
        <v>432</v>
      </c>
      <c r="F128" s="53" t="s">
        <v>881</v>
      </c>
      <c r="G128" s="167" t="s">
        <v>3879</v>
      </c>
      <c r="H128" s="168" t="s">
        <v>432</v>
      </c>
      <c r="I128" s="167" t="s">
        <v>432</v>
      </c>
      <c r="J128" s="107" t="s">
        <v>432</v>
      </c>
      <c r="K128" s="107" t="s">
        <v>432</v>
      </c>
      <c r="L128" s="107" t="s">
        <v>432</v>
      </c>
      <c r="M128" s="107" t="s">
        <v>432</v>
      </c>
      <c r="N128" s="107" t="s">
        <v>432</v>
      </c>
      <c r="O128" s="107" t="s">
        <v>432</v>
      </c>
      <c r="P128" s="107" t="s">
        <v>432</v>
      </c>
      <c r="Q128" s="107" t="s">
        <v>432</v>
      </c>
      <c r="R128" s="107" t="s">
        <v>432</v>
      </c>
      <c r="S128" s="109" t="s">
        <v>2209</v>
      </c>
      <c r="T128" s="107" t="s">
        <v>432</v>
      </c>
      <c r="U128" s="107" t="s">
        <v>432</v>
      </c>
      <c r="V128" s="109" t="s">
        <v>2209</v>
      </c>
      <c r="W128" s="107" t="s">
        <v>432</v>
      </c>
      <c r="X128" s="107" t="s">
        <v>432</v>
      </c>
      <c r="Y128" s="107" t="s">
        <v>432</v>
      </c>
      <c r="Z128" s="107" t="s">
        <v>432</v>
      </c>
      <c r="AA128" s="107" t="s">
        <v>432</v>
      </c>
      <c r="AB128" s="107" t="s">
        <v>432</v>
      </c>
      <c r="AC128" s="107" t="s">
        <v>432</v>
      </c>
      <c r="AD128" s="107" t="s">
        <v>432</v>
      </c>
      <c r="AE128" s="107" t="s">
        <v>432</v>
      </c>
      <c r="AF128" s="107" t="s">
        <v>432</v>
      </c>
      <c r="AG128" s="107" t="s">
        <v>432</v>
      </c>
      <c r="AH128" s="107" t="s">
        <v>432</v>
      </c>
      <c r="AI128" s="107" t="s">
        <v>432</v>
      </c>
      <c r="AJ128" s="107" t="s">
        <v>432</v>
      </c>
      <c r="AK128" s="137" t="s">
        <v>432</v>
      </c>
      <c r="AL128" s="600" t="s">
        <v>432</v>
      </c>
      <c r="AM128" s="137" t="s">
        <v>432</v>
      </c>
      <c r="AN128" s="137" t="s">
        <v>432</v>
      </c>
      <c r="AO128" s="137" t="s">
        <v>432</v>
      </c>
      <c r="AP128" s="137" t="s">
        <v>432</v>
      </c>
      <c r="AQ128" s="137" t="s">
        <v>432</v>
      </c>
      <c r="AR128" s="137" t="s">
        <v>432</v>
      </c>
      <c r="AS128" s="137" t="s">
        <v>432</v>
      </c>
      <c r="AT128" s="137" t="s">
        <v>432</v>
      </c>
      <c r="AU128" s="137" t="s">
        <v>432</v>
      </c>
      <c r="AV128" s="137" t="s">
        <v>432</v>
      </c>
      <c r="AW128" s="137" t="s">
        <v>432</v>
      </c>
      <c r="AX128" s="137" t="s">
        <v>432</v>
      </c>
      <c r="AY128" s="137" t="s">
        <v>432</v>
      </c>
      <c r="AZ128" s="137" t="s">
        <v>432</v>
      </c>
      <c r="BA128" s="137" t="s">
        <v>432</v>
      </c>
      <c r="BB128" s="239" t="str">
        <f t="shared" ref="BB128:BB136" si="32">B128&amp;C128</f>
        <v>geralx</v>
      </c>
      <c r="BC128" s="239" t="str">
        <f t="shared" ref="BC128:BC136" si="33">B128&amp;C128&amp;H128</f>
        <v>geralxx</v>
      </c>
      <c r="BD128" s="239" t="str">
        <f t="shared" ref="BD128:BD136" si="34">B128&amp;H128</f>
        <v>geralx</v>
      </c>
    </row>
    <row r="129" spans="1:56" s="3" customFormat="1" ht="66.75" customHeight="1" x14ac:dyDescent="0.25">
      <c r="A129" s="262" t="s">
        <v>432</v>
      </c>
      <c r="B129" s="252" t="s">
        <v>742</v>
      </c>
      <c r="C129" s="167" t="s">
        <v>432</v>
      </c>
      <c r="D129" s="847" t="s">
        <v>54</v>
      </c>
      <c r="E129" s="1496" t="s">
        <v>432</v>
      </c>
      <c r="F129" s="53" t="s">
        <v>882</v>
      </c>
      <c r="G129" s="167" t="s">
        <v>3879</v>
      </c>
      <c r="H129" s="168" t="s">
        <v>432</v>
      </c>
      <c r="I129" s="167" t="s">
        <v>432</v>
      </c>
      <c r="J129" s="107" t="s">
        <v>432</v>
      </c>
      <c r="K129" s="107" t="s">
        <v>432</v>
      </c>
      <c r="L129" s="107" t="s">
        <v>432</v>
      </c>
      <c r="M129" s="107" t="s">
        <v>432</v>
      </c>
      <c r="N129" s="107" t="s">
        <v>432</v>
      </c>
      <c r="O129" s="107" t="s">
        <v>432</v>
      </c>
      <c r="P129" s="107" t="s">
        <v>432</v>
      </c>
      <c r="Q129" s="107" t="s">
        <v>432</v>
      </c>
      <c r="R129" s="107" t="s">
        <v>432</v>
      </c>
      <c r="S129" s="109" t="s">
        <v>2209</v>
      </c>
      <c r="T129" s="107" t="s">
        <v>432</v>
      </c>
      <c r="U129" s="107" t="s">
        <v>432</v>
      </c>
      <c r="V129" s="109" t="s">
        <v>2209</v>
      </c>
      <c r="W129" s="107" t="s">
        <v>432</v>
      </c>
      <c r="X129" s="107" t="s">
        <v>432</v>
      </c>
      <c r="Y129" s="107" t="s">
        <v>432</v>
      </c>
      <c r="Z129" s="107" t="s">
        <v>432</v>
      </c>
      <c r="AA129" s="107" t="s">
        <v>432</v>
      </c>
      <c r="AB129" s="107" t="s">
        <v>432</v>
      </c>
      <c r="AC129" s="107" t="s">
        <v>432</v>
      </c>
      <c r="AD129" s="107" t="s">
        <v>432</v>
      </c>
      <c r="AE129" s="107" t="s">
        <v>432</v>
      </c>
      <c r="AF129" s="107" t="s">
        <v>432</v>
      </c>
      <c r="AG129" s="107" t="s">
        <v>432</v>
      </c>
      <c r="AH129" s="107" t="s">
        <v>432</v>
      </c>
      <c r="AI129" s="107" t="s">
        <v>432</v>
      </c>
      <c r="AJ129" s="107" t="s">
        <v>432</v>
      </c>
      <c r="AK129" s="137" t="s">
        <v>432</v>
      </c>
      <c r="AL129" s="600" t="s">
        <v>432</v>
      </c>
      <c r="AM129" s="137" t="s">
        <v>432</v>
      </c>
      <c r="AN129" s="137" t="s">
        <v>432</v>
      </c>
      <c r="AO129" s="137" t="s">
        <v>432</v>
      </c>
      <c r="AP129" s="137" t="s">
        <v>432</v>
      </c>
      <c r="AQ129" s="137" t="s">
        <v>432</v>
      </c>
      <c r="AR129" s="137" t="s">
        <v>432</v>
      </c>
      <c r="AS129" s="137" t="s">
        <v>432</v>
      </c>
      <c r="AT129" s="137" t="s">
        <v>432</v>
      </c>
      <c r="AU129" s="137" t="s">
        <v>432</v>
      </c>
      <c r="AV129" s="137" t="s">
        <v>432</v>
      </c>
      <c r="AW129" s="137" t="s">
        <v>432</v>
      </c>
      <c r="AX129" s="137" t="s">
        <v>432</v>
      </c>
      <c r="AY129" s="137" t="s">
        <v>432</v>
      </c>
      <c r="AZ129" s="137" t="s">
        <v>432</v>
      </c>
      <c r="BA129" s="137" t="s">
        <v>432</v>
      </c>
      <c r="BB129" s="239" t="str">
        <f t="shared" si="32"/>
        <v>geralx</v>
      </c>
      <c r="BC129" s="239" t="str">
        <f t="shared" si="33"/>
        <v>geralxx</v>
      </c>
      <c r="BD129" s="239" t="str">
        <f t="shared" si="34"/>
        <v>geralx</v>
      </c>
    </row>
    <row r="130" spans="1:56" s="3" customFormat="1" ht="63.75" x14ac:dyDescent="0.2">
      <c r="A130" s="262" t="str">
        <f>'Q100b-totais'!B34</f>
        <v>3.9</v>
      </c>
      <c r="B130" s="252" t="str">
        <f>'Q100b-totais'!C34</f>
        <v>Verbetes gerais</v>
      </c>
      <c r="C130" s="167" t="s">
        <v>432</v>
      </c>
      <c r="D130" s="716" t="s">
        <v>4461</v>
      </c>
      <c r="E130" s="1499" t="s">
        <v>1298</v>
      </c>
      <c r="F130" s="1345" t="s">
        <v>4460</v>
      </c>
      <c r="G130" s="230" t="s">
        <v>3507</v>
      </c>
      <c r="H130" s="167" t="s">
        <v>2408</v>
      </c>
      <c r="I130" s="167" t="s">
        <v>432</v>
      </c>
      <c r="J130" s="107" t="s">
        <v>432</v>
      </c>
      <c r="K130" s="107" t="s">
        <v>432</v>
      </c>
      <c r="L130" s="107" t="s">
        <v>432</v>
      </c>
      <c r="M130" s="107" t="s">
        <v>432</v>
      </c>
      <c r="N130" s="107" t="s">
        <v>432</v>
      </c>
      <c r="O130" s="107" t="s">
        <v>432</v>
      </c>
      <c r="P130" s="107" t="s">
        <v>432</v>
      </c>
      <c r="Q130" s="107" t="s">
        <v>432</v>
      </c>
      <c r="R130" s="107" t="s">
        <v>432</v>
      </c>
      <c r="S130" s="109" t="s">
        <v>2209</v>
      </c>
      <c r="T130" s="107" t="s">
        <v>432</v>
      </c>
      <c r="U130" s="107" t="s">
        <v>432</v>
      </c>
      <c r="V130" s="109" t="s">
        <v>2209</v>
      </c>
      <c r="W130" s="107" t="s">
        <v>432</v>
      </c>
      <c r="X130" s="107" t="s">
        <v>432</v>
      </c>
      <c r="Y130" s="107" t="s">
        <v>432</v>
      </c>
      <c r="Z130" s="107" t="s">
        <v>432</v>
      </c>
      <c r="AA130" s="107" t="s">
        <v>432</v>
      </c>
      <c r="AB130" s="107" t="s">
        <v>432</v>
      </c>
      <c r="AC130" s="107" t="s">
        <v>432</v>
      </c>
      <c r="AD130" s="107" t="s">
        <v>432</v>
      </c>
      <c r="AE130" s="107" t="s">
        <v>432</v>
      </c>
      <c r="AF130" s="107" t="s">
        <v>432</v>
      </c>
      <c r="AG130" s="107" t="s">
        <v>432</v>
      </c>
      <c r="AH130" s="107" t="s">
        <v>432</v>
      </c>
      <c r="AI130" s="107" t="s">
        <v>432</v>
      </c>
      <c r="AJ130" s="107" t="s">
        <v>432</v>
      </c>
      <c r="AK130" s="107" t="s">
        <v>432</v>
      </c>
      <c r="AL130" s="600" t="s">
        <v>432</v>
      </c>
      <c r="AM130" s="137" t="s">
        <v>432</v>
      </c>
      <c r="AN130" s="137" t="s">
        <v>432</v>
      </c>
      <c r="AO130" s="137" t="s">
        <v>432</v>
      </c>
      <c r="AP130" s="137" t="s">
        <v>432</v>
      </c>
      <c r="AQ130" s="137" t="s">
        <v>432</v>
      </c>
      <c r="AR130" s="137" t="s">
        <v>432</v>
      </c>
      <c r="AS130" s="137" t="s">
        <v>432</v>
      </c>
      <c r="AT130" s="137" t="s">
        <v>432</v>
      </c>
      <c r="AU130" s="137" t="s">
        <v>432</v>
      </c>
      <c r="AV130" s="137" t="s">
        <v>432</v>
      </c>
      <c r="AW130" s="137" t="s">
        <v>432</v>
      </c>
      <c r="AX130" s="137" t="s">
        <v>432</v>
      </c>
      <c r="AY130" s="137" t="s">
        <v>432</v>
      </c>
      <c r="AZ130" s="137" t="s">
        <v>432</v>
      </c>
      <c r="BA130" s="137" t="s">
        <v>432</v>
      </c>
      <c r="BB130" s="239" t="str">
        <f t="shared" si="32"/>
        <v>Verbetes geraisx</v>
      </c>
      <c r="BC130" s="239" t="str">
        <f t="shared" si="33"/>
        <v>Verbetes geraisxsigla/verbete</v>
      </c>
      <c r="BD130" s="239" t="str">
        <f t="shared" si="34"/>
        <v>Verbetes geraissigla/verbete</v>
      </c>
    </row>
    <row r="131" spans="1:56" s="3" customFormat="1" ht="45" customHeight="1" x14ac:dyDescent="0.25">
      <c r="A131" s="262" t="s">
        <v>432</v>
      </c>
      <c r="B131" s="252" t="s">
        <v>742</v>
      </c>
      <c r="C131" s="167" t="s">
        <v>432</v>
      </c>
      <c r="D131" s="1367" t="s">
        <v>4737</v>
      </c>
      <c r="E131" s="1500" t="s">
        <v>1767</v>
      </c>
      <c r="F131" s="1368" t="s">
        <v>4738</v>
      </c>
      <c r="G131" s="230" t="s">
        <v>3507</v>
      </c>
      <c r="H131" s="167" t="s">
        <v>2408</v>
      </c>
      <c r="I131" s="167" t="s">
        <v>432</v>
      </c>
      <c r="J131" s="107" t="s">
        <v>432</v>
      </c>
      <c r="K131" s="107" t="s">
        <v>432</v>
      </c>
      <c r="L131" s="107" t="s">
        <v>432</v>
      </c>
      <c r="M131" s="107" t="s">
        <v>432</v>
      </c>
      <c r="N131" s="107" t="s">
        <v>432</v>
      </c>
      <c r="O131" s="107" t="s">
        <v>432</v>
      </c>
      <c r="P131" s="107" t="s">
        <v>432</v>
      </c>
      <c r="Q131" s="107" t="s">
        <v>432</v>
      </c>
      <c r="R131" s="107" t="s">
        <v>432</v>
      </c>
      <c r="S131" s="109" t="s">
        <v>2209</v>
      </c>
      <c r="T131" s="107" t="s">
        <v>432</v>
      </c>
      <c r="U131" s="107" t="s">
        <v>432</v>
      </c>
      <c r="V131" s="109" t="s">
        <v>2209</v>
      </c>
      <c r="W131" s="107" t="s">
        <v>432</v>
      </c>
      <c r="X131" s="107" t="s">
        <v>432</v>
      </c>
      <c r="Y131" s="107" t="s">
        <v>432</v>
      </c>
      <c r="Z131" s="107" t="s">
        <v>432</v>
      </c>
      <c r="AA131" s="107" t="s">
        <v>432</v>
      </c>
      <c r="AB131" s="107" t="s">
        <v>432</v>
      </c>
      <c r="AC131" s="107" t="s">
        <v>432</v>
      </c>
      <c r="AD131" s="107" t="s">
        <v>432</v>
      </c>
      <c r="AE131" s="107" t="s">
        <v>432</v>
      </c>
      <c r="AF131" s="107" t="s">
        <v>432</v>
      </c>
      <c r="AG131" s="107" t="s">
        <v>432</v>
      </c>
      <c r="AH131" s="107" t="s">
        <v>432</v>
      </c>
      <c r="AI131" s="107" t="s">
        <v>432</v>
      </c>
      <c r="AJ131" s="107" t="s">
        <v>432</v>
      </c>
      <c r="AK131" s="107" t="s">
        <v>432</v>
      </c>
      <c r="AL131" s="600" t="s">
        <v>432</v>
      </c>
      <c r="AM131" s="137" t="s">
        <v>432</v>
      </c>
      <c r="AN131" s="137" t="s">
        <v>432</v>
      </c>
      <c r="AO131" s="137" t="s">
        <v>432</v>
      </c>
      <c r="AP131" s="137" t="s">
        <v>432</v>
      </c>
      <c r="AQ131" s="137" t="s">
        <v>432</v>
      </c>
      <c r="AR131" s="137" t="s">
        <v>432</v>
      </c>
      <c r="AS131" s="137" t="s">
        <v>432</v>
      </c>
      <c r="AT131" s="137" t="s">
        <v>432</v>
      </c>
      <c r="AU131" s="137" t="s">
        <v>432</v>
      </c>
      <c r="AV131" s="137" t="s">
        <v>432</v>
      </c>
      <c r="AW131" s="137" t="s">
        <v>432</v>
      </c>
      <c r="AX131" s="137" t="s">
        <v>432</v>
      </c>
      <c r="AY131" s="137" t="s">
        <v>432</v>
      </c>
      <c r="AZ131" s="137" t="s">
        <v>432</v>
      </c>
      <c r="BA131" s="137" t="s">
        <v>432</v>
      </c>
      <c r="BB131" s="239" t="str">
        <f t="shared" si="32"/>
        <v>geralx</v>
      </c>
      <c r="BC131" s="239" t="str">
        <f t="shared" si="33"/>
        <v>geralxsigla/verbete</v>
      </c>
      <c r="BD131" s="239" t="str">
        <f t="shared" si="34"/>
        <v>geralsigla/verbete</v>
      </c>
    </row>
    <row r="132" spans="1:56" s="3" customFormat="1" ht="25.5" customHeight="1" x14ac:dyDescent="0.25">
      <c r="A132" s="262" t="s">
        <v>432</v>
      </c>
      <c r="B132" s="252" t="s">
        <v>742</v>
      </c>
      <c r="C132" s="167" t="s">
        <v>432</v>
      </c>
      <c r="D132" s="847" t="s">
        <v>1341</v>
      </c>
      <c r="E132" s="1496" t="s">
        <v>432</v>
      </c>
      <c r="F132" s="53" t="s">
        <v>4739</v>
      </c>
      <c r="G132" s="167" t="s">
        <v>3879</v>
      </c>
      <c r="H132" s="168" t="s">
        <v>432</v>
      </c>
      <c r="I132" s="167" t="s">
        <v>432</v>
      </c>
      <c r="J132" s="107" t="s">
        <v>432</v>
      </c>
      <c r="K132" s="107" t="s">
        <v>432</v>
      </c>
      <c r="L132" s="107" t="s">
        <v>432</v>
      </c>
      <c r="M132" s="107" t="s">
        <v>432</v>
      </c>
      <c r="N132" s="107" t="s">
        <v>432</v>
      </c>
      <c r="O132" s="107" t="s">
        <v>432</v>
      </c>
      <c r="P132" s="107" t="s">
        <v>432</v>
      </c>
      <c r="Q132" s="107" t="s">
        <v>432</v>
      </c>
      <c r="R132" s="107" t="s">
        <v>432</v>
      </c>
      <c r="S132" s="109" t="s">
        <v>2209</v>
      </c>
      <c r="T132" s="107" t="s">
        <v>432</v>
      </c>
      <c r="U132" s="107" t="s">
        <v>432</v>
      </c>
      <c r="V132" s="109" t="s">
        <v>2209</v>
      </c>
      <c r="W132" s="107" t="s">
        <v>432</v>
      </c>
      <c r="X132" s="107" t="s">
        <v>432</v>
      </c>
      <c r="Y132" s="107" t="s">
        <v>432</v>
      </c>
      <c r="Z132" s="107" t="s">
        <v>432</v>
      </c>
      <c r="AA132" s="107" t="s">
        <v>432</v>
      </c>
      <c r="AB132" s="107" t="s">
        <v>432</v>
      </c>
      <c r="AC132" s="107" t="s">
        <v>432</v>
      </c>
      <c r="AD132" s="107" t="s">
        <v>432</v>
      </c>
      <c r="AE132" s="107" t="s">
        <v>432</v>
      </c>
      <c r="AF132" s="107" t="s">
        <v>432</v>
      </c>
      <c r="AG132" s="107" t="s">
        <v>432</v>
      </c>
      <c r="AH132" s="107" t="s">
        <v>432</v>
      </c>
      <c r="AI132" s="107" t="s">
        <v>432</v>
      </c>
      <c r="AJ132" s="107" t="s">
        <v>432</v>
      </c>
      <c r="AK132" s="137" t="s">
        <v>432</v>
      </c>
      <c r="AL132" s="600" t="s">
        <v>432</v>
      </c>
      <c r="AM132" s="137" t="s">
        <v>432</v>
      </c>
      <c r="AN132" s="137" t="s">
        <v>432</v>
      </c>
      <c r="AO132" s="137" t="s">
        <v>432</v>
      </c>
      <c r="AP132" s="137" t="s">
        <v>432</v>
      </c>
      <c r="AQ132" s="137" t="s">
        <v>432</v>
      </c>
      <c r="AR132" s="137" t="s">
        <v>432</v>
      </c>
      <c r="AS132" s="137" t="s">
        <v>432</v>
      </c>
      <c r="AT132" s="137" t="s">
        <v>432</v>
      </c>
      <c r="AU132" s="137" t="s">
        <v>432</v>
      </c>
      <c r="AV132" s="137" t="s">
        <v>432</v>
      </c>
      <c r="AW132" s="137" t="s">
        <v>432</v>
      </c>
      <c r="AX132" s="137" t="s">
        <v>432</v>
      </c>
      <c r="AY132" s="137" t="s">
        <v>432</v>
      </c>
      <c r="AZ132" s="137" t="s">
        <v>432</v>
      </c>
      <c r="BA132" s="137" t="s">
        <v>432</v>
      </c>
      <c r="BB132" s="239" t="str">
        <f t="shared" si="32"/>
        <v>geralx</v>
      </c>
      <c r="BC132" s="239" t="str">
        <f t="shared" si="33"/>
        <v>geralxx</v>
      </c>
      <c r="BD132" s="239" t="str">
        <f t="shared" si="34"/>
        <v>geralx</v>
      </c>
    </row>
    <row r="133" spans="1:56" s="3" customFormat="1" ht="117" customHeight="1" x14ac:dyDescent="0.25">
      <c r="A133" s="262" t="s">
        <v>432</v>
      </c>
      <c r="B133" s="252" t="s">
        <v>742</v>
      </c>
      <c r="C133" s="167" t="s">
        <v>743</v>
      </c>
      <c r="D133" s="847" t="s">
        <v>4651</v>
      </c>
      <c r="E133" s="1496" t="s">
        <v>1767</v>
      </c>
      <c r="F133" s="53" t="s">
        <v>4725</v>
      </c>
      <c r="G133" s="230" t="s">
        <v>3507</v>
      </c>
      <c r="H133" s="167" t="s">
        <v>2408</v>
      </c>
      <c r="I133" s="167" t="s">
        <v>432</v>
      </c>
      <c r="J133" s="107" t="s">
        <v>432</v>
      </c>
      <c r="K133" s="107" t="s">
        <v>432</v>
      </c>
      <c r="L133" s="107" t="s">
        <v>432</v>
      </c>
      <c r="M133" s="107" t="s">
        <v>432</v>
      </c>
      <c r="N133" s="107" t="s">
        <v>432</v>
      </c>
      <c r="O133" s="107" t="s">
        <v>432</v>
      </c>
      <c r="P133" s="107" t="s">
        <v>432</v>
      </c>
      <c r="Q133" s="107" t="s">
        <v>432</v>
      </c>
      <c r="R133" s="107" t="s">
        <v>432</v>
      </c>
      <c r="S133" s="109" t="s">
        <v>2209</v>
      </c>
      <c r="T133" s="107" t="s">
        <v>432</v>
      </c>
      <c r="U133" s="107" t="s">
        <v>432</v>
      </c>
      <c r="V133" s="109" t="s">
        <v>2209</v>
      </c>
      <c r="W133" s="107" t="s">
        <v>432</v>
      </c>
      <c r="X133" s="107" t="s">
        <v>432</v>
      </c>
      <c r="Y133" s="107" t="s">
        <v>432</v>
      </c>
      <c r="Z133" s="107" t="s">
        <v>432</v>
      </c>
      <c r="AA133" s="107" t="s">
        <v>432</v>
      </c>
      <c r="AB133" s="107" t="s">
        <v>432</v>
      </c>
      <c r="AC133" s="107" t="s">
        <v>432</v>
      </c>
      <c r="AD133" s="107" t="s">
        <v>432</v>
      </c>
      <c r="AE133" s="107" t="s">
        <v>432</v>
      </c>
      <c r="AF133" s="107" t="s">
        <v>432</v>
      </c>
      <c r="AG133" s="107" t="s">
        <v>432</v>
      </c>
      <c r="AH133" s="107" t="s">
        <v>432</v>
      </c>
      <c r="AI133" s="107" t="s">
        <v>432</v>
      </c>
      <c r="AJ133" s="107" t="s">
        <v>432</v>
      </c>
      <c r="AK133" s="137" t="s">
        <v>432</v>
      </c>
      <c r="AL133" s="600" t="s">
        <v>432</v>
      </c>
      <c r="AM133" s="137" t="s">
        <v>432</v>
      </c>
      <c r="AN133" s="137" t="s">
        <v>432</v>
      </c>
      <c r="AO133" s="137" t="s">
        <v>432</v>
      </c>
      <c r="AP133" s="137" t="s">
        <v>432</v>
      </c>
      <c r="AQ133" s="137" t="s">
        <v>432</v>
      </c>
      <c r="AR133" s="137" t="s">
        <v>432</v>
      </c>
      <c r="AS133" s="137" t="s">
        <v>432</v>
      </c>
      <c r="AT133" s="137" t="s">
        <v>432</v>
      </c>
      <c r="AU133" s="137" t="s">
        <v>432</v>
      </c>
      <c r="AV133" s="137" t="s">
        <v>432</v>
      </c>
      <c r="AW133" s="137" t="s">
        <v>432</v>
      </c>
      <c r="AX133" s="137" t="s">
        <v>432</v>
      </c>
      <c r="AY133" s="137" t="s">
        <v>432</v>
      </c>
      <c r="AZ133" s="137" t="s">
        <v>432</v>
      </c>
      <c r="BA133" s="137" t="s">
        <v>432</v>
      </c>
      <c r="BB133" s="239" t="str">
        <f t="shared" si="32"/>
        <v>geralacessibilidade</v>
      </c>
      <c r="BC133" s="239" t="str">
        <f t="shared" si="33"/>
        <v>geralacessibilidadesigla/verbete</v>
      </c>
      <c r="BD133" s="239" t="str">
        <f t="shared" si="34"/>
        <v>geralsigla/verbete</v>
      </c>
    </row>
    <row r="134" spans="1:56" s="3" customFormat="1" ht="73.5" customHeight="1" x14ac:dyDescent="0.25">
      <c r="A134" s="275" t="str">
        <f>'Q100b-totais'!$B$10</f>
        <v>1.1</v>
      </c>
      <c r="B134" s="252" t="str">
        <f>'Q100b-totais'!$C$10</f>
        <v>Ações educativas</v>
      </c>
      <c r="C134" s="167" t="s">
        <v>432</v>
      </c>
      <c r="D134" s="377" t="s">
        <v>55</v>
      </c>
      <c r="E134" s="1501" t="s">
        <v>1306</v>
      </c>
      <c r="F134" s="355" t="s">
        <v>4131</v>
      </c>
      <c r="G134" s="110" t="s">
        <v>675</v>
      </c>
      <c r="H134" s="167" t="s">
        <v>432</v>
      </c>
      <c r="I134" s="167">
        <v>1</v>
      </c>
      <c r="J134" s="107" t="s">
        <v>432</v>
      </c>
      <c r="K134" s="93" t="s">
        <v>432</v>
      </c>
      <c r="L134" s="93" t="s">
        <v>432</v>
      </c>
      <c r="M134" s="93" t="s">
        <v>432</v>
      </c>
      <c r="N134" s="93" t="s">
        <v>432</v>
      </c>
      <c r="O134" s="93" t="s">
        <v>432</v>
      </c>
      <c r="P134" s="93" t="s">
        <v>432</v>
      </c>
      <c r="Q134" s="93" t="s">
        <v>432</v>
      </c>
      <c r="R134" s="93" t="s">
        <v>432</v>
      </c>
      <c r="S134" s="109" t="s">
        <v>2209</v>
      </c>
      <c r="T134" s="93" t="s">
        <v>432</v>
      </c>
      <c r="U134" s="93" t="s">
        <v>432</v>
      </c>
      <c r="V134" s="109" t="s">
        <v>2209</v>
      </c>
      <c r="W134" s="93" t="s">
        <v>432</v>
      </c>
      <c r="X134" s="93" t="s">
        <v>432</v>
      </c>
      <c r="Y134" s="93" t="s">
        <v>432</v>
      </c>
      <c r="Z134" s="93" t="s">
        <v>432</v>
      </c>
      <c r="AA134" s="87">
        <v>34158</v>
      </c>
      <c r="AB134" s="87">
        <v>43961</v>
      </c>
      <c r="AC134" s="87">
        <v>52009</v>
      </c>
      <c r="AD134" s="87">
        <v>58035</v>
      </c>
      <c r="AE134" s="87">
        <v>61717</v>
      </c>
      <c r="AF134" s="87">
        <v>46634</v>
      </c>
      <c r="AG134" s="87">
        <v>49478</v>
      </c>
      <c r="AH134" s="87">
        <v>55910</v>
      </c>
      <c r="AI134" s="87">
        <v>76460</v>
      </c>
      <c r="AJ134" s="86">
        <v>58621</v>
      </c>
      <c r="AK134" s="87">
        <v>45888</v>
      </c>
      <c r="AL134" s="600" t="s">
        <v>432</v>
      </c>
      <c r="AM134" s="137" t="s">
        <v>432</v>
      </c>
      <c r="AN134" s="137" t="s">
        <v>432</v>
      </c>
      <c r="AO134" s="137" t="s">
        <v>432</v>
      </c>
      <c r="AP134" s="137" t="s">
        <v>432</v>
      </c>
      <c r="AQ134" s="137" t="s">
        <v>432</v>
      </c>
      <c r="AR134" s="137" t="s">
        <v>432</v>
      </c>
      <c r="AS134" s="137" t="s">
        <v>432</v>
      </c>
      <c r="AT134" s="137" t="s">
        <v>432</v>
      </c>
      <c r="AU134" s="137" t="s">
        <v>432</v>
      </c>
      <c r="AV134" s="137" t="s">
        <v>432</v>
      </c>
      <c r="AW134" s="137" t="s">
        <v>432</v>
      </c>
      <c r="AX134" s="137" t="s">
        <v>432</v>
      </c>
      <c r="AY134" s="137" t="s">
        <v>432</v>
      </c>
      <c r="AZ134" s="137" t="s">
        <v>432</v>
      </c>
      <c r="BA134" s="137" t="s">
        <v>432</v>
      </c>
      <c r="BB134" s="239" t="str">
        <f t="shared" si="32"/>
        <v>Ações educativasx</v>
      </c>
      <c r="BC134" s="239" t="str">
        <f t="shared" si="33"/>
        <v>Ações educativasxx</v>
      </c>
      <c r="BD134" s="239" t="str">
        <f t="shared" si="34"/>
        <v>Ações educativasx</v>
      </c>
    </row>
    <row r="135" spans="1:56" s="3" customFormat="1" ht="38.25" x14ac:dyDescent="0.25">
      <c r="A135" s="262" t="str">
        <f>'Q100b-totais'!B22</f>
        <v>2.7</v>
      </c>
      <c r="B135" s="252" t="str">
        <f>'Q100b-totais'!C22</f>
        <v>Outras cidades/regiões</v>
      </c>
      <c r="C135" s="167" t="s">
        <v>743</v>
      </c>
      <c r="D135" s="1570" t="s">
        <v>6323</v>
      </c>
      <c r="E135" s="1499" t="s">
        <v>6323</v>
      </c>
      <c r="F135" s="252" t="s">
        <v>6339</v>
      </c>
      <c r="G135" s="230" t="s">
        <v>3507</v>
      </c>
      <c r="H135" s="167" t="s">
        <v>2408</v>
      </c>
      <c r="I135" s="167" t="s">
        <v>432</v>
      </c>
      <c r="J135" s="107" t="s">
        <v>432</v>
      </c>
      <c r="K135" s="107" t="s">
        <v>432</v>
      </c>
      <c r="L135" s="107" t="s">
        <v>432</v>
      </c>
      <c r="M135" s="107" t="s">
        <v>432</v>
      </c>
      <c r="N135" s="107" t="s">
        <v>432</v>
      </c>
      <c r="O135" s="107" t="s">
        <v>432</v>
      </c>
      <c r="P135" s="107" t="s">
        <v>432</v>
      </c>
      <c r="Q135" s="107" t="s">
        <v>432</v>
      </c>
      <c r="R135" s="107" t="s">
        <v>432</v>
      </c>
      <c r="S135" s="109" t="s">
        <v>2209</v>
      </c>
      <c r="T135" s="107" t="s">
        <v>432</v>
      </c>
      <c r="U135" s="107" t="s">
        <v>432</v>
      </c>
      <c r="V135" s="109" t="s">
        <v>2209</v>
      </c>
      <c r="W135" s="107" t="s">
        <v>432</v>
      </c>
      <c r="X135" s="107" t="s">
        <v>432</v>
      </c>
      <c r="Y135" s="107" t="s">
        <v>432</v>
      </c>
      <c r="Z135" s="107" t="s">
        <v>432</v>
      </c>
      <c r="AA135" s="107" t="s">
        <v>432</v>
      </c>
      <c r="AB135" s="107" t="s">
        <v>432</v>
      </c>
      <c r="AC135" s="107" t="s">
        <v>432</v>
      </c>
      <c r="AD135" s="107" t="s">
        <v>432</v>
      </c>
      <c r="AE135" s="107" t="s">
        <v>432</v>
      </c>
      <c r="AF135" s="107" t="s">
        <v>432</v>
      </c>
      <c r="AG135" s="107" t="s">
        <v>432</v>
      </c>
      <c r="AH135" s="107" t="s">
        <v>432</v>
      </c>
      <c r="AI135" s="107" t="s">
        <v>432</v>
      </c>
      <c r="AJ135" s="107" t="s">
        <v>432</v>
      </c>
      <c r="AK135" s="137" t="s">
        <v>432</v>
      </c>
      <c r="AL135" s="600" t="s">
        <v>432</v>
      </c>
      <c r="AM135" s="137" t="s">
        <v>432</v>
      </c>
      <c r="AN135" s="137" t="s">
        <v>432</v>
      </c>
      <c r="AO135" s="137" t="s">
        <v>432</v>
      </c>
      <c r="AP135" s="137" t="s">
        <v>432</v>
      </c>
      <c r="AQ135" s="137" t="s">
        <v>432</v>
      </c>
      <c r="AR135" s="137" t="s">
        <v>432</v>
      </c>
      <c r="AS135" s="137" t="s">
        <v>432</v>
      </c>
      <c r="AT135" s="137" t="s">
        <v>432</v>
      </c>
      <c r="AU135" s="137" t="s">
        <v>432</v>
      </c>
      <c r="AV135" s="137" t="s">
        <v>432</v>
      </c>
      <c r="AW135" s="137" t="s">
        <v>432</v>
      </c>
      <c r="AX135" s="137" t="s">
        <v>432</v>
      </c>
      <c r="AY135" s="137" t="s">
        <v>432</v>
      </c>
      <c r="AZ135" s="137" t="s">
        <v>432</v>
      </c>
      <c r="BA135" s="137" t="s">
        <v>432</v>
      </c>
      <c r="BB135" s="239" t="str">
        <f t="shared" si="32"/>
        <v>Outras cidades/regiõesacessibilidade</v>
      </c>
      <c r="BC135" s="239" t="str">
        <f t="shared" si="33"/>
        <v>Outras cidades/regiõesacessibilidadesigla/verbete</v>
      </c>
      <c r="BD135" s="239" t="str">
        <f t="shared" si="34"/>
        <v>Outras cidades/regiõessigla/verbete</v>
      </c>
    </row>
    <row r="136" spans="1:56" s="521" customFormat="1" ht="84.75" customHeight="1" x14ac:dyDescent="0.25">
      <c r="A136" s="262" t="s">
        <v>432</v>
      </c>
      <c r="B136" s="252" t="s">
        <v>742</v>
      </c>
      <c r="C136" s="167" t="s">
        <v>432</v>
      </c>
      <c r="D136" s="325" t="s">
        <v>1405</v>
      </c>
      <c r="E136" s="1445" t="s">
        <v>432</v>
      </c>
      <c r="F136" s="252" t="s">
        <v>2636</v>
      </c>
      <c r="G136" s="167" t="s">
        <v>3879</v>
      </c>
      <c r="H136" s="168" t="s">
        <v>432</v>
      </c>
      <c r="I136" s="167" t="s">
        <v>432</v>
      </c>
      <c r="J136" s="107" t="s">
        <v>432</v>
      </c>
      <c r="K136" s="107" t="s">
        <v>432</v>
      </c>
      <c r="L136" s="107" t="s">
        <v>432</v>
      </c>
      <c r="M136" s="107" t="s">
        <v>432</v>
      </c>
      <c r="N136" s="107" t="s">
        <v>432</v>
      </c>
      <c r="O136" s="107" t="s">
        <v>432</v>
      </c>
      <c r="P136" s="107" t="s">
        <v>432</v>
      </c>
      <c r="Q136" s="107" t="s">
        <v>432</v>
      </c>
      <c r="R136" s="107" t="s">
        <v>432</v>
      </c>
      <c r="S136" s="109" t="s">
        <v>2209</v>
      </c>
      <c r="T136" s="107" t="s">
        <v>432</v>
      </c>
      <c r="U136" s="107" t="s">
        <v>432</v>
      </c>
      <c r="V136" s="109" t="s">
        <v>2209</v>
      </c>
      <c r="W136" s="107" t="s">
        <v>432</v>
      </c>
      <c r="X136" s="107" t="s">
        <v>432</v>
      </c>
      <c r="Y136" s="107" t="s">
        <v>432</v>
      </c>
      <c r="Z136" s="107" t="s">
        <v>432</v>
      </c>
      <c r="AA136" s="107" t="s">
        <v>432</v>
      </c>
      <c r="AB136" s="107" t="s">
        <v>432</v>
      </c>
      <c r="AC136" s="107" t="s">
        <v>432</v>
      </c>
      <c r="AD136" s="107" t="s">
        <v>432</v>
      </c>
      <c r="AE136" s="107" t="s">
        <v>432</v>
      </c>
      <c r="AF136" s="107" t="s">
        <v>432</v>
      </c>
      <c r="AG136" s="107" t="s">
        <v>432</v>
      </c>
      <c r="AH136" s="107" t="s">
        <v>432</v>
      </c>
      <c r="AI136" s="107" t="s">
        <v>432</v>
      </c>
      <c r="AJ136" s="107" t="s">
        <v>432</v>
      </c>
      <c r="AK136" s="137" t="s">
        <v>432</v>
      </c>
      <c r="AL136" s="600" t="s">
        <v>432</v>
      </c>
      <c r="AM136" s="137" t="s">
        <v>432</v>
      </c>
      <c r="AN136" s="137" t="s">
        <v>432</v>
      </c>
      <c r="AO136" s="137" t="s">
        <v>432</v>
      </c>
      <c r="AP136" s="137" t="s">
        <v>432</v>
      </c>
      <c r="AQ136" s="137" t="s">
        <v>432</v>
      </c>
      <c r="AR136" s="137" t="s">
        <v>432</v>
      </c>
      <c r="AS136" s="137" t="s">
        <v>432</v>
      </c>
      <c r="AT136" s="137" t="s">
        <v>432</v>
      </c>
      <c r="AU136" s="137" t="s">
        <v>432</v>
      </c>
      <c r="AV136" s="137" t="s">
        <v>432</v>
      </c>
      <c r="AW136" s="137" t="s">
        <v>432</v>
      </c>
      <c r="AX136" s="137" t="s">
        <v>432</v>
      </c>
      <c r="AY136" s="137" t="s">
        <v>432</v>
      </c>
      <c r="AZ136" s="137" t="s">
        <v>432</v>
      </c>
      <c r="BA136" s="137" t="s">
        <v>432</v>
      </c>
      <c r="BB136" s="239" t="str">
        <f t="shared" si="32"/>
        <v>geralx</v>
      </c>
      <c r="BC136" s="239" t="str">
        <f t="shared" si="33"/>
        <v>geralxx</v>
      </c>
      <c r="BD136" s="239" t="str">
        <f t="shared" si="34"/>
        <v>geralx</v>
      </c>
    </row>
    <row r="137" spans="1:56" s="3" customFormat="1" ht="15.75" customHeight="1" x14ac:dyDescent="0.25">
      <c r="A137" s="402"/>
      <c r="B137" s="399"/>
      <c r="C137" s="399"/>
      <c r="D137" s="970"/>
      <c r="E137" s="1495"/>
      <c r="F137" s="221"/>
      <c r="G137" s="221"/>
      <c r="H137" s="221"/>
      <c r="I137" s="399"/>
      <c r="J137" s="221"/>
      <c r="K137" s="221"/>
      <c r="L137" s="221"/>
      <c r="M137" s="221"/>
      <c r="N137" s="221"/>
      <c r="O137" s="221"/>
      <c r="P137" s="221"/>
      <c r="Q137" s="221"/>
      <c r="R137" s="221"/>
      <c r="S137" s="109" t="s">
        <v>2209</v>
      </c>
      <c r="T137" s="221"/>
      <c r="U137" s="221"/>
      <c r="V137" s="109" t="s">
        <v>2209</v>
      </c>
      <c r="W137" s="221"/>
      <c r="X137" s="221"/>
      <c r="Y137" s="221"/>
      <c r="Z137" s="221"/>
      <c r="AA137" s="221"/>
      <c r="AB137" s="221"/>
      <c r="AC137" s="221"/>
      <c r="AD137" s="221"/>
      <c r="AE137" s="221"/>
      <c r="AF137" s="221"/>
      <c r="AG137" s="221"/>
      <c r="AH137" s="221"/>
      <c r="AI137" s="221"/>
      <c r="AJ137" s="221"/>
      <c r="AK137" s="223"/>
      <c r="AL137" s="600" t="s">
        <v>432</v>
      </c>
      <c r="AM137" s="223"/>
      <c r="AN137" s="223"/>
      <c r="AO137" s="223"/>
      <c r="AP137" s="223"/>
      <c r="AQ137" s="223"/>
      <c r="AR137" s="223"/>
      <c r="AS137" s="223"/>
      <c r="AT137" s="223"/>
      <c r="AU137" s="223"/>
      <c r="AV137" s="223"/>
      <c r="AW137" s="137" t="s">
        <v>432</v>
      </c>
      <c r="AX137" s="223"/>
      <c r="AY137" s="223"/>
      <c r="AZ137" s="223"/>
      <c r="BA137" s="223"/>
      <c r="BB137" s="400"/>
      <c r="BC137" s="400"/>
      <c r="BD137" s="400"/>
    </row>
    <row r="138" spans="1:56" s="3" customFormat="1" ht="78.75" customHeight="1" x14ac:dyDescent="0.25">
      <c r="A138" s="275" t="str">
        <f>'Q100b-totais'!$B$10</f>
        <v>1.1</v>
      </c>
      <c r="B138" s="252" t="str">
        <f>'Q100b-totais'!$C$10</f>
        <v>Ações educativas</v>
      </c>
      <c r="C138" s="167" t="s">
        <v>432</v>
      </c>
      <c r="D138" s="325" t="s">
        <v>56</v>
      </c>
      <c r="E138" s="1445" t="s">
        <v>1306</v>
      </c>
      <c r="F138" s="12" t="s">
        <v>4132</v>
      </c>
      <c r="G138" s="110" t="s">
        <v>77</v>
      </c>
      <c r="H138" s="167" t="s">
        <v>432</v>
      </c>
      <c r="I138" s="167">
        <v>1</v>
      </c>
      <c r="J138" s="107" t="s">
        <v>432</v>
      </c>
      <c r="K138" s="93" t="s">
        <v>432</v>
      </c>
      <c r="L138" s="93" t="s">
        <v>432</v>
      </c>
      <c r="M138" s="93" t="s">
        <v>432</v>
      </c>
      <c r="N138" s="93" t="s">
        <v>432</v>
      </c>
      <c r="O138" s="93" t="s">
        <v>432</v>
      </c>
      <c r="P138" s="93" t="s">
        <v>432</v>
      </c>
      <c r="Q138" s="93" t="s">
        <v>432</v>
      </c>
      <c r="R138" s="93" t="s">
        <v>432</v>
      </c>
      <c r="S138" s="109" t="s">
        <v>2209</v>
      </c>
      <c r="T138" s="93" t="s">
        <v>432</v>
      </c>
      <c r="U138" s="93" t="s">
        <v>432</v>
      </c>
      <c r="V138" s="109" t="s">
        <v>2209</v>
      </c>
      <c r="W138" s="93" t="s">
        <v>432</v>
      </c>
      <c r="X138" s="93" t="s">
        <v>432</v>
      </c>
      <c r="Y138" s="93" t="s">
        <v>432</v>
      </c>
      <c r="Z138" s="93" t="s">
        <v>432</v>
      </c>
      <c r="AA138" s="87" t="s">
        <v>432</v>
      </c>
      <c r="AB138" s="87" t="s">
        <v>432</v>
      </c>
      <c r="AC138" s="87" t="s">
        <v>432</v>
      </c>
      <c r="AD138" s="87" t="s">
        <v>432</v>
      </c>
      <c r="AE138" s="87" t="s">
        <v>432</v>
      </c>
      <c r="AF138" s="87">
        <v>810</v>
      </c>
      <c r="AG138" s="87">
        <v>5496</v>
      </c>
      <c r="AH138" s="87">
        <v>7666</v>
      </c>
      <c r="AI138" s="87">
        <v>21264</v>
      </c>
      <c r="AJ138" s="86">
        <v>18582</v>
      </c>
      <c r="AK138" s="87">
        <v>21539</v>
      </c>
      <c r="AL138" s="600" t="s">
        <v>432</v>
      </c>
      <c r="AM138" s="137" t="s">
        <v>432</v>
      </c>
      <c r="AN138" s="137" t="s">
        <v>432</v>
      </c>
      <c r="AO138" s="137" t="s">
        <v>432</v>
      </c>
      <c r="AP138" s="137" t="s">
        <v>432</v>
      </c>
      <c r="AQ138" s="137" t="s">
        <v>432</v>
      </c>
      <c r="AR138" s="137" t="s">
        <v>432</v>
      </c>
      <c r="AS138" s="137" t="s">
        <v>432</v>
      </c>
      <c r="AT138" s="137" t="s">
        <v>432</v>
      </c>
      <c r="AU138" s="137" t="s">
        <v>432</v>
      </c>
      <c r="AV138" s="137" t="s">
        <v>432</v>
      </c>
      <c r="AW138" s="137" t="s">
        <v>432</v>
      </c>
      <c r="AX138" s="137" t="s">
        <v>432</v>
      </c>
      <c r="AY138" s="137" t="s">
        <v>432</v>
      </c>
      <c r="AZ138" s="137" t="s">
        <v>432</v>
      </c>
      <c r="BA138" s="137" t="s">
        <v>432</v>
      </c>
      <c r="BB138" s="239" t="str">
        <f>B138&amp;C138</f>
        <v>Ações educativasx</v>
      </c>
      <c r="BC138" s="239" t="str">
        <f>B138&amp;C138&amp;H138</f>
        <v>Ações educativasxx</v>
      </c>
      <c r="BD138" s="239" t="str">
        <f>B138&amp;H138</f>
        <v>Ações educativasx</v>
      </c>
    </row>
    <row r="139" spans="1:56" s="3" customFormat="1" ht="78.75" customHeight="1" x14ac:dyDescent="0.25">
      <c r="A139" s="275" t="str">
        <f>'Q100b-totais'!$B$68</f>
        <v>9.5</v>
      </c>
      <c r="B139" s="252" t="s">
        <v>627</v>
      </c>
      <c r="C139" s="167" t="s">
        <v>432</v>
      </c>
      <c r="D139" s="325" t="s">
        <v>908</v>
      </c>
      <c r="E139" s="1445" t="s">
        <v>432</v>
      </c>
      <c r="F139" s="183" t="s">
        <v>2804</v>
      </c>
      <c r="G139" s="167" t="s">
        <v>3719</v>
      </c>
      <c r="H139" s="168" t="s">
        <v>2408</v>
      </c>
      <c r="I139" s="167" t="s">
        <v>432</v>
      </c>
      <c r="J139" s="109" t="s">
        <v>432</v>
      </c>
      <c r="K139" s="109" t="s">
        <v>432</v>
      </c>
      <c r="L139" s="109" t="s">
        <v>432</v>
      </c>
      <c r="M139" s="109" t="s">
        <v>432</v>
      </c>
      <c r="N139" s="109" t="s">
        <v>432</v>
      </c>
      <c r="O139" s="109" t="s">
        <v>432</v>
      </c>
      <c r="P139" s="109" t="s">
        <v>432</v>
      </c>
      <c r="Q139" s="109" t="s">
        <v>432</v>
      </c>
      <c r="R139" s="109" t="s">
        <v>432</v>
      </c>
      <c r="S139" s="109" t="s">
        <v>2209</v>
      </c>
      <c r="T139" s="109" t="s">
        <v>432</v>
      </c>
      <c r="U139" s="109" t="s">
        <v>432</v>
      </c>
      <c r="V139" s="109" t="s">
        <v>2209</v>
      </c>
      <c r="W139" s="109" t="s">
        <v>432</v>
      </c>
      <c r="X139" s="109" t="s">
        <v>432</v>
      </c>
      <c r="Y139" s="109" t="s">
        <v>432</v>
      </c>
      <c r="Z139" s="109" t="s">
        <v>432</v>
      </c>
      <c r="AA139" s="109" t="s">
        <v>432</v>
      </c>
      <c r="AB139" s="109" t="s">
        <v>432</v>
      </c>
      <c r="AC139" s="109" t="s">
        <v>432</v>
      </c>
      <c r="AD139" s="109" t="s">
        <v>432</v>
      </c>
      <c r="AE139" s="109" t="s">
        <v>432</v>
      </c>
      <c r="AF139" s="109" t="s">
        <v>432</v>
      </c>
      <c r="AG139" s="109" t="s">
        <v>432</v>
      </c>
      <c r="AH139" s="109" t="s">
        <v>432</v>
      </c>
      <c r="AI139" s="109" t="s">
        <v>432</v>
      </c>
      <c r="AJ139" s="109" t="s">
        <v>432</v>
      </c>
      <c r="AK139" s="137" t="s">
        <v>432</v>
      </c>
      <c r="AL139" s="600" t="s">
        <v>432</v>
      </c>
      <c r="AM139" s="137" t="s">
        <v>432</v>
      </c>
      <c r="AN139" s="137" t="s">
        <v>432</v>
      </c>
      <c r="AO139" s="137" t="s">
        <v>432</v>
      </c>
      <c r="AP139" s="137" t="s">
        <v>432</v>
      </c>
      <c r="AQ139" s="137" t="s">
        <v>432</v>
      </c>
      <c r="AR139" s="137" t="s">
        <v>432</v>
      </c>
      <c r="AS139" s="137" t="s">
        <v>432</v>
      </c>
      <c r="AT139" s="137" t="s">
        <v>432</v>
      </c>
      <c r="AU139" s="137" t="s">
        <v>432</v>
      </c>
      <c r="AV139" s="137" t="s">
        <v>432</v>
      </c>
      <c r="AW139" s="137" t="s">
        <v>432</v>
      </c>
      <c r="AX139" s="137" t="s">
        <v>432</v>
      </c>
      <c r="AY139" s="137" t="s">
        <v>432</v>
      </c>
      <c r="AZ139" s="137" t="s">
        <v>432</v>
      </c>
      <c r="BA139" s="137" t="s">
        <v>432</v>
      </c>
      <c r="BB139" s="239" t="str">
        <f>B139&amp;C139</f>
        <v>Sinalização semafóricax</v>
      </c>
      <c r="BC139" s="239" t="str">
        <f>B139&amp;C139&amp;H139</f>
        <v>Sinalização semafóricaxsigla/verbete</v>
      </c>
      <c r="BD139" s="239" t="str">
        <f>B139&amp;H139</f>
        <v>Sinalização semafóricasigla/verbete</v>
      </c>
    </row>
    <row r="140" spans="1:56" s="3" customFormat="1" ht="70.5" customHeight="1" x14ac:dyDescent="0.25">
      <c r="A140" s="262" t="s">
        <v>432</v>
      </c>
      <c r="B140" s="252" t="s">
        <v>742</v>
      </c>
      <c r="C140" s="167" t="s">
        <v>432</v>
      </c>
      <c r="D140" s="1406" t="str">
        <f>atualiz_assinaturas!A50</f>
        <v>AMC</v>
      </c>
      <c r="E140" s="1356" t="str">
        <f>atualiz_assinaturas!B50</f>
        <v>x</v>
      </c>
      <c r="F140" s="1172" t="str">
        <f>atualiz_assinaturas!C50</f>
        <v>verbete assinado por Ana Maria Caetano
graduada em Ciências Sociais, com ênfase em Ciência Política; especialista em Gestão Pública pela FGV/EBAPE; atualmente é analista de políticas públicas da Prefeitura de Belo Horizonte lotada na Gerência de Informação e Acompanhamento Técnico da Secretaria Municipal de Meio Ambiente onde responde pela coordenação da Secretaria Executiva do Comitê Municipal sobre Mudanças Climáticas e Ecoeficiência</v>
      </c>
      <c r="G140" s="168" t="s">
        <v>4516</v>
      </c>
      <c r="H140" s="168" t="s">
        <v>4516</v>
      </c>
      <c r="I140" s="167" t="s">
        <v>432</v>
      </c>
      <c r="J140" s="109" t="s">
        <v>432</v>
      </c>
      <c r="K140" s="109" t="s">
        <v>432</v>
      </c>
      <c r="L140" s="109" t="s">
        <v>432</v>
      </c>
      <c r="M140" s="109" t="s">
        <v>432</v>
      </c>
      <c r="N140" s="109" t="s">
        <v>432</v>
      </c>
      <c r="O140" s="109" t="s">
        <v>432</v>
      </c>
      <c r="P140" s="109" t="s">
        <v>432</v>
      </c>
      <c r="Q140" s="109" t="s">
        <v>432</v>
      </c>
      <c r="R140" s="109" t="s">
        <v>432</v>
      </c>
      <c r="S140" s="109" t="s">
        <v>2209</v>
      </c>
      <c r="T140" s="109" t="s">
        <v>432</v>
      </c>
      <c r="U140" s="109" t="s">
        <v>432</v>
      </c>
      <c r="V140" s="109" t="s">
        <v>2209</v>
      </c>
      <c r="W140" s="109" t="s">
        <v>432</v>
      </c>
      <c r="X140" s="109" t="s">
        <v>432</v>
      </c>
      <c r="Y140" s="109" t="s">
        <v>432</v>
      </c>
      <c r="Z140" s="109" t="s">
        <v>432</v>
      </c>
      <c r="AA140" s="109" t="s">
        <v>432</v>
      </c>
      <c r="AB140" s="109" t="s">
        <v>432</v>
      </c>
      <c r="AC140" s="109" t="s">
        <v>432</v>
      </c>
      <c r="AD140" s="109" t="s">
        <v>432</v>
      </c>
      <c r="AE140" s="109" t="s">
        <v>432</v>
      </c>
      <c r="AF140" s="109" t="s">
        <v>432</v>
      </c>
      <c r="AG140" s="109" t="s">
        <v>432</v>
      </c>
      <c r="AH140" s="109" t="s">
        <v>432</v>
      </c>
      <c r="AI140" s="109" t="s">
        <v>432</v>
      </c>
      <c r="AJ140" s="109" t="s">
        <v>432</v>
      </c>
      <c r="AK140" s="137" t="s">
        <v>432</v>
      </c>
      <c r="AL140" s="600" t="s">
        <v>432</v>
      </c>
      <c r="AM140" s="137" t="s">
        <v>432</v>
      </c>
      <c r="AN140" s="137" t="s">
        <v>432</v>
      </c>
      <c r="AO140" s="137" t="s">
        <v>432</v>
      </c>
      <c r="AP140" s="137" t="s">
        <v>432</v>
      </c>
      <c r="AQ140" s="137" t="s">
        <v>432</v>
      </c>
      <c r="AR140" s="137" t="s">
        <v>432</v>
      </c>
      <c r="AS140" s="137" t="s">
        <v>432</v>
      </c>
      <c r="AT140" s="137" t="s">
        <v>432</v>
      </c>
      <c r="AU140" s="137" t="s">
        <v>432</v>
      </c>
      <c r="AV140" s="137" t="s">
        <v>432</v>
      </c>
      <c r="AW140" s="137" t="s">
        <v>432</v>
      </c>
      <c r="AX140" s="137" t="s">
        <v>432</v>
      </c>
      <c r="AY140" s="137" t="s">
        <v>432</v>
      </c>
      <c r="AZ140" s="137" t="s">
        <v>432</v>
      </c>
      <c r="BA140" s="137" t="s">
        <v>432</v>
      </c>
      <c r="BB140" s="239" t="str">
        <f>B140&amp;C140</f>
        <v>geralx</v>
      </c>
      <c r="BC140" s="239" t="str">
        <f>B140&amp;C140&amp;H140</f>
        <v>geralxassinatura</v>
      </c>
      <c r="BD140" s="239" t="str">
        <f>B140&amp;H140</f>
        <v>geralassinatura</v>
      </c>
    </row>
    <row r="141" spans="1:56" s="3" customFormat="1" ht="38.25" x14ac:dyDescent="0.25">
      <c r="A141" s="262" t="str">
        <f>'Q100b-totais'!B22</f>
        <v>2.7</v>
      </c>
      <c r="B141" s="252" t="str">
        <f>'Q100b-totais'!C22</f>
        <v>Outras cidades/regiões</v>
      </c>
      <c r="C141" s="167" t="s">
        <v>743</v>
      </c>
      <c r="D141" s="325" t="s">
        <v>3288</v>
      </c>
      <c r="E141" s="1445" t="s">
        <v>3288</v>
      </c>
      <c r="F141" s="619" t="s">
        <v>5214</v>
      </c>
      <c r="G141" s="173" t="s">
        <v>3507</v>
      </c>
      <c r="H141" s="168" t="s">
        <v>2408</v>
      </c>
      <c r="I141" s="167" t="s">
        <v>432</v>
      </c>
      <c r="J141" s="109" t="s">
        <v>432</v>
      </c>
      <c r="K141" s="109" t="s">
        <v>432</v>
      </c>
      <c r="L141" s="109" t="s">
        <v>432</v>
      </c>
      <c r="M141" s="109" t="s">
        <v>432</v>
      </c>
      <c r="N141" s="109" t="s">
        <v>432</v>
      </c>
      <c r="O141" s="109" t="s">
        <v>432</v>
      </c>
      <c r="P141" s="109" t="s">
        <v>432</v>
      </c>
      <c r="Q141" s="109" t="s">
        <v>432</v>
      </c>
      <c r="R141" s="109" t="s">
        <v>432</v>
      </c>
      <c r="S141" s="109" t="s">
        <v>2209</v>
      </c>
      <c r="T141" s="109" t="s">
        <v>432</v>
      </c>
      <c r="U141" s="109" t="s">
        <v>432</v>
      </c>
      <c r="V141" s="109" t="s">
        <v>2209</v>
      </c>
      <c r="W141" s="109" t="s">
        <v>432</v>
      </c>
      <c r="X141" s="109" t="s">
        <v>432</v>
      </c>
      <c r="Y141" s="109" t="s">
        <v>432</v>
      </c>
      <c r="Z141" s="109" t="s">
        <v>432</v>
      </c>
      <c r="AA141" s="109" t="s">
        <v>432</v>
      </c>
      <c r="AB141" s="109" t="s">
        <v>432</v>
      </c>
      <c r="AC141" s="109" t="s">
        <v>432</v>
      </c>
      <c r="AD141" s="109" t="s">
        <v>432</v>
      </c>
      <c r="AE141" s="109" t="s">
        <v>432</v>
      </c>
      <c r="AF141" s="109" t="s">
        <v>432</v>
      </c>
      <c r="AG141" s="109" t="s">
        <v>432</v>
      </c>
      <c r="AH141" s="109" t="s">
        <v>432</v>
      </c>
      <c r="AI141" s="109" t="s">
        <v>432</v>
      </c>
      <c r="AJ141" s="109" t="s">
        <v>432</v>
      </c>
      <c r="AK141" s="137" t="s">
        <v>432</v>
      </c>
      <c r="AL141" s="600" t="s">
        <v>432</v>
      </c>
      <c r="AM141" s="137" t="s">
        <v>432</v>
      </c>
      <c r="AN141" s="137" t="s">
        <v>432</v>
      </c>
      <c r="AO141" s="137" t="s">
        <v>432</v>
      </c>
      <c r="AP141" s="137" t="s">
        <v>432</v>
      </c>
      <c r="AQ141" s="137" t="s">
        <v>432</v>
      </c>
      <c r="AR141" s="137" t="s">
        <v>432</v>
      </c>
      <c r="AS141" s="137" t="s">
        <v>432</v>
      </c>
      <c r="AT141" s="137" t="s">
        <v>432</v>
      </c>
      <c r="AU141" s="137" t="s">
        <v>432</v>
      </c>
      <c r="AV141" s="137" t="s">
        <v>432</v>
      </c>
      <c r="AW141" s="137" t="s">
        <v>432</v>
      </c>
      <c r="AX141" s="137" t="s">
        <v>432</v>
      </c>
      <c r="AY141" s="137" t="s">
        <v>432</v>
      </c>
      <c r="AZ141" s="137" t="s">
        <v>432</v>
      </c>
      <c r="BA141" s="137" t="s">
        <v>432</v>
      </c>
      <c r="BB141" s="239" t="str">
        <f>B141&amp;C141</f>
        <v>Outras cidades/regiõesacessibilidade</v>
      </c>
      <c r="BC141" s="239" t="str">
        <f>B141&amp;C141&amp;H141</f>
        <v>Outras cidades/regiõesacessibilidadesigla/verbete</v>
      </c>
      <c r="BD141" s="239" t="str">
        <f>B141&amp;H141</f>
        <v>Outras cidades/regiõessigla/verbete</v>
      </c>
    </row>
    <row r="142" spans="1:56" s="3" customFormat="1" ht="15.75" customHeight="1" x14ac:dyDescent="0.25">
      <c r="A142" s="402"/>
      <c r="B142" s="399"/>
      <c r="C142" s="399"/>
      <c r="D142" s="970"/>
      <c r="E142" s="1495"/>
      <c r="F142" s="221"/>
      <c r="G142" s="221"/>
      <c r="H142" s="221"/>
      <c r="I142" s="399"/>
      <c r="J142" s="221"/>
      <c r="K142" s="221"/>
      <c r="L142" s="221"/>
      <c r="M142" s="221"/>
      <c r="N142" s="221"/>
      <c r="O142" s="221"/>
      <c r="P142" s="221"/>
      <c r="Q142" s="221"/>
      <c r="R142" s="221"/>
      <c r="S142" s="109" t="s">
        <v>2209</v>
      </c>
      <c r="T142" s="221"/>
      <c r="U142" s="221"/>
      <c r="V142" s="109" t="s">
        <v>2209</v>
      </c>
      <c r="W142" s="221"/>
      <c r="X142" s="221"/>
      <c r="Y142" s="221"/>
      <c r="Z142" s="221"/>
      <c r="AA142" s="221"/>
      <c r="AB142" s="221"/>
      <c r="AC142" s="221"/>
      <c r="AD142" s="221"/>
      <c r="AE142" s="221"/>
      <c r="AF142" s="221"/>
      <c r="AG142" s="221"/>
      <c r="AH142" s="221"/>
      <c r="AI142" s="221"/>
      <c r="AJ142" s="221"/>
      <c r="AK142" s="223"/>
      <c r="AL142" s="600" t="s">
        <v>432</v>
      </c>
      <c r="AM142" s="223"/>
      <c r="AN142" s="223"/>
      <c r="AO142" s="223"/>
      <c r="AP142" s="223"/>
      <c r="AQ142" s="223"/>
      <c r="AR142" s="223"/>
      <c r="AS142" s="223"/>
      <c r="AT142" s="223"/>
      <c r="AU142" s="223"/>
      <c r="AV142" s="223"/>
      <c r="AW142" s="137" t="s">
        <v>432</v>
      </c>
      <c r="AX142" s="223"/>
      <c r="AY142" s="223"/>
      <c r="AZ142" s="223"/>
      <c r="BA142" s="223"/>
      <c r="BB142" s="400"/>
      <c r="BC142" s="400"/>
      <c r="BD142" s="400"/>
    </row>
    <row r="143" spans="1:56" s="3" customFormat="1" ht="102" customHeight="1" x14ac:dyDescent="0.25">
      <c r="A143" s="275" t="str">
        <f>'Q100b-totais'!$B$14</f>
        <v>1.5</v>
      </c>
      <c r="B143" s="252" t="s">
        <v>642</v>
      </c>
      <c r="C143" s="167" t="s">
        <v>432</v>
      </c>
      <c r="D143" s="324" t="s">
        <v>57</v>
      </c>
      <c r="E143" s="254" t="s">
        <v>432</v>
      </c>
      <c r="F143" s="183" t="s">
        <v>907</v>
      </c>
      <c r="G143" s="167" t="s">
        <v>3719</v>
      </c>
      <c r="H143" s="168" t="s">
        <v>2408</v>
      </c>
      <c r="I143" s="57" t="s">
        <v>432</v>
      </c>
      <c r="J143" s="107" t="s">
        <v>432</v>
      </c>
      <c r="K143" s="107" t="s">
        <v>432</v>
      </c>
      <c r="L143" s="107" t="s">
        <v>432</v>
      </c>
      <c r="M143" s="107" t="s">
        <v>432</v>
      </c>
      <c r="N143" s="107" t="s">
        <v>432</v>
      </c>
      <c r="O143" s="107" t="s">
        <v>432</v>
      </c>
      <c r="P143" s="107" t="s">
        <v>432</v>
      </c>
      <c r="Q143" s="107" t="s">
        <v>432</v>
      </c>
      <c r="R143" s="107" t="s">
        <v>432</v>
      </c>
      <c r="S143" s="109" t="s">
        <v>2209</v>
      </c>
      <c r="T143" s="107" t="s">
        <v>432</v>
      </c>
      <c r="U143" s="107" t="s">
        <v>432</v>
      </c>
      <c r="V143" s="109" t="s">
        <v>2209</v>
      </c>
      <c r="W143" s="107" t="s">
        <v>432</v>
      </c>
      <c r="X143" s="107" t="s">
        <v>432</v>
      </c>
      <c r="Y143" s="107" t="s">
        <v>432</v>
      </c>
      <c r="Z143" s="107" t="s">
        <v>432</v>
      </c>
      <c r="AA143" s="107" t="s">
        <v>432</v>
      </c>
      <c r="AB143" s="107" t="s">
        <v>432</v>
      </c>
      <c r="AC143" s="107" t="s">
        <v>432</v>
      </c>
      <c r="AD143" s="107" t="s">
        <v>432</v>
      </c>
      <c r="AE143" s="107" t="s">
        <v>432</v>
      </c>
      <c r="AF143" s="107" t="s">
        <v>432</v>
      </c>
      <c r="AG143" s="107" t="s">
        <v>432</v>
      </c>
      <c r="AH143" s="107" t="s">
        <v>432</v>
      </c>
      <c r="AI143" s="107" t="s">
        <v>432</v>
      </c>
      <c r="AJ143" s="107" t="s">
        <v>432</v>
      </c>
      <c r="AK143" s="137" t="s">
        <v>432</v>
      </c>
      <c r="AL143" s="600" t="s">
        <v>432</v>
      </c>
      <c r="AM143" s="137" t="s">
        <v>432</v>
      </c>
      <c r="AN143" s="137" t="s">
        <v>432</v>
      </c>
      <c r="AO143" s="137" t="s">
        <v>432</v>
      </c>
      <c r="AP143" s="137" t="s">
        <v>432</v>
      </c>
      <c r="AQ143" s="137" t="s">
        <v>432</v>
      </c>
      <c r="AR143" s="137" t="s">
        <v>432</v>
      </c>
      <c r="AS143" s="137" t="s">
        <v>432</v>
      </c>
      <c r="AT143" s="137" t="s">
        <v>432</v>
      </c>
      <c r="AU143" s="137" t="s">
        <v>432</v>
      </c>
      <c r="AV143" s="137" t="s">
        <v>432</v>
      </c>
      <c r="AW143" s="137" t="s">
        <v>432</v>
      </c>
      <c r="AX143" s="137" t="s">
        <v>432</v>
      </c>
      <c r="AY143" s="137" t="s">
        <v>432</v>
      </c>
      <c r="AZ143" s="137" t="s">
        <v>432</v>
      </c>
      <c r="BA143" s="137" t="s">
        <v>432</v>
      </c>
      <c r="BB143" s="239" t="str">
        <f t="shared" ref="BB143:BB172" si="35">B143&amp;C143</f>
        <v>Solicitações urbanísticasx</v>
      </c>
      <c r="BC143" s="239" t="str">
        <f t="shared" ref="BC143:BC172" si="36">B143&amp;C143&amp;H143</f>
        <v>Solicitações urbanísticasxsigla/verbete</v>
      </c>
      <c r="BD143" s="239" t="str">
        <f t="shared" ref="BD143:BD172" si="37">B143&amp;H143</f>
        <v>Solicitações urbanísticassigla/verbete</v>
      </c>
    </row>
    <row r="144" spans="1:56" s="3" customFormat="1" ht="51" customHeight="1" x14ac:dyDescent="0.25">
      <c r="A144" s="275" t="str">
        <f>'Q100b-totais'!$B$14</f>
        <v>1.5</v>
      </c>
      <c r="B144" s="252" t="s">
        <v>642</v>
      </c>
      <c r="C144" s="167" t="s">
        <v>432</v>
      </c>
      <c r="D144" s="362" t="s">
        <v>58</v>
      </c>
      <c r="E144" s="1502" t="s">
        <v>1306</v>
      </c>
      <c r="F144" s="355" t="s">
        <v>59</v>
      </c>
      <c r="G144" s="111" t="s">
        <v>60</v>
      </c>
      <c r="H144" s="173" t="s">
        <v>432</v>
      </c>
      <c r="I144" s="57">
        <v>1</v>
      </c>
      <c r="J144" s="107" t="s">
        <v>432</v>
      </c>
      <c r="K144" s="93" t="s">
        <v>432</v>
      </c>
      <c r="L144" s="93" t="s">
        <v>432</v>
      </c>
      <c r="M144" s="93" t="s">
        <v>432</v>
      </c>
      <c r="N144" s="93" t="s">
        <v>432</v>
      </c>
      <c r="O144" s="93" t="s">
        <v>432</v>
      </c>
      <c r="P144" s="93" t="s">
        <v>432</v>
      </c>
      <c r="Q144" s="93" t="s">
        <v>432</v>
      </c>
      <c r="R144" s="93" t="s">
        <v>432</v>
      </c>
      <c r="S144" s="109" t="s">
        <v>2209</v>
      </c>
      <c r="T144" s="93" t="s">
        <v>432</v>
      </c>
      <c r="U144" s="93" t="s">
        <v>432</v>
      </c>
      <c r="V144" s="109" t="s">
        <v>2209</v>
      </c>
      <c r="W144" s="93" t="s">
        <v>432</v>
      </c>
      <c r="X144" s="93" t="s">
        <v>432</v>
      </c>
      <c r="Y144" s="93" t="s">
        <v>432</v>
      </c>
      <c r="Z144" s="93" t="s">
        <v>432</v>
      </c>
      <c r="AA144" s="93" t="s">
        <v>432</v>
      </c>
      <c r="AB144" s="93" t="s">
        <v>432</v>
      </c>
      <c r="AC144" s="93" t="s">
        <v>432</v>
      </c>
      <c r="AD144" s="93" t="s">
        <v>432</v>
      </c>
      <c r="AE144" s="93" t="s">
        <v>432</v>
      </c>
      <c r="AF144" s="93" t="s">
        <v>432</v>
      </c>
      <c r="AG144" s="23">
        <f>AG150+AG156+AG162</f>
        <v>44</v>
      </c>
      <c r="AH144" s="23">
        <f>AH150+AH156+AH162</f>
        <v>67</v>
      </c>
      <c r="AI144" s="23">
        <f>AI150+AI156+AI162+AI168</f>
        <v>94</v>
      </c>
      <c r="AJ144" s="23">
        <f>AJ150+AJ156+AJ162+AJ168</f>
        <v>112</v>
      </c>
      <c r="AK144" s="23">
        <f>AK150+AK156+AK162+AK168</f>
        <v>141</v>
      </c>
      <c r="AL144" s="600" t="s">
        <v>432</v>
      </c>
      <c r="AM144" s="137" t="s">
        <v>432</v>
      </c>
      <c r="AN144" s="137" t="s">
        <v>432</v>
      </c>
      <c r="AO144" s="137" t="s">
        <v>432</v>
      </c>
      <c r="AP144" s="137" t="s">
        <v>432</v>
      </c>
      <c r="AQ144" s="137" t="s">
        <v>432</v>
      </c>
      <c r="AR144" s="137" t="s">
        <v>432</v>
      </c>
      <c r="AS144" s="137" t="s">
        <v>432</v>
      </c>
      <c r="AT144" s="137" t="s">
        <v>432</v>
      </c>
      <c r="AU144" s="137" t="s">
        <v>432</v>
      </c>
      <c r="AV144" s="137" t="s">
        <v>432</v>
      </c>
      <c r="AW144" s="137" t="s">
        <v>432</v>
      </c>
      <c r="AX144" s="137" t="s">
        <v>432</v>
      </c>
      <c r="AY144" s="137" t="s">
        <v>432</v>
      </c>
      <c r="AZ144" s="137" t="s">
        <v>432</v>
      </c>
      <c r="BA144" s="137" t="s">
        <v>432</v>
      </c>
      <c r="BB144" s="239" t="str">
        <f t="shared" si="35"/>
        <v>Solicitações urbanísticasx</v>
      </c>
      <c r="BC144" s="239" t="str">
        <f t="shared" si="36"/>
        <v>Solicitações urbanísticasxx</v>
      </c>
      <c r="BD144" s="239" t="str">
        <f t="shared" si="37"/>
        <v>Solicitações urbanísticasx</v>
      </c>
    </row>
    <row r="145" spans="1:56" s="3" customFormat="1" ht="94.5" customHeight="1" x14ac:dyDescent="0.25">
      <c r="A145" s="275" t="str">
        <f>'Q100b-totais'!$B$14</f>
        <v>1.5</v>
      </c>
      <c r="B145" s="252" t="s">
        <v>642</v>
      </c>
      <c r="C145" s="167" t="s">
        <v>432</v>
      </c>
      <c r="D145" s="362" t="s">
        <v>61</v>
      </c>
      <c r="E145" s="1502" t="s">
        <v>1306</v>
      </c>
      <c r="F145" s="355" t="s">
        <v>1425</v>
      </c>
      <c r="G145" s="414" t="s">
        <v>62</v>
      </c>
      <c r="H145" s="173" t="s">
        <v>432</v>
      </c>
      <c r="I145" s="57">
        <v>1</v>
      </c>
      <c r="J145" s="107" t="s">
        <v>432</v>
      </c>
      <c r="K145" s="93" t="s">
        <v>432</v>
      </c>
      <c r="L145" s="93" t="s">
        <v>432</v>
      </c>
      <c r="M145" s="93" t="s">
        <v>432</v>
      </c>
      <c r="N145" s="93" t="s">
        <v>432</v>
      </c>
      <c r="O145" s="93" t="s">
        <v>432</v>
      </c>
      <c r="P145" s="93" t="s">
        <v>432</v>
      </c>
      <c r="Q145" s="93" t="s">
        <v>432</v>
      </c>
      <c r="R145" s="93" t="s">
        <v>432</v>
      </c>
      <c r="S145" s="109" t="s">
        <v>2209</v>
      </c>
      <c r="T145" s="93" t="s">
        <v>432</v>
      </c>
      <c r="U145" s="93" t="s">
        <v>432</v>
      </c>
      <c r="V145" s="109" t="s">
        <v>2209</v>
      </c>
      <c r="W145" s="93" t="s">
        <v>432</v>
      </c>
      <c r="X145" s="93" t="s">
        <v>432</v>
      </c>
      <c r="Y145" s="93" t="s">
        <v>432</v>
      </c>
      <c r="Z145" s="93" t="s">
        <v>432</v>
      </c>
      <c r="AA145" s="93" t="s">
        <v>432</v>
      </c>
      <c r="AB145" s="93" t="s">
        <v>432</v>
      </c>
      <c r="AC145" s="93" t="s">
        <v>432</v>
      </c>
      <c r="AD145" s="93" t="s">
        <v>432</v>
      </c>
      <c r="AE145" s="93" t="s">
        <v>432</v>
      </c>
      <c r="AF145" s="93" t="s">
        <v>432</v>
      </c>
      <c r="AG145" s="47">
        <f>AG144/AG148</f>
        <v>0.4943820224719101</v>
      </c>
      <c r="AH145" s="47">
        <f>AH144/AH148</f>
        <v>0.83750000000000002</v>
      </c>
      <c r="AI145" s="47">
        <f>AI144/AI148</f>
        <v>0.81739130434782614</v>
      </c>
      <c r="AJ145" s="47">
        <f>AJ144/AJ148</f>
        <v>0.75167785234899331</v>
      </c>
      <c r="AK145" s="47">
        <f>AK144/AK148</f>
        <v>0.87577639751552794</v>
      </c>
      <c r="AL145" s="600" t="s">
        <v>432</v>
      </c>
      <c r="AM145" s="137" t="s">
        <v>432</v>
      </c>
      <c r="AN145" s="137" t="s">
        <v>432</v>
      </c>
      <c r="AO145" s="137" t="s">
        <v>432</v>
      </c>
      <c r="AP145" s="137" t="s">
        <v>432</v>
      </c>
      <c r="AQ145" s="137" t="s">
        <v>432</v>
      </c>
      <c r="AR145" s="137" t="s">
        <v>432</v>
      </c>
      <c r="AS145" s="137" t="s">
        <v>432</v>
      </c>
      <c r="AT145" s="137" t="s">
        <v>432</v>
      </c>
      <c r="AU145" s="137" t="s">
        <v>432</v>
      </c>
      <c r="AV145" s="137" t="s">
        <v>432</v>
      </c>
      <c r="AW145" s="137" t="s">
        <v>432</v>
      </c>
      <c r="AX145" s="137" t="s">
        <v>432</v>
      </c>
      <c r="AY145" s="137" t="s">
        <v>432</v>
      </c>
      <c r="AZ145" s="137" t="s">
        <v>432</v>
      </c>
      <c r="BA145" s="137" t="s">
        <v>432</v>
      </c>
      <c r="BB145" s="239" t="str">
        <f t="shared" si="35"/>
        <v>Solicitações urbanísticasx</v>
      </c>
      <c r="BC145" s="239" t="str">
        <f t="shared" si="36"/>
        <v>Solicitações urbanísticasxx</v>
      </c>
      <c r="BD145" s="239" t="str">
        <f t="shared" si="37"/>
        <v>Solicitações urbanísticasx</v>
      </c>
    </row>
    <row r="146" spans="1:56" s="3" customFormat="1" ht="60.75" customHeight="1" x14ac:dyDescent="0.25">
      <c r="A146" s="275" t="str">
        <f>'Q100b-totais'!$B$14</f>
        <v>1.5</v>
      </c>
      <c r="B146" s="252" t="s">
        <v>642</v>
      </c>
      <c r="C146" s="167" t="s">
        <v>432</v>
      </c>
      <c r="D146" s="362" t="s">
        <v>63</v>
      </c>
      <c r="E146" s="1502" t="s">
        <v>1306</v>
      </c>
      <c r="F146" s="355" t="s">
        <v>64</v>
      </c>
      <c r="G146" s="111" t="s">
        <v>65</v>
      </c>
      <c r="H146" s="173" t="s">
        <v>432</v>
      </c>
      <c r="I146" s="57">
        <v>1</v>
      </c>
      <c r="J146" s="107" t="s">
        <v>432</v>
      </c>
      <c r="K146" s="93" t="s">
        <v>432</v>
      </c>
      <c r="L146" s="93" t="s">
        <v>432</v>
      </c>
      <c r="M146" s="93" t="s">
        <v>432</v>
      </c>
      <c r="N146" s="93" t="s">
        <v>432</v>
      </c>
      <c r="O146" s="93" t="s">
        <v>432</v>
      </c>
      <c r="P146" s="93" t="s">
        <v>432</v>
      </c>
      <c r="Q146" s="93" t="s">
        <v>432</v>
      </c>
      <c r="R146" s="93" t="s">
        <v>432</v>
      </c>
      <c r="S146" s="109" t="s">
        <v>2209</v>
      </c>
      <c r="T146" s="93" t="s">
        <v>432</v>
      </c>
      <c r="U146" s="93" t="s">
        <v>432</v>
      </c>
      <c r="V146" s="109" t="s">
        <v>2209</v>
      </c>
      <c r="W146" s="93" t="s">
        <v>432</v>
      </c>
      <c r="X146" s="93" t="s">
        <v>432</v>
      </c>
      <c r="Y146" s="93" t="s">
        <v>432</v>
      </c>
      <c r="Z146" s="93" t="s">
        <v>432</v>
      </c>
      <c r="AA146" s="93" t="s">
        <v>432</v>
      </c>
      <c r="AB146" s="93" t="s">
        <v>432</v>
      </c>
      <c r="AC146" s="93" t="s">
        <v>432</v>
      </c>
      <c r="AD146" s="93" t="s">
        <v>432</v>
      </c>
      <c r="AE146" s="93" t="s">
        <v>432</v>
      </c>
      <c r="AF146" s="93" t="s">
        <v>432</v>
      </c>
      <c r="AG146" s="23">
        <f t="shared" ref="AG146:AH148" si="38">AG152+AG158+AG164</f>
        <v>86</v>
      </c>
      <c r="AH146" s="23">
        <f t="shared" si="38"/>
        <v>109</v>
      </c>
      <c r="AI146" s="23">
        <f t="shared" ref="AI146:AK148" si="39">AI152+AI158+AI164+AI170</f>
        <v>114</v>
      </c>
      <c r="AJ146" s="23">
        <f t="shared" si="39"/>
        <v>99</v>
      </c>
      <c r="AK146" s="23">
        <f t="shared" si="39"/>
        <v>107</v>
      </c>
      <c r="AL146" s="600" t="s">
        <v>432</v>
      </c>
      <c r="AM146" s="137" t="s">
        <v>432</v>
      </c>
      <c r="AN146" s="137" t="s">
        <v>432</v>
      </c>
      <c r="AO146" s="137" t="s">
        <v>432</v>
      </c>
      <c r="AP146" s="137" t="s">
        <v>432</v>
      </c>
      <c r="AQ146" s="137" t="s">
        <v>432</v>
      </c>
      <c r="AR146" s="137" t="s">
        <v>432</v>
      </c>
      <c r="AS146" s="137" t="s">
        <v>432</v>
      </c>
      <c r="AT146" s="137" t="s">
        <v>432</v>
      </c>
      <c r="AU146" s="137" t="s">
        <v>432</v>
      </c>
      <c r="AV146" s="137" t="s">
        <v>432</v>
      </c>
      <c r="AW146" s="137" t="s">
        <v>432</v>
      </c>
      <c r="AX146" s="137" t="s">
        <v>432</v>
      </c>
      <c r="AY146" s="137" t="s">
        <v>432</v>
      </c>
      <c r="AZ146" s="137" t="s">
        <v>432</v>
      </c>
      <c r="BA146" s="137" t="s">
        <v>432</v>
      </c>
      <c r="BB146" s="239" t="str">
        <f t="shared" si="35"/>
        <v>Solicitações urbanísticasx</v>
      </c>
      <c r="BC146" s="239" t="str">
        <f t="shared" si="36"/>
        <v>Solicitações urbanísticasxx</v>
      </c>
      <c r="BD146" s="239" t="str">
        <f t="shared" si="37"/>
        <v>Solicitações urbanísticasx</v>
      </c>
    </row>
    <row r="147" spans="1:56" s="3" customFormat="1" ht="59.25" customHeight="1" x14ac:dyDescent="0.25">
      <c r="A147" s="275" t="str">
        <f>'Q100b-totais'!$B$14</f>
        <v>1.5</v>
      </c>
      <c r="B147" s="252" t="s">
        <v>642</v>
      </c>
      <c r="C147" s="167" t="s">
        <v>432</v>
      </c>
      <c r="D147" s="324" t="s">
        <v>66</v>
      </c>
      <c r="E147" s="254" t="s">
        <v>1306</v>
      </c>
      <c r="F147" s="183" t="s">
        <v>67</v>
      </c>
      <c r="G147" s="111" t="s">
        <v>68</v>
      </c>
      <c r="H147" s="173" t="s">
        <v>432</v>
      </c>
      <c r="I147" s="57">
        <v>1</v>
      </c>
      <c r="J147" s="107" t="s">
        <v>432</v>
      </c>
      <c r="K147" s="93" t="s">
        <v>432</v>
      </c>
      <c r="L147" s="93" t="s">
        <v>432</v>
      </c>
      <c r="M147" s="93" t="s">
        <v>432</v>
      </c>
      <c r="N147" s="93" t="s">
        <v>432</v>
      </c>
      <c r="O147" s="93" t="s">
        <v>432</v>
      </c>
      <c r="P147" s="93" t="s">
        <v>432</v>
      </c>
      <c r="Q147" s="93" t="s">
        <v>432</v>
      </c>
      <c r="R147" s="93" t="s">
        <v>432</v>
      </c>
      <c r="S147" s="109" t="s">
        <v>2209</v>
      </c>
      <c r="T147" s="93" t="s">
        <v>432</v>
      </c>
      <c r="U147" s="93" t="s">
        <v>432</v>
      </c>
      <c r="V147" s="109" t="s">
        <v>2209</v>
      </c>
      <c r="W147" s="93" t="s">
        <v>432</v>
      </c>
      <c r="X147" s="93" t="s">
        <v>432</v>
      </c>
      <c r="Y147" s="93" t="s">
        <v>432</v>
      </c>
      <c r="Z147" s="93" t="s">
        <v>432</v>
      </c>
      <c r="AA147" s="93" t="s">
        <v>432</v>
      </c>
      <c r="AB147" s="93" t="s">
        <v>432</v>
      </c>
      <c r="AC147" s="93" t="s">
        <v>432</v>
      </c>
      <c r="AD147" s="93" t="s">
        <v>432</v>
      </c>
      <c r="AE147" s="93" t="s">
        <v>432</v>
      </c>
      <c r="AF147" s="93" t="s">
        <v>432</v>
      </c>
      <c r="AG147" s="23">
        <f t="shared" si="38"/>
        <v>84</v>
      </c>
      <c r="AH147" s="72">
        <f t="shared" si="38"/>
        <v>69</v>
      </c>
      <c r="AI147" s="23">
        <f t="shared" si="39"/>
        <v>63</v>
      </c>
      <c r="AJ147" s="23">
        <f t="shared" si="39"/>
        <v>100</v>
      </c>
      <c r="AK147" s="23">
        <f t="shared" si="39"/>
        <v>80</v>
      </c>
      <c r="AL147" s="600" t="s">
        <v>432</v>
      </c>
      <c r="AM147" s="137" t="s">
        <v>432</v>
      </c>
      <c r="AN147" s="137" t="s">
        <v>432</v>
      </c>
      <c r="AO147" s="137" t="s">
        <v>432</v>
      </c>
      <c r="AP147" s="137" t="s">
        <v>432</v>
      </c>
      <c r="AQ147" s="137" t="s">
        <v>432</v>
      </c>
      <c r="AR147" s="137" t="s">
        <v>432</v>
      </c>
      <c r="AS147" s="137" t="s">
        <v>432</v>
      </c>
      <c r="AT147" s="137" t="s">
        <v>432</v>
      </c>
      <c r="AU147" s="137" t="s">
        <v>432</v>
      </c>
      <c r="AV147" s="137" t="s">
        <v>432</v>
      </c>
      <c r="AW147" s="137" t="s">
        <v>432</v>
      </c>
      <c r="AX147" s="137" t="s">
        <v>432</v>
      </c>
      <c r="AY147" s="137" t="s">
        <v>432</v>
      </c>
      <c r="AZ147" s="137" t="s">
        <v>432</v>
      </c>
      <c r="BA147" s="137" t="s">
        <v>432</v>
      </c>
      <c r="BB147" s="239" t="str">
        <f t="shared" si="35"/>
        <v>Solicitações urbanísticasx</v>
      </c>
      <c r="BC147" s="239" t="str">
        <f t="shared" si="36"/>
        <v>Solicitações urbanísticasxx</v>
      </c>
      <c r="BD147" s="239" t="str">
        <f t="shared" si="37"/>
        <v>Solicitações urbanísticasx</v>
      </c>
    </row>
    <row r="148" spans="1:56" s="3" customFormat="1" ht="56.25" customHeight="1" x14ac:dyDescent="0.25">
      <c r="A148" s="275" t="str">
        <f>'Q100b-totais'!$B$14</f>
        <v>1.5</v>
      </c>
      <c r="B148" s="252" t="s">
        <v>642</v>
      </c>
      <c r="C148" s="167" t="s">
        <v>432</v>
      </c>
      <c r="D148" s="362" t="s">
        <v>69</v>
      </c>
      <c r="E148" s="1502" t="s">
        <v>1306</v>
      </c>
      <c r="F148" s="286" t="s">
        <v>70</v>
      </c>
      <c r="G148" s="111" t="s">
        <v>71</v>
      </c>
      <c r="H148" s="173" t="s">
        <v>432</v>
      </c>
      <c r="I148" s="57">
        <v>1</v>
      </c>
      <c r="J148" s="107" t="s">
        <v>432</v>
      </c>
      <c r="K148" s="93" t="s">
        <v>432</v>
      </c>
      <c r="L148" s="93" t="s">
        <v>432</v>
      </c>
      <c r="M148" s="93" t="s">
        <v>432</v>
      </c>
      <c r="N148" s="93" t="s">
        <v>432</v>
      </c>
      <c r="O148" s="93" t="s">
        <v>432</v>
      </c>
      <c r="P148" s="93" t="s">
        <v>432</v>
      </c>
      <c r="Q148" s="93" t="s">
        <v>432</v>
      </c>
      <c r="R148" s="93" t="s">
        <v>432</v>
      </c>
      <c r="S148" s="109" t="s">
        <v>2209</v>
      </c>
      <c r="T148" s="93" t="s">
        <v>432</v>
      </c>
      <c r="U148" s="93" t="s">
        <v>432</v>
      </c>
      <c r="V148" s="109" t="s">
        <v>2209</v>
      </c>
      <c r="W148" s="93" t="s">
        <v>432</v>
      </c>
      <c r="X148" s="93" t="s">
        <v>432</v>
      </c>
      <c r="Y148" s="93" t="s">
        <v>432</v>
      </c>
      <c r="Z148" s="93" t="s">
        <v>432</v>
      </c>
      <c r="AA148" s="93" t="s">
        <v>432</v>
      </c>
      <c r="AB148" s="93" t="s">
        <v>432</v>
      </c>
      <c r="AC148" s="93" t="s">
        <v>432</v>
      </c>
      <c r="AD148" s="93" t="s">
        <v>432</v>
      </c>
      <c r="AE148" s="93" t="s">
        <v>432</v>
      </c>
      <c r="AF148" s="93" t="s">
        <v>432</v>
      </c>
      <c r="AG148" s="23">
        <f t="shared" si="38"/>
        <v>89</v>
      </c>
      <c r="AH148" s="23">
        <f t="shared" si="38"/>
        <v>80</v>
      </c>
      <c r="AI148" s="23">
        <f t="shared" si="39"/>
        <v>115</v>
      </c>
      <c r="AJ148" s="23">
        <f t="shared" si="39"/>
        <v>149</v>
      </c>
      <c r="AK148" s="23">
        <f t="shared" si="39"/>
        <v>161</v>
      </c>
      <c r="AL148" s="600" t="s">
        <v>432</v>
      </c>
      <c r="AM148" s="137" t="s">
        <v>432</v>
      </c>
      <c r="AN148" s="137" t="s">
        <v>432</v>
      </c>
      <c r="AO148" s="137" t="s">
        <v>432</v>
      </c>
      <c r="AP148" s="137" t="s">
        <v>432</v>
      </c>
      <c r="AQ148" s="137" t="s">
        <v>432</v>
      </c>
      <c r="AR148" s="137" t="s">
        <v>432</v>
      </c>
      <c r="AS148" s="137" t="s">
        <v>432</v>
      </c>
      <c r="AT148" s="137" t="s">
        <v>432</v>
      </c>
      <c r="AU148" s="137" t="s">
        <v>432</v>
      </c>
      <c r="AV148" s="137" t="s">
        <v>432</v>
      </c>
      <c r="AW148" s="137" t="s">
        <v>432</v>
      </c>
      <c r="AX148" s="137" t="s">
        <v>432</v>
      </c>
      <c r="AY148" s="137" t="s">
        <v>432</v>
      </c>
      <c r="AZ148" s="137" t="s">
        <v>432</v>
      </c>
      <c r="BA148" s="137" t="s">
        <v>432</v>
      </c>
      <c r="BB148" s="239" t="str">
        <f t="shared" si="35"/>
        <v>Solicitações urbanísticasx</v>
      </c>
      <c r="BC148" s="239" t="str">
        <f t="shared" si="36"/>
        <v>Solicitações urbanísticasxx</v>
      </c>
      <c r="BD148" s="239" t="str">
        <f t="shared" si="37"/>
        <v>Solicitações urbanísticasx</v>
      </c>
    </row>
    <row r="149" spans="1:56" s="3" customFormat="1" ht="25.5" customHeight="1" x14ac:dyDescent="0.25">
      <c r="A149" s="275" t="str">
        <f>'Q100b-totais'!$B$14</f>
        <v>1.5</v>
      </c>
      <c r="B149" s="252" t="s">
        <v>642</v>
      </c>
      <c r="C149" s="167" t="s">
        <v>432</v>
      </c>
      <c r="D149" s="324" t="s">
        <v>72</v>
      </c>
      <c r="E149" s="254" t="s">
        <v>1306</v>
      </c>
      <c r="F149" s="11" t="s">
        <v>4005</v>
      </c>
      <c r="G149" s="167" t="s">
        <v>3719</v>
      </c>
      <c r="H149" s="168" t="s">
        <v>2408</v>
      </c>
      <c r="I149" s="57" t="s">
        <v>432</v>
      </c>
      <c r="J149" s="107" t="s">
        <v>432</v>
      </c>
      <c r="K149" s="107" t="s">
        <v>432</v>
      </c>
      <c r="L149" s="107" t="s">
        <v>432</v>
      </c>
      <c r="M149" s="107" t="s">
        <v>432</v>
      </c>
      <c r="N149" s="107" t="s">
        <v>432</v>
      </c>
      <c r="O149" s="107" t="s">
        <v>432</v>
      </c>
      <c r="P149" s="107" t="s">
        <v>432</v>
      </c>
      <c r="Q149" s="107" t="s">
        <v>432</v>
      </c>
      <c r="R149" s="107" t="s">
        <v>432</v>
      </c>
      <c r="S149" s="109" t="s">
        <v>2209</v>
      </c>
      <c r="T149" s="107" t="s">
        <v>432</v>
      </c>
      <c r="U149" s="107" t="s">
        <v>432</v>
      </c>
      <c r="V149" s="109" t="s">
        <v>2209</v>
      </c>
      <c r="W149" s="107" t="s">
        <v>432</v>
      </c>
      <c r="X149" s="107" t="s">
        <v>432</v>
      </c>
      <c r="Y149" s="107" t="s">
        <v>432</v>
      </c>
      <c r="Z149" s="107" t="s">
        <v>432</v>
      </c>
      <c r="AA149" s="107" t="s">
        <v>432</v>
      </c>
      <c r="AB149" s="107" t="s">
        <v>432</v>
      </c>
      <c r="AC149" s="107" t="s">
        <v>432</v>
      </c>
      <c r="AD149" s="107" t="s">
        <v>432</v>
      </c>
      <c r="AE149" s="107" t="s">
        <v>432</v>
      </c>
      <c r="AF149" s="107" t="s">
        <v>432</v>
      </c>
      <c r="AG149" s="107" t="s">
        <v>432</v>
      </c>
      <c r="AH149" s="107" t="s">
        <v>432</v>
      </c>
      <c r="AI149" s="107" t="s">
        <v>432</v>
      </c>
      <c r="AJ149" s="107" t="s">
        <v>432</v>
      </c>
      <c r="AK149" s="107" t="s">
        <v>432</v>
      </c>
      <c r="AL149" s="600" t="s">
        <v>432</v>
      </c>
      <c r="AM149" s="137" t="s">
        <v>432</v>
      </c>
      <c r="AN149" s="137" t="s">
        <v>432</v>
      </c>
      <c r="AO149" s="137" t="s">
        <v>432</v>
      </c>
      <c r="AP149" s="137" t="s">
        <v>432</v>
      </c>
      <c r="AQ149" s="137" t="s">
        <v>432</v>
      </c>
      <c r="AR149" s="137" t="s">
        <v>432</v>
      </c>
      <c r="AS149" s="137" t="s">
        <v>432</v>
      </c>
      <c r="AT149" s="137" t="s">
        <v>432</v>
      </c>
      <c r="AU149" s="137" t="s">
        <v>432</v>
      </c>
      <c r="AV149" s="137" t="s">
        <v>432</v>
      </c>
      <c r="AW149" s="137" t="s">
        <v>432</v>
      </c>
      <c r="AX149" s="137" t="s">
        <v>432</v>
      </c>
      <c r="AY149" s="137" t="s">
        <v>432</v>
      </c>
      <c r="AZ149" s="137" t="s">
        <v>432</v>
      </c>
      <c r="BA149" s="137" t="s">
        <v>432</v>
      </c>
      <c r="BB149" s="239" t="str">
        <f t="shared" si="35"/>
        <v>Solicitações urbanísticasx</v>
      </c>
      <c r="BC149" s="239" t="str">
        <f t="shared" si="36"/>
        <v>Solicitações urbanísticasxsigla/verbete</v>
      </c>
      <c r="BD149" s="239" t="str">
        <f t="shared" si="37"/>
        <v>Solicitações urbanísticassigla/verbete</v>
      </c>
    </row>
    <row r="150" spans="1:56" s="3" customFormat="1" ht="25.5" customHeight="1" x14ac:dyDescent="0.25">
      <c r="A150" s="275" t="str">
        <f>'Q100b-totais'!$B$14</f>
        <v>1.5</v>
      </c>
      <c r="B150" s="252" t="s">
        <v>642</v>
      </c>
      <c r="C150" s="167" t="s">
        <v>432</v>
      </c>
      <c r="D150" s="324" t="s">
        <v>73</v>
      </c>
      <c r="E150" s="254" t="s">
        <v>1306</v>
      </c>
      <c r="F150" s="11" t="s">
        <v>1463</v>
      </c>
      <c r="G150" s="110" t="s">
        <v>77</v>
      </c>
      <c r="H150" s="173" t="s">
        <v>432</v>
      </c>
      <c r="I150" s="57">
        <v>1</v>
      </c>
      <c r="J150" s="107" t="s">
        <v>432</v>
      </c>
      <c r="K150" s="93" t="s">
        <v>432</v>
      </c>
      <c r="L150" s="93" t="s">
        <v>432</v>
      </c>
      <c r="M150" s="93" t="s">
        <v>432</v>
      </c>
      <c r="N150" s="93" t="s">
        <v>432</v>
      </c>
      <c r="O150" s="93" t="s">
        <v>432</v>
      </c>
      <c r="P150" s="93" t="s">
        <v>432</v>
      </c>
      <c r="Q150" s="93" t="s">
        <v>432</v>
      </c>
      <c r="R150" s="93" t="s">
        <v>432</v>
      </c>
      <c r="S150" s="109" t="s">
        <v>2209</v>
      </c>
      <c r="T150" s="93" t="s">
        <v>432</v>
      </c>
      <c r="U150" s="93" t="s">
        <v>432</v>
      </c>
      <c r="V150" s="109" t="s">
        <v>2209</v>
      </c>
      <c r="W150" s="93" t="s">
        <v>432</v>
      </c>
      <c r="X150" s="93" t="s">
        <v>432</v>
      </c>
      <c r="Y150" s="93" t="s">
        <v>432</v>
      </c>
      <c r="Z150" s="93" t="s">
        <v>432</v>
      </c>
      <c r="AA150" s="93" t="s">
        <v>432</v>
      </c>
      <c r="AB150" s="93" t="s">
        <v>432</v>
      </c>
      <c r="AC150" s="93" t="s">
        <v>432</v>
      </c>
      <c r="AD150" s="93" t="s">
        <v>432</v>
      </c>
      <c r="AE150" s="93" t="s">
        <v>432</v>
      </c>
      <c r="AF150" s="93" t="s">
        <v>432</v>
      </c>
      <c r="AG150" s="84">
        <v>26</v>
      </c>
      <c r="AH150" s="84">
        <v>43</v>
      </c>
      <c r="AI150" s="84">
        <v>68</v>
      </c>
      <c r="AJ150" s="84">
        <v>75</v>
      </c>
      <c r="AK150" s="84">
        <v>98</v>
      </c>
      <c r="AL150" s="600" t="s">
        <v>432</v>
      </c>
      <c r="AM150" s="137" t="s">
        <v>432</v>
      </c>
      <c r="AN150" s="137" t="s">
        <v>432</v>
      </c>
      <c r="AO150" s="137" t="s">
        <v>432</v>
      </c>
      <c r="AP150" s="137" t="s">
        <v>432</v>
      </c>
      <c r="AQ150" s="137" t="s">
        <v>432</v>
      </c>
      <c r="AR150" s="137" t="s">
        <v>432</v>
      </c>
      <c r="AS150" s="137" t="s">
        <v>432</v>
      </c>
      <c r="AT150" s="137" t="s">
        <v>432</v>
      </c>
      <c r="AU150" s="137" t="s">
        <v>432</v>
      </c>
      <c r="AV150" s="137" t="s">
        <v>432</v>
      </c>
      <c r="AW150" s="137" t="s">
        <v>432</v>
      </c>
      <c r="AX150" s="137" t="s">
        <v>432</v>
      </c>
      <c r="AY150" s="137" t="s">
        <v>432</v>
      </c>
      <c r="AZ150" s="137" t="s">
        <v>432</v>
      </c>
      <c r="BA150" s="137" t="s">
        <v>432</v>
      </c>
      <c r="BB150" s="239" t="str">
        <f t="shared" si="35"/>
        <v>Solicitações urbanísticasx</v>
      </c>
      <c r="BC150" s="239" t="str">
        <f t="shared" si="36"/>
        <v>Solicitações urbanísticasxx</v>
      </c>
      <c r="BD150" s="239" t="str">
        <f t="shared" si="37"/>
        <v>Solicitações urbanísticasx</v>
      </c>
    </row>
    <row r="151" spans="1:56" s="3" customFormat="1" ht="72.75" customHeight="1" x14ac:dyDescent="0.25">
      <c r="A151" s="275" t="str">
        <f>'Q100b-totais'!$B$14</f>
        <v>1.5</v>
      </c>
      <c r="B151" s="252" t="s">
        <v>642</v>
      </c>
      <c r="C151" s="167" t="s">
        <v>432</v>
      </c>
      <c r="D151" s="324" t="s">
        <v>74</v>
      </c>
      <c r="E151" s="254" t="s">
        <v>1306</v>
      </c>
      <c r="F151" s="11" t="s">
        <v>1427</v>
      </c>
      <c r="G151" s="414" t="s">
        <v>75</v>
      </c>
      <c r="H151" s="173" t="s">
        <v>432</v>
      </c>
      <c r="I151" s="57">
        <v>1</v>
      </c>
      <c r="J151" s="107" t="s">
        <v>432</v>
      </c>
      <c r="K151" s="93" t="s">
        <v>432</v>
      </c>
      <c r="L151" s="93" t="s">
        <v>432</v>
      </c>
      <c r="M151" s="93" t="s">
        <v>432</v>
      </c>
      <c r="N151" s="93" t="s">
        <v>432</v>
      </c>
      <c r="O151" s="93" t="s">
        <v>432</v>
      </c>
      <c r="P151" s="93" t="s">
        <v>432</v>
      </c>
      <c r="Q151" s="93" t="s">
        <v>432</v>
      </c>
      <c r="R151" s="93" t="s">
        <v>432</v>
      </c>
      <c r="S151" s="109" t="s">
        <v>2209</v>
      </c>
      <c r="T151" s="93" t="s">
        <v>432</v>
      </c>
      <c r="U151" s="93" t="s">
        <v>432</v>
      </c>
      <c r="V151" s="109" t="s">
        <v>2209</v>
      </c>
      <c r="W151" s="93" t="s">
        <v>432</v>
      </c>
      <c r="X151" s="93" t="s">
        <v>432</v>
      </c>
      <c r="Y151" s="93" t="s">
        <v>432</v>
      </c>
      <c r="Z151" s="93" t="s">
        <v>432</v>
      </c>
      <c r="AA151" s="93" t="s">
        <v>432</v>
      </c>
      <c r="AB151" s="93" t="s">
        <v>432</v>
      </c>
      <c r="AC151" s="93" t="s">
        <v>432</v>
      </c>
      <c r="AD151" s="93" t="s">
        <v>432</v>
      </c>
      <c r="AE151" s="93" t="s">
        <v>432</v>
      </c>
      <c r="AF151" s="93" t="s">
        <v>432</v>
      </c>
      <c r="AG151" s="47">
        <f>(AG150/AG154)</f>
        <v>0.52</v>
      </c>
      <c r="AH151" s="47">
        <f>(AH150/AH154)</f>
        <v>0.91489361702127658</v>
      </c>
      <c r="AI151" s="47">
        <f>(AI150/AI154)</f>
        <v>0.85</v>
      </c>
      <c r="AJ151" s="47">
        <f>(AJ150/AJ154)</f>
        <v>0.78947368421052633</v>
      </c>
      <c r="AK151" s="47">
        <f>(AK150/AK154)</f>
        <v>1</v>
      </c>
      <c r="AL151" s="600" t="s">
        <v>432</v>
      </c>
      <c r="AM151" s="137" t="s">
        <v>432</v>
      </c>
      <c r="AN151" s="137" t="s">
        <v>432</v>
      </c>
      <c r="AO151" s="137" t="s">
        <v>432</v>
      </c>
      <c r="AP151" s="137" t="s">
        <v>432</v>
      </c>
      <c r="AQ151" s="137" t="s">
        <v>432</v>
      </c>
      <c r="AR151" s="137" t="s">
        <v>432</v>
      </c>
      <c r="AS151" s="137" t="s">
        <v>432</v>
      </c>
      <c r="AT151" s="137" t="s">
        <v>432</v>
      </c>
      <c r="AU151" s="137" t="s">
        <v>432</v>
      </c>
      <c r="AV151" s="137" t="s">
        <v>432</v>
      </c>
      <c r="AW151" s="137" t="s">
        <v>432</v>
      </c>
      <c r="AX151" s="137" t="s">
        <v>432</v>
      </c>
      <c r="AY151" s="137" t="s">
        <v>432</v>
      </c>
      <c r="AZ151" s="137" t="s">
        <v>432</v>
      </c>
      <c r="BA151" s="137" t="s">
        <v>432</v>
      </c>
      <c r="BB151" s="239" t="str">
        <f t="shared" si="35"/>
        <v>Solicitações urbanísticasx</v>
      </c>
      <c r="BC151" s="239" t="str">
        <f t="shared" si="36"/>
        <v>Solicitações urbanísticasxx</v>
      </c>
      <c r="BD151" s="239" t="str">
        <f t="shared" si="37"/>
        <v>Solicitações urbanísticasx</v>
      </c>
    </row>
    <row r="152" spans="1:56" s="3" customFormat="1" ht="25.5" customHeight="1" x14ac:dyDescent="0.25">
      <c r="A152" s="275" t="str">
        <f>'Q100b-totais'!$B$14</f>
        <v>1.5</v>
      </c>
      <c r="B152" s="252" t="s">
        <v>642</v>
      </c>
      <c r="C152" s="167" t="s">
        <v>432</v>
      </c>
      <c r="D152" s="324" t="s">
        <v>76</v>
      </c>
      <c r="E152" s="254" t="s">
        <v>1306</v>
      </c>
      <c r="F152" s="11" t="s">
        <v>1464</v>
      </c>
      <c r="G152" s="110" t="s">
        <v>77</v>
      </c>
      <c r="H152" s="173" t="s">
        <v>432</v>
      </c>
      <c r="I152" s="57">
        <v>1</v>
      </c>
      <c r="J152" s="107" t="s">
        <v>432</v>
      </c>
      <c r="K152" s="93" t="s">
        <v>432</v>
      </c>
      <c r="L152" s="93" t="s">
        <v>432</v>
      </c>
      <c r="M152" s="93" t="s">
        <v>432</v>
      </c>
      <c r="N152" s="93" t="s">
        <v>432</v>
      </c>
      <c r="O152" s="93" t="s">
        <v>432</v>
      </c>
      <c r="P152" s="93" t="s">
        <v>432</v>
      </c>
      <c r="Q152" s="93" t="s">
        <v>432</v>
      </c>
      <c r="R152" s="93" t="s">
        <v>432</v>
      </c>
      <c r="S152" s="109" t="s">
        <v>2209</v>
      </c>
      <c r="T152" s="93" t="s">
        <v>432</v>
      </c>
      <c r="U152" s="93" t="s">
        <v>432</v>
      </c>
      <c r="V152" s="109" t="s">
        <v>2209</v>
      </c>
      <c r="W152" s="93" t="s">
        <v>432</v>
      </c>
      <c r="X152" s="93" t="s">
        <v>432</v>
      </c>
      <c r="Y152" s="93" t="s">
        <v>432</v>
      </c>
      <c r="Z152" s="93" t="s">
        <v>432</v>
      </c>
      <c r="AA152" s="93" t="s">
        <v>432</v>
      </c>
      <c r="AB152" s="93" t="s">
        <v>432</v>
      </c>
      <c r="AC152" s="93" t="s">
        <v>432</v>
      </c>
      <c r="AD152" s="93" t="s">
        <v>432</v>
      </c>
      <c r="AE152" s="93" t="s">
        <v>432</v>
      </c>
      <c r="AF152" s="93" t="s">
        <v>432</v>
      </c>
      <c r="AG152" s="84">
        <v>48</v>
      </c>
      <c r="AH152" s="84">
        <v>76</v>
      </c>
      <c r="AI152" s="84">
        <v>75</v>
      </c>
      <c r="AJ152" s="84">
        <v>58</v>
      </c>
      <c r="AK152" s="84">
        <v>67</v>
      </c>
      <c r="AL152" s="600" t="s">
        <v>432</v>
      </c>
      <c r="AM152" s="137" t="s">
        <v>432</v>
      </c>
      <c r="AN152" s="137" t="s">
        <v>432</v>
      </c>
      <c r="AO152" s="137" t="s">
        <v>432</v>
      </c>
      <c r="AP152" s="137" t="s">
        <v>432</v>
      </c>
      <c r="AQ152" s="137" t="s">
        <v>432</v>
      </c>
      <c r="AR152" s="137" t="s">
        <v>432</v>
      </c>
      <c r="AS152" s="137" t="s">
        <v>432</v>
      </c>
      <c r="AT152" s="137" t="s">
        <v>432</v>
      </c>
      <c r="AU152" s="137" t="s">
        <v>432</v>
      </c>
      <c r="AV152" s="137" t="s">
        <v>432</v>
      </c>
      <c r="AW152" s="137" t="s">
        <v>432</v>
      </c>
      <c r="AX152" s="137" t="s">
        <v>432</v>
      </c>
      <c r="AY152" s="137" t="s">
        <v>432</v>
      </c>
      <c r="AZ152" s="137" t="s">
        <v>432</v>
      </c>
      <c r="BA152" s="137" t="s">
        <v>432</v>
      </c>
      <c r="BB152" s="239" t="str">
        <f t="shared" si="35"/>
        <v>Solicitações urbanísticasx</v>
      </c>
      <c r="BC152" s="239" t="str">
        <f t="shared" si="36"/>
        <v>Solicitações urbanísticasxx</v>
      </c>
      <c r="BD152" s="239" t="str">
        <f t="shared" si="37"/>
        <v>Solicitações urbanísticasx</v>
      </c>
    </row>
    <row r="153" spans="1:56" s="3" customFormat="1" ht="38.25" customHeight="1" x14ac:dyDescent="0.25">
      <c r="A153" s="275" t="str">
        <f>'Q100b-totais'!$B$14</f>
        <v>1.5</v>
      </c>
      <c r="B153" s="252" t="s">
        <v>642</v>
      </c>
      <c r="C153" s="167" t="s">
        <v>432</v>
      </c>
      <c r="D153" s="324" t="s">
        <v>78</v>
      </c>
      <c r="E153" s="254" t="s">
        <v>1306</v>
      </c>
      <c r="F153" s="11" t="s">
        <v>1465</v>
      </c>
      <c r="G153" s="110" t="s">
        <v>77</v>
      </c>
      <c r="H153" s="173" t="s">
        <v>432</v>
      </c>
      <c r="I153" s="57">
        <v>1</v>
      </c>
      <c r="J153" s="107" t="s">
        <v>432</v>
      </c>
      <c r="K153" s="93" t="s">
        <v>432</v>
      </c>
      <c r="L153" s="93" t="s">
        <v>432</v>
      </c>
      <c r="M153" s="93" t="s">
        <v>432</v>
      </c>
      <c r="N153" s="93" t="s">
        <v>432</v>
      </c>
      <c r="O153" s="93" t="s">
        <v>432</v>
      </c>
      <c r="P153" s="93" t="s">
        <v>432</v>
      </c>
      <c r="Q153" s="93" t="s">
        <v>432</v>
      </c>
      <c r="R153" s="93" t="s">
        <v>432</v>
      </c>
      <c r="S153" s="109" t="s">
        <v>2209</v>
      </c>
      <c r="T153" s="93" t="s">
        <v>432</v>
      </c>
      <c r="U153" s="93" t="s">
        <v>432</v>
      </c>
      <c r="V153" s="109" t="s">
        <v>2209</v>
      </c>
      <c r="W153" s="93" t="s">
        <v>432</v>
      </c>
      <c r="X153" s="93" t="s">
        <v>432</v>
      </c>
      <c r="Y153" s="93" t="s">
        <v>432</v>
      </c>
      <c r="Z153" s="93" t="s">
        <v>432</v>
      </c>
      <c r="AA153" s="93" t="s">
        <v>432</v>
      </c>
      <c r="AB153" s="93" t="s">
        <v>432</v>
      </c>
      <c r="AC153" s="93" t="s">
        <v>432</v>
      </c>
      <c r="AD153" s="93" t="s">
        <v>432</v>
      </c>
      <c r="AE153" s="93" t="s">
        <v>432</v>
      </c>
      <c r="AF153" s="93" t="s">
        <v>432</v>
      </c>
      <c r="AG153" s="84">
        <v>47</v>
      </c>
      <c r="AH153" s="88">
        <v>32</v>
      </c>
      <c r="AI153" s="84">
        <v>31</v>
      </c>
      <c r="AJ153" s="84">
        <v>60</v>
      </c>
      <c r="AK153" s="84">
        <v>35</v>
      </c>
      <c r="AL153" s="600" t="s">
        <v>432</v>
      </c>
      <c r="AM153" s="137" t="s">
        <v>432</v>
      </c>
      <c r="AN153" s="137" t="s">
        <v>432</v>
      </c>
      <c r="AO153" s="137" t="s">
        <v>432</v>
      </c>
      <c r="AP153" s="137" t="s">
        <v>432</v>
      </c>
      <c r="AQ153" s="137" t="s">
        <v>432</v>
      </c>
      <c r="AR153" s="137" t="s">
        <v>432</v>
      </c>
      <c r="AS153" s="137" t="s">
        <v>432</v>
      </c>
      <c r="AT153" s="137" t="s">
        <v>432</v>
      </c>
      <c r="AU153" s="137" t="s">
        <v>432</v>
      </c>
      <c r="AV153" s="137" t="s">
        <v>432</v>
      </c>
      <c r="AW153" s="137" t="s">
        <v>432</v>
      </c>
      <c r="AX153" s="137" t="s">
        <v>432</v>
      </c>
      <c r="AY153" s="137" t="s">
        <v>432</v>
      </c>
      <c r="AZ153" s="137" t="s">
        <v>432</v>
      </c>
      <c r="BA153" s="137" t="s">
        <v>432</v>
      </c>
      <c r="BB153" s="239" t="str">
        <f t="shared" si="35"/>
        <v>Solicitações urbanísticasx</v>
      </c>
      <c r="BC153" s="239" t="str">
        <f t="shared" si="36"/>
        <v>Solicitações urbanísticasxx</v>
      </c>
      <c r="BD153" s="239" t="str">
        <f t="shared" si="37"/>
        <v>Solicitações urbanísticasx</v>
      </c>
    </row>
    <row r="154" spans="1:56" s="3" customFormat="1" ht="25.5" customHeight="1" x14ac:dyDescent="0.25">
      <c r="A154" s="275" t="str">
        <f>'Q100b-totais'!$B$14</f>
        <v>1.5</v>
      </c>
      <c r="B154" s="252" t="s">
        <v>642</v>
      </c>
      <c r="C154" s="167" t="s">
        <v>432</v>
      </c>
      <c r="D154" s="324" t="s">
        <v>79</v>
      </c>
      <c r="E154" s="254" t="s">
        <v>1306</v>
      </c>
      <c r="F154" s="11" t="s">
        <v>1466</v>
      </c>
      <c r="G154" s="110" t="s">
        <v>77</v>
      </c>
      <c r="H154" s="173" t="s">
        <v>432</v>
      </c>
      <c r="I154" s="57">
        <v>1</v>
      </c>
      <c r="J154" s="107" t="s">
        <v>432</v>
      </c>
      <c r="K154" s="93" t="s">
        <v>432</v>
      </c>
      <c r="L154" s="93" t="s">
        <v>432</v>
      </c>
      <c r="M154" s="93" t="s">
        <v>432</v>
      </c>
      <c r="N154" s="93" t="s">
        <v>432</v>
      </c>
      <c r="O154" s="93" t="s">
        <v>432</v>
      </c>
      <c r="P154" s="93" t="s">
        <v>432</v>
      </c>
      <c r="Q154" s="93" t="s">
        <v>432</v>
      </c>
      <c r="R154" s="93" t="s">
        <v>432</v>
      </c>
      <c r="S154" s="109" t="s">
        <v>2209</v>
      </c>
      <c r="T154" s="93" t="s">
        <v>432</v>
      </c>
      <c r="U154" s="93" t="s">
        <v>432</v>
      </c>
      <c r="V154" s="109" t="s">
        <v>2209</v>
      </c>
      <c r="W154" s="93" t="s">
        <v>432</v>
      </c>
      <c r="X154" s="93" t="s">
        <v>432</v>
      </c>
      <c r="Y154" s="93" t="s">
        <v>432</v>
      </c>
      <c r="Z154" s="93" t="s">
        <v>432</v>
      </c>
      <c r="AA154" s="93" t="s">
        <v>432</v>
      </c>
      <c r="AB154" s="93" t="s">
        <v>432</v>
      </c>
      <c r="AC154" s="93" t="s">
        <v>432</v>
      </c>
      <c r="AD154" s="93" t="s">
        <v>432</v>
      </c>
      <c r="AE154" s="93" t="s">
        <v>432</v>
      </c>
      <c r="AF154" s="93" t="s">
        <v>432</v>
      </c>
      <c r="AG154" s="84">
        <v>50</v>
      </c>
      <c r="AH154" s="84">
        <v>47</v>
      </c>
      <c r="AI154" s="84">
        <v>80</v>
      </c>
      <c r="AJ154" s="84">
        <v>95</v>
      </c>
      <c r="AK154" s="84">
        <v>98</v>
      </c>
      <c r="AL154" s="600" t="s">
        <v>432</v>
      </c>
      <c r="AM154" s="137" t="s">
        <v>432</v>
      </c>
      <c r="AN154" s="137" t="s">
        <v>432</v>
      </c>
      <c r="AO154" s="137" t="s">
        <v>432</v>
      </c>
      <c r="AP154" s="137" t="s">
        <v>432</v>
      </c>
      <c r="AQ154" s="137" t="s">
        <v>432</v>
      </c>
      <c r="AR154" s="137" t="s">
        <v>432</v>
      </c>
      <c r="AS154" s="137" t="s">
        <v>432</v>
      </c>
      <c r="AT154" s="137" t="s">
        <v>432</v>
      </c>
      <c r="AU154" s="137" t="s">
        <v>432</v>
      </c>
      <c r="AV154" s="137" t="s">
        <v>432</v>
      </c>
      <c r="AW154" s="137" t="s">
        <v>432</v>
      </c>
      <c r="AX154" s="137" t="s">
        <v>432</v>
      </c>
      <c r="AY154" s="137" t="s">
        <v>432</v>
      </c>
      <c r="AZ154" s="137" t="s">
        <v>432</v>
      </c>
      <c r="BA154" s="137" t="s">
        <v>432</v>
      </c>
      <c r="BB154" s="239" t="str">
        <f t="shared" si="35"/>
        <v>Solicitações urbanísticasx</v>
      </c>
      <c r="BC154" s="239" t="str">
        <f t="shared" si="36"/>
        <v>Solicitações urbanísticasxx</v>
      </c>
      <c r="BD154" s="239" t="str">
        <f t="shared" si="37"/>
        <v>Solicitações urbanísticasx</v>
      </c>
    </row>
    <row r="155" spans="1:56" s="3" customFormat="1" ht="25.5" customHeight="1" x14ac:dyDescent="0.25">
      <c r="A155" s="275" t="str">
        <f>'Q100b-totais'!$B$14</f>
        <v>1.5</v>
      </c>
      <c r="B155" s="252" t="s">
        <v>642</v>
      </c>
      <c r="C155" s="167" t="s">
        <v>432</v>
      </c>
      <c r="D155" s="324" t="s">
        <v>80</v>
      </c>
      <c r="E155" s="254" t="s">
        <v>1306</v>
      </c>
      <c r="F155" s="11" t="s">
        <v>81</v>
      </c>
      <c r="G155" s="167" t="s">
        <v>3719</v>
      </c>
      <c r="H155" s="168" t="s">
        <v>2408</v>
      </c>
      <c r="I155" s="57" t="s">
        <v>432</v>
      </c>
      <c r="J155" s="109" t="s">
        <v>432</v>
      </c>
      <c r="K155" s="109" t="s">
        <v>432</v>
      </c>
      <c r="L155" s="109" t="s">
        <v>432</v>
      </c>
      <c r="M155" s="109" t="s">
        <v>432</v>
      </c>
      <c r="N155" s="109" t="s">
        <v>432</v>
      </c>
      <c r="O155" s="109" t="s">
        <v>432</v>
      </c>
      <c r="P155" s="109" t="s">
        <v>432</v>
      </c>
      <c r="Q155" s="109" t="s">
        <v>432</v>
      </c>
      <c r="R155" s="109" t="s">
        <v>432</v>
      </c>
      <c r="S155" s="109" t="s">
        <v>2209</v>
      </c>
      <c r="T155" s="109" t="s">
        <v>432</v>
      </c>
      <c r="U155" s="109" t="s">
        <v>432</v>
      </c>
      <c r="V155" s="109" t="s">
        <v>2209</v>
      </c>
      <c r="W155" s="109" t="s">
        <v>432</v>
      </c>
      <c r="X155" s="109" t="s">
        <v>432</v>
      </c>
      <c r="Y155" s="109" t="s">
        <v>432</v>
      </c>
      <c r="Z155" s="109" t="s">
        <v>432</v>
      </c>
      <c r="AA155" s="109" t="s">
        <v>432</v>
      </c>
      <c r="AB155" s="109" t="s">
        <v>432</v>
      </c>
      <c r="AC155" s="109" t="s">
        <v>432</v>
      </c>
      <c r="AD155" s="109" t="s">
        <v>432</v>
      </c>
      <c r="AE155" s="109" t="s">
        <v>432</v>
      </c>
      <c r="AF155" s="109" t="s">
        <v>432</v>
      </c>
      <c r="AG155" s="109" t="s">
        <v>432</v>
      </c>
      <c r="AH155" s="109" t="s">
        <v>432</v>
      </c>
      <c r="AI155" s="109" t="s">
        <v>432</v>
      </c>
      <c r="AJ155" s="109" t="s">
        <v>432</v>
      </c>
      <c r="AK155" s="137" t="s">
        <v>432</v>
      </c>
      <c r="AL155" s="600" t="s">
        <v>432</v>
      </c>
      <c r="AM155" s="137" t="s">
        <v>432</v>
      </c>
      <c r="AN155" s="137" t="s">
        <v>432</v>
      </c>
      <c r="AO155" s="137" t="s">
        <v>432</v>
      </c>
      <c r="AP155" s="137" t="s">
        <v>432</v>
      </c>
      <c r="AQ155" s="137" t="s">
        <v>432</v>
      </c>
      <c r="AR155" s="137" t="s">
        <v>432</v>
      </c>
      <c r="AS155" s="137" t="s">
        <v>432</v>
      </c>
      <c r="AT155" s="137" t="s">
        <v>432</v>
      </c>
      <c r="AU155" s="137" t="s">
        <v>432</v>
      </c>
      <c r="AV155" s="137" t="s">
        <v>432</v>
      </c>
      <c r="AW155" s="137" t="s">
        <v>432</v>
      </c>
      <c r="AX155" s="137" t="s">
        <v>432</v>
      </c>
      <c r="AY155" s="137" t="s">
        <v>432</v>
      </c>
      <c r="AZ155" s="137" t="s">
        <v>432</v>
      </c>
      <c r="BA155" s="137" t="s">
        <v>432</v>
      </c>
      <c r="BB155" s="239" t="str">
        <f t="shared" si="35"/>
        <v>Solicitações urbanísticasx</v>
      </c>
      <c r="BC155" s="239" t="str">
        <f t="shared" si="36"/>
        <v>Solicitações urbanísticasxsigla/verbete</v>
      </c>
      <c r="BD155" s="239" t="str">
        <f t="shared" si="37"/>
        <v>Solicitações urbanísticassigla/verbete</v>
      </c>
    </row>
    <row r="156" spans="1:56" s="3" customFormat="1" ht="25.5" customHeight="1" x14ac:dyDescent="0.25">
      <c r="A156" s="275" t="str">
        <f>'Q100b-totais'!$B$14</f>
        <v>1.5</v>
      </c>
      <c r="B156" s="252" t="s">
        <v>642</v>
      </c>
      <c r="C156" s="167" t="s">
        <v>432</v>
      </c>
      <c r="D156" s="324" t="s">
        <v>82</v>
      </c>
      <c r="E156" s="254" t="s">
        <v>1306</v>
      </c>
      <c r="F156" s="11" t="s">
        <v>1467</v>
      </c>
      <c r="G156" s="110" t="s">
        <v>77</v>
      </c>
      <c r="H156" s="173" t="s">
        <v>432</v>
      </c>
      <c r="I156" s="57">
        <v>1</v>
      </c>
      <c r="J156" s="107" t="s">
        <v>432</v>
      </c>
      <c r="K156" s="93" t="s">
        <v>432</v>
      </c>
      <c r="L156" s="93" t="s">
        <v>432</v>
      </c>
      <c r="M156" s="93" t="s">
        <v>432</v>
      </c>
      <c r="N156" s="93" t="s">
        <v>432</v>
      </c>
      <c r="O156" s="93" t="s">
        <v>432</v>
      </c>
      <c r="P156" s="93" t="s">
        <v>432</v>
      </c>
      <c r="Q156" s="93" t="s">
        <v>432</v>
      </c>
      <c r="R156" s="93" t="s">
        <v>432</v>
      </c>
      <c r="S156" s="109" t="s">
        <v>2209</v>
      </c>
      <c r="T156" s="93" t="s">
        <v>432</v>
      </c>
      <c r="U156" s="93" t="s">
        <v>432</v>
      </c>
      <c r="V156" s="109" t="s">
        <v>2209</v>
      </c>
      <c r="W156" s="93" t="s">
        <v>432</v>
      </c>
      <c r="X156" s="93" t="s">
        <v>432</v>
      </c>
      <c r="Y156" s="93" t="s">
        <v>432</v>
      </c>
      <c r="Z156" s="93" t="s">
        <v>432</v>
      </c>
      <c r="AA156" s="93" t="s">
        <v>432</v>
      </c>
      <c r="AB156" s="93" t="s">
        <v>432</v>
      </c>
      <c r="AC156" s="93" t="s">
        <v>432</v>
      </c>
      <c r="AD156" s="93" t="s">
        <v>432</v>
      </c>
      <c r="AE156" s="93" t="s">
        <v>432</v>
      </c>
      <c r="AF156" s="93" t="s">
        <v>432</v>
      </c>
      <c r="AG156" s="84">
        <v>15</v>
      </c>
      <c r="AH156" s="84">
        <v>15</v>
      </c>
      <c r="AI156" s="84">
        <v>21</v>
      </c>
      <c r="AJ156" s="84">
        <v>25</v>
      </c>
      <c r="AK156" s="84">
        <v>33</v>
      </c>
      <c r="AL156" s="600" t="s">
        <v>432</v>
      </c>
      <c r="AM156" s="137" t="s">
        <v>432</v>
      </c>
      <c r="AN156" s="137" t="s">
        <v>432</v>
      </c>
      <c r="AO156" s="137" t="s">
        <v>432</v>
      </c>
      <c r="AP156" s="137" t="s">
        <v>432</v>
      </c>
      <c r="AQ156" s="137" t="s">
        <v>432</v>
      </c>
      <c r="AR156" s="137" t="s">
        <v>432</v>
      </c>
      <c r="AS156" s="137" t="s">
        <v>432</v>
      </c>
      <c r="AT156" s="137" t="s">
        <v>432</v>
      </c>
      <c r="AU156" s="137" t="s">
        <v>432</v>
      </c>
      <c r="AV156" s="137" t="s">
        <v>432</v>
      </c>
      <c r="AW156" s="137" t="s">
        <v>432</v>
      </c>
      <c r="AX156" s="137" t="s">
        <v>432</v>
      </c>
      <c r="AY156" s="137" t="s">
        <v>432</v>
      </c>
      <c r="AZ156" s="137" t="s">
        <v>432</v>
      </c>
      <c r="BA156" s="137" t="s">
        <v>432</v>
      </c>
      <c r="BB156" s="239" t="str">
        <f t="shared" si="35"/>
        <v>Solicitações urbanísticasx</v>
      </c>
      <c r="BC156" s="239" t="str">
        <f t="shared" si="36"/>
        <v>Solicitações urbanísticasxx</v>
      </c>
      <c r="BD156" s="239" t="str">
        <f t="shared" si="37"/>
        <v>Solicitações urbanísticasx</v>
      </c>
    </row>
    <row r="157" spans="1:56" s="3" customFormat="1" ht="74.25" customHeight="1" x14ac:dyDescent="0.25">
      <c r="A157" s="275" t="str">
        <f>'Q100b-totais'!$B$14</f>
        <v>1.5</v>
      </c>
      <c r="B157" s="252" t="s">
        <v>642</v>
      </c>
      <c r="C157" s="167" t="s">
        <v>432</v>
      </c>
      <c r="D157" s="324" t="s">
        <v>83</v>
      </c>
      <c r="E157" s="254" t="s">
        <v>1306</v>
      </c>
      <c r="F157" s="11" t="s">
        <v>1424</v>
      </c>
      <c r="G157" s="414" t="s">
        <v>84</v>
      </c>
      <c r="H157" s="173" t="s">
        <v>432</v>
      </c>
      <c r="I157" s="57">
        <v>1</v>
      </c>
      <c r="J157" s="107" t="s">
        <v>432</v>
      </c>
      <c r="K157" s="93" t="s">
        <v>432</v>
      </c>
      <c r="L157" s="93" t="s">
        <v>432</v>
      </c>
      <c r="M157" s="93" t="s">
        <v>432</v>
      </c>
      <c r="N157" s="93" t="s">
        <v>432</v>
      </c>
      <c r="O157" s="93" t="s">
        <v>432</v>
      </c>
      <c r="P157" s="93" t="s">
        <v>432</v>
      </c>
      <c r="Q157" s="93" t="s">
        <v>432</v>
      </c>
      <c r="R157" s="93" t="s">
        <v>432</v>
      </c>
      <c r="S157" s="109" t="s">
        <v>2209</v>
      </c>
      <c r="T157" s="93" t="s">
        <v>432</v>
      </c>
      <c r="U157" s="93" t="s">
        <v>432</v>
      </c>
      <c r="V157" s="109" t="s">
        <v>2209</v>
      </c>
      <c r="W157" s="93" t="s">
        <v>432</v>
      </c>
      <c r="X157" s="93" t="s">
        <v>432</v>
      </c>
      <c r="Y157" s="93" t="s">
        <v>432</v>
      </c>
      <c r="Z157" s="93" t="s">
        <v>432</v>
      </c>
      <c r="AA157" s="93" t="s">
        <v>432</v>
      </c>
      <c r="AB157" s="93" t="s">
        <v>432</v>
      </c>
      <c r="AC157" s="93" t="s">
        <v>432</v>
      </c>
      <c r="AD157" s="93" t="s">
        <v>432</v>
      </c>
      <c r="AE157" s="93" t="s">
        <v>432</v>
      </c>
      <c r="AF157" s="93" t="s">
        <v>432</v>
      </c>
      <c r="AG157" s="47">
        <f>(AG156/AG160)</f>
        <v>0.4838709677419355</v>
      </c>
      <c r="AH157" s="47">
        <f>(AH156/AH160)</f>
        <v>0.65217391304347827</v>
      </c>
      <c r="AI157" s="47">
        <f>(AI156/AI160)</f>
        <v>0.80769230769230771</v>
      </c>
      <c r="AJ157" s="47">
        <f>(AJ156/AJ160)</f>
        <v>0.75757575757575757</v>
      </c>
      <c r="AK157" s="47">
        <f>(AK156/AK160)</f>
        <v>0.73333333333333328</v>
      </c>
      <c r="AL157" s="600" t="s">
        <v>432</v>
      </c>
      <c r="AM157" s="137" t="s">
        <v>432</v>
      </c>
      <c r="AN157" s="137" t="s">
        <v>432</v>
      </c>
      <c r="AO157" s="137" t="s">
        <v>432</v>
      </c>
      <c r="AP157" s="137" t="s">
        <v>432</v>
      </c>
      <c r="AQ157" s="137" t="s">
        <v>432</v>
      </c>
      <c r="AR157" s="137" t="s">
        <v>432</v>
      </c>
      <c r="AS157" s="137" t="s">
        <v>432</v>
      </c>
      <c r="AT157" s="137" t="s">
        <v>432</v>
      </c>
      <c r="AU157" s="137" t="s">
        <v>432</v>
      </c>
      <c r="AV157" s="137" t="s">
        <v>432</v>
      </c>
      <c r="AW157" s="137" t="s">
        <v>432</v>
      </c>
      <c r="AX157" s="137" t="s">
        <v>432</v>
      </c>
      <c r="AY157" s="137" t="s">
        <v>432</v>
      </c>
      <c r="AZ157" s="137" t="s">
        <v>432</v>
      </c>
      <c r="BA157" s="137" t="s">
        <v>432</v>
      </c>
      <c r="BB157" s="239" t="str">
        <f t="shared" si="35"/>
        <v>Solicitações urbanísticasx</v>
      </c>
      <c r="BC157" s="239" t="str">
        <f t="shared" si="36"/>
        <v>Solicitações urbanísticasxx</v>
      </c>
      <c r="BD157" s="239" t="str">
        <f t="shared" si="37"/>
        <v>Solicitações urbanísticasx</v>
      </c>
    </row>
    <row r="158" spans="1:56" s="3" customFormat="1" ht="25.5" customHeight="1" x14ac:dyDescent="0.25">
      <c r="A158" s="275" t="str">
        <f>'Q100b-totais'!$B$14</f>
        <v>1.5</v>
      </c>
      <c r="B158" s="252" t="s">
        <v>642</v>
      </c>
      <c r="C158" s="167" t="s">
        <v>432</v>
      </c>
      <c r="D158" s="324" t="s">
        <v>85</v>
      </c>
      <c r="E158" s="254" t="s">
        <v>1306</v>
      </c>
      <c r="F158" s="11" t="s">
        <v>1468</v>
      </c>
      <c r="G158" s="110" t="s">
        <v>77</v>
      </c>
      <c r="H158" s="173" t="s">
        <v>432</v>
      </c>
      <c r="I158" s="57">
        <v>1</v>
      </c>
      <c r="J158" s="107" t="s">
        <v>432</v>
      </c>
      <c r="K158" s="93" t="s">
        <v>432</v>
      </c>
      <c r="L158" s="93" t="s">
        <v>432</v>
      </c>
      <c r="M158" s="93" t="s">
        <v>432</v>
      </c>
      <c r="N158" s="93" t="s">
        <v>432</v>
      </c>
      <c r="O158" s="93" t="s">
        <v>432</v>
      </c>
      <c r="P158" s="93" t="s">
        <v>432</v>
      </c>
      <c r="Q158" s="93" t="s">
        <v>432</v>
      </c>
      <c r="R158" s="93" t="s">
        <v>432</v>
      </c>
      <c r="S158" s="109" t="s">
        <v>2209</v>
      </c>
      <c r="T158" s="93" t="s">
        <v>432</v>
      </c>
      <c r="U158" s="93" t="s">
        <v>432</v>
      </c>
      <c r="V158" s="109" t="s">
        <v>2209</v>
      </c>
      <c r="W158" s="93" t="s">
        <v>432</v>
      </c>
      <c r="X158" s="93" t="s">
        <v>432</v>
      </c>
      <c r="Y158" s="93" t="s">
        <v>432</v>
      </c>
      <c r="Z158" s="93" t="s">
        <v>432</v>
      </c>
      <c r="AA158" s="93" t="s">
        <v>432</v>
      </c>
      <c r="AB158" s="93" t="s">
        <v>432</v>
      </c>
      <c r="AC158" s="93" t="s">
        <v>432</v>
      </c>
      <c r="AD158" s="93" t="s">
        <v>432</v>
      </c>
      <c r="AE158" s="93" t="s">
        <v>432</v>
      </c>
      <c r="AF158" s="93" t="s">
        <v>432</v>
      </c>
      <c r="AG158" s="84">
        <v>35</v>
      </c>
      <c r="AH158" s="84">
        <v>27</v>
      </c>
      <c r="AI158" s="84">
        <v>29</v>
      </c>
      <c r="AJ158" s="84">
        <v>26</v>
      </c>
      <c r="AK158" s="84">
        <v>29</v>
      </c>
      <c r="AL158" s="600" t="s">
        <v>432</v>
      </c>
      <c r="AM158" s="137" t="s">
        <v>432</v>
      </c>
      <c r="AN158" s="137" t="s">
        <v>432</v>
      </c>
      <c r="AO158" s="137" t="s">
        <v>432</v>
      </c>
      <c r="AP158" s="137" t="s">
        <v>432</v>
      </c>
      <c r="AQ158" s="137" t="s">
        <v>432</v>
      </c>
      <c r="AR158" s="137" t="s">
        <v>432</v>
      </c>
      <c r="AS158" s="137" t="s">
        <v>432</v>
      </c>
      <c r="AT158" s="137" t="s">
        <v>432</v>
      </c>
      <c r="AU158" s="137" t="s">
        <v>432</v>
      </c>
      <c r="AV158" s="137" t="s">
        <v>432</v>
      </c>
      <c r="AW158" s="137" t="s">
        <v>432</v>
      </c>
      <c r="AX158" s="137" t="s">
        <v>432</v>
      </c>
      <c r="AY158" s="137" t="s">
        <v>432</v>
      </c>
      <c r="AZ158" s="137" t="s">
        <v>432</v>
      </c>
      <c r="BA158" s="137" t="s">
        <v>432</v>
      </c>
      <c r="BB158" s="239" t="str">
        <f t="shared" si="35"/>
        <v>Solicitações urbanísticasx</v>
      </c>
      <c r="BC158" s="239" t="str">
        <f t="shared" si="36"/>
        <v>Solicitações urbanísticasxx</v>
      </c>
      <c r="BD158" s="239" t="str">
        <f t="shared" si="37"/>
        <v>Solicitações urbanísticasx</v>
      </c>
    </row>
    <row r="159" spans="1:56" s="3" customFormat="1" ht="38.25" customHeight="1" x14ac:dyDescent="0.25">
      <c r="A159" s="275" t="str">
        <f>'Q100b-totais'!$B$14</f>
        <v>1.5</v>
      </c>
      <c r="B159" s="252" t="s">
        <v>642</v>
      </c>
      <c r="C159" s="167" t="s">
        <v>432</v>
      </c>
      <c r="D159" s="324" t="s">
        <v>86</v>
      </c>
      <c r="E159" s="254" t="s">
        <v>1306</v>
      </c>
      <c r="F159" s="11" t="s">
        <v>1469</v>
      </c>
      <c r="G159" s="110" t="s">
        <v>77</v>
      </c>
      <c r="H159" s="173" t="s">
        <v>432</v>
      </c>
      <c r="I159" s="57">
        <v>1</v>
      </c>
      <c r="J159" s="107" t="s">
        <v>432</v>
      </c>
      <c r="K159" s="93" t="s">
        <v>432</v>
      </c>
      <c r="L159" s="93" t="s">
        <v>432</v>
      </c>
      <c r="M159" s="93" t="s">
        <v>432</v>
      </c>
      <c r="N159" s="93" t="s">
        <v>432</v>
      </c>
      <c r="O159" s="93" t="s">
        <v>432</v>
      </c>
      <c r="P159" s="93" t="s">
        <v>432</v>
      </c>
      <c r="Q159" s="93" t="s">
        <v>432</v>
      </c>
      <c r="R159" s="93" t="s">
        <v>432</v>
      </c>
      <c r="S159" s="109" t="s">
        <v>2209</v>
      </c>
      <c r="T159" s="93" t="s">
        <v>432</v>
      </c>
      <c r="U159" s="93" t="s">
        <v>432</v>
      </c>
      <c r="V159" s="109" t="s">
        <v>2209</v>
      </c>
      <c r="W159" s="93" t="s">
        <v>432</v>
      </c>
      <c r="X159" s="93" t="s">
        <v>432</v>
      </c>
      <c r="Y159" s="93" t="s">
        <v>432</v>
      </c>
      <c r="Z159" s="93" t="s">
        <v>432</v>
      </c>
      <c r="AA159" s="93" t="s">
        <v>432</v>
      </c>
      <c r="AB159" s="93" t="s">
        <v>432</v>
      </c>
      <c r="AC159" s="93" t="s">
        <v>432</v>
      </c>
      <c r="AD159" s="93" t="s">
        <v>432</v>
      </c>
      <c r="AE159" s="93" t="s">
        <v>432</v>
      </c>
      <c r="AF159" s="93" t="s">
        <v>432</v>
      </c>
      <c r="AG159" s="84">
        <v>32</v>
      </c>
      <c r="AH159" s="84">
        <v>30</v>
      </c>
      <c r="AI159" s="84">
        <v>17</v>
      </c>
      <c r="AJ159" s="84">
        <v>19</v>
      </c>
      <c r="AK159" s="84">
        <v>28</v>
      </c>
      <c r="AL159" s="600" t="s">
        <v>432</v>
      </c>
      <c r="AM159" s="137" t="s">
        <v>432</v>
      </c>
      <c r="AN159" s="137" t="s">
        <v>432</v>
      </c>
      <c r="AO159" s="137" t="s">
        <v>432</v>
      </c>
      <c r="AP159" s="137" t="s">
        <v>432</v>
      </c>
      <c r="AQ159" s="137" t="s">
        <v>432</v>
      </c>
      <c r="AR159" s="137" t="s">
        <v>432</v>
      </c>
      <c r="AS159" s="137" t="s">
        <v>432</v>
      </c>
      <c r="AT159" s="137" t="s">
        <v>432</v>
      </c>
      <c r="AU159" s="137" t="s">
        <v>432</v>
      </c>
      <c r="AV159" s="137" t="s">
        <v>432</v>
      </c>
      <c r="AW159" s="137" t="s">
        <v>432</v>
      </c>
      <c r="AX159" s="137" t="s">
        <v>432</v>
      </c>
      <c r="AY159" s="137" t="s">
        <v>432</v>
      </c>
      <c r="AZ159" s="137" t="s">
        <v>432</v>
      </c>
      <c r="BA159" s="137" t="s">
        <v>432</v>
      </c>
      <c r="BB159" s="239" t="str">
        <f t="shared" si="35"/>
        <v>Solicitações urbanísticasx</v>
      </c>
      <c r="BC159" s="239" t="str">
        <f t="shared" si="36"/>
        <v>Solicitações urbanísticasxx</v>
      </c>
      <c r="BD159" s="239" t="str">
        <f t="shared" si="37"/>
        <v>Solicitações urbanísticasx</v>
      </c>
    </row>
    <row r="160" spans="1:56" s="3" customFormat="1" ht="25.5" customHeight="1" x14ac:dyDescent="0.25">
      <c r="A160" s="275" t="str">
        <f>'Q100b-totais'!$B$14</f>
        <v>1.5</v>
      </c>
      <c r="B160" s="252" t="s">
        <v>642</v>
      </c>
      <c r="C160" s="167" t="s">
        <v>432</v>
      </c>
      <c r="D160" s="324" t="s">
        <v>87</v>
      </c>
      <c r="E160" s="254" t="s">
        <v>1306</v>
      </c>
      <c r="F160" s="11" t="s">
        <v>1470</v>
      </c>
      <c r="G160" s="110" t="s">
        <v>77</v>
      </c>
      <c r="H160" s="173" t="s">
        <v>432</v>
      </c>
      <c r="I160" s="57">
        <v>1</v>
      </c>
      <c r="J160" s="107" t="s">
        <v>432</v>
      </c>
      <c r="K160" s="93" t="s">
        <v>432</v>
      </c>
      <c r="L160" s="93" t="s">
        <v>432</v>
      </c>
      <c r="M160" s="93" t="s">
        <v>432</v>
      </c>
      <c r="N160" s="93" t="s">
        <v>432</v>
      </c>
      <c r="O160" s="93" t="s">
        <v>432</v>
      </c>
      <c r="P160" s="93" t="s">
        <v>432</v>
      </c>
      <c r="Q160" s="93" t="s">
        <v>432</v>
      </c>
      <c r="R160" s="93" t="s">
        <v>432</v>
      </c>
      <c r="S160" s="109" t="s">
        <v>2209</v>
      </c>
      <c r="T160" s="93" t="s">
        <v>432</v>
      </c>
      <c r="U160" s="93" t="s">
        <v>432</v>
      </c>
      <c r="V160" s="109" t="s">
        <v>2209</v>
      </c>
      <c r="W160" s="93" t="s">
        <v>432</v>
      </c>
      <c r="X160" s="93" t="s">
        <v>432</v>
      </c>
      <c r="Y160" s="93" t="s">
        <v>432</v>
      </c>
      <c r="Z160" s="93" t="s">
        <v>432</v>
      </c>
      <c r="AA160" s="93" t="s">
        <v>432</v>
      </c>
      <c r="AB160" s="93" t="s">
        <v>432</v>
      </c>
      <c r="AC160" s="93" t="s">
        <v>432</v>
      </c>
      <c r="AD160" s="93" t="s">
        <v>432</v>
      </c>
      <c r="AE160" s="93" t="s">
        <v>432</v>
      </c>
      <c r="AF160" s="93" t="s">
        <v>432</v>
      </c>
      <c r="AG160" s="84">
        <v>31</v>
      </c>
      <c r="AH160" s="84">
        <v>23</v>
      </c>
      <c r="AI160" s="84">
        <v>26</v>
      </c>
      <c r="AJ160" s="84">
        <v>33</v>
      </c>
      <c r="AK160" s="84">
        <v>45</v>
      </c>
      <c r="AL160" s="600" t="s">
        <v>432</v>
      </c>
      <c r="AM160" s="137" t="s">
        <v>432</v>
      </c>
      <c r="AN160" s="137" t="s">
        <v>432</v>
      </c>
      <c r="AO160" s="137" t="s">
        <v>432</v>
      </c>
      <c r="AP160" s="137" t="s">
        <v>432</v>
      </c>
      <c r="AQ160" s="137" t="s">
        <v>432</v>
      </c>
      <c r="AR160" s="137" t="s">
        <v>432</v>
      </c>
      <c r="AS160" s="137" t="s">
        <v>432</v>
      </c>
      <c r="AT160" s="137" t="s">
        <v>432</v>
      </c>
      <c r="AU160" s="137" t="s">
        <v>432</v>
      </c>
      <c r="AV160" s="137" t="s">
        <v>432</v>
      </c>
      <c r="AW160" s="137" t="s">
        <v>432</v>
      </c>
      <c r="AX160" s="137" t="s">
        <v>432</v>
      </c>
      <c r="AY160" s="137" t="s">
        <v>432</v>
      </c>
      <c r="AZ160" s="137" t="s">
        <v>432</v>
      </c>
      <c r="BA160" s="137" t="s">
        <v>432</v>
      </c>
      <c r="BB160" s="239" t="str">
        <f t="shared" si="35"/>
        <v>Solicitações urbanísticasx</v>
      </c>
      <c r="BC160" s="239" t="str">
        <f t="shared" si="36"/>
        <v>Solicitações urbanísticasxx</v>
      </c>
      <c r="BD160" s="239" t="str">
        <f t="shared" si="37"/>
        <v>Solicitações urbanísticasx</v>
      </c>
    </row>
    <row r="161" spans="1:56" s="3" customFormat="1" ht="25.5" customHeight="1" x14ac:dyDescent="0.25">
      <c r="A161" s="275" t="str">
        <f>'Q100b-totais'!$B$14</f>
        <v>1.5</v>
      </c>
      <c r="B161" s="252" t="s">
        <v>642</v>
      </c>
      <c r="C161" s="167" t="s">
        <v>432</v>
      </c>
      <c r="D161" s="324" t="s">
        <v>88</v>
      </c>
      <c r="E161" s="254" t="s">
        <v>1306</v>
      </c>
      <c r="F161" s="11" t="s">
        <v>89</v>
      </c>
      <c r="G161" s="167" t="s">
        <v>3719</v>
      </c>
      <c r="H161" s="168" t="s">
        <v>2408</v>
      </c>
      <c r="I161" s="57" t="s">
        <v>432</v>
      </c>
      <c r="J161" s="107" t="s">
        <v>432</v>
      </c>
      <c r="K161" s="107" t="s">
        <v>432</v>
      </c>
      <c r="L161" s="107" t="s">
        <v>432</v>
      </c>
      <c r="M161" s="107" t="s">
        <v>432</v>
      </c>
      <c r="N161" s="107" t="s">
        <v>432</v>
      </c>
      <c r="O161" s="107" t="s">
        <v>432</v>
      </c>
      <c r="P161" s="107" t="s">
        <v>432</v>
      </c>
      <c r="Q161" s="107" t="s">
        <v>432</v>
      </c>
      <c r="R161" s="107" t="s">
        <v>432</v>
      </c>
      <c r="S161" s="109" t="s">
        <v>2209</v>
      </c>
      <c r="T161" s="107" t="s">
        <v>432</v>
      </c>
      <c r="U161" s="107" t="s">
        <v>432</v>
      </c>
      <c r="V161" s="109" t="s">
        <v>2209</v>
      </c>
      <c r="W161" s="107" t="s">
        <v>432</v>
      </c>
      <c r="X161" s="107" t="s">
        <v>432</v>
      </c>
      <c r="Y161" s="107" t="s">
        <v>432</v>
      </c>
      <c r="Z161" s="107" t="s">
        <v>432</v>
      </c>
      <c r="AA161" s="107" t="s">
        <v>432</v>
      </c>
      <c r="AB161" s="107" t="s">
        <v>432</v>
      </c>
      <c r="AC161" s="107" t="s">
        <v>432</v>
      </c>
      <c r="AD161" s="107" t="s">
        <v>432</v>
      </c>
      <c r="AE161" s="107" t="s">
        <v>432</v>
      </c>
      <c r="AF161" s="107" t="s">
        <v>432</v>
      </c>
      <c r="AG161" s="107" t="s">
        <v>432</v>
      </c>
      <c r="AH161" s="107" t="s">
        <v>432</v>
      </c>
      <c r="AI161" s="107" t="s">
        <v>432</v>
      </c>
      <c r="AJ161" s="107" t="s">
        <v>432</v>
      </c>
      <c r="AK161" s="137" t="s">
        <v>432</v>
      </c>
      <c r="AL161" s="600" t="s">
        <v>432</v>
      </c>
      <c r="AM161" s="137" t="s">
        <v>432</v>
      </c>
      <c r="AN161" s="137" t="s">
        <v>432</v>
      </c>
      <c r="AO161" s="137" t="s">
        <v>432</v>
      </c>
      <c r="AP161" s="137" t="s">
        <v>432</v>
      </c>
      <c r="AQ161" s="137" t="s">
        <v>432</v>
      </c>
      <c r="AR161" s="137" t="s">
        <v>432</v>
      </c>
      <c r="AS161" s="137" t="s">
        <v>432</v>
      </c>
      <c r="AT161" s="137" t="s">
        <v>432</v>
      </c>
      <c r="AU161" s="137" t="s">
        <v>432</v>
      </c>
      <c r="AV161" s="137" t="s">
        <v>432</v>
      </c>
      <c r="AW161" s="137" t="s">
        <v>432</v>
      </c>
      <c r="AX161" s="137" t="s">
        <v>432</v>
      </c>
      <c r="AY161" s="137" t="s">
        <v>432</v>
      </c>
      <c r="AZ161" s="137" t="s">
        <v>432</v>
      </c>
      <c r="BA161" s="137" t="s">
        <v>432</v>
      </c>
      <c r="BB161" s="239" t="str">
        <f t="shared" si="35"/>
        <v>Solicitações urbanísticasx</v>
      </c>
      <c r="BC161" s="239" t="str">
        <f t="shared" si="36"/>
        <v>Solicitações urbanísticasxsigla/verbete</v>
      </c>
      <c r="BD161" s="239" t="str">
        <f t="shared" si="37"/>
        <v>Solicitações urbanísticassigla/verbete</v>
      </c>
    </row>
    <row r="162" spans="1:56" s="3" customFormat="1" ht="25.5" customHeight="1" x14ac:dyDescent="0.25">
      <c r="A162" s="275" t="str">
        <f>'Q100b-totais'!$B$14</f>
        <v>1.5</v>
      </c>
      <c r="B162" s="252" t="s">
        <v>642</v>
      </c>
      <c r="C162" s="167" t="s">
        <v>432</v>
      </c>
      <c r="D162" s="324" t="s">
        <v>90</v>
      </c>
      <c r="E162" s="254" t="s">
        <v>1306</v>
      </c>
      <c r="F162" s="11" t="s">
        <v>1471</v>
      </c>
      <c r="G162" s="110" t="s">
        <v>77</v>
      </c>
      <c r="H162" s="173" t="s">
        <v>432</v>
      </c>
      <c r="I162" s="57">
        <v>1</v>
      </c>
      <c r="J162" s="107" t="s">
        <v>432</v>
      </c>
      <c r="K162" s="93" t="s">
        <v>432</v>
      </c>
      <c r="L162" s="93" t="s">
        <v>432</v>
      </c>
      <c r="M162" s="93" t="s">
        <v>432</v>
      </c>
      <c r="N162" s="93" t="s">
        <v>432</v>
      </c>
      <c r="O162" s="93" t="s">
        <v>432</v>
      </c>
      <c r="P162" s="93" t="s">
        <v>432</v>
      </c>
      <c r="Q162" s="93" t="s">
        <v>432</v>
      </c>
      <c r="R162" s="93" t="s">
        <v>432</v>
      </c>
      <c r="S162" s="109" t="s">
        <v>2209</v>
      </c>
      <c r="T162" s="93" t="s">
        <v>432</v>
      </c>
      <c r="U162" s="93" t="s">
        <v>432</v>
      </c>
      <c r="V162" s="109" t="s">
        <v>2209</v>
      </c>
      <c r="W162" s="93" t="s">
        <v>432</v>
      </c>
      <c r="X162" s="93" t="s">
        <v>432</v>
      </c>
      <c r="Y162" s="93" t="s">
        <v>432</v>
      </c>
      <c r="Z162" s="93" t="s">
        <v>432</v>
      </c>
      <c r="AA162" s="93" t="s">
        <v>432</v>
      </c>
      <c r="AB162" s="93" t="s">
        <v>432</v>
      </c>
      <c r="AC162" s="93" t="s">
        <v>432</v>
      </c>
      <c r="AD162" s="93" t="s">
        <v>432</v>
      </c>
      <c r="AE162" s="93" t="s">
        <v>432</v>
      </c>
      <c r="AF162" s="93" t="s">
        <v>432</v>
      </c>
      <c r="AG162" s="84">
        <v>3</v>
      </c>
      <c r="AH162" s="84">
        <v>9</v>
      </c>
      <c r="AI162" s="84">
        <v>4</v>
      </c>
      <c r="AJ162" s="84">
        <v>10</v>
      </c>
      <c r="AK162" s="84">
        <v>5</v>
      </c>
      <c r="AL162" s="600" t="s">
        <v>432</v>
      </c>
      <c r="AM162" s="137" t="s">
        <v>432</v>
      </c>
      <c r="AN162" s="137" t="s">
        <v>432</v>
      </c>
      <c r="AO162" s="137" t="s">
        <v>432</v>
      </c>
      <c r="AP162" s="137" t="s">
        <v>432</v>
      </c>
      <c r="AQ162" s="137" t="s">
        <v>432</v>
      </c>
      <c r="AR162" s="137" t="s">
        <v>432</v>
      </c>
      <c r="AS162" s="137" t="s">
        <v>432</v>
      </c>
      <c r="AT162" s="137" t="s">
        <v>432</v>
      </c>
      <c r="AU162" s="137" t="s">
        <v>432</v>
      </c>
      <c r="AV162" s="137" t="s">
        <v>432</v>
      </c>
      <c r="AW162" s="137" t="s">
        <v>432</v>
      </c>
      <c r="AX162" s="137" t="s">
        <v>432</v>
      </c>
      <c r="AY162" s="137" t="s">
        <v>432</v>
      </c>
      <c r="AZ162" s="137" t="s">
        <v>432</v>
      </c>
      <c r="BA162" s="137" t="s">
        <v>432</v>
      </c>
      <c r="BB162" s="239" t="str">
        <f t="shared" si="35"/>
        <v>Solicitações urbanísticasx</v>
      </c>
      <c r="BC162" s="239" t="str">
        <f t="shared" si="36"/>
        <v>Solicitações urbanísticasxx</v>
      </c>
      <c r="BD162" s="239" t="str">
        <f t="shared" si="37"/>
        <v>Solicitações urbanísticasx</v>
      </c>
    </row>
    <row r="163" spans="1:56" s="3" customFormat="1" ht="69.75" customHeight="1" x14ac:dyDescent="0.25">
      <c r="A163" s="275" t="str">
        <f>'Q100b-totais'!$B$14</f>
        <v>1.5</v>
      </c>
      <c r="B163" s="252" t="s">
        <v>642</v>
      </c>
      <c r="C163" s="167" t="s">
        <v>432</v>
      </c>
      <c r="D163" s="324" t="s">
        <v>91</v>
      </c>
      <c r="E163" s="254" t="s">
        <v>1306</v>
      </c>
      <c r="F163" s="11" t="s">
        <v>1428</v>
      </c>
      <c r="G163" s="414" t="s">
        <v>92</v>
      </c>
      <c r="H163" s="173" t="s">
        <v>432</v>
      </c>
      <c r="I163" s="57">
        <v>1</v>
      </c>
      <c r="J163" s="107" t="s">
        <v>432</v>
      </c>
      <c r="K163" s="93" t="s">
        <v>432</v>
      </c>
      <c r="L163" s="93" t="s">
        <v>432</v>
      </c>
      <c r="M163" s="93" t="s">
        <v>432</v>
      </c>
      <c r="N163" s="93" t="s">
        <v>432</v>
      </c>
      <c r="O163" s="93" t="s">
        <v>432</v>
      </c>
      <c r="P163" s="93" t="s">
        <v>432</v>
      </c>
      <c r="Q163" s="93" t="s">
        <v>432</v>
      </c>
      <c r="R163" s="93" t="s">
        <v>432</v>
      </c>
      <c r="S163" s="109" t="s">
        <v>2209</v>
      </c>
      <c r="T163" s="93" t="s">
        <v>432</v>
      </c>
      <c r="U163" s="93" t="s">
        <v>432</v>
      </c>
      <c r="V163" s="109" t="s">
        <v>2209</v>
      </c>
      <c r="W163" s="93" t="s">
        <v>432</v>
      </c>
      <c r="X163" s="93" t="s">
        <v>432</v>
      </c>
      <c r="Y163" s="93" t="s">
        <v>432</v>
      </c>
      <c r="Z163" s="93" t="s">
        <v>432</v>
      </c>
      <c r="AA163" s="93" t="s">
        <v>432</v>
      </c>
      <c r="AB163" s="93" t="s">
        <v>432</v>
      </c>
      <c r="AC163" s="93" t="s">
        <v>432</v>
      </c>
      <c r="AD163" s="93" t="s">
        <v>432</v>
      </c>
      <c r="AE163" s="93" t="s">
        <v>432</v>
      </c>
      <c r="AF163" s="93" t="s">
        <v>432</v>
      </c>
      <c r="AG163" s="47">
        <f>AG162/AG166</f>
        <v>0.375</v>
      </c>
      <c r="AH163" s="47">
        <f>AH162/AH166</f>
        <v>0.9</v>
      </c>
      <c r="AI163" s="47">
        <f>AI162/AI166</f>
        <v>1</v>
      </c>
      <c r="AJ163" s="47">
        <f>AJ162/AJ166</f>
        <v>1</v>
      </c>
      <c r="AK163" s="47">
        <f>AK162/AK166</f>
        <v>0.83333333333333337</v>
      </c>
      <c r="AL163" s="600" t="s">
        <v>432</v>
      </c>
      <c r="AM163" s="137" t="s">
        <v>432</v>
      </c>
      <c r="AN163" s="137" t="s">
        <v>432</v>
      </c>
      <c r="AO163" s="137" t="s">
        <v>432</v>
      </c>
      <c r="AP163" s="137" t="s">
        <v>432</v>
      </c>
      <c r="AQ163" s="137" t="s">
        <v>432</v>
      </c>
      <c r="AR163" s="137" t="s">
        <v>432</v>
      </c>
      <c r="AS163" s="137" t="s">
        <v>432</v>
      </c>
      <c r="AT163" s="137" t="s">
        <v>432</v>
      </c>
      <c r="AU163" s="137" t="s">
        <v>432</v>
      </c>
      <c r="AV163" s="137" t="s">
        <v>432</v>
      </c>
      <c r="AW163" s="137" t="s">
        <v>432</v>
      </c>
      <c r="AX163" s="137" t="s">
        <v>432</v>
      </c>
      <c r="AY163" s="137" t="s">
        <v>432</v>
      </c>
      <c r="AZ163" s="137" t="s">
        <v>432</v>
      </c>
      <c r="BA163" s="137" t="s">
        <v>432</v>
      </c>
      <c r="BB163" s="239" t="str">
        <f t="shared" si="35"/>
        <v>Solicitações urbanísticasx</v>
      </c>
      <c r="BC163" s="239" t="str">
        <f t="shared" si="36"/>
        <v>Solicitações urbanísticasxx</v>
      </c>
      <c r="BD163" s="239" t="str">
        <f t="shared" si="37"/>
        <v>Solicitações urbanísticasx</v>
      </c>
    </row>
    <row r="164" spans="1:56" s="3" customFormat="1" ht="25.5" customHeight="1" x14ac:dyDescent="0.25">
      <c r="A164" s="275" t="str">
        <f>'Q100b-totais'!$B$14</f>
        <v>1.5</v>
      </c>
      <c r="B164" s="252" t="s">
        <v>642</v>
      </c>
      <c r="C164" s="167" t="s">
        <v>432</v>
      </c>
      <c r="D164" s="324" t="s">
        <v>93</v>
      </c>
      <c r="E164" s="254" t="s">
        <v>1306</v>
      </c>
      <c r="F164" s="11" t="s">
        <v>1472</v>
      </c>
      <c r="G164" s="110" t="s">
        <v>77</v>
      </c>
      <c r="H164" s="173" t="s">
        <v>432</v>
      </c>
      <c r="I164" s="57">
        <v>1</v>
      </c>
      <c r="J164" s="107" t="s">
        <v>432</v>
      </c>
      <c r="K164" s="93" t="s">
        <v>432</v>
      </c>
      <c r="L164" s="93" t="s">
        <v>432</v>
      </c>
      <c r="M164" s="93" t="s">
        <v>432</v>
      </c>
      <c r="N164" s="93" t="s">
        <v>432</v>
      </c>
      <c r="O164" s="93" t="s">
        <v>432</v>
      </c>
      <c r="P164" s="93" t="s">
        <v>432</v>
      </c>
      <c r="Q164" s="93" t="s">
        <v>432</v>
      </c>
      <c r="R164" s="93" t="s">
        <v>432</v>
      </c>
      <c r="S164" s="109" t="s">
        <v>2209</v>
      </c>
      <c r="T164" s="93" t="s">
        <v>432</v>
      </c>
      <c r="U164" s="93" t="s">
        <v>432</v>
      </c>
      <c r="V164" s="109" t="s">
        <v>2209</v>
      </c>
      <c r="W164" s="93" t="s">
        <v>432</v>
      </c>
      <c r="X164" s="93" t="s">
        <v>432</v>
      </c>
      <c r="Y164" s="93" t="s">
        <v>432</v>
      </c>
      <c r="Z164" s="93" t="s">
        <v>432</v>
      </c>
      <c r="AA164" s="93" t="s">
        <v>432</v>
      </c>
      <c r="AB164" s="93" t="s">
        <v>432</v>
      </c>
      <c r="AC164" s="93" t="s">
        <v>432</v>
      </c>
      <c r="AD164" s="93" t="s">
        <v>432</v>
      </c>
      <c r="AE164" s="93" t="s">
        <v>432</v>
      </c>
      <c r="AF164" s="93" t="s">
        <v>432</v>
      </c>
      <c r="AG164" s="84">
        <v>3</v>
      </c>
      <c r="AH164" s="84">
        <v>6</v>
      </c>
      <c r="AI164" s="84">
        <v>4</v>
      </c>
      <c r="AJ164" s="84">
        <v>9</v>
      </c>
      <c r="AK164" s="84">
        <v>3</v>
      </c>
      <c r="AL164" s="600" t="s">
        <v>432</v>
      </c>
      <c r="AM164" s="137" t="s">
        <v>432</v>
      </c>
      <c r="AN164" s="137" t="s">
        <v>432</v>
      </c>
      <c r="AO164" s="137" t="s">
        <v>432</v>
      </c>
      <c r="AP164" s="137" t="s">
        <v>432</v>
      </c>
      <c r="AQ164" s="137" t="s">
        <v>432</v>
      </c>
      <c r="AR164" s="137" t="s">
        <v>432</v>
      </c>
      <c r="AS164" s="137" t="s">
        <v>432</v>
      </c>
      <c r="AT164" s="137" t="s">
        <v>432</v>
      </c>
      <c r="AU164" s="137" t="s">
        <v>432</v>
      </c>
      <c r="AV164" s="137" t="s">
        <v>432</v>
      </c>
      <c r="AW164" s="137" t="s">
        <v>432</v>
      </c>
      <c r="AX164" s="137" t="s">
        <v>432</v>
      </c>
      <c r="AY164" s="137" t="s">
        <v>432</v>
      </c>
      <c r="AZ164" s="137" t="s">
        <v>432</v>
      </c>
      <c r="BA164" s="137" t="s">
        <v>432</v>
      </c>
      <c r="BB164" s="239" t="str">
        <f t="shared" si="35"/>
        <v>Solicitações urbanísticasx</v>
      </c>
      <c r="BC164" s="239" t="str">
        <f t="shared" si="36"/>
        <v>Solicitações urbanísticasxx</v>
      </c>
      <c r="BD164" s="239" t="str">
        <f t="shared" si="37"/>
        <v>Solicitações urbanísticasx</v>
      </c>
    </row>
    <row r="165" spans="1:56" s="3" customFormat="1" ht="38.25" customHeight="1" x14ac:dyDescent="0.25">
      <c r="A165" s="275" t="str">
        <f>'Q100b-totais'!$B$14</f>
        <v>1.5</v>
      </c>
      <c r="B165" s="252" t="s">
        <v>642</v>
      </c>
      <c r="C165" s="167" t="s">
        <v>432</v>
      </c>
      <c r="D165" s="324" t="s">
        <v>94</v>
      </c>
      <c r="E165" s="254" t="s">
        <v>1306</v>
      </c>
      <c r="F165" s="11" t="s">
        <v>1473</v>
      </c>
      <c r="G165" s="110" t="s">
        <v>77</v>
      </c>
      <c r="H165" s="173" t="s">
        <v>432</v>
      </c>
      <c r="I165" s="57">
        <v>1</v>
      </c>
      <c r="J165" s="107" t="s">
        <v>432</v>
      </c>
      <c r="K165" s="93" t="s">
        <v>432</v>
      </c>
      <c r="L165" s="93" t="s">
        <v>432</v>
      </c>
      <c r="M165" s="93" t="s">
        <v>432</v>
      </c>
      <c r="N165" s="93" t="s">
        <v>432</v>
      </c>
      <c r="O165" s="93" t="s">
        <v>432</v>
      </c>
      <c r="P165" s="93" t="s">
        <v>432</v>
      </c>
      <c r="Q165" s="93" t="s">
        <v>432</v>
      </c>
      <c r="R165" s="93" t="s">
        <v>432</v>
      </c>
      <c r="S165" s="109" t="s">
        <v>2209</v>
      </c>
      <c r="T165" s="93" t="s">
        <v>432</v>
      </c>
      <c r="U165" s="93" t="s">
        <v>432</v>
      </c>
      <c r="V165" s="109" t="s">
        <v>2209</v>
      </c>
      <c r="W165" s="93" t="s">
        <v>432</v>
      </c>
      <c r="X165" s="93" t="s">
        <v>432</v>
      </c>
      <c r="Y165" s="93" t="s">
        <v>432</v>
      </c>
      <c r="Z165" s="93" t="s">
        <v>432</v>
      </c>
      <c r="AA165" s="93" t="s">
        <v>432</v>
      </c>
      <c r="AB165" s="93" t="s">
        <v>432</v>
      </c>
      <c r="AC165" s="93" t="s">
        <v>432</v>
      </c>
      <c r="AD165" s="93" t="s">
        <v>432</v>
      </c>
      <c r="AE165" s="93" t="s">
        <v>432</v>
      </c>
      <c r="AF165" s="93" t="s">
        <v>432</v>
      </c>
      <c r="AG165" s="84">
        <v>5</v>
      </c>
      <c r="AH165" s="84">
        <v>7</v>
      </c>
      <c r="AI165" s="84">
        <v>3</v>
      </c>
      <c r="AJ165" s="84">
        <v>4</v>
      </c>
      <c r="AK165" s="84">
        <v>6</v>
      </c>
      <c r="AL165" s="600" t="s">
        <v>432</v>
      </c>
      <c r="AM165" s="137" t="s">
        <v>432</v>
      </c>
      <c r="AN165" s="137" t="s">
        <v>432</v>
      </c>
      <c r="AO165" s="137" t="s">
        <v>432</v>
      </c>
      <c r="AP165" s="137" t="s">
        <v>432</v>
      </c>
      <c r="AQ165" s="137" t="s">
        <v>432</v>
      </c>
      <c r="AR165" s="137" t="s">
        <v>432</v>
      </c>
      <c r="AS165" s="137" t="s">
        <v>432</v>
      </c>
      <c r="AT165" s="137" t="s">
        <v>432</v>
      </c>
      <c r="AU165" s="137" t="s">
        <v>432</v>
      </c>
      <c r="AV165" s="137" t="s">
        <v>432</v>
      </c>
      <c r="AW165" s="137" t="s">
        <v>432</v>
      </c>
      <c r="AX165" s="137" t="s">
        <v>432</v>
      </c>
      <c r="AY165" s="137" t="s">
        <v>432</v>
      </c>
      <c r="AZ165" s="137" t="s">
        <v>432</v>
      </c>
      <c r="BA165" s="137" t="s">
        <v>432</v>
      </c>
      <c r="BB165" s="239" t="str">
        <f t="shared" si="35"/>
        <v>Solicitações urbanísticasx</v>
      </c>
      <c r="BC165" s="239" t="str">
        <f t="shared" si="36"/>
        <v>Solicitações urbanísticasxx</v>
      </c>
      <c r="BD165" s="239" t="str">
        <f t="shared" si="37"/>
        <v>Solicitações urbanísticasx</v>
      </c>
    </row>
    <row r="166" spans="1:56" s="3" customFormat="1" ht="25.5" customHeight="1" x14ac:dyDescent="0.25">
      <c r="A166" s="275" t="str">
        <f>'Q100b-totais'!$B$14</f>
        <v>1.5</v>
      </c>
      <c r="B166" s="252" t="s">
        <v>642</v>
      </c>
      <c r="C166" s="167" t="s">
        <v>432</v>
      </c>
      <c r="D166" s="324" t="s">
        <v>95</v>
      </c>
      <c r="E166" s="254" t="s">
        <v>1306</v>
      </c>
      <c r="F166" s="11" t="s">
        <v>1474</v>
      </c>
      <c r="G166" s="110" t="s">
        <v>77</v>
      </c>
      <c r="H166" s="173" t="s">
        <v>432</v>
      </c>
      <c r="I166" s="57">
        <v>1</v>
      </c>
      <c r="J166" s="107" t="s">
        <v>432</v>
      </c>
      <c r="K166" s="93" t="s">
        <v>432</v>
      </c>
      <c r="L166" s="93" t="s">
        <v>432</v>
      </c>
      <c r="M166" s="93" t="s">
        <v>432</v>
      </c>
      <c r="N166" s="93" t="s">
        <v>432</v>
      </c>
      <c r="O166" s="93" t="s">
        <v>432</v>
      </c>
      <c r="P166" s="93" t="s">
        <v>432</v>
      </c>
      <c r="Q166" s="93" t="s">
        <v>432</v>
      </c>
      <c r="R166" s="93" t="s">
        <v>432</v>
      </c>
      <c r="S166" s="109" t="s">
        <v>2209</v>
      </c>
      <c r="T166" s="93" t="s">
        <v>432</v>
      </c>
      <c r="U166" s="93" t="s">
        <v>432</v>
      </c>
      <c r="V166" s="109" t="s">
        <v>2209</v>
      </c>
      <c r="W166" s="93" t="s">
        <v>432</v>
      </c>
      <c r="X166" s="93" t="s">
        <v>432</v>
      </c>
      <c r="Y166" s="93" t="s">
        <v>432</v>
      </c>
      <c r="Z166" s="93" t="s">
        <v>432</v>
      </c>
      <c r="AA166" s="93" t="s">
        <v>432</v>
      </c>
      <c r="AB166" s="93" t="s">
        <v>432</v>
      </c>
      <c r="AC166" s="93" t="s">
        <v>432</v>
      </c>
      <c r="AD166" s="93" t="s">
        <v>432</v>
      </c>
      <c r="AE166" s="93" t="s">
        <v>432</v>
      </c>
      <c r="AF166" s="93" t="s">
        <v>432</v>
      </c>
      <c r="AG166" s="84">
        <v>8</v>
      </c>
      <c r="AH166" s="84">
        <v>10</v>
      </c>
      <c r="AI166" s="84">
        <v>4</v>
      </c>
      <c r="AJ166" s="84">
        <v>10</v>
      </c>
      <c r="AK166" s="84">
        <v>6</v>
      </c>
      <c r="AL166" s="600" t="s">
        <v>432</v>
      </c>
      <c r="AM166" s="137" t="s">
        <v>432</v>
      </c>
      <c r="AN166" s="137" t="s">
        <v>432</v>
      </c>
      <c r="AO166" s="137" t="s">
        <v>432</v>
      </c>
      <c r="AP166" s="137" t="s">
        <v>432</v>
      </c>
      <c r="AQ166" s="137" t="s">
        <v>432</v>
      </c>
      <c r="AR166" s="137" t="s">
        <v>432</v>
      </c>
      <c r="AS166" s="137" t="s">
        <v>432</v>
      </c>
      <c r="AT166" s="137" t="s">
        <v>432</v>
      </c>
      <c r="AU166" s="137" t="s">
        <v>432</v>
      </c>
      <c r="AV166" s="137" t="s">
        <v>432</v>
      </c>
      <c r="AW166" s="137" t="s">
        <v>432</v>
      </c>
      <c r="AX166" s="137" t="s">
        <v>432</v>
      </c>
      <c r="AY166" s="137" t="s">
        <v>432</v>
      </c>
      <c r="AZ166" s="137" t="s">
        <v>432</v>
      </c>
      <c r="BA166" s="137" t="s">
        <v>432</v>
      </c>
      <c r="BB166" s="239" t="str">
        <f t="shared" si="35"/>
        <v>Solicitações urbanísticasx</v>
      </c>
      <c r="BC166" s="239" t="str">
        <f t="shared" si="36"/>
        <v>Solicitações urbanísticasxx</v>
      </c>
      <c r="BD166" s="239" t="str">
        <f t="shared" si="37"/>
        <v>Solicitações urbanísticasx</v>
      </c>
    </row>
    <row r="167" spans="1:56" s="3" customFormat="1" ht="25.5" customHeight="1" x14ac:dyDescent="0.25">
      <c r="A167" s="275" t="str">
        <f>'Q100b-totais'!$B$14</f>
        <v>1.5</v>
      </c>
      <c r="B167" s="252" t="s">
        <v>642</v>
      </c>
      <c r="C167" s="167" t="s">
        <v>432</v>
      </c>
      <c r="D167" s="324" t="s">
        <v>96</v>
      </c>
      <c r="E167" s="254" t="s">
        <v>1306</v>
      </c>
      <c r="F167" s="11" t="s">
        <v>97</v>
      </c>
      <c r="G167" s="167" t="s">
        <v>3719</v>
      </c>
      <c r="H167" s="168" t="s">
        <v>2408</v>
      </c>
      <c r="I167" s="57" t="s">
        <v>432</v>
      </c>
      <c r="J167" s="189" t="s">
        <v>432</v>
      </c>
      <c r="K167" s="189" t="s">
        <v>432</v>
      </c>
      <c r="L167" s="189" t="s">
        <v>432</v>
      </c>
      <c r="M167" s="189" t="s">
        <v>432</v>
      </c>
      <c r="N167" s="189" t="s">
        <v>432</v>
      </c>
      <c r="O167" s="189" t="s">
        <v>432</v>
      </c>
      <c r="P167" s="189" t="s">
        <v>432</v>
      </c>
      <c r="Q167" s="189" t="s">
        <v>432</v>
      </c>
      <c r="R167" s="189" t="s">
        <v>432</v>
      </c>
      <c r="S167" s="109" t="s">
        <v>2209</v>
      </c>
      <c r="T167" s="189" t="s">
        <v>432</v>
      </c>
      <c r="U167" s="189" t="s">
        <v>432</v>
      </c>
      <c r="V167" s="109" t="s">
        <v>2209</v>
      </c>
      <c r="W167" s="189" t="s">
        <v>432</v>
      </c>
      <c r="X167" s="189" t="s">
        <v>432</v>
      </c>
      <c r="Y167" s="189" t="s">
        <v>432</v>
      </c>
      <c r="Z167" s="189" t="s">
        <v>432</v>
      </c>
      <c r="AA167" s="189" t="s">
        <v>432</v>
      </c>
      <c r="AB167" s="189" t="s">
        <v>432</v>
      </c>
      <c r="AC167" s="189" t="s">
        <v>432</v>
      </c>
      <c r="AD167" s="189" t="s">
        <v>432</v>
      </c>
      <c r="AE167" s="189" t="s">
        <v>432</v>
      </c>
      <c r="AF167" s="189" t="s">
        <v>432</v>
      </c>
      <c r="AG167" s="189" t="s">
        <v>432</v>
      </c>
      <c r="AH167" s="189" t="s">
        <v>432</v>
      </c>
      <c r="AI167" s="189" t="s">
        <v>432</v>
      </c>
      <c r="AJ167" s="189" t="s">
        <v>432</v>
      </c>
      <c r="AK167" s="137" t="s">
        <v>432</v>
      </c>
      <c r="AL167" s="600" t="s">
        <v>432</v>
      </c>
      <c r="AM167" s="137" t="s">
        <v>432</v>
      </c>
      <c r="AN167" s="137" t="s">
        <v>432</v>
      </c>
      <c r="AO167" s="137" t="s">
        <v>432</v>
      </c>
      <c r="AP167" s="137" t="s">
        <v>432</v>
      </c>
      <c r="AQ167" s="137" t="s">
        <v>432</v>
      </c>
      <c r="AR167" s="137" t="s">
        <v>432</v>
      </c>
      <c r="AS167" s="137" t="s">
        <v>432</v>
      </c>
      <c r="AT167" s="137" t="s">
        <v>432</v>
      </c>
      <c r="AU167" s="137" t="s">
        <v>432</v>
      </c>
      <c r="AV167" s="137" t="s">
        <v>432</v>
      </c>
      <c r="AW167" s="137" t="s">
        <v>432</v>
      </c>
      <c r="AX167" s="137" t="s">
        <v>432</v>
      </c>
      <c r="AY167" s="137" t="s">
        <v>432</v>
      </c>
      <c r="AZ167" s="137" t="s">
        <v>432</v>
      </c>
      <c r="BA167" s="137" t="s">
        <v>432</v>
      </c>
      <c r="BB167" s="239" t="str">
        <f t="shared" si="35"/>
        <v>Solicitações urbanísticasx</v>
      </c>
      <c r="BC167" s="239" t="str">
        <f t="shared" si="36"/>
        <v>Solicitações urbanísticasxsigla/verbete</v>
      </c>
      <c r="BD167" s="239" t="str">
        <f t="shared" si="37"/>
        <v>Solicitações urbanísticassigla/verbete</v>
      </c>
    </row>
    <row r="168" spans="1:56" s="3" customFormat="1" ht="25.5" customHeight="1" x14ac:dyDescent="0.25">
      <c r="A168" s="275" t="str">
        <f>'Q100b-totais'!$B$14</f>
        <v>1.5</v>
      </c>
      <c r="B168" s="252" t="s">
        <v>642</v>
      </c>
      <c r="C168" s="167" t="s">
        <v>432</v>
      </c>
      <c r="D168" s="324" t="s">
        <v>98</v>
      </c>
      <c r="E168" s="254" t="s">
        <v>1306</v>
      </c>
      <c r="F168" s="11" t="s">
        <v>1475</v>
      </c>
      <c r="G168" s="110" t="s">
        <v>77</v>
      </c>
      <c r="H168" s="173" t="s">
        <v>432</v>
      </c>
      <c r="I168" s="57">
        <v>1</v>
      </c>
      <c r="J168" s="107" t="s">
        <v>432</v>
      </c>
      <c r="K168" s="93" t="s">
        <v>432</v>
      </c>
      <c r="L168" s="93" t="s">
        <v>432</v>
      </c>
      <c r="M168" s="93" t="s">
        <v>432</v>
      </c>
      <c r="N168" s="93" t="s">
        <v>432</v>
      </c>
      <c r="O168" s="93" t="s">
        <v>432</v>
      </c>
      <c r="P168" s="93" t="s">
        <v>432</v>
      </c>
      <c r="Q168" s="93" t="s">
        <v>432</v>
      </c>
      <c r="R168" s="93" t="s">
        <v>432</v>
      </c>
      <c r="S168" s="109" t="s">
        <v>2209</v>
      </c>
      <c r="T168" s="93" t="s">
        <v>432</v>
      </c>
      <c r="U168" s="93" t="s">
        <v>432</v>
      </c>
      <c r="V168" s="109" t="s">
        <v>2209</v>
      </c>
      <c r="W168" s="93" t="s">
        <v>432</v>
      </c>
      <c r="X168" s="93" t="s">
        <v>432</v>
      </c>
      <c r="Y168" s="93" t="s">
        <v>432</v>
      </c>
      <c r="Z168" s="93" t="s">
        <v>432</v>
      </c>
      <c r="AA168" s="93" t="s">
        <v>432</v>
      </c>
      <c r="AB168" s="93" t="s">
        <v>432</v>
      </c>
      <c r="AC168" s="93" t="s">
        <v>432</v>
      </c>
      <c r="AD168" s="93" t="s">
        <v>432</v>
      </c>
      <c r="AE168" s="93" t="s">
        <v>432</v>
      </c>
      <c r="AF168" s="93" t="s">
        <v>432</v>
      </c>
      <c r="AG168" s="93" t="s">
        <v>432</v>
      </c>
      <c r="AH168" s="93" t="s">
        <v>432</v>
      </c>
      <c r="AI168" s="84">
        <v>1</v>
      </c>
      <c r="AJ168" s="84">
        <v>2</v>
      </c>
      <c r="AK168" s="84">
        <v>5</v>
      </c>
      <c r="AL168" s="600" t="s">
        <v>432</v>
      </c>
      <c r="AM168" s="137" t="s">
        <v>432</v>
      </c>
      <c r="AN168" s="137" t="s">
        <v>432</v>
      </c>
      <c r="AO168" s="137" t="s">
        <v>432</v>
      </c>
      <c r="AP168" s="137" t="s">
        <v>432</v>
      </c>
      <c r="AQ168" s="137" t="s">
        <v>432</v>
      </c>
      <c r="AR168" s="137" t="s">
        <v>432</v>
      </c>
      <c r="AS168" s="137" t="s">
        <v>432</v>
      </c>
      <c r="AT168" s="137" t="s">
        <v>432</v>
      </c>
      <c r="AU168" s="137" t="s">
        <v>432</v>
      </c>
      <c r="AV168" s="137" t="s">
        <v>432</v>
      </c>
      <c r="AW168" s="137" t="s">
        <v>432</v>
      </c>
      <c r="AX168" s="137" t="s">
        <v>432</v>
      </c>
      <c r="AY168" s="137" t="s">
        <v>432</v>
      </c>
      <c r="AZ168" s="137" t="s">
        <v>432</v>
      </c>
      <c r="BA168" s="137" t="s">
        <v>432</v>
      </c>
      <c r="BB168" s="239" t="str">
        <f t="shared" si="35"/>
        <v>Solicitações urbanísticasx</v>
      </c>
      <c r="BC168" s="239" t="str">
        <f t="shared" si="36"/>
        <v>Solicitações urbanísticasxx</v>
      </c>
      <c r="BD168" s="239" t="str">
        <f t="shared" si="37"/>
        <v>Solicitações urbanísticasx</v>
      </c>
    </row>
    <row r="169" spans="1:56" s="3" customFormat="1" ht="59.25" customHeight="1" x14ac:dyDescent="0.25">
      <c r="A169" s="275" t="str">
        <f>'Q100b-totais'!$B$14</f>
        <v>1.5</v>
      </c>
      <c r="B169" s="252" t="s">
        <v>642</v>
      </c>
      <c r="C169" s="167" t="s">
        <v>432</v>
      </c>
      <c r="D169" s="324" t="s">
        <v>99</v>
      </c>
      <c r="E169" s="254" t="s">
        <v>1306</v>
      </c>
      <c r="F169" s="11" t="s">
        <v>1426</v>
      </c>
      <c r="G169" s="414" t="s">
        <v>100</v>
      </c>
      <c r="H169" s="173" t="s">
        <v>432</v>
      </c>
      <c r="I169" s="57">
        <v>1</v>
      </c>
      <c r="J169" s="107" t="s">
        <v>432</v>
      </c>
      <c r="K169" s="93" t="s">
        <v>432</v>
      </c>
      <c r="L169" s="93" t="s">
        <v>432</v>
      </c>
      <c r="M169" s="93" t="s">
        <v>432</v>
      </c>
      <c r="N169" s="93" t="s">
        <v>432</v>
      </c>
      <c r="O169" s="93" t="s">
        <v>432</v>
      </c>
      <c r="P169" s="93" t="s">
        <v>432</v>
      </c>
      <c r="Q169" s="93" t="s">
        <v>432</v>
      </c>
      <c r="R169" s="93" t="s">
        <v>432</v>
      </c>
      <c r="S169" s="109" t="s">
        <v>2209</v>
      </c>
      <c r="T169" s="93" t="s">
        <v>432</v>
      </c>
      <c r="U169" s="93" t="s">
        <v>432</v>
      </c>
      <c r="V169" s="109" t="s">
        <v>2209</v>
      </c>
      <c r="W169" s="93" t="s">
        <v>432</v>
      </c>
      <c r="X169" s="93" t="s">
        <v>432</v>
      </c>
      <c r="Y169" s="93" t="s">
        <v>432</v>
      </c>
      <c r="Z169" s="93" t="s">
        <v>432</v>
      </c>
      <c r="AA169" s="93" t="s">
        <v>432</v>
      </c>
      <c r="AB169" s="93" t="s">
        <v>432</v>
      </c>
      <c r="AC169" s="93" t="s">
        <v>432</v>
      </c>
      <c r="AD169" s="93" t="s">
        <v>432</v>
      </c>
      <c r="AE169" s="93" t="s">
        <v>432</v>
      </c>
      <c r="AF169" s="93" t="s">
        <v>432</v>
      </c>
      <c r="AG169" s="58" t="s">
        <v>432</v>
      </c>
      <c r="AH169" s="58" t="s">
        <v>432</v>
      </c>
      <c r="AI169" s="47">
        <f>AI168/AI172</f>
        <v>0.2</v>
      </c>
      <c r="AJ169" s="47">
        <f>AJ168/AJ172</f>
        <v>0.18181818181818182</v>
      </c>
      <c r="AK169" s="47">
        <f>AK168/AK172</f>
        <v>0.41666666666666669</v>
      </c>
      <c r="AL169" s="600" t="s">
        <v>432</v>
      </c>
      <c r="AM169" s="137" t="s">
        <v>432</v>
      </c>
      <c r="AN169" s="137" t="s">
        <v>432</v>
      </c>
      <c r="AO169" s="137" t="s">
        <v>432</v>
      </c>
      <c r="AP169" s="137" t="s">
        <v>432</v>
      </c>
      <c r="AQ169" s="137" t="s">
        <v>432</v>
      </c>
      <c r="AR169" s="137" t="s">
        <v>432</v>
      </c>
      <c r="AS169" s="137" t="s">
        <v>432</v>
      </c>
      <c r="AT169" s="137" t="s">
        <v>432</v>
      </c>
      <c r="AU169" s="137" t="s">
        <v>432</v>
      </c>
      <c r="AV169" s="137" t="s">
        <v>432</v>
      </c>
      <c r="AW169" s="137" t="s">
        <v>432</v>
      </c>
      <c r="AX169" s="137" t="s">
        <v>432</v>
      </c>
      <c r="AY169" s="137" t="s">
        <v>432</v>
      </c>
      <c r="AZ169" s="137" t="s">
        <v>432</v>
      </c>
      <c r="BA169" s="137" t="s">
        <v>432</v>
      </c>
      <c r="BB169" s="239" t="str">
        <f t="shared" si="35"/>
        <v>Solicitações urbanísticasx</v>
      </c>
      <c r="BC169" s="239" t="str">
        <f t="shared" si="36"/>
        <v>Solicitações urbanísticasxx</v>
      </c>
      <c r="BD169" s="239" t="str">
        <f t="shared" si="37"/>
        <v>Solicitações urbanísticasx</v>
      </c>
    </row>
    <row r="170" spans="1:56" s="3" customFormat="1" ht="25.5" customHeight="1" x14ac:dyDescent="0.25">
      <c r="A170" s="275" t="str">
        <f>'Q100b-totais'!$B$14</f>
        <v>1.5</v>
      </c>
      <c r="B170" s="252" t="s">
        <v>642</v>
      </c>
      <c r="C170" s="167" t="s">
        <v>432</v>
      </c>
      <c r="D170" s="324" t="s">
        <v>101</v>
      </c>
      <c r="E170" s="254" t="s">
        <v>1306</v>
      </c>
      <c r="F170" s="11" t="s">
        <v>1476</v>
      </c>
      <c r="G170" s="110" t="s">
        <v>77</v>
      </c>
      <c r="H170" s="173" t="s">
        <v>432</v>
      </c>
      <c r="I170" s="57">
        <v>1</v>
      </c>
      <c r="J170" s="107" t="s">
        <v>432</v>
      </c>
      <c r="K170" s="93" t="s">
        <v>432</v>
      </c>
      <c r="L170" s="93" t="s">
        <v>432</v>
      </c>
      <c r="M170" s="93" t="s">
        <v>432</v>
      </c>
      <c r="N170" s="93" t="s">
        <v>432</v>
      </c>
      <c r="O170" s="93" t="s">
        <v>432</v>
      </c>
      <c r="P170" s="93" t="s">
        <v>432</v>
      </c>
      <c r="Q170" s="93" t="s">
        <v>432</v>
      </c>
      <c r="R170" s="93" t="s">
        <v>432</v>
      </c>
      <c r="S170" s="109" t="s">
        <v>2209</v>
      </c>
      <c r="T170" s="93" t="s">
        <v>432</v>
      </c>
      <c r="U170" s="93" t="s">
        <v>432</v>
      </c>
      <c r="V170" s="109" t="s">
        <v>2209</v>
      </c>
      <c r="W170" s="93" t="s">
        <v>432</v>
      </c>
      <c r="X170" s="93" t="s">
        <v>432</v>
      </c>
      <c r="Y170" s="93" t="s">
        <v>432</v>
      </c>
      <c r="Z170" s="93" t="s">
        <v>432</v>
      </c>
      <c r="AA170" s="93" t="s">
        <v>432</v>
      </c>
      <c r="AB170" s="93" t="s">
        <v>432</v>
      </c>
      <c r="AC170" s="93" t="s">
        <v>432</v>
      </c>
      <c r="AD170" s="93" t="s">
        <v>432</v>
      </c>
      <c r="AE170" s="93" t="s">
        <v>432</v>
      </c>
      <c r="AF170" s="93" t="s">
        <v>432</v>
      </c>
      <c r="AG170" s="93" t="s">
        <v>432</v>
      </c>
      <c r="AH170" s="93" t="s">
        <v>432</v>
      </c>
      <c r="AI170" s="84">
        <v>6</v>
      </c>
      <c r="AJ170" s="84">
        <v>6</v>
      </c>
      <c r="AK170" s="84">
        <v>8</v>
      </c>
      <c r="AL170" s="600" t="s">
        <v>432</v>
      </c>
      <c r="AM170" s="137" t="s">
        <v>432</v>
      </c>
      <c r="AN170" s="137" t="s">
        <v>432</v>
      </c>
      <c r="AO170" s="137" t="s">
        <v>432</v>
      </c>
      <c r="AP170" s="137" t="s">
        <v>432</v>
      </c>
      <c r="AQ170" s="137" t="s">
        <v>432</v>
      </c>
      <c r="AR170" s="137" t="s">
        <v>432</v>
      </c>
      <c r="AS170" s="137" t="s">
        <v>432</v>
      </c>
      <c r="AT170" s="137" t="s">
        <v>432</v>
      </c>
      <c r="AU170" s="137" t="s">
        <v>432</v>
      </c>
      <c r="AV170" s="137" t="s">
        <v>432</v>
      </c>
      <c r="AW170" s="137" t="s">
        <v>432</v>
      </c>
      <c r="AX170" s="137" t="s">
        <v>432</v>
      </c>
      <c r="AY170" s="137" t="s">
        <v>432</v>
      </c>
      <c r="AZ170" s="137" t="s">
        <v>432</v>
      </c>
      <c r="BA170" s="137" t="s">
        <v>432</v>
      </c>
      <c r="BB170" s="239" t="str">
        <f t="shared" si="35"/>
        <v>Solicitações urbanísticasx</v>
      </c>
      <c r="BC170" s="239" t="str">
        <f t="shared" si="36"/>
        <v>Solicitações urbanísticasxx</v>
      </c>
      <c r="BD170" s="239" t="str">
        <f t="shared" si="37"/>
        <v>Solicitações urbanísticasx</v>
      </c>
    </row>
    <row r="171" spans="1:56" s="3" customFormat="1" ht="38.25" customHeight="1" x14ac:dyDescent="0.25">
      <c r="A171" s="275" t="str">
        <f>'Q100b-totais'!$B$14</f>
        <v>1.5</v>
      </c>
      <c r="B171" s="252" t="s">
        <v>642</v>
      </c>
      <c r="C171" s="167" t="s">
        <v>432</v>
      </c>
      <c r="D171" s="324" t="s">
        <v>102</v>
      </c>
      <c r="E171" s="254" t="s">
        <v>1306</v>
      </c>
      <c r="F171" s="11" t="s">
        <v>1477</v>
      </c>
      <c r="G171" s="110" t="s">
        <v>77</v>
      </c>
      <c r="H171" s="173" t="s">
        <v>432</v>
      </c>
      <c r="I171" s="57">
        <v>1</v>
      </c>
      <c r="J171" s="107" t="s">
        <v>432</v>
      </c>
      <c r="K171" s="93" t="s">
        <v>432</v>
      </c>
      <c r="L171" s="93" t="s">
        <v>432</v>
      </c>
      <c r="M171" s="93" t="s">
        <v>432</v>
      </c>
      <c r="N171" s="93" t="s">
        <v>432</v>
      </c>
      <c r="O171" s="93" t="s">
        <v>432</v>
      </c>
      <c r="P171" s="93" t="s">
        <v>432</v>
      </c>
      <c r="Q171" s="93" t="s">
        <v>432</v>
      </c>
      <c r="R171" s="93" t="s">
        <v>432</v>
      </c>
      <c r="S171" s="109" t="s">
        <v>2209</v>
      </c>
      <c r="T171" s="93" t="s">
        <v>432</v>
      </c>
      <c r="U171" s="93" t="s">
        <v>432</v>
      </c>
      <c r="V171" s="109" t="s">
        <v>2209</v>
      </c>
      <c r="W171" s="93" t="s">
        <v>432</v>
      </c>
      <c r="X171" s="93" t="s">
        <v>432</v>
      </c>
      <c r="Y171" s="93" t="s">
        <v>432</v>
      </c>
      <c r="Z171" s="93" t="s">
        <v>432</v>
      </c>
      <c r="AA171" s="93" t="s">
        <v>432</v>
      </c>
      <c r="AB171" s="93" t="s">
        <v>432</v>
      </c>
      <c r="AC171" s="93" t="s">
        <v>432</v>
      </c>
      <c r="AD171" s="93" t="s">
        <v>432</v>
      </c>
      <c r="AE171" s="93" t="s">
        <v>432</v>
      </c>
      <c r="AF171" s="93" t="s">
        <v>432</v>
      </c>
      <c r="AG171" s="93" t="s">
        <v>432</v>
      </c>
      <c r="AH171" s="93" t="s">
        <v>432</v>
      </c>
      <c r="AI171" s="84">
        <v>12</v>
      </c>
      <c r="AJ171" s="84">
        <v>17</v>
      </c>
      <c r="AK171" s="84">
        <v>11</v>
      </c>
      <c r="AL171" s="600" t="s">
        <v>432</v>
      </c>
      <c r="AM171" s="137" t="s">
        <v>432</v>
      </c>
      <c r="AN171" s="137" t="s">
        <v>432</v>
      </c>
      <c r="AO171" s="137" t="s">
        <v>432</v>
      </c>
      <c r="AP171" s="137" t="s">
        <v>432</v>
      </c>
      <c r="AQ171" s="137" t="s">
        <v>432</v>
      </c>
      <c r="AR171" s="137" t="s">
        <v>432</v>
      </c>
      <c r="AS171" s="137" t="s">
        <v>432</v>
      </c>
      <c r="AT171" s="137" t="s">
        <v>432</v>
      </c>
      <c r="AU171" s="137" t="s">
        <v>432</v>
      </c>
      <c r="AV171" s="137" t="s">
        <v>432</v>
      </c>
      <c r="AW171" s="137" t="s">
        <v>432</v>
      </c>
      <c r="AX171" s="137" t="s">
        <v>432</v>
      </c>
      <c r="AY171" s="137" t="s">
        <v>432</v>
      </c>
      <c r="AZ171" s="137" t="s">
        <v>432</v>
      </c>
      <c r="BA171" s="137" t="s">
        <v>432</v>
      </c>
      <c r="BB171" s="239" t="str">
        <f t="shared" si="35"/>
        <v>Solicitações urbanísticasx</v>
      </c>
      <c r="BC171" s="239" t="str">
        <f t="shared" si="36"/>
        <v>Solicitações urbanísticasxx</v>
      </c>
      <c r="BD171" s="239" t="str">
        <f t="shared" si="37"/>
        <v>Solicitações urbanísticasx</v>
      </c>
    </row>
    <row r="172" spans="1:56" s="3" customFormat="1" ht="25.5" customHeight="1" x14ac:dyDescent="0.25">
      <c r="A172" s="275" t="str">
        <f>'Q100b-totais'!$B$14</f>
        <v>1.5</v>
      </c>
      <c r="B172" s="252" t="s">
        <v>642</v>
      </c>
      <c r="C172" s="167" t="s">
        <v>432</v>
      </c>
      <c r="D172" s="324" t="s">
        <v>103</v>
      </c>
      <c r="E172" s="254" t="s">
        <v>1306</v>
      </c>
      <c r="F172" s="11" t="s">
        <v>1478</v>
      </c>
      <c r="G172" s="110" t="s">
        <v>77</v>
      </c>
      <c r="H172" s="173" t="s">
        <v>432</v>
      </c>
      <c r="I172" s="57">
        <v>1</v>
      </c>
      <c r="J172" s="107" t="s">
        <v>432</v>
      </c>
      <c r="K172" s="93" t="s">
        <v>432</v>
      </c>
      <c r="L172" s="93" t="s">
        <v>432</v>
      </c>
      <c r="M172" s="93" t="s">
        <v>432</v>
      </c>
      <c r="N172" s="93" t="s">
        <v>432</v>
      </c>
      <c r="O172" s="93" t="s">
        <v>432</v>
      </c>
      <c r="P172" s="93" t="s">
        <v>432</v>
      </c>
      <c r="Q172" s="93" t="s">
        <v>432</v>
      </c>
      <c r="R172" s="93" t="s">
        <v>432</v>
      </c>
      <c r="S172" s="109" t="s">
        <v>2209</v>
      </c>
      <c r="T172" s="93" t="s">
        <v>432</v>
      </c>
      <c r="U172" s="93" t="s">
        <v>432</v>
      </c>
      <c r="V172" s="109" t="s">
        <v>2209</v>
      </c>
      <c r="W172" s="93" t="s">
        <v>432</v>
      </c>
      <c r="X172" s="93" t="s">
        <v>432</v>
      </c>
      <c r="Y172" s="93" t="s">
        <v>432</v>
      </c>
      <c r="Z172" s="93" t="s">
        <v>432</v>
      </c>
      <c r="AA172" s="93" t="s">
        <v>432</v>
      </c>
      <c r="AB172" s="93" t="s">
        <v>432</v>
      </c>
      <c r="AC172" s="93" t="s">
        <v>432</v>
      </c>
      <c r="AD172" s="93" t="s">
        <v>432</v>
      </c>
      <c r="AE172" s="93" t="s">
        <v>432</v>
      </c>
      <c r="AF172" s="93" t="s">
        <v>432</v>
      </c>
      <c r="AG172" s="93" t="s">
        <v>432</v>
      </c>
      <c r="AH172" s="93" t="s">
        <v>432</v>
      </c>
      <c r="AI172" s="84">
        <v>5</v>
      </c>
      <c r="AJ172" s="84">
        <v>11</v>
      </c>
      <c r="AK172" s="84">
        <v>12</v>
      </c>
      <c r="AL172" s="600" t="s">
        <v>432</v>
      </c>
      <c r="AM172" s="137" t="s">
        <v>432</v>
      </c>
      <c r="AN172" s="137" t="s">
        <v>432</v>
      </c>
      <c r="AO172" s="137" t="s">
        <v>432</v>
      </c>
      <c r="AP172" s="137" t="s">
        <v>432</v>
      </c>
      <c r="AQ172" s="137" t="s">
        <v>432</v>
      </c>
      <c r="AR172" s="137" t="s">
        <v>432</v>
      </c>
      <c r="AS172" s="137" t="s">
        <v>432</v>
      </c>
      <c r="AT172" s="137" t="s">
        <v>432</v>
      </c>
      <c r="AU172" s="137" t="s">
        <v>432</v>
      </c>
      <c r="AV172" s="137" t="s">
        <v>432</v>
      </c>
      <c r="AW172" s="137" t="s">
        <v>432</v>
      </c>
      <c r="AX172" s="137" t="s">
        <v>432</v>
      </c>
      <c r="AY172" s="137" t="s">
        <v>432</v>
      </c>
      <c r="AZ172" s="137" t="s">
        <v>432</v>
      </c>
      <c r="BA172" s="137" t="s">
        <v>432</v>
      </c>
      <c r="BB172" s="239" t="str">
        <f t="shared" si="35"/>
        <v>Solicitações urbanísticasx</v>
      </c>
      <c r="BC172" s="239" t="str">
        <f t="shared" si="36"/>
        <v>Solicitações urbanísticasxx</v>
      </c>
      <c r="BD172" s="239" t="str">
        <f t="shared" si="37"/>
        <v>Solicitações urbanísticasx</v>
      </c>
    </row>
    <row r="173" spans="1:56" s="3" customFormat="1" ht="15.75" customHeight="1" x14ac:dyDescent="0.25">
      <c r="A173" s="402"/>
      <c r="B173" s="399"/>
      <c r="C173" s="399"/>
      <c r="D173" s="970"/>
      <c r="E173" s="1495"/>
      <c r="F173" s="221"/>
      <c r="G173" s="221"/>
      <c r="H173" s="221"/>
      <c r="I173" s="399"/>
      <c r="J173" s="221"/>
      <c r="K173" s="221"/>
      <c r="L173" s="221"/>
      <c r="M173" s="221"/>
      <c r="N173" s="221"/>
      <c r="O173" s="221"/>
      <c r="P173" s="221"/>
      <c r="Q173" s="221"/>
      <c r="R173" s="221"/>
      <c r="S173" s="109" t="s">
        <v>2209</v>
      </c>
      <c r="T173" s="221"/>
      <c r="U173" s="221"/>
      <c r="V173" s="109" t="s">
        <v>2209</v>
      </c>
      <c r="W173" s="221"/>
      <c r="X173" s="221"/>
      <c r="Y173" s="221"/>
      <c r="Z173" s="221"/>
      <c r="AA173" s="221"/>
      <c r="AB173" s="221"/>
      <c r="AC173" s="221"/>
      <c r="AD173" s="221"/>
      <c r="AE173" s="221"/>
      <c r="AF173" s="221"/>
      <c r="AG173" s="221"/>
      <c r="AH173" s="221"/>
      <c r="AI173" s="221"/>
      <c r="AJ173" s="221"/>
      <c r="AK173" s="223"/>
      <c r="AL173" s="600" t="s">
        <v>432</v>
      </c>
      <c r="AM173" s="223"/>
      <c r="AN173" s="223"/>
      <c r="AO173" s="223"/>
      <c r="AP173" s="223"/>
      <c r="AQ173" s="223"/>
      <c r="AR173" s="223"/>
      <c r="AS173" s="223"/>
      <c r="AT173" s="223"/>
      <c r="AU173" s="223"/>
      <c r="AV173" s="223"/>
      <c r="AW173" s="137" t="s">
        <v>432</v>
      </c>
      <c r="AX173" s="223"/>
      <c r="AY173" s="223"/>
      <c r="AZ173" s="223"/>
      <c r="BA173" s="223"/>
      <c r="BB173" s="400"/>
      <c r="BC173" s="400"/>
      <c r="BD173" s="400"/>
    </row>
    <row r="174" spans="1:56" s="3" customFormat="1" ht="53.25" customHeight="1" x14ac:dyDescent="0.25">
      <c r="A174" s="262" t="str">
        <f>'Q100b-totais'!B34</f>
        <v>3.9</v>
      </c>
      <c r="B174" s="252" t="str">
        <f>'Q100b-totais'!C34</f>
        <v>Verbetes gerais</v>
      </c>
      <c r="C174" s="167" t="s">
        <v>432</v>
      </c>
      <c r="D174" s="716" t="s">
        <v>6239</v>
      </c>
      <c r="E174" s="1499" t="s">
        <v>1767</v>
      </c>
      <c r="F174" s="1151" t="s">
        <v>6240</v>
      </c>
      <c r="G174" s="230" t="s">
        <v>3507</v>
      </c>
      <c r="H174" s="167" t="s">
        <v>2408</v>
      </c>
      <c r="I174" s="167" t="s">
        <v>432</v>
      </c>
      <c r="J174" s="107" t="s">
        <v>432</v>
      </c>
      <c r="K174" s="107" t="s">
        <v>432</v>
      </c>
      <c r="L174" s="107" t="s">
        <v>432</v>
      </c>
      <c r="M174" s="107" t="s">
        <v>432</v>
      </c>
      <c r="N174" s="107" t="s">
        <v>432</v>
      </c>
      <c r="O174" s="107" t="s">
        <v>432</v>
      </c>
      <c r="P174" s="107" t="s">
        <v>432</v>
      </c>
      <c r="Q174" s="107" t="s">
        <v>432</v>
      </c>
      <c r="R174" s="107" t="s">
        <v>432</v>
      </c>
      <c r="S174" s="109" t="s">
        <v>2209</v>
      </c>
      <c r="T174" s="107" t="s">
        <v>432</v>
      </c>
      <c r="U174" s="107" t="s">
        <v>432</v>
      </c>
      <c r="V174" s="109" t="s">
        <v>2209</v>
      </c>
      <c r="W174" s="107" t="s">
        <v>432</v>
      </c>
      <c r="X174" s="107" t="s">
        <v>432</v>
      </c>
      <c r="Y174" s="107" t="s">
        <v>432</v>
      </c>
      <c r="Z174" s="107" t="s">
        <v>432</v>
      </c>
      <c r="AA174" s="107" t="s">
        <v>432</v>
      </c>
      <c r="AB174" s="107" t="s">
        <v>432</v>
      </c>
      <c r="AC174" s="107" t="s">
        <v>432</v>
      </c>
      <c r="AD174" s="107" t="s">
        <v>432</v>
      </c>
      <c r="AE174" s="107" t="s">
        <v>432</v>
      </c>
      <c r="AF174" s="107" t="s">
        <v>432</v>
      </c>
      <c r="AG174" s="107" t="s">
        <v>432</v>
      </c>
      <c r="AH174" s="107" t="s">
        <v>432</v>
      </c>
      <c r="AI174" s="107" t="s">
        <v>432</v>
      </c>
      <c r="AJ174" s="107" t="s">
        <v>432</v>
      </c>
      <c r="AK174" s="107" t="s">
        <v>432</v>
      </c>
      <c r="AL174" s="600" t="s">
        <v>432</v>
      </c>
      <c r="AM174" s="137" t="s">
        <v>432</v>
      </c>
      <c r="AN174" s="137" t="s">
        <v>432</v>
      </c>
      <c r="AO174" s="137" t="s">
        <v>432</v>
      </c>
      <c r="AP174" s="137" t="s">
        <v>432</v>
      </c>
      <c r="AQ174" s="137" t="s">
        <v>432</v>
      </c>
      <c r="AR174" s="137" t="s">
        <v>432</v>
      </c>
      <c r="AS174" s="137" t="s">
        <v>432</v>
      </c>
      <c r="AT174" s="137" t="s">
        <v>432</v>
      </c>
      <c r="AU174" s="137" t="s">
        <v>432</v>
      </c>
      <c r="AV174" s="137" t="s">
        <v>432</v>
      </c>
      <c r="AW174" s="137" t="s">
        <v>432</v>
      </c>
      <c r="AX174" s="137" t="s">
        <v>432</v>
      </c>
      <c r="AY174" s="137" t="s">
        <v>432</v>
      </c>
      <c r="AZ174" s="137" t="s">
        <v>432</v>
      </c>
      <c r="BA174" s="137" t="s">
        <v>432</v>
      </c>
      <c r="BB174" s="239" t="str">
        <f>B174&amp;C174</f>
        <v>Verbetes geraisx</v>
      </c>
      <c r="BC174" s="239" t="str">
        <f>B174&amp;C174&amp;H174</f>
        <v>Verbetes geraisxsigla/verbete</v>
      </c>
      <c r="BD174" s="239" t="str">
        <f>B174&amp;H174</f>
        <v>Verbetes geraissigla/verbete</v>
      </c>
    </row>
    <row r="175" spans="1:56" s="3" customFormat="1" ht="15.75" customHeight="1" x14ac:dyDescent="0.25">
      <c r="A175" s="402"/>
      <c r="B175" s="520"/>
      <c r="C175" s="399"/>
      <c r="D175" s="970"/>
      <c r="E175" s="1514"/>
      <c r="F175" s="221"/>
      <c r="G175" s="221"/>
      <c r="H175" s="522"/>
      <c r="I175" s="399"/>
      <c r="J175" s="221"/>
      <c r="K175" s="221"/>
      <c r="L175" s="221"/>
      <c r="M175" s="221"/>
      <c r="N175" s="221"/>
      <c r="O175" s="221"/>
      <c r="P175" s="221"/>
      <c r="Q175" s="221"/>
      <c r="R175" s="221"/>
      <c r="S175" s="109"/>
      <c r="T175" s="221"/>
      <c r="U175" s="221"/>
      <c r="V175" s="109"/>
      <c r="W175" s="221"/>
      <c r="X175" s="221"/>
      <c r="Y175" s="221"/>
      <c r="Z175" s="221"/>
      <c r="AA175" s="221"/>
      <c r="AB175" s="221"/>
      <c r="AC175" s="221"/>
      <c r="AD175" s="221"/>
      <c r="AE175" s="221"/>
      <c r="AF175" s="221"/>
      <c r="AG175" s="221"/>
      <c r="AH175" s="221"/>
      <c r="AI175" s="221"/>
      <c r="AJ175" s="221"/>
      <c r="AK175" s="223"/>
      <c r="AL175" s="600"/>
      <c r="AM175" s="223"/>
      <c r="AN175" s="223"/>
      <c r="AO175" s="223"/>
      <c r="AP175" s="223"/>
      <c r="AQ175" s="223"/>
      <c r="AR175" s="223"/>
      <c r="AS175" s="223"/>
      <c r="AT175" s="223"/>
      <c r="AU175" s="223"/>
      <c r="AV175" s="223"/>
      <c r="AW175" s="137"/>
      <c r="AX175" s="223"/>
      <c r="AY175" s="223"/>
      <c r="AZ175" s="223"/>
      <c r="BA175" s="223"/>
      <c r="BB175" s="400"/>
      <c r="BC175" s="400"/>
      <c r="BD175" s="400"/>
    </row>
    <row r="176" spans="1:56" ht="28.5" customHeight="1" x14ac:dyDescent="0.25">
      <c r="A176" s="275" t="str">
        <f>'Q100b-totais'!$B$19</f>
        <v>2.4</v>
      </c>
      <c r="B176" s="54" t="str">
        <f>'Q100b-totais'!$C$19</f>
        <v>População</v>
      </c>
      <c r="C176" s="167" t="s">
        <v>432</v>
      </c>
      <c r="D176" s="323" t="s">
        <v>2806</v>
      </c>
      <c r="E176" s="1503" t="s">
        <v>1738</v>
      </c>
      <c r="F176" s="188" t="s">
        <v>1778</v>
      </c>
      <c r="G176" s="110" t="s">
        <v>77</v>
      </c>
      <c r="H176" s="171" t="s">
        <v>1298</v>
      </c>
      <c r="I176" s="167">
        <v>1</v>
      </c>
      <c r="J176" s="93" t="s">
        <v>432</v>
      </c>
      <c r="K176" s="84" t="s">
        <v>432</v>
      </c>
      <c r="L176" s="84" t="s">
        <v>432</v>
      </c>
      <c r="M176" s="84" t="s">
        <v>432</v>
      </c>
      <c r="N176" s="84" t="s">
        <v>432</v>
      </c>
      <c r="O176" s="84" t="s">
        <v>432</v>
      </c>
      <c r="P176" s="84" t="s">
        <v>432</v>
      </c>
      <c r="Q176" s="84" t="s">
        <v>432</v>
      </c>
      <c r="R176" s="84" t="s">
        <v>432</v>
      </c>
      <c r="S176" s="109" t="s">
        <v>2209</v>
      </c>
      <c r="T176" s="84" t="s">
        <v>432</v>
      </c>
      <c r="U176" s="84" t="s">
        <v>432</v>
      </c>
      <c r="V176" s="109" t="s">
        <v>2209</v>
      </c>
      <c r="W176" s="84" t="s">
        <v>432</v>
      </c>
      <c r="X176" s="84" t="s">
        <v>432</v>
      </c>
      <c r="Y176" s="84" t="s">
        <v>432</v>
      </c>
      <c r="Z176" s="84" t="s">
        <v>432</v>
      </c>
      <c r="AA176" s="84" t="s">
        <v>432</v>
      </c>
      <c r="AB176" s="84" t="s">
        <v>432</v>
      </c>
      <c r="AC176" s="84" t="s">
        <v>432</v>
      </c>
      <c r="AD176" s="84" t="s">
        <v>432</v>
      </c>
      <c r="AE176" s="84" t="s">
        <v>432</v>
      </c>
      <c r="AF176" s="99">
        <v>556.26599999999996</v>
      </c>
      <c r="AG176" s="84" t="s">
        <v>432</v>
      </c>
      <c r="AH176" s="84" t="s">
        <v>432</v>
      </c>
      <c r="AI176" s="84" t="s">
        <v>432</v>
      </c>
      <c r="AJ176" s="84" t="s">
        <v>432</v>
      </c>
      <c r="AK176" s="137" t="s">
        <v>432</v>
      </c>
      <c r="AL176" s="600" t="s">
        <v>432</v>
      </c>
      <c r="AM176" s="137" t="s">
        <v>432</v>
      </c>
      <c r="AN176" s="137" t="s">
        <v>432</v>
      </c>
      <c r="AO176" s="137" t="s">
        <v>432</v>
      </c>
      <c r="AP176" s="137" t="s">
        <v>432</v>
      </c>
      <c r="AQ176" s="137" t="s">
        <v>432</v>
      </c>
      <c r="AR176" s="137" t="s">
        <v>432</v>
      </c>
      <c r="AS176" s="137" t="s">
        <v>432</v>
      </c>
      <c r="AT176" s="137" t="s">
        <v>432</v>
      </c>
      <c r="AU176" s="137" t="s">
        <v>432</v>
      </c>
      <c r="AV176" s="137" t="s">
        <v>432</v>
      </c>
      <c r="AW176" s="137" t="s">
        <v>432</v>
      </c>
      <c r="AX176" s="137" t="s">
        <v>432</v>
      </c>
      <c r="AY176" s="137" t="s">
        <v>432</v>
      </c>
      <c r="AZ176" s="137" t="s">
        <v>432</v>
      </c>
      <c r="BA176" s="137" t="s">
        <v>432</v>
      </c>
      <c r="BB176" s="239" t="str">
        <f t="shared" ref="BB176:BB212" si="40">B176&amp;C176</f>
        <v>Populaçãox</v>
      </c>
      <c r="BC176" s="239" t="str">
        <f t="shared" ref="BC176:BC212" si="41">B176&amp;C176&amp;H176</f>
        <v>PopulaçãoxRMBH</v>
      </c>
      <c r="BD176" s="239" t="str">
        <f t="shared" ref="BD176:BD212" si="42">B176&amp;H176</f>
        <v>PopulaçãoRMBH</v>
      </c>
    </row>
    <row r="177" spans="1:56" s="3" customFormat="1" ht="28.5" customHeight="1" x14ac:dyDescent="0.25">
      <c r="A177" s="275" t="str">
        <f>'Q100b-totais'!$B$19</f>
        <v>2.4</v>
      </c>
      <c r="B177" s="54" t="str">
        <f>'Q100b-totais'!$C$19</f>
        <v>População</v>
      </c>
      <c r="C177" s="167" t="s">
        <v>432</v>
      </c>
      <c r="D177" s="323" t="s">
        <v>2806</v>
      </c>
      <c r="E177" s="1504" t="s">
        <v>1307</v>
      </c>
      <c r="F177" s="188" t="s">
        <v>1778</v>
      </c>
      <c r="G177" s="110" t="s">
        <v>77</v>
      </c>
      <c r="H177" s="171" t="s">
        <v>1298</v>
      </c>
      <c r="I177" s="167">
        <v>1</v>
      </c>
      <c r="J177" s="93" t="s">
        <v>432</v>
      </c>
      <c r="K177" s="84" t="s">
        <v>432</v>
      </c>
      <c r="L177" s="84" t="s">
        <v>432</v>
      </c>
      <c r="M177" s="84" t="s">
        <v>432</v>
      </c>
      <c r="N177" s="84" t="s">
        <v>432</v>
      </c>
      <c r="O177" s="84" t="s">
        <v>432</v>
      </c>
      <c r="P177" s="84" t="s">
        <v>432</v>
      </c>
      <c r="Q177" s="84" t="s">
        <v>432</v>
      </c>
      <c r="R177" s="84" t="s">
        <v>432</v>
      </c>
      <c r="S177" s="109" t="s">
        <v>2209</v>
      </c>
      <c r="T177" s="84" t="s">
        <v>432</v>
      </c>
      <c r="U177" s="84" t="s">
        <v>432</v>
      </c>
      <c r="V177" s="109" t="s">
        <v>2209</v>
      </c>
      <c r="W177" s="84" t="s">
        <v>432</v>
      </c>
      <c r="X177" s="84" t="s">
        <v>432</v>
      </c>
      <c r="Y177" s="84" t="s">
        <v>432</v>
      </c>
      <c r="Z177" s="84" t="s">
        <v>432</v>
      </c>
      <c r="AA177" s="84" t="s">
        <v>432</v>
      </c>
      <c r="AB177" s="84" t="s">
        <v>432</v>
      </c>
      <c r="AC177" s="84" t="s">
        <v>432</v>
      </c>
      <c r="AD177" s="84" t="s">
        <v>432</v>
      </c>
      <c r="AE177" s="84" t="s">
        <v>432</v>
      </c>
      <c r="AF177" s="99">
        <v>342.846</v>
      </c>
      <c r="AG177" s="84" t="s">
        <v>432</v>
      </c>
      <c r="AH177" s="84" t="s">
        <v>432</v>
      </c>
      <c r="AI177" s="84" t="s">
        <v>432</v>
      </c>
      <c r="AJ177" s="84" t="s">
        <v>432</v>
      </c>
      <c r="AK177" s="137" t="s">
        <v>432</v>
      </c>
      <c r="AL177" s="600" t="s">
        <v>432</v>
      </c>
      <c r="AM177" s="137" t="s">
        <v>432</v>
      </c>
      <c r="AN177" s="137" t="s">
        <v>432</v>
      </c>
      <c r="AO177" s="137" t="s">
        <v>432</v>
      </c>
      <c r="AP177" s="137" t="s">
        <v>432</v>
      </c>
      <c r="AQ177" s="137" t="s">
        <v>432</v>
      </c>
      <c r="AR177" s="137" t="s">
        <v>432</v>
      </c>
      <c r="AS177" s="137" t="s">
        <v>432</v>
      </c>
      <c r="AT177" s="137" t="s">
        <v>432</v>
      </c>
      <c r="AU177" s="137" t="s">
        <v>432</v>
      </c>
      <c r="AV177" s="137" t="s">
        <v>432</v>
      </c>
      <c r="AW177" s="137" t="s">
        <v>432</v>
      </c>
      <c r="AX177" s="137" t="s">
        <v>432</v>
      </c>
      <c r="AY177" s="137" t="s">
        <v>432</v>
      </c>
      <c r="AZ177" s="137" t="s">
        <v>432</v>
      </c>
      <c r="BA177" s="137" t="s">
        <v>432</v>
      </c>
      <c r="BB177" s="239" t="str">
        <f t="shared" si="40"/>
        <v>Populaçãox</v>
      </c>
      <c r="BC177" s="239" t="str">
        <f t="shared" si="41"/>
        <v>PopulaçãoxRMBH</v>
      </c>
      <c r="BD177" s="239" t="str">
        <f t="shared" si="42"/>
        <v>PopulaçãoRMBH</v>
      </c>
    </row>
    <row r="178" spans="1:56" s="3" customFormat="1" ht="28.5" customHeight="1" x14ac:dyDescent="0.25">
      <c r="A178" s="275" t="str">
        <f>'Q100b-totais'!$B$19</f>
        <v>2.4</v>
      </c>
      <c r="B178" s="54" t="str">
        <f>'Q100b-totais'!$C$19</f>
        <v>População</v>
      </c>
      <c r="C178" s="167" t="s">
        <v>432</v>
      </c>
      <c r="D178" s="378" t="s">
        <v>2806</v>
      </c>
      <c r="E178" s="1502" t="s">
        <v>1306</v>
      </c>
      <c r="F178" s="338" t="s">
        <v>2807</v>
      </c>
      <c r="G178" s="110" t="s">
        <v>77</v>
      </c>
      <c r="H178" s="171" t="s">
        <v>432</v>
      </c>
      <c r="I178" s="167">
        <v>1</v>
      </c>
      <c r="J178" s="93" t="s">
        <v>432</v>
      </c>
      <c r="K178" s="83">
        <v>331.4</v>
      </c>
      <c r="L178" s="83">
        <v>331.4</v>
      </c>
      <c r="M178" s="83">
        <v>331.4</v>
      </c>
      <c r="N178" s="83">
        <v>331.4</v>
      </c>
      <c r="O178" s="83">
        <v>331.4</v>
      </c>
      <c r="P178" s="83">
        <v>331.4</v>
      </c>
      <c r="Q178" s="83">
        <v>331.4</v>
      </c>
      <c r="R178" s="83">
        <v>331.4</v>
      </c>
      <c r="S178" s="109" t="s">
        <v>2209</v>
      </c>
      <c r="T178" s="83">
        <v>331.4</v>
      </c>
      <c r="U178" s="83">
        <v>331.4</v>
      </c>
      <c r="V178" s="109" t="s">
        <v>2209</v>
      </c>
      <c r="W178" s="83">
        <v>331.4</v>
      </c>
      <c r="X178" s="83">
        <v>331.4</v>
      </c>
      <c r="Y178" s="83">
        <v>331.4</v>
      </c>
      <c r="Z178" s="83">
        <v>331.4</v>
      </c>
      <c r="AA178" s="83">
        <v>331.4</v>
      </c>
      <c r="AB178" s="83">
        <v>331.4</v>
      </c>
      <c r="AC178" s="83">
        <v>331.4</v>
      </c>
      <c r="AD178" s="83">
        <v>331.4</v>
      </c>
      <c r="AE178" s="83">
        <v>331.4</v>
      </c>
      <c r="AF178" s="83">
        <v>331.4</v>
      </c>
      <c r="AG178" s="83">
        <v>331.4</v>
      </c>
      <c r="AH178" s="83">
        <v>331.4</v>
      </c>
      <c r="AI178" s="83">
        <v>331.4</v>
      </c>
      <c r="AJ178" s="83">
        <v>331.4</v>
      </c>
      <c r="AK178" s="137" t="s">
        <v>432</v>
      </c>
      <c r="AL178" s="600" t="s">
        <v>432</v>
      </c>
      <c r="AM178" s="137" t="s">
        <v>432</v>
      </c>
      <c r="AN178" s="137" t="s">
        <v>432</v>
      </c>
      <c r="AO178" s="137" t="s">
        <v>432</v>
      </c>
      <c r="AP178" s="137" t="s">
        <v>432</v>
      </c>
      <c r="AQ178" s="137" t="s">
        <v>432</v>
      </c>
      <c r="AR178" s="137" t="s">
        <v>432</v>
      </c>
      <c r="AS178" s="137" t="s">
        <v>432</v>
      </c>
      <c r="AT178" s="137" t="s">
        <v>432</v>
      </c>
      <c r="AU178" s="137" t="s">
        <v>432</v>
      </c>
      <c r="AV178" s="137" t="s">
        <v>432</v>
      </c>
      <c r="AW178" s="137" t="s">
        <v>432</v>
      </c>
      <c r="AX178" s="137" t="s">
        <v>432</v>
      </c>
      <c r="AY178" s="137" t="s">
        <v>432</v>
      </c>
      <c r="AZ178" s="137" t="s">
        <v>432</v>
      </c>
      <c r="BA178" s="137" t="s">
        <v>432</v>
      </c>
      <c r="BB178" s="239" t="str">
        <f t="shared" si="40"/>
        <v>Populaçãox</v>
      </c>
      <c r="BC178" s="239" t="str">
        <f t="shared" si="41"/>
        <v>Populaçãoxx</v>
      </c>
      <c r="BD178" s="239" t="str">
        <f t="shared" si="42"/>
        <v>Populaçãox</v>
      </c>
    </row>
    <row r="179" spans="1:56" s="3" customFormat="1" ht="28.5" customHeight="1" x14ac:dyDescent="0.25">
      <c r="A179" s="275" t="str">
        <f>'Q100b-totais'!$B$19</f>
        <v>2.4</v>
      </c>
      <c r="B179" s="54" t="str">
        <f>'Q100b-totais'!$C$19</f>
        <v>População</v>
      </c>
      <c r="C179" s="167" t="s">
        <v>432</v>
      </c>
      <c r="D179" s="323" t="s">
        <v>2806</v>
      </c>
      <c r="E179" s="1505" t="s">
        <v>1739</v>
      </c>
      <c r="F179" s="188" t="s">
        <v>1778</v>
      </c>
      <c r="G179" s="110" t="s">
        <v>77</v>
      </c>
      <c r="H179" s="171" t="s">
        <v>1298</v>
      </c>
      <c r="I179" s="167">
        <v>1</v>
      </c>
      <c r="J179" s="93" t="s">
        <v>432</v>
      </c>
      <c r="K179" s="93" t="s">
        <v>432</v>
      </c>
      <c r="L179" s="93" t="s">
        <v>432</v>
      </c>
      <c r="M179" s="93" t="s">
        <v>432</v>
      </c>
      <c r="N179" s="93" t="s">
        <v>432</v>
      </c>
      <c r="O179" s="93" t="s">
        <v>432</v>
      </c>
      <c r="P179" s="93" t="s">
        <v>432</v>
      </c>
      <c r="Q179" s="93" t="s">
        <v>432</v>
      </c>
      <c r="R179" s="93" t="s">
        <v>432</v>
      </c>
      <c r="S179" s="109" t="s">
        <v>2209</v>
      </c>
      <c r="T179" s="93" t="s">
        <v>432</v>
      </c>
      <c r="U179" s="93" t="s">
        <v>432</v>
      </c>
      <c r="V179" s="109" t="s">
        <v>2209</v>
      </c>
      <c r="W179" s="93" t="s">
        <v>432</v>
      </c>
      <c r="X179" s="93" t="s">
        <v>432</v>
      </c>
      <c r="Y179" s="93" t="s">
        <v>432</v>
      </c>
      <c r="Z179" s="93" t="s">
        <v>432</v>
      </c>
      <c r="AA179" s="93" t="s">
        <v>432</v>
      </c>
      <c r="AB179" s="93" t="s">
        <v>432</v>
      </c>
      <c r="AC179" s="93" t="s">
        <v>432</v>
      </c>
      <c r="AD179" s="93" t="s">
        <v>432</v>
      </c>
      <c r="AE179" s="93" t="s">
        <v>432</v>
      </c>
      <c r="AF179" s="99">
        <v>639.43399999999997</v>
      </c>
      <c r="AG179" s="84" t="s">
        <v>432</v>
      </c>
      <c r="AH179" s="84" t="s">
        <v>432</v>
      </c>
      <c r="AI179" s="84" t="s">
        <v>432</v>
      </c>
      <c r="AJ179" s="84" t="s">
        <v>432</v>
      </c>
      <c r="AK179" s="137" t="s">
        <v>432</v>
      </c>
      <c r="AL179" s="600" t="s">
        <v>432</v>
      </c>
      <c r="AM179" s="137" t="s">
        <v>432</v>
      </c>
      <c r="AN179" s="137" t="s">
        <v>432</v>
      </c>
      <c r="AO179" s="137" t="s">
        <v>432</v>
      </c>
      <c r="AP179" s="137" t="s">
        <v>432</v>
      </c>
      <c r="AQ179" s="137" t="s">
        <v>432</v>
      </c>
      <c r="AR179" s="137" t="s">
        <v>432</v>
      </c>
      <c r="AS179" s="137" t="s">
        <v>432</v>
      </c>
      <c r="AT179" s="137" t="s">
        <v>432</v>
      </c>
      <c r="AU179" s="137" t="s">
        <v>432</v>
      </c>
      <c r="AV179" s="137" t="s">
        <v>432</v>
      </c>
      <c r="AW179" s="137" t="s">
        <v>432</v>
      </c>
      <c r="AX179" s="137" t="s">
        <v>432</v>
      </c>
      <c r="AY179" s="137" t="s">
        <v>432</v>
      </c>
      <c r="AZ179" s="137" t="s">
        <v>432</v>
      </c>
      <c r="BA179" s="137" t="s">
        <v>432</v>
      </c>
      <c r="BB179" s="239" t="str">
        <f t="shared" si="40"/>
        <v>Populaçãox</v>
      </c>
      <c r="BC179" s="239" t="str">
        <f t="shared" si="41"/>
        <v>PopulaçãoxRMBH</v>
      </c>
      <c r="BD179" s="239" t="str">
        <f t="shared" si="42"/>
        <v>PopulaçãoRMBH</v>
      </c>
    </row>
    <row r="180" spans="1:56" s="3" customFormat="1" ht="28.5" customHeight="1" x14ac:dyDescent="0.25">
      <c r="A180" s="275" t="str">
        <f>'Q100b-totais'!$B$19</f>
        <v>2.4</v>
      </c>
      <c r="B180" s="54" t="str">
        <f>'Q100b-totais'!$C$19</f>
        <v>População</v>
      </c>
      <c r="C180" s="167" t="s">
        <v>432</v>
      </c>
      <c r="D180" s="323" t="s">
        <v>2806</v>
      </c>
      <c r="E180" s="1505" t="s">
        <v>1740</v>
      </c>
      <c r="F180" s="188" t="s">
        <v>1778</v>
      </c>
      <c r="G180" s="110" t="s">
        <v>77</v>
      </c>
      <c r="H180" s="171" t="s">
        <v>1298</v>
      </c>
      <c r="I180" s="167">
        <v>1</v>
      </c>
      <c r="J180" s="93" t="s">
        <v>432</v>
      </c>
      <c r="K180" s="93" t="s">
        <v>432</v>
      </c>
      <c r="L180" s="93" t="s">
        <v>432</v>
      </c>
      <c r="M180" s="93" t="s">
        <v>432</v>
      </c>
      <c r="N180" s="93" t="s">
        <v>432</v>
      </c>
      <c r="O180" s="93" t="s">
        <v>432</v>
      </c>
      <c r="P180" s="93" t="s">
        <v>432</v>
      </c>
      <c r="Q180" s="93" t="s">
        <v>432</v>
      </c>
      <c r="R180" s="93" t="s">
        <v>432</v>
      </c>
      <c r="S180" s="109" t="s">
        <v>2209</v>
      </c>
      <c r="T180" s="93" t="s">
        <v>432</v>
      </c>
      <c r="U180" s="93" t="s">
        <v>432</v>
      </c>
      <c r="V180" s="109" t="s">
        <v>2209</v>
      </c>
      <c r="W180" s="93" t="s">
        <v>432</v>
      </c>
      <c r="X180" s="93" t="s">
        <v>432</v>
      </c>
      <c r="Y180" s="93" t="s">
        <v>432</v>
      </c>
      <c r="Z180" s="93" t="s">
        <v>432</v>
      </c>
      <c r="AA180" s="93" t="s">
        <v>432</v>
      </c>
      <c r="AB180" s="93" t="s">
        <v>432</v>
      </c>
      <c r="AC180" s="93" t="s">
        <v>432</v>
      </c>
      <c r="AD180" s="93" t="s">
        <v>432</v>
      </c>
      <c r="AE180" s="93" t="s">
        <v>432</v>
      </c>
      <c r="AF180" s="99">
        <v>542.57100000000003</v>
      </c>
      <c r="AG180" s="84" t="s">
        <v>432</v>
      </c>
      <c r="AH180" s="84" t="s">
        <v>432</v>
      </c>
      <c r="AI180" s="84" t="s">
        <v>432</v>
      </c>
      <c r="AJ180" s="84" t="s">
        <v>432</v>
      </c>
      <c r="AK180" s="137" t="s">
        <v>432</v>
      </c>
      <c r="AL180" s="600" t="s">
        <v>432</v>
      </c>
      <c r="AM180" s="137" t="s">
        <v>432</v>
      </c>
      <c r="AN180" s="137" t="s">
        <v>432</v>
      </c>
      <c r="AO180" s="137" t="s">
        <v>432</v>
      </c>
      <c r="AP180" s="137" t="s">
        <v>432</v>
      </c>
      <c r="AQ180" s="137" t="s">
        <v>432</v>
      </c>
      <c r="AR180" s="137" t="s">
        <v>432</v>
      </c>
      <c r="AS180" s="137" t="s">
        <v>432</v>
      </c>
      <c r="AT180" s="137" t="s">
        <v>432</v>
      </c>
      <c r="AU180" s="137" t="s">
        <v>432</v>
      </c>
      <c r="AV180" s="137" t="s">
        <v>432</v>
      </c>
      <c r="AW180" s="137" t="s">
        <v>432</v>
      </c>
      <c r="AX180" s="137" t="s">
        <v>432</v>
      </c>
      <c r="AY180" s="137" t="s">
        <v>432</v>
      </c>
      <c r="AZ180" s="137" t="s">
        <v>432</v>
      </c>
      <c r="BA180" s="137" t="s">
        <v>432</v>
      </c>
      <c r="BB180" s="239" t="str">
        <f t="shared" si="40"/>
        <v>Populaçãox</v>
      </c>
      <c r="BC180" s="239" t="str">
        <f t="shared" si="41"/>
        <v>PopulaçãoxRMBH</v>
      </c>
      <c r="BD180" s="239" t="str">
        <f t="shared" si="42"/>
        <v>PopulaçãoRMBH</v>
      </c>
    </row>
    <row r="181" spans="1:56" s="3" customFormat="1" ht="28.5" customHeight="1" x14ac:dyDescent="0.25">
      <c r="A181" s="275" t="str">
        <f>'Q100b-totais'!$B$19</f>
        <v>2.4</v>
      </c>
      <c r="B181" s="54" t="str">
        <f>'Q100b-totais'!$C$19</f>
        <v>População</v>
      </c>
      <c r="C181" s="167" t="s">
        <v>432</v>
      </c>
      <c r="D181" s="323" t="s">
        <v>2806</v>
      </c>
      <c r="E181" s="1505" t="s">
        <v>1741</v>
      </c>
      <c r="F181" s="188" t="s">
        <v>1778</v>
      </c>
      <c r="G181" s="110" t="s">
        <v>77</v>
      </c>
      <c r="H181" s="171" t="s">
        <v>1298</v>
      </c>
      <c r="I181" s="167">
        <v>1</v>
      </c>
      <c r="J181" s="93" t="s">
        <v>432</v>
      </c>
      <c r="K181" s="93" t="s">
        <v>432</v>
      </c>
      <c r="L181" s="93" t="s">
        <v>432</v>
      </c>
      <c r="M181" s="93" t="s">
        <v>432</v>
      </c>
      <c r="N181" s="93" t="s">
        <v>432</v>
      </c>
      <c r="O181" s="93" t="s">
        <v>432</v>
      </c>
      <c r="P181" s="93" t="s">
        <v>432</v>
      </c>
      <c r="Q181" s="93" t="s">
        <v>432</v>
      </c>
      <c r="R181" s="93" t="s">
        <v>432</v>
      </c>
      <c r="S181" s="109" t="s">
        <v>2209</v>
      </c>
      <c r="T181" s="93" t="s">
        <v>432</v>
      </c>
      <c r="U181" s="93" t="s">
        <v>432</v>
      </c>
      <c r="V181" s="109" t="s">
        <v>2209</v>
      </c>
      <c r="W181" s="93" t="s">
        <v>432</v>
      </c>
      <c r="X181" s="93" t="s">
        <v>432</v>
      </c>
      <c r="Y181" s="93" t="s">
        <v>432</v>
      </c>
      <c r="Z181" s="93" t="s">
        <v>432</v>
      </c>
      <c r="AA181" s="93" t="s">
        <v>432</v>
      </c>
      <c r="AB181" s="93" t="s">
        <v>432</v>
      </c>
      <c r="AC181" s="93" t="s">
        <v>432</v>
      </c>
      <c r="AD181" s="93" t="s">
        <v>432</v>
      </c>
      <c r="AE181" s="93" t="s">
        <v>432</v>
      </c>
      <c r="AF181" s="99">
        <v>95.332999999999998</v>
      </c>
      <c r="AG181" s="84" t="s">
        <v>432</v>
      </c>
      <c r="AH181" s="84" t="s">
        <v>432</v>
      </c>
      <c r="AI181" s="84" t="s">
        <v>432</v>
      </c>
      <c r="AJ181" s="84" t="s">
        <v>432</v>
      </c>
      <c r="AK181" s="137" t="s">
        <v>432</v>
      </c>
      <c r="AL181" s="600" t="s">
        <v>432</v>
      </c>
      <c r="AM181" s="137" t="s">
        <v>432</v>
      </c>
      <c r="AN181" s="137" t="s">
        <v>432</v>
      </c>
      <c r="AO181" s="137" t="s">
        <v>432</v>
      </c>
      <c r="AP181" s="137" t="s">
        <v>432</v>
      </c>
      <c r="AQ181" s="137" t="s">
        <v>432</v>
      </c>
      <c r="AR181" s="137" t="s">
        <v>432</v>
      </c>
      <c r="AS181" s="137" t="s">
        <v>432</v>
      </c>
      <c r="AT181" s="137" t="s">
        <v>432</v>
      </c>
      <c r="AU181" s="137" t="s">
        <v>432</v>
      </c>
      <c r="AV181" s="137" t="s">
        <v>432</v>
      </c>
      <c r="AW181" s="137" t="s">
        <v>432</v>
      </c>
      <c r="AX181" s="137" t="s">
        <v>432</v>
      </c>
      <c r="AY181" s="137" t="s">
        <v>432</v>
      </c>
      <c r="AZ181" s="137" t="s">
        <v>432</v>
      </c>
      <c r="BA181" s="137" t="s">
        <v>432</v>
      </c>
      <c r="BB181" s="239" t="str">
        <f t="shared" si="40"/>
        <v>Populaçãox</v>
      </c>
      <c r="BC181" s="239" t="str">
        <f t="shared" si="41"/>
        <v>PopulaçãoxRMBH</v>
      </c>
      <c r="BD181" s="239" t="str">
        <f t="shared" si="42"/>
        <v>PopulaçãoRMBH</v>
      </c>
    </row>
    <row r="182" spans="1:56" s="3" customFormat="1" ht="28.5" customHeight="1" x14ac:dyDescent="0.25">
      <c r="A182" s="275" t="str">
        <f>'Q100b-totais'!$B$19</f>
        <v>2.4</v>
      </c>
      <c r="B182" s="54" t="str">
        <f>'Q100b-totais'!$C$19</f>
        <v>População</v>
      </c>
      <c r="C182" s="167" t="s">
        <v>432</v>
      </c>
      <c r="D182" s="323" t="s">
        <v>2806</v>
      </c>
      <c r="E182" s="1505" t="s">
        <v>1742</v>
      </c>
      <c r="F182" s="188" t="s">
        <v>1778</v>
      </c>
      <c r="G182" s="110" t="s">
        <v>77</v>
      </c>
      <c r="H182" s="171" t="s">
        <v>1298</v>
      </c>
      <c r="I182" s="167">
        <v>1</v>
      </c>
      <c r="J182" s="93" t="s">
        <v>432</v>
      </c>
      <c r="K182" s="93" t="s">
        <v>432</v>
      </c>
      <c r="L182" s="93" t="s">
        <v>432</v>
      </c>
      <c r="M182" s="93" t="s">
        <v>432</v>
      </c>
      <c r="N182" s="93" t="s">
        <v>432</v>
      </c>
      <c r="O182" s="93" t="s">
        <v>432</v>
      </c>
      <c r="P182" s="93" t="s">
        <v>432</v>
      </c>
      <c r="Q182" s="93" t="s">
        <v>432</v>
      </c>
      <c r="R182" s="93" t="s">
        <v>432</v>
      </c>
      <c r="S182" s="109" t="s">
        <v>2209</v>
      </c>
      <c r="T182" s="93" t="s">
        <v>432</v>
      </c>
      <c r="U182" s="93" t="s">
        <v>432</v>
      </c>
      <c r="V182" s="109" t="s">
        <v>2209</v>
      </c>
      <c r="W182" s="93" t="s">
        <v>432</v>
      </c>
      <c r="X182" s="93" t="s">
        <v>432</v>
      </c>
      <c r="Y182" s="93" t="s">
        <v>432</v>
      </c>
      <c r="Z182" s="93" t="s">
        <v>432</v>
      </c>
      <c r="AA182" s="93" t="s">
        <v>432</v>
      </c>
      <c r="AB182" s="93" t="s">
        <v>432</v>
      </c>
      <c r="AC182" s="93" t="s">
        <v>432</v>
      </c>
      <c r="AD182" s="93" t="s">
        <v>432</v>
      </c>
      <c r="AE182" s="93" t="s">
        <v>432</v>
      </c>
      <c r="AF182" s="99">
        <v>42.354999999999997</v>
      </c>
      <c r="AG182" s="84" t="s">
        <v>432</v>
      </c>
      <c r="AH182" s="84" t="s">
        <v>432</v>
      </c>
      <c r="AI182" s="84" t="s">
        <v>432</v>
      </c>
      <c r="AJ182" s="84" t="s">
        <v>432</v>
      </c>
      <c r="AK182" s="137" t="s">
        <v>432</v>
      </c>
      <c r="AL182" s="600" t="s">
        <v>432</v>
      </c>
      <c r="AM182" s="137" t="s">
        <v>432</v>
      </c>
      <c r="AN182" s="137" t="s">
        <v>432</v>
      </c>
      <c r="AO182" s="137" t="s">
        <v>432</v>
      </c>
      <c r="AP182" s="137" t="s">
        <v>432</v>
      </c>
      <c r="AQ182" s="137" t="s">
        <v>432</v>
      </c>
      <c r="AR182" s="137" t="s">
        <v>432</v>
      </c>
      <c r="AS182" s="137" t="s">
        <v>432</v>
      </c>
      <c r="AT182" s="137" t="s">
        <v>432</v>
      </c>
      <c r="AU182" s="137" t="s">
        <v>432</v>
      </c>
      <c r="AV182" s="137" t="s">
        <v>432</v>
      </c>
      <c r="AW182" s="137" t="s">
        <v>432</v>
      </c>
      <c r="AX182" s="137" t="s">
        <v>432</v>
      </c>
      <c r="AY182" s="137" t="s">
        <v>432</v>
      </c>
      <c r="AZ182" s="137" t="s">
        <v>432</v>
      </c>
      <c r="BA182" s="137" t="s">
        <v>432</v>
      </c>
      <c r="BB182" s="239" t="str">
        <f t="shared" si="40"/>
        <v>Populaçãox</v>
      </c>
      <c r="BC182" s="239" t="str">
        <f t="shared" si="41"/>
        <v>PopulaçãoxRMBH</v>
      </c>
      <c r="BD182" s="239" t="str">
        <f t="shared" si="42"/>
        <v>PopulaçãoRMBH</v>
      </c>
    </row>
    <row r="183" spans="1:56" s="3" customFormat="1" ht="28.5" customHeight="1" x14ac:dyDescent="0.25">
      <c r="A183" s="275" t="str">
        <f>'Q100b-totais'!$B$19</f>
        <v>2.4</v>
      </c>
      <c r="B183" s="54" t="str">
        <f>'Q100b-totais'!$C$19</f>
        <v>População</v>
      </c>
      <c r="C183" s="167" t="s">
        <v>432</v>
      </c>
      <c r="D183" s="323" t="s">
        <v>2806</v>
      </c>
      <c r="E183" s="1505" t="s">
        <v>1371</v>
      </c>
      <c r="F183" s="15" t="s">
        <v>1778</v>
      </c>
      <c r="G183" s="110" t="s">
        <v>77</v>
      </c>
      <c r="H183" s="171" t="s">
        <v>1298</v>
      </c>
      <c r="I183" s="167">
        <v>1</v>
      </c>
      <c r="J183" s="93" t="s">
        <v>432</v>
      </c>
      <c r="K183" s="93" t="s">
        <v>432</v>
      </c>
      <c r="L183" s="93" t="s">
        <v>432</v>
      </c>
      <c r="M183" s="93" t="s">
        <v>432</v>
      </c>
      <c r="N183" s="93" t="s">
        <v>432</v>
      </c>
      <c r="O183" s="93" t="s">
        <v>432</v>
      </c>
      <c r="P183" s="93" t="s">
        <v>432</v>
      </c>
      <c r="Q183" s="93" t="s">
        <v>432</v>
      </c>
      <c r="R183" s="93" t="s">
        <v>432</v>
      </c>
      <c r="S183" s="109" t="s">
        <v>2209</v>
      </c>
      <c r="T183" s="93" t="s">
        <v>432</v>
      </c>
      <c r="U183" s="93" t="s">
        <v>432</v>
      </c>
      <c r="V183" s="109" t="s">
        <v>2209</v>
      </c>
      <c r="W183" s="93" t="s">
        <v>432</v>
      </c>
      <c r="X183" s="93" t="s">
        <v>432</v>
      </c>
      <c r="Y183" s="93" t="s">
        <v>432</v>
      </c>
      <c r="Z183" s="93" t="s">
        <v>432</v>
      </c>
      <c r="AA183" s="93" t="s">
        <v>432</v>
      </c>
      <c r="AB183" s="93" t="s">
        <v>432</v>
      </c>
      <c r="AC183" s="93" t="s">
        <v>432</v>
      </c>
      <c r="AD183" s="93" t="s">
        <v>432</v>
      </c>
      <c r="AE183" s="93" t="s">
        <v>432</v>
      </c>
      <c r="AF183" s="99">
        <v>195.268</v>
      </c>
      <c r="AG183" s="84" t="s">
        <v>432</v>
      </c>
      <c r="AH183" s="84" t="s">
        <v>432</v>
      </c>
      <c r="AI183" s="84" t="s">
        <v>432</v>
      </c>
      <c r="AJ183" s="84" t="s">
        <v>432</v>
      </c>
      <c r="AK183" s="137" t="s">
        <v>432</v>
      </c>
      <c r="AL183" s="600" t="s">
        <v>432</v>
      </c>
      <c r="AM183" s="137" t="s">
        <v>432</v>
      </c>
      <c r="AN183" s="137" t="s">
        <v>432</v>
      </c>
      <c r="AO183" s="137" t="s">
        <v>432</v>
      </c>
      <c r="AP183" s="137" t="s">
        <v>432</v>
      </c>
      <c r="AQ183" s="137" t="s">
        <v>432</v>
      </c>
      <c r="AR183" s="137" t="s">
        <v>432</v>
      </c>
      <c r="AS183" s="137" t="s">
        <v>432</v>
      </c>
      <c r="AT183" s="137" t="s">
        <v>432</v>
      </c>
      <c r="AU183" s="137" t="s">
        <v>432</v>
      </c>
      <c r="AV183" s="137" t="s">
        <v>432</v>
      </c>
      <c r="AW183" s="137" t="s">
        <v>432</v>
      </c>
      <c r="AX183" s="137" t="s">
        <v>432</v>
      </c>
      <c r="AY183" s="137" t="s">
        <v>432</v>
      </c>
      <c r="AZ183" s="137" t="s">
        <v>432</v>
      </c>
      <c r="BA183" s="137" t="s">
        <v>432</v>
      </c>
      <c r="BB183" s="239" t="str">
        <f t="shared" si="40"/>
        <v>Populaçãox</v>
      </c>
      <c r="BC183" s="239" t="str">
        <f t="shared" si="41"/>
        <v>PopulaçãoxRMBH</v>
      </c>
      <c r="BD183" s="239" t="str">
        <f t="shared" si="42"/>
        <v>PopulaçãoRMBH</v>
      </c>
    </row>
    <row r="184" spans="1:56" s="3" customFormat="1" ht="28.5" customHeight="1" x14ac:dyDescent="0.25">
      <c r="A184" s="275" t="str">
        <f>'Q100b-totais'!$B$19</f>
        <v>2.4</v>
      </c>
      <c r="B184" s="54" t="str">
        <f>'Q100b-totais'!$C$19</f>
        <v>População</v>
      </c>
      <c r="C184" s="167" t="s">
        <v>432</v>
      </c>
      <c r="D184" s="323" t="s">
        <v>2806</v>
      </c>
      <c r="E184" s="1505" t="s">
        <v>1743</v>
      </c>
      <c r="F184" s="188" t="s">
        <v>1778</v>
      </c>
      <c r="G184" s="110" t="s">
        <v>77</v>
      </c>
      <c r="H184" s="171" t="s">
        <v>1298</v>
      </c>
      <c r="I184" s="167">
        <v>1</v>
      </c>
      <c r="J184" s="93" t="s">
        <v>432</v>
      </c>
      <c r="K184" s="93" t="s">
        <v>432</v>
      </c>
      <c r="L184" s="93" t="s">
        <v>432</v>
      </c>
      <c r="M184" s="93" t="s">
        <v>432</v>
      </c>
      <c r="N184" s="93" t="s">
        <v>432</v>
      </c>
      <c r="O184" s="93" t="s">
        <v>432</v>
      </c>
      <c r="P184" s="93" t="s">
        <v>432</v>
      </c>
      <c r="Q184" s="93" t="s">
        <v>432</v>
      </c>
      <c r="R184" s="93" t="s">
        <v>432</v>
      </c>
      <c r="S184" s="109" t="s">
        <v>2209</v>
      </c>
      <c r="T184" s="93" t="s">
        <v>432</v>
      </c>
      <c r="U184" s="93" t="s">
        <v>432</v>
      </c>
      <c r="V184" s="109" t="s">
        <v>2209</v>
      </c>
      <c r="W184" s="93" t="s">
        <v>432</v>
      </c>
      <c r="X184" s="93" t="s">
        <v>432</v>
      </c>
      <c r="Y184" s="93" t="s">
        <v>432</v>
      </c>
      <c r="Z184" s="93" t="s">
        <v>432</v>
      </c>
      <c r="AA184" s="93" t="s">
        <v>432</v>
      </c>
      <c r="AB184" s="93" t="s">
        <v>432</v>
      </c>
      <c r="AC184" s="93" t="s">
        <v>432</v>
      </c>
      <c r="AD184" s="93" t="s">
        <v>432</v>
      </c>
      <c r="AE184" s="93" t="s">
        <v>432</v>
      </c>
      <c r="AF184" s="99">
        <v>911.41800000000001</v>
      </c>
      <c r="AG184" s="84" t="s">
        <v>432</v>
      </c>
      <c r="AH184" s="84" t="s">
        <v>432</v>
      </c>
      <c r="AI184" s="84" t="s">
        <v>432</v>
      </c>
      <c r="AJ184" s="84" t="s">
        <v>432</v>
      </c>
      <c r="AK184" s="137" t="s">
        <v>432</v>
      </c>
      <c r="AL184" s="600" t="s">
        <v>432</v>
      </c>
      <c r="AM184" s="137" t="s">
        <v>432</v>
      </c>
      <c r="AN184" s="137" t="s">
        <v>432</v>
      </c>
      <c r="AO184" s="137" t="s">
        <v>432</v>
      </c>
      <c r="AP184" s="137" t="s">
        <v>432</v>
      </c>
      <c r="AQ184" s="137" t="s">
        <v>432</v>
      </c>
      <c r="AR184" s="137" t="s">
        <v>432</v>
      </c>
      <c r="AS184" s="137" t="s">
        <v>432</v>
      </c>
      <c r="AT184" s="137" t="s">
        <v>432</v>
      </c>
      <c r="AU184" s="137" t="s">
        <v>432</v>
      </c>
      <c r="AV184" s="137" t="s">
        <v>432</v>
      </c>
      <c r="AW184" s="137" t="s">
        <v>432</v>
      </c>
      <c r="AX184" s="137" t="s">
        <v>432</v>
      </c>
      <c r="AY184" s="137" t="s">
        <v>432</v>
      </c>
      <c r="AZ184" s="137" t="s">
        <v>432</v>
      </c>
      <c r="BA184" s="137" t="s">
        <v>432</v>
      </c>
      <c r="BB184" s="239" t="str">
        <f t="shared" si="40"/>
        <v>Populaçãox</v>
      </c>
      <c r="BC184" s="239" t="str">
        <f t="shared" si="41"/>
        <v>PopulaçãoxRMBH</v>
      </c>
      <c r="BD184" s="239" t="str">
        <f t="shared" si="42"/>
        <v>PopulaçãoRMBH</v>
      </c>
    </row>
    <row r="185" spans="1:56" s="3" customFormat="1" ht="28.5" customHeight="1" x14ac:dyDescent="0.25">
      <c r="A185" s="275" t="str">
        <f>'Q100b-totais'!$B$19</f>
        <v>2.4</v>
      </c>
      <c r="B185" s="54" t="str">
        <f>'Q100b-totais'!$C$19</f>
        <v>População</v>
      </c>
      <c r="C185" s="167" t="s">
        <v>432</v>
      </c>
      <c r="D185" s="323" t="s">
        <v>2806</v>
      </c>
      <c r="E185" s="1505" t="s">
        <v>1744</v>
      </c>
      <c r="F185" s="188" t="s">
        <v>1778</v>
      </c>
      <c r="G185" s="110" t="s">
        <v>77</v>
      </c>
      <c r="H185" s="171" t="s">
        <v>1298</v>
      </c>
      <c r="I185" s="167">
        <v>1</v>
      </c>
      <c r="J185" s="93" t="s">
        <v>432</v>
      </c>
      <c r="K185" s="93" t="s">
        <v>432</v>
      </c>
      <c r="L185" s="93" t="s">
        <v>432</v>
      </c>
      <c r="M185" s="93" t="s">
        <v>432</v>
      </c>
      <c r="N185" s="93" t="s">
        <v>432</v>
      </c>
      <c r="O185" s="93" t="s">
        <v>432</v>
      </c>
      <c r="P185" s="93" t="s">
        <v>432</v>
      </c>
      <c r="Q185" s="93" t="s">
        <v>432</v>
      </c>
      <c r="R185" s="93" t="s">
        <v>432</v>
      </c>
      <c r="S185" s="109" t="s">
        <v>2209</v>
      </c>
      <c r="T185" s="93" t="s">
        <v>432</v>
      </c>
      <c r="U185" s="93" t="s">
        <v>432</v>
      </c>
      <c r="V185" s="109" t="s">
        <v>2209</v>
      </c>
      <c r="W185" s="93" t="s">
        <v>432</v>
      </c>
      <c r="X185" s="93" t="s">
        <v>432</v>
      </c>
      <c r="Y185" s="93" t="s">
        <v>432</v>
      </c>
      <c r="Z185" s="93" t="s">
        <v>432</v>
      </c>
      <c r="AA185" s="93" t="s">
        <v>432</v>
      </c>
      <c r="AB185" s="93" t="s">
        <v>432</v>
      </c>
      <c r="AC185" s="93" t="s">
        <v>432</v>
      </c>
      <c r="AD185" s="93" t="s">
        <v>432</v>
      </c>
      <c r="AE185" s="93" t="s">
        <v>432</v>
      </c>
      <c r="AF185" s="99">
        <v>191.42099999999999</v>
      </c>
      <c r="AG185" s="84" t="s">
        <v>432</v>
      </c>
      <c r="AH185" s="84" t="s">
        <v>432</v>
      </c>
      <c r="AI185" s="84" t="s">
        <v>432</v>
      </c>
      <c r="AJ185" s="84" t="s">
        <v>432</v>
      </c>
      <c r="AK185" s="137" t="s">
        <v>432</v>
      </c>
      <c r="AL185" s="600" t="s">
        <v>432</v>
      </c>
      <c r="AM185" s="137" t="s">
        <v>432</v>
      </c>
      <c r="AN185" s="137" t="s">
        <v>432</v>
      </c>
      <c r="AO185" s="137" t="s">
        <v>432</v>
      </c>
      <c r="AP185" s="137" t="s">
        <v>432</v>
      </c>
      <c r="AQ185" s="137" t="s">
        <v>432</v>
      </c>
      <c r="AR185" s="137" t="s">
        <v>432</v>
      </c>
      <c r="AS185" s="137" t="s">
        <v>432</v>
      </c>
      <c r="AT185" s="137" t="s">
        <v>432</v>
      </c>
      <c r="AU185" s="137" t="s">
        <v>432</v>
      </c>
      <c r="AV185" s="137" t="s">
        <v>432</v>
      </c>
      <c r="AW185" s="137" t="s">
        <v>432</v>
      </c>
      <c r="AX185" s="137" t="s">
        <v>432</v>
      </c>
      <c r="AY185" s="137" t="s">
        <v>432</v>
      </c>
      <c r="AZ185" s="137" t="s">
        <v>432</v>
      </c>
      <c r="BA185" s="137" t="s">
        <v>432</v>
      </c>
      <c r="BB185" s="239" t="str">
        <f t="shared" si="40"/>
        <v>Populaçãox</v>
      </c>
      <c r="BC185" s="239" t="str">
        <f t="shared" si="41"/>
        <v>PopulaçãoxRMBH</v>
      </c>
      <c r="BD185" s="239" t="str">
        <f t="shared" si="42"/>
        <v>PopulaçãoRMBH</v>
      </c>
    </row>
    <row r="186" spans="1:56" s="3" customFormat="1" ht="28.5" customHeight="1" x14ac:dyDescent="0.25">
      <c r="A186" s="275" t="str">
        <f>'Q100b-totais'!$B$19</f>
        <v>2.4</v>
      </c>
      <c r="B186" s="54" t="str">
        <f>'Q100b-totais'!$C$19</f>
        <v>População</v>
      </c>
      <c r="C186" s="167" t="s">
        <v>432</v>
      </c>
      <c r="D186" s="323" t="s">
        <v>2806</v>
      </c>
      <c r="E186" s="1505" t="s">
        <v>1269</v>
      </c>
      <c r="F186" s="188" t="s">
        <v>1778</v>
      </c>
      <c r="G186" s="110" t="s">
        <v>77</v>
      </c>
      <c r="H186" s="171" t="s">
        <v>1298</v>
      </c>
      <c r="I186" s="167">
        <v>1</v>
      </c>
      <c r="J186" s="93" t="s">
        <v>432</v>
      </c>
      <c r="K186" s="93" t="s">
        <v>432</v>
      </c>
      <c r="L186" s="93" t="s">
        <v>432</v>
      </c>
      <c r="M186" s="93" t="s">
        <v>432</v>
      </c>
      <c r="N186" s="93" t="s">
        <v>432</v>
      </c>
      <c r="O186" s="93" t="s">
        <v>432</v>
      </c>
      <c r="P186" s="93" t="s">
        <v>432</v>
      </c>
      <c r="Q186" s="93" t="s">
        <v>432</v>
      </c>
      <c r="R186" s="93" t="s">
        <v>432</v>
      </c>
      <c r="S186" s="109" t="s">
        <v>2209</v>
      </c>
      <c r="T186" s="93" t="s">
        <v>432</v>
      </c>
      <c r="U186" s="93" t="s">
        <v>432</v>
      </c>
      <c r="V186" s="109" t="s">
        <v>2209</v>
      </c>
      <c r="W186" s="93" t="s">
        <v>432</v>
      </c>
      <c r="X186" s="93" t="s">
        <v>432</v>
      </c>
      <c r="Y186" s="93" t="s">
        <v>432</v>
      </c>
      <c r="Z186" s="93" t="s">
        <v>432</v>
      </c>
      <c r="AA186" s="93" t="s">
        <v>432</v>
      </c>
      <c r="AB186" s="93" t="s">
        <v>432</v>
      </c>
      <c r="AC186" s="93" t="s">
        <v>432</v>
      </c>
      <c r="AD186" s="93" t="s">
        <v>432</v>
      </c>
      <c r="AE186" s="93" t="s">
        <v>432</v>
      </c>
      <c r="AF186" s="99">
        <v>72.572999999999993</v>
      </c>
      <c r="AG186" s="84" t="s">
        <v>432</v>
      </c>
      <c r="AH186" s="84" t="s">
        <v>432</v>
      </c>
      <c r="AI186" s="84" t="s">
        <v>432</v>
      </c>
      <c r="AJ186" s="84" t="s">
        <v>432</v>
      </c>
      <c r="AK186" s="137" t="s">
        <v>432</v>
      </c>
      <c r="AL186" s="600" t="s">
        <v>432</v>
      </c>
      <c r="AM186" s="137" t="s">
        <v>432</v>
      </c>
      <c r="AN186" s="137" t="s">
        <v>432</v>
      </c>
      <c r="AO186" s="137" t="s">
        <v>432</v>
      </c>
      <c r="AP186" s="137" t="s">
        <v>432</v>
      </c>
      <c r="AQ186" s="137" t="s">
        <v>432</v>
      </c>
      <c r="AR186" s="137" t="s">
        <v>432</v>
      </c>
      <c r="AS186" s="137" t="s">
        <v>432</v>
      </c>
      <c r="AT186" s="137" t="s">
        <v>432</v>
      </c>
      <c r="AU186" s="137" t="s">
        <v>432</v>
      </c>
      <c r="AV186" s="137" t="s">
        <v>432</v>
      </c>
      <c r="AW186" s="137" t="s">
        <v>432</v>
      </c>
      <c r="AX186" s="137" t="s">
        <v>432</v>
      </c>
      <c r="AY186" s="137" t="s">
        <v>432</v>
      </c>
      <c r="AZ186" s="137" t="s">
        <v>432</v>
      </c>
      <c r="BA186" s="137" t="s">
        <v>432</v>
      </c>
      <c r="BB186" s="239" t="str">
        <f t="shared" si="40"/>
        <v>Populaçãox</v>
      </c>
      <c r="BC186" s="239" t="str">
        <f t="shared" si="41"/>
        <v>PopulaçãoxRMBH</v>
      </c>
      <c r="BD186" s="239" t="str">
        <f t="shared" si="42"/>
        <v>PopulaçãoRMBH</v>
      </c>
    </row>
    <row r="187" spans="1:56" s="3" customFormat="1" ht="28.5" customHeight="1" x14ac:dyDescent="0.25">
      <c r="A187" s="275" t="str">
        <f>'Q100b-totais'!$B$19</f>
        <v>2.4</v>
      </c>
      <c r="B187" s="54" t="str">
        <f>'Q100b-totais'!$C$19</f>
        <v>População</v>
      </c>
      <c r="C187" s="167" t="s">
        <v>432</v>
      </c>
      <c r="D187" s="323" t="s">
        <v>2806</v>
      </c>
      <c r="E187" s="1505" t="s">
        <v>3548</v>
      </c>
      <c r="F187" s="188" t="s">
        <v>1778</v>
      </c>
      <c r="G187" s="110" t="s">
        <v>77</v>
      </c>
      <c r="H187" s="171" t="s">
        <v>1298</v>
      </c>
      <c r="I187" s="167">
        <v>1</v>
      </c>
      <c r="J187" s="93" t="s">
        <v>432</v>
      </c>
      <c r="K187" s="93" t="s">
        <v>432</v>
      </c>
      <c r="L187" s="93" t="s">
        <v>432</v>
      </c>
      <c r="M187" s="93" t="s">
        <v>432</v>
      </c>
      <c r="N187" s="93" t="s">
        <v>432</v>
      </c>
      <c r="O187" s="93" t="s">
        <v>432</v>
      </c>
      <c r="P187" s="93" t="s">
        <v>432</v>
      </c>
      <c r="Q187" s="93" t="s">
        <v>432</v>
      </c>
      <c r="R187" s="93" t="s">
        <v>432</v>
      </c>
      <c r="S187" s="109" t="s">
        <v>2209</v>
      </c>
      <c r="T187" s="93" t="s">
        <v>432</v>
      </c>
      <c r="U187" s="93" t="s">
        <v>432</v>
      </c>
      <c r="V187" s="109" t="s">
        <v>2209</v>
      </c>
      <c r="W187" s="93" t="s">
        <v>432</v>
      </c>
      <c r="X187" s="93" t="s">
        <v>432</v>
      </c>
      <c r="Y187" s="93" t="s">
        <v>432</v>
      </c>
      <c r="Z187" s="93" t="s">
        <v>432</v>
      </c>
      <c r="AA187" s="93" t="s">
        <v>432</v>
      </c>
      <c r="AB187" s="93" t="s">
        <v>432</v>
      </c>
      <c r="AC187" s="93" t="s">
        <v>432</v>
      </c>
      <c r="AD187" s="93" t="s">
        <v>432</v>
      </c>
      <c r="AE187" s="93" t="s">
        <v>432</v>
      </c>
      <c r="AF187" s="99">
        <v>110.262</v>
      </c>
      <c r="AG187" s="84" t="s">
        <v>432</v>
      </c>
      <c r="AH187" s="84" t="s">
        <v>432</v>
      </c>
      <c r="AI187" s="84" t="s">
        <v>432</v>
      </c>
      <c r="AJ187" s="84" t="s">
        <v>432</v>
      </c>
      <c r="AK187" s="137" t="s">
        <v>432</v>
      </c>
      <c r="AL187" s="600" t="s">
        <v>432</v>
      </c>
      <c r="AM187" s="137" t="s">
        <v>432</v>
      </c>
      <c r="AN187" s="137" t="s">
        <v>432</v>
      </c>
      <c r="AO187" s="137" t="s">
        <v>432</v>
      </c>
      <c r="AP187" s="137" t="s">
        <v>432</v>
      </c>
      <c r="AQ187" s="137" t="s">
        <v>432</v>
      </c>
      <c r="AR187" s="137" t="s">
        <v>432</v>
      </c>
      <c r="AS187" s="137" t="s">
        <v>432</v>
      </c>
      <c r="AT187" s="137" t="s">
        <v>432</v>
      </c>
      <c r="AU187" s="137" t="s">
        <v>432</v>
      </c>
      <c r="AV187" s="137" t="s">
        <v>432</v>
      </c>
      <c r="AW187" s="137" t="s">
        <v>432</v>
      </c>
      <c r="AX187" s="137" t="s">
        <v>432</v>
      </c>
      <c r="AY187" s="137" t="s">
        <v>432</v>
      </c>
      <c r="AZ187" s="137" t="s">
        <v>432</v>
      </c>
      <c r="BA187" s="137" t="s">
        <v>432</v>
      </c>
      <c r="BB187" s="239" t="str">
        <f t="shared" si="40"/>
        <v>Populaçãox</v>
      </c>
      <c r="BC187" s="239" t="str">
        <f t="shared" si="41"/>
        <v>PopulaçãoxRMBH</v>
      </c>
      <c r="BD187" s="239" t="str">
        <f t="shared" si="42"/>
        <v>PopulaçãoRMBH</v>
      </c>
    </row>
    <row r="188" spans="1:56" s="3" customFormat="1" ht="28.5" customHeight="1" x14ac:dyDescent="0.25">
      <c r="A188" s="275" t="str">
        <f>'Q100b-totais'!$B$19</f>
        <v>2.4</v>
      </c>
      <c r="B188" s="54" t="str">
        <f>'Q100b-totais'!$C$19</f>
        <v>População</v>
      </c>
      <c r="C188" s="167" t="s">
        <v>432</v>
      </c>
      <c r="D188" s="323" t="s">
        <v>2806</v>
      </c>
      <c r="E188" s="1505" t="s">
        <v>1745</v>
      </c>
      <c r="F188" s="188" t="s">
        <v>1778</v>
      </c>
      <c r="G188" s="110" t="s">
        <v>77</v>
      </c>
      <c r="H188" s="171" t="s">
        <v>1298</v>
      </c>
      <c r="I188" s="167">
        <v>1</v>
      </c>
      <c r="J188" s="93" t="s">
        <v>432</v>
      </c>
      <c r="K188" s="93" t="s">
        <v>432</v>
      </c>
      <c r="L188" s="93" t="s">
        <v>432</v>
      </c>
      <c r="M188" s="93" t="s">
        <v>432</v>
      </c>
      <c r="N188" s="93" t="s">
        <v>432</v>
      </c>
      <c r="O188" s="93" t="s">
        <v>432</v>
      </c>
      <c r="P188" s="93" t="s">
        <v>432</v>
      </c>
      <c r="Q188" s="93" t="s">
        <v>432</v>
      </c>
      <c r="R188" s="93" t="s">
        <v>432</v>
      </c>
      <c r="S188" s="109" t="s">
        <v>2209</v>
      </c>
      <c r="T188" s="93" t="s">
        <v>432</v>
      </c>
      <c r="U188" s="93" t="s">
        <v>432</v>
      </c>
      <c r="V188" s="109" t="s">
        <v>2209</v>
      </c>
      <c r="W188" s="93" t="s">
        <v>432</v>
      </c>
      <c r="X188" s="93" t="s">
        <v>432</v>
      </c>
      <c r="Y188" s="93" t="s">
        <v>432</v>
      </c>
      <c r="Z188" s="93" t="s">
        <v>432</v>
      </c>
      <c r="AA188" s="93" t="s">
        <v>432</v>
      </c>
      <c r="AB188" s="93" t="s">
        <v>432</v>
      </c>
      <c r="AC188" s="93" t="s">
        <v>432</v>
      </c>
      <c r="AD188" s="93" t="s">
        <v>432</v>
      </c>
      <c r="AE188" s="93" t="s">
        <v>432</v>
      </c>
      <c r="AF188" s="99">
        <v>410.46800000000002</v>
      </c>
      <c r="AG188" s="84" t="s">
        <v>432</v>
      </c>
      <c r="AH188" s="84" t="s">
        <v>432</v>
      </c>
      <c r="AI188" s="84" t="s">
        <v>432</v>
      </c>
      <c r="AJ188" s="84" t="s">
        <v>432</v>
      </c>
      <c r="AK188" s="137" t="s">
        <v>432</v>
      </c>
      <c r="AL188" s="600" t="s">
        <v>432</v>
      </c>
      <c r="AM188" s="137" t="s">
        <v>432</v>
      </c>
      <c r="AN188" s="137" t="s">
        <v>432</v>
      </c>
      <c r="AO188" s="137" t="s">
        <v>432</v>
      </c>
      <c r="AP188" s="137" t="s">
        <v>432</v>
      </c>
      <c r="AQ188" s="137" t="s">
        <v>432</v>
      </c>
      <c r="AR188" s="137" t="s">
        <v>432</v>
      </c>
      <c r="AS188" s="137" t="s">
        <v>432</v>
      </c>
      <c r="AT188" s="137" t="s">
        <v>432</v>
      </c>
      <c r="AU188" s="137" t="s">
        <v>432</v>
      </c>
      <c r="AV188" s="137" t="s">
        <v>432</v>
      </c>
      <c r="AW188" s="137" t="s">
        <v>432</v>
      </c>
      <c r="AX188" s="137" t="s">
        <v>432</v>
      </c>
      <c r="AY188" s="137" t="s">
        <v>432</v>
      </c>
      <c r="AZ188" s="137" t="s">
        <v>432</v>
      </c>
      <c r="BA188" s="137" t="s">
        <v>432</v>
      </c>
      <c r="BB188" s="239" t="str">
        <f t="shared" si="40"/>
        <v>Populaçãox</v>
      </c>
      <c r="BC188" s="239" t="str">
        <f t="shared" si="41"/>
        <v>PopulaçãoxRMBH</v>
      </c>
      <c r="BD188" s="239" t="str">
        <f t="shared" si="42"/>
        <v>PopulaçãoRMBH</v>
      </c>
    </row>
    <row r="189" spans="1:56" s="3" customFormat="1" ht="28.5" customHeight="1" x14ac:dyDescent="0.25">
      <c r="A189" s="275" t="str">
        <f>'Q100b-totais'!$B$19</f>
        <v>2.4</v>
      </c>
      <c r="B189" s="54" t="str">
        <f>'Q100b-totais'!$C$19</f>
        <v>População</v>
      </c>
      <c r="C189" s="167" t="s">
        <v>432</v>
      </c>
      <c r="D189" s="323" t="s">
        <v>2806</v>
      </c>
      <c r="E189" s="1505" t="s">
        <v>1746</v>
      </c>
      <c r="F189" s="188" t="s">
        <v>1778</v>
      </c>
      <c r="G189" s="110" t="s">
        <v>77</v>
      </c>
      <c r="H189" s="171" t="s">
        <v>1298</v>
      </c>
      <c r="I189" s="167">
        <v>1</v>
      </c>
      <c r="J189" s="93" t="s">
        <v>432</v>
      </c>
      <c r="K189" s="93" t="s">
        <v>432</v>
      </c>
      <c r="L189" s="93" t="s">
        <v>432</v>
      </c>
      <c r="M189" s="93" t="s">
        <v>432</v>
      </c>
      <c r="N189" s="93" t="s">
        <v>432</v>
      </c>
      <c r="O189" s="93" t="s">
        <v>432</v>
      </c>
      <c r="P189" s="93" t="s">
        <v>432</v>
      </c>
      <c r="Q189" s="93" t="s">
        <v>432</v>
      </c>
      <c r="R189" s="93" t="s">
        <v>432</v>
      </c>
      <c r="S189" s="109" t="s">
        <v>2209</v>
      </c>
      <c r="T189" s="93" t="s">
        <v>432</v>
      </c>
      <c r="U189" s="93" t="s">
        <v>432</v>
      </c>
      <c r="V189" s="109" t="s">
        <v>2209</v>
      </c>
      <c r="W189" s="93" t="s">
        <v>432</v>
      </c>
      <c r="X189" s="93" t="s">
        <v>432</v>
      </c>
      <c r="Y189" s="93" t="s">
        <v>432</v>
      </c>
      <c r="Z189" s="93" t="s">
        <v>432</v>
      </c>
      <c r="AA189" s="93" t="s">
        <v>432</v>
      </c>
      <c r="AB189" s="93" t="s">
        <v>432</v>
      </c>
      <c r="AC189" s="93" t="s">
        <v>432</v>
      </c>
      <c r="AD189" s="93" t="s">
        <v>432</v>
      </c>
      <c r="AE189" s="93" t="s">
        <v>432</v>
      </c>
      <c r="AF189" s="99">
        <v>295.14499999999998</v>
      </c>
      <c r="AG189" s="84" t="s">
        <v>432</v>
      </c>
      <c r="AH189" s="84" t="s">
        <v>432</v>
      </c>
      <c r="AI189" s="84" t="s">
        <v>432</v>
      </c>
      <c r="AJ189" s="84" t="s">
        <v>432</v>
      </c>
      <c r="AK189" s="137" t="s">
        <v>432</v>
      </c>
      <c r="AL189" s="600" t="s">
        <v>432</v>
      </c>
      <c r="AM189" s="137" t="s">
        <v>432</v>
      </c>
      <c r="AN189" s="137" t="s">
        <v>432</v>
      </c>
      <c r="AO189" s="137" t="s">
        <v>432</v>
      </c>
      <c r="AP189" s="137" t="s">
        <v>432</v>
      </c>
      <c r="AQ189" s="137" t="s">
        <v>432</v>
      </c>
      <c r="AR189" s="137" t="s">
        <v>432</v>
      </c>
      <c r="AS189" s="137" t="s">
        <v>432</v>
      </c>
      <c r="AT189" s="137" t="s">
        <v>432</v>
      </c>
      <c r="AU189" s="137" t="s">
        <v>432</v>
      </c>
      <c r="AV189" s="137" t="s">
        <v>432</v>
      </c>
      <c r="AW189" s="137" t="s">
        <v>432</v>
      </c>
      <c r="AX189" s="137" t="s">
        <v>432</v>
      </c>
      <c r="AY189" s="137" t="s">
        <v>432</v>
      </c>
      <c r="AZ189" s="137" t="s">
        <v>432</v>
      </c>
      <c r="BA189" s="137" t="s">
        <v>432</v>
      </c>
      <c r="BB189" s="239" t="str">
        <f t="shared" si="40"/>
        <v>Populaçãox</v>
      </c>
      <c r="BC189" s="239" t="str">
        <f t="shared" si="41"/>
        <v>PopulaçãoxRMBH</v>
      </c>
      <c r="BD189" s="239" t="str">
        <f t="shared" si="42"/>
        <v>PopulaçãoRMBH</v>
      </c>
    </row>
    <row r="190" spans="1:56" s="3" customFormat="1" ht="39.75" customHeight="1" x14ac:dyDescent="0.25">
      <c r="A190" s="275" t="str">
        <f>'Q100b-totais'!$B$19</f>
        <v>2.4</v>
      </c>
      <c r="B190" s="54" t="str">
        <f>'Q100b-totais'!$C$19</f>
        <v>População</v>
      </c>
      <c r="C190" s="167" t="s">
        <v>432</v>
      </c>
      <c r="D190" s="323" t="s">
        <v>2806</v>
      </c>
      <c r="E190" s="1505" t="s">
        <v>1747</v>
      </c>
      <c r="F190" s="188" t="s">
        <v>1778</v>
      </c>
      <c r="G190" s="110" t="s">
        <v>77</v>
      </c>
      <c r="H190" s="171" t="s">
        <v>1298</v>
      </c>
      <c r="I190" s="167">
        <v>1</v>
      </c>
      <c r="J190" s="93" t="s">
        <v>432</v>
      </c>
      <c r="K190" s="93" t="s">
        <v>432</v>
      </c>
      <c r="L190" s="93" t="s">
        <v>432</v>
      </c>
      <c r="M190" s="93" t="s">
        <v>432</v>
      </c>
      <c r="N190" s="93" t="s">
        <v>432</v>
      </c>
      <c r="O190" s="93" t="s">
        <v>432</v>
      </c>
      <c r="P190" s="93" t="s">
        <v>432</v>
      </c>
      <c r="Q190" s="93" t="s">
        <v>432</v>
      </c>
      <c r="R190" s="93" t="s">
        <v>432</v>
      </c>
      <c r="S190" s="109" t="s">
        <v>2209</v>
      </c>
      <c r="T190" s="93" t="s">
        <v>432</v>
      </c>
      <c r="U190" s="93" t="s">
        <v>432</v>
      </c>
      <c r="V190" s="109" t="s">
        <v>2209</v>
      </c>
      <c r="W190" s="93" t="s">
        <v>432</v>
      </c>
      <c r="X190" s="93" t="s">
        <v>432</v>
      </c>
      <c r="Y190" s="93" t="s">
        <v>432</v>
      </c>
      <c r="Z190" s="93" t="s">
        <v>432</v>
      </c>
      <c r="AA190" s="93" t="s">
        <v>432</v>
      </c>
      <c r="AB190" s="93" t="s">
        <v>432</v>
      </c>
      <c r="AC190" s="93" t="s">
        <v>432</v>
      </c>
      <c r="AD190" s="93" t="s">
        <v>432</v>
      </c>
      <c r="AE190" s="93" t="s">
        <v>432</v>
      </c>
      <c r="AF190" s="99">
        <v>1114.155</v>
      </c>
      <c r="AG190" s="84" t="s">
        <v>432</v>
      </c>
      <c r="AH190" s="84" t="s">
        <v>432</v>
      </c>
      <c r="AI190" s="84" t="s">
        <v>432</v>
      </c>
      <c r="AJ190" s="84" t="s">
        <v>432</v>
      </c>
      <c r="AK190" s="137" t="s">
        <v>432</v>
      </c>
      <c r="AL190" s="600" t="s">
        <v>432</v>
      </c>
      <c r="AM190" s="137" t="s">
        <v>432</v>
      </c>
      <c r="AN190" s="137" t="s">
        <v>432</v>
      </c>
      <c r="AO190" s="137" t="s">
        <v>432</v>
      </c>
      <c r="AP190" s="137" t="s">
        <v>432</v>
      </c>
      <c r="AQ190" s="137" t="s">
        <v>432</v>
      </c>
      <c r="AR190" s="137" t="s">
        <v>432</v>
      </c>
      <c r="AS190" s="137" t="s">
        <v>432</v>
      </c>
      <c r="AT190" s="137" t="s">
        <v>432</v>
      </c>
      <c r="AU190" s="137" t="s">
        <v>432</v>
      </c>
      <c r="AV190" s="137" t="s">
        <v>432</v>
      </c>
      <c r="AW190" s="137" t="s">
        <v>432</v>
      </c>
      <c r="AX190" s="137" t="s">
        <v>432</v>
      </c>
      <c r="AY190" s="137" t="s">
        <v>432</v>
      </c>
      <c r="AZ190" s="137" t="s">
        <v>432</v>
      </c>
      <c r="BA190" s="137" t="s">
        <v>432</v>
      </c>
      <c r="BB190" s="239" t="str">
        <f t="shared" si="40"/>
        <v>Populaçãox</v>
      </c>
      <c r="BC190" s="239" t="str">
        <f t="shared" si="41"/>
        <v>PopulaçãoxRMBH</v>
      </c>
      <c r="BD190" s="239" t="str">
        <f t="shared" si="42"/>
        <v>PopulaçãoRMBH</v>
      </c>
    </row>
    <row r="191" spans="1:56" s="3" customFormat="1" ht="28.5" customHeight="1" x14ac:dyDescent="0.25">
      <c r="A191" s="275" t="str">
        <f>'Q100b-totais'!$B$19</f>
        <v>2.4</v>
      </c>
      <c r="B191" s="54" t="str">
        <f>'Q100b-totais'!$C$19</f>
        <v>População</v>
      </c>
      <c r="C191" s="167" t="s">
        <v>432</v>
      </c>
      <c r="D191" s="323" t="s">
        <v>2806</v>
      </c>
      <c r="E191" s="1505" t="s">
        <v>1748</v>
      </c>
      <c r="F191" s="188" t="s">
        <v>1778</v>
      </c>
      <c r="G191" s="110" t="s">
        <v>77</v>
      </c>
      <c r="H191" s="171" t="s">
        <v>1298</v>
      </c>
      <c r="I191" s="167">
        <v>1</v>
      </c>
      <c r="J191" s="93" t="s">
        <v>432</v>
      </c>
      <c r="K191" s="93" t="s">
        <v>432</v>
      </c>
      <c r="L191" s="93" t="s">
        <v>432</v>
      </c>
      <c r="M191" s="93" t="s">
        <v>432</v>
      </c>
      <c r="N191" s="93" t="s">
        <v>432</v>
      </c>
      <c r="O191" s="93" t="s">
        <v>432</v>
      </c>
      <c r="P191" s="93" t="s">
        <v>432</v>
      </c>
      <c r="Q191" s="93" t="s">
        <v>432</v>
      </c>
      <c r="R191" s="93" t="s">
        <v>432</v>
      </c>
      <c r="S191" s="109" t="s">
        <v>2209</v>
      </c>
      <c r="T191" s="93" t="s">
        <v>432</v>
      </c>
      <c r="U191" s="93" t="s">
        <v>432</v>
      </c>
      <c r="V191" s="109" t="s">
        <v>2209</v>
      </c>
      <c r="W191" s="93" t="s">
        <v>432</v>
      </c>
      <c r="X191" s="93" t="s">
        <v>432</v>
      </c>
      <c r="Y191" s="93" t="s">
        <v>432</v>
      </c>
      <c r="Z191" s="93" t="s">
        <v>432</v>
      </c>
      <c r="AA191" s="93" t="s">
        <v>432</v>
      </c>
      <c r="AB191" s="93" t="s">
        <v>432</v>
      </c>
      <c r="AC191" s="93" t="s">
        <v>432</v>
      </c>
      <c r="AD191" s="93" t="s">
        <v>432</v>
      </c>
      <c r="AE191" s="93" t="s">
        <v>432</v>
      </c>
      <c r="AF191" s="99">
        <v>99.481999999999999</v>
      </c>
      <c r="AG191" s="84" t="s">
        <v>432</v>
      </c>
      <c r="AH191" s="84" t="s">
        <v>432</v>
      </c>
      <c r="AI191" s="84" t="s">
        <v>432</v>
      </c>
      <c r="AJ191" s="84" t="s">
        <v>432</v>
      </c>
      <c r="AK191" s="137" t="s">
        <v>432</v>
      </c>
      <c r="AL191" s="600" t="s">
        <v>432</v>
      </c>
      <c r="AM191" s="137" t="s">
        <v>432</v>
      </c>
      <c r="AN191" s="137" t="s">
        <v>432</v>
      </c>
      <c r="AO191" s="137" t="s">
        <v>432</v>
      </c>
      <c r="AP191" s="137" t="s">
        <v>432</v>
      </c>
      <c r="AQ191" s="137" t="s">
        <v>432</v>
      </c>
      <c r="AR191" s="137" t="s">
        <v>432</v>
      </c>
      <c r="AS191" s="137" t="s">
        <v>432</v>
      </c>
      <c r="AT191" s="137" t="s">
        <v>432</v>
      </c>
      <c r="AU191" s="137" t="s">
        <v>432</v>
      </c>
      <c r="AV191" s="137" t="s">
        <v>432</v>
      </c>
      <c r="AW191" s="137" t="s">
        <v>432</v>
      </c>
      <c r="AX191" s="137" t="s">
        <v>432</v>
      </c>
      <c r="AY191" s="137" t="s">
        <v>432</v>
      </c>
      <c r="AZ191" s="137" t="s">
        <v>432</v>
      </c>
      <c r="BA191" s="137" t="s">
        <v>432</v>
      </c>
      <c r="BB191" s="239" t="str">
        <f t="shared" si="40"/>
        <v>Populaçãox</v>
      </c>
      <c r="BC191" s="239" t="str">
        <f t="shared" si="41"/>
        <v>PopulaçãoxRMBH</v>
      </c>
      <c r="BD191" s="239" t="str">
        <f t="shared" si="42"/>
        <v>PopulaçãoRMBH</v>
      </c>
    </row>
    <row r="192" spans="1:56" s="3" customFormat="1" ht="28.5" customHeight="1" x14ac:dyDescent="0.25">
      <c r="A192" s="275" t="str">
        <f>'Q100b-totais'!$B$19</f>
        <v>2.4</v>
      </c>
      <c r="B192" s="54" t="str">
        <f>'Q100b-totais'!$C$19</f>
        <v>População</v>
      </c>
      <c r="C192" s="167" t="s">
        <v>432</v>
      </c>
      <c r="D192" s="323" t="s">
        <v>2806</v>
      </c>
      <c r="E192" s="1505" t="s">
        <v>1749</v>
      </c>
      <c r="F192" s="188" t="s">
        <v>1778</v>
      </c>
      <c r="G192" s="110" t="s">
        <v>77</v>
      </c>
      <c r="H192" s="171" t="s">
        <v>1298</v>
      </c>
      <c r="I192" s="167">
        <v>1</v>
      </c>
      <c r="J192" s="93" t="s">
        <v>432</v>
      </c>
      <c r="K192" s="93" t="s">
        <v>432</v>
      </c>
      <c r="L192" s="93" t="s">
        <v>432</v>
      </c>
      <c r="M192" s="93" t="s">
        <v>432</v>
      </c>
      <c r="N192" s="93" t="s">
        <v>432</v>
      </c>
      <c r="O192" s="93" t="s">
        <v>432</v>
      </c>
      <c r="P192" s="93" t="s">
        <v>432</v>
      </c>
      <c r="Q192" s="93" t="s">
        <v>432</v>
      </c>
      <c r="R192" s="93" t="s">
        <v>432</v>
      </c>
      <c r="S192" s="109" t="s">
        <v>2209</v>
      </c>
      <c r="T192" s="93" t="s">
        <v>432</v>
      </c>
      <c r="U192" s="93" t="s">
        <v>432</v>
      </c>
      <c r="V192" s="109" t="s">
        <v>2209</v>
      </c>
      <c r="W192" s="93" t="s">
        <v>432</v>
      </c>
      <c r="X192" s="93" t="s">
        <v>432</v>
      </c>
      <c r="Y192" s="93" t="s">
        <v>432</v>
      </c>
      <c r="Z192" s="93" t="s">
        <v>432</v>
      </c>
      <c r="AA192" s="93" t="s">
        <v>432</v>
      </c>
      <c r="AB192" s="93" t="s">
        <v>432</v>
      </c>
      <c r="AC192" s="93" t="s">
        <v>432</v>
      </c>
      <c r="AD192" s="93" t="s">
        <v>432</v>
      </c>
      <c r="AE192" s="93" t="s">
        <v>432</v>
      </c>
      <c r="AF192" s="99">
        <v>230.08199999999999</v>
      </c>
      <c r="AG192" s="84" t="s">
        <v>432</v>
      </c>
      <c r="AH192" s="84" t="s">
        <v>432</v>
      </c>
      <c r="AI192" s="84" t="s">
        <v>432</v>
      </c>
      <c r="AJ192" s="84" t="s">
        <v>432</v>
      </c>
      <c r="AK192" s="137" t="s">
        <v>432</v>
      </c>
      <c r="AL192" s="600" t="s">
        <v>432</v>
      </c>
      <c r="AM192" s="137" t="s">
        <v>432</v>
      </c>
      <c r="AN192" s="137" t="s">
        <v>432</v>
      </c>
      <c r="AO192" s="137" t="s">
        <v>432</v>
      </c>
      <c r="AP192" s="137" t="s">
        <v>432</v>
      </c>
      <c r="AQ192" s="137" t="s">
        <v>432</v>
      </c>
      <c r="AR192" s="137" t="s">
        <v>432</v>
      </c>
      <c r="AS192" s="137" t="s">
        <v>432</v>
      </c>
      <c r="AT192" s="137" t="s">
        <v>432</v>
      </c>
      <c r="AU192" s="137" t="s">
        <v>432</v>
      </c>
      <c r="AV192" s="137" t="s">
        <v>432</v>
      </c>
      <c r="AW192" s="137" t="s">
        <v>432</v>
      </c>
      <c r="AX192" s="137" t="s">
        <v>432</v>
      </c>
      <c r="AY192" s="137" t="s">
        <v>432</v>
      </c>
      <c r="AZ192" s="137" t="s">
        <v>432</v>
      </c>
      <c r="BA192" s="137" t="s">
        <v>432</v>
      </c>
      <c r="BB192" s="239" t="str">
        <f t="shared" si="40"/>
        <v>Populaçãox</v>
      </c>
      <c r="BC192" s="239" t="str">
        <f t="shared" si="41"/>
        <v>PopulaçãoxRMBH</v>
      </c>
      <c r="BD192" s="239" t="str">
        <f t="shared" si="42"/>
        <v>PopulaçãoRMBH</v>
      </c>
    </row>
    <row r="193" spans="1:56" s="3" customFormat="1" ht="28.5" customHeight="1" x14ac:dyDescent="0.25">
      <c r="A193" s="275" t="str">
        <f>'Q100b-totais'!$B$19</f>
        <v>2.4</v>
      </c>
      <c r="B193" s="54" t="str">
        <f>'Q100b-totais'!$C$19</f>
        <v>População</v>
      </c>
      <c r="C193" s="167" t="s">
        <v>432</v>
      </c>
      <c r="D193" s="323" t="s">
        <v>2806</v>
      </c>
      <c r="E193" s="1505" t="s">
        <v>1750</v>
      </c>
      <c r="F193" s="188" t="s">
        <v>1778</v>
      </c>
      <c r="G193" s="110" t="s">
        <v>77</v>
      </c>
      <c r="H193" s="171" t="s">
        <v>1298</v>
      </c>
      <c r="I193" s="167">
        <v>1</v>
      </c>
      <c r="J193" s="93" t="s">
        <v>432</v>
      </c>
      <c r="K193" s="93" t="s">
        <v>432</v>
      </c>
      <c r="L193" s="93" t="s">
        <v>432</v>
      </c>
      <c r="M193" s="93" t="s">
        <v>432</v>
      </c>
      <c r="N193" s="93" t="s">
        <v>432</v>
      </c>
      <c r="O193" s="93" t="s">
        <v>432</v>
      </c>
      <c r="P193" s="93" t="s">
        <v>432</v>
      </c>
      <c r="Q193" s="93" t="s">
        <v>432</v>
      </c>
      <c r="R193" s="93" t="s">
        <v>432</v>
      </c>
      <c r="S193" s="109" t="s">
        <v>2209</v>
      </c>
      <c r="T193" s="93" t="s">
        <v>432</v>
      </c>
      <c r="U193" s="93" t="s">
        <v>432</v>
      </c>
      <c r="V193" s="109" t="s">
        <v>2209</v>
      </c>
      <c r="W193" s="93" t="s">
        <v>432</v>
      </c>
      <c r="X193" s="93" t="s">
        <v>432</v>
      </c>
      <c r="Y193" s="93" t="s">
        <v>432</v>
      </c>
      <c r="Z193" s="93" t="s">
        <v>432</v>
      </c>
      <c r="AA193" s="93" t="s">
        <v>432</v>
      </c>
      <c r="AB193" s="93" t="s">
        <v>432</v>
      </c>
      <c r="AC193" s="93" t="s">
        <v>432</v>
      </c>
      <c r="AD193" s="93" t="s">
        <v>432</v>
      </c>
      <c r="AE193" s="93" t="s">
        <v>432</v>
      </c>
      <c r="AF193" s="99">
        <v>35.195999999999998</v>
      </c>
      <c r="AG193" s="84" t="s">
        <v>432</v>
      </c>
      <c r="AH193" s="84" t="s">
        <v>432</v>
      </c>
      <c r="AI193" s="84" t="s">
        <v>432</v>
      </c>
      <c r="AJ193" s="84" t="s">
        <v>432</v>
      </c>
      <c r="AK193" s="137" t="s">
        <v>432</v>
      </c>
      <c r="AL193" s="600" t="s">
        <v>432</v>
      </c>
      <c r="AM193" s="137" t="s">
        <v>432</v>
      </c>
      <c r="AN193" s="137" t="s">
        <v>432</v>
      </c>
      <c r="AO193" s="137" t="s">
        <v>432</v>
      </c>
      <c r="AP193" s="137" t="s">
        <v>432</v>
      </c>
      <c r="AQ193" s="137" t="s">
        <v>432</v>
      </c>
      <c r="AR193" s="137" t="s">
        <v>432</v>
      </c>
      <c r="AS193" s="137" t="s">
        <v>432</v>
      </c>
      <c r="AT193" s="137" t="s">
        <v>432</v>
      </c>
      <c r="AU193" s="137" t="s">
        <v>432</v>
      </c>
      <c r="AV193" s="137" t="s">
        <v>432</v>
      </c>
      <c r="AW193" s="137" t="s">
        <v>432</v>
      </c>
      <c r="AX193" s="137" t="s">
        <v>432</v>
      </c>
      <c r="AY193" s="137" t="s">
        <v>432</v>
      </c>
      <c r="AZ193" s="137" t="s">
        <v>432</v>
      </c>
      <c r="BA193" s="137" t="s">
        <v>432</v>
      </c>
      <c r="BB193" s="239" t="str">
        <f t="shared" si="40"/>
        <v>Populaçãox</v>
      </c>
      <c r="BC193" s="239" t="str">
        <f t="shared" si="41"/>
        <v>PopulaçãoxRMBH</v>
      </c>
      <c r="BD193" s="239" t="str">
        <f t="shared" si="42"/>
        <v>PopulaçãoRMBH</v>
      </c>
    </row>
    <row r="194" spans="1:56" s="3" customFormat="1" ht="28.5" customHeight="1" x14ac:dyDescent="0.25">
      <c r="A194" s="275" t="str">
        <f>'Q100b-totais'!$B$19</f>
        <v>2.4</v>
      </c>
      <c r="B194" s="54" t="str">
        <f>'Q100b-totais'!$C$19</f>
        <v>População</v>
      </c>
      <c r="C194" s="167" t="s">
        <v>432</v>
      </c>
      <c r="D194" s="323" t="s">
        <v>2806</v>
      </c>
      <c r="E194" s="1505" t="s">
        <v>1751</v>
      </c>
      <c r="F194" s="188" t="s">
        <v>1778</v>
      </c>
      <c r="G194" s="110" t="s">
        <v>77</v>
      </c>
      <c r="H194" s="171" t="s">
        <v>1298</v>
      </c>
      <c r="I194" s="167">
        <v>1</v>
      </c>
      <c r="J194" s="93" t="s">
        <v>432</v>
      </c>
      <c r="K194" s="93" t="s">
        <v>432</v>
      </c>
      <c r="L194" s="93" t="s">
        <v>432</v>
      </c>
      <c r="M194" s="93" t="s">
        <v>432</v>
      </c>
      <c r="N194" s="93" t="s">
        <v>432</v>
      </c>
      <c r="O194" s="93" t="s">
        <v>432</v>
      </c>
      <c r="P194" s="93" t="s">
        <v>432</v>
      </c>
      <c r="Q194" s="93" t="s">
        <v>432</v>
      </c>
      <c r="R194" s="93" t="s">
        <v>432</v>
      </c>
      <c r="S194" s="109" t="s">
        <v>2209</v>
      </c>
      <c r="T194" s="93" t="s">
        <v>432</v>
      </c>
      <c r="U194" s="93" t="s">
        <v>432</v>
      </c>
      <c r="V194" s="109" t="s">
        <v>2209</v>
      </c>
      <c r="W194" s="93" t="s">
        <v>432</v>
      </c>
      <c r="X194" s="93" t="s">
        <v>432</v>
      </c>
      <c r="Y194" s="93" t="s">
        <v>432</v>
      </c>
      <c r="Z194" s="93" t="s">
        <v>432</v>
      </c>
      <c r="AA194" s="93" t="s">
        <v>432</v>
      </c>
      <c r="AB194" s="93" t="s">
        <v>432</v>
      </c>
      <c r="AC194" s="93" t="s">
        <v>432</v>
      </c>
      <c r="AD194" s="93" t="s">
        <v>432</v>
      </c>
      <c r="AE194" s="93" t="s">
        <v>432</v>
      </c>
      <c r="AF194" s="99">
        <v>302.77300000000002</v>
      </c>
      <c r="AG194" s="84" t="s">
        <v>432</v>
      </c>
      <c r="AH194" s="84" t="s">
        <v>432</v>
      </c>
      <c r="AI194" s="84" t="s">
        <v>432</v>
      </c>
      <c r="AJ194" s="84" t="s">
        <v>432</v>
      </c>
      <c r="AK194" s="137" t="s">
        <v>432</v>
      </c>
      <c r="AL194" s="600" t="s">
        <v>432</v>
      </c>
      <c r="AM194" s="137" t="s">
        <v>432</v>
      </c>
      <c r="AN194" s="137" t="s">
        <v>432</v>
      </c>
      <c r="AO194" s="137" t="s">
        <v>432</v>
      </c>
      <c r="AP194" s="137" t="s">
        <v>432</v>
      </c>
      <c r="AQ194" s="137" t="s">
        <v>432</v>
      </c>
      <c r="AR194" s="137" t="s">
        <v>432</v>
      </c>
      <c r="AS194" s="137" t="s">
        <v>432</v>
      </c>
      <c r="AT194" s="137" t="s">
        <v>432</v>
      </c>
      <c r="AU194" s="137" t="s">
        <v>432</v>
      </c>
      <c r="AV194" s="137" t="s">
        <v>432</v>
      </c>
      <c r="AW194" s="137" t="s">
        <v>432</v>
      </c>
      <c r="AX194" s="137" t="s">
        <v>432</v>
      </c>
      <c r="AY194" s="137" t="s">
        <v>432</v>
      </c>
      <c r="AZ194" s="137" t="s">
        <v>432</v>
      </c>
      <c r="BA194" s="137" t="s">
        <v>432</v>
      </c>
      <c r="BB194" s="239" t="str">
        <f t="shared" si="40"/>
        <v>Populaçãox</v>
      </c>
      <c r="BC194" s="239" t="str">
        <f t="shared" si="41"/>
        <v>PopulaçãoxRMBH</v>
      </c>
      <c r="BD194" s="239" t="str">
        <f t="shared" si="42"/>
        <v>PopulaçãoRMBH</v>
      </c>
    </row>
    <row r="195" spans="1:56" s="3" customFormat="1" ht="28.5" customHeight="1" x14ac:dyDescent="0.25">
      <c r="A195" s="275" t="str">
        <f>'Q100b-totais'!$B$19</f>
        <v>2.4</v>
      </c>
      <c r="B195" s="54" t="str">
        <f>'Q100b-totais'!$C$19</f>
        <v>População</v>
      </c>
      <c r="C195" s="167" t="s">
        <v>432</v>
      </c>
      <c r="D195" s="323" t="s">
        <v>2806</v>
      </c>
      <c r="E195" s="1505" t="s">
        <v>1752</v>
      </c>
      <c r="F195" s="188" t="s">
        <v>1778</v>
      </c>
      <c r="G195" s="110" t="s">
        <v>77</v>
      </c>
      <c r="H195" s="171" t="s">
        <v>1298</v>
      </c>
      <c r="I195" s="167">
        <v>1</v>
      </c>
      <c r="J195" s="93" t="s">
        <v>432</v>
      </c>
      <c r="K195" s="93" t="s">
        <v>432</v>
      </c>
      <c r="L195" s="93" t="s">
        <v>432</v>
      </c>
      <c r="M195" s="93" t="s">
        <v>432</v>
      </c>
      <c r="N195" s="93" t="s">
        <v>432</v>
      </c>
      <c r="O195" s="93" t="s">
        <v>432</v>
      </c>
      <c r="P195" s="93" t="s">
        <v>432</v>
      </c>
      <c r="Q195" s="93" t="s">
        <v>432</v>
      </c>
      <c r="R195" s="93" t="s">
        <v>432</v>
      </c>
      <c r="S195" s="109" t="s">
        <v>2209</v>
      </c>
      <c r="T195" s="93" t="s">
        <v>432</v>
      </c>
      <c r="U195" s="93" t="s">
        <v>432</v>
      </c>
      <c r="V195" s="109" t="s">
        <v>2209</v>
      </c>
      <c r="W195" s="93" t="s">
        <v>432</v>
      </c>
      <c r="X195" s="93" t="s">
        <v>432</v>
      </c>
      <c r="Y195" s="93" t="s">
        <v>432</v>
      </c>
      <c r="Z195" s="93" t="s">
        <v>432</v>
      </c>
      <c r="AA195" s="93" t="s">
        <v>432</v>
      </c>
      <c r="AB195" s="93" t="s">
        <v>432</v>
      </c>
      <c r="AC195" s="93" t="s">
        <v>432</v>
      </c>
      <c r="AD195" s="93" t="s">
        <v>432</v>
      </c>
      <c r="AE195" s="93" t="s">
        <v>432</v>
      </c>
      <c r="AF195" s="99">
        <v>252.28</v>
      </c>
      <c r="AG195" s="84" t="s">
        <v>432</v>
      </c>
      <c r="AH195" s="84" t="s">
        <v>432</v>
      </c>
      <c r="AI195" s="84" t="s">
        <v>432</v>
      </c>
      <c r="AJ195" s="84" t="s">
        <v>432</v>
      </c>
      <c r="AK195" s="137" t="s">
        <v>432</v>
      </c>
      <c r="AL195" s="600" t="s">
        <v>432</v>
      </c>
      <c r="AM195" s="137" t="s">
        <v>432</v>
      </c>
      <c r="AN195" s="137" t="s">
        <v>432</v>
      </c>
      <c r="AO195" s="137" t="s">
        <v>432</v>
      </c>
      <c r="AP195" s="137" t="s">
        <v>432</v>
      </c>
      <c r="AQ195" s="137" t="s">
        <v>432</v>
      </c>
      <c r="AR195" s="137" t="s">
        <v>432</v>
      </c>
      <c r="AS195" s="137" t="s">
        <v>432</v>
      </c>
      <c r="AT195" s="137" t="s">
        <v>432</v>
      </c>
      <c r="AU195" s="137" t="s">
        <v>432</v>
      </c>
      <c r="AV195" s="137" t="s">
        <v>432</v>
      </c>
      <c r="AW195" s="137" t="s">
        <v>432</v>
      </c>
      <c r="AX195" s="137" t="s">
        <v>432</v>
      </c>
      <c r="AY195" s="137" t="s">
        <v>432</v>
      </c>
      <c r="AZ195" s="137" t="s">
        <v>432</v>
      </c>
      <c r="BA195" s="137" t="s">
        <v>432</v>
      </c>
      <c r="BB195" s="239" t="str">
        <f t="shared" si="40"/>
        <v>Populaçãox</v>
      </c>
      <c r="BC195" s="239" t="str">
        <f t="shared" si="41"/>
        <v>PopulaçãoxRMBH</v>
      </c>
      <c r="BD195" s="239" t="str">
        <f t="shared" si="42"/>
        <v>PopulaçãoRMBH</v>
      </c>
    </row>
    <row r="196" spans="1:56" s="3" customFormat="1" ht="28.5" customHeight="1" x14ac:dyDescent="0.25">
      <c r="A196" s="275" t="str">
        <f>'Q100b-totais'!$B$19</f>
        <v>2.4</v>
      </c>
      <c r="B196" s="54" t="str">
        <f>'Q100b-totais'!$C$19</f>
        <v>População</v>
      </c>
      <c r="C196" s="167" t="s">
        <v>432</v>
      </c>
      <c r="D196" s="323" t="s">
        <v>2806</v>
      </c>
      <c r="E196" s="1505" t="s">
        <v>1753</v>
      </c>
      <c r="F196" s="188" t="s">
        <v>1778</v>
      </c>
      <c r="G196" s="110" t="s">
        <v>77</v>
      </c>
      <c r="H196" s="171" t="s">
        <v>1298</v>
      </c>
      <c r="I196" s="167">
        <v>1</v>
      </c>
      <c r="J196" s="93" t="s">
        <v>432</v>
      </c>
      <c r="K196" s="93" t="s">
        <v>432</v>
      </c>
      <c r="L196" s="93" t="s">
        <v>432</v>
      </c>
      <c r="M196" s="93" t="s">
        <v>432</v>
      </c>
      <c r="N196" s="93" t="s">
        <v>432</v>
      </c>
      <c r="O196" s="93" t="s">
        <v>432</v>
      </c>
      <c r="P196" s="93" t="s">
        <v>432</v>
      </c>
      <c r="Q196" s="93" t="s">
        <v>432</v>
      </c>
      <c r="R196" s="93" t="s">
        <v>432</v>
      </c>
      <c r="S196" s="109" t="s">
        <v>2209</v>
      </c>
      <c r="T196" s="93" t="s">
        <v>432</v>
      </c>
      <c r="U196" s="93" t="s">
        <v>432</v>
      </c>
      <c r="V196" s="109" t="s">
        <v>2209</v>
      </c>
      <c r="W196" s="93" t="s">
        <v>432</v>
      </c>
      <c r="X196" s="93" t="s">
        <v>432</v>
      </c>
      <c r="Y196" s="93" t="s">
        <v>432</v>
      </c>
      <c r="Z196" s="93" t="s">
        <v>432</v>
      </c>
      <c r="AA196" s="93" t="s">
        <v>432</v>
      </c>
      <c r="AB196" s="93" t="s">
        <v>432</v>
      </c>
      <c r="AC196" s="93" t="s">
        <v>432</v>
      </c>
      <c r="AD196" s="93" t="s">
        <v>432</v>
      </c>
      <c r="AE196" s="93" t="s">
        <v>432</v>
      </c>
      <c r="AF196" s="99">
        <v>429.06299999999999</v>
      </c>
      <c r="AG196" s="84" t="s">
        <v>432</v>
      </c>
      <c r="AH196" s="84" t="s">
        <v>432</v>
      </c>
      <c r="AI196" s="84" t="s">
        <v>432</v>
      </c>
      <c r="AJ196" s="84" t="s">
        <v>432</v>
      </c>
      <c r="AK196" s="137" t="s">
        <v>432</v>
      </c>
      <c r="AL196" s="600" t="s">
        <v>432</v>
      </c>
      <c r="AM196" s="137" t="s">
        <v>432</v>
      </c>
      <c r="AN196" s="137" t="s">
        <v>432</v>
      </c>
      <c r="AO196" s="137" t="s">
        <v>432</v>
      </c>
      <c r="AP196" s="137" t="s">
        <v>432</v>
      </c>
      <c r="AQ196" s="137" t="s">
        <v>432</v>
      </c>
      <c r="AR196" s="137" t="s">
        <v>432</v>
      </c>
      <c r="AS196" s="137" t="s">
        <v>432</v>
      </c>
      <c r="AT196" s="137" t="s">
        <v>432</v>
      </c>
      <c r="AU196" s="137" t="s">
        <v>432</v>
      </c>
      <c r="AV196" s="137" t="s">
        <v>432</v>
      </c>
      <c r="AW196" s="137" t="s">
        <v>432</v>
      </c>
      <c r="AX196" s="137" t="s">
        <v>432</v>
      </c>
      <c r="AY196" s="137" t="s">
        <v>432</v>
      </c>
      <c r="AZ196" s="137" t="s">
        <v>432</v>
      </c>
      <c r="BA196" s="137" t="s">
        <v>432</v>
      </c>
      <c r="BB196" s="239" t="str">
        <f t="shared" si="40"/>
        <v>Populaçãox</v>
      </c>
      <c r="BC196" s="239" t="str">
        <f t="shared" si="41"/>
        <v>PopulaçãoxRMBH</v>
      </c>
      <c r="BD196" s="239" t="str">
        <f t="shared" si="42"/>
        <v>PopulaçãoRMBH</v>
      </c>
    </row>
    <row r="197" spans="1:56" s="3" customFormat="1" ht="28.5" customHeight="1" x14ac:dyDescent="0.25">
      <c r="A197" s="275" t="str">
        <f>'Q100b-totais'!$B$19</f>
        <v>2.4</v>
      </c>
      <c r="B197" s="54" t="str">
        <f>'Q100b-totais'!$C$19</f>
        <v>População</v>
      </c>
      <c r="C197" s="167" t="s">
        <v>432</v>
      </c>
      <c r="D197" s="323" t="s">
        <v>2806</v>
      </c>
      <c r="E197" s="1505" t="s">
        <v>1754</v>
      </c>
      <c r="F197" s="188" t="s">
        <v>1778</v>
      </c>
      <c r="G197" s="110" t="s">
        <v>77</v>
      </c>
      <c r="H197" s="171" t="s">
        <v>1298</v>
      </c>
      <c r="I197" s="167">
        <v>1</v>
      </c>
      <c r="J197" s="93" t="s">
        <v>432</v>
      </c>
      <c r="K197" s="93" t="s">
        <v>432</v>
      </c>
      <c r="L197" s="93" t="s">
        <v>432</v>
      </c>
      <c r="M197" s="93" t="s">
        <v>432</v>
      </c>
      <c r="N197" s="93" t="s">
        <v>432</v>
      </c>
      <c r="O197" s="93" t="s">
        <v>432</v>
      </c>
      <c r="P197" s="93" t="s">
        <v>432</v>
      </c>
      <c r="Q197" s="93" t="s">
        <v>432</v>
      </c>
      <c r="R197" s="93" t="s">
        <v>432</v>
      </c>
      <c r="S197" s="109" t="s">
        <v>2209</v>
      </c>
      <c r="T197" s="93" t="s">
        <v>432</v>
      </c>
      <c r="U197" s="93" t="s">
        <v>432</v>
      </c>
      <c r="V197" s="109" t="s">
        <v>2209</v>
      </c>
      <c r="W197" s="93" t="s">
        <v>432</v>
      </c>
      <c r="X197" s="93" t="s">
        <v>432</v>
      </c>
      <c r="Y197" s="93" t="s">
        <v>432</v>
      </c>
      <c r="Z197" s="93" t="s">
        <v>432</v>
      </c>
      <c r="AA197" s="93" t="s">
        <v>432</v>
      </c>
      <c r="AB197" s="93" t="s">
        <v>432</v>
      </c>
      <c r="AC197" s="93" t="s">
        <v>432</v>
      </c>
      <c r="AD197" s="93" t="s">
        <v>432</v>
      </c>
      <c r="AE197" s="93" t="s">
        <v>432</v>
      </c>
      <c r="AF197" s="99">
        <v>172.131</v>
      </c>
      <c r="AG197" s="84" t="s">
        <v>432</v>
      </c>
      <c r="AH197" s="84" t="s">
        <v>432</v>
      </c>
      <c r="AI197" s="84" t="s">
        <v>432</v>
      </c>
      <c r="AJ197" s="84" t="s">
        <v>432</v>
      </c>
      <c r="AK197" s="137" t="s">
        <v>432</v>
      </c>
      <c r="AL197" s="600" t="s">
        <v>432</v>
      </c>
      <c r="AM197" s="137" t="s">
        <v>432</v>
      </c>
      <c r="AN197" s="137" t="s">
        <v>432</v>
      </c>
      <c r="AO197" s="137" t="s">
        <v>432</v>
      </c>
      <c r="AP197" s="137" t="s">
        <v>432</v>
      </c>
      <c r="AQ197" s="137" t="s">
        <v>432</v>
      </c>
      <c r="AR197" s="137" t="s">
        <v>432</v>
      </c>
      <c r="AS197" s="137" t="s">
        <v>432</v>
      </c>
      <c r="AT197" s="137" t="s">
        <v>432</v>
      </c>
      <c r="AU197" s="137" t="s">
        <v>432</v>
      </c>
      <c r="AV197" s="137" t="s">
        <v>432</v>
      </c>
      <c r="AW197" s="137" t="s">
        <v>432</v>
      </c>
      <c r="AX197" s="137" t="s">
        <v>432</v>
      </c>
      <c r="AY197" s="137" t="s">
        <v>432</v>
      </c>
      <c r="AZ197" s="137" t="s">
        <v>432</v>
      </c>
      <c r="BA197" s="137" t="s">
        <v>432</v>
      </c>
      <c r="BB197" s="239" t="str">
        <f t="shared" si="40"/>
        <v>Populaçãox</v>
      </c>
      <c r="BC197" s="239" t="str">
        <f t="shared" si="41"/>
        <v>PopulaçãoxRMBH</v>
      </c>
      <c r="BD197" s="239" t="str">
        <f t="shared" si="42"/>
        <v>PopulaçãoRMBH</v>
      </c>
    </row>
    <row r="198" spans="1:56" s="3" customFormat="1" ht="28.5" customHeight="1" x14ac:dyDescent="0.25">
      <c r="A198" s="275" t="str">
        <f>'Q100b-totais'!$B$19</f>
        <v>2.4</v>
      </c>
      <c r="B198" s="54" t="str">
        <f>'Q100b-totais'!$C$19</f>
        <v>População</v>
      </c>
      <c r="C198" s="167" t="s">
        <v>432</v>
      </c>
      <c r="D198" s="323" t="s">
        <v>2806</v>
      </c>
      <c r="E198" s="1505" t="s">
        <v>1755</v>
      </c>
      <c r="F198" s="188" t="s">
        <v>1778</v>
      </c>
      <c r="G198" s="110" t="s">
        <v>77</v>
      </c>
      <c r="H198" s="171" t="s">
        <v>1298</v>
      </c>
      <c r="I198" s="167">
        <v>1</v>
      </c>
      <c r="J198" s="93" t="s">
        <v>432</v>
      </c>
      <c r="K198" s="93" t="s">
        <v>432</v>
      </c>
      <c r="L198" s="93" t="s">
        <v>432</v>
      </c>
      <c r="M198" s="93" t="s">
        <v>432</v>
      </c>
      <c r="N198" s="93" t="s">
        <v>432</v>
      </c>
      <c r="O198" s="93" t="s">
        <v>432</v>
      </c>
      <c r="P198" s="93" t="s">
        <v>432</v>
      </c>
      <c r="Q198" s="93" t="s">
        <v>432</v>
      </c>
      <c r="R198" s="93" t="s">
        <v>432</v>
      </c>
      <c r="S198" s="109" t="s">
        <v>2209</v>
      </c>
      <c r="T198" s="93" t="s">
        <v>432</v>
      </c>
      <c r="U198" s="93" t="s">
        <v>432</v>
      </c>
      <c r="V198" s="109" t="s">
        <v>2209</v>
      </c>
      <c r="W198" s="93" t="s">
        <v>432</v>
      </c>
      <c r="X198" s="93" t="s">
        <v>432</v>
      </c>
      <c r="Y198" s="93" t="s">
        <v>432</v>
      </c>
      <c r="Z198" s="93" t="s">
        <v>432</v>
      </c>
      <c r="AA198" s="93" t="s">
        <v>432</v>
      </c>
      <c r="AB198" s="93" t="s">
        <v>432</v>
      </c>
      <c r="AC198" s="93" t="s">
        <v>432</v>
      </c>
      <c r="AD198" s="93" t="s">
        <v>432</v>
      </c>
      <c r="AE198" s="93" t="s">
        <v>432</v>
      </c>
      <c r="AF198" s="99">
        <v>292.98899999999998</v>
      </c>
      <c r="AG198" s="84" t="s">
        <v>432</v>
      </c>
      <c r="AH198" s="84" t="s">
        <v>432</v>
      </c>
      <c r="AI198" s="84" t="s">
        <v>432</v>
      </c>
      <c r="AJ198" s="84" t="s">
        <v>432</v>
      </c>
      <c r="AK198" s="137" t="s">
        <v>432</v>
      </c>
      <c r="AL198" s="600" t="s">
        <v>432</v>
      </c>
      <c r="AM198" s="137" t="s">
        <v>432</v>
      </c>
      <c r="AN198" s="137" t="s">
        <v>432</v>
      </c>
      <c r="AO198" s="137" t="s">
        <v>432</v>
      </c>
      <c r="AP198" s="137" t="s">
        <v>432</v>
      </c>
      <c r="AQ198" s="137" t="s">
        <v>432</v>
      </c>
      <c r="AR198" s="137" t="s">
        <v>432</v>
      </c>
      <c r="AS198" s="137" t="s">
        <v>432</v>
      </c>
      <c r="AT198" s="137" t="s">
        <v>432</v>
      </c>
      <c r="AU198" s="137" t="s">
        <v>432</v>
      </c>
      <c r="AV198" s="137" t="s">
        <v>432</v>
      </c>
      <c r="AW198" s="137" t="s">
        <v>432</v>
      </c>
      <c r="AX198" s="137" t="s">
        <v>432</v>
      </c>
      <c r="AY198" s="137" t="s">
        <v>432</v>
      </c>
      <c r="AZ198" s="137" t="s">
        <v>432</v>
      </c>
      <c r="BA198" s="137" t="s">
        <v>432</v>
      </c>
      <c r="BB198" s="239" t="str">
        <f t="shared" si="40"/>
        <v>Populaçãox</v>
      </c>
      <c r="BC198" s="239" t="str">
        <f t="shared" si="41"/>
        <v>PopulaçãoxRMBH</v>
      </c>
      <c r="BD198" s="239" t="str">
        <f t="shared" si="42"/>
        <v>PopulaçãoRMBH</v>
      </c>
    </row>
    <row r="199" spans="1:56" s="3" customFormat="1" ht="28.5" customHeight="1" x14ac:dyDescent="0.25">
      <c r="A199" s="275" t="str">
        <f>'Q100b-totais'!$B$19</f>
        <v>2.4</v>
      </c>
      <c r="B199" s="54" t="str">
        <f>'Q100b-totais'!$C$19</f>
        <v>População</v>
      </c>
      <c r="C199" s="167" t="s">
        <v>432</v>
      </c>
      <c r="D199" s="323" t="s">
        <v>2806</v>
      </c>
      <c r="E199" s="1505" t="s">
        <v>1756</v>
      </c>
      <c r="F199" s="188" t="s">
        <v>1778</v>
      </c>
      <c r="G199" s="110" t="s">
        <v>77</v>
      </c>
      <c r="H199" s="171" t="s">
        <v>1298</v>
      </c>
      <c r="I199" s="167">
        <v>1</v>
      </c>
      <c r="J199" s="93" t="s">
        <v>432</v>
      </c>
      <c r="K199" s="93" t="s">
        <v>432</v>
      </c>
      <c r="L199" s="93" t="s">
        <v>432</v>
      </c>
      <c r="M199" s="93" t="s">
        <v>432</v>
      </c>
      <c r="N199" s="93" t="s">
        <v>432</v>
      </c>
      <c r="O199" s="93" t="s">
        <v>432</v>
      </c>
      <c r="P199" s="93" t="s">
        <v>432</v>
      </c>
      <c r="Q199" s="93" t="s">
        <v>432</v>
      </c>
      <c r="R199" s="93" t="s">
        <v>432</v>
      </c>
      <c r="S199" s="109" t="s">
        <v>2209</v>
      </c>
      <c r="T199" s="93" t="s">
        <v>432</v>
      </c>
      <c r="U199" s="93" t="s">
        <v>432</v>
      </c>
      <c r="V199" s="109" t="s">
        <v>2209</v>
      </c>
      <c r="W199" s="93" t="s">
        <v>432</v>
      </c>
      <c r="X199" s="93" t="s">
        <v>432</v>
      </c>
      <c r="Y199" s="93" t="s">
        <v>432</v>
      </c>
      <c r="Z199" s="93" t="s">
        <v>432</v>
      </c>
      <c r="AA199" s="93" t="s">
        <v>432</v>
      </c>
      <c r="AB199" s="93" t="s">
        <v>432</v>
      </c>
      <c r="AC199" s="93" t="s">
        <v>432</v>
      </c>
      <c r="AD199" s="93" t="s">
        <v>432</v>
      </c>
      <c r="AE199" s="93" t="s">
        <v>432</v>
      </c>
      <c r="AF199" s="99">
        <v>72.168999999999997</v>
      </c>
      <c r="AG199" s="84" t="s">
        <v>432</v>
      </c>
      <c r="AH199" s="84" t="s">
        <v>432</v>
      </c>
      <c r="AI199" s="84" t="s">
        <v>432</v>
      </c>
      <c r="AJ199" s="84" t="s">
        <v>432</v>
      </c>
      <c r="AK199" s="137" t="s">
        <v>432</v>
      </c>
      <c r="AL199" s="600" t="s">
        <v>432</v>
      </c>
      <c r="AM199" s="137" t="s">
        <v>432</v>
      </c>
      <c r="AN199" s="137" t="s">
        <v>432</v>
      </c>
      <c r="AO199" s="137" t="s">
        <v>432</v>
      </c>
      <c r="AP199" s="137" t="s">
        <v>432</v>
      </c>
      <c r="AQ199" s="137" t="s">
        <v>432</v>
      </c>
      <c r="AR199" s="137" t="s">
        <v>432</v>
      </c>
      <c r="AS199" s="137" t="s">
        <v>432</v>
      </c>
      <c r="AT199" s="137" t="s">
        <v>432</v>
      </c>
      <c r="AU199" s="137" t="s">
        <v>432</v>
      </c>
      <c r="AV199" s="137" t="s">
        <v>432</v>
      </c>
      <c r="AW199" s="137" t="s">
        <v>432</v>
      </c>
      <c r="AX199" s="137" t="s">
        <v>432</v>
      </c>
      <c r="AY199" s="137" t="s">
        <v>432</v>
      </c>
      <c r="AZ199" s="137" t="s">
        <v>432</v>
      </c>
      <c r="BA199" s="137" t="s">
        <v>432</v>
      </c>
      <c r="BB199" s="239" t="str">
        <f t="shared" si="40"/>
        <v>Populaçãox</v>
      </c>
      <c r="BC199" s="239" t="str">
        <f t="shared" si="41"/>
        <v>PopulaçãoxRMBH</v>
      </c>
      <c r="BD199" s="239" t="str">
        <f t="shared" si="42"/>
        <v>PopulaçãoRMBH</v>
      </c>
    </row>
    <row r="200" spans="1:56" s="3" customFormat="1" ht="28.5" customHeight="1" x14ac:dyDescent="0.25">
      <c r="A200" s="275" t="str">
        <f>'Q100b-totais'!$B$19</f>
        <v>2.4</v>
      </c>
      <c r="B200" s="54" t="str">
        <f>'Q100b-totais'!$C$19</f>
        <v>População</v>
      </c>
      <c r="C200" s="167" t="s">
        <v>432</v>
      </c>
      <c r="D200" s="323" t="s">
        <v>2806</v>
      </c>
      <c r="E200" s="1505" t="s">
        <v>1757</v>
      </c>
      <c r="F200" s="188" t="s">
        <v>1778</v>
      </c>
      <c r="G200" s="110" t="s">
        <v>77</v>
      </c>
      <c r="H200" s="171" t="s">
        <v>1298</v>
      </c>
      <c r="I200" s="167">
        <v>1</v>
      </c>
      <c r="J200" s="93" t="s">
        <v>432</v>
      </c>
      <c r="K200" s="93" t="s">
        <v>432</v>
      </c>
      <c r="L200" s="93" t="s">
        <v>432</v>
      </c>
      <c r="M200" s="93" t="s">
        <v>432</v>
      </c>
      <c r="N200" s="93" t="s">
        <v>432</v>
      </c>
      <c r="O200" s="93" t="s">
        <v>432</v>
      </c>
      <c r="P200" s="93" t="s">
        <v>432</v>
      </c>
      <c r="Q200" s="93" t="s">
        <v>432</v>
      </c>
      <c r="R200" s="93" t="s">
        <v>432</v>
      </c>
      <c r="S200" s="109" t="s">
        <v>2209</v>
      </c>
      <c r="T200" s="93" t="s">
        <v>432</v>
      </c>
      <c r="U200" s="93" t="s">
        <v>432</v>
      </c>
      <c r="V200" s="109" t="s">
        <v>2209</v>
      </c>
      <c r="W200" s="93" t="s">
        <v>432</v>
      </c>
      <c r="X200" s="93" t="s">
        <v>432</v>
      </c>
      <c r="Y200" s="93" t="s">
        <v>432</v>
      </c>
      <c r="Z200" s="93" t="s">
        <v>432</v>
      </c>
      <c r="AA200" s="93" t="s">
        <v>432</v>
      </c>
      <c r="AB200" s="93" t="s">
        <v>432</v>
      </c>
      <c r="AC200" s="93" t="s">
        <v>432</v>
      </c>
      <c r="AD200" s="93" t="s">
        <v>432</v>
      </c>
      <c r="AE200" s="93" t="s">
        <v>432</v>
      </c>
      <c r="AF200" s="99">
        <v>154.501</v>
      </c>
      <c r="AG200" s="84" t="s">
        <v>432</v>
      </c>
      <c r="AH200" s="84" t="s">
        <v>432</v>
      </c>
      <c r="AI200" s="84" t="s">
        <v>432</v>
      </c>
      <c r="AJ200" s="84" t="s">
        <v>432</v>
      </c>
      <c r="AK200" s="137" t="s">
        <v>432</v>
      </c>
      <c r="AL200" s="600" t="s">
        <v>432</v>
      </c>
      <c r="AM200" s="137" t="s">
        <v>432</v>
      </c>
      <c r="AN200" s="137" t="s">
        <v>432</v>
      </c>
      <c r="AO200" s="137" t="s">
        <v>432</v>
      </c>
      <c r="AP200" s="137" t="s">
        <v>432</v>
      </c>
      <c r="AQ200" s="137" t="s">
        <v>432</v>
      </c>
      <c r="AR200" s="137" t="s">
        <v>432</v>
      </c>
      <c r="AS200" s="137" t="s">
        <v>432</v>
      </c>
      <c r="AT200" s="137" t="s">
        <v>432</v>
      </c>
      <c r="AU200" s="137" t="s">
        <v>432</v>
      </c>
      <c r="AV200" s="137" t="s">
        <v>432</v>
      </c>
      <c r="AW200" s="137" t="s">
        <v>432</v>
      </c>
      <c r="AX200" s="137" t="s">
        <v>432</v>
      </c>
      <c r="AY200" s="137" t="s">
        <v>432</v>
      </c>
      <c r="AZ200" s="137" t="s">
        <v>432</v>
      </c>
      <c r="BA200" s="137" t="s">
        <v>432</v>
      </c>
      <c r="BB200" s="239" t="str">
        <f t="shared" si="40"/>
        <v>Populaçãox</v>
      </c>
      <c r="BC200" s="239" t="str">
        <f t="shared" si="41"/>
        <v>PopulaçãoxRMBH</v>
      </c>
      <c r="BD200" s="239" t="str">
        <f t="shared" si="42"/>
        <v>PopulaçãoRMBH</v>
      </c>
    </row>
    <row r="201" spans="1:56" s="3" customFormat="1" ht="28.5" customHeight="1" x14ac:dyDescent="0.25">
      <c r="A201" s="275" t="str">
        <f>'Q100b-totais'!$B$19</f>
        <v>2.4</v>
      </c>
      <c r="B201" s="54" t="str">
        <f>'Q100b-totais'!$C$19</f>
        <v>População</v>
      </c>
      <c r="C201" s="167" t="s">
        <v>432</v>
      </c>
      <c r="D201" s="323" t="s">
        <v>2806</v>
      </c>
      <c r="E201" s="1505" t="s">
        <v>1758</v>
      </c>
      <c r="F201" s="188" t="s">
        <v>1778</v>
      </c>
      <c r="G201" s="110" t="s">
        <v>77</v>
      </c>
      <c r="H201" s="171" t="s">
        <v>1298</v>
      </c>
      <c r="I201" s="167">
        <v>1</v>
      </c>
      <c r="J201" s="93" t="s">
        <v>432</v>
      </c>
      <c r="K201" s="93" t="s">
        <v>432</v>
      </c>
      <c r="L201" s="93" t="s">
        <v>432</v>
      </c>
      <c r="M201" s="93" t="s">
        <v>432</v>
      </c>
      <c r="N201" s="93" t="s">
        <v>432</v>
      </c>
      <c r="O201" s="93" t="s">
        <v>432</v>
      </c>
      <c r="P201" s="93" t="s">
        <v>432</v>
      </c>
      <c r="Q201" s="93" t="s">
        <v>432</v>
      </c>
      <c r="R201" s="93" t="s">
        <v>432</v>
      </c>
      <c r="S201" s="109" t="s">
        <v>2209</v>
      </c>
      <c r="T201" s="93" t="s">
        <v>432</v>
      </c>
      <c r="U201" s="93" t="s">
        <v>432</v>
      </c>
      <c r="V201" s="109" t="s">
        <v>2209</v>
      </c>
      <c r="W201" s="93" t="s">
        <v>432</v>
      </c>
      <c r="X201" s="93" t="s">
        <v>432</v>
      </c>
      <c r="Y201" s="93" t="s">
        <v>432</v>
      </c>
      <c r="Z201" s="93" t="s">
        <v>432</v>
      </c>
      <c r="AA201" s="93" t="s">
        <v>432</v>
      </c>
      <c r="AB201" s="93" t="s">
        <v>432</v>
      </c>
      <c r="AC201" s="93" t="s">
        <v>432</v>
      </c>
      <c r="AD201" s="93" t="s">
        <v>432</v>
      </c>
      <c r="AE201" s="93" t="s">
        <v>432</v>
      </c>
      <c r="AF201" s="99">
        <v>229.81200000000001</v>
      </c>
      <c r="AG201" s="84" t="s">
        <v>432</v>
      </c>
      <c r="AH201" s="84" t="s">
        <v>432</v>
      </c>
      <c r="AI201" s="84" t="s">
        <v>432</v>
      </c>
      <c r="AJ201" s="84" t="s">
        <v>432</v>
      </c>
      <c r="AK201" s="137" t="s">
        <v>432</v>
      </c>
      <c r="AL201" s="600" t="s">
        <v>432</v>
      </c>
      <c r="AM201" s="137" t="s">
        <v>432</v>
      </c>
      <c r="AN201" s="137" t="s">
        <v>432</v>
      </c>
      <c r="AO201" s="137" t="s">
        <v>432</v>
      </c>
      <c r="AP201" s="137" t="s">
        <v>432</v>
      </c>
      <c r="AQ201" s="137" t="s">
        <v>432</v>
      </c>
      <c r="AR201" s="137" t="s">
        <v>432</v>
      </c>
      <c r="AS201" s="137" t="s">
        <v>432</v>
      </c>
      <c r="AT201" s="137" t="s">
        <v>432</v>
      </c>
      <c r="AU201" s="137" t="s">
        <v>432</v>
      </c>
      <c r="AV201" s="137" t="s">
        <v>432</v>
      </c>
      <c r="AW201" s="137" t="s">
        <v>432</v>
      </c>
      <c r="AX201" s="137" t="s">
        <v>432</v>
      </c>
      <c r="AY201" s="137" t="s">
        <v>432</v>
      </c>
      <c r="AZ201" s="137" t="s">
        <v>432</v>
      </c>
      <c r="BA201" s="137" t="s">
        <v>432</v>
      </c>
      <c r="BB201" s="239" t="str">
        <f t="shared" si="40"/>
        <v>Populaçãox</v>
      </c>
      <c r="BC201" s="239" t="str">
        <f t="shared" si="41"/>
        <v>PopulaçãoxRMBH</v>
      </c>
      <c r="BD201" s="239" t="str">
        <f t="shared" si="42"/>
        <v>PopulaçãoRMBH</v>
      </c>
    </row>
    <row r="202" spans="1:56" s="3" customFormat="1" ht="28.5" customHeight="1" x14ac:dyDescent="0.25">
      <c r="A202" s="275" t="str">
        <f>'Q100b-totais'!$B$19</f>
        <v>2.4</v>
      </c>
      <c r="B202" s="54" t="str">
        <f>'Q100b-totais'!$C$19</f>
        <v>População</v>
      </c>
      <c r="C202" s="167" t="s">
        <v>432</v>
      </c>
      <c r="D202" s="323" t="s">
        <v>2806</v>
      </c>
      <c r="E202" s="1505" t="s">
        <v>1759</v>
      </c>
      <c r="F202" s="188" t="s">
        <v>1778</v>
      </c>
      <c r="G202" s="110" t="s">
        <v>77</v>
      </c>
      <c r="H202" s="171" t="s">
        <v>1298</v>
      </c>
      <c r="I202" s="167">
        <v>1</v>
      </c>
      <c r="J202" s="93" t="s">
        <v>432</v>
      </c>
      <c r="K202" s="93" t="s">
        <v>432</v>
      </c>
      <c r="L202" s="93" t="s">
        <v>432</v>
      </c>
      <c r="M202" s="93" t="s">
        <v>432</v>
      </c>
      <c r="N202" s="93" t="s">
        <v>432</v>
      </c>
      <c r="O202" s="93" t="s">
        <v>432</v>
      </c>
      <c r="P202" s="93" t="s">
        <v>432</v>
      </c>
      <c r="Q202" s="93" t="s">
        <v>432</v>
      </c>
      <c r="R202" s="93" t="s">
        <v>432</v>
      </c>
      <c r="S202" s="109" t="s">
        <v>2209</v>
      </c>
      <c r="T202" s="93" t="s">
        <v>432</v>
      </c>
      <c r="U202" s="93" t="s">
        <v>432</v>
      </c>
      <c r="V202" s="109" t="s">
        <v>2209</v>
      </c>
      <c r="W202" s="93" t="s">
        <v>432</v>
      </c>
      <c r="X202" s="93" t="s">
        <v>432</v>
      </c>
      <c r="Y202" s="93" t="s">
        <v>432</v>
      </c>
      <c r="Z202" s="93" t="s">
        <v>432</v>
      </c>
      <c r="AA202" s="93" t="s">
        <v>432</v>
      </c>
      <c r="AB202" s="93" t="s">
        <v>432</v>
      </c>
      <c r="AC202" s="93" t="s">
        <v>432</v>
      </c>
      <c r="AD202" s="93" t="s">
        <v>432</v>
      </c>
      <c r="AE202" s="93" t="s">
        <v>432</v>
      </c>
      <c r="AF202" s="99">
        <v>231.54</v>
      </c>
      <c r="AG202" s="84" t="s">
        <v>432</v>
      </c>
      <c r="AH202" s="84" t="s">
        <v>432</v>
      </c>
      <c r="AI202" s="84" t="s">
        <v>432</v>
      </c>
      <c r="AJ202" s="84" t="s">
        <v>432</v>
      </c>
      <c r="AK202" s="137" t="s">
        <v>432</v>
      </c>
      <c r="AL202" s="600" t="s">
        <v>432</v>
      </c>
      <c r="AM202" s="137" t="s">
        <v>432</v>
      </c>
      <c r="AN202" s="137" t="s">
        <v>432</v>
      </c>
      <c r="AO202" s="137" t="s">
        <v>432</v>
      </c>
      <c r="AP202" s="137" t="s">
        <v>432</v>
      </c>
      <c r="AQ202" s="137" t="s">
        <v>432</v>
      </c>
      <c r="AR202" s="137" t="s">
        <v>432</v>
      </c>
      <c r="AS202" s="137" t="s">
        <v>432</v>
      </c>
      <c r="AT202" s="137" t="s">
        <v>432</v>
      </c>
      <c r="AU202" s="137" t="s">
        <v>432</v>
      </c>
      <c r="AV202" s="137" t="s">
        <v>432</v>
      </c>
      <c r="AW202" s="137" t="s">
        <v>432</v>
      </c>
      <c r="AX202" s="137" t="s">
        <v>432</v>
      </c>
      <c r="AY202" s="137" t="s">
        <v>432</v>
      </c>
      <c r="AZ202" s="137" t="s">
        <v>432</v>
      </c>
      <c r="BA202" s="137" t="s">
        <v>432</v>
      </c>
      <c r="BB202" s="239" t="str">
        <f t="shared" si="40"/>
        <v>Populaçãox</v>
      </c>
      <c r="BC202" s="239" t="str">
        <f t="shared" si="41"/>
        <v>PopulaçãoxRMBH</v>
      </c>
      <c r="BD202" s="239" t="str">
        <f t="shared" si="42"/>
        <v>PopulaçãoRMBH</v>
      </c>
    </row>
    <row r="203" spans="1:56" s="3" customFormat="1" ht="28.5" customHeight="1" x14ac:dyDescent="0.25">
      <c r="A203" s="275" t="str">
        <f>'Q100b-totais'!$B$19</f>
        <v>2.4</v>
      </c>
      <c r="B203" s="54" t="str">
        <f>'Q100b-totais'!$C$19</f>
        <v>População</v>
      </c>
      <c r="C203" s="167" t="s">
        <v>432</v>
      </c>
      <c r="D203" s="323" t="s">
        <v>2806</v>
      </c>
      <c r="E203" s="1505" t="s">
        <v>1298</v>
      </c>
      <c r="F203" s="15" t="s">
        <v>500</v>
      </c>
      <c r="G203" s="412" t="s">
        <v>501</v>
      </c>
      <c r="H203" s="171" t="s">
        <v>1298</v>
      </c>
      <c r="I203" s="167">
        <v>1</v>
      </c>
      <c r="J203" s="93" t="s">
        <v>432</v>
      </c>
      <c r="K203" s="93" t="s">
        <v>432</v>
      </c>
      <c r="L203" s="93" t="s">
        <v>432</v>
      </c>
      <c r="M203" s="93" t="s">
        <v>432</v>
      </c>
      <c r="N203" s="93" t="s">
        <v>432</v>
      </c>
      <c r="O203" s="93" t="s">
        <v>432</v>
      </c>
      <c r="P203" s="93" t="s">
        <v>432</v>
      </c>
      <c r="Q203" s="93" t="s">
        <v>432</v>
      </c>
      <c r="R203" s="93" t="s">
        <v>432</v>
      </c>
      <c r="S203" s="109" t="s">
        <v>2209</v>
      </c>
      <c r="T203" s="58" t="s">
        <v>432</v>
      </c>
      <c r="U203" s="58" t="s">
        <v>432</v>
      </c>
      <c r="V203" s="109" t="s">
        <v>2209</v>
      </c>
      <c r="W203" s="58" t="s">
        <v>432</v>
      </c>
      <c r="X203" s="58" t="s">
        <v>432</v>
      </c>
      <c r="Y203" s="58" t="s">
        <v>432</v>
      </c>
      <c r="Z203" s="58" t="s">
        <v>432</v>
      </c>
      <c r="AA203" s="58" t="s">
        <v>432</v>
      </c>
      <c r="AB203" s="58" t="s">
        <v>432</v>
      </c>
      <c r="AC203" s="58" t="s">
        <v>432</v>
      </c>
      <c r="AD203" s="58" t="s">
        <v>432</v>
      </c>
      <c r="AE203" s="58" t="s">
        <v>432</v>
      </c>
      <c r="AF203" s="43">
        <f>SUM(AF176:AF202)+SUM(AF205:AF211)</f>
        <v>9472.4730000000018</v>
      </c>
      <c r="AG203" s="23" t="s">
        <v>432</v>
      </c>
      <c r="AH203" s="23" t="s">
        <v>432</v>
      </c>
      <c r="AI203" s="23" t="s">
        <v>432</v>
      </c>
      <c r="AJ203" s="23" t="s">
        <v>432</v>
      </c>
      <c r="AK203" s="137" t="s">
        <v>432</v>
      </c>
      <c r="AL203" s="600" t="s">
        <v>432</v>
      </c>
      <c r="AM203" s="137" t="s">
        <v>432</v>
      </c>
      <c r="AN203" s="137" t="s">
        <v>432</v>
      </c>
      <c r="AO203" s="137" t="s">
        <v>432</v>
      </c>
      <c r="AP203" s="137" t="s">
        <v>432</v>
      </c>
      <c r="AQ203" s="137" t="s">
        <v>432</v>
      </c>
      <c r="AR203" s="137" t="s">
        <v>432</v>
      </c>
      <c r="AS203" s="137" t="s">
        <v>432</v>
      </c>
      <c r="AT203" s="137" t="s">
        <v>432</v>
      </c>
      <c r="AU203" s="137" t="s">
        <v>432</v>
      </c>
      <c r="AV203" s="137" t="s">
        <v>432</v>
      </c>
      <c r="AW203" s="137" t="s">
        <v>432</v>
      </c>
      <c r="AX203" s="137" t="s">
        <v>432</v>
      </c>
      <c r="AY203" s="137" t="s">
        <v>432</v>
      </c>
      <c r="AZ203" s="137" t="s">
        <v>432</v>
      </c>
      <c r="BA203" s="137" t="s">
        <v>432</v>
      </c>
      <c r="BB203" s="239" t="str">
        <f t="shared" si="40"/>
        <v>Populaçãox</v>
      </c>
      <c r="BC203" s="239" t="str">
        <f t="shared" si="41"/>
        <v>PopulaçãoxRMBH</v>
      </c>
      <c r="BD203" s="239" t="str">
        <f t="shared" si="42"/>
        <v>PopulaçãoRMBH</v>
      </c>
    </row>
    <row r="204" spans="1:56" s="3" customFormat="1" ht="28.5" customHeight="1" x14ac:dyDescent="0.25">
      <c r="A204" s="275" t="str">
        <f>'Q100b-totais'!B19</f>
        <v>2.4</v>
      </c>
      <c r="B204" s="54" t="str">
        <f>'Q100b-totais'!C19</f>
        <v>População</v>
      </c>
      <c r="C204" s="167" t="s">
        <v>432</v>
      </c>
      <c r="D204" s="378" t="s">
        <v>2806</v>
      </c>
      <c r="E204" s="1506" t="s">
        <v>3522</v>
      </c>
      <c r="F204" s="338" t="s">
        <v>3525</v>
      </c>
      <c r="G204" s="412" t="s">
        <v>3526</v>
      </c>
      <c r="H204" s="171" t="s">
        <v>1298</v>
      </c>
      <c r="I204" s="167">
        <v>1</v>
      </c>
      <c r="J204" s="1101" t="s">
        <v>432</v>
      </c>
      <c r="K204" s="1101" t="s">
        <v>432</v>
      </c>
      <c r="L204" s="1101" t="s">
        <v>432</v>
      </c>
      <c r="M204" s="1101" t="s">
        <v>432</v>
      </c>
      <c r="N204" s="1101" t="s">
        <v>432</v>
      </c>
      <c r="O204" s="1101" t="s">
        <v>432</v>
      </c>
      <c r="P204" s="1101" t="s">
        <v>432</v>
      </c>
      <c r="Q204" s="1101" t="s">
        <v>432</v>
      </c>
      <c r="R204" s="1101" t="s">
        <v>432</v>
      </c>
      <c r="S204" s="109" t="s">
        <v>2209</v>
      </c>
      <c r="T204" s="58" t="s">
        <v>432</v>
      </c>
      <c r="U204" s="58" t="s">
        <v>432</v>
      </c>
      <c r="V204" s="109" t="s">
        <v>2209</v>
      </c>
      <c r="W204" s="58" t="s">
        <v>432</v>
      </c>
      <c r="X204" s="58" t="s">
        <v>432</v>
      </c>
      <c r="Y204" s="58" t="s">
        <v>432</v>
      </c>
      <c r="Z204" s="58" t="s">
        <v>432</v>
      </c>
      <c r="AA204" s="58" t="s">
        <v>432</v>
      </c>
      <c r="AB204" s="58" t="s">
        <v>432</v>
      </c>
      <c r="AC204" s="58" t="s">
        <v>432</v>
      </c>
      <c r="AD204" s="58" t="s">
        <v>432</v>
      </c>
      <c r="AE204" s="58" t="s">
        <v>432</v>
      </c>
      <c r="AF204" s="43">
        <f>AF203-AF178</f>
        <v>9141.0730000000021</v>
      </c>
      <c r="AG204" s="23" t="s">
        <v>432</v>
      </c>
      <c r="AH204" s="23" t="s">
        <v>432</v>
      </c>
      <c r="AI204" s="23" t="s">
        <v>432</v>
      </c>
      <c r="AJ204" s="23" t="s">
        <v>432</v>
      </c>
      <c r="AK204" s="137" t="s">
        <v>432</v>
      </c>
      <c r="AL204" s="600" t="s">
        <v>432</v>
      </c>
      <c r="AM204" s="137" t="s">
        <v>432</v>
      </c>
      <c r="AN204" s="137" t="s">
        <v>432</v>
      </c>
      <c r="AO204" s="137" t="s">
        <v>432</v>
      </c>
      <c r="AP204" s="137" t="s">
        <v>432</v>
      </c>
      <c r="AQ204" s="137" t="s">
        <v>432</v>
      </c>
      <c r="AR204" s="137" t="s">
        <v>432</v>
      </c>
      <c r="AS204" s="137" t="s">
        <v>432</v>
      </c>
      <c r="AT204" s="137" t="s">
        <v>432</v>
      </c>
      <c r="AU204" s="137" t="s">
        <v>432</v>
      </c>
      <c r="AV204" s="137" t="s">
        <v>432</v>
      </c>
      <c r="AW204" s="137" t="s">
        <v>432</v>
      </c>
      <c r="AX204" s="137" t="s">
        <v>432</v>
      </c>
      <c r="AY204" s="137" t="s">
        <v>432</v>
      </c>
      <c r="AZ204" s="137" t="s">
        <v>432</v>
      </c>
      <c r="BA204" s="137" t="s">
        <v>432</v>
      </c>
      <c r="BB204" s="239" t="str">
        <f t="shared" si="40"/>
        <v>Populaçãox</v>
      </c>
      <c r="BC204" s="239" t="str">
        <f t="shared" si="41"/>
        <v>PopulaçãoxRMBH</v>
      </c>
      <c r="BD204" s="239" t="str">
        <f t="shared" si="42"/>
        <v>PopulaçãoRMBH</v>
      </c>
    </row>
    <row r="205" spans="1:56" s="3" customFormat="1" ht="28.5" customHeight="1" x14ac:dyDescent="0.25">
      <c r="A205" s="275" t="str">
        <f>'Q100b-totais'!$B$19</f>
        <v>2.4</v>
      </c>
      <c r="B205" s="54" t="str">
        <f>'Q100b-totais'!$C$19</f>
        <v>População</v>
      </c>
      <c r="C205" s="167" t="s">
        <v>432</v>
      </c>
      <c r="D205" s="323" t="s">
        <v>2806</v>
      </c>
      <c r="E205" s="1505" t="s">
        <v>1760</v>
      </c>
      <c r="F205" s="188" t="s">
        <v>1778</v>
      </c>
      <c r="G205" s="110" t="s">
        <v>77</v>
      </c>
      <c r="H205" s="171" t="s">
        <v>1298</v>
      </c>
      <c r="I205" s="167">
        <v>1</v>
      </c>
      <c r="J205" s="93" t="s">
        <v>432</v>
      </c>
      <c r="K205" s="93" t="s">
        <v>432</v>
      </c>
      <c r="L205" s="93" t="s">
        <v>432</v>
      </c>
      <c r="M205" s="93" t="s">
        <v>432</v>
      </c>
      <c r="N205" s="93" t="s">
        <v>432</v>
      </c>
      <c r="O205" s="93" t="s">
        <v>432</v>
      </c>
      <c r="P205" s="93" t="s">
        <v>432</v>
      </c>
      <c r="Q205" s="93" t="s">
        <v>432</v>
      </c>
      <c r="R205" s="93" t="s">
        <v>432</v>
      </c>
      <c r="S205" s="109" t="s">
        <v>2209</v>
      </c>
      <c r="T205" s="84" t="s">
        <v>432</v>
      </c>
      <c r="U205" s="84" t="s">
        <v>432</v>
      </c>
      <c r="V205" s="109" t="s">
        <v>2209</v>
      </c>
      <c r="W205" s="84" t="s">
        <v>432</v>
      </c>
      <c r="X205" s="84" t="s">
        <v>432</v>
      </c>
      <c r="Y205" s="84" t="s">
        <v>432</v>
      </c>
      <c r="Z205" s="84" t="s">
        <v>432</v>
      </c>
      <c r="AA205" s="84" t="s">
        <v>432</v>
      </c>
      <c r="AB205" s="84" t="s">
        <v>432</v>
      </c>
      <c r="AC205" s="84" t="s">
        <v>432</v>
      </c>
      <c r="AD205" s="84" t="s">
        <v>432</v>
      </c>
      <c r="AE205" s="84" t="s">
        <v>432</v>
      </c>
      <c r="AF205" s="99">
        <v>302.173</v>
      </c>
      <c r="AG205" s="84" t="s">
        <v>432</v>
      </c>
      <c r="AH205" s="84" t="s">
        <v>432</v>
      </c>
      <c r="AI205" s="84" t="s">
        <v>432</v>
      </c>
      <c r="AJ205" s="84" t="s">
        <v>432</v>
      </c>
      <c r="AK205" s="137" t="s">
        <v>432</v>
      </c>
      <c r="AL205" s="600" t="s">
        <v>432</v>
      </c>
      <c r="AM205" s="137" t="s">
        <v>432</v>
      </c>
      <c r="AN205" s="137" t="s">
        <v>432</v>
      </c>
      <c r="AO205" s="137" t="s">
        <v>432</v>
      </c>
      <c r="AP205" s="137" t="s">
        <v>432</v>
      </c>
      <c r="AQ205" s="137" t="s">
        <v>432</v>
      </c>
      <c r="AR205" s="137" t="s">
        <v>432</v>
      </c>
      <c r="AS205" s="137" t="s">
        <v>432</v>
      </c>
      <c r="AT205" s="137" t="s">
        <v>432</v>
      </c>
      <c r="AU205" s="137" t="s">
        <v>432</v>
      </c>
      <c r="AV205" s="137" t="s">
        <v>432</v>
      </c>
      <c r="AW205" s="137" t="s">
        <v>432</v>
      </c>
      <c r="AX205" s="137" t="s">
        <v>432</v>
      </c>
      <c r="AY205" s="137" t="s">
        <v>432</v>
      </c>
      <c r="AZ205" s="137" t="s">
        <v>432</v>
      </c>
      <c r="BA205" s="137" t="s">
        <v>432</v>
      </c>
      <c r="BB205" s="239" t="str">
        <f t="shared" si="40"/>
        <v>Populaçãox</v>
      </c>
      <c r="BC205" s="239" t="str">
        <f t="shared" si="41"/>
        <v>PopulaçãoxRMBH</v>
      </c>
      <c r="BD205" s="239" t="str">
        <f t="shared" si="42"/>
        <v>PopulaçãoRMBH</v>
      </c>
    </row>
    <row r="206" spans="1:56" s="3" customFormat="1" ht="28.5" customHeight="1" x14ac:dyDescent="0.25">
      <c r="A206" s="275" t="str">
        <f>'Q100b-totais'!$B$19</f>
        <v>2.4</v>
      </c>
      <c r="B206" s="54" t="str">
        <f>'Q100b-totais'!$C$19</f>
        <v>População</v>
      </c>
      <c r="C206" s="167" t="s">
        <v>432</v>
      </c>
      <c r="D206" s="323" t="s">
        <v>2806</v>
      </c>
      <c r="E206" s="1505" t="s">
        <v>1761</v>
      </c>
      <c r="F206" s="188" t="s">
        <v>1778</v>
      </c>
      <c r="G206" s="110" t="s">
        <v>77</v>
      </c>
      <c r="H206" s="171" t="s">
        <v>1298</v>
      </c>
      <c r="I206" s="167">
        <v>1</v>
      </c>
      <c r="J206" s="93" t="s">
        <v>432</v>
      </c>
      <c r="K206" s="93" t="s">
        <v>432</v>
      </c>
      <c r="L206" s="93" t="s">
        <v>432</v>
      </c>
      <c r="M206" s="93" t="s">
        <v>432</v>
      </c>
      <c r="N206" s="93" t="s">
        <v>432</v>
      </c>
      <c r="O206" s="93" t="s">
        <v>432</v>
      </c>
      <c r="P206" s="93" t="s">
        <v>432</v>
      </c>
      <c r="Q206" s="93" t="s">
        <v>432</v>
      </c>
      <c r="R206" s="93" t="s">
        <v>432</v>
      </c>
      <c r="S206" s="109" t="s">
        <v>2209</v>
      </c>
      <c r="T206" s="84" t="s">
        <v>432</v>
      </c>
      <c r="U206" s="84" t="s">
        <v>432</v>
      </c>
      <c r="V206" s="109" t="s">
        <v>2209</v>
      </c>
      <c r="W206" s="84" t="s">
        <v>432</v>
      </c>
      <c r="X206" s="84" t="s">
        <v>432</v>
      </c>
      <c r="Y206" s="84" t="s">
        <v>432</v>
      </c>
      <c r="Z206" s="84" t="s">
        <v>432</v>
      </c>
      <c r="AA206" s="84" t="s">
        <v>432</v>
      </c>
      <c r="AB206" s="84" t="s">
        <v>432</v>
      </c>
      <c r="AC206" s="84" t="s">
        <v>432</v>
      </c>
      <c r="AD206" s="84" t="s">
        <v>432</v>
      </c>
      <c r="AE206" s="84" t="s">
        <v>432</v>
      </c>
      <c r="AF206" s="99">
        <v>235.327</v>
      </c>
      <c r="AG206" s="84" t="s">
        <v>432</v>
      </c>
      <c r="AH206" s="84" t="s">
        <v>432</v>
      </c>
      <c r="AI206" s="84" t="s">
        <v>432</v>
      </c>
      <c r="AJ206" s="84" t="s">
        <v>432</v>
      </c>
      <c r="AK206" s="137" t="s">
        <v>432</v>
      </c>
      <c r="AL206" s="600" t="s">
        <v>432</v>
      </c>
      <c r="AM206" s="137" t="s">
        <v>432</v>
      </c>
      <c r="AN206" s="137" t="s">
        <v>432</v>
      </c>
      <c r="AO206" s="137" t="s">
        <v>432</v>
      </c>
      <c r="AP206" s="137" t="s">
        <v>432</v>
      </c>
      <c r="AQ206" s="137" t="s">
        <v>432</v>
      </c>
      <c r="AR206" s="137" t="s">
        <v>432</v>
      </c>
      <c r="AS206" s="137" t="s">
        <v>432</v>
      </c>
      <c r="AT206" s="137" t="s">
        <v>432</v>
      </c>
      <c r="AU206" s="137" t="s">
        <v>432</v>
      </c>
      <c r="AV206" s="137" t="s">
        <v>432</v>
      </c>
      <c r="AW206" s="137" t="s">
        <v>432</v>
      </c>
      <c r="AX206" s="137" t="s">
        <v>432</v>
      </c>
      <c r="AY206" s="137" t="s">
        <v>432</v>
      </c>
      <c r="AZ206" s="137" t="s">
        <v>432</v>
      </c>
      <c r="BA206" s="137" t="s">
        <v>432</v>
      </c>
      <c r="BB206" s="239" t="str">
        <f t="shared" si="40"/>
        <v>Populaçãox</v>
      </c>
      <c r="BC206" s="239" t="str">
        <f t="shared" si="41"/>
        <v>PopulaçãoxRMBH</v>
      </c>
      <c r="BD206" s="239" t="str">
        <f t="shared" si="42"/>
        <v>PopulaçãoRMBH</v>
      </c>
    </row>
    <row r="207" spans="1:56" s="3" customFormat="1" ht="43.5" customHeight="1" x14ac:dyDescent="0.25">
      <c r="A207" s="275" t="str">
        <f>'Q100b-totais'!$B$19</f>
        <v>2.4</v>
      </c>
      <c r="B207" s="54" t="str">
        <f>'Q100b-totais'!$C$19</f>
        <v>População</v>
      </c>
      <c r="C207" s="167" t="s">
        <v>432</v>
      </c>
      <c r="D207" s="323" t="s">
        <v>2806</v>
      </c>
      <c r="E207" s="1505" t="s">
        <v>1762</v>
      </c>
      <c r="F207" s="188" t="s">
        <v>1778</v>
      </c>
      <c r="G207" s="110" t="s">
        <v>77</v>
      </c>
      <c r="H207" s="171" t="s">
        <v>1298</v>
      </c>
      <c r="I207" s="167">
        <v>1</v>
      </c>
      <c r="J207" s="93" t="s">
        <v>432</v>
      </c>
      <c r="K207" s="93" t="s">
        <v>432</v>
      </c>
      <c r="L207" s="93" t="s">
        <v>432</v>
      </c>
      <c r="M207" s="93" t="s">
        <v>432</v>
      </c>
      <c r="N207" s="93" t="s">
        <v>432</v>
      </c>
      <c r="O207" s="93" t="s">
        <v>432</v>
      </c>
      <c r="P207" s="93" t="s">
        <v>432</v>
      </c>
      <c r="Q207" s="93" t="s">
        <v>432</v>
      </c>
      <c r="R207" s="93" t="s">
        <v>432</v>
      </c>
      <c r="S207" s="109" t="s">
        <v>2209</v>
      </c>
      <c r="T207" s="84" t="s">
        <v>432</v>
      </c>
      <c r="U207" s="84" t="s">
        <v>432</v>
      </c>
      <c r="V207" s="109" t="s">
        <v>2209</v>
      </c>
      <c r="W207" s="84" t="s">
        <v>432</v>
      </c>
      <c r="X207" s="84" t="s">
        <v>432</v>
      </c>
      <c r="Y207" s="84" t="s">
        <v>432</v>
      </c>
      <c r="Z207" s="84" t="s">
        <v>432</v>
      </c>
      <c r="AA207" s="84" t="s">
        <v>432</v>
      </c>
      <c r="AB207" s="84" t="s">
        <v>432</v>
      </c>
      <c r="AC207" s="84" t="s">
        <v>432</v>
      </c>
      <c r="AD207" s="84" t="s">
        <v>432</v>
      </c>
      <c r="AE207" s="84" t="s">
        <v>432</v>
      </c>
      <c r="AF207" s="99">
        <v>71.557000000000002</v>
      </c>
      <c r="AG207" s="84" t="s">
        <v>432</v>
      </c>
      <c r="AH207" s="84" t="s">
        <v>432</v>
      </c>
      <c r="AI207" s="84" t="s">
        <v>432</v>
      </c>
      <c r="AJ207" s="84" t="s">
        <v>432</v>
      </c>
      <c r="AK207" s="137" t="s">
        <v>432</v>
      </c>
      <c r="AL207" s="600" t="s">
        <v>432</v>
      </c>
      <c r="AM207" s="137" t="s">
        <v>432</v>
      </c>
      <c r="AN207" s="137" t="s">
        <v>432</v>
      </c>
      <c r="AO207" s="137" t="s">
        <v>432</v>
      </c>
      <c r="AP207" s="137" t="s">
        <v>432</v>
      </c>
      <c r="AQ207" s="137" t="s">
        <v>432</v>
      </c>
      <c r="AR207" s="137" t="s">
        <v>432</v>
      </c>
      <c r="AS207" s="137" t="s">
        <v>432</v>
      </c>
      <c r="AT207" s="137" t="s">
        <v>432</v>
      </c>
      <c r="AU207" s="137" t="s">
        <v>432</v>
      </c>
      <c r="AV207" s="137" t="s">
        <v>432</v>
      </c>
      <c r="AW207" s="137" t="s">
        <v>432</v>
      </c>
      <c r="AX207" s="137" t="s">
        <v>432</v>
      </c>
      <c r="AY207" s="137" t="s">
        <v>432</v>
      </c>
      <c r="AZ207" s="137" t="s">
        <v>432</v>
      </c>
      <c r="BA207" s="137" t="s">
        <v>432</v>
      </c>
      <c r="BB207" s="239" t="str">
        <f t="shared" si="40"/>
        <v>Populaçãox</v>
      </c>
      <c r="BC207" s="239" t="str">
        <f t="shared" si="41"/>
        <v>PopulaçãoxRMBH</v>
      </c>
      <c r="BD207" s="239" t="str">
        <f t="shared" si="42"/>
        <v>PopulaçãoRMBH</v>
      </c>
    </row>
    <row r="208" spans="1:56" s="3" customFormat="1" ht="28.5" customHeight="1" x14ac:dyDescent="0.25">
      <c r="A208" s="275" t="str">
        <f>'Q100b-totais'!$B$19</f>
        <v>2.4</v>
      </c>
      <c r="B208" s="54" t="str">
        <f>'Q100b-totais'!$C$19</f>
        <v>População</v>
      </c>
      <c r="C208" s="167" t="s">
        <v>432</v>
      </c>
      <c r="D208" s="323" t="s">
        <v>2806</v>
      </c>
      <c r="E208" s="1505" t="s">
        <v>1763</v>
      </c>
      <c r="F208" s="188" t="s">
        <v>1778</v>
      </c>
      <c r="G208" s="110" t="s">
        <v>77</v>
      </c>
      <c r="H208" s="171" t="s">
        <v>1298</v>
      </c>
      <c r="I208" s="167">
        <v>1</v>
      </c>
      <c r="J208" s="93" t="s">
        <v>432</v>
      </c>
      <c r="K208" s="93" t="s">
        <v>432</v>
      </c>
      <c r="L208" s="93" t="s">
        <v>432</v>
      </c>
      <c r="M208" s="93" t="s">
        <v>432</v>
      </c>
      <c r="N208" s="93" t="s">
        <v>432</v>
      </c>
      <c r="O208" s="93" t="s">
        <v>432</v>
      </c>
      <c r="P208" s="93" t="s">
        <v>432</v>
      </c>
      <c r="Q208" s="93" t="s">
        <v>432</v>
      </c>
      <c r="R208" s="93" t="s">
        <v>432</v>
      </c>
      <c r="S208" s="109" t="s">
        <v>2209</v>
      </c>
      <c r="T208" s="84" t="s">
        <v>432</v>
      </c>
      <c r="U208" s="84" t="s">
        <v>432</v>
      </c>
      <c r="V208" s="109" t="s">
        <v>2209</v>
      </c>
      <c r="W208" s="84" t="s">
        <v>432</v>
      </c>
      <c r="X208" s="84" t="s">
        <v>432</v>
      </c>
      <c r="Y208" s="84" t="s">
        <v>432</v>
      </c>
      <c r="Z208" s="84" t="s">
        <v>432</v>
      </c>
      <c r="AA208" s="84" t="s">
        <v>432</v>
      </c>
      <c r="AB208" s="84" t="s">
        <v>432</v>
      </c>
      <c r="AC208" s="84" t="s">
        <v>432</v>
      </c>
      <c r="AD208" s="84" t="s">
        <v>432</v>
      </c>
      <c r="AE208" s="84" t="s">
        <v>432</v>
      </c>
      <c r="AF208" s="99">
        <v>47.929000000000002</v>
      </c>
      <c r="AG208" s="84" t="s">
        <v>432</v>
      </c>
      <c r="AH208" s="84" t="s">
        <v>432</v>
      </c>
      <c r="AI208" s="84" t="s">
        <v>432</v>
      </c>
      <c r="AJ208" s="84" t="s">
        <v>432</v>
      </c>
      <c r="AK208" s="137" t="s">
        <v>432</v>
      </c>
      <c r="AL208" s="600" t="s">
        <v>432</v>
      </c>
      <c r="AM208" s="137" t="s">
        <v>432</v>
      </c>
      <c r="AN208" s="137" t="s">
        <v>432</v>
      </c>
      <c r="AO208" s="137" t="s">
        <v>432</v>
      </c>
      <c r="AP208" s="137" t="s">
        <v>432</v>
      </c>
      <c r="AQ208" s="137" t="s">
        <v>432</v>
      </c>
      <c r="AR208" s="137" t="s">
        <v>432</v>
      </c>
      <c r="AS208" s="137" t="s">
        <v>432</v>
      </c>
      <c r="AT208" s="137" t="s">
        <v>432</v>
      </c>
      <c r="AU208" s="137" t="s">
        <v>432</v>
      </c>
      <c r="AV208" s="137" t="s">
        <v>432</v>
      </c>
      <c r="AW208" s="137" t="s">
        <v>432</v>
      </c>
      <c r="AX208" s="137" t="s">
        <v>432</v>
      </c>
      <c r="AY208" s="137" t="s">
        <v>432</v>
      </c>
      <c r="AZ208" s="137" t="s">
        <v>432</v>
      </c>
      <c r="BA208" s="137" t="s">
        <v>432</v>
      </c>
      <c r="BB208" s="239" t="str">
        <f t="shared" si="40"/>
        <v>Populaçãox</v>
      </c>
      <c r="BC208" s="239" t="str">
        <f t="shared" si="41"/>
        <v>PopulaçãoxRMBH</v>
      </c>
      <c r="BD208" s="239" t="str">
        <f t="shared" si="42"/>
        <v>PopulaçãoRMBH</v>
      </c>
    </row>
    <row r="209" spans="1:56" s="3" customFormat="1" ht="28.5" customHeight="1" x14ac:dyDescent="0.25">
      <c r="A209" s="275" t="str">
        <f>'Q100b-totais'!$B$19</f>
        <v>2.4</v>
      </c>
      <c r="B209" s="54" t="str">
        <f>'Q100b-totais'!$C$19</f>
        <v>População</v>
      </c>
      <c r="C209" s="167" t="s">
        <v>432</v>
      </c>
      <c r="D209" s="323" t="s">
        <v>2806</v>
      </c>
      <c r="E209" s="1505" t="s">
        <v>1764</v>
      </c>
      <c r="F209" s="188" t="s">
        <v>1778</v>
      </c>
      <c r="G209" s="110" t="s">
        <v>77</v>
      </c>
      <c r="H209" s="171" t="s">
        <v>1298</v>
      </c>
      <c r="I209" s="167">
        <v>1</v>
      </c>
      <c r="J209" s="93" t="s">
        <v>432</v>
      </c>
      <c r="K209" s="93" t="s">
        <v>432</v>
      </c>
      <c r="L209" s="93" t="s">
        <v>432</v>
      </c>
      <c r="M209" s="93" t="s">
        <v>432</v>
      </c>
      <c r="N209" s="93" t="s">
        <v>432</v>
      </c>
      <c r="O209" s="93" t="s">
        <v>432</v>
      </c>
      <c r="P209" s="93" t="s">
        <v>432</v>
      </c>
      <c r="Q209" s="93" t="s">
        <v>432</v>
      </c>
      <c r="R209" s="93" t="s">
        <v>432</v>
      </c>
      <c r="S209" s="109" t="s">
        <v>2209</v>
      </c>
      <c r="T209" s="84" t="s">
        <v>432</v>
      </c>
      <c r="U209" s="84" t="s">
        <v>432</v>
      </c>
      <c r="V209" s="109" t="s">
        <v>2209</v>
      </c>
      <c r="W209" s="84" t="s">
        <v>432</v>
      </c>
      <c r="X209" s="84" t="s">
        <v>432</v>
      </c>
      <c r="Y209" s="84" t="s">
        <v>432</v>
      </c>
      <c r="Z209" s="84" t="s">
        <v>432</v>
      </c>
      <c r="AA209" s="84" t="s">
        <v>432</v>
      </c>
      <c r="AB209" s="84" t="s">
        <v>432</v>
      </c>
      <c r="AC209" s="84" t="s">
        <v>432</v>
      </c>
      <c r="AD209" s="84" t="s">
        <v>432</v>
      </c>
      <c r="AE209" s="84" t="s">
        <v>432</v>
      </c>
      <c r="AF209" s="99">
        <v>62.134</v>
      </c>
      <c r="AG209" s="84" t="s">
        <v>432</v>
      </c>
      <c r="AH209" s="84" t="s">
        <v>432</v>
      </c>
      <c r="AI209" s="84" t="s">
        <v>432</v>
      </c>
      <c r="AJ209" s="84" t="s">
        <v>432</v>
      </c>
      <c r="AK209" s="137" t="s">
        <v>432</v>
      </c>
      <c r="AL209" s="600" t="s">
        <v>432</v>
      </c>
      <c r="AM209" s="137" t="s">
        <v>432</v>
      </c>
      <c r="AN209" s="137" t="s">
        <v>432</v>
      </c>
      <c r="AO209" s="137" t="s">
        <v>432</v>
      </c>
      <c r="AP209" s="137" t="s">
        <v>432</v>
      </c>
      <c r="AQ209" s="137" t="s">
        <v>432</v>
      </c>
      <c r="AR209" s="137" t="s">
        <v>432</v>
      </c>
      <c r="AS209" s="137" t="s">
        <v>432</v>
      </c>
      <c r="AT209" s="137" t="s">
        <v>432</v>
      </c>
      <c r="AU209" s="137" t="s">
        <v>432</v>
      </c>
      <c r="AV209" s="137" t="s">
        <v>432</v>
      </c>
      <c r="AW209" s="137" t="s">
        <v>432</v>
      </c>
      <c r="AX209" s="137" t="s">
        <v>432</v>
      </c>
      <c r="AY209" s="137" t="s">
        <v>432</v>
      </c>
      <c r="AZ209" s="137" t="s">
        <v>432</v>
      </c>
      <c r="BA209" s="137" t="s">
        <v>432</v>
      </c>
      <c r="BB209" s="239" t="str">
        <f t="shared" si="40"/>
        <v>Populaçãox</v>
      </c>
      <c r="BC209" s="239" t="str">
        <f t="shared" si="41"/>
        <v>PopulaçãoxRMBH</v>
      </c>
      <c r="BD209" s="239" t="str">
        <f t="shared" si="42"/>
        <v>PopulaçãoRMBH</v>
      </c>
    </row>
    <row r="210" spans="1:56" s="3" customFormat="1" ht="40.5" customHeight="1" x14ac:dyDescent="0.25">
      <c r="A210" s="275" t="str">
        <f>'Q100b-totais'!$B$19</f>
        <v>2.4</v>
      </c>
      <c r="B210" s="54" t="str">
        <f>'Q100b-totais'!$C$19</f>
        <v>População</v>
      </c>
      <c r="C210" s="167" t="s">
        <v>432</v>
      </c>
      <c r="D210" s="323" t="s">
        <v>2806</v>
      </c>
      <c r="E210" s="1505" t="s">
        <v>1765</v>
      </c>
      <c r="F210" s="188" t="s">
        <v>1778</v>
      </c>
      <c r="G210" s="110" t="s">
        <v>77</v>
      </c>
      <c r="H210" s="171" t="s">
        <v>1298</v>
      </c>
      <c r="I210" s="167">
        <v>1</v>
      </c>
      <c r="J210" s="93" t="s">
        <v>432</v>
      </c>
      <c r="K210" s="93" t="s">
        <v>432</v>
      </c>
      <c r="L210" s="93" t="s">
        <v>432</v>
      </c>
      <c r="M210" s="93" t="s">
        <v>432</v>
      </c>
      <c r="N210" s="93" t="s">
        <v>432</v>
      </c>
      <c r="O210" s="93" t="s">
        <v>432</v>
      </c>
      <c r="P210" s="93" t="s">
        <v>432</v>
      </c>
      <c r="Q210" s="93" t="s">
        <v>432</v>
      </c>
      <c r="R210" s="93" t="s">
        <v>432</v>
      </c>
      <c r="S210" s="109" t="s">
        <v>2209</v>
      </c>
      <c r="T210" s="84" t="s">
        <v>432</v>
      </c>
      <c r="U210" s="84" t="s">
        <v>432</v>
      </c>
      <c r="V210" s="109" t="s">
        <v>2209</v>
      </c>
      <c r="W210" s="84" t="s">
        <v>432</v>
      </c>
      <c r="X210" s="84" t="s">
        <v>432</v>
      </c>
      <c r="Y210" s="84" t="s">
        <v>432</v>
      </c>
      <c r="Z210" s="84" t="s">
        <v>432</v>
      </c>
      <c r="AA210" s="84" t="s">
        <v>432</v>
      </c>
      <c r="AB210" s="84" t="s">
        <v>432</v>
      </c>
      <c r="AC210" s="84" t="s">
        <v>432</v>
      </c>
      <c r="AD210" s="84" t="s">
        <v>432</v>
      </c>
      <c r="AE210" s="84" t="s">
        <v>432</v>
      </c>
      <c r="AF210" s="99">
        <v>329.24</v>
      </c>
      <c r="AG210" s="84" t="s">
        <v>432</v>
      </c>
      <c r="AH210" s="84" t="s">
        <v>432</v>
      </c>
      <c r="AI210" s="84" t="s">
        <v>432</v>
      </c>
      <c r="AJ210" s="84" t="s">
        <v>432</v>
      </c>
      <c r="AK210" s="137" t="s">
        <v>432</v>
      </c>
      <c r="AL210" s="600" t="s">
        <v>432</v>
      </c>
      <c r="AM210" s="137" t="s">
        <v>432</v>
      </c>
      <c r="AN210" s="137" t="s">
        <v>432</v>
      </c>
      <c r="AO210" s="137" t="s">
        <v>432</v>
      </c>
      <c r="AP210" s="137" t="s">
        <v>432</v>
      </c>
      <c r="AQ210" s="137" t="s">
        <v>432</v>
      </c>
      <c r="AR210" s="137" t="s">
        <v>432</v>
      </c>
      <c r="AS210" s="137" t="s">
        <v>432</v>
      </c>
      <c r="AT210" s="137" t="s">
        <v>432</v>
      </c>
      <c r="AU210" s="137" t="s">
        <v>432</v>
      </c>
      <c r="AV210" s="137" t="s">
        <v>432</v>
      </c>
      <c r="AW210" s="137" t="s">
        <v>432</v>
      </c>
      <c r="AX210" s="137" t="s">
        <v>432</v>
      </c>
      <c r="AY210" s="137" t="s">
        <v>432</v>
      </c>
      <c r="AZ210" s="137" t="s">
        <v>432</v>
      </c>
      <c r="BA210" s="137" t="s">
        <v>432</v>
      </c>
      <c r="BB210" s="239" t="str">
        <f t="shared" si="40"/>
        <v>Populaçãox</v>
      </c>
      <c r="BC210" s="239" t="str">
        <f t="shared" si="41"/>
        <v>PopulaçãoxRMBH</v>
      </c>
      <c r="BD210" s="239" t="str">
        <f t="shared" si="42"/>
        <v>PopulaçãoRMBH</v>
      </c>
    </row>
    <row r="211" spans="1:56" s="3" customFormat="1" ht="28.5" customHeight="1" x14ac:dyDescent="0.25">
      <c r="A211" s="275" t="str">
        <f>'Q100b-totais'!$B$19</f>
        <v>2.4</v>
      </c>
      <c r="B211" s="54" t="str">
        <f>'Q100b-totais'!$C$19</f>
        <v>População</v>
      </c>
      <c r="C211" s="167" t="s">
        <v>432</v>
      </c>
      <c r="D211" s="323" t="s">
        <v>2806</v>
      </c>
      <c r="E211" s="1505" t="s">
        <v>1766</v>
      </c>
      <c r="F211" s="188" t="s">
        <v>1778</v>
      </c>
      <c r="G211" s="110" t="s">
        <v>77</v>
      </c>
      <c r="H211" s="171" t="s">
        <v>1298</v>
      </c>
      <c r="I211" s="167">
        <v>1</v>
      </c>
      <c r="J211" s="93" t="s">
        <v>432</v>
      </c>
      <c r="K211" s="93" t="s">
        <v>432</v>
      </c>
      <c r="L211" s="93" t="s">
        <v>432</v>
      </c>
      <c r="M211" s="93" t="s">
        <v>432</v>
      </c>
      <c r="N211" s="93" t="s">
        <v>432</v>
      </c>
      <c r="O211" s="93" t="s">
        <v>432</v>
      </c>
      <c r="P211" s="93" t="s">
        <v>432</v>
      </c>
      <c r="Q211" s="93" t="s">
        <v>432</v>
      </c>
      <c r="R211" s="93" t="s">
        <v>432</v>
      </c>
      <c r="S211" s="109" t="s">
        <v>2209</v>
      </c>
      <c r="T211" s="84" t="s">
        <v>432</v>
      </c>
      <c r="U211" s="84" t="s">
        <v>432</v>
      </c>
      <c r="V211" s="109" t="s">
        <v>2209</v>
      </c>
      <c r="W211" s="84" t="s">
        <v>432</v>
      </c>
      <c r="X211" s="84" t="s">
        <v>432</v>
      </c>
      <c r="Y211" s="84" t="s">
        <v>432</v>
      </c>
      <c r="Z211" s="84" t="s">
        <v>432</v>
      </c>
      <c r="AA211" s="84" t="s">
        <v>432</v>
      </c>
      <c r="AB211" s="84" t="s">
        <v>432</v>
      </c>
      <c r="AC211" s="84" t="s">
        <v>432</v>
      </c>
      <c r="AD211" s="84" t="s">
        <v>432</v>
      </c>
      <c r="AE211" s="84" t="s">
        <v>432</v>
      </c>
      <c r="AF211" s="83">
        <v>71.180000000000007</v>
      </c>
      <c r="AG211" s="84" t="s">
        <v>432</v>
      </c>
      <c r="AH211" s="84" t="s">
        <v>432</v>
      </c>
      <c r="AI211" s="84" t="s">
        <v>432</v>
      </c>
      <c r="AJ211" s="84" t="s">
        <v>432</v>
      </c>
      <c r="AK211" s="137" t="s">
        <v>432</v>
      </c>
      <c r="AL211" s="600" t="s">
        <v>432</v>
      </c>
      <c r="AM211" s="137" t="s">
        <v>432</v>
      </c>
      <c r="AN211" s="137" t="s">
        <v>432</v>
      </c>
      <c r="AO211" s="137" t="s">
        <v>432</v>
      </c>
      <c r="AP211" s="137" t="s">
        <v>432</v>
      </c>
      <c r="AQ211" s="137" t="s">
        <v>432</v>
      </c>
      <c r="AR211" s="137" t="s">
        <v>432</v>
      </c>
      <c r="AS211" s="137" t="s">
        <v>432</v>
      </c>
      <c r="AT211" s="137" t="s">
        <v>432</v>
      </c>
      <c r="AU211" s="137" t="s">
        <v>432</v>
      </c>
      <c r="AV211" s="137" t="s">
        <v>432</v>
      </c>
      <c r="AW211" s="137" t="s">
        <v>432</v>
      </c>
      <c r="AX211" s="137" t="s">
        <v>432</v>
      </c>
      <c r="AY211" s="137" t="s">
        <v>432</v>
      </c>
      <c r="AZ211" s="137" t="s">
        <v>432</v>
      </c>
      <c r="BA211" s="137" t="s">
        <v>432</v>
      </c>
      <c r="BB211" s="239" t="str">
        <f t="shared" si="40"/>
        <v>Populaçãox</v>
      </c>
      <c r="BC211" s="239" t="str">
        <f t="shared" si="41"/>
        <v>PopulaçãoxRMBH</v>
      </c>
      <c r="BD211" s="239" t="str">
        <f t="shared" si="42"/>
        <v>PopulaçãoRMBH</v>
      </c>
    </row>
    <row r="212" spans="1:56" s="3" customFormat="1" ht="57.75" customHeight="1" x14ac:dyDescent="0.25">
      <c r="A212" s="262" t="str">
        <f>'Q100b-totais'!B50</f>
        <v>6.2</v>
      </c>
      <c r="B212" s="252" t="str">
        <f>'Q100b-totais'!C50</f>
        <v>Sistema de bicicleta</v>
      </c>
      <c r="C212" s="1369" t="s">
        <v>432</v>
      </c>
      <c r="D212" s="325" t="s">
        <v>2996</v>
      </c>
      <c r="E212" s="254" t="s">
        <v>432</v>
      </c>
      <c r="F212" s="11" t="s">
        <v>4798</v>
      </c>
      <c r="G212" s="230" t="s">
        <v>4610</v>
      </c>
      <c r="H212" s="167" t="s">
        <v>2408</v>
      </c>
      <c r="I212" s="167" t="s">
        <v>432</v>
      </c>
      <c r="J212" s="107" t="s">
        <v>432</v>
      </c>
      <c r="K212" s="107" t="s">
        <v>432</v>
      </c>
      <c r="L212" s="107" t="s">
        <v>432</v>
      </c>
      <c r="M212" s="107" t="s">
        <v>432</v>
      </c>
      <c r="N212" s="107" t="s">
        <v>432</v>
      </c>
      <c r="O212" s="107" t="s">
        <v>432</v>
      </c>
      <c r="P212" s="107" t="s">
        <v>432</v>
      </c>
      <c r="Q212" s="107" t="s">
        <v>432</v>
      </c>
      <c r="R212" s="107" t="s">
        <v>432</v>
      </c>
      <c r="S212" s="109" t="s">
        <v>2209</v>
      </c>
      <c r="T212" s="107" t="s">
        <v>432</v>
      </c>
      <c r="U212" s="107" t="s">
        <v>432</v>
      </c>
      <c r="V212" s="109" t="s">
        <v>2209</v>
      </c>
      <c r="W212" s="107" t="s">
        <v>432</v>
      </c>
      <c r="X212" s="107" t="s">
        <v>432</v>
      </c>
      <c r="Y212" s="107" t="s">
        <v>432</v>
      </c>
      <c r="Z212" s="107" t="s">
        <v>432</v>
      </c>
      <c r="AA212" s="107" t="s">
        <v>432</v>
      </c>
      <c r="AB212" s="107" t="s">
        <v>432</v>
      </c>
      <c r="AC212" s="107" t="s">
        <v>432</v>
      </c>
      <c r="AD212" s="107" t="s">
        <v>432</v>
      </c>
      <c r="AE212" s="107" t="s">
        <v>432</v>
      </c>
      <c r="AF212" s="107" t="s">
        <v>432</v>
      </c>
      <c r="AG212" s="107" t="s">
        <v>432</v>
      </c>
      <c r="AH212" s="107" t="s">
        <v>432</v>
      </c>
      <c r="AI212" s="107" t="s">
        <v>432</v>
      </c>
      <c r="AJ212" s="107" t="s">
        <v>432</v>
      </c>
      <c r="AK212" s="107" t="s">
        <v>432</v>
      </c>
      <c r="AL212" s="600" t="s">
        <v>432</v>
      </c>
      <c r="AM212" s="137" t="s">
        <v>432</v>
      </c>
      <c r="AN212" s="137" t="s">
        <v>432</v>
      </c>
      <c r="AO212" s="137" t="s">
        <v>432</v>
      </c>
      <c r="AP212" s="137" t="s">
        <v>432</v>
      </c>
      <c r="AQ212" s="137" t="s">
        <v>432</v>
      </c>
      <c r="AR212" s="137" t="s">
        <v>432</v>
      </c>
      <c r="AS212" s="137" t="s">
        <v>432</v>
      </c>
      <c r="AT212" s="137" t="s">
        <v>432</v>
      </c>
      <c r="AU212" s="137" t="s">
        <v>432</v>
      </c>
      <c r="AV212" s="137" t="s">
        <v>432</v>
      </c>
      <c r="AW212" s="137" t="s">
        <v>432</v>
      </c>
      <c r="AX212" s="137" t="s">
        <v>432</v>
      </c>
      <c r="AY212" s="137" t="s">
        <v>432</v>
      </c>
      <c r="AZ212" s="137" t="s">
        <v>432</v>
      </c>
      <c r="BA212" s="137" t="s">
        <v>432</v>
      </c>
      <c r="BB212" s="239" t="str">
        <f t="shared" si="40"/>
        <v>Sistema de bicicletax</v>
      </c>
      <c r="BC212" s="239" t="str">
        <f t="shared" si="41"/>
        <v>Sistema de bicicletaxsigla/verbete</v>
      </c>
      <c r="BD212" s="239" t="str">
        <f t="shared" si="42"/>
        <v>Sistema de bicicletasigla/verbete</v>
      </c>
    </row>
    <row r="213" spans="1:56" s="3" customFormat="1" ht="15.75" customHeight="1" x14ac:dyDescent="0.25">
      <c r="A213" s="402"/>
      <c r="B213" s="399"/>
      <c r="C213" s="399"/>
      <c r="D213" s="970"/>
      <c r="E213" s="1495"/>
      <c r="F213" s="221"/>
      <c r="G213" s="223"/>
      <c r="H213" s="223"/>
      <c r="I213" s="223"/>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400"/>
      <c r="BC213" s="400"/>
      <c r="BD213" s="400"/>
    </row>
    <row r="214" spans="1:56" s="3" customFormat="1" ht="25.5" x14ac:dyDescent="0.25">
      <c r="A214" s="262" t="s">
        <v>432</v>
      </c>
      <c r="B214" s="252" t="s">
        <v>742</v>
      </c>
      <c r="C214" s="252" t="s">
        <v>432</v>
      </c>
      <c r="D214" s="325" t="s">
        <v>4952</v>
      </c>
      <c r="E214" s="1445" t="s">
        <v>432</v>
      </c>
      <c r="F214" s="1205" t="s">
        <v>4953</v>
      </c>
      <c r="G214" s="230" t="s">
        <v>3507</v>
      </c>
      <c r="H214" s="167" t="s">
        <v>2408</v>
      </c>
      <c r="I214" s="167" t="s">
        <v>432</v>
      </c>
      <c r="J214" s="107" t="s">
        <v>432</v>
      </c>
      <c r="K214" s="107" t="s">
        <v>432</v>
      </c>
      <c r="L214" s="107" t="s">
        <v>432</v>
      </c>
      <c r="M214" s="107" t="s">
        <v>432</v>
      </c>
      <c r="N214" s="107" t="s">
        <v>432</v>
      </c>
      <c r="O214" s="107" t="s">
        <v>432</v>
      </c>
      <c r="P214" s="107" t="s">
        <v>432</v>
      </c>
      <c r="Q214" s="107" t="s">
        <v>432</v>
      </c>
      <c r="R214" s="107" t="s">
        <v>432</v>
      </c>
      <c r="S214" s="109" t="s">
        <v>2209</v>
      </c>
      <c r="T214" s="107" t="s">
        <v>432</v>
      </c>
      <c r="U214" s="107" t="s">
        <v>432</v>
      </c>
      <c r="V214" s="109" t="s">
        <v>2209</v>
      </c>
      <c r="W214" s="107" t="s">
        <v>432</v>
      </c>
      <c r="X214" s="107" t="s">
        <v>432</v>
      </c>
      <c r="Y214" s="107" t="s">
        <v>432</v>
      </c>
      <c r="Z214" s="107" t="s">
        <v>432</v>
      </c>
      <c r="AA214" s="107" t="s">
        <v>432</v>
      </c>
      <c r="AB214" s="107" t="s">
        <v>432</v>
      </c>
      <c r="AC214" s="107" t="s">
        <v>432</v>
      </c>
      <c r="AD214" s="107" t="s">
        <v>432</v>
      </c>
      <c r="AE214" s="107" t="s">
        <v>432</v>
      </c>
      <c r="AF214" s="107" t="s">
        <v>432</v>
      </c>
      <c r="AG214" s="107" t="s">
        <v>432</v>
      </c>
      <c r="AH214" s="107" t="s">
        <v>432</v>
      </c>
      <c r="AI214" s="107" t="s">
        <v>432</v>
      </c>
      <c r="AJ214" s="107" t="s">
        <v>432</v>
      </c>
      <c r="AK214" s="107" t="s">
        <v>432</v>
      </c>
      <c r="AL214" s="600" t="s">
        <v>432</v>
      </c>
      <c r="AM214" s="137" t="s">
        <v>432</v>
      </c>
      <c r="AN214" s="137" t="s">
        <v>432</v>
      </c>
      <c r="AO214" s="137" t="s">
        <v>432</v>
      </c>
      <c r="AP214" s="137" t="s">
        <v>432</v>
      </c>
      <c r="AQ214" s="137" t="s">
        <v>432</v>
      </c>
      <c r="AR214" s="137" t="s">
        <v>432</v>
      </c>
      <c r="AS214" s="137" t="s">
        <v>432</v>
      </c>
      <c r="AT214" s="137" t="s">
        <v>432</v>
      </c>
      <c r="AU214" s="137" t="s">
        <v>432</v>
      </c>
      <c r="AV214" s="137" t="s">
        <v>432</v>
      </c>
      <c r="AW214" s="137" t="s">
        <v>432</v>
      </c>
      <c r="AX214" s="137" t="s">
        <v>432</v>
      </c>
      <c r="AY214" s="137" t="s">
        <v>432</v>
      </c>
      <c r="AZ214" s="137" t="s">
        <v>432</v>
      </c>
      <c r="BA214" s="137" t="s">
        <v>432</v>
      </c>
      <c r="BB214" s="239" t="str">
        <f>B214&amp;C214</f>
        <v>geralx</v>
      </c>
      <c r="BC214" s="239" t="str">
        <f>B214&amp;C214&amp;H214</f>
        <v>geralxsigla/verbete</v>
      </c>
      <c r="BD214" s="239" t="str">
        <f>B214&amp;H214</f>
        <v>geralsigla/verbete</v>
      </c>
    </row>
    <row r="215" spans="1:56" s="3" customFormat="1" ht="15.75" customHeight="1" x14ac:dyDescent="0.25">
      <c r="A215" s="402"/>
      <c r="B215" s="399"/>
      <c r="C215" s="399"/>
      <c r="D215" s="970"/>
      <c r="E215" s="1495"/>
      <c r="F215" s="221"/>
      <c r="G215" s="946"/>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400"/>
      <c r="BC215" s="400"/>
      <c r="BD215" s="400"/>
    </row>
    <row r="216" spans="1:56" s="3" customFormat="1" ht="63" customHeight="1" x14ac:dyDescent="0.25">
      <c r="A216" s="262" t="str">
        <f>'Q100b-totais'!B22</f>
        <v>2.7</v>
      </c>
      <c r="B216" s="252" t="str">
        <f>'Q100b-totais'!C22</f>
        <v>Outras cidades/regiões</v>
      </c>
      <c r="C216" s="167" t="s">
        <v>743</v>
      </c>
      <c r="D216" s="1323" t="s">
        <v>3021</v>
      </c>
      <c r="E216" s="1499" t="s">
        <v>3021</v>
      </c>
      <c r="F216" s="1327" t="s">
        <v>4199</v>
      </c>
      <c r="G216" s="230" t="s">
        <v>3507</v>
      </c>
      <c r="H216" s="167" t="s">
        <v>2408</v>
      </c>
      <c r="I216" s="167" t="s">
        <v>432</v>
      </c>
      <c r="J216" s="107" t="s">
        <v>432</v>
      </c>
      <c r="K216" s="107" t="s">
        <v>432</v>
      </c>
      <c r="L216" s="107" t="s">
        <v>432</v>
      </c>
      <c r="M216" s="107" t="s">
        <v>432</v>
      </c>
      <c r="N216" s="107" t="s">
        <v>432</v>
      </c>
      <c r="O216" s="107" t="s">
        <v>432</v>
      </c>
      <c r="P216" s="107" t="s">
        <v>432</v>
      </c>
      <c r="Q216" s="107" t="s">
        <v>432</v>
      </c>
      <c r="R216" s="107" t="s">
        <v>432</v>
      </c>
      <c r="S216" s="109" t="s">
        <v>2209</v>
      </c>
      <c r="T216" s="107" t="s">
        <v>432</v>
      </c>
      <c r="U216" s="107" t="s">
        <v>432</v>
      </c>
      <c r="V216" s="109" t="s">
        <v>2209</v>
      </c>
      <c r="W216" s="107" t="s">
        <v>432</v>
      </c>
      <c r="X216" s="107" t="s">
        <v>432</v>
      </c>
      <c r="Y216" s="107" t="s">
        <v>432</v>
      </c>
      <c r="Z216" s="107" t="s">
        <v>432</v>
      </c>
      <c r="AA216" s="107" t="s">
        <v>432</v>
      </c>
      <c r="AB216" s="107" t="s">
        <v>432</v>
      </c>
      <c r="AC216" s="107" t="s">
        <v>432</v>
      </c>
      <c r="AD216" s="107" t="s">
        <v>432</v>
      </c>
      <c r="AE216" s="107" t="s">
        <v>432</v>
      </c>
      <c r="AF216" s="107" t="s">
        <v>432</v>
      </c>
      <c r="AG216" s="107" t="s">
        <v>432</v>
      </c>
      <c r="AH216" s="107" t="s">
        <v>432</v>
      </c>
      <c r="AI216" s="107" t="s">
        <v>432</v>
      </c>
      <c r="AJ216" s="107" t="s">
        <v>432</v>
      </c>
      <c r="AK216" s="107" t="s">
        <v>432</v>
      </c>
      <c r="AL216" s="600" t="s">
        <v>432</v>
      </c>
      <c r="AM216" s="137" t="s">
        <v>432</v>
      </c>
      <c r="AN216" s="137" t="s">
        <v>432</v>
      </c>
      <c r="AO216" s="137" t="s">
        <v>432</v>
      </c>
      <c r="AP216" s="137" t="s">
        <v>432</v>
      </c>
      <c r="AQ216" s="137" t="s">
        <v>432</v>
      </c>
      <c r="AR216" s="137" t="s">
        <v>432</v>
      </c>
      <c r="AS216" s="137" t="s">
        <v>432</v>
      </c>
      <c r="AT216" s="137" t="s">
        <v>432</v>
      </c>
      <c r="AU216" s="137" t="s">
        <v>432</v>
      </c>
      <c r="AV216" s="137" t="s">
        <v>432</v>
      </c>
      <c r="AW216" s="137" t="s">
        <v>432</v>
      </c>
      <c r="AX216" s="137" t="s">
        <v>432</v>
      </c>
      <c r="AY216" s="137" t="s">
        <v>432</v>
      </c>
      <c r="AZ216" s="137" t="s">
        <v>432</v>
      </c>
      <c r="BA216" s="137" t="s">
        <v>432</v>
      </c>
      <c r="BB216" s="239" t="str">
        <f>B216&amp;C216</f>
        <v>Outras cidades/regiõesacessibilidade</v>
      </c>
      <c r="BC216" s="239" t="str">
        <f>B216&amp;C216&amp;H216</f>
        <v>Outras cidades/regiõesacessibilidadesigla/verbete</v>
      </c>
      <c r="BD216" s="239" t="str">
        <f>B216&amp;H216</f>
        <v>Outras cidades/regiõessigla/verbete</v>
      </c>
    </row>
    <row r="217" spans="1:56" s="3" customFormat="1" ht="15.75" customHeight="1" x14ac:dyDescent="0.25">
      <c r="A217" s="402"/>
      <c r="B217" s="399"/>
      <c r="C217" s="399"/>
      <c r="D217" s="970"/>
      <c r="E217" s="1495"/>
      <c r="F217" s="221"/>
      <c r="G217" s="221"/>
      <c r="H217" s="221"/>
      <c r="I217" s="399"/>
      <c r="J217" s="221"/>
      <c r="K217" s="221"/>
      <c r="L217" s="221"/>
      <c r="M217" s="221"/>
      <c r="N217" s="221"/>
      <c r="O217" s="221"/>
      <c r="P217" s="221"/>
      <c r="Q217" s="221"/>
      <c r="R217" s="221"/>
      <c r="S217" s="109" t="s">
        <v>2209</v>
      </c>
      <c r="T217" s="221"/>
      <c r="U217" s="221"/>
      <c r="V217" s="109" t="s">
        <v>2209</v>
      </c>
      <c r="W217" s="221"/>
      <c r="X217" s="221"/>
      <c r="Y217" s="221"/>
      <c r="Z217" s="221"/>
      <c r="AA217" s="221"/>
      <c r="AB217" s="221"/>
      <c r="AC217" s="221"/>
      <c r="AD217" s="221"/>
      <c r="AE217" s="221"/>
      <c r="AF217" s="221"/>
      <c r="AG217" s="221"/>
      <c r="AH217" s="221"/>
      <c r="AI217" s="221"/>
      <c r="AJ217" s="221"/>
      <c r="AK217" s="223"/>
      <c r="AL217" s="600" t="s">
        <v>432</v>
      </c>
      <c r="AM217" s="223"/>
      <c r="AN217" s="223"/>
      <c r="AO217" s="223"/>
      <c r="AP217" s="223"/>
      <c r="AQ217" s="223"/>
      <c r="AR217" s="223"/>
      <c r="AS217" s="223"/>
      <c r="AT217" s="223"/>
      <c r="AU217" s="223"/>
      <c r="AV217" s="223"/>
      <c r="AW217" s="137"/>
      <c r="AX217" s="223"/>
      <c r="AY217" s="223"/>
      <c r="AZ217" s="223"/>
      <c r="BA217" s="223"/>
      <c r="BB217" s="400"/>
      <c r="BC217" s="400"/>
      <c r="BD217" s="400"/>
    </row>
    <row r="218" spans="1:56" s="3" customFormat="1" ht="225" customHeight="1" x14ac:dyDescent="0.25">
      <c r="A218" s="262" t="str">
        <f>'Q100b-totais'!B62</f>
        <v>8.10</v>
      </c>
      <c r="B218" s="252" t="str">
        <f>'Q100b-totais'!C62</f>
        <v>Sistema de transporte coletivo com um todo</v>
      </c>
      <c r="C218" s="167" t="s">
        <v>432</v>
      </c>
      <c r="D218" s="324" t="s">
        <v>2401</v>
      </c>
      <c r="E218" s="254" t="s">
        <v>1306</v>
      </c>
      <c r="F218" s="24" t="s">
        <v>2426</v>
      </c>
      <c r="G218" s="110" t="s">
        <v>2399</v>
      </c>
      <c r="H218" s="168" t="s">
        <v>765</v>
      </c>
      <c r="I218" s="167" t="s">
        <v>432</v>
      </c>
      <c r="J218" s="107" t="s">
        <v>432</v>
      </c>
      <c r="K218" s="107" t="s">
        <v>432</v>
      </c>
      <c r="L218" s="107" t="s">
        <v>432</v>
      </c>
      <c r="M218" s="107" t="s">
        <v>432</v>
      </c>
      <c r="N218" s="107" t="s">
        <v>432</v>
      </c>
      <c r="O218" s="107" t="s">
        <v>432</v>
      </c>
      <c r="P218" s="107" t="s">
        <v>432</v>
      </c>
      <c r="Q218" s="107" t="s">
        <v>432</v>
      </c>
      <c r="R218" s="107" t="s">
        <v>432</v>
      </c>
      <c r="S218" s="109" t="s">
        <v>2209</v>
      </c>
      <c r="T218" s="107" t="s">
        <v>432</v>
      </c>
      <c r="U218" s="107" t="s">
        <v>432</v>
      </c>
      <c r="V218" s="109" t="s">
        <v>2209</v>
      </c>
      <c r="W218" s="107" t="s">
        <v>432</v>
      </c>
      <c r="X218" s="107" t="s">
        <v>432</v>
      </c>
      <c r="Y218" s="107" t="s">
        <v>432</v>
      </c>
      <c r="Z218" s="107" t="s">
        <v>432</v>
      </c>
      <c r="AA218" s="107" t="s">
        <v>432</v>
      </c>
      <c r="AB218" s="107" t="s">
        <v>432</v>
      </c>
      <c r="AC218" s="107" t="s">
        <v>432</v>
      </c>
      <c r="AD218" s="107" t="s">
        <v>432</v>
      </c>
      <c r="AE218" s="107" t="s">
        <v>432</v>
      </c>
      <c r="AF218" s="107" t="s">
        <v>432</v>
      </c>
      <c r="AG218" s="107" t="s">
        <v>432</v>
      </c>
      <c r="AH218" s="107" t="s">
        <v>432</v>
      </c>
      <c r="AI218" s="107" t="s">
        <v>432</v>
      </c>
      <c r="AJ218" s="107" t="s">
        <v>432</v>
      </c>
      <c r="AK218" s="137" t="s">
        <v>432</v>
      </c>
      <c r="AL218" s="600" t="s">
        <v>432</v>
      </c>
      <c r="AM218" s="137" t="s">
        <v>432</v>
      </c>
      <c r="AN218" s="137" t="s">
        <v>432</v>
      </c>
      <c r="AO218" s="137" t="s">
        <v>432</v>
      </c>
      <c r="AP218" s="137" t="s">
        <v>432</v>
      </c>
      <c r="AQ218" s="137" t="s">
        <v>432</v>
      </c>
      <c r="AR218" s="137" t="s">
        <v>432</v>
      </c>
      <c r="AS218" s="137" t="s">
        <v>432</v>
      </c>
      <c r="AT218" s="137" t="s">
        <v>432</v>
      </c>
      <c r="AU218" s="137" t="s">
        <v>432</v>
      </c>
      <c r="AV218" s="137" t="s">
        <v>432</v>
      </c>
      <c r="AW218" s="137" t="s">
        <v>432</v>
      </c>
      <c r="AX218" s="137" t="s">
        <v>432</v>
      </c>
      <c r="AY218" s="137" t="s">
        <v>432</v>
      </c>
      <c r="AZ218" s="137" t="s">
        <v>432</v>
      </c>
      <c r="BA218" s="137" t="s">
        <v>432</v>
      </c>
      <c r="BB218" s="239" t="str">
        <f t="shared" ref="BB218:BB229" si="43">B218&amp;C218</f>
        <v>Sistema de transporte coletivo com um todox</v>
      </c>
      <c r="BC218" s="239" t="str">
        <f t="shared" ref="BC218:BC229" si="44">B218&amp;C218&amp;H218</f>
        <v>Sistema de transporte coletivo com um todoxmeta/RPI</v>
      </c>
      <c r="BD218" s="239" t="str">
        <f t="shared" ref="BD218:BD229" si="45">B218&amp;H218</f>
        <v>Sistema de transporte coletivo com um todometa/RPI</v>
      </c>
    </row>
    <row r="219" spans="1:56" s="3" customFormat="1" ht="85.5" customHeight="1" x14ac:dyDescent="0.25">
      <c r="A219" s="262" t="str">
        <f>'Q100b-totais'!B62</f>
        <v>8.10</v>
      </c>
      <c r="B219" s="252" t="str">
        <f>'Q100b-totais'!C62</f>
        <v>Sistema de transporte coletivo com um todo</v>
      </c>
      <c r="C219" s="167" t="s">
        <v>432</v>
      </c>
      <c r="D219" s="324" t="s">
        <v>2401</v>
      </c>
      <c r="E219" s="254" t="s">
        <v>1767</v>
      </c>
      <c r="F219" s="24" t="s">
        <v>2414</v>
      </c>
      <c r="G219" s="110" t="s">
        <v>2044</v>
      </c>
      <c r="H219" s="168" t="s">
        <v>765</v>
      </c>
      <c r="I219" s="167" t="s">
        <v>432</v>
      </c>
      <c r="J219" s="107" t="s">
        <v>432</v>
      </c>
      <c r="K219" s="107" t="s">
        <v>432</v>
      </c>
      <c r="L219" s="107" t="s">
        <v>432</v>
      </c>
      <c r="M219" s="107" t="s">
        <v>432</v>
      </c>
      <c r="N219" s="107" t="s">
        <v>432</v>
      </c>
      <c r="O219" s="107" t="s">
        <v>432</v>
      </c>
      <c r="P219" s="107" t="s">
        <v>432</v>
      </c>
      <c r="Q219" s="107" t="s">
        <v>432</v>
      </c>
      <c r="R219" s="107" t="s">
        <v>432</v>
      </c>
      <c r="S219" s="109" t="s">
        <v>2209</v>
      </c>
      <c r="T219" s="107" t="s">
        <v>432</v>
      </c>
      <c r="U219" s="107" t="s">
        <v>432</v>
      </c>
      <c r="V219" s="109" t="s">
        <v>2209</v>
      </c>
      <c r="W219" s="107" t="s">
        <v>432</v>
      </c>
      <c r="X219" s="107" t="s">
        <v>432</v>
      </c>
      <c r="Y219" s="107" t="s">
        <v>432</v>
      </c>
      <c r="Z219" s="107" t="s">
        <v>432</v>
      </c>
      <c r="AA219" s="107" t="s">
        <v>432</v>
      </c>
      <c r="AB219" s="107" t="s">
        <v>432</v>
      </c>
      <c r="AC219" s="107" t="s">
        <v>432</v>
      </c>
      <c r="AD219" s="107" t="s">
        <v>432</v>
      </c>
      <c r="AE219" s="107" t="s">
        <v>432</v>
      </c>
      <c r="AF219" s="107" t="s">
        <v>432</v>
      </c>
      <c r="AG219" s="107" t="s">
        <v>432</v>
      </c>
      <c r="AH219" s="107" t="s">
        <v>432</v>
      </c>
      <c r="AI219" s="107" t="s">
        <v>432</v>
      </c>
      <c r="AJ219" s="107" t="s">
        <v>432</v>
      </c>
      <c r="AK219" s="137" t="s">
        <v>432</v>
      </c>
      <c r="AL219" s="600" t="s">
        <v>432</v>
      </c>
      <c r="AM219" s="137" t="s">
        <v>432</v>
      </c>
      <c r="AN219" s="137" t="s">
        <v>432</v>
      </c>
      <c r="AO219" s="137" t="s">
        <v>432</v>
      </c>
      <c r="AP219" s="137" t="s">
        <v>432</v>
      </c>
      <c r="AQ219" s="137" t="s">
        <v>432</v>
      </c>
      <c r="AR219" s="137" t="s">
        <v>432</v>
      </c>
      <c r="AS219" s="137" t="s">
        <v>432</v>
      </c>
      <c r="AT219" s="137" t="s">
        <v>432</v>
      </c>
      <c r="AU219" s="137" t="s">
        <v>432</v>
      </c>
      <c r="AV219" s="137" t="s">
        <v>432</v>
      </c>
      <c r="AW219" s="137" t="s">
        <v>432</v>
      </c>
      <c r="AX219" s="137" t="s">
        <v>432</v>
      </c>
      <c r="AY219" s="137" t="s">
        <v>432</v>
      </c>
      <c r="AZ219" s="137" t="s">
        <v>432</v>
      </c>
      <c r="BA219" s="137" t="s">
        <v>432</v>
      </c>
      <c r="BB219" s="239" t="str">
        <f t="shared" si="43"/>
        <v>Sistema de transporte coletivo com um todox</v>
      </c>
      <c r="BC219" s="239" t="str">
        <f t="shared" si="44"/>
        <v>Sistema de transporte coletivo com um todoxmeta/RPI</v>
      </c>
      <c r="BD219" s="239" t="str">
        <f t="shared" si="45"/>
        <v>Sistema de transporte coletivo com um todometa/RPI</v>
      </c>
    </row>
    <row r="220" spans="1:56" s="521" customFormat="1" ht="321" customHeight="1" x14ac:dyDescent="0.25">
      <c r="A220" s="262" t="str">
        <f>'Q100b-totais'!B62</f>
        <v>8.10</v>
      </c>
      <c r="B220" s="252" t="str">
        <f>'Q100b-totais'!C62</f>
        <v>Sistema de transporte coletivo com um todo</v>
      </c>
      <c r="C220" s="167" t="s">
        <v>432</v>
      </c>
      <c r="D220" s="324" t="s">
        <v>2400</v>
      </c>
      <c r="E220" s="254" t="s">
        <v>1306</v>
      </c>
      <c r="F220" s="24" t="s">
        <v>2567</v>
      </c>
      <c r="G220" s="110" t="s">
        <v>2399</v>
      </c>
      <c r="H220" s="168" t="s">
        <v>765</v>
      </c>
      <c r="I220" s="167" t="s">
        <v>432</v>
      </c>
      <c r="J220" s="107" t="s">
        <v>432</v>
      </c>
      <c r="K220" s="107" t="s">
        <v>432</v>
      </c>
      <c r="L220" s="107" t="s">
        <v>432</v>
      </c>
      <c r="M220" s="107" t="s">
        <v>432</v>
      </c>
      <c r="N220" s="107" t="s">
        <v>432</v>
      </c>
      <c r="O220" s="107" t="s">
        <v>432</v>
      </c>
      <c r="P220" s="107" t="s">
        <v>432</v>
      </c>
      <c r="Q220" s="107" t="s">
        <v>432</v>
      </c>
      <c r="R220" s="107" t="s">
        <v>432</v>
      </c>
      <c r="S220" s="109" t="s">
        <v>2209</v>
      </c>
      <c r="T220" s="107" t="s">
        <v>432</v>
      </c>
      <c r="U220" s="107" t="s">
        <v>432</v>
      </c>
      <c r="V220" s="109" t="s">
        <v>2209</v>
      </c>
      <c r="W220" s="107" t="s">
        <v>432</v>
      </c>
      <c r="X220" s="107" t="s">
        <v>432</v>
      </c>
      <c r="Y220" s="107" t="s">
        <v>432</v>
      </c>
      <c r="Z220" s="107" t="s">
        <v>432</v>
      </c>
      <c r="AA220" s="107" t="s">
        <v>432</v>
      </c>
      <c r="AB220" s="107" t="s">
        <v>432</v>
      </c>
      <c r="AC220" s="107" t="s">
        <v>432</v>
      </c>
      <c r="AD220" s="107" t="s">
        <v>432</v>
      </c>
      <c r="AE220" s="107" t="s">
        <v>432</v>
      </c>
      <c r="AF220" s="107" t="s">
        <v>432</v>
      </c>
      <c r="AG220" s="107" t="s">
        <v>432</v>
      </c>
      <c r="AH220" s="107" t="s">
        <v>432</v>
      </c>
      <c r="AI220" s="107" t="s">
        <v>432</v>
      </c>
      <c r="AJ220" s="107" t="s">
        <v>432</v>
      </c>
      <c r="AK220" s="137" t="s">
        <v>432</v>
      </c>
      <c r="AL220" s="600" t="s">
        <v>432</v>
      </c>
      <c r="AM220" s="137" t="s">
        <v>432</v>
      </c>
      <c r="AN220" s="137" t="s">
        <v>432</v>
      </c>
      <c r="AO220" s="137" t="s">
        <v>432</v>
      </c>
      <c r="AP220" s="137" t="s">
        <v>432</v>
      </c>
      <c r="AQ220" s="137" t="s">
        <v>432</v>
      </c>
      <c r="AR220" s="137" t="s">
        <v>432</v>
      </c>
      <c r="AS220" s="137" t="s">
        <v>432</v>
      </c>
      <c r="AT220" s="137" t="s">
        <v>432</v>
      </c>
      <c r="AU220" s="137" t="s">
        <v>432</v>
      </c>
      <c r="AV220" s="137" t="s">
        <v>432</v>
      </c>
      <c r="AW220" s="137" t="s">
        <v>432</v>
      </c>
      <c r="AX220" s="137" t="s">
        <v>432</v>
      </c>
      <c r="AY220" s="137" t="s">
        <v>432</v>
      </c>
      <c r="AZ220" s="137" t="s">
        <v>432</v>
      </c>
      <c r="BA220" s="137" t="s">
        <v>432</v>
      </c>
      <c r="BB220" s="239" t="str">
        <f t="shared" si="43"/>
        <v>Sistema de transporte coletivo com um todox</v>
      </c>
      <c r="BC220" s="239" t="str">
        <f t="shared" si="44"/>
        <v>Sistema de transporte coletivo com um todoxmeta/RPI</v>
      </c>
      <c r="BD220" s="239" t="str">
        <f t="shared" si="45"/>
        <v>Sistema de transporte coletivo com um todometa/RPI</v>
      </c>
    </row>
    <row r="221" spans="1:56" s="521" customFormat="1" ht="96" customHeight="1" x14ac:dyDescent="0.25">
      <c r="A221" s="262" t="str">
        <f>'Q100b-totais'!B62</f>
        <v>8.10</v>
      </c>
      <c r="B221" s="252" t="str">
        <f>'Q100b-totais'!C62</f>
        <v>Sistema de transporte coletivo com um todo</v>
      </c>
      <c r="C221" s="167" t="s">
        <v>432</v>
      </c>
      <c r="D221" s="324" t="s">
        <v>2400</v>
      </c>
      <c r="E221" s="254" t="s">
        <v>1767</v>
      </c>
      <c r="F221" s="24" t="s">
        <v>2416</v>
      </c>
      <c r="G221" s="110" t="s">
        <v>2044</v>
      </c>
      <c r="H221" s="168" t="s">
        <v>765</v>
      </c>
      <c r="I221" s="167" t="s">
        <v>432</v>
      </c>
      <c r="J221" s="107" t="s">
        <v>432</v>
      </c>
      <c r="K221" s="107" t="s">
        <v>432</v>
      </c>
      <c r="L221" s="107" t="s">
        <v>432</v>
      </c>
      <c r="M221" s="107" t="s">
        <v>432</v>
      </c>
      <c r="N221" s="107" t="s">
        <v>432</v>
      </c>
      <c r="O221" s="107" t="s">
        <v>432</v>
      </c>
      <c r="P221" s="107" t="s">
        <v>432</v>
      </c>
      <c r="Q221" s="107" t="s">
        <v>432</v>
      </c>
      <c r="R221" s="107" t="s">
        <v>432</v>
      </c>
      <c r="S221" s="109" t="s">
        <v>2209</v>
      </c>
      <c r="T221" s="107" t="s">
        <v>432</v>
      </c>
      <c r="U221" s="107" t="s">
        <v>432</v>
      </c>
      <c r="V221" s="109" t="s">
        <v>2209</v>
      </c>
      <c r="W221" s="107" t="s">
        <v>432</v>
      </c>
      <c r="X221" s="107" t="s">
        <v>432</v>
      </c>
      <c r="Y221" s="107" t="s">
        <v>432</v>
      </c>
      <c r="Z221" s="107" t="s">
        <v>432</v>
      </c>
      <c r="AA221" s="107" t="s">
        <v>432</v>
      </c>
      <c r="AB221" s="107" t="s">
        <v>432</v>
      </c>
      <c r="AC221" s="107" t="s">
        <v>432</v>
      </c>
      <c r="AD221" s="107" t="s">
        <v>432</v>
      </c>
      <c r="AE221" s="107" t="s">
        <v>432</v>
      </c>
      <c r="AF221" s="107" t="s">
        <v>432</v>
      </c>
      <c r="AG221" s="107" t="s">
        <v>432</v>
      </c>
      <c r="AH221" s="107" t="s">
        <v>432</v>
      </c>
      <c r="AI221" s="107" t="s">
        <v>432</v>
      </c>
      <c r="AJ221" s="107" t="s">
        <v>432</v>
      </c>
      <c r="AK221" s="137" t="s">
        <v>432</v>
      </c>
      <c r="AL221" s="600" t="s">
        <v>432</v>
      </c>
      <c r="AM221" s="137" t="s">
        <v>432</v>
      </c>
      <c r="AN221" s="137" t="s">
        <v>432</v>
      </c>
      <c r="AO221" s="137" t="s">
        <v>432</v>
      </c>
      <c r="AP221" s="137" t="s">
        <v>432</v>
      </c>
      <c r="AQ221" s="137" t="s">
        <v>432</v>
      </c>
      <c r="AR221" s="137" t="s">
        <v>432</v>
      </c>
      <c r="AS221" s="137" t="s">
        <v>432</v>
      </c>
      <c r="AT221" s="137" t="s">
        <v>432</v>
      </c>
      <c r="AU221" s="137" t="s">
        <v>432</v>
      </c>
      <c r="AV221" s="137" t="s">
        <v>432</v>
      </c>
      <c r="AW221" s="137" t="s">
        <v>432</v>
      </c>
      <c r="AX221" s="137" t="s">
        <v>432</v>
      </c>
      <c r="AY221" s="137" t="s">
        <v>432</v>
      </c>
      <c r="AZ221" s="137" t="s">
        <v>432</v>
      </c>
      <c r="BA221" s="137" t="s">
        <v>432</v>
      </c>
      <c r="BB221" s="239" t="str">
        <f t="shared" si="43"/>
        <v>Sistema de transporte coletivo com um todox</v>
      </c>
      <c r="BC221" s="239" t="str">
        <f t="shared" si="44"/>
        <v>Sistema de transporte coletivo com um todoxmeta/RPI</v>
      </c>
      <c r="BD221" s="239" t="str">
        <f t="shared" si="45"/>
        <v>Sistema de transporte coletivo com um todometa/RPI</v>
      </c>
    </row>
    <row r="222" spans="1:56" s="521" customFormat="1" ht="294" customHeight="1" x14ac:dyDescent="0.25">
      <c r="A222" s="262" t="str">
        <f>'Q100b-totais'!B62</f>
        <v>8.10</v>
      </c>
      <c r="B222" s="252" t="str">
        <f>'Q100b-totais'!C62</f>
        <v>Sistema de transporte coletivo com um todo</v>
      </c>
      <c r="C222" s="167" t="s">
        <v>432</v>
      </c>
      <c r="D222" s="324" t="s">
        <v>2043</v>
      </c>
      <c r="E222" s="254" t="s">
        <v>1306</v>
      </c>
      <c r="F222" s="24" t="s">
        <v>2568</v>
      </c>
      <c r="G222" s="110" t="s">
        <v>2399</v>
      </c>
      <c r="H222" s="168" t="s">
        <v>765</v>
      </c>
      <c r="I222" s="167" t="s">
        <v>432</v>
      </c>
      <c r="J222" s="107" t="s">
        <v>432</v>
      </c>
      <c r="K222" s="107" t="s">
        <v>432</v>
      </c>
      <c r="L222" s="107" t="s">
        <v>432</v>
      </c>
      <c r="M222" s="107" t="s">
        <v>432</v>
      </c>
      <c r="N222" s="107" t="s">
        <v>432</v>
      </c>
      <c r="O222" s="107" t="s">
        <v>432</v>
      </c>
      <c r="P222" s="107" t="s">
        <v>432</v>
      </c>
      <c r="Q222" s="107" t="s">
        <v>432</v>
      </c>
      <c r="R222" s="107" t="s">
        <v>432</v>
      </c>
      <c r="S222" s="109" t="s">
        <v>2209</v>
      </c>
      <c r="T222" s="107" t="s">
        <v>432</v>
      </c>
      <c r="U222" s="107" t="s">
        <v>432</v>
      </c>
      <c r="V222" s="109" t="s">
        <v>2209</v>
      </c>
      <c r="W222" s="107" t="s">
        <v>432</v>
      </c>
      <c r="X222" s="107" t="s">
        <v>432</v>
      </c>
      <c r="Y222" s="107" t="s">
        <v>432</v>
      </c>
      <c r="Z222" s="107" t="s">
        <v>432</v>
      </c>
      <c r="AA222" s="107" t="s">
        <v>432</v>
      </c>
      <c r="AB222" s="107" t="s">
        <v>432</v>
      </c>
      <c r="AC222" s="107" t="s">
        <v>432</v>
      </c>
      <c r="AD222" s="107" t="s">
        <v>432</v>
      </c>
      <c r="AE222" s="107" t="s">
        <v>432</v>
      </c>
      <c r="AF222" s="107" t="s">
        <v>432</v>
      </c>
      <c r="AG222" s="107" t="s">
        <v>432</v>
      </c>
      <c r="AH222" s="107" t="s">
        <v>432</v>
      </c>
      <c r="AI222" s="107" t="s">
        <v>432</v>
      </c>
      <c r="AJ222" s="107" t="s">
        <v>432</v>
      </c>
      <c r="AK222" s="137" t="s">
        <v>432</v>
      </c>
      <c r="AL222" s="600" t="s">
        <v>432</v>
      </c>
      <c r="AM222" s="137" t="s">
        <v>432</v>
      </c>
      <c r="AN222" s="137" t="s">
        <v>432</v>
      </c>
      <c r="AO222" s="137" t="s">
        <v>432</v>
      </c>
      <c r="AP222" s="137" t="s">
        <v>432</v>
      </c>
      <c r="AQ222" s="137" t="s">
        <v>432</v>
      </c>
      <c r="AR222" s="137" t="s">
        <v>432</v>
      </c>
      <c r="AS222" s="137" t="s">
        <v>432</v>
      </c>
      <c r="AT222" s="137" t="s">
        <v>432</v>
      </c>
      <c r="AU222" s="137" t="s">
        <v>432</v>
      </c>
      <c r="AV222" s="137" t="s">
        <v>432</v>
      </c>
      <c r="AW222" s="137" t="s">
        <v>432</v>
      </c>
      <c r="AX222" s="137" t="s">
        <v>432</v>
      </c>
      <c r="AY222" s="137" t="s">
        <v>432</v>
      </c>
      <c r="AZ222" s="137" t="s">
        <v>432</v>
      </c>
      <c r="BA222" s="137" t="s">
        <v>432</v>
      </c>
      <c r="BB222" s="239" t="str">
        <f t="shared" si="43"/>
        <v>Sistema de transporte coletivo com um todox</v>
      </c>
      <c r="BC222" s="239" t="str">
        <f t="shared" si="44"/>
        <v>Sistema de transporte coletivo com um todoxmeta/RPI</v>
      </c>
      <c r="BD222" s="239" t="str">
        <f t="shared" si="45"/>
        <v>Sistema de transporte coletivo com um todometa/RPI</v>
      </c>
    </row>
    <row r="223" spans="1:56" s="521" customFormat="1" ht="136.5" customHeight="1" x14ac:dyDescent="0.25">
      <c r="A223" s="262" t="str">
        <f>'Q100b-totais'!B62</f>
        <v>8.10</v>
      </c>
      <c r="B223" s="252" t="str">
        <f>'Q100b-totais'!C62</f>
        <v>Sistema de transporte coletivo com um todo</v>
      </c>
      <c r="C223" s="167" t="s">
        <v>432</v>
      </c>
      <c r="D223" s="324" t="s">
        <v>2043</v>
      </c>
      <c r="E223" s="254" t="s">
        <v>1767</v>
      </c>
      <c r="F223" s="24" t="s">
        <v>2417</v>
      </c>
      <c r="G223" s="110" t="s">
        <v>2044</v>
      </c>
      <c r="H223" s="168" t="s">
        <v>765</v>
      </c>
      <c r="I223" s="167" t="s">
        <v>432</v>
      </c>
      <c r="J223" s="107" t="s">
        <v>432</v>
      </c>
      <c r="K223" s="107" t="s">
        <v>432</v>
      </c>
      <c r="L223" s="107" t="s">
        <v>432</v>
      </c>
      <c r="M223" s="107" t="s">
        <v>432</v>
      </c>
      <c r="N223" s="107" t="s">
        <v>432</v>
      </c>
      <c r="O223" s="107" t="s">
        <v>432</v>
      </c>
      <c r="P223" s="107" t="s">
        <v>432</v>
      </c>
      <c r="Q223" s="107" t="s">
        <v>432</v>
      </c>
      <c r="R223" s="107" t="s">
        <v>432</v>
      </c>
      <c r="S223" s="109" t="s">
        <v>2209</v>
      </c>
      <c r="T223" s="107" t="s">
        <v>432</v>
      </c>
      <c r="U223" s="107" t="s">
        <v>432</v>
      </c>
      <c r="V223" s="109" t="s">
        <v>2209</v>
      </c>
      <c r="W223" s="107" t="s">
        <v>432</v>
      </c>
      <c r="X223" s="107" t="s">
        <v>432</v>
      </c>
      <c r="Y223" s="107" t="s">
        <v>432</v>
      </c>
      <c r="Z223" s="107" t="s">
        <v>432</v>
      </c>
      <c r="AA223" s="107" t="s">
        <v>432</v>
      </c>
      <c r="AB223" s="107" t="s">
        <v>432</v>
      </c>
      <c r="AC223" s="107" t="s">
        <v>432</v>
      </c>
      <c r="AD223" s="107" t="s">
        <v>432</v>
      </c>
      <c r="AE223" s="107" t="s">
        <v>432</v>
      </c>
      <c r="AF223" s="107" t="s">
        <v>432</v>
      </c>
      <c r="AG223" s="107" t="s">
        <v>432</v>
      </c>
      <c r="AH223" s="107" t="s">
        <v>432</v>
      </c>
      <c r="AI223" s="107" t="s">
        <v>432</v>
      </c>
      <c r="AJ223" s="107" t="s">
        <v>432</v>
      </c>
      <c r="AK223" s="137" t="s">
        <v>432</v>
      </c>
      <c r="AL223" s="600" t="s">
        <v>432</v>
      </c>
      <c r="AM223" s="137" t="s">
        <v>432</v>
      </c>
      <c r="AN223" s="137" t="s">
        <v>432</v>
      </c>
      <c r="AO223" s="137" t="s">
        <v>432</v>
      </c>
      <c r="AP223" s="137" t="s">
        <v>432</v>
      </c>
      <c r="AQ223" s="137" t="s">
        <v>432</v>
      </c>
      <c r="AR223" s="137" t="s">
        <v>432</v>
      </c>
      <c r="AS223" s="137" t="s">
        <v>432</v>
      </c>
      <c r="AT223" s="137" t="s">
        <v>432</v>
      </c>
      <c r="AU223" s="137" t="s">
        <v>432</v>
      </c>
      <c r="AV223" s="137" t="s">
        <v>432</v>
      </c>
      <c r="AW223" s="137" t="s">
        <v>432</v>
      </c>
      <c r="AX223" s="137" t="s">
        <v>432</v>
      </c>
      <c r="AY223" s="137" t="s">
        <v>432</v>
      </c>
      <c r="AZ223" s="137" t="s">
        <v>432</v>
      </c>
      <c r="BA223" s="137" t="s">
        <v>432</v>
      </c>
      <c r="BB223" s="239" t="str">
        <f t="shared" si="43"/>
        <v>Sistema de transporte coletivo com um todox</v>
      </c>
      <c r="BC223" s="239" t="str">
        <f t="shared" si="44"/>
        <v>Sistema de transporte coletivo com um todoxmeta/RPI</v>
      </c>
      <c r="BD223" s="239" t="str">
        <f t="shared" si="45"/>
        <v>Sistema de transporte coletivo com um todometa/RPI</v>
      </c>
    </row>
    <row r="224" spans="1:56" s="3" customFormat="1" ht="86.25" customHeight="1" x14ac:dyDescent="0.25">
      <c r="A224" s="262" t="str">
        <f>'Q100b-totais'!B62</f>
        <v>8.10</v>
      </c>
      <c r="B224" s="252" t="str">
        <f>'Q100b-totais'!C62</f>
        <v>Sistema de transporte coletivo com um todo</v>
      </c>
      <c r="C224" s="167" t="s">
        <v>432</v>
      </c>
      <c r="D224" s="324" t="s">
        <v>2403</v>
      </c>
      <c r="E224" s="254" t="s">
        <v>1306</v>
      </c>
      <c r="F224" s="24" t="s">
        <v>2427</v>
      </c>
      <c r="G224" s="110" t="s">
        <v>2399</v>
      </c>
      <c r="H224" s="168" t="s">
        <v>765</v>
      </c>
      <c r="I224" s="167" t="s">
        <v>432</v>
      </c>
      <c r="J224" s="107" t="s">
        <v>432</v>
      </c>
      <c r="K224" s="107" t="s">
        <v>432</v>
      </c>
      <c r="L224" s="107" t="s">
        <v>432</v>
      </c>
      <c r="M224" s="107" t="s">
        <v>432</v>
      </c>
      <c r="N224" s="107" t="s">
        <v>432</v>
      </c>
      <c r="O224" s="107" t="s">
        <v>432</v>
      </c>
      <c r="P224" s="107" t="s">
        <v>432</v>
      </c>
      <c r="Q224" s="107" t="s">
        <v>432</v>
      </c>
      <c r="R224" s="107" t="s">
        <v>432</v>
      </c>
      <c r="S224" s="109" t="s">
        <v>2209</v>
      </c>
      <c r="T224" s="107" t="s">
        <v>432</v>
      </c>
      <c r="U224" s="107" t="s">
        <v>432</v>
      </c>
      <c r="V224" s="109" t="s">
        <v>2209</v>
      </c>
      <c r="W224" s="107" t="s">
        <v>432</v>
      </c>
      <c r="X224" s="107" t="s">
        <v>432</v>
      </c>
      <c r="Y224" s="107" t="s">
        <v>432</v>
      </c>
      <c r="Z224" s="107" t="s">
        <v>432</v>
      </c>
      <c r="AA224" s="107" t="s">
        <v>432</v>
      </c>
      <c r="AB224" s="107" t="s">
        <v>432</v>
      </c>
      <c r="AC224" s="107" t="s">
        <v>432</v>
      </c>
      <c r="AD224" s="107" t="s">
        <v>432</v>
      </c>
      <c r="AE224" s="107" t="s">
        <v>432</v>
      </c>
      <c r="AF224" s="107" t="s">
        <v>432</v>
      </c>
      <c r="AG224" s="107" t="s">
        <v>432</v>
      </c>
      <c r="AH224" s="107" t="s">
        <v>432</v>
      </c>
      <c r="AI224" s="107" t="s">
        <v>432</v>
      </c>
      <c r="AJ224" s="107" t="s">
        <v>432</v>
      </c>
      <c r="AK224" s="137" t="s">
        <v>432</v>
      </c>
      <c r="AL224" s="600" t="s">
        <v>432</v>
      </c>
      <c r="AM224" s="137" t="s">
        <v>432</v>
      </c>
      <c r="AN224" s="137" t="s">
        <v>432</v>
      </c>
      <c r="AO224" s="137" t="s">
        <v>432</v>
      </c>
      <c r="AP224" s="137" t="s">
        <v>432</v>
      </c>
      <c r="AQ224" s="137" t="s">
        <v>432</v>
      </c>
      <c r="AR224" s="137" t="s">
        <v>432</v>
      </c>
      <c r="AS224" s="137" t="s">
        <v>432</v>
      </c>
      <c r="AT224" s="137" t="s">
        <v>432</v>
      </c>
      <c r="AU224" s="137" t="s">
        <v>432</v>
      </c>
      <c r="AV224" s="137" t="s">
        <v>432</v>
      </c>
      <c r="AW224" s="137" t="s">
        <v>432</v>
      </c>
      <c r="AX224" s="137" t="s">
        <v>432</v>
      </c>
      <c r="AY224" s="137" t="s">
        <v>432</v>
      </c>
      <c r="AZ224" s="137" t="s">
        <v>432</v>
      </c>
      <c r="BA224" s="137" t="s">
        <v>432</v>
      </c>
      <c r="BB224" s="239" t="str">
        <f t="shared" si="43"/>
        <v>Sistema de transporte coletivo com um todox</v>
      </c>
      <c r="BC224" s="239" t="str">
        <f t="shared" si="44"/>
        <v>Sistema de transporte coletivo com um todoxmeta/RPI</v>
      </c>
      <c r="BD224" s="239" t="str">
        <f t="shared" si="45"/>
        <v>Sistema de transporte coletivo com um todometa/RPI</v>
      </c>
    </row>
    <row r="225" spans="1:56" s="3" customFormat="1" ht="51" x14ac:dyDescent="0.25">
      <c r="A225" s="262" t="str">
        <f>'Q100b-totais'!B62</f>
        <v>8.10</v>
      </c>
      <c r="B225" s="252" t="str">
        <f>'Q100b-totais'!C62</f>
        <v>Sistema de transporte coletivo com um todo</v>
      </c>
      <c r="C225" s="167" t="s">
        <v>432</v>
      </c>
      <c r="D225" s="324" t="s">
        <v>2403</v>
      </c>
      <c r="E225" s="254" t="s">
        <v>1767</v>
      </c>
      <c r="F225" s="24" t="s">
        <v>2418</v>
      </c>
      <c r="G225" s="110" t="s">
        <v>2044</v>
      </c>
      <c r="H225" s="168" t="s">
        <v>765</v>
      </c>
      <c r="I225" s="167" t="s">
        <v>432</v>
      </c>
      <c r="J225" s="107" t="s">
        <v>432</v>
      </c>
      <c r="K225" s="107" t="s">
        <v>432</v>
      </c>
      <c r="L225" s="107" t="s">
        <v>432</v>
      </c>
      <c r="M225" s="107" t="s">
        <v>432</v>
      </c>
      <c r="N225" s="107" t="s">
        <v>432</v>
      </c>
      <c r="O225" s="107" t="s">
        <v>432</v>
      </c>
      <c r="P225" s="107" t="s">
        <v>432</v>
      </c>
      <c r="Q225" s="107" t="s">
        <v>432</v>
      </c>
      <c r="R225" s="107" t="s">
        <v>432</v>
      </c>
      <c r="S225" s="109" t="s">
        <v>2209</v>
      </c>
      <c r="T225" s="107" t="s">
        <v>432</v>
      </c>
      <c r="U225" s="107" t="s">
        <v>432</v>
      </c>
      <c r="V225" s="109" t="s">
        <v>2209</v>
      </c>
      <c r="W225" s="107" t="s">
        <v>432</v>
      </c>
      <c r="X225" s="107" t="s">
        <v>432</v>
      </c>
      <c r="Y225" s="107" t="s">
        <v>432</v>
      </c>
      <c r="Z225" s="107" t="s">
        <v>432</v>
      </c>
      <c r="AA225" s="107" t="s">
        <v>432</v>
      </c>
      <c r="AB225" s="107" t="s">
        <v>432</v>
      </c>
      <c r="AC225" s="107" t="s">
        <v>432</v>
      </c>
      <c r="AD225" s="107" t="s">
        <v>432</v>
      </c>
      <c r="AE225" s="107" t="s">
        <v>432</v>
      </c>
      <c r="AF225" s="107" t="s">
        <v>432</v>
      </c>
      <c r="AG225" s="107" t="s">
        <v>432</v>
      </c>
      <c r="AH225" s="107" t="s">
        <v>432</v>
      </c>
      <c r="AI225" s="107" t="s">
        <v>432</v>
      </c>
      <c r="AJ225" s="107" t="s">
        <v>432</v>
      </c>
      <c r="AK225" s="137" t="s">
        <v>432</v>
      </c>
      <c r="AL225" s="600" t="s">
        <v>432</v>
      </c>
      <c r="AM225" s="137" t="s">
        <v>432</v>
      </c>
      <c r="AN225" s="137" t="s">
        <v>432</v>
      </c>
      <c r="AO225" s="137" t="s">
        <v>432</v>
      </c>
      <c r="AP225" s="137" t="s">
        <v>432</v>
      </c>
      <c r="AQ225" s="137" t="s">
        <v>432</v>
      </c>
      <c r="AR225" s="137" t="s">
        <v>432</v>
      </c>
      <c r="AS225" s="137" t="s">
        <v>432</v>
      </c>
      <c r="AT225" s="137" t="s">
        <v>432</v>
      </c>
      <c r="AU225" s="137" t="s">
        <v>432</v>
      </c>
      <c r="AV225" s="137" t="s">
        <v>432</v>
      </c>
      <c r="AW225" s="137" t="s">
        <v>432</v>
      </c>
      <c r="AX225" s="137" t="s">
        <v>432</v>
      </c>
      <c r="AY225" s="137" t="s">
        <v>432</v>
      </c>
      <c r="AZ225" s="137" t="s">
        <v>432</v>
      </c>
      <c r="BA225" s="137" t="s">
        <v>432</v>
      </c>
      <c r="BB225" s="239" t="str">
        <f t="shared" si="43"/>
        <v>Sistema de transporte coletivo com um todox</v>
      </c>
      <c r="BC225" s="239" t="str">
        <f t="shared" si="44"/>
        <v>Sistema de transporte coletivo com um todoxmeta/RPI</v>
      </c>
      <c r="BD225" s="239" t="str">
        <f t="shared" si="45"/>
        <v>Sistema de transporte coletivo com um todometa/RPI</v>
      </c>
    </row>
    <row r="226" spans="1:56" s="521" customFormat="1" ht="314.25" customHeight="1" x14ac:dyDescent="0.25">
      <c r="A226" s="262" t="str">
        <f>'Q100b-totais'!B62</f>
        <v>8.10</v>
      </c>
      <c r="B226" s="252" t="str">
        <f>'Q100b-totais'!C62</f>
        <v>Sistema de transporte coletivo com um todo</v>
      </c>
      <c r="C226" s="167" t="s">
        <v>432</v>
      </c>
      <c r="D226" s="324" t="s">
        <v>2398</v>
      </c>
      <c r="E226" s="254" t="s">
        <v>1306</v>
      </c>
      <c r="F226" s="24" t="s">
        <v>2566</v>
      </c>
      <c r="G226" s="110" t="s">
        <v>2399</v>
      </c>
      <c r="H226" s="168" t="s">
        <v>765</v>
      </c>
      <c r="I226" s="167" t="s">
        <v>432</v>
      </c>
      <c r="J226" s="107" t="s">
        <v>432</v>
      </c>
      <c r="K226" s="107" t="s">
        <v>432</v>
      </c>
      <c r="L226" s="107" t="s">
        <v>432</v>
      </c>
      <c r="M226" s="107" t="s">
        <v>432</v>
      </c>
      <c r="N226" s="107" t="s">
        <v>432</v>
      </c>
      <c r="O226" s="107" t="s">
        <v>432</v>
      </c>
      <c r="P226" s="107" t="s">
        <v>432</v>
      </c>
      <c r="Q226" s="107" t="s">
        <v>432</v>
      </c>
      <c r="R226" s="107" t="s">
        <v>432</v>
      </c>
      <c r="S226" s="109" t="s">
        <v>2209</v>
      </c>
      <c r="T226" s="107" t="s">
        <v>432</v>
      </c>
      <c r="U226" s="107" t="s">
        <v>432</v>
      </c>
      <c r="V226" s="109" t="s">
        <v>2209</v>
      </c>
      <c r="W226" s="107" t="s">
        <v>432</v>
      </c>
      <c r="X226" s="107" t="s">
        <v>432</v>
      </c>
      <c r="Y226" s="107" t="s">
        <v>432</v>
      </c>
      <c r="Z226" s="107" t="s">
        <v>432</v>
      </c>
      <c r="AA226" s="107" t="s">
        <v>432</v>
      </c>
      <c r="AB226" s="107" t="s">
        <v>432</v>
      </c>
      <c r="AC226" s="107" t="s">
        <v>432</v>
      </c>
      <c r="AD226" s="107" t="s">
        <v>432</v>
      </c>
      <c r="AE226" s="107" t="s">
        <v>432</v>
      </c>
      <c r="AF226" s="107" t="s">
        <v>432</v>
      </c>
      <c r="AG226" s="107" t="s">
        <v>432</v>
      </c>
      <c r="AH226" s="107" t="s">
        <v>432</v>
      </c>
      <c r="AI226" s="107" t="s">
        <v>432</v>
      </c>
      <c r="AJ226" s="107" t="s">
        <v>432</v>
      </c>
      <c r="AK226" s="137" t="s">
        <v>432</v>
      </c>
      <c r="AL226" s="600" t="s">
        <v>432</v>
      </c>
      <c r="AM226" s="137" t="s">
        <v>432</v>
      </c>
      <c r="AN226" s="137" t="s">
        <v>432</v>
      </c>
      <c r="AO226" s="137" t="s">
        <v>432</v>
      </c>
      <c r="AP226" s="137" t="s">
        <v>432</v>
      </c>
      <c r="AQ226" s="137" t="s">
        <v>432</v>
      </c>
      <c r="AR226" s="137" t="s">
        <v>432</v>
      </c>
      <c r="AS226" s="137" t="s">
        <v>432</v>
      </c>
      <c r="AT226" s="137" t="s">
        <v>432</v>
      </c>
      <c r="AU226" s="137" t="s">
        <v>432</v>
      </c>
      <c r="AV226" s="137" t="s">
        <v>432</v>
      </c>
      <c r="AW226" s="137" t="s">
        <v>432</v>
      </c>
      <c r="AX226" s="137" t="s">
        <v>432</v>
      </c>
      <c r="AY226" s="137" t="s">
        <v>432</v>
      </c>
      <c r="AZ226" s="137" t="s">
        <v>432</v>
      </c>
      <c r="BA226" s="137" t="s">
        <v>432</v>
      </c>
      <c r="BB226" s="239" t="str">
        <f t="shared" si="43"/>
        <v>Sistema de transporte coletivo com um todox</v>
      </c>
      <c r="BC226" s="239" t="str">
        <f t="shared" si="44"/>
        <v>Sistema de transporte coletivo com um todoxmeta/RPI</v>
      </c>
      <c r="BD226" s="239" t="str">
        <f t="shared" si="45"/>
        <v>Sistema de transporte coletivo com um todometa/RPI</v>
      </c>
    </row>
    <row r="227" spans="1:56" s="521" customFormat="1" ht="92.25" customHeight="1" x14ac:dyDescent="0.25">
      <c r="A227" s="262" t="str">
        <f>'Q100b-totais'!B62</f>
        <v>8.10</v>
      </c>
      <c r="B227" s="252" t="str">
        <f>'Q100b-totais'!C62</f>
        <v>Sistema de transporte coletivo com um todo</v>
      </c>
      <c r="C227" s="167" t="s">
        <v>432</v>
      </c>
      <c r="D227" s="324" t="s">
        <v>2398</v>
      </c>
      <c r="E227" s="254" t="s">
        <v>1767</v>
      </c>
      <c r="F227" s="24" t="s">
        <v>2419</v>
      </c>
      <c r="G227" s="110" t="s">
        <v>2044</v>
      </c>
      <c r="H227" s="168" t="s">
        <v>765</v>
      </c>
      <c r="I227" s="167" t="s">
        <v>432</v>
      </c>
      <c r="J227" s="107" t="s">
        <v>432</v>
      </c>
      <c r="K227" s="107" t="s">
        <v>432</v>
      </c>
      <c r="L227" s="107" t="s">
        <v>432</v>
      </c>
      <c r="M227" s="107" t="s">
        <v>432</v>
      </c>
      <c r="N227" s="107" t="s">
        <v>432</v>
      </c>
      <c r="O227" s="107" t="s">
        <v>432</v>
      </c>
      <c r="P227" s="107" t="s">
        <v>432</v>
      </c>
      <c r="Q227" s="107" t="s">
        <v>432</v>
      </c>
      <c r="R227" s="107" t="s">
        <v>432</v>
      </c>
      <c r="S227" s="109" t="s">
        <v>2209</v>
      </c>
      <c r="T227" s="107" t="s">
        <v>432</v>
      </c>
      <c r="U227" s="107" t="s">
        <v>432</v>
      </c>
      <c r="V227" s="109" t="s">
        <v>2209</v>
      </c>
      <c r="W227" s="107" t="s">
        <v>432</v>
      </c>
      <c r="X227" s="107" t="s">
        <v>432</v>
      </c>
      <c r="Y227" s="107" t="s">
        <v>432</v>
      </c>
      <c r="Z227" s="107" t="s">
        <v>432</v>
      </c>
      <c r="AA227" s="107" t="s">
        <v>432</v>
      </c>
      <c r="AB227" s="107" t="s">
        <v>432</v>
      </c>
      <c r="AC227" s="107" t="s">
        <v>432</v>
      </c>
      <c r="AD227" s="107" t="s">
        <v>432</v>
      </c>
      <c r="AE227" s="107" t="s">
        <v>432</v>
      </c>
      <c r="AF227" s="107" t="s">
        <v>432</v>
      </c>
      <c r="AG227" s="107" t="s">
        <v>432</v>
      </c>
      <c r="AH227" s="107" t="s">
        <v>432</v>
      </c>
      <c r="AI227" s="107" t="s">
        <v>432</v>
      </c>
      <c r="AJ227" s="107" t="s">
        <v>432</v>
      </c>
      <c r="AK227" s="137" t="s">
        <v>432</v>
      </c>
      <c r="AL227" s="600" t="s">
        <v>432</v>
      </c>
      <c r="AM227" s="137" t="s">
        <v>432</v>
      </c>
      <c r="AN227" s="137" t="s">
        <v>432</v>
      </c>
      <c r="AO227" s="137" t="s">
        <v>432</v>
      </c>
      <c r="AP227" s="137" t="s">
        <v>432</v>
      </c>
      <c r="AQ227" s="137" t="s">
        <v>432</v>
      </c>
      <c r="AR227" s="137" t="s">
        <v>432</v>
      </c>
      <c r="AS227" s="137" t="s">
        <v>432</v>
      </c>
      <c r="AT227" s="137" t="s">
        <v>432</v>
      </c>
      <c r="AU227" s="137" t="s">
        <v>432</v>
      </c>
      <c r="AV227" s="137" t="s">
        <v>432</v>
      </c>
      <c r="AW227" s="137" t="s">
        <v>432</v>
      </c>
      <c r="AX227" s="137" t="s">
        <v>432</v>
      </c>
      <c r="AY227" s="137" t="s">
        <v>432</v>
      </c>
      <c r="AZ227" s="137" t="s">
        <v>432</v>
      </c>
      <c r="BA227" s="137" t="s">
        <v>432</v>
      </c>
      <c r="BB227" s="239" t="str">
        <f t="shared" si="43"/>
        <v>Sistema de transporte coletivo com um todox</v>
      </c>
      <c r="BC227" s="239" t="str">
        <f t="shared" si="44"/>
        <v>Sistema de transporte coletivo com um todoxmeta/RPI</v>
      </c>
      <c r="BD227" s="239" t="str">
        <f t="shared" si="45"/>
        <v>Sistema de transporte coletivo com um todometa/RPI</v>
      </c>
    </row>
    <row r="228" spans="1:56" s="3" customFormat="1" ht="204.75" customHeight="1" x14ac:dyDescent="0.25">
      <c r="A228" s="262" t="str">
        <f>'Q100b-totais'!B62</f>
        <v>8.10</v>
      </c>
      <c r="B228" s="252" t="str">
        <f>'Q100b-totais'!C62</f>
        <v>Sistema de transporte coletivo com um todo</v>
      </c>
      <c r="C228" s="167" t="s">
        <v>432</v>
      </c>
      <c r="D228" s="324" t="s">
        <v>2402</v>
      </c>
      <c r="E228" s="254" t="s">
        <v>1306</v>
      </c>
      <c r="F228" s="24" t="s">
        <v>2428</v>
      </c>
      <c r="G228" s="110" t="s">
        <v>2399</v>
      </c>
      <c r="H228" s="168" t="s">
        <v>765</v>
      </c>
      <c r="I228" s="167" t="s">
        <v>432</v>
      </c>
      <c r="J228" s="107" t="s">
        <v>432</v>
      </c>
      <c r="K228" s="107" t="s">
        <v>432</v>
      </c>
      <c r="L228" s="107" t="s">
        <v>432</v>
      </c>
      <c r="M228" s="107" t="s">
        <v>432</v>
      </c>
      <c r="N228" s="107" t="s">
        <v>432</v>
      </c>
      <c r="O228" s="107" t="s">
        <v>432</v>
      </c>
      <c r="P228" s="107" t="s">
        <v>432</v>
      </c>
      <c r="Q228" s="107" t="s">
        <v>432</v>
      </c>
      <c r="R228" s="107" t="s">
        <v>432</v>
      </c>
      <c r="S228" s="109" t="s">
        <v>2209</v>
      </c>
      <c r="T228" s="107" t="s">
        <v>432</v>
      </c>
      <c r="U228" s="107" t="s">
        <v>432</v>
      </c>
      <c r="V228" s="109" t="s">
        <v>2209</v>
      </c>
      <c r="W228" s="107" t="s">
        <v>432</v>
      </c>
      <c r="X228" s="107" t="s">
        <v>432</v>
      </c>
      <c r="Y228" s="107" t="s">
        <v>432</v>
      </c>
      <c r="Z228" s="107" t="s">
        <v>432</v>
      </c>
      <c r="AA228" s="107" t="s">
        <v>432</v>
      </c>
      <c r="AB228" s="107" t="s">
        <v>432</v>
      </c>
      <c r="AC228" s="107" t="s">
        <v>432</v>
      </c>
      <c r="AD228" s="107" t="s">
        <v>432</v>
      </c>
      <c r="AE228" s="107" t="s">
        <v>432</v>
      </c>
      <c r="AF228" s="107" t="s">
        <v>432</v>
      </c>
      <c r="AG228" s="107" t="s">
        <v>432</v>
      </c>
      <c r="AH228" s="107" t="s">
        <v>432</v>
      </c>
      <c r="AI228" s="107" t="s">
        <v>432</v>
      </c>
      <c r="AJ228" s="107" t="s">
        <v>432</v>
      </c>
      <c r="AK228" s="137" t="s">
        <v>432</v>
      </c>
      <c r="AL228" s="600" t="s">
        <v>432</v>
      </c>
      <c r="AM228" s="137" t="s">
        <v>432</v>
      </c>
      <c r="AN228" s="137" t="s">
        <v>432</v>
      </c>
      <c r="AO228" s="137" t="s">
        <v>432</v>
      </c>
      <c r="AP228" s="137" t="s">
        <v>432</v>
      </c>
      <c r="AQ228" s="137" t="s">
        <v>432</v>
      </c>
      <c r="AR228" s="137" t="s">
        <v>432</v>
      </c>
      <c r="AS228" s="137" t="s">
        <v>432</v>
      </c>
      <c r="AT228" s="137" t="s">
        <v>432</v>
      </c>
      <c r="AU228" s="137" t="s">
        <v>432</v>
      </c>
      <c r="AV228" s="137" t="s">
        <v>432</v>
      </c>
      <c r="AW228" s="137" t="s">
        <v>432</v>
      </c>
      <c r="AX228" s="137" t="s">
        <v>432</v>
      </c>
      <c r="AY228" s="137" t="s">
        <v>432</v>
      </c>
      <c r="AZ228" s="137" t="s">
        <v>432</v>
      </c>
      <c r="BA228" s="137" t="s">
        <v>432</v>
      </c>
      <c r="BB228" s="239" t="str">
        <f t="shared" si="43"/>
        <v>Sistema de transporte coletivo com um todox</v>
      </c>
      <c r="BC228" s="239" t="str">
        <f t="shared" si="44"/>
        <v>Sistema de transporte coletivo com um todoxmeta/RPI</v>
      </c>
      <c r="BD228" s="239" t="str">
        <f t="shared" si="45"/>
        <v>Sistema de transporte coletivo com um todometa/RPI</v>
      </c>
    </row>
    <row r="229" spans="1:56" s="3" customFormat="1" ht="81" customHeight="1" x14ac:dyDescent="0.25">
      <c r="A229" s="262" t="str">
        <f>'Q100b-totais'!B62</f>
        <v>8.10</v>
      </c>
      <c r="B229" s="252" t="str">
        <f>'Q100b-totais'!C62</f>
        <v>Sistema de transporte coletivo com um todo</v>
      </c>
      <c r="C229" s="167" t="s">
        <v>432</v>
      </c>
      <c r="D229" s="324" t="s">
        <v>2402</v>
      </c>
      <c r="E229" s="254" t="s">
        <v>1767</v>
      </c>
      <c r="F229" s="24" t="s">
        <v>2420</v>
      </c>
      <c r="G229" s="110" t="s">
        <v>2044</v>
      </c>
      <c r="H229" s="168" t="s">
        <v>765</v>
      </c>
      <c r="I229" s="167" t="s">
        <v>432</v>
      </c>
      <c r="J229" s="107" t="s">
        <v>432</v>
      </c>
      <c r="K229" s="107" t="s">
        <v>432</v>
      </c>
      <c r="L229" s="107" t="s">
        <v>432</v>
      </c>
      <c r="M229" s="107" t="s">
        <v>432</v>
      </c>
      <c r="N229" s="107" t="s">
        <v>432</v>
      </c>
      <c r="O229" s="107" t="s">
        <v>432</v>
      </c>
      <c r="P229" s="107" t="s">
        <v>432</v>
      </c>
      <c r="Q229" s="107" t="s">
        <v>432</v>
      </c>
      <c r="R229" s="107" t="s">
        <v>432</v>
      </c>
      <c r="S229" s="109" t="s">
        <v>2209</v>
      </c>
      <c r="T229" s="107" t="s">
        <v>432</v>
      </c>
      <c r="U229" s="107" t="s">
        <v>432</v>
      </c>
      <c r="V229" s="109" t="s">
        <v>2209</v>
      </c>
      <c r="W229" s="107" t="s">
        <v>432</v>
      </c>
      <c r="X229" s="107" t="s">
        <v>432</v>
      </c>
      <c r="Y229" s="107" t="s">
        <v>432</v>
      </c>
      <c r="Z229" s="107" t="s">
        <v>432</v>
      </c>
      <c r="AA229" s="107" t="s">
        <v>432</v>
      </c>
      <c r="AB229" s="107" t="s">
        <v>432</v>
      </c>
      <c r="AC229" s="107" t="s">
        <v>432</v>
      </c>
      <c r="AD229" s="107" t="s">
        <v>432</v>
      </c>
      <c r="AE229" s="107" t="s">
        <v>432</v>
      </c>
      <c r="AF229" s="107" t="s">
        <v>432</v>
      </c>
      <c r="AG229" s="107" t="s">
        <v>432</v>
      </c>
      <c r="AH229" s="107" t="s">
        <v>432</v>
      </c>
      <c r="AI229" s="107" t="s">
        <v>432</v>
      </c>
      <c r="AJ229" s="107" t="s">
        <v>432</v>
      </c>
      <c r="AK229" s="137" t="s">
        <v>432</v>
      </c>
      <c r="AL229" s="600" t="s">
        <v>432</v>
      </c>
      <c r="AM229" s="137" t="s">
        <v>432</v>
      </c>
      <c r="AN229" s="137" t="s">
        <v>432</v>
      </c>
      <c r="AO229" s="137" t="s">
        <v>432</v>
      </c>
      <c r="AP229" s="137" t="s">
        <v>432</v>
      </c>
      <c r="AQ229" s="137" t="s">
        <v>432</v>
      </c>
      <c r="AR229" s="137" t="s">
        <v>432</v>
      </c>
      <c r="AS229" s="137" t="s">
        <v>432</v>
      </c>
      <c r="AT229" s="137" t="s">
        <v>432</v>
      </c>
      <c r="AU229" s="137" t="s">
        <v>432</v>
      </c>
      <c r="AV229" s="137" t="s">
        <v>432</v>
      </c>
      <c r="AW229" s="137" t="s">
        <v>432</v>
      </c>
      <c r="AX229" s="137" t="s">
        <v>432</v>
      </c>
      <c r="AY229" s="137" t="s">
        <v>432</v>
      </c>
      <c r="AZ229" s="137" t="s">
        <v>432</v>
      </c>
      <c r="BA229" s="137" t="s">
        <v>432</v>
      </c>
      <c r="BB229" s="239" t="str">
        <f t="shared" si="43"/>
        <v>Sistema de transporte coletivo com um todox</v>
      </c>
      <c r="BC229" s="239" t="str">
        <f t="shared" si="44"/>
        <v>Sistema de transporte coletivo com um todoxmeta/RPI</v>
      </c>
      <c r="BD229" s="239" t="str">
        <f t="shared" si="45"/>
        <v>Sistema de transporte coletivo com um todometa/RPI</v>
      </c>
    </row>
    <row r="230" spans="1:56" s="3" customFormat="1" ht="15.75" customHeight="1" x14ac:dyDescent="0.25">
      <c r="A230" s="402"/>
      <c r="B230" s="399"/>
      <c r="C230" s="399"/>
      <c r="D230" s="970"/>
      <c r="E230" s="1495"/>
      <c r="F230" s="522"/>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3"/>
      <c r="BB230" s="400"/>
      <c r="BC230" s="400"/>
      <c r="BD230" s="400"/>
    </row>
    <row r="231" spans="1:56" s="3" customFormat="1" ht="25.5" customHeight="1" x14ac:dyDescent="0.25">
      <c r="A231" s="262" t="s">
        <v>432</v>
      </c>
      <c r="B231" s="252" t="s">
        <v>742</v>
      </c>
      <c r="C231" s="167" t="s">
        <v>432</v>
      </c>
      <c r="D231" s="968" t="s">
        <v>104</v>
      </c>
      <c r="E231" s="1496" t="s">
        <v>432</v>
      </c>
      <c r="F231" s="54" t="s">
        <v>992</v>
      </c>
      <c r="G231" s="167" t="s">
        <v>3879</v>
      </c>
      <c r="H231" s="169" t="s">
        <v>432</v>
      </c>
      <c r="I231" s="167" t="s">
        <v>432</v>
      </c>
      <c r="J231" s="107" t="s">
        <v>432</v>
      </c>
      <c r="K231" s="107" t="s">
        <v>432</v>
      </c>
      <c r="L231" s="107" t="s">
        <v>432</v>
      </c>
      <c r="M231" s="107" t="s">
        <v>432</v>
      </c>
      <c r="N231" s="107" t="s">
        <v>432</v>
      </c>
      <c r="O231" s="107" t="s">
        <v>432</v>
      </c>
      <c r="P231" s="107" t="s">
        <v>432</v>
      </c>
      <c r="Q231" s="107" t="s">
        <v>432</v>
      </c>
      <c r="R231" s="107" t="s">
        <v>432</v>
      </c>
      <c r="S231" s="109" t="s">
        <v>2209</v>
      </c>
      <c r="T231" s="107" t="s">
        <v>432</v>
      </c>
      <c r="U231" s="107" t="s">
        <v>432</v>
      </c>
      <c r="V231" s="109" t="s">
        <v>2209</v>
      </c>
      <c r="W231" s="107" t="s">
        <v>432</v>
      </c>
      <c r="X231" s="107" t="s">
        <v>432</v>
      </c>
      <c r="Y231" s="107" t="s">
        <v>432</v>
      </c>
      <c r="Z231" s="107" t="s">
        <v>432</v>
      </c>
      <c r="AA231" s="107" t="s">
        <v>432</v>
      </c>
      <c r="AB231" s="107" t="s">
        <v>432</v>
      </c>
      <c r="AC231" s="107" t="s">
        <v>432</v>
      </c>
      <c r="AD231" s="107" t="s">
        <v>432</v>
      </c>
      <c r="AE231" s="107" t="s">
        <v>432</v>
      </c>
      <c r="AF231" s="107" t="s">
        <v>432</v>
      </c>
      <c r="AG231" s="107" t="s">
        <v>432</v>
      </c>
      <c r="AH231" s="107" t="s">
        <v>432</v>
      </c>
      <c r="AI231" s="107" t="s">
        <v>432</v>
      </c>
      <c r="AJ231" s="107" t="s">
        <v>432</v>
      </c>
      <c r="AK231" s="137" t="s">
        <v>432</v>
      </c>
      <c r="AL231" s="600" t="s">
        <v>432</v>
      </c>
      <c r="AM231" s="137" t="s">
        <v>432</v>
      </c>
      <c r="AN231" s="137" t="s">
        <v>432</v>
      </c>
      <c r="AO231" s="137" t="s">
        <v>432</v>
      </c>
      <c r="AP231" s="137" t="s">
        <v>432</v>
      </c>
      <c r="AQ231" s="137" t="s">
        <v>432</v>
      </c>
      <c r="AR231" s="137" t="s">
        <v>432</v>
      </c>
      <c r="AS231" s="137" t="s">
        <v>432</v>
      </c>
      <c r="AT231" s="137" t="s">
        <v>432</v>
      </c>
      <c r="AU231" s="137" t="s">
        <v>432</v>
      </c>
      <c r="AV231" s="137" t="s">
        <v>432</v>
      </c>
      <c r="AW231" s="137" t="s">
        <v>432</v>
      </c>
      <c r="AX231" s="137" t="s">
        <v>432</v>
      </c>
      <c r="AY231" s="137" t="s">
        <v>432</v>
      </c>
      <c r="AZ231" s="137" t="s">
        <v>432</v>
      </c>
      <c r="BA231" s="137" t="s">
        <v>432</v>
      </c>
      <c r="BB231" s="239" t="str">
        <f>B231&amp;C231</f>
        <v>geralx</v>
      </c>
      <c r="BC231" s="239" t="str">
        <f>B231&amp;C231&amp;H231</f>
        <v>geralxx</v>
      </c>
      <c r="BD231" s="239" t="str">
        <f>B231&amp;H231</f>
        <v>geralx</v>
      </c>
    </row>
    <row r="232" spans="1:56" s="3" customFormat="1" ht="25.5" customHeight="1" x14ac:dyDescent="0.25">
      <c r="A232" s="262" t="s">
        <v>432</v>
      </c>
      <c r="B232" s="252" t="s">
        <v>742</v>
      </c>
      <c r="C232" s="167" t="s">
        <v>432</v>
      </c>
      <c r="D232" s="324" t="s">
        <v>4699</v>
      </c>
      <c r="E232" s="1496" t="s">
        <v>432</v>
      </c>
      <c r="F232" s="1205" t="s">
        <v>4700</v>
      </c>
      <c r="G232" s="167" t="s">
        <v>3719</v>
      </c>
      <c r="H232" s="522" t="s">
        <v>2408</v>
      </c>
      <c r="I232" s="167" t="s">
        <v>432</v>
      </c>
      <c r="J232" s="107" t="s">
        <v>432</v>
      </c>
      <c r="K232" s="107" t="s">
        <v>432</v>
      </c>
      <c r="L232" s="107" t="s">
        <v>432</v>
      </c>
      <c r="M232" s="107" t="s">
        <v>432</v>
      </c>
      <c r="N232" s="107" t="s">
        <v>432</v>
      </c>
      <c r="O232" s="107" t="s">
        <v>432</v>
      </c>
      <c r="P232" s="107" t="s">
        <v>432</v>
      </c>
      <c r="Q232" s="107" t="s">
        <v>432</v>
      </c>
      <c r="R232" s="107" t="s">
        <v>432</v>
      </c>
      <c r="S232" s="109" t="s">
        <v>2209</v>
      </c>
      <c r="T232" s="107" t="s">
        <v>432</v>
      </c>
      <c r="U232" s="107" t="s">
        <v>432</v>
      </c>
      <c r="V232" s="109" t="s">
        <v>2209</v>
      </c>
      <c r="W232" s="107" t="s">
        <v>432</v>
      </c>
      <c r="X232" s="107" t="s">
        <v>432</v>
      </c>
      <c r="Y232" s="107" t="s">
        <v>432</v>
      </c>
      <c r="Z232" s="107" t="s">
        <v>432</v>
      </c>
      <c r="AA232" s="107" t="s">
        <v>432</v>
      </c>
      <c r="AB232" s="107" t="s">
        <v>432</v>
      </c>
      <c r="AC232" s="107" t="s">
        <v>432</v>
      </c>
      <c r="AD232" s="107" t="s">
        <v>432</v>
      </c>
      <c r="AE232" s="107" t="s">
        <v>432</v>
      </c>
      <c r="AF232" s="107" t="s">
        <v>432</v>
      </c>
      <c r="AG232" s="107" t="s">
        <v>432</v>
      </c>
      <c r="AH232" s="107" t="s">
        <v>432</v>
      </c>
      <c r="AI232" s="107" t="s">
        <v>432</v>
      </c>
      <c r="AJ232" s="107" t="s">
        <v>432</v>
      </c>
      <c r="AK232" s="137" t="s">
        <v>432</v>
      </c>
      <c r="AL232" s="600" t="s">
        <v>432</v>
      </c>
      <c r="AM232" s="137" t="s">
        <v>432</v>
      </c>
      <c r="AN232" s="137" t="s">
        <v>432</v>
      </c>
      <c r="AO232" s="137" t="s">
        <v>432</v>
      </c>
      <c r="AP232" s="137" t="s">
        <v>432</v>
      </c>
      <c r="AQ232" s="137" t="s">
        <v>432</v>
      </c>
      <c r="AR232" s="137" t="s">
        <v>432</v>
      </c>
      <c r="AS232" s="137" t="s">
        <v>432</v>
      </c>
      <c r="AT232" s="137" t="s">
        <v>432</v>
      </c>
      <c r="AU232" s="137" t="s">
        <v>432</v>
      </c>
      <c r="AV232" s="137" t="s">
        <v>432</v>
      </c>
      <c r="AW232" s="137" t="s">
        <v>432</v>
      </c>
      <c r="AX232" s="137" t="s">
        <v>432</v>
      </c>
      <c r="AY232" s="137" t="s">
        <v>432</v>
      </c>
      <c r="AZ232" s="137" t="s">
        <v>432</v>
      </c>
      <c r="BA232" s="137" t="s">
        <v>432</v>
      </c>
      <c r="BB232" s="239" t="str">
        <f>B232&amp;C232</f>
        <v>geralx</v>
      </c>
      <c r="BC232" s="239" t="str">
        <f>B232&amp;C232&amp;H232</f>
        <v>geralxsigla/verbete</v>
      </c>
      <c r="BD232" s="239" t="str">
        <f>B232&amp;H232</f>
        <v>geralsigla/verbete</v>
      </c>
    </row>
    <row r="233" spans="1:56" s="3" customFormat="1" ht="15.75" customHeight="1" x14ac:dyDescent="0.25">
      <c r="A233" s="402"/>
      <c r="B233" s="399"/>
      <c r="C233" s="399"/>
      <c r="D233" s="970"/>
      <c r="E233" s="1495"/>
      <c r="F233" s="221"/>
      <c r="G233" s="221"/>
      <c r="H233" s="221"/>
      <c r="I233" s="399"/>
      <c r="J233" s="221"/>
      <c r="K233" s="221"/>
      <c r="L233" s="221"/>
      <c r="M233" s="221"/>
      <c r="N233" s="221"/>
      <c r="O233" s="221"/>
      <c r="P233" s="221"/>
      <c r="Q233" s="221"/>
      <c r="R233" s="221"/>
      <c r="S233" s="109" t="s">
        <v>2209</v>
      </c>
      <c r="T233" s="221"/>
      <c r="U233" s="221"/>
      <c r="V233" s="109" t="s">
        <v>2209</v>
      </c>
      <c r="W233" s="221"/>
      <c r="X233" s="221"/>
      <c r="Y233" s="221"/>
      <c r="Z233" s="221"/>
      <c r="AA233" s="221"/>
      <c r="AB233" s="221"/>
      <c r="AC233" s="221"/>
      <c r="AD233" s="221"/>
      <c r="AE233" s="221"/>
      <c r="AF233" s="221"/>
      <c r="AG233" s="221"/>
      <c r="AH233" s="221"/>
      <c r="AI233" s="221"/>
      <c r="AJ233" s="221"/>
      <c r="AK233" s="223"/>
      <c r="AL233" s="600" t="s">
        <v>432</v>
      </c>
      <c r="AM233" s="223"/>
      <c r="AN233" s="223"/>
      <c r="AO233" s="223"/>
      <c r="AP233" s="223"/>
      <c r="AQ233" s="223"/>
      <c r="AR233" s="223"/>
      <c r="AS233" s="223"/>
      <c r="AT233" s="223"/>
      <c r="AU233" s="223"/>
      <c r="AV233" s="223"/>
      <c r="AW233" s="223"/>
      <c r="AX233" s="223"/>
      <c r="AY233" s="223"/>
      <c r="AZ233" s="223"/>
      <c r="BA233" s="223"/>
      <c r="BB233" s="400"/>
      <c r="BC233" s="400"/>
      <c r="BD233" s="400"/>
    </row>
    <row r="234" spans="1:56" s="3" customFormat="1" ht="125.25" customHeight="1" x14ac:dyDescent="0.25">
      <c r="A234" s="275" t="str">
        <f>'Q100b-totais'!$B$26</f>
        <v>3.2.1</v>
      </c>
      <c r="B234" s="53" t="str">
        <f>'Q100b-totais'!$C$26</f>
        <v>Avaliações em pesquisas externas de opinião</v>
      </c>
      <c r="C234" s="167" t="s">
        <v>432</v>
      </c>
      <c r="D234" s="362" t="s">
        <v>105</v>
      </c>
      <c r="E234" s="1507" t="s">
        <v>1306</v>
      </c>
      <c r="F234" s="337" t="s">
        <v>1460</v>
      </c>
      <c r="G234" s="111" t="s">
        <v>668</v>
      </c>
      <c r="H234" s="173" t="s">
        <v>432</v>
      </c>
      <c r="I234" s="167">
        <v>1</v>
      </c>
      <c r="J234" s="107" t="s">
        <v>432</v>
      </c>
      <c r="K234" s="107" t="s">
        <v>432</v>
      </c>
      <c r="L234" s="107" t="s">
        <v>432</v>
      </c>
      <c r="M234" s="107" t="s">
        <v>432</v>
      </c>
      <c r="N234" s="107" t="s">
        <v>432</v>
      </c>
      <c r="O234" s="64">
        <f>((O240*5)+(O236*4)+(O235*3)+(O243*2)+(O241*1))/(100-O237)</f>
        <v>3</v>
      </c>
      <c r="P234" s="64">
        <f>((P240*5)+(P236*4)+(P235*3)+(P243*2)+(P241*1))/(100-P237)</f>
        <v>2.8525252525252527</v>
      </c>
      <c r="Q234" s="107" t="s">
        <v>432</v>
      </c>
      <c r="R234" s="64">
        <f>((R240*5)+(R236*4)+(R235*3)+(R243*2)+(R241*1))/(100-R237)</f>
        <v>2.9545454545454546</v>
      </c>
      <c r="S234" s="109" t="s">
        <v>2209</v>
      </c>
      <c r="T234" s="107" t="s">
        <v>432</v>
      </c>
      <c r="U234" s="64">
        <f>((U240*5)+(U236*4)+(U235*3)+(U243*2)+(U241*1))/(100-U237)</f>
        <v>2.7777777777777777</v>
      </c>
      <c r="V234" s="109" t="s">
        <v>2209</v>
      </c>
      <c r="W234" s="64">
        <f t="shared" ref="W234:AD234" si="46">((W240*5)+(W236*4)+(W235*3)+(W243*2)+(W241*1))/(100-W237)</f>
        <v>3.148841444905393</v>
      </c>
      <c r="X234" s="64">
        <f t="shared" si="46"/>
        <v>3.3297199638663062</v>
      </c>
      <c r="Y234" s="64">
        <f t="shared" si="46"/>
        <v>3.0383993532740505</v>
      </c>
      <c r="Z234" s="64">
        <f t="shared" si="46"/>
        <v>2.7936424120815291</v>
      </c>
      <c r="AA234" s="64">
        <f t="shared" si="46"/>
        <v>3.1122448979591835</v>
      </c>
      <c r="AB234" s="64">
        <f t="shared" si="46"/>
        <v>2.9773455866638172</v>
      </c>
      <c r="AC234" s="64">
        <f t="shared" si="46"/>
        <v>3.111418614186142</v>
      </c>
      <c r="AD234" s="64">
        <f t="shared" si="46"/>
        <v>2.4774283269148478</v>
      </c>
      <c r="AE234" s="107" t="s">
        <v>2208</v>
      </c>
      <c r="AF234" s="64">
        <f>((AF240*5)+(AF236*4)+(AF235*3)+(AF243*2)+(AF241*1))/(100-AF237)</f>
        <v>2.5290685772773798</v>
      </c>
      <c r="AG234" s="64">
        <f>((AG240*5)+(AG236*4)+(AG235*3)+(AG243*2)+(AG241*1))/(100-AG237)</f>
        <v>2.5395942745340334</v>
      </c>
      <c r="AH234" s="107" t="s">
        <v>2208</v>
      </c>
      <c r="AI234" s="81">
        <f>((AI240*5)+(AI236*4)+(AI235*3)+(AI243*2)+(AI241*1))/(100-AI237)</f>
        <v>2.1515151515151514</v>
      </c>
      <c r="AJ234" s="107" t="s">
        <v>2208</v>
      </c>
      <c r="AK234" s="81">
        <f>((AK240*5)+(AK236*4)+(AK235*3)+(AK243*2)+(AK241*1))/(100-AK237)</f>
        <v>2.3958333333333335</v>
      </c>
      <c r="AL234" s="600" t="s">
        <v>432</v>
      </c>
      <c r="AM234" s="137" t="s">
        <v>432</v>
      </c>
      <c r="AN234" s="137" t="s">
        <v>432</v>
      </c>
      <c r="AO234" s="137" t="s">
        <v>432</v>
      </c>
      <c r="AP234" s="137" t="s">
        <v>432</v>
      </c>
      <c r="AQ234" s="137" t="s">
        <v>432</v>
      </c>
      <c r="AR234" s="137" t="s">
        <v>432</v>
      </c>
      <c r="AS234" s="137" t="s">
        <v>432</v>
      </c>
      <c r="AT234" s="137" t="s">
        <v>432</v>
      </c>
      <c r="AU234" s="137" t="s">
        <v>432</v>
      </c>
      <c r="AV234" s="137" t="s">
        <v>432</v>
      </c>
      <c r="AW234" s="137" t="s">
        <v>432</v>
      </c>
      <c r="AX234" s="137" t="s">
        <v>432</v>
      </c>
      <c r="AY234" s="137" t="s">
        <v>432</v>
      </c>
      <c r="AZ234" s="137" t="s">
        <v>432</v>
      </c>
      <c r="BA234" s="137" t="s">
        <v>432</v>
      </c>
      <c r="BB234" s="239" t="str">
        <f t="shared" ref="BB234:BB244" si="47">B234&amp;C234</f>
        <v>Avaliações em pesquisas externas de opiniãox</v>
      </c>
      <c r="BC234" s="239" t="str">
        <f t="shared" ref="BC234:BC244" si="48">B234&amp;C234&amp;H234</f>
        <v>Avaliações em pesquisas externas de opiniãoxx</v>
      </c>
      <c r="BD234" s="239" t="str">
        <f t="shared" ref="BD234:BD244" si="49">B234&amp;H234</f>
        <v>Avaliações em pesquisas externas de opiniãox</v>
      </c>
    </row>
    <row r="235" spans="1:56" s="3" customFormat="1" ht="62.25" customHeight="1" x14ac:dyDescent="0.25">
      <c r="A235" s="275" t="str">
        <f>'Q100b-totais'!$B$26</f>
        <v>3.2.1</v>
      </c>
      <c r="B235" s="53" t="str">
        <f>'Q100b-totais'!$C$26</f>
        <v>Avaliações em pesquisas externas de opinião</v>
      </c>
      <c r="C235" s="167" t="s">
        <v>432</v>
      </c>
      <c r="D235" s="378" t="s">
        <v>657</v>
      </c>
      <c r="E235" s="1507" t="s">
        <v>1306</v>
      </c>
      <c r="F235" s="382" t="s">
        <v>1517</v>
      </c>
      <c r="G235" s="110" t="s">
        <v>1434</v>
      </c>
      <c r="H235" s="173" t="s">
        <v>432</v>
      </c>
      <c r="I235" s="167">
        <v>1</v>
      </c>
      <c r="J235" s="107" t="s">
        <v>432</v>
      </c>
      <c r="K235" s="107" t="s">
        <v>432</v>
      </c>
      <c r="L235" s="107" t="s">
        <v>432</v>
      </c>
      <c r="M235" s="107" t="s">
        <v>432</v>
      </c>
      <c r="N235" s="107" t="s">
        <v>432</v>
      </c>
      <c r="O235" s="83">
        <v>39</v>
      </c>
      <c r="P235" s="83">
        <v>37</v>
      </c>
      <c r="Q235" s="107" t="s">
        <v>432</v>
      </c>
      <c r="R235" s="83">
        <v>34</v>
      </c>
      <c r="S235" s="109" t="s">
        <v>2209</v>
      </c>
      <c r="T235" s="107" t="s">
        <v>432</v>
      </c>
      <c r="U235" s="83">
        <v>35</v>
      </c>
      <c r="V235" s="109" t="s">
        <v>2209</v>
      </c>
      <c r="W235" s="83">
        <v>40.43</v>
      </c>
      <c r="X235" s="83">
        <v>39.26</v>
      </c>
      <c r="Y235" s="83">
        <v>41.41</v>
      </c>
      <c r="Z235" s="83">
        <v>34.159999999999997</v>
      </c>
      <c r="AA235" s="83">
        <v>43</v>
      </c>
      <c r="AB235" s="83">
        <v>35.659999999999997</v>
      </c>
      <c r="AC235" s="83">
        <v>41.48</v>
      </c>
      <c r="AD235" s="83">
        <v>39.11</v>
      </c>
      <c r="AE235" s="107" t="s">
        <v>2208</v>
      </c>
      <c r="AF235" s="83">
        <v>42.74</v>
      </c>
      <c r="AG235" s="83">
        <v>32.25</v>
      </c>
      <c r="AH235" s="107" t="s">
        <v>2208</v>
      </c>
      <c r="AI235" s="83">
        <v>28</v>
      </c>
      <c r="AJ235" s="107" t="s">
        <v>2208</v>
      </c>
      <c r="AK235" s="85">
        <v>36</v>
      </c>
      <c r="AL235" s="600" t="s">
        <v>432</v>
      </c>
      <c r="AM235" s="137" t="s">
        <v>432</v>
      </c>
      <c r="AN235" s="137" t="s">
        <v>432</v>
      </c>
      <c r="AO235" s="137" t="s">
        <v>432</v>
      </c>
      <c r="AP235" s="137" t="s">
        <v>432</v>
      </c>
      <c r="AQ235" s="137" t="s">
        <v>432</v>
      </c>
      <c r="AR235" s="137" t="s">
        <v>432</v>
      </c>
      <c r="AS235" s="137" t="s">
        <v>432</v>
      </c>
      <c r="AT235" s="137" t="s">
        <v>432</v>
      </c>
      <c r="AU235" s="137" t="s">
        <v>432</v>
      </c>
      <c r="AV235" s="137" t="s">
        <v>432</v>
      </c>
      <c r="AW235" s="137" t="s">
        <v>432</v>
      </c>
      <c r="AX235" s="137" t="s">
        <v>432</v>
      </c>
      <c r="AY235" s="137" t="s">
        <v>432</v>
      </c>
      <c r="AZ235" s="137" t="s">
        <v>432</v>
      </c>
      <c r="BA235" s="137" t="s">
        <v>432</v>
      </c>
      <c r="BB235" s="239" t="str">
        <f t="shared" si="47"/>
        <v>Avaliações em pesquisas externas de opiniãox</v>
      </c>
      <c r="BC235" s="239" t="str">
        <f t="shared" si="48"/>
        <v>Avaliações em pesquisas externas de opiniãoxx</v>
      </c>
      <c r="BD235" s="239" t="str">
        <f t="shared" si="49"/>
        <v>Avaliações em pesquisas externas de opiniãox</v>
      </c>
    </row>
    <row r="236" spans="1:56" s="3" customFormat="1" ht="51" customHeight="1" x14ac:dyDescent="0.25">
      <c r="A236" s="275" t="str">
        <f>'Q100b-totais'!$B$26</f>
        <v>3.2.1</v>
      </c>
      <c r="B236" s="53" t="str">
        <f>'Q100b-totais'!$C$26</f>
        <v>Avaliações em pesquisas externas de opinião</v>
      </c>
      <c r="C236" s="167" t="s">
        <v>432</v>
      </c>
      <c r="D236" s="323" t="s">
        <v>106</v>
      </c>
      <c r="E236" s="1505" t="s">
        <v>1306</v>
      </c>
      <c r="F236" s="14" t="s">
        <v>1501</v>
      </c>
      <c r="G236" s="110" t="s">
        <v>1435</v>
      </c>
      <c r="H236" s="173" t="s">
        <v>432</v>
      </c>
      <c r="I236" s="167">
        <v>1</v>
      </c>
      <c r="J236" s="107" t="s">
        <v>432</v>
      </c>
      <c r="K236" s="107" t="s">
        <v>432</v>
      </c>
      <c r="L236" s="107" t="s">
        <v>432</v>
      </c>
      <c r="M236" s="107" t="s">
        <v>432</v>
      </c>
      <c r="N236" s="107" t="s">
        <v>432</v>
      </c>
      <c r="O236" s="83">
        <v>30</v>
      </c>
      <c r="P236" s="84">
        <v>28</v>
      </c>
      <c r="Q236" s="107" t="s">
        <v>432</v>
      </c>
      <c r="R236" s="83">
        <v>32</v>
      </c>
      <c r="S236" s="109" t="s">
        <v>2209</v>
      </c>
      <c r="T236" s="107" t="s">
        <v>432</v>
      </c>
      <c r="U236" s="83">
        <v>26</v>
      </c>
      <c r="V236" s="109" t="s">
        <v>2209</v>
      </c>
      <c r="W236" s="83">
        <v>24.82</v>
      </c>
      <c r="X236" s="83">
        <v>29.41</v>
      </c>
      <c r="Y236" s="83">
        <v>20.149999999999999</v>
      </c>
      <c r="Z236" s="83">
        <v>24.71</v>
      </c>
      <c r="AA236" s="83">
        <v>32</v>
      </c>
      <c r="AB236" s="83">
        <v>29.89</v>
      </c>
      <c r="AC236" s="83">
        <v>34.74</v>
      </c>
      <c r="AD236" s="83">
        <v>11.19</v>
      </c>
      <c r="AE236" s="107" t="s">
        <v>2208</v>
      </c>
      <c r="AF236" s="83">
        <v>11.26</v>
      </c>
      <c r="AG236" s="83">
        <v>19.010000000000002</v>
      </c>
      <c r="AH236" s="107" t="s">
        <v>2208</v>
      </c>
      <c r="AI236" s="83">
        <v>10</v>
      </c>
      <c r="AJ236" s="107" t="s">
        <v>2208</v>
      </c>
      <c r="AK236" s="85">
        <v>13</v>
      </c>
      <c r="AL236" s="600" t="s">
        <v>432</v>
      </c>
      <c r="AM236" s="137" t="s">
        <v>432</v>
      </c>
      <c r="AN236" s="137" t="s">
        <v>432</v>
      </c>
      <c r="AO236" s="137" t="s">
        <v>432</v>
      </c>
      <c r="AP236" s="137" t="s">
        <v>432</v>
      </c>
      <c r="AQ236" s="137" t="s">
        <v>432</v>
      </c>
      <c r="AR236" s="137" t="s">
        <v>432</v>
      </c>
      <c r="AS236" s="137" t="s">
        <v>432</v>
      </c>
      <c r="AT236" s="137" t="s">
        <v>432</v>
      </c>
      <c r="AU236" s="137" t="s">
        <v>432</v>
      </c>
      <c r="AV236" s="137" t="s">
        <v>432</v>
      </c>
      <c r="AW236" s="137" t="s">
        <v>432</v>
      </c>
      <c r="AX236" s="137" t="s">
        <v>432</v>
      </c>
      <c r="AY236" s="137" t="s">
        <v>432</v>
      </c>
      <c r="AZ236" s="137" t="s">
        <v>432</v>
      </c>
      <c r="BA236" s="137" t="s">
        <v>432</v>
      </c>
      <c r="BB236" s="239" t="str">
        <f t="shared" si="47"/>
        <v>Avaliações em pesquisas externas de opiniãox</v>
      </c>
      <c r="BC236" s="239" t="str">
        <f t="shared" si="48"/>
        <v>Avaliações em pesquisas externas de opiniãoxx</v>
      </c>
      <c r="BD236" s="239" t="str">
        <f t="shared" si="49"/>
        <v>Avaliações em pesquisas externas de opiniãox</v>
      </c>
    </row>
    <row r="237" spans="1:56" s="3" customFormat="1" ht="63" customHeight="1" x14ac:dyDescent="0.25">
      <c r="A237" s="275" t="str">
        <f>'Q100b-totais'!$B$26</f>
        <v>3.2.1</v>
      </c>
      <c r="B237" s="53" t="str">
        <f>'Q100b-totais'!$C$26</f>
        <v>Avaliações em pesquisas externas de opinião</v>
      </c>
      <c r="C237" s="167" t="s">
        <v>432</v>
      </c>
      <c r="D237" s="323" t="s">
        <v>107</v>
      </c>
      <c r="E237" s="1505" t="s">
        <v>1306</v>
      </c>
      <c r="F237" s="14" t="s">
        <v>1502</v>
      </c>
      <c r="G237" s="110" t="s">
        <v>1436</v>
      </c>
      <c r="H237" s="173" t="s">
        <v>432</v>
      </c>
      <c r="I237" s="167">
        <v>1</v>
      </c>
      <c r="J237" s="107" t="s">
        <v>432</v>
      </c>
      <c r="K237" s="107" t="s">
        <v>432</v>
      </c>
      <c r="L237" s="107" t="s">
        <v>432</v>
      </c>
      <c r="M237" s="107" t="s">
        <v>432</v>
      </c>
      <c r="N237" s="107" t="s">
        <v>432</v>
      </c>
      <c r="O237" s="83">
        <v>1</v>
      </c>
      <c r="P237" s="84">
        <v>1</v>
      </c>
      <c r="Q237" s="107" t="s">
        <v>432</v>
      </c>
      <c r="R237" s="83">
        <v>1</v>
      </c>
      <c r="S237" s="109" t="s">
        <v>2209</v>
      </c>
      <c r="T237" s="107" t="s">
        <v>432</v>
      </c>
      <c r="U237" s="83">
        <v>1</v>
      </c>
      <c r="V237" s="109" t="s">
        <v>2209</v>
      </c>
      <c r="W237" s="83">
        <v>1.17</v>
      </c>
      <c r="X237" s="83">
        <v>0.37</v>
      </c>
      <c r="Y237" s="83">
        <v>1.04</v>
      </c>
      <c r="Z237" s="83">
        <v>5.31</v>
      </c>
      <c r="AA237" s="83">
        <v>2</v>
      </c>
      <c r="AB237" s="83">
        <v>6.42</v>
      </c>
      <c r="AC237" s="83">
        <v>2.44</v>
      </c>
      <c r="AD237" s="83">
        <v>6.52</v>
      </c>
      <c r="AE237" s="107" t="s">
        <v>2208</v>
      </c>
      <c r="AF237" s="83">
        <v>2.2999999999999998</v>
      </c>
      <c r="AG237" s="83">
        <v>2.89</v>
      </c>
      <c r="AH237" s="107" t="s">
        <v>2208</v>
      </c>
      <c r="AI237" s="83">
        <v>1</v>
      </c>
      <c r="AJ237" s="107" t="s">
        <v>2208</v>
      </c>
      <c r="AK237" s="85">
        <v>4</v>
      </c>
      <c r="AL237" s="600" t="s">
        <v>432</v>
      </c>
      <c r="AM237" s="137" t="s">
        <v>432</v>
      </c>
      <c r="AN237" s="137" t="s">
        <v>432</v>
      </c>
      <c r="AO237" s="137" t="s">
        <v>432</v>
      </c>
      <c r="AP237" s="137" t="s">
        <v>432</v>
      </c>
      <c r="AQ237" s="137" t="s">
        <v>432</v>
      </c>
      <c r="AR237" s="137" t="s">
        <v>432</v>
      </c>
      <c r="AS237" s="137" t="s">
        <v>432</v>
      </c>
      <c r="AT237" s="137" t="s">
        <v>432</v>
      </c>
      <c r="AU237" s="137" t="s">
        <v>432</v>
      </c>
      <c r="AV237" s="137" t="s">
        <v>432</v>
      </c>
      <c r="AW237" s="137" t="s">
        <v>432</v>
      </c>
      <c r="AX237" s="137" t="s">
        <v>432</v>
      </c>
      <c r="AY237" s="137" t="s">
        <v>432</v>
      </c>
      <c r="AZ237" s="137" t="s">
        <v>432</v>
      </c>
      <c r="BA237" s="137" t="s">
        <v>432</v>
      </c>
      <c r="BB237" s="239" t="str">
        <f t="shared" si="47"/>
        <v>Avaliações em pesquisas externas de opiniãox</v>
      </c>
      <c r="BC237" s="239" t="str">
        <f t="shared" si="48"/>
        <v>Avaliações em pesquisas externas de opiniãoxx</v>
      </c>
      <c r="BD237" s="239" t="str">
        <f t="shared" si="49"/>
        <v>Avaliações em pesquisas externas de opiniãox</v>
      </c>
    </row>
    <row r="238" spans="1:56" s="3" customFormat="1" ht="158.25" customHeight="1" x14ac:dyDescent="0.25">
      <c r="A238" s="275" t="str">
        <f>'Q100b-totais'!$B$26</f>
        <v>3.2.1</v>
      </c>
      <c r="B238" s="53" t="str">
        <f>'Q100b-totais'!$C$26</f>
        <v>Avaliações em pesquisas externas de opinião</v>
      </c>
      <c r="C238" s="167" t="s">
        <v>432</v>
      </c>
      <c r="D238" s="378" t="s">
        <v>108</v>
      </c>
      <c r="E238" s="1506" t="s">
        <v>1306</v>
      </c>
      <c r="F238" s="337" t="s">
        <v>1952</v>
      </c>
      <c r="G238" s="111" t="s">
        <v>109</v>
      </c>
      <c r="H238" s="173" t="s">
        <v>432</v>
      </c>
      <c r="I238" s="167">
        <v>1</v>
      </c>
      <c r="J238" s="107" t="s">
        <v>432</v>
      </c>
      <c r="K238" s="107" t="s">
        <v>432</v>
      </c>
      <c r="L238" s="107" t="s">
        <v>432</v>
      </c>
      <c r="M238" s="107" t="s">
        <v>432</v>
      </c>
      <c r="N238" s="107" t="s">
        <v>432</v>
      </c>
      <c r="O238" s="64">
        <f>O236+O240</f>
        <v>35</v>
      </c>
      <c r="P238" s="64">
        <f>P236+P240</f>
        <v>31</v>
      </c>
      <c r="Q238" s="107" t="s">
        <v>432</v>
      </c>
      <c r="R238" s="64">
        <f>R240+R236</f>
        <v>36</v>
      </c>
      <c r="S238" s="109" t="s">
        <v>2209</v>
      </c>
      <c r="T238" s="107" t="s">
        <v>432</v>
      </c>
      <c r="U238" s="64">
        <f>U240+U236</f>
        <v>29</v>
      </c>
      <c r="V238" s="109" t="s">
        <v>2209</v>
      </c>
      <c r="W238" s="64">
        <f t="shared" ref="W238:AD238" si="50">W240+W236</f>
        <v>35.370000000000005</v>
      </c>
      <c r="X238" s="64">
        <f t="shared" si="50"/>
        <v>42.97</v>
      </c>
      <c r="Y238" s="64">
        <f t="shared" si="50"/>
        <v>31.259999999999998</v>
      </c>
      <c r="Z238" s="64">
        <f t="shared" si="50"/>
        <v>28.03</v>
      </c>
      <c r="AA238" s="64">
        <f t="shared" si="50"/>
        <v>36</v>
      </c>
      <c r="AB238" s="64">
        <f t="shared" si="50"/>
        <v>32.39</v>
      </c>
      <c r="AC238" s="64">
        <f t="shared" si="50"/>
        <v>36.520000000000003</v>
      </c>
      <c r="AD238" s="64">
        <f t="shared" si="50"/>
        <v>12.23</v>
      </c>
      <c r="AE238" s="107" t="s">
        <v>2208</v>
      </c>
      <c r="AF238" s="64">
        <f>AF240+AF236</f>
        <v>12.07</v>
      </c>
      <c r="AG238" s="64">
        <f>AG240+AG236</f>
        <v>20.470000000000002</v>
      </c>
      <c r="AH238" s="107" t="s">
        <v>2208</v>
      </c>
      <c r="AI238" s="64">
        <f>AI236+AI240</f>
        <v>11</v>
      </c>
      <c r="AJ238" s="107" t="s">
        <v>2208</v>
      </c>
      <c r="AK238" s="64">
        <f>AK236+AK240</f>
        <v>13</v>
      </c>
      <c r="AL238" s="600" t="s">
        <v>432</v>
      </c>
      <c r="AM238" s="137" t="s">
        <v>432</v>
      </c>
      <c r="AN238" s="137" t="s">
        <v>432</v>
      </c>
      <c r="AO238" s="137" t="s">
        <v>432</v>
      </c>
      <c r="AP238" s="137" t="s">
        <v>432</v>
      </c>
      <c r="AQ238" s="137" t="s">
        <v>432</v>
      </c>
      <c r="AR238" s="137" t="s">
        <v>432</v>
      </c>
      <c r="AS238" s="137" t="s">
        <v>432</v>
      </c>
      <c r="AT238" s="137" t="s">
        <v>432</v>
      </c>
      <c r="AU238" s="137" t="s">
        <v>432</v>
      </c>
      <c r="AV238" s="137" t="s">
        <v>432</v>
      </c>
      <c r="AW238" s="137" t="s">
        <v>432</v>
      </c>
      <c r="AX238" s="137" t="s">
        <v>432</v>
      </c>
      <c r="AY238" s="137" t="s">
        <v>432</v>
      </c>
      <c r="AZ238" s="137" t="s">
        <v>432</v>
      </c>
      <c r="BA238" s="137" t="s">
        <v>432</v>
      </c>
      <c r="BB238" s="239" t="str">
        <f t="shared" si="47"/>
        <v>Avaliações em pesquisas externas de opiniãox</v>
      </c>
      <c r="BC238" s="239" t="str">
        <f t="shared" si="48"/>
        <v>Avaliações em pesquisas externas de opiniãoxx</v>
      </c>
      <c r="BD238" s="239" t="str">
        <f t="shared" si="49"/>
        <v>Avaliações em pesquisas externas de opiniãox</v>
      </c>
    </row>
    <row r="239" spans="1:56" s="3" customFormat="1" ht="60.75" customHeight="1" x14ac:dyDescent="0.25">
      <c r="A239" s="275" t="str">
        <f>'Q100b-totais'!$B$26</f>
        <v>3.2.1</v>
      </c>
      <c r="B239" s="53" t="str">
        <f>'Q100b-totais'!$C$26</f>
        <v>Avaliações em pesquisas externas de opinião</v>
      </c>
      <c r="C239" s="167" t="s">
        <v>432</v>
      </c>
      <c r="D239" s="378" t="s">
        <v>767</v>
      </c>
      <c r="E239" s="1494" t="s">
        <v>1306</v>
      </c>
      <c r="F239" s="286" t="s">
        <v>1953</v>
      </c>
      <c r="G239" s="110" t="s">
        <v>768</v>
      </c>
      <c r="H239" s="167" t="s">
        <v>765</v>
      </c>
      <c r="I239" s="167" t="s">
        <v>432</v>
      </c>
      <c r="J239" s="109" t="s">
        <v>432</v>
      </c>
      <c r="K239" s="109" t="s">
        <v>432</v>
      </c>
      <c r="L239" s="109" t="s">
        <v>432</v>
      </c>
      <c r="M239" s="109" t="s">
        <v>432</v>
      </c>
      <c r="N239" s="109" t="s">
        <v>432</v>
      </c>
      <c r="O239" s="109" t="s">
        <v>432</v>
      </c>
      <c r="P239" s="109" t="s">
        <v>432</v>
      </c>
      <c r="Q239" s="109" t="s">
        <v>432</v>
      </c>
      <c r="R239" s="109" t="s">
        <v>432</v>
      </c>
      <c r="S239" s="109" t="s">
        <v>2209</v>
      </c>
      <c r="T239" s="109" t="s">
        <v>432</v>
      </c>
      <c r="U239" s="109" t="s">
        <v>432</v>
      </c>
      <c r="V239" s="109" t="s">
        <v>2209</v>
      </c>
      <c r="W239" s="109" t="s">
        <v>432</v>
      </c>
      <c r="X239" s="109" t="s">
        <v>432</v>
      </c>
      <c r="Y239" s="109" t="s">
        <v>432</v>
      </c>
      <c r="Z239" s="109" t="s">
        <v>432</v>
      </c>
      <c r="AA239" s="109" t="s">
        <v>432</v>
      </c>
      <c r="AB239" s="109" t="s">
        <v>432</v>
      </c>
      <c r="AC239" s="109" t="s">
        <v>432</v>
      </c>
      <c r="AD239" s="109" t="s">
        <v>432</v>
      </c>
      <c r="AE239" s="109" t="s">
        <v>432</v>
      </c>
      <c r="AF239" s="109" t="s">
        <v>432</v>
      </c>
      <c r="AG239" s="109" t="s">
        <v>432</v>
      </c>
      <c r="AH239" s="109" t="s">
        <v>432</v>
      </c>
      <c r="AI239" s="109" t="s">
        <v>432</v>
      </c>
      <c r="AJ239" s="174" t="s">
        <v>1042</v>
      </c>
      <c r="AK239" s="137" t="s">
        <v>432</v>
      </c>
      <c r="AL239" s="600" t="s">
        <v>432</v>
      </c>
      <c r="AM239" s="95" t="s">
        <v>1043</v>
      </c>
      <c r="AN239" s="137" t="s">
        <v>432</v>
      </c>
      <c r="AO239" s="137" t="s">
        <v>432</v>
      </c>
      <c r="AP239" s="137" t="s">
        <v>432</v>
      </c>
      <c r="AQ239" s="174" t="s">
        <v>1044</v>
      </c>
      <c r="AR239" s="137" t="s">
        <v>432</v>
      </c>
      <c r="AS239" s="137" t="s">
        <v>432</v>
      </c>
      <c r="AT239" s="137" t="s">
        <v>432</v>
      </c>
      <c r="AU239" s="137" t="s">
        <v>432</v>
      </c>
      <c r="AV239" s="137" t="s">
        <v>432</v>
      </c>
      <c r="AW239" s="137" t="s">
        <v>432</v>
      </c>
      <c r="AX239" s="137" t="s">
        <v>432</v>
      </c>
      <c r="AY239" s="137" t="s">
        <v>432</v>
      </c>
      <c r="AZ239" s="137" t="s">
        <v>432</v>
      </c>
      <c r="BA239" s="137" t="s">
        <v>432</v>
      </c>
      <c r="BB239" s="239" t="str">
        <f t="shared" si="47"/>
        <v>Avaliações em pesquisas externas de opiniãox</v>
      </c>
      <c r="BC239" s="239" t="str">
        <f t="shared" si="48"/>
        <v>Avaliações em pesquisas externas de opiniãoxmeta/RPI</v>
      </c>
      <c r="BD239" s="239" t="str">
        <f t="shared" si="49"/>
        <v>Avaliações em pesquisas externas de opiniãometa/RPI</v>
      </c>
    </row>
    <row r="240" spans="1:56" s="3" customFormat="1" ht="51" customHeight="1" x14ac:dyDescent="0.25">
      <c r="A240" s="275" t="str">
        <f>'Q100b-totais'!$B$26</f>
        <v>3.2.1</v>
      </c>
      <c r="B240" s="53" t="str">
        <f>'Q100b-totais'!$C$26</f>
        <v>Avaliações em pesquisas externas de opinião</v>
      </c>
      <c r="C240" s="167" t="s">
        <v>432</v>
      </c>
      <c r="D240" s="323" t="s">
        <v>110</v>
      </c>
      <c r="E240" s="1505" t="s">
        <v>1306</v>
      </c>
      <c r="F240" s="14" t="s">
        <v>1503</v>
      </c>
      <c r="G240" s="110" t="s">
        <v>11</v>
      </c>
      <c r="H240" s="173" t="s">
        <v>432</v>
      </c>
      <c r="I240" s="167">
        <v>1</v>
      </c>
      <c r="J240" s="107" t="s">
        <v>432</v>
      </c>
      <c r="K240" s="107" t="s">
        <v>432</v>
      </c>
      <c r="L240" s="107" t="s">
        <v>432</v>
      </c>
      <c r="M240" s="107" t="s">
        <v>432</v>
      </c>
      <c r="N240" s="107" t="s">
        <v>432</v>
      </c>
      <c r="O240" s="83">
        <v>5</v>
      </c>
      <c r="P240" s="84">
        <v>3</v>
      </c>
      <c r="Q240" s="107" t="s">
        <v>432</v>
      </c>
      <c r="R240" s="83">
        <v>4</v>
      </c>
      <c r="S240" s="109" t="s">
        <v>2209</v>
      </c>
      <c r="T240" s="107" t="s">
        <v>432</v>
      </c>
      <c r="U240" s="83">
        <v>3</v>
      </c>
      <c r="V240" s="109" t="s">
        <v>2209</v>
      </c>
      <c r="W240" s="83">
        <v>10.55</v>
      </c>
      <c r="X240" s="83">
        <v>13.56</v>
      </c>
      <c r="Y240" s="83">
        <v>11.11</v>
      </c>
      <c r="Z240" s="83">
        <v>3.32</v>
      </c>
      <c r="AA240" s="83">
        <v>4</v>
      </c>
      <c r="AB240" s="83">
        <v>2.5</v>
      </c>
      <c r="AC240" s="83">
        <v>1.78</v>
      </c>
      <c r="AD240" s="83">
        <v>1.04</v>
      </c>
      <c r="AE240" s="107" t="s">
        <v>2208</v>
      </c>
      <c r="AF240" s="83">
        <v>0.81</v>
      </c>
      <c r="AG240" s="83">
        <v>1.46</v>
      </c>
      <c r="AH240" s="107" t="s">
        <v>2208</v>
      </c>
      <c r="AI240" s="83">
        <v>1</v>
      </c>
      <c r="AJ240" s="107" t="s">
        <v>2208</v>
      </c>
      <c r="AK240" s="85">
        <v>0</v>
      </c>
      <c r="AL240" s="600" t="s">
        <v>432</v>
      </c>
      <c r="AM240" s="137" t="s">
        <v>432</v>
      </c>
      <c r="AN240" s="137" t="s">
        <v>432</v>
      </c>
      <c r="AO240" s="137" t="s">
        <v>432</v>
      </c>
      <c r="AP240" s="137" t="s">
        <v>432</v>
      </c>
      <c r="AQ240" s="137" t="s">
        <v>432</v>
      </c>
      <c r="AR240" s="137" t="s">
        <v>432</v>
      </c>
      <c r="AS240" s="137" t="s">
        <v>432</v>
      </c>
      <c r="AT240" s="137" t="s">
        <v>432</v>
      </c>
      <c r="AU240" s="137" t="s">
        <v>432</v>
      </c>
      <c r="AV240" s="137" t="s">
        <v>432</v>
      </c>
      <c r="AW240" s="137" t="s">
        <v>432</v>
      </c>
      <c r="AX240" s="137" t="s">
        <v>432</v>
      </c>
      <c r="AY240" s="137" t="s">
        <v>432</v>
      </c>
      <c r="AZ240" s="137" t="s">
        <v>432</v>
      </c>
      <c r="BA240" s="137" t="s">
        <v>432</v>
      </c>
      <c r="BB240" s="239" t="str">
        <f t="shared" si="47"/>
        <v>Avaliações em pesquisas externas de opiniãox</v>
      </c>
      <c r="BC240" s="239" t="str">
        <f t="shared" si="48"/>
        <v>Avaliações em pesquisas externas de opiniãoxx</v>
      </c>
      <c r="BD240" s="239" t="str">
        <f t="shared" si="49"/>
        <v>Avaliações em pesquisas externas de opiniãox</v>
      </c>
    </row>
    <row r="241" spans="1:56" s="3" customFormat="1" ht="60.75" customHeight="1" x14ac:dyDescent="0.25">
      <c r="A241" s="275" t="str">
        <f>'Q100b-totais'!$B$26</f>
        <v>3.2.1</v>
      </c>
      <c r="B241" s="53" t="str">
        <f>'Q100b-totais'!$C$26</f>
        <v>Avaliações em pesquisas externas de opinião</v>
      </c>
      <c r="C241" s="167" t="s">
        <v>432</v>
      </c>
      <c r="D241" s="323" t="s">
        <v>111</v>
      </c>
      <c r="E241" s="1505" t="s">
        <v>1306</v>
      </c>
      <c r="F241" s="14" t="s">
        <v>1504</v>
      </c>
      <c r="G241" s="110" t="s">
        <v>1437</v>
      </c>
      <c r="H241" s="173" t="s">
        <v>432</v>
      </c>
      <c r="I241" s="167">
        <v>1</v>
      </c>
      <c r="J241" s="107" t="s">
        <v>432</v>
      </c>
      <c r="K241" s="107" t="s">
        <v>432</v>
      </c>
      <c r="L241" s="107" t="s">
        <v>432</v>
      </c>
      <c r="M241" s="107" t="s">
        <v>432</v>
      </c>
      <c r="N241" s="107" t="s">
        <v>432</v>
      </c>
      <c r="O241" s="83">
        <v>15</v>
      </c>
      <c r="P241" s="84">
        <v>17.600000000000001</v>
      </c>
      <c r="Q241" s="107" t="s">
        <v>432</v>
      </c>
      <c r="R241" s="83">
        <v>15.5</v>
      </c>
      <c r="S241" s="109" t="s">
        <v>2209</v>
      </c>
      <c r="T241" s="107" t="s">
        <v>432</v>
      </c>
      <c r="U241" s="83">
        <v>19</v>
      </c>
      <c r="V241" s="109" t="s">
        <v>2209</v>
      </c>
      <c r="W241" s="83">
        <v>8.1999999999999993</v>
      </c>
      <c r="X241" s="83">
        <v>6.3</v>
      </c>
      <c r="Y241" s="83">
        <v>12.3</v>
      </c>
      <c r="Z241" s="83">
        <v>18.41</v>
      </c>
      <c r="AA241" s="83">
        <v>10</v>
      </c>
      <c r="AB241" s="83">
        <v>11.48</v>
      </c>
      <c r="AC241" s="83">
        <v>7.85</v>
      </c>
      <c r="AD241" s="83">
        <v>20</v>
      </c>
      <c r="AE241" s="107" t="s">
        <v>2208</v>
      </c>
      <c r="AF241" s="83">
        <v>16</v>
      </c>
      <c r="AG241" s="83">
        <v>22.27</v>
      </c>
      <c r="AH241" s="107" t="s">
        <v>2208</v>
      </c>
      <c r="AI241" s="83">
        <v>36</v>
      </c>
      <c r="AJ241" s="107" t="s">
        <v>2208</v>
      </c>
      <c r="AK241" s="85">
        <v>24</v>
      </c>
      <c r="AL241" s="600" t="s">
        <v>432</v>
      </c>
      <c r="AM241" s="137" t="s">
        <v>432</v>
      </c>
      <c r="AN241" s="137" t="s">
        <v>432</v>
      </c>
      <c r="AO241" s="137" t="s">
        <v>432</v>
      </c>
      <c r="AP241" s="137" t="s">
        <v>432</v>
      </c>
      <c r="AQ241" s="137" t="s">
        <v>432</v>
      </c>
      <c r="AR241" s="137" t="s">
        <v>432</v>
      </c>
      <c r="AS241" s="137" t="s">
        <v>432</v>
      </c>
      <c r="AT241" s="137" t="s">
        <v>432</v>
      </c>
      <c r="AU241" s="137" t="s">
        <v>432</v>
      </c>
      <c r="AV241" s="137" t="s">
        <v>432</v>
      </c>
      <c r="AW241" s="137" t="s">
        <v>432</v>
      </c>
      <c r="AX241" s="137" t="s">
        <v>432</v>
      </c>
      <c r="AY241" s="137" t="s">
        <v>432</v>
      </c>
      <c r="AZ241" s="137" t="s">
        <v>432</v>
      </c>
      <c r="BA241" s="137" t="s">
        <v>432</v>
      </c>
      <c r="BB241" s="239" t="str">
        <f t="shared" si="47"/>
        <v>Avaliações em pesquisas externas de opiniãox</v>
      </c>
      <c r="BC241" s="239" t="str">
        <f t="shared" si="48"/>
        <v>Avaliações em pesquisas externas de opiniãoxx</v>
      </c>
      <c r="BD241" s="239" t="str">
        <f t="shared" si="49"/>
        <v>Avaliações em pesquisas externas de opiniãox</v>
      </c>
    </row>
    <row r="242" spans="1:56" s="3" customFormat="1" ht="51" customHeight="1" x14ac:dyDescent="0.25">
      <c r="A242" s="275" t="str">
        <f>'Q100b-totais'!$B$26</f>
        <v>3.2.1</v>
      </c>
      <c r="B242" s="53" t="str">
        <f>'Q100b-totais'!$C$26</f>
        <v>Avaliações em pesquisas externas de opinião</v>
      </c>
      <c r="C242" s="167" t="s">
        <v>432</v>
      </c>
      <c r="D242" s="378" t="s">
        <v>112</v>
      </c>
      <c r="E242" s="1506" t="s">
        <v>1306</v>
      </c>
      <c r="F242" s="382" t="s">
        <v>113</v>
      </c>
      <c r="G242" s="111" t="s">
        <v>114</v>
      </c>
      <c r="H242" s="173" t="s">
        <v>432</v>
      </c>
      <c r="I242" s="167">
        <v>1</v>
      </c>
      <c r="J242" s="107" t="s">
        <v>432</v>
      </c>
      <c r="K242" s="107" t="s">
        <v>432</v>
      </c>
      <c r="L242" s="107" t="s">
        <v>432</v>
      </c>
      <c r="M242" s="107" t="s">
        <v>432</v>
      </c>
      <c r="N242" s="107" t="s">
        <v>432</v>
      </c>
      <c r="O242" s="64">
        <f>O241+O243</f>
        <v>25</v>
      </c>
      <c r="P242" s="64">
        <f>P241+P243</f>
        <v>31</v>
      </c>
      <c r="Q242" s="107" t="s">
        <v>432</v>
      </c>
      <c r="R242" s="64">
        <f>R241+R243</f>
        <v>29</v>
      </c>
      <c r="S242" s="109" t="s">
        <v>2209</v>
      </c>
      <c r="T242" s="107" t="s">
        <v>432</v>
      </c>
      <c r="U242" s="64">
        <f>U241+U243</f>
        <v>35</v>
      </c>
      <c r="V242" s="109" t="s">
        <v>2209</v>
      </c>
      <c r="W242" s="64">
        <f t="shared" ref="W242:AD242" si="51">W241+W243</f>
        <v>23.04</v>
      </c>
      <c r="X242" s="64">
        <f t="shared" si="51"/>
        <v>17.41</v>
      </c>
      <c r="Y242" s="64">
        <f t="shared" si="51"/>
        <v>26.3</v>
      </c>
      <c r="Z242" s="64">
        <f t="shared" si="51"/>
        <v>32.51</v>
      </c>
      <c r="AA242" s="64">
        <f t="shared" si="51"/>
        <v>19</v>
      </c>
      <c r="AB242" s="64">
        <f t="shared" si="51"/>
        <v>25.53</v>
      </c>
      <c r="AC242" s="64">
        <f t="shared" si="51"/>
        <v>19.549999999999997</v>
      </c>
      <c r="AD242" s="64">
        <f t="shared" si="51"/>
        <v>42.15</v>
      </c>
      <c r="AE242" s="107" t="s">
        <v>2208</v>
      </c>
      <c r="AF242" s="64">
        <f>AF241+AF243</f>
        <v>42.89</v>
      </c>
      <c r="AG242" s="64">
        <f>AG241+AG243</f>
        <v>44.4</v>
      </c>
      <c r="AH242" s="107" t="s">
        <v>2208</v>
      </c>
      <c r="AI242" s="64">
        <f>AI241+AI243</f>
        <v>60</v>
      </c>
      <c r="AJ242" s="107" t="s">
        <v>2208</v>
      </c>
      <c r="AK242" s="64">
        <f>AK241+AK243</f>
        <v>47</v>
      </c>
      <c r="AL242" s="600" t="s">
        <v>432</v>
      </c>
      <c r="AM242" s="137" t="s">
        <v>432</v>
      </c>
      <c r="AN242" s="137" t="s">
        <v>432</v>
      </c>
      <c r="AO242" s="137" t="s">
        <v>432</v>
      </c>
      <c r="AP242" s="137" t="s">
        <v>432</v>
      </c>
      <c r="AQ242" s="137" t="s">
        <v>432</v>
      </c>
      <c r="AR242" s="137" t="s">
        <v>432</v>
      </c>
      <c r="AS242" s="137" t="s">
        <v>432</v>
      </c>
      <c r="AT242" s="137" t="s">
        <v>432</v>
      </c>
      <c r="AU242" s="137" t="s">
        <v>432</v>
      </c>
      <c r="AV242" s="137" t="s">
        <v>432</v>
      </c>
      <c r="AW242" s="137" t="s">
        <v>432</v>
      </c>
      <c r="AX242" s="137" t="s">
        <v>432</v>
      </c>
      <c r="AY242" s="137" t="s">
        <v>432</v>
      </c>
      <c r="AZ242" s="137" t="s">
        <v>432</v>
      </c>
      <c r="BA242" s="137" t="s">
        <v>432</v>
      </c>
      <c r="BB242" s="239" t="str">
        <f t="shared" si="47"/>
        <v>Avaliações em pesquisas externas de opiniãox</v>
      </c>
      <c r="BC242" s="239" t="str">
        <f t="shared" si="48"/>
        <v>Avaliações em pesquisas externas de opiniãoxx</v>
      </c>
      <c r="BD242" s="239" t="str">
        <f t="shared" si="49"/>
        <v>Avaliações em pesquisas externas de opiniãox</v>
      </c>
    </row>
    <row r="243" spans="1:56" s="3" customFormat="1" ht="51" customHeight="1" x14ac:dyDescent="0.25">
      <c r="A243" s="275" t="str">
        <f>'Q100b-totais'!$B$26</f>
        <v>3.2.1</v>
      </c>
      <c r="B243" s="53" t="str">
        <f>'Q100b-totais'!$C$26</f>
        <v>Avaliações em pesquisas externas de opinião</v>
      </c>
      <c r="C243" s="167" t="s">
        <v>432</v>
      </c>
      <c r="D243" s="323" t="s">
        <v>115</v>
      </c>
      <c r="E243" s="1505" t="s">
        <v>1306</v>
      </c>
      <c r="F243" s="14" t="s">
        <v>1505</v>
      </c>
      <c r="G243" s="110" t="s">
        <v>18</v>
      </c>
      <c r="H243" s="173" t="s">
        <v>432</v>
      </c>
      <c r="I243" s="167">
        <v>1</v>
      </c>
      <c r="J243" s="107" t="s">
        <v>432</v>
      </c>
      <c r="K243" s="107" t="s">
        <v>432</v>
      </c>
      <c r="L243" s="107" t="s">
        <v>432</v>
      </c>
      <c r="M243" s="107" t="s">
        <v>432</v>
      </c>
      <c r="N243" s="107" t="s">
        <v>432</v>
      </c>
      <c r="O243" s="83">
        <v>10</v>
      </c>
      <c r="P243" s="84">
        <v>13.4</v>
      </c>
      <c r="Q243" s="107" t="s">
        <v>432</v>
      </c>
      <c r="R243" s="83">
        <v>13.5</v>
      </c>
      <c r="S243" s="109" t="s">
        <v>2209</v>
      </c>
      <c r="T243" s="107" t="s">
        <v>432</v>
      </c>
      <c r="U243" s="83">
        <v>16</v>
      </c>
      <c r="V243" s="109" t="s">
        <v>2209</v>
      </c>
      <c r="W243" s="83">
        <v>14.84</v>
      </c>
      <c r="X243" s="83">
        <v>11.11</v>
      </c>
      <c r="Y243" s="83">
        <v>14</v>
      </c>
      <c r="Z243" s="83">
        <v>14.1</v>
      </c>
      <c r="AA243" s="83">
        <v>9</v>
      </c>
      <c r="AB243" s="83">
        <v>14.05</v>
      </c>
      <c r="AC243" s="83">
        <v>11.7</v>
      </c>
      <c r="AD243" s="83">
        <v>22.15</v>
      </c>
      <c r="AE243" s="107" t="s">
        <v>2208</v>
      </c>
      <c r="AF243" s="83">
        <v>26.89</v>
      </c>
      <c r="AG243" s="83">
        <v>22.13</v>
      </c>
      <c r="AH243" s="107" t="s">
        <v>2208</v>
      </c>
      <c r="AI243" s="83">
        <v>24</v>
      </c>
      <c r="AJ243" s="107" t="s">
        <v>2208</v>
      </c>
      <c r="AK243" s="85">
        <v>23</v>
      </c>
      <c r="AL243" s="600" t="s">
        <v>432</v>
      </c>
      <c r="AM243" s="137" t="s">
        <v>432</v>
      </c>
      <c r="AN243" s="137" t="s">
        <v>432</v>
      </c>
      <c r="AO243" s="137" t="s">
        <v>432</v>
      </c>
      <c r="AP243" s="137" t="s">
        <v>432</v>
      </c>
      <c r="AQ243" s="137" t="s">
        <v>432</v>
      </c>
      <c r="AR243" s="137" t="s">
        <v>432</v>
      </c>
      <c r="AS243" s="137" t="s">
        <v>432</v>
      </c>
      <c r="AT243" s="137" t="s">
        <v>432</v>
      </c>
      <c r="AU243" s="137" t="s">
        <v>432</v>
      </c>
      <c r="AV243" s="137" t="s">
        <v>432</v>
      </c>
      <c r="AW243" s="137" t="s">
        <v>432</v>
      </c>
      <c r="AX243" s="137" t="s">
        <v>432</v>
      </c>
      <c r="AY243" s="137" t="s">
        <v>432</v>
      </c>
      <c r="AZ243" s="137" t="s">
        <v>432</v>
      </c>
      <c r="BA243" s="137" t="s">
        <v>432</v>
      </c>
      <c r="BB243" s="239" t="str">
        <f t="shared" si="47"/>
        <v>Avaliações em pesquisas externas de opiniãox</v>
      </c>
      <c r="BC243" s="239" t="str">
        <f t="shared" si="48"/>
        <v>Avaliações em pesquisas externas de opiniãoxx</v>
      </c>
      <c r="BD243" s="239" t="str">
        <f t="shared" si="49"/>
        <v>Avaliações em pesquisas externas de opiniãox</v>
      </c>
    </row>
    <row r="244" spans="1:56" s="1" customFormat="1" ht="25.5" x14ac:dyDescent="0.25">
      <c r="A244" s="262" t="s">
        <v>432</v>
      </c>
      <c r="B244" s="252" t="s">
        <v>742</v>
      </c>
      <c r="C244" s="167" t="s">
        <v>432</v>
      </c>
      <c r="D244" s="324" t="s">
        <v>5467</v>
      </c>
      <c r="E244" s="1508" t="s">
        <v>1306</v>
      </c>
      <c r="F244" s="1205" t="s">
        <v>5469</v>
      </c>
      <c r="G244" s="230" t="s">
        <v>3879</v>
      </c>
      <c r="H244" s="167" t="s">
        <v>432</v>
      </c>
      <c r="I244" s="167" t="s">
        <v>432</v>
      </c>
      <c r="J244" s="107" t="s">
        <v>432</v>
      </c>
      <c r="K244" s="107" t="s">
        <v>432</v>
      </c>
      <c r="L244" s="107" t="s">
        <v>432</v>
      </c>
      <c r="M244" s="107" t="s">
        <v>432</v>
      </c>
      <c r="N244" s="107" t="s">
        <v>432</v>
      </c>
      <c r="O244" s="107" t="s">
        <v>432</v>
      </c>
      <c r="P244" s="107" t="s">
        <v>432</v>
      </c>
      <c r="Q244" s="107" t="s">
        <v>432</v>
      </c>
      <c r="R244" s="107" t="s">
        <v>432</v>
      </c>
      <c r="S244" s="109" t="s">
        <v>2209</v>
      </c>
      <c r="T244" s="107" t="s">
        <v>432</v>
      </c>
      <c r="U244" s="107" t="s">
        <v>432</v>
      </c>
      <c r="V244" s="109" t="s">
        <v>2209</v>
      </c>
      <c r="W244" s="107" t="s">
        <v>432</v>
      </c>
      <c r="X244" s="107" t="s">
        <v>432</v>
      </c>
      <c r="Y244" s="107" t="s">
        <v>432</v>
      </c>
      <c r="Z244" s="107" t="s">
        <v>432</v>
      </c>
      <c r="AA244" s="107" t="s">
        <v>432</v>
      </c>
      <c r="AB244" s="107" t="s">
        <v>432</v>
      </c>
      <c r="AC244" s="107" t="s">
        <v>432</v>
      </c>
      <c r="AD244" s="107" t="s">
        <v>432</v>
      </c>
      <c r="AE244" s="107" t="s">
        <v>432</v>
      </c>
      <c r="AF244" s="107" t="s">
        <v>432</v>
      </c>
      <c r="AG244" s="107" t="s">
        <v>432</v>
      </c>
      <c r="AH244" s="107" t="s">
        <v>432</v>
      </c>
      <c r="AI244" s="107" t="s">
        <v>432</v>
      </c>
      <c r="AJ244" s="107" t="s">
        <v>432</v>
      </c>
      <c r="AK244" s="107" t="s">
        <v>432</v>
      </c>
      <c r="AL244" s="600" t="s">
        <v>432</v>
      </c>
      <c r="AM244" s="137" t="s">
        <v>432</v>
      </c>
      <c r="AN244" s="137" t="s">
        <v>432</v>
      </c>
      <c r="AO244" s="137" t="s">
        <v>432</v>
      </c>
      <c r="AP244" s="137" t="s">
        <v>432</v>
      </c>
      <c r="AQ244" s="137" t="s">
        <v>432</v>
      </c>
      <c r="AR244" s="137" t="s">
        <v>432</v>
      </c>
      <c r="AS244" s="137" t="s">
        <v>432</v>
      </c>
      <c r="AT244" s="137" t="s">
        <v>432</v>
      </c>
      <c r="AU244" s="137" t="s">
        <v>432</v>
      </c>
      <c r="AV244" s="137" t="s">
        <v>432</v>
      </c>
      <c r="AW244" s="137" t="s">
        <v>432</v>
      </c>
      <c r="AX244" s="137" t="s">
        <v>432</v>
      </c>
      <c r="AY244" s="137" t="s">
        <v>432</v>
      </c>
      <c r="AZ244" s="137" t="s">
        <v>432</v>
      </c>
      <c r="BA244" s="137" t="s">
        <v>432</v>
      </c>
      <c r="BB244" s="239" t="str">
        <f t="shared" si="47"/>
        <v>geralx</v>
      </c>
      <c r="BC244" s="239" t="str">
        <f t="shared" si="48"/>
        <v>geralxx</v>
      </c>
      <c r="BD244" s="239" t="str">
        <f t="shared" si="49"/>
        <v>geralx</v>
      </c>
    </row>
    <row r="245" spans="1:56" s="3" customFormat="1" ht="25.5" x14ac:dyDescent="0.25">
      <c r="A245" s="402"/>
      <c r="B245" s="399"/>
      <c r="C245" s="399"/>
      <c r="D245" s="970"/>
      <c r="E245" s="1495"/>
      <c r="F245" s="221"/>
      <c r="G245" s="221"/>
      <c r="H245" s="221"/>
      <c r="I245" s="399"/>
      <c r="J245" s="221"/>
      <c r="K245" s="221"/>
      <c r="L245" s="221"/>
      <c r="M245" s="221"/>
      <c r="N245" s="221"/>
      <c r="O245" s="221"/>
      <c r="P245" s="221"/>
      <c r="Q245" s="221"/>
      <c r="R245" s="221"/>
      <c r="S245" s="109" t="s">
        <v>2209</v>
      </c>
      <c r="T245" s="221"/>
      <c r="U245" s="221"/>
      <c r="V245" s="109" t="s">
        <v>2209</v>
      </c>
      <c r="W245" s="221"/>
      <c r="X245" s="221"/>
      <c r="Y245" s="221"/>
      <c r="Z245" s="221"/>
      <c r="AA245" s="221"/>
      <c r="AB245" s="221"/>
      <c r="AC245" s="221"/>
      <c r="AD245" s="221"/>
      <c r="AE245" s="221"/>
      <c r="AF245" s="221"/>
      <c r="AG245" s="221"/>
      <c r="AH245" s="221"/>
      <c r="AI245" s="221"/>
      <c r="AJ245" s="221"/>
      <c r="AK245" s="221"/>
      <c r="AL245" s="600" t="s">
        <v>432</v>
      </c>
      <c r="AM245" s="221"/>
      <c r="AN245" s="221"/>
      <c r="AO245" s="223"/>
      <c r="AP245" s="223"/>
      <c r="AQ245" s="223"/>
      <c r="AR245" s="223"/>
      <c r="AS245" s="223"/>
      <c r="AT245" s="223"/>
      <c r="AU245" s="223"/>
      <c r="AV245" s="223"/>
      <c r="AW245" s="137" t="s">
        <v>432</v>
      </c>
      <c r="AX245" s="223"/>
      <c r="AY245" s="223"/>
      <c r="AZ245" s="223"/>
      <c r="BA245" s="223"/>
      <c r="BB245" s="400"/>
      <c r="BC245" s="400"/>
      <c r="BD245" s="400"/>
    </row>
    <row r="246" spans="1:56" s="3" customFormat="1" ht="75" customHeight="1" x14ac:dyDescent="0.25">
      <c r="A246" s="262" t="s">
        <v>432</v>
      </c>
      <c r="B246" s="252" t="s">
        <v>742</v>
      </c>
      <c r="C246" s="167" t="s">
        <v>743</v>
      </c>
      <c r="D246" s="972" t="s">
        <v>4665</v>
      </c>
      <c r="E246" s="1496" t="s">
        <v>1767</v>
      </c>
      <c r="F246" s="1360" t="s">
        <v>4666</v>
      </c>
      <c r="G246" s="230" t="s">
        <v>3507</v>
      </c>
      <c r="H246" s="167" t="s">
        <v>2408</v>
      </c>
      <c r="I246" s="167" t="s">
        <v>432</v>
      </c>
      <c r="J246" s="107" t="s">
        <v>432</v>
      </c>
      <c r="K246" s="107" t="s">
        <v>432</v>
      </c>
      <c r="L246" s="107" t="s">
        <v>432</v>
      </c>
      <c r="M246" s="107" t="s">
        <v>432</v>
      </c>
      <c r="N246" s="107" t="s">
        <v>432</v>
      </c>
      <c r="O246" s="107" t="s">
        <v>432</v>
      </c>
      <c r="P246" s="107" t="s">
        <v>432</v>
      </c>
      <c r="Q246" s="107" t="s">
        <v>432</v>
      </c>
      <c r="R246" s="107" t="s">
        <v>432</v>
      </c>
      <c r="S246" s="109" t="s">
        <v>2209</v>
      </c>
      <c r="T246" s="107" t="s">
        <v>432</v>
      </c>
      <c r="U246" s="107" t="s">
        <v>432</v>
      </c>
      <c r="V246" s="109" t="s">
        <v>2209</v>
      </c>
      <c r="W246" s="107" t="s">
        <v>432</v>
      </c>
      <c r="X246" s="107" t="s">
        <v>432</v>
      </c>
      <c r="Y246" s="107" t="s">
        <v>432</v>
      </c>
      <c r="Z246" s="107" t="s">
        <v>432</v>
      </c>
      <c r="AA246" s="107" t="s">
        <v>432</v>
      </c>
      <c r="AB246" s="107" t="s">
        <v>432</v>
      </c>
      <c r="AC246" s="107" t="s">
        <v>432</v>
      </c>
      <c r="AD246" s="107" t="s">
        <v>432</v>
      </c>
      <c r="AE246" s="107" t="s">
        <v>432</v>
      </c>
      <c r="AF246" s="107" t="s">
        <v>432</v>
      </c>
      <c r="AG246" s="107" t="s">
        <v>432</v>
      </c>
      <c r="AH246" s="107" t="s">
        <v>432</v>
      </c>
      <c r="AI246" s="107" t="s">
        <v>432</v>
      </c>
      <c r="AJ246" s="107" t="s">
        <v>432</v>
      </c>
      <c r="AK246" s="107" t="s">
        <v>432</v>
      </c>
      <c r="AL246" s="600" t="s">
        <v>432</v>
      </c>
      <c r="AM246" s="137" t="s">
        <v>432</v>
      </c>
      <c r="AN246" s="137" t="s">
        <v>432</v>
      </c>
      <c r="AO246" s="137" t="s">
        <v>432</v>
      </c>
      <c r="AP246" s="137" t="s">
        <v>432</v>
      </c>
      <c r="AQ246" s="137" t="s">
        <v>432</v>
      </c>
      <c r="AR246" s="137" t="s">
        <v>432</v>
      </c>
      <c r="AS246" s="137" t="s">
        <v>432</v>
      </c>
      <c r="AT246" s="137" t="s">
        <v>432</v>
      </c>
      <c r="AU246" s="137" t="s">
        <v>432</v>
      </c>
      <c r="AV246" s="137" t="s">
        <v>432</v>
      </c>
      <c r="AW246" s="137" t="s">
        <v>432</v>
      </c>
      <c r="AX246" s="137" t="s">
        <v>432</v>
      </c>
      <c r="AY246" s="137" t="s">
        <v>432</v>
      </c>
      <c r="AZ246" s="137" t="s">
        <v>432</v>
      </c>
      <c r="BA246" s="137" t="s">
        <v>432</v>
      </c>
      <c r="BB246" s="239" t="str">
        <f>B246&amp;C246</f>
        <v>geralacessibilidade</v>
      </c>
      <c r="BC246" s="239" t="str">
        <f>B246&amp;C246&amp;H246</f>
        <v>geralacessibilidadesigla/verbete</v>
      </c>
      <c r="BD246" s="239" t="str">
        <f>B246&amp;H246</f>
        <v>geralsigla/verbete</v>
      </c>
    </row>
    <row r="247" spans="1:56" s="521" customFormat="1" ht="31.5" x14ac:dyDescent="0.25">
      <c r="A247" s="262" t="s">
        <v>432</v>
      </c>
      <c r="B247" s="252" t="s">
        <v>742</v>
      </c>
      <c r="C247" s="167" t="s">
        <v>432</v>
      </c>
      <c r="D247" s="324" t="s">
        <v>4674</v>
      </c>
      <c r="E247" s="254" t="s">
        <v>1767</v>
      </c>
      <c r="F247" s="11" t="s">
        <v>2957</v>
      </c>
      <c r="G247" s="11" t="s">
        <v>678</v>
      </c>
      <c r="H247" s="11"/>
      <c r="I247" s="252"/>
      <c r="J247" s="11"/>
      <c r="K247" s="11"/>
      <c r="L247" s="11"/>
      <c r="M247" s="11"/>
      <c r="N247" s="11"/>
      <c r="O247" s="11"/>
      <c r="P247" s="11"/>
      <c r="Q247" s="11"/>
      <c r="R247" s="11"/>
      <c r="S247" s="109" t="s">
        <v>2209</v>
      </c>
      <c r="T247" s="11"/>
      <c r="U247" s="11"/>
      <c r="V247" s="109" t="s">
        <v>2209</v>
      </c>
      <c r="W247" s="11"/>
      <c r="X247" s="11"/>
      <c r="Y247" s="11"/>
      <c r="Z247" s="11"/>
      <c r="AA247" s="11"/>
      <c r="AB247" s="11"/>
      <c r="AC247" s="11"/>
      <c r="AD247" s="11"/>
      <c r="AE247" s="11"/>
      <c r="AF247" s="11"/>
      <c r="AG247" s="11"/>
      <c r="AH247" s="11"/>
      <c r="AI247" s="11"/>
      <c r="AJ247" s="11"/>
      <c r="AK247" s="468"/>
      <c r="AL247" s="600" t="s">
        <v>432</v>
      </c>
      <c r="AM247" s="468"/>
      <c r="AN247" s="468"/>
      <c r="AO247" s="468"/>
      <c r="AP247" s="468"/>
      <c r="AQ247" s="137" t="s">
        <v>432</v>
      </c>
      <c r="AR247" s="137" t="s">
        <v>432</v>
      </c>
      <c r="AS247" s="137" t="s">
        <v>432</v>
      </c>
      <c r="AT247" s="137" t="s">
        <v>432</v>
      </c>
      <c r="AU247" s="137" t="s">
        <v>432</v>
      </c>
      <c r="AV247" s="468"/>
      <c r="AW247" s="137" t="s">
        <v>432</v>
      </c>
      <c r="AX247" s="468"/>
      <c r="AY247" s="468"/>
      <c r="AZ247" s="468"/>
      <c r="BA247" s="468"/>
      <c r="BB247" s="239" t="str">
        <f>B247&amp;C247</f>
        <v>geralx</v>
      </c>
      <c r="BC247" s="239" t="str">
        <f>B247&amp;C247&amp;H247</f>
        <v>geralx</v>
      </c>
      <c r="BD247" s="239" t="str">
        <f>B247&amp;H247</f>
        <v>geral</v>
      </c>
    </row>
    <row r="248" spans="1:56" s="3" customFormat="1" ht="189.75" customHeight="1" x14ac:dyDescent="0.25">
      <c r="A248" s="262" t="s">
        <v>432</v>
      </c>
      <c r="B248" s="252" t="s">
        <v>742</v>
      </c>
      <c r="C248" s="167" t="s">
        <v>743</v>
      </c>
      <c r="D248" s="972" t="s">
        <v>4669</v>
      </c>
      <c r="E248" s="1496" t="s">
        <v>1767</v>
      </c>
      <c r="F248" s="1360" t="s">
        <v>4678</v>
      </c>
      <c r="G248" s="230" t="s">
        <v>3507</v>
      </c>
      <c r="H248" s="167" t="s">
        <v>2408</v>
      </c>
      <c r="I248" s="167" t="s">
        <v>432</v>
      </c>
      <c r="J248" s="107" t="s">
        <v>432</v>
      </c>
      <c r="K248" s="107" t="s">
        <v>432</v>
      </c>
      <c r="L248" s="107" t="s">
        <v>432</v>
      </c>
      <c r="M248" s="107" t="s">
        <v>432</v>
      </c>
      <c r="N248" s="107" t="s">
        <v>432</v>
      </c>
      <c r="O248" s="107" t="s">
        <v>432</v>
      </c>
      <c r="P248" s="107" t="s">
        <v>432</v>
      </c>
      <c r="Q248" s="107" t="s">
        <v>432</v>
      </c>
      <c r="R248" s="107" t="s">
        <v>432</v>
      </c>
      <c r="S248" s="109" t="s">
        <v>2209</v>
      </c>
      <c r="T248" s="107" t="s">
        <v>432</v>
      </c>
      <c r="U248" s="107" t="s">
        <v>432</v>
      </c>
      <c r="V248" s="109" t="s">
        <v>2209</v>
      </c>
      <c r="W248" s="107" t="s">
        <v>432</v>
      </c>
      <c r="X248" s="107" t="s">
        <v>432</v>
      </c>
      <c r="Y248" s="107" t="s">
        <v>432</v>
      </c>
      <c r="Z248" s="107" t="s">
        <v>432</v>
      </c>
      <c r="AA248" s="107" t="s">
        <v>432</v>
      </c>
      <c r="AB248" s="107" t="s">
        <v>432</v>
      </c>
      <c r="AC248" s="107" t="s">
        <v>432</v>
      </c>
      <c r="AD248" s="107" t="s">
        <v>432</v>
      </c>
      <c r="AE248" s="107" t="s">
        <v>432</v>
      </c>
      <c r="AF248" s="107" t="s">
        <v>432</v>
      </c>
      <c r="AG248" s="107" t="s">
        <v>432</v>
      </c>
      <c r="AH248" s="107" t="s">
        <v>432</v>
      </c>
      <c r="AI248" s="107" t="s">
        <v>432</v>
      </c>
      <c r="AJ248" s="107" t="s">
        <v>432</v>
      </c>
      <c r="AK248" s="107" t="s">
        <v>432</v>
      </c>
      <c r="AL248" s="600" t="s">
        <v>432</v>
      </c>
      <c r="AM248" s="137" t="s">
        <v>432</v>
      </c>
      <c r="AN248" s="137" t="s">
        <v>432</v>
      </c>
      <c r="AO248" s="137" t="s">
        <v>432</v>
      </c>
      <c r="AP248" s="137" t="s">
        <v>432</v>
      </c>
      <c r="AQ248" s="137" t="s">
        <v>432</v>
      </c>
      <c r="AR248" s="137" t="s">
        <v>432</v>
      </c>
      <c r="AS248" s="137" t="s">
        <v>432</v>
      </c>
      <c r="AT248" s="137" t="s">
        <v>432</v>
      </c>
      <c r="AU248" s="137" t="s">
        <v>432</v>
      </c>
      <c r="AV248" s="137" t="s">
        <v>432</v>
      </c>
      <c r="AW248" s="137" t="s">
        <v>432</v>
      </c>
      <c r="AX248" s="137" t="s">
        <v>432</v>
      </c>
      <c r="AY248" s="137" t="s">
        <v>432</v>
      </c>
      <c r="AZ248" s="137" t="s">
        <v>432</v>
      </c>
      <c r="BA248" s="137" t="s">
        <v>432</v>
      </c>
      <c r="BB248" s="239" t="str">
        <f>B248&amp;C248</f>
        <v>geralacessibilidade</v>
      </c>
      <c r="BC248" s="239" t="str">
        <f>B248&amp;C248&amp;H248</f>
        <v>geralacessibilidadesigla/verbete</v>
      </c>
      <c r="BD248" s="239" t="str">
        <f>B248&amp;H248</f>
        <v>geralsigla/verbete</v>
      </c>
    </row>
    <row r="249" spans="1:56" s="3" customFormat="1" ht="25.5" x14ac:dyDescent="0.25">
      <c r="A249" s="402"/>
      <c r="B249" s="520"/>
      <c r="C249" s="520"/>
      <c r="D249" s="973"/>
      <c r="E249" s="1493"/>
      <c r="F249" s="221"/>
      <c r="G249" s="221"/>
      <c r="H249" s="221"/>
      <c r="I249" s="399"/>
      <c r="J249" s="221"/>
      <c r="K249" s="221"/>
      <c r="L249" s="221"/>
      <c r="M249" s="221"/>
      <c r="N249" s="221"/>
      <c r="O249" s="221"/>
      <c r="P249" s="221"/>
      <c r="Q249" s="221"/>
      <c r="R249" s="221"/>
      <c r="S249" s="109" t="s">
        <v>2209</v>
      </c>
      <c r="T249" s="221"/>
      <c r="U249" s="221"/>
      <c r="V249" s="109" t="s">
        <v>2209</v>
      </c>
      <c r="W249" s="221"/>
      <c r="X249" s="221"/>
      <c r="Y249" s="221"/>
      <c r="Z249" s="221"/>
      <c r="AA249" s="221"/>
      <c r="AB249" s="221"/>
      <c r="AC249" s="221"/>
      <c r="AD249" s="221"/>
      <c r="AE249" s="221"/>
      <c r="AF249" s="221"/>
      <c r="AG249" s="221"/>
      <c r="AH249" s="221"/>
      <c r="AI249" s="221"/>
      <c r="AJ249" s="221"/>
      <c r="AK249" s="221"/>
      <c r="AL249" s="600" t="s">
        <v>432</v>
      </c>
      <c r="AM249" s="221"/>
      <c r="AN249" s="221"/>
      <c r="AO249" s="223"/>
      <c r="AP249" s="223"/>
      <c r="AQ249" s="223"/>
      <c r="AR249" s="223"/>
      <c r="AS249" s="223"/>
      <c r="AT249" s="223"/>
      <c r="AU249" s="223"/>
      <c r="AV249" s="223"/>
      <c r="AW249" s="137" t="s">
        <v>432</v>
      </c>
      <c r="AX249" s="223"/>
      <c r="AY249" s="223"/>
      <c r="AZ249" s="223"/>
      <c r="BA249" s="223"/>
      <c r="BB249" s="400"/>
      <c r="BC249" s="400"/>
      <c r="BD249" s="400"/>
    </row>
    <row r="250" spans="1:56" s="3" customFormat="1" ht="148.5" customHeight="1" x14ac:dyDescent="0.25">
      <c r="A250" s="275" t="str">
        <f>'Q100b-totais'!$B$26</f>
        <v>3.2.1</v>
      </c>
      <c r="B250" s="53" t="str">
        <f>'Q100b-totais'!$C$26</f>
        <v>Avaliações em pesquisas externas de opinião</v>
      </c>
      <c r="C250" s="167" t="s">
        <v>432</v>
      </c>
      <c r="D250" s="378" t="s">
        <v>1796</v>
      </c>
      <c r="E250" s="1506" t="s">
        <v>1767</v>
      </c>
      <c r="F250" s="461" t="s">
        <v>1794</v>
      </c>
      <c r="G250" s="110" t="s">
        <v>77</v>
      </c>
      <c r="H250" s="173" t="s">
        <v>819</v>
      </c>
      <c r="I250" s="167" t="s">
        <v>432</v>
      </c>
      <c r="J250" s="107" t="s">
        <v>432</v>
      </c>
      <c r="K250" s="107" t="s">
        <v>432</v>
      </c>
      <c r="L250" s="107" t="s">
        <v>432</v>
      </c>
      <c r="M250" s="107" t="s">
        <v>432</v>
      </c>
      <c r="N250" s="107" t="s">
        <v>432</v>
      </c>
      <c r="O250" s="107" t="s">
        <v>432</v>
      </c>
      <c r="P250" s="107" t="s">
        <v>432</v>
      </c>
      <c r="Q250" s="107" t="s">
        <v>432</v>
      </c>
      <c r="R250" s="107" t="s">
        <v>432</v>
      </c>
      <c r="S250" s="109" t="s">
        <v>2209</v>
      </c>
      <c r="T250" s="107" t="s">
        <v>432</v>
      </c>
      <c r="U250" s="107" t="s">
        <v>432</v>
      </c>
      <c r="V250" s="109" t="s">
        <v>2209</v>
      </c>
      <c r="W250" s="107" t="s">
        <v>432</v>
      </c>
      <c r="X250" s="107" t="s">
        <v>432</v>
      </c>
      <c r="Y250" s="107" t="s">
        <v>432</v>
      </c>
      <c r="Z250" s="107" t="s">
        <v>432</v>
      </c>
      <c r="AA250" s="107" t="s">
        <v>432</v>
      </c>
      <c r="AB250" s="107" t="s">
        <v>432</v>
      </c>
      <c r="AC250" s="107" t="s">
        <v>432</v>
      </c>
      <c r="AD250" s="107" t="s">
        <v>432</v>
      </c>
      <c r="AE250" s="107" t="s">
        <v>2208</v>
      </c>
      <c r="AF250" s="107" t="s">
        <v>432</v>
      </c>
      <c r="AG250" s="174">
        <v>0.3</v>
      </c>
      <c r="AH250" s="107" t="s">
        <v>2208</v>
      </c>
      <c r="AI250" s="107" t="s">
        <v>432</v>
      </c>
      <c r="AJ250" s="107" t="s">
        <v>2208</v>
      </c>
      <c r="AK250" s="107" t="s">
        <v>432</v>
      </c>
      <c r="AL250" s="600" t="s">
        <v>432</v>
      </c>
      <c r="AM250" s="137" t="s">
        <v>432</v>
      </c>
      <c r="AN250" s="137" t="s">
        <v>432</v>
      </c>
      <c r="AO250" s="137" t="s">
        <v>432</v>
      </c>
      <c r="AP250" s="137" t="s">
        <v>432</v>
      </c>
      <c r="AQ250" s="137" t="s">
        <v>432</v>
      </c>
      <c r="AR250" s="137" t="s">
        <v>432</v>
      </c>
      <c r="AS250" s="137" t="s">
        <v>432</v>
      </c>
      <c r="AT250" s="137" t="s">
        <v>432</v>
      </c>
      <c r="AU250" s="137" t="s">
        <v>432</v>
      </c>
      <c r="AV250" s="137" t="s">
        <v>432</v>
      </c>
      <c r="AW250" s="137" t="s">
        <v>432</v>
      </c>
      <c r="AX250" s="137" t="s">
        <v>432</v>
      </c>
      <c r="AY250" s="137" t="s">
        <v>432</v>
      </c>
      <c r="AZ250" s="137" t="s">
        <v>432</v>
      </c>
      <c r="BA250" s="137" t="s">
        <v>432</v>
      </c>
      <c r="BB250" s="239" t="str">
        <f>B250&amp;C250</f>
        <v>Avaliações em pesquisas externas de opiniãox</v>
      </c>
      <c r="BC250" s="239" t="str">
        <f>B250&amp;C250&amp;H250</f>
        <v>Avaliações em pesquisas externas de opiniãoxbenchmarking</v>
      </c>
      <c r="BD250" s="239" t="str">
        <f>B250&amp;H250</f>
        <v>Avaliações em pesquisas externas de opiniãobenchmarking</v>
      </c>
    </row>
    <row r="251" spans="1:56" s="3" customFormat="1" ht="148.5" customHeight="1" x14ac:dyDescent="0.25">
      <c r="A251" s="275" t="str">
        <f>'Q100b-totais'!$B$26</f>
        <v>3.2.1</v>
      </c>
      <c r="B251" s="53" t="str">
        <f>'Q100b-totais'!$C$26</f>
        <v>Avaliações em pesquisas externas de opinião</v>
      </c>
      <c r="C251" s="167" t="s">
        <v>432</v>
      </c>
      <c r="D251" s="323" t="s">
        <v>1797</v>
      </c>
      <c r="E251" s="1505" t="s">
        <v>1767</v>
      </c>
      <c r="F251" s="14" t="s">
        <v>1795</v>
      </c>
      <c r="G251" s="110" t="s">
        <v>77</v>
      </c>
      <c r="H251" s="173" t="s">
        <v>819</v>
      </c>
      <c r="I251" s="167" t="s">
        <v>432</v>
      </c>
      <c r="J251" s="107" t="s">
        <v>432</v>
      </c>
      <c r="K251" s="107" t="s">
        <v>432</v>
      </c>
      <c r="L251" s="107" t="s">
        <v>432</v>
      </c>
      <c r="M251" s="107" t="s">
        <v>432</v>
      </c>
      <c r="N251" s="107" t="s">
        <v>432</v>
      </c>
      <c r="O251" s="107" t="s">
        <v>432</v>
      </c>
      <c r="P251" s="107" t="s">
        <v>432</v>
      </c>
      <c r="Q251" s="107" t="s">
        <v>432</v>
      </c>
      <c r="R251" s="107" t="s">
        <v>432</v>
      </c>
      <c r="S251" s="109" t="s">
        <v>2209</v>
      </c>
      <c r="T251" s="107" t="s">
        <v>432</v>
      </c>
      <c r="U251" s="107" t="s">
        <v>432</v>
      </c>
      <c r="V251" s="109" t="s">
        <v>2209</v>
      </c>
      <c r="W251" s="107" t="s">
        <v>432</v>
      </c>
      <c r="X251" s="107" t="s">
        <v>432</v>
      </c>
      <c r="Y251" s="107" t="s">
        <v>432</v>
      </c>
      <c r="Z251" s="107" t="s">
        <v>432</v>
      </c>
      <c r="AA251" s="107" t="s">
        <v>432</v>
      </c>
      <c r="AB251" s="107" t="s">
        <v>432</v>
      </c>
      <c r="AC251" s="107" t="s">
        <v>432</v>
      </c>
      <c r="AD251" s="107" t="s">
        <v>432</v>
      </c>
      <c r="AE251" s="107" t="s">
        <v>2208</v>
      </c>
      <c r="AF251" s="107" t="s">
        <v>432</v>
      </c>
      <c r="AG251" s="174">
        <v>0.41</v>
      </c>
      <c r="AH251" s="107" t="s">
        <v>2208</v>
      </c>
      <c r="AI251" s="107" t="s">
        <v>432</v>
      </c>
      <c r="AJ251" s="107" t="s">
        <v>2208</v>
      </c>
      <c r="AK251" s="107" t="s">
        <v>432</v>
      </c>
      <c r="AL251" s="600" t="s">
        <v>432</v>
      </c>
      <c r="AM251" s="137" t="s">
        <v>432</v>
      </c>
      <c r="AN251" s="137" t="s">
        <v>432</v>
      </c>
      <c r="AO251" s="137" t="s">
        <v>432</v>
      </c>
      <c r="AP251" s="137" t="s">
        <v>432</v>
      </c>
      <c r="AQ251" s="137" t="s">
        <v>432</v>
      </c>
      <c r="AR251" s="137" t="s">
        <v>432</v>
      </c>
      <c r="AS251" s="137" t="s">
        <v>432</v>
      </c>
      <c r="AT251" s="137" t="s">
        <v>432</v>
      </c>
      <c r="AU251" s="137" t="s">
        <v>432</v>
      </c>
      <c r="AV251" s="137" t="s">
        <v>432</v>
      </c>
      <c r="AW251" s="137" t="s">
        <v>432</v>
      </c>
      <c r="AX251" s="137" t="s">
        <v>432</v>
      </c>
      <c r="AY251" s="137" t="s">
        <v>432</v>
      </c>
      <c r="AZ251" s="137" t="s">
        <v>432</v>
      </c>
      <c r="BA251" s="137" t="s">
        <v>432</v>
      </c>
      <c r="BB251" s="239" t="str">
        <f>B251&amp;C251</f>
        <v>Avaliações em pesquisas externas de opiniãox</v>
      </c>
      <c r="BC251" s="239" t="str">
        <f>B251&amp;C251&amp;H251</f>
        <v>Avaliações em pesquisas externas de opiniãoxbenchmarking</v>
      </c>
      <c r="BD251" s="239" t="str">
        <f>B251&amp;H251</f>
        <v>Avaliações em pesquisas externas de opiniãobenchmarking</v>
      </c>
    </row>
    <row r="252" spans="1:56" s="3" customFormat="1" ht="25.5" x14ac:dyDescent="0.25">
      <c r="A252" s="402"/>
      <c r="B252" s="399"/>
      <c r="C252" s="399"/>
      <c r="D252" s="970"/>
      <c r="E252" s="1493"/>
      <c r="F252" s="221"/>
      <c r="G252" s="221"/>
      <c r="H252" s="221"/>
      <c r="I252" s="399"/>
      <c r="J252" s="221"/>
      <c r="K252" s="221"/>
      <c r="L252" s="221"/>
      <c r="M252" s="221"/>
      <c r="N252" s="221"/>
      <c r="O252" s="221"/>
      <c r="P252" s="221"/>
      <c r="Q252" s="221"/>
      <c r="R252" s="221"/>
      <c r="S252" s="109" t="s">
        <v>2209</v>
      </c>
      <c r="T252" s="221"/>
      <c r="U252" s="221"/>
      <c r="V252" s="109" t="s">
        <v>2209</v>
      </c>
      <c r="W252" s="221"/>
      <c r="X252" s="221"/>
      <c r="Y252" s="221"/>
      <c r="Z252" s="221"/>
      <c r="AA252" s="221"/>
      <c r="AB252" s="221"/>
      <c r="AC252" s="221"/>
      <c r="AD252" s="221"/>
      <c r="AE252" s="221"/>
      <c r="AF252" s="221"/>
      <c r="AG252" s="221"/>
      <c r="AH252" s="221"/>
      <c r="AI252" s="221"/>
      <c r="AJ252" s="221"/>
      <c r="AK252" s="223"/>
      <c r="AL252" s="600" t="s">
        <v>432</v>
      </c>
      <c r="AM252" s="223"/>
      <c r="AN252" s="223"/>
      <c r="AO252" s="223"/>
      <c r="AP252" s="223"/>
      <c r="AQ252" s="223"/>
      <c r="AR252" s="137" t="s">
        <v>432</v>
      </c>
      <c r="AS252" s="137" t="s">
        <v>432</v>
      </c>
      <c r="AT252" s="137" t="s">
        <v>432</v>
      </c>
      <c r="AU252" s="137" t="s">
        <v>432</v>
      </c>
      <c r="AV252" s="223"/>
      <c r="AW252" s="137" t="s">
        <v>432</v>
      </c>
      <c r="AX252" s="223"/>
      <c r="AY252" s="223"/>
      <c r="AZ252" s="223"/>
      <c r="BA252" s="223"/>
      <c r="BB252" s="400"/>
      <c r="BC252" s="400"/>
      <c r="BD252" s="400"/>
    </row>
    <row r="253" spans="1:56" s="3" customFormat="1" ht="66" customHeight="1" x14ac:dyDescent="0.25">
      <c r="A253" s="275" t="str">
        <f>A256</f>
        <v>3.2.2</v>
      </c>
      <c r="B253" s="1172" t="str">
        <f>B256</f>
        <v>Outras questões em pesquisas externas de opinião</v>
      </c>
      <c r="C253" s="167" t="s">
        <v>432</v>
      </c>
      <c r="D253" s="378" t="s">
        <v>1813</v>
      </c>
      <c r="E253" s="1506" t="s">
        <v>1767</v>
      </c>
      <c r="F253" s="497" t="s">
        <v>1812</v>
      </c>
      <c r="G253" s="110" t="s">
        <v>77</v>
      </c>
      <c r="H253" s="173" t="s">
        <v>819</v>
      </c>
      <c r="I253" s="167" t="s">
        <v>432</v>
      </c>
      <c r="J253" s="107" t="s">
        <v>432</v>
      </c>
      <c r="K253" s="107" t="s">
        <v>432</v>
      </c>
      <c r="L253" s="107" t="s">
        <v>432</v>
      </c>
      <c r="M253" s="107" t="s">
        <v>432</v>
      </c>
      <c r="N253" s="107" t="s">
        <v>432</v>
      </c>
      <c r="O253" s="107" t="s">
        <v>432</v>
      </c>
      <c r="P253" s="107" t="s">
        <v>432</v>
      </c>
      <c r="Q253" s="107" t="s">
        <v>432</v>
      </c>
      <c r="R253" s="107" t="s">
        <v>432</v>
      </c>
      <c r="S253" s="109" t="s">
        <v>2209</v>
      </c>
      <c r="T253" s="107" t="s">
        <v>432</v>
      </c>
      <c r="U253" s="107" t="s">
        <v>432</v>
      </c>
      <c r="V253" s="109" t="s">
        <v>2209</v>
      </c>
      <c r="W253" s="107" t="s">
        <v>432</v>
      </c>
      <c r="X253" s="107" t="s">
        <v>432</v>
      </c>
      <c r="Y253" s="107" t="s">
        <v>432</v>
      </c>
      <c r="Z253" s="107" t="s">
        <v>432</v>
      </c>
      <c r="AA253" s="107" t="s">
        <v>432</v>
      </c>
      <c r="AB253" s="107" t="s">
        <v>432</v>
      </c>
      <c r="AC253" s="107" t="s">
        <v>432</v>
      </c>
      <c r="AD253" s="107" t="s">
        <v>432</v>
      </c>
      <c r="AE253" s="107" t="s">
        <v>2208</v>
      </c>
      <c r="AF253" s="107" t="s">
        <v>432</v>
      </c>
      <c r="AG253" s="174">
        <v>0.33</v>
      </c>
      <c r="AH253" s="107" t="s">
        <v>2208</v>
      </c>
      <c r="AI253" s="107" t="s">
        <v>432</v>
      </c>
      <c r="AJ253" s="107" t="s">
        <v>2208</v>
      </c>
      <c r="AK253" s="107" t="s">
        <v>432</v>
      </c>
      <c r="AL253" s="600" t="s">
        <v>432</v>
      </c>
      <c r="AM253" s="137" t="s">
        <v>432</v>
      </c>
      <c r="AN253" s="137" t="s">
        <v>432</v>
      </c>
      <c r="AO253" s="137" t="s">
        <v>432</v>
      </c>
      <c r="AP253" s="137" t="s">
        <v>432</v>
      </c>
      <c r="AQ253" s="137" t="s">
        <v>432</v>
      </c>
      <c r="AR253" s="137" t="s">
        <v>432</v>
      </c>
      <c r="AS253" s="137" t="s">
        <v>432</v>
      </c>
      <c r="AT253" s="137" t="s">
        <v>432</v>
      </c>
      <c r="AU253" s="137" t="s">
        <v>432</v>
      </c>
      <c r="AV253" s="137" t="s">
        <v>432</v>
      </c>
      <c r="AW253" s="137" t="s">
        <v>432</v>
      </c>
      <c r="AX253" s="137" t="s">
        <v>432</v>
      </c>
      <c r="AY253" s="137" t="s">
        <v>432</v>
      </c>
      <c r="AZ253" s="137" t="s">
        <v>432</v>
      </c>
      <c r="BA253" s="137" t="s">
        <v>432</v>
      </c>
      <c r="BB253" s="239" t="str">
        <f t="shared" ref="BB253:BB261" si="52">B253&amp;C253</f>
        <v>Outras questões em pesquisas externas de opiniãox</v>
      </c>
      <c r="BC253" s="239" t="str">
        <f t="shared" ref="BC253:BC261" si="53">B253&amp;C253&amp;H253</f>
        <v>Outras questões em pesquisas externas de opiniãoxbenchmarking</v>
      </c>
      <c r="BD253" s="239" t="str">
        <f t="shared" ref="BD253:BD261" si="54">B253&amp;H253</f>
        <v>Outras questões em pesquisas externas de opiniãobenchmarking</v>
      </c>
    </row>
    <row r="254" spans="1:56" s="3" customFormat="1" ht="66" customHeight="1" x14ac:dyDescent="0.25">
      <c r="A254" s="275" t="str">
        <f>A256</f>
        <v>3.2.2</v>
      </c>
      <c r="B254" s="1172" t="str">
        <f>B256</f>
        <v>Outras questões em pesquisas externas de opinião</v>
      </c>
      <c r="C254" s="167" t="s">
        <v>432</v>
      </c>
      <c r="D254" s="378" t="s">
        <v>1814</v>
      </c>
      <c r="E254" s="1506" t="s">
        <v>1767</v>
      </c>
      <c r="F254" s="497" t="s">
        <v>1816</v>
      </c>
      <c r="G254" s="110" t="s">
        <v>77</v>
      </c>
      <c r="H254" s="173" t="s">
        <v>819</v>
      </c>
      <c r="I254" s="167" t="s">
        <v>432</v>
      </c>
      <c r="J254" s="107" t="s">
        <v>432</v>
      </c>
      <c r="K254" s="107" t="s">
        <v>432</v>
      </c>
      <c r="L254" s="107" t="s">
        <v>432</v>
      </c>
      <c r="M254" s="107" t="s">
        <v>432</v>
      </c>
      <c r="N254" s="107" t="s">
        <v>432</v>
      </c>
      <c r="O254" s="107" t="s">
        <v>432</v>
      </c>
      <c r="P254" s="107" t="s">
        <v>432</v>
      </c>
      <c r="Q254" s="107" t="s">
        <v>432</v>
      </c>
      <c r="R254" s="107" t="s">
        <v>432</v>
      </c>
      <c r="S254" s="109" t="s">
        <v>2209</v>
      </c>
      <c r="T254" s="107" t="s">
        <v>432</v>
      </c>
      <c r="U254" s="107" t="s">
        <v>432</v>
      </c>
      <c r="V254" s="109" t="s">
        <v>2209</v>
      </c>
      <c r="W254" s="107" t="s">
        <v>432</v>
      </c>
      <c r="X254" s="107" t="s">
        <v>432</v>
      </c>
      <c r="Y254" s="107" t="s">
        <v>432</v>
      </c>
      <c r="Z254" s="107" t="s">
        <v>432</v>
      </c>
      <c r="AA254" s="107" t="s">
        <v>432</v>
      </c>
      <c r="AB254" s="107" t="s">
        <v>432</v>
      </c>
      <c r="AC254" s="107" t="s">
        <v>432</v>
      </c>
      <c r="AD254" s="107" t="s">
        <v>432</v>
      </c>
      <c r="AE254" s="107" t="s">
        <v>2208</v>
      </c>
      <c r="AF254" s="107" t="s">
        <v>432</v>
      </c>
      <c r="AG254" s="174">
        <v>0.28999999999999998</v>
      </c>
      <c r="AH254" s="107" t="s">
        <v>2208</v>
      </c>
      <c r="AI254" s="107" t="s">
        <v>432</v>
      </c>
      <c r="AJ254" s="107" t="s">
        <v>2208</v>
      </c>
      <c r="AK254" s="107" t="s">
        <v>432</v>
      </c>
      <c r="AL254" s="600" t="s">
        <v>432</v>
      </c>
      <c r="AM254" s="137" t="s">
        <v>432</v>
      </c>
      <c r="AN254" s="137" t="s">
        <v>432</v>
      </c>
      <c r="AO254" s="137" t="s">
        <v>432</v>
      </c>
      <c r="AP254" s="137" t="s">
        <v>432</v>
      </c>
      <c r="AQ254" s="137" t="s">
        <v>432</v>
      </c>
      <c r="AR254" s="137" t="s">
        <v>432</v>
      </c>
      <c r="AS254" s="137" t="s">
        <v>432</v>
      </c>
      <c r="AT254" s="137" t="s">
        <v>432</v>
      </c>
      <c r="AU254" s="137" t="s">
        <v>432</v>
      </c>
      <c r="AV254" s="137" t="s">
        <v>432</v>
      </c>
      <c r="AW254" s="137" t="s">
        <v>432</v>
      </c>
      <c r="AX254" s="137" t="s">
        <v>432</v>
      </c>
      <c r="AY254" s="137" t="s">
        <v>432</v>
      </c>
      <c r="AZ254" s="137" t="s">
        <v>432</v>
      </c>
      <c r="BA254" s="137" t="s">
        <v>432</v>
      </c>
      <c r="BB254" s="239" t="str">
        <f t="shared" si="52"/>
        <v>Outras questões em pesquisas externas de opiniãox</v>
      </c>
      <c r="BC254" s="239" t="str">
        <f t="shared" si="53"/>
        <v>Outras questões em pesquisas externas de opiniãoxbenchmarking</v>
      </c>
      <c r="BD254" s="239" t="str">
        <f t="shared" si="54"/>
        <v>Outras questões em pesquisas externas de opiniãobenchmarking</v>
      </c>
    </row>
    <row r="255" spans="1:56" s="3" customFormat="1" ht="66" customHeight="1" x14ac:dyDescent="0.25">
      <c r="A255" s="275" t="str">
        <f>A256</f>
        <v>3.2.2</v>
      </c>
      <c r="B255" s="1172" t="str">
        <f>B256</f>
        <v>Outras questões em pesquisas externas de opinião</v>
      </c>
      <c r="C255" s="167" t="s">
        <v>432</v>
      </c>
      <c r="D255" s="378" t="s">
        <v>1815</v>
      </c>
      <c r="E255" s="1506" t="s">
        <v>1767</v>
      </c>
      <c r="F255" s="497" t="s">
        <v>1817</v>
      </c>
      <c r="G255" s="110" t="s">
        <v>77</v>
      </c>
      <c r="H255" s="173" t="s">
        <v>819</v>
      </c>
      <c r="I255" s="167" t="s">
        <v>432</v>
      </c>
      <c r="J255" s="107" t="s">
        <v>432</v>
      </c>
      <c r="K255" s="107" t="s">
        <v>432</v>
      </c>
      <c r="L255" s="107" t="s">
        <v>432</v>
      </c>
      <c r="M255" s="107" t="s">
        <v>432</v>
      </c>
      <c r="N255" s="107" t="s">
        <v>432</v>
      </c>
      <c r="O255" s="107" t="s">
        <v>432</v>
      </c>
      <c r="P255" s="107" t="s">
        <v>432</v>
      </c>
      <c r="Q255" s="107" t="s">
        <v>432</v>
      </c>
      <c r="R255" s="107" t="s">
        <v>432</v>
      </c>
      <c r="S255" s="109" t="s">
        <v>2209</v>
      </c>
      <c r="T255" s="107" t="s">
        <v>432</v>
      </c>
      <c r="U255" s="107" t="s">
        <v>432</v>
      </c>
      <c r="V255" s="109" t="s">
        <v>2209</v>
      </c>
      <c r="W255" s="107" t="s">
        <v>432</v>
      </c>
      <c r="X255" s="107" t="s">
        <v>432</v>
      </c>
      <c r="Y255" s="107" t="s">
        <v>432</v>
      </c>
      <c r="Z255" s="107" t="s">
        <v>432</v>
      </c>
      <c r="AA255" s="107" t="s">
        <v>432</v>
      </c>
      <c r="AB255" s="107" t="s">
        <v>432</v>
      </c>
      <c r="AC255" s="107" t="s">
        <v>432</v>
      </c>
      <c r="AD255" s="107" t="s">
        <v>432</v>
      </c>
      <c r="AE255" s="107" t="s">
        <v>2208</v>
      </c>
      <c r="AF255" s="107" t="s">
        <v>432</v>
      </c>
      <c r="AG255" s="174">
        <v>0.25</v>
      </c>
      <c r="AH255" s="107" t="s">
        <v>2208</v>
      </c>
      <c r="AI255" s="107" t="s">
        <v>432</v>
      </c>
      <c r="AJ255" s="107" t="s">
        <v>2208</v>
      </c>
      <c r="AK255" s="107" t="s">
        <v>432</v>
      </c>
      <c r="AL255" s="600" t="s">
        <v>432</v>
      </c>
      <c r="AM255" s="137" t="s">
        <v>432</v>
      </c>
      <c r="AN255" s="137" t="s">
        <v>432</v>
      </c>
      <c r="AO255" s="137" t="s">
        <v>432</v>
      </c>
      <c r="AP255" s="137" t="s">
        <v>432</v>
      </c>
      <c r="AQ255" s="137" t="s">
        <v>432</v>
      </c>
      <c r="AR255" s="137" t="s">
        <v>432</v>
      </c>
      <c r="AS255" s="137" t="s">
        <v>432</v>
      </c>
      <c r="AT255" s="137" t="s">
        <v>432</v>
      </c>
      <c r="AU255" s="137" t="s">
        <v>432</v>
      </c>
      <c r="AV255" s="137" t="s">
        <v>432</v>
      </c>
      <c r="AW255" s="137" t="s">
        <v>432</v>
      </c>
      <c r="AX255" s="137" t="s">
        <v>432</v>
      </c>
      <c r="AY255" s="137" t="s">
        <v>432</v>
      </c>
      <c r="AZ255" s="137" t="s">
        <v>432</v>
      </c>
      <c r="BA255" s="137" t="s">
        <v>432</v>
      </c>
      <c r="BB255" s="239" t="str">
        <f t="shared" si="52"/>
        <v>Outras questões em pesquisas externas de opiniãox</v>
      </c>
      <c r="BC255" s="239" t="str">
        <f t="shared" si="53"/>
        <v>Outras questões em pesquisas externas de opiniãoxbenchmarking</v>
      </c>
      <c r="BD255" s="239" t="str">
        <f t="shared" si="54"/>
        <v>Outras questões em pesquisas externas de opiniãobenchmarking</v>
      </c>
    </row>
    <row r="256" spans="1:56" s="3" customFormat="1" ht="66" customHeight="1" x14ac:dyDescent="0.25">
      <c r="A256" s="275" t="str">
        <f>'Q100b-totais'!B27</f>
        <v>3.2.2</v>
      </c>
      <c r="B256" s="1172" t="str">
        <f>'Q100b-totais'!C27</f>
        <v>Outras questões em pesquisas externas de opinião</v>
      </c>
      <c r="C256" s="167" t="s">
        <v>432</v>
      </c>
      <c r="D256" s="378" t="s">
        <v>1802</v>
      </c>
      <c r="E256" s="1506" t="s">
        <v>1767</v>
      </c>
      <c r="F256" s="497" t="s">
        <v>1818</v>
      </c>
      <c r="G256" s="110" t="s">
        <v>77</v>
      </c>
      <c r="H256" s="173" t="s">
        <v>819</v>
      </c>
      <c r="I256" s="167" t="s">
        <v>432</v>
      </c>
      <c r="J256" s="107" t="s">
        <v>432</v>
      </c>
      <c r="K256" s="107" t="s">
        <v>432</v>
      </c>
      <c r="L256" s="107" t="s">
        <v>432</v>
      </c>
      <c r="M256" s="107" t="s">
        <v>432</v>
      </c>
      <c r="N256" s="107" t="s">
        <v>432</v>
      </c>
      <c r="O256" s="107" t="s">
        <v>432</v>
      </c>
      <c r="P256" s="107" t="s">
        <v>432</v>
      </c>
      <c r="Q256" s="107" t="s">
        <v>432</v>
      </c>
      <c r="R256" s="107" t="s">
        <v>432</v>
      </c>
      <c r="S256" s="109" t="s">
        <v>2209</v>
      </c>
      <c r="T256" s="107" t="s">
        <v>432</v>
      </c>
      <c r="U256" s="107" t="s">
        <v>432</v>
      </c>
      <c r="V256" s="109" t="s">
        <v>2209</v>
      </c>
      <c r="W256" s="107" t="s">
        <v>432</v>
      </c>
      <c r="X256" s="107" t="s">
        <v>432</v>
      </c>
      <c r="Y256" s="107" t="s">
        <v>432</v>
      </c>
      <c r="Z256" s="107" t="s">
        <v>432</v>
      </c>
      <c r="AA256" s="107" t="s">
        <v>432</v>
      </c>
      <c r="AB256" s="107" t="s">
        <v>432</v>
      </c>
      <c r="AC256" s="107" t="s">
        <v>432</v>
      </c>
      <c r="AD256" s="107" t="s">
        <v>432</v>
      </c>
      <c r="AE256" s="107" t="s">
        <v>2208</v>
      </c>
      <c r="AF256" s="107" t="s">
        <v>432</v>
      </c>
      <c r="AG256" s="174">
        <v>0.31</v>
      </c>
      <c r="AH256" s="107" t="s">
        <v>2208</v>
      </c>
      <c r="AI256" s="107" t="s">
        <v>432</v>
      </c>
      <c r="AJ256" s="107" t="s">
        <v>2208</v>
      </c>
      <c r="AK256" s="107" t="s">
        <v>432</v>
      </c>
      <c r="AL256" s="600" t="s">
        <v>432</v>
      </c>
      <c r="AM256" s="137" t="s">
        <v>432</v>
      </c>
      <c r="AN256" s="137" t="s">
        <v>432</v>
      </c>
      <c r="AO256" s="137" t="s">
        <v>432</v>
      </c>
      <c r="AP256" s="137" t="s">
        <v>432</v>
      </c>
      <c r="AQ256" s="137" t="s">
        <v>432</v>
      </c>
      <c r="AR256" s="137" t="s">
        <v>432</v>
      </c>
      <c r="AS256" s="137" t="s">
        <v>432</v>
      </c>
      <c r="AT256" s="137" t="s">
        <v>432</v>
      </c>
      <c r="AU256" s="137" t="s">
        <v>432</v>
      </c>
      <c r="AV256" s="137" t="s">
        <v>432</v>
      </c>
      <c r="AW256" s="137" t="s">
        <v>432</v>
      </c>
      <c r="AX256" s="137" t="s">
        <v>432</v>
      </c>
      <c r="AY256" s="137" t="s">
        <v>432</v>
      </c>
      <c r="AZ256" s="137" t="s">
        <v>432</v>
      </c>
      <c r="BA256" s="137" t="s">
        <v>432</v>
      </c>
      <c r="BB256" s="239" t="str">
        <f t="shared" si="52"/>
        <v>Outras questões em pesquisas externas de opiniãox</v>
      </c>
      <c r="BC256" s="239" t="str">
        <f t="shared" si="53"/>
        <v>Outras questões em pesquisas externas de opiniãoxbenchmarking</v>
      </c>
      <c r="BD256" s="239" t="str">
        <f t="shared" si="54"/>
        <v>Outras questões em pesquisas externas de opiniãobenchmarking</v>
      </c>
    </row>
    <row r="257" spans="1:56" s="3" customFormat="1" ht="74.25" customHeight="1" x14ac:dyDescent="0.25">
      <c r="A257" s="275" t="str">
        <f>A256</f>
        <v>3.2.2</v>
      </c>
      <c r="B257" s="53" t="str">
        <f>B256</f>
        <v>Outras questões em pesquisas externas de opinião</v>
      </c>
      <c r="C257" s="167" t="s">
        <v>432</v>
      </c>
      <c r="D257" s="378" t="s">
        <v>1803</v>
      </c>
      <c r="E257" s="1506" t="s">
        <v>1767</v>
      </c>
      <c r="F257" s="497" t="s">
        <v>1810</v>
      </c>
      <c r="G257" s="110" t="s">
        <v>77</v>
      </c>
      <c r="H257" s="173" t="s">
        <v>819</v>
      </c>
      <c r="I257" s="167" t="s">
        <v>432</v>
      </c>
      <c r="J257" s="107" t="s">
        <v>432</v>
      </c>
      <c r="K257" s="107" t="s">
        <v>432</v>
      </c>
      <c r="L257" s="107" t="s">
        <v>432</v>
      </c>
      <c r="M257" s="107" t="s">
        <v>432</v>
      </c>
      <c r="N257" s="107" t="s">
        <v>432</v>
      </c>
      <c r="O257" s="107" t="s">
        <v>432</v>
      </c>
      <c r="P257" s="107" t="s">
        <v>432</v>
      </c>
      <c r="Q257" s="107" t="s">
        <v>432</v>
      </c>
      <c r="R257" s="107" t="s">
        <v>432</v>
      </c>
      <c r="S257" s="109" t="s">
        <v>2209</v>
      </c>
      <c r="T257" s="107" t="s">
        <v>432</v>
      </c>
      <c r="U257" s="107" t="s">
        <v>432</v>
      </c>
      <c r="V257" s="109" t="s">
        <v>2209</v>
      </c>
      <c r="W257" s="107" t="s">
        <v>432</v>
      </c>
      <c r="X257" s="107" t="s">
        <v>432</v>
      </c>
      <c r="Y257" s="107" t="s">
        <v>432</v>
      </c>
      <c r="Z257" s="107" t="s">
        <v>432</v>
      </c>
      <c r="AA257" s="107" t="s">
        <v>432</v>
      </c>
      <c r="AB257" s="107" t="s">
        <v>432</v>
      </c>
      <c r="AC257" s="107" t="s">
        <v>432</v>
      </c>
      <c r="AD257" s="107" t="s">
        <v>432</v>
      </c>
      <c r="AE257" s="107" t="s">
        <v>2208</v>
      </c>
      <c r="AF257" s="107" t="s">
        <v>432</v>
      </c>
      <c r="AG257" s="174">
        <v>0.37</v>
      </c>
      <c r="AH257" s="107" t="s">
        <v>2208</v>
      </c>
      <c r="AI257" s="107" t="s">
        <v>432</v>
      </c>
      <c r="AJ257" s="107" t="s">
        <v>2208</v>
      </c>
      <c r="AK257" s="107" t="s">
        <v>432</v>
      </c>
      <c r="AL257" s="600" t="s">
        <v>432</v>
      </c>
      <c r="AM257" s="137" t="s">
        <v>432</v>
      </c>
      <c r="AN257" s="137" t="s">
        <v>432</v>
      </c>
      <c r="AO257" s="137" t="s">
        <v>432</v>
      </c>
      <c r="AP257" s="137" t="s">
        <v>432</v>
      </c>
      <c r="AQ257" s="137" t="s">
        <v>432</v>
      </c>
      <c r="AR257" s="137" t="s">
        <v>432</v>
      </c>
      <c r="AS257" s="137" t="s">
        <v>432</v>
      </c>
      <c r="AT257" s="137" t="s">
        <v>432</v>
      </c>
      <c r="AU257" s="137" t="s">
        <v>432</v>
      </c>
      <c r="AV257" s="137" t="s">
        <v>432</v>
      </c>
      <c r="AW257" s="137" t="s">
        <v>432</v>
      </c>
      <c r="AX257" s="137" t="s">
        <v>432</v>
      </c>
      <c r="AY257" s="137" t="s">
        <v>432</v>
      </c>
      <c r="AZ257" s="137" t="s">
        <v>432</v>
      </c>
      <c r="BA257" s="137" t="s">
        <v>432</v>
      </c>
      <c r="BB257" s="239" t="str">
        <f t="shared" si="52"/>
        <v>Outras questões em pesquisas externas de opiniãox</v>
      </c>
      <c r="BC257" s="239" t="str">
        <f t="shared" si="53"/>
        <v>Outras questões em pesquisas externas de opiniãoxbenchmarking</v>
      </c>
      <c r="BD257" s="239" t="str">
        <f t="shared" si="54"/>
        <v>Outras questões em pesquisas externas de opiniãobenchmarking</v>
      </c>
    </row>
    <row r="258" spans="1:56" s="3" customFormat="1" ht="63" customHeight="1" x14ac:dyDescent="0.25">
      <c r="A258" s="275" t="str">
        <f>A256</f>
        <v>3.2.2</v>
      </c>
      <c r="B258" s="53" t="str">
        <f>B256</f>
        <v>Outras questões em pesquisas externas de opinião</v>
      </c>
      <c r="C258" s="167" t="s">
        <v>432</v>
      </c>
      <c r="D258" s="378" t="s">
        <v>1798</v>
      </c>
      <c r="E258" s="1506" t="s">
        <v>1767</v>
      </c>
      <c r="F258" s="497" t="s">
        <v>1811</v>
      </c>
      <c r="G258" s="110" t="s">
        <v>77</v>
      </c>
      <c r="H258" s="173" t="s">
        <v>819</v>
      </c>
      <c r="I258" s="167" t="s">
        <v>432</v>
      </c>
      <c r="J258" s="107" t="s">
        <v>432</v>
      </c>
      <c r="K258" s="107" t="s">
        <v>432</v>
      </c>
      <c r="L258" s="107" t="s">
        <v>432</v>
      </c>
      <c r="M258" s="107" t="s">
        <v>432</v>
      </c>
      <c r="N258" s="107" t="s">
        <v>432</v>
      </c>
      <c r="O258" s="107" t="s">
        <v>432</v>
      </c>
      <c r="P258" s="107" t="s">
        <v>432</v>
      </c>
      <c r="Q258" s="107" t="s">
        <v>432</v>
      </c>
      <c r="R258" s="107" t="s">
        <v>432</v>
      </c>
      <c r="S258" s="109" t="s">
        <v>2209</v>
      </c>
      <c r="T258" s="107" t="s">
        <v>432</v>
      </c>
      <c r="U258" s="107" t="s">
        <v>432</v>
      </c>
      <c r="V258" s="109" t="s">
        <v>2209</v>
      </c>
      <c r="W258" s="107" t="s">
        <v>432</v>
      </c>
      <c r="X258" s="107" t="s">
        <v>432</v>
      </c>
      <c r="Y258" s="107" t="s">
        <v>432</v>
      </c>
      <c r="Z258" s="107" t="s">
        <v>432</v>
      </c>
      <c r="AA258" s="107" t="s">
        <v>432</v>
      </c>
      <c r="AB258" s="107" t="s">
        <v>432</v>
      </c>
      <c r="AC258" s="107" t="s">
        <v>432</v>
      </c>
      <c r="AD258" s="107" t="s">
        <v>432</v>
      </c>
      <c r="AE258" s="107" t="s">
        <v>2208</v>
      </c>
      <c r="AF258" s="107" t="s">
        <v>432</v>
      </c>
      <c r="AG258" s="174">
        <v>0.38</v>
      </c>
      <c r="AH258" s="107" t="s">
        <v>2208</v>
      </c>
      <c r="AI258" s="107" t="s">
        <v>432</v>
      </c>
      <c r="AJ258" s="107" t="s">
        <v>2208</v>
      </c>
      <c r="AK258" s="107" t="s">
        <v>432</v>
      </c>
      <c r="AL258" s="600" t="s">
        <v>432</v>
      </c>
      <c r="AM258" s="137" t="s">
        <v>432</v>
      </c>
      <c r="AN258" s="137" t="s">
        <v>432</v>
      </c>
      <c r="AO258" s="137" t="s">
        <v>432</v>
      </c>
      <c r="AP258" s="137" t="s">
        <v>432</v>
      </c>
      <c r="AQ258" s="137" t="s">
        <v>432</v>
      </c>
      <c r="AR258" s="137" t="s">
        <v>432</v>
      </c>
      <c r="AS258" s="137" t="s">
        <v>432</v>
      </c>
      <c r="AT258" s="137" t="s">
        <v>432</v>
      </c>
      <c r="AU258" s="137" t="s">
        <v>432</v>
      </c>
      <c r="AV258" s="137" t="s">
        <v>432</v>
      </c>
      <c r="AW258" s="137" t="s">
        <v>432</v>
      </c>
      <c r="AX258" s="137" t="s">
        <v>432</v>
      </c>
      <c r="AY258" s="137" t="s">
        <v>432</v>
      </c>
      <c r="AZ258" s="137" t="s">
        <v>432</v>
      </c>
      <c r="BA258" s="137" t="s">
        <v>432</v>
      </c>
      <c r="BB258" s="239" t="str">
        <f t="shared" si="52"/>
        <v>Outras questões em pesquisas externas de opiniãox</v>
      </c>
      <c r="BC258" s="239" t="str">
        <f t="shared" si="53"/>
        <v>Outras questões em pesquisas externas de opiniãoxbenchmarking</v>
      </c>
      <c r="BD258" s="239" t="str">
        <f t="shared" si="54"/>
        <v>Outras questões em pesquisas externas de opiniãobenchmarking</v>
      </c>
    </row>
    <row r="259" spans="1:56" s="3" customFormat="1" ht="86.25" customHeight="1" x14ac:dyDescent="0.25">
      <c r="A259" s="275" t="str">
        <f>A256</f>
        <v>3.2.2</v>
      </c>
      <c r="B259" s="53" t="str">
        <f>B256</f>
        <v>Outras questões em pesquisas externas de opinião</v>
      </c>
      <c r="C259" s="167" t="s">
        <v>432</v>
      </c>
      <c r="D259" s="378" t="s">
        <v>1800</v>
      </c>
      <c r="E259" s="1506" t="s">
        <v>1767</v>
      </c>
      <c r="F259" s="497" t="s">
        <v>1804</v>
      </c>
      <c r="G259" s="110" t="s">
        <v>77</v>
      </c>
      <c r="H259" s="173" t="s">
        <v>819</v>
      </c>
      <c r="I259" s="167" t="s">
        <v>432</v>
      </c>
      <c r="J259" s="107" t="s">
        <v>432</v>
      </c>
      <c r="K259" s="107" t="s">
        <v>432</v>
      </c>
      <c r="L259" s="107" t="s">
        <v>432</v>
      </c>
      <c r="M259" s="107" t="s">
        <v>432</v>
      </c>
      <c r="N259" s="107" t="s">
        <v>432</v>
      </c>
      <c r="O259" s="107" t="s">
        <v>432</v>
      </c>
      <c r="P259" s="107" t="s">
        <v>432</v>
      </c>
      <c r="Q259" s="107" t="s">
        <v>432</v>
      </c>
      <c r="R259" s="107" t="s">
        <v>432</v>
      </c>
      <c r="S259" s="109" t="s">
        <v>2209</v>
      </c>
      <c r="T259" s="107" t="s">
        <v>432</v>
      </c>
      <c r="U259" s="107" t="s">
        <v>432</v>
      </c>
      <c r="V259" s="109" t="s">
        <v>2209</v>
      </c>
      <c r="W259" s="107" t="s">
        <v>432</v>
      </c>
      <c r="X259" s="107" t="s">
        <v>432</v>
      </c>
      <c r="Y259" s="107" t="s">
        <v>432</v>
      </c>
      <c r="Z259" s="107" t="s">
        <v>432</v>
      </c>
      <c r="AA259" s="107" t="s">
        <v>432</v>
      </c>
      <c r="AB259" s="107" t="s">
        <v>432</v>
      </c>
      <c r="AC259" s="107" t="s">
        <v>432</v>
      </c>
      <c r="AD259" s="107" t="s">
        <v>432</v>
      </c>
      <c r="AE259" s="107" t="s">
        <v>2208</v>
      </c>
      <c r="AF259" s="107" t="s">
        <v>432</v>
      </c>
      <c r="AG259" s="174">
        <v>0.47</v>
      </c>
      <c r="AH259" s="107" t="s">
        <v>2208</v>
      </c>
      <c r="AI259" s="107" t="s">
        <v>432</v>
      </c>
      <c r="AJ259" s="107" t="s">
        <v>2208</v>
      </c>
      <c r="AK259" s="107" t="s">
        <v>432</v>
      </c>
      <c r="AL259" s="600" t="s">
        <v>432</v>
      </c>
      <c r="AM259" s="137" t="s">
        <v>432</v>
      </c>
      <c r="AN259" s="137" t="s">
        <v>432</v>
      </c>
      <c r="AO259" s="137" t="s">
        <v>432</v>
      </c>
      <c r="AP259" s="137" t="s">
        <v>432</v>
      </c>
      <c r="AQ259" s="137" t="s">
        <v>432</v>
      </c>
      <c r="AR259" s="137" t="s">
        <v>432</v>
      </c>
      <c r="AS259" s="137" t="s">
        <v>432</v>
      </c>
      <c r="AT259" s="137" t="s">
        <v>432</v>
      </c>
      <c r="AU259" s="137" t="s">
        <v>432</v>
      </c>
      <c r="AV259" s="137" t="s">
        <v>432</v>
      </c>
      <c r="AW259" s="137" t="s">
        <v>432</v>
      </c>
      <c r="AX259" s="137" t="s">
        <v>432</v>
      </c>
      <c r="AY259" s="137" t="s">
        <v>432</v>
      </c>
      <c r="AZ259" s="137" t="s">
        <v>432</v>
      </c>
      <c r="BA259" s="137" t="s">
        <v>432</v>
      </c>
      <c r="BB259" s="239" t="str">
        <f t="shared" si="52"/>
        <v>Outras questões em pesquisas externas de opiniãox</v>
      </c>
      <c r="BC259" s="239" t="str">
        <f t="shared" si="53"/>
        <v>Outras questões em pesquisas externas de opiniãoxbenchmarking</v>
      </c>
      <c r="BD259" s="239" t="str">
        <f t="shared" si="54"/>
        <v>Outras questões em pesquisas externas de opiniãobenchmarking</v>
      </c>
    </row>
    <row r="260" spans="1:56" s="3" customFormat="1" ht="81" customHeight="1" x14ac:dyDescent="0.25">
      <c r="A260" s="275" t="str">
        <f>A256</f>
        <v>3.2.2</v>
      </c>
      <c r="B260" s="53" t="str">
        <f>B256</f>
        <v>Outras questões em pesquisas externas de opinião</v>
      </c>
      <c r="C260" s="167" t="s">
        <v>432</v>
      </c>
      <c r="D260" s="378" t="s">
        <v>1801</v>
      </c>
      <c r="E260" s="1506" t="s">
        <v>1767</v>
      </c>
      <c r="F260" s="497" t="s">
        <v>1805</v>
      </c>
      <c r="G260" s="110" t="s">
        <v>77</v>
      </c>
      <c r="H260" s="173" t="s">
        <v>819</v>
      </c>
      <c r="I260" s="167" t="s">
        <v>432</v>
      </c>
      <c r="J260" s="107" t="s">
        <v>432</v>
      </c>
      <c r="K260" s="107" t="s">
        <v>432</v>
      </c>
      <c r="L260" s="107" t="s">
        <v>432</v>
      </c>
      <c r="M260" s="107" t="s">
        <v>432</v>
      </c>
      <c r="N260" s="107" t="s">
        <v>432</v>
      </c>
      <c r="O260" s="107" t="s">
        <v>432</v>
      </c>
      <c r="P260" s="107" t="s">
        <v>432</v>
      </c>
      <c r="Q260" s="107" t="s">
        <v>432</v>
      </c>
      <c r="R260" s="107" t="s">
        <v>432</v>
      </c>
      <c r="S260" s="109" t="s">
        <v>2209</v>
      </c>
      <c r="T260" s="107" t="s">
        <v>432</v>
      </c>
      <c r="U260" s="107" t="s">
        <v>432</v>
      </c>
      <c r="V260" s="109" t="s">
        <v>2209</v>
      </c>
      <c r="W260" s="107" t="s">
        <v>432</v>
      </c>
      <c r="X260" s="107" t="s">
        <v>432</v>
      </c>
      <c r="Y260" s="107" t="s">
        <v>432</v>
      </c>
      <c r="Z260" s="107" t="s">
        <v>432</v>
      </c>
      <c r="AA260" s="107" t="s">
        <v>432</v>
      </c>
      <c r="AB260" s="107" t="s">
        <v>432</v>
      </c>
      <c r="AC260" s="107" t="s">
        <v>432</v>
      </c>
      <c r="AD260" s="107" t="s">
        <v>432</v>
      </c>
      <c r="AE260" s="107" t="s">
        <v>2208</v>
      </c>
      <c r="AF260" s="107" t="s">
        <v>432</v>
      </c>
      <c r="AG260" s="500">
        <v>0.41</v>
      </c>
      <c r="AH260" s="107" t="s">
        <v>2208</v>
      </c>
      <c r="AI260" s="107" t="s">
        <v>432</v>
      </c>
      <c r="AJ260" s="107" t="s">
        <v>2208</v>
      </c>
      <c r="AK260" s="107" t="s">
        <v>432</v>
      </c>
      <c r="AL260" s="600" t="s">
        <v>432</v>
      </c>
      <c r="AM260" s="137" t="s">
        <v>432</v>
      </c>
      <c r="AN260" s="137" t="s">
        <v>432</v>
      </c>
      <c r="AO260" s="137" t="s">
        <v>432</v>
      </c>
      <c r="AP260" s="137" t="s">
        <v>432</v>
      </c>
      <c r="AQ260" s="137" t="s">
        <v>432</v>
      </c>
      <c r="AR260" s="137" t="s">
        <v>432</v>
      </c>
      <c r="AS260" s="137" t="s">
        <v>432</v>
      </c>
      <c r="AT260" s="137" t="s">
        <v>432</v>
      </c>
      <c r="AU260" s="137" t="s">
        <v>432</v>
      </c>
      <c r="AV260" s="137" t="s">
        <v>432</v>
      </c>
      <c r="AW260" s="137" t="s">
        <v>432</v>
      </c>
      <c r="AX260" s="137" t="s">
        <v>432</v>
      </c>
      <c r="AY260" s="137" t="s">
        <v>432</v>
      </c>
      <c r="AZ260" s="137" t="s">
        <v>432</v>
      </c>
      <c r="BA260" s="137" t="s">
        <v>432</v>
      </c>
      <c r="BB260" s="239" t="str">
        <f t="shared" si="52"/>
        <v>Outras questões em pesquisas externas de opiniãox</v>
      </c>
      <c r="BC260" s="239" t="str">
        <f t="shared" si="53"/>
        <v>Outras questões em pesquisas externas de opiniãoxbenchmarking</v>
      </c>
      <c r="BD260" s="239" t="str">
        <f t="shared" si="54"/>
        <v>Outras questões em pesquisas externas de opiniãobenchmarking</v>
      </c>
    </row>
    <row r="261" spans="1:56" s="3" customFormat="1" ht="122.25" customHeight="1" x14ac:dyDescent="0.25">
      <c r="A261" s="275" t="str">
        <f>A256</f>
        <v>3.2.2</v>
      </c>
      <c r="B261" s="53" t="str">
        <f>B256</f>
        <v>Outras questões em pesquisas externas de opinião</v>
      </c>
      <c r="C261" s="167" t="s">
        <v>432</v>
      </c>
      <c r="D261" s="378" t="s">
        <v>1799</v>
      </c>
      <c r="E261" s="1506" t="s">
        <v>1767</v>
      </c>
      <c r="F261" s="497" t="s">
        <v>1806</v>
      </c>
      <c r="G261" s="110" t="s">
        <v>77</v>
      </c>
      <c r="H261" s="173" t="s">
        <v>819</v>
      </c>
      <c r="I261" s="167" t="s">
        <v>432</v>
      </c>
      <c r="J261" s="107" t="s">
        <v>432</v>
      </c>
      <c r="K261" s="107" t="s">
        <v>432</v>
      </c>
      <c r="L261" s="107" t="s">
        <v>432</v>
      </c>
      <c r="M261" s="107" t="s">
        <v>432</v>
      </c>
      <c r="N261" s="107" t="s">
        <v>432</v>
      </c>
      <c r="O261" s="107" t="s">
        <v>432</v>
      </c>
      <c r="P261" s="107" t="s">
        <v>432</v>
      </c>
      <c r="Q261" s="107" t="s">
        <v>432</v>
      </c>
      <c r="R261" s="107" t="s">
        <v>432</v>
      </c>
      <c r="S261" s="109" t="s">
        <v>2209</v>
      </c>
      <c r="T261" s="107" t="s">
        <v>432</v>
      </c>
      <c r="U261" s="107" t="s">
        <v>432</v>
      </c>
      <c r="V261" s="109" t="s">
        <v>2209</v>
      </c>
      <c r="W261" s="107" t="s">
        <v>432</v>
      </c>
      <c r="X261" s="107" t="s">
        <v>432</v>
      </c>
      <c r="Y261" s="107" t="s">
        <v>432</v>
      </c>
      <c r="Z261" s="107" t="s">
        <v>432</v>
      </c>
      <c r="AA261" s="107" t="s">
        <v>432</v>
      </c>
      <c r="AB261" s="107" t="s">
        <v>432</v>
      </c>
      <c r="AC261" s="107" t="s">
        <v>432</v>
      </c>
      <c r="AD261" s="107" t="s">
        <v>432</v>
      </c>
      <c r="AE261" s="107" t="s">
        <v>2208</v>
      </c>
      <c r="AF261" s="107" t="s">
        <v>432</v>
      </c>
      <c r="AG261" s="174">
        <v>0.39</v>
      </c>
      <c r="AH261" s="107" t="s">
        <v>2208</v>
      </c>
      <c r="AI261" s="107" t="s">
        <v>432</v>
      </c>
      <c r="AJ261" s="107" t="s">
        <v>2208</v>
      </c>
      <c r="AK261" s="107" t="s">
        <v>432</v>
      </c>
      <c r="AL261" s="600" t="s">
        <v>432</v>
      </c>
      <c r="AM261" s="137" t="s">
        <v>432</v>
      </c>
      <c r="AN261" s="137" t="s">
        <v>432</v>
      </c>
      <c r="AO261" s="137" t="s">
        <v>432</v>
      </c>
      <c r="AP261" s="137" t="s">
        <v>432</v>
      </c>
      <c r="AQ261" s="137" t="s">
        <v>432</v>
      </c>
      <c r="AR261" s="137" t="s">
        <v>432</v>
      </c>
      <c r="AS261" s="137" t="s">
        <v>432</v>
      </c>
      <c r="AT261" s="137" t="s">
        <v>432</v>
      </c>
      <c r="AU261" s="137" t="s">
        <v>432</v>
      </c>
      <c r="AV261" s="137" t="s">
        <v>432</v>
      </c>
      <c r="AW261" s="137" t="s">
        <v>432</v>
      </c>
      <c r="AX261" s="137" t="s">
        <v>432</v>
      </c>
      <c r="AY261" s="137" t="s">
        <v>432</v>
      </c>
      <c r="AZ261" s="137" t="s">
        <v>432</v>
      </c>
      <c r="BA261" s="137" t="s">
        <v>432</v>
      </c>
      <c r="BB261" s="239" t="str">
        <f t="shared" si="52"/>
        <v>Outras questões em pesquisas externas de opiniãox</v>
      </c>
      <c r="BC261" s="239" t="str">
        <f t="shared" si="53"/>
        <v>Outras questões em pesquisas externas de opiniãoxbenchmarking</v>
      </c>
      <c r="BD261" s="239" t="str">
        <f t="shared" si="54"/>
        <v>Outras questões em pesquisas externas de opiniãobenchmarking</v>
      </c>
    </row>
    <row r="262" spans="1:56" s="3" customFormat="1" ht="25.5" x14ac:dyDescent="0.25">
      <c r="A262" s="402"/>
      <c r="B262" s="399"/>
      <c r="C262" s="399"/>
      <c r="D262" s="970"/>
      <c r="E262" s="1493"/>
      <c r="F262" s="221"/>
      <c r="G262" s="221"/>
      <c r="H262" s="221"/>
      <c r="I262" s="399"/>
      <c r="J262" s="221"/>
      <c r="K262" s="221"/>
      <c r="L262" s="221"/>
      <c r="M262" s="221"/>
      <c r="N262" s="221"/>
      <c r="O262" s="221"/>
      <c r="P262" s="221"/>
      <c r="Q262" s="221"/>
      <c r="R262" s="221"/>
      <c r="S262" s="109" t="s">
        <v>2209</v>
      </c>
      <c r="T262" s="221"/>
      <c r="U262" s="221"/>
      <c r="V262" s="109" t="s">
        <v>2209</v>
      </c>
      <c r="W262" s="221"/>
      <c r="X262" s="221"/>
      <c r="Y262" s="221"/>
      <c r="Z262" s="221"/>
      <c r="AA262" s="221"/>
      <c r="AB262" s="221"/>
      <c r="AC262" s="221"/>
      <c r="AD262" s="221"/>
      <c r="AE262" s="221"/>
      <c r="AF262" s="221"/>
      <c r="AG262" s="221"/>
      <c r="AH262" s="221"/>
      <c r="AI262" s="221"/>
      <c r="AJ262" s="221"/>
      <c r="AK262" s="223"/>
      <c r="AL262" s="600" t="s">
        <v>432</v>
      </c>
      <c r="AM262" s="223"/>
      <c r="AN262" s="223"/>
      <c r="AO262" s="223"/>
      <c r="AP262" s="223"/>
      <c r="AQ262" s="223"/>
      <c r="AR262" s="137" t="s">
        <v>432</v>
      </c>
      <c r="AS262" s="137" t="s">
        <v>432</v>
      </c>
      <c r="AT262" s="137" t="s">
        <v>432</v>
      </c>
      <c r="AU262" s="137" t="s">
        <v>432</v>
      </c>
      <c r="AV262" s="223"/>
      <c r="AW262" s="137" t="s">
        <v>432</v>
      </c>
      <c r="AX262" s="223"/>
      <c r="AY262" s="223"/>
      <c r="AZ262" s="223"/>
      <c r="BA262" s="223"/>
      <c r="BB262" s="400"/>
      <c r="BC262" s="400"/>
      <c r="BD262" s="400"/>
    </row>
    <row r="263" spans="1:56" s="3" customFormat="1" ht="72.75" customHeight="1" x14ac:dyDescent="0.25">
      <c r="A263" s="275" t="str">
        <f>'Q100b-totais'!$B$26</f>
        <v>3.2.1</v>
      </c>
      <c r="B263" s="53" t="str">
        <f>'Q100b-totais'!$C$26</f>
        <v>Avaliações em pesquisas externas de opinião</v>
      </c>
      <c r="C263" s="167" t="s">
        <v>432</v>
      </c>
      <c r="D263" s="362" t="s">
        <v>116</v>
      </c>
      <c r="E263" s="1506" t="s">
        <v>1306</v>
      </c>
      <c r="F263" s="337" t="s">
        <v>1461</v>
      </c>
      <c r="G263" s="111" t="s">
        <v>1440</v>
      </c>
      <c r="H263" s="173" t="s">
        <v>432</v>
      </c>
      <c r="I263" s="167">
        <v>1</v>
      </c>
      <c r="J263" s="107" t="s">
        <v>432</v>
      </c>
      <c r="K263" s="107" t="s">
        <v>432</v>
      </c>
      <c r="L263" s="107" t="s">
        <v>432</v>
      </c>
      <c r="M263" s="107" t="s">
        <v>432</v>
      </c>
      <c r="N263" s="107" t="s">
        <v>432</v>
      </c>
      <c r="O263" s="137" t="s">
        <v>432</v>
      </c>
      <c r="P263" s="64">
        <f>((P267*5)+(P264*4)+(P271*3)+(P270*2)+(P268*1))/(100-P265)</f>
        <v>2.193877551020408</v>
      </c>
      <c r="Q263" s="107" t="s">
        <v>432</v>
      </c>
      <c r="R263" s="64">
        <f>((R267*5)+(R264*4)+(R271*3)+(R270*2)+(R268*1))/(100-R265)</f>
        <v>2.5876288659793816</v>
      </c>
      <c r="S263" s="109" t="s">
        <v>2209</v>
      </c>
      <c r="T263" s="107" t="s">
        <v>432</v>
      </c>
      <c r="U263" s="64">
        <f>((U267*5)+(U264*4)+(U271*3)+(U270*2)+(U268*1))/(100-U265)</f>
        <v>2.5858585858585861</v>
      </c>
      <c r="V263" s="109" t="s">
        <v>2209</v>
      </c>
      <c r="W263" s="64">
        <f>((W267*5)+(W264*4)+(W271*3)+(W270*2)+(W268*1))/(100-W265)</f>
        <v>2.5599516762307459</v>
      </c>
      <c r="X263" s="64">
        <f>((X267*5)+(X264*4)+(X271*3)+(X270*2)+(X268*1))/(100-X265)</f>
        <v>2.6145875660300693</v>
      </c>
      <c r="Y263" s="83" t="s">
        <v>432</v>
      </c>
      <c r="Z263" s="64">
        <f>((Z267*5)+(Z264*4)+(Z271*3)+(Z270*2)+(Z268*1))/(100-Z265)</f>
        <v>2.624848484848485</v>
      </c>
      <c r="AA263" s="64">
        <f>((AA267*5)+(AA264*4)+(AA271*3)+(AA270*2)+(AA268*1))/(100-AA265)</f>
        <v>2.3838383838383836</v>
      </c>
      <c r="AB263" s="64">
        <f>((AB267*5)+(AB264*4)+(AB271*3)+(AB270*2)+(AB268*1))/(100-AB265)</f>
        <v>2.3130032206119164</v>
      </c>
      <c r="AC263" s="64">
        <f>((AC267*5)+(AC264*4)+(AC271*3)+(AC270*2)+(AC268*1))/(100-AC265)</f>
        <v>2.6905365655746016</v>
      </c>
      <c r="AD263" s="64">
        <f>((AD267*5)+(AD264*4)+(AD271*3)+(AD270*2)+(AD268*1))/(100-AD265)</f>
        <v>2.3856122448979593</v>
      </c>
      <c r="AE263" s="107" t="s">
        <v>2208</v>
      </c>
      <c r="AF263" s="64">
        <f>((AF267*5)+(AF264*4)+(AF271*3)+(AF270*2)+(AF268*1))/(100-AF265)</f>
        <v>2.3381953525802235</v>
      </c>
      <c r="AG263" s="64">
        <f>((AG267*5)+(AG264*4)+(AG271*3)+(AG270*2)+(AG268*1))/(100-AG265)</f>
        <v>2.1078758467293501</v>
      </c>
      <c r="AH263" s="107" t="s">
        <v>2208</v>
      </c>
      <c r="AI263" s="81">
        <f>((AI267*5)+(AI264*4)+(AI271*3)+(AI270*2)+(AI268*1))/(100-AI265)</f>
        <v>1.86</v>
      </c>
      <c r="AJ263" s="107" t="s">
        <v>2208</v>
      </c>
      <c r="AK263" s="81">
        <f>((AK267*5)+(AK264*4)+(AK271*3)+(AK270*2)+(AK268*1))/(100-AK265)</f>
        <v>2.2222222222222223</v>
      </c>
      <c r="AL263" s="600" t="s">
        <v>432</v>
      </c>
      <c r="AM263" s="137" t="s">
        <v>432</v>
      </c>
      <c r="AN263" s="137" t="s">
        <v>432</v>
      </c>
      <c r="AO263" s="137" t="s">
        <v>432</v>
      </c>
      <c r="AP263" s="137" t="s">
        <v>432</v>
      </c>
      <c r="AQ263" s="137" t="s">
        <v>432</v>
      </c>
      <c r="AR263" s="137" t="s">
        <v>432</v>
      </c>
      <c r="AS263" s="137" t="s">
        <v>432</v>
      </c>
      <c r="AT263" s="137" t="s">
        <v>432</v>
      </c>
      <c r="AU263" s="137" t="s">
        <v>432</v>
      </c>
      <c r="AV263" s="137" t="s">
        <v>432</v>
      </c>
      <c r="AW263" s="137" t="s">
        <v>432</v>
      </c>
      <c r="AX263" s="137" t="s">
        <v>432</v>
      </c>
      <c r="AY263" s="137" t="s">
        <v>432</v>
      </c>
      <c r="AZ263" s="137" t="s">
        <v>432</v>
      </c>
      <c r="BA263" s="137" t="s">
        <v>432</v>
      </c>
      <c r="BB263" s="239" t="str">
        <f t="shared" ref="BB263:BB271" si="55">B263&amp;C263</f>
        <v>Avaliações em pesquisas externas de opiniãox</v>
      </c>
      <c r="BC263" s="239" t="str">
        <f t="shared" ref="BC263:BC271" si="56">B263&amp;C263&amp;H263</f>
        <v>Avaliações em pesquisas externas de opiniãoxx</v>
      </c>
      <c r="BD263" s="239" t="str">
        <f t="shared" ref="BD263:BD271" si="57">B263&amp;H263</f>
        <v>Avaliações em pesquisas externas de opiniãox</v>
      </c>
    </row>
    <row r="264" spans="1:56" s="3" customFormat="1" ht="54.75" customHeight="1" x14ac:dyDescent="0.25">
      <c r="A264" s="275" t="str">
        <f>'Q100b-totais'!$B$26</f>
        <v>3.2.1</v>
      </c>
      <c r="B264" s="53" t="str">
        <f>'Q100b-totais'!$C$26</f>
        <v>Avaliações em pesquisas externas de opinião</v>
      </c>
      <c r="C264" s="167" t="s">
        <v>432</v>
      </c>
      <c r="D264" s="323" t="s">
        <v>117</v>
      </c>
      <c r="E264" s="1505" t="s">
        <v>1306</v>
      </c>
      <c r="F264" s="14" t="s">
        <v>1506</v>
      </c>
      <c r="G264" s="110" t="s">
        <v>1435</v>
      </c>
      <c r="H264" s="173" t="s">
        <v>432</v>
      </c>
      <c r="I264" s="167">
        <v>1</v>
      </c>
      <c r="J264" s="107" t="s">
        <v>432</v>
      </c>
      <c r="K264" s="107" t="s">
        <v>432</v>
      </c>
      <c r="L264" s="107" t="s">
        <v>432</v>
      </c>
      <c r="M264" s="107" t="s">
        <v>432</v>
      </c>
      <c r="N264" s="107" t="s">
        <v>432</v>
      </c>
      <c r="O264" s="137" t="s">
        <v>432</v>
      </c>
      <c r="P264" s="83">
        <v>11</v>
      </c>
      <c r="Q264" s="107" t="s">
        <v>432</v>
      </c>
      <c r="R264" s="83">
        <v>18</v>
      </c>
      <c r="S264" s="109" t="s">
        <v>2209</v>
      </c>
      <c r="T264" s="107" t="s">
        <v>432</v>
      </c>
      <c r="U264" s="83">
        <v>19</v>
      </c>
      <c r="V264" s="109" t="s">
        <v>2209</v>
      </c>
      <c r="W264" s="83">
        <v>19.329999999999998</v>
      </c>
      <c r="X264" s="83">
        <v>18.07</v>
      </c>
      <c r="Y264" s="83" t="s">
        <v>432</v>
      </c>
      <c r="Z264" s="83">
        <v>16.75</v>
      </c>
      <c r="AA264" s="83">
        <v>15</v>
      </c>
      <c r="AB264" s="83">
        <v>11.84</v>
      </c>
      <c r="AC264" s="83">
        <v>20.81</v>
      </c>
      <c r="AD264" s="83">
        <v>9.6300000000000008</v>
      </c>
      <c r="AE264" s="107" t="s">
        <v>2208</v>
      </c>
      <c r="AF264" s="83">
        <v>8.59</v>
      </c>
      <c r="AG264" s="83">
        <v>7.7</v>
      </c>
      <c r="AH264" s="107" t="s">
        <v>2208</v>
      </c>
      <c r="AI264" s="83">
        <v>6</v>
      </c>
      <c r="AJ264" s="107" t="s">
        <v>2208</v>
      </c>
      <c r="AK264" s="85">
        <v>9</v>
      </c>
      <c r="AL264" s="600" t="s">
        <v>432</v>
      </c>
      <c r="AM264" s="137" t="s">
        <v>432</v>
      </c>
      <c r="AN264" s="137" t="s">
        <v>432</v>
      </c>
      <c r="AO264" s="137" t="s">
        <v>432</v>
      </c>
      <c r="AP264" s="137" t="s">
        <v>432</v>
      </c>
      <c r="AQ264" s="137" t="s">
        <v>432</v>
      </c>
      <c r="AR264" s="137" t="s">
        <v>432</v>
      </c>
      <c r="AS264" s="137" t="s">
        <v>432</v>
      </c>
      <c r="AT264" s="137" t="s">
        <v>432</v>
      </c>
      <c r="AU264" s="137" t="s">
        <v>432</v>
      </c>
      <c r="AV264" s="137" t="s">
        <v>432</v>
      </c>
      <c r="AW264" s="137" t="s">
        <v>432</v>
      </c>
      <c r="AX264" s="137" t="s">
        <v>432</v>
      </c>
      <c r="AY264" s="137" t="s">
        <v>432</v>
      </c>
      <c r="AZ264" s="137" t="s">
        <v>432</v>
      </c>
      <c r="BA264" s="137" t="s">
        <v>432</v>
      </c>
      <c r="BB264" s="239" t="str">
        <f t="shared" si="55"/>
        <v>Avaliações em pesquisas externas de opiniãox</v>
      </c>
      <c r="BC264" s="239" t="str">
        <f t="shared" si="56"/>
        <v>Avaliações em pesquisas externas de opiniãoxx</v>
      </c>
      <c r="BD264" s="239" t="str">
        <f t="shared" si="57"/>
        <v>Avaliações em pesquisas externas de opiniãox</v>
      </c>
    </row>
    <row r="265" spans="1:56" s="3" customFormat="1" ht="57.75" customHeight="1" x14ac:dyDescent="0.25">
      <c r="A265" s="275" t="str">
        <f>'Q100b-totais'!$B$26</f>
        <v>3.2.1</v>
      </c>
      <c r="B265" s="53" t="str">
        <f>'Q100b-totais'!$C$26</f>
        <v>Avaliações em pesquisas externas de opinião</v>
      </c>
      <c r="C265" s="167" t="s">
        <v>432</v>
      </c>
      <c r="D265" s="323" t="s">
        <v>118</v>
      </c>
      <c r="E265" s="1505" t="s">
        <v>1306</v>
      </c>
      <c r="F265" s="14" t="s">
        <v>1507</v>
      </c>
      <c r="G265" s="110" t="s">
        <v>1436</v>
      </c>
      <c r="H265" s="173" t="s">
        <v>432</v>
      </c>
      <c r="I265" s="167">
        <v>1</v>
      </c>
      <c r="J265" s="107" t="s">
        <v>432</v>
      </c>
      <c r="K265" s="107" t="s">
        <v>432</v>
      </c>
      <c r="L265" s="107" t="s">
        <v>432</v>
      </c>
      <c r="M265" s="107" t="s">
        <v>432</v>
      </c>
      <c r="N265" s="107" t="s">
        <v>432</v>
      </c>
      <c r="O265" s="137" t="s">
        <v>432</v>
      </c>
      <c r="P265" s="83">
        <v>2</v>
      </c>
      <c r="Q265" s="107" t="s">
        <v>432</v>
      </c>
      <c r="R265" s="83">
        <v>3</v>
      </c>
      <c r="S265" s="109" t="s">
        <v>2209</v>
      </c>
      <c r="T265" s="107" t="s">
        <v>432</v>
      </c>
      <c r="U265" s="83">
        <v>1</v>
      </c>
      <c r="V265" s="109" t="s">
        <v>2209</v>
      </c>
      <c r="W265" s="83">
        <v>0.67</v>
      </c>
      <c r="X265" s="83">
        <v>1.56</v>
      </c>
      <c r="Y265" s="83" t="s">
        <v>432</v>
      </c>
      <c r="Z265" s="83">
        <v>1</v>
      </c>
      <c r="AA265" s="83">
        <v>1</v>
      </c>
      <c r="AB265" s="83">
        <v>0.64</v>
      </c>
      <c r="AC265" s="83">
        <v>1.41</v>
      </c>
      <c r="AD265" s="83">
        <v>2</v>
      </c>
      <c r="AE265" s="107" t="s">
        <v>2208</v>
      </c>
      <c r="AF265" s="83">
        <v>0.59</v>
      </c>
      <c r="AG265" s="83">
        <v>1.0900000000000001</v>
      </c>
      <c r="AH265" s="107" t="s">
        <v>2208</v>
      </c>
      <c r="AI265" s="83">
        <v>0</v>
      </c>
      <c r="AJ265" s="107" t="s">
        <v>2208</v>
      </c>
      <c r="AK265" s="85">
        <v>1</v>
      </c>
      <c r="AL265" s="600" t="s">
        <v>432</v>
      </c>
      <c r="AM265" s="137" t="s">
        <v>432</v>
      </c>
      <c r="AN265" s="137" t="s">
        <v>432</v>
      </c>
      <c r="AO265" s="137" t="s">
        <v>432</v>
      </c>
      <c r="AP265" s="137" t="s">
        <v>432</v>
      </c>
      <c r="AQ265" s="137" t="s">
        <v>432</v>
      </c>
      <c r="AR265" s="137" t="s">
        <v>432</v>
      </c>
      <c r="AS265" s="137" t="s">
        <v>432</v>
      </c>
      <c r="AT265" s="137" t="s">
        <v>432</v>
      </c>
      <c r="AU265" s="137" t="s">
        <v>432</v>
      </c>
      <c r="AV265" s="137" t="s">
        <v>432</v>
      </c>
      <c r="AW265" s="137" t="s">
        <v>432</v>
      </c>
      <c r="AX265" s="137" t="s">
        <v>432</v>
      </c>
      <c r="AY265" s="137" t="s">
        <v>432</v>
      </c>
      <c r="AZ265" s="137" t="s">
        <v>432</v>
      </c>
      <c r="BA265" s="137" t="s">
        <v>432</v>
      </c>
      <c r="BB265" s="239" t="str">
        <f t="shared" si="55"/>
        <v>Avaliações em pesquisas externas de opiniãox</v>
      </c>
      <c r="BC265" s="239" t="str">
        <f t="shared" si="56"/>
        <v>Avaliações em pesquisas externas de opiniãoxx</v>
      </c>
      <c r="BD265" s="239" t="str">
        <f t="shared" si="57"/>
        <v>Avaliações em pesquisas externas de opiniãox</v>
      </c>
    </row>
    <row r="266" spans="1:56" s="3" customFormat="1" ht="96" customHeight="1" x14ac:dyDescent="0.25">
      <c r="A266" s="275" t="str">
        <f>'Q100b-totais'!$B$26</f>
        <v>3.2.1</v>
      </c>
      <c r="B266" s="53" t="str">
        <f>'Q100b-totais'!$C$26</f>
        <v>Avaliações em pesquisas externas de opinião</v>
      </c>
      <c r="C266" s="167" t="s">
        <v>432</v>
      </c>
      <c r="D266" s="378" t="s">
        <v>119</v>
      </c>
      <c r="E266" s="1506" t="s">
        <v>1306</v>
      </c>
      <c r="F266" s="337" t="s">
        <v>1444</v>
      </c>
      <c r="G266" s="111" t="s">
        <v>1445</v>
      </c>
      <c r="H266" s="173" t="s">
        <v>432</v>
      </c>
      <c r="I266" s="167">
        <v>1</v>
      </c>
      <c r="J266" s="107" t="s">
        <v>432</v>
      </c>
      <c r="K266" s="107" t="s">
        <v>432</v>
      </c>
      <c r="L266" s="107" t="s">
        <v>432</v>
      </c>
      <c r="M266" s="107" t="s">
        <v>432</v>
      </c>
      <c r="N266" s="107" t="s">
        <v>432</v>
      </c>
      <c r="O266" s="137" t="s">
        <v>432</v>
      </c>
      <c r="P266" s="64">
        <f>P264+P267</f>
        <v>12</v>
      </c>
      <c r="Q266" s="107" t="s">
        <v>432</v>
      </c>
      <c r="R266" s="64">
        <f>R264+R267</f>
        <v>21</v>
      </c>
      <c r="S266" s="109" t="s">
        <v>2209</v>
      </c>
      <c r="T266" s="107" t="s">
        <v>432</v>
      </c>
      <c r="U266" s="64">
        <f>U264+U267</f>
        <v>21</v>
      </c>
      <c r="V266" s="109" t="s">
        <v>2209</v>
      </c>
      <c r="W266" s="64">
        <f>W264+W267</f>
        <v>20.959999999999997</v>
      </c>
      <c r="X266" s="64">
        <f>X264+X267</f>
        <v>20.29</v>
      </c>
      <c r="Y266" s="83" t="s">
        <v>432</v>
      </c>
      <c r="Z266" s="64">
        <f>Z264+Z267</f>
        <v>18.739999999999998</v>
      </c>
      <c r="AA266" s="64">
        <f>AA264+AA267</f>
        <v>16</v>
      </c>
      <c r="AB266" s="64">
        <f>AB264+AB267</f>
        <v>12.34</v>
      </c>
      <c r="AC266" s="64">
        <f>AC264+AC267</f>
        <v>21.48</v>
      </c>
      <c r="AD266" s="64">
        <f>AD264+AD267</f>
        <v>10.3</v>
      </c>
      <c r="AE266" s="107" t="s">
        <v>2208</v>
      </c>
      <c r="AF266" s="64">
        <f>AF264+AF267</f>
        <v>9.5500000000000007</v>
      </c>
      <c r="AG266" s="64">
        <f>AG264+AG267</f>
        <v>8.31</v>
      </c>
      <c r="AH266" s="107" t="s">
        <v>2208</v>
      </c>
      <c r="AI266" s="64">
        <f>AI264+AI267</f>
        <v>6</v>
      </c>
      <c r="AJ266" s="107" t="s">
        <v>2208</v>
      </c>
      <c r="AK266" s="64">
        <f>AK264+AK267</f>
        <v>9</v>
      </c>
      <c r="AL266" s="600" t="s">
        <v>432</v>
      </c>
      <c r="AM266" s="137" t="s">
        <v>432</v>
      </c>
      <c r="AN266" s="137" t="s">
        <v>432</v>
      </c>
      <c r="AO266" s="137" t="s">
        <v>432</v>
      </c>
      <c r="AP266" s="137" t="s">
        <v>432</v>
      </c>
      <c r="AQ266" s="137" t="s">
        <v>432</v>
      </c>
      <c r="AR266" s="137" t="s">
        <v>432</v>
      </c>
      <c r="AS266" s="137" t="s">
        <v>432</v>
      </c>
      <c r="AT266" s="137" t="s">
        <v>432</v>
      </c>
      <c r="AU266" s="137" t="s">
        <v>432</v>
      </c>
      <c r="AV266" s="137" t="s">
        <v>432</v>
      </c>
      <c r="AW266" s="137" t="s">
        <v>432</v>
      </c>
      <c r="AX266" s="137" t="s">
        <v>432</v>
      </c>
      <c r="AY266" s="137" t="s">
        <v>432</v>
      </c>
      <c r="AZ266" s="137" t="s">
        <v>432</v>
      </c>
      <c r="BA266" s="137" t="s">
        <v>432</v>
      </c>
      <c r="BB266" s="239" t="str">
        <f t="shared" si="55"/>
        <v>Avaliações em pesquisas externas de opiniãox</v>
      </c>
      <c r="BC266" s="239" t="str">
        <f t="shared" si="56"/>
        <v>Avaliações em pesquisas externas de opiniãoxx</v>
      </c>
      <c r="BD266" s="239" t="str">
        <f t="shared" si="57"/>
        <v>Avaliações em pesquisas externas de opiniãox</v>
      </c>
    </row>
    <row r="267" spans="1:56" s="3" customFormat="1" ht="57" customHeight="1" x14ac:dyDescent="0.25">
      <c r="A267" s="275" t="str">
        <f>'Q100b-totais'!$B$26</f>
        <v>3.2.1</v>
      </c>
      <c r="B267" s="53" t="str">
        <f>'Q100b-totais'!$C$26</f>
        <v>Avaliações em pesquisas externas de opinião</v>
      </c>
      <c r="C267" s="167" t="s">
        <v>432</v>
      </c>
      <c r="D267" s="323" t="s">
        <v>120</v>
      </c>
      <c r="E267" s="1505" t="s">
        <v>1306</v>
      </c>
      <c r="F267" s="14" t="s">
        <v>1508</v>
      </c>
      <c r="G267" s="110" t="s">
        <v>1438</v>
      </c>
      <c r="H267" s="173" t="s">
        <v>432</v>
      </c>
      <c r="I267" s="167">
        <v>1</v>
      </c>
      <c r="J267" s="107" t="s">
        <v>432</v>
      </c>
      <c r="K267" s="107" t="s">
        <v>432</v>
      </c>
      <c r="L267" s="107" t="s">
        <v>432</v>
      </c>
      <c r="M267" s="107" t="s">
        <v>432</v>
      </c>
      <c r="N267" s="107" t="s">
        <v>432</v>
      </c>
      <c r="O267" s="137" t="s">
        <v>432</v>
      </c>
      <c r="P267" s="83">
        <v>1</v>
      </c>
      <c r="Q267" s="107" t="s">
        <v>432</v>
      </c>
      <c r="R267" s="83">
        <v>3</v>
      </c>
      <c r="S267" s="109" t="s">
        <v>2209</v>
      </c>
      <c r="T267" s="107" t="s">
        <v>432</v>
      </c>
      <c r="U267" s="83">
        <v>2</v>
      </c>
      <c r="V267" s="109" t="s">
        <v>2209</v>
      </c>
      <c r="W267" s="83">
        <v>1.63</v>
      </c>
      <c r="X267" s="83">
        <v>2.2200000000000002</v>
      </c>
      <c r="Y267" s="83" t="s">
        <v>432</v>
      </c>
      <c r="Z267" s="83">
        <v>1.99</v>
      </c>
      <c r="AA267" s="83">
        <v>1</v>
      </c>
      <c r="AB267" s="83">
        <v>0.5</v>
      </c>
      <c r="AC267" s="83">
        <v>0.67</v>
      </c>
      <c r="AD267" s="83">
        <v>0.67</v>
      </c>
      <c r="AE267" s="107" t="s">
        <v>2208</v>
      </c>
      <c r="AF267" s="83">
        <v>0.96</v>
      </c>
      <c r="AG267" s="83">
        <v>0.61</v>
      </c>
      <c r="AH267" s="107" t="s">
        <v>2208</v>
      </c>
      <c r="AI267" s="83">
        <v>0</v>
      </c>
      <c r="AJ267" s="107" t="s">
        <v>2208</v>
      </c>
      <c r="AK267" s="85">
        <v>0</v>
      </c>
      <c r="AL267" s="600" t="s">
        <v>432</v>
      </c>
      <c r="AM267" s="137" t="s">
        <v>432</v>
      </c>
      <c r="AN267" s="137" t="s">
        <v>432</v>
      </c>
      <c r="AO267" s="137" t="s">
        <v>432</v>
      </c>
      <c r="AP267" s="137" t="s">
        <v>432</v>
      </c>
      <c r="AQ267" s="137" t="s">
        <v>432</v>
      </c>
      <c r="AR267" s="137" t="s">
        <v>432</v>
      </c>
      <c r="AS267" s="137" t="s">
        <v>432</v>
      </c>
      <c r="AT267" s="137" t="s">
        <v>432</v>
      </c>
      <c r="AU267" s="137" t="s">
        <v>432</v>
      </c>
      <c r="AV267" s="137" t="s">
        <v>432</v>
      </c>
      <c r="AW267" s="137" t="s">
        <v>432</v>
      </c>
      <c r="AX267" s="137" t="s">
        <v>432</v>
      </c>
      <c r="AY267" s="137" t="s">
        <v>432</v>
      </c>
      <c r="AZ267" s="137" t="s">
        <v>432</v>
      </c>
      <c r="BA267" s="137" t="s">
        <v>432</v>
      </c>
      <c r="BB267" s="239" t="str">
        <f t="shared" si="55"/>
        <v>Avaliações em pesquisas externas de opiniãox</v>
      </c>
      <c r="BC267" s="239" t="str">
        <f t="shared" si="56"/>
        <v>Avaliações em pesquisas externas de opiniãoxx</v>
      </c>
      <c r="BD267" s="239" t="str">
        <f t="shared" si="57"/>
        <v>Avaliações em pesquisas externas de opiniãox</v>
      </c>
    </row>
    <row r="268" spans="1:56" s="3" customFormat="1" ht="60.75" customHeight="1" x14ac:dyDescent="0.25">
      <c r="A268" s="275" t="str">
        <f>'Q100b-totais'!$B$26</f>
        <v>3.2.1</v>
      </c>
      <c r="B268" s="53" t="str">
        <f>'Q100b-totais'!$C$26</f>
        <v>Avaliações em pesquisas externas de opinião</v>
      </c>
      <c r="C268" s="167" t="s">
        <v>432</v>
      </c>
      <c r="D268" s="323" t="s">
        <v>121</v>
      </c>
      <c r="E268" s="1505" t="s">
        <v>1306</v>
      </c>
      <c r="F268" s="14" t="s">
        <v>1509</v>
      </c>
      <c r="G268" s="110" t="s">
        <v>1437</v>
      </c>
      <c r="H268" s="173" t="s">
        <v>432</v>
      </c>
      <c r="I268" s="167">
        <v>1</v>
      </c>
      <c r="J268" s="107" t="s">
        <v>432</v>
      </c>
      <c r="K268" s="107" t="s">
        <v>432</v>
      </c>
      <c r="L268" s="107" t="s">
        <v>432</v>
      </c>
      <c r="M268" s="107" t="s">
        <v>432</v>
      </c>
      <c r="N268" s="107" t="s">
        <v>432</v>
      </c>
      <c r="O268" s="137" t="s">
        <v>432</v>
      </c>
      <c r="P268" s="83">
        <v>33</v>
      </c>
      <c r="Q268" s="107" t="s">
        <v>432</v>
      </c>
      <c r="R268" s="83">
        <v>24</v>
      </c>
      <c r="S268" s="109" t="s">
        <v>2209</v>
      </c>
      <c r="T268" s="107" t="s">
        <v>432</v>
      </c>
      <c r="U268" s="83">
        <v>21</v>
      </c>
      <c r="V268" s="109" t="s">
        <v>2209</v>
      </c>
      <c r="W268" s="83">
        <v>23.63</v>
      </c>
      <c r="X268" s="83">
        <v>20.67</v>
      </c>
      <c r="Y268" s="83" t="s">
        <v>432</v>
      </c>
      <c r="Z268" s="83">
        <v>21.72</v>
      </c>
      <c r="AA268" s="83">
        <v>28</v>
      </c>
      <c r="AB268" s="83">
        <v>27.96</v>
      </c>
      <c r="AC268" s="83">
        <v>17.329999999999998</v>
      </c>
      <c r="AD268" s="83">
        <v>22.07</v>
      </c>
      <c r="AE268" s="107" t="s">
        <v>2208</v>
      </c>
      <c r="AF268" s="83">
        <v>24</v>
      </c>
      <c r="AG268" s="83">
        <v>34.15</v>
      </c>
      <c r="AH268" s="107" t="s">
        <v>2208</v>
      </c>
      <c r="AI268" s="83">
        <v>46</v>
      </c>
      <c r="AJ268" s="107" t="s">
        <v>2208</v>
      </c>
      <c r="AK268" s="85">
        <v>30</v>
      </c>
      <c r="AL268" s="600" t="s">
        <v>432</v>
      </c>
      <c r="AM268" s="137" t="s">
        <v>432</v>
      </c>
      <c r="AN268" s="137" t="s">
        <v>432</v>
      </c>
      <c r="AO268" s="137" t="s">
        <v>432</v>
      </c>
      <c r="AP268" s="137" t="s">
        <v>432</v>
      </c>
      <c r="AQ268" s="137" t="s">
        <v>432</v>
      </c>
      <c r="AR268" s="137" t="s">
        <v>432</v>
      </c>
      <c r="AS268" s="137" t="s">
        <v>432</v>
      </c>
      <c r="AT268" s="137" t="s">
        <v>432</v>
      </c>
      <c r="AU268" s="137" t="s">
        <v>432</v>
      </c>
      <c r="AV268" s="137" t="s">
        <v>432</v>
      </c>
      <c r="AW268" s="137" t="s">
        <v>432</v>
      </c>
      <c r="AX268" s="137" t="s">
        <v>432</v>
      </c>
      <c r="AY268" s="137" t="s">
        <v>432</v>
      </c>
      <c r="AZ268" s="137" t="s">
        <v>432</v>
      </c>
      <c r="BA268" s="137" t="s">
        <v>432</v>
      </c>
      <c r="BB268" s="239" t="str">
        <f t="shared" si="55"/>
        <v>Avaliações em pesquisas externas de opiniãox</v>
      </c>
      <c r="BC268" s="239" t="str">
        <f t="shared" si="56"/>
        <v>Avaliações em pesquisas externas de opiniãoxx</v>
      </c>
      <c r="BD268" s="239" t="str">
        <f t="shared" si="57"/>
        <v>Avaliações em pesquisas externas de opiniãox</v>
      </c>
    </row>
    <row r="269" spans="1:56" s="3" customFormat="1" ht="51" customHeight="1" x14ac:dyDescent="0.25">
      <c r="A269" s="275" t="str">
        <f>'Q100b-totais'!$B$26</f>
        <v>3.2.1</v>
      </c>
      <c r="B269" s="53" t="str">
        <f>'Q100b-totais'!$C$26</f>
        <v>Avaliações em pesquisas externas de opinião</v>
      </c>
      <c r="C269" s="167" t="s">
        <v>432</v>
      </c>
      <c r="D269" s="378" t="s">
        <v>122</v>
      </c>
      <c r="E269" s="1506" t="s">
        <v>1306</v>
      </c>
      <c r="F269" s="337" t="s">
        <v>123</v>
      </c>
      <c r="G269" s="111" t="s">
        <v>124</v>
      </c>
      <c r="H269" s="173" t="s">
        <v>432</v>
      </c>
      <c r="I269" s="167">
        <v>1</v>
      </c>
      <c r="J269" s="107" t="s">
        <v>432</v>
      </c>
      <c r="K269" s="107" t="s">
        <v>432</v>
      </c>
      <c r="L269" s="107" t="s">
        <v>432</v>
      </c>
      <c r="M269" s="107" t="s">
        <v>432</v>
      </c>
      <c r="N269" s="107" t="s">
        <v>432</v>
      </c>
      <c r="O269" s="137" t="s">
        <v>432</v>
      </c>
      <c r="P269" s="64">
        <f>P268+P270</f>
        <v>59</v>
      </c>
      <c r="Q269" s="107" t="s">
        <v>432</v>
      </c>
      <c r="R269" s="64">
        <f>R268+R270</f>
        <v>40</v>
      </c>
      <c r="S269" s="109" t="s">
        <v>2209</v>
      </c>
      <c r="T269" s="107" t="s">
        <v>432</v>
      </c>
      <c r="U269" s="64">
        <f>U268+U270</f>
        <v>43</v>
      </c>
      <c r="V269" s="109" t="s">
        <v>2209</v>
      </c>
      <c r="W269" s="64">
        <f>W268+W270</f>
        <v>42.67</v>
      </c>
      <c r="X269" s="64">
        <f>X268+X270</f>
        <v>39.78</v>
      </c>
      <c r="Y269" s="83" t="s">
        <v>432</v>
      </c>
      <c r="Z269" s="64">
        <f>Z268+Z270</f>
        <v>36.15</v>
      </c>
      <c r="AA269" s="64">
        <f>AA268+AA270</f>
        <v>50</v>
      </c>
      <c r="AB269" s="64">
        <f>AB268+AB270</f>
        <v>53.14</v>
      </c>
      <c r="AC269" s="64">
        <f>AC268+AC270</f>
        <v>35.33</v>
      </c>
      <c r="AD269" s="64">
        <f>AD268+AD270</f>
        <v>49.11</v>
      </c>
      <c r="AE269" s="107" t="s">
        <v>2208</v>
      </c>
      <c r="AF269" s="64">
        <f>AF268+AF270</f>
        <v>52.3</v>
      </c>
      <c r="AG269" s="64">
        <f>AG268+AG270</f>
        <v>63.01</v>
      </c>
      <c r="AH269" s="107" t="s">
        <v>2208</v>
      </c>
      <c r="AI269" s="64">
        <f>AI268+AI270</f>
        <v>74</v>
      </c>
      <c r="AJ269" s="107" t="s">
        <v>2208</v>
      </c>
      <c r="AK269" s="64">
        <f>AK268+AK270</f>
        <v>56</v>
      </c>
      <c r="AL269" s="600" t="s">
        <v>432</v>
      </c>
      <c r="AM269" s="137" t="s">
        <v>432</v>
      </c>
      <c r="AN269" s="137" t="s">
        <v>432</v>
      </c>
      <c r="AO269" s="137" t="s">
        <v>432</v>
      </c>
      <c r="AP269" s="137" t="s">
        <v>432</v>
      </c>
      <c r="AQ269" s="137" t="s">
        <v>432</v>
      </c>
      <c r="AR269" s="137" t="s">
        <v>432</v>
      </c>
      <c r="AS269" s="137" t="s">
        <v>432</v>
      </c>
      <c r="AT269" s="137" t="s">
        <v>432</v>
      </c>
      <c r="AU269" s="137" t="s">
        <v>432</v>
      </c>
      <c r="AV269" s="137" t="s">
        <v>432</v>
      </c>
      <c r="AW269" s="137" t="s">
        <v>432</v>
      </c>
      <c r="AX269" s="137" t="s">
        <v>432</v>
      </c>
      <c r="AY269" s="137" t="s">
        <v>432</v>
      </c>
      <c r="AZ269" s="137" t="s">
        <v>432</v>
      </c>
      <c r="BA269" s="137" t="s">
        <v>432</v>
      </c>
      <c r="BB269" s="239" t="str">
        <f t="shared" si="55"/>
        <v>Avaliações em pesquisas externas de opiniãox</v>
      </c>
      <c r="BC269" s="239" t="str">
        <f t="shared" si="56"/>
        <v>Avaliações em pesquisas externas de opiniãoxx</v>
      </c>
      <c r="BD269" s="239" t="str">
        <f t="shared" si="57"/>
        <v>Avaliações em pesquisas externas de opiniãox</v>
      </c>
    </row>
    <row r="270" spans="1:56" s="3" customFormat="1" ht="47.25" customHeight="1" x14ac:dyDescent="0.25">
      <c r="A270" s="275" t="str">
        <f>'Q100b-totais'!$B$26</f>
        <v>3.2.1</v>
      </c>
      <c r="B270" s="53" t="str">
        <f>'Q100b-totais'!$C$26</f>
        <v>Avaliações em pesquisas externas de opinião</v>
      </c>
      <c r="C270" s="167" t="s">
        <v>432</v>
      </c>
      <c r="D270" s="323" t="s">
        <v>125</v>
      </c>
      <c r="E270" s="1505" t="s">
        <v>1306</v>
      </c>
      <c r="F270" s="14" t="s">
        <v>1510</v>
      </c>
      <c r="G270" s="110" t="s">
        <v>1439</v>
      </c>
      <c r="H270" s="173" t="s">
        <v>432</v>
      </c>
      <c r="I270" s="167">
        <v>1</v>
      </c>
      <c r="J270" s="107" t="s">
        <v>432</v>
      </c>
      <c r="K270" s="107" t="s">
        <v>432</v>
      </c>
      <c r="L270" s="107" t="s">
        <v>432</v>
      </c>
      <c r="M270" s="107" t="s">
        <v>432</v>
      </c>
      <c r="N270" s="107" t="s">
        <v>432</v>
      </c>
      <c r="O270" s="137" t="s">
        <v>432</v>
      </c>
      <c r="P270" s="83">
        <v>26</v>
      </c>
      <c r="Q270" s="107" t="s">
        <v>432</v>
      </c>
      <c r="R270" s="83">
        <v>16</v>
      </c>
      <c r="S270" s="109" t="s">
        <v>2209</v>
      </c>
      <c r="T270" s="107" t="s">
        <v>432</v>
      </c>
      <c r="U270" s="83">
        <v>22</v>
      </c>
      <c r="V270" s="109" t="s">
        <v>2209</v>
      </c>
      <c r="W270" s="83">
        <v>19.04</v>
      </c>
      <c r="X270" s="83">
        <v>19.11</v>
      </c>
      <c r="Y270" s="83" t="s">
        <v>432</v>
      </c>
      <c r="Z270" s="83">
        <v>14.43</v>
      </c>
      <c r="AA270" s="83">
        <v>22</v>
      </c>
      <c r="AB270" s="83">
        <v>25.18</v>
      </c>
      <c r="AC270" s="83">
        <v>18</v>
      </c>
      <c r="AD270" s="83">
        <v>27.04</v>
      </c>
      <c r="AE270" s="107" t="s">
        <v>2208</v>
      </c>
      <c r="AF270" s="83">
        <v>28.3</v>
      </c>
      <c r="AG270" s="83">
        <v>28.86</v>
      </c>
      <c r="AH270" s="107" t="s">
        <v>2208</v>
      </c>
      <c r="AI270" s="83">
        <v>28</v>
      </c>
      <c r="AJ270" s="107" t="s">
        <v>2208</v>
      </c>
      <c r="AK270" s="85">
        <v>26</v>
      </c>
      <c r="AL270" s="600" t="s">
        <v>432</v>
      </c>
      <c r="AM270" s="137" t="s">
        <v>432</v>
      </c>
      <c r="AN270" s="137" t="s">
        <v>432</v>
      </c>
      <c r="AO270" s="137" t="s">
        <v>432</v>
      </c>
      <c r="AP270" s="137" t="s">
        <v>432</v>
      </c>
      <c r="AQ270" s="137" t="s">
        <v>432</v>
      </c>
      <c r="AR270" s="137" t="s">
        <v>432</v>
      </c>
      <c r="AS270" s="137" t="s">
        <v>432</v>
      </c>
      <c r="AT270" s="137" t="s">
        <v>432</v>
      </c>
      <c r="AU270" s="137" t="s">
        <v>432</v>
      </c>
      <c r="AV270" s="137" t="s">
        <v>432</v>
      </c>
      <c r="AW270" s="137" t="s">
        <v>432</v>
      </c>
      <c r="AX270" s="137" t="s">
        <v>432</v>
      </c>
      <c r="AY270" s="137" t="s">
        <v>432</v>
      </c>
      <c r="AZ270" s="137" t="s">
        <v>432</v>
      </c>
      <c r="BA270" s="137" t="s">
        <v>432</v>
      </c>
      <c r="BB270" s="239" t="str">
        <f t="shared" si="55"/>
        <v>Avaliações em pesquisas externas de opiniãox</v>
      </c>
      <c r="BC270" s="239" t="str">
        <f t="shared" si="56"/>
        <v>Avaliações em pesquisas externas de opiniãoxx</v>
      </c>
      <c r="BD270" s="239" t="str">
        <f t="shared" si="57"/>
        <v>Avaliações em pesquisas externas de opiniãox</v>
      </c>
    </row>
    <row r="271" spans="1:56" s="3" customFormat="1" ht="60.75" customHeight="1" x14ac:dyDescent="0.25">
      <c r="A271" s="275" t="str">
        <f>'Q100b-totais'!$B$26</f>
        <v>3.2.1</v>
      </c>
      <c r="B271" s="53" t="str">
        <f>'Q100b-totais'!$C$26</f>
        <v>Avaliações em pesquisas externas de opinião</v>
      </c>
      <c r="C271" s="167" t="s">
        <v>432</v>
      </c>
      <c r="D271" s="378" t="s">
        <v>126</v>
      </c>
      <c r="E271" s="1506" t="s">
        <v>1306</v>
      </c>
      <c r="F271" s="337" t="s">
        <v>1518</v>
      </c>
      <c r="G271" s="110" t="s">
        <v>1434</v>
      </c>
      <c r="H271" s="173" t="s">
        <v>432</v>
      </c>
      <c r="I271" s="167">
        <v>1</v>
      </c>
      <c r="J271" s="107" t="s">
        <v>432</v>
      </c>
      <c r="K271" s="107" t="s">
        <v>432</v>
      </c>
      <c r="L271" s="107" t="s">
        <v>432</v>
      </c>
      <c r="M271" s="107" t="s">
        <v>432</v>
      </c>
      <c r="N271" s="107" t="s">
        <v>432</v>
      </c>
      <c r="O271" s="137" t="s">
        <v>432</v>
      </c>
      <c r="P271" s="83">
        <v>27</v>
      </c>
      <c r="Q271" s="107" t="s">
        <v>432</v>
      </c>
      <c r="R271" s="83">
        <v>36</v>
      </c>
      <c r="S271" s="109" t="s">
        <v>2209</v>
      </c>
      <c r="T271" s="107" t="s">
        <v>432</v>
      </c>
      <c r="U271" s="85">
        <v>35</v>
      </c>
      <c r="V271" s="109" t="s">
        <v>2209</v>
      </c>
      <c r="W271" s="83">
        <v>35.700000000000003</v>
      </c>
      <c r="X271" s="83">
        <v>38.369999999999997</v>
      </c>
      <c r="Y271" s="83" t="s">
        <v>432</v>
      </c>
      <c r="Z271" s="83">
        <v>44.11</v>
      </c>
      <c r="AA271" s="85">
        <v>33</v>
      </c>
      <c r="AB271" s="83">
        <v>33.880000000000003</v>
      </c>
      <c r="AC271" s="83">
        <v>41.78</v>
      </c>
      <c r="AD271" s="83">
        <v>38.590000000000003</v>
      </c>
      <c r="AE271" s="107" t="s">
        <v>2208</v>
      </c>
      <c r="AF271" s="83">
        <v>37.56</v>
      </c>
      <c r="AG271" s="85">
        <v>27.59</v>
      </c>
      <c r="AH271" s="107" t="s">
        <v>2208</v>
      </c>
      <c r="AI271" s="83">
        <v>20</v>
      </c>
      <c r="AJ271" s="107" t="s">
        <v>2208</v>
      </c>
      <c r="AK271" s="85">
        <v>34</v>
      </c>
      <c r="AL271" s="600" t="s">
        <v>432</v>
      </c>
      <c r="AM271" s="137" t="s">
        <v>432</v>
      </c>
      <c r="AN271" s="137" t="s">
        <v>432</v>
      </c>
      <c r="AO271" s="137" t="s">
        <v>432</v>
      </c>
      <c r="AP271" s="137" t="s">
        <v>432</v>
      </c>
      <c r="AQ271" s="137" t="s">
        <v>432</v>
      </c>
      <c r="AR271" s="137" t="s">
        <v>432</v>
      </c>
      <c r="AS271" s="137" t="s">
        <v>432</v>
      </c>
      <c r="AT271" s="137" t="s">
        <v>432</v>
      </c>
      <c r="AU271" s="137" t="s">
        <v>432</v>
      </c>
      <c r="AV271" s="137" t="s">
        <v>432</v>
      </c>
      <c r="AW271" s="137" t="s">
        <v>432</v>
      </c>
      <c r="AX271" s="137" t="s">
        <v>432</v>
      </c>
      <c r="AY271" s="137" t="s">
        <v>432</v>
      </c>
      <c r="AZ271" s="137" t="s">
        <v>432</v>
      </c>
      <c r="BA271" s="137" t="s">
        <v>432</v>
      </c>
      <c r="BB271" s="239" t="str">
        <f t="shared" si="55"/>
        <v>Avaliações em pesquisas externas de opiniãox</v>
      </c>
      <c r="BC271" s="239" t="str">
        <f t="shared" si="56"/>
        <v>Avaliações em pesquisas externas de opiniãoxx</v>
      </c>
      <c r="BD271" s="239" t="str">
        <f t="shared" si="57"/>
        <v>Avaliações em pesquisas externas de opiniãox</v>
      </c>
    </row>
    <row r="272" spans="1:56" s="3" customFormat="1" x14ac:dyDescent="0.25">
      <c r="A272" s="402"/>
      <c r="B272" s="399"/>
      <c r="C272" s="399"/>
      <c r="D272" s="970"/>
      <c r="E272" s="1493"/>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400"/>
      <c r="BD272" s="400"/>
    </row>
    <row r="273" spans="1:56" s="3" customFormat="1" ht="31.5" x14ac:dyDescent="0.25">
      <c r="A273" s="262" t="s">
        <v>432</v>
      </c>
      <c r="B273" s="252" t="s">
        <v>742</v>
      </c>
      <c r="C273" s="167" t="s">
        <v>432</v>
      </c>
      <c r="D273" s="972" t="s">
        <v>4740</v>
      </c>
      <c r="E273" s="1491" t="s">
        <v>432</v>
      </c>
      <c r="F273" s="1360" t="s">
        <v>4741</v>
      </c>
      <c r="G273" s="230" t="s">
        <v>3507</v>
      </c>
      <c r="H273" s="167" t="s">
        <v>2408</v>
      </c>
      <c r="I273" s="167" t="s">
        <v>432</v>
      </c>
      <c r="J273" s="107" t="s">
        <v>432</v>
      </c>
      <c r="K273" s="107" t="s">
        <v>432</v>
      </c>
      <c r="L273" s="107" t="s">
        <v>432</v>
      </c>
      <c r="M273" s="107" t="s">
        <v>432</v>
      </c>
      <c r="N273" s="107" t="s">
        <v>432</v>
      </c>
      <c r="O273" s="107" t="s">
        <v>432</v>
      </c>
      <c r="P273" s="107" t="s">
        <v>432</v>
      </c>
      <c r="Q273" s="107" t="s">
        <v>432</v>
      </c>
      <c r="R273" s="107" t="s">
        <v>432</v>
      </c>
      <c r="S273" s="109" t="s">
        <v>2209</v>
      </c>
      <c r="T273" s="107" t="s">
        <v>432</v>
      </c>
      <c r="U273" s="107" t="s">
        <v>432</v>
      </c>
      <c r="V273" s="109" t="s">
        <v>2209</v>
      </c>
      <c r="W273" s="107" t="s">
        <v>432</v>
      </c>
      <c r="X273" s="107" t="s">
        <v>432</v>
      </c>
      <c r="Y273" s="107" t="s">
        <v>432</v>
      </c>
      <c r="Z273" s="107" t="s">
        <v>432</v>
      </c>
      <c r="AA273" s="107" t="s">
        <v>432</v>
      </c>
      <c r="AB273" s="107" t="s">
        <v>432</v>
      </c>
      <c r="AC273" s="107" t="s">
        <v>432</v>
      </c>
      <c r="AD273" s="107" t="s">
        <v>432</v>
      </c>
      <c r="AE273" s="107" t="s">
        <v>432</v>
      </c>
      <c r="AF273" s="107" t="s">
        <v>432</v>
      </c>
      <c r="AG273" s="107" t="s">
        <v>432</v>
      </c>
      <c r="AH273" s="107" t="s">
        <v>432</v>
      </c>
      <c r="AI273" s="107" t="s">
        <v>432</v>
      </c>
      <c r="AJ273" s="107" t="s">
        <v>432</v>
      </c>
      <c r="AK273" s="137" t="s">
        <v>432</v>
      </c>
      <c r="AL273" s="600" t="s">
        <v>432</v>
      </c>
      <c r="AM273" s="137" t="s">
        <v>432</v>
      </c>
      <c r="AN273" s="137" t="s">
        <v>432</v>
      </c>
      <c r="AO273" s="137" t="s">
        <v>432</v>
      </c>
      <c r="AP273" s="137" t="s">
        <v>432</v>
      </c>
      <c r="AQ273" s="137" t="s">
        <v>432</v>
      </c>
      <c r="AR273" s="137" t="s">
        <v>432</v>
      </c>
      <c r="AS273" s="137" t="s">
        <v>432</v>
      </c>
      <c r="AT273" s="137" t="s">
        <v>432</v>
      </c>
      <c r="AU273" s="137" t="s">
        <v>432</v>
      </c>
      <c r="AV273" s="137" t="s">
        <v>432</v>
      </c>
      <c r="AW273" s="137" t="s">
        <v>432</v>
      </c>
      <c r="AX273" s="137" t="s">
        <v>432</v>
      </c>
      <c r="AY273" s="137" t="s">
        <v>432</v>
      </c>
      <c r="AZ273" s="137" t="s">
        <v>432</v>
      </c>
      <c r="BA273" s="137" t="s">
        <v>432</v>
      </c>
      <c r="BB273" s="239" t="str">
        <f>B273&amp;C273</f>
        <v>geralx</v>
      </c>
      <c r="BC273" s="239" t="str">
        <f>B273&amp;C273&amp;H273</f>
        <v>geralxsigla/verbete</v>
      </c>
      <c r="BD273" s="239" t="str">
        <f>B273&amp;H273</f>
        <v>geralsigla/verbete</v>
      </c>
    </row>
    <row r="274" spans="1:56" s="3" customFormat="1" ht="25.5" customHeight="1" x14ac:dyDescent="0.25">
      <c r="A274" s="262" t="s">
        <v>432</v>
      </c>
      <c r="B274" s="252" t="s">
        <v>742</v>
      </c>
      <c r="C274" s="167" t="s">
        <v>432</v>
      </c>
      <c r="D274" s="972" t="s">
        <v>1681</v>
      </c>
      <c r="E274" s="1491" t="s">
        <v>432</v>
      </c>
      <c r="F274" s="53" t="s">
        <v>909</v>
      </c>
      <c r="G274" s="167" t="s">
        <v>3879</v>
      </c>
      <c r="H274" s="169" t="s">
        <v>432</v>
      </c>
      <c r="I274" s="167" t="s">
        <v>432</v>
      </c>
      <c r="J274" s="107" t="s">
        <v>432</v>
      </c>
      <c r="K274" s="107" t="s">
        <v>432</v>
      </c>
      <c r="L274" s="107" t="s">
        <v>432</v>
      </c>
      <c r="M274" s="107" t="s">
        <v>432</v>
      </c>
      <c r="N274" s="107" t="s">
        <v>432</v>
      </c>
      <c r="O274" s="107" t="s">
        <v>432</v>
      </c>
      <c r="P274" s="107" t="s">
        <v>432</v>
      </c>
      <c r="Q274" s="107" t="s">
        <v>432</v>
      </c>
      <c r="R274" s="107" t="s">
        <v>432</v>
      </c>
      <c r="S274" s="109" t="s">
        <v>2209</v>
      </c>
      <c r="T274" s="107" t="s">
        <v>432</v>
      </c>
      <c r="U274" s="107" t="s">
        <v>432</v>
      </c>
      <c r="V274" s="109" t="s">
        <v>2209</v>
      </c>
      <c r="W274" s="107" t="s">
        <v>432</v>
      </c>
      <c r="X274" s="107" t="s">
        <v>432</v>
      </c>
      <c r="Y274" s="107" t="s">
        <v>432</v>
      </c>
      <c r="Z274" s="107" t="s">
        <v>432</v>
      </c>
      <c r="AA274" s="107" t="s">
        <v>432</v>
      </c>
      <c r="AB274" s="107" t="s">
        <v>432</v>
      </c>
      <c r="AC274" s="107" t="s">
        <v>432</v>
      </c>
      <c r="AD274" s="107" t="s">
        <v>432</v>
      </c>
      <c r="AE274" s="107" t="s">
        <v>432</v>
      </c>
      <c r="AF274" s="107" t="s">
        <v>432</v>
      </c>
      <c r="AG274" s="107" t="s">
        <v>432</v>
      </c>
      <c r="AH274" s="107" t="s">
        <v>432</v>
      </c>
      <c r="AI274" s="107" t="s">
        <v>432</v>
      </c>
      <c r="AJ274" s="107" t="s">
        <v>432</v>
      </c>
      <c r="AK274" s="137" t="s">
        <v>432</v>
      </c>
      <c r="AL274" s="600" t="s">
        <v>432</v>
      </c>
      <c r="AM274" s="137" t="s">
        <v>432</v>
      </c>
      <c r="AN274" s="137" t="s">
        <v>432</v>
      </c>
      <c r="AO274" s="137" t="s">
        <v>432</v>
      </c>
      <c r="AP274" s="137" t="s">
        <v>432</v>
      </c>
      <c r="AQ274" s="137" t="s">
        <v>432</v>
      </c>
      <c r="AR274" s="137" t="s">
        <v>432</v>
      </c>
      <c r="AS274" s="137" t="s">
        <v>432</v>
      </c>
      <c r="AT274" s="137" t="s">
        <v>432</v>
      </c>
      <c r="AU274" s="137" t="s">
        <v>432</v>
      </c>
      <c r="AV274" s="137" t="s">
        <v>432</v>
      </c>
      <c r="AW274" s="137" t="s">
        <v>432</v>
      </c>
      <c r="AX274" s="137" t="s">
        <v>432</v>
      </c>
      <c r="AY274" s="137" t="s">
        <v>432</v>
      </c>
      <c r="AZ274" s="137" t="s">
        <v>432</v>
      </c>
      <c r="BA274" s="137" t="s">
        <v>432</v>
      </c>
      <c r="BB274" s="239" t="str">
        <f>B274&amp;C274</f>
        <v>geralx</v>
      </c>
      <c r="BC274" s="239" t="str">
        <f>B274&amp;C274&amp;H274</f>
        <v>geralxx</v>
      </c>
      <c r="BD274" s="239" t="str">
        <f>B274&amp;H274</f>
        <v>geralx</v>
      </c>
    </row>
    <row r="275" spans="1:56" s="3" customFormat="1" ht="51.75" customHeight="1" x14ac:dyDescent="0.25">
      <c r="A275" s="262" t="s">
        <v>432</v>
      </c>
      <c r="B275" s="252" t="s">
        <v>742</v>
      </c>
      <c r="C275" s="167" t="s">
        <v>432</v>
      </c>
      <c r="D275" s="972" t="s">
        <v>1681</v>
      </c>
      <c r="E275" s="1491" t="s">
        <v>432</v>
      </c>
      <c r="F275" s="452" t="s">
        <v>4742</v>
      </c>
      <c r="G275" s="230" t="s">
        <v>3507</v>
      </c>
      <c r="H275" s="167" t="s">
        <v>2408</v>
      </c>
      <c r="I275" s="167" t="s">
        <v>432</v>
      </c>
      <c r="J275" s="107" t="s">
        <v>432</v>
      </c>
      <c r="K275" s="107" t="s">
        <v>432</v>
      </c>
      <c r="L275" s="107" t="s">
        <v>432</v>
      </c>
      <c r="M275" s="107" t="s">
        <v>432</v>
      </c>
      <c r="N275" s="107" t="s">
        <v>432</v>
      </c>
      <c r="O275" s="107" t="s">
        <v>432</v>
      </c>
      <c r="P275" s="107" t="s">
        <v>432</v>
      </c>
      <c r="Q275" s="107" t="s">
        <v>432</v>
      </c>
      <c r="R275" s="107" t="s">
        <v>432</v>
      </c>
      <c r="S275" s="109" t="s">
        <v>2209</v>
      </c>
      <c r="T275" s="107" t="s">
        <v>432</v>
      </c>
      <c r="U275" s="107" t="s">
        <v>432</v>
      </c>
      <c r="V275" s="109" t="s">
        <v>2209</v>
      </c>
      <c r="W275" s="107" t="s">
        <v>432</v>
      </c>
      <c r="X275" s="107" t="s">
        <v>432</v>
      </c>
      <c r="Y275" s="107" t="s">
        <v>432</v>
      </c>
      <c r="Z275" s="107" t="s">
        <v>432</v>
      </c>
      <c r="AA275" s="107" t="s">
        <v>432</v>
      </c>
      <c r="AB275" s="107" t="s">
        <v>432</v>
      </c>
      <c r="AC275" s="107" t="s">
        <v>432</v>
      </c>
      <c r="AD275" s="107" t="s">
        <v>432</v>
      </c>
      <c r="AE275" s="107" t="s">
        <v>432</v>
      </c>
      <c r="AF275" s="107" t="s">
        <v>432</v>
      </c>
      <c r="AG275" s="107" t="s">
        <v>432</v>
      </c>
      <c r="AH275" s="107" t="s">
        <v>432</v>
      </c>
      <c r="AI275" s="107" t="s">
        <v>432</v>
      </c>
      <c r="AJ275" s="107" t="s">
        <v>432</v>
      </c>
      <c r="AK275" s="107" t="s">
        <v>432</v>
      </c>
      <c r="AL275" s="600" t="s">
        <v>432</v>
      </c>
      <c r="AM275" s="137" t="s">
        <v>432</v>
      </c>
      <c r="AN275" s="137" t="s">
        <v>432</v>
      </c>
      <c r="AO275" s="137" t="s">
        <v>432</v>
      </c>
      <c r="AP275" s="137" t="s">
        <v>432</v>
      </c>
      <c r="AQ275" s="137" t="s">
        <v>432</v>
      </c>
      <c r="AR275" s="137" t="s">
        <v>432</v>
      </c>
      <c r="AS275" s="137" t="s">
        <v>432</v>
      </c>
      <c r="AT275" s="137" t="s">
        <v>432</v>
      </c>
      <c r="AU275" s="137" t="s">
        <v>432</v>
      </c>
      <c r="AV275" s="137" t="s">
        <v>432</v>
      </c>
      <c r="AW275" s="137" t="s">
        <v>432</v>
      </c>
      <c r="AX275" s="137" t="s">
        <v>432</v>
      </c>
      <c r="AY275" s="137" t="s">
        <v>432</v>
      </c>
      <c r="AZ275" s="137" t="s">
        <v>432</v>
      </c>
      <c r="BA275" s="137" t="s">
        <v>432</v>
      </c>
      <c r="BB275" s="239" t="str">
        <f>B275&amp;C275</f>
        <v>geralx</v>
      </c>
      <c r="BC275" s="239" t="str">
        <f>B275&amp;C275&amp;H275</f>
        <v>geralxsigla/verbete</v>
      </c>
      <c r="BD275" s="239" t="str">
        <f>B275&amp;H275</f>
        <v>geralsigla/verbete</v>
      </c>
    </row>
    <row r="276" spans="1:56" s="3" customFormat="1" ht="12.75" customHeight="1" x14ac:dyDescent="0.25">
      <c r="A276" s="402"/>
      <c r="B276" s="399"/>
      <c r="C276" s="399"/>
      <c r="D276" s="970"/>
      <c r="E276" s="1493"/>
      <c r="F276" s="221"/>
      <c r="G276" s="221"/>
      <c r="H276" s="221"/>
      <c r="I276" s="399"/>
      <c r="J276" s="221"/>
      <c r="K276" s="221"/>
      <c r="L276" s="221"/>
      <c r="M276" s="221"/>
      <c r="N276" s="221"/>
      <c r="O276" s="221"/>
      <c r="P276" s="221"/>
      <c r="Q276" s="221"/>
      <c r="R276" s="221"/>
      <c r="S276" s="109" t="s">
        <v>2209</v>
      </c>
      <c r="T276" s="221"/>
      <c r="U276" s="221"/>
      <c r="V276" s="109" t="s">
        <v>2209</v>
      </c>
      <c r="W276" s="221"/>
      <c r="X276" s="221"/>
      <c r="Y276" s="221"/>
      <c r="Z276" s="221"/>
      <c r="AA276" s="221"/>
      <c r="AB276" s="221"/>
      <c r="AC276" s="221"/>
      <c r="AD276" s="221"/>
      <c r="AE276" s="221"/>
      <c r="AF276" s="221"/>
      <c r="AG276" s="221"/>
      <c r="AH276" s="221"/>
      <c r="AI276" s="221"/>
      <c r="AJ276" s="221"/>
      <c r="AK276" s="223"/>
      <c r="AL276" s="600" t="s">
        <v>432</v>
      </c>
      <c r="AM276" s="223"/>
      <c r="AN276" s="223"/>
      <c r="AO276" s="223"/>
      <c r="AP276" s="223"/>
      <c r="AQ276" s="223"/>
      <c r="AR276" s="223"/>
      <c r="AS276" s="223"/>
      <c r="AT276" s="223"/>
      <c r="AU276" s="223"/>
      <c r="AV276" s="223"/>
      <c r="AW276" s="137" t="s">
        <v>432</v>
      </c>
      <c r="AX276" s="223"/>
      <c r="AY276" s="223"/>
      <c r="AZ276" s="223"/>
      <c r="BA276" s="223"/>
      <c r="BB276" s="400"/>
      <c r="BC276" s="400"/>
      <c r="BD276" s="400"/>
    </row>
    <row r="277" spans="1:56" s="3" customFormat="1" ht="113.25" customHeight="1" x14ac:dyDescent="0.25">
      <c r="A277" s="275" t="str">
        <f>'Q100b-totais'!B64</f>
        <v>9.1</v>
      </c>
      <c r="B277" s="1205" t="str">
        <f>'Q100b-totais'!$C$64</f>
        <v>Acidentes de trânsito</v>
      </c>
      <c r="C277" s="167" t="s">
        <v>432</v>
      </c>
      <c r="D277" s="324" t="s">
        <v>127</v>
      </c>
      <c r="E277" s="1505" t="s">
        <v>1306</v>
      </c>
      <c r="F277" s="11" t="s">
        <v>1532</v>
      </c>
      <c r="G277" s="409" t="s">
        <v>1528</v>
      </c>
      <c r="H277" s="173" t="s">
        <v>432</v>
      </c>
      <c r="I277" s="57">
        <v>1</v>
      </c>
      <c r="J277" s="107" t="s">
        <v>432</v>
      </c>
      <c r="K277" s="161">
        <v>34045</v>
      </c>
      <c r="L277" s="161">
        <v>39394</v>
      </c>
      <c r="M277" s="161">
        <v>42995</v>
      </c>
      <c r="N277" s="161">
        <v>38183</v>
      </c>
      <c r="O277" s="161">
        <v>38547</v>
      </c>
      <c r="P277" s="161">
        <v>24981</v>
      </c>
      <c r="Q277" s="161">
        <v>11154</v>
      </c>
      <c r="R277" s="161">
        <v>11146</v>
      </c>
      <c r="S277" s="109" t="s">
        <v>2209</v>
      </c>
      <c r="T277" s="161">
        <v>11485</v>
      </c>
      <c r="U277" s="161">
        <v>11474</v>
      </c>
      <c r="V277" s="109" t="s">
        <v>2209</v>
      </c>
      <c r="W277" s="161">
        <v>10911</v>
      </c>
      <c r="X277" s="161">
        <v>9734</v>
      </c>
      <c r="Y277" s="161">
        <v>11889</v>
      </c>
      <c r="Z277" s="162">
        <v>13073</v>
      </c>
      <c r="AA277" s="162">
        <v>13594</v>
      </c>
      <c r="AB277" s="162">
        <v>13798</v>
      </c>
      <c r="AC277" s="162">
        <v>14991</v>
      </c>
      <c r="AD277" s="162">
        <v>15719</v>
      </c>
      <c r="AE277" s="162">
        <v>16377</v>
      </c>
      <c r="AF277" s="162">
        <v>16822</v>
      </c>
      <c r="AG277" s="162">
        <v>16294</v>
      </c>
      <c r="AH277" s="162">
        <v>15260</v>
      </c>
      <c r="AI277" s="162">
        <v>14145</v>
      </c>
      <c r="AJ277" s="162">
        <v>14965</v>
      </c>
      <c r="AK277" s="137" t="s">
        <v>432</v>
      </c>
      <c r="AL277" s="600" t="s">
        <v>432</v>
      </c>
      <c r="AM277" s="137" t="s">
        <v>432</v>
      </c>
      <c r="AN277" s="137" t="s">
        <v>432</v>
      </c>
      <c r="AO277" s="137" t="s">
        <v>432</v>
      </c>
      <c r="AP277" s="137" t="s">
        <v>432</v>
      </c>
      <c r="AQ277" s="137" t="s">
        <v>432</v>
      </c>
      <c r="AR277" s="137" t="s">
        <v>432</v>
      </c>
      <c r="AS277" s="137" t="s">
        <v>432</v>
      </c>
      <c r="AT277" s="137" t="s">
        <v>432</v>
      </c>
      <c r="AU277" s="137" t="s">
        <v>432</v>
      </c>
      <c r="AV277" s="137" t="s">
        <v>432</v>
      </c>
      <c r="AW277" s="137" t="s">
        <v>432</v>
      </c>
      <c r="AX277" s="137" t="s">
        <v>432</v>
      </c>
      <c r="AY277" s="137" t="s">
        <v>432</v>
      </c>
      <c r="AZ277" s="137" t="s">
        <v>432</v>
      </c>
      <c r="BA277" s="137" t="s">
        <v>432</v>
      </c>
      <c r="BB277" s="239" t="str">
        <f t="shared" ref="BB277:BB282" si="58">B277&amp;C277</f>
        <v>Acidentes de trânsitox</v>
      </c>
      <c r="BC277" s="239" t="str">
        <f t="shared" ref="BC277:BC282" si="59">B277&amp;C277&amp;H277</f>
        <v>Acidentes de trânsitoxx</v>
      </c>
      <c r="BD277" s="239" t="str">
        <f t="shared" ref="BD277:BD282" si="60">B277&amp;H277</f>
        <v>Acidentes de trânsitox</v>
      </c>
    </row>
    <row r="278" spans="1:56" s="3" customFormat="1" ht="39.75" customHeight="1" x14ac:dyDescent="0.25">
      <c r="A278" s="275" t="str">
        <f>'Q100b-totais'!$B$64</f>
        <v>9.1</v>
      </c>
      <c r="B278" s="1205" t="str">
        <f>'Q100b-totais'!$C$64</f>
        <v>Acidentes de trânsito</v>
      </c>
      <c r="C278" s="167" t="s">
        <v>432</v>
      </c>
      <c r="D278" s="323" t="s">
        <v>128</v>
      </c>
      <c r="E278" s="1505" t="s">
        <v>1306</v>
      </c>
      <c r="F278" s="11" t="s">
        <v>1902</v>
      </c>
      <c r="G278" s="404" t="s">
        <v>812</v>
      </c>
      <c r="H278" s="173" t="s">
        <v>432</v>
      </c>
      <c r="I278" s="57">
        <v>1</v>
      </c>
      <c r="J278" s="107" t="s">
        <v>432</v>
      </c>
      <c r="K278" s="64">
        <f t="shared" ref="K278:R278" si="61">(K277/K814)*10000</f>
        <v>709.55909171434223</v>
      </c>
      <c r="L278" s="64">
        <f t="shared" si="61"/>
        <v>803.68527461048984</v>
      </c>
      <c r="M278" s="64">
        <f t="shared" si="61"/>
        <v>844.80336388733338</v>
      </c>
      <c r="N278" s="64">
        <f t="shared" si="61"/>
        <v>711.20970656057102</v>
      </c>
      <c r="O278" s="64">
        <f t="shared" si="61"/>
        <v>677.67676785434878</v>
      </c>
      <c r="P278" s="64">
        <f t="shared" si="61"/>
        <v>417.18715555882136</v>
      </c>
      <c r="Q278" s="64">
        <f t="shared" si="61"/>
        <v>182.26741050856432</v>
      </c>
      <c r="R278" s="64">
        <f t="shared" si="61"/>
        <v>178.64784768291528</v>
      </c>
      <c r="S278" s="109" t="s">
        <v>2209</v>
      </c>
      <c r="T278" s="64">
        <f>(T277/T814)*10000</f>
        <v>175.28276459913894</v>
      </c>
      <c r="U278" s="64">
        <f>(U277/U814)*10000</f>
        <v>168.80306358287959</v>
      </c>
      <c r="V278" s="109" t="s">
        <v>2209</v>
      </c>
      <c r="W278" s="64">
        <f t="shared" ref="W278:AJ278" si="62">(W277/W814)*10000</f>
        <v>151.99024899878114</v>
      </c>
      <c r="X278" s="64">
        <f t="shared" si="62"/>
        <v>129.53433378445453</v>
      </c>
      <c r="Y278" s="64">
        <f t="shared" si="62"/>
        <v>150.38877947153316</v>
      </c>
      <c r="Z278" s="64">
        <f t="shared" si="62"/>
        <v>159.08673287472027</v>
      </c>
      <c r="AA278" s="64">
        <f t="shared" si="62"/>
        <v>157.53542924754061</v>
      </c>
      <c r="AB278" s="64">
        <f t="shared" si="62"/>
        <v>148.16055630541391</v>
      </c>
      <c r="AC278" s="64">
        <f t="shared" si="62"/>
        <v>146.90361746850701</v>
      </c>
      <c r="AD278" s="64">
        <f t="shared" si="62"/>
        <v>141.96317212142776</v>
      </c>
      <c r="AE278" s="64">
        <f t="shared" si="62"/>
        <v>134.22395246388689</v>
      </c>
      <c r="AF278" s="64">
        <f t="shared" si="62"/>
        <v>126.25517776071558</v>
      </c>
      <c r="AG278" s="64">
        <f t="shared" si="62"/>
        <v>113.95481391599905</v>
      </c>
      <c r="AH278" s="64">
        <f t="shared" si="62"/>
        <v>101.23827815316436</v>
      </c>
      <c r="AI278" s="64">
        <f t="shared" si="62"/>
        <v>89.489916963226577</v>
      </c>
      <c r="AJ278" s="64">
        <f t="shared" si="62"/>
        <v>91.685225292011168</v>
      </c>
      <c r="AK278" s="137" t="s">
        <v>432</v>
      </c>
      <c r="AL278" s="600" t="s">
        <v>432</v>
      </c>
      <c r="AM278" s="137" t="s">
        <v>432</v>
      </c>
      <c r="AN278" s="137" t="s">
        <v>432</v>
      </c>
      <c r="AO278" s="137" t="s">
        <v>432</v>
      </c>
      <c r="AP278" s="137" t="s">
        <v>432</v>
      </c>
      <c r="AQ278" s="137" t="s">
        <v>432</v>
      </c>
      <c r="AR278" s="137" t="s">
        <v>432</v>
      </c>
      <c r="AS278" s="137" t="s">
        <v>432</v>
      </c>
      <c r="AT278" s="137" t="s">
        <v>432</v>
      </c>
      <c r="AU278" s="137" t="s">
        <v>432</v>
      </c>
      <c r="AV278" s="137" t="s">
        <v>432</v>
      </c>
      <c r="AW278" s="137" t="s">
        <v>432</v>
      </c>
      <c r="AX278" s="137" t="s">
        <v>432</v>
      </c>
      <c r="AY278" s="137" t="s">
        <v>432</v>
      </c>
      <c r="AZ278" s="137" t="s">
        <v>432</v>
      </c>
      <c r="BA278" s="137" t="s">
        <v>432</v>
      </c>
      <c r="BB278" s="239" t="str">
        <f t="shared" si="58"/>
        <v>Acidentes de trânsitox</v>
      </c>
      <c r="BC278" s="239" t="str">
        <f t="shared" si="59"/>
        <v>Acidentes de trânsitoxx</v>
      </c>
      <c r="BD278" s="239" t="str">
        <f t="shared" si="60"/>
        <v>Acidentes de trânsitox</v>
      </c>
    </row>
    <row r="279" spans="1:56" s="3" customFormat="1" ht="35.25" customHeight="1" x14ac:dyDescent="0.25">
      <c r="A279" s="275" t="str">
        <f>'Q100b-totais'!$B$64</f>
        <v>9.1</v>
      </c>
      <c r="B279" s="1205" t="str">
        <f>'Q100b-totais'!$C$64</f>
        <v>Acidentes de trânsito</v>
      </c>
      <c r="C279" s="167" t="s">
        <v>432</v>
      </c>
      <c r="D279" s="323" t="s">
        <v>773</v>
      </c>
      <c r="E279" s="1505" t="s">
        <v>1306</v>
      </c>
      <c r="F279" s="11" t="s">
        <v>1901</v>
      </c>
      <c r="G279" s="404" t="s">
        <v>813</v>
      </c>
      <c r="H279" s="173" t="s">
        <v>432</v>
      </c>
      <c r="I279" s="57">
        <v>1</v>
      </c>
      <c r="J279" s="107" t="s">
        <v>432</v>
      </c>
      <c r="K279" s="20">
        <f t="shared" ref="K279:R279" si="63">(K277/K1855)*100000</f>
        <v>1685.2617192392092</v>
      </c>
      <c r="L279" s="20">
        <f t="shared" si="63"/>
        <v>1942.2731606977866</v>
      </c>
      <c r="M279" s="20">
        <f t="shared" si="63"/>
        <v>2111.370561616221</v>
      </c>
      <c r="N279" s="20">
        <f t="shared" si="63"/>
        <v>1867.5959892394226</v>
      </c>
      <c r="O279" s="20">
        <f t="shared" si="63"/>
        <v>1877.8883000645988</v>
      </c>
      <c r="P279" s="20">
        <f t="shared" si="63"/>
        <v>1194.4356254614027</v>
      </c>
      <c r="Q279" s="20">
        <f t="shared" si="63"/>
        <v>531.18990539162041</v>
      </c>
      <c r="R279" s="20">
        <f t="shared" si="63"/>
        <v>528.69420689465437</v>
      </c>
      <c r="S279" s="109" t="s">
        <v>2209</v>
      </c>
      <c r="T279" s="20">
        <f>(T277/T1855)*100000</f>
        <v>542.60372305997316</v>
      </c>
      <c r="U279" s="20">
        <f>(U277/U1855)*100000</f>
        <v>512.56943184935085</v>
      </c>
      <c r="V279" s="109" t="s">
        <v>2209</v>
      </c>
      <c r="W279" s="20">
        <f t="shared" ref="W279:AJ279" si="64">(W277/W1855)*100000</f>
        <v>483.08109307114461</v>
      </c>
      <c r="X279" s="20">
        <f t="shared" si="64"/>
        <v>426.09482820507884</v>
      </c>
      <c r="Y279" s="20">
        <f t="shared" si="64"/>
        <v>515.61011912506319</v>
      </c>
      <c r="Z279" s="20">
        <f t="shared" si="64"/>
        <v>556.16439288613287</v>
      </c>
      <c r="AA279" s="20">
        <f t="shared" si="64"/>
        <v>572.29966880377413</v>
      </c>
      <c r="AB279" s="20">
        <f t="shared" si="64"/>
        <v>574.93583119437312</v>
      </c>
      <c r="AC279" s="20">
        <f t="shared" si="64"/>
        <v>621.27606315457058</v>
      </c>
      <c r="AD279" s="20">
        <f t="shared" si="64"/>
        <v>645.63907137065746</v>
      </c>
      <c r="AE279" s="20">
        <f t="shared" si="64"/>
        <v>667.73572881538382</v>
      </c>
      <c r="AF279" s="20">
        <f t="shared" si="64"/>
        <v>708.24970707125567</v>
      </c>
      <c r="AG279" s="20">
        <f t="shared" si="64"/>
        <v>683.00330309686285</v>
      </c>
      <c r="AH279" s="20">
        <f t="shared" si="64"/>
        <v>636.95198024864499</v>
      </c>
      <c r="AI279" s="20">
        <f t="shared" si="64"/>
        <v>570.5550054151297</v>
      </c>
      <c r="AJ279" s="20">
        <f t="shared" si="64"/>
        <v>600.73645914329722</v>
      </c>
      <c r="AK279" s="137" t="s">
        <v>432</v>
      </c>
      <c r="AL279" s="600" t="s">
        <v>432</v>
      </c>
      <c r="AM279" s="137" t="s">
        <v>432</v>
      </c>
      <c r="AN279" s="137" t="s">
        <v>432</v>
      </c>
      <c r="AO279" s="137" t="s">
        <v>432</v>
      </c>
      <c r="AP279" s="137" t="s">
        <v>432</v>
      </c>
      <c r="AQ279" s="137" t="s">
        <v>432</v>
      </c>
      <c r="AR279" s="137" t="s">
        <v>432</v>
      </c>
      <c r="AS279" s="137" t="s">
        <v>432</v>
      </c>
      <c r="AT279" s="137" t="s">
        <v>432</v>
      </c>
      <c r="AU279" s="137" t="s">
        <v>432</v>
      </c>
      <c r="AV279" s="137" t="s">
        <v>432</v>
      </c>
      <c r="AW279" s="137" t="s">
        <v>432</v>
      </c>
      <c r="AX279" s="137" t="s">
        <v>432</v>
      </c>
      <c r="AY279" s="137" t="s">
        <v>432</v>
      </c>
      <c r="AZ279" s="137" t="s">
        <v>432</v>
      </c>
      <c r="BA279" s="137" t="s">
        <v>432</v>
      </c>
      <c r="BB279" s="239" t="str">
        <f t="shared" si="58"/>
        <v>Acidentes de trânsitox</v>
      </c>
      <c r="BC279" s="239" t="str">
        <f t="shared" si="59"/>
        <v>Acidentes de trânsitoxx</v>
      </c>
      <c r="BD279" s="239" t="str">
        <f t="shared" si="60"/>
        <v>Acidentes de trânsitox</v>
      </c>
    </row>
    <row r="280" spans="1:56" s="3" customFormat="1" ht="38.25" customHeight="1" x14ac:dyDescent="0.25">
      <c r="A280" s="275" t="str">
        <f>'Q100b-totais'!$B$64</f>
        <v>9.1</v>
      </c>
      <c r="B280" s="1205" t="str">
        <f>'Q100b-totais'!$C$64</f>
        <v>Acidentes de trânsito</v>
      </c>
      <c r="C280" s="167" t="s">
        <v>432</v>
      </c>
      <c r="D280" s="324" t="s">
        <v>3042</v>
      </c>
      <c r="E280" s="1505" t="s">
        <v>1306</v>
      </c>
      <c r="F280" s="11" t="s">
        <v>1537</v>
      </c>
      <c r="G280" s="110" t="s">
        <v>77</v>
      </c>
      <c r="H280" s="173" t="s">
        <v>432</v>
      </c>
      <c r="I280" s="57">
        <v>1</v>
      </c>
      <c r="J280" s="107" t="s">
        <v>432</v>
      </c>
      <c r="K280" s="84" t="s">
        <v>432</v>
      </c>
      <c r="L280" s="84" t="s">
        <v>432</v>
      </c>
      <c r="M280" s="84" t="s">
        <v>432</v>
      </c>
      <c r="N280" s="84" t="s">
        <v>432</v>
      </c>
      <c r="O280" s="84" t="s">
        <v>432</v>
      </c>
      <c r="P280" s="84" t="s">
        <v>432</v>
      </c>
      <c r="Q280" s="84" t="s">
        <v>432</v>
      </c>
      <c r="R280" s="84" t="s">
        <v>432</v>
      </c>
      <c r="S280" s="109" t="s">
        <v>2209</v>
      </c>
      <c r="T280" s="84" t="s">
        <v>432</v>
      </c>
      <c r="U280" s="84" t="s">
        <v>432</v>
      </c>
      <c r="V280" s="109" t="s">
        <v>2209</v>
      </c>
      <c r="W280" s="84" t="s">
        <v>432</v>
      </c>
      <c r="X280" s="84" t="s">
        <v>432</v>
      </c>
      <c r="Y280" s="84" t="s">
        <v>432</v>
      </c>
      <c r="Z280" s="159">
        <v>967</v>
      </c>
      <c r="AA280" s="159">
        <v>811</v>
      </c>
      <c r="AB280" s="159">
        <v>836</v>
      </c>
      <c r="AC280" s="159">
        <v>811</v>
      </c>
      <c r="AD280" s="159">
        <v>381</v>
      </c>
      <c r="AE280" s="159">
        <v>636</v>
      </c>
      <c r="AF280" s="159">
        <v>524</v>
      </c>
      <c r="AG280" s="159">
        <v>408</v>
      </c>
      <c r="AH280" s="159">
        <v>408</v>
      </c>
      <c r="AI280" s="159">
        <v>376</v>
      </c>
      <c r="AJ280" s="330" t="s">
        <v>772</v>
      </c>
      <c r="AK280" s="137" t="s">
        <v>432</v>
      </c>
      <c r="AL280" s="600" t="s">
        <v>432</v>
      </c>
      <c r="AM280" s="137" t="s">
        <v>432</v>
      </c>
      <c r="AN280" s="137" t="s">
        <v>432</v>
      </c>
      <c r="AO280" s="137" t="s">
        <v>432</v>
      </c>
      <c r="AP280" s="137" t="s">
        <v>432</v>
      </c>
      <c r="AQ280" s="137" t="s">
        <v>432</v>
      </c>
      <c r="AR280" s="137" t="s">
        <v>432</v>
      </c>
      <c r="AS280" s="137" t="s">
        <v>432</v>
      </c>
      <c r="AT280" s="137" t="s">
        <v>432</v>
      </c>
      <c r="AU280" s="137" t="s">
        <v>432</v>
      </c>
      <c r="AV280" s="137" t="s">
        <v>432</v>
      </c>
      <c r="AW280" s="137" t="s">
        <v>432</v>
      </c>
      <c r="AX280" s="137" t="s">
        <v>432</v>
      </c>
      <c r="AY280" s="137" t="s">
        <v>432</v>
      </c>
      <c r="AZ280" s="137" t="s">
        <v>432</v>
      </c>
      <c r="BA280" s="137" t="s">
        <v>432</v>
      </c>
      <c r="BB280" s="239" t="str">
        <f t="shared" si="58"/>
        <v>Acidentes de trânsitox</v>
      </c>
      <c r="BC280" s="239" t="str">
        <f t="shared" si="59"/>
        <v>Acidentes de trânsitoxx</v>
      </c>
      <c r="BD280" s="239" t="str">
        <f t="shared" si="60"/>
        <v>Acidentes de trânsitox</v>
      </c>
    </row>
    <row r="281" spans="1:56" s="3" customFormat="1" ht="63.75" customHeight="1" x14ac:dyDescent="0.25">
      <c r="A281" s="275" t="str">
        <f>'Q100b-totais'!$B$64</f>
        <v>9.1</v>
      </c>
      <c r="B281" s="1205" t="str">
        <f>'Q100b-totais'!$C$64</f>
        <v>Acidentes de trânsito</v>
      </c>
      <c r="C281" s="167" t="s">
        <v>432</v>
      </c>
      <c r="D281" s="323" t="s">
        <v>3043</v>
      </c>
      <c r="E281" s="1505" t="s">
        <v>1306</v>
      </c>
      <c r="F281" s="11" t="s">
        <v>774</v>
      </c>
      <c r="G281" s="404" t="s">
        <v>814</v>
      </c>
      <c r="H281" s="173" t="s">
        <v>432</v>
      </c>
      <c r="I281" s="57">
        <v>1</v>
      </c>
      <c r="J281" s="107" t="s">
        <v>432</v>
      </c>
      <c r="K281" s="84" t="s">
        <v>432</v>
      </c>
      <c r="L281" s="84" t="s">
        <v>432</v>
      </c>
      <c r="M281" s="84" t="s">
        <v>432</v>
      </c>
      <c r="N281" s="84" t="s">
        <v>432</v>
      </c>
      <c r="O281" s="84" t="s">
        <v>432</v>
      </c>
      <c r="P281" s="84" t="s">
        <v>432</v>
      </c>
      <c r="Q281" s="84" t="s">
        <v>432</v>
      </c>
      <c r="R281" s="84" t="s">
        <v>432</v>
      </c>
      <c r="S281" s="109" t="s">
        <v>2209</v>
      </c>
      <c r="T281" s="84" t="s">
        <v>432</v>
      </c>
      <c r="U281" s="84" t="s">
        <v>432</v>
      </c>
      <c r="V281" s="109" t="s">
        <v>2209</v>
      </c>
      <c r="W281" s="84" t="s">
        <v>432</v>
      </c>
      <c r="X281" s="84" t="s">
        <v>432</v>
      </c>
      <c r="Y281" s="84" t="s">
        <v>432</v>
      </c>
      <c r="Z281" s="64">
        <f t="shared" ref="Z281:AI281" si="65">(Z280/Z814)*10000</f>
        <v>11.767526251805592</v>
      </c>
      <c r="AA281" s="64">
        <f t="shared" si="65"/>
        <v>9.3983546505631477</v>
      </c>
      <c r="AB281" s="64">
        <f t="shared" si="65"/>
        <v>8.976824544957676</v>
      </c>
      <c r="AC281" s="64">
        <f t="shared" si="65"/>
        <v>7.9473573321965967</v>
      </c>
      <c r="AD281" s="64">
        <f t="shared" si="65"/>
        <v>3.4409293579912199</v>
      </c>
      <c r="AE281" s="64">
        <f t="shared" si="65"/>
        <v>5.2125806782091999</v>
      </c>
      <c r="AF281" s="64">
        <f t="shared" si="65"/>
        <v>3.9328090088345604</v>
      </c>
      <c r="AG281" s="64">
        <f t="shared" si="65"/>
        <v>2.8534162316022842</v>
      </c>
      <c r="AH281" s="64">
        <f t="shared" si="65"/>
        <v>2.7067639244096369</v>
      </c>
      <c r="AI281" s="64">
        <f t="shared" si="65"/>
        <v>2.3788058521154607</v>
      </c>
      <c r="AJ281" s="330" t="s">
        <v>772</v>
      </c>
      <c r="AK281" s="137" t="s">
        <v>432</v>
      </c>
      <c r="AL281" s="600" t="s">
        <v>432</v>
      </c>
      <c r="AM281" s="137" t="s">
        <v>432</v>
      </c>
      <c r="AN281" s="137" t="s">
        <v>432</v>
      </c>
      <c r="AO281" s="137" t="s">
        <v>432</v>
      </c>
      <c r="AP281" s="137" t="s">
        <v>432</v>
      </c>
      <c r="AQ281" s="137" t="s">
        <v>432</v>
      </c>
      <c r="AR281" s="137" t="s">
        <v>432</v>
      </c>
      <c r="AS281" s="137" t="s">
        <v>432</v>
      </c>
      <c r="AT281" s="137" t="s">
        <v>432</v>
      </c>
      <c r="AU281" s="137" t="s">
        <v>432</v>
      </c>
      <c r="AV281" s="137" t="s">
        <v>432</v>
      </c>
      <c r="AW281" s="137" t="s">
        <v>432</v>
      </c>
      <c r="AX281" s="137" t="s">
        <v>432</v>
      </c>
      <c r="AY281" s="137" t="s">
        <v>432</v>
      </c>
      <c r="AZ281" s="137" t="s">
        <v>432</v>
      </c>
      <c r="BA281" s="137" t="s">
        <v>432</v>
      </c>
      <c r="BB281" s="239" t="str">
        <f t="shared" si="58"/>
        <v>Acidentes de trânsitox</v>
      </c>
      <c r="BC281" s="239" t="str">
        <f t="shared" si="59"/>
        <v>Acidentes de trânsitoxx</v>
      </c>
      <c r="BD281" s="239" t="str">
        <f t="shared" si="60"/>
        <v>Acidentes de trânsitox</v>
      </c>
    </row>
    <row r="282" spans="1:56" s="3" customFormat="1" ht="78.75" customHeight="1" x14ac:dyDescent="0.25">
      <c r="A282" s="275" t="str">
        <f>'Q100b-totais'!$B$64</f>
        <v>9.1</v>
      </c>
      <c r="B282" s="1205" t="str">
        <f>'Q100b-totais'!$C$64</f>
        <v>Acidentes de trânsito</v>
      </c>
      <c r="C282" s="167" t="s">
        <v>432</v>
      </c>
      <c r="D282" s="323" t="s">
        <v>3044</v>
      </c>
      <c r="E282" s="1505" t="s">
        <v>1306</v>
      </c>
      <c r="F282" s="11" t="s">
        <v>775</v>
      </c>
      <c r="G282" s="404" t="s">
        <v>815</v>
      </c>
      <c r="H282" s="173" t="s">
        <v>432</v>
      </c>
      <c r="I282" s="57">
        <v>1</v>
      </c>
      <c r="J282" s="109" t="s">
        <v>432</v>
      </c>
      <c r="K282" s="109" t="s">
        <v>432</v>
      </c>
      <c r="L282" s="109" t="s">
        <v>432</v>
      </c>
      <c r="M282" s="109" t="s">
        <v>432</v>
      </c>
      <c r="N282" s="109" t="s">
        <v>432</v>
      </c>
      <c r="O282" s="109" t="s">
        <v>432</v>
      </c>
      <c r="P282" s="109" t="s">
        <v>432</v>
      </c>
      <c r="Q282" s="109" t="s">
        <v>432</v>
      </c>
      <c r="R282" s="109" t="s">
        <v>432</v>
      </c>
      <c r="S282" s="109" t="s">
        <v>2209</v>
      </c>
      <c r="T282" s="109" t="s">
        <v>432</v>
      </c>
      <c r="U282" s="109" t="s">
        <v>432</v>
      </c>
      <c r="V282" s="109" t="s">
        <v>2209</v>
      </c>
      <c r="W282" s="109" t="s">
        <v>432</v>
      </c>
      <c r="X282" s="109" t="s">
        <v>432</v>
      </c>
      <c r="Y282" s="109" t="s">
        <v>432</v>
      </c>
      <c r="Z282" s="109" t="s">
        <v>432</v>
      </c>
      <c r="AA282" s="109" t="s">
        <v>432</v>
      </c>
      <c r="AB282" s="109" t="s">
        <v>432</v>
      </c>
      <c r="AC282" s="109" t="s">
        <v>432</v>
      </c>
      <c r="AD282" s="109" t="s">
        <v>432</v>
      </c>
      <c r="AE282" s="109" t="s">
        <v>432</v>
      </c>
      <c r="AF282" s="109" t="s">
        <v>432</v>
      </c>
      <c r="AG282" s="109" t="s">
        <v>432</v>
      </c>
      <c r="AH282" s="109" t="s">
        <v>432</v>
      </c>
      <c r="AI282" s="109" t="s">
        <v>432</v>
      </c>
      <c r="AJ282" s="109" t="s">
        <v>432</v>
      </c>
      <c r="AK282" s="137" t="s">
        <v>432</v>
      </c>
      <c r="AL282" s="600" t="s">
        <v>432</v>
      </c>
      <c r="AM282" s="137" t="s">
        <v>432</v>
      </c>
      <c r="AN282" s="137" t="s">
        <v>432</v>
      </c>
      <c r="AO282" s="137" t="s">
        <v>432</v>
      </c>
      <c r="AP282" s="137" t="s">
        <v>432</v>
      </c>
      <c r="AQ282" s="137" t="s">
        <v>432</v>
      </c>
      <c r="AR282" s="137" t="s">
        <v>432</v>
      </c>
      <c r="AS282" s="137" t="s">
        <v>432</v>
      </c>
      <c r="AT282" s="137" t="s">
        <v>432</v>
      </c>
      <c r="AU282" s="137" t="s">
        <v>432</v>
      </c>
      <c r="AV282" s="137" t="s">
        <v>432</v>
      </c>
      <c r="AW282" s="137" t="s">
        <v>432</v>
      </c>
      <c r="AX282" s="137" t="s">
        <v>432</v>
      </c>
      <c r="AY282" s="137" t="s">
        <v>432</v>
      </c>
      <c r="AZ282" s="137" t="s">
        <v>432</v>
      </c>
      <c r="BA282" s="137" t="s">
        <v>432</v>
      </c>
      <c r="BB282" s="239" t="str">
        <f t="shared" si="58"/>
        <v>Acidentes de trânsitox</v>
      </c>
      <c r="BC282" s="239" t="str">
        <f t="shared" si="59"/>
        <v>Acidentes de trânsitoxx</v>
      </c>
      <c r="BD282" s="239" t="str">
        <f t="shared" si="60"/>
        <v>Acidentes de trânsitox</v>
      </c>
    </row>
    <row r="283" spans="1:56" s="3" customFormat="1" ht="13.5" customHeight="1" x14ac:dyDescent="0.25">
      <c r="A283" s="402"/>
      <c r="B283" s="399"/>
      <c r="C283" s="399"/>
      <c r="D283" s="970"/>
      <c r="E283" s="1493"/>
      <c r="F283" s="221"/>
      <c r="G283" s="221"/>
      <c r="H283" s="221"/>
      <c r="I283" s="399"/>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c r="AI283" s="221"/>
      <c r="AJ283" s="221"/>
      <c r="AK283" s="221"/>
      <c r="AL283" s="221"/>
      <c r="AM283" s="221"/>
      <c r="AN283" s="223"/>
      <c r="AO283" s="223"/>
      <c r="AP283" s="223"/>
      <c r="AQ283" s="223"/>
      <c r="AR283" s="223"/>
      <c r="AS283" s="223"/>
      <c r="AT283" s="223"/>
      <c r="AU283" s="223"/>
      <c r="AV283" s="223"/>
      <c r="AW283" s="137" t="s">
        <v>432</v>
      </c>
      <c r="AX283" s="223"/>
      <c r="AY283" s="223"/>
      <c r="AZ283" s="223"/>
      <c r="BA283" s="223"/>
      <c r="BB283" s="400"/>
      <c r="BC283" s="400"/>
      <c r="BD283" s="400"/>
    </row>
    <row r="284" spans="1:56" s="3" customFormat="1" ht="141.75" customHeight="1" x14ac:dyDescent="0.25">
      <c r="A284" s="262" t="s">
        <v>432</v>
      </c>
      <c r="B284" s="252" t="s">
        <v>742</v>
      </c>
      <c r="C284" s="167" t="s">
        <v>432</v>
      </c>
      <c r="D284" s="324" t="s">
        <v>4946</v>
      </c>
      <c r="E284" s="1496" t="s">
        <v>432</v>
      </c>
      <c r="F284" s="252" t="s">
        <v>5157</v>
      </c>
      <c r="G284" s="230" t="s">
        <v>3507</v>
      </c>
      <c r="H284" s="167" t="s">
        <v>2408</v>
      </c>
      <c r="I284" s="167" t="s">
        <v>432</v>
      </c>
      <c r="J284" s="107" t="s">
        <v>432</v>
      </c>
      <c r="K284" s="107" t="s">
        <v>432</v>
      </c>
      <c r="L284" s="107" t="s">
        <v>432</v>
      </c>
      <c r="M284" s="107" t="s">
        <v>432</v>
      </c>
      <c r="N284" s="107" t="s">
        <v>432</v>
      </c>
      <c r="O284" s="107" t="s">
        <v>432</v>
      </c>
      <c r="P284" s="107" t="s">
        <v>432</v>
      </c>
      <c r="Q284" s="107" t="s">
        <v>432</v>
      </c>
      <c r="R284" s="107" t="s">
        <v>432</v>
      </c>
      <c r="S284" s="109" t="s">
        <v>2209</v>
      </c>
      <c r="T284" s="107" t="s">
        <v>432</v>
      </c>
      <c r="U284" s="107" t="s">
        <v>432</v>
      </c>
      <c r="V284" s="109" t="s">
        <v>2209</v>
      </c>
      <c r="W284" s="107" t="s">
        <v>432</v>
      </c>
      <c r="X284" s="107" t="s">
        <v>432</v>
      </c>
      <c r="Y284" s="107" t="s">
        <v>432</v>
      </c>
      <c r="Z284" s="107" t="s">
        <v>432</v>
      </c>
      <c r="AA284" s="107" t="s">
        <v>432</v>
      </c>
      <c r="AB284" s="107" t="s">
        <v>432</v>
      </c>
      <c r="AC284" s="107" t="s">
        <v>432</v>
      </c>
      <c r="AD284" s="107" t="s">
        <v>432</v>
      </c>
      <c r="AE284" s="107" t="s">
        <v>432</v>
      </c>
      <c r="AF284" s="107" t="s">
        <v>432</v>
      </c>
      <c r="AG284" s="107" t="s">
        <v>432</v>
      </c>
      <c r="AH284" s="107" t="s">
        <v>432</v>
      </c>
      <c r="AI284" s="107" t="s">
        <v>432</v>
      </c>
      <c r="AJ284" s="107" t="s">
        <v>432</v>
      </c>
      <c r="AK284" s="107" t="s">
        <v>432</v>
      </c>
      <c r="AL284" s="600" t="s">
        <v>432</v>
      </c>
      <c r="AM284" s="137" t="s">
        <v>432</v>
      </c>
      <c r="AN284" s="137" t="s">
        <v>432</v>
      </c>
      <c r="AO284" s="137" t="s">
        <v>432</v>
      </c>
      <c r="AP284" s="137" t="s">
        <v>432</v>
      </c>
      <c r="AQ284" s="137" t="s">
        <v>432</v>
      </c>
      <c r="AR284" s="137" t="s">
        <v>432</v>
      </c>
      <c r="AS284" s="137" t="s">
        <v>432</v>
      </c>
      <c r="AT284" s="137" t="s">
        <v>432</v>
      </c>
      <c r="AU284" s="137" t="s">
        <v>432</v>
      </c>
      <c r="AV284" s="137" t="s">
        <v>432</v>
      </c>
      <c r="AW284" s="137" t="s">
        <v>432</v>
      </c>
      <c r="AX284" s="137" t="s">
        <v>432</v>
      </c>
      <c r="AY284" s="137" t="s">
        <v>432</v>
      </c>
      <c r="AZ284" s="137" t="s">
        <v>432</v>
      </c>
      <c r="BA284" s="137" t="s">
        <v>432</v>
      </c>
      <c r="BB284" s="239" t="str">
        <f>B284&amp;C284</f>
        <v>geralx</v>
      </c>
      <c r="BC284" s="239" t="str">
        <f>B284&amp;C284&amp;H284</f>
        <v>geralxsigla/verbete</v>
      </c>
      <c r="BD284" s="239" t="str">
        <f>B284&amp;H284</f>
        <v>geralsigla/verbete</v>
      </c>
    </row>
    <row r="285" spans="1:56" s="3" customFormat="1" ht="67.5" customHeight="1" x14ac:dyDescent="0.25">
      <c r="A285" s="262" t="s">
        <v>432</v>
      </c>
      <c r="B285" s="252" t="s">
        <v>742</v>
      </c>
      <c r="C285" s="167" t="s">
        <v>432</v>
      </c>
      <c r="D285" s="324" t="s">
        <v>4946</v>
      </c>
      <c r="E285" s="1496" t="s">
        <v>1306</v>
      </c>
      <c r="F285" s="252" t="s">
        <v>5158</v>
      </c>
      <c r="G285" s="1376" t="s">
        <v>77</v>
      </c>
      <c r="H285" s="173" t="s">
        <v>432</v>
      </c>
      <c r="I285" s="57">
        <v>1</v>
      </c>
      <c r="J285" s="109" t="s">
        <v>432</v>
      </c>
      <c r="K285" s="109" t="s">
        <v>432</v>
      </c>
      <c r="L285" s="109" t="s">
        <v>432</v>
      </c>
      <c r="M285" s="109" t="s">
        <v>432</v>
      </c>
      <c r="N285" s="109" t="s">
        <v>432</v>
      </c>
      <c r="O285" s="109" t="s">
        <v>432</v>
      </c>
      <c r="P285" s="109" t="s">
        <v>432</v>
      </c>
      <c r="Q285" s="109" t="s">
        <v>432</v>
      </c>
      <c r="R285" s="109" t="s">
        <v>432</v>
      </c>
      <c r="S285" s="109" t="s">
        <v>2209</v>
      </c>
      <c r="T285" s="109" t="s">
        <v>432</v>
      </c>
      <c r="U285" s="109" t="s">
        <v>432</v>
      </c>
      <c r="V285" s="109" t="s">
        <v>2209</v>
      </c>
      <c r="W285" s="109" t="s">
        <v>432</v>
      </c>
      <c r="X285" s="109" t="s">
        <v>432</v>
      </c>
      <c r="Y285" s="109" t="s">
        <v>432</v>
      </c>
      <c r="Z285" s="109" t="s">
        <v>432</v>
      </c>
      <c r="AA285" s="109" t="s">
        <v>432</v>
      </c>
      <c r="AB285" s="109" t="s">
        <v>432</v>
      </c>
      <c r="AC285" s="109" t="s">
        <v>432</v>
      </c>
      <c r="AD285" s="109" t="s">
        <v>432</v>
      </c>
      <c r="AE285" s="109" t="s">
        <v>432</v>
      </c>
      <c r="AF285" s="1381">
        <v>43.28</v>
      </c>
      <c r="AG285" s="109" t="s">
        <v>432</v>
      </c>
      <c r="AH285" s="109" t="s">
        <v>432</v>
      </c>
      <c r="AI285" s="109" t="s">
        <v>432</v>
      </c>
      <c r="AJ285" s="109" t="s">
        <v>432</v>
      </c>
      <c r="AK285" s="137" t="s">
        <v>432</v>
      </c>
      <c r="AL285" s="600" t="s">
        <v>432</v>
      </c>
      <c r="AM285" s="137" t="s">
        <v>432</v>
      </c>
      <c r="AN285" s="137" t="s">
        <v>432</v>
      </c>
      <c r="AO285" s="137" t="s">
        <v>432</v>
      </c>
      <c r="AP285" s="137" t="s">
        <v>432</v>
      </c>
      <c r="AQ285" s="137" t="s">
        <v>432</v>
      </c>
      <c r="AR285" s="137" t="s">
        <v>432</v>
      </c>
      <c r="AS285" s="137" t="s">
        <v>432</v>
      </c>
      <c r="AT285" s="137" t="s">
        <v>432</v>
      </c>
      <c r="AU285" s="137" t="s">
        <v>432</v>
      </c>
      <c r="AV285" s="137" t="s">
        <v>432</v>
      </c>
      <c r="AW285" s="137" t="s">
        <v>432</v>
      </c>
      <c r="AX285" s="137" t="s">
        <v>432</v>
      </c>
      <c r="AY285" s="137" t="s">
        <v>432</v>
      </c>
      <c r="AZ285" s="137" t="s">
        <v>432</v>
      </c>
      <c r="BA285" s="137" t="s">
        <v>432</v>
      </c>
      <c r="BB285" s="239" t="str">
        <f>B285&amp;C285</f>
        <v>geralx</v>
      </c>
      <c r="BC285" s="239" t="str">
        <f>B285&amp;C285&amp;H285</f>
        <v>geralxx</v>
      </c>
      <c r="BD285" s="239" t="str">
        <f>B285&amp;H285</f>
        <v>geralx</v>
      </c>
    </row>
    <row r="286" spans="1:56" s="3" customFormat="1" ht="104.25" customHeight="1" x14ac:dyDescent="0.25">
      <c r="A286" s="262" t="s">
        <v>432</v>
      </c>
      <c r="B286" s="252" t="s">
        <v>742</v>
      </c>
      <c r="C286" s="167" t="s">
        <v>432</v>
      </c>
      <c r="D286" s="324" t="s">
        <v>4948</v>
      </c>
      <c r="E286" s="1496" t="s">
        <v>1306</v>
      </c>
      <c r="F286" s="252" t="s">
        <v>4950</v>
      </c>
      <c r="G286" s="1380" t="s">
        <v>4949</v>
      </c>
      <c r="H286" s="173"/>
      <c r="I286" s="57"/>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382">
        <f>AF285/AF178</f>
        <v>0.13059746529873267</v>
      </c>
      <c r="AG286" s="109"/>
      <c r="AH286" s="109"/>
      <c r="AI286" s="109"/>
      <c r="AJ286" s="109"/>
      <c r="AK286" s="137"/>
      <c r="AL286" s="600"/>
      <c r="AM286" s="137"/>
      <c r="AN286" s="137"/>
      <c r="AO286" s="137"/>
      <c r="AP286" s="137"/>
      <c r="AQ286" s="137"/>
      <c r="AR286" s="137"/>
      <c r="AS286" s="137"/>
      <c r="AT286" s="137"/>
      <c r="AU286" s="137"/>
      <c r="AV286" s="137"/>
      <c r="AW286" s="137"/>
      <c r="AX286" s="137"/>
      <c r="AY286" s="137"/>
      <c r="AZ286" s="137"/>
      <c r="BA286" s="137"/>
      <c r="BB286" s="239"/>
      <c r="BC286" s="239"/>
      <c r="BD286" s="239"/>
    </row>
    <row r="287" spans="1:56" s="3" customFormat="1" ht="177.75" customHeight="1" x14ac:dyDescent="0.25">
      <c r="A287" s="262" t="s">
        <v>432</v>
      </c>
      <c r="B287" s="252" t="s">
        <v>742</v>
      </c>
      <c r="C287" s="167" t="s">
        <v>432</v>
      </c>
      <c r="D287" s="324" t="s">
        <v>4947</v>
      </c>
      <c r="E287" s="1496" t="s">
        <v>1306</v>
      </c>
      <c r="F287" s="252" t="s">
        <v>6061</v>
      </c>
      <c r="G287" s="1380" t="s">
        <v>5159</v>
      </c>
      <c r="H287" s="173" t="s">
        <v>432</v>
      </c>
      <c r="I287" s="57">
        <v>1</v>
      </c>
      <c r="J287" s="109" t="s">
        <v>432</v>
      </c>
      <c r="K287" s="109" t="s">
        <v>432</v>
      </c>
      <c r="L287" s="109" t="s">
        <v>432</v>
      </c>
      <c r="M287" s="109" t="s">
        <v>432</v>
      </c>
      <c r="N287" s="109" t="s">
        <v>432</v>
      </c>
      <c r="O287" s="109" t="s">
        <v>432</v>
      </c>
      <c r="P287" s="109" t="s">
        <v>432</v>
      </c>
      <c r="Q287" s="109" t="s">
        <v>432</v>
      </c>
      <c r="R287" s="109" t="s">
        <v>432</v>
      </c>
      <c r="S287" s="109" t="s">
        <v>2209</v>
      </c>
      <c r="T287" s="109" t="s">
        <v>432</v>
      </c>
      <c r="U287" s="110" t="s">
        <v>5259</v>
      </c>
      <c r="V287" s="109" t="s">
        <v>2209</v>
      </c>
      <c r="W287" s="109" t="s">
        <v>432</v>
      </c>
      <c r="X287" s="109" t="s">
        <v>432</v>
      </c>
      <c r="Y287" s="109" t="s">
        <v>432</v>
      </c>
      <c r="Z287" s="109" t="s">
        <v>432</v>
      </c>
      <c r="AA287" s="109" t="s">
        <v>432</v>
      </c>
      <c r="AB287" s="109" t="s">
        <v>432</v>
      </c>
      <c r="AC287" s="109" t="s">
        <v>432</v>
      </c>
      <c r="AD287" s="109" t="s">
        <v>432</v>
      </c>
      <c r="AE287" s="109" t="s">
        <v>432</v>
      </c>
      <c r="AF287" s="44">
        <f>(AF285/AF1855)*1000000</f>
        <v>18.221999359198637</v>
      </c>
      <c r="AG287" s="109" t="s">
        <v>432</v>
      </c>
      <c r="AH287" s="109" t="s">
        <v>432</v>
      </c>
      <c r="AI287" s="109" t="s">
        <v>432</v>
      </c>
      <c r="AJ287" s="109" t="s">
        <v>432</v>
      </c>
      <c r="AK287" s="137" t="s">
        <v>432</v>
      </c>
      <c r="AL287" s="600" t="s">
        <v>432</v>
      </c>
      <c r="AM287" s="137" t="s">
        <v>432</v>
      </c>
      <c r="AN287" s="137" t="s">
        <v>432</v>
      </c>
      <c r="AO287" s="137" t="s">
        <v>432</v>
      </c>
      <c r="AP287" s="137" t="s">
        <v>432</v>
      </c>
      <c r="AQ287" s="137" t="s">
        <v>432</v>
      </c>
      <c r="AR287" s="137" t="s">
        <v>432</v>
      </c>
      <c r="AS287" s="137" t="s">
        <v>432</v>
      </c>
      <c r="AT287" s="137" t="s">
        <v>432</v>
      </c>
      <c r="AU287" s="137" t="s">
        <v>432</v>
      </c>
      <c r="AV287" s="137" t="s">
        <v>432</v>
      </c>
      <c r="AW287" s="137" t="s">
        <v>432</v>
      </c>
      <c r="AX287" s="137" t="s">
        <v>432</v>
      </c>
      <c r="AY287" s="137" t="s">
        <v>432</v>
      </c>
      <c r="AZ287" s="137" t="s">
        <v>432</v>
      </c>
      <c r="BA287" s="137" t="s">
        <v>432</v>
      </c>
      <c r="BB287" s="239" t="str">
        <f t="shared" ref="BB287:BB292" si="66">B287&amp;C287</f>
        <v>geralx</v>
      </c>
      <c r="BC287" s="239" t="str">
        <f t="shared" ref="BC287:BC292" si="67">B287&amp;C287&amp;H287</f>
        <v>geralxx</v>
      </c>
      <c r="BD287" s="239" t="str">
        <f t="shared" ref="BD287:BD292" si="68">B287&amp;H287</f>
        <v>geralx</v>
      </c>
    </row>
    <row r="288" spans="1:56" s="3" customFormat="1" ht="201.75" customHeight="1" x14ac:dyDescent="0.25">
      <c r="A288" s="262" t="s">
        <v>432</v>
      </c>
      <c r="B288" s="252" t="s">
        <v>742</v>
      </c>
      <c r="C288" s="167" t="s">
        <v>432</v>
      </c>
      <c r="D288" s="324" t="s">
        <v>5144</v>
      </c>
      <c r="E288" s="1496" t="s">
        <v>1306</v>
      </c>
      <c r="F288" s="252" t="s">
        <v>5364</v>
      </c>
      <c r="G288" s="230" t="s">
        <v>3925</v>
      </c>
      <c r="H288" s="167" t="s">
        <v>3056</v>
      </c>
      <c r="I288" s="167" t="s">
        <v>432</v>
      </c>
      <c r="J288" s="107" t="s">
        <v>432</v>
      </c>
      <c r="K288" s="107" t="s">
        <v>432</v>
      </c>
      <c r="L288" s="107" t="s">
        <v>432</v>
      </c>
      <c r="M288" s="107" t="s">
        <v>432</v>
      </c>
      <c r="N288" s="107" t="s">
        <v>432</v>
      </c>
      <c r="O288" s="107" t="s">
        <v>432</v>
      </c>
      <c r="P288" s="107" t="s">
        <v>432</v>
      </c>
      <c r="Q288" s="107" t="s">
        <v>432</v>
      </c>
      <c r="R288" s="107" t="s">
        <v>432</v>
      </c>
      <c r="S288" s="109" t="s">
        <v>2209</v>
      </c>
      <c r="T288" s="107" t="s">
        <v>432</v>
      </c>
      <c r="U288" s="107" t="s">
        <v>432</v>
      </c>
      <c r="V288" s="109" t="s">
        <v>2209</v>
      </c>
      <c r="W288" s="107" t="s">
        <v>432</v>
      </c>
      <c r="X288" s="107" t="s">
        <v>432</v>
      </c>
      <c r="Y288" s="107" t="s">
        <v>432</v>
      </c>
      <c r="Z288" s="107" t="s">
        <v>432</v>
      </c>
      <c r="AA288" s="107" t="s">
        <v>432</v>
      </c>
      <c r="AB288" s="107" t="s">
        <v>432</v>
      </c>
      <c r="AC288" s="107" t="s">
        <v>432</v>
      </c>
      <c r="AD288" s="107" t="s">
        <v>432</v>
      </c>
      <c r="AE288" s="107" t="s">
        <v>432</v>
      </c>
      <c r="AF288" s="107" t="s">
        <v>432</v>
      </c>
      <c r="AG288" s="107" t="s">
        <v>432</v>
      </c>
      <c r="AH288" s="107" t="s">
        <v>432</v>
      </c>
      <c r="AI288" s="107" t="s">
        <v>432</v>
      </c>
      <c r="AJ288" s="107" t="s">
        <v>432</v>
      </c>
      <c r="AK288" s="1376" t="s">
        <v>5258</v>
      </c>
      <c r="AL288" s="600" t="s">
        <v>432</v>
      </c>
      <c r="AM288" s="137" t="s">
        <v>432</v>
      </c>
      <c r="AN288" s="137" t="s">
        <v>432</v>
      </c>
      <c r="AO288" s="137" t="s">
        <v>432</v>
      </c>
      <c r="AP288" s="137" t="s">
        <v>432</v>
      </c>
      <c r="AQ288" s="137" t="s">
        <v>432</v>
      </c>
      <c r="AR288" s="137" t="s">
        <v>432</v>
      </c>
      <c r="AS288" s="137" t="s">
        <v>432</v>
      </c>
      <c r="AT288" s="137" t="s">
        <v>432</v>
      </c>
      <c r="AU288" s="137" t="s">
        <v>432</v>
      </c>
      <c r="AV288" s="137" t="s">
        <v>432</v>
      </c>
      <c r="AW288" s="137" t="s">
        <v>432</v>
      </c>
      <c r="AX288" s="137" t="s">
        <v>432</v>
      </c>
      <c r="AY288" s="137" t="s">
        <v>432</v>
      </c>
      <c r="AZ288" s="137" t="s">
        <v>432</v>
      </c>
      <c r="BA288" s="85" t="s">
        <v>5257</v>
      </c>
      <c r="BB288" s="239" t="str">
        <f t="shared" si="66"/>
        <v>geralx</v>
      </c>
      <c r="BC288" s="239" t="str">
        <f t="shared" si="67"/>
        <v>geralxRPI/meta</v>
      </c>
      <c r="BD288" s="239" t="str">
        <f t="shared" si="68"/>
        <v>geralRPI/meta</v>
      </c>
    </row>
    <row r="289" spans="1:56" s="3" customFormat="1" ht="126" customHeight="1" x14ac:dyDescent="0.25">
      <c r="A289" s="262" t="s">
        <v>432</v>
      </c>
      <c r="B289" s="252" t="s">
        <v>742</v>
      </c>
      <c r="C289" s="167" t="s">
        <v>432</v>
      </c>
      <c r="D289" s="324" t="s">
        <v>129</v>
      </c>
      <c r="E289" s="1496" t="s">
        <v>432</v>
      </c>
      <c r="F289" s="165" t="s">
        <v>883</v>
      </c>
      <c r="G289" s="167" t="s">
        <v>3879</v>
      </c>
      <c r="H289" s="168" t="s">
        <v>432</v>
      </c>
      <c r="I289" s="167" t="s">
        <v>432</v>
      </c>
      <c r="J289" s="107" t="s">
        <v>432</v>
      </c>
      <c r="K289" s="107" t="s">
        <v>432</v>
      </c>
      <c r="L289" s="107" t="s">
        <v>432</v>
      </c>
      <c r="M289" s="107" t="s">
        <v>432</v>
      </c>
      <c r="N289" s="107" t="s">
        <v>432</v>
      </c>
      <c r="O289" s="107" t="s">
        <v>432</v>
      </c>
      <c r="P289" s="107" t="s">
        <v>432</v>
      </c>
      <c r="Q289" s="107" t="s">
        <v>432</v>
      </c>
      <c r="R289" s="107" t="s">
        <v>432</v>
      </c>
      <c r="S289" s="109" t="s">
        <v>2209</v>
      </c>
      <c r="T289" s="107" t="s">
        <v>432</v>
      </c>
      <c r="U289" s="107" t="s">
        <v>432</v>
      </c>
      <c r="V289" s="109" t="s">
        <v>2209</v>
      </c>
      <c r="W289" s="107" t="s">
        <v>432</v>
      </c>
      <c r="X289" s="107" t="s">
        <v>432</v>
      </c>
      <c r="Y289" s="107" t="s">
        <v>432</v>
      </c>
      <c r="Z289" s="107" t="s">
        <v>432</v>
      </c>
      <c r="AA289" s="107" t="s">
        <v>432</v>
      </c>
      <c r="AB289" s="107" t="s">
        <v>432</v>
      </c>
      <c r="AC289" s="107" t="s">
        <v>432</v>
      </c>
      <c r="AD289" s="107" t="s">
        <v>432</v>
      </c>
      <c r="AE289" s="107" t="s">
        <v>432</v>
      </c>
      <c r="AF289" s="107" t="s">
        <v>432</v>
      </c>
      <c r="AG289" s="107" t="s">
        <v>432</v>
      </c>
      <c r="AH289" s="107" t="s">
        <v>432</v>
      </c>
      <c r="AI289" s="107" t="s">
        <v>432</v>
      </c>
      <c r="AJ289" s="107" t="s">
        <v>432</v>
      </c>
      <c r="AK289" s="137" t="s">
        <v>432</v>
      </c>
      <c r="AL289" s="600" t="s">
        <v>432</v>
      </c>
      <c r="AM289" s="137" t="s">
        <v>432</v>
      </c>
      <c r="AN289" s="137" t="s">
        <v>432</v>
      </c>
      <c r="AO289" s="137" t="s">
        <v>432</v>
      </c>
      <c r="AP289" s="137" t="s">
        <v>432</v>
      </c>
      <c r="AQ289" s="137" t="s">
        <v>432</v>
      </c>
      <c r="AR289" s="137" t="s">
        <v>432</v>
      </c>
      <c r="AS289" s="137" t="s">
        <v>432</v>
      </c>
      <c r="AT289" s="137" t="s">
        <v>432</v>
      </c>
      <c r="AU289" s="137" t="s">
        <v>432</v>
      </c>
      <c r="AV289" s="137" t="s">
        <v>432</v>
      </c>
      <c r="AW289" s="137" t="s">
        <v>432</v>
      </c>
      <c r="AX289" s="137" t="s">
        <v>432</v>
      </c>
      <c r="AY289" s="137" t="s">
        <v>432</v>
      </c>
      <c r="AZ289" s="137" t="s">
        <v>432</v>
      </c>
      <c r="BA289" s="137" t="s">
        <v>432</v>
      </c>
      <c r="BB289" s="239" t="str">
        <f t="shared" si="66"/>
        <v>geralx</v>
      </c>
      <c r="BC289" s="239" t="str">
        <f t="shared" si="67"/>
        <v>geralxx</v>
      </c>
      <c r="BD289" s="239" t="str">
        <f t="shared" si="68"/>
        <v>geralx</v>
      </c>
    </row>
    <row r="290" spans="1:56" s="3" customFormat="1" ht="63.75" customHeight="1" x14ac:dyDescent="0.25">
      <c r="A290" s="275" t="str">
        <f>'Q100b-totais'!$B$26</f>
        <v>3.2.1</v>
      </c>
      <c r="B290" s="53" t="str">
        <f>'Q100b-totais'!C26</f>
        <v>Avaliações em pesquisas externas de opinião</v>
      </c>
      <c r="C290" s="167" t="s">
        <v>432</v>
      </c>
      <c r="D290" s="323" t="s">
        <v>130</v>
      </c>
      <c r="E290" s="1505" t="s">
        <v>1306</v>
      </c>
      <c r="F290" s="14" t="s">
        <v>1511</v>
      </c>
      <c r="G290" s="167" t="s">
        <v>1917</v>
      </c>
      <c r="H290" s="173" t="s">
        <v>2408</v>
      </c>
      <c r="I290" s="170" t="s">
        <v>2</v>
      </c>
      <c r="J290" s="109" t="s">
        <v>432</v>
      </c>
      <c r="K290" s="109" t="s">
        <v>432</v>
      </c>
      <c r="L290" s="109" t="s">
        <v>432</v>
      </c>
      <c r="M290" s="109" t="s">
        <v>432</v>
      </c>
      <c r="N290" s="109" t="s">
        <v>432</v>
      </c>
      <c r="O290" s="109" t="s">
        <v>432</v>
      </c>
      <c r="P290" s="109" t="s">
        <v>432</v>
      </c>
      <c r="Q290" s="109" t="s">
        <v>432</v>
      </c>
      <c r="R290" s="109" t="s">
        <v>432</v>
      </c>
      <c r="S290" s="109" t="s">
        <v>2209</v>
      </c>
      <c r="T290" s="109" t="s">
        <v>432</v>
      </c>
      <c r="U290" s="109" t="s">
        <v>432</v>
      </c>
      <c r="V290" s="109" t="s">
        <v>2209</v>
      </c>
      <c r="W290" s="109" t="s">
        <v>432</v>
      </c>
      <c r="X290" s="109" t="s">
        <v>432</v>
      </c>
      <c r="Y290" s="109" t="s">
        <v>432</v>
      </c>
      <c r="Z290" s="109" t="s">
        <v>432</v>
      </c>
      <c r="AA290" s="109" t="s">
        <v>432</v>
      </c>
      <c r="AB290" s="109" t="s">
        <v>432</v>
      </c>
      <c r="AC290" s="109" t="s">
        <v>432</v>
      </c>
      <c r="AD290" s="109" t="s">
        <v>432</v>
      </c>
      <c r="AE290" s="107" t="s">
        <v>2208</v>
      </c>
      <c r="AF290" s="109" t="s">
        <v>432</v>
      </c>
      <c r="AG290" s="109" t="s">
        <v>432</v>
      </c>
      <c r="AH290" s="107" t="s">
        <v>2208</v>
      </c>
      <c r="AI290" s="109" t="s">
        <v>432</v>
      </c>
      <c r="AJ290" s="107" t="s">
        <v>2208</v>
      </c>
      <c r="AK290" s="137" t="s">
        <v>432</v>
      </c>
      <c r="AL290" s="600" t="s">
        <v>432</v>
      </c>
      <c r="AM290" s="137" t="s">
        <v>432</v>
      </c>
      <c r="AN290" s="137" t="s">
        <v>432</v>
      </c>
      <c r="AO290" s="137" t="s">
        <v>432</v>
      </c>
      <c r="AP290" s="137" t="s">
        <v>432</v>
      </c>
      <c r="AQ290" s="137" t="s">
        <v>432</v>
      </c>
      <c r="AR290" s="137" t="s">
        <v>432</v>
      </c>
      <c r="AS290" s="137" t="s">
        <v>432</v>
      </c>
      <c r="AT290" s="137" t="s">
        <v>432</v>
      </c>
      <c r="AU290" s="137" t="s">
        <v>432</v>
      </c>
      <c r="AV290" s="137" t="s">
        <v>432</v>
      </c>
      <c r="AW290" s="137" t="s">
        <v>432</v>
      </c>
      <c r="AX290" s="137" t="s">
        <v>432</v>
      </c>
      <c r="AY290" s="137" t="s">
        <v>432</v>
      </c>
      <c r="AZ290" s="137" t="s">
        <v>432</v>
      </c>
      <c r="BA290" s="137" t="s">
        <v>432</v>
      </c>
      <c r="BB290" s="239" t="str">
        <f t="shared" si="66"/>
        <v>Avaliações em pesquisas externas de opiniãox</v>
      </c>
      <c r="BC290" s="239" t="str">
        <f t="shared" si="67"/>
        <v>Avaliações em pesquisas externas de opiniãoxsigla/verbete</v>
      </c>
      <c r="BD290" s="239" t="str">
        <f t="shared" si="68"/>
        <v>Avaliações em pesquisas externas de opiniãosigla/verbete</v>
      </c>
    </row>
    <row r="291" spans="1:56" s="3" customFormat="1" ht="225.75" customHeight="1" x14ac:dyDescent="0.25">
      <c r="A291" s="262" t="str">
        <f>'Q100b-totais'!B22</f>
        <v>2.7</v>
      </c>
      <c r="B291" s="252" t="str">
        <f>'Q100b-totais'!C22</f>
        <v>Outras cidades/regiões</v>
      </c>
      <c r="C291" s="167" t="s">
        <v>743</v>
      </c>
      <c r="D291" s="325" t="s">
        <v>3013</v>
      </c>
      <c r="E291" s="1445" t="s">
        <v>3013</v>
      </c>
      <c r="F291" s="5" t="s">
        <v>4217</v>
      </c>
      <c r="G291" s="230" t="s">
        <v>3507</v>
      </c>
      <c r="H291" s="167" t="s">
        <v>2408</v>
      </c>
      <c r="I291" s="167" t="s">
        <v>432</v>
      </c>
      <c r="J291" s="107" t="s">
        <v>432</v>
      </c>
      <c r="K291" s="107" t="s">
        <v>432</v>
      </c>
      <c r="L291" s="107" t="s">
        <v>432</v>
      </c>
      <c r="M291" s="107" t="s">
        <v>432</v>
      </c>
      <c r="N291" s="107" t="s">
        <v>432</v>
      </c>
      <c r="O291" s="107" t="s">
        <v>432</v>
      </c>
      <c r="P291" s="107" t="s">
        <v>432</v>
      </c>
      <c r="Q291" s="107" t="s">
        <v>432</v>
      </c>
      <c r="R291" s="107" t="s">
        <v>432</v>
      </c>
      <c r="S291" s="109" t="s">
        <v>2209</v>
      </c>
      <c r="T291" s="107" t="s">
        <v>432</v>
      </c>
      <c r="U291" s="107" t="s">
        <v>432</v>
      </c>
      <c r="V291" s="109" t="s">
        <v>2209</v>
      </c>
      <c r="W291" s="107" t="s">
        <v>432</v>
      </c>
      <c r="X291" s="107" t="s">
        <v>432</v>
      </c>
      <c r="Y291" s="107" t="s">
        <v>432</v>
      </c>
      <c r="Z291" s="107" t="s">
        <v>432</v>
      </c>
      <c r="AA291" s="107" t="s">
        <v>432</v>
      </c>
      <c r="AB291" s="107" t="s">
        <v>432</v>
      </c>
      <c r="AC291" s="107" t="s">
        <v>432</v>
      </c>
      <c r="AD291" s="107" t="s">
        <v>432</v>
      </c>
      <c r="AE291" s="107" t="s">
        <v>432</v>
      </c>
      <c r="AF291" s="107" t="s">
        <v>432</v>
      </c>
      <c r="AG291" s="107" t="s">
        <v>432</v>
      </c>
      <c r="AH291" s="107" t="s">
        <v>432</v>
      </c>
      <c r="AI291" s="107" t="s">
        <v>432</v>
      </c>
      <c r="AJ291" s="107" t="s">
        <v>432</v>
      </c>
      <c r="AK291" s="107" t="s">
        <v>432</v>
      </c>
      <c r="AL291" s="600" t="s">
        <v>432</v>
      </c>
      <c r="AM291" s="137" t="s">
        <v>432</v>
      </c>
      <c r="AN291" s="137" t="s">
        <v>432</v>
      </c>
      <c r="AO291" s="137" t="s">
        <v>432</v>
      </c>
      <c r="AP291" s="137" t="s">
        <v>432</v>
      </c>
      <c r="AQ291" s="137" t="s">
        <v>432</v>
      </c>
      <c r="AR291" s="137" t="s">
        <v>432</v>
      </c>
      <c r="AS291" s="137" t="s">
        <v>432</v>
      </c>
      <c r="AT291" s="137" t="s">
        <v>432</v>
      </c>
      <c r="AU291" s="137" t="s">
        <v>432</v>
      </c>
      <c r="AV291" s="137" t="s">
        <v>432</v>
      </c>
      <c r="AW291" s="137" t="s">
        <v>432</v>
      </c>
      <c r="AX291" s="137" t="s">
        <v>432</v>
      </c>
      <c r="AY291" s="137" t="s">
        <v>432</v>
      </c>
      <c r="AZ291" s="137" t="s">
        <v>432</v>
      </c>
      <c r="BA291" s="137" t="s">
        <v>432</v>
      </c>
      <c r="BB291" s="239" t="str">
        <f t="shared" si="66"/>
        <v>Outras cidades/regiõesacessibilidade</v>
      </c>
      <c r="BC291" s="239" t="str">
        <f t="shared" si="67"/>
        <v>Outras cidades/regiõesacessibilidadesigla/verbete</v>
      </c>
      <c r="BD291" s="239" t="str">
        <f t="shared" si="68"/>
        <v>Outras cidades/regiõessigla/verbete</v>
      </c>
    </row>
    <row r="292" spans="1:56" s="3" customFormat="1" ht="31.5" customHeight="1" x14ac:dyDescent="0.25">
      <c r="A292" s="262" t="s">
        <v>432</v>
      </c>
      <c r="B292" s="252" t="s">
        <v>742</v>
      </c>
      <c r="C292" s="167" t="s">
        <v>432</v>
      </c>
      <c r="D292" s="324" t="s">
        <v>131</v>
      </c>
      <c r="E292" s="1496" t="s">
        <v>432</v>
      </c>
      <c r="F292" s="165" t="s">
        <v>884</v>
      </c>
      <c r="G292" s="167" t="s">
        <v>3879</v>
      </c>
      <c r="H292" s="168" t="s">
        <v>432</v>
      </c>
      <c r="I292" s="167" t="s">
        <v>432</v>
      </c>
      <c r="J292" s="107" t="s">
        <v>432</v>
      </c>
      <c r="K292" s="107" t="s">
        <v>432</v>
      </c>
      <c r="L292" s="107" t="s">
        <v>432</v>
      </c>
      <c r="M292" s="107" t="s">
        <v>432</v>
      </c>
      <c r="N292" s="107" t="s">
        <v>432</v>
      </c>
      <c r="O292" s="107" t="s">
        <v>432</v>
      </c>
      <c r="P292" s="107" t="s">
        <v>432</v>
      </c>
      <c r="Q292" s="107" t="s">
        <v>432</v>
      </c>
      <c r="R292" s="107" t="s">
        <v>432</v>
      </c>
      <c r="S292" s="109" t="s">
        <v>2209</v>
      </c>
      <c r="T292" s="107" t="s">
        <v>432</v>
      </c>
      <c r="U292" s="107" t="s">
        <v>432</v>
      </c>
      <c r="V292" s="109" t="s">
        <v>2209</v>
      </c>
      <c r="W292" s="107" t="s">
        <v>432</v>
      </c>
      <c r="X292" s="107" t="s">
        <v>432</v>
      </c>
      <c r="Y292" s="107" t="s">
        <v>432</v>
      </c>
      <c r="Z292" s="107" t="s">
        <v>432</v>
      </c>
      <c r="AA292" s="107" t="s">
        <v>432</v>
      </c>
      <c r="AB292" s="107" t="s">
        <v>432</v>
      </c>
      <c r="AC292" s="107" t="s">
        <v>432</v>
      </c>
      <c r="AD292" s="107" t="s">
        <v>432</v>
      </c>
      <c r="AE292" s="107" t="s">
        <v>432</v>
      </c>
      <c r="AF292" s="107" t="s">
        <v>432</v>
      </c>
      <c r="AG292" s="107" t="s">
        <v>432</v>
      </c>
      <c r="AH292" s="107" t="s">
        <v>432</v>
      </c>
      <c r="AI292" s="107" t="s">
        <v>432</v>
      </c>
      <c r="AJ292" s="107" t="s">
        <v>432</v>
      </c>
      <c r="AK292" s="137" t="s">
        <v>432</v>
      </c>
      <c r="AL292" s="600" t="s">
        <v>432</v>
      </c>
      <c r="AM292" s="137" t="s">
        <v>432</v>
      </c>
      <c r="AN292" s="137" t="s">
        <v>432</v>
      </c>
      <c r="AO292" s="137" t="s">
        <v>432</v>
      </c>
      <c r="AP292" s="137" t="s">
        <v>432</v>
      </c>
      <c r="AQ292" s="137" t="s">
        <v>432</v>
      </c>
      <c r="AR292" s="137" t="s">
        <v>432</v>
      </c>
      <c r="AS292" s="137" t="s">
        <v>432</v>
      </c>
      <c r="AT292" s="137" t="s">
        <v>432</v>
      </c>
      <c r="AU292" s="137" t="s">
        <v>432</v>
      </c>
      <c r="AV292" s="137" t="s">
        <v>432</v>
      </c>
      <c r="AW292" s="137" t="s">
        <v>432</v>
      </c>
      <c r="AX292" s="137" t="s">
        <v>432</v>
      </c>
      <c r="AY292" s="137" t="s">
        <v>432</v>
      </c>
      <c r="AZ292" s="137" t="s">
        <v>432</v>
      </c>
      <c r="BA292" s="137" t="s">
        <v>432</v>
      </c>
      <c r="BB292" s="239" t="str">
        <f t="shared" si="66"/>
        <v>geralx</v>
      </c>
      <c r="BC292" s="239" t="str">
        <f t="shared" si="67"/>
        <v>geralxx</v>
      </c>
      <c r="BD292" s="239" t="str">
        <f t="shared" si="68"/>
        <v>geralx</v>
      </c>
    </row>
    <row r="293" spans="1:56" s="3" customFormat="1" ht="25.5" x14ac:dyDescent="0.25">
      <c r="A293" s="402"/>
      <c r="B293" s="399"/>
      <c r="C293" s="399"/>
      <c r="D293" s="970"/>
      <c r="E293" s="1493"/>
      <c r="F293" s="221"/>
      <c r="G293" s="221"/>
      <c r="H293" s="221"/>
      <c r="I293" s="399"/>
      <c r="J293" s="221"/>
      <c r="K293" s="221"/>
      <c r="L293" s="221"/>
      <c r="M293" s="221"/>
      <c r="N293" s="221"/>
      <c r="O293" s="221"/>
      <c r="P293" s="221"/>
      <c r="Q293" s="221"/>
      <c r="R293" s="221"/>
      <c r="S293" s="109" t="s">
        <v>2209</v>
      </c>
      <c r="T293" s="221"/>
      <c r="U293" s="221"/>
      <c r="V293" s="109" t="s">
        <v>2209</v>
      </c>
      <c r="W293" s="221"/>
      <c r="X293" s="221"/>
      <c r="Y293" s="221"/>
      <c r="Z293" s="221"/>
      <c r="AA293" s="221"/>
      <c r="AB293" s="221"/>
      <c r="AC293" s="221"/>
      <c r="AD293" s="221"/>
      <c r="AE293" s="221"/>
      <c r="AF293" s="221"/>
      <c r="AG293" s="221"/>
      <c r="AH293" s="221"/>
      <c r="AI293" s="221"/>
      <c r="AJ293" s="221"/>
      <c r="AK293" s="223"/>
      <c r="AL293" s="600" t="s">
        <v>432</v>
      </c>
      <c r="AM293" s="223"/>
      <c r="AN293" s="223"/>
      <c r="AO293" s="223"/>
      <c r="AP293" s="223"/>
      <c r="AQ293" s="223"/>
      <c r="AR293" s="223"/>
      <c r="AS293" s="223"/>
      <c r="AT293" s="223"/>
      <c r="AU293" s="223"/>
      <c r="AV293" s="223"/>
      <c r="AW293" s="137" t="s">
        <v>432</v>
      </c>
      <c r="AX293" s="223"/>
      <c r="AY293" s="223"/>
      <c r="AZ293" s="223"/>
      <c r="BA293" s="223"/>
      <c r="BB293" s="400"/>
      <c r="BC293" s="400"/>
      <c r="BD293" s="400"/>
    </row>
    <row r="294" spans="1:56" s="3" customFormat="1" ht="25.5" x14ac:dyDescent="0.25">
      <c r="A294" s="262" t="s">
        <v>432</v>
      </c>
      <c r="B294" s="252" t="s">
        <v>742</v>
      </c>
      <c r="C294" s="167" t="s">
        <v>432</v>
      </c>
      <c r="D294" s="323" t="s">
        <v>132</v>
      </c>
      <c r="E294" s="1496" t="s">
        <v>432</v>
      </c>
      <c r="F294" s="11" t="s">
        <v>5499</v>
      </c>
      <c r="G294" s="167" t="s">
        <v>3879</v>
      </c>
      <c r="H294" s="173" t="s">
        <v>432</v>
      </c>
      <c r="I294" s="167" t="s">
        <v>432</v>
      </c>
      <c r="J294" s="107" t="s">
        <v>432</v>
      </c>
      <c r="K294" s="107" t="s">
        <v>432</v>
      </c>
      <c r="L294" s="107" t="s">
        <v>432</v>
      </c>
      <c r="M294" s="107" t="s">
        <v>432</v>
      </c>
      <c r="N294" s="107" t="s">
        <v>432</v>
      </c>
      <c r="O294" s="107" t="s">
        <v>432</v>
      </c>
      <c r="P294" s="107" t="s">
        <v>432</v>
      </c>
      <c r="Q294" s="107" t="s">
        <v>432</v>
      </c>
      <c r="R294" s="107" t="s">
        <v>432</v>
      </c>
      <c r="S294" s="109" t="s">
        <v>2209</v>
      </c>
      <c r="T294" s="107" t="s">
        <v>432</v>
      </c>
      <c r="U294" s="107" t="s">
        <v>432</v>
      </c>
      <c r="V294" s="109" t="s">
        <v>2209</v>
      </c>
      <c r="W294" s="107" t="s">
        <v>432</v>
      </c>
      <c r="X294" s="107" t="s">
        <v>432</v>
      </c>
      <c r="Y294" s="107" t="s">
        <v>432</v>
      </c>
      <c r="Z294" s="107" t="s">
        <v>432</v>
      </c>
      <c r="AA294" s="107" t="s">
        <v>432</v>
      </c>
      <c r="AB294" s="107" t="s">
        <v>432</v>
      </c>
      <c r="AC294" s="107" t="s">
        <v>432</v>
      </c>
      <c r="AD294" s="107" t="s">
        <v>432</v>
      </c>
      <c r="AE294" s="107" t="s">
        <v>432</v>
      </c>
      <c r="AF294" s="107" t="s">
        <v>432</v>
      </c>
      <c r="AG294" s="107" t="s">
        <v>432</v>
      </c>
      <c r="AH294" s="107" t="s">
        <v>432</v>
      </c>
      <c r="AI294" s="107" t="s">
        <v>432</v>
      </c>
      <c r="AJ294" s="107" t="s">
        <v>432</v>
      </c>
      <c r="AK294" s="137" t="s">
        <v>432</v>
      </c>
      <c r="AL294" s="600" t="s">
        <v>432</v>
      </c>
      <c r="AM294" s="137" t="s">
        <v>432</v>
      </c>
      <c r="AN294" s="137" t="s">
        <v>432</v>
      </c>
      <c r="AO294" s="137" t="s">
        <v>432</v>
      </c>
      <c r="AP294" s="137" t="s">
        <v>432</v>
      </c>
      <c r="AQ294" s="137" t="s">
        <v>432</v>
      </c>
      <c r="AR294" s="137" t="s">
        <v>432</v>
      </c>
      <c r="AS294" s="137" t="s">
        <v>432</v>
      </c>
      <c r="AT294" s="137" t="s">
        <v>432</v>
      </c>
      <c r="AU294" s="137" t="s">
        <v>432</v>
      </c>
      <c r="AV294" s="137" t="s">
        <v>432</v>
      </c>
      <c r="AW294" s="137" t="s">
        <v>432</v>
      </c>
      <c r="AX294" s="137" t="s">
        <v>432</v>
      </c>
      <c r="AY294" s="137" t="s">
        <v>432</v>
      </c>
      <c r="AZ294" s="137" t="s">
        <v>432</v>
      </c>
      <c r="BA294" s="137" t="s">
        <v>432</v>
      </c>
      <c r="BB294" s="239" t="str">
        <f t="shared" ref="BB294:BB332" si="69">B294&amp;C294</f>
        <v>geralx</v>
      </c>
      <c r="BC294" s="239" t="str">
        <f t="shared" ref="BC294:BC332" si="70">B294&amp;C294&amp;H294</f>
        <v>geralxx</v>
      </c>
      <c r="BD294" s="239" t="str">
        <f t="shared" ref="BD294:BD332" si="71">B294&amp;H294</f>
        <v>geralx</v>
      </c>
    </row>
    <row r="295" spans="1:56" s="3" customFormat="1" ht="25.5" x14ac:dyDescent="0.25">
      <c r="A295" s="262" t="str">
        <f>'Q100b-totais'!B21</f>
        <v>2.6</v>
      </c>
      <c r="B295" s="252" t="str">
        <f>'Q100b-totais'!C21</f>
        <v>Cidades da RMBH</v>
      </c>
      <c r="C295" s="167" t="s">
        <v>432</v>
      </c>
      <c r="D295" s="323" t="s">
        <v>1738</v>
      </c>
      <c r="E295" s="1491" t="s">
        <v>1738</v>
      </c>
      <c r="F295" s="468" t="str">
        <f>pend!C182</f>
        <v>município da RMBH  (faltando completar)</v>
      </c>
      <c r="G295" s="230" t="s">
        <v>3507</v>
      </c>
      <c r="H295" s="167" t="s">
        <v>2408</v>
      </c>
      <c r="I295" s="167" t="s">
        <v>432</v>
      </c>
      <c r="J295" s="107" t="s">
        <v>432</v>
      </c>
      <c r="K295" s="107" t="s">
        <v>432</v>
      </c>
      <c r="L295" s="107" t="s">
        <v>432</v>
      </c>
      <c r="M295" s="107" t="s">
        <v>432</v>
      </c>
      <c r="N295" s="107" t="s">
        <v>432</v>
      </c>
      <c r="O295" s="107" t="s">
        <v>432</v>
      </c>
      <c r="P295" s="107" t="s">
        <v>432</v>
      </c>
      <c r="Q295" s="107" t="s">
        <v>432</v>
      </c>
      <c r="R295" s="107" t="s">
        <v>432</v>
      </c>
      <c r="S295" s="109" t="s">
        <v>2209</v>
      </c>
      <c r="T295" s="107" t="s">
        <v>432</v>
      </c>
      <c r="U295" s="107" t="s">
        <v>432</v>
      </c>
      <c r="V295" s="109" t="s">
        <v>2209</v>
      </c>
      <c r="W295" s="107" t="s">
        <v>432</v>
      </c>
      <c r="X295" s="107" t="s">
        <v>432</v>
      </c>
      <c r="Y295" s="107" t="s">
        <v>432</v>
      </c>
      <c r="Z295" s="107" t="s">
        <v>432</v>
      </c>
      <c r="AA295" s="107" t="s">
        <v>432</v>
      </c>
      <c r="AB295" s="107" t="s">
        <v>432</v>
      </c>
      <c r="AC295" s="107" t="s">
        <v>432</v>
      </c>
      <c r="AD295" s="107" t="s">
        <v>432</v>
      </c>
      <c r="AE295" s="107" t="s">
        <v>432</v>
      </c>
      <c r="AF295" s="107" t="s">
        <v>432</v>
      </c>
      <c r="AG295" s="107" t="s">
        <v>432</v>
      </c>
      <c r="AH295" s="107" t="s">
        <v>432</v>
      </c>
      <c r="AI295" s="107" t="s">
        <v>432</v>
      </c>
      <c r="AJ295" s="107" t="s">
        <v>432</v>
      </c>
      <c r="AK295" s="107" t="s">
        <v>432</v>
      </c>
      <c r="AL295" s="600" t="s">
        <v>432</v>
      </c>
      <c r="AM295" s="137" t="s">
        <v>432</v>
      </c>
      <c r="AN295" s="137" t="s">
        <v>432</v>
      </c>
      <c r="AO295" s="137" t="s">
        <v>432</v>
      </c>
      <c r="AP295" s="137" t="s">
        <v>432</v>
      </c>
      <c r="AQ295" s="137" t="s">
        <v>432</v>
      </c>
      <c r="AR295" s="137" t="s">
        <v>432</v>
      </c>
      <c r="AS295" s="137" t="s">
        <v>432</v>
      </c>
      <c r="AT295" s="137" t="s">
        <v>432</v>
      </c>
      <c r="AU295" s="137" t="s">
        <v>432</v>
      </c>
      <c r="AV295" s="137" t="s">
        <v>432</v>
      </c>
      <c r="AW295" s="137" t="s">
        <v>432</v>
      </c>
      <c r="AX295" s="137" t="s">
        <v>432</v>
      </c>
      <c r="AY295" s="137" t="s">
        <v>432</v>
      </c>
      <c r="AZ295" s="137" t="s">
        <v>432</v>
      </c>
      <c r="BA295" s="137" t="s">
        <v>432</v>
      </c>
      <c r="BB295" s="239" t="str">
        <f t="shared" si="69"/>
        <v>Cidades da RMBHx</v>
      </c>
      <c r="BC295" s="239" t="str">
        <f t="shared" si="70"/>
        <v>Cidades da RMBHxsigla/verbete</v>
      </c>
      <c r="BD295" s="239" t="str">
        <f t="shared" si="71"/>
        <v>Cidades da RMBHsigla/verbete</v>
      </c>
    </row>
    <row r="296" spans="1:56" s="3" customFormat="1" ht="79.5" customHeight="1" x14ac:dyDescent="0.25">
      <c r="A296" s="262" t="str">
        <f>'Q100b-totais'!B22</f>
        <v>2.7</v>
      </c>
      <c r="B296" s="252" t="str">
        <f>'Q100b-totais'!C22</f>
        <v>Outras cidades/regiões</v>
      </c>
      <c r="C296" s="167" t="s">
        <v>743</v>
      </c>
      <c r="D296" s="325" t="s">
        <v>3015</v>
      </c>
      <c r="E296" s="1445" t="s">
        <v>3015</v>
      </c>
      <c r="F296" s="1327" t="s">
        <v>4218</v>
      </c>
      <c r="G296" s="230" t="s">
        <v>3507</v>
      </c>
      <c r="H296" s="167" t="s">
        <v>2408</v>
      </c>
      <c r="I296" s="167" t="s">
        <v>432</v>
      </c>
      <c r="J296" s="107" t="s">
        <v>432</v>
      </c>
      <c r="K296" s="107" t="s">
        <v>432</v>
      </c>
      <c r="L296" s="107" t="s">
        <v>432</v>
      </c>
      <c r="M296" s="107" t="s">
        <v>432</v>
      </c>
      <c r="N296" s="107" t="s">
        <v>432</v>
      </c>
      <c r="O296" s="107" t="s">
        <v>432</v>
      </c>
      <c r="P296" s="107" t="s">
        <v>432</v>
      </c>
      <c r="Q296" s="107" t="s">
        <v>432</v>
      </c>
      <c r="R296" s="107" t="s">
        <v>432</v>
      </c>
      <c r="S296" s="109" t="s">
        <v>2209</v>
      </c>
      <c r="T296" s="107" t="s">
        <v>432</v>
      </c>
      <c r="U296" s="107" t="s">
        <v>432</v>
      </c>
      <c r="V296" s="109" t="s">
        <v>2209</v>
      </c>
      <c r="W296" s="107" t="s">
        <v>432</v>
      </c>
      <c r="X296" s="107" t="s">
        <v>432</v>
      </c>
      <c r="Y296" s="107" t="s">
        <v>432</v>
      </c>
      <c r="Z296" s="107" t="s">
        <v>432</v>
      </c>
      <c r="AA296" s="107" t="s">
        <v>432</v>
      </c>
      <c r="AB296" s="107" t="s">
        <v>432</v>
      </c>
      <c r="AC296" s="107" t="s">
        <v>432</v>
      </c>
      <c r="AD296" s="107" t="s">
        <v>432</v>
      </c>
      <c r="AE296" s="107" t="s">
        <v>432</v>
      </c>
      <c r="AF296" s="107" t="s">
        <v>432</v>
      </c>
      <c r="AG296" s="107" t="s">
        <v>432</v>
      </c>
      <c r="AH296" s="107" t="s">
        <v>432</v>
      </c>
      <c r="AI296" s="107" t="s">
        <v>432</v>
      </c>
      <c r="AJ296" s="107" t="s">
        <v>432</v>
      </c>
      <c r="AK296" s="107" t="s">
        <v>432</v>
      </c>
      <c r="AL296" s="600" t="s">
        <v>432</v>
      </c>
      <c r="AM296" s="137" t="s">
        <v>432</v>
      </c>
      <c r="AN296" s="137" t="s">
        <v>432</v>
      </c>
      <c r="AO296" s="137" t="s">
        <v>432</v>
      </c>
      <c r="AP296" s="137" t="s">
        <v>432</v>
      </c>
      <c r="AQ296" s="137" t="s">
        <v>432</v>
      </c>
      <c r="AR296" s="137" t="s">
        <v>432</v>
      </c>
      <c r="AS296" s="137" t="s">
        <v>432</v>
      </c>
      <c r="AT296" s="137" t="s">
        <v>432</v>
      </c>
      <c r="AU296" s="137" t="s">
        <v>432</v>
      </c>
      <c r="AV296" s="137" t="s">
        <v>432</v>
      </c>
      <c r="AW296" s="137" t="s">
        <v>432</v>
      </c>
      <c r="AX296" s="137" t="s">
        <v>432</v>
      </c>
      <c r="AY296" s="137" t="s">
        <v>432</v>
      </c>
      <c r="AZ296" s="137" t="s">
        <v>432</v>
      </c>
      <c r="BA296" s="137" t="s">
        <v>432</v>
      </c>
      <c r="BB296" s="239" t="str">
        <f t="shared" si="69"/>
        <v>Outras cidades/regiõesacessibilidade</v>
      </c>
      <c r="BC296" s="239" t="str">
        <f t="shared" si="70"/>
        <v>Outras cidades/regiõesacessibilidadesigla/verbete</v>
      </c>
      <c r="BD296" s="239" t="str">
        <f t="shared" si="71"/>
        <v>Outras cidades/regiõessigla/verbete</v>
      </c>
    </row>
    <row r="297" spans="1:56" s="3" customFormat="1" ht="160.5" customHeight="1" x14ac:dyDescent="0.25">
      <c r="A297" s="262" t="s">
        <v>432</v>
      </c>
      <c r="B297" s="252" t="s">
        <v>742</v>
      </c>
      <c r="C297" s="167" t="s">
        <v>743</v>
      </c>
      <c r="D297" s="325" t="s">
        <v>4653</v>
      </c>
      <c r="E297" s="1445" t="s">
        <v>1767</v>
      </c>
      <c r="F297" s="1327" t="s">
        <v>5301</v>
      </c>
      <c r="G297" s="230" t="s">
        <v>3507</v>
      </c>
      <c r="H297" s="167" t="s">
        <v>2408</v>
      </c>
      <c r="I297" s="167" t="s">
        <v>432</v>
      </c>
      <c r="J297" s="107" t="s">
        <v>432</v>
      </c>
      <c r="K297" s="107" t="s">
        <v>432</v>
      </c>
      <c r="L297" s="107" t="s">
        <v>432</v>
      </c>
      <c r="M297" s="107" t="s">
        <v>432</v>
      </c>
      <c r="N297" s="107" t="s">
        <v>432</v>
      </c>
      <c r="O297" s="107" t="s">
        <v>432</v>
      </c>
      <c r="P297" s="107" t="s">
        <v>432</v>
      </c>
      <c r="Q297" s="107" t="s">
        <v>432</v>
      </c>
      <c r="R297" s="107" t="s">
        <v>432</v>
      </c>
      <c r="S297" s="109" t="s">
        <v>2209</v>
      </c>
      <c r="T297" s="107" t="s">
        <v>432</v>
      </c>
      <c r="U297" s="107" t="s">
        <v>432</v>
      </c>
      <c r="V297" s="109" t="s">
        <v>2209</v>
      </c>
      <c r="W297" s="107" t="s">
        <v>432</v>
      </c>
      <c r="X297" s="107" t="s">
        <v>432</v>
      </c>
      <c r="Y297" s="107" t="s">
        <v>432</v>
      </c>
      <c r="Z297" s="107" t="s">
        <v>432</v>
      </c>
      <c r="AA297" s="107" t="s">
        <v>432</v>
      </c>
      <c r="AB297" s="107" t="s">
        <v>432</v>
      </c>
      <c r="AC297" s="107" t="s">
        <v>432</v>
      </c>
      <c r="AD297" s="107" t="s">
        <v>432</v>
      </c>
      <c r="AE297" s="107" t="s">
        <v>432</v>
      </c>
      <c r="AF297" s="107" t="s">
        <v>432</v>
      </c>
      <c r="AG297" s="107" t="s">
        <v>432</v>
      </c>
      <c r="AH297" s="107" t="s">
        <v>432</v>
      </c>
      <c r="AI297" s="107" t="s">
        <v>432</v>
      </c>
      <c r="AJ297" s="107" t="s">
        <v>432</v>
      </c>
      <c r="AK297" s="107" t="s">
        <v>432</v>
      </c>
      <c r="AL297" s="600" t="s">
        <v>432</v>
      </c>
      <c r="AM297" s="137" t="s">
        <v>432</v>
      </c>
      <c r="AN297" s="137" t="s">
        <v>432</v>
      </c>
      <c r="AO297" s="137" t="s">
        <v>432</v>
      </c>
      <c r="AP297" s="137" t="s">
        <v>432</v>
      </c>
      <c r="AQ297" s="137" t="s">
        <v>432</v>
      </c>
      <c r="AR297" s="137" t="s">
        <v>432</v>
      </c>
      <c r="AS297" s="137" t="s">
        <v>432</v>
      </c>
      <c r="AT297" s="137" t="s">
        <v>432</v>
      </c>
      <c r="AU297" s="137" t="s">
        <v>432</v>
      </c>
      <c r="AV297" s="137" t="s">
        <v>432</v>
      </c>
      <c r="AW297" s="137" t="s">
        <v>432</v>
      </c>
      <c r="AX297" s="137" t="s">
        <v>432</v>
      </c>
      <c r="AY297" s="137" t="s">
        <v>432</v>
      </c>
      <c r="AZ297" s="137" t="s">
        <v>432</v>
      </c>
      <c r="BA297" s="137" t="s">
        <v>432</v>
      </c>
      <c r="BB297" s="239" t="str">
        <f t="shared" si="69"/>
        <v>geralacessibilidade</v>
      </c>
      <c r="BC297" s="239" t="str">
        <f t="shared" si="70"/>
        <v>geralacessibilidadesigla/verbete</v>
      </c>
      <c r="BD297" s="239" t="str">
        <f t="shared" si="71"/>
        <v>geralsigla/verbete</v>
      </c>
    </row>
    <row r="298" spans="1:56" s="3" customFormat="1" ht="25.5" x14ac:dyDescent="0.25">
      <c r="A298" s="262" t="s">
        <v>432</v>
      </c>
      <c r="B298" s="252" t="s">
        <v>742</v>
      </c>
      <c r="C298" s="167" t="s">
        <v>743</v>
      </c>
      <c r="D298" s="325" t="s">
        <v>4653</v>
      </c>
      <c r="E298" s="1445" t="s">
        <v>3010</v>
      </c>
      <c r="F298" s="1327" t="s">
        <v>5302</v>
      </c>
      <c r="G298" s="230" t="s">
        <v>3507</v>
      </c>
      <c r="H298" s="167" t="s">
        <v>2408</v>
      </c>
      <c r="I298" s="167" t="s">
        <v>432</v>
      </c>
      <c r="J298" s="107" t="s">
        <v>432</v>
      </c>
      <c r="K298" s="107" t="s">
        <v>432</v>
      </c>
      <c r="L298" s="107" t="s">
        <v>432</v>
      </c>
      <c r="M298" s="107" t="s">
        <v>432</v>
      </c>
      <c r="N298" s="107" t="s">
        <v>432</v>
      </c>
      <c r="O298" s="107" t="s">
        <v>432</v>
      </c>
      <c r="P298" s="107" t="s">
        <v>432</v>
      </c>
      <c r="Q298" s="107" t="s">
        <v>432</v>
      </c>
      <c r="R298" s="107" t="s">
        <v>432</v>
      </c>
      <c r="S298" s="109" t="s">
        <v>2209</v>
      </c>
      <c r="T298" s="107" t="s">
        <v>432</v>
      </c>
      <c r="U298" s="107" t="s">
        <v>432</v>
      </c>
      <c r="V298" s="109" t="s">
        <v>2209</v>
      </c>
      <c r="W298" s="107" t="s">
        <v>432</v>
      </c>
      <c r="X298" s="107" t="s">
        <v>432</v>
      </c>
      <c r="Y298" s="107" t="s">
        <v>432</v>
      </c>
      <c r="Z298" s="107" t="s">
        <v>432</v>
      </c>
      <c r="AA298" s="107" t="s">
        <v>432</v>
      </c>
      <c r="AB298" s="107" t="s">
        <v>432</v>
      </c>
      <c r="AC298" s="107" t="s">
        <v>432</v>
      </c>
      <c r="AD298" s="107" t="s">
        <v>432</v>
      </c>
      <c r="AE298" s="107" t="s">
        <v>432</v>
      </c>
      <c r="AF298" s="107" t="s">
        <v>432</v>
      </c>
      <c r="AG298" s="107" t="s">
        <v>432</v>
      </c>
      <c r="AH298" s="107" t="s">
        <v>432</v>
      </c>
      <c r="AI298" s="107" t="s">
        <v>432</v>
      </c>
      <c r="AJ298" s="107" t="s">
        <v>432</v>
      </c>
      <c r="AK298" s="107" t="s">
        <v>432</v>
      </c>
      <c r="AL298" s="600" t="s">
        <v>432</v>
      </c>
      <c r="AM298" s="137" t="s">
        <v>432</v>
      </c>
      <c r="AN298" s="137" t="s">
        <v>432</v>
      </c>
      <c r="AO298" s="137" t="s">
        <v>432</v>
      </c>
      <c r="AP298" s="137" t="s">
        <v>432</v>
      </c>
      <c r="AQ298" s="137" t="s">
        <v>432</v>
      </c>
      <c r="AR298" s="137" t="s">
        <v>432</v>
      </c>
      <c r="AS298" s="137" t="s">
        <v>432</v>
      </c>
      <c r="AT298" s="137" t="s">
        <v>432</v>
      </c>
      <c r="AU298" s="137" t="s">
        <v>432</v>
      </c>
      <c r="AV298" s="137" t="s">
        <v>432</v>
      </c>
      <c r="AW298" s="137" t="s">
        <v>432</v>
      </c>
      <c r="AX298" s="137" t="s">
        <v>432</v>
      </c>
      <c r="AY298" s="137" t="s">
        <v>432</v>
      </c>
      <c r="AZ298" s="137" t="s">
        <v>432</v>
      </c>
      <c r="BA298" s="137" t="s">
        <v>432</v>
      </c>
      <c r="BB298" s="239" t="str">
        <f t="shared" si="69"/>
        <v>geralacessibilidade</v>
      </c>
      <c r="BC298" s="239" t="str">
        <f t="shared" si="70"/>
        <v>geralacessibilidadesigla/verbete</v>
      </c>
      <c r="BD298" s="239" t="str">
        <f t="shared" si="71"/>
        <v>geralsigla/verbete</v>
      </c>
    </row>
    <row r="299" spans="1:56" s="3" customFormat="1" ht="57" customHeight="1" x14ac:dyDescent="0.25">
      <c r="A299" s="262" t="str">
        <f>'Q100b-totais'!B22</f>
        <v>2.7</v>
      </c>
      <c r="B299" s="252" t="str">
        <f>'Q100b-totais'!C22</f>
        <v>Outras cidades/regiões</v>
      </c>
      <c r="C299" s="167" t="s">
        <v>743</v>
      </c>
      <c r="D299" s="1323" t="s">
        <v>3032</v>
      </c>
      <c r="E299" s="1499" t="s">
        <v>3032</v>
      </c>
      <c r="F299" s="1327" t="s">
        <v>4219</v>
      </c>
      <c r="G299" s="230" t="s">
        <v>3507</v>
      </c>
      <c r="H299" s="167" t="s">
        <v>2408</v>
      </c>
      <c r="I299" s="167" t="s">
        <v>432</v>
      </c>
      <c r="J299" s="107" t="s">
        <v>432</v>
      </c>
      <c r="K299" s="107" t="s">
        <v>432</v>
      </c>
      <c r="L299" s="107" t="s">
        <v>432</v>
      </c>
      <c r="M299" s="107" t="s">
        <v>432</v>
      </c>
      <c r="N299" s="107" t="s">
        <v>432</v>
      </c>
      <c r="O299" s="107" t="s">
        <v>432</v>
      </c>
      <c r="P299" s="107" t="s">
        <v>432</v>
      </c>
      <c r="Q299" s="107" t="s">
        <v>432</v>
      </c>
      <c r="R299" s="107" t="s">
        <v>432</v>
      </c>
      <c r="S299" s="109" t="s">
        <v>2209</v>
      </c>
      <c r="T299" s="107" t="s">
        <v>432</v>
      </c>
      <c r="U299" s="107" t="s">
        <v>432</v>
      </c>
      <c r="V299" s="109" t="s">
        <v>2209</v>
      </c>
      <c r="W299" s="107" t="s">
        <v>432</v>
      </c>
      <c r="X299" s="107" t="s">
        <v>432</v>
      </c>
      <c r="Y299" s="107" t="s">
        <v>432</v>
      </c>
      <c r="Z299" s="107" t="s">
        <v>432</v>
      </c>
      <c r="AA299" s="107" t="s">
        <v>432</v>
      </c>
      <c r="AB299" s="107" t="s">
        <v>432</v>
      </c>
      <c r="AC299" s="107" t="s">
        <v>432</v>
      </c>
      <c r="AD299" s="107" t="s">
        <v>432</v>
      </c>
      <c r="AE299" s="107" t="s">
        <v>432</v>
      </c>
      <c r="AF299" s="107" t="s">
        <v>432</v>
      </c>
      <c r="AG299" s="107" t="s">
        <v>432</v>
      </c>
      <c r="AH299" s="107" t="s">
        <v>432</v>
      </c>
      <c r="AI299" s="107" t="s">
        <v>432</v>
      </c>
      <c r="AJ299" s="107" t="s">
        <v>432</v>
      </c>
      <c r="AK299" s="107" t="s">
        <v>432</v>
      </c>
      <c r="AL299" s="600" t="s">
        <v>432</v>
      </c>
      <c r="AM299" s="137" t="s">
        <v>432</v>
      </c>
      <c r="AN299" s="137" t="s">
        <v>432</v>
      </c>
      <c r="AO299" s="137" t="s">
        <v>432</v>
      </c>
      <c r="AP299" s="137" t="s">
        <v>432</v>
      </c>
      <c r="AQ299" s="137" t="s">
        <v>432</v>
      </c>
      <c r="AR299" s="137" t="s">
        <v>432</v>
      </c>
      <c r="AS299" s="137" t="s">
        <v>432</v>
      </c>
      <c r="AT299" s="137" t="s">
        <v>432</v>
      </c>
      <c r="AU299" s="137" t="s">
        <v>432</v>
      </c>
      <c r="AV299" s="137" t="s">
        <v>432</v>
      </c>
      <c r="AW299" s="137" t="s">
        <v>432</v>
      </c>
      <c r="AX299" s="137" t="s">
        <v>432</v>
      </c>
      <c r="AY299" s="137" t="s">
        <v>432</v>
      </c>
      <c r="AZ299" s="137" t="s">
        <v>432</v>
      </c>
      <c r="BA299" s="137" t="s">
        <v>432</v>
      </c>
      <c r="BB299" s="239" t="str">
        <f t="shared" si="69"/>
        <v>Outras cidades/regiõesacessibilidade</v>
      </c>
      <c r="BC299" s="239" t="str">
        <f t="shared" si="70"/>
        <v>Outras cidades/regiõesacessibilidadesigla/verbete</v>
      </c>
      <c r="BD299" s="239" t="str">
        <f t="shared" si="71"/>
        <v>Outras cidades/regiõessigla/verbete</v>
      </c>
    </row>
    <row r="300" spans="1:56" s="3" customFormat="1" ht="75" customHeight="1" x14ac:dyDescent="0.25">
      <c r="A300" s="262" t="s">
        <v>432</v>
      </c>
      <c r="B300" s="252" t="s">
        <v>742</v>
      </c>
      <c r="C300" s="167" t="s">
        <v>432</v>
      </c>
      <c r="D300" s="324" t="s">
        <v>3738</v>
      </c>
      <c r="E300" s="1496" t="s">
        <v>2272</v>
      </c>
      <c r="F300" s="252" t="s">
        <v>6062</v>
      </c>
      <c r="G300" s="230" t="s">
        <v>3507</v>
      </c>
      <c r="H300" s="167" t="s">
        <v>2408</v>
      </c>
      <c r="I300" s="167" t="s">
        <v>432</v>
      </c>
      <c r="J300" s="107" t="s">
        <v>432</v>
      </c>
      <c r="K300" s="107" t="s">
        <v>432</v>
      </c>
      <c r="L300" s="107" t="s">
        <v>432</v>
      </c>
      <c r="M300" s="107" t="s">
        <v>432</v>
      </c>
      <c r="N300" s="107" t="s">
        <v>432</v>
      </c>
      <c r="O300" s="107" t="s">
        <v>432</v>
      </c>
      <c r="P300" s="107" t="s">
        <v>432</v>
      </c>
      <c r="Q300" s="107" t="s">
        <v>432</v>
      </c>
      <c r="R300" s="107" t="s">
        <v>432</v>
      </c>
      <c r="S300" s="109" t="s">
        <v>2209</v>
      </c>
      <c r="T300" s="107" t="s">
        <v>432</v>
      </c>
      <c r="U300" s="107" t="s">
        <v>432</v>
      </c>
      <c r="V300" s="109" t="s">
        <v>2209</v>
      </c>
      <c r="W300" s="107" t="s">
        <v>432</v>
      </c>
      <c r="X300" s="107" t="s">
        <v>432</v>
      </c>
      <c r="Y300" s="107" t="s">
        <v>432</v>
      </c>
      <c r="Z300" s="107" t="s">
        <v>432</v>
      </c>
      <c r="AA300" s="107" t="s">
        <v>432</v>
      </c>
      <c r="AB300" s="107" t="s">
        <v>432</v>
      </c>
      <c r="AC300" s="107" t="s">
        <v>432</v>
      </c>
      <c r="AD300" s="107" t="s">
        <v>432</v>
      </c>
      <c r="AE300" s="107" t="s">
        <v>432</v>
      </c>
      <c r="AF300" s="107" t="s">
        <v>432</v>
      </c>
      <c r="AG300" s="107" t="s">
        <v>432</v>
      </c>
      <c r="AH300" s="107" t="s">
        <v>432</v>
      </c>
      <c r="AI300" s="107" t="s">
        <v>432</v>
      </c>
      <c r="AJ300" s="107" t="s">
        <v>432</v>
      </c>
      <c r="AK300" s="107" t="s">
        <v>432</v>
      </c>
      <c r="AL300" s="600" t="s">
        <v>432</v>
      </c>
      <c r="AM300" s="137" t="s">
        <v>432</v>
      </c>
      <c r="AN300" s="137" t="s">
        <v>432</v>
      </c>
      <c r="AO300" s="137" t="s">
        <v>432</v>
      </c>
      <c r="AP300" s="137" t="s">
        <v>432</v>
      </c>
      <c r="AQ300" s="137" t="s">
        <v>432</v>
      </c>
      <c r="AR300" s="137" t="s">
        <v>432</v>
      </c>
      <c r="AS300" s="137" t="s">
        <v>432</v>
      </c>
      <c r="AT300" s="137" t="s">
        <v>432</v>
      </c>
      <c r="AU300" s="137" t="s">
        <v>432</v>
      </c>
      <c r="AV300" s="137" t="s">
        <v>432</v>
      </c>
      <c r="AW300" s="137" t="s">
        <v>432</v>
      </c>
      <c r="AX300" s="137" t="s">
        <v>432</v>
      </c>
      <c r="AY300" s="137" t="s">
        <v>432</v>
      </c>
      <c r="AZ300" s="137" t="s">
        <v>432</v>
      </c>
      <c r="BA300" s="137" t="s">
        <v>432</v>
      </c>
      <c r="BB300" s="239" t="str">
        <f t="shared" si="69"/>
        <v>geralx</v>
      </c>
      <c r="BC300" s="239" t="str">
        <f t="shared" si="70"/>
        <v>geralxsigla/verbete</v>
      </c>
      <c r="BD300" s="239" t="str">
        <f t="shared" si="71"/>
        <v>geralsigla/verbete</v>
      </c>
    </row>
    <row r="301" spans="1:56" s="3" customFormat="1" ht="31.5" x14ac:dyDescent="0.25">
      <c r="A301" s="262" t="s">
        <v>432</v>
      </c>
      <c r="B301" s="252" t="s">
        <v>742</v>
      </c>
      <c r="C301" s="167" t="s">
        <v>432</v>
      </c>
      <c r="D301" s="324" t="s">
        <v>3738</v>
      </c>
      <c r="E301" s="1496" t="s">
        <v>1306</v>
      </c>
      <c r="F301" s="252" t="s">
        <v>6063</v>
      </c>
      <c r="G301" s="416" t="s">
        <v>3982</v>
      </c>
      <c r="H301" s="167" t="s">
        <v>432</v>
      </c>
      <c r="I301" s="167">
        <v>1</v>
      </c>
      <c r="J301" s="107" t="s">
        <v>432</v>
      </c>
      <c r="K301" s="107" t="s">
        <v>432</v>
      </c>
      <c r="L301" s="107" t="s">
        <v>432</v>
      </c>
      <c r="M301" s="107" t="s">
        <v>432</v>
      </c>
      <c r="N301" s="107" t="s">
        <v>432</v>
      </c>
      <c r="O301" s="107" t="s">
        <v>432</v>
      </c>
      <c r="P301" s="107" t="s">
        <v>432</v>
      </c>
      <c r="Q301" s="107" t="s">
        <v>432</v>
      </c>
      <c r="R301" s="107" t="s">
        <v>432</v>
      </c>
      <c r="S301" s="109" t="s">
        <v>2209</v>
      </c>
      <c r="T301" s="107" t="s">
        <v>432</v>
      </c>
      <c r="U301" s="107" t="s">
        <v>432</v>
      </c>
      <c r="V301" s="109" t="s">
        <v>2209</v>
      </c>
      <c r="W301" s="107" t="s">
        <v>432</v>
      </c>
      <c r="X301" s="107" t="s">
        <v>432</v>
      </c>
      <c r="Y301" s="107" t="s">
        <v>432</v>
      </c>
      <c r="Z301" s="107" t="s">
        <v>432</v>
      </c>
      <c r="AA301" s="107" t="s">
        <v>432</v>
      </c>
      <c r="AB301" s="107" t="s">
        <v>432</v>
      </c>
      <c r="AC301" s="107" t="s">
        <v>432</v>
      </c>
      <c r="AD301" s="107" t="s">
        <v>432</v>
      </c>
      <c r="AE301" s="107" t="s">
        <v>432</v>
      </c>
      <c r="AF301" s="107" t="s">
        <v>432</v>
      </c>
      <c r="AG301" s="107" t="s">
        <v>432</v>
      </c>
      <c r="AH301" s="107" t="s">
        <v>432</v>
      </c>
      <c r="AI301" s="622" t="s">
        <v>2148</v>
      </c>
      <c r="AJ301" s="107" t="s">
        <v>432</v>
      </c>
      <c r="AK301" s="107" t="s">
        <v>432</v>
      </c>
      <c r="AL301" s="600" t="s">
        <v>432</v>
      </c>
      <c r="AM301" s="137" t="s">
        <v>432</v>
      </c>
      <c r="AN301" s="137" t="s">
        <v>432</v>
      </c>
      <c r="AO301" s="137" t="s">
        <v>432</v>
      </c>
      <c r="AP301" s="137" t="s">
        <v>432</v>
      </c>
      <c r="AQ301" s="137" t="s">
        <v>432</v>
      </c>
      <c r="AR301" s="137" t="s">
        <v>432</v>
      </c>
      <c r="AS301" s="137" t="s">
        <v>432</v>
      </c>
      <c r="AT301" s="137" t="s">
        <v>432</v>
      </c>
      <c r="AU301" s="137" t="s">
        <v>432</v>
      </c>
      <c r="AV301" s="137" t="s">
        <v>432</v>
      </c>
      <c r="AW301" s="137" t="s">
        <v>432</v>
      </c>
      <c r="AX301" s="137" t="s">
        <v>432</v>
      </c>
      <c r="AY301" s="137" t="s">
        <v>432</v>
      </c>
      <c r="AZ301" s="137" t="s">
        <v>432</v>
      </c>
      <c r="BA301" s="137" t="s">
        <v>432</v>
      </c>
      <c r="BB301" s="239" t="str">
        <f t="shared" si="69"/>
        <v>geralx</v>
      </c>
      <c r="BC301" s="239" t="str">
        <f t="shared" si="70"/>
        <v>geralxx</v>
      </c>
      <c r="BD301" s="239" t="str">
        <f t="shared" si="71"/>
        <v>geralx</v>
      </c>
    </row>
    <row r="302" spans="1:56" s="3" customFormat="1" ht="31.5" x14ac:dyDescent="0.25">
      <c r="A302" s="262" t="s">
        <v>432</v>
      </c>
      <c r="B302" s="252" t="s">
        <v>742</v>
      </c>
      <c r="C302" s="167" t="s">
        <v>432</v>
      </c>
      <c r="D302" s="324" t="s">
        <v>3738</v>
      </c>
      <c r="E302" s="1496" t="s">
        <v>1772</v>
      </c>
      <c r="F302" s="252" t="s">
        <v>6064</v>
      </c>
      <c r="G302" s="416" t="s">
        <v>3982</v>
      </c>
      <c r="H302" s="167" t="s">
        <v>819</v>
      </c>
      <c r="I302" s="167" t="s">
        <v>3740</v>
      </c>
      <c r="J302" s="107" t="s">
        <v>432</v>
      </c>
      <c r="K302" s="107" t="s">
        <v>432</v>
      </c>
      <c r="L302" s="107" t="s">
        <v>432</v>
      </c>
      <c r="M302" s="107" t="s">
        <v>432</v>
      </c>
      <c r="N302" s="107" t="s">
        <v>432</v>
      </c>
      <c r="O302" s="107" t="s">
        <v>432</v>
      </c>
      <c r="P302" s="107" t="s">
        <v>432</v>
      </c>
      <c r="Q302" s="107" t="s">
        <v>432</v>
      </c>
      <c r="R302" s="107" t="s">
        <v>432</v>
      </c>
      <c r="S302" s="109" t="s">
        <v>2209</v>
      </c>
      <c r="T302" s="107" t="s">
        <v>432</v>
      </c>
      <c r="U302" s="107" t="s">
        <v>432</v>
      </c>
      <c r="V302" s="109" t="s">
        <v>2209</v>
      </c>
      <c r="W302" s="107" t="s">
        <v>432</v>
      </c>
      <c r="X302" s="107" t="s">
        <v>432</v>
      </c>
      <c r="Y302" s="107" t="s">
        <v>432</v>
      </c>
      <c r="Z302" s="107" t="s">
        <v>432</v>
      </c>
      <c r="AA302" s="107" t="s">
        <v>432</v>
      </c>
      <c r="AB302" s="107" t="s">
        <v>432</v>
      </c>
      <c r="AC302" s="107" t="s">
        <v>432</v>
      </c>
      <c r="AD302" s="107" t="s">
        <v>432</v>
      </c>
      <c r="AE302" s="107" t="s">
        <v>432</v>
      </c>
      <c r="AF302" s="107" t="s">
        <v>432</v>
      </c>
      <c r="AG302" s="107" t="s">
        <v>432</v>
      </c>
      <c r="AH302" s="107" t="s">
        <v>432</v>
      </c>
      <c r="AI302" s="622" t="s">
        <v>2148</v>
      </c>
      <c r="AJ302" s="107" t="s">
        <v>432</v>
      </c>
      <c r="AK302" s="107" t="s">
        <v>432</v>
      </c>
      <c r="AL302" s="600" t="s">
        <v>432</v>
      </c>
      <c r="AM302" s="137" t="s">
        <v>432</v>
      </c>
      <c r="AN302" s="137" t="s">
        <v>432</v>
      </c>
      <c r="AO302" s="137" t="s">
        <v>432</v>
      </c>
      <c r="AP302" s="137" t="s">
        <v>432</v>
      </c>
      <c r="AQ302" s="137" t="s">
        <v>432</v>
      </c>
      <c r="AR302" s="137" t="s">
        <v>432</v>
      </c>
      <c r="AS302" s="137" t="s">
        <v>432</v>
      </c>
      <c r="AT302" s="137" t="s">
        <v>432</v>
      </c>
      <c r="AU302" s="137" t="s">
        <v>432</v>
      </c>
      <c r="AV302" s="137" t="s">
        <v>432</v>
      </c>
      <c r="AW302" s="137" t="s">
        <v>432</v>
      </c>
      <c r="AX302" s="137" t="s">
        <v>432</v>
      </c>
      <c r="AY302" s="137" t="s">
        <v>432</v>
      </c>
      <c r="AZ302" s="137" t="s">
        <v>432</v>
      </c>
      <c r="BA302" s="137" t="s">
        <v>432</v>
      </c>
      <c r="BB302" s="239" t="str">
        <f t="shared" si="69"/>
        <v>geralx</v>
      </c>
      <c r="BC302" s="239" t="str">
        <f t="shared" si="70"/>
        <v>geralxbenchmarking</v>
      </c>
      <c r="BD302" s="239" t="str">
        <f t="shared" si="71"/>
        <v>geralbenchmarking</v>
      </c>
    </row>
    <row r="303" spans="1:56" s="3" customFormat="1" ht="31.5" x14ac:dyDescent="0.25">
      <c r="A303" s="262" t="s">
        <v>432</v>
      </c>
      <c r="B303" s="252" t="s">
        <v>742</v>
      </c>
      <c r="C303" s="167" t="s">
        <v>432</v>
      </c>
      <c r="D303" s="324" t="s">
        <v>3738</v>
      </c>
      <c r="E303" s="1496" t="s">
        <v>3739</v>
      </c>
      <c r="F303" s="252" t="s">
        <v>6064</v>
      </c>
      <c r="G303" s="416" t="s">
        <v>3982</v>
      </c>
      <c r="H303" s="167" t="s">
        <v>819</v>
      </c>
      <c r="I303" s="167" t="s">
        <v>432</v>
      </c>
      <c r="J303" s="107" t="s">
        <v>432</v>
      </c>
      <c r="K303" s="107" t="s">
        <v>432</v>
      </c>
      <c r="L303" s="107" t="s">
        <v>432</v>
      </c>
      <c r="M303" s="107" t="s">
        <v>432</v>
      </c>
      <c r="N303" s="107" t="s">
        <v>432</v>
      </c>
      <c r="O303" s="107" t="s">
        <v>432</v>
      </c>
      <c r="P303" s="107" t="s">
        <v>432</v>
      </c>
      <c r="Q303" s="107" t="s">
        <v>432</v>
      </c>
      <c r="R303" s="107" t="s">
        <v>432</v>
      </c>
      <c r="S303" s="109" t="s">
        <v>2209</v>
      </c>
      <c r="T303" s="107" t="s">
        <v>432</v>
      </c>
      <c r="U303" s="107" t="s">
        <v>432</v>
      </c>
      <c r="V303" s="109" t="s">
        <v>2209</v>
      </c>
      <c r="W303" s="107" t="s">
        <v>432</v>
      </c>
      <c r="X303" s="107" t="s">
        <v>432</v>
      </c>
      <c r="Y303" s="107" t="s">
        <v>432</v>
      </c>
      <c r="Z303" s="107" t="s">
        <v>432</v>
      </c>
      <c r="AA303" s="107" t="s">
        <v>432</v>
      </c>
      <c r="AB303" s="107" t="s">
        <v>432</v>
      </c>
      <c r="AC303" s="107" t="s">
        <v>432</v>
      </c>
      <c r="AD303" s="107" t="s">
        <v>432</v>
      </c>
      <c r="AE303" s="107" t="s">
        <v>432</v>
      </c>
      <c r="AF303" s="107" t="s">
        <v>432</v>
      </c>
      <c r="AG303" s="107" t="s">
        <v>432</v>
      </c>
      <c r="AH303" s="107" t="s">
        <v>432</v>
      </c>
      <c r="AI303" s="622" t="s">
        <v>2148</v>
      </c>
      <c r="AJ303" s="107" t="s">
        <v>432</v>
      </c>
      <c r="AK303" s="107" t="s">
        <v>432</v>
      </c>
      <c r="AL303" s="600" t="s">
        <v>432</v>
      </c>
      <c r="AM303" s="137" t="s">
        <v>432</v>
      </c>
      <c r="AN303" s="137" t="s">
        <v>432</v>
      </c>
      <c r="AO303" s="137" t="s">
        <v>432</v>
      </c>
      <c r="AP303" s="137" t="s">
        <v>432</v>
      </c>
      <c r="AQ303" s="137" t="s">
        <v>432</v>
      </c>
      <c r="AR303" s="137" t="s">
        <v>432</v>
      </c>
      <c r="AS303" s="137" t="s">
        <v>432</v>
      </c>
      <c r="AT303" s="137" t="s">
        <v>432</v>
      </c>
      <c r="AU303" s="137" t="s">
        <v>432</v>
      </c>
      <c r="AV303" s="137" t="s">
        <v>432</v>
      </c>
      <c r="AW303" s="137" t="s">
        <v>432</v>
      </c>
      <c r="AX303" s="137" t="s">
        <v>432</v>
      </c>
      <c r="AY303" s="137" t="s">
        <v>432</v>
      </c>
      <c r="AZ303" s="137" t="s">
        <v>432</v>
      </c>
      <c r="BA303" s="137" t="s">
        <v>432</v>
      </c>
      <c r="BB303" s="239" t="str">
        <f t="shared" si="69"/>
        <v>geralx</v>
      </c>
      <c r="BC303" s="239" t="str">
        <f t="shared" si="70"/>
        <v>geralxbenchmarking</v>
      </c>
      <c r="BD303" s="239" t="str">
        <f t="shared" si="71"/>
        <v>geralbenchmarking</v>
      </c>
    </row>
    <row r="304" spans="1:56" s="3" customFormat="1" ht="31.5" x14ac:dyDescent="0.25">
      <c r="A304" s="262" t="s">
        <v>432</v>
      </c>
      <c r="B304" s="252" t="s">
        <v>742</v>
      </c>
      <c r="C304" s="167" t="s">
        <v>432</v>
      </c>
      <c r="D304" s="968" t="s">
        <v>3795</v>
      </c>
      <c r="E304" s="1496" t="s">
        <v>1767</v>
      </c>
      <c r="F304" s="53" t="s">
        <v>3796</v>
      </c>
      <c r="G304" s="230" t="s">
        <v>3507</v>
      </c>
      <c r="H304" s="167" t="s">
        <v>2408</v>
      </c>
      <c r="I304" s="167" t="s">
        <v>432</v>
      </c>
      <c r="J304" s="107" t="s">
        <v>432</v>
      </c>
      <c r="K304" s="107" t="s">
        <v>432</v>
      </c>
      <c r="L304" s="107" t="s">
        <v>432</v>
      </c>
      <c r="M304" s="107" t="s">
        <v>432</v>
      </c>
      <c r="N304" s="107" t="s">
        <v>432</v>
      </c>
      <c r="O304" s="107" t="s">
        <v>432</v>
      </c>
      <c r="P304" s="107" t="s">
        <v>432</v>
      </c>
      <c r="Q304" s="107" t="s">
        <v>432</v>
      </c>
      <c r="R304" s="107" t="s">
        <v>432</v>
      </c>
      <c r="S304" s="109" t="s">
        <v>2209</v>
      </c>
      <c r="T304" s="107" t="s">
        <v>432</v>
      </c>
      <c r="U304" s="107" t="s">
        <v>432</v>
      </c>
      <c r="V304" s="109" t="s">
        <v>2209</v>
      </c>
      <c r="W304" s="107" t="s">
        <v>432</v>
      </c>
      <c r="X304" s="107" t="s">
        <v>432</v>
      </c>
      <c r="Y304" s="107" t="s">
        <v>432</v>
      </c>
      <c r="Z304" s="107" t="s">
        <v>432</v>
      </c>
      <c r="AA304" s="107" t="s">
        <v>432</v>
      </c>
      <c r="AB304" s="107" t="s">
        <v>432</v>
      </c>
      <c r="AC304" s="107" t="s">
        <v>432</v>
      </c>
      <c r="AD304" s="107" t="s">
        <v>432</v>
      </c>
      <c r="AE304" s="107" t="s">
        <v>432</v>
      </c>
      <c r="AF304" s="107" t="s">
        <v>432</v>
      </c>
      <c r="AG304" s="107" t="s">
        <v>432</v>
      </c>
      <c r="AH304" s="107" t="s">
        <v>432</v>
      </c>
      <c r="AI304" s="107" t="s">
        <v>432</v>
      </c>
      <c r="AJ304" s="107" t="s">
        <v>432</v>
      </c>
      <c r="AK304" s="137" t="s">
        <v>432</v>
      </c>
      <c r="AL304" s="600" t="s">
        <v>432</v>
      </c>
      <c r="AM304" s="137" t="s">
        <v>432</v>
      </c>
      <c r="AN304" s="137" t="s">
        <v>432</v>
      </c>
      <c r="AO304" s="137" t="s">
        <v>432</v>
      </c>
      <c r="AP304" s="137" t="s">
        <v>432</v>
      </c>
      <c r="AQ304" s="137" t="s">
        <v>432</v>
      </c>
      <c r="AR304" s="137" t="s">
        <v>432</v>
      </c>
      <c r="AS304" s="137" t="s">
        <v>432</v>
      </c>
      <c r="AT304" s="137" t="s">
        <v>432</v>
      </c>
      <c r="AU304" s="137" t="s">
        <v>432</v>
      </c>
      <c r="AV304" s="137" t="s">
        <v>432</v>
      </c>
      <c r="AW304" s="137" t="s">
        <v>432</v>
      </c>
      <c r="AX304" s="137" t="s">
        <v>432</v>
      </c>
      <c r="AY304" s="137" t="s">
        <v>432</v>
      </c>
      <c r="AZ304" s="137" t="s">
        <v>432</v>
      </c>
      <c r="BA304" s="137" t="s">
        <v>432</v>
      </c>
      <c r="BB304" s="239" t="str">
        <f t="shared" si="69"/>
        <v>geralx</v>
      </c>
      <c r="BC304" s="239" t="str">
        <f t="shared" si="70"/>
        <v>geralxsigla/verbete</v>
      </c>
      <c r="BD304" s="239" t="str">
        <f t="shared" si="71"/>
        <v>geralsigla/verbete</v>
      </c>
    </row>
    <row r="305" spans="1:56" s="3" customFormat="1" ht="89.25" customHeight="1" x14ac:dyDescent="0.25">
      <c r="A305" s="262" t="s">
        <v>432</v>
      </c>
      <c r="B305" s="252" t="s">
        <v>742</v>
      </c>
      <c r="C305" s="167" t="s">
        <v>432</v>
      </c>
      <c r="D305" s="972" t="s">
        <v>819</v>
      </c>
      <c r="E305" s="1496" t="s">
        <v>432</v>
      </c>
      <c r="F305" s="54" t="s">
        <v>3245</v>
      </c>
      <c r="G305" s="230" t="s">
        <v>3507</v>
      </c>
      <c r="H305" s="167" t="s">
        <v>2408</v>
      </c>
      <c r="I305" s="167" t="s">
        <v>432</v>
      </c>
      <c r="J305" s="107" t="s">
        <v>432</v>
      </c>
      <c r="K305" s="107" t="s">
        <v>432</v>
      </c>
      <c r="L305" s="107" t="s">
        <v>432</v>
      </c>
      <c r="M305" s="107" t="s">
        <v>432</v>
      </c>
      <c r="N305" s="107" t="s">
        <v>432</v>
      </c>
      <c r="O305" s="107" t="s">
        <v>432</v>
      </c>
      <c r="P305" s="107" t="s">
        <v>432</v>
      </c>
      <c r="Q305" s="107" t="s">
        <v>432</v>
      </c>
      <c r="R305" s="107" t="s">
        <v>432</v>
      </c>
      <c r="S305" s="109" t="s">
        <v>2209</v>
      </c>
      <c r="T305" s="107" t="s">
        <v>432</v>
      </c>
      <c r="U305" s="107" t="s">
        <v>432</v>
      </c>
      <c r="V305" s="109" t="s">
        <v>2209</v>
      </c>
      <c r="W305" s="107" t="s">
        <v>432</v>
      </c>
      <c r="X305" s="107" t="s">
        <v>432</v>
      </c>
      <c r="Y305" s="107" t="s">
        <v>432</v>
      </c>
      <c r="Z305" s="107" t="s">
        <v>432</v>
      </c>
      <c r="AA305" s="107" t="s">
        <v>432</v>
      </c>
      <c r="AB305" s="107" t="s">
        <v>432</v>
      </c>
      <c r="AC305" s="107" t="s">
        <v>432</v>
      </c>
      <c r="AD305" s="107" t="s">
        <v>432</v>
      </c>
      <c r="AE305" s="107" t="s">
        <v>432</v>
      </c>
      <c r="AF305" s="107" t="s">
        <v>432</v>
      </c>
      <c r="AG305" s="107" t="s">
        <v>432</v>
      </c>
      <c r="AH305" s="107" t="s">
        <v>432</v>
      </c>
      <c r="AI305" s="107" t="s">
        <v>432</v>
      </c>
      <c r="AJ305" s="107" t="s">
        <v>432</v>
      </c>
      <c r="AK305" s="137" t="s">
        <v>432</v>
      </c>
      <c r="AL305" s="600" t="s">
        <v>432</v>
      </c>
      <c r="AM305" s="137" t="s">
        <v>432</v>
      </c>
      <c r="AN305" s="137" t="s">
        <v>432</v>
      </c>
      <c r="AO305" s="137" t="s">
        <v>432</v>
      </c>
      <c r="AP305" s="137" t="s">
        <v>432</v>
      </c>
      <c r="AQ305" s="137" t="s">
        <v>432</v>
      </c>
      <c r="AR305" s="137" t="s">
        <v>432</v>
      </c>
      <c r="AS305" s="137" t="s">
        <v>432</v>
      </c>
      <c r="AT305" s="137" t="s">
        <v>432</v>
      </c>
      <c r="AU305" s="137" t="s">
        <v>432</v>
      </c>
      <c r="AV305" s="137" t="s">
        <v>432</v>
      </c>
      <c r="AW305" s="137" t="s">
        <v>432</v>
      </c>
      <c r="AX305" s="137" t="s">
        <v>432</v>
      </c>
      <c r="AY305" s="137" t="s">
        <v>432</v>
      </c>
      <c r="AZ305" s="137" t="s">
        <v>432</v>
      </c>
      <c r="BA305" s="137" t="s">
        <v>432</v>
      </c>
      <c r="BB305" s="239" t="str">
        <f t="shared" si="69"/>
        <v>geralx</v>
      </c>
      <c r="BC305" s="239" t="str">
        <f t="shared" si="70"/>
        <v>geralxsigla/verbete</v>
      </c>
      <c r="BD305" s="239" t="str">
        <f t="shared" si="71"/>
        <v>geralsigla/verbete</v>
      </c>
    </row>
    <row r="306" spans="1:56" s="3" customFormat="1" ht="66.75" customHeight="1" x14ac:dyDescent="0.25">
      <c r="A306" s="262" t="s">
        <v>432</v>
      </c>
      <c r="B306" s="252" t="s">
        <v>742</v>
      </c>
      <c r="C306" s="167" t="s">
        <v>432</v>
      </c>
      <c r="D306" s="972" t="s">
        <v>2517</v>
      </c>
      <c r="E306" s="1496" t="s">
        <v>432</v>
      </c>
      <c r="F306" s="54" t="s">
        <v>3597</v>
      </c>
      <c r="G306" s="230" t="s">
        <v>3507</v>
      </c>
      <c r="H306" s="167" t="s">
        <v>2408</v>
      </c>
      <c r="I306" s="167" t="s">
        <v>432</v>
      </c>
      <c r="J306" s="107" t="s">
        <v>432</v>
      </c>
      <c r="K306" s="107" t="s">
        <v>432</v>
      </c>
      <c r="L306" s="107" t="s">
        <v>432</v>
      </c>
      <c r="M306" s="107" t="s">
        <v>432</v>
      </c>
      <c r="N306" s="107" t="s">
        <v>432</v>
      </c>
      <c r="O306" s="107" t="s">
        <v>432</v>
      </c>
      <c r="P306" s="107" t="s">
        <v>432</v>
      </c>
      <c r="Q306" s="107" t="s">
        <v>432</v>
      </c>
      <c r="R306" s="107" t="s">
        <v>432</v>
      </c>
      <c r="S306" s="109" t="s">
        <v>2209</v>
      </c>
      <c r="T306" s="107" t="s">
        <v>432</v>
      </c>
      <c r="U306" s="107" t="s">
        <v>432</v>
      </c>
      <c r="V306" s="109" t="s">
        <v>2209</v>
      </c>
      <c r="W306" s="107" t="s">
        <v>432</v>
      </c>
      <c r="X306" s="107" t="s">
        <v>432</v>
      </c>
      <c r="Y306" s="107" t="s">
        <v>432</v>
      </c>
      <c r="Z306" s="107" t="s">
        <v>432</v>
      </c>
      <c r="AA306" s="107" t="s">
        <v>432</v>
      </c>
      <c r="AB306" s="107" t="s">
        <v>432</v>
      </c>
      <c r="AC306" s="107" t="s">
        <v>432</v>
      </c>
      <c r="AD306" s="107" t="s">
        <v>432</v>
      </c>
      <c r="AE306" s="107" t="s">
        <v>432</v>
      </c>
      <c r="AF306" s="107" t="s">
        <v>432</v>
      </c>
      <c r="AG306" s="107" t="s">
        <v>432</v>
      </c>
      <c r="AH306" s="107" t="s">
        <v>432</v>
      </c>
      <c r="AI306" s="107" t="s">
        <v>432</v>
      </c>
      <c r="AJ306" s="107" t="s">
        <v>432</v>
      </c>
      <c r="AK306" s="137" t="s">
        <v>432</v>
      </c>
      <c r="AL306" s="600" t="s">
        <v>432</v>
      </c>
      <c r="AM306" s="137" t="s">
        <v>432</v>
      </c>
      <c r="AN306" s="137" t="s">
        <v>432</v>
      </c>
      <c r="AO306" s="137" t="s">
        <v>432</v>
      </c>
      <c r="AP306" s="137" t="s">
        <v>432</v>
      </c>
      <c r="AQ306" s="137" t="s">
        <v>432</v>
      </c>
      <c r="AR306" s="137" t="s">
        <v>432</v>
      </c>
      <c r="AS306" s="137" t="s">
        <v>432</v>
      </c>
      <c r="AT306" s="137" t="s">
        <v>432</v>
      </c>
      <c r="AU306" s="137" t="s">
        <v>432</v>
      </c>
      <c r="AV306" s="137" t="s">
        <v>432</v>
      </c>
      <c r="AW306" s="137" t="s">
        <v>432</v>
      </c>
      <c r="AX306" s="137" t="s">
        <v>432</v>
      </c>
      <c r="AY306" s="137" t="s">
        <v>432</v>
      </c>
      <c r="AZ306" s="137" t="s">
        <v>432</v>
      </c>
      <c r="BA306" s="137" t="s">
        <v>432</v>
      </c>
      <c r="BB306" s="239" t="str">
        <f t="shared" si="69"/>
        <v>geralx</v>
      </c>
      <c r="BC306" s="239" t="str">
        <f t="shared" si="70"/>
        <v>geralxsigla/verbete</v>
      </c>
      <c r="BD306" s="239" t="str">
        <f t="shared" si="71"/>
        <v>geralsigla/verbete</v>
      </c>
    </row>
    <row r="307" spans="1:56" s="3" customFormat="1" ht="57.75" customHeight="1" x14ac:dyDescent="0.25">
      <c r="A307" s="262" t="s">
        <v>432</v>
      </c>
      <c r="B307" s="252" t="s">
        <v>742</v>
      </c>
      <c r="C307" s="167" t="s">
        <v>432</v>
      </c>
      <c r="D307" s="972" t="s">
        <v>3246</v>
      </c>
      <c r="E307" s="1496" t="s">
        <v>1767</v>
      </c>
      <c r="F307" s="1174" t="s">
        <v>3472</v>
      </c>
      <c r="G307" s="230" t="s">
        <v>3507</v>
      </c>
      <c r="H307" s="167" t="s">
        <v>2408</v>
      </c>
      <c r="I307" s="167" t="s">
        <v>432</v>
      </c>
      <c r="J307" s="107" t="s">
        <v>432</v>
      </c>
      <c r="K307" s="107" t="s">
        <v>432</v>
      </c>
      <c r="L307" s="107" t="s">
        <v>432</v>
      </c>
      <c r="M307" s="107" t="s">
        <v>432</v>
      </c>
      <c r="N307" s="107" t="s">
        <v>432</v>
      </c>
      <c r="O307" s="107" t="s">
        <v>432</v>
      </c>
      <c r="P307" s="107" t="s">
        <v>432</v>
      </c>
      <c r="Q307" s="107" t="s">
        <v>432</v>
      </c>
      <c r="R307" s="107" t="s">
        <v>432</v>
      </c>
      <c r="S307" s="109" t="s">
        <v>2209</v>
      </c>
      <c r="T307" s="107" t="s">
        <v>432</v>
      </c>
      <c r="U307" s="107" t="s">
        <v>432</v>
      </c>
      <c r="V307" s="109" t="s">
        <v>2209</v>
      </c>
      <c r="W307" s="107" t="s">
        <v>432</v>
      </c>
      <c r="X307" s="107" t="s">
        <v>432</v>
      </c>
      <c r="Y307" s="107" t="s">
        <v>432</v>
      </c>
      <c r="Z307" s="107" t="s">
        <v>432</v>
      </c>
      <c r="AA307" s="107" t="s">
        <v>432</v>
      </c>
      <c r="AB307" s="107" t="s">
        <v>432</v>
      </c>
      <c r="AC307" s="107" t="s">
        <v>432</v>
      </c>
      <c r="AD307" s="107" t="s">
        <v>432</v>
      </c>
      <c r="AE307" s="107" t="s">
        <v>432</v>
      </c>
      <c r="AF307" s="107" t="s">
        <v>432</v>
      </c>
      <c r="AG307" s="107" t="s">
        <v>432</v>
      </c>
      <c r="AH307" s="107" t="s">
        <v>432</v>
      </c>
      <c r="AI307" s="107" t="s">
        <v>432</v>
      </c>
      <c r="AJ307" s="107" t="s">
        <v>432</v>
      </c>
      <c r="AK307" s="137" t="s">
        <v>432</v>
      </c>
      <c r="AL307" s="600" t="s">
        <v>432</v>
      </c>
      <c r="AM307" s="137" t="s">
        <v>432</v>
      </c>
      <c r="AN307" s="137" t="s">
        <v>432</v>
      </c>
      <c r="AO307" s="137" t="s">
        <v>432</v>
      </c>
      <c r="AP307" s="137" t="s">
        <v>432</v>
      </c>
      <c r="AQ307" s="137" t="s">
        <v>432</v>
      </c>
      <c r="AR307" s="137" t="s">
        <v>432</v>
      </c>
      <c r="AS307" s="137" t="s">
        <v>432</v>
      </c>
      <c r="AT307" s="137" t="s">
        <v>432</v>
      </c>
      <c r="AU307" s="137" t="s">
        <v>432</v>
      </c>
      <c r="AV307" s="137" t="s">
        <v>432</v>
      </c>
      <c r="AW307" s="137" t="s">
        <v>432</v>
      </c>
      <c r="AX307" s="137" t="s">
        <v>432</v>
      </c>
      <c r="AY307" s="137" t="s">
        <v>432</v>
      </c>
      <c r="AZ307" s="137" t="s">
        <v>432</v>
      </c>
      <c r="BA307" s="137" t="s">
        <v>432</v>
      </c>
      <c r="BB307" s="239" t="str">
        <f t="shared" si="69"/>
        <v>geralx</v>
      </c>
      <c r="BC307" s="239" t="str">
        <f t="shared" si="70"/>
        <v>geralxsigla/verbete</v>
      </c>
      <c r="BD307" s="239" t="str">
        <f t="shared" si="71"/>
        <v>geralsigla/verbete</v>
      </c>
    </row>
    <row r="308" spans="1:56" s="3" customFormat="1" ht="60.75" customHeight="1" x14ac:dyDescent="0.25">
      <c r="A308" s="262" t="s">
        <v>432</v>
      </c>
      <c r="B308" s="252" t="s">
        <v>742</v>
      </c>
      <c r="C308" s="167" t="s">
        <v>432</v>
      </c>
      <c r="D308" s="972" t="s">
        <v>3247</v>
      </c>
      <c r="E308" s="1496" t="s">
        <v>1767</v>
      </c>
      <c r="F308" s="1174" t="s">
        <v>3473</v>
      </c>
      <c r="G308" s="230" t="s">
        <v>3507</v>
      </c>
      <c r="H308" s="167" t="s">
        <v>2408</v>
      </c>
      <c r="I308" s="167" t="s">
        <v>432</v>
      </c>
      <c r="J308" s="107" t="s">
        <v>432</v>
      </c>
      <c r="K308" s="107" t="s">
        <v>432</v>
      </c>
      <c r="L308" s="107" t="s">
        <v>432</v>
      </c>
      <c r="M308" s="107" t="s">
        <v>432</v>
      </c>
      <c r="N308" s="107" t="s">
        <v>432</v>
      </c>
      <c r="O308" s="107" t="s">
        <v>432</v>
      </c>
      <c r="P308" s="107" t="s">
        <v>432</v>
      </c>
      <c r="Q308" s="107" t="s">
        <v>432</v>
      </c>
      <c r="R308" s="107" t="s">
        <v>432</v>
      </c>
      <c r="S308" s="109" t="s">
        <v>2209</v>
      </c>
      <c r="T308" s="107" t="s">
        <v>432</v>
      </c>
      <c r="U308" s="107" t="s">
        <v>432</v>
      </c>
      <c r="V308" s="109" t="s">
        <v>2209</v>
      </c>
      <c r="W308" s="107" t="s">
        <v>432</v>
      </c>
      <c r="X308" s="107" t="s">
        <v>432</v>
      </c>
      <c r="Y308" s="107" t="s">
        <v>432</v>
      </c>
      <c r="Z308" s="107" t="s">
        <v>432</v>
      </c>
      <c r="AA308" s="107" t="s">
        <v>432</v>
      </c>
      <c r="AB308" s="107" t="s">
        <v>432</v>
      </c>
      <c r="AC308" s="107" t="s">
        <v>432</v>
      </c>
      <c r="AD308" s="107" t="s">
        <v>432</v>
      </c>
      <c r="AE308" s="107" t="s">
        <v>432</v>
      </c>
      <c r="AF308" s="107" t="s">
        <v>432</v>
      </c>
      <c r="AG308" s="107" t="s">
        <v>432</v>
      </c>
      <c r="AH308" s="107" t="s">
        <v>432</v>
      </c>
      <c r="AI308" s="107" t="s">
        <v>432</v>
      </c>
      <c r="AJ308" s="107" t="s">
        <v>432</v>
      </c>
      <c r="AK308" s="137" t="s">
        <v>432</v>
      </c>
      <c r="AL308" s="600" t="s">
        <v>432</v>
      </c>
      <c r="AM308" s="137" t="s">
        <v>432</v>
      </c>
      <c r="AN308" s="137" t="s">
        <v>432</v>
      </c>
      <c r="AO308" s="137" t="s">
        <v>432</v>
      </c>
      <c r="AP308" s="137" t="s">
        <v>432</v>
      </c>
      <c r="AQ308" s="137" t="s">
        <v>432</v>
      </c>
      <c r="AR308" s="137" t="s">
        <v>432</v>
      </c>
      <c r="AS308" s="137" t="s">
        <v>432</v>
      </c>
      <c r="AT308" s="137" t="s">
        <v>432</v>
      </c>
      <c r="AU308" s="137" t="s">
        <v>432</v>
      </c>
      <c r="AV308" s="137" t="s">
        <v>432</v>
      </c>
      <c r="AW308" s="137" t="s">
        <v>432</v>
      </c>
      <c r="AX308" s="137" t="s">
        <v>432</v>
      </c>
      <c r="AY308" s="137" t="s">
        <v>432</v>
      </c>
      <c r="AZ308" s="137" t="s">
        <v>432</v>
      </c>
      <c r="BA308" s="137" t="s">
        <v>432</v>
      </c>
      <c r="BB308" s="239" t="str">
        <f t="shared" si="69"/>
        <v>geralx</v>
      </c>
      <c r="BC308" s="239" t="str">
        <f t="shared" si="70"/>
        <v>geralxsigla/verbete</v>
      </c>
      <c r="BD308" s="239" t="str">
        <f t="shared" si="71"/>
        <v>geralsigla/verbete</v>
      </c>
    </row>
    <row r="309" spans="1:56" s="3" customFormat="1" ht="95.25" customHeight="1" x14ac:dyDescent="0.25">
      <c r="A309" s="262" t="s">
        <v>432</v>
      </c>
      <c r="B309" s="252" t="s">
        <v>742</v>
      </c>
      <c r="C309" s="167" t="s">
        <v>432</v>
      </c>
      <c r="D309" s="323" t="s">
        <v>3468</v>
      </c>
      <c r="E309" s="1445" t="s">
        <v>1767</v>
      </c>
      <c r="F309" s="252" t="s">
        <v>6313</v>
      </c>
      <c r="G309" s="230" t="s">
        <v>3507</v>
      </c>
      <c r="H309" s="167" t="s">
        <v>2408</v>
      </c>
      <c r="I309" s="167" t="s">
        <v>432</v>
      </c>
      <c r="J309" s="107" t="s">
        <v>432</v>
      </c>
      <c r="K309" s="107" t="s">
        <v>432</v>
      </c>
      <c r="L309" s="107" t="s">
        <v>432</v>
      </c>
      <c r="M309" s="107" t="s">
        <v>432</v>
      </c>
      <c r="N309" s="107" t="s">
        <v>432</v>
      </c>
      <c r="O309" s="107" t="s">
        <v>432</v>
      </c>
      <c r="P309" s="107" t="s">
        <v>432</v>
      </c>
      <c r="Q309" s="107" t="s">
        <v>432</v>
      </c>
      <c r="R309" s="107" t="s">
        <v>432</v>
      </c>
      <c r="S309" s="109" t="s">
        <v>2209</v>
      </c>
      <c r="T309" s="107" t="s">
        <v>432</v>
      </c>
      <c r="U309" s="107" t="s">
        <v>432</v>
      </c>
      <c r="V309" s="109" t="s">
        <v>2209</v>
      </c>
      <c r="W309" s="107" t="s">
        <v>432</v>
      </c>
      <c r="X309" s="107" t="s">
        <v>432</v>
      </c>
      <c r="Y309" s="107" t="s">
        <v>432</v>
      </c>
      <c r="Z309" s="107" t="s">
        <v>432</v>
      </c>
      <c r="AA309" s="107" t="s">
        <v>432</v>
      </c>
      <c r="AB309" s="107" t="s">
        <v>432</v>
      </c>
      <c r="AC309" s="107" t="s">
        <v>432</v>
      </c>
      <c r="AD309" s="107" t="s">
        <v>432</v>
      </c>
      <c r="AE309" s="107" t="s">
        <v>432</v>
      </c>
      <c r="AF309" s="107" t="s">
        <v>432</v>
      </c>
      <c r="AG309" s="107" t="s">
        <v>432</v>
      </c>
      <c r="AH309" s="107" t="s">
        <v>432</v>
      </c>
      <c r="AI309" s="107" t="s">
        <v>432</v>
      </c>
      <c r="AJ309" s="107" t="s">
        <v>432</v>
      </c>
      <c r="AK309" s="137" t="s">
        <v>432</v>
      </c>
      <c r="AL309" s="600" t="s">
        <v>432</v>
      </c>
      <c r="AM309" s="137" t="s">
        <v>432</v>
      </c>
      <c r="AN309" s="137" t="s">
        <v>432</v>
      </c>
      <c r="AO309" s="137" t="s">
        <v>432</v>
      </c>
      <c r="AP309" s="137" t="s">
        <v>432</v>
      </c>
      <c r="AQ309" s="137" t="s">
        <v>432</v>
      </c>
      <c r="AR309" s="137" t="s">
        <v>432</v>
      </c>
      <c r="AS309" s="137" t="s">
        <v>432</v>
      </c>
      <c r="AT309" s="137" t="s">
        <v>432</v>
      </c>
      <c r="AU309" s="137" t="s">
        <v>432</v>
      </c>
      <c r="AV309" s="137" t="s">
        <v>432</v>
      </c>
      <c r="AW309" s="137" t="s">
        <v>432</v>
      </c>
      <c r="AX309" s="137" t="s">
        <v>432</v>
      </c>
      <c r="AY309" s="137" t="s">
        <v>432</v>
      </c>
      <c r="AZ309" s="137" t="s">
        <v>432</v>
      </c>
      <c r="BA309" s="137" t="s">
        <v>432</v>
      </c>
      <c r="BB309" s="239" t="str">
        <f t="shared" si="69"/>
        <v>geralx</v>
      </c>
      <c r="BC309" s="239" t="str">
        <f t="shared" si="70"/>
        <v>geralxsigla/verbete</v>
      </c>
      <c r="BD309" s="239" t="str">
        <f t="shared" si="71"/>
        <v>geralsigla/verbete</v>
      </c>
    </row>
    <row r="310" spans="1:56" s="3" customFormat="1" ht="58.5" customHeight="1" x14ac:dyDescent="0.25">
      <c r="A310" s="262" t="s">
        <v>432</v>
      </c>
      <c r="B310" s="252" t="s">
        <v>742</v>
      </c>
      <c r="C310" s="167" t="s">
        <v>432</v>
      </c>
      <c r="D310" s="972" t="s">
        <v>3469</v>
      </c>
      <c r="E310" s="1496" t="s">
        <v>1767</v>
      </c>
      <c r="F310" s="54" t="s">
        <v>3604</v>
      </c>
      <c r="G310" s="230" t="s">
        <v>3507</v>
      </c>
      <c r="H310" s="167" t="s">
        <v>2408</v>
      </c>
      <c r="I310" s="167" t="s">
        <v>432</v>
      </c>
      <c r="J310" s="107" t="s">
        <v>432</v>
      </c>
      <c r="K310" s="107" t="s">
        <v>432</v>
      </c>
      <c r="L310" s="107" t="s">
        <v>432</v>
      </c>
      <c r="M310" s="107" t="s">
        <v>432</v>
      </c>
      <c r="N310" s="107" t="s">
        <v>432</v>
      </c>
      <c r="O310" s="107" t="s">
        <v>432</v>
      </c>
      <c r="P310" s="107" t="s">
        <v>432</v>
      </c>
      <c r="Q310" s="107" t="s">
        <v>432</v>
      </c>
      <c r="R310" s="107" t="s">
        <v>432</v>
      </c>
      <c r="S310" s="109" t="s">
        <v>2209</v>
      </c>
      <c r="T310" s="107" t="s">
        <v>432</v>
      </c>
      <c r="U310" s="107" t="s">
        <v>432</v>
      </c>
      <c r="V310" s="109" t="s">
        <v>2209</v>
      </c>
      <c r="W310" s="107" t="s">
        <v>432</v>
      </c>
      <c r="X310" s="107" t="s">
        <v>432</v>
      </c>
      <c r="Y310" s="107" t="s">
        <v>432</v>
      </c>
      <c r="Z310" s="107" t="s">
        <v>432</v>
      </c>
      <c r="AA310" s="107" t="s">
        <v>432</v>
      </c>
      <c r="AB310" s="107" t="s">
        <v>432</v>
      </c>
      <c r="AC310" s="107" t="s">
        <v>432</v>
      </c>
      <c r="AD310" s="107" t="s">
        <v>432</v>
      </c>
      <c r="AE310" s="107" t="s">
        <v>432</v>
      </c>
      <c r="AF310" s="107" t="s">
        <v>432</v>
      </c>
      <c r="AG310" s="107" t="s">
        <v>432</v>
      </c>
      <c r="AH310" s="107" t="s">
        <v>432</v>
      </c>
      <c r="AI310" s="107" t="s">
        <v>432</v>
      </c>
      <c r="AJ310" s="107" t="s">
        <v>432</v>
      </c>
      <c r="AK310" s="137" t="s">
        <v>432</v>
      </c>
      <c r="AL310" s="600" t="s">
        <v>432</v>
      </c>
      <c r="AM310" s="137" t="s">
        <v>432</v>
      </c>
      <c r="AN310" s="137" t="s">
        <v>432</v>
      </c>
      <c r="AO310" s="137" t="s">
        <v>432</v>
      </c>
      <c r="AP310" s="137" t="s">
        <v>432</v>
      </c>
      <c r="AQ310" s="137" t="s">
        <v>432</v>
      </c>
      <c r="AR310" s="137" t="s">
        <v>432</v>
      </c>
      <c r="AS310" s="137" t="s">
        <v>432</v>
      </c>
      <c r="AT310" s="137" t="s">
        <v>432</v>
      </c>
      <c r="AU310" s="137" t="s">
        <v>432</v>
      </c>
      <c r="AV310" s="137" t="s">
        <v>432</v>
      </c>
      <c r="AW310" s="137" t="s">
        <v>432</v>
      </c>
      <c r="AX310" s="137" t="s">
        <v>432</v>
      </c>
      <c r="AY310" s="137" t="s">
        <v>432</v>
      </c>
      <c r="AZ310" s="137" t="s">
        <v>432</v>
      </c>
      <c r="BA310" s="137" t="s">
        <v>432</v>
      </c>
      <c r="BB310" s="239" t="str">
        <f t="shared" si="69"/>
        <v>geralx</v>
      </c>
      <c r="BC310" s="239" t="str">
        <f t="shared" si="70"/>
        <v>geralxsigla/verbete</v>
      </c>
      <c r="BD310" s="239" t="str">
        <f t="shared" si="71"/>
        <v>geralsigla/verbete</v>
      </c>
    </row>
    <row r="311" spans="1:56" s="3" customFormat="1" ht="89.25" customHeight="1" x14ac:dyDescent="0.25">
      <c r="A311" s="262" t="s">
        <v>432</v>
      </c>
      <c r="B311" s="252" t="s">
        <v>742</v>
      </c>
      <c r="C311" s="167" t="s">
        <v>432</v>
      </c>
      <c r="D311" s="972" t="s">
        <v>3372</v>
      </c>
      <c r="E311" s="1496" t="s">
        <v>3373</v>
      </c>
      <c r="F311" s="53" t="s">
        <v>3596</v>
      </c>
      <c r="G311" s="230" t="s">
        <v>3507</v>
      </c>
      <c r="H311" s="167" t="s">
        <v>2408</v>
      </c>
      <c r="I311" s="167" t="s">
        <v>432</v>
      </c>
      <c r="J311" s="107" t="s">
        <v>432</v>
      </c>
      <c r="K311" s="107" t="s">
        <v>432</v>
      </c>
      <c r="L311" s="107" t="s">
        <v>432</v>
      </c>
      <c r="M311" s="107" t="s">
        <v>432</v>
      </c>
      <c r="N311" s="107" t="s">
        <v>432</v>
      </c>
      <c r="O311" s="107" t="s">
        <v>432</v>
      </c>
      <c r="P311" s="107" t="s">
        <v>432</v>
      </c>
      <c r="Q311" s="107" t="s">
        <v>432</v>
      </c>
      <c r="R311" s="107" t="s">
        <v>432</v>
      </c>
      <c r="S311" s="109" t="s">
        <v>2209</v>
      </c>
      <c r="T311" s="107" t="s">
        <v>432</v>
      </c>
      <c r="U311" s="107" t="s">
        <v>432</v>
      </c>
      <c r="V311" s="109" t="s">
        <v>2209</v>
      </c>
      <c r="W311" s="107" t="s">
        <v>432</v>
      </c>
      <c r="X311" s="107" t="s">
        <v>432</v>
      </c>
      <c r="Y311" s="107" t="s">
        <v>432</v>
      </c>
      <c r="Z311" s="107" t="s">
        <v>432</v>
      </c>
      <c r="AA311" s="107" t="s">
        <v>432</v>
      </c>
      <c r="AB311" s="107" t="s">
        <v>432</v>
      </c>
      <c r="AC311" s="107" t="s">
        <v>432</v>
      </c>
      <c r="AD311" s="107" t="s">
        <v>432</v>
      </c>
      <c r="AE311" s="107" t="s">
        <v>432</v>
      </c>
      <c r="AF311" s="107" t="s">
        <v>432</v>
      </c>
      <c r="AG311" s="107" t="s">
        <v>432</v>
      </c>
      <c r="AH311" s="107" t="s">
        <v>432</v>
      </c>
      <c r="AI311" s="107" t="s">
        <v>432</v>
      </c>
      <c r="AJ311" s="107" t="s">
        <v>432</v>
      </c>
      <c r="AK311" s="137" t="s">
        <v>432</v>
      </c>
      <c r="AL311" s="600" t="s">
        <v>432</v>
      </c>
      <c r="AM311" s="137" t="s">
        <v>432</v>
      </c>
      <c r="AN311" s="137" t="s">
        <v>432</v>
      </c>
      <c r="AO311" s="137" t="s">
        <v>432</v>
      </c>
      <c r="AP311" s="137" t="s">
        <v>432</v>
      </c>
      <c r="AQ311" s="137" t="s">
        <v>432</v>
      </c>
      <c r="AR311" s="137" t="s">
        <v>432</v>
      </c>
      <c r="AS311" s="137" t="s">
        <v>432</v>
      </c>
      <c r="AT311" s="137" t="s">
        <v>432</v>
      </c>
      <c r="AU311" s="137" t="s">
        <v>432</v>
      </c>
      <c r="AV311" s="137" t="s">
        <v>432</v>
      </c>
      <c r="AW311" s="137" t="s">
        <v>432</v>
      </c>
      <c r="AX311" s="137" t="s">
        <v>432</v>
      </c>
      <c r="AY311" s="137" t="s">
        <v>432</v>
      </c>
      <c r="AZ311" s="137" t="s">
        <v>432</v>
      </c>
      <c r="BA311" s="137" t="s">
        <v>432</v>
      </c>
      <c r="BB311" s="239" t="str">
        <f t="shared" si="69"/>
        <v>geralx</v>
      </c>
      <c r="BC311" s="239" t="str">
        <f t="shared" si="70"/>
        <v>geralxsigla/verbete</v>
      </c>
      <c r="BD311" s="239" t="str">
        <f t="shared" si="71"/>
        <v>geralsigla/verbete</v>
      </c>
    </row>
    <row r="312" spans="1:56" s="3" customFormat="1" ht="258.75" customHeight="1" x14ac:dyDescent="0.25">
      <c r="A312" s="262" t="s">
        <v>432</v>
      </c>
      <c r="B312" s="252" t="s">
        <v>742</v>
      </c>
      <c r="C312" s="167" t="s">
        <v>743</v>
      </c>
      <c r="D312" s="972" t="s">
        <v>3249</v>
      </c>
      <c r="E312" s="1496" t="s">
        <v>3010</v>
      </c>
      <c r="F312" s="54" t="s">
        <v>6318</v>
      </c>
      <c r="G312" s="230" t="s">
        <v>3507</v>
      </c>
      <c r="H312" s="167" t="s">
        <v>2408</v>
      </c>
      <c r="I312" s="167" t="s">
        <v>432</v>
      </c>
      <c r="J312" s="107" t="s">
        <v>432</v>
      </c>
      <c r="K312" s="107" t="s">
        <v>432</v>
      </c>
      <c r="L312" s="107" t="s">
        <v>432</v>
      </c>
      <c r="M312" s="107" t="s">
        <v>432</v>
      </c>
      <c r="N312" s="107" t="s">
        <v>432</v>
      </c>
      <c r="O312" s="107" t="s">
        <v>432</v>
      </c>
      <c r="P312" s="107" t="s">
        <v>432</v>
      </c>
      <c r="Q312" s="107" t="s">
        <v>432</v>
      </c>
      <c r="R312" s="107" t="s">
        <v>432</v>
      </c>
      <c r="S312" s="109" t="s">
        <v>2209</v>
      </c>
      <c r="T312" s="107" t="s">
        <v>432</v>
      </c>
      <c r="U312" s="107" t="s">
        <v>432</v>
      </c>
      <c r="V312" s="109" t="s">
        <v>2209</v>
      </c>
      <c r="W312" s="107" t="s">
        <v>432</v>
      </c>
      <c r="X312" s="107" t="s">
        <v>432</v>
      </c>
      <c r="Y312" s="107" t="s">
        <v>432</v>
      </c>
      <c r="Z312" s="107" t="s">
        <v>432</v>
      </c>
      <c r="AA312" s="107" t="s">
        <v>432</v>
      </c>
      <c r="AB312" s="107" t="s">
        <v>432</v>
      </c>
      <c r="AC312" s="107" t="s">
        <v>432</v>
      </c>
      <c r="AD312" s="107" t="s">
        <v>432</v>
      </c>
      <c r="AE312" s="107" t="s">
        <v>432</v>
      </c>
      <c r="AF312" s="107" t="s">
        <v>432</v>
      </c>
      <c r="AG312" s="107" t="s">
        <v>432</v>
      </c>
      <c r="AH312" s="107" t="s">
        <v>432</v>
      </c>
      <c r="AI312" s="107" t="s">
        <v>432</v>
      </c>
      <c r="AJ312" s="107" t="s">
        <v>432</v>
      </c>
      <c r="AK312" s="137" t="s">
        <v>432</v>
      </c>
      <c r="AL312" s="600" t="s">
        <v>432</v>
      </c>
      <c r="AM312" s="137" t="s">
        <v>432</v>
      </c>
      <c r="AN312" s="137" t="s">
        <v>432</v>
      </c>
      <c r="AO312" s="137" t="s">
        <v>432</v>
      </c>
      <c r="AP312" s="137" t="s">
        <v>432</v>
      </c>
      <c r="AQ312" s="137" t="s">
        <v>432</v>
      </c>
      <c r="AR312" s="137" t="s">
        <v>432</v>
      </c>
      <c r="AS312" s="137" t="s">
        <v>432</v>
      </c>
      <c r="AT312" s="137" t="s">
        <v>432</v>
      </c>
      <c r="AU312" s="137" t="s">
        <v>432</v>
      </c>
      <c r="AV312" s="137" t="s">
        <v>432</v>
      </c>
      <c r="AW312" s="137" t="s">
        <v>432</v>
      </c>
      <c r="AX312" s="137" t="s">
        <v>432</v>
      </c>
      <c r="AY312" s="137" t="s">
        <v>432</v>
      </c>
      <c r="AZ312" s="137" t="s">
        <v>432</v>
      </c>
      <c r="BA312" s="137" t="s">
        <v>432</v>
      </c>
      <c r="BB312" s="239" t="str">
        <f t="shared" si="69"/>
        <v>geralacessibilidade</v>
      </c>
      <c r="BC312" s="239" t="str">
        <f t="shared" si="70"/>
        <v>geralacessibilidadesigla/verbete</v>
      </c>
      <c r="BD312" s="239" t="str">
        <f t="shared" si="71"/>
        <v>geralsigla/verbete</v>
      </c>
    </row>
    <row r="313" spans="1:56" s="3" customFormat="1" ht="92.25" customHeight="1" x14ac:dyDescent="0.25">
      <c r="A313" s="262" t="s">
        <v>432</v>
      </c>
      <c r="B313" s="252" t="s">
        <v>742</v>
      </c>
      <c r="C313" s="167" t="s">
        <v>432</v>
      </c>
      <c r="D313" s="972" t="s">
        <v>3248</v>
      </c>
      <c r="E313" s="1496" t="s">
        <v>432</v>
      </c>
      <c r="F313" s="53" t="s">
        <v>5980</v>
      </c>
      <c r="G313" s="230" t="s">
        <v>3507</v>
      </c>
      <c r="H313" s="167" t="s">
        <v>2408</v>
      </c>
      <c r="I313" s="167" t="s">
        <v>432</v>
      </c>
      <c r="J313" s="107" t="s">
        <v>432</v>
      </c>
      <c r="K313" s="107" t="s">
        <v>432</v>
      </c>
      <c r="L313" s="107" t="s">
        <v>432</v>
      </c>
      <c r="M313" s="107" t="s">
        <v>432</v>
      </c>
      <c r="N313" s="107" t="s">
        <v>432</v>
      </c>
      <c r="O313" s="107" t="s">
        <v>432</v>
      </c>
      <c r="P313" s="107" t="s">
        <v>432</v>
      </c>
      <c r="Q313" s="107" t="s">
        <v>432</v>
      </c>
      <c r="R313" s="107" t="s">
        <v>432</v>
      </c>
      <c r="S313" s="109" t="s">
        <v>2209</v>
      </c>
      <c r="T313" s="107" t="s">
        <v>432</v>
      </c>
      <c r="U313" s="107" t="s">
        <v>432</v>
      </c>
      <c r="V313" s="109" t="s">
        <v>2209</v>
      </c>
      <c r="W313" s="107" t="s">
        <v>432</v>
      </c>
      <c r="X313" s="107" t="s">
        <v>432</v>
      </c>
      <c r="Y313" s="107" t="s">
        <v>432</v>
      </c>
      <c r="Z313" s="107" t="s">
        <v>432</v>
      </c>
      <c r="AA313" s="107" t="s">
        <v>432</v>
      </c>
      <c r="AB313" s="107" t="s">
        <v>432</v>
      </c>
      <c r="AC313" s="107" t="s">
        <v>432</v>
      </c>
      <c r="AD313" s="107" t="s">
        <v>432</v>
      </c>
      <c r="AE313" s="107" t="s">
        <v>432</v>
      </c>
      <c r="AF313" s="107" t="s">
        <v>432</v>
      </c>
      <c r="AG313" s="107" t="s">
        <v>432</v>
      </c>
      <c r="AH313" s="107" t="s">
        <v>432</v>
      </c>
      <c r="AI313" s="107" t="s">
        <v>432</v>
      </c>
      <c r="AJ313" s="107" t="s">
        <v>432</v>
      </c>
      <c r="AK313" s="137" t="s">
        <v>432</v>
      </c>
      <c r="AL313" s="600" t="s">
        <v>432</v>
      </c>
      <c r="AM313" s="137" t="s">
        <v>432</v>
      </c>
      <c r="AN313" s="137" t="s">
        <v>432</v>
      </c>
      <c r="AO313" s="137" t="s">
        <v>432</v>
      </c>
      <c r="AP313" s="137" t="s">
        <v>432</v>
      </c>
      <c r="AQ313" s="137" t="s">
        <v>432</v>
      </c>
      <c r="AR313" s="137" t="s">
        <v>432</v>
      </c>
      <c r="AS313" s="137" t="s">
        <v>432</v>
      </c>
      <c r="AT313" s="137" t="s">
        <v>432</v>
      </c>
      <c r="AU313" s="137" t="s">
        <v>432</v>
      </c>
      <c r="AV313" s="137" t="s">
        <v>432</v>
      </c>
      <c r="AW313" s="137" t="s">
        <v>432</v>
      </c>
      <c r="AX313" s="137" t="s">
        <v>432</v>
      </c>
      <c r="AY313" s="137" t="s">
        <v>432</v>
      </c>
      <c r="AZ313" s="137" t="s">
        <v>432</v>
      </c>
      <c r="BA313" s="137" t="s">
        <v>432</v>
      </c>
      <c r="BB313" s="239" t="str">
        <f t="shared" si="69"/>
        <v>geralx</v>
      </c>
      <c r="BC313" s="239" t="str">
        <f t="shared" si="70"/>
        <v>geralxsigla/verbete</v>
      </c>
      <c r="BD313" s="239" t="str">
        <f t="shared" si="71"/>
        <v>geralsigla/verbete</v>
      </c>
    </row>
    <row r="314" spans="1:56" s="3" customFormat="1" ht="100.5" customHeight="1" x14ac:dyDescent="0.25">
      <c r="A314" s="262" t="s">
        <v>432</v>
      </c>
      <c r="B314" s="252" t="s">
        <v>742</v>
      </c>
      <c r="C314" s="167" t="s">
        <v>432</v>
      </c>
      <c r="D314" s="972" t="s">
        <v>3470</v>
      </c>
      <c r="E314" s="1496" t="s">
        <v>432</v>
      </c>
      <c r="F314" s="54" t="s">
        <v>4973</v>
      </c>
      <c r="G314" s="230" t="s">
        <v>3507</v>
      </c>
      <c r="H314" s="167" t="s">
        <v>2408</v>
      </c>
      <c r="I314" s="167" t="s">
        <v>432</v>
      </c>
      <c r="J314" s="107" t="s">
        <v>432</v>
      </c>
      <c r="K314" s="107" t="s">
        <v>432</v>
      </c>
      <c r="L314" s="107" t="s">
        <v>432</v>
      </c>
      <c r="M314" s="107" t="s">
        <v>432</v>
      </c>
      <c r="N314" s="107" t="s">
        <v>432</v>
      </c>
      <c r="O314" s="107" t="s">
        <v>432</v>
      </c>
      <c r="P314" s="107" t="s">
        <v>432</v>
      </c>
      <c r="Q314" s="107" t="s">
        <v>432</v>
      </c>
      <c r="R314" s="107" t="s">
        <v>432</v>
      </c>
      <c r="S314" s="109" t="s">
        <v>2209</v>
      </c>
      <c r="T314" s="107" t="s">
        <v>432</v>
      </c>
      <c r="U314" s="107" t="s">
        <v>432</v>
      </c>
      <c r="V314" s="109" t="s">
        <v>2209</v>
      </c>
      <c r="W314" s="107" t="s">
        <v>432</v>
      </c>
      <c r="X314" s="107" t="s">
        <v>432</v>
      </c>
      <c r="Y314" s="107" t="s">
        <v>432</v>
      </c>
      <c r="Z314" s="107" t="s">
        <v>432</v>
      </c>
      <c r="AA314" s="107" t="s">
        <v>432</v>
      </c>
      <c r="AB314" s="107" t="s">
        <v>432</v>
      </c>
      <c r="AC314" s="107" t="s">
        <v>432</v>
      </c>
      <c r="AD314" s="107" t="s">
        <v>432</v>
      </c>
      <c r="AE314" s="107" t="s">
        <v>432</v>
      </c>
      <c r="AF314" s="107" t="s">
        <v>432</v>
      </c>
      <c r="AG314" s="107" t="s">
        <v>432</v>
      </c>
      <c r="AH314" s="107" t="s">
        <v>432</v>
      </c>
      <c r="AI314" s="107" t="s">
        <v>432</v>
      </c>
      <c r="AJ314" s="107" t="s">
        <v>432</v>
      </c>
      <c r="AK314" s="137" t="s">
        <v>432</v>
      </c>
      <c r="AL314" s="600" t="s">
        <v>432</v>
      </c>
      <c r="AM314" s="137" t="s">
        <v>432</v>
      </c>
      <c r="AN314" s="137" t="s">
        <v>432</v>
      </c>
      <c r="AO314" s="137" t="s">
        <v>432</v>
      </c>
      <c r="AP314" s="137" t="s">
        <v>432</v>
      </c>
      <c r="AQ314" s="137" t="s">
        <v>432</v>
      </c>
      <c r="AR314" s="137" t="s">
        <v>432</v>
      </c>
      <c r="AS314" s="137" t="s">
        <v>432</v>
      </c>
      <c r="AT314" s="137" t="s">
        <v>432</v>
      </c>
      <c r="AU314" s="137" t="s">
        <v>432</v>
      </c>
      <c r="AV314" s="137" t="s">
        <v>432</v>
      </c>
      <c r="AW314" s="137" t="s">
        <v>432</v>
      </c>
      <c r="AX314" s="137" t="s">
        <v>432</v>
      </c>
      <c r="AY314" s="137" t="s">
        <v>432</v>
      </c>
      <c r="AZ314" s="137" t="s">
        <v>432</v>
      </c>
      <c r="BA314" s="137" t="s">
        <v>432</v>
      </c>
      <c r="BB314" s="239" t="str">
        <f t="shared" si="69"/>
        <v>geralx</v>
      </c>
      <c r="BC314" s="239" t="str">
        <f t="shared" si="70"/>
        <v>geralxsigla/verbete</v>
      </c>
      <c r="BD314" s="239" t="str">
        <f t="shared" si="71"/>
        <v>geralsigla/verbete</v>
      </c>
    </row>
    <row r="315" spans="1:56" s="3" customFormat="1" ht="85.5" customHeight="1" x14ac:dyDescent="0.25">
      <c r="A315" s="262" t="s">
        <v>432</v>
      </c>
      <c r="B315" s="252" t="s">
        <v>742</v>
      </c>
      <c r="C315" s="167" t="s">
        <v>432</v>
      </c>
      <c r="D315" s="972" t="s">
        <v>4188</v>
      </c>
      <c r="E315" s="1496" t="s">
        <v>432</v>
      </c>
      <c r="F315" s="54" t="s">
        <v>6234</v>
      </c>
      <c r="G315" s="230" t="s">
        <v>3507</v>
      </c>
      <c r="H315" s="167" t="s">
        <v>2408</v>
      </c>
      <c r="I315" s="167" t="s">
        <v>432</v>
      </c>
      <c r="J315" s="107" t="s">
        <v>432</v>
      </c>
      <c r="K315" s="107" t="s">
        <v>432</v>
      </c>
      <c r="L315" s="107" t="s">
        <v>432</v>
      </c>
      <c r="M315" s="107" t="s">
        <v>432</v>
      </c>
      <c r="N315" s="107" t="s">
        <v>432</v>
      </c>
      <c r="O315" s="107" t="s">
        <v>432</v>
      </c>
      <c r="P315" s="107" t="s">
        <v>432</v>
      </c>
      <c r="Q315" s="107" t="s">
        <v>432</v>
      </c>
      <c r="R315" s="107" t="s">
        <v>432</v>
      </c>
      <c r="S315" s="109" t="s">
        <v>2209</v>
      </c>
      <c r="T315" s="107" t="s">
        <v>432</v>
      </c>
      <c r="U315" s="107" t="s">
        <v>432</v>
      </c>
      <c r="V315" s="109" t="s">
        <v>2209</v>
      </c>
      <c r="W315" s="107" t="s">
        <v>432</v>
      </c>
      <c r="X315" s="107" t="s">
        <v>432</v>
      </c>
      <c r="Y315" s="107" t="s">
        <v>432</v>
      </c>
      <c r="Z315" s="107" t="s">
        <v>432</v>
      </c>
      <c r="AA315" s="107" t="s">
        <v>432</v>
      </c>
      <c r="AB315" s="107" t="s">
        <v>432</v>
      </c>
      <c r="AC315" s="107" t="s">
        <v>432</v>
      </c>
      <c r="AD315" s="107" t="s">
        <v>432</v>
      </c>
      <c r="AE315" s="107" t="s">
        <v>432</v>
      </c>
      <c r="AF315" s="107" t="s">
        <v>432</v>
      </c>
      <c r="AG315" s="107" t="s">
        <v>432</v>
      </c>
      <c r="AH315" s="107" t="s">
        <v>432</v>
      </c>
      <c r="AI315" s="107" t="s">
        <v>432</v>
      </c>
      <c r="AJ315" s="107" t="s">
        <v>432</v>
      </c>
      <c r="AK315" s="137" t="s">
        <v>432</v>
      </c>
      <c r="AL315" s="600" t="s">
        <v>432</v>
      </c>
      <c r="AM315" s="137" t="s">
        <v>432</v>
      </c>
      <c r="AN315" s="137" t="s">
        <v>432</v>
      </c>
      <c r="AO315" s="137" t="s">
        <v>432</v>
      </c>
      <c r="AP315" s="137" t="s">
        <v>432</v>
      </c>
      <c r="AQ315" s="137" t="s">
        <v>432</v>
      </c>
      <c r="AR315" s="137" t="s">
        <v>432</v>
      </c>
      <c r="AS315" s="137" t="s">
        <v>432</v>
      </c>
      <c r="AT315" s="137" t="s">
        <v>432</v>
      </c>
      <c r="AU315" s="137" t="s">
        <v>432</v>
      </c>
      <c r="AV315" s="137" t="s">
        <v>432</v>
      </c>
      <c r="AW315" s="137" t="s">
        <v>432</v>
      </c>
      <c r="AX315" s="137" t="s">
        <v>432</v>
      </c>
      <c r="AY315" s="137" t="s">
        <v>432</v>
      </c>
      <c r="AZ315" s="137" t="s">
        <v>432</v>
      </c>
      <c r="BA315" s="137" t="s">
        <v>432</v>
      </c>
      <c r="BB315" s="239" t="str">
        <f t="shared" si="69"/>
        <v>geralx</v>
      </c>
      <c r="BC315" s="239" t="str">
        <f t="shared" si="70"/>
        <v>geralxsigla/verbete</v>
      </c>
      <c r="BD315" s="239" t="str">
        <f t="shared" si="71"/>
        <v>geralsigla/verbete</v>
      </c>
    </row>
    <row r="316" spans="1:56" s="3" customFormat="1" ht="38.25" x14ac:dyDescent="0.25">
      <c r="A316" s="262" t="str">
        <f>'Q100b-totais'!B22</f>
        <v>2.7</v>
      </c>
      <c r="B316" s="252" t="str">
        <f>'Q100b-totais'!C22</f>
        <v>Outras cidades/regiões</v>
      </c>
      <c r="C316" s="167" t="s">
        <v>743</v>
      </c>
      <c r="D316" s="716" t="s">
        <v>3023</v>
      </c>
      <c r="E316" s="1499" t="s">
        <v>3023</v>
      </c>
      <c r="F316" s="1327" t="s">
        <v>4221</v>
      </c>
      <c r="G316" s="230" t="s">
        <v>3507</v>
      </c>
      <c r="H316" s="167" t="s">
        <v>2408</v>
      </c>
      <c r="I316" s="167" t="s">
        <v>432</v>
      </c>
      <c r="J316" s="107" t="s">
        <v>432</v>
      </c>
      <c r="K316" s="107" t="s">
        <v>432</v>
      </c>
      <c r="L316" s="107" t="s">
        <v>432</v>
      </c>
      <c r="M316" s="107" t="s">
        <v>432</v>
      </c>
      <c r="N316" s="107" t="s">
        <v>432</v>
      </c>
      <c r="O316" s="107" t="s">
        <v>432</v>
      </c>
      <c r="P316" s="107" t="s">
        <v>432</v>
      </c>
      <c r="Q316" s="107" t="s">
        <v>432</v>
      </c>
      <c r="R316" s="107" t="s">
        <v>432</v>
      </c>
      <c r="S316" s="109" t="s">
        <v>2209</v>
      </c>
      <c r="T316" s="107" t="s">
        <v>432</v>
      </c>
      <c r="U316" s="107" t="s">
        <v>432</v>
      </c>
      <c r="V316" s="109" t="s">
        <v>2209</v>
      </c>
      <c r="W316" s="107" t="s">
        <v>432</v>
      </c>
      <c r="X316" s="107" t="s">
        <v>432</v>
      </c>
      <c r="Y316" s="107" t="s">
        <v>432</v>
      </c>
      <c r="Z316" s="107" t="s">
        <v>432</v>
      </c>
      <c r="AA316" s="107" t="s">
        <v>432</v>
      </c>
      <c r="AB316" s="107" t="s">
        <v>432</v>
      </c>
      <c r="AC316" s="107" t="s">
        <v>432</v>
      </c>
      <c r="AD316" s="107" t="s">
        <v>432</v>
      </c>
      <c r="AE316" s="107" t="s">
        <v>432</v>
      </c>
      <c r="AF316" s="107" t="s">
        <v>432</v>
      </c>
      <c r="AG316" s="107" t="s">
        <v>432</v>
      </c>
      <c r="AH316" s="107" t="s">
        <v>432</v>
      </c>
      <c r="AI316" s="107" t="s">
        <v>432</v>
      </c>
      <c r="AJ316" s="107" t="s">
        <v>432</v>
      </c>
      <c r="AK316" s="107" t="s">
        <v>432</v>
      </c>
      <c r="AL316" s="600" t="s">
        <v>432</v>
      </c>
      <c r="AM316" s="137" t="s">
        <v>432</v>
      </c>
      <c r="AN316" s="137" t="s">
        <v>432</v>
      </c>
      <c r="AO316" s="137" t="s">
        <v>432</v>
      </c>
      <c r="AP316" s="137" t="s">
        <v>432</v>
      </c>
      <c r="AQ316" s="137" t="s">
        <v>432</v>
      </c>
      <c r="AR316" s="137" t="s">
        <v>432</v>
      </c>
      <c r="AS316" s="137" t="s">
        <v>432</v>
      </c>
      <c r="AT316" s="137" t="s">
        <v>432</v>
      </c>
      <c r="AU316" s="137" t="s">
        <v>432</v>
      </c>
      <c r="AV316" s="137" t="s">
        <v>432</v>
      </c>
      <c r="AW316" s="137" t="s">
        <v>432</v>
      </c>
      <c r="AX316" s="137" t="s">
        <v>432</v>
      </c>
      <c r="AY316" s="137" t="s">
        <v>432</v>
      </c>
      <c r="AZ316" s="137" t="s">
        <v>432</v>
      </c>
      <c r="BA316" s="137" t="s">
        <v>432</v>
      </c>
      <c r="BB316" s="239" t="str">
        <f t="shared" si="69"/>
        <v>Outras cidades/regiõesacessibilidade</v>
      </c>
      <c r="BC316" s="239" t="str">
        <f t="shared" si="70"/>
        <v>Outras cidades/regiõesacessibilidadesigla/verbete</v>
      </c>
      <c r="BD316" s="239" t="str">
        <f t="shared" si="71"/>
        <v>Outras cidades/regiõessigla/verbete</v>
      </c>
    </row>
    <row r="317" spans="1:56" s="3" customFormat="1" ht="31.5" x14ac:dyDescent="0.25">
      <c r="A317" s="262" t="str">
        <f>'Q100b-totais'!B34</f>
        <v>3.9</v>
      </c>
      <c r="B317" s="252" t="str">
        <f>'Q100b-totais'!C34</f>
        <v>Verbetes gerais</v>
      </c>
      <c r="C317" s="167" t="s">
        <v>743</v>
      </c>
      <c r="D317" s="947" t="s">
        <v>3057</v>
      </c>
      <c r="E317" s="1445" t="s">
        <v>3023</v>
      </c>
      <c r="F317" s="59" t="s">
        <v>4529</v>
      </c>
      <c r="G317" s="230" t="s">
        <v>3507</v>
      </c>
      <c r="H317" s="167" t="s">
        <v>2408</v>
      </c>
      <c r="I317" s="167" t="s">
        <v>432</v>
      </c>
      <c r="J317" s="107" t="s">
        <v>432</v>
      </c>
      <c r="K317" s="107" t="s">
        <v>432</v>
      </c>
      <c r="L317" s="107" t="s">
        <v>432</v>
      </c>
      <c r="M317" s="107" t="s">
        <v>432</v>
      </c>
      <c r="N317" s="107" t="s">
        <v>432</v>
      </c>
      <c r="O317" s="107" t="s">
        <v>432</v>
      </c>
      <c r="P317" s="107" t="s">
        <v>432</v>
      </c>
      <c r="Q317" s="107" t="s">
        <v>432</v>
      </c>
      <c r="R317" s="107" t="s">
        <v>432</v>
      </c>
      <c r="S317" s="109" t="s">
        <v>2209</v>
      </c>
      <c r="T317" s="107" t="s">
        <v>432</v>
      </c>
      <c r="U317" s="107" t="s">
        <v>432</v>
      </c>
      <c r="V317" s="109" t="s">
        <v>2209</v>
      </c>
      <c r="W317" s="107" t="s">
        <v>432</v>
      </c>
      <c r="X317" s="107" t="s">
        <v>432</v>
      </c>
      <c r="Y317" s="107" t="s">
        <v>432</v>
      </c>
      <c r="Z317" s="107" t="s">
        <v>432</v>
      </c>
      <c r="AA317" s="107" t="s">
        <v>432</v>
      </c>
      <c r="AB317" s="107" t="s">
        <v>432</v>
      </c>
      <c r="AC317" s="107" t="s">
        <v>432</v>
      </c>
      <c r="AD317" s="107" t="s">
        <v>432</v>
      </c>
      <c r="AE317" s="107" t="s">
        <v>432</v>
      </c>
      <c r="AF317" s="107" t="s">
        <v>432</v>
      </c>
      <c r="AG317" s="107" t="s">
        <v>432</v>
      </c>
      <c r="AH317" s="107" t="s">
        <v>432</v>
      </c>
      <c r="AI317" s="107" t="s">
        <v>432</v>
      </c>
      <c r="AJ317" s="107" t="s">
        <v>432</v>
      </c>
      <c r="AK317" s="107" t="s">
        <v>432</v>
      </c>
      <c r="AL317" s="600" t="s">
        <v>432</v>
      </c>
      <c r="AM317" s="137" t="s">
        <v>432</v>
      </c>
      <c r="AN317" s="137" t="s">
        <v>432</v>
      </c>
      <c r="AO317" s="137" t="s">
        <v>432</v>
      </c>
      <c r="AP317" s="137" t="s">
        <v>432</v>
      </c>
      <c r="AQ317" s="137" t="s">
        <v>432</v>
      </c>
      <c r="AR317" s="137" t="s">
        <v>432</v>
      </c>
      <c r="AS317" s="137" t="s">
        <v>432</v>
      </c>
      <c r="AT317" s="137" t="s">
        <v>432</v>
      </c>
      <c r="AU317" s="137" t="s">
        <v>432</v>
      </c>
      <c r="AV317" s="137" t="s">
        <v>432</v>
      </c>
      <c r="AW317" s="137" t="s">
        <v>432</v>
      </c>
      <c r="AX317" s="137" t="s">
        <v>432</v>
      </c>
      <c r="AY317" s="137" t="s">
        <v>432</v>
      </c>
      <c r="AZ317" s="137" t="s">
        <v>432</v>
      </c>
      <c r="BA317" s="137" t="s">
        <v>432</v>
      </c>
      <c r="BB317" s="239" t="str">
        <f t="shared" si="69"/>
        <v>Verbetes geraisacessibilidade</v>
      </c>
      <c r="BC317" s="239" t="str">
        <f t="shared" si="70"/>
        <v>Verbetes geraisacessibilidadesigla/verbete</v>
      </c>
      <c r="BD317" s="239" t="str">
        <f t="shared" si="71"/>
        <v>Verbetes geraissigla/verbete</v>
      </c>
    </row>
    <row r="318" spans="1:56" s="3" customFormat="1" ht="31.5" x14ac:dyDescent="0.25">
      <c r="A318" s="262" t="str">
        <f>'Q100b-totais'!B34</f>
        <v>3.9</v>
      </c>
      <c r="B318" s="252" t="str">
        <f>'Q100b-totais'!C34</f>
        <v>Verbetes gerais</v>
      </c>
      <c r="C318" s="167" t="s">
        <v>743</v>
      </c>
      <c r="D318" s="947" t="s">
        <v>3054</v>
      </c>
      <c r="E318" s="1445" t="s">
        <v>3023</v>
      </c>
      <c r="F318" s="59" t="s">
        <v>4530</v>
      </c>
      <c r="G318" s="230" t="s">
        <v>3507</v>
      </c>
      <c r="H318" s="167" t="s">
        <v>2408</v>
      </c>
      <c r="I318" s="167" t="s">
        <v>432</v>
      </c>
      <c r="J318" s="107" t="s">
        <v>432</v>
      </c>
      <c r="K318" s="107" t="s">
        <v>432</v>
      </c>
      <c r="L318" s="107" t="s">
        <v>432</v>
      </c>
      <c r="M318" s="107" t="s">
        <v>432</v>
      </c>
      <c r="N318" s="107" t="s">
        <v>432</v>
      </c>
      <c r="O318" s="107" t="s">
        <v>432</v>
      </c>
      <c r="P318" s="107" t="s">
        <v>432</v>
      </c>
      <c r="Q318" s="107" t="s">
        <v>432</v>
      </c>
      <c r="R318" s="107" t="s">
        <v>432</v>
      </c>
      <c r="S318" s="109" t="s">
        <v>2209</v>
      </c>
      <c r="T318" s="107" t="s">
        <v>432</v>
      </c>
      <c r="U318" s="107" t="s">
        <v>432</v>
      </c>
      <c r="V318" s="109" t="s">
        <v>2209</v>
      </c>
      <c r="W318" s="107" t="s">
        <v>432</v>
      </c>
      <c r="X318" s="107" t="s">
        <v>432</v>
      </c>
      <c r="Y318" s="107" t="s">
        <v>432</v>
      </c>
      <c r="Z318" s="107" t="s">
        <v>432</v>
      </c>
      <c r="AA318" s="107" t="s">
        <v>432</v>
      </c>
      <c r="AB318" s="107" t="s">
        <v>432</v>
      </c>
      <c r="AC318" s="107" t="s">
        <v>432</v>
      </c>
      <c r="AD318" s="107" t="s">
        <v>432</v>
      </c>
      <c r="AE318" s="107" t="s">
        <v>432</v>
      </c>
      <c r="AF318" s="107" t="s">
        <v>432</v>
      </c>
      <c r="AG318" s="107" t="s">
        <v>432</v>
      </c>
      <c r="AH318" s="107" t="s">
        <v>432</v>
      </c>
      <c r="AI318" s="107" t="s">
        <v>432</v>
      </c>
      <c r="AJ318" s="107" t="s">
        <v>432</v>
      </c>
      <c r="AK318" s="107" t="s">
        <v>432</v>
      </c>
      <c r="AL318" s="600" t="s">
        <v>432</v>
      </c>
      <c r="AM318" s="137" t="s">
        <v>432</v>
      </c>
      <c r="AN318" s="137" t="s">
        <v>432</v>
      </c>
      <c r="AO318" s="137" t="s">
        <v>432</v>
      </c>
      <c r="AP318" s="137" t="s">
        <v>432</v>
      </c>
      <c r="AQ318" s="137" t="s">
        <v>432</v>
      </c>
      <c r="AR318" s="137" t="s">
        <v>432</v>
      </c>
      <c r="AS318" s="137" t="s">
        <v>432</v>
      </c>
      <c r="AT318" s="137" t="s">
        <v>432</v>
      </c>
      <c r="AU318" s="137" t="s">
        <v>432</v>
      </c>
      <c r="AV318" s="137" t="s">
        <v>432</v>
      </c>
      <c r="AW318" s="137" t="s">
        <v>432</v>
      </c>
      <c r="AX318" s="137" t="s">
        <v>432</v>
      </c>
      <c r="AY318" s="137" t="s">
        <v>432</v>
      </c>
      <c r="AZ318" s="137" t="s">
        <v>432</v>
      </c>
      <c r="BA318" s="137" t="s">
        <v>432</v>
      </c>
      <c r="BB318" s="239" t="str">
        <f t="shared" si="69"/>
        <v>Verbetes geraisacessibilidade</v>
      </c>
      <c r="BC318" s="239" t="str">
        <f t="shared" si="70"/>
        <v>Verbetes geraisacessibilidadesigla/verbete</v>
      </c>
      <c r="BD318" s="239" t="str">
        <f t="shared" si="71"/>
        <v>Verbetes geraissigla/verbete</v>
      </c>
    </row>
    <row r="319" spans="1:56" s="3" customFormat="1" ht="72.75" customHeight="1" x14ac:dyDescent="0.25">
      <c r="A319" s="262" t="str">
        <f>'Q100b-totais'!B34</f>
        <v>3.9</v>
      </c>
      <c r="B319" s="252" t="str">
        <f>'Q100b-totais'!C34</f>
        <v>Verbetes gerais</v>
      </c>
      <c r="C319" s="167" t="s">
        <v>743</v>
      </c>
      <c r="D319" s="947" t="s">
        <v>3055</v>
      </c>
      <c r="E319" s="1445" t="s">
        <v>3023</v>
      </c>
      <c r="F319" s="59" t="s">
        <v>3058</v>
      </c>
      <c r="G319" s="230" t="s">
        <v>3925</v>
      </c>
      <c r="H319" s="167" t="s">
        <v>765</v>
      </c>
      <c r="I319" s="167" t="s">
        <v>432</v>
      </c>
      <c r="J319" s="107" t="s">
        <v>432</v>
      </c>
      <c r="K319" s="107" t="s">
        <v>432</v>
      </c>
      <c r="L319" s="107" t="s">
        <v>432</v>
      </c>
      <c r="M319" s="107" t="s">
        <v>432</v>
      </c>
      <c r="N319" s="107" t="s">
        <v>432</v>
      </c>
      <c r="O319" s="107" t="s">
        <v>432</v>
      </c>
      <c r="P319" s="107" t="s">
        <v>432</v>
      </c>
      <c r="Q319" s="107" t="s">
        <v>432</v>
      </c>
      <c r="R319" s="107" t="s">
        <v>432</v>
      </c>
      <c r="S319" s="109" t="s">
        <v>2209</v>
      </c>
      <c r="T319" s="107" t="s">
        <v>432</v>
      </c>
      <c r="U319" s="107" t="s">
        <v>432</v>
      </c>
      <c r="V319" s="109" t="s">
        <v>2209</v>
      </c>
      <c r="W319" s="107" t="s">
        <v>432</v>
      </c>
      <c r="X319" s="107" t="s">
        <v>432</v>
      </c>
      <c r="Y319" s="107" t="s">
        <v>432</v>
      </c>
      <c r="Z319" s="107" t="s">
        <v>432</v>
      </c>
      <c r="AA319" s="107" t="s">
        <v>432</v>
      </c>
      <c r="AB319" s="107" t="s">
        <v>432</v>
      </c>
      <c r="AC319" s="107" t="s">
        <v>432</v>
      </c>
      <c r="AD319" s="107" t="s">
        <v>432</v>
      </c>
      <c r="AE319" s="107" t="s">
        <v>432</v>
      </c>
      <c r="AF319" s="107" t="s">
        <v>432</v>
      </c>
      <c r="AG319" s="107" t="s">
        <v>432</v>
      </c>
      <c r="AH319" s="107" t="s">
        <v>432</v>
      </c>
      <c r="AI319" s="107" t="s">
        <v>432</v>
      </c>
      <c r="AJ319" s="107" t="s">
        <v>432</v>
      </c>
      <c r="AK319" s="107" t="s">
        <v>432</v>
      </c>
      <c r="AL319" s="600" t="s">
        <v>432</v>
      </c>
      <c r="AM319" s="137" t="s">
        <v>432</v>
      </c>
      <c r="AN319" s="137" t="s">
        <v>432</v>
      </c>
      <c r="AO319" s="137" t="s">
        <v>432</v>
      </c>
      <c r="AP319" s="137" t="s">
        <v>432</v>
      </c>
      <c r="AQ319" s="137" t="s">
        <v>432</v>
      </c>
      <c r="AR319" s="137" t="s">
        <v>432</v>
      </c>
      <c r="AS319" s="137" t="s">
        <v>432</v>
      </c>
      <c r="AT319" s="137" t="s">
        <v>432</v>
      </c>
      <c r="AU319" s="137" t="s">
        <v>432</v>
      </c>
      <c r="AV319" s="137" t="s">
        <v>432</v>
      </c>
      <c r="AW319" s="137" t="s">
        <v>432</v>
      </c>
      <c r="AX319" s="137" t="s">
        <v>432</v>
      </c>
      <c r="AY319" s="137" t="s">
        <v>432</v>
      </c>
      <c r="AZ319" s="137" t="s">
        <v>432</v>
      </c>
      <c r="BA319" s="137" t="s">
        <v>432</v>
      </c>
      <c r="BB319" s="239" t="str">
        <f t="shared" si="69"/>
        <v>Verbetes geraisacessibilidade</v>
      </c>
      <c r="BC319" s="239" t="str">
        <f t="shared" si="70"/>
        <v>Verbetes geraisacessibilidademeta/RPI</v>
      </c>
      <c r="BD319" s="239" t="str">
        <f t="shared" si="71"/>
        <v>Verbetes geraismeta/RPI</v>
      </c>
    </row>
    <row r="320" spans="1:56" s="3" customFormat="1" ht="36" customHeight="1" x14ac:dyDescent="0.25">
      <c r="A320" s="262" t="str">
        <f>'Q100b-totais'!B21</f>
        <v>2.6</v>
      </c>
      <c r="B320" s="252" t="str">
        <f>'Q100b-totais'!C21</f>
        <v>Cidades da RMBH</v>
      </c>
      <c r="C320" s="167" t="s">
        <v>432</v>
      </c>
      <c r="D320" s="323" t="s">
        <v>1307</v>
      </c>
      <c r="E320" s="1491" t="s">
        <v>1307</v>
      </c>
      <c r="F320" s="468" t="str">
        <f>pend!C183</f>
        <v>município da RMBH (faltando completar)</v>
      </c>
      <c r="G320" s="230" t="s">
        <v>3507</v>
      </c>
      <c r="H320" s="167" t="s">
        <v>2408</v>
      </c>
      <c r="I320" s="167" t="s">
        <v>432</v>
      </c>
      <c r="J320" s="107" t="s">
        <v>432</v>
      </c>
      <c r="K320" s="107" t="s">
        <v>432</v>
      </c>
      <c r="L320" s="107" t="s">
        <v>432</v>
      </c>
      <c r="M320" s="107" t="s">
        <v>432</v>
      </c>
      <c r="N320" s="107" t="s">
        <v>432</v>
      </c>
      <c r="O320" s="107" t="s">
        <v>432</v>
      </c>
      <c r="P320" s="107" t="s">
        <v>432</v>
      </c>
      <c r="Q320" s="107" t="s">
        <v>432</v>
      </c>
      <c r="R320" s="107" t="s">
        <v>432</v>
      </c>
      <c r="S320" s="109" t="s">
        <v>2209</v>
      </c>
      <c r="T320" s="107" t="s">
        <v>432</v>
      </c>
      <c r="U320" s="107" t="s">
        <v>432</v>
      </c>
      <c r="V320" s="109" t="s">
        <v>2209</v>
      </c>
      <c r="W320" s="107" t="s">
        <v>432</v>
      </c>
      <c r="X320" s="107" t="s">
        <v>432</v>
      </c>
      <c r="Y320" s="107" t="s">
        <v>432</v>
      </c>
      <c r="Z320" s="107" t="s">
        <v>432</v>
      </c>
      <c r="AA320" s="107" t="s">
        <v>432</v>
      </c>
      <c r="AB320" s="107" t="s">
        <v>432</v>
      </c>
      <c r="AC320" s="107" t="s">
        <v>432</v>
      </c>
      <c r="AD320" s="107" t="s">
        <v>432</v>
      </c>
      <c r="AE320" s="107" t="s">
        <v>432</v>
      </c>
      <c r="AF320" s="107" t="s">
        <v>432</v>
      </c>
      <c r="AG320" s="107" t="s">
        <v>432</v>
      </c>
      <c r="AH320" s="107" t="s">
        <v>432</v>
      </c>
      <c r="AI320" s="107" t="s">
        <v>432</v>
      </c>
      <c r="AJ320" s="107" t="s">
        <v>432</v>
      </c>
      <c r="AK320" s="137" t="s">
        <v>432</v>
      </c>
      <c r="AL320" s="600" t="s">
        <v>432</v>
      </c>
      <c r="AM320" s="137" t="s">
        <v>432</v>
      </c>
      <c r="AN320" s="137" t="s">
        <v>432</v>
      </c>
      <c r="AO320" s="137" t="s">
        <v>432</v>
      </c>
      <c r="AP320" s="137" t="s">
        <v>432</v>
      </c>
      <c r="AQ320" s="137" t="s">
        <v>432</v>
      </c>
      <c r="AR320" s="137" t="s">
        <v>432</v>
      </c>
      <c r="AS320" s="137" t="s">
        <v>432</v>
      </c>
      <c r="AT320" s="137" t="s">
        <v>432</v>
      </c>
      <c r="AU320" s="137" t="s">
        <v>432</v>
      </c>
      <c r="AV320" s="137" t="s">
        <v>432</v>
      </c>
      <c r="AW320" s="137" t="s">
        <v>432</v>
      </c>
      <c r="AX320" s="137" t="s">
        <v>432</v>
      </c>
      <c r="AY320" s="137" t="s">
        <v>432</v>
      </c>
      <c r="AZ320" s="137" t="s">
        <v>432</v>
      </c>
      <c r="BA320" s="137" t="s">
        <v>432</v>
      </c>
      <c r="BB320" s="239" t="str">
        <f t="shared" si="69"/>
        <v>Cidades da RMBHx</v>
      </c>
      <c r="BC320" s="239" t="str">
        <f t="shared" si="70"/>
        <v>Cidades da RMBHxsigla/verbete</v>
      </c>
      <c r="BD320" s="239" t="str">
        <f t="shared" si="71"/>
        <v>Cidades da RMBHsigla/verbete</v>
      </c>
    </row>
    <row r="321" spans="1:56" s="3" customFormat="1" ht="32.25" customHeight="1" x14ac:dyDescent="0.25">
      <c r="A321" s="262" t="s">
        <v>432</v>
      </c>
      <c r="B321" s="252" t="s">
        <v>742</v>
      </c>
      <c r="C321" s="167" t="s">
        <v>432</v>
      </c>
      <c r="D321" s="968" t="s">
        <v>133</v>
      </c>
      <c r="E321" s="1496" t="s">
        <v>432</v>
      </c>
      <c r="F321" s="53" t="s">
        <v>4751</v>
      </c>
      <c r="G321" s="167" t="s">
        <v>3879</v>
      </c>
      <c r="H321" s="169" t="s">
        <v>432</v>
      </c>
      <c r="I321" s="167" t="s">
        <v>432</v>
      </c>
      <c r="J321" s="107" t="s">
        <v>432</v>
      </c>
      <c r="K321" s="107" t="s">
        <v>432</v>
      </c>
      <c r="L321" s="107" t="s">
        <v>432</v>
      </c>
      <c r="M321" s="107" t="s">
        <v>432</v>
      </c>
      <c r="N321" s="107" t="s">
        <v>432</v>
      </c>
      <c r="O321" s="107" t="s">
        <v>432</v>
      </c>
      <c r="P321" s="107" t="s">
        <v>432</v>
      </c>
      <c r="Q321" s="107" t="s">
        <v>432</v>
      </c>
      <c r="R321" s="107" t="s">
        <v>432</v>
      </c>
      <c r="S321" s="109" t="s">
        <v>2209</v>
      </c>
      <c r="T321" s="107" t="s">
        <v>432</v>
      </c>
      <c r="U321" s="107" t="s">
        <v>432</v>
      </c>
      <c r="V321" s="109" t="s">
        <v>2209</v>
      </c>
      <c r="W321" s="107" t="s">
        <v>432</v>
      </c>
      <c r="X321" s="107" t="s">
        <v>432</v>
      </c>
      <c r="Y321" s="107" t="s">
        <v>432</v>
      </c>
      <c r="Z321" s="107" t="s">
        <v>432</v>
      </c>
      <c r="AA321" s="107" t="s">
        <v>432</v>
      </c>
      <c r="AB321" s="107" t="s">
        <v>432</v>
      </c>
      <c r="AC321" s="107" t="s">
        <v>432</v>
      </c>
      <c r="AD321" s="107" t="s">
        <v>432</v>
      </c>
      <c r="AE321" s="107" t="s">
        <v>432</v>
      </c>
      <c r="AF321" s="107" t="s">
        <v>432</v>
      </c>
      <c r="AG321" s="107" t="s">
        <v>432</v>
      </c>
      <c r="AH321" s="107" t="s">
        <v>432</v>
      </c>
      <c r="AI321" s="107" t="s">
        <v>432</v>
      </c>
      <c r="AJ321" s="107" t="s">
        <v>432</v>
      </c>
      <c r="AK321" s="137" t="s">
        <v>432</v>
      </c>
      <c r="AL321" s="600" t="s">
        <v>432</v>
      </c>
      <c r="AM321" s="137" t="s">
        <v>432</v>
      </c>
      <c r="AN321" s="137" t="s">
        <v>432</v>
      </c>
      <c r="AO321" s="137" t="s">
        <v>432</v>
      </c>
      <c r="AP321" s="137" t="s">
        <v>432</v>
      </c>
      <c r="AQ321" s="137" t="s">
        <v>432</v>
      </c>
      <c r="AR321" s="137" t="s">
        <v>432</v>
      </c>
      <c r="AS321" s="137" t="s">
        <v>432</v>
      </c>
      <c r="AT321" s="137" t="s">
        <v>432</v>
      </c>
      <c r="AU321" s="137" t="s">
        <v>432</v>
      </c>
      <c r="AV321" s="137" t="s">
        <v>432</v>
      </c>
      <c r="AW321" s="137" t="s">
        <v>432</v>
      </c>
      <c r="AX321" s="137" t="s">
        <v>432</v>
      </c>
      <c r="AY321" s="137" t="s">
        <v>432</v>
      </c>
      <c r="AZ321" s="137" t="s">
        <v>432</v>
      </c>
      <c r="BA321" s="137" t="s">
        <v>432</v>
      </c>
      <c r="BB321" s="239" t="str">
        <f t="shared" si="69"/>
        <v>geralx</v>
      </c>
      <c r="BC321" s="239" t="str">
        <f t="shared" si="70"/>
        <v>geralxx</v>
      </c>
      <c r="BD321" s="239" t="str">
        <f t="shared" si="71"/>
        <v>geralx</v>
      </c>
    </row>
    <row r="322" spans="1:56" s="3" customFormat="1" ht="365.25" customHeight="1" x14ac:dyDescent="0.25">
      <c r="A322" s="262" t="str">
        <f>'Q100b-totais'!B50</f>
        <v>6.2</v>
      </c>
      <c r="B322" s="252" t="str">
        <f>'Q100b-totais'!C50</f>
        <v>Sistema de bicicleta</v>
      </c>
      <c r="C322" s="1369" t="s">
        <v>432</v>
      </c>
      <c r="D322" s="968" t="s">
        <v>4749</v>
      </c>
      <c r="E322" s="1496" t="s">
        <v>1306</v>
      </c>
      <c r="F322" s="53" t="s">
        <v>4752</v>
      </c>
      <c r="G322" s="230" t="s">
        <v>4610</v>
      </c>
      <c r="H322" s="167" t="s">
        <v>2408</v>
      </c>
      <c r="I322" s="167" t="s">
        <v>432</v>
      </c>
      <c r="J322" s="107" t="s">
        <v>432</v>
      </c>
      <c r="K322" s="107" t="s">
        <v>432</v>
      </c>
      <c r="L322" s="107" t="s">
        <v>432</v>
      </c>
      <c r="M322" s="107" t="s">
        <v>432</v>
      </c>
      <c r="N322" s="107" t="s">
        <v>432</v>
      </c>
      <c r="O322" s="107" t="s">
        <v>432</v>
      </c>
      <c r="P322" s="107" t="s">
        <v>432</v>
      </c>
      <c r="Q322" s="107" t="s">
        <v>432</v>
      </c>
      <c r="R322" s="107" t="s">
        <v>432</v>
      </c>
      <c r="S322" s="109" t="s">
        <v>2209</v>
      </c>
      <c r="T322" s="107" t="s">
        <v>432</v>
      </c>
      <c r="U322" s="107" t="s">
        <v>432</v>
      </c>
      <c r="V322" s="109" t="s">
        <v>2209</v>
      </c>
      <c r="W322" s="107" t="s">
        <v>432</v>
      </c>
      <c r="X322" s="107" t="s">
        <v>432</v>
      </c>
      <c r="Y322" s="107" t="s">
        <v>432</v>
      </c>
      <c r="Z322" s="107" t="s">
        <v>432</v>
      </c>
      <c r="AA322" s="107" t="s">
        <v>432</v>
      </c>
      <c r="AB322" s="107" t="s">
        <v>432</v>
      </c>
      <c r="AC322" s="107" t="s">
        <v>432</v>
      </c>
      <c r="AD322" s="107" t="s">
        <v>432</v>
      </c>
      <c r="AE322" s="107" t="s">
        <v>432</v>
      </c>
      <c r="AF322" s="107" t="s">
        <v>432</v>
      </c>
      <c r="AG322" s="107" t="s">
        <v>432</v>
      </c>
      <c r="AH322" s="107" t="s">
        <v>432</v>
      </c>
      <c r="AI322" s="107" t="s">
        <v>432</v>
      </c>
      <c r="AJ322" s="107" t="s">
        <v>432</v>
      </c>
      <c r="AK322" s="137" t="s">
        <v>432</v>
      </c>
      <c r="AL322" s="600" t="s">
        <v>432</v>
      </c>
      <c r="AM322" s="137" t="s">
        <v>432</v>
      </c>
      <c r="AN322" s="137" t="s">
        <v>432</v>
      </c>
      <c r="AO322" s="137" t="s">
        <v>432</v>
      </c>
      <c r="AP322" s="137" t="s">
        <v>432</v>
      </c>
      <c r="AQ322" s="137" t="s">
        <v>432</v>
      </c>
      <c r="AR322" s="137" t="s">
        <v>432</v>
      </c>
      <c r="AS322" s="137" t="s">
        <v>432</v>
      </c>
      <c r="AT322" s="137" t="s">
        <v>432</v>
      </c>
      <c r="AU322" s="137" t="s">
        <v>432</v>
      </c>
      <c r="AV322" s="137" t="s">
        <v>432</v>
      </c>
      <c r="AW322" s="137" t="s">
        <v>432</v>
      </c>
      <c r="AX322" s="137" t="s">
        <v>432</v>
      </c>
      <c r="AY322" s="137" t="s">
        <v>432</v>
      </c>
      <c r="AZ322" s="137" t="s">
        <v>432</v>
      </c>
      <c r="BA322" s="137" t="s">
        <v>432</v>
      </c>
      <c r="BB322" s="239" t="str">
        <f t="shared" si="69"/>
        <v>Sistema de bicicletax</v>
      </c>
      <c r="BC322" s="239" t="str">
        <f t="shared" si="70"/>
        <v>Sistema de bicicletaxsigla/verbete</v>
      </c>
      <c r="BD322" s="239" t="str">
        <f t="shared" si="71"/>
        <v>Sistema de bicicletasigla/verbete</v>
      </c>
    </row>
    <row r="323" spans="1:56" s="3" customFormat="1" ht="52.5" customHeight="1" x14ac:dyDescent="0.25">
      <c r="A323" s="262" t="str">
        <f>'Q100b-totais'!B50</f>
        <v>6.2</v>
      </c>
      <c r="B323" s="252" t="str">
        <f>'Q100b-totais'!C50</f>
        <v>Sistema de bicicleta</v>
      </c>
      <c r="C323" s="1369" t="s">
        <v>432</v>
      </c>
      <c r="D323" s="968" t="s">
        <v>4744</v>
      </c>
      <c r="E323" s="1496" t="s">
        <v>1767</v>
      </c>
      <c r="F323" s="53" t="s">
        <v>4743</v>
      </c>
      <c r="G323" s="230" t="s">
        <v>4610</v>
      </c>
      <c r="H323" s="167" t="s">
        <v>2408</v>
      </c>
      <c r="I323" s="167" t="s">
        <v>432</v>
      </c>
      <c r="J323" s="107" t="s">
        <v>432</v>
      </c>
      <c r="K323" s="107" t="s">
        <v>432</v>
      </c>
      <c r="L323" s="107" t="s">
        <v>432</v>
      </c>
      <c r="M323" s="107" t="s">
        <v>432</v>
      </c>
      <c r="N323" s="107" t="s">
        <v>432</v>
      </c>
      <c r="O323" s="107" t="s">
        <v>432</v>
      </c>
      <c r="P323" s="107" t="s">
        <v>432</v>
      </c>
      <c r="Q323" s="107" t="s">
        <v>432</v>
      </c>
      <c r="R323" s="107" t="s">
        <v>432</v>
      </c>
      <c r="S323" s="109" t="s">
        <v>2209</v>
      </c>
      <c r="T323" s="107" t="s">
        <v>432</v>
      </c>
      <c r="U323" s="107" t="s">
        <v>432</v>
      </c>
      <c r="V323" s="109" t="s">
        <v>2209</v>
      </c>
      <c r="W323" s="107" t="s">
        <v>432</v>
      </c>
      <c r="X323" s="107" t="s">
        <v>432</v>
      </c>
      <c r="Y323" s="107" t="s">
        <v>432</v>
      </c>
      <c r="Z323" s="107" t="s">
        <v>432</v>
      </c>
      <c r="AA323" s="107" t="s">
        <v>432</v>
      </c>
      <c r="AB323" s="107" t="s">
        <v>432</v>
      </c>
      <c r="AC323" s="107" t="s">
        <v>432</v>
      </c>
      <c r="AD323" s="107" t="s">
        <v>432</v>
      </c>
      <c r="AE323" s="107" t="s">
        <v>432</v>
      </c>
      <c r="AF323" s="107" t="s">
        <v>432</v>
      </c>
      <c r="AG323" s="107" t="s">
        <v>432</v>
      </c>
      <c r="AH323" s="107" t="s">
        <v>432</v>
      </c>
      <c r="AI323" s="107" t="s">
        <v>432</v>
      </c>
      <c r="AJ323" s="107" t="s">
        <v>432</v>
      </c>
      <c r="AK323" s="137" t="s">
        <v>432</v>
      </c>
      <c r="AL323" s="600" t="s">
        <v>432</v>
      </c>
      <c r="AM323" s="137" t="s">
        <v>432</v>
      </c>
      <c r="AN323" s="137" t="s">
        <v>432</v>
      </c>
      <c r="AO323" s="137" t="s">
        <v>432</v>
      </c>
      <c r="AP323" s="137" t="s">
        <v>432</v>
      </c>
      <c r="AQ323" s="137" t="s">
        <v>432</v>
      </c>
      <c r="AR323" s="137" t="s">
        <v>432</v>
      </c>
      <c r="AS323" s="137" t="s">
        <v>432</v>
      </c>
      <c r="AT323" s="137" t="s">
        <v>432</v>
      </c>
      <c r="AU323" s="137" t="s">
        <v>432</v>
      </c>
      <c r="AV323" s="137" t="s">
        <v>432</v>
      </c>
      <c r="AW323" s="137" t="s">
        <v>432</v>
      </c>
      <c r="AX323" s="137" t="s">
        <v>432</v>
      </c>
      <c r="AY323" s="137" t="s">
        <v>432</v>
      </c>
      <c r="AZ323" s="137" t="s">
        <v>432</v>
      </c>
      <c r="BA323" s="137" t="s">
        <v>432</v>
      </c>
      <c r="BB323" s="239" t="str">
        <f t="shared" si="69"/>
        <v>Sistema de bicicletax</v>
      </c>
      <c r="BC323" s="239" t="str">
        <f t="shared" si="70"/>
        <v>Sistema de bicicletaxsigla/verbete</v>
      </c>
      <c r="BD323" s="239" t="str">
        <f t="shared" si="71"/>
        <v>Sistema de bicicletasigla/verbete</v>
      </c>
    </row>
    <row r="324" spans="1:56" s="3" customFormat="1" ht="114" customHeight="1" x14ac:dyDescent="0.25">
      <c r="A324" s="262" t="str">
        <f>'Q100b-totais'!B50</f>
        <v>6.2</v>
      </c>
      <c r="B324" s="252" t="str">
        <f>'Q100b-totais'!C50</f>
        <v>Sistema de bicicleta</v>
      </c>
      <c r="C324" s="167" t="s">
        <v>743</v>
      </c>
      <c r="D324" s="968" t="s">
        <v>2485</v>
      </c>
      <c r="E324" s="1509" t="s">
        <v>1767</v>
      </c>
      <c r="F324" s="53" t="s">
        <v>2723</v>
      </c>
      <c r="G324" s="230" t="s">
        <v>4610</v>
      </c>
      <c r="H324" s="167" t="s">
        <v>2408</v>
      </c>
      <c r="I324" s="167" t="s">
        <v>432</v>
      </c>
      <c r="J324" s="107" t="s">
        <v>432</v>
      </c>
      <c r="K324" s="107" t="s">
        <v>432</v>
      </c>
      <c r="L324" s="107" t="s">
        <v>432</v>
      </c>
      <c r="M324" s="107" t="s">
        <v>432</v>
      </c>
      <c r="N324" s="107" t="s">
        <v>432</v>
      </c>
      <c r="O324" s="107" t="s">
        <v>432</v>
      </c>
      <c r="P324" s="107" t="s">
        <v>432</v>
      </c>
      <c r="Q324" s="107" t="s">
        <v>432</v>
      </c>
      <c r="R324" s="107" t="s">
        <v>432</v>
      </c>
      <c r="S324" s="109" t="s">
        <v>2209</v>
      </c>
      <c r="T324" s="107" t="s">
        <v>432</v>
      </c>
      <c r="U324" s="107" t="s">
        <v>432</v>
      </c>
      <c r="V324" s="109" t="s">
        <v>2209</v>
      </c>
      <c r="W324" s="107" t="s">
        <v>432</v>
      </c>
      <c r="X324" s="107" t="s">
        <v>432</v>
      </c>
      <c r="Y324" s="107" t="s">
        <v>432</v>
      </c>
      <c r="Z324" s="107" t="s">
        <v>432</v>
      </c>
      <c r="AA324" s="107" t="s">
        <v>432</v>
      </c>
      <c r="AB324" s="107" t="s">
        <v>432</v>
      </c>
      <c r="AC324" s="107" t="s">
        <v>432</v>
      </c>
      <c r="AD324" s="107" t="s">
        <v>432</v>
      </c>
      <c r="AE324" s="107" t="s">
        <v>432</v>
      </c>
      <c r="AF324" s="107" t="s">
        <v>432</v>
      </c>
      <c r="AG324" s="107" t="s">
        <v>432</v>
      </c>
      <c r="AH324" s="107" t="s">
        <v>432</v>
      </c>
      <c r="AI324" s="107" t="s">
        <v>432</v>
      </c>
      <c r="AJ324" s="107" t="s">
        <v>432</v>
      </c>
      <c r="AK324" s="137" t="s">
        <v>432</v>
      </c>
      <c r="AL324" s="600" t="s">
        <v>432</v>
      </c>
      <c r="AM324" s="137" t="s">
        <v>432</v>
      </c>
      <c r="AN324" s="137" t="s">
        <v>432</v>
      </c>
      <c r="AO324" s="137" t="s">
        <v>432</v>
      </c>
      <c r="AP324" s="137" t="s">
        <v>432</v>
      </c>
      <c r="AQ324" s="137" t="s">
        <v>432</v>
      </c>
      <c r="AR324" s="137" t="s">
        <v>432</v>
      </c>
      <c r="AS324" s="137" t="s">
        <v>432</v>
      </c>
      <c r="AT324" s="137" t="s">
        <v>432</v>
      </c>
      <c r="AU324" s="137" t="s">
        <v>432</v>
      </c>
      <c r="AV324" s="137" t="s">
        <v>432</v>
      </c>
      <c r="AW324" s="137" t="s">
        <v>432</v>
      </c>
      <c r="AX324" s="137" t="s">
        <v>432</v>
      </c>
      <c r="AY324" s="137" t="s">
        <v>432</v>
      </c>
      <c r="AZ324" s="137" t="s">
        <v>432</v>
      </c>
      <c r="BA324" s="137" t="s">
        <v>432</v>
      </c>
      <c r="BB324" s="239" t="str">
        <f t="shared" si="69"/>
        <v>Sistema de bicicletaacessibilidade</v>
      </c>
      <c r="BC324" s="239" t="str">
        <f t="shared" si="70"/>
        <v>Sistema de bicicletaacessibilidadesigla/verbete</v>
      </c>
      <c r="BD324" s="239" t="str">
        <f t="shared" si="71"/>
        <v>Sistema de bicicletasigla/verbete</v>
      </c>
    </row>
    <row r="325" spans="1:56" s="3" customFormat="1" ht="144" customHeight="1" x14ac:dyDescent="0.25">
      <c r="A325" s="275" t="str">
        <f>'Q100b-totais'!$B$50</f>
        <v>6.2</v>
      </c>
      <c r="B325" s="1205" t="str">
        <f>'Q100b-totais'!$C$50</f>
        <v>Sistema de bicicleta</v>
      </c>
      <c r="C325" s="1369" t="s">
        <v>432</v>
      </c>
      <c r="D325" s="324" t="s">
        <v>996</v>
      </c>
      <c r="E325" s="1509" t="s">
        <v>1767</v>
      </c>
      <c r="F325" s="53" t="s">
        <v>4771</v>
      </c>
      <c r="G325" s="230" t="s">
        <v>4610</v>
      </c>
      <c r="H325" s="167" t="s">
        <v>2408</v>
      </c>
      <c r="I325" s="167" t="s">
        <v>432</v>
      </c>
      <c r="J325" s="107" t="s">
        <v>432</v>
      </c>
      <c r="K325" s="107" t="s">
        <v>432</v>
      </c>
      <c r="L325" s="107" t="s">
        <v>432</v>
      </c>
      <c r="M325" s="107" t="s">
        <v>432</v>
      </c>
      <c r="N325" s="107" t="s">
        <v>432</v>
      </c>
      <c r="O325" s="107" t="s">
        <v>432</v>
      </c>
      <c r="P325" s="107" t="s">
        <v>432</v>
      </c>
      <c r="Q325" s="107" t="s">
        <v>432</v>
      </c>
      <c r="R325" s="107" t="s">
        <v>432</v>
      </c>
      <c r="S325" s="109" t="s">
        <v>2209</v>
      </c>
      <c r="T325" s="107" t="s">
        <v>432</v>
      </c>
      <c r="U325" s="107" t="s">
        <v>432</v>
      </c>
      <c r="V325" s="109" t="s">
        <v>2209</v>
      </c>
      <c r="W325" s="107" t="s">
        <v>432</v>
      </c>
      <c r="X325" s="107" t="s">
        <v>432</v>
      </c>
      <c r="Y325" s="107" t="s">
        <v>432</v>
      </c>
      <c r="Z325" s="107" t="s">
        <v>432</v>
      </c>
      <c r="AA325" s="107" t="s">
        <v>432</v>
      </c>
      <c r="AB325" s="107" t="s">
        <v>432</v>
      </c>
      <c r="AC325" s="107" t="s">
        <v>432</v>
      </c>
      <c r="AD325" s="107" t="s">
        <v>432</v>
      </c>
      <c r="AE325" s="107" t="s">
        <v>432</v>
      </c>
      <c r="AF325" s="107" t="s">
        <v>432</v>
      </c>
      <c r="AG325" s="107" t="s">
        <v>432</v>
      </c>
      <c r="AH325" s="107" t="s">
        <v>432</v>
      </c>
      <c r="AI325" s="107" t="s">
        <v>432</v>
      </c>
      <c r="AJ325" s="107" t="s">
        <v>432</v>
      </c>
      <c r="AK325" s="137" t="s">
        <v>432</v>
      </c>
      <c r="AL325" s="600" t="s">
        <v>432</v>
      </c>
      <c r="AM325" s="137" t="s">
        <v>432</v>
      </c>
      <c r="AN325" s="137" t="s">
        <v>432</v>
      </c>
      <c r="AO325" s="137" t="s">
        <v>432</v>
      </c>
      <c r="AP325" s="137" t="s">
        <v>432</v>
      </c>
      <c r="AQ325" s="137" t="s">
        <v>432</v>
      </c>
      <c r="AR325" s="137" t="s">
        <v>432</v>
      </c>
      <c r="AS325" s="137" t="s">
        <v>432</v>
      </c>
      <c r="AT325" s="137" t="s">
        <v>432</v>
      </c>
      <c r="AU325" s="137" t="s">
        <v>432</v>
      </c>
      <c r="AV325" s="137" t="s">
        <v>432</v>
      </c>
      <c r="AW325" s="137" t="s">
        <v>432</v>
      </c>
      <c r="AX325" s="137" t="s">
        <v>432</v>
      </c>
      <c r="AY325" s="137" t="s">
        <v>432</v>
      </c>
      <c r="AZ325" s="137" t="s">
        <v>432</v>
      </c>
      <c r="BA325" s="137" t="s">
        <v>432</v>
      </c>
      <c r="BB325" s="239" t="str">
        <f t="shared" si="69"/>
        <v>Sistema de bicicletax</v>
      </c>
      <c r="BC325" s="239" t="str">
        <f t="shared" si="70"/>
        <v>Sistema de bicicletaxsigla/verbete</v>
      </c>
      <c r="BD325" s="239" t="str">
        <f t="shared" si="71"/>
        <v>Sistema de bicicletasigla/verbete</v>
      </c>
    </row>
    <row r="326" spans="1:56" s="3" customFormat="1" ht="38.25" x14ac:dyDescent="0.25">
      <c r="A326" s="262" t="str">
        <f>'Q100b-totais'!B22</f>
        <v>2.7</v>
      </c>
      <c r="B326" s="252" t="str">
        <f>'Q100b-totais'!C22</f>
        <v>Outras cidades/regiões</v>
      </c>
      <c r="C326" s="167" t="s">
        <v>743</v>
      </c>
      <c r="D326" s="1323" t="s">
        <v>3041</v>
      </c>
      <c r="E326" s="1499" t="s">
        <v>3041</v>
      </c>
      <c r="F326" s="1327" t="s">
        <v>4223</v>
      </c>
      <c r="G326" s="230" t="s">
        <v>3507</v>
      </c>
      <c r="H326" s="167" t="s">
        <v>2408</v>
      </c>
      <c r="I326" s="167" t="s">
        <v>432</v>
      </c>
      <c r="J326" s="107" t="s">
        <v>432</v>
      </c>
      <c r="K326" s="107" t="s">
        <v>432</v>
      </c>
      <c r="L326" s="107" t="s">
        <v>432</v>
      </c>
      <c r="M326" s="107" t="s">
        <v>432</v>
      </c>
      <c r="N326" s="107" t="s">
        <v>432</v>
      </c>
      <c r="O326" s="107" t="s">
        <v>432</v>
      </c>
      <c r="P326" s="107" t="s">
        <v>432</v>
      </c>
      <c r="Q326" s="107" t="s">
        <v>432</v>
      </c>
      <c r="R326" s="107" t="s">
        <v>432</v>
      </c>
      <c r="S326" s="109" t="s">
        <v>2209</v>
      </c>
      <c r="T326" s="107" t="s">
        <v>432</v>
      </c>
      <c r="U326" s="107" t="s">
        <v>432</v>
      </c>
      <c r="V326" s="109" t="s">
        <v>2209</v>
      </c>
      <c r="W326" s="107" t="s">
        <v>432</v>
      </c>
      <c r="X326" s="107" t="s">
        <v>432</v>
      </c>
      <c r="Y326" s="107" t="s">
        <v>432</v>
      </c>
      <c r="Z326" s="107" t="s">
        <v>432</v>
      </c>
      <c r="AA326" s="107" t="s">
        <v>432</v>
      </c>
      <c r="AB326" s="107" t="s">
        <v>432</v>
      </c>
      <c r="AC326" s="107" t="s">
        <v>432</v>
      </c>
      <c r="AD326" s="107" t="s">
        <v>432</v>
      </c>
      <c r="AE326" s="107" t="s">
        <v>432</v>
      </c>
      <c r="AF326" s="107" t="s">
        <v>432</v>
      </c>
      <c r="AG326" s="107" t="s">
        <v>432</v>
      </c>
      <c r="AH326" s="107" t="s">
        <v>432</v>
      </c>
      <c r="AI326" s="107" t="s">
        <v>432</v>
      </c>
      <c r="AJ326" s="107" t="s">
        <v>432</v>
      </c>
      <c r="AK326" s="107" t="s">
        <v>432</v>
      </c>
      <c r="AL326" s="600" t="s">
        <v>432</v>
      </c>
      <c r="AM326" s="137" t="s">
        <v>432</v>
      </c>
      <c r="AN326" s="137" t="s">
        <v>432</v>
      </c>
      <c r="AO326" s="137" t="s">
        <v>432</v>
      </c>
      <c r="AP326" s="137" t="s">
        <v>432</v>
      </c>
      <c r="AQ326" s="137" t="s">
        <v>432</v>
      </c>
      <c r="AR326" s="137" t="s">
        <v>432</v>
      </c>
      <c r="AS326" s="137" t="s">
        <v>432</v>
      </c>
      <c r="AT326" s="137" t="s">
        <v>432</v>
      </c>
      <c r="AU326" s="137" t="s">
        <v>432</v>
      </c>
      <c r="AV326" s="137" t="s">
        <v>432</v>
      </c>
      <c r="AW326" s="137" t="s">
        <v>432</v>
      </c>
      <c r="AX326" s="137" t="s">
        <v>432</v>
      </c>
      <c r="AY326" s="137" t="s">
        <v>432</v>
      </c>
      <c r="AZ326" s="137" t="s">
        <v>432</v>
      </c>
      <c r="BA326" s="137" t="s">
        <v>432</v>
      </c>
      <c r="BB326" s="239" t="str">
        <f t="shared" si="69"/>
        <v>Outras cidades/regiõesacessibilidade</v>
      </c>
      <c r="BC326" s="239" t="str">
        <f t="shared" si="70"/>
        <v>Outras cidades/regiõesacessibilidadesigla/verbete</v>
      </c>
      <c r="BD326" s="239" t="str">
        <f t="shared" si="71"/>
        <v>Outras cidades/regiõessigla/verbete</v>
      </c>
    </row>
    <row r="327" spans="1:56" s="3" customFormat="1" ht="77.25" customHeight="1" x14ac:dyDescent="0.25">
      <c r="A327" s="262" t="s">
        <v>432</v>
      </c>
      <c r="B327" s="252" t="s">
        <v>742</v>
      </c>
      <c r="C327" s="167" t="s">
        <v>743</v>
      </c>
      <c r="D327" s="716" t="s">
        <v>6006</v>
      </c>
      <c r="E327" s="1499" t="s">
        <v>1767</v>
      </c>
      <c r="F327" s="1327" t="s">
        <v>6005</v>
      </c>
      <c r="G327" s="230" t="s">
        <v>3507</v>
      </c>
      <c r="H327" s="167" t="s">
        <v>2408</v>
      </c>
      <c r="I327" s="167" t="s">
        <v>432</v>
      </c>
      <c r="J327" s="107" t="s">
        <v>432</v>
      </c>
      <c r="K327" s="107" t="s">
        <v>432</v>
      </c>
      <c r="L327" s="107" t="s">
        <v>432</v>
      </c>
      <c r="M327" s="107" t="s">
        <v>432</v>
      </c>
      <c r="N327" s="107" t="s">
        <v>432</v>
      </c>
      <c r="O327" s="107" t="s">
        <v>432</v>
      </c>
      <c r="P327" s="107" t="s">
        <v>432</v>
      </c>
      <c r="Q327" s="107" t="s">
        <v>432</v>
      </c>
      <c r="R327" s="107" t="s">
        <v>432</v>
      </c>
      <c r="S327" s="109" t="s">
        <v>2209</v>
      </c>
      <c r="T327" s="107" t="s">
        <v>432</v>
      </c>
      <c r="U327" s="107" t="s">
        <v>432</v>
      </c>
      <c r="V327" s="109" t="s">
        <v>2209</v>
      </c>
      <c r="W327" s="107" t="s">
        <v>432</v>
      </c>
      <c r="X327" s="107" t="s">
        <v>432</v>
      </c>
      <c r="Y327" s="107" t="s">
        <v>432</v>
      </c>
      <c r="Z327" s="107" t="s">
        <v>432</v>
      </c>
      <c r="AA327" s="107" t="s">
        <v>432</v>
      </c>
      <c r="AB327" s="107" t="s">
        <v>432</v>
      </c>
      <c r="AC327" s="107" t="s">
        <v>432</v>
      </c>
      <c r="AD327" s="107" t="s">
        <v>432</v>
      </c>
      <c r="AE327" s="107" t="s">
        <v>432</v>
      </c>
      <c r="AF327" s="107" t="s">
        <v>432</v>
      </c>
      <c r="AG327" s="107" t="s">
        <v>432</v>
      </c>
      <c r="AH327" s="107" t="s">
        <v>432</v>
      </c>
      <c r="AI327" s="107" t="s">
        <v>432</v>
      </c>
      <c r="AJ327" s="107" t="s">
        <v>432</v>
      </c>
      <c r="AK327" s="107" t="s">
        <v>432</v>
      </c>
      <c r="AL327" s="600" t="s">
        <v>432</v>
      </c>
      <c r="AM327" s="137" t="s">
        <v>432</v>
      </c>
      <c r="AN327" s="137" t="s">
        <v>432</v>
      </c>
      <c r="AO327" s="137" t="s">
        <v>432</v>
      </c>
      <c r="AP327" s="137" t="s">
        <v>432</v>
      </c>
      <c r="AQ327" s="137" t="s">
        <v>432</v>
      </c>
      <c r="AR327" s="137" t="s">
        <v>432</v>
      </c>
      <c r="AS327" s="137" t="s">
        <v>432</v>
      </c>
      <c r="AT327" s="137" t="s">
        <v>432</v>
      </c>
      <c r="AU327" s="137" t="s">
        <v>432</v>
      </c>
      <c r="AV327" s="137" t="s">
        <v>432</v>
      </c>
      <c r="AW327" s="137" t="s">
        <v>432</v>
      </c>
      <c r="AX327" s="137" t="s">
        <v>432</v>
      </c>
      <c r="AY327" s="137" t="s">
        <v>432</v>
      </c>
      <c r="AZ327" s="137" t="s">
        <v>432</v>
      </c>
      <c r="BA327" s="137" t="s">
        <v>432</v>
      </c>
      <c r="BB327" s="239" t="str">
        <f t="shared" si="69"/>
        <v>geralacessibilidade</v>
      </c>
      <c r="BC327" s="239" t="str">
        <f t="shared" si="70"/>
        <v>geralacessibilidadesigla/verbete</v>
      </c>
      <c r="BD327" s="239" t="str">
        <f t="shared" si="71"/>
        <v>geralsigla/verbete</v>
      </c>
    </row>
    <row r="328" spans="1:56" s="3" customFormat="1" ht="31.5" x14ac:dyDescent="0.25">
      <c r="A328" s="262" t="str">
        <f>'Q100b-totais'!B54</f>
        <v>8.2</v>
      </c>
      <c r="B328" s="252" t="str">
        <f>'Q100b-totais'!C54</f>
        <v>BRT</v>
      </c>
      <c r="C328" s="167" t="s">
        <v>743</v>
      </c>
      <c r="D328" s="716" t="s">
        <v>6006</v>
      </c>
      <c r="E328" s="1499" t="s">
        <v>1306</v>
      </c>
      <c r="F328" s="1327" t="s">
        <v>6007</v>
      </c>
      <c r="G328" s="230" t="s">
        <v>3507</v>
      </c>
      <c r="H328" s="167" t="s">
        <v>2408</v>
      </c>
      <c r="I328" s="167" t="s">
        <v>432</v>
      </c>
      <c r="J328" s="107" t="s">
        <v>432</v>
      </c>
      <c r="K328" s="107" t="s">
        <v>432</v>
      </c>
      <c r="L328" s="107" t="s">
        <v>432</v>
      </c>
      <c r="M328" s="107" t="s">
        <v>432</v>
      </c>
      <c r="N328" s="107" t="s">
        <v>432</v>
      </c>
      <c r="O328" s="107" t="s">
        <v>432</v>
      </c>
      <c r="P328" s="107" t="s">
        <v>432</v>
      </c>
      <c r="Q328" s="107" t="s">
        <v>432</v>
      </c>
      <c r="R328" s="107" t="s">
        <v>432</v>
      </c>
      <c r="S328" s="109" t="s">
        <v>2209</v>
      </c>
      <c r="T328" s="107" t="s">
        <v>432</v>
      </c>
      <c r="U328" s="107" t="s">
        <v>432</v>
      </c>
      <c r="V328" s="109" t="s">
        <v>2209</v>
      </c>
      <c r="W328" s="107" t="s">
        <v>432</v>
      </c>
      <c r="X328" s="107" t="s">
        <v>432</v>
      </c>
      <c r="Y328" s="107" t="s">
        <v>432</v>
      </c>
      <c r="Z328" s="107" t="s">
        <v>432</v>
      </c>
      <c r="AA328" s="107" t="s">
        <v>432</v>
      </c>
      <c r="AB328" s="107" t="s">
        <v>432</v>
      </c>
      <c r="AC328" s="107" t="s">
        <v>432</v>
      </c>
      <c r="AD328" s="107" t="s">
        <v>432</v>
      </c>
      <c r="AE328" s="107" t="s">
        <v>432</v>
      </c>
      <c r="AF328" s="107" t="s">
        <v>432</v>
      </c>
      <c r="AG328" s="107" t="s">
        <v>432</v>
      </c>
      <c r="AH328" s="107" t="s">
        <v>432</v>
      </c>
      <c r="AI328" s="107" t="s">
        <v>432</v>
      </c>
      <c r="AJ328" s="107" t="s">
        <v>432</v>
      </c>
      <c r="AK328" s="107" t="s">
        <v>432</v>
      </c>
      <c r="AL328" s="600" t="s">
        <v>432</v>
      </c>
      <c r="AM328" s="137" t="s">
        <v>432</v>
      </c>
      <c r="AN328" s="137" t="s">
        <v>432</v>
      </c>
      <c r="AO328" s="137" t="s">
        <v>432</v>
      </c>
      <c r="AP328" s="137" t="s">
        <v>432</v>
      </c>
      <c r="AQ328" s="137" t="s">
        <v>432</v>
      </c>
      <c r="AR328" s="137" t="s">
        <v>432</v>
      </c>
      <c r="AS328" s="137" t="s">
        <v>432</v>
      </c>
      <c r="AT328" s="137" t="s">
        <v>432</v>
      </c>
      <c r="AU328" s="137" t="s">
        <v>432</v>
      </c>
      <c r="AV328" s="137" t="s">
        <v>432</v>
      </c>
      <c r="AW328" s="137" t="s">
        <v>432</v>
      </c>
      <c r="AX328" s="137" t="s">
        <v>432</v>
      </c>
      <c r="AY328" s="137" t="s">
        <v>432</v>
      </c>
      <c r="AZ328" s="137" t="s">
        <v>432</v>
      </c>
      <c r="BA328" s="137" t="s">
        <v>432</v>
      </c>
      <c r="BB328" s="239" t="str">
        <f t="shared" si="69"/>
        <v>BRTacessibilidade</v>
      </c>
      <c r="BC328" s="239" t="str">
        <f t="shared" si="70"/>
        <v>BRTacessibilidadesigla/verbete</v>
      </c>
      <c r="BD328" s="239" t="str">
        <f t="shared" si="71"/>
        <v>BRTsigla/verbete</v>
      </c>
    </row>
    <row r="329" spans="1:56" s="3" customFormat="1" ht="45" customHeight="1" x14ac:dyDescent="0.25">
      <c r="A329" s="262" t="str">
        <f>'Q100b-totais'!B22</f>
        <v>2.7</v>
      </c>
      <c r="B329" s="252" t="str">
        <f>'Q100b-totais'!C22</f>
        <v>Outras cidades/regiões</v>
      </c>
      <c r="C329" s="167" t="s">
        <v>432</v>
      </c>
      <c r="D329" s="325" t="s">
        <v>1772</v>
      </c>
      <c r="E329" s="509" t="s">
        <v>1772</v>
      </c>
      <c r="F329" s="619" t="s">
        <v>4270</v>
      </c>
      <c r="G329" s="230" t="s">
        <v>3507</v>
      </c>
      <c r="H329" s="167" t="s">
        <v>2408</v>
      </c>
      <c r="I329" s="167" t="s">
        <v>432</v>
      </c>
      <c r="J329" s="107" t="s">
        <v>432</v>
      </c>
      <c r="K329" s="107" t="s">
        <v>432</v>
      </c>
      <c r="L329" s="107" t="s">
        <v>432</v>
      </c>
      <c r="M329" s="107" t="s">
        <v>432</v>
      </c>
      <c r="N329" s="107" t="s">
        <v>432</v>
      </c>
      <c r="O329" s="107" t="s">
        <v>432</v>
      </c>
      <c r="P329" s="107" t="s">
        <v>432</v>
      </c>
      <c r="Q329" s="107" t="s">
        <v>432</v>
      </c>
      <c r="R329" s="107" t="s">
        <v>432</v>
      </c>
      <c r="S329" s="109" t="s">
        <v>2209</v>
      </c>
      <c r="T329" s="107" t="s">
        <v>432</v>
      </c>
      <c r="U329" s="107" t="s">
        <v>432</v>
      </c>
      <c r="V329" s="109" t="s">
        <v>2209</v>
      </c>
      <c r="W329" s="107" t="s">
        <v>432</v>
      </c>
      <c r="X329" s="107" t="s">
        <v>432</v>
      </c>
      <c r="Y329" s="107" t="s">
        <v>432</v>
      </c>
      <c r="Z329" s="107" t="s">
        <v>432</v>
      </c>
      <c r="AA329" s="107" t="s">
        <v>432</v>
      </c>
      <c r="AB329" s="107" t="s">
        <v>432</v>
      </c>
      <c r="AC329" s="107" t="s">
        <v>432</v>
      </c>
      <c r="AD329" s="107" t="s">
        <v>432</v>
      </c>
      <c r="AE329" s="107" t="s">
        <v>432</v>
      </c>
      <c r="AF329" s="107" t="s">
        <v>432</v>
      </c>
      <c r="AG329" s="107" t="s">
        <v>432</v>
      </c>
      <c r="AH329" s="107" t="s">
        <v>432</v>
      </c>
      <c r="AI329" s="107" t="s">
        <v>432</v>
      </c>
      <c r="AJ329" s="107" t="s">
        <v>432</v>
      </c>
      <c r="AK329" s="107" t="s">
        <v>432</v>
      </c>
      <c r="AL329" s="600" t="s">
        <v>432</v>
      </c>
      <c r="AM329" s="137" t="s">
        <v>432</v>
      </c>
      <c r="AN329" s="137" t="s">
        <v>432</v>
      </c>
      <c r="AO329" s="137" t="s">
        <v>432</v>
      </c>
      <c r="AP329" s="137" t="s">
        <v>432</v>
      </c>
      <c r="AQ329" s="137" t="s">
        <v>432</v>
      </c>
      <c r="AR329" s="137" t="s">
        <v>432</v>
      </c>
      <c r="AS329" s="137" t="s">
        <v>432</v>
      </c>
      <c r="AT329" s="137" t="s">
        <v>432</v>
      </c>
      <c r="AU329" s="137" t="s">
        <v>432</v>
      </c>
      <c r="AV329" s="137" t="s">
        <v>432</v>
      </c>
      <c r="AW329" s="137" t="s">
        <v>432</v>
      </c>
      <c r="AX329" s="137" t="s">
        <v>432</v>
      </c>
      <c r="AY329" s="137" t="s">
        <v>432</v>
      </c>
      <c r="AZ329" s="137" t="s">
        <v>432</v>
      </c>
      <c r="BA329" s="137" t="s">
        <v>432</v>
      </c>
      <c r="BB329" s="239" t="str">
        <f t="shared" si="69"/>
        <v>Outras cidades/regiõesx</v>
      </c>
      <c r="BC329" s="239" t="str">
        <f t="shared" si="70"/>
        <v>Outras cidades/regiõesxsigla/verbete</v>
      </c>
      <c r="BD329" s="239" t="str">
        <f t="shared" si="71"/>
        <v>Outras cidades/regiõessigla/verbete</v>
      </c>
    </row>
    <row r="330" spans="1:56" s="3" customFormat="1" ht="51" customHeight="1" x14ac:dyDescent="0.25">
      <c r="A330" s="262" t="s">
        <v>432</v>
      </c>
      <c r="B330" s="252" t="s">
        <v>742</v>
      </c>
      <c r="C330" s="167" t="s">
        <v>743</v>
      </c>
      <c r="D330" s="325" t="s">
        <v>4267</v>
      </c>
      <c r="E330" s="509" t="s">
        <v>1772</v>
      </c>
      <c r="F330" s="619" t="s">
        <v>4269</v>
      </c>
      <c r="G330" s="230" t="s">
        <v>3507</v>
      </c>
      <c r="H330" s="167" t="s">
        <v>2408</v>
      </c>
      <c r="I330" s="167" t="s">
        <v>432</v>
      </c>
      <c r="J330" s="107" t="s">
        <v>432</v>
      </c>
      <c r="K330" s="107" t="s">
        <v>432</v>
      </c>
      <c r="L330" s="107" t="s">
        <v>432</v>
      </c>
      <c r="M330" s="107" t="s">
        <v>432</v>
      </c>
      <c r="N330" s="107" t="s">
        <v>432</v>
      </c>
      <c r="O330" s="107" t="s">
        <v>432</v>
      </c>
      <c r="P330" s="107" t="s">
        <v>432</v>
      </c>
      <c r="Q330" s="107" t="s">
        <v>432</v>
      </c>
      <c r="R330" s="107" t="s">
        <v>432</v>
      </c>
      <c r="S330" s="109" t="s">
        <v>2209</v>
      </c>
      <c r="T330" s="107" t="s">
        <v>432</v>
      </c>
      <c r="U330" s="107" t="s">
        <v>432</v>
      </c>
      <c r="V330" s="109" t="s">
        <v>2209</v>
      </c>
      <c r="W330" s="107" t="s">
        <v>432</v>
      </c>
      <c r="X330" s="107" t="s">
        <v>432</v>
      </c>
      <c r="Y330" s="107" t="s">
        <v>432</v>
      </c>
      <c r="Z330" s="107" t="s">
        <v>432</v>
      </c>
      <c r="AA330" s="107" t="s">
        <v>432</v>
      </c>
      <c r="AB330" s="107" t="s">
        <v>432</v>
      </c>
      <c r="AC330" s="107" t="s">
        <v>432</v>
      </c>
      <c r="AD330" s="107" t="s">
        <v>432</v>
      </c>
      <c r="AE330" s="107" t="s">
        <v>432</v>
      </c>
      <c r="AF330" s="107" t="s">
        <v>432</v>
      </c>
      <c r="AG330" s="107" t="s">
        <v>432</v>
      </c>
      <c r="AH330" s="107" t="s">
        <v>432</v>
      </c>
      <c r="AI330" s="107" t="s">
        <v>432</v>
      </c>
      <c r="AJ330" s="107" t="s">
        <v>432</v>
      </c>
      <c r="AK330" s="107" t="s">
        <v>432</v>
      </c>
      <c r="AL330" s="600" t="s">
        <v>432</v>
      </c>
      <c r="AM330" s="137" t="s">
        <v>432</v>
      </c>
      <c r="AN330" s="137" t="s">
        <v>432</v>
      </c>
      <c r="AO330" s="137" t="s">
        <v>432</v>
      </c>
      <c r="AP330" s="137" t="s">
        <v>432</v>
      </c>
      <c r="AQ330" s="137" t="s">
        <v>432</v>
      </c>
      <c r="AR330" s="137" t="s">
        <v>432</v>
      </c>
      <c r="AS330" s="137" t="s">
        <v>432</v>
      </c>
      <c r="AT330" s="137" t="s">
        <v>432</v>
      </c>
      <c r="AU330" s="137" t="s">
        <v>432</v>
      </c>
      <c r="AV330" s="137" t="s">
        <v>432</v>
      </c>
      <c r="AW330" s="137" t="s">
        <v>432</v>
      </c>
      <c r="AX330" s="137" t="s">
        <v>432</v>
      </c>
      <c r="AY330" s="137" t="s">
        <v>432</v>
      </c>
      <c r="AZ330" s="137" t="s">
        <v>432</v>
      </c>
      <c r="BA330" s="137" t="s">
        <v>432</v>
      </c>
      <c r="BB330" s="239" t="str">
        <f t="shared" si="69"/>
        <v>geralacessibilidade</v>
      </c>
      <c r="BC330" s="239" t="str">
        <f t="shared" si="70"/>
        <v>geralacessibilidadesigla/verbete</v>
      </c>
      <c r="BD330" s="239" t="str">
        <f t="shared" si="71"/>
        <v>geralsigla/verbete</v>
      </c>
    </row>
    <row r="331" spans="1:56" s="3" customFormat="1" ht="124.5" customHeight="1" x14ac:dyDescent="0.25">
      <c r="A331" s="262" t="str">
        <f>'Q100b-totais'!B22</f>
        <v>2.7</v>
      </c>
      <c r="B331" s="252" t="str">
        <f>'Q100b-totais'!C22</f>
        <v>Outras cidades/regiões</v>
      </c>
      <c r="C331" s="167" t="s">
        <v>743</v>
      </c>
      <c r="D331" s="325" t="s">
        <v>3017</v>
      </c>
      <c r="E331" s="1445" t="s">
        <v>3017</v>
      </c>
      <c r="F331" s="5" t="s">
        <v>4224</v>
      </c>
      <c r="G331" s="230" t="s">
        <v>3507</v>
      </c>
      <c r="H331" s="167" t="s">
        <v>2408</v>
      </c>
      <c r="I331" s="167" t="s">
        <v>432</v>
      </c>
      <c r="J331" s="107" t="s">
        <v>432</v>
      </c>
      <c r="K331" s="107" t="s">
        <v>432</v>
      </c>
      <c r="L331" s="107" t="s">
        <v>432</v>
      </c>
      <c r="M331" s="107" t="s">
        <v>432</v>
      </c>
      <c r="N331" s="107" t="s">
        <v>432</v>
      </c>
      <c r="O331" s="107" t="s">
        <v>432</v>
      </c>
      <c r="P331" s="107" t="s">
        <v>432</v>
      </c>
      <c r="Q331" s="107" t="s">
        <v>432</v>
      </c>
      <c r="R331" s="107" t="s">
        <v>432</v>
      </c>
      <c r="S331" s="109" t="s">
        <v>2209</v>
      </c>
      <c r="T331" s="107" t="s">
        <v>432</v>
      </c>
      <c r="U331" s="107" t="s">
        <v>432</v>
      </c>
      <c r="V331" s="109" t="s">
        <v>2209</v>
      </c>
      <c r="W331" s="107" t="s">
        <v>432</v>
      </c>
      <c r="X331" s="107" t="s">
        <v>432</v>
      </c>
      <c r="Y331" s="107" t="s">
        <v>432</v>
      </c>
      <c r="Z331" s="107" t="s">
        <v>432</v>
      </c>
      <c r="AA331" s="107" t="s">
        <v>432</v>
      </c>
      <c r="AB331" s="107" t="s">
        <v>432</v>
      </c>
      <c r="AC331" s="107" t="s">
        <v>432</v>
      </c>
      <c r="AD331" s="107" t="s">
        <v>432</v>
      </c>
      <c r="AE331" s="107" t="s">
        <v>432</v>
      </c>
      <c r="AF331" s="107" t="s">
        <v>432</v>
      </c>
      <c r="AG331" s="107" t="s">
        <v>432</v>
      </c>
      <c r="AH331" s="107" t="s">
        <v>432</v>
      </c>
      <c r="AI331" s="107" t="s">
        <v>432</v>
      </c>
      <c r="AJ331" s="107" t="s">
        <v>432</v>
      </c>
      <c r="AK331" s="107" t="s">
        <v>432</v>
      </c>
      <c r="AL331" s="600" t="s">
        <v>432</v>
      </c>
      <c r="AM331" s="137" t="s">
        <v>432</v>
      </c>
      <c r="AN331" s="137" t="s">
        <v>432</v>
      </c>
      <c r="AO331" s="137" t="s">
        <v>432</v>
      </c>
      <c r="AP331" s="137" t="s">
        <v>432</v>
      </c>
      <c r="AQ331" s="137" t="s">
        <v>432</v>
      </c>
      <c r="AR331" s="137" t="s">
        <v>432</v>
      </c>
      <c r="AS331" s="137" t="s">
        <v>432</v>
      </c>
      <c r="AT331" s="137" t="s">
        <v>432</v>
      </c>
      <c r="AU331" s="137" t="s">
        <v>432</v>
      </c>
      <c r="AV331" s="137" t="s">
        <v>432</v>
      </c>
      <c r="AW331" s="137" t="s">
        <v>432</v>
      </c>
      <c r="AX331" s="137" t="s">
        <v>432</v>
      </c>
      <c r="AY331" s="137" t="s">
        <v>432</v>
      </c>
      <c r="AZ331" s="137" t="s">
        <v>432</v>
      </c>
      <c r="BA331" s="137" t="s">
        <v>432</v>
      </c>
      <c r="BB331" s="239" t="str">
        <f t="shared" si="69"/>
        <v>Outras cidades/regiõesacessibilidade</v>
      </c>
      <c r="BC331" s="239" t="str">
        <f t="shared" si="70"/>
        <v>Outras cidades/regiõesacessibilidadesigla/verbete</v>
      </c>
      <c r="BD331" s="239" t="str">
        <f t="shared" si="71"/>
        <v>Outras cidades/regiõessigla/verbete</v>
      </c>
    </row>
    <row r="332" spans="1:56" s="3" customFormat="1" ht="32.25" customHeight="1" x14ac:dyDescent="0.25">
      <c r="A332" s="262" t="str">
        <f>'Q100b-totais'!B50</f>
        <v>6.2</v>
      </c>
      <c r="B332" s="252" t="str">
        <f>'Q100b-totais'!C50</f>
        <v>Sistema de bicicleta</v>
      </c>
      <c r="C332" s="167" t="s">
        <v>432</v>
      </c>
      <c r="D332" s="968" t="s">
        <v>2486</v>
      </c>
      <c r="E332" s="1509" t="s">
        <v>1767</v>
      </c>
      <c r="F332" s="53" t="s">
        <v>2487</v>
      </c>
      <c r="G332" s="167" t="s">
        <v>3719</v>
      </c>
      <c r="H332" s="167" t="s">
        <v>2408</v>
      </c>
      <c r="I332" s="167" t="s">
        <v>432</v>
      </c>
      <c r="J332" s="107" t="s">
        <v>432</v>
      </c>
      <c r="K332" s="107" t="s">
        <v>432</v>
      </c>
      <c r="L332" s="107" t="s">
        <v>432</v>
      </c>
      <c r="M332" s="107" t="s">
        <v>432</v>
      </c>
      <c r="N332" s="107" t="s">
        <v>432</v>
      </c>
      <c r="O332" s="107" t="s">
        <v>432</v>
      </c>
      <c r="P332" s="107" t="s">
        <v>432</v>
      </c>
      <c r="Q332" s="107" t="s">
        <v>432</v>
      </c>
      <c r="R332" s="107" t="s">
        <v>432</v>
      </c>
      <c r="S332" s="109" t="s">
        <v>2209</v>
      </c>
      <c r="T332" s="107" t="s">
        <v>432</v>
      </c>
      <c r="U332" s="107" t="s">
        <v>432</v>
      </c>
      <c r="V332" s="109" t="s">
        <v>2209</v>
      </c>
      <c r="W332" s="107" t="s">
        <v>432</v>
      </c>
      <c r="X332" s="107" t="s">
        <v>432</v>
      </c>
      <c r="Y332" s="107" t="s">
        <v>432</v>
      </c>
      <c r="Z332" s="107" t="s">
        <v>432</v>
      </c>
      <c r="AA332" s="107" t="s">
        <v>432</v>
      </c>
      <c r="AB332" s="107" t="s">
        <v>432</v>
      </c>
      <c r="AC332" s="107" t="s">
        <v>432</v>
      </c>
      <c r="AD332" s="107" t="s">
        <v>432</v>
      </c>
      <c r="AE332" s="107" t="s">
        <v>432</v>
      </c>
      <c r="AF332" s="107" t="s">
        <v>432</v>
      </c>
      <c r="AG332" s="107" t="s">
        <v>432</v>
      </c>
      <c r="AH332" s="107" t="s">
        <v>432</v>
      </c>
      <c r="AI332" s="107" t="s">
        <v>432</v>
      </c>
      <c r="AJ332" s="107" t="s">
        <v>432</v>
      </c>
      <c r="AK332" s="137" t="s">
        <v>432</v>
      </c>
      <c r="AL332" s="600" t="s">
        <v>432</v>
      </c>
      <c r="AM332" s="137" t="s">
        <v>432</v>
      </c>
      <c r="AN332" s="137" t="s">
        <v>432</v>
      </c>
      <c r="AO332" s="137" t="s">
        <v>432</v>
      </c>
      <c r="AP332" s="137" t="s">
        <v>432</v>
      </c>
      <c r="AQ332" s="137" t="s">
        <v>432</v>
      </c>
      <c r="AR332" s="137" t="s">
        <v>432</v>
      </c>
      <c r="AS332" s="137" t="s">
        <v>432</v>
      </c>
      <c r="AT332" s="137" t="s">
        <v>432</v>
      </c>
      <c r="AU332" s="137" t="s">
        <v>432</v>
      </c>
      <c r="AV332" s="137" t="s">
        <v>432</v>
      </c>
      <c r="AW332" s="137" t="s">
        <v>432</v>
      </c>
      <c r="AX332" s="137" t="s">
        <v>432</v>
      </c>
      <c r="AY332" s="137" t="s">
        <v>432</v>
      </c>
      <c r="AZ332" s="137" t="s">
        <v>432</v>
      </c>
      <c r="BA332" s="137" t="s">
        <v>432</v>
      </c>
      <c r="BB332" s="239" t="str">
        <f t="shared" si="69"/>
        <v>Sistema de bicicletax</v>
      </c>
      <c r="BC332" s="239" t="str">
        <f t="shared" si="70"/>
        <v>Sistema de bicicletaxsigla/verbete</v>
      </c>
      <c r="BD332" s="239" t="str">
        <f t="shared" si="71"/>
        <v>Sistema de bicicletasigla/verbete</v>
      </c>
    </row>
    <row r="333" spans="1:56" s="3" customFormat="1" x14ac:dyDescent="0.25">
      <c r="A333" s="402"/>
      <c r="B333" s="399"/>
      <c r="C333" s="399"/>
      <c r="D333" s="970"/>
      <c r="E333" s="1495"/>
      <c r="F333" s="399"/>
      <c r="G333" s="399"/>
      <c r="H333" s="399"/>
      <c r="I333" s="399"/>
      <c r="J333" s="399"/>
      <c r="K333" s="399"/>
      <c r="L333" s="399"/>
      <c r="M333" s="399"/>
      <c r="N333" s="399"/>
      <c r="O333" s="399"/>
      <c r="P333" s="399"/>
      <c r="Q333" s="399"/>
      <c r="R333" s="399"/>
      <c r="S333" s="399"/>
      <c r="T333" s="399"/>
      <c r="U333" s="399"/>
      <c r="V333" s="399"/>
      <c r="W333" s="399"/>
      <c r="X333" s="399"/>
      <c r="Y333" s="221"/>
      <c r="Z333" s="221"/>
      <c r="AA333" s="221"/>
      <c r="AB333" s="221"/>
      <c r="AC333" s="221"/>
      <c r="AD333" s="221"/>
      <c r="AE333" s="221"/>
      <c r="AF333" s="221"/>
      <c r="AG333" s="221"/>
      <c r="AH333" s="221"/>
      <c r="AI333" s="221"/>
      <c r="AJ333" s="221"/>
      <c r="AK333" s="223"/>
      <c r="AL333" s="600" t="s">
        <v>432</v>
      </c>
      <c r="AM333" s="223"/>
      <c r="AN333" s="223"/>
      <c r="AO333" s="223"/>
      <c r="AP333" s="223"/>
      <c r="AQ333" s="223"/>
      <c r="AR333" s="223"/>
      <c r="AS333" s="223"/>
      <c r="AT333" s="223"/>
      <c r="AU333" s="223"/>
      <c r="AV333" s="223"/>
      <c r="AW333" s="137" t="s">
        <v>432</v>
      </c>
      <c r="AX333" s="223"/>
      <c r="AY333" s="223"/>
      <c r="AZ333" s="223"/>
      <c r="BA333" s="223"/>
      <c r="BB333" s="400"/>
      <c r="BC333" s="400"/>
      <c r="BD333" s="400"/>
    </row>
    <row r="334" spans="1:56" s="3" customFormat="1" ht="25.5" x14ac:dyDescent="0.25">
      <c r="A334" s="275" t="str">
        <f>'Q100b-totais'!B54</f>
        <v>8.2</v>
      </c>
      <c r="B334" s="1205" t="str">
        <f>'Q100b-totais'!C54</f>
        <v>BRT</v>
      </c>
      <c r="C334" s="167" t="s">
        <v>432</v>
      </c>
      <c r="D334" s="324" t="s">
        <v>3386</v>
      </c>
      <c r="E334" s="1508" t="s">
        <v>432</v>
      </c>
      <c r="F334" s="11" t="s">
        <v>3388</v>
      </c>
      <c r="G334" s="167" t="s">
        <v>3719</v>
      </c>
      <c r="H334" s="173" t="s">
        <v>2408</v>
      </c>
      <c r="I334" s="57" t="s">
        <v>432</v>
      </c>
      <c r="J334" s="107" t="s">
        <v>432</v>
      </c>
      <c r="K334" s="107" t="s">
        <v>432</v>
      </c>
      <c r="L334" s="107" t="s">
        <v>432</v>
      </c>
      <c r="M334" s="107" t="s">
        <v>432</v>
      </c>
      <c r="N334" s="107" t="s">
        <v>432</v>
      </c>
      <c r="O334" s="107" t="s">
        <v>432</v>
      </c>
      <c r="P334" s="107" t="s">
        <v>432</v>
      </c>
      <c r="Q334" s="107" t="s">
        <v>432</v>
      </c>
      <c r="R334" s="107" t="s">
        <v>432</v>
      </c>
      <c r="S334" s="109" t="s">
        <v>2209</v>
      </c>
      <c r="T334" s="107" t="s">
        <v>432</v>
      </c>
      <c r="U334" s="107" t="s">
        <v>432</v>
      </c>
      <c r="V334" s="109" t="s">
        <v>2209</v>
      </c>
      <c r="W334" s="107" t="s">
        <v>432</v>
      </c>
      <c r="X334" s="107" t="s">
        <v>432</v>
      </c>
      <c r="Y334" s="107" t="s">
        <v>432</v>
      </c>
      <c r="Z334" s="107" t="s">
        <v>432</v>
      </c>
      <c r="AA334" s="107" t="s">
        <v>432</v>
      </c>
      <c r="AB334" s="107" t="s">
        <v>432</v>
      </c>
      <c r="AC334" s="107" t="s">
        <v>432</v>
      </c>
      <c r="AD334" s="107" t="s">
        <v>432</v>
      </c>
      <c r="AE334" s="107" t="s">
        <v>432</v>
      </c>
      <c r="AF334" s="107" t="s">
        <v>432</v>
      </c>
      <c r="AG334" s="107" t="s">
        <v>432</v>
      </c>
      <c r="AH334" s="107" t="s">
        <v>432</v>
      </c>
      <c r="AI334" s="107" t="s">
        <v>432</v>
      </c>
      <c r="AJ334" s="107" t="s">
        <v>432</v>
      </c>
      <c r="AK334" s="137" t="s">
        <v>432</v>
      </c>
      <c r="AL334" s="600" t="s">
        <v>432</v>
      </c>
      <c r="AM334" s="137" t="s">
        <v>432</v>
      </c>
      <c r="AN334" s="137" t="s">
        <v>432</v>
      </c>
      <c r="AO334" s="137" t="s">
        <v>432</v>
      </c>
      <c r="AP334" s="137" t="s">
        <v>432</v>
      </c>
      <c r="AQ334" s="137" t="s">
        <v>432</v>
      </c>
      <c r="AR334" s="137" t="s">
        <v>432</v>
      </c>
      <c r="AS334" s="137" t="s">
        <v>432</v>
      </c>
      <c r="AT334" s="137" t="s">
        <v>432</v>
      </c>
      <c r="AU334" s="137" t="s">
        <v>432</v>
      </c>
      <c r="AV334" s="137" t="s">
        <v>432</v>
      </c>
      <c r="AW334" s="137" t="s">
        <v>432</v>
      </c>
      <c r="AX334" s="137" t="s">
        <v>432</v>
      </c>
      <c r="AY334" s="137" t="s">
        <v>432</v>
      </c>
      <c r="AZ334" s="137" t="s">
        <v>432</v>
      </c>
      <c r="BA334" s="137" t="s">
        <v>432</v>
      </c>
      <c r="BB334" s="239" t="str">
        <f>B334&amp;C334</f>
        <v>BRTx</v>
      </c>
      <c r="BC334" s="239" t="str">
        <f>B334&amp;C334&amp;H334</f>
        <v>BRTxsigla/verbete</v>
      </c>
      <c r="BD334" s="239" t="str">
        <f>B334&amp;H334</f>
        <v>BRTsigla/verbete</v>
      </c>
    </row>
    <row r="335" spans="1:56" s="1" customFormat="1" ht="73.5" customHeight="1" x14ac:dyDescent="0.25">
      <c r="A335" s="275" t="str">
        <f>'Q100b-totais'!B54</f>
        <v>8.2</v>
      </c>
      <c r="B335" s="1205" t="str">
        <f>'Q100b-totais'!C54</f>
        <v>BRT</v>
      </c>
      <c r="C335" s="167" t="s">
        <v>432</v>
      </c>
      <c r="D335" s="324" t="s">
        <v>3386</v>
      </c>
      <c r="E335" s="1508" t="s">
        <v>2017</v>
      </c>
      <c r="F335" s="11" t="s">
        <v>3387</v>
      </c>
      <c r="G335" s="230" t="s">
        <v>3507</v>
      </c>
      <c r="H335" s="167" t="s">
        <v>2408</v>
      </c>
      <c r="I335" s="167" t="s">
        <v>432</v>
      </c>
      <c r="J335" s="107" t="s">
        <v>432</v>
      </c>
      <c r="K335" s="107" t="s">
        <v>432</v>
      </c>
      <c r="L335" s="107" t="s">
        <v>432</v>
      </c>
      <c r="M335" s="107" t="s">
        <v>432</v>
      </c>
      <c r="N335" s="107" t="s">
        <v>432</v>
      </c>
      <c r="O335" s="107" t="s">
        <v>432</v>
      </c>
      <c r="P335" s="107" t="s">
        <v>432</v>
      </c>
      <c r="Q335" s="107" t="s">
        <v>432</v>
      </c>
      <c r="R335" s="107" t="s">
        <v>432</v>
      </c>
      <c r="S335" s="109" t="s">
        <v>2209</v>
      </c>
      <c r="T335" s="107" t="s">
        <v>432</v>
      </c>
      <c r="U335" s="107" t="s">
        <v>432</v>
      </c>
      <c r="V335" s="109" t="s">
        <v>2209</v>
      </c>
      <c r="W335" s="107" t="s">
        <v>432</v>
      </c>
      <c r="X335" s="107" t="s">
        <v>432</v>
      </c>
      <c r="Y335" s="107" t="s">
        <v>432</v>
      </c>
      <c r="Z335" s="107" t="s">
        <v>432</v>
      </c>
      <c r="AA335" s="107" t="s">
        <v>432</v>
      </c>
      <c r="AB335" s="107" t="s">
        <v>432</v>
      </c>
      <c r="AC335" s="107" t="s">
        <v>432</v>
      </c>
      <c r="AD335" s="107" t="s">
        <v>432</v>
      </c>
      <c r="AE335" s="107" t="s">
        <v>432</v>
      </c>
      <c r="AF335" s="107" t="s">
        <v>432</v>
      </c>
      <c r="AG335" s="107" t="s">
        <v>432</v>
      </c>
      <c r="AH335" s="107" t="s">
        <v>432</v>
      </c>
      <c r="AI335" s="107" t="s">
        <v>432</v>
      </c>
      <c r="AJ335" s="107" t="s">
        <v>432</v>
      </c>
      <c r="AK335" s="137" t="s">
        <v>432</v>
      </c>
      <c r="AL335" s="600" t="s">
        <v>432</v>
      </c>
      <c r="AM335" s="137" t="s">
        <v>432</v>
      </c>
      <c r="AN335" s="137" t="s">
        <v>432</v>
      </c>
      <c r="AO335" s="137" t="s">
        <v>432</v>
      </c>
      <c r="AP335" s="137" t="s">
        <v>432</v>
      </c>
      <c r="AQ335" s="137" t="s">
        <v>432</v>
      </c>
      <c r="AR335" s="137" t="s">
        <v>432</v>
      </c>
      <c r="AS335" s="137" t="s">
        <v>432</v>
      </c>
      <c r="AT335" s="137" t="s">
        <v>432</v>
      </c>
      <c r="AU335" s="137" t="s">
        <v>432</v>
      </c>
      <c r="AV335" s="137" t="s">
        <v>432</v>
      </c>
      <c r="AW335" s="137" t="s">
        <v>432</v>
      </c>
      <c r="AX335" s="137" t="s">
        <v>432</v>
      </c>
      <c r="AY335" s="137" t="s">
        <v>432</v>
      </c>
      <c r="AZ335" s="137" t="s">
        <v>432</v>
      </c>
      <c r="BA335" s="137" t="s">
        <v>432</v>
      </c>
      <c r="BB335" s="239" t="str">
        <f>B335&amp;C335</f>
        <v>BRTx</v>
      </c>
      <c r="BC335" s="239" t="str">
        <f>B335&amp;C335&amp;H335</f>
        <v>BRTxsigla/verbete</v>
      </c>
      <c r="BD335" s="239" t="str">
        <f>B335&amp;H335</f>
        <v>BRTsigla/verbete</v>
      </c>
    </row>
    <row r="336" spans="1:56" s="1" customFormat="1" ht="73.5" customHeight="1" x14ac:dyDescent="0.25">
      <c r="A336" s="275" t="str">
        <f>'Q100b-totais'!B54</f>
        <v>8.2</v>
      </c>
      <c r="B336" s="1205" t="str">
        <f>'Q100b-totais'!C54</f>
        <v>BRT</v>
      </c>
      <c r="C336" s="167" t="s">
        <v>432</v>
      </c>
      <c r="D336" s="324" t="s">
        <v>3386</v>
      </c>
      <c r="E336" s="1508" t="s">
        <v>1283</v>
      </c>
      <c r="F336" s="11" t="s">
        <v>3389</v>
      </c>
      <c r="G336" s="230" t="s">
        <v>3507</v>
      </c>
      <c r="H336" s="167" t="s">
        <v>2408</v>
      </c>
      <c r="I336" s="167" t="s">
        <v>432</v>
      </c>
      <c r="J336" s="107" t="s">
        <v>432</v>
      </c>
      <c r="K336" s="107" t="s">
        <v>432</v>
      </c>
      <c r="L336" s="107" t="s">
        <v>432</v>
      </c>
      <c r="M336" s="107" t="s">
        <v>432</v>
      </c>
      <c r="N336" s="107" t="s">
        <v>432</v>
      </c>
      <c r="O336" s="107" t="s">
        <v>432</v>
      </c>
      <c r="P336" s="107" t="s">
        <v>432</v>
      </c>
      <c r="Q336" s="107" t="s">
        <v>432</v>
      </c>
      <c r="R336" s="107" t="s">
        <v>432</v>
      </c>
      <c r="S336" s="109" t="s">
        <v>2209</v>
      </c>
      <c r="T336" s="107" t="s">
        <v>432</v>
      </c>
      <c r="U336" s="107" t="s">
        <v>432</v>
      </c>
      <c r="V336" s="109" t="s">
        <v>2209</v>
      </c>
      <c r="W336" s="107" t="s">
        <v>432</v>
      </c>
      <c r="X336" s="107" t="s">
        <v>432</v>
      </c>
      <c r="Y336" s="107" t="s">
        <v>432</v>
      </c>
      <c r="Z336" s="107" t="s">
        <v>432</v>
      </c>
      <c r="AA336" s="107" t="s">
        <v>432</v>
      </c>
      <c r="AB336" s="107" t="s">
        <v>432</v>
      </c>
      <c r="AC336" s="107" t="s">
        <v>432</v>
      </c>
      <c r="AD336" s="107" t="s">
        <v>432</v>
      </c>
      <c r="AE336" s="107" t="s">
        <v>432</v>
      </c>
      <c r="AF336" s="107" t="s">
        <v>432</v>
      </c>
      <c r="AG336" s="107" t="s">
        <v>432</v>
      </c>
      <c r="AH336" s="107" t="s">
        <v>432</v>
      </c>
      <c r="AI336" s="107" t="s">
        <v>432</v>
      </c>
      <c r="AJ336" s="107" t="s">
        <v>432</v>
      </c>
      <c r="AK336" s="137" t="s">
        <v>432</v>
      </c>
      <c r="AL336" s="600" t="s">
        <v>432</v>
      </c>
      <c r="AM336" s="137" t="s">
        <v>432</v>
      </c>
      <c r="AN336" s="137" t="s">
        <v>432</v>
      </c>
      <c r="AO336" s="137" t="s">
        <v>432</v>
      </c>
      <c r="AP336" s="137" t="s">
        <v>432</v>
      </c>
      <c r="AQ336" s="137" t="s">
        <v>432</v>
      </c>
      <c r="AR336" s="137" t="s">
        <v>432</v>
      </c>
      <c r="AS336" s="137" t="s">
        <v>432</v>
      </c>
      <c r="AT336" s="137" t="s">
        <v>432</v>
      </c>
      <c r="AU336" s="137" t="s">
        <v>432</v>
      </c>
      <c r="AV336" s="137" t="s">
        <v>432</v>
      </c>
      <c r="AW336" s="137" t="s">
        <v>432</v>
      </c>
      <c r="AX336" s="137" t="s">
        <v>432</v>
      </c>
      <c r="AY336" s="137" t="s">
        <v>432</v>
      </c>
      <c r="AZ336" s="137" t="s">
        <v>432</v>
      </c>
      <c r="BA336" s="137" t="s">
        <v>432</v>
      </c>
      <c r="BB336" s="239" t="str">
        <f>B336&amp;C336</f>
        <v>BRTx</v>
      </c>
      <c r="BC336" s="239" t="str">
        <f>B336&amp;C336&amp;H336</f>
        <v>BRTxsigla/verbete</v>
      </c>
      <c r="BD336" s="239" t="str">
        <f>B336&amp;H336</f>
        <v>BRTsigla/verbete</v>
      </c>
    </row>
    <row r="337" spans="1:56" s="3" customFormat="1" x14ac:dyDescent="0.25">
      <c r="A337" s="402"/>
      <c r="B337" s="399"/>
      <c r="C337" s="399"/>
      <c r="D337" s="970"/>
      <c r="E337" s="1495"/>
      <c r="F337" s="399"/>
      <c r="G337" s="399"/>
      <c r="H337" s="399"/>
      <c r="I337" s="399"/>
      <c r="J337" s="399"/>
      <c r="K337" s="399"/>
      <c r="L337" s="399"/>
      <c r="M337" s="399"/>
      <c r="N337" s="399"/>
      <c r="O337" s="399"/>
      <c r="P337" s="399"/>
      <c r="Q337" s="399"/>
      <c r="R337" s="399"/>
      <c r="S337" s="399"/>
      <c r="T337" s="399"/>
      <c r="U337" s="399"/>
      <c r="V337" s="399"/>
      <c r="W337" s="399"/>
      <c r="X337" s="399"/>
      <c r="Y337" s="221"/>
      <c r="Z337" s="221"/>
      <c r="AA337" s="221"/>
      <c r="AB337" s="221"/>
      <c r="AC337" s="221"/>
      <c r="AD337" s="221"/>
      <c r="AE337" s="221"/>
      <c r="AF337" s="221"/>
      <c r="AG337" s="221"/>
      <c r="AH337" s="221"/>
      <c r="AI337" s="221"/>
      <c r="AJ337" s="221"/>
      <c r="AK337" s="223"/>
      <c r="AL337" s="600" t="s">
        <v>432</v>
      </c>
      <c r="AM337" s="223"/>
      <c r="AN337" s="223"/>
      <c r="AO337" s="223"/>
      <c r="AP337" s="223"/>
      <c r="AQ337" s="223"/>
      <c r="AR337" s="223"/>
      <c r="AS337" s="223"/>
      <c r="AT337" s="223"/>
      <c r="AU337" s="223"/>
      <c r="AV337" s="223"/>
      <c r="AW337" s="137" t="s">
        <v>432</v>
      </c>
      <c r="AX337" s="223"/>
      <c r="AY337" s="223"/>
      <c r="AZ337" s="223"/>
      <c r="BA337" s="223"/>
      <c r="BB337" s="400"/>
      <c r="BC337" s="400"/>
      <c r="BD337" s="400"/>
    </row>
    <row r="338" spans="1:56" s="1" customFormat="1" ht="111.75" customHeight="1" x14ac:dyDescent="0.25">
      <c r="A338" s="275" t="str">
        <f>'Q100b-totais'!B54</f>
        <v>8.2</v>
      </c>
      <c r="B338" s="1205" t="str">
        <f>'Q100b-totais'!C54</f>
        <v>BRT</v>
      </c>
      <c r="C338" s="167" t="s">
        <v>432</v>
      </c>
      <c r="D338" s="324" t="s">
        <v>928</v>
      </c>
      <c r="E338" s="1508" t="s">
        <v>432</v>
      </c>
      <c r="F338" s="11" t="s">
        <v>5730</v>
      </c>
      <c r="G338" s="230" t="s">
        <v>3507</v>
      </c>
      <c r="H338" s="167" t="s">
        <v>2408</v>
      </c>
      <c r="I338" s="167" t="s">
        <v>432</v>
      </c>
      <c r="J338" s="107" t="s">
        <v>432</v>
      </c>
      <c r="K338" s="107" t="s">
        <v>432</v>
      </c>
      <c r="L338" s="107" t="s">
        <v>432</v>
      </c>
      <c r="M338" s="107" t="s">
        <v>432</v>
      </c>
      <c r="N338" s="107" t="s">
        <v>432</v>
      </c>
      <c r="O338" s="107" t="s">
        <v>432</v>
      </c>
      <c r="P338" s="107" t="s">
        <v>432</v>
      </c>
      <c r="Q338" s="107" t="s">
        <v>432</v>
      </c>
      <c r="R338" s="107" t="s">
        <v>432</v>
      </c>
      <c r="S338" s="109" t="s">
        <v>2209</v>
      </c>
      <c r="T338" s="107" t="s">
        <v>432</v>
      </c>
      <c r="U338" s="107" t="s">
        <v>432</v>
      </c>
      <c r="V338" s="109" t="s">
        <v>2209</v>
      </c>
      <c r="W338" s="107" t="s">
        <v>432</v>
      </c>
      <c r="X338" s="107" t="s">
        <v>432</v>
      </c>
      <c r="Y338" s="107" t="s">
        <v>432</v>
      </c>
      <c r="Z338" s="107" t="s">
        <v>432</v>
      </c>
      <c r="AA338" s="107" t="s">
        <v>432</v>
      </c>
      <c r="AB338" s="107" t="s">
        <v>432</v>
      </c>
      <c r="AC338" s="107" t="s">
        <v>432</v>
      </c>
      <c r="AD338" s="107" t="s">
        <v>432</v>
      </c>
      <c r="AE338" s="107" t="s">
        <v>432</v>
      </c>
      <c r="AF338" s="107" t="s">
        <v>432</v>
      </c>
      <c r="AG338" s="107" t="s">
        <v>432</v>
      </c>
      <c r="AH338" s="107" t="s">
        <v>432</v>
      </c>
      <c r="AI338" s="107" t="s">
        <v>432</v>
      </c>
      <c r="AJ338" s="107" t="s">
        <v>432</v>
      </c>
      <c r="AK338" s="137" t="s">
        <v>432</v>
      </c>
      <c r="AL338" s="600" t="s">
        <v>432</v>
      </c>
      <c r="AM338" s="137" t="s">
        <v>432</v>
      </c>
      <c r="AN338" s="137" t="s">
        <v>432</v>
      </c>
      <c r="AO338" s="137" t="s">
        <v>432</v>
      </c>
      <c r="AP338" s="137" t="s">
        <v>432</v>
      </c>
      <c r="AQ338" s="137" t="s">
        <v>432</v>
      </c>
      <c r="AR338" s="137" t="s">
        <v>432</v>
      </c>
      <c r="AS338" s="137" t="s">
        <v>432</v>
      </c>
      <c r="AT338" s="137" t="s">
        <v>432</v>
      </c>
      <c r="AU338" s="137" t="s">
        <v>432</v>
      </c>
      <c r="AV338" s="137" t="s">
        <v>432</v>
      </c>
      <c r="AW338" s="137" t="s">
        <v>432</v>
      </c>
      <c r="AX338" s="137" t="s">
        <v>432</v>
      </c>
      <c r="AY338" s="137" t="s">
        <v>432</v>
      </c>
      <c r="AZ338" s="137" t="s">
        <v>432</v>
      </c>
      <c r="BA338" s="137" t="s">
        <v>432</v>
      </c>
      <c r="BB338" s="239" t="str">
        <f t="shared" ref="BB338:BB343" si="72">B338&amp;C338</f>
        <v>BRTx</v>
      </c>
      <c r="BC338" s="239" t="str">
        <f t="shared" ref="BC338:BC343" si="73">B338&amp;C338&amp;H338</f>
        <v>BRTxsigla/verbete</v>
      </c>
      <c r="BD338" s="239" t="str">
        <f t="shared" ref="BD338:BD343" si="74">B338&amp;H338</f>
        <v>BRTsigla/verbete</v>
      </c>
    </row>
    <row r="339" spans="1:56" s="1" customFormat="1" ht="342.75" customHeight="1" x14ac:dyDescent="0.25">
      <c r="A339" s="275" t="str">
        <f>'Q100b-totais'!B54</f>
        <v>8.2</v>
      </c>
      <c r="B339" s="1205" t="str">
        <f>'Q100b-totais'!C54</f>
        <v>BRT</v>
      </c>
      <c r="C339" s="167" t="s">
        <v>432</v>
      </c>
      <c r="D339" s="324" t="s">
        <v>928</v>
      </c>
      <c r="E339" s="1508" t="s">
        <v>1306</v>
      </c>
      <c r="F339" s="1205" t="s">
        <v>5765</v>
      </c>
      <c r="G339" s="230" t="s">
        <v>3507</v>
      </c>
      <c r="H339" s="167" t="s">
        <v>2408</v>
      </c>
      <c r="I339" s="167" t="s">
        <v>432</v>
      </c>
      <c r="J339" s="107" t="s">
        <v>432</v>
      </c>
      <c r="K339" s="107" t="s">
        <v>432</v>
      </c>
      <c r="L339" s="107" t="s">
        <v>432</v>
      </c>
      <c r="M339" s="107" t="s">
        <v>432</v>
      </c>
      <c r="N339" s="107" t="s">
        <v>432</v>
      </c>
      <c r="O339" s="107" t="s">
        <v>432</v>
      </c>
      <c r="P339" s="107" t="s">
        <v>432</v>
      </c>
      <c r="Q339" s="107" t="s">
        <v>432</v>
      </c>
      <c r="R339" s="107" t="s">
        <v>432</v>
      </c>
      <c r="S339" s="109" t="s">
        <v>2209</v>
      </c>
      <c r="T339" s="107" t="s">
        <v>432</v>
      </c>
      <c r="U339" s="107" t="s">
        <v>432</v>
      </c>
      <c r="V339" s="109" t="s">
        <v>2209</v>
      </c>
      <c r="W339" s="107" t="s">
        <v>432</v>
      </c>
      <c r="X339" s="107" t="s">
        <v>432</v>
      </c>
      <c r="Y339" s="107" t="s">
        <v>432</v>
      </c>
      <c r="Z339" s="107" t="s">
        <v>432</v>
      </c>
      <c r="AA339" s="107" t="s">
        <v>432</v>
      </c>
      <c r="AB339" s="107" t="s">
        <v>432</v>
      </c>
      <c r="AC339" s="107" t="s">
        <v>432</v>
      </c>
      <c r="AD339" s="107" t="s">
        <v>432</v>
      </c>
      <c r="AE339" s="107" t="s">
        <v>432</v>
      </c>
      <c r="AF339" s="107" t="s">
        <v>432</v>
      </c>
      <c r="AG339" s="107" t="s">
        <v>432</v>
      </c>
      <c r="AH339" s="107" t="s">
        <v>432</v>
      </c>
      <c r="AI339" s="107" t="s">
        <v>432</v>
      </c>
      <c r="AJ339" s="107" t="s">
        <v>432</v>
      </c>
      <c r="AK339" s="137" t="s">
        <v>432</v>
      </c>
      <c r="AL339" s="600" t="s">
        <v>432</v>
      </c>
      <c r="AM339" s="137" t="s">
        <v>432</v>
      </c>
      <c r="AN339" s="137" t="s">
        <v>432</v>
      </c>
      <c r="AO339" s="137" t="s">
        <v>432</v>
      </c>
      <c r="AP339" s="137" t="s">
        <v>432</v>
      </c>
      <c r="AQ339" s="137" t="s">
        <v>432</v>
      </c>
      <c r="AR339" s="137" t="s">
        <v>432</v>
      </c>
      <c r="AS339" s="137" t="s">
        <v>432</v>
      </c>
      <c r="AT339" s="137" t="s">
        <v>432</v>
      </c>
      <c r="AU339" s="137" t="s">
        <v>432</v>
      </c>
      <c r="AV339" s="137" t="s">
        <v>432</v>
      </c>
      <c r="AW339" s="137" t="s">
        <v>432</v>
      </c>
      <c r="AX339" s="137" t="s">
        <v>432</v>
      </c>
      <c r="AY339" s="137" t="s">
        <v>432</v>
      </c>
      <c r="AZ339" s="137" t="s">
        <v>432</v>
      </c>
      <c r="BA339" s="137" t="s">
        <v>432</v>
      </c>
      <c r="BB339" s="239" t="str">
        <f t="shared" si="72"/>
        <v>BRTx</v>
      </c>
      <c r="BC339" s="239" t="str">
        <f t="shared" si="73"/>
        <v>BRTxsigla/verbete</v>
      </c>
      <c r="BD339" s="239" t="str">
        <f t="shared" si="74"/>
        <v>BRTsigla/verbete</v>
      </c>
    </row>
    <row r="340" spans="1:56" s="1" customFormat="1" ht="259.5" customHeight="1" x14ac:dyDescent="0.25">
      <c r="A340" s="275" t="str">
        <f>'Q100b-totais'!B54</f>
        <v>8.2</v>
      </c>
      <c r="B340" s="1205" t="str">
        <f>'Q100b-totais'!C54</f>
        <v>BRT</v>
      </c>
      <c r="C340" s="167" t="s">
        <v>432</v>
      </c>
      <c r="D340" s="324" t="s">
        <v>928</v>
      </c>
      <c r="E340" s="1491" t="s">
        <v>1772</v>
      </c>
      <c r="F340" s="11" t="s">
        <v>6232</v>
      </c>
      <c r="G340" s="57" t="s">
        <v>3507</v>
      </c>
      <c r="H340" s="167" t="s">
        <v>2408</v>
      </c>
      <c r="I340" s="167" t="s">
        <v>432</v>
      </c>
      <c r="J340" s="107" t="s">
        <v>432</v>
      </c>
      <c r="K340" s="107" t="s">
        <v>432</v>
      </c>
      <c r="L340" s="107" t="s">
        <v>432</v>
      </c>
      <c r="M340" s="107" t="s">
        <v>432</v>
      </c>
      <c r="N340" s="107" t="s">
        <v>432</v>
      </c>
      <c r="O340" s="107" t="s">
        <v>432</v>
      </c>
      <c r="P340" s="107" t="s">
        <v>432</v>
      </c>
      <c r="Q340" s="107" t="s">
        <v>432</v>
      </c>
      <c r="R340" s="107" t="s">
        <v>432</v>
      </c>
      <c r="S340" s="109" t="s">
        <v>2209</v>
      </c>
      <c r="T340" s="107" t="s">
        <v>432</v>
      </c>
      <c r="U340" s="107" t="s">
        <v>432</v>
      </c>
      <c r="V340" s="109" t="s">
        <v>2209</v>
      </c>
      <c r="W340" s="107" t="s">
        <v>432</v>
      </c>
      <c r="X340" s="107" t="s">
        <v>432</v>
      </c>
      <c r="Y340" s="107" t="s">
        <v>432</v>
      </c>
      <c r="Z340" s="107" t="s">
        <v>432</v>
      </c>
      <c r="AA340" s="107" t="s">
        <v>432</v>
      </c>
      <c r="AB340" s="107" t="s">
        <v>432</v>
      </c>
      <c r="AC340" s="107" t="s">
        <v>432</v>
      </c>
      <c r="AD340" s="107" t="s">
        <v>432</v>
      </c>
      <c r="AE340" s="107" t="s">
        <v>432</v>
      </c>
      <c r="AF340" s="107" t="s">
        <v>432</v>
      </c>
      <c r="AG340" s="107" t="s">
        <v>432</v>
      </c>
      <c r="AH340" s="107" t="s">
        <v>432</v>
      </c>
      <c r="AI340" s="107" t="s">
        <v>432</v>
      </c>
      <c r="AJ340" s="107" t="s">
        <v>432</v>
      </c>
      <c r="AK340" s="137" t="s">
        <v>432</v>
      </c>
      <c r="AL340" s="600" t="s">
        <v>432</v>
      </c>
      <c r="AM340" s="137" t="s">
        <v>432</v>
      </c>
      <c r="AN340" s="137" t="s">
        <v>432</v>
      </c>
      <c r="AO340" s="137" t="s">
        <v>432</v>
      </c>
      <c r="AP340" s="137" t="s">
        <v>432</v>
      </c>
      <c r="AQ340" s="137" t="s">
        <v>432</v>
      </c>
      <c r="AR340" s="137" t="s">
        <v>432</v>
      </c>
      <c r="AS340" s="137" t="s">
        <v>432</v>
      </c>
      <c r="AT340" s="137" t="s">
        <v>432</v>
      </c>
      <c r="AU340" s="137" t="s">
        <v>432</v>
      </c>
      <c r="AV340" s="137" t="s">
        <v>432</v>
      </c>
      <c r="AW340" s="137" t="s">
        <v>432</v>
      </c>
      <c r="AX340" s="137" t="s">
        <v>432</v>
      </c>
      <c r="AY340" s="137" t="s">
        <v>432</v>
      </c>
      <c r="AZ340" s="137" t="s">
        <v>432</v>
      </c>
      <c r="BA340" s="137" t="s">
        <v>432</v>
      </c>
      <c r="BB340" s="239" t="str">
        <f t="shared" si="72"/>
        <v>BRTx</v>
      </c>
      <c r="BC340" s="239" t="str">
        <f t="shared" si="73"/>
        <v>BRTxsigla/verbete</v>
      </c>
      <c r="BD340" s="239" t="str">
        <f t="shared" si="74"/>
        <v>BRTsigla/verbete</v>
      </c>
    </row>
    <row r="341" spans="1:56" s="1" customFormat="1" ht="156.75" customHeight="1" x14ac:dyDescent="0.25">
      <c r="A341" s="275" t="str">
        <f>'Q100b-totais'!B54</f>
        <v>8.2</v>
      </c>
      <c r="B341" s="1205" t="str">
        <f>'Q100b-totais'!C54</f>
        <v>BRT</v>
      </c>
      <c r="C341" s="167" t="s">
        <v>432</v>
      </c>
      <c r="D341" s="324" t="s">
        <v>928</v>
      </c>
      <c r="E341" s="1508" t="s">
        <v>1266</v>
      </c>
      <c r="F341" s="11" t="s">
        <v>6233</v>
      </c>
      <c r="G341" s="230" t="s">
        <v>3507</v>
      </c>
      <c r="H341" s="167" t="s">
        <v>2408</v>
      </c>
      <c r="I341" s="167" t="s">
        <v>432</v>
      </c>
      <c r="J341" s="107" t="s">
        <v>432</v>
      </c>
      <c r="K341" s="107" t="s">
        <v>432</v>
      </c>
      <c r="L341" s="107" t="s">
        <v>432</v>
      </c>
      <c r="M341" s="107" t="s">
        <v>432</v>
      </c>
      <c r="N341" s="107" t="s">
        <v>432</v>
      </c>
      <c r="O341" s="107" t="s">
        <v>432</v>
      </c>
      <c r="P341" s="107" t="s">
        <v>432</v>
      </c>
      <c r="Q341" s="107" t="s">
        <v>432</v>
      </c>
      <c r="R341" s="107" t="s">
        <v>432</v>
      </c>
      <c r="S341" s="109" t="s">
        <v>2209</v>
      </c>
      <c r="T341" s="107" t="s">
        <v>432</v>
      </c>
      <c r="U341" s="107" t="s">
        <v>432</v>
      </c>
      <c r="V341" s="109" t="s">
        <v>2209</v>
      </c>
      <c r="W341" s="107" t="s">
        <v>432</v>
      </c>
      <c r="X341" s="107" t="s">
        <v>432</v>
      </c>
      <c r="Y341" s="107" t="s">
        <v>432</v>
      </c>
      <c r="Z341" s="107" t="s">
        <v>432</v>
      </c>
      <c r="AA341" s="107" t="s">
        <v>432</v>
      </c>
      <c r="AB341" s="107" t="s">
        <v>432</v>
      </c>
      <c r="AC341" s="107" t="s">
        <v>432</v>
      </c>
      <c r="AD341" s="107" t="s">
        <v>432</v>
      </c>
      <c r="AE341" s="107" t="s">
        <v>432</v>
      </c>
      <c r="AF341" s="107" t="s">
        <v>432</v>
      </c>
      <c r="AG341" s="107" t="s">
        <v>432</v>
      </c>
      <c r="AH341" s="107" t="s">
        <v>432</v>
      </c>
      <c r="AI341" s="107" t="s">
        <v>432</v>
      </c>
      <c r="AJ341" s="107" t="s">
        <v>432</v>
      </c>
      <c r="AK341" s="137" t="s">
        <v>432</v>
      </c>
      <c r="AL341" s="600" t="s">
        <v>432</v>
      </c>
      <c r="AM341" s="137" t="s">
        <v>432</v>
      </c>
      <c r="AN341" s="137" t="s">
        <v>432</v>
      </c>
      <c r="AO341" s="137" t="s">
        <v>432</v>
      </c>
      <c r="AP341" s="137" t="s">
        <v>432</v>
      </c>
      <c r="AQ341" s="137" t="s">
        <v>432</v>
      </c>
      <c r="AR341" s="137" t="s">
        <v>432</v>
      </c>
      <c r="AS341" s="137" t="s">
        <v>432</v>
      </c>
      <c r="AT341" s="137" t="s">
        <v>432</v>
      </c>
      <c r="AU341" s="137" t="s">
        <v>432</v>
      </c>
      <c r="AV341" s="137" t="s">
        <v>432</v>
      </c>
      <c r="AW341" s="137" t="s">
        <v>432</v>
      </c>
      <c r="AX341" s="137" t="s">
        <v>432</v>
      </c>
      <c r="AY341" s="137" t="s">
        <v>432</v>
      </c>
      <c r="AZ341" s="137" t="s">
        <v>432</v>
      </c>
      <c r="BA341" s="137" t="s">
        <v>432</v>
      </c>
      <c r="BB341" s="239" t="str">
        <f t="shared" si="72"/>
        <v>BRTx</v>
      </c>
      <c r="BC341" s="239" t="str">
        <f t="shared" si="73"/>
        <v>BRTxsigla/verbete</v>
      </c>
      <c r="BD341" s="239" t="str">
        <f t="shared" si="74"/>
        <v>BRTsigla/verbete</v>
      </c>
    </row>
    <row r="342" spans="1:56" s="1" customFormat="1" ht="110.25" customHeight="1" x14ac:dyDescent="0.25">
      <c r="A342" s="275" t="str">
        <f>'Q100b-totais'!B54</f>
        <v>8.2</v>
      </c>
      <c r="B342" s="1205" t="str">
        <f>'Q100b-totais'!C54</f>
        <v>BRT</v>
      </c>
      <c r="C342" s="167" t="s">
        <v>432</v>
      </c>
      <c r="D342" s="324" t="s">
        <v>928</v>
      </c>
      <c r="E342" s="1508" t="s">
        <v>1283</v>
      </c>
      <c r="F342" s="11" t="s">
        <v>5764</v>
      </c>
      <c r="G342" s="230" t="s">
        <v>3507</v>
      </c>
      <c r="H342" s="167" t="s">
        <v>2408</v>
      </c>
      <c r="I342" s="167" t="s">
        <v>432</v>
      </c>
      <c r="J342" s="107" t="s">
        <v>432</v>
      </c>
      <c r="K342" s="107" t="s">
        <v>432</v>
      </c>
      <c r="L342" s="107" t="s">
        <v>432</v>
      </c>
      <c r="M342" s="107" t="s">
        <v>432</v>
      </c>
      <c r="N342" s="107" t="s">
        <v>432</v>
      </c>
      <c r="O342" s="107" t="s">
        <v>432</v>
      </c>
      <c r="P342" s="107" t="s">
        <v>432</v>
      </c>
      <c r="Q342" s="107" t="s">
        <v>432</v>
      </c>
      <c r="R342" s="107" t="s">
        <v>432</v>
      </c>
      <c r="S342" s="109" t="s">
        <v>2209</v>
      </c>
      <c r="T342" s="107" t="s">
        <v>432</v>
      </c>
      <c r="U342" s="107" t="s">
        <v>432</v>
      </c>
      <c r="V342" s="109" t="s">
        <v>2209</v>
      </c>
      <c r="W342" s="107" t="s">
        <v>432</v>
      </c>
      <c r="X342" s="107" t="s">
        <v>432</v>
      </c>
      <c r="Y342" s="107" t="s">
        <v>432</v>
      </c>
      <c r="Z342" s="107" t="s">
        <v>432</v>
      </c>
      <c r="AA342" s="107" t="s">
        <v>432</v>
      </c>
      <c r="AB342" s="107" t="s">
        <v>432</v>
      </c>
      <c r="AC342" s="107" t="s">
        <v>432</v>
      </c>
      <c r="AD342" s="107" t="s">
        <v>432</v>
      </c>
      <c r="AE342" s="107" t="s">
        <v>432</v>
      </c>
      <c r="AF342" s="107" t="s">
        <v>432</v>
      </c>
      <c r="AG342" s="107" t="s">
        <v>432</v>
      </c>
      <c r="AH342" s="107" t="s">
        <v>432</v>
      </c>
      <c r="AI342" s="107" t="s">
        <v>432</v>
      </c>
      <c r="AJ342" s="107" t="s">
        <v>432</v>
      </c>
      <c r="AK342" s="137" t="s">
        <v>432</v>
      </c>
      <c r="AL342" s="600" t="s">
        <v>432</v>
      </c>
      <c r="AM342" s="137" t="s">
        <v>432</v>
      </c>
      <c r="AN342" s="137" t="s">
        <v>432</v>
      </c>
      <c r="AO342" s="137" t="s">
        <v>432</v>
      </c>
      <c r="AP342" s="137" t="s">
        <v>432</v>
      </c>
      <c r="AQ342" s="137" t="s">
        <v>432</v>
      </c>
      <c r="AR342" s="137" t="s">
        <v>432</v>
      </c>
      <c r="AS342" s="137" t="s">
        <v>432</v>
      </c>
      <c r="AT342" s="137" t="s">
        <v>432</v>
      </c>
      <c r="AU342" s="137" t="s">
        <v>432</v>
      </c>
      <c r="AV342" s="137" t="s">
        <v>432</v>
      </c>
      <c r="AW342" s="137" t="s">
        <v>432</v>
      </c>
      <c r="AX342" s="137" t="s">
        <v>432</v>
      </c>
      <c r="AY342" s="137" t="s">
        <v>432</v>
      </c>
      <c r="AZ342" s="137" t="s">
        <v>432</v>
      </c>
      <c r="BA342" s="137" t="s">
        <v>432</v>
      </c>
      <c r="BB342" s="239" t="str">
        <f t="shared" si="72"/>
        <v>BRTx</v>
      </c>
      <c r="BC342" s="239" t="str">
        <f t="shared" si="73"/>
        <v>BRTxsigla/verbete</v>
      </c>
      <c r="BD342" s="239" t="str">
        <f t="shared" si="74"/>
        <v>BRTsigla/verbete</v>
      </c>
    </row>
    <row r="343" spans="1:56" s="1" customFormat="1" ht="144" customHeight="1" x14ac:dyDescent="0.25">
      <c r="A343" s="275" t="str">
        <f>'Q100b-totais'!B54</f>
        <v>8.2</v>
      </c>
      <c r="B343" s="1205" t="str">
        <f>'Q100b-totais'!C54</f>
        <v>BRT</v>
      </c>
      <c r="C343" s="167" t="s">
        <v>432</v>
      </c>
      <c r="D343" s="324" t="s">
        <v>928</v>
      </c>
      <c r="E343" s="1508" t="s">
        <v>1298</v>
      </c>
      <c r="F343" s="1205" t="s">
        <v>5766</v>
      </c>
      <c r="G343" s="230" t="s">
        <v>3507</v>
      </c>
      <c r="H343" s="167" t="s">
        <v>2408</v>
      </c>
      <c r="I343" s="167" t="s">
        <v>432</v>
      </c>
      <c r="J343" s="107" t="s">
        <v>432</v>
      </c>
      <c r="K343" s="107" t="s">
        <v>432</v>
      </c>
      <c r="L343" s="107" t="s">
        <v>432</v>
      </c>
      <c r="M343" s="107" t="s">
        <v>432</v>
      </c>
      <c r="N343" s="107" t="s">
        <v>432</v>
      </c>
      <c r="O343" s="107" t="s">
        <v>432</v>
      </c>
      <c r="P343" s="107" t="s">
        <v>432</v>
      </c>
      <c r="Q343" s="107" t="s">
        <v>432</v>
      </c>
      <c r="R343" s="107" t="s">
        <v>432</v>
      </c>
      <c r="S343" s="109" t="s">
        <v>2209</v>
      </c>
      <c r="T343" s="107" t="s">
        <v>432</v>
      </c>
      <c r="U343" s="107" t="s">
        <v>432</v>
      </c>
      <c r="V343" s="109" t="s">
        <v>2209</v>
      </c>
      <c r="W343" s="107" t="s">
        <v>432</v>
      </c>
      <c r="X343" s="107" t="s">
        <v>432</v>
      </c>
      <c r="Y343" s="107" t="s">
        <v>432</v>
      </c>
      <c r="Z343" s="107" t="s">
        <v>432</v>
      </c>
      <c r="AA343" s="107" t="s">
        <v>432</v>
      </c>
      <c r="AB343" s="107" t="s">
        <v>432</v>
      </c>
      <c r="AC343" s="107" t="s">
        <v>432</v>
      </c>
      <c r="AD343" s="107" t="s">
        <v>432</v>
      </c>
      <c r="AE343" s="107" t="s">
        <v>432</v>
      </c>
      <c r="AF343" s="107" t="s">
        <v>432</v>
      </c>
      <c r="AG343" s="107" t="s">
        <v>432</v>
      </c>
      <c r="AH343" s="107" t="s">
        <v>432</v>
      </c>
      <c r="AI343" s="107" t="s">
        <v>432</v>
      </c>
      <c r="AJ343" s="107" t="s">
        <v>432</v>
      </c>
      <c r="AK343" s="137" t="s">
        <v>432</v>
      </c>
      <c r="AL343" s="600" t="s">
        <v>432</v>
      </c>
      <c r="AM343" s="137" t="s">
        <v>432</v>
      </c>
      <c r="AN343" s="137" t="s">
        <v>432</v>
      </c>
      <c r="AO343" s="137" t="s">
        <v>432</v>
      </c>
      <c r="AP343" s="137" t="s">
        <v>432</v>
      </c>
      <c r="AQ343" s="137" t="s">
        <v>432</v>
      </c>
      <c r="AR343" s="137" t="s">
        <v>432</v>
      </c>
      <c r="AS343" s="137" t="s">
        <v>432</v>
      </c>
      <c r="AT343" s="137" t="s">
        <v>432</v>
      </c>
      <c r="AU343" s="137" t="s">
        <v>432</v>
      </c>
      <c r="AV343" s="137" t="s">
        <v>432</v>
      </c>
      <c r="AW343" s="137" t="s">
        <v>432</v>
      </c>
      <c r="AX343" s="137" t="s">
        <v>432</v>
      </c>
      <c r="AY343" s="137" t="s">
        <v>432</v>
      </c>
      <c r="AZ343" s="137" t="s">
        <v>432</v>
      </c>
      <c r="BA343" s="137" t="s">
        <v>432</v>
      </c>
      <c r="BB343" s="239" t="str">
        <f t="shared" si="72"/>
        <v>BRTx</v>
      </c>
      <c r="BC343" s="239" t="str">
        <f t="shared" si="73"/>
        <v>BRTxsigla/verbete</v>
      </c>
      <c r="BD343" s="239" t="str">
        <f t="shared" si="74"/>
        <v>BRTsigla/verbete</v>
      </c>
    </row>
    <row r="344" spans="1:56" s="3" customFormat="1" x14ac:dyDescent="0.25">
      <c r="A344" s="402"/>
      <c r="B344" s="399"/>
      <c r="C344" s="399"/>
      <c r="D344" s="970"/>
      <c r="E344" s="1495"/>
      <c r="F344" s="399"/>
      <c r="G344" s="399"/>
      <c r="H344" s="399"/>
      <c r="I344" s="399"/>
      <c r="J344" s="399"/>
      <c r="K344" s="399"/>
      <c r="L344" s="399"/>
      <c r="M344" s="399"/>
      <c r="N344" s="399"/>
      <c r="O344" s="399"/>
      <c r="P344" s="399"/>
      <c r="Q344" s="399"/>
      <c r="R344" s="399"/>
      <c r="S344" s="399"/>
      <c r="T344" s="399"/>
      <c r="U344" s="399"/>
      <c r="V344" s="399"/>
      <c r="W344" s="399"/>
      <c r="X344" s="399"/>
      <c r="Y344" s="221"/>
      <c r="Z344" s="221"/>
      <c r="AA344" s="221"/>
      <c r="AB344" s="221"/>
      <c r="AC344" s="221"/>
      <c r="AD344" s="221"/>
      <c r="AE344" s="221"/>
      <c r="AF344" s="221"/>
      <c r="AG344" s="221"/>
      <c r="AH344" s="221"/>
      <c r="AI344" s="221"/>
      <c r="AJ344" s="221"/>
      <c r="AK344" s="223"/>
      <c r="AL344" s="600" t="s">
        <v>432</v>
      </c>
      <c r="AM344" s="223"/>
      <c r="AN344" s="223"/>
      <c r="AO344" s="223"/>
      <c r="AP344" s="223"/>
      <c r="AQ344" s="223"/>
      <c r="AR344" s="223"/>
      <c r="AS344" s="223"/>
      <c r="AT344" s="223"/>
      <c r="AU344" s="223"/>
      <c r="AV344" s="223"/>
      <c r="AW344" s="137" t="s">
        <v>432</v>
      </c>
      <c r="AX344" s="223"/>
      <c r="AY344" s="223"/>
      <c r="AZ344" s="223"/>
      <c r="BA344" s="223"/>
      <c r="BB344" s="400"/>
      <c r="BC344" s="400"/>
      <c r="BD344" s="400"/>
    </row>
    <row r="345" spans="1:56" s="1" customFormat="1" ht="31.5" x14ac:dyDescent="0.25">
      <c r="A345" s="275" t="str">
        <f>'Q100b-totais'!B54</f>
        <v>8.2</v>
      </c>
      <c r="B345" s="1205" t="str">
        <f>'Q100b-totais'!C54</f>
        <v>BRT</v>
      </c>
      <c r="C345" s="167" t="s">
        <v>432</v>
      </c>
      <c r="D345" s="324" t="s">
        <v>5734</v>
      </c>
      <c r="E345" s="1491" t="s">
        <v>1306</v>
      </c>
      <c r="F345" s="1205" t="s">
        <v>5504</v>
      </c>
      <c r="G345" s="370" t="s">
        <v>5472</v>
      </c>
      <c r="H345" s="173" t="s">
        <v>432</v>
      </c>
      <c r="I345" s="57">
        <v>1</v>
      </c>
      <c r="J345" s="107" t="s">
        <v>432</v>
      </c>
      <c r="K345" s="107" t="s">
        <v>432</v>
      </c>
      <c r="L345" s="107" t="s">
        <v>432</v>
      </c>
      <c r="M345" s="107" t="s">
        <v>432</v>
      </c>
      <c r="N345" s="107" t="s">
        <v>432</v>
      </c>
      <c r="O345" s="107" t="s">
        <v>432</v>
      </c>
      <c r="P345" s="107" t="s">
        <v>432</v>
      </c>
      <c r="Q345" s="107" t="s">
        <v>432</v>
      </c>
      <c r="R345" s="107" t="s">
        <v>432</v>
      </c>
      <c r="S345" s="109" t="s">
        <v>2209</v>
      </c>
      <c r="T345" s="107" t="s">
        <v>432</v>
      </c>
      <c r="U345" s="107" t="s">
        <v>432</v>
      </c>
      <c r="V345" s="109" t="s">
        <v>2209</v>
      </c>
      <c r="W345" s="107" t="s">
        <v>432</v>
      </c>
      <c r="X345" s="107" t="s">
        <v>432</v>
      </c>
      <c r="Y345" s="107" t="s">
        <v>432</v>
      </c>
      <c r="Z345" s="107" t="s">
        <v>432</v>
      </c>
      <c r="AA345" s="107" t="s">
        <v>432</v>
      </c>
      <c r="AB345" s="107" t="s">
        <v>432</v>
      </c>
      <c r="AC345" s="107" t="s">
        <v>432</v>
      </c>
      <c r="AD345" s="107" t="s">
        <v>432</v>
      </c>
      <c r="AE345" s="107" t="s">
        <v>432</v>
      </c>
      <c r="AF345" s="107" t="s">
        <v>432</v>
      </c>
      <c r="AG345" s="107" t="s">
        <v>432</v>
      </c>
      <c r="AH345" s="107" t="s">
        <v>432</v>
      </c>
      <c r="AI345" s="107" t="s">
        <v>432</v>
      </c>
      <c r="AJ345" s="23">
        <f>SUM(AJ350+AJ354+AJ360)</f>
        <v>23.1</v>
      </c>
      <c r="AK345" s="23">
        <f>SUM(AK350+AK354+AK360)</f>
        <v>23.1</v>
      </c>
      <c r="AL345" s="600" t="s">
        <v>432</v>
      </c>
      <c r="AM345" s="23">
        <f>SUM(AM350+AM354+AM360)</f>
        <v>23.1</v>
      </c>
      <c r="AN345" s="137" t="s">
        <v>432</v>
      </c>
      <c r="AO345" s="137" t="s">
        <v>432</v>
      </c>
      <c r="AP345" s="137" t="s">
        <v>432</v>
      </c>
      <c r="AQ345" s="137" t="s">
        <v>432</v>
      </c>
      <c r="AR345" s="137" t="s">
        <v>432</v>
      </c>
      <c r="AS345" s="137" t="s">
        <v>432</v>
      </c>
      <c r="AT345" s="137" t="s">
        <v>432</v>
      </c>
      <c r="AU345" s="137" t="s">
        <v>432</v>
      </c>
      <c r="AV345" s="137" t="s">
        <v>432</v>
      </c>
      <c r="AW345" s="137" t="s">
        <v>432</v>
      </c>
      <c r="AX345" s="137" t="s">
        <v>432</v>
      </c>
      <c r="AY345" s="137" t="s">
        <v>432</v>
      </c>
      <c r="AZ345" s="137" t="s">
        <v>432</v>
      </c>
      <c r="BA345" s="137" t="s">
        <v>432</v>
      </c>
      <c r="BB345" s="239" t="str">
        <f>B345&amp;C345</f>
        <v>BRTx</v>
      </c>
      <c r="BC345" s="239" t="str">
        <f>B345&amp;C345&amp;H345</f>
        <v>BRTxx</v>
      </c>
      <c r="BD345" s="239" t="str">
        <f>B345&amp;H345</f>
        <v>BRTx</v>
      </c>
    </row>
    <row r="346" spans="1:56" s="1" customFormat="1" ht="40.5" customHeight="1" x14ac:dyDescent="0.25">
      <c r="A346" s="275" t="str">
        <f>'Q100b-totais'!B54</f>
        <v>8.2</v>
      </c>
      <c r="B346" s="1205" t="str">
        <f>'Q100b-totais'!C54</f>
        <v>BRT</v>
      </c>
      <c r="C346" s="167" t="s">
        <v>743</v>
      </c>
      <c r="D346" s="324" t="s">
        <v>5712</v>
      </c>
      <c r="E346" s="1508" t="s">
        <v>1306</v>
      </c>
      <c r="F346" s="1205" t="s">
        <v>5513</v>
      </c>
      <c r="G346" s="58" t="s">
        <v>5472</v>
      </c>
      <c r="H346" s="173" t="s">
        <v>432</v>
      </c>
      <c r="I346" s="57">
        <v>1</v>
      </c>
      <c r="J346" s="107" t="s">
        <v>432</v>
      </c>
      <c r="K346" s="107" t="s">
        <v>432</v>
      </c>
      <c r="L346" s="107" t="s">
        <v>432</v>
      </c>
      <c r="M346" s="107" t="s">
        <v>432</v>
      </c>
      <c r="N346" s="107" t="s">
        <v>432</v>
      </c>
      <c r="O346" s="107" t="s">
        <v>432</v>
      </c>
      <c r="P346" s="107" t="s">
        <v>432</v>
      </c>
      <c r="Q346" s="107" t="s">
        <v>432</v>
      </c>
      <c r="R346" s="107" t="s">
        <v>432</v>
      </c>
      <c r="S346" s="109" t="s">
        <v>2209</v>
      </c>
      <c r="T346" s="107" t="s">
        <v>432</v>
      </c>
      <c r="U346" s="107" t="s">
        <v>432</v>
      </c>
      <c r="V346" s="109" t="s">
        <v>2209</v>
      </c>
      <c r="W346" s="107" t="s">
        <v>432</v>
      </c>
      <c r="X346" s="107" t="s">
        <v>432</v>
      </c>
      <c r="Y346" s="107" t="s">
        <v>432</v>
      </c>
      <c r="Z346" s="107" t="s">
        <v>432</v>
      </c>
      <c r="AA346" s="107" t="s">
        <v>432</v>
      </c>
      <c r="AB346" s="107" t="s">
        <v>432</v>
      </c>
      <c r="AC346" s="107" t="s">
        <v>432</v>
      </c>
      <c r="AD346" s="107" t="s">
        <v>432</v>
      </c>
      <c r="AE346" s="107" t="s">
        <v>432</v>
      </c>
      <c r="AF346" s="107" t="s">
        <v>432</v>
      </c>
      <c r="AG346" s="107" t="s">
        <v>432</v>
      </c>
      <c r="AH346" s="107" t="s">
        <v>432</v>
      </c>
      <c r="AI346" s="107" t="s">
        <v>432</v>
      </c>
      <c r="AJ346" s="23">
        <f>SUM(AJ351+AJ355+AJ361)</f>
        <v>9</v>
      </c>
      <c r="AK346" s="23">
        <f>SUM(AK351+AK355+AK361)</f>
        <v>9</v>
      </c>
      <c r="AL346" s="600" t="s">
        <v>432</v>
      </c>
      <c r="AM346" s="137" t="s">
        <v>432</v>
      </c>
      <c r="AN346" s="137" t="s">
        <v>432</v>
      </c>
      <c r="AO346" s="137" t="s">
        <v>432</v>
      </c>
      <c r="AP346" s="137" t="s">
        <v>432</v>
      </c>
      <c r="AQ346" s="137" t="s">
        <v>432</v>
      </c>
      <c r="AR346" s="137" t="s">
        <v>432</v>
      </c>
      <c r="AS346" s="137" t="s">
        <v>432</v>
      </c>
      <c r="AT346" s="137" t="s">
        <v>432</v>
      </c>
      <c r="AU346" s="137" t="s">
        <v>432</v>
      </c>
      <c r="AV346" s="137" t="s">
        <v>432</v>
      </c>
      <c r="AW346" s="137" t="s">
        <v>432</v>
      </c>
      <c r="AX346" s="137" t="s">
        <v>432</v>
      </c>
      <c r="AY346" s="137" t="s">
        <v>432</v>
      </c>
      <c r="AZ346" s="137" t="s">
        <v>432</v>
      </c>
      <c r="BA346" s="137" t="s">
        <v>432</v>
      </c>
      <c r="BB346" s="239" t="str">
        <f>B346&amp;C346</f>
        <v>BRTacessibilidade</v>
      </c>
      <c r="BC346" s="239" t="str">
        <f>B346&amp;C346&amp;H346</f>
        <v>BRTacessibilidadex</v>
      </c>
      <c r="BD346" s="239" t="str">
        <f>B346&amp;H346</f>
        <v>BRTx</v>
      </c>
    </row>
    <row r="347" spans="1:56" s="1" customFormat="1" ht="63.75" x14ac:dyDescent="0.25">
      <c r="A347" s="275" t="str">
        <f>'Q100b-totais'!B54</f>
        <v>8.2</v>
      </c>
      <c r="B347" s="1205" t="str">
        <f>'Q100b-totais'!C54</f>
        <v>BRT</v>
      </c>
      <c r="C347" s="167" t="s">
        <v>743</v>
      </c>
      <c r="D347" s="324" t="s">
        <v>5713</v>
      </c>
      <c r="E347" s="1508" t="s">
        <v>1306</v>
      </c>
      <c r="F347" s="1205" t="s">
        <v>5542</v>
      </c>
      <c r="G347" s="110" t="s">
        <v>5519</v>
      </c>
      <c r="H347" s="173" t="s">
        <v>432</v>
      </c>
      <c r="I347" s="57">
        <v>1</v>
      </c>
      <c r="J347" s="107" t="s">
        <v>432</v>
      </c>
      <c r="K347" s="107" t="s">
        <v>432</v>
      </c>
      <c r="L347" s="107" t="s">
        <v>432</v>
      </c>
      <c r="M347" s="107" t="s">
        <v>432</v>
      </c>
      <c r="N347" s="107" t="s">
        <v>432</v>
      </c>
      <c r="O347" s="107" t="s">
        <v>432</v>
      </c>
      <c r="P347" s="107" t="s">
        <v>432</v>
      </c>
      <c r="Q347" s="107" t="s">
        <v>432</v>
      </c>
      <c r="R347" s="107" t="s">
        <v>432</v>
      </c>
      <c r="S347" s="109" t="s">
        <v>2209</v>
      </c>
      <c r="T347" s="107" t="s">
        <v>432</v>
      </c>
      <c r="U347" s="107" t="s">
        <v>432</v>
      </c>
      <c r="V347" s="109" t="s">
        <v>2209</v>
      </c>
      <c r="W347" s="107" t="s">
        <v>432</v>
      </c>
      <c r="X347" s="107" t="s">
        <v>432</v>
      </c>
      <c r="Y347" s="107" t="s">
        <v>432</v>
      </c>
      <c r="Z347" s="107" t="s">
        <v>432</v>
      </c>
      <c r="AA347" s="107" t="s">
        <v>432</v>
      </c>
      <c r="AB347" s="107" t="s">
        <v>432</v>
      </c>
      <c r="AC347" s="107" t="s">
        <v>432</v>
      </c>
      <c r="AD347" s="107" t="s">
        <v>432</v>
      </c>
      <c r="AE347" s="107" t="s">
        <v>432</v>
      </c>
      <c r="AF347" s="107" t="s">
        <v>432</v>
      </c>
      <c r="AG347" s="107" t="s">
        <v>432</v>
      </c>
      <c r="AH347" s="107" t="s">
        <v>432</v>
      </c>
      <c r="AI347" s="107" t="s">
        <v>432</v>
      </c>
      <c r="AJ347" s="84">
        <v>0</v>
      </c>
      <c r="AK347" s="84">
        <v>0</v>
      </c>
      <c r="AL347" s="600" t="s">
        <v>432</v>
      </c>
      <c r="AM347" s="137" t="s">
        <v>432</v>
      </c>
      <c r="AN347" s="137" t="s">
        <v>432</v>
      </c>
      <c r="AO347" s="137" t="s">
        <v>432</v>
      </c>
      <c r="AP347" s="137" t="s">
        <v>432</v>
      </c>
      <c r="AQ347" s="137" t="s">
        <v>432</v>
      </c>
      <c r="AR347" s="137" t="s">
        <v>432</v>
      </c>
      <c r="AS347" s="137" t="s">
        <v>432</v>
      </c>
      <c r="AT347" s="137" t="s">
        <v>432</v>
      </c>
      <c r="AU347" s="137" t="s">
        <v>432</v>
      </c>
      <c r="AV347" s="137" t="s">
        <v>432</v>
      </c>
      <c r="AW347" s="137" t="s">
        <v>432</v>
      </c>
      <c r="AX347" s="137" t="s">
        <v>432</v>
      </c>
      <c r="AY347" s="137" t="s">
        <v>432</v>
      </c>
      <c r="AZ347" s="137" t="s">
        <v>432</v>
      </c>
      <c r="BA347" s="137" t="s">
        <v>432</v>
      </c>
      <c r="BB347" s="239" t="str">
        <f>B347&amp;C347</f>
        <v>BRTacessibilidade</v>
      </c>
      <c r="BC347" s="239" t="str">
        <f>B347&amp;C347&amp;H347</f>
        <v>BRTacessibilidadex</v>
      </c>
      <c r="BD347" s="239" t="str">
        <f>B347&amp;H347</f>
        <v>BRTx</v>
      </c>
    </row>
    <row r="348" spans="1:56" s="1" customFormat="1" ht="35.25" customHeight="1" x14ac:dyDescent="0.25">
      <c r="A348" s="275" t="str">
        <f>'Q100b-totais'!B54</f>
        <v>8.2</v>
      </c>
      <c r="B348" s="1205" t="str">
        <f>'Q100b-totais'!C54</f>
        <v>BRT</v>
      </c>
      <c r="C348" s="167" t="s">
        <v>743</v>
      </c>
      <c r="D348" s="324" t="s">
        <v>5714</v>
      </c>
      <c r="E348" s="1491" t="s">
        <v>1306</v>
      </c>
      <c r="F348" s="1205" t="s">
        <v>5510</v>
      </c>
      <c r="G348" s="370" t="s">
        <v>5472</v>
      </c>
      <c r="H348" s="173" t="s">
        <v>432</v>
      </c>
      <c r="I348" s="57">
        <v>1</v>
      </c>
      <c r="J348" s="107" t="s">
        <v>432</v>
      </c>
      <c r="K348" s="107" t="s">
        <v>432</v>
      </c>
      <c r="L348" s="107" t="s">
        <v>432</v>
      </c>
      <c r="M348" s="107" t="s">
        <v>432</v>
      </c>
      <c r="N348" s="107" t="s">
        <v>432</v>
      </c>
      <c r="O348" s="107" t="s">
        <v>432</v>
      </c>
      <c r="P348" s="107" t="s">
        <v>432</v>
      </c>
      <c r="Q348" s="107" t="s">
        <v>432</v>
      </c>
      <c r="R348" s="107" t="s">
        <v>432</v>
      </c>
      <c r="S348" s="109" t="s">
        <v>2209</v>
      </c>
      <c r="T348" s="107" t="s">
        <v>432</v>
      </c>
      <c r="U348" s="107" t="s">
        <v>432</v>
      </c>
      <c r="V348" s="109" t="s">
        <v>2209</v>
      </c>
      <c r="W348" s="107" t="s">
        <v>432</v>
      </c>
      <c r="X348" s="107" t="s">
        <v>432</v>
      </c>
      <c r="Y348" s="107" t="s">
        <v>432</v>
      </c>
      <c r="Z348" s="107" t="s">
        <v>432</v>
      </c>
      <c r="AA348" s="107" t="s">
        <v>432</v>
      </c>
      <c r="AB348" s="107" t="s">
        <v>432</v>
      </c>
      <c r="AC348" s="107" t="s">
        <v>432</v>
      </c>
      <c r="AD348" s="107" t="s">
        <v>432</v>
      </c>
      <c r="AE348" s="107" t="s">
        <v>432</v>
      </c>
      <c r="AF348" s="107" t="s">
        <v>432</v>
      </c>
      <c r="AG348" s="107" t="s">
        <v>432</v>
      </c>
      <c r="AH348" s="107" t="s">
        <v>432</v>
      </c>
      <c r="AI348" s="107" t="s">
        <v>432</v>
      </c>
      <c r="AJ348" s="23">
        <f>SUM(AJ352+AJ356+AJ362)</f>
        <v>32</v>
      </c>
      <c r="AK348" s="23">
        <f>SUM(AK352+AK356+AK362)</f>
        <v>32</v>
      </c>
      <c r="AL348" s="600" t="s">
        <v>432</v>
      </c>
      <c r="AM348" s="137" t="s">
        <v>432</v>
      </c>
      <c r="AN348" s="137" t="s">
        <v>432</v>
      </c>
      <c r="AO348" s="137" t="s">
        <v>432</v>
      </c>
      <c r="AP348" s="137" t="s">
        <v>432</v>
      </c>
      <c r="AQ348" s="137" t="s">
        <v>432</v>
      </c>
      <c r="AR348" s="137" t="s">
        <v>432</v>
      </c>
      <c r="AS348" s="137" t="s">
        <v>432</v>
      </c>
      <c r="AT348" s="137" t="s">
        <v>432</v>
      </c>
      <c r="AU348" s="137" t="s">
        <v>432</v>
      </c>
      <c r="AV348" s="137" t="s">
        <v>432</v>
      </c>
      <c r="AW348" s="137" t="s">
        <v>432</v>
      </c>
      <c r="AX348" s="137" t="s">
        <v>432</v>
      </c>
      <c r="AY348" s="137" t="s">
        <v>432</v>
      </c>
      <c r="AZ348" s="137" t="s">
        <v>432</v>
      </c>
      <c r="BA348" s="137" t="s">
        <v>432</v>
      </c>
      <c r="BB348" s="239" t="str">
        <f>B348&amp;C348</f>
        <v>BRTacessibilidade</v>
      </c>
      <c r="BC348" s="239" t="str">
        <f>B348&amp;C348&amp;H348</f>
        <v>BRTacessibilidadex</v>
      </c>
      <c r="BD348" s="239" t="str">
        <f>B348&amp;H348</f>
        <v>BRTx</v>
      </c>
    </row>
    <row r="349" spans="1:56" s="3" customFormat="1" x14ac:dyDescent="0.25">
      <c r="A349" s="402"/>
      <c r="B349" s="399"/>
      <c r="C349" s="399"/>
      <c r="D349" s="970"/>
      <c r="E349" s="1495"/>
      <c r="F349" s="399"/>
      <c r="G349" s="399"/>
      <c r="H349" s="399"/>
      <c r="I349" s="399"/>
      <c r="J349" s="399"/>
      <c r="K349" s="399"/>
      <c r="L349" s="399"/>
      <c r="M349" s="399"/>
      <c r="N349" s="399"/>
      <c r="O349" s="399"/>
      <c r="P349" s="399"/>
      <c r="Q349" s="399"/>
      <c r="R349" s="399"/>
      <c r="S349" s="399"/>
      <c r="T349" s="399"/>
      <c r="U349" s="399"/>
      <c r="V349" s="399"/>
      <c r="W349" s="399"/>
      <c r="X349" s="399"/>
      <c r="Y349" s="221"/>
      <c r="Z349" s="221"/>
      <c r="AA349" s="221"/>
      <c r="AB349" s="221"/>
      <c r="AC349" s="221"/>
      <c r="AD349" s="221"/>
      <c r="AE349" s="221"/>
      <c r="AF349" s="221"/>
      <c r="AG349" s="221"/>
      <c r="AH349" s="221"/>
      <c r="AI349" s="221"/>
      <c r="AJ349" s="221"/>
      <c r="AK349" s="223"/>
      <c r="AL349" s="600" t="s">
        <v>432</v>
      </c>
      <c r="AM349" s="223"/>
      <c r="AN349" s="223"/>
      <c r="AO349" s="223"/>
      <c r="AP349" s="223"/>
      <c r="AQ349" s="223"/>
      <c r="AR349" s="223"/>
      <c r="AS349" s="223"/>
      <c r="AT349" s="223"/>
      <c r="AU349" s="223"/>
      <c r="AV349" s="223"/>
      <c r="AW349" s="137" t="s">
        <v>432</v>
      </c>
      <c r="AX349" s="223"/>
      <c r="AY349" s="223"/>
      <c r="AZ349" s="223"/>
      <c r="BA349" s="223"/>
      <c r="BB349" s="400"/>
      <c r="BC349" s="400"/>
      <c r="BD349" s="400"/>
    </row>
    <row r="350" spans="1:56" s="1" customFormat="1" ht="44.25" customHeight="1" x14ac:dyDescent="0.25">
      <c r="A350" s="275" t="str">
        <f>'Q100b-totais'!B54</f>
        <v>8.2</v>
      </c>
      <c r="B350" s="1205" t="str">
        <f>'Q100b-totais'!C54</f>
        <v>BRT</v>
      </c>
      <c r="C350" s="167" t="s">
        <v>432</v>
      </c>
      <c r="D350" s="324" t="s">
        <v>5733</v>
      </c>
      <c r="E350" s="1491" t="s">
        <v>1306</v>
      </c>
      <c r="F350" s="1205" t="s">
        <v>5743</v>
      </c>
      <c r="G350" s="110" t="s">
        <v>77</v>
      </c>
      <c r="H350" s="173" t="s">
        <v>432</v>
      </c>
      <c r="I350" s="57">
        <v>1</v>
      </c>
      <c r="J350" s="107" t="s">
        <v>432</v>
      </c>
      <c r="K350" s="107" t="s">
        <v>432</v>
      </c>
      <c r="L350" s="107" t="s">
        <v>432</v>
      </c>
      <c r="M350" s="107" t="s">
        <v>432</v>
      </c>
      <c r="N350" s="107" t="s">
        <v>432</v>
      </c>
      <c r="O350" s="107" t="s">
        <v>432</v>
      </c>
      <c r="P350" s="107" t="s">
        <v>432</v>
      </c>
      <c r="Q350" s="107" t="s">
        <v>432</v>
      </c>
      <c r="R350" s="107" t="s">
        <v>432</v>
      </c>
      <c r="S350" s="109" t="s">
        <v>2209</v>
      </c>
      <c r="T350" s="107" t="s">
        <v>432</v>
      </c>
      <c r="U350" s="107" t="s">
        <v>432</v>
      </c>
      <c r="V350" s="109" t="s">
        <v>2209</v>
      </c>
      <c r="W350" s="107" t="s">
        <v>432</v>
      </c>
      <c r="X350" s="107" t="s">
        <v>432</v>
      </c>
      <c r="Y350" s="107" t="s">
        <v>432</v>
      </c>
      <c r="Z350" s="107" t="s">
        <v>432</v>
      </c>
      <c r="AA350" s="107" t="s">
        <v>432</v>
      </c>
      <c r="AB350" s="107" t="s">
        <v>432</v>
      </c>
      <c r="AC350" s="107" t="s">
        <v>432</v>
      </c>
      <c r="AD350" s="107" t="s">
        <v>432</v>
      </c>
      <c r="AE350" s="107" t="s">
        <v>432</v>
      </c>
      <c r="AF350" s="107" t="s">
        <v>432</v>
      </c>
      <c r="AG350" s="107" t="s">
        <v>432</v>
      </c>
      <c r="AH350" s="107" t="s">
        <v>432</v>
      </c>
      <c r="AI350" s="107" t="s">
        <v>432</v>
      </c>
      <c r="AJ350" s="84">
        <v>1.3</v>
      </c>
      <c r="AK350" s="84">
        <v>1.3</v>
      </c>
      <c r="AL350" s="600" t="s">
        <v>432</v>
      </c>
      <c r="AM350" s="84">
        <v>1.3</v>
      </c>
      <c r="AN350" s="137" t="s">
        <v>432</v>
      </c>
      <c r="AO350" s="137" t="s">
        <v>432</v>
      </c>
      <c r="AP350" s="137" t="s">
        <v>432</v>
      </c>
      <c r="AQ350" s="137" t="s">
        <v>432</v>
      </c>
      <c r="AR350" s="137" t="s">
        <v>432</v>
      </c>
      <c r="AS350" s="137" t="s">
        <v>432</v>
      </c>
      <c r="AT350" s="137" t="s">
        <v>432</v>
      </c>
      <c r="AU350" s="137" t="s">
        <v>432</v>
      </c>
      <c r="AV350" s="137" t="s">
        <v>432</v>
      </c>
      <c r="AW350" s="137" t="s">
        <v>432</v>
      </c>
      <c r="AX350" s="137" t="s">
        <v>432</v>
      </c>
      <c r="AY350" s="137" t="s">
        <v>432</v>
      </c>
      <c r="AZ350" s="137" t="s">
        <v>432</v>
      </c>
      <c r="BA350" s="137" t="s">
        <v>432</v>
      </c>
      <c r="BB350" s="239" t="str">
        <f>B350&amp;C350</f>
        <v>BRTx</v>
      </c>
      <c r="BC350" s="239" t="str">
        <f>B350&amp;C350&amp;H350</f>
        <v>BRTxx</v>
      </c>
      <c r="BD350" s="239" t="str">
        <f>B350&amp;H350</f>
        <v>BRTx</v>
      </c>
    </row>
    <row r="351" spans="1:56" s="1" customFormat="1" ht="42" customHeight="1" x14ac:dyDescent="0.25">
      <c r="A351" s="275" t="str">
        <f>'Q100b-totais'!B54</f>
        <v>8.2</v>
      </c>
      <c r="B351" s="1205" t="str">
        <f>'Q100b-totais'!C54</f>
        <v>BRT</v>
      </c>
      <c r="C351" s="167" t="s">
        <v>743</v>
      </c>
      <c r="D351" s="324" t="s">
        <v>5715</v>
      </c>
      <c r="E351" s="1491" t="s">
        <v>1306</v>
      </c>
      <c r="F351" s="1205" t="s">
        <v>5514</v>
      </c>
      <c r="G351" s="110" t="s">
        <v>77</v>
      </c>
      <c r="H351" s="173" t="s">
        <v>432</v>
      </c>
      <c r="I351" s="57">
        <v>1</v>
      </c>
      <c r="J351" s="107" t="s">
        <v>432</v>
      </c>
      <c r="K351" s="107" t="s">
        <v>432</v>
      </c>
      <c r="L351" s="107" t="s">
        <v>432</v>
      </c>
      <c r="M351" s="107" t="s">
        <v>432</v>
      </c>
      <c r="N351" s="107" t="s">
        <v>432</v>
      </c>
      <c r="O351" s="107" t="s">
        <v>432</v>
      </c>
      <c r="P351" s="107" t="s">
        <v>432</v>
      </c>
      <c r="Q351" s="107" t="s">
        <v>432</v>
      </c>
      <c r="R351" s="107" t="s">
        <v>432</v>
      </c>
      <c r="S351" s="109" t="s">
        <v>2209</v>
      </c>
      <c r="T351" s="107" t="s">
        <v>432</v>
      </c>
      <c r="U351" s="107" t="s">
        <v>432</v>
      </c>
      <c r="V351" s="109" t="s">
        <v>2209</v>
      </c>
      <c r="W351" s="107" t="s">
        <v>432</v>
      </c>
      <c r="X351" s="107" t="s">
        <v>432</v>
      </c>
      <c r="Y351" s="107" t="s">
        <v>432</v>
      </c>
      <c r="Z351" s="107" t="s">
        <v>432</v>
      </c>
      <c r="AA351" s="107" t="s">
        <v>432</v>
      </c>
      <c r="AB351" s="107" t="s">
        <v>432</v>
      </c>
      <c r="AC351" s="107" t="s">
        <v>432</v>
      </c>
      <c r="AD351" s="107" t="s">
        <v>432</v>
      </c>
      <c r="AE351" s="107" t="s">
        <v>432</v>
      </c>
      <c r="AF351" s="107" t="s">
        <v>432</v>
      </c>
      <c r="AG351" s="107" t="s">
        <v>432</v>
      </c>
      <c r="AH351" s="107" t="s">
        <v>432</v>
      </c>
      <c r="AI351" s="107" t="s">
        <v>432</v>
      </c>
      <c r="AJ351" s="84">
        <v>0</v>
      </c>
      <c r="AK351" s="84">
        <v>0</v>
      </c>
      <c r="AL351" s="600" t="s">
        <v>432</v>
      </c>
      <c r="AM351" s="137" t="s">
        <v>432</v>
      </c>
      <c r="AN351" s="137" t="s">
        <v>432</v>
      </c>
      <c r="AO351" s="137" t="s">
        <v>432</v>
      </c>
      <c r="AP351" s="137" t="s">
        <v>432</v>
      </c>
      <c r="AQ351" s="137" t="s">
        <v>432</v>
      </c>
      <c r="AR351" s="137" t="s">
        <v>432</v>
      </c>
      <c r="AS351" s="137" t="s">
        <v>432</v>
      </c>
      <c r="AT351" s="137" t="s">
        <v>432</v>
      </c>
      <c r="AU351" s="137" t="s">
        <v>432</v>
      </c>
      <c r="AV351" s="137" t="s">
        <v>432</v>
      </c>
      <c r="AW351" s="137" t="s">
        <v>432</v>
      </c>
      <c r="AX351" s="137" t="s">
        <v>432</v>
      </c>
      <c r="AY351" s="137" t="s">
        <v>432</v>
      </c>
      <c r="AZ351" s="137" t="s">
        <v>432</v>
      </c>
      <c r="BA351" s="137" t="s">
        <v>432</v>
      </c>
      <c r="BB351" s="239" t="str">
        <f>B351&amp;C351</f>
        <v>BRTacessibilidade</v>
      </c>
      <c r="BC351" s="239" t="str">
        <f>B351&amp;C351&amp;H351</f>
        <v>BRTacessibilidadex</v>
      </c>
      <c r="BD351" s="239" t="str">
        <f>B351&amp;H351</f>
        <v>BRTx</v>
      </c>
    </row>
    <row r="352" spans="1:56" s="1" customFormat="1" ht="46.5" customHeight="1" x14ac:dyDescent="0.25">
      <c r="A352" s="275" t="str">
        <f>'Q100b-totais'!B54</f>
        <v>8.2</v>
      </c>
      <c r="B352" s="1205" t="str">
        <f>'Q100b-totais'!C54</f>
        <v>BRT</v>
      </c>
      <c r="C352" s="167" t="s">
        <v>743</v>
      </c>
      <c r="D352" s="324" t="s">
        <v>5716</v>
      </c>
      <c r="E352" s="1491" t="s">
        <v>1306</v>
      </c>
      <c r="F352" s="1205" t="s">
        <v>5770</v>
      </c>
      <c r="G352" s="110" t="s">
        <v>77</v>
      </c>
      <c r="H352" s="173" t="s">
        <v>432</v>
      </c>
      <c r="I352" s="57">
        <v>1</v>
      </c>
      <c r="J352" s="107" t="s">
        <v>432</v>
      </c>
      <c r="K352" s="107" t="s">
        <v>432</v>
      </c>
      <c r="L352" s="107" t="s">
        <v>432</v>
      </c>
      <c r="M352" s="107" t="s">
        <v>432</v>
      </c>
      <c r="N352" s="107" t="s">
        <v>432</v>
      </c>
      <c r="O352" s="107" t="s">
        <v>432</v>
      </c>
      <c r="P352" s="107" t="s">
        <v>432</v>
      </c>
      <c r="Q352" s="107" t="s">
        <v>432</v>
      </c>
      <c r="R352" s="107" t="s">
        <v>432</v>
      </c>
      <c r="S352" s="109" t="s">
        <v>2209</v>
      </c>
      <c r="T352" s="107" t="s">
        <v>432</v>
      </c>
      <c r="U352" s="107" t="s">
        <v>432</v>
      </c>
      <c r="V352" s="109" t="s">
        <v>2209</v>
      </c>
      <c r="W352" s="107" t="s">
        <v>432</v>
      </c>
      <c r="X352" s="107" t="s">
        <v>432</v>
      </c>
      <c r="Y352" s="107" t="s">
        <v>432</v>
      </c>
      <c r="Z352" s="107" t="s">
        <v>432</v>
      </c>
      <c r="AA352" s="107" t="s">
        <v>432</v>
      </c>
      <c r="AB352" s="107" t="s">
        <v>432</v>
      </c>
      <c r="AC352" s="107" t="s">
        <v>432</v>
      </c>
      <c r="AD352" s="107" t="s">
        <v>432</v>
      </c>
      <c r="AE352" s="107" t="s">
        <v>432</v>
      </c>
      <c r="AF352" s="107" t="s">
        <v>432</v>
      </c>
      <c r="AG352" s="107" t="s">
        <v>432</v>
      </c>
      <c r="AH352" s="107" t="s">
        <v>432</v>
      </c>
      <c r="AI352" s="107" t="s">
        <v>432</v>
      </c>
      <c r="AJ352" s="84">
        <f>3+3</f>
        <v>6</v>
      </c>
      <c r="AK352" s="84">
        <f>3+3</f>
        <v>6</v>
      </c>
      <c r="AL352" s="600" t="s">
        <v>432</v>
      </c>
      <c r="AM352" s="137" t="s">
        <v>432</v>
      </c>
      <c r="AN352" s="137" t="s">
        <v>432</v>
      </c>
      <c r="AO352" s="137" t="s">
        <v>432</v>
      </c>
      <c r="AP352" s="137" t="s">
        <v>432</v>
      </c>
      <c r="AQ352" s="137" t="s">
        <v>432</v>
      </c>
      <c r="AR352" s="137" t="s">
        <v>432</v>
      </c>
      <c r="AS352" s="137" t="s">
        <v>432</v>
      </c>
      <c r="AT352" s="137" t="s">
        <v>432</v>
      </c>
      <c r="AU352" s="137" t="s">
        <v>432</v>
      </c>
      <c r="AV352" s="137" t="s">
        <v>432</v>
      </c>
      <c r="AW352" s="137" t="s">
        <v>432</v>
      </c>
      <c r="AX352" s="137" t="s">
        <v>432</v>
      </c>
      <c r="AY352" s="137" t="s">
        <v>432</v>
      </c>
      <c r="AZ352" s="137" t="s">
        <v>432</v>
      </c>
      <c r="BA352" s="137" t="s">
        <v>432</v>
      </c>
      <c r="BB352" s="239" t="str">
        <f>B352&amp;C352</f>
        <v>BRTacessibilidade</v>
      </c>
      <c r="BC352" s="239" t="str">
        <f>B352&amp;C352&amp;H352</f>
        <v>BRTacessibilidadex</v>
      </c>
      <c r="BD352" s="239" t="str">
        <f>B352&amp;H352</f>
        <v>BRTx</v>
      </c>
    </row>
    <row r="353" spans="1:56" s="3" customFormat="1" x14ac:dyDescent="0.25">
      <c r="A353" s="402"/>
      <c r="B353" s="399"/>
      <c r="C353" s="399"/>
      <c r="D353" s="970"/>
      <c r="E353" s="1495"/>
      <c r="F353" s="399"/>
      <c r="G353" s="399"/>
      <c r="H353" s="399"/>
      <c r="I353" s="399"/>
      <c r="J353" s="399"/>
      <c r="K353" s="399"/>
      <c r="L353" s="399"/>
      <c r="M353" s="399"/>
      <c r="N353" s="399"/>
      <c r="O353" s="399"/>
      <c r="P353" s="399"/>
      <c r="Q353" s="399"/>
      <c r="R353" s="399"/>
      <c r="S353" s="399"/>
      <c r="T353" s="399"/>
      <c r="U353" s="399"/>
      <c r="V353" s="399"/>
      <c r="W353" s="399"/>
      <c r="X353" s="399"/>
      <c r="Y353" s="221"/>
      <c r="Z353" s="221"/>
      <c r="AA353" s="221"/>
      <c r="AB353" s="221"/>
      <c r="AC353" s="221"/>
      <c r="AD353" s="221"/>
      <c r="AE353" s="221"/>
      <c r="AF353" s="221"/>
      <c r="AG353" s="221"/>
      <c r="AH353" s="221"/>
      <c r="AI353" s="221"/>
      <c r="AJ353" s="221"/>
      <c r="AK353" s="223"/>
      <c r="AL353" s="600" t="s">
        <v>432</v>
      </c>
      <c r="AM353" s="223"/>
      <c r="AN353" s="223"/>
      <c r="AO353" s="223"/>
      <c r="AP353" s="223"/>
      <c r="AQ353" s="223"/>
      <c r="AR353" s="223"/>
      <c r="AS353" s="223"/>
      <c r="AT353" s="223"/>
      <c r="AU353" s="223"/>
      <c r="AV353" s="223"/>
      <c r="AW353" s="137" t="s">
        <v>432</v>
      </c>
      <c r="AX353" s="223"/>
      <c r="AY353" s="223"/>
      <c r="AZ353" s="223"/>
      <c r="BA353" s="223"/>
      <c r="BB353" s="400"/>
      <c r="BC353" s="400"/>
      <c r="BD353" s="400"/>
    </row>
    <row r="354" spans="1:56" s="1" customFormat="1" ht="93.75" customHeight="1" x14ac:dyDescent="0.25">
      <c r="A354" s="275" t="str">
        <f>'Q100b-totais'!B54</f>
        <v>8.2</v>
      </c>
      <c r="B354" s="1205" t="str">
        <f>'Q100b-totais'!C54</f>
        <v>BRT</v>
      </c>
      <c r="C354" s="167" t="s">
        <v>432</v>
      </c>
      <c r="D354" s="324" t="s">
        <v>5732</v>
      </c>
      <c r="E354" s="1508" t="s">
        <v>1306</v>
      </c>
      <c r="F354" s="1205" t="s">
        <v>5771</v>
      </c>
      <c r="G354" s="110" t="s">
        <v>77</v>
      </c>
      <c r="H354" s="173" t="s">
        <v>432</v>
      </c>
      <c r="I354" s="57">
        <v>1</v>
      </c>
      <c r="J354" s="107" t="s">
        <v>432</v>
      </c>
      <c r="K354" s="107" t="s">
        <v>432</v>
      </c>
      <c r="L354" s="107" t="s">
        <v>432</v>
      </c>
      <c r="M354" s="107" t="s">
        <v>432</v>
      </c>
      <c r="N354" s="107" t="s">
        <v>432</v>
      </c>
      <c r="O354" s="107" t="s">
        <v>432</v>
      </c>
      <c r="P354" s="107" t="s">
        <v>432</v>
      </c>
      <c r="Q354" s="107" t="s">
        <v>432</v>
      </c>
      <c r="R354" s="107" t="s">
        <v>432</v>
      </c>
      <c r="S354" s="109" t="s">
        <v>2209</v>
      </c>
      <c r="T354" s="107" t="s">
        <v>432</v>
      </c>
      <c r="U354" s="107" t="s">
        <v>432</v>
      </c>
      <c r="V354" s="109" t="s">
        <v>2209</v>
      </c>
      <c r="W354" s="107" t="s">
        <v>432</v>
      </c>
      <c r="X354" s="107" t="s">
        <v>432</v>
      </c>
      <c r="Y354" s="107" t="s">
        <v>432</v>
      </c>
      <c r="Z354" s="107" t="s">
        <v>432</v>
      </c>
      <c r="AA354" s="107" t="s">
        <v>432</v>
      </c>
      <c r="AB354" s="107" t="s">
        <v>432</v>
      </c>
      <c r="AC354" s="107" t="s">
        <v>432</v>
      </c>
      <c r="AD354" s="107" t="s">
        <v>432</v>
      </c>
      <c r="AE354" s="107" t="s">
        <v>432</v>
      </c>
      <c r="AF354" s="107" t="s">
        <v>432</v>
      </c>
      <c r="AG354" s="107" t="s">
        <v>432</v>
      </c>
      <c r="AH354" s="107" t="s">
        <v>432</v>
      </c>
      <c r="AI354" s="107" t="s">
        <v>432</v>
      </c>
      <c r="AJ354" s="84">
        <v>14.7</v>
      </c>
      <c r="AK354" s="84">
        <v>14.7</v>
      </c>
      <c r="AL354" s="600" t="s">
        <v>432</v>
      </c>
      <c r="AM354" s="84">
        <v>14.7</v>
      </c>
      <c r="AN354" s="137" t="s">
        <v>432</v>
      </c>
      <c r="AO354" s="137" t="s">
        <v>432</v>
      </c>
      <c r="AP354" s="137" t="s">
        <v>432</v>
      </c>
      <c r="AQ354" s="137" t="s">
        <v>432</v>
      </c>
      <c r="AR354" s="137" t="s">
        <v>432</v>
      </c>
      <c r="AS354" s="137" t="s">
        <v>432</v>
      </c>
      <c r="AT354" s="137" t="s">
        <v>432</v>
      </c>
      <c r="AU354" s="137" t="s">
        <v>432</v>
      </c>
      <c r="AV354" s="137" t="s">
        <v>432</v>
      </c>
      <c r="AW354" s="137" t="s">
        <v>432</v>
      </c>
      <c r="AX354" s="137" t="s">
        <v>432</v>
      </c>
      <c r="AY354" s="137" t="s">
        <v>432</v>
      </c>
      <c r="AZ354" s="137" t="s">
        <v>432</v>
      </c>
      <c r="BA354" s="137" t="s">
        <v>432</v>
      </c>
      <c r="BB354" s="239" t="str">
        <f>B354&amp;C354</f>
        <v>BRTx</v>
      </c>
      <c r="BC354" s="239" t="str">
        <f>B354&amp;C354&amp;H354</f>
        <v>BRTxx</v>
      </c>
      <c r="BD354" s="239" t="str">
        <f>B354&amp;H354</f>
        <v>BRTx</v>
      </c>
    </row>
    <row r="355" spans="1:56" s="1" customFormat="1" ht="40.5" customHeight="1" x14ac:dyDescent="0.25">
      <c r="A355" s="275" t="str">
        <f>'Q100b-totais'!B54</f>
        <v>8.2</v>
      </c>
      <c r="B355" s="1205" t="str">
        <f>'Q100b-totais'!C54</f>
        <v>BRT</v>
      </c>
      <c r="C355" s="167" t="s">
        <v>743</v>
      </c>
      <c r="D355" s="324" t="s">
        <v>5517</v>
      </c>
      <c r="E355" s="1491" t="s">
        <v>1306</v>
      </c>
      <c r="F355" s="1205" t="s">
        <v>5515</v>
      </c>
      <c r="G355" s="110" t="s">
        <v>77</v>
      </c>
      <c r="H355" s="173" t="s">
        <v>432</v>
      </c>
      <c r="I355" s="57">
        <v>1</v>
      </c>
      <c r="J355" s="107" t="s">
        <v>432</v>
      </c>
      <c r="K355" s="107" t="s">
        <v>432</v>
      </c>
      <c r="L355" s="107" t="s">
        <v>432</v>
      </c>
      <c r="M355" s="107" t="s">
        <v>432</v>
      </c>
      <c r="N355" s="107" t="s">
        <v>432</v>
      </c>
      <c r="O355" s="107" t="s">
        <v>432</v>
      </c>
      <c r="P355" s="107" t="s">
        <v>432</v>
      </c>
      <c r="Q355" s="107" t="s">
        <v>432</v>
      </c>
      <c r="R355" s="107" t="s">
        <v>432</v>
      </c>
      <c r="S355" s="109" t="s">
        <v>2209</v>
      </c>
      <c r="T355" s="107" t="s">
        <v>432</v>
      </c>
      <c r="U355" s="107" t="s">
        <v>432</v>
      </c>
      <c r="V355" s="109" t="s">
        <v>2209</v>
      </c>
      <c r="W355" s="107" t="s">
        <v>432</v>
      </c>
      <c r="X355" s="107" t="s">
        <v>432</v>
      </c>
      <c r="Y355" s="107" t="s">
        <v>432</v>
      </c>
      <c r="Z355" s="107" t="s">
        <v>432</v>
      </c>
      <c r="AA355" s="107" t="s">
        <v>432</v>
      </c>
      <c r="AB355" s="107" t="s">
        <v>432</v>
      </c>
      <c r="AC355" s="107" t="s">
        <v>432</v>
      </c>
      <c r="AD355" s="107" t="s">
        <v>432</v>
      </c>
      <c r="AE355" s="107" t="s">
        <v>432</v>
      </c>
      <c r="AF355" s="107" t="s">
        <v>432</v>
      </c>
      <c r="AG355" s="107" t="s">
        <v>432</v>
      </c>
      <c r="AH355" s="107" t="s">
        <v>432</v>
      </c>
      <c r="AI355" s="107" t="s">
        <v>432</v>
      </c>
      <c r="AJ355" s="84">
        <v>0</v>
      </c>
      <c r="AK355" s="84">
        <v>0</v>
      </c>
      <c r="AL355" s="600" t="s">
        <v>432</v>
      </c>
      <c r="AM355" s="137" t="s">
        <v>432</v>
      </c>
      <c r="AN355" s="137" t="s">
        <v>432</v>
      </c>
      <c r="AO355" s="137" t="s">
        <v>432</v>
      </c>
      <c r="AP355" s="137" t="s">
        <v>432</v>
      </c>
      <c r="AQ355" s="137" t="s">
        <v>432</v>
      </c>
      <c r="AR355" s="137" t="s">
        <v>432</v>
      </c>
      <c r="AS355" s="137" t="s">
        <v>432</v>
      </c>
      <c r="AT355" s="137" t="s">
        <v>432</v>
      </c>
      <c r="AU355" s="137" t="s">
        <v>432</v>
      </c>
      <c r="AV355" s="137" t="s">
        <v>432</v>
      </c>
      <c r="AW355" s="137" t="s">
        <v>432</v>
      </c>
      <c r="AX355" s="137" t="s">
        <v>432</v>
      </c>
      <c r="AY355" s="137" t="s">
        <v>432</v>
      </c>
      <c r="AZ355" s="137" t="s">
        <v>432</v>
      </c>
      <c r="BA355" s="137" t="s">
        <v>432</v>
      </c>
      <c r="BB355" s="239" t="str">
        <f>B355&amp;C355</f>
        <v>BRTacessibilidade</v>
      </c>
      <c r="BC355" s="239" t="str">
        <f>B355&amp;C355&amp;H355</f>
        <v>BRTacessibilidadex</v>
      </c>
      <c r="BD355" s="239" t="str">
        <f>B355&amp;H355</f>
        <v>BRTx</v>
      </c>
    </row>
    <row r="356" spans="1:56" s="1" customFormat="1" ht="40.5" customHeight="1" x14ac:dyDescent="0.25">
      <c r="A356" s="275" t="str">
        <f>'Q100b-totais'!B54</f>
        <v>8.2</v>
      </c>
      <c r="B356" s="1205" t="str">
        <f>'Q100b-totais'!C54</f>
        <v>BRT</v>
      </c>
      <c r="C356" s="167" t="s">
        <v>743</v>
      </c>
      <c r="D356" s="324" t="s">
        <v>5496</v>
      </c>
      <c r="E356" s="1491" t="s">
        <v>1306</v>
      </c>
      <c r="F356" s="1205" t="s">
        <v>5511</v>
      </c>
      <c r="G356" s="110" t="s">
        <v>77</v>
      </c>
      <c r="H356" s="173" t="s">
        <v>432</v>
      </c>
      <c r="I356" s="57">
        <v>1</v>
      </c>
      <c r="J356" s="107" t="s">
        <v>432</v>
      </c>
      <c r="K356" s="107" t="s">
        <v>432</v>
      </c>
      <c r="L356" s="107" t="s">
        <v>432</v>
      </c>
      <c r="M356" s="107" t="s">
        <v>432</v>
      </c>
      <c r="N356" s="107" t="s">
        <v>432</v>
      </c>
      <c r="O356" s="107" t="s">
        <v>432</v>
      </c>
      <c r="P356" s="107" t="s">
        <v>432</v>
      </c>
      <c r="Q356" s="107" t="s">
        <v>432</v>
      </c>
      <c r="R356" s="107" t="s">
        <v>432</v>
      </c>
      <c r="S356" s="109" t="s">
        <v>2209</v>
      </c>
      <c r="T356" s="107" t="s">
        <v>432</v>
      </c>
      <c r="U356" s="107" t="s">
        <v>432</v>
      </c>
      <c r="V356" s="109" t="s">
        <v>2209</v>
      </c>
      <c r="W356" s="107" t="s">
        <v>432</v>
      </c>
      <c r="X356" s="107" t="s">
        <v>432</v>
      </c>
      <c r="Y356" s="107" t="s">
        <v>432</v>
      </c>
      <c r="Z356" s="107" t="s">
        <v>432</v>
      </c>
      <c r="AA356" s="107" t="s">
        <v>432</v>
      </c>
      <c r="AB356" s="107" t="s">
        <v>432</v>
      </c>
      <c r="AC356" s="107" t="s">
        <v>432</v>
      </c>
      <c r="AD356" s="107" t="s">
        <v>432</v>
      </c>
      <c r="AE356" s="107" t="s">
        <v>432</v>
      </c>
      <c r="AF356" s="107" t="s">
        <v>432</v>
      </c>
      <c r="AG356" s="107" t="s">
        <v>432</v>
      </c>
      <c r="AH356" s="107" t="s">
        <v>432</v>
      </c>
      <c r="AI356" s="107" t="s">
        <v>432</v>
      </c>
      <c r="AJ356" s="84">
        <v>24</v>
      </c>
      <c r="AK356" s="84">
        <v>24</v>
      </c>
      <c r="AL356" s="600" t="s">
        <v>432</v>
      </c>
      <c r="AM356" s="137" t="s">
        <v>432</v>
      </c>
      <c r="AN356" s="137" t="s">
        <v>432</v>
      </c>
      <c r="AO356" s="137" t="s">
        <v>432</v>
      </c>
      <c r="AP356" s="137" t="s">
        <v>432</v>
      </c>
      <c r="AQ356" s="137" t="s">
        <v>432</v>
      </c>
      <c r="AR356" s="137" t="s">
        <v>432</v>
      </c>
      <c r="AS356" s="137" t="s">
        <v>432</v>
      </c>
      <c r="AT356" s="137" t="s">
        <v>432</v>
      </c>
      <c r="AU356" s="137" t="s">
        <v>432</v>
      </c>
      <c r="AV356" s="137" t="s">
        <v>432</v>
      </c>
      <c r="AW356" s="137" t="s">
        <v>432</v>
      </c>
      <c r="AX356" s="137" t="s">
        <v>432</v>
      </c>
      <c r="AY356" s="137" t="s">
        <v>432</v>
      </c>
      <c r="AZ356" s="137" t="s">
        <v>432</v>
      </c>
      <c r="BA356" s="137" t="s">
        <v>432</v>
      </c>
      <c r="BB356" s="239" t="str">
        <f>B356&amp;C356</f>
        <v>BRTacessibilidade</v>
      </c>
      <c r="BC356" s="239" t="str">
        <f>B356&amp;C356&amp;H356</f>
        <v>BRTacessibilidadex</v>
      </c>
      <c r="BD356" s="239" t="str">
        <f>B356&amp;H356</f>
        <v>BRTx</v>
      </c>
    </row>
    <row r="357" spans="1:56" s="3" customFormat="1" x14ac:dyDescent="0.25">
      <c r="A357" s="402"/>
      <c r="B357" s="399"/>
      <c r="C357" s="399"/>
      <c r="D357" s="970"/>
      <c r="E357" s="1495"/>
      <c r="F357" s="399"/>
      <c r="G357" s="399"/>
      <c r="H357" s="399"/>
      <c r="I357" s="399"/>
      <c r="J357" s="399"/>
      <c r="K357" s="399"/>
      <c r="L357" s="399"/>
      <c r="M357" s="399"/>
      <c r="N357" s="399"/>
      <c r="O357" s="399"/>
      <c r="P357" s="399"/>
      <c r="Q357" s="399"/>
      <c r="R357" s="399"/>
      <c r="S357" s="399"/>
      <c r="T357" s="399"/>
      <c r="U357" s="399"/>
      <c r="V357" s="399"/>
      <c r="W357" s="399"/>
      <c r="X357" s="399"/>
      <c r="Y357" s="221"/>
      <c r="Z357" s="221"/>
      <c r="AA357" s="221"/>
      <c r="AB357" s="221"/>
      <c r="AC357" s="221"/>
      <c r="AD357" s="221"/>
      <c r="AE357" s="221"/>
      <c r="AF357" s="221"/>
      <c r="AG357" s="221"/>
      <c r="AH357" s="221"/>
      <c r="AI357" s="221"/>
      <c r="AJ357" s="221"/>
      <c r="AK357" s="223"/>
      <c r="AL357" s="600" t="s">
        <v>432</v>
      </c>
      <c r="AM357" s="223"/>
      <c r="AN357" s="223"/>
      <c r="AO357" s="223"/>
      <c r="AP357" s="223"/>
      <c r="AQ357" s="223"/>
      <c r="AR357" s="223"/>
      <c r="AS357" s="223"/>
      <c r="AT357" s="223"/>
      <c r="AU357" s="223"/>
      <c r="AV357" s="223"/>
      <c r="AW357" s="137" t="s">
        <v>432</v>
      </c>
      <c r="AX357" s="223"/>
      <c r="AY357" s="223"/>
      <c r="AZ357" s="223"/>
      <c r="BA357" s="223"/>
      <c r="BB357" s="400"/>
      <c r="BC357" s="400"/>
      <c r="BD357" s="400"/>
    </row>
    <row r="358" spans="1:56" s="1" customFormat="1" ht="45" customHeight="1" x14ac:dyDescent="0.25">
      <c r="A358" s="275" t="str">
        <f>'Q100b-totais'!B54</f>
        <v>8.2</v>
      </c>
      <c r="B358" s="1205" t="str">
        <f>'Q100b-totais'!C54</f>
        <v>BRT</v>
      </c>
      <c r="C358" s="167" t="s">
        <v>432</v>
      </c>
      <c r="D358" s="324" t="s">
        <v>3253</v>
      </c>
      <c r="E358" s="1491" t="s">
        <v>432</v>
      </c>
      <c r="F358" s="1205" t="s">
        <v>5729</v>
      </c>
      <c r="G358" s="57" t="s">
        <v>3507</v>
      </c>
      <c r="H358" s="167" t="s">
        <v>2408</v>
      </c>
      <c r="I358" s="167" t="s">
        <v>432</v>
      </c>
      <c r="J358" s="107" t="s">
        <v>432</v>
      </c>
      <c r="K358" s="107" t="s">
        <v>432</v>
      </c>
      <c r="L358" s="107" t="s">
        <v>432</v>
      </c>
      <c r="M358" s="107" t="s">
        <v>432</v>
      </c>
      <c r="N358" s="107" t="s">
        <v>432</v>
      </c>
      <c r="O358" s="107" t="s">
        <v>432</v>
      </c>
      <c r="P358" s="107" t="s">
        <v>432</v>
      </c>
      <c r="Q358" s="107" t="s">
        <v>432</v>
      </c>
      <c r="R358" s="107" t="s">
        <v>432</v>
      </c>
      <c r="S358" s="109" t="s">
        <v>2209</v>
      </c>
      <c r="T358" s="107" t="s">
        <v>432</v>
      </c>
      <c r="U358" s="107" t="s">
        <v>432</v>
      </c>
      <c r="V358" s="109" t="s">
        <v>2209</v>
      </c>
      <c r="W358" s="107" t="s">
        <v>432</v>
      </c>
      <c r="X358" s="107" t="s">
        <v>432</v>
      </c>
      <c r="Y358" s="107" t="s">
        <v>432</v>
      </c>
      <c r="Z358" s="107" t="s">
        <v>432</v>
      </c>
      <c r="AA358" s="107" t="s">
        <v>432</v>
      </c>
      <c r="AB358" s="107" t="s">
        <v>432</v>
      </c>
      <c r="AC358" s="107" t="s">
        <v>432</v>
      </c>
      <c r="AD358" s="107" t="s">
        <v>432</v>
      </c>
      <c r="AE358" s="107" t="s">
        <v>432</v>
      </c>
      <c r="AF358" s="107" t="s">
        <v>432</v>
      </c>
      <c r="AG358" s="107" t="s">
        <v>432</v>
      </c>
      <c r="AH358" s="107" t="s">
        <v>432</v>
      </c>
      <c r="AI358" s="107" t="s">
        <v>432</v>
      </c>
      <c r="AJ358" s="107" t="s">
        <v>432</v>
      </c>
      <c r="AK358" s="137" t="s">
        <v>432</v>
      </c>
      <c r="AL358" s="600" t="s">
        <v>432</v>
      </c>
      <c r="AM358" s="137" t="s">
        <v>432</v>
      </c>
      <c r="AN358" s="137" t="s">
        <v>432</v>
      </c>
      <c r="AO358" s="137" t="s">
        <v>432</v>
      </c>
      <c r="AP358" s="137" t="s">
        <v>432</v>
      </c>
      <c r="AQ358" s="137" t="s">
        <v>432</v>
      </c>
      <c r="AR358" s="137" t="s">
        <v>432</v>
      </c>
      <c r="AS358" s="137" t="s">
        <v>432</v>
      </c>
      <c r="AT358" s="137" t="s">
        <v>432</v>
      </c>
      <c r="AU358" s="137" t="s">
        <v>432</v>
      </c>
      <c r="AV358" s="137" t="s">
        <v>432</v>
      </c>
      <c r="AW358" s="137" t="s">
        <v>432</v>
      </c>
      <c r="AX358" s="137" t="s">
        <v>432</v>
      </c>
      <c r="AY358" s="137" t="s">
        <v>432</v>
      </c>
      <c r="AZ358" s="137" t="s">
        <v>432</v>
      </c>
      <c r="BA358" s="137" t="s">
        <v>432</v>
      </c>
      <c r="BB358" s="239" t="str">
        <f>B358&amp;C358</f>
        <v>BRTx</v>
      </c>
      <c r="BC358" s="239" t="str">
        <f>B358&amp;C358&amp;H358</f>
        <v>BRTxsigla/verbete</v>
      </c>
      <c r="BD358" s="239" t="str">
        <f>B358&amp;H358</f>
        <v>BRTsigla/verbete</v>
      </c>
    </row>
    <row r="359" spans="1:56" s="3" customFormat="1" x14ac:dyDescent="0.25">
      <c r="A359" s="402"/>
      <c r="B359" s="399"/>
      <c r="C359" s="399"/>
      <c r="D359" s="970"/>
      <c r="E359" s="1495"/>
      <c r="F359" s="399"/>
      <c r="G359" s="399"/>
      <c r="H359" s="399"/>
      <c r="I359" s="399"/>
      <c r="J359" s="399"/>
      <c r="K359" s="399"/>
      <c r="L359" s="399"/>
      <c r="M359" s="399"/>
      <c r="N359" s="399"/>
      <c r="O359" s="399"/>
      <c r="P359" s="399"/>
      <c r="Q359" s="399"/>
      <c r="R359" s="399"/>
      <c r="S359" s="399"/>
      <c r="T359" s="399"/>
      <c r="U359" s="399"/>
      <c r="V359" s="399"/>
      <c r="W359" s="399"/>
      <c r="X359" s="399"/>
      <c r="Y359" s="221"/>
      <c r="Z359" s="221"/>
      <c r="AA359" s="221"/>
      <c r="AB359" s="221"/>
      <c r="AC359" s="221"/>
      <c r="AD359" s="221"/>
      <c r="AE359" s="221"/>
      <c r="AF359" s="221"/>
      <c r="AG359" s="221"/>
      <c r="AH359" s="221"/>
      <c r="AI359" s="221"/>
      <c r="AJ359" s="221"/>
      <c r="AK359" s="223"/>
      <c r="AL359" s="600"/>
      <c r="AM359" s="223"/>
      <c r="AN359" s="223"/>
      <c r="AO359" s="223"/>
      <c r="AP359" s="223"/>
      <c r="AQ359" s="223"/>
      <c r="AR359" s="223"/>
      <c r="AS359" s="223"/>
      <c r="AT359" s="223"/>
      <c r="AU359" s="223"/>
      <c r="AV359" s="223"/>
      <c r="AW359" s="137"/>
      <c r="AX359" s="223"/>
      <c r="AY359" s="223"/>
      <c r="AZ359" s="223"/>
      <c r="BA359" s="223"/>
      <c r="BB359" s="400"/>
      <c r="BC359" s="400"/>
      <c r="BD359" s="400"/>
    </row>
    <row r="360" spans="1:56" s="1" customFormat="1" ht="81.75" customHeight="1" x14ac:dyDescent="0.25">
      <c r="A360" s="275" t="str">
        <f>'Q100b-totais'!B54</f>
        <v>8.2</v>
      </c>
      <c r="B360" s="1205" t="str">
        <f>'Q100b-totais'!C54</f>
        <v>BRT</v>
      </c>
      <c r="C360" s="167" t="s">
        <v>432</v>
      </c>
      <c r="D360" s="324" t="s">
        <v>5731</v>
      </c>
      <c r="E360" s="1491" t="s">
        <v>1306</v>
      </c>
      <c r="F360" s="1205" t="s">
        <v>5772</v>
      </c>
      <c r="G360" s="110" t="s">
        <v>77</v>
      </c>
      <c r="H360" s="173" t="s">
        <v>432</v>
      </c>
      <c r="I360" s="57">
        <v>1</v>
      </c>
      <c r="J360" s="107" t="s">
        <v>432</v>
      </c>
      <c r="K360" s="107" t="s">
        <v>432</v>
      </c>
      <c r="L360" s="107" t="s">
        <v>432</v>
      </c>
      <c r="M360" s="107" t="s">
        <v>432</v>
      </c>
      <c r="N360" s="107" t="s">
        <v>432</v>
      </c>
      <c r="O360" s="107" t="s">
        <v>432</v>
      </c>
      <c r="P360" s="107" t="s">
        <v>432</v>
      </c>
      <c r="Q360" s="107" t="s">
        <v>432</v>
      </c>
      <c r="R360" s="107" t="s">
        <v>432</v>
      </c>
      <c r="S360" s="109" t="s">
        <v>2209</v>
      </c>
      <c r="T360" s="107" t="s">
        <v>432</v>
      </c>
      <c r="U360" s="107" t="s">
        <v>432</v>
      </c>
      <c r="V360" s="109" t="s">
        <v>2209</v>
      </c>
      <c r="W360" s="107" t="s">
        <v>432</v>
      </c>
      <c r="X360" s="107" t="s">
        <v>432</v>
      </c>
      <c r="Y360" s="107" t="s">
        <v>432</v>
      </c>
      <c r="Z360" s="107" t="s">
        <v>432</v>
      </c>
      <c r="AA360" s="107" t="s">
        <v>432</v>
      </c>
      <c r="AB360" s="107" t="s">
        <v>432</v>
      </c>
      <c r="AC360" s="107" t="s">
        <v>432</v>
      </c>
      <c r="AD360" s="107" t="s">
        <v>432</v>
      </c>
      <c r="AE360" s="107" t="s">
        <v>432</v>
      </c>
      <c r="AF360" s="107" t="s">
        <v>432</v>
      </c>
      <c r="AG360" s="107" t="s">
        <v>432</v>
      </c>
      <c r="AH360" s="107" t="s">
        <v>432</v>
      </c>
      <c r="AI360" s="107" t="s">
        <v>432</v>
      </c>
      <c r="AJ360" s="84">
        <v>7.1</v>
      </c>
      <c r="AK360" s="84">
        <v>7.1</v>
      </c>
      <c r="AL360" s="600" t="s">
        <v>432</v>
      </c>
      <c r="AM360" s="84">
        <v>7.1</v>
      </c>
      <c r="AN360" s="137" t="s">
        <v>432</v>
      </c>
      <c r="AO360" s="137" t="s">
        <v>432</v>
      </c>
      <c r="AP360" s="137" t="s">
        <v>432</v>
      </c>
      <c r="AQ360" s="137" t="s">
        <v>432</v>
      </c>
      <c r="AR360" s="137" t="s">
        <v>432</v>
      </c>
      <c r="AS360" s="137" t="s">
        <v>432</v>
      </c>
      <c r="AT360" s="137" t="s">
        <v>432</v>
      </c>
      <c r="AU360" s="137" t="s">
        <v>432</v>
      </c>
      <c r="AV360" s="137" t="s">
        <v>432</v>
      </c>
      <c r="AW360" s="137" t="s">
        <v>432</v>
      </c>
      <c r="AX360" s="137" t="s">
        <v>432</v>
      </c>
      <c r="AY360" s="137" t="s">
        <v>432</v>
      </c>
      <c r="AZ360" s="137" t="s">
        <v>432</v>
      </c>
      <c r="BA360" s="137" t="s">
        <v>432</v>
      </c>
      <c r="BB360" s="239" t="str">
        <f>B360&amp;C360</f>
        <v>BRTx</v>
      </c>
      <c r="BC360" s="239" t="str">
        <f>B360&amp;C360&amp;H360</f>
        <v>BRTxx</v>
      </c>
      <c r="BD360" s="239" t="str">
        <f>B360&amp;H360</f>
        <v>BRTx</v>
      </c>
    </row>
    <row r="361" spans="1:56" s="1" customFormat="1" ht="41.25" customHeight="1" x14ac:dyDescent="0.25">
      <c r="A361" s="275" t="str">
        <f>'Q100b-totais'!B54</f>
        <v>8.2</v>
      </c>
      <c r="B361" s="1205" t="str">
        <f>'Q100b-totais'!C54</f>
        <v>BRT</v>
      </c>
      <c r="C361" s="167" t="s">
        <v>743</v>
      </c>
      <c r="D361" s="324" t="s">
        <v>5518</v>
      </c>
      <c r="E361" s="1491" t="s">
        <v>1306</v>
      </c>
      <c r="F361" s="1205" t="s">
        <v>5516</v>
      </c>
      <c r="G361" s="110" t="s">
        <v>77</v>
      </c>
      <c r="H361" s="173" t="s">
        <v>432</v>
      </c>
      <c r="I361" s="57">
        <v>1</v>
      </c>
      <c r="J361" s="107" t="s">
        <v>432</v>
      </c>
      <c r="K361" s="107" t="s">
        <v>432</v>
      </c>
      <c r="L361" s="107" t="s">
        <v>432</v>
      </c>
      <c r="M361" s="107" t="s">
        <v>432</v>
      </c>
      <c r="N361" s="107" t="s">
        <v>432</v>
      </c>
      <c r="O361" s="107" t="s">
        <v>432</v>
      </c>
      <c r="P361" s="107" t="s">
        <v>432</v>
      </c>
      <c r="Q361" s="107" t="s">
        <v>432</v>
      </c>
      <c r="R361" s="107" t="s">
        <v>432</v>
      </c>
      <c r="S361" s="109" t="s">
        <v>2209</v>
      </c>
      <c r="T361" s="107" t="s">
        <v>432</v>
      </c>
      <c r="U361" s="107" t="s">
        <v>432</v>
      </c>
      <c r="V361" s="109" t="s">
        <v>2209</v>
      </c>
      <c r="W361" s="107" t="s">
        <v>432</v>
      </c>
      <c r="X361" s="107" t="s">
        <v>432</v>
      </c>
      <c r="Y361" s="107" t="s">
        <v>432</v>
      </c>
      <c r="Z361" s="107" t="s">
        <v>432</v>
      </c>
      <c r="AA361" s="107" t="s">
        <v>432</v>
      </c>
      <c r="AB361" s="107" t="s">
        <v>432</v>
      </c>
      <c r="AC361" s="107" t="s">
        <v>432</v>
      </c>
      <c r="AD361" s="107" t="s">
        <v>432</v>
      </c>
      <c r="AE361" s="107" t="s">
        <v>432</v>
      </c>
      <c r="AF361" s="107" t="s">
        <v>432</v>
      </c>
      <c r="AG361" s="107" t="s">
        <v>432</v>
      </c>
      <c r="AH361" s="107" t="s">
        <v>432</v>
      </c>
      <c r="AI361" s="107" t="s">
        <v>432</v>
      </c>
      <c r="AJ361" s="84">
        <v>9</v>
      </c>
      <c r="AK361" s="84">
        <v>9</v>
      </c>
      <c r="AL361" s="600" t="s">
        <v>432</v>
      </c>
      <c r="AM361" s="137" t="s">
        <v>432</v>
      </c>
      <c r="AN361" s="137" t="s">
        <v>432</v>
      </c>
      <c r="AO361" s="137" t="s">
        <v>432</v>
      </c>
      <c r="AP361" s="137" t="s">
        <v>432</v>
      </c>
      <c r="AQ361" s="137" t="s">
        <v>432</v>
      </c>
      <c r="AR361" s="137" t="s">
        <v>432</v>
      </c>
      <c r="AS361" s="137" t="s">
        <v>432</v>
      </c>
      <c r="AT361" s="137" t="s">
        <v>432</v>
      </c>
      <c r="AU361" s="137" t="s">
        <v>432</v>
      </c>
      <c r="AV361" s="137" t="s">
        <v>432</v>
      </c>
      <c r="AW361" s="137" t="s">
        <v>432</v>
      </c>
      <c r="AX361" s="137" t="s">
        <v>432</v>
      </c>
      <c r="AY361" s="137" t="s">
        <v>432</v>
      </c>
      <c r="AZ361" s="137" t="s">
        <v>432</v>
      </c>
      <c r="BA361" s="137" t="s">
        <v>432</v>
      </c>
      <c r="BB361" s="239" t="str">
        <f>B361&amp;C361</f>
        <v>BRTacessibilidade</v>
      </c>
      <c r="BC361" s="239" t="str">
        <f>B361&amp;C361&amp;H361</f>
        <v>BRTacessibilidadex</v>
      </c>
      <c r="BD361" s="239" t="str">
        <f>B361&amp;H361</f>
        <v>BRTx</v>
      </c>
    </row>
    <row r="362" spans="1:56" s="1" customFormat="1" ht="44.25" customHeight="1" x14ac:dyDescent="0.25">
      <c r="A362" s="275" t="str">
        <f>'Q100b-totais'!B54</f>
        <v>8.2</v>
      </c>
      <c r="B362" s="1205" t="str">
        <f>'Q100b-totais'!C54</f>
        <v>BRT</v>
      </c>
      <c r="C362" s="167" t="s">
        <v>743</v>
      </c>
      <c r="D362" s="324" t="s">
        <v>5497</v>
      </c>
      <c r="E362" s="1491" t="s">
        <v>1306</v>
      </c>
      <c r="F362" s="1205" t="s">
        <v>5512</v>
      </c>
      <c r="G362" s="110" t="s">
        <v>77</v>
      </c>
      <c r="H362" s="173" t="s">
        <v>432</v>
      </c>
      <c r="I362" s="57">
        <v>1</v>
      </c>
      <c r="J362" s="107" t="s">
        <v>432</v>
      </c>
      <c r="K362" s="107" t="s">
        <v>432</v>
      </c>
      <c r="L362" s="107" t="s">
        <v>432</v>
      </c>
      <c r="M362" s="107" t="s">
        <v>432</v>
      </c>
      <c r="N362" s="107" t="s">
        <v>432</v>
      </c>
      <c r="O362" s="107" t="s">
        <v>432</v>
      </c>
      <c r="P362" s="107" t="s">
        <v>432</v>
      </c>
      <c r="Q362" s="107" t="s">
        <v>432</v>
      </c>
      <c r="R362" s="107" t="s">
        <v>432</v>
      </c>
      <c r="S362" s="109" t="s">
        <v>2209</v>
      </c>
      <c r="T362" s="107" t="s">
        <v>432</v>
      </c>
      <c r="U362" s="107" t="s">
        <v>432</v>
      </c>
      <c r="V362" s="109" t="s">
        <v>2209</v>
      </c>
      <c r="W362" s="107" t="s">
        <v>432</v>
      </c>
      <c r="X362" s="107" t="s">
        <v>432</v>
      </c>
      <c r="Y362" s="107" t="s">
        <v>432</v>
      </c>
      <c r="Z362" s="107" t="s">
        <v>432</v>
      </c>
      <c r="AA362" s="107" t="s">
        <v>432</v>
      </c>
      <c r="AB362" s="107" t="s">
        <v>432</v>
      </c>
      <c r="AC362" s="107" t="s">
        <v>432</v>
      </c>
      <c r="AD362" s="107" t="s">
        <v>432</v>
      </c>
      <c r="AE362" s="107" t="s">
        <v>432</v>
      </c>
      <c r="AF362" s="107" t="s">
        <v>432</v>
      </c>
      <c r="AG362" s="107" t="s">
        <v>432</v>
      </c>
      <c r="AH362" s="107" t="s">
        <v>432</v>
      </c>
      <c r="AI362" s="107" t="s">
        <v>432</v>
      </c>
      <c r="AJ362" s="84">
        <v>2</v>
      </c>
      <c r="AK362" s="84">
        <v>2</v>
      </c>
      <c r="AL362" s="600" t="s">
        <v>432</v>
      </c>
      <c r="AM362" s="137" t="s">
        <v>432</v>
      </c>
      <c r="AN362" s="137" t="s">
        <v>432</v>
      </c>
      <c r="AO362" s="137" t="s">
        <v>432</v>
      </c>
      <c r="AP362" s="137" t="s">
        <v>432</v>
      </c>
      <c r="AQ362" s="137" t="s">
        <v>432</v>
      </c>
      <c r="AR362" s="137" t="s">
        <v>432</v>
      </c>
      <c r="AS362" s="137" t="s">
        <v>432</v>
      </c>
      <c r="AT362" s="137" t="s">
        <v>432</v>
      </c>
      <c r="AU362" s="137" t="s">
        <v>432</v>
      </c>
      <c r="AV362" s="137" t="s">
        <v>432</v>
      </c>
      <c r="AW362" s="137" t="s">
        <v>432</v>
      </c>
      <c r="AX362" s="137" t="s">
        <v>432</v>
      </c>
      <c r="AY362" s="137" t="s">
        <v>432</v>
      </c>
      <c r="AZ362" s="137" t="s">
        <v>432</v>
      </c>
      <c r="BA362" s="137" t="s">
        <v>432</v>
      </c>
      <c r="BB362" s="239" t="str">
        <f>B362&amp;C362</f>
        <v>BRTacessibilidade</v>
      </c>
      <c r="BC362" s="239" t="str">
        <f>B362&amp;C362&amp;H362</f>
        <v>BRTacessibilidadex</v>
      </c>
      <c r="BD362" s="239" t="str">
        <f>B362&amp;H362</f>
        <v>BRTx</v>
      </c>
    </row>
    <row r="363" spans="1:56" ht="36.75" customHeight="1" x14ac:dyDescent="0.25">
      <c r="A363" s="262" t="s">
        <v>432</v>
      </c>
      <c r="B363" s="252" t="s">
        <v>742</v>
      </c>
      <c r="C363" s="167" t="s">
        <v>432</v>
      </c>
      <c r="D363" s="939" t="s">
        <v>5503</v>
      </c>
      <c r="E363" s="509" t="s">
        <v>432</v>
      </c>
      <c r="F363" s="1172" t="s">
        <v>5727</v>
      </c>
      <c r="G363" s="57" t="s">
        <v>3507</v>
      </c>
      <c r="H363" s="167" t="s">
        <v>2408</v>
      </c>
      <c r="I363" s="167" t="s">
        <v>432</v>
      </c>
      <c r="J363" s="107" t="s">
        <v>432</v>
      </c>
      <c r="K363" s="107" t="s">
        <v>432</v>
      </c>
      <c r="L363" s="107" t="s">
        <v>432</v>
      </c>
      <c r="M363" s="107" t="s">
        <v>432</v>
      </c>
      <c r="N363" s="107" t="s">
        <v>432</v>
      </c>
      <c r="O363" s="107" t="s">
        <v>432</v>
      </c>
      <c r="P363" s="107" t="s">
        <v>432</v>
      </c>
      <c r="Q363" s="107" t="s">
        <v>432</v>
      </c>
      <c r="R363" s="107" t="s">
        <v>432</v>
      </c>
      <c r="S363" s="109" t="s">
        <v>2209</v>
      </c>
      <c r="T363" s="107" t="s">
        <v>432</v>
      </c>
      <c r="U363" s="107" t="s">
        <v>432</v>
      </c>
      <c r="V363" s="109" t="s">
        <v>2209</v>
      </c>
      <c r="W363" s="107" t="s">
        <v>432</v>
      </c>
      <c r="X363" s="107" t="s">
        <v>432</v>
      </c>
      <c r="Y363" s="107" t="s">
        <v>432</v>
      </c>
      <c r="Z363" s="107" t="s">
        <v>432</v>
      </c>
      <c r="AA363" s="107" t="s">
        <v>432</v>
      </c>
      <c r="AB363" s="107" t="s">
        <v>432</v>
      </c>
      <c r="AC363" s="107" t="s">
        <v>432</v>
      </c>
      <c r="AD363" s="107" t="s">
        <v>432</v>
      </c>
      <c r="AE363" s="107" t="s">
        <v>432</v>
      </c>
      <c r="AF363" s="107" t="s">
        <v>432</v>
      </c>
      <c r="AG363" s="107" t="s">
        <v>432</v>
      </c>
      <c r="AH363" s="107" t="s">
        <v>432</v>
      </c>
      <c r="AI363" s="107" t="s">
        <v>432</v>
      </c>
      <c r="AJ363" s="107" t="s">
        <v>432</v>
      </c>
      <c r="AK363" s="137" t="s">
        <v>432</v>
      </c>
      <c r="AL363" s="600" t="s">
        <v>432</v>
      </c>
      <c r="AM363" s="137" t="s">
        <v>432</v>
      </c>
      <c r="AN363" s="137" t="s">
        <v>432</v>
      </c>
      <c r="AO363" s="137" t="s">
        <v>432</v>
      </c>
      <c r="AP363" s="137" t="s">
        <v>432</v>
      </c>
      <c r="AQ363" s="137" t="s">
        <v>432</v>
      </c>
      <c r="AR363" s="137" t="s">
        <v>432</v>
      </c>
      <c r="AS363" s="137" t="s">
        <v>432</v>
      </c>
      <c r="AT363" s="137" t="s">
        <v>432</v>
      </c>
      <c r="AU363" s="137" t="s">
        <v>432</v>
      </c>
      <c r="AV363" s="137" t="s">
        <v>432</v>
      </c>
      <c r="AW363" s="137" t="s">
        <v>432</v>
      </c>
      <c r="AX363" s="137" t="s">
        <v>432</v>
      </c>
      <c r="AY363" s="137" t="s">
        <v>432</v>
      </c>
      <c r="AZ363" s="137" t="s">
        <v>432</v>
      </c>
      <c r="BA363" s="137" t="s">
        <v>432</v>
      </c>
      <c r="BB363" s="239" t="str">
        <f>B363&amp;C363</f>
        <v>geralx</v>
      </c>
      <c r="BC363" s="239" t="str">
        <f>B363&amp;C363&amp;H363</f>
        <v>geralxsigla/verbete</v>
      </c>
      <c r="BD363" s="239" t="str">
        <f>B363&amp;H363</f>
        <v>geralsigla/verbete</v>
      </c>
    </row>
    <row r="364" spans="1:56" s="3" customFormat="1" x14ac:dyDescent="0.25">
      <c r="A364" s="402"/>
      <c r="B364" s="399"/>
      <c r="C364" s="399"/>
      <c r="D364" s="970"/>
      <c r="E364" s="1495"/>
      <c r="F364" s="399"/>
      <c r="G364" s="399"/>
      <c r="H364" s="399"/>
      <c r="I364" s="399"/>
      <c r="J364" s="399"/>
      <c r="K364" s="399"/>
      <c r="L364" s="399"/>
      <c r="M364" s="399"/>
      <c r="N364" s="399"/>
      <c r="O364" s="399"/>
      <c r="P364" s="399"/>
      <c r="Q364" s="399"/>
      <c r="R364" s="399"/>
      <c r="S364" s="399"/>
      <c r="T364" s="399"/>
      <c r="U364" s="399"/>
      <c r="V364" s="399"/>
      <c r="W364" s="399"/>
      <c r="X364" s="399"/>
      <c r="Y364" s="221"/>
      <c r="Z364" s="221"/>
      <c r="AA364" s="221"/>
      <c r="AB364" s="221"/>
      <c r="AC364" s="221"/>
      <c r="AD364" s="221"/>
      <c r="AE364" s="221"/>
      <c r="AF364" s="221"/>
      <c r="AG364" s="221"/>
      <c r="AH364" s="221"/>
      <c r="AI364" s="221"/>
      <c r="AJ364" s="221"/>
      <c r="AK364" s="223"/>
      <c r="AL364" s="600" t="s">
        <v>432</v>
      </c>
      <c r="AM364" s="223"/>
      <c r="AN364" s="223"/>
      <c r="AO364" s="223"/>
      <c r="AP364" s="223"/>
      <c r="AQ364" s="223"/>
      <c r="AR364" s="223"/>
      <c r="AS364" s="223"/>
      <c r="AT364" s="223"/>
      <c r="AU364" s="223"/>
      <c r="AV364" s="223"/>
      <c r="AW364" s="137" t="s">
        <v>432</v>
      </c>
      <c r="AX364" s="223"/>
      <c r="AY364" s="223"/>
      <c r="AZ364" s="223"/>
      <c r="BA364" s="223"/>
      <c r="BB364" s="400"/>
      <c r="BC364" s="400"/>
      <c r="BD364" s="400"/>
    </row>
    <row r="365" spans="1:56" s="105" customFormat="1" ht="72" customHeight="1" x14ac:dyDescent="0.25">
      <c r="A365" s="275" t="str">
        <f>'Q100b-totais'!B54</f>
        <v>8.2</v>
      </c>
      <c r="B365" s="535" t="str">
        <f>'Q100b-totais'!C54</f>
        <v>BRT</v>
      </c>
      <c r="C365" s="167" t="s">
        <v>743</v>
      </c>
      <c r="D365" s="324" t="s">
        <v>5525</v>
      </c>
      <c r="E365" s="1491" t="s">
        <v>432</v>
      </c>
      <c r="F365" s="1205" t="s">
        <v>5784</v>
      </c>
      <c r="G365" s="57" t="s">
        <v>3507</v>
      </c>
      <c r="H365" s="167" t="s">
        <v>2408</v>
      </c>
      <c r="I365" s="57" t="s">
        <v>432</v>
      </c>
      <c r="J365" s="107" t="s">
        <v>432</v>
      </c>
      <c r="K365" s="107" t="s">
        <v>432</v>
      </c>
      <c r="L365" s="107" t="s">
        <v>432</v>
      </c>
      <c r="M365" s="107" t="s">
        <v>432</v>
      </c>
      <c r="N365" s="107" t="s">
        <v>432</v>
      </c>
      <c r="O365" s="107" t="s">
        <v>432</v>
      </c>
      <c r="P365" s="107" t="s">
        <v>432</v>
      </c>
      <c r="Q365" s="107" t="s">
        <v>432</v>
      </c>
      <c r="R365" s="107" t="s">
        <v>432</v>
      </c>
      <c r="S365" s="109" t="s">
        <v>2209</v>
      </c>
      <c r="T365" s="107" t="s">
        <v>432</v>
      </c>
      <c r="U365" s="107" t="s">
        <v>432</v>
      </c>
      <c r="V365" s="109" t="s">
        <v>2209</v>
      </c>
      <c r="W365" s="107" t="s">
        <v>432</v>
      </c>
      <c r="X365" s="107" t="s">
        <v>432</v>
      </c>
      <c r="Y365" s="107" t="s">
        <v>432</v>
      </c>
      <c r="Z365" s="107" t="s">
        <v>432</v>
      </c>
      <c r="AA365" s="107" t="s">
        <v>432</v>
      </c>
      <c r="AB365" s="107" t="s">
        <v>432</v>
      </c>
      <c r="AC365" s="107" t="s">
        <v>432</v>
      </c>
      <c r="AD365" s="107" t="s">
        <v>432</v>
      </c>
      <c r="AE365" s="107" t="s">
        <v>432</v>
      </c>
      <c r="AF365" s="107" t="s">
        <v>432</v>
      </c>
      <c r="AG365" s="107" t="s">
        <v>432</v>
      </c>
      <c r="AH365" s="107" t="s">
        <v>432</v>
      </c>
      <c r="AI365" s="107" t="s">
        <v>432</v>
      </c>
      <c r="AJ365" s="107" t="s">
        <v>432</v>
      </c>
      <c r="AK365" s="107" t="s">
        <v>432</v>
      </c>
      <c r="AL365" s="600" t="s">
        <v>432</v>
      </c>
      <c r="AM365" s="137" t="s">
        <v>432</v>
      </c>
      <c r="AN365" s="137" t="s">
        <v>432</v>
      </c>
      <c r="AO365" s="137" t="s">
        <v>432</v>
      </c>
      <c r="AP365" s="137" t="s">
        <v>432</v>
      </c>
      <c r="AQ365" s="137" t="s">
        <v>432</v>
      </c>
      <c r="AR365" s="137" t="s">
        <v>432</v>
      </c>
      <c r="AS365" s="137" t="s">
        <v>432</v>
      </c>
      <c r="AT365" s="137" t="s">
        <v>432</v>
      </c>
      <c r="AU365" s="137" t="s">
        <v>432</v>
      </c>
      <c r="AV365" s="137" t="s">
        <v>432</v>
      </c>
      <c r="AW365" s="137" t="s">
        <v>432</v>
      </c>
      <c r="AX365" s="137" t="s">
        <v>432</v>
      </c>
      <c r="AY365" s="137" t="s">
        <v>432</v>
      </c>
      <c r="AZ365" s="137" t="s">
        <v>432</v>
      </c>
      <c r="BA365" s="137" t="s">
        <v>432</v>
      </c>
      <c r="BB365" s="239" t="str">
        <f t="shared" ref="BB365:BB395" si="75">B365&amp;C365</f>
        <v>BRTacessibilidade</v>
      </c>
      <c r="BC365" s="239" t="str">
        <f t="shared" ref="BC365:BC395" si="76">B365&amp;C365&amp;H365</f>
        <v>BRTacessibilidadesigla/verbete</v>
      </c>
      <c r="BD365" s="239" t="str">
        <f t="shared" ref="BD365:BD395" si="77">B365&amp;H365</f>
        <v>BRTsigla/verbete</v>
      </c>
    </row>
    <row r="366" spans="1:56" s="105" customFormat="1" ht="222.75" customHeight="1" x14ac:dyDescent="0.25">
      <c r="A366" s="275" t="str">
        <f>'Q100b-totais'!B54</f>
        <v>8.2</v>
      </c>
      <c r="B366" s="535" t="str">
        <f>'Q100b-totais'!C54</f>
        <v>BRT</v>
      </c>
      <c r="C366" s="167" t="s">
        <v>743</v>
      </c>
      <c r="D366" s="362" t="s">
        <v>5525</v>
      </c>
      <c r="E366" s="1494" t="s">
        <v>1306</v>
      </c>
      <c r="F366" s="1478" t="s">
        <v>5783</v>
      </c>
      <c r="G366" s="110" t="s">
        <v>5578</v>
      </c>
      <c r="H366" s="173" t="s">
        <v>432</v>
      </c>
      <c r="I366" s="57">
        <v>1</v>
      </c>
      <c r="J366" s="107" t="s">
        <v>432</v>
      </c>
      <c r="K366" s="107" t="s">
        <v>432</v>
      </c>
      <c r="L366" s="107" t="s">
        <v>432</v>
      </c>
      <c r="M366" s="107" t="s">
        <v>432</v>
      </c>
      <c r="N366" s="107" t="s">
        <v>432</v>
      </c>
      <c r="O366" s="107" t="s">
        <v>432</v>
      </c>
      <c r="P366" s="107" t="s">
        <v>432</v>
      </c>
      <c r="Q366" s="107" t="s">
        <v>432</v>
      </c>
      <c r="R366" s="107" t="s">
        <v>432</v>
      </c>
      <c r="S366" s="109" t="s">
        <v>2209</v>
      </c>
      <c r="T366" s="107" t="s">
        <v>432</v>
      </c>
      <c r="U366" s="107" t="s">
        <v>432</v>
      </c>
      <c r="V366" s="109" t="s">
        <v>2209</v>
      </c>
      <c r="W366" s="107" t="s">
        <v>432</v>
      </c>
      <c r="X366" s="107" t="s">
        <v>432</v>
      </c>
      <c r="Y366" s="107" t="s">
        <v>432</v>
      </c>
      <c r="Z366" s="107" t="s">
        <v>432</v>
      </c>
      <c r="AA366" s="107" t="s">
        <v>432</v>
      </c>
      <c r="AB366" s="107" t="s">
        <v>432</v>
      </c>
      <c r="AC366" s="107" t="s">
        <v>432</v>
      </c>
      <c r="AD366" s="107" t="s">
        <v>432</v>
      </c>
      <c r="AE366" s="107" t="s">
        <v>432</v>
      </c>
      <c r="AF366" s="107" t="s">
        <v>432</v>
      </c>
      <c r="AG366" s="107" t="s">
        <v>432</v>
      </c>
      <c r="AH366" s="107" t="s">
        <v>432</v>
      </c>
      <c r="AI366" s="107" t="s">
        <v>432</v>
      </c>
      <c r="AJ366" s="107" t="s">
        <v>432</v>
      </c>
      <c r="AK366" s="95">
        <v>0.62</v>
      </c>
      <c r="AL366" s="600" t="s">
        <v>432</v>
      </c>
      <c r="AM366" s="137" t="s">
        <v>432</v>
      </c>
      <c r="AN366" s="137" t="s">
        <v>432</v>
      </c>
      <c r="AO366" s="137" t="s">
        <v>432</v>
      </c>
      <c r="AP366" s="137" t="s">
        <v>432</v>
      </c>
      <c r="AQ366" s="137" t="s">
        <v>432</v>
      </c>
      <c r="AR366" s="137" t="s">
        <v>432</v>
      </c>
      <c r="AS366" s="137" t="s">
        <v>432</v>
      </c>
      <c r="AT366" s="137" t="s">
        <v>432</v>
      </c>
      <c r="AU366" s="137" t="s">
        <v>432</v>
      </c>
      <c r="AV366" s="137" t="s">
        <v>432</v>
      </c>
      <c r="AW366" s="137" t="s">
        <v>432</v>
      </c>
      <c r="AX366" s="137" t="s">
        <v>432</v>
      </c>
      <c r="AY366" s="137" t="s">
        <v>432</v>
      </c>
      <c r="AZ366" s="137" t="s">
        <v>432</v>
      </c>
      <c r="BA366" s="137" t="s">
        <v>432</v>
      </c>
      <c r="BB366" s="239" t="str">
        <f t="shared" si="75"/>
        <v>BRTacessibilidade</v>
      </c>
      <c r="BC366" s="239" t="str">
        <f t="shared" si="76"/>
        <v>BRTacessibilidadex</v>
      </c>
      <c r="BD366" s="239" t="str">
        <f t="shared" si="77"/>
        <v>BRTx</v>
      </c>
    </row>
    <row r="367" spans="1:56" s="105" customFormat="1" ht="53.25" customHeight="1" x14ac:dyDescent="0.25">
      <c r="A367" s="275" t="str">
        <f>'Q100b-totais'!B54</f>
        <v>8.2</v>
      </c>
      <c r="B367" s="1205" t="str">
        <f>'Q100b-totais'!C54</f>
        <v>BRT</v>
      </c>
      <c r="C367" s="167" t="s">
        <v>743</v>
      </c>
      <c r="D367" s="324" t="s">
        <v>5632</v>
      </c>
      <c r="E367" s="1491" t="s">
        <v>1306</v>
      </c>
      <c r="F367" s="1205" t="s">
        <v>6144</v>
      </c>
      <c r="G367" s="110" t="s">
        <v>3925</v>
      </c>
      <c r="H367" s="230" t="s">
        <v>3925</v>
      </c>
      <c r="I367" s="167" t="s">
        <v>3056</v>
      </c>
      <c r="J367" s="107" t="s">
        <v>432</v>
      </c>
      <c r="K367" s="107" t="s">
        <v>432</v>
      </c>
      <c r="L367" s="107" t="s">
        <v>432</v>
      </c>
      <c r="M367" s="107" t="s">
        <v>432</v>
      </c>
      <c r="N367" s="107" t="s">
        <v>432</v>
      </c>
      <c r="O367" s="107" t="s">
        <v>432</v>
      </c>
      <c r="P367" s="107" t="s">
        <v>432</v>
      </c>
      <c r="Q367" s="107" t="s">
        <v>432</v>
      </c>
      <c r="R367" s="107" t="s">
        <v>432</v>
      </c>
      <c r="S367" s="109" t="s">
        <v>2209</v>
      </c>
      <c r="T367" s="107" t="s">
        <v>432</v>
      </c>
      <c r="U367" s="107" t="s">
        <v>432</v>
      </c>
      <c r="V367" s="109" t="s">
        <v>2209</v>
      </c>
      <c r="W367" s="107" t="s">
        <v>432</v>
      </c>
      <c r="X367" s="107" t="s">
        <v>432</v>
      </c>
      <c r="Y367" s="107" t="s">
        <v>432</v>
      </c>
      <c r="Z367" s="107" t="s">
        <v>432</v>
      </c>
      <c r="AA367" s="107" t="s">
        <v>432</v>
      </c>
      <c r="AB367" s="107" t="s">
        <v>432</v>
      </c>
      <c r="AC367" s="107" t="s">
        <v>432</v>
      </c>
      <c r="AD367" s="107" t="s">
        <v>432</v>
      </c>
      <c r="AE367" s="107" t="s">
        <v>432</v>
      </c>
      <c r="AF367" s="107" t="s">
        <v>432</v>
      </c>
      <c r="AG367" s="107" t="s">
        <v>432</v>
      </c>
      <c r="AH367" s="107" t="s">
        <v>432</v>
      </c>
      <c r="AI367" s="107" t="s">
        <v>432</v>
      </c>
      <c r="AJ367" s="107" t="s">
        <v>432</v>
      </c>
      <c r="AK367" s="107" t="s">
        <v>432</v>
      </c>
      <c r="AL367" s="600" t="s">
        <v>432</v>
      </c>
      <c r="AM367" s="137" t="s">
        <v>432</v>
      </c>
      <c r="AN367" s="137" t="s">
        <v>432</v>
      </c>
      <c r="AO367" s="137" t="s">
        <v>432</v>
      </c>
      <c r="AP367" s="137" t="s">
        <v>432</v>
      </c>
      <c r="AQ367" s="137" t="s">
        <v>432</v>
      </c>
      <c r="AR367" s="137" t="s">
        <v>432</v>
      </c>
      <c r="AS367" s="137" t="s">
        <v>432</v>
      </c>
      <c r="AT367" s="137" t="s">
        <v>432</v>
      </c>
      <c r="AU367" s="137" t="s">
        <v>432</v>
      </c>
      <c r="AV367" s="137" t="s">
        <v>432</v>
      </c>
      <c r="AW367" s="137" t="s">
        <v>432</v>
      </c>
      <c r="AX367" s="137" t="s">
        <v>432</v>
      </c>
      <c r="AY367" s="137" t="s">
        <v>432</v>
      </c>
      <c r="AZ367" s="137" t="s">
        <v>432</v>
      </c>
      <c r="BA367" s="95">
        <v>1</v>
      </c>
      <c r="BB367" s="239" t="str">
        <f t="shared" si="75"/>
        <v>BRTacessibilidade</v>
      </c>
      <c r="BC367" s="239" t="str">
        <f t="shared" si="76"/>
        <v>BRTacessibilidademeta</v>
      </c>
      <c r="BD367" s="239" t="str">
        <f t="shared" si="77"/>
        <v>BRTmeta</v>
      </c>
    </row>
    <row r="368" spans="1:56" s="105" customFormat="1" ht="157.5" customHeight="1" x14ac:dyDescent="0.25">
      <c r="A368" s="275" t="str">
        <f>'Q100b-totais'!B54</f>
        <v>8.2</v>
      </c>
      <c r="B368" s="13" t="str">
        <f>'Q100b-totais'!C54</f>
        <v>BRT</v>
      </c>
      <c r="C368" s="167" t="s">
        <v>743</v>
      </c>
      <c r="D368" s="362" t="s">
        <v>5622</v>
      </c>
      <c r="E368" s="1494" t="s">
        <v>1306</v>
      </c>
      <c r="F368" s="1478" t="s">
        <v>6162</v>
      </c>
      <c r="G368" s="110" t="s">
        <v>5578</v>
      </c>
      <c r="H368" s="173" t="s">
        <v>432</v>
      </c>
      <c r="I368" s="57">
        <v>1</v>
      </c>
      <c r="J368" s="107" t="s">
        <v>432</v>
      </c>
      <c r="K368" s="107" t="s">
        <v>432</v>
      </c>
      <c r="L368" s="107" t="s">
        <v>432</v>
      </c>
      <c r="M368" s="107" t="s">
        <v>432</v>
      </c>
      <c r="N368" s="107" t="s">
        <v>432</v>
      </c>
      <c r="O368" s="107" t="s">
        <v>432</v>
      </c>
      <c r="P368" s="107" t="s">
        <v>432</v>
      </c>
      <c r="Q368" s="107" t="s">
        <v>432</v>
      </c>
      <c r="R368" s="107" t="s">
        <v>432</v>
      </c>
      <c r="S368" s="109" t="s">
        <v>2209</v>
      </c>
      <c r="T368" s="107" t="s">
        <v>432</v>
      </c>
      <c r="U368" s="107" t="s">
        <v>432</v>
      </c>
      <c r="V368" s="109" t="s">
        <v>2209</v>
      </c>
      <c r="W368" s="107" t="s">
        <v>432</v>
      </c>
      <c r="X368" s="107" t="s">
        <v>432</v>
      </c>
      <c r="Y368" s="107" t="s">
        <v>432</v>
      </c>
      <c r="Z368" s="107" t="s">
        <v>432</v>
      </c>
      <c r="AA368" s="107" t="s">
        <v>432</v>
      </c>
      <c r="AB368" s="107" t="s">
        <v>432</v>
      </c>
      <c r="AC368" s="107" t="s">
        <v>432</v>
      </c>
      <c r="AD368" s="107" t="s">
        <v>432</v>
      </c>
      <c r="AE368" s="107" t="s">
        <v>432</v>
      </c>
      <c r="AF368" s="107" t="s">
        <v>432</v>
      </c>
      <c r="AG368" s="107" t="s">
        <v>432</v>
      </c>
      <c r="AH368" s="107" t="s">
        <v>432</v>
      </c>
      <c r="AI368" s="107" t="s">
        <v>432</v>
      </c>
      <c r="AJ368" s="107" t="s">
        <v>432</v>
      </c>
      <c r="AK368" s="95">
        <v>0.4</v>
      </c>
      <c r="AL368" s="600" t="s">
        <v>432</v>
      </c>
      <c r="AM368" s="137" t="s">
        <v>432</v>
      </c>
      <c r="AN368" s="137" t="s">
        <v>432</v>
      </c>
      <c r="AO368" s="137" t="s">
        <v>432</v>
      </c>
      <c r="AP368" s="137" t="s">
        <v>432</v>
      </c>
      <c r="AQ368" s="137" t="s">
        <v>432</v>
      </c>
      <c r="AR368" s="137" t="s">
        <v>432</v>
      </c>
      <c r="AS368" s="137" t="s">
        <v>432</v>
      </c>
      <c r="AT368" s="137" t="s">
        <v>432</v>
      </c>
      <c r="AU368" s="137" t="s">
        <v>432</v>
      </c>
      <c r="AV368" s="137" t="s">
        <v>432</v>
      </c>
      <c r="AW368" s="137" t="s">
        <v>432</v>
      </c>
      <c r="AX368" s="137" t="s">
        <v>432</v>
      </c>
      <c r="AY368" s="137" t="s">
        <v>432</v>
      </c>
      <c r="AZ368" s="137" t="s">
        <v>432</v>
      </c>
      <c r="BA368" s="137" t="s">
        <v>432</v>
      </c>
      <c r="BB368" s="239" t="str">
        <f t="shared" si="75"/>
        <v>BRTacessibilidade</v>
      </c>
      <c r="BC368" s="239" t="str">
        <f t="shared" si="76"/>
        <v>BRTacessibilidadex</v>
      </c>
      <c r="BD368" s="239" t="str">
        <f t="shared" si="77"/>
        <v>BRTx</v>
      </c>
    </row>
    <row r="369" spans="1:56" s="105" customFormat="1" ht="102" customHeight="1" x14ac:dyDescent="0.25">
      <c r="A369" s="275" t="str">
        <f>'Q100b-totais'!B54</f>
        <v>8.2</v>
      </c>
      <c r="B369" s="13" t="str">
        <f>'Q100b-totais'!C54</f>
        <v>BRT</v>
      </c>
      <c r="C369" s="167" t="s">
        <v>743</v>
      </c>
      <c r="D369" s="362" t="s">
        <v>5529</v>
      </c>
      <c r="E369" s="1494" t="s">
        <v>1306</v>
      </c>
      <c r="F369" s="1478" t="s">
        <v>6159</v>
      </c>
      <c r="G369" s="110" t="s">
        <v>5578</v>
      </c>
      <c r="H369" s="173" t="s">
        <v>432</v>
      </c>
      <c r="I369" s="57">
        <v>1</v>
      </c>
      <c r="J369" s="107" t="s">
        <v>432</v>
      </c>
      <c r="K369" s="107" t="s">
        <v>432</v>
      </c>
      <c r="L369" s="107" t="s">
        <v>432</v>
      </c>
      <c r="M369" s="107" t="s">
        <v>432</v>
      </c>
      <c r="N369" s="107" t="s">
        <v>432</v>
      </c>
      <c r="O369" s="107" t="s">
        <v>432</v>
      </c>
      <c r="P369" s="107" t="s">
        <v>432</v>
      </c>
      <c r="Q369" s="107" t="s">
        <v>432</v>
      </c>
      <c r="R369" s="107" t="s">
        <v>432</v>
      </c>
      <c r="S369" s="109" t="s">
        <v>2209</v>
      </c>
      <c r="T369" s="107" t="s">
        <v>432</v>
      </c>
      <c r="U369" s="107" t="s">
        <v>432</v>
      </c>
      <c r="V369" s="109" t="s">
        <v>2209</v>
      </c>
      <c r="W369" s="107" t="s">
        <v>432</v>
      </c>
      <c r="X369" s="107" t="s">
        <v>432</v>
      </c>
      <c r="Y369" s="107" t="s">
        <v>432</v>
      </c>
      <c r="Z369" s="107" t="s">
        <v>432</v>
      </c>
      <c r="AA369" s="107" t="s">
        <v>432</v>
      </c>
      <c r="AB369" s="107" t="s">
        <v>432</v>
      </c>
      <c r="AC369" s="107" t="s">
        <v>432</v>
      </c>
      <c r="AD369" s="107" t="s">
        <v>432</v>
      </c>
      <c r="AE369" s="107" t="s">
        <v>432</v>
      </c>
      <c r="AF369" s="107" t="s">
        <v>432</v>
      </c>
      <c r="AG369" s="107" t="s">
        <v>432</v>
      </c>
      <c r="AH369" s="107" t="s">
        <v>432</v>
      </c>
      <c r="AI369" s="107" t="s">
        <v>432</v>
      </c>
      <c r="AJ369" s="107" t="s">
        <v>432</v>
      </c>
      <c r="AK369" s="95">
        <v>0.56000000000000005</v>
      </c>
      <c r="AL369" s="600" t="s">
        <v>432</v>
      </c>
      <c r="AM369" s="137" t="s">
        <v>432</v>
      </c>
      <c r="AN369" s="137" t="s">
        <v>432</v>
      </c>
      <c r="AO369" s="137" t="s">
        <v>432</v>
      </c>
      <c r="AP369" s="137" t="s">
        <v>432</v>
      </c>
      <c r="AQ369" s="137" t="s">
        <v>432</v>
      </c>
      <c r="AR369" s="137" t="s">
        <v>432</v>
      </c>
      <c r="AS369" s="137" t="s">
        <v>432</v>
      </c>
      <c r="AT369" s="137" t="s">
        <v>432</v>
      </c>
      <c r="AU369" s="137" t="s">
        <v>432</v>
      </c>
      <c r="AV369" s="137" t="s">
        <v>432</v>
      </c>
      <c r="AW369" s="137" t="s">
        <v>432</v>
      </c>
      <c r="AX369" s="137" t="s">
        <v>432</v>
      </c>
      <c r="AY369" s="137" t="s">
        <v>432</v>
      </c>
      <c r="AZ369" s="137" t="s">
        <v>432</v>
      </c>
      <c r="BA369" s="137" t="s">
        <v>432</v>
      </c>
      <c r="BB369" s="239" t="str">
        <f t="shared" si="75"/>
        <v>BRTacessibilidade</v>
      </c>
      <c r="BC369" s="239" t="str">
        <f t="shared" si="76"/>
        <v>BRTacessibilidadex</v>
      </c>
      <c r="BD369" s="239" t="str">
        <f t="shared" si="77"/>
        <v>BRTx</v>
      </c>
    </row>
    <row r="370" spans="1:56" s="105" customFormat="1" ht="63.75" x14ac:dyDescent="0.25">
      <c r="A370" s="275" t="str">
        <f>'Q100b-totais'!B54</f>
        <v>8.2</v>
      </c>
      <c r="B370" s="13" t="str">
        <f>'Q100b-totais'!C54</f>
        <v>BRT</v>
      </c>
      <c r="C370" s="167" t="s">
        <v>743</v>
      </c>
      <c r="D370" s="362" t="s">
        <v>5547</v>
      </c>
      <c r="E370" s="1494" t="s">
        <v>1306</v>
      </c>
      <c r="F370" s="1478" t="s">
        <v>5785</v>
      </c>
      <c r="G370" s="110" t="s">
        <v>5578</v>
      </c>
      <c r="H370" s="173" t="s">
        <v>432</v>
      </c>
      <c r="I370" s="57">
        <v>1</v>
      </c>
      <c r="J370" s="107" t="s">
        <v>432</v>
      </c>
      <c r="K370" s="107" t="s">
        <v>432</v>
      </c>
      <c r="L370" s="107" t="s">
        <v>432</v>
      </c>
      <c r="M370" s="107" t="s">
        <v>432</v>
      </c>
      <c r="N370" s="107" t="s">
        <v>432</v>
      </c>
      <c r="O370" s="107" t="s">
        <v>432</v>
      </c>
      <c r="P370" s="107" t="s">
        <v>432</v>
      </c>
      <c r="Q370" s="107" t="s">
        <v>432</v>
      </c>
      <c r="R370" s="107" t="s">
        <v>432</v>
      </c>
      <c r="S370" s="109" t="s">
        <v>2209</v>
      </c>
      <c r="T370" s="107" t="s">
        <v>432</v>
      </c>
      <c r="U370" s="107" t="s">
        <v>432</v>
      </c>
      <c r="V370" s="109" t="s">
        <v>2209</v>
      </c>
      <c r="W370" s="107" t="s">
        <v>432</v>
      </c>
      <c r="X370" s="107" t="s">
        <v>432</v>
      </c>
      <c r="Y370" s="107" t="s">
        <v>432</v>
      </c>
      <c r="Z370" s="107" t="s">
        <v>432</v>
      </c>
      <c r="AA370" s="107" t="s">
        <v>432</v>
      </c>
      <c r="AB370" s="107" t="s">
        <v>432</v>
      </c>
      <c r="AC370" s="107" t="s">
        <v>432</v>
      </c>
      <c r="AD370" s="107" t="s">
        <v>432</v>
      </c>
      <c r="AE370" s="107" t="s">
        <v>432</v>
      </c>
      <c r="AF370" s="107" t="s">
        <v>432</v>
      </c>
      <c r="AG370" s="107" t="s">
        <v>432</v>
      </c>
      <c r="AH370" s="107" t="s">
        <v>432</v>
      </c>
      <c r="AI370" s="107" t="s">
        <v>432</v>
      </c>
      <c r="AJ370" s="107" t="s">
        <v>432</v>
      </c>
      <c r="AK370" s="95">
        <v>0.95</v>
      </c>
      <c r="AL370" s="600" t="s">
        <v>432</v>
      </c>
      <c r="AM370" s="137" t="s">
        <v>432</v>
      </c>
      <c r="AN370" s="137" t="s">
        <v>432</v>
      </c>
      <c r="AO370" s="137" t="s">
        <v>432</v>
      </c>
      <c r="AP370" s="137" t="s">
        <v>432</v>
      </c>
      <c r="AQ370" s="137" t="s">
        <v>432</v>
      </c>
      <c r="AR370" s="137" t="s">
        <v>432</v>
      </c>
      <c r="AS370" s="137" t="s">
        <v>432</v>
      </c>
      <c r="AT370" s="137" t="s">
        <v>432</v>
      </c>
      <c r="AU370" s="137" t="s">
        <v>432</v>
      </c>
      <c r="AV370" s="137" t="s">
        <v>432</v>
      </c>
      <c r="AW370" s="137" t="s">
        <v>432</v>
      </c>
      <c r="AX370" s="137" t="s">
        <v>432</v>
      </c>
      <c r="AY370" s="137" t="s">
        <v>432</v>
      </c>
      <c r="AZ370" s="137" t="s">
        <v>432</v>
      </c>
      <c r="BA370" s="137" t="s">
        <v>432</v>
      </c>
      <c r="BB370" s="239" t="str">
        <f t="shared" si="75"/>
        <v>BRTacessibilidade</v>
      </c>
      <c r="BC370" s="239" t="str">
        <f t="shared" si="76"/>
        <v>BRTacessibilidadex</v>
      </c>
      <c r="BD370" s="239" t="str">
        <f t="shared" si="77"/>
        <v>BRTx</v>
      </c>
    </row>
    <row r="371" spans="1:56" s="105" customFormat="1" ht="47.25" x14ac:dyDescent="0.25">
      <c r="A371" s="275" t="str">
        <f>'Q100b-totais'!B54</f>
        <v>8.2</v>
      </c>
      <c r="B371" s="13" t="str">
        <f>'Q100b-totais'!C54</f>
        <v>BRT</v>
      </c>
      <c r="C371" s="167" t="s">
        <v>743</v>
      </c>
      <c r="D371" s="324" t="s">
        <v>5629</v>
      </c>
      <c r="E371" s="1491" t="s">
        <v>1306</v>
      </c>
      <c r="F371" s="1205" t="s">
        <v>5786</v>
      </c>
      <c r="G371" s="110" t="s">
        <v>5519</v>
      </c>
      <c r="H371" s="173" t="s">
        <v>432</v>
      </c>
      <c r="I371" s="57">
        <v>1</v>
      </c>
      <c r="J371" s="107" t="s">
        <v>432</v>
      </c>
      <c r="K371" s="107" t="s">
        <v>432</v>
      </c>
      <c r="L371" s="107" t="s">
        <v>432</v>
      </c>
      <c r="M371" s="107" t="s">
        <v>432</v>
      </c>
      <c r="N371" s="107" t="s">
        <v>432</v>
      </c>
      <c r="O371" s="107" t="s">
        <v>432</v>
      </c>
      <c r="P371" s="107" t="s">
        <v>432</v>
      </c>
      <c r="Q371" s="107" t="s">
        <v>432</v>
      </c>
      <c r="R371" s="107" t="s">
        <v>432</v>
      </c>
      <c r="S371" s="109" t="s">
        <v>2209</v>
      </c>
      <c r="T371" s="107" t="s">
        <v>432</v>
      </c>
      <c r="U371" s="107" t="s">
        <v>432</v>
      </c>
      <c r="V371" s="109" t="s">
        <v>2209</v>
      </c>
      <c r="W371" s="107" t="s">
        <v>432</v>
      </c>
      <c r="X371" s="107" t="s">
        <v>432</v>
      </c>
      <c r="Y371" s="107" t="s">
        <v>432</v>
      </c>
      <c r="Z371" s="107" t="s">
        <v>432</v>
      </c>
      <c r="AA371" s="107" t="s">
        <v>432</v>
      </c>
      <c r="AB371" s="107" t="s">
        <v>432</v>
      </c>
      <c r="AC371" s="107" t="s">
        <v>432</v>
      </c>
      <c r="AD371" s="107" t="s">
        <v>432</v>
      </c>
      <c r="AE371" s="107" t="s">
        <v>432</v>
      </c>
      <c r="AF371" s="107" t="s">
        <v>432</v>
      </c>
      <c r="AG371" s="107" t="s">
        <v>432</v>
      </c>
      <c r="AH371" s="107" t="s">
        <v>432</v>
      </c>
      <c r="AI371" s="107" t="s">
        <v>432</v>
      </c>
      <c r="AJ371" s="107" t="s">
        <v>432</v>
      </c>
      <c r="AK371" s="882" t="s">
        <v>432</v>
      </c>
      <c r="AL371" s="600" t="s">
        <v>432</v>
      </c>
      <c r="AM371" s="137" t="s">
        <v>432</v>
      </c>
      <c r="AN371" s="137" t="s">
        <v>432</v>
      </c>
      <c r="AO371" s="137" t="s">
        <v>432</v>
      </c>
      <c r="AP371" s="137" t="s">
        <v>432</v>
      </c>
      <c r="AQ371" s="137" t="s">
        <v>432</v>
      </c>
      <c r="AR371" s="137" t="s">
        <v>432</v>
      </c>
      <c r="AS371" s="137" t="s">
        <v>432</v>
      </c>
      <c r="AT371" s="137" t="s">
        <v>432</v>
      </c>
      <c r="AU371" s="137" t="s">
        <v>432</v>
      </c>
      <c r="AV371" s="137" t="s">
        <v>432</v>
      </c>
      <c r="AW371" s="137" t="s">
        <v>432</v>
      </c>
      <c r="AX371" s="137" t="s">
        <v>432</v>
      </c>
      <c r="AY371" s="137" t="s">
        <v>432</v>
      </c>
      <c r="AZ371" s="137" t="s">
        <v>432</v>
      </c>
      <c r="BA371" s="137" t="s">
        <v>432</v>
      </c>
      <c r="BB371" s="239" t="str">
        <f t="shared" si="75"/>
        <v>BRTacessibilidade</v>
      </c>
      <c r="BC371" s="239" t="str">
        <f t="shared" si="76"/>
        <v>BRTacessibilidadex</v>
      </c>
      <c r="BD371" s="239" t="str">
        <f t="shared" si="77"/>
        <v>BRTx</v>
      </c>
    </row>
    <row r="372" spans="1:56" s="105" customFormat="1" ht="47.25" x14ac:dyDescent="0.25">
      <c r="A372" s="275" t="str">
        <f>'Q100b-totais'!B54</f>
        <v>8.2</v>
      </c>
      <c r="B372" s="13" t="str">
        <f>'Q100b-totais'!C54</f>
        <v>BRT</v>
      </c>
      <c r="C372" s="167" t="s">
        <v>743</v>
      </c>
      <c r="D372" s="324" t="s">
        <v>5630</v>
      </c>
      <c r="E372" s="1491" t="s">
        <v>1306</v>
      </c>
      <c r="F372" s="1205" t="s">
        <v>5787</v>
      </c>
      <c r="G372" s="110" t="s">
        <v>5519</v>
      </c>
      <c r="H372" s="173" t="s">
        <v>432</v>
      </c>
      <c r="I372" s="57">
        <v>1</v>
      </c>
      <c r="J372" s="107" t="s">
        <v>432</v>
      </c>
      <c r="K372" s="107" t="s">
        <v>432</v>
      </c>
      <c r="L372" s="107" t="s">
        <v>432</v>
      </c>
      <c r="M372" s="107" t="s">
        <v>432</v>
      </c>
      <c r="N372" s="107" t="s">
        <v>432</v>
      </c>
      <c r="O372" s="107" t="s">
        <v>432</v>
      </c>
      <c r="P372" s="107" t="s">
        <v>432</v>
      </c>
      <c r="Q372" s="107" t="s">
        <v>432</v>
      </c>
      <c r="R372" s="107" t="s">
        <v>432</v>
      </c>
      <c r="S372" s="109" t="s">
        <v>2209</v>
      </c>
      <c r="T372" s="107" t="s">
        <v>432</v>
      </c>
      <c r="U372" s="107" t="s">
        <v>432</v>
      </c>
      <c r="V372" s="109" t="s">
        <v>2209</v>
      </c>
      <c r="W372" s="107" t="s">
        <v>432</v>
      </c>
      <c r="X372" s="107" t="s">
        <v>432</v>
      </c>
      <c r="Y372" s="107" t="s">
        <v>432</v>
      </c>
      <c r="Z372" s="107" t="s">
        <v>432</v>
      </c>
      <c r="AA372" s="107" t="s">
        <v>432</v>
      </c>
      <c r="AB372" s="107" t="s">
        <v>432</v>
      </c>
      <c r="AC372" s="107" t="s">
        <v>432</v>
      </c>
      <c r="AD372" s="107" t="s">
        <v>432</v>
      </c>
      <c r="AE372" s="107" t="s">
        <v>432</v>
      </c>
      <c r="AF372" s="107" t="s">
        <v>432</v>
      </c>
      <c r="AG372" s="107" t="s">
        <v>432</v>
      </c>
      <c r="AH372" s="107" t="s">
        <v>432</v>
      </c>
      <c r="AI372" s="107" t="s">
        <v>432</v>
      </c>
      <c r="AJ372" s="107" t="s">
        <v>432</v>
      </c>
      <c r="AK372" s="882" t="s">
        <v>432</v>
      </c>
      <c r="AL372" s="600" t="s">
        <v>432</v>
      </c>
      <c r="AM372" s="137" t="s">
        <v>432</v>
      </c>
      <c r="AN372" s="137" t="s">
        <v>432</v>
      </c>
      <c r="AO372" s="137" t="s">
        <v>432</v>
      </c>
      <c r="AP372" s="137" t="s">
        <v>432</v>
      </c>
      <c r="AQ372" s="137" t="s">
        <v>432</v>
      </c>
      <c r="AR372" s="137" t="s">
        <v>432</v>
      </c>
      <c r="AS372" s="137" t="s">
        <v>432</v>
      </c>
      <c r="AT372" s="137" t="s">
        <v>432</v>
      </c>
      <c r="AU372" s="137" t="s">
        <v>432</v>
      </c>
      <c r="AV372" s="137" t="s">
        <v>432</v>
      </c>
      <c r="AW372" s="137" t="s">
        <v>432</v>
      </c>
      <c r="AX372" s="137" t="s">
        <v>432</v>
      </c>
      <c r="AY372" s="137" t="s">
        <v>432</v>
      </c>
      <c r="AZ372" s="137" t="s">
        <v>432</v>
      </c>
      <c r="BA372" s="137" t="s">
        <v>432</v>
      </c>
      <c r="BB372" s="239" t="str">
        <f t="shared" si="75"/>
        <v>BRTacessibilidade</v>
      </c>
      <c r="BC372" s="239" t="str">
        <f t="shared" si="76"/>
        <v>BRTacessibilidadex</v>
      </c>
      <c r="BD372" s="239" t="str">
        <f t="shared" si="77"/>
        <v>BRTx</v>
      </c>
    </row>
    <row r="373" spans="1:56" s="105" customFormat="1" ht="38.25" x14ac:dyDescent="0.25">
      <c r="A373" s="275" t="str">
        <f>'Q100b-totais'!B54</f>
        <v>8.2</v>
      </c>
      <c r="B373" s="13" t="str">
        <f>'Q100b-totais'!C54</f>
        <v>BRT</v>
      </c>
      <c r="C373" s="167" t="s">
        <v>743</v>
      </c>
      <c r="D373" s="324" t="s">
        <v>5692</v>
      </c>
      <c r="E373" s="1491" t="s">
        <v>1306</v>
      </c>
      <c r="F373" s="1205" t="s">
        <v>5788</v>
      </c>
      <c r="G373" s="57" t="s">
        <v>3507</v>
      </c>
      <c r="H373" s="167" t="s">
        <v>2408</v>
      </c>
      <c r="I373" s="57" t="s">
        <v>432</v>
      </c>
      <c r="J373" s="107" t="s">
        <v>432</v>
      </c>
      <c r="K373" s="107" t="s">
        <v>432</v>
      </c>
      <c r="L373" s="107" t="s">
        <v>432</v>
      </c>
      <c r="M373" s="107" t="s">
        <v>432</v>
      </c>
      <c r="N373" s="107" t="s">
        <v>432</v>
      </c>
      <c r="O373" s="107" t="s">
        <v>432</v>
      </c>
      <c r="P373" s="107" t="s">
        <v>432</v>
      </c>
      <c r="Q373" s="107" t="s">
        <v>432</v>
      </c>
      <c r="R373" s="107" t="s">
        <v>432</v>
      </c>
      <c r="S373" s="109" t="s">
        <v>2209</v>
      </c>
      <c r="T373" s="107" t="s">
        <v>432</v>
      </c>
      <c r="U373" s="107" t="s">
        <v>432</v>
      </c>
      <c r="V373" s="109" t="s">
        <v>2209</v>
      </c>
      <c r="W373" s="107" t="s">
        <v>432</v>
      </c>
      <c r="X373" s="107" t="s">
        <v>432</v>
      </c>
      <c r="Y373" s="107" t="s">
        <v>432</v>
      </c>
      <c r="Z373" s="107" t="s">
        <v>432</v>
      </c>
      <c r="AA373" s="107" t="s">
        <v>432</v>
      </c>
      <c r="AB373" s="107" t="s">
        <v>432</v>
      </c>
      <c r="AC373" s="107" t="s">
        <v>432</v>
      </c>
      <c r="AD373" s="107" t="s">
        <v>432</v>
      </c>
      <c r="AE373" s="107" t="s">
        <v>432</v>
      </c>
      <c r="AF373" s="107" t="s">
        <v>432</v>
      </c>
      <c r="AG373" s="107" t="s">
        <v>432</v>
      </c>
      <c r="AH373" s="107" t="s">
        <v>432</v>
      </c>
      <c r="AI373" s="107" t="s">
        <v>432</v>
      </c>
      <c r="AJ373" s="107" t="s">
        <v>432</v>
      </c>
      <c r="AK373" s="57" t="s">
        <v>432</v>
      </c>
      <c r="AL373" s="600" t="s">
        <v>432</v>
      </c>
      <c r="AM373" s="137" t="s">
        <v>432</v>
      </c>
      <c r="AN373" s="137" t="s">
        <v>432</v>
      </c>
      <c r="AO373" s="137" t="s">
        <v>432</v>
      </c>
      <c r="AP373" s="137" t="s">
        <v>432</v>
      </c>
      <c r="AQ373" s="137" t="s">
        <v>432</v>
      </c>
      <c r="AR373" s="137" t="s">
        <v>432</v>
      </c>
      <c r="AS373" s="137" t="s">
        <v>432</v>
      </c>
      <c r="AT373" s="137" t="s">
        <v>432</v>
      </c>
      <c r="AU373" s="137" t="s">
        <v>432</v>
      </c>
      <c r="AV373" s="137" t="s">
        <v>432</v>
      </c>
      <c r="AW373" s="137" t="s">
        <v>432</v>
      </c>
      <c r="AX373" s="137" t="s">
        <v>432</v>
      </c>
      <c r="AY373" s="137" t="s">
        <v>432</v>
      </c>
      <c r="AZ373" s="137" t="s">
        <v>432</v>
      </c>
      <c r="BA373" s="137" t="s">
        <v>432</v>
      </c>
      <c r="BB373" s="239" t="str">
        <f t="shared" si="75"/>
        <v>BRTacessibilidade</v>
      </c>
      <c r="BC373" s="239" t="str">
        <f t="shared" si="76"/>
        <v>BRTacessibilidadesigla/verbete</v>
      </c>
      <c r="BD373" s="239" t="str">
        <f t="shared" si="77"/>
        <v>BRTsigla/verbete</v>
      </c>
    </row>
    <row r="374" spans="1:56" s="105" customFormat="1" ht="113.25" customHeight="1" x14ac:dyDescent="0.25">
      <c r="A374" s="275" t="str">
        <f>'Q100b-totais'!B54</f>
        <v>8.2</v>
      </c>
      <c r="B374" s="13" t="str">
        <f>'Q100b-totais'!C54</f>
        <v>BRT</v>
      </c>
      <c r="C374" s="167" t="s">
        <v>743</v>
      </c>
      <c r="D374" s="324" t="s">
        <v>5627</v>
      </c>
      <c r="E374" s="1491" t="s">
        <v>1306</v>
      </c>
      <c r="F374" s="1205" t="s">
        <v>5789</v>
      </c>
      <c r="G374" s="57" t="s">
        <v>3507</v>
      </c>
      <c r="H374" s="167" t="s">
        <v>2408</v>
      </c>
      <c r="I374" s="57" t="s">
        <v>432</v>
      </c>
      <c r="J374" s="107" t="s">
        <v>432</v>
      </c>
      <c r="K374" s="107" t="s">
        <v>432</v>
      </c>
      <c r="L374" s="107" t="s">
        <v>432</v>
      </c>
      <c r="M374" s="107" t="s">
        <v>432</v>
      </c>
      <c r="N374" s="107" t="s">
        <v>432</v>
      </c>
      <c r="O374" s="107" t="s">
        <v>432</v>
      </c>
      <c r="P374" s="107" t="s">
        <v>432</v>
      </c>
      <c r="Q374" s="107" t="s">
        <v>432</v>
      </c>
      <c r="R374" s="107" t="s">
        <v>432</v>
      </c>
      <c r="S374" s="109" t="s">
        <v>2209</v>
      </c>
      <c r="T374" s="107" t="s">
        <v>432</v>
      </c>
      <c r="U374" s="107" t="s">
        <v>432</v>
      </c>
      <c r="V374" s="109" t="s">
        <v>2209</v>
      </c>
      <c r="W374" s="107" t="s">
        <v>432</v>
      </c>
      <c r="X374" s="107" t="s">
        <v>432</v>
      </c>
      <c r="Y374" s="107" t="s">
        <v>432</v>
      </c>
      <c r="Z374" s="107" t="s">
        <v>432</v>
      </c>
      <c r="AA374" s="107" t="s">
        <v>432</v>
      </c>
      <c r="AB374" s="107" t="s">
        <v>432</v>
      </c>
      <c r="AC374" s="107" t="s">
        <v>432</v>
      </c>
      <c r="AD374" s="107" t="s">
        <v>432</v>
      </c>
      <c r="AE374" s="107" t="s">
        <v>432</v>
      </c>
      <c r="AF374" s="107" t="s">
        <v>432</v>
      </c>
      <c r="AG374" s="107" t="s">
        <v>432</v>
      </c>
      <c r="AH374" s="107" t="s">
        <v>432</v>
      </c>
      <c r="AI374" s="107" t="s">
        <v>432</v>
      </c>
      <c r="AJ374" s="107" t="s">
        <v>432</v>
      </c>
      <c r="AK374" s="57" t="s">
        <v>432</v>
      </c>
      <c r="AL374" s="600" t="s">
        <v>432</v>
      </c>
      <c r="AM374" s="137" t="s">
        <v>432</v>
      </c>
      <c r="AN374" s="137" t="s">
        <v>432</v>
      </c>
      <c r="AO374" s="137" t="s">
        <v>432</v>
      </c>
      <c r="AP374" s="137" t="s">
        <v>432</v>
      </c>
      <c r="AQ374" s="137" t="s">
        <v>432</v>
      </c>
      <c r="AR374" s="137" t="s">
        <v>432</v>
      </c>
      <c r="AS374" s="137" t="s">
        <v>432</v>
      </c>
      <c r="AT374" s="137" t="s">
        <v>432</v>
      </c>
      <c r="AU374" s="137" t="s">
        <v>432</v>
      </c>
      <c r="AV374" s="137" t="s">
        <v>432</v>
      </c>
      <c r="AW374" s="137" t="s">
        <v>432</v>
      </c>
      <c r="AX374" s="137" t="s">
        <v>432</v>
      </c>
      <c r="AY374" s="137" t="s">
        <v>432</v>
      </c>
      <c r="AZ374" s="137" t="s">
        <v>432</v>
      </c>
      <c r="BA374" s="137" t="s">
        <v>432</v>
      </c>
      <c r="BB374" s="239" t="str">
        <f t="shared" si="75"/>
        <v>BRTacessibilidade</v>
      </c>
      <c r="BC374" s="239" t="str">
        <f t="shared" si="76"/>
        <v>BRTacessibilidadesigla/verbete</v>
      </c>
      <c r="BD374" s="239" t="str">
        <f t="shared" si="77"/>
        <v>BRTsigla/verbete</v>
      </c>
    </row>
    <row r="375" spans="1:56" s="105" customFormat="1" ht="38.25" x14ac:dyDescent="0.25">
      <c r="A375" s="275" t="str">
        <f>'Q100b-totais'!B54</f>
        <v>8.2</v>
      </c>
      <c r="B375" s="13" t="str">
        <f>'Q100b-totais'!C54</f>
        <v>BRT</v>
      </c>
      <c r="C375" s="167" t="s">
        <v>743</v>
      </c>
      <c r="D375" s="324" t="s">
        <v>6164</v>
      </c>
      <c r="E375" s="1491" t="s">
        <v>1306</v>
      </c>
      <c r="F375" s="1205" t="s">
        <v>6165</v>
      </c>
      <c r="G375" s="57" t="s">
        <v>3507</v>
      </c>
      <c r="H375" s="167" t="s">
        <v>2408</v>
      </c>
      <c r="I375" s="57" t="s">
        <v>432</v>
      </c>
      <c r="J375" s="107" t="s">
        <v>432</v>
      </c>
      <c r="K375" s="107" t="s">
        <v>432</v>
      </c>
      <c r="L375" s="107" t="s">
        <v>432</v>
      </c>
      <c r="M375" s="107" t="s">
        <v>432</v>
      </c>
      <c r="N375" s="107" t="s">
        <v>432</v>
      </c>
      <c r="O375" s="107" t="s">
        <v>432</v>
      </c>
      <c r="P375" s="107" t="s">
        <v>432</v>
      </c>
      <c r="Q375" s="107" t="s">
        <v>432</v>
      </c>
      <c r="R375" s="107" t="s">
        <v>432</v>
      </c>
      <c r="S375" s="109" t="s">
        <v>2209</v>
      </c>
      <c r="T375" s="107" t="s">
        <v>432</v>
      </c>
      <c r="U375" s="107" t="s">
        <v>432</v>
      </c>
      <c r="V375" s="109" t="s">
        <v>2209</v>
      </c>
      <c r="W375" s="107" t="s">
        <v>432</v>
      </c>
      <c r="X375" s="107" t="s">
        <v>432</v>
      </c>
      <c r="Y375" s="107" t="s">
        <v>432</v>
      </c>
      <c r="Z375" s="107" t="s">
        <v>432</v>
      </c>
      <c r="AA375" s="107" t="s">
        <v>432</v>
      </c>
      <c r="AB375" s="107" t="s">
        <v>432</v>
      </c>
      <c r="AC375" s="107" t="s">
        <v>432</v>
      </c>
      <c r="AD375" s="107" t="s">
        <v>432</v>
      </c>
      <c r="AE375" s="107" t="s">
        <v>432</v>
      </c>
      <c r="AF375" s="107" t="s">
        <v>432</v>
      </c>
      <c r="AG375" s="107" t="s">
        <v>432</v>
      </c>
      <c r="AH375" s="107" t="s">
        <v>432</v>
      </c>
      <c r="AI375" s="107" t="s">
        <v>432</v>
      </c>
      <c r="AJ375" s="107" t="s">
        <v>432</v>
      </c>
      <c r="AK375" s="57" t="s">
        <v>432</v>
      </c>
      <c r="AL375" s="600" t="s">
        <v>432</v>
      </c>
      <c r="AM375" s="137" t="s">
        <v>432</v>
      </c>
      <c r="AN375" s="137" t="s">
        <v>432</v>
      </c>
      <c r="AO375" s="137" t="s">
        <v>432</v>
      </c>
      <c r="AP375" s="137" t="s">
        <v>432</v>
      </c>
      <c r="AQ375" s="137" t="s">
        <v>432</v>
      </c>
      <c r="AR375" s="137" t="s">
        <v>432</v>
      </c>
      <c r="AS375" s="137" t="s">
        <v>432</v>
      </c>
      <c r="AT375" s="137" t="s">
        <v>432</v>
      </c>
      <c r="AU375" s="137" t="s">
        <v>432</v>
      </c>
      <c r="AV375" s="137" t="s">
        <v>432</v>
      </c>
      <c r="AW375" s="137" t="s">
        <v>432</v>
      </c>
      <c r="AX375" s="137" t="s">
        <v>432</v>
      </c>
      <c r="AY375" s="137" t="s">
        <v>432</v>
      </c>
      <c r="AZ375" s="137" t="s">
        <v>432</v>
      </c>
      <c r="BA375" s="137" t="s">
        <v>432</v>
      </c>
      <c r="BB375" s="239" t="str">
        <f t="shared" si="75"/>
        <v>BRTacessibilidade</v>
      </c>
      <c r="BC375" s="239" t="str">
        <f t="shared" si="76"/>
        <v>BRTacessibilidadesigla/verbete</v>
      </c>
      <c r="BD375" s="239" t="str">
        <f t="shared" si="77"/>
        <v>BRTsigla/verbete</v>
      </c>
    </row>
    <row r="376" spans="1:56" s="105" customFormat="1" ht="96.75" customHeight="1" x14ac:dyDescent="0.25">
      <c r="A376" s="275" t="str">
        <f>'Q100b-totais'!B54</f>
        <v>8.2</v>
      </c>
      <c r="B376" s="13" t="str">
        <f>'Q100b-totais'!C54</f>
        <v>BRT</v>
      </c>
      <c r="C376" s="167" t="s">
        <v>743</v>
      </c>
      <c r="D376" s="362" t="s">
        <v>5551</v>
      </c>
      <c r="E376" s="1494" t="s">
        <v>1306</v>
      </c>
      <c r="F376" s="1478" t="s">
        <v>6160</v>
      </c>
      <c r="G376" s="110" t="s">
        <v>5578</v>
      </c>
      <c r="H376" s="173" t="s">
        <v>432</v>
      </c>
      <c r="I376" s="57">
        <v>1</v>
      </c>
      <c r="J376" s="107" t="s">
        <v>432</v>
      </c>
      <c r="K376" s="107" t="s">
        <v>432</v>
      </c>
      <c r="L376" s="107" t="s">
        <v>432</v>
      </c>
      <c r="M376" s="107" t="s">
        <v>432</v>
      </c>
      <c r="N376" s="107" t="s">
        <v>432</v>
      </c>
      <c r="O376" s="107" t="s">
        <v>432</v>
      </c>
      <c r="P376" s="107" t="s">
        <v>432</v>
      </c>
      <c r="Q376" s="107" t="s">
        <v>432</v>
      </c>
      <c r="R376" s="107" t="s">
        <v>432</v>
      </c>
      <c r="S376" s="109" t="s">
        <v>2209</v>
      </c>
      <c r="T376" s="107" t="s">
        <v>432</v>
      </c>
      <c r="U376" s="107" t="s">
        <v>432</v>
      </c>
      <c r="V376" s="109" t="s">
        <v>2209</v>
      </c>
      <c r="W376" s="107" t="s">
        <v>432</v>
      </c>
      <c r="X376" s="107" t="s">
        <v>432</v>
      </c>
      <c r="Y376" s="107" t="s">
        <v>432</v>
      </c>
      <c r="Z376" s="107" t="s">
        <v>432</v>
      </c>
      <c r="AA376" s="107" t="s">
        <v>432</v>
      </c>
      <c r="AB376" s="107" t="s">
        <v>432</v>
      </c>
      <c r="AC376" s="107" t="s">
        <v>432</v>
      </c>
      <c r="AD376" s="107" t="s">
        <v>432</v>
      </c>
      <c r="AE376" s="107" t="s">
        <v>432</v>
      </c>
      <c r="AF376" s="107" t="s">
        <v>432</v>
      </c>
      <c r="AG376" s="107" t="s">
        <v>432</v>
      </c>
      <c r="AH376" s="107" t="s">
        <v>432</v>
      </c>
      <c r="AI376" s="107" t="s">
        <v>432</v>
      </c>
      <c r="AJ376" s="107" t="s">
        <v>432</v>
      </c>
      <c r="AK376" s="95">
        <v>0</v>
      </c>
      <c r="AL376" s="600" t="s">
        <v>432</v>
      </c>
      <c r="AM376" s="137" t="s">
        <v>432</v>
      </c>
      <c r="AN376" s="137" t="s">
        <v>432</v>
      </c>
      <c r="AO376" s="137" t="s">
        <v>432</v>
      </c>
      <c r="AP376" s="137" t="s">
        <v>432</v>
      </c>
      <c r="AQ376" s="137" t="s">
        <v>432</v>
      </c>
      <c r="AR376" s="137" t="s">
        <v>432</v>
      </c>
      <c r="AS376" s="137" t="s">
        <v>432</v>
      </c>
      <c r="AT376" s="137" t="s">
        <v>432</v>
      </c>
      <c r="AU376" s="137" t="s">
        <v>432</v>
      </c>
      <c r="AV376" s="137" t="s">
        <v>432</v>
      </c>
      <c r="AW376" s="137" t="s">
        <v>432</v>
      </c>
      <c r="AX376" s="137" t="s">
        <v>432</v>
      </c>
      <c r="AY376" s="137" t="s">
        <v>432</v>
      </c>
      <c r="AZ376" s="137" t="s">
        <v>432</v>
      </c>
      <c r="BA376" s="137" t="s">
        <v>432</v>
      </c>
      <c r="BB376" s="239" t="str">
        <f t="shared" si="75"/>
        <v>BRTacessibilidade</v>
      </c>
      <c r="BC376" s="239" t="str">
        <f t="shared" si="76"/>
        <v>BRTacessibilidadex</v>
      </c>
      <c r="BD376" s="239" t="str">
        <f t="shared" si="77"/>
        <v>BRTx</v>
      </c>
    </row>
    <row r="377" spans="1:56" s="105" customFormat="1" ht="243.75" customHeight="1" x14ac:dyDescent="0.25">
      <c r="A377" s="275" t="str">
        <f>'Q100b-totais'!B54</f>
        <v>8.2</v>
      </c>
      <c r="B377" s="13" t="str">
        <f>'Q100b-totais'!C54</f>
        <v>BRT</v>
      </c>
      <c r="C377" s="167" t="s">
        <v>743</v>
      </c>
      <c r="D377" s="362" t="s">
        <v>5543</v>
      </c>
      <c r="E377" s="1494" t="s">
        <v>1306</v>
      </c>
      <c r="F377" s="1478" t="s">
        <v>6161</v>
      </c>
      <c r="G377" s="110" t="s">
        <v>5578</v>
      </c>
      <c r="H377" s="173" t="s">
        <v>432</v>
      </c>
      <c r="I377" s="57">
        <v>1</v>
      </c>
      <c r="J377" s="107" t="s">
        <v>432</v>
      </c>
      <c r="K377" s="107" t="s">
        <v>432</v>
      </c>
      <c r="L377" s="107" t="s">
        <v>432</v>
      </c>
      <c r="M377" s="107" t="s">
        <v>432</v>
      </c>
      <c r="N377" s="107" t="s">
        <v>432</v>
      </c>
      <c r="O377" s="107" t="s">
        <v>432</v>
      </c>
      <c r="P377" s="107" t="s">
        <v>432</v>
      </c>
      <c r="Q377" s="107" t="s">
        <v>432</v>
      </c>
      <c r="R377" s="107" t="s">
        <v>432</v>
      </c>
      <c r="S377" s="109" t="s">
        <v>2209</v>
      </c>
      <c r="T377" s="107" t="s">
        <v>432</v>
      </c>
      <c r="U377" s="107" t="s">
        <v>432</v>
      </c>
      <c r="V377" s="109" t="s">
        <v>2209</v>
      </c>
      <c r="W377" s="107" t="s">
        <v>432</v>
      </c>
      <c r="X377" s="107" t="s">
        <v>432</v>
      </c>
      <c r="Y377" s="107" t="s">
        <v>432</v>
      </c>
      <c r="Z377" s="107" t="s">
        <v>432</v>
      </c>
      <c r="AA377" s="107" t="s">
        <v>432</v>
      </c>
      <c r="AB377" s="107" t="s">
        <v>432</v>
      </c>
      <c r="AC377" s="107" t="s">
        <v>432</v>
      </c>
      <c r="AD377" s="107" t="s">
        <v>432</v>
      </c>
      <c r="AE377" s="107" t="s">
        <v>432</v>
      </c>
      <c r="AF377" s="107" t="s">
        <v>432</v>
      </c>
      <c r="AG377" s="107" t="s">
        <v>432</v>
      </c>
      <c r="AH377" s="107" t="s">
        <v>432</v>
      </c>
      <c r="AI377" s="107" t="s">
        <v>432</v>
      </c>
      <c r="AJ377" s="107" t="s">
        <v>432</v>
      </c>
      <c r="AK377" s="95">
        <v>0.25</v>
      </c>
      <c r="AL377" s="600" t="s">
        <v>432</v>
      </c>
      <c r="AM377" s="137" t="s">
        <v>432</v>
      </c>
      <c r="AN377" s="137" t="s">
        <v>432</v>
      </c>
      <c r="AO377" s="137" t="s">
        <v>432</v>
      </c>
      <c r="AP377" s="137" t="s">
        <v>432</v>
      </c>
      <c r="AQ377" s="137" t="s">
        <v>432</v>
      </c>
      <c r="AR377" s="137" t="s">
        <v>432</v>
      </c>
      <c r="AS377" s="137" t="s">
        <v>432</v>
      </c>
      <c r="AT377" s="137" t="s">
        <v>432</v>
      </c>
      <c r="AU377" s="137" t="s">
        <v>432</v>
      </c>
      <c r="AV377" s="137" t="s">
        <v>432</v>
      </c>
      <c r="AW377" s="137" t="s">
        <v>432</v>
      </c>
      <c r="AX377" s="137" t="s">
        <v>432</v>
      </c>
      <c r="AY377" s="137" t="s">
        <v>432</v>
      </c>
      <c r="AZ377" s="137" t="s">
        <v>432</v>
      </c>
      <c r="BA377" s="137" t="s">
        <v>432</v>
      </c>
      <c r="BB377" s="239" t="str">
        <f t="shared" si="75"/>
        <v>BRTacessibilidade</v>
      </c>
      <c r="BC377" s="239" t="str">
        <f t="shared" si="76"/>
        <v>BRTacessibilidadex</v>
      </c>
      <c r="BD377" s="239" t="str">
        <f t="shared" si="77"/>
        <v>BRTx</v>
      </c>
    </row>
    <row r="378" spans="1:56" s="105" customFormat="1" ht="63.75" x14ac:dyDescent="0.25">
      <c r="A378" s="275" t="str">
        <f>'Q100b-totais'!B54</f>
        <v>8.2</v>
      </c>
      <c r="B378" s="13" t="str">
        <f>'Q100b-totais'!C54</f>
        <v>BRT</v>
      </c>
      <c r="C378" s="167" t="s">
        <v>743</v>
      </c>
      <c r="D378" s="324" t="s">
        <v>5628</v>
      </c>
      <c r="E378" s="1491" t="s">
        <v>1306</v>
      </c>
      <c r="F378" s="1205" t="s">
        <v>5790</v>
      </c>
      <c r="G378" s="57" t="s">
        <v>3507</v>
      </c>
      <c r="H378" s="167" t="s">
        <v>2408</v>
      </c>
      <c r="I378" s="57" t="s">
        <v>432</v>
      </c>
      <c r="J378" s="107" t="s">
        <v>432</v>
      </c>
      <c r="K378" s="107" t="s">
        <v>432</v>
      </c>
      <c r="L378" s="107" t="s">
        <v>432</v>
      </c>
      <c r="M378" s="107" t="s">
        <v>432</v>
      </c>
      <c r="N378" s="107" t="s">
        <v>432</v>
      </c>
      <c r="O378" s="107" t="s">
        <v>432</v>
      </c>
      <c r="P378" s="107" t="s">
        <v>432</v>
      </c>
      <c r="Q378" s="107" t="s">
        <v>432</v>
      </c>
      <c r="R378" s="107" t="s">
        <v>432</v>
      </c>
      <c r="S378" s="109" t="s">
        <v>2209</v>
      </c>
      <c r="T378" s="107" t="s">
        <v>432</v>
      </c>
      <c r="U378" s="107" t="s">
        <v>432</v>
      </c>
      <c r="V378" s="109" t="s">
        <v>2209</v>
      </c>
      <c r="W378" s="107" t="s">
        <v>432</v>
      </c>
      <c r="X378" s="107" t="s">
        <v>432</v>
      </c>
      <c r="Y378" s="107" t="s">
        <v>432</v>
      </c>
      <c r="Z378" s="107" t="s">
        <v>432</v>
      </c>
      <c r="AA378" s="107" t="s">
        <v>432</v>
      </c>
      <c r="AB378" s="107" t="s">
        <v>432</v>
      </c>
      <c r="AC378" s="107" t="s">
        <v>432</v>
      </c>
      <c r="AD378" s="107" t="s">
        <v>432</v>
      </c>
      <c r="AE378" s="107" t="s">
        <v>432</v>
      </c>
      <c r="AF378" s="107" t="s">
        <v>432</v>
      </c>
      <c r="AG378" s="107" t="s">
        <v>432</v>
      </c>
      <c r="AH378" s="107" t="s">
        <v>432</v>
      </c>
      <c r="AI378" s="107" t="s">
        <v>432</v>
      </c>
      <c r="AJ378" s="107" t="s">
        <v>432</v>
      </c>
      <c r="AK378" s="57" t="s">
        <v>432</v>
      </c>
      <c r="AL378" s="600" t="s">
        <v>432</v>
      </c>
      <c r="AM378" s="137" t="s">
        <v>432</v>
      </c>
      <c r="AN378" s="137" t="s">
        <v>432</v>
      </c>
      <c r="AO378" s="137" t="s">
        <v>432</v>
      </c>
      <c r="AP378" s="137" t="s">
        <v>432</v>
      </c>
      <c r="AQ378" s="137" t="s">
        <v>432</v>
      </c>
      <c r="AR378" s="137" t="s">
        <v>432</v>
      </c>
      <c r="AS378" s="137" t="s">
        <v>432</v>
      </c>
      <c r="AT378" s="137" t="s">
        <v>432</v>
      </c>
      <c r="AU378" s="137" t="s">
        <v>432</v>
      </c>
      <c r="AV378" s="137" t="s">
        <v>432</v>
      </c>
      <c r="AW378" s="137" t="s">
        <v>432</v>
      </c>
      <c r="AX378" s="137" t="s">
        <v>432</v>
      </c>
      <c r="AY378" s="137" t="s">
        <v>432</v>
      </c>
      <c r="AZ378" s="137" t="s">
        <v>432</v>
      </c>
      <c r="BA378" s="137" t="s">
        <v>432</v>
      </c>
      <c r="BB378" s="239" t="str">
        <f t="shared" si="75"/>
        <v>BRTacessibilidade</v>
      </c>
      <c r="BC378" s="239" t="str">
        <f t="shared" si="76"/>
        <v>BRTacessibilidadesigla/verbete</v>
      </c>
      <c r="BD378" s="239" t="str">
        <f t="shared" si="77"/>
        <v>BRTsigla/verbete</v>
      </c>
    </row>
    <row r="379" spans="1:56" s="105" customFormat="1" ht="51" x14ac:dyDescent="0.25">
      <c r="A379" s="275" t="str">
        <f>'Q100b-totais'!B54</f>
        <v>8.2</v>
      </c>
      <c r="B379" s="13" t="str">
        <f>'Q100b-totais'!C54</f>
        <v>BRT</v>
      </c>
      <c r="C379" s="167" t="s">
        <v>743</v>
      </c>
      <c r="D379" s="362" t="s">
        <v>5663</v>
      </c>
      <c r="E379" s="1494" t="s">
        <v>1306</v>
      </c>
      <c r="F379" s="1478" t="s">
        <v>5791</v>
      </c>
      <c r="G379" s="110" t="s">
        <v>5578</v>
      </c>
      <c r="H379" s="173" t="s">
        <v>432</v>
      </c>
      <c r="I379" s="57">
        <v>1</v>
      </c>
      <c r="J379" s="107" t="s">
        <v>432</v>
      </c>
      <c r="K379" s="107" t="s">
        <v>432</v>
      </c>
      <c r="L379" s="107" t="s">
        <v>432</v>
      </c>
      <c r="M379" s="107" t="s">
        <v>432</v>
      </c>
      <c r="N379" s="107" t="s">
        <v>432</v>
      </c>
      <c r="O379" s="107" t="s">
        <v>432</v>
      </c>
      <c r="P379" s="107" t="s">
        <v>432</v>
      </c>
      <c r="Q379" s="107" t="s">
        <v>432</v>
      </c>
      <c r="R379" s="107" t="s">
        <v>432</v>
      </c>
      <c r="S379" s="109" t="s">
        <v>2209</v>
      </c>
      <c r="T379" s="107" t="s">
        <v>432</v>
      </c>
      <c r="U379" s="107" t="s">
        <v>432</v>
      </c>
      <c r="V379" s="109" t="s">
        <v>2209</v>
      </c>
      <c r="W379" s="107" t="s">
        <v>432</v>
      </c>
      <c r="X379" s="107" t="s">
        <v>432</v>
      </c>
      <c r="Y379" s="107" t="s">
        <v>432</v>
      </c>
      <c r="Z379" s="107" t="s">
        <v>432</v>
      </c>
      <c r="AA379" s="107" t="s">
        <v>432</v>
      </c>
      <c r="AB379" s="107" t="s">
        <v>432</v>
      </c>
      <c r="AC379" s="107" t="s">
        <v>432</v>
      </c>
      <c r="AD379" s="107" t="s">
        <v>432</v>
      </c>
      <c r="AE379" s="107" t="s">
        <v>432</v>
      </c>
      <c r="AF379" s="107" t="s">
        <v>432</v>
      </c>
      <c r="AG379" s="107" t="s">
        <v>432</v>
      </c>
      <c r="AH379" s="107" t="s">
        <v>432</v>
      </c>
      <c r="AI379" s="107" t="s">
        <v>432</v>
      </c>
      <c r="AJ379" s="107" t="s">
        <v>432</v>
      </c>
      <c r="AK379" s="95">
        <v>0.6</v>
      </c>
      <c r="AL379" s="600" t="s">
        <v>432</v>
      </c>
      <c r="AM379" s="137" t="s">
        <v>432</v>
      </c>
      <c r="AN379" s="137" t="s">
        <v>432</v>
      </c>
      <c r="AO379" s="137" t="s">
        <v>432</v>
      </c>
      <c r="AP379" s="137" t="s">
        <v>432</v>
      </c>
      <c r="AQ379" s="137" t="s">
        <v>432</v>
      </c>
      <c r="AR379" s="137" t="s">
        <v>432</v>
      </c>
      <c r="AS379" s="137" t="s">
        <v>432</v>
      </c>
      <c r="AT379" s="137" t="s">
        <v>432</v>
      </c>
      <c r="AU379" s="137" t="s">
        <v>432</v>
      </c>
      <c r="AV379" s="137" t="s">
        <v>432</v>
      </c>
      <c r="AW379" s="137" t="s">
        <v>432</v>
      </c>
      <c r="AX379" s="137" t="s">
        <v>432</v>
      </c>
      <c r="AY379" s="137" t="s">
        <v>432</v>
      </c>
      <c r="AZ379" s="137" t="s">
        <v>432</v>
      </c>
      <c r="BA379" s="137" t="s">
        <v>432</v>
      </c>
      <c r="BB379" s="239" t="str">
        <f t="shared" si="75"/>
        <v>BRTacessibilidade</v>
      </c>
      <c r="BC379" s="239" t="str">
        <f t="shared" si="76"/>
        <v>BRTacessibilidadex</v>
      </c>
      <c r="BD379" s="239" t="str">
        <f t="shared" si="77"/>
        <v>BRTx</v>
      </c>
    </row>
    <row r="380" spans="1:56" s="105" customFormat="1" ht="63.75" x14ac:dyDescent="0.25">
      <c r="A380" s="275" t="str">
        <f>'Q100b-totais'!B54</f>
        <v>8.2</v>
      </c>
      <c r="B380" s="13" t="str">
        <f>'Q100b-totais'!C54</f>
        <v>BRT</v>
      </c>
      <c r="C380" s="167" t="s">
        <v>743</v>
      </c>
      <c r="D380" s="362" t="s">
        <v>5662</v>
      </c>
      <c r="E380" s="1494" t="s">
        <v>1306</v>
      </c>
      <c r="F380" s="1478" t="s">
        <v>5792</v>
      </c>
      <c r="G380" s="110" t="s">
        <v>5578</v>
      </c>
      <c r="H380" s="173" t="s">
        <v>432</v>
      </c>
      <c r="I380" s="57">
        <v>1</v>
      </c>
      <c r="J380" s="107" t="s">
        <v>432</v>
      </c>
      <c r="K380" s="107" t="s">
        <v>432</v>
      </c>
      <c r="L380" s="107" t="s">
        <v>432</v>
      </c>
      <c r="M380" s="107" t="s">
        <v>432</v>
      </c>
      <c r="N380" s="107" t="s">
        <v>432</v>
      </c>
      <c r="O380" s="107" t="s">
        <v>432</v>
      </c>
      <c r="P380" s="107" t="s">
        <v>432</v>
      </c>
      <c r="Q380" s="107" t="s">
        <v>432</v>
      </c>
      <c r="R380" s="107" t="s">
        <v>432</v>
      </c>
      <c r="S380" s="109" t="s">
        <v>2209</v>
      </c>
      <c r="T380" s="107" t="s">
        <v>432</v>
      </c>
      <c r="U380" s="107" t="s">
        <v>432</v>
      </c>
      <c r="V380" s="109" t="s">
        <v>2209</v>
      </c>
      <c r="W380" s="107" t="s">
        <v>432</v>
      </c>
      <c r="X380" s="107" t="s">
        <v>432</v>
      </c>
      <c r="Y380" s="107" t="s">
        <v>432</v>
      </c>
      <c r="Z380" s="107" t="s">
        <v>432</v>
      </c>
      <c r="AA380" s="107" t="s">
        <v>432</v>
      </c>
      <c r="AB380" s="107" t="s">
        <v>432</v>
      </c>
      <c r="AC380" s="107" t="s">
        <v>432</v>
      </c>
      <c r="AD380" s="107" t="s">
        <v>432</v>
      </c>
      <c r="AE380" s="107" t="s">
        <v>432</v>
      </c>
      <c r="AF380" s="107" t="s">
        <v>432</v>
      </c>
      <c r="AG380" s="107" t="s">
        <v>432</v>
      </c>
      <c r="AH380" s="107" t="s">
        <v>432</v>
      </c>
      <c r="AI380" s="107" t="s">
        <v>432</v>
      </c>
      <c r="AJ380" s="107" t="s">
        <v>432</v>
      </c>
      <c r="AK380" s="95">
        <v>0.65</v>
      </c>
      <c r="AL380" s="600" t="s">
        <v>432</v>
      </c>
      <c r="AM380" s="137" t="s">
        <v>432</v>
      </c>
      <c r="AN380" s="137" t="s">
        <v>432</v>
      </c>
      <c r="AO380" s="137" t="s">
        <v>432</v>
      </c>
      <c r="AP380" s="137" t="s">
        <v>432</v>
      </c>
      <c r="AQ380" s="137" t="s">
        <v>432</v>
      </c>
      <c r="AR380" s="137" t="s">
        <v>432</v>
      </c>
      <c r="AS380" s="137" t="s">
        <v>432</v>
      </c>
      <c r="AT380" s="137" t="s">
        <v>432</v>
      </c>
      <c r="AU380" s="137" t="s">
        <v>432</v>
      </c>
      <c r="AV380" s="137" t="s">
        <v>432</v>
      </c>
      <c r="AW380" s="137" t="s">
        <v>432</v>
      </c>
      <c r="AX380" s="137" t="s">
        <v>432</v>
      </c>
      <c r="AY380" s="137" t="s">
        <v>432</v>
      </c>
      <c r="AZ380" s="137" t="s">
        <v>432</v>
      </c>
      <c r="BA380" s="137" t="s">
        <v>432</v>
      </c>
      <c r="BB380" s="239" t="str">
        <f t="shared" si="75"/>
        <v>BRTacessibilidade</v>
      </c>
      <c r="BC380" s="239" t="str">
        <f t="shared" si="76"/>
        <v>BRTacessibilidadex</v>
      </c>
      <c r="BD380" s="239" t="str">
        <f t="shared" si="77"/>
        <v>BRTx</v>
      </c>
    </row>
    <row r="381" spans="1:56" s="105" customFormat="1" ht="76.5" x14ac:dyDescent="0.25">
      <c r="A381" s="275" t="str">
        <f>'Q100b-totais'!B54</f>
        <v>8.2</v>
      </c>
      <c r="B381" s="13" t="str">
        <f>'Q100b-totais'!C54</f>
        <v>BRT</v>
      </c>
      <c r="C381" s="167" t="s">
        <v>743</v>
      </c>
      <c r="D381" s="362" t="s">
        <v>5664</v>
      </c>
      <c r="E381" s="1494" t="s">
        <v>1306</v>
      </c>
      <c r="F381" s="1478" t="s">
        <v>5793</v>
      </c>
      <c r="G381" s="110" t="s">
        <v>5578</v>
      </c>
      <c r="H381" s="173" t="s">
        <v>432</v>
      </c>
      <c r="I381" s="57">
        <v>1</v>
      </c>
      <c r="J381" s="107" t="s">
        <v>432</v>
      </c>
      <c r="K381" s="107" t="s">
        <v>432</v>
      </c>
      <c r="L381" s="107" t="s">
        <v>432</v>
      </c>
      <c r="M381" s="107" t="s">
        <v>432</v>
      </c>
      <c r="N381" s="107" t="s">
        <v>432</v>
      </c>
      <c r="O381" s="107" t="s">
        <v>432</v>
      </c>
      <c r="P381" s="107" t="s">
        <v>432</v>
      </c>
      <c r="Q381" s="107" t="s">
        <v>432</v>
      </c>
      <c r="R381" s="107" t="s">
        <v>432</v>
      </c>
      <c r="S381" s="109" t="s">
        <v>2209</v>
      </c>
      <c r="T381" s="107" t="s">
        <v>432</v>
      </c>
      <c r="U381" s="107" t="s">
        <v>432</v>
      </c>
      <c r="V381" s="109" t="s">
        <v>2209</v>
      </c>
      <c r="W381" s="107" t="s">
        <v>432</v>
      </c>
      <c r="X381" s="107" t="s">
        <v>432</v>
      </c>
      <c r="Y381" s="107" t="s">
        <v>432</v>
      </c>
      <c r="Z381" s="107" t="s">
        <v>432</v>
      </c>
      <c r="AA381" s="107" t="s">
        <v>432</v>
      </c>
      <c r="AB381" s="107" t="s">
        <v>432</v>
      </c>
      <c r="AC381" s="107" t="s">
        <v>432</v>
      </c>
      <c r="AD381" s="107" t="s">
        <v>432</v>
      </c>
      <c r="AE381" s="107" t="s">
        <v>432</v>
      </c>
      <c r="AF381" s="107" t="s">
        <v>432</v>
      </c>
      <c r="AG381" s="107" t="s">
        <v>432</v>
      </c>
      <c r="AH381" s="107" t="s">
        <v>432</v>
      </c>
      <c r="AI381" s="107" t="s">
        <v>432</v>
      </c>
      <c r="AJ381" s="107" t="s">
        <v>432</v>
      </c>
      <c r="AK381" s="95">
        <v>0.69</v>
      </c>
      <c r="AL381" s="600" t="s">
        <v>432</v>
      </c>
      <c r="AM381" s="137" t="s">
        <v>432</v>
      </c>
      <c r="AN381" s="137" t="s">
        <v>432</v>
      </c>
      <c r="AO381" s="137" t="s">
        <v>432</v>
      </c>
      <c r="AP381" s="137" t="s">
        <v>432</v>
      </c>
      <c r="AQ381" s="137" t="s">
        <v>432</v>
      </c>
      <c r="AR381" s="137" t="s">
        <v>432</v>
      </c>
      <c r="AS381" s="137" t="s">
        <v>432</v>
      </c>
      <c r="AT381" s="137" t="s">
        <v>432</v>
      </c>
      <c r="AU381" s="137" t="s">
        <v>432</v>
      </c>
      <c r="AV381" s="137" t="s">
        <v>432</v>
      </c>
      <c r="AW381" s="137" t="s">
        <v>432</v>
      </c>
      <c r="AX381" s="137" t="s">
        <v>432</v>
      </c>
      <c r="AY381" s="137" t="s">
        <v>432</v>
      </c>
      <c r="AZ381" s="137" t="s">
        <v>432</v>
      </c>
      <c r="BA381" s="137" t="s">
        <v>432</v>
      </c>
      <c r="BB381" s="239" t="str">
        <f t="shared" si="75"/>
        <v>BRTacessibilidade</v>
      </c>
      <c r="BC381" s="239" t="str">
        <f t="shared" si="76"/>
        <v>BRTacessibilidadex</v>
      </c>
      <c r="BD381" s="239" t="str">
        <f t="shared" si="77"/>
        <v>BRTx</v>
      </c>
    </row>
    <row r="382" spans="1:56" s="105" customFormat="1" ht="63.75" x14ac:dyDescent="0.25">
      <c r="A382" s="275" t="str">
        <f>'Q100b-totais'!B54</f>
        <v>8.2</v>
      </c>
      <c r="B382" s="13" t="str">
        <f>'Q100b-totais'!C54</f>
        <v>BRT</v>
      </c>
      <c r="C382" s="167" t="s">
        <v>743</v>
      </c>
      <c r="D382" s="362" t="s">
        <v>5923</v>
      </c>
      <c r="E382" s="1494" t="s">
        <v>1306</v>
      </c>
      <c r="F382" s="1478" t="s">
        <v>5794</v>
      </c>
      <c r="G382" s="110" t="s">
        <v>5578</v>
      </c>
      <c r="H382" s="173" t="s">
        <v>432</v>
      </c>
      <c r="I382" s="57">
        <v>1</v>
      </c>
      <c r="J382" s="107" t="s">
        <v>432</v>
      </c>
      <c r="K382" s="107" t="s">
        <v>432</v>
      </c>
      <c r="L382" s="107" t="s">
        <v>432</v>
      </c>
      <c r="M382" s="107" t="s">
        <v>432</v>
      </c>
      <c r="N382" s="107" t="s">
        <v>432</v>
      </c>
      <c r="O382" s="107" t="s">
        <v>432</v>
      </c>
      <c r="P382" s="107" t="s">
        <v>432</v>
      </c>
      <c r="Q382" s="107" t="s">
        <v>432</v>
      </c>
      <c r="R382" s="107" t="s">
        <v>432</v>
      </c>
      <c r="S382" s="109" t="s">
        <v>2209</v>
      </c>
      <c r="T382" s="107" t="s">
        <v>432</v>
      </c>
      <c r="U382" s="107" t="s">
        <v>432</v>
      </c>
      <c r="V382" s="109" t="s">
        <v>2209</v>
      </c>
      <c r="W382" s="107" t="s">
        <v>432</v>
      </c>
      <c r="X382" s="107" t="s">
        <v>432</v>
      </c>
      <c r="Y382" s="107" t="s">
        <v>432</v>
      </c>
      <c r="Z382" s="107" t="s">
        <v>432</v>
      </c>
      <c r="AA382" s="107" t="s">
        <v>432</v>
      </c>
      <c r="AB382" s="107" t="s">
        <v>432</v>
      </c>
      <c r="AC382" s="107" t="s">
        <v>432</v>
      </c>
      <c r="AD382" s="107" t="s">
        <v>432</v>
      </c>
      <c r="AE382" s="107" t="s">
        <v>432</v>
      </c>
      <c r="AF382" s="107" t="s">
        <v>432</v>
      </c>
      <c r="AG382" s="107" t="s">
        <v>432</v>
      </c>
      <c r="AH382" s="107" t="s">
        <v>432</v>
      </c>
      <c r="AI382" s="107" t="s">
        <v>432</v>
      </c>
      <c r="AJ382" s="107" t="s">
        <v>432</v>
      </c>
      <c r="AK382" s="95">
        <v>0.44</v>
      </c>
      <c r="AL382" s="600" t="s">
        <v>432</v>
      </c>
      <c r="AM382" s="137" t="s">
        <v>432</v>
      </c>
      <c r="AN382" s="137" t="s">
        <v>432</v>
      </c>
      <c r="AO382" s="137" t="s">
        <v>432</v>
      </c>
      <c r="AP382" s="137" t="s">
        <v>432</v>
      </c>
      <c r="AQ382" s="137" t="s">
        <v>432</v>
      </c>
      <c r="AR382" s="137" t="s">
        <v>432</v>
      </c>
      <c r="AS382" s="137" t="s">
        <v>432</v>
      </c>
      <c r="AT382" s="137" t="s">
        <v>432</v>
      </c>
      <c r="AU382" s="137" t="s">
        <v>432</v>
      </c>
      <c r="AV382" s="137" t="s">
        <v>432</v>
      </c>
      <c r="AW382" s="137" t="s">
        <v>432</v>
      </c>
      <c r="AX382" s="137" t="s">
        <v>432</v>
      </c>
      <c r="AY382" s="137" t="s">
        <v>432</v>
      </c>
      <c r="AZ382" s="137" t="s">
        <v>432</v>
      </c>
      <c r="BA382" s="137" t="s">
        <v>432</v>
      </c>
      <c r="BB382" s="239" t="str">
        <f t="shared" si="75"/>
        <v>BRTacessibilidade</v>
      </c>
      <c r="BC382" s="239" t="str">
        <f t="shared" si="76"/>
        <v>BRTacessibilidadex</v>
      </c>
      <c r="BD382" s="239" t="str">
        <f t="shared" si="77"/>
        <v>BRTx</v>
      </c>
    </row>
    <row r="383" spans="1:56" s="105" customFormat="1" ht="63.75" x14ac:dyDescent="0.25">
      <c r="A383" s="275" t="str">
        <f>'Q100b-totais'!B54</f>
        <v>8.2</v>
      </c>
      <c r="B383" s="13" t="str">
        <f>'Q100b-totais'!C54</f>
        <v>BRT</v>
      </c>
      <c r="C383" s="167" t="s">
        <v>743</v>
      </c>
      <c r="D383" s="362" t="s">
        <v>5687</v>
      </c>
      <c r="E383" s="1494" t="s">
        <v>1306</v>
      </c>
      <c r="F383" s="1478" t="s">
        <v>5795</v>
      </c>
      <c r="G383" s="110" t="s">
        <v>5578</v>
      </c>
      <c r="H383" s="173" t="s">
        <v>432</v>
      </c>
      <c r="I383" s="57">
        <v>1</v>
      </c>
      <c r="J383" s="107" t="s">
        <v>432</v>
      </c>
      <c r="K383" s="107" t="s">
        <v>432</v>
      </c>
      <c r="L383" s="107" t="s">
        <v>432</v>
      </c>
      <c r="M383" s="107" t="s">
        <v>432</v>
      </c>
      <c r="N383" s="107" t="s">
        <v>432</v>
      </c>
      <c r="O383" s="107" t="s">
        <v>432</v>
      </c>
      <c r="P383" s="107" t="s">
        <v>432</v>
      </c>
      <c r="Q383" s="107" t="s">
        <v>432</v>
      </c>
      <c r="R383" s="107" t="s">
        <v>432</v>
      </c>
      <c r="S383" s="109" t="s">
        <v>2209</v>
      </c>
      <c r="T383" s="107" t="s">
        <v>432</v>
      </c>
      <c r="U383" s="107" t="s">
        <v>432</v>
      </c>
      <c r="V383" s="109" t="s">
        <v>2209</v>
      </c>
      <c r="W383" s="107" t="s">
        <v>432</v>
      </c>
      <c r="X383" s="107" t="s">
        <v>432</v>
      </c>
      <c r="Y383" s="107" t="s">
        <v>432</v>
      </c>
      <c r="Z383" s="107" t="s">
        <v>432</v>
      </c>
      <c r="AA383" s="107" t="s">
        <v>432</v>
      </c>
      <c r="AB383" s="107" t="s">
        <v>432</v>
      </c>
      <c r="AC383" s="107" t="s">
        <v>432</v>
      </c>
      <c r="AD383" s="107" t="s">
        <v>432</v>
      </c>
      <c r="AE383" s="107" t="s">
        <v>432</v>
      </c>
      <c r="AF383" s="107" t="s">
        <v>432</v>
      </c>
      <c r="AG383" s="107" t="s">
        <v>432</v>
      </c>
      <c r="AH383" s="107" t="s">
        <v>432</v>
      </c>
      <c r="AI383" s="107" t="s">
        <v>432</v>
      </c>
      <c r="AJ383" s="107" t="s">
        <v>432</v>
      </c>
      <c r="AK383" s="95">
        <v>0.62</v>
      </c>
      <c r="AL383" s="600" t="s">
        <v>432</v>
      </c>
      <c r="AM383" s="137" t="s">
        <v>432</v>
      </c>
      <c r="AN383" s="137" t="s">
        <v>432</v>
      </c>
      <c r="AO383" s="137" t="s">
        <v>432</v>
      </c>
      <c r="AP383" s="137" t="s">
        <v>432</v>
      </c>
      <c r="AQ383" s="137" t="s">
        <v>432</v>
      </c>
      <c r="AR383" s="137" t="s">
        <v>432</v>
      </c>
      <c r="AS383" s="137" t="s">
        <v>432</v>
      </c>
      <c r="AT383" s="137" t="s">
        <v>432</v>
      </c>
      <c r="AU383" s="137" t="s">
        <v>432</v>
      </c>
      <c r="AV383" s="137" t="s">
        <v>432</v>
      </c>
      <c r="AW383" s="137" t="s">
        <v>432</v>
      </c>
      <c r="AX383" s="137" t="s">
        <v>432</v>
      </c>
      <c r="AY383" s="137" t="s">
        <v>432</v>
      </c>
      <c r="AZ383" s="137" t="s">
        <v>432</v>
      </c>
      <c r="BA383" s="137" t="s">
        <v>432</v>
      </c>
      <c r="BB383" s="239" t="str">
        <f t="shared" si="75"/>
        <v>BRTacessibilidade</v>
      </c>
      <c r="BC383" s="239" t="str">
        <f t="shared" si="76"/>
        <v>BRTacessibilidadex</v>
      </c>
      <c r="BD383" s="239" t="str">
        <f t="shared" si="77"/>
        <v>BRTx</v>
      </c>
    </row>
    <row r="384" spans="1:56" s="105" customFormat="1" ht="63.75" x14ac:dyDescent="0.25">
      <c r="A384" s="275" t="str">
        <f>'Q100b-totais'!B54</f>
        <v>8.2</v>
      </c>
      <c r="B384" s="13" t="str">
        <f>'Q100b-totais'!C54</f>
        <v>BRT</v>
      </c>
      <c r="C384" s="167" t="s">
        <v>743</v>
      </c>
      <c r="D384" s="362" t="s">
        <v>5693</v>
      </c>
      <c r="E384" s="1494" t="s">
        <v>1306</v>
      </c>
      <c r="F384" s="1478" t="s">
        <v>5796</v>
      </c>
      <c r="G384" s="110" t="s">
        <v>5578</v>
      </c>
      <c r="H384" s="173" t="s">
        <v>432</v>
      </c>
      <c r="I384" s="57">
        <v>1</v>
      </c>
      <c r="J384" s="107" t="s">
        <v>432</v>
      </c>
      <c r="K384" s="107" t="s">
        <v>432</v>
      </c>
      <c r="L384" s="107" t="s">
        <v>432</v>
      </c>
      <c r="M384" s="107" t="s">
        <v>432</v>
      </c>
      <c r="N384" s="107" t="s">
        <v>432</v>
      </c>
      <c r="O384" s="107" t="s">
        <v>432</v>
      </c>
      <c r="P384" s="107" t="s">
        <v>432</v>
      </c>
      <c r="Q384" s="107" t="s">
        <v>432</v>
      </c>
      <c r="R384" s="107" t="s">
        <v>432</v>
      </c>
      <c r="S384" s="109" t="s">
        <v>2209</v>
      </c>
      <c r="T384" s="107" t="s">
        <v>432</v>
      </c>
      <c r="U384" s="107" t="s">
        <v>432</v>
      </c>
      <c r="V384" s="109" t="s">
        <v>2209</v>
      </c>
      <c r="W384" s="107" t="s">
        <v>432</v>
      </c>
      <c r="X384" s="107" t="s">
        <v>432</v>
      </c>
      <c r="Y384" s="107" t="s">
        <v>432</v>
      </c>
      <c r="Z384" s="107" t="s">
        <v>432</v>
      </c>
      <c r="AA384" s="107" t="s">
        <v>432</v>
      </c>
      <c r="AB384" s="107" t="s">
        <v>432</v>
      </c>
      <c r="AC384" s="107" t="s">
        <v>432</v>
      </c>
      <c r="AD384" s="107" t="s">
        <v>432</v>
      </c>
      <c r="AE384" s="107" t="s">
        <v>432</v>
      </c>
      <c r="AF384" s="107" t="s">
        <v>432</v>
      </c>
      <c r="AG384" s="107" t="s">
        <v>432</v>
      </c>
      <c r="AH384" s="107" t="s">
        <v>432</v>
      </c>
      <c r="AI384" s="107" t="s">
        <v>432</v>
      </c>
      <c r="AJ384" s="107" t="s">
        <v>432</v>
      </c>
      <c r="AK384" s="95">
        <v>0.38</v>
      </c>
      <c r="AL384" s="600" t="s">
        <v>432</v>
      </c>
      <c r="AM384" s="137" t="s">
        <v>432</v>
      </c>
      <c r="AN384" s="137" t="s">
        <v>432</v>
      </c>
      <c r="AO384" s="137" t="s">
        <v>432</v>
      </c>
      <c r="AP384" s="137" t="s">
        <v>432</v>
      </c>
      <c r="AQ384" s="137" t="s">
        <v>432</v>
      </c>
      <c r="AR384" s="137" t="s">
        <v>432</v>
      </c>
      <c r="AS384" s="137" t="s">
        <v>432</v>
      </c>
      <c r="AT384" s="137" t="s">
        <v>432</v>
      </c>
      <c r="AU384" s="137" t="s">
        <v>432</v>
      </c>
      <c r="AV384" s="137" t="s">
        <v>432</v>
      </c>
      <c r="AW384" s="137" t="s">
        <v>432</v>
      </c>
      <c r="AX384" s="137" t="s">
        <v>432</v>
      </c>
      <c r="AY384" s="137" t="s">
        <v>432</v>
      </c>
      <c r="AZ384" s="137" t="s">
        <v>432</v>
      </c>
      <c r="BA384" s="137" t="s">
        <v>432</v>
      </c>
      <c r="BB384" s="239" t="str">
        <f t="shared" si="75"/>
        <v>BRTacessibilidade</v>
      </c>
      <c r="BC384" s="239" t="str">
        <f t="shared" si="76"/>
        <v>BRTacessibilidadex</v>
      </c>
      <c r="BD384" s="239" t="str">
        <f t="shared" si="77"/>
        <v>BRTx</v>
      </c>
    </row>
    <row r="385" spans="1:56" s="105" customFormat="1" ht="63.75" x14ac:dyDescent="0.25">
      <c r="A385" s="275" t="str">
        <f>'Q100b-totais'!B54</f>
        <v>8.2</v>
      </c>
      <c r="B385" s="13" t="str">
        <f>'Q100b-totais'!C54</f>
        <v>BRT</v>
      </c>
      <c r="C385" s="167" t="s">
        <v>743</v>
      </c>
      <c r="D385" s="362" t="s">
        <v>5677</v>
      </c>
      <c r="E385" s="1494" t="s">
        <v>1306</v>
      </c>
      <c r="F385" s="1478" t="s">
        <v>5797</v>
      </c>
      <c r="G385" s="110" t="s">
        <v>5578</v>
      </c>
      <c r="H385" s="173" t="s">
        <v>432</v>
      </c>
      <c r="I385" s="57">
        <v>1</v>
      </c>
      <c r="J385" s="107" t="s">
        <v>432</v>
      </c>
      <c r="K385" s="107" t="s">
        <v>432</v>
      </c>
      <c r="L385" s="107" t="s">
        <v>432</v>
      </c>
      <c r="M385" s="107" t="s">
        <v>432</v>
      </c>
      <c r="N385" s="107" t="s">
        <v>432</v>
      </c>
      <c r="O385" s="107" t="s">
        <v>432</v>
      </c>
      <c r="P385" s="107" t="s">
        <v>432</v>
      </c>
      <c r="Q385" s="107" t="s">
        <v>432</v>
      </c>
      <c r="R385" s="107" t="s">
        <v>432</v>
      </c>
      <c r="S385" s="109" t="s">
        <v>2209</v>
      </c>
      <c r="T385" s="107" t="s">
        <v>432</v>
      </c>
      <c r="U385" s="107" t="s">
        <v>432</v>
      </c>
      <c r="V385" s="109" t="s">
        <v>2209</v>
      </c>
      <c r="W385" s="107" t="s">
        <v>432</v>
      </c>
      <c r="X385" s="107" t="s">
        <v>432</v>
      </c>
      <c r="Y385" s="107" t="s">
        <v>432</v>
      </c>
      <c r="Z385" s="107" t="s">
        <v>432</v>
      </c>
      <c r="AA385" s="107" t="s">
        <v>432</v>
      </c>
      <c r="AB385" s="107" t="s">
        <v>432</v>
      </c>
      <c r="AC385" s="107" t="s">
        <v>432</v>
      </c>
      <c r="AD385" s="107" t="s">
        <v>432</v>
      </c>
      <c r="AE385" s="107" t="s">
        <v>432</v>
      </c>
      <c r="AF385" s="107" t="s">
        <v>432</v>
      </c>
      <c r="AG385" s="107" t="s">
        <v>432</v>
      </c>
      <c r="AH385" s="107" t="s">
        <v>432</v>
      </c>
      <c r="AI385" s="107" t="s">
        <v>432</v>
      </c>
      <c r="AJ385" s="107" t="s">
        <v>432</v>
      </c>
      <c r="AK385" s="95">
        <v>0.86</v>
      </c>
      <c r="AL385" s="600" t="s">
        <v>432</v>
      </c>
      <c r="AM385" s="137" t="s">
        <v>432</v>
      </c>
      <c r="AN385" s="137" t="s">
        <v>432</v>
      </c>
      <c r="AO385" s="137" t="s">
        <v>432</v>
      </c>
      <c r="AP385" s="137" t="s">
        <v>432</v>
      </c>
      <c r="AQ385" s="137" t="s">
        <v>432</v>
      </c>
      <c r="AR385" s="137" t="s">
        <v>432</v>
      </c>
      <c r="AS385" s="137" t="s">
        <v>432</v>
      </c>
      <c r="AT385" s="137" t="s">
        <v>432</v>
      </c>
      <c r="AU385" s="137" t="s">
        <v>432</v>
      </c>
      <c r="AV385" s="137" t="s">
        <v>432</v>
      </c>
      <c r="AW385" s="137" t="s">
        <v>432</v>
      </c>
      <c r="AX385" s="137" t="s">
        <v>432</v>
      </c>
      <c r="AY385" s="137" t="s">
        <v>432</v>
      </c>
      <c r="AZ385" s="137" t="s">
        <v>432</v>
      </c>
      <c r="BA385" s="137" t="s">
        <v>432</v>
      </c>
      <c r="BB385" s="239" t="str">
        <f t="shared" si="75"/>
        <v>BRTacessibilidade</v>
      </c>
      <c r="BC385" s="239" t="str">
        <f t="shared" si="76"/>
        <v>BRTacessibilidadex</v>
      </c>
      <c r="BD385" s="239" t="str">
        <f t="shared" si="77"/>
        <v>BRTx</v>
      </c>
    </row>
    <row r="386" spans="1:56" s="105" customFormat="1" ht="76.5" x14ac:dyDescent="0.25">
      <c r="A386" s="275" t="str">
        <f>'Q100b-totais'!B54</f>
        <v>8.2</v>
      </c>
      <c r="B386" s="13" t="str">
        <f>'Q100b-totais'!C54</f>
        <v>BRT</v>
      </c>
      <c r="C386" s="167" t="s">
        <v>743</v>
      </c>
      <c r="D386" s="362" t="s">
        <v>5691</v>
      </c>
      <c r="E386" s="1494" t="s">
        <v>1306</v>
      </c>
      <c r="F386" s="1478" t="s">
        <v>5621</v>
      </c>
      <c r="G386" s="110" t="s">
        <v>5578</v>
      </c>
      <c r="H386" s="173" t="s">
        <v>432</v>
      </c>
      <c r="I386" s="57">
        <v>1</v>
      </c>
      <c r="J386" s="107" t="s">
        <v>432</v>
      </c>
      <c r="K386" s="107" t="s">
        <v>432</v>
      </c>
      <c r="L386" s="107" t="s">
        <v>432</v>
      </c>
      <c r="M386" s="107" t="s">
        <v>432</v>
      </c>
      <c r="N386" s="107" t="s">
        <v>432</v>
      </c>
      <c r="O386" s="107" t="s">
        <v>432</v>
      </c>
      <c r="P386" s="107" t="s">
        <v>432</v>
      </c>
      <c r="Q386" s="107" t="s">
        <v>432</v>
      </c>
      <c r="R386" s="107" t="s">
        <v>432</v>
      </c>
      <c r="S386" s="109" t="s">
        <v>2209</v>
      </c>
      <c r="T386" s="107" t="s">
        <v>432</v>
      </c>
      <c r="U386" s="107" t="s">
        <v>432</v>
      </c>
      <c r="V386" s="109" t="s">
        <v>2209</v>
      </c>
      <c r="W386" s="107" t="s">
        <v>432</v>
      </c>
      <c r="X386" s="107" t="s">
        <v>432</v>
      </c>
      <c r="Y386" s="107" t="s">
        <v>432</v>
      </c>
      <c r="Z386" s="107" t="s">
        <v>432</v>
      </c>
      <c r="AA386" s="107" t="s">
        <v>432</v>
      </c>
      <c r="AB386" s="107" t="s">
        <v>432</v>
      </c>
      <c r="AC386" s="107" t="s">
        <v>432</v>
      </c>
      <c r="AD386" s="107" t="s">
        <v>432</v>
      </c>
      <c r="AE386" s="107" t="s">
        <v>432</v>
      </c>
      <c r="AF386" s="107" t="s">
        <v>432</v>
      </c>
      <c r="AG386" s="107" t="s">
        <v>432</v>
      </c>
      <c r="AH386" s="107" t="s">
        <v>432</v>
      </c>
      <c r="AI386" s="107" t="s">
        <v>432</v>
      </c>
      <c r="AJ386" s="107" t="s">
        <v>432</v>
      </c>
      <c r="AK386" s="95">
        <v>0.72</v>
      </c>
      <c r="AL386" s="600" t="s">
        <v>432</v>
      </c>
      <c r="AM386" s="137" t="s">
        <v>432</v>
      </c>
      <c r="AN386" s="137" t="s">
        <v>432</v>
      </c>
      <c r="AO386" s="137" t="s">
        <v>432</v>
      </c>
      <c r="AP386" s="137" t="s">
        <v>432</v>
      </c>
      <c r="AQ386" s="137" t="s">
        <v>432</v>
      </c>
      <c r="AR386" s="137" t="s">
        <v>432</v>
      </c>
      <c r="AS386" s="137" t="s">
        <v>432</v>
      </c>
      <c r="AT386" s="137" t="s">
        <v>432</v>
      </c>
      <c r="AU386" s="137" t="s">
        <v>432</v>
      </c>
      <c r="AV386" s="137" t="s">
        <v>432</v>
      </c>
      <c r="AW386" s="137" t="s">
        <v>432</v>
      </c>
      <c r="AX386" s="137" t="s">
        <v>432</v>
      </c>
      <c r="AY386" s="137" t="s">
        <v>432</v>
      </c>
      <c r="AZ386" s="137" t="s">
        <v>432</v>
      </c>
      <c r="BA386" s="137" t="s">
        <v>432</v>
      </c>
      <c r="BB386" s="239" t="str">
        <f t="shared" si="75"/>
        <v>BRTacessibilidade</v>
      </c>
      <c r="BC386" s="239" t="str">
        <f t="shared" si="76"/>
        <v>BRTacessibilidadex</v>
      </c>
      <c r="BD386" s="239" t="str">
        <f t="shared" si="77"/>
        <v>BRTx</v>
      </c>
    </row>
    <row r="387" spans="1:56" s="105" customFormat="1" ht="63.75" x14ac:dyDescent="0.25">
      <c r="A387" s="275" t="str">
        <f>'Q100b-totais'!B54</f>
        <v>8.2</v>
      </c>
      <c r="B387" s="13" t="str">
        <f>'Q100b-totais'!C54</f>
        <v>BRT</v>
      </c>
      <c r="C387" s="167" t="s">
        <v>743</v>
      </c>
      <c r="D387" s="324" t="s">
        <v>5626</v>
      </c>
      <c r="E387" s="1491" t="s">
        <v>1306</v>
      </c>
      <c r="F387" s="1205" t="s">
        <v>5798</v>
      </c>
      <c r="G387" s="110" t="s">
        <v>5519</v>
      </c>
      <c r="H387" s="173" t="s">
        <v>432</v>
      </c>
      <c r="I387" s="57">
        <v>1</v>
      </c>
      <c r="J387" s="107" t="s">
        <v>432</v>
      </c>
      <c r="K387" s="107" t="s">
        <v>432</v>
      </c>
      <c r="L387" s="107" t="s">
        <v>432</v>
      </c>
      <c r="M387" s="107" t="s">
        <v>432</v>
      </c>
      <c r="N387" s="107" t="s">
        <v>432</v>
      </c>
      <c r="O387" s="107" t="s">
        <v>432</v>
      </c>
      <c r="P387" s="107" t="s">
        <v>432</v>
      </c>
      <c r="Q387" s="107" t="s">
        <v>432</v>
      </c>
      <c r="R387" s="107" t="s">
        <v>432</v>
      </c>
      <c r="S387" s="109" t="s">
        <v>2209</v>
      </c>
      <c r="T387" s="107" t="s">
        <v>432</v>
      </c>
      <c r="U387" s="107" t="s">
        <v>432</v>
      </c>
      <c r="V387" s="109" t="s">
        <v>2209</v>
      </c>
      <c r="W387" s="107" t="s">
        <v>432</v>
      </c>
      <c r="X387" s="107" t="s">
        <v>432</v>
      </c>
      <c r="Y387" s="107" t="s">
        <v>432</v>
      </c>
      <c r="Z387" s="107" t="s">
        <v>432</v>
      </c>
      <c r="AA387" s="107" t="s">
        <v>432</v>
      </c>
      <c r="AB387" s="107" t="s">
        <v>432</v>
      </c>
      <c r="AC387" s="107" t="s">
        <v>432</v>
      </c>
      <c r="AD387" s="107" t="s">
        <v>432</v>
      </c>
      <c r="AE387" s="107" t="s">
        <v>432</v>
      </c>
      <c r="AF387" s="107" t="s">
        <v>432</v>
      </c>
      <c r="AG387" s="107" t="s">
        <v>432</v>
      </c>
      <c r="AH387" s="107" t="s">
        <v>432</v>
      </c>
      <c r="AI387" s="107" t="s">
        <v>432</v>
      </c>
      <c r="AJ387" s="107" t="s">
        <v>432</v>
      </c>
      <c r="AK387" s="882" t="s">
        <v>432</v>
      </c>
      <c r="AL387" s="600" t="s">
        <v>432</v>
      </c>
      <c r="AM387" s="137" t="s">
        <v>432</v>
      </c>
      <c r="AN387" s="137" t="s">
        <v>432</v>
      </c>
      <c r="AO387" s="137" t="s">
        <v>432</v>
      </c>
      <c r="AP387" s="137" t="s">
        <v>432</v>
      </c>
      <c r="AQ387" s="137" t="s">
        <v>432</v>
      </c>
      <c r="AR387" s="137" t="s">
        <v>432</v>
      </c>
      <c r="AS387" s="137" t="s">
        <v>432</v>
      </c>
      <c r="AT387" s="137" t="s">
        <v>432</v>
      </c>
      <c r="AU387" s="137" t="s">
        <v>432</v>
      </c>
      <c r="AV387" s="137" t="s">
        <v>432</v>
      </c>
      <c r="AW387" s="137" t="s">
        <v>432</v>
      </c>
      <c r="AX387" s="137" t="s">
        <v>432</v>
      </c>
      <c r="AY387" s="137" t="s">
        <v>432</v>
      </c>
      <c r="AZ387" s="137" t="s">
        <v>432</v>
      </c>
      <c r="BA387" s="137" t="s">
        <v>432</v>
      </c>
      <c r="BB387" s="239" t="str">
        <f t="shared" si="75"/>
        <v>BRTacessibilidade</v>
      </c>
      <c r="BC387" s="239" t="str">
        <f t="shared" si="76"/>
        <v>BRTacessibilidadex</v>
      </c>
      <c r="BD387" s="239" t="str">
        <f t="shared" si="77"/>
        <v>BRTx</v>
      </c>
    </row>
    <row r="388" spans="1:56" s="105" customFormat="1" ht="63.75" x14ac:dyDescent="0.25">
      <c r="A388" s="275" t="str">
        <f>'Q100b-totais'!B54</f>
        <v>8.2</v>
      </c>
      <c r="B388" s="13" t="str">
        <f>'Q100b-totais'!C54</f>
        <v>BRT</v>
      </c>
      <c r="C388" s="167" t="s">
        <v>743</v>
      </c>
      <c r="D388" s="362" t="s">
        <v>5695</v>
      </c>
      <c r="E388" s="1494" t="s">
        <v>1306</v>
      </c>
      <c r="F388" s="1478" t="s">
        <v>5799</v>
      </c>
      <c r="G388" s="110" t="s">
        <v>5578</v>
      </c>
      <c r="H388" s="173" t="s">
        <v>432</v>
      </c>
      <c r="I388" s="57">
        <v>1</v>
      </c>
      <c r="J388" s="107" t="s">
        <v>432</v>
      </c>
      <c r="K388" s="107" t="s">
        <v>432</v>
      </c>
      <c r="L388" s="107" t="s">
        <v>432</v>
      </c>
      <c r="M388" s="107" t="s">
        <v>432</v>
      </c>
      <c r="N388" s="107" t="s">
        <v>432</v>
      </c>
      <c r="O388" s="107" t="s">
        <v>432</v>
      </c>
      <c r="P388" s="107" t="s">
        <v>432</v>
      </c>
      <c r="Q388" s="107" t="s">
        <v>432</v>
      </c>
      <c r="R388" s="107" t="s">
        <v>432</v>
      </c>
      <c r="S388" s="109" t="s">
        <v>2209</v>
      </c>
      <c r="T388" s="107" t="s">
        <v>432</v>
      </c>
      <c r="U388" s="107" t="s">
        <v>432</v>
      </c>
      <c r="V388" s="109" t="s">
        <v>2209</v>
      </c>
      <c r="W388" s="107" t="s">
        <v>432</v>
      </c>
      <c r="X388" s="107" t="s">
        <v>432</v>
      </c>
      <c r="Y388" s="107" t="s">
        <v>432</v>
      </c>
      <c r="Z388" s="107" t="s">
        <v>432</v>
      </c>
      <c r="AA388" s="107" t="s">
        <v>432</v>
      </c>
      <c r="AB388" s="107" t="s">
        <v>432</v>
      </c>
      <c r="AC388" s="107" t="s">
        <v>432</v>
      </c>
      <c r="AD388" s="107" t="s">
        <v>432</v>
      </c>
      <c r="AE388" s="107" t="s">
        <v>432</v>
      </c>
      <c r="AF388" s="107" t="s">
        <v>432</v>
      </c>
      <c r="AG388" s="107" t="s">
        <v>432</v>
      </c>
      <c r="AH388" s="107" t="s">
        <v>432</v>
      </c>
      <c r="AI388" s="107" t="s">
        <v>432</v>
      </c>
      <c r="AJ388" s="107" t="s">
        <v>432</v>
      </c>
      <c r="AK388" s="95">
        <v>0.71</v>
      </c>
      <c r="AL388" s="600" t="s">
        <v>432</v>
      </c>
      <c r="AM388" s="137" t="s">
        <v>432</v>
      </c>
      <c r="AN388" s="137" t="s">
        <v>432</v>
      </c>
      <c r="AO388" s="137" t="s">
        <v>432</v>
      </c>
      <c r="AP388" s="137" t="s">
        <v>432</v>
      </c>
      <c r="AQ388" s="137" t="s">
        <v>432</v>
      </c>
      <c r="AR388" s="137" t="s">
        <v>432</v>
      </c>
      <c r="AS388" s="137" t="s">
        <v>432</v>
      </c>
      <c r="AT388" s="137" t="s">
        <v>432</v>
      </c>
      <c r="AU388" s="137" t="s">
        <v>432</v>
      </c>
      <c r="AV388" s="137" t="s">
        <v>432</v>
      </c>
      <c r="AW388" s="137" t="s">
        <v>432</v>
      </c>
      <c r="AX388" s="137" t="s">
        <v>432</v>
      </c>
      <c r="AY388" s="137" t="s">
        <v>432</v>
      </c>
      <c r="AZ388" s="137" t="s">
        <v>432</v>
      </c>
      <c r="BA388" s="137" t="s">
        <v>432</v>
      </c>
      <c r="BB388" s="239" t="str">
        <f t="shared" si="75"/>
        <v>BRTacessibilidade</v>
      </c>
      <c r="BC388" s="239" t="str">
        <f t="shared" si="76"/>
        <v>BRTacessibilidadex</v>
      </c>
      <c r="BD388" s="239" t="str">
        <f t="shared" si="77"/>
        <v>BRTx</v>
      </c>
    </row>
    <row r="389" spans="1:56" s="105" customFormat="1" ht="63.75" x14ac:dyDescent="0.25">
      <c r="A389" s="275" t="str">
        <f>'Q100b-totais'!B54</f>
        <v>8.2</v>
      </c>
      <c r="B389" s="13" t="str">
        <f>'Q100b-totais'!C54</f>
        <v>BRT</v>
      </c>
      <c r="C389" s="167" t="s">
        <v>743</v>
      </c>
      <c r="D389" s="362" t="s">
        <v>5696</v>
      </c>
      <c r="E389" s="1494" t="s">
        <v>1306</v>
      </c>
      <c r="F389" s="1478" t="s">
        <v>5800</v>
      </c>
      <c r="G389" s="110" t="s">
        <v>5578</v>
      </c>
      <c r="H389" s="173" t="s">
        <v>432</v>
      </c>
      <c r="I389" s="57">
        <v>1</v>
      </c>
      <c r="J389" s="107" t="s">
        <v>432</v>
      </c>
      <c r="K389" s="107" t="s">
        <v>432</v>
      </c>
      <c r="L389" s="107" t="s">
        <v>432</v>
      </c>
      <c r="M389" s="107" t="s">
        <v>432</v>
      </c>
      <c r="N389" s="107" t="s">
        <v>432</v>
      </c>
      <c r="O389" s="107" t="s">
        <v>432</v>
      </c>
      <c r="P389" s="107" t="s">
        <v>432</v>
      </c>
      <c r="Q389" s="107" t="s">
        <v>432</v>
      </c>
      <c r="R389" s="107" t="s">
        <v>432</v>
      </c>
      <c r="S389" s="109" t="s">
        <v>2209</v>
      </c>
      <c r="T389" s="107" t="s">
        <v>432</v>
      </c>
      <c r="U389" s="107" t="s">
        <v>432</v>
      </c>
      <c r="V389" s="109" t="s">
        <v>2209</v>
      </c>
      <c r="W389" s="107" t="s">
        <v>432</v>
      </c>
      <c r="X389" s="107" t="s">
        <v>432</v>
      </c>
      <c r="Y389" s="107" t="s">
        <v>432</v>
      </c>
      <c r="Z389" s="107" t="s">
        <v>432</v>
      </c>
      <c r="AA389" s="107" t="s">
        <v>432</v>
      </c>
      <c r="AB389" s="107" t="s">
        <v>432</v>
      </c>
      <c r="AC389" s="107" t="s">
        <v>432</v>
      </c>
      <c r="AD389" s="107" t="s">
        <v>432</v>
      </c>
      <c r="AE389" s="107" t="s">
        <v>432</v>
      </c>
      <c r="AF389" s="107" t="s">
        <v>432</v>
      </c>
      <c r="AG389" s="107" t="s">
        <v>432</v>
      </c>
      <c r="AH389" s="107" t="s">
        <v>432</v>
      </c>
      <c r="AI389" s="107" t="s">
        <v>432</v>
      </c>
      <c r="AJ389" s="107" t="s">
        <v>432</v>
      </c>
      <c r="AK389" s="95">
        <v>0.53</v>
      </c>
      <c r="AL389" s="600" t="s">
        <v>432</v>
      </c>
      <c r="AM389" s="137" t="s">
        <v>432</v>
      </c>
      <c r="AN389" s="137" t="s">
        <v>432</v>
      </c>
      <c r="AO389" s="137" t="s">
        <v>432</v>
      </c>
      <c r="AP389" s="137" t="s">
        <v>432</v>
      </c>
      <c r="AQ389" s="137" t="s">
        <v>432</v>
      </c>
      <c r="AR389" s="137" t="s">
        <v>432</v>
      </c>
      <c r="AS389" s="137" t="s">
        <v>432</v>
      </c>
      <c r="AT389" s="137" t="s">
        <v>432</v>
      </c>
      <c r="AU389" s="137" t="s">
        <v>432</v>
      </c>
      <c r="AV389" s="137" t="s">
        <v>432</v>
      </c>
      <c r="AW389" s="137" t="s">
        <v>432</v>
      </c>
      <c r="AX389" s="137" t="s">
        <v>432</v>
      </c>
      <c r="AY389" s="137" t="s">
        <v>432</v>
      </c>
      <c r="AZ389" s="137" t="s">
        <v>432</v>
      </c>
      <c r="BA389" s="137" t="s">
        <v>432</v>
      </c>
      <c r="BB389" s="239" t="str">
        <f t="shared" si="75"/>
        <v>BRTacessibilidade</v>
      </c>
      <c r="BC389" s="239" t="str">
        <f t="shared" si="76"/>
        <v>BRTacessibilidadex</v>
      </c>
      <c r="BD389" s="239" t="str">
        <f t="shared" si="77"/>
        <v>BRTx</v>
      </c>
    </row>
    <row r="390" spans="1:56" s="105" customFormat="1" ht="63.75" x14ac:dyDescent="0.25">
      <c r="A390" s="275" t="str">
        <f>'Q100b-totais'!B54</f>
        <v>8.2</v>
      </c>
      <c r="B390" s="13" t="str">
        <f>'Q100b-totais'!C54</f>
        <v>BRT</v>
      </c>
      <c r="C390" s="167" t="s">
        <v>743</v>
      </c>
      <c r="D390" s="324" t="s">
        <v>5697</v>
      </c>
      <c r="E390" s="1491" t="s">
        <v>1306</v>
      </c>
      <c r="F390" s="1205" t="s">
        <v>5801</v>
      </c>
      <c r="G390" s="110" t="s">
        <v>5578</v>
      </c>
      <c r="H390" s="173" t="s">
        <v>432</v>
      </c>
      <c r="I390" s="57">
        <v>1</v>
      </c>
      <c r="J390" s="107" t="s">
        <v>432</v>
      </c>
      <c r="K390" s="107" t="s">
        <v>432</v>
      </c>
      <c r="L390" s="107" t="s">
        <v>432</v>
      </c>
      <c r="M390" s="107" t="s">
        <v>432</v>
      </c>
      <c r="N390" s="107" t="s">
        <v>432</v>
      </c>
      <c r="O390" s="107" t="s">
        <v>432</v>
      </c>
      <c r="P390" s="107" t="s">
        <v>432</v>
      </c>
      <c r="Q390" s="107" t="s">
        <v>432</v>
      </c>
      <c r="R390" s="107" t="s">
        <v>432</v>
      </c>
      <c r="S390" s="109" t="s">
        <v>2209</v>
      </c>
      <c r="T390" s="107" t="s">
        <v>432</v>
      </c>
      <c r="U390" s="107" t="s">
        <v>432</v>
      </c>
      <c r="V390" s="109" t="s">
        <v>2209</v>
      </c>
      <c r="W390" s="107" t="s">
        <v>432</v>
      </c>
      <c r="X390" s="107" t="s">
        <v>432</v>
      </c>
      <c r="Y390" s="107" t="s">
        <v>432</v>
      </c>
      <c r="Z390" s="107" t="s">
        <v>432</v>
      </c>
      <c r="AA390" s="107" t="s">
        <v>432</v>
      </c>
      <c r="AB390" s="107" t="s">
        <v>432</v>
      </c>
      <c r="AC390" s="107" t="s">
        <v>432</v>
      </c>
      <c r="AD390" s="107" t="s">
        <v>432</v>
      </c>
      <c r="AE390" s="107" t="s">
        <v>432</v>
      </c>
      <c r="AF390" s="107" t="s">
        <v>432</v>
      </c>
      <c r="AG390" s="107" t="s">
        <v>432</v>
      </c>
      <c r="AH390" s="107" t="s">
        <v>432</v>
      </c>
      <c r="AI390" s="107" t="s">
        <v>432</v>
      </c>
      <c r="AJ390" s="107" t="s">
        <v>432</v>
      </c>
      <c r="AK390" s="95">
        <v>0.54</v>
      </c>
      <c r="AL390" s="600" t="s">
        <v>432</v>
      </c>
      <c r="AM390" s="137" t="s">
        <v>432</v>
      </c>
      <c r="AN390" s="137" t="s">
        <v>432</v>
      </c>
      <c r="AO390" s="137" t="s">
        <v>432</v>
      </c>
      <c r="AP390" s="137" t="s">
        <v>432</v>
      </c>
      <c r="AQ390" s="137" t="s">
        <v>432</v>
      </c>
      <c r="AR390" s="137" t="s">
        <v>432</v>
      </c>
      <c r="AS390" s="137" t="s">
        <v>432</v>
      </c>
      <c r="AT390" s="137" t="s">
        <v>432</v>
      </c>
      <c r="AU390" s="137" t="s">
        <v>432</v>
      </c>
      <c r="AV390" s="137" t="s">
        <v>432</v>
      </c>
      <c r="AW390" s="137" t="s">
        <v>432</v>
      </c>
      <c r="AX390" s="137" t="s">
        <v>432</v>
      </c>
      <c r="AY390" s="137" t="s">
        <v>432</v>
      </c>
      <c r="AZ390" s="137" t="s">
        <v>432</v>
      </c>
      <c r="BA390" s="137" t="s">
        <v>432</v>
      </c>
      <c r="BB390" s="239" t="str">
        <f t="shared" si="75"/>
        <v>BRTacessibilidade</v>
      </c>
      <c r="BC390" s="239" t="str">
        <f t="shared" si="76"/>
        <v>BRTacessibilidadex</v>
      </c>
      <c r="BD390" s="239" t="str">
        <f t="shared" si="77"/>
        <v>BRTx</v>
      </c>
    </row>
    <row r="391" spans="1:56" s="105" customFormat="1" ht="63.75" x14ac:dyDescent="0.25">
      <c r="A391" s="275" t="str">
        <f>'Q100b-totais'!B54</f>
        <v>8.2</v>
      </c>
      <c r="B391" s="13" t="str">
        <f>'Q100b-totais'!C54</f>
        <v>BRT</v>
      </c>
      <c r="C391" s="167" t="s">
        <v>743</v>
      </c>
      <c r="D391" s="362" t="s">
        <v>5698</v>
      </c>
      <c r="E391" s="1494" t="s">
        <v>1306</v>
      </c>
      <c r="F391" s="1478" t="s">
        <v>5802</v>
      </c>
      <c r="G391" s="110" t="s">
        <v>5578</v>
      </c>
      <c r="H391" s="173" t="s">
        <v>432</v>
      </c>
      <c r="I391" s="57">
        <v>1</v>
      </c>
      <c r="J391" s="107" t="s">
        <v>432</v>
      </c>
      <c r="K391" s="107" t="s">
        <v>432</v>
      </c>
      <c r="L391" s="107" t="s">
        <v>432</v>
      </c>
      <c r="M391" s="107" t="s">
        <v>432</v>
      </c>
      <c r="N391" s="107" t="s">
        <v>432</v>
      </c>
      <c r="O391" s="107" t="s">
        <v>432</v>
      </c>
      <c r="P391" s="107" t="s">
        <v>432</v>
      </c>
      <c r="Q391" s="107" t="s">
        <v>432</v>
      </c>
      <c r="R391" s="107" t="s">
        <v>432</v>
      </c>
      <c r="S391" s="109" t="s">
        <v>2209</v>
      </c>
      <c r="T391" s="107" t="s">
        <v>432</v>
      </c>
      <c r="U391" s="107" t="s">
        <v>432</v>
      </c>
      <c r="V391" s="109" t="s">
        <v>2209</v>
      </c>
      <c r="W391" s="107" t="s">
        <v>432</v>
      </c>
      <c r="X391" s="107" t="s">
        <v>432</v>
      </c>
      <c r="Y391" s="107" t="s">
        <v>432</v>
      </c>
      <c r="Z391" s="107" t="s">
        <v>432</v>
      </c>
      <c r="AA391" s="107" t="s">
        <v>432</v>
      </c>
      <c r="AB391" s="107" t="s">
        <v>432</v>
      </c>
      <c r="AC391" s="107" t="s">
        <v>432</v>
      </c>
      <c r="AD391" s="107" t="s">
        <v>432</v>
      </c>
      <c r="AE391" s="107" t="s">
        <v>432</v>
      </c>
      <c r="AF391" s="107" t="s">
        <v>432</v>
      </c>
      <c r="AG391" s="107" t="s">
        <v>432</v>
      </c>
      <c r="AH391" s="107" t="s">
        <v>432</v>
      </c>
      <c r="AI391" s="107" t="s">
        <v>432</v>
      </c>
      <c r="AJ391" s="107" t="s">
        <v>432</v>
      </c>
      <c r="AK391" s="95">
        <v>0.84</v>
      </c>
      <c r="AL391" s="600" t="s">
        <v>432</v>
      </c>
      <c r="AM391" s="137" t="s">
        <v>432</v>
      </c>
      <c r="AN391" s="137" t="s">
        <v>432</v>
      </c>
      <c r="AO391" s="137" t="s">
        <v>432</v>
      </c>
      <c r="AP391" s="137" t="s">
        <v>432</v>
      </c>
      <c r="AQ391" s="137" t="s">
        <v>432</v>
      </c>
      <c r="AR391" s="137" t="s">
        <v>432</v>
      </c>
      <c r="AS391" s="137" t="s">
        <v>432</v>
      </c>
      <c r="AT391" s="137" t="s">
        <v>432</v>
      </c>
      <c r="AU391" s="137" t="s">
        <v>432</v>
      </c>
      <c r="AV391" s="137" t="s">
        <v>432</v>
      </c>
      <c r="AW391" s="137" t="s">
        <v>432</v>
      </c>
      <c r="AX391" s="137" t="s">
        <v>432</v>
      </c>
      <c r="AY391" s="137" t="s">
        <v>432</v>
      </c>
      <c r="AZ391" s="137" t="s">
        <v>432</v>
      </c>
      <c r="BA391" s="137" t="s">
        <v>432</v>
      </c>
      <c r="BB391" s="239" t="str">
        <f t="shared" si="75"/>
        <v>BRTacessibilidade</v>
      </c>
      <c r="BC391" s="239" t="str">
        <f t="shared" si="76"/>
        <v>BRTacessibilidadex</v>
      </c>
      <c r="BD391" s="239" t="str">
        <f t="shared" si="77"/>
        <v>BRTx</v>
      </c>
    </row>
    <row r="392" spans="1:56" s="105" customFormat="1" ht="47.25" x14ac:dyDescent="0.25">
      <c r="A392" s="275" t="str">
        <f>'Q100b-totais'!B54</f>
        <v>8.2</v>
      </c>
      <c r="B392" s="13" t="str">
        <f>'Q100b-totais'!C54</f>
        <v>BRT</v>
      </c>
      <c r="C392" s="167" t="s">
        <v>743</v>
      </c>
      <c r="D392" s="362" t="s">
        <v>5702</v>
      </c>
      <c r="E392" s="1494" t="s">
        <v>1306</v>
      </c>
      <c r="F392" s="1478" t="s">
        <v>5803</v>
      </c>
      <c r="G392" s="110" t="s">
        <v>5578</v>
      </c>
      <c r="H392" s="173" t="s">
        <v>432</v>
      </c>
      <c r="I392" s="57">
        <v>1</v>
      </c>
      <c r="J392" s="107" t="s">
        <v>432</v>
      </c>
      <c r="K392" s="107" t="s">
        <v>432</v>
      </c>
      <c r="L392" s="107" t="s">
        <v>432</v>
      </c>
      <c r="M392" s="107" t="s">
        <v>432</v>
      </c>
      <c r="N392" s="107" t="s">
        <v>432</v>
      </c>
      <c r="O392" s="107" t="s">
        <v>432</v>
      </c>
      <c r="P392" s="107" t="s">
        <v>432</v>
      </c>
      <c r="Q392" s="107" t="s">
        <v>432</v>
      </c>
      <c r="R392" s="107" t="s">
        <v>432</v>
      </c>
      <c r="S392" s="109" t="s">
        <v>2209</v>
      </c>
      <c r="T392" s="107" t="s">
        <v>432</v>
      </c>
      <c r="U392" s="107" t="s">
        <v>432</v>
      </c>
      <c r="V392" s="109" t="s">
        <v>2209</v>
      </c>
      <c r="W392" s="107" t="s">
        <v>432</v>
      </c>
      <c r="X392" s="107" t="s">
        <v>432</v>
      </c>
      <c r="Y392" s="107" t="s">
        <v>432</v>
      </c>
      <c r="Z392" s="107" t="s">
        <v>432</v>
      </c>
      <c r="AA392" s="107" t="s">
        <v>432</v>
      </c>
      <c r="AB392" s="107" t="s">
        <v>432</v>
      </c>
      <c r="AC392" s="107" t="s">
        <v>432</v>
      </c>
      <c r="AD392" s="107" t="s">
        <v>432</v>
      </c>
      <c r="AE392" s="107" t="s">
        <v>432</v>
      </c>
      <c r="AF392" s="107" t="s">
        <v>432</v>
      </c>
      <c r="AG392" s="107" t="s">
        <v>432</v>
      </c>
      <c r="AH392" s="107" t="s">
        <v>432</v>
      </c>
      <c r="AI392" s="107" t="s">
        <v>432</v>
      </c>
      <c r="AJ392" s="107" t="s">
        <v>432</v>
      </c>
      <c r="AK392" s="95">
        <v>0.57999999999999996</v>
      </c>
      <c r="AL392" s="600" t="s">
        <v>432</v>
      </c>
      <c r="AM392" s="137" t="s">
        <v>432</v>
      </c>
      <c r="AN392" s="137" t="s">
        <v>432</v>
      </c>
      <c r="AO392" s="137" t="s">
        <v>432</v>
      </c>
      <c r="AP392" s="137" t="s">
        <v>432</v>
      </c>
      <c r="AQ392" s="137" t="s">
        <v>432</v>
      </c>
      <c r="AR392" s="137" t="s">
        <v>432</v>
      </c>
      <c r="AS392" s="137" t="s">
        <v>432</v>
      </c>
      <c r="AT392" s="137" t="s">
        <v>432</v>
      </c>
      <c r="AU392" s="137" t="s">
        <v>432</v>
      </c>
      <c r="AV392" s="137" t="s">
        <v>432</v>
      </c>
      <c r="AW392" s="137" t="s">
        <v>432</v>
      </c>
      <c r="AX392" s="137" t="s">
        <v>432</v>
      </c>
      <c r="AY392" s="137" t="s">
        <v>432</v>
      </c>
      <c r="AZ392" s="137" t="s">
        <v>432</v>
      </c>
      <c r="BA392" s="137" t="s">
        <v>432</v>
      </c>
      <c r="BB392" s="239" t="str">
        <f t="shared" si="75"/>
        <v>BRTacessibilidade</v>
      </c>
      <c r="BC392" s="239" t="str">
        <f t="shared" si="76"/>
        <v>BRTacessibilidadex</v>
      </c>
      <c r="BD392" s="239" t="str">
        <f t="shared" si="77"/>
        <v>BRTx</v>
      </c>
    </row>
    <row r="393" spans="1:56" s="105" customFormat="1" ht="63.75" x14ac:dyDescent="0.25">
      <c r="A393" s="275" t="str">
        <f>'Q100b-totais'!B54</f>
        <v>8.2</v>
      </c>
      <c r="B393" s="13" t="str">
        <f>'Q100b-totais'!C54</f>
        <v>BRT</v>
      </c>
      <c r="C393" s="167" t="s">
        <v>743</v>
      </c>
      <c r="D393" s="362" t="s">
        <v>5533</v>
      </c>
      <c r="E393" s="1494" t="s">
        <v>1306</v>
      </c>
      <c r="F393" s="1478" t="s">
        <v>5804</v>
      </c>
      <c r="G393" s="110" t="s">
        <v>5578</v>
      </c>
      <c r="H393" s="173" t="s">
        <v>432</v>
      </c>
      <c r="I393" s="57">
        <v>1</v>
      </c>
      <c r="J393" s="107" t="s">
        <v>432</v>
      </c>
      <c r="K393" s="107" t="s">
        <v>432</v>
      </c>
      <c r="L393" s="107" t="s">
        <v>432</v>
      </c>
      <c r="M393" s="107" t="s">
        <v>432</v>
      </c>
      <c r="N393" s="107" t="s">
        <v>432</v>
      </c>
      <c r="O393" s="107" t="s">
        <v>432</v>
      </c>
      <c r="P393" s="107" t="s">
        <v>432</v>
      </c>
      <c r="Q393" s="107" t="s">
        <v>432</v>
      </c>
      <c r="R393" s="107" t="s">
        <v>432</v>
      </c>
      <c r="S393" s="109" t="s">
        <v>2209</v>
      </c>
      <c r="T393" s="107" t="s">
        <v>432</v>
      </c>
      <c r="U393" s="107" t="s">
        <v>432</v>
      </c>
      <c r="V393" s="109" t="s">
        <v>2209</v>
      </c>
      <c r="W393" s="107" t="s">
        <v>432</v>
      </c>
      <c r="X393" s="107" t="s">
        <v>432</v>
      </c>
      <c r="Y393" s="107" t="s">
        <v>432</v>
      </c>
      <c r="Z393" s="107" t="s">
        <v>432</v>
      </c>
      <c r="AA393" s="107" t="s">
        <v>432</v>
      </c>
      <c r="AB393" s="107" t="s">
        <v>432</v>
      </c>
      <c r="AC393" s="107" t="s">
        <v>432</v>
      </c>
      <c r="AD393" s="107" t="s">
        <v>432</v>
      </c>
      <c r="AE393" s="107" t="s">
        <v>432</v>
      </c>
      <c r="AF393" s="107" t="s">
        <v>432</v>
      </c>
      <c r="AG393" s="107" t="s">
        <v>432</v>
      </c>
      <c r="AH393" s="107" t="s">
        <v>432</v>
      </c>
      <c r="AI393" s="107" t="s">
        <v>432</v>
      </c>
      <c r="AJ393" s="107" t="s">
        <v>432</v>
      </c>
      <c r="AK393" s="95">
        <v>0.64</v>
      </c>
      <c r="AL393" s="600" t="s">
        <v>432</v>
      </c>
      <c r="AM393" s="137" t="s">
        <v>432</v>
      </c>
      <c r="AN393" s="137" t="s">
        <v>432</v>
      </c>
      <c r="AO393" s="137" t="s">
        <v>432</v>
      </c>
      <c r="AP393" s="137" t="s">
        <v>432</v>
      </c>
      <c r="AQ393" s="137" t="s">
        <v>432</v>
      </c>
      <c r="AR393" s="137" t="s">
        <v>432</v>
      </c>
      <c r="AS393" s="137" t="s">
        <v>432</v>
      </c>
      <c r="AT393" s="137" t="s">
        <v>432</v>
      </c>
      <c r="AU393" s="137" t="s">
        <v>432</v>
      </c>
      <c r="AV393" s="137" t="s">
        <v>432</v>
      </c>
      <c r="AW393" s="137" t="s">
        <v>432</v>
      </c>
      <c r="AX393" s="137" t="s">
        <v>432</v>
      </c>
      <c r="AY393" s="137" t="s">
        <v>432</v>
      </c>
      <c r="AZ393" s="137" t="s">
        <v>432</v>
      </c>
      <c r="BA393" s="137" t="s">
        <v>432</v>
      </c>
      <c r="BB393" s="239" t="str">
        <f t="shared" si="75"/>
        <v>BRTacessibilidade</v>
      </c>
      <c r="BC393" s="239" t="str">
        <f t="shared" si="76"/>
        <v>BRTacessibilidadex</v>
      </c>
      <c r="BD393" s="239" t="str">
        <f t="shared" si="77"/>
        <v>BRTx</v>
      </c>
    </row>
    <row r="394" spans="1:56" s="105" customFormat="1" ht="81.75" customHeight="1" x14ac:dyDescent="0.25">
      <c r="A394" s="275" t="str">
        <f>'Q100b-totais'!B54</f>
        <v>8.2</v>
      </c>
      <c r="B394" s="13" t="str">
        <f>'Q100b-totais'!C54</f>
        <v>BRT</v>
      </c>
      <c r="C394" s="167" t="s">
        <v>743</v>
      </c>
      <c r="D394" s="362" t="s">
        <v>5555</v>
      </c>
      <c r="E394" s="1494" t="s">
        <v>1306</v>
      </c>
      <c r="F394" s="1478" t="s">
        <v>5805</v>
      </c>
      <c r="G394" s="110" t="s">
        <v>5578</v>
      </c>
      <c r="H394" s="173" t="s">
        <v>432</v>
      </c>
      <c r="I394" s="57">
        <v>1</v>
      </c>
      <c r="J394" s="107" t="s">
        <v>432</v>
      </c>
      <c r="K394" s="107" t="s">
        <v>432</v>
      </c>
      <c r="L394" s="107" t="s">
        <v>432</v>
      </c>
      <c r="M394" s="107" t="s">
        <v>432</v>
      </c>
      <c r="N394" s="107" t="s">
        <v>432</v>
      </c>
      <c r="O394" s="107" t="s">
        <v>432</v>
      </c>
      <c r="P394" s="107" t="s">
        <v>432</v>
      </c>
      <c r="Q394" s="107" t="s">
        <v>432</v>
      </c>
      <c r="R394" s="107" t="s">
        <v>432</v>
      </c>
      <c r="S394" s="109" t="s">
        <v>2209</v>
      </c>
      <c r="T394" s="107" t="s">
        <v>432</v>
      </c>
      <c r="U394" s="107" t="s">
        <v>432</v>
      </c>
      <c r="V394" s="109" t="s">
        <v>2209</v>
      </c>
      <c r="W394" s="107" t="s">
        <v>432</v>
      </c>
      <c r="X394" s="107" t="s">
        <v>432</v>
      </c>
      <c r="Y394" s="107" t="s">
        <v>432</v>
      </c>
      <c r="Z394" s="107" t="s">
        <v>432</v>
      </c>
      <c r="AA394" s="107" t="s">
        <v>432</v>
      </c>
      <c r="AB394" s="107" t="s">
        <v>432</v>
      </c>
      <c r="AC394" s="107" t="s">
        <v>432</v>
      </c>
      <c r="AD394" s="107" t="s">
        <v>432</v>
      </c>
      <c r="AE394" s="107" t="s">
        <v>432</v>
      </c>
      <c r="AF394" s="107" t="s">
        <v>432</v>
      </c>
      <c r="AG394" s="107" t="s">
        <v>432</v>
      </c>
      <c r="AH394" s="107" t="s">
        <v>432</v>
      </c>
      <c r="AI394" s="107" t="s">
        <v>432</v>
      </c>
      <c r="AJ394" s="107" t="s">
        <v>432</v>
      </c>
      <c r="AK394" s="95">
        <v>0.51</v>
      </c>
      <c r="AL394" s="600" t="s">
        <v>432</v>
      </c>
      <c r="AM394" s="137" t="s">
        <v>432</v>
      </c>
      <c r="AN394" s="137" t="s">
        <v>432</v>
      </c>
      <c r="AO394" s="137" t="s">
        <v>432</v>
      </c>
      <c r="AP394" s="137" t="s">
        <v>432</v>
      </c>
      <c r="AQ394" s="137" t="s">
        <v>432</v>
      </c>
      <c r="AR394" s="137" t="s">
        <v>432</v>
      </c>
      <c r="AS394" s="137" t="s">
        <v>432</v>
      </c>
      <c r="AT394" s="137" t="s">
        <v>432</v>
      </c>
      <c r="AU394" s="137" t="s">
        <v>432</v>
      </c>
      <c r="AV394" s="137" t="s">
        <v>432</v>
      </c>
      <c r="AW394" s="137" t="s">
        <v>432</v>
      </c>
      <c r="AX394" s="137" t="s">
        <v>432</v>
      </c>
      <c r="AY394" s="137" t="s">
        <v>432</v>
      </c>
      <c r="AZ394" s="137" t="s">
        <v>432</v>
      </c>
      <c r="BA394" s="137" t="s">
        <v>432</v>
      </c>
      <c r="BB394" s="239" t="str">
        <f t="shared" si="75"/>
        <v>BRTacessibilidade</v>
      </c>
      <c r="BC394" s="239" t="str">
        <f t="shared" si="76"/>
        <v>BRTacessibilidadex</v>
      </c>
      <c r="BD394" s="239" t="str">
        <f t="shared" si="77"/>
        <v>BRTx</v>
      </c>
    </row>
    <row r="395" spans="1:56" ht="63.75" x14ac:dyDescent="0.25">
      <c r="A395" s="275" t="str">
        <f>'Q100b-totais'!B54</f>
        <v>8.2</v>
      </c>
      <c r="B395" s="13" t="str">
        <f>'Q100b-totais'!C54</f>
        <v>BRT</v>
      </c>
      <c r="C395" s="167" t="s">
        <v>743</v>
      </c>
      <c r="D395" s="362" t="s">
        <v>5537</v>
      </c>
      <c r="E395" s="1494" t="s">
        <v>1306</v>
      </c>
      <c r="F395" s="1478" t="s">
        <v>5806</v>
      </c>
      <c r="G395" s="110" t="s">
        <v>5578</v>
      </c>
      <c r="H395" s="173" t="s">
        <v>432</v>
      </c>
      <c r="I395" s="57">
        <v>1</v>
      </c>
      <c r="J395" s="107" t="s">
        <v>432</v>
      </c>
      <c r="K395" s="107" t="s">
        <v>432</v>
      </c>
      <c r="L395" s="107" t="s">
        <v>432</v>
      </c>
      <c r="M395" s="107" t="s">
        <v>432</v>
      </c>
      <c r="N395" s="107" t="s">
        <v>432</v>
      </c>
      <c r="O395" s="107" t="s">
        <v>432</v>
      </c>
      <c r="P395" s="107" t="s">
        <v>432</v>
      </c>
      <c r="Q395" s="107" t="s">
        <v>432</v>
      </c>
      <c r="R395" s="107" t="s">
        <v>432</v>
      </c>
      <c r="S395" s="109" t="s">
        <v>2209</v>
      </c>
      <c r="T395" s="107" t="s">
        <v>432</v>
      </c>
      <c r="U395" s="107" t="s">
        <v>432</v>
      </c>
      <c r="V395" s="109" t="s">
        <v>2209</v>
      </c>
      <c r="W395" s="107" t="s">
        <v>432</v>
      </c>
      <c r="X395" s="107" t="s">
        <v>432</v>
      </c>
      <c r="Y395" s="107" t="s">
        <v>432</v>
      </c>
      <c r="Z395" s="107" t="s">
        <v>432</v>
      </c>
      <c r="AA395" s="107" t="s">
        <v>432</v>
      </c>
      <c r="AB395" s="107" t="s">
        <v>432</v>
      </c>
      <c r="AC395" s="107" t="s">
        <v>432</v>
      </c>
      <c r="AD395" s="107" t="s">
        <v>432</v>
      </c>
      <c r="AE395" s="107" t="s">
        <v>432</v>
      </c>
      <c r="AF395" s="107" t="s">
        <v>432</v>
      </c>
      <c r="AG395" s="107" t="s">
        <v>432</v>
      </c>
      <c r="AH395" s="107" t="s">
        <v>432</v>
      </c>
      <c r="AI395" s="107" t="s">
        <v>432</v>
      </c>
      <c r="AJ395" s="107" t="s">
        <v>432</v>
      </c>
      <c r="AK395" s="95">
        <v>0.6</v>
      </c>
      <c r="AL395" s="600" t="s">
        <v>432</v>
      </c>
      <c r="AM395" s="137" t="s">
        <v>432</v>
      </c>
      <c r="AN395" s="137" t="s">
        <v>432</v>
      </c>
      <c r="AO395" s="137" t="s">
        <v>432</v>
      </c>
      <c r="AP395" s="137" t="s">
        <v>432</v>
      </c>
      <c r="AQ395" s="137" t="s">
        <v>432</v>
      </c>
      <c r="AR395" s="137" t="s">
        <v>432</v>
      </c>
      <c r="AS395" s="137" t="s">
        <v>432</v>
      </c>
      <c r="AT395" s="137" t="s">
        <v>432</v>
      </c>
      <c r="AU395" s="137" t="s">
        <v>432</v>
      </c>
      <c r="AV395" s="137" t="s">
        <v>432</v>
      </c>
      <c r="AW395" s="137" t="s">
        <v>432</v>
      </c>
      <c r="AX395" s="137" t="s">
        <v>432</v>
      </c>
      <c r="AY395" s="137" t="s">
        <v>432</v>
      </c>
      <c r="AZ395" s="137" t="s">
        <v>432</v>
      </c>
      <c r="BA395" s="137" t="s">
        <v>432</v>
      </c>
      <c r="BB395" s="239" t="str">
        <f t="shared" si="75"/>
        <v>BRTacessibilidade</v>
      </c>
      <c r="BC395" s="239" t="str">
        <f t="shared" si="76"/>
        <v>BRTacessibilidadex</v>
      </c>
      <c r="BD395" s="239" t="str">
        <f t="shared" si="77"/>
        <v>BRTx</v>
      </c>
    </row>
    <row r="396" spans="1:56" s="3" customFormat="1" x14ac:dyDescent="0.25">
      <c r="A396" s="402"/>
      <c r="B396" s="399"/>
      <c r="C396" s="399"/>
      <c r="D396" s="970"/>
      <c r="E396" s="1495"/>
      <c r="F396" s="399"/>
      <c r="G396" s="399"/>
      <c r="H396" s="399"/>
      <c r="I396" s="399"/>
      <c r="J396" s="399"/>
      <c r="K396" s="399"/>
      <c r="L396" s="399"/>
      <c r="M396" s="399"/>
      <c r="N396" s="399"/>
      <c r="O396" s="399"/>
      <c r="P396" s="399"/>
      <c r="Q396" s="399"/>
      <c r="R396" s="399"/>
      <c r="S396" s="399"/>
      <c r="T396" s="399"/>
      <c r="U396" s="399"/>
      <c r="V396" s="399"/>
      <c r="W396" s="399"/>
      <c r="X396" s="399"/>
      <c r="Y396" s="221"/>
      <c r="Z396" s="221"/>
      <c r="AA396" s="221"/>
      <c r="AB396" s="221"/>
      <c r="AC396" s="221"/>
      <c r="AD396" s="221"/>
      <c r="AE396" s="221"/>
      <c r="AF396" s="221"/>
      <c r="AG396" s="221"/>
      <c r="AH396" s="221"/>
      <c r="AI396" s="221"/>
      <c r="AJ396" s="221"/>
      <c r="AK396" s="223"/>
      <c r="AL396" s="223"/>
      <c r="AM396" s="223"/>
      <c r="AN396" s="223"/>
      <c r="AO396" s="223"/>
      <c r="AP396" s="223"/>
      <c r="AQ396" s="223"/>
      <c r="AR396" s="223"/>
      <c r="AS396" s="223"/>
      <c r="AT396" s="223"/>
      <c r="AU396" s="223"/>
      <c r="AV396" s="223"/>
      <c r="AW396" s="223"/>
      <c r="AX396" s="223"/>
      <c r="AY396" s="223"/>
      <c r="AZ396" s="223"/>
      <c r="BA396" s="223"/>
      <c r="BB396" s="400"/>
      <c r="BC396" s="400"/>
      <c r="BD396" s="400"/>
    </row>
    <row r="397" spans="1:56" s="105" customFormat="1" ht="53.25" customHeight="1" x14ac:dyDescent="0.25">
      <c r="A397" s="275" t="str">
        <f>'Q100b-totais'!B54</f>
        <v>8.2</v>
      </c>
      <c r="B397" s="13" t="str">
        <f>'Q100b-totais'!C54</f>
        <v>BRT</v>
      </c>
      <c r="C397" s="167" t="s">
        <v>743</v>
      </c>
      <c r="D397" s="362" t="s">
        <v>5526</v>
      </c>
      <c r="E397" s="1494" t="s">
        <v>1306</v>
      </c>
      <c r="F397" s="1478" t="s">
        <v>5807</v>
      </c>
      <c r="G397" s="110" t="s">
        <v>5578</v>
      </c>
      <c r="H397" s="173" t="s">
        <v>432</v>
      </c>
      <c r="I397" s="57">
        <v>1</v>
      </c>
      <c r="J397" s="107" t="s">
        <v>432</v>
      </c>
      <c r="K397" s="107" t="s">
        <v>432</v>
      </c>
      <c r="L397" s="107" t="s">
        <v>432</v>
      </c>
      <c r="M397" s="107" t="s">
        <v>432</v>
      </c>
      <c r="N397" s="107" t="s">
        <v>432</v>
      </c>
      <c r="O397" s="107" t="s">
        <v>432</v>
      </c>
      <c r="P397" s="107" t="s">
        <v>432</v>
      </c>
      <c r="Q397" s="107" t="s">
        <v>432</v>
      </c>
      <c r="R397" s="107" t="s">
        <v>432</v>
      </c>
      <c r="S397" s="109" t="s">
        <v>2209</v>
      </c>
      <c r="T397" s="107" t="s">
        <v>432</v>
      </c>
      <c r="U397" s="107" t="s">
        <v>432</v>
      </c>
      <c r="V397" s="109" t="s">
        <v>2209</v>
      </c>
      <c r="W397" s="107" t="s">
        <v>432</v>
      </c>
      <c r="X397" s="107" t="s">
        <v>432</v>
      </c>
      <c r="Y397" s="107" t="s">
        <v>432</v>
      </c>
      <c r="Z397" s="107" t="s">
        <v>432</v>
      </c>
      <c r="AA397" s="107" t="s">
        <v>432</v>
      </c>
      <c r="AB397" s="107" t="s">
        <v>432</v>
      </c>
      <c r="AC397" s="107" t="s">
        <v>432</v>
      </c>
      <c r="AD397" s="107" t="s">
        <v>432</v>
      </c>
      <c r="AE397" s="107" t="s">
        <v>432</v>
      </c>
      <c r="AF397" s="107" t="s">
        <v>432</v>
      </c>
      <c r="AG397" s="107" t="s">
        <v>432</v>
      </c>
      <c r="AH397" s="107" t="s">
        <v>432</v>
      </c>
      <c r="AI397" s="107" t="s">
        <v>432</v>
      </c>
      <c r="AJ397" s="107" t="s">
        <v>432</v>
      </c>
      <c r="AK397" s="95">
        <v>0.65</v>
      </c>
      <c r="AL397" s="600" t="s">
        <v>432</v>
      </c>
      <c r="AM397" s="137" t="s">
        <v>432</v>
      </c>
      <c r="AN397" s="137" t="s">
        <v>432</v>
      </c>
      <c r="AO397" s="137" t="s">
        <v>432</v>
      </c>
      <c r="AP397" s="137" t="s">
        <v>432</v>
      </c>
      <c r="AQ397" s="137" t="s">
        <v>432</v>
      </c>
      <c r="AR397" s="137" t="s">
        <v>432</v>
      </c>
      <c r="AS397" s="137" t="s">
        <v>432</v>
      </c>
      <c r="AT397" s="137" t="s">
        <v>432</v>
      </c>
      <c r="AU397" s="137" t="s">
        <v>432</v>
      </c>
      <c r="AV397" s="137" t="s">
        <v>432</v>
      </c>
      <c r="AW397" s="137" t="s">
        <v>432</v>
      </c>
      <c r="AX397" s="137" t="s">
        <v>432</v>
      </c>
      <c r="AY397" s="137" t="s">
        <v>432</v>
      </c>
      <c r="AZ397" s="137" t="s">
        <v>432</v>
      </c>
      <c r="BA397" s="137" t="s">
        <v>432</v>
      </c>
      <c r="BB397" s="239" t="str">
        <f t="shared" ref="BB397:BB416" si="78">B397&amp;C397</f>
        <v>BRTacessibilidade</v>
      </c>
      <c r="BC397" s="239" t="str">
        <f t="shared" ref="BC397:BC416" si="79">B397&amp;C397&amp;H397</f>
        <v>BRTacessibilidadex</v>
      </c>
      <c r="BD397" s="239" t="str">
        <f t="shared" ref="BD397:BD416" si="80">B397&amp;H397</f>
        <v>BRTx</v>
      </c>
    </row>
    <row r="398" spans="1:56" s="105" customFormat="1" ht="56.25" customHeight="1" x14ac:dyDescent="0.25">
      <c r="A398" s="275" t="str">
        <f>'Q100b-totais'!B54</f>
        <v>8.2</v>
      </c>
      <c r="B398" s="13" t="str">
        <f>'Q100b-totais'!C54</f>
        <v>BRT</v>
      </c>
      <c r="C398" s="167" t="s">
        <v>743</v>
      </c>
      <c r="D398" s="324" t="s">
        <v>5623</v>
      </c>
      <c r="E398" s="1491" t="s">
        <v>1306</v>
      </c>
      <c r="F398" s="1205" t="s">
        <v>5808</v>
      </c>
      <c r="G398" s="110" t="s">
        <v>5578</v>
      </c>
      <c r="H398" s="173" t="s">
        <v>432</v>
      </c>
      <c r="I398" s="57">
        <v>1</v>
      </c>
      <c r="J398" s="107" t="s">
        <v>432</v>
      </c>
      <c r="K398" s="107" t="s">
        <v>432</v>
      </c>
      <c r="L398" s="107" t="s">
        <v>432</v>
      </c>
      <c r="M398" s="107" t="s">
        <v>432</v>
      </c>
      <c r="N398" s="107" t="s">
        <v>432</v>
      </c>
      <c r="O398" s="107" t="s">
        <v>432</v>
      </c>
      <c r="P398" s="107" t="s">
        <v>432</v>
      </c>
      <c r="Q398" s="107" t="s">
        <v>432</v>
      </c>
      <c r="R398" s="107" t="s">
        <v>432</v>
      </c>
      <c r="S398" s="109" t="s">
        <v>2209</v>
      </c>
      <c r="T398" s="107" t="s">
        <v>432</v>
      </c>
      <c r="U398" s="107" t="s">
        <v>432</v>
      </c>
      <c r="V398" s="109" t="s">
        <v>2209</v>
      </c>
      <c r="W398" s="107" t="s">
        <v>432</v>
      </c>
      <c r="X398" s="107" t="s">
        <v>432</v>
      </c>
      <c r="Y398" s="107" t="s">
        <v>432</v>
      </c>
      <c r="Z398" s="107" t="s">
        <v>432</v>
      </c>
      <c r="AA398" s="107" t="s">
        <v>432</v>
      </c>
      <c r="AB398" s="107" t="s">
        <v>432</v>
      </c>
      <c r="AC398" s="107" t="s">
        <v>432</v>
      </c>
      <c r="AD398" s="107" t="s">
        <v>432</v>
      </c>
      <c r="AE398" s="107" t="s">
        <v>432</v>
      </c>
      <c r="AF398" s="107" t="s">
        <v>432</v>
      </c>
      <c r="AG398" s="107" t="s">
        <v>432</v>
      </c>
      <c r="AH398" s="107" t="s">
        <v>432</v>
      </c>
      <c r="AI398" s="107" t="s">
        <v>432</v>
      </c>
      <c r="AJ398" s="107" t="s">
        <v>432</v>
      </c>
      <c r="AK398" s="95">
        <v>0.5</v>
      </c>
      <c r="AL398" s="600" t="s">
        <v>432</v>
      </c>
      <c r="AM398" s="137" t="s">
        <v>432</v>
      </c>
      <c r="AN398" s="137" t="s">
        <v>432</v>
      </c>
      <c r="AO398" s="137" t="s">
        <v>432</v>
      </c>
      <c r="AP398" s="137" t="s">
        <v>432</v>
      </c>
      <c r="AQ398" s="137" t="s">
        <v>432</v>
      </c>
      <c r="AR398" s="137" t="s">
        <v>432</v>
      </c>
      <c r="AS398" s="137" t="s">
        <v>432</v>
      </c>
      <c r="AT398" s="137" t="s">
        <v>432</v>
      </c>
      <c r="AU398" s="137" t="s">
        <v>432</v>
      </c>
      <c r="AV398" s="137" t="s">
        <v>432</v>
      </c>
      <c r="AW398" s="137" t="s">
        <v>432</v>
      </c>
      <c r="AX398" s="137" t="s">
        <v>432</v>
      </c>
      <c r="AY398" s="137" t="s">
        <v>432</v>
      </c>
      <c r="AZ398" s="137" t="s">
        <v>432</v>
      </c>
      <c r="BA398" s="137" t="s">
        <v>432</v>
      </c>
      <c r="BB398" s="239" t="str">
        <f t="shared" si="78"/>
        <v>BRTacessibilidade</v>
      </c>
      <c r="BC398" s="239" t="str">
        <f t="shared" si="79"/>
        <v>BRTacessibilidadex</v>
      </c>
      <c r="BD398" s="239" t="str">
        <f t="shared" si="80"/>
        <v>BRTx</v>
      </c>
    </row>
    <row r="399" spans="1:56" s="105" customFormat="1" ht="38.25" x14ac:dyDescent="0.25">
      <c r="A399" s="275" t="str">
        <f>'Q100b-totais'!B54</f>
        <v>8.2</v>
      </c>
      <c r="B399" s="13" t="str">
        <f>'Q100b-totais'!C54</f>
        <v>BRT</v>
      </c>
      <c r="C399" s="167" t="s">
        <v>743</v>
      </c>
      <c r="D399" s="324" t="s">
        <v>5530</v>
      </c>
      <c r="E399" s="1491" t="s">
        <v>1306</v>
      </c>
      <c r="F399" s="1205" t="s">
        <v>5809</v>
      </c>
      <c r="G399" s="110" t="s">
        <v>5578</v>
      </c>
      <c r="H399" s="173" t="s">
        <v>432</v>
      </c>
      <c r="I399" s="57">
        <v>1</v>
      </c>
      <c r="J399" s="107" t="s">
        <v>432</v>
      </c>
      <c r="K399" s="107" t="s">
        <v>432</v>
      </c>
      <c r="L399" s="107" t="s">
        <v>432</v>
      </c>
      <c r="M399" s="107" t="s">
        <v>432</v>
      </c>
      <c r="N399" s="107" t="s">
        <v>432</v>
      </c>
      <c r="O399" s="107" t="s">
        <v>432</v>
      </c>
      <c r="P399" s="107" t="s">
        <v>432</v>
      </c>
      <c r="Q399" s="107" t="s">
        <v>432</v>
      </c>
      <c r="R399" s="107" t="s">
        <v>432</v>
      </c>
      <c r="S399" s="109" t="s">
        <v>2209</v>
      </c>
      <c r="T399" s="107" t="s">
        <v>432</v>
      </c>
      <c r="U399" s="107" t="s">
        <v>432</v>
      </c>
      <c r="V399" s="109" t="s">
        <v>2209</v>
      </c>
      <c r="W399" s="107" t="s">
        <v>432</v>
      </c>
      <c r="X399" s="107" t="s">
        <v>432</v>
      </c>
      <c r="Y399" s="107" t="s">
        <v>432</v>
      </c>
      <c r="Z399" s="107" t="s">
        <v>432</v>
      </c>
      <c r="AA399" s="107" t="s">
        <v>432</v>
      </c>
      <c r="AB399" s="107" t="s">
        <v>432</v>
      </c>
      <c r="AC399" s="107" t="s">
        <v>432</v>
      </c>
      <c r="AD399" s="107" t="s">
        <v>432</v>
      </c>
      <c r="AE399" s="107" t="s">
        <v>432</v>
      </c>
      <c r="AF399" s="107" t="s">
        <v>432</v>
      </c>
      <c r="AG399" s="107" t="s">
        <v>432</v>
      </c>
      <c r="AH399" s="107" t="s">
        <v>432</v>
      </c>
      <c r="AI399" s="107" t="s">
        <v>432</v>
      </c>
      <c r="AJ399" s="107" t="s">
        <v>432</v>
      </c>
      <c r="AK399" s="95">
        <v>0.64</v>
      </c>
      <c r="AL399" s="600" t="s">
        <v>432</v>
      </c>
      <c r="AM399" s="137" t="s">
        <v>432</v>
      </c>
      <c r="AN399" s="137" t="s">
        <v>432</v>
      </c>
      <c r="AO399" s="137" t="s">
        <v>432</v>
      </c>
      <c r="AP399" s="137" t="s">
        <v>432</v>
      </c>
      <c r="AQ399" s="137" t="s">
        <v>432</v>
      </c>
      <c r="AR399" s="137" t="s">
        <v>432</v>
      </c>
      <c r="AS399" s="137" t="s">
        <v>432</v>
      </c>
      <c r="AT399" s="137" t="s">
        <v>432</v>
      </c>
      <c r="AU399" s="137" t="s">
        <v>432</v>
      </c>
      <c r="AV399" s="137" t="s">
        <v>432</v>
      </c>
      <c r="AW399" s="137" t="s">
        <v>432</v>
      </c>
      <c r="AX399" s="137" t="s">
        <v>432</v>
      </c>
      <c r="AY399" s="137" t="s">
        <v>432</v>
      </c>
      <c r="AZ399" s="137" t="s">
        <v>432</v>
      </c>
      <c r="BA399" s="137" t="s">
        <v>432</v>
      </c>
      <c r="BB399" s="239" t="str">
        <f t="shared" si="78"/>
        <v>BRTacessibilidade</v>
      </c>
      <c r="BC399" s="239" t="str">
        <f t="shared" si="79"/>
        <v>BRTacessibilidadex</v>
      </c>
      <c r="BD399" s="239" t="str">
        <f t="shared" si="80"/>
        <v>BRTx</v>
      </c>
    </row>
    <row r="400" spans="1:56" s="105" customFormat="1" ht="38.25" x14ac:dyDescent="0.25">
      <c r="A400" s="275" t="str">
        <f>'Q100b-totais'!B54</f>
        <v>8.2</v>
      </c>
      <c r="B400" s="13" t="str">
        <f>'Q100b-totais'!C54</f>
        <v>BRT</v>
      </c>
      <c r="C400" s="167" t="s">
        <v>743</v>
      </c>
      <c r="D400" s="324" t="s">
        <v>5548</v>
      </c>
      <c r="E400" s="1491" t="s">
        <v>1306</v>
      </c>
      <c r="F400" s="1205" t="s">
        <v>5810</v>
      </c>
      <c r="G400" s="110" t="s">
        <v>5578</v>
      </c>
      <c r="H400" s="173" t="s">
        <v>432</v>
      </c>
      <c r="I400" s="57">
        <v>1</v>
      </c>
      <c r="J400" s="107" t="s">
        <v>432</v>
      </c>
      <c r="K400" s="107" t="s">
        <v>432</v>
      </c>
      <c r="L400" s="107" t="s">
        <v>432</v>
      </c>
      <c r="M400" s="107" t="s">
        <v>432</v>
      </c>
      <c r="N400" s="107" t="s">
        <v>432</v>
      </c>
      <c r="O400" s="107" t="s">
        <v>432</v>
      </c>
      <c r="P400" s="107" t="s">
        <v>432</v>
      </c>
      <c r="Q400" s="107" t="s">
        <v>432</v>
      </c>
      <c r="R400" s="107" t="s">
        <v>432</v>
      </c>
      <c r="S400" s="109" t="s">
        <v>2209</v>
      </c>
      <c r="T400" s="107" t="s">
        <v>432</v>
      </c>
      <c r="U400" s="107" t="s">
        <v>432</v>
      </c>
      <c r="V400" s="109" t="s">
        <v>2209</v>
      </c>
      <c r="W400" s="107" t="s">
        <v>432</v>
      </c>
      <c r="X400" s="107" t="s">
        <v>432</v>
      </c>
      <c r="Y400" s="107" t="s">
        <v>432</v>
      </c>
      <c r="Z400" s="107" t="s">
        <v>432</v>
      </c>
      <c r="AA400" s="107" t="s">
        <v>432</v>
      </c>
      <c r="AB400" s="107" t="s">
        <v>432</v>
      </c>
      <c r="AC400" s="107" t="s">
        <v>432</v>
      </c>
      <c r="AD400" s="107" t="s">
        <v>432</v>
      </c>
      <c r="AE400" s="107" t="s">
        <v>432</v>
      </c>
      <c r="AF400" s="107" t="s">
        <v>432</v>
      </c>
      <c r="AG400" s="107" t="s">
        <v>432</v>
      </c>
      <c r="AH400" s="107" t="s">
        <v>432</v>
      </c>
      <c r="AI400" s="107" t="s">
        <v>432</v>
      </c>
      <c r="AJ400" s="107" t="s">
        <v>432</v>
      </c>
      <c r="AK400" s="95">
        <v>1</v>
      </c>
      <c r="AL400" s="600" t="s">
        <v>432</v>
      </c>
      <c r="AM400" s="137" t="s">
        <v>432</v>
      </c>
      <c r="AN400" s="137" t="s">
        <v>432</v>
      </c>
      <c r="AO400" s="137" t="s">
        <v>432</v>
      </c>
      <c r="AP400" s="137" t="s">
        <v>432</v>
      </c>
      <c r="AQ400" s="137" t="s">
        <v>432</v>
      </c>
      <c r="AR400" s="137" t="s">
        <v>432</v>
      </c>
      <c r="AS400" s="137" t="s">
        <v>432</v>
      </c>
      <c r="AT400" s="137" t="s">
        <v>432</v>
      </c>
      <c r="AU400" s="137" t="s">
        <v>432</v>
      </c>
      <c r="AV400" s="137" t="s">
        <v>432</v>
      </c>
      <c r="AW400" s="137" t="s">
        <v>432</v>
      </c>
      <c r="AX400" s="137" t="s">
        <v>432</v>
      </c>
      <c r="AY400" s="137" t="s">
        <v>432</v>
      </c>
      <c r="AZ400" s="137" t="s">
        <v>432</v>
      </c>
      <c r="BA400" s="137" t="s">
        <v>432</v>
      </c>
      <c r="BB400" s="239" t="str">
        <f t="shared" si="78"/>
        <v>BRTacessibilidade</v>
      </c>
      <c r="BC400" s="239" t="str">
        <f t="shared" si="79"/>
        <v>BRTacessibilidadex</v>
      </c>
      <c r="BD400" s="239" t="str">
        <f t="shared" si="80"/>
        <v>BRTx</v>
      </c>
    </row>
    <row r="401" spans="1:56" s="105" customFormat="1" ht="38.25" x14ac:dyDescent="0.25">
      <c r="A401" s="275" t="str">
        <f>'Q100b-totais'!B54</f>
        <v>8.2</v>
      </c>
      <c r="B401" s="13" t="str">
        <f>'Q100b-totais'!C54</f>
        <v>BRT</v>
      </c>
      <c r="C401" s="167" t="s">
        <v>743</v>
      </c>
      <c r="D401" s="324" t="s">
        <v>5552</v>
      </c>
      <c r="E401" s="1491" t="s">
        <v>1306</v>
      </c>
      <c r="F401" s="1205" t="s">
        <v>5811</v>
      </c>
      <c r="G401" s="110" t="s">
        <v>5578</v>
      </c>
      <c r="H401" s="173" t="s">
        <v>432</v>
      </c>
      <c r="I401" s="57">
        <v>1</v>
      </c>
      <c r="J401" s="107" t="s">
        <v>432</v>
      </c>
      <c r="K401" s="107" t="s">
        <v>432</v>
      </c>
      <c r="L401" s="107" t="s">
        <v>432</v>
      </c>
      <c r="M401" s="107" t="s">
        <v>432</v>
      </c>
      <c r="N401" s="107" t="s">
        <v>432</v>
      </c>
      <c r="O401" s="107" t="s">
        <v>432</v>
      </c>
      <c r="P401" s="107" t="s">
        <v>432</v>
      </c>
      <c r="Q401" s="107" t="s">
        <v>432</v>
      </c>
      <c r="R401" s="107" t="s">
        <v>432</v>
      </c>
      <c r="S401" s="109" t="s">
        <v>2209</v>
      </c>
      <c r="T401" s="107" t="s">
        <v>432</v>
      </c>
      <c r="U401" s="107" t="s">
        <v>432</v>
      </c>
      <c r="V401" s="109" t="s">
        <v>2209</v>
      </c>
      <c r="W401" s="107" t="s">
        <v>432</v>
      </c>
      <c r="X401" s="107" t="s">
        <v>432</v>
      </c>
      <c r="Y401" s="107" t="s">
        <v>432</v>
      </c>
      <c r="Z401" s="107" t="s">
        <v>432</v>
      </c>
      <c r="AA401" s="107" t="s">
        <v>432</v>
      </c>
      <c r="AB401" s="107" t="s">
        <v>432</v>
      </c>
      <c r="AC401" s="107" t="s">
        <v>432</v>
      </c>
      <c r="AD401" s="107" t="s">
        <v>432</v>
      </c>
      <c r="AE401" s="107" t="s">
        <v>432</v>
      </c>
      <c r="AF401" s="107" t="s">
        <v>432</v>
      </c>
      <c r="AG401" s="107" t="s">
        <v>432</v>
      </c>
      <c r="AH401" s="107" t="s">
        <v>432</v>
      </c>
      <c r="AI401" s="107" t="s">
        <v>432</v>
      </c>
      <c r="AJ401" s="107" t="s">
        <v>432</v>
      </c>
      <c r="AK401" s="95">
        <v>0</v>
      </c>
      <c r="AL401" s="600" t="s">
        <v>432</v>
      </c>
      <c r="AM401" s="137" t="s">
        <v>432</v>
      </c>
      <c r="AN401" s="137" t="s">
        <v>432</v>
      </c>
      <c r="AO401" s="137" t="s">
        <v>432</v>
      </c>
      <c r="AP401" s="137" t="s">
        <v>432</v>
      </c>
      <c r="AQ401" s="137" t="s">
        <v>432</v>
      </c>
      <c r="AR401" s="137" t="s">
        <v>432</v>
      </c>
      <c r="AS401" s="137" t="s">
        <v>432</v>
      </c>
      <c r="AT401" s="137" t="s">
        <v>432</v>
      </c>
      <c r="AU401" s="137" t="s">
        <v>432</v>
      </c>
      <c r="AV401" s="137" t="s">
        <v>432</v>
      </c>
      <c r="AW401" s="137" t="s">
        <v>432</v>
      </c>
      <c r="AX401" s="137" t="s">
        <v>432</v>
      </c>
      <c r="AY401" s="137" t="s">
        <v>432</v>
      </c>
      <c r="AZ401" s="137" t="s">
        <v>432</v>
      </c>
      <c r="BA401" s="137" t="s">
        <v>432</v>
      </c>
      <c r="BB401" s="239" t="str">
        <f t="shared" si="78"/>
        <v>BRTacessibilidade</v>
      </c>
      <c r="BC401" s="239" t="str">
        <f t="shared" si="79"/>
        <v>BRTacessibilidadex</v>
      </c>
      <c r="BD401" s="239" t="str">
        <f t="shared" si="80"/>
        <v>BRTx</v>
      </c>
    </row>
    <row r="402" spans="1:56" s="105" customFormat="1" ht="38.25" x14ac:dyDescent="0.25">
      <c r="A402" s="275" t="str">
        <f>'Q100b-totais'!B54</f>
        <v>8.2</v>
      </c>
      <c r="B402" s="13" t="str">
        <f>'Q100b-totais'!C54</f>
        <v>BRT</v>
      </c>
      <c r="C402" s="167" t="s">
        <v>743</v>
      </c>
      <c r="D402" s="324" t="s">
        <v>5544</v>
      </c>
      <c r="E402" s="1491" t="s">
        <v>1306</v>
      </c>
      <c r="F402" s="1205" t="s">
        <v>5812</v>
      </c>
      <c r="G402" s="110" t="s">
        <v>5578</v>
      </c>
      <c r="H402" s="173" t="s">
        <v>432</v>
      </c>
      <c r="I402" s="57">
        <v>1</v>
      </c>
      <c r="J402" s="107" t="s">
        <v>432</v>
      </c>
      <c r="K402" s="107" t="s">
        <v>432</v>
      </c>
      <c r="L402" s="107" t="s">
        <v>432</v>
      </c>
      <c r="M402" s="107" t="s">
        <v>432</v>
      </c>
      <c r="N402" s="107" t="s">
        <v>432</v>
      </c>
      <c r="O402" s="107" t="s">
        <v>432</v>
      </c>
      <c r="P402" s="107" t="s">
        <v>432</v>
      </c>
      <c r="Q402" s="107" t="s">
        <v>432</v>
      </c>
      <c r="R402" s="107" t="s">
        <v>432</v>
      </c>
      <c r="S402" s="109" t="s">
        <v>2209</v>
      </c>
      <c r="T402" s="107" t="s">
        <v>432</v>
      </c>
      <c r="U402" s="107" t="s">
        <v>432</v>
      </c>
      <c r="V402" s="109" t="s">
        <v>2209</v>
      </c>
      <c r="W402" s="107" t="s">
        <v>432</v>
      </c>
      <c r="X402" s="107" t="s">
        <v>432</v>
      </c>
      <c r="Y402" s="107" t="s">
        <v>432</v>
      </c>
      <c r="Z402" s="107" t="s">
        <v>432</v>
      </c>
      <c r="AA402" s="107" t="s">
        <v>432</v>
      </c>
      <c r="AB402" s="107" t="s">
        <v>432</v>
      </c>
      <c r="AC402" s="107" t="s">
        <v>432</v>
      </c>
      <c r="AD402" s="107" t="s">
        <v>432</v>
      </c>
      <c r="AE402" s="107" t="s">
        <v>432</v>
      </c>
      <c r="AF402" s="107" t="s">
        <v>432</v>
      </c>
      <c r="AG402" s="107" t="s">
        <v>432</v>
      </c>
      <c r="AH402" s="107" t="s">
        <v>432</v>
      </c>
      <c r="AI402" s="107" t="s">
        <v>432</v>
      </c>
      <c r="AJ402" s="107" t="s">
        <v>432</v>
      </c>
      <c r="AK402" s="95">
        <v>0.2</v>
      </c>
      <c r="AL402" s="600" t="s">
        <v>432</v>
      </c>
      <c r="AM402" s="137" t="s">
        <v>432</v>
      </c>
      <c r="AN402" s="137" t="s">
        <v>432</v>
      </c>
      <c r="AO402" s="137" t="s">
        <v>432</v>
      </c>
      <c r="AP402" s="137" t="s">
        <v>432</v>
      </c>
      <c r="AQ402" s="137" t="s">
        <v>432</v>
      </c>
      <c r="AR402" s="137" t="s">
        <v>432</v>
      </c>
      <c r="AS402" s="137" t="s">
        <v>432</v>
      </c>
      <c r="AT402" s="137" t="s">
        <v>432</v>
      </c>
      <c r="AU402" s="137" t="s">
        <v>432</v>
      </c>
      <c r="AV402" s="137" t="s">
        <v>432</v>
      </c>
      <c r="AW402" s="137" t="s">
        <v>432</v>
      </c>
      <c r="AX402" s="137" t="s">
        <v>432</v>
      </c>
      <c r="AY402" s="137" t="s">
        <v>432</v>
      </c>
      <c r="AZ402" s="137" t="s">
        <v>432</v>
      </c>
      <c r="BA402" s="137" t="s">
        <v>432</v>
      </c>
      <c r="BB402" s="239" t="str">
        <f t="shared" si="78"/>
        <v>BRTacessibilidade</v>
      </c>
      <c r="BC402" s="239" t="str">
        <f t="shared" si="79"/>
        <v>BRTacessibilidadex</v>
      </c>
      <c r="BD402" s="239" t="str">
        <f t="shared" si="80"/>
        <v>BRTx</v>
      </c>
    </row>
    <row r="403" spans="1:56" s="105" customFormat="1" ht="47.25" x14ac:dyDescent="0.25">
      <c r="A403" s="275" t="str">
        <f>'Q100b-totais'!B54</f>
        <v>8.2</v>
      </c>
      <c r="B403" s="13" t="str">
        <f>'Q100b-totais'!C54</f>
        <v>BRT</v>
      </c>
      <c r="C403" s="167" t="s">
        <v>743</v>
      </c>
      <c r="D403" s="324" t="s">
        <v>5665</v>
      </c>
      <c r="E403" s="1491" t="s">
        <v>1306</v>
      </c>
      <c r="F403" s="1205" t="s">
        <v>5813</v>
      </c>
      <c r="G403" s="110" t="s">
        <v>5578</v>
      </c>
      <c r="H403" s="173" t="s">
        <v>432</v>
      </c>
      <c r="I403" s="57">
        <v>1</v>
      </c>
      <c r="J403" s="107" t="s">
        <v>432</v>
      </c>
      <c r="K403" s="107" t="s">
        <v>432</v>
      </c>
      <c r="L403" s="107" t="s">
        <v>432</v>
      </c>
      <c r="M403" s="107" t="s">
        <v>432</v>
      </c>
      <c r="N403" s="107" t="s">
        <v>432</v>
      </c>
      <c r="O403" s="107" t="s">
        <v>432</v>
      </c>
      <c r="P403" s="107" t="s">
        <v>432</v>
      </c>
      <c r="Q403" s="107" t="s">
        <v>432</v>
      </c>
      <c r="R403" s="107" t="s">
        <v>432</v>
      </c>
      <c r="S403" s="109" t="s">
        <v>2209</v>
      </c>
      <c r="T403" s="107" t="s">
        <v>432</v>
      </c>
      <c r="U403" s="107" t="s">
        <v>432</v>
      </c>
      <c r="V403" s="109" t="s">
        <v>2209</v>
      </c>
      <c r="W403" s="107" t="s">
        <v>432</v>
      </c>
      <c r="X403" s="107" t="s">
        <v>432</v>
      </c>
      <c r="Y403" s="107" t="s">
        <v>432</v>
      </c>
      <c r="Z403" s="107" t="s">
        <v>432</v>
      </c>
      <c r="AA403" s="107" t="s">
        <v>432</v>
      </c>
      <c r="AB403" s="107" t="s">
        <v>432</v>
      </c>
      <c r="AC403" s="107" t="s">
        <v>432</v>
      </c>
      <c r="AD403" s="107" t="s">
        <v>432</v>
      </c>
      <c r="AE403" s="107" t="s">
        <v>432</v>
      </c>
      <c r="AF403" s="107" t="s">
        <v>432</v>
      </c>
      <c r="AG403" s="107" t="s">
        <v>432</v>
      </c>
      <c r="AH403" s="107" t="s">
        <v>432</v>
      </c>
      <c r="AI403" s="107" t="s">
        <v>432</v>
      </c>
      <c r="AJ403" s="107" t="s">
        <v>432</v>
      </c>
      <c r="AK403" s="95">
        <v>0.78</v>
      </c>
      <c r="AL403" s="600" t="s">
        <v>432</v>
      </c>
      <c r="AM403" s="137" t="s">
        <v>432</v>
      </c>
      <c r="AN403" s="137" t="s">
        <v>432</v>
      </c>
      <c r="AO403" s="137" t="s">
        <v>432</v>
      </c>
      <c r="AP403" s="137" t="s">
        <v>432</v>
      </c>
      <c r="AQ403" s="137" t="s">
        <v>432</v>
      </c>
      <c r="AR403" s="137" t="s">
        <v>432</v>
      </c>
      <c r="AS403" s="137" t="s">
        <v>432</v>
      </c>
      <c r="AT403" s="137" t="s">
        <v>432</v>
      </c>
      <c r="AU403" s="137" t="s">
        <v>432</v>
      </c>
      <c r="AV403" s="137" t="s">
        <v>432</v>
      </c>
      <c r="AW403" s="137" t="s">
        <v>432</v>
      </c>
      <c r="AX403" s="137" t="s">
        <v>432</v>
      </c>
      <c r="AY403" s="137" t="s">
        <v>432</v>
      </c>
      <c r="AZ403" s="137" t="s">
        <v>432</v>
      </c>
      <c r="BA403" s="137" t="s">
        <v>432</v>
      </c>
      <c r="BB403" s="239" t="str">
        <f t="shared" si="78"/>
        <v>BRTacessibilidade</v>
      </c>
      <c r="BC403" s="239" t="str">
        <f t="shared" si="79"/>
        <v>BRTacessibilidadex</v>
      </c>
      <c r="BD403" s="239" t="str">
        <f t="shared" si="80"/>
        <v>BRTx</v>
      </c>
    </row>
    <row r="404" spans="1:56" s="105" customFormat="1" ht="51" x14ac:dyDescent="0.25">
      <c r="A404" s="275" t="str">
        <f>'Q100b-totais'!B54</f>
        <v>8.2</v>
      </c>
      <c r="B404" s="13" t="str">
        <f>'Q100b-totais'!C54</f>
        <v>BRT</v>
      </c>
      <c r="C404" s="167" t="s">
        <v>743</v>
      </c>
      <c r="D404" s="324" t="s">
        <v>5666</v>
      </c>
      <c r="E404" s="1491" t="s">
        <v>1306</v>
      </c>
      <c r="F404" s="1205" t="s">
        <v>5814</v>
      </c>
      <c r="G404" s="110" t="s">
        <v>5578</v>
      </c>
      <c r="H404" s="173" t="s">
        <v>432</v>
      </c>
      <c r="I404" s="57">
        <v>1</v>
      </c>
      <c r="J404" s="107" t="s">
        <v>432</v>
      </c>
      <c r="K404" s="107" t="s">
        <v>432</v>
      </c>
      <c r="L404" s="107" t="s">
        <v>432</v>
      </c>
      <c r="M404" s="107" t="s">
        <v>432</v>
      </c>
      <c r="N404" s="107" t="s">
        <v>432</v>
      </c>
      <c r="O404" s="107" t="s">
        <v>432</v>
      </c>
      <c r="P404" s="107" t="s">
        <v>432</v>
      </c>
      <c r="Q404" s="107" t="s">
        <v>432</v>
      </c>
      <c r="R404" s="107" t="s">
        <v>432</v>
      </c>
      <c r="S404" s="109" t="s">
        <v>2209</v>
      </c>
      <c r="T404" s="107" t="s">
        <v>432</v>
      </c>
      <c r="U404" s="107" t="s">
        <v>432</v>
      </c>
      <c r="V404" s="109" t="s">
        <v>2209</v>
      </c>
      <c r="W404" s="107" t="s">
        <v>432</v>
      </c>
      <c r="X404" s="107" t="s">
        <v>432</v>
      </c>
      <c r="Y404" s="107" t="s">
        <v>432</v>
      </c>
      <c r="Z404" s="107" t="s">
        <v>432</v>
      </c>
      <c r="AA404" s="107" t="s">
        <v>432</v>
      </c>
      <c r="AB404" s="107" t="s">
        <v>432</v>
      </c>
      <c r="AC404" s="107" t="s">
        <v>432</v>
      </c>
      <c r="AD404" s="107" t="s">
        <v>432</v>
      </c>
      <c r="AE404" s="107" t="s">
        <v>432</v>
      </c>
      <c r="AF404" s="107" t="s">
        <v>432</v>
      </c>
      <c r="AG404" s="107" t="s">
        <v>432</v>
      </c>
      <c r="AH404" s="107" t="s">
        <v>432</v>
      </c>
      <c r="AI404" s="107" t="s">
        <v>432</v>
      </c>
      <c r="AJ404" s="107" t="s">
        <v>432</v>
      </c>
      <c r="AK404" s="95" t="s">
        <v>5601</v>
      </c>
      <c r="AL404" s="600" t="s">
        <v>432</v>
      </c>
      <c r="AM404" s="137" t="s">
        <v>432</v>
      </c>
      <c r="AN404" s="137" t="s">
        <v>432</v>
      </c>
      <c r="AO404" s="137" t="s">
        <v>432</v>
      </c>
      <c r="AP404" s="137" t="s">
        <v>432</v>
      </c>
      <c r="AQ404" s="137" t="s">
        <v>432</v>
      </c>
      <c r="AR404" s="137" t="s">
        <v>432</v>
      </c>
      <c r="AS404" s="137" t="s">
        <v>432</v>
      </c>
      <c r="AT404" s="137" t="s">
        <v>432</v>
      </c>
      <c r="AU404" s="137" t="s">
        <v>432</v>
      </c>
      <c r="AV404" s="137" t="s">
        <v>432</v>
      </c>
      <c r="AW404" s="137" t="s">
        <v>432</v>
      </c>
      <c r="AX404" s="137" t="s">
        <v>432</v>
      </c>
      <c r="AY404" s="137" t="s">
        <v>432</v>
      </c>
      <c r="AZ404" s="137" t="s">
        <v>432</v>
      </c>
      <c r="BA404" s="137" t="s">
        <v>432</v>
      </c>
      <c r="BB404" s="239" t="str">
        <f t="shared" si="78"/>
        <v>BRTacessibilidade</v>
      </c>
      <c r="BC404" s="239" t="str">
        <f t="shared" si="79"/>
        <v>BRTacessibilidadex</v>
      </c>
      <c r="BD404" s="239" t="str">
        <f t="shared" si="80"/>
        <v>BRTx</v>
      </c>
    </row>
    <row r="405" spans="1:56" s="105" customFormat="1" ht="51" x14ac:dyDescent="0.25">
      <c r="A405" s="275" t="str">
        <f>'Q100b-totais'!B54</f>
        <v>8.2</v>
      </c>
      <c r="B405" s="13" t="str">
        <f>'Q100b-totais'!C54</f>
        <v>BRT</v>
      </c>
      <c r="C405" s="167" t="s">
        <v>743</v>
      </c>
      <c r="D405" s="324" t="s">
        <v>5667</v>
      </c>
      <c r="E405" s="1491" t="s">
        <v>1306</v>
      </c>
      <c r="F405" s="1205" t="s">
        <v>5815</v>
      </c>
      <c r="G405" s="110" t="s">
        <v>5578</v>
      </c>
      <c r="H405" s="173" t="s">
        <v>432</v>
      </c>
      <c r="I405" s="57">
        <v>1</v>
      </c>
      <c r="J405" s="107" t="s">
        <v>432</v>
      </c>
      <c r="K405" s="107" t="s">
        <v>432</v>
      </c>
      <c r="L405" s="107" t="s">
        <v>432</v>
      </c>
      <c r="M405" s="107" t="s">
        <v>432</v>
      </c>
      <c r="N405" s="107" t="s">
        <v>432</v>
      </c>
      <c r="O405" s="107" t="s">
        <v>432</v>
      </c>
      <c r="P405" s="107" t="s">
        <v>432</v>
      </c>
      <c r="Q405" s="107" t="s">
        <v>432</v>
      </c>
      <c r="R405" s="107" t="s">
        <v>432</v>
      </c>
      <c r="S405" s="109" t="s">
        <v>2209</v>
      </c>
      <c r="T405" s="107" t="s">
        <v>432</v>
      </c>
      <c r="U405" s="107" t="s">
        <v>432</v>
      </c>
      <c r="V405" s="109" t="s">
        <v>2209</v>
      </c>
      <c r="W405" s="107" t="s">
        <v>432</v>
      </c>
      <c r="X405" s="107" t="s">
        <v>432</v>
      </c>
      <c r="Y405" s="107" t="s">
        <v>432</v>
      </c>
      <c r="Z405" s="107" t="s">
        <v>432</v>
      </c>
      <c r="AA405" s="107" t="s">
        <v>432</v>
      </c>
      <c r="AB405" s="107" t="s">
        <v>432</v>
      </c>
      <c r="AC405" s="107" t="s">
        <v>432</v>
      </c>
      <c r="AD405" s="107" t="s">
        <v>432</v>
      </c>
      <c r="AE405" s="107" t="s">
        <v>432</v>
      </c>
      <c r="AF405" s="107" t="s">
        <v>432</v>
      </c>
      <c r="AG405" s="107" t="s">
        <v>432</v>
      </c>
      <c r="AH405" s="107" t="s">
        <v>432</v>
      </c>
      <c r="AI405" s="107" t="s">
        <v>432</v>
      </c>
      <c r="AJ405" s="107" t="s">
        <v>432</v>
      </c>
      <c r="AK405" s="95">
        <v>0.73</v>
      </c>
      <c r="AL405" s="600" t="s">
        <v>432</v>
      </c>
      <c r="AM405" s="137" t="s">
        <v>432</v>
      </c>
      <c r="AN405" s="137" t="s">
        <v>432</v>
      </c>
      <c r="AO405" s="137" t="s">
        <v>432</v>
      </c>
      <c r="AP405" s="137" t="s">
        <v>432</v>
      </c>
      <c r="AQ405" s="137" t="s">
        <v>432</v>
      </c>
      <c r="AR405" s="137" t="s">
        <v>432</v>
      </c>
      <c r="AS405" s="137" t="s">
        <v>432</v>
      </c>
      <c r="AT405" s="137" t="s">
        <v>432</v>
      </c>
      <c r="AU405" s="137" t="s">
        <v>432</v>
      </c>
      <c r="AV405" s="137" t="s">
        <v>432</v>
      </c>
      <c r="AW405" s="137" t="s">
        <v>432</v>
      </c>
      <c r="AX405" s="137" t="s">
        <v>432</v>
      </c>
      <c r="AY405" s="137" t="s">
        <v>432</v>
      </c>
      <c r="AZ405" s="137" t="s">
        <v>432</v>
      </c>
      <c r="BA405" s="137" t="s">
        <v>432</v>
      </c>
      <c r="BB405" s="239" t="str">
        <f t="shared" si="78"/>
        <v>BRTacessibilidade</v>
      </c>
      <c r="BC405" s="239" t="str">
        <f t="shared" si="79"/>
        <v>BRTacessibilidadex</v>
      </c>
      <c r="BD405" s="239" t="str">
        <f t="shared" si="80"/>
        <v>BRTx</v>
      </c>
    </row>
    <row r="406" spans="1:56" s="105" customFormat="1" ht="51" x14ac:dyDescent="0.25">
      <c r="A406" s="275" t="str">
        <f>'Q100b-totais'!B54</f>
        <v>8.2</v>
      </c>
      <c r="B406" s="13" t="str">
        <f>'Q100b-totais'!C54</f>
        <v>BRT</v>
      </c>
      <c r="C406" s="167" t="s">
        <v>743</v>
      </c>
      <c r="D406" s="324" t="s">
        <v>5668</v>
      </c>
      <c r="E406" s="1491" t="s">
        <v>1306</v>
      </c>
      <c r="F406" s="1205" t="s">
        <v>5816</v>
      </c>
      <c r="G406" s="110" t="s">
        <v>5578</v>
      </c>
      <c r="H406" s="173" t="s">
        <v>432</v>
      </c>
      <c r="I406" s="57">
        <v>1</v>
      </c>
      <c r="J406" s="107" t="s">
        <v>432</v>
      </c>
      <c r="K406" s="107" t="s">
        <v>432</v>
      </c>
      <c r="L406" s="107" t="s">
        <v>432</v>
      </c>
      <c r="M406" s="107" t="s">
        <v>432</v>
      </c>
      <c r="N406" s="107" t="s">
        <v>432</v>
      </c>
      <c r="O406" s="107" t="s">
        <v>432</v>
      </c>
      <c r="P406" s="107" t="s">
        <v>432</v>
      </c>
      <c r="Q406" s="107" t="s">
        <v>432</v>
      </c>
      <c r="R406" s="107" t="s">
        <v>432</v>
      </c>
      <c r="S406" s="109" t="s">
        <v>2209</v>
      </c>
      <c r="T406" s="107" t="s">
        <v>432</v>
      </c>
      <c r="U406" s="107" t="s">
        <v>432</v>
      </c>
      <c r="V406" s="109" t="s">
        <v>2209</v>
      </c>
      <c r="W406" s="107" t="s">
        <v>432</v>
      </c>
      <c r="X406" s="107" t="s">
        <v>432</v>
      </c>
      <c r="Y406" s="107" t="s">
        <v>432</v>
      </c>
      <c r="Z406" s="107" t="s">
        <v>432</v>
      </c>
      <c r="AA406" s="107" t="s">
        <v>432</v>
      </c>
      <c r="AB406" s="107" t="s">
        <v>432</v>
      </c>
      <c r="AC406" s="107" t="s">
        <v>432</v>
      </c>
      <c r="AD406" s="107" t="s">
        <v>432</v>
      </c>
      <c r="AE406" s="107" t="s">
        <v>432</v>
      </c>
      <c r="AF406" s="107" t="s">
        <v>432</v>
      </c>
      <c r="AG406" s="107" t="s">
        <v>432</v>
      </c>
      <c r="AH406" s="107" t="s">
        <v>432</v>
      </c>
      <c r="AI406" s="107" t="s">
        <v>432</v>
      </c>
      <c r="AJ406" s="107" t="s">
        <v>432</v>
      </c>
      <c r="AK406" s="95">
        <v>0.44</v>
      </c>
      <c r="AL406" s="600" t="s">
        <v>432</v>
      </c>
      <c r="AM406" s="137" t="s">
        <v>432</v>
      </c>
      <c r="AN406" s="137" t="s">
        <v>432</v>
      </c>
      <c r="AO406" s="137" t="s">
        <v>432</v>
      </c>
      <c r="AP406" s="137" t="s">
        <v>432</v>
      </c>
      <c r="AQ406" s="137" t="s">
        <v>432</v>
      </c>
      <c r="AR406" s="137" t="s">
        <v>432</v>
      </c>
      <c r="AS406" s="137" t="s">
        <v>432</v>
      </c>
      <c r="AT406" s="137" t="s">
        <v>432</v>
      </c>
      <c r="AU406" s="137" t="s">
        <v>432</v>
      </c>
      <c r="AV406" s="137" t="s">
        <v>432</v>
      </c>
      <c r="AW406" s="137" t="s">
        <v>432</v>
      </c>
      <c r="AX406" s="137" t="s">
        <v>432</v>
      </c>
      <c r="AY406" s="137" t="s">
        <v>432</v>
      </c>
      <c r="AZ406" s="137" t="s">
        <v>432</v>
      </c>
      <c r="BA406" s="137" t="s">
        <v>432</v>
      </c>
      <c r="BB406" s="239" t="str">
        <f t="shared" si="78"/>
        <v>BRTacessibilidade</v>
      </c>
      <c r="BC406" s="239" t="str">
        <f t="shared" si="79"/>
        <v>BRTacessibilidadex</v>
      </c>
      <c r="BD406" s="239" t="str">
        <f t="shared" si="80"/>
        <v>BRTx</v>
      </c>
    </row>
    <row r="407" spans="1:56" s="105" customFormat="1" ht="47.25" x14ac:dyDescent="0.25">
      <c r="A407" s="275" t="str">
        <f>'Q100b-totais'!B54</f>
        <v>8.2</v>
      </c>
      <c r="B407" s="13" t="str">
        <f>'Q100b-totais'!C54</f>
        <v>BRT</v>
      </c>
      <c r="C407" s="167" t="s">
        <v>743</v>
      </c>
      <c r="D407" s="324" t="s">
        <v>5688</v>
      </c>
      <c r="E407" s="1491" t="s">
        <v>1306</v>
      </c>
      <c r="F407" s="1205" t="s">
        <v>5817</v>
      </c>
      <c r="G407" s="110" t="s">
        <v>5578</v>
      </c>
      <c r="H407" s="173" t="s">
        <v>432</v>
      </c>
      <c r="I407" s="57">
        <v>1</v>
      </c>
      <c r="J407" s="107" t="s">
        <v>432</v>
      </c>
      <c r="K407" s="107" t="s">
        <v>432</v>
      </c>
      <c r="L407" s="107" t="s">
        <v>432</v>
      </c>
      <c r="M407" s="107" t="s">
        <v>432</v>
      </c>
      <c r="N407" s="107" t="s">
        <v>432</v>
      </c>
      <c r="O407" s="107" t="s">
        <v>432</v>
      </c>
      <c r="P407" s="107" t="s">
        <v>432</v>
      </c>
      <c r="Q407" s="107" t="s">
        <v>432</v>
      </c>
      <c r="R407" s="107" t="s">
        <v>432</v>
      </c>
      <c r="S407" s="109" t="s">
        <v>2209</v>
      </c>
      <c r="T407" s="107" t="s">
        <v>432</v>
      </c>
      <c r="U407" s="107" t="s">
        <v>432</v>
      </c>
      <c r="V407" s="109" t="s">
        <v>2209</v>
      </c>
      <c r="W407" s="107" t="s">
        <v>432</v>
      </c>
      <c r="X407" s="107" t="s">
        <v>432</v>
      </c>
      <c r="Y407" s="107" t="s">
        <v>432</v>
      </c>
      <c r="Z407" s="107" t="s">
        <v>432</v>
      </c>
      <c r="AA407" s="107" t="s">
        <v>432</v>
      </c>
      <c r="AB407" s="107" t="s">
        <v>432</v>
      </c>
      <c r="AC407" s="107" t="s">
        <v>432</v>
      </c>
      <c r="AD407" s="107" t="s">
        <v>432</v>
      </c>
      <c r="AE407" s="107" t="s">
        <v>432</v>
      </c>
      <c r="AF407" s="107" t="s">
        <v>432</v>
      </c>
      <c r="AG407" s="107" t="s">
        <v>432</v>
      </c>
      <c r="AH407" s="107" t="s">
        <v>432</v>
      </c>
      <c r="AI407" s="107" t="s">
        <v>432</v>
      </c>
      <c r="AJ407" s="107" t="s">
        <v>432</v>
      </c>
      <c r="AK407" s="882" t="s">
        <v>432</v>
      </c>
      <c r="AL407" s="600" t="s">
        <v>432</v>
      </c>
      <c r="AM407" s="137" t="s">
        <v>432</v>
      </c>
      <c r="AN407" s="137" t="s">
        <v>432</v>
      </c>
      <c r="AO407" s="137" t="s">
        <v>432</v>
      </c>
      <c r="AP407" s="137" t="s">
        <v>432</v>
      </c>
      <c r="AQ407" s="137" t="s">
        <v>432</v>
      </c>
      <c r="AR407" s="137" t="s">
        <v>432</v>
      </c>
      <c r="AS407" s="137" t="s">
        <v>432</v>
      </c>
      <c r="AT407" s="137" t="s">
        <v>432</v>
      </c>
      <c r="AU407" s="137" t="s">
        <v>432</v>
      </c>
      <c r="AV407" s="137" t="s">
        <v>432</v>
      </c>
      <c r="AW407" s="137" t="s">
        <v>432</v>
      </c>
      <c r="AX407" s="137" t="s">
        <v>432</v>
      </c>
      <c r="AY407" s="137" t="s">
        <v>432</v>
      </c>
      <c r="AZ407" s="137" t="s">
        <v>432</v>
      </c>
      <c r="BA407" s="137" t="s">
        <v>432</v>
      </c>
      <c r="BB407" s="239" t="str">
        <f t="shared" si="78"/>
        <v>BRTacessibilidade</v>
      </c>
      <c r="BC407" s="239" t="str">
        <f t="shared" si="79"/>
        <v>BRTacessibilidadex</v>
      </c>
      <c r="BD407" s="239" t="str">
        <f t="shared" si="80"/>
        <v>BRTx</v>
      </c>
    </row>
    <row r="408" spans="1:56" s="105" customFormat="1" ht="47.25" x14ac:dyDescent="0.25">
      <c r="A408" s="275" t="str">
        <f>'Q100b-totais'!B54</f>
        <v>8.2</v>
      </c>
      <c r="B408" s="13" t="str">
        <f>'Q100b-totais'!C54</f>
        <v>BRT</v>
      </c>
      <c r="C408" s="167" t="s">
        <v>743</v>
      </c>
      <c r="D408" s="324" t="s">
        <v>5684</v>
      </c>
      <c r="E408" s="1491" t="s">
        <v>1306</v>
      </c>
      <c r="F408" s="1205" t="s">
        <v>5818</v>
      </c>
      <c r="G408" s="110" t="s">
        <v>5578</v>
      </c>
      <c r="H408" s="173" t="s">
        <v>432</v>
      </c>
      <c r="I408" s="57">
        <v>1</v>
      </c>
      <c r="J408" s="107" t="s">
        <v>432</v>
      </c>
      <c r="K408" s="107" t="s">
        <v>432</v>
      </c>
      <c r="L408" s="107" t="s">
        <v>432</v>
      </c>
      <c r="M408" s="107" t="s">
        <v>432</v>
      </c>
      <c r="N408" s="107" t="s">
        <v>432</v>
      </c>
      <c r="O408" s="107" t="s">
        <v>432</v>
      </c>
      <c r="P408" s="107" t="s">
        <v>432</v>
      </c>
      <c r="Q408" s="107" t="s">
        <v>432</v>
      </c>
      <c r="R408" s="107" t="s">
        <v>432</v>
      </c>
      <c r="S408" s="109" t="s">
        <v>2209</v>
      </c>
      <c r="T408" s="107" t="s">
        <v>432</v>
      </c>
      <c r="U408" s="107" t="s">
        <v>432</v>
      </c>
      <c r="V408" s="109" t="s">
        <v>2209</v>
      </c>
      <c r="W408" s="107" t="s">
        <v>432</v>
      </c>
      <c r="X408" s="107" t="s">
        <v>432</v>
      </c>
      <c r="Y408" s="107" t="s">
        <v>432</v>
      </c>
      <c r="Z408" s="107" t="s">
        <v>432</v>
      </c>
      <c r="AA408" s="107" t="s">
        <v>432</v>
      </c>
      <c r="AB408" s="107" t="s">
        <v>432</v>
      </c>
      <c r="AC408" s="107" t="s">
        <v>432</v>
      </c>
      <c r="AD408" s="107" t="s">
        <v>432</v>
      </c>
      <c r="AE408" s="107" t="s">
        <v>432</v>
      </c>
      <c r="AF408" s="107" t="s">
        <v>432</v>
      </c>
      <c r="AG408" s="107" t="s">
        <v>432</v>
      </c>
      <c r="AH408" s="107" t="s">
        <v>432</v>
      </c>
      <c r="AI408" s="107" t="s">
        <v>432</v>
      </c>
      <c r="AJ408" s="107" t="s">
        <v>432</v>
      </c>
      <c r="AK408" s="882" t="s">
        <v>432</v>
      </c>
      <c r="AL408" s="600" t="s">
        <v>432</v>
      </c>
      <c r="AM408" s="137" t="s">
        <v>432</v>
      </c>
      <c r="AN408" s="137" t="s">
        <v>432</v>
      </c>
      <c r="AO408" s="137" t="s">
        <v>432</v>
      </c>
      <c r="AP408" s="137" t="s">
        <v>432</v>
      </c>
      <c r="AQ408" s="137" t="s">
        <v>432</v>
      </c>
      <c r="AR408" s="137" t="s">
        <v>432</v>
      </c>
      <c r="AS408" s="137" t="s">
        <v>432</v>
      </c>
      <c r="AT408" s="137" t="s">
        <v>432</v>
      </c>
      <c r="AU408" s="137" t="s">
        <v>432</v>
      </c>
      <c r="AV408" s="137" t="s">
        <v>432</v>
      </c>
      <c r="AW408" s="137" t="s">
        <v>432</v>
      </c>
      <c r="AX408" s="137" t="s">
        <v>432</v>
      </c>
      <c r="AY408" s="137" t="s">
        <v>432</v>
      </c>
      <c r="AZ408" s="137" t="s">
        <v>432</v>
      </c>
      <c r="BA408" s="137" t="s">
        <v>432</v>
      </c>
      <c r="BB408" s="239" t="str">
        <f t="shared" si="78"/>
        <v>BRTacessibilidade</v>
      </c>
      <c r="BC408" s="239" t="str">
        <f t="shared" si="79"/>
        <v>BRTacessibilidadex</v>
      </c>
      <c r="BD408" s="239" t="str">
        <f t="shared" si="80"/>
        <v>BRTx</v>
      </c>
    </row>
    <row r="409" spans="1:56" s="105" customFormat="1" ht="54.75" customHeight="1" x14ac:dyDescent="0.25">
      <c r="A409" s="275" t="str">
        <f>'Q100b-totais'!B54</f>
        <v>8.2</v>
      </c>
      <c r="B409" s="13" t="str">
        <f>'Q100b-totais'!C54</f>
        <v>BRT</v>
      </c>
      <c r="C409" s="167" t="s">
        <v>743</v>
      </c>
      <c r="D409" s="324" t="s">
        <v>5678</v>
      </c>
      <c r="E409" s="1491" t="s">
        <v>1306</v>
      </c>
      <c r="F409" s="1205" t="s">
        <v>5819</v>
      </c>
      <c r="G409" s="110" t="s">
        <v>5578</v>
      </c>
      <c r="H409" s="173" t="s">
        <v>432</v>
      </c>
      <c r="I409" s="57">
        <v>1</v>
      </c>
      <c r="J409" s="107" t="s">
        <v>432</v>
      </c>
      <c r="K409" s="107" t="s">
        <v>432</v>
      </c>
      <c r="L409" s="107" t="s">
        <v>432</v>
      </c>
      <c r="M409" s="107" t="s">
        <v>432</v>
      </c>
      <c r="N409" s="107" t="s">
        <v>432</v>
      </c>
      <c r="O409" s="107" t="s">
        <v>432</v>
      </c>
      <c r="P409" s="107" t="s">
        <v>432</v>
      </c>
      <c r="Q409" s="107" t="s">
        <v>432</v>
      </c>
      <c r="R409" s="107" t="s">
        <v>432</v>
      </c>
      <c r="S409" s="109" t="s">
        <v>2209</v>
      </c>
      <c r="T409" s="107" t="s">
        <v>432</v>
      </c>
      <c r="U409" s="107" t="s">
        <v>432</v>
      </c>
      <c r="V409" s="109" t="s">
        <v>2209</v>
      </c>
      <c r="W409" s="107" t="s">
        <v>432</v>
      </c>
      <c r="X409" s="107" t="s">
        <v>432</v>
      </c>
      <c r="Y409" s="107" t="s">
        <v>432</v>
      </c>
      <c r="Z409" s="107" t="s">
        <v>432</v>
      </c>
      <c r="AA409" s="107" t="s">
        <v>432</v>
      </c>
      <c r="AB409" s="107" t="s">
        <v>432</v>
      </c>
      <c r="AC409" s="107" t="s">
        <v>432</v>
      </c>
      <c r="AD409" s="107" t="s">
        <v>432</v>
      </c>
      <c r="AE409" s="107" t="s">
        <v>432</v>
      </c>
      <c r="AF409" s="107" t="s">
        <v>432</v>
      </c>
      <c r="AG409" s="107" t="s">
        <v>432</v>
      </c>
      <c r="AH409" s="107" t="s">
        <v>432</v>
      </c>
      <c r="AI409" s="107" t="s">
        <v>432</v>
      </c>
      <c r="AJ409" s="107" t="s">
        <v>432</v>
      </c>
      <c r="AK409" s="882" t="s">
        <v>432</v>
      </c>
      <c r="AL409" s="600" t="s">
        <v>432</v>
      </c>
      <c r="AM409" s="137" t="s">
        <v>432</v>
      </c>
      <c r="AN409" s="137" t="s">
        <v>432</v>
      </c>
      <c r="AO409" s="137" t="s">
        <v>432</v>
      </c>
      <c r="AP409" s="137" t="s">
        <v>432</v>
      </c>
      <c r="AQ409" s="137" t="s">
        <v>432</v>
      </c>
      <c r="AR409" s="137" t="s">
        <v>432</v>
      </c>
      <c r="AS409" s="137" t="s">
        <v>432</v>
      </c>
      <c r="AT409" s="137" t="s">
        <v>432</v>
      </c>
      <c r="AU409" s="137" t="s">
        <v>432</v>
      </c>
      <c r="AV409" s="137" t="s">
        <v>432</v>
      </c>
      <c r="AW409" s="137" t="s">
        <v>432</v>
      </c>
      <c r="AX409" s="137" t="s">
        <v>432</v>
      </c>
      <c r="AY409" s="137" t="s">
        <v>432</v>
      </c>
      <c r="AZ409" s="137" t="s">
        <v>432</v>
      </c>
      <c r="BA409" s="137" t="s">
        <v>432</v>
      </c>
      <c r="BB409" s="239" t="str">
        <f t="shared" si="78"/>
        <v>BRTacessibilidade</v>
      </c>
      <c r="BC409" s="239" t="str">
        <f t="shared" si="79"/>
        <v>BRTacessibilidadex</v>
      </c>
      <c r="BD409" s="239" t="str">
        <f t="shared" si="80"/>
        <v>BRTx</v>
      </c>
    </row>
    <row r="410" spans="1:56" s="105" customFormat="1" ht="54" customHeight="1" x14ac:dyDescent="0.25">
      <c r="A410" s="275" t="str">
        <f>'Q100b-totais'!B54</f>
        <v>8.2</v>
      </c>
      <c r="B410" s="13" t="str">
        <f>'Q100b-totais'!C54</f>
        <v>BRT</v>
      </c>
      <c r="C410" s="167" t="s">
        <v>743</v>
      </c>
      <c r="D410" s="324" t="s">
        <v>5681</v>
      </c>
      <c r="E410" s="1491" t="s">
        <v>1306</v>
      </c>
      <c r="F410" s="1205" t="s">
        <v>5820</v>
      </c>
      <c r="G410" s="110" t="s">
        <v>5578</v>
      </c>
      <c r="H410" s="173" t="s">
        <v>432</v>
      </c>
      <c r="I410" s="57">
        <v>1</v>
      </c>
      <c r="J410" s="107" t="s">
        <v>432</v>
      </c>
      <c r="K410" s="107" t="s">
        <v>432</v>
      </c>
      <c r="L410" s="107" t="s">
        <v>432</v>
      </c>
      <c r="M410" s="107" t="s">
        <v>432</v>
      </c>
      <c r="N410" s="107" t="s">
        <v>432</v>
      </c>
      <c r="O410" s="107" t="s">
        <v>432</v>
      </c>
      <c r="P410" s="107" t="s">
        <v>432</v>
      </c>
      <c r="Q410" s="107" t="s">
        <v>432</v>
      </c>
      <c r="R410" s="107" t="s">
        <v>432</v>
      </c>
      <c r="S410" s="109" t="s">
        <v>2209</v>
      </c>
      <c r="T410" s="107" t="s">
        <v>432</v>
      </c>
      <c r="U410" s="107" t="s">
        <v>432</v>
      </c>
      <c r="V410" s="109" t="s">
        <v>2209</v>
      </c>
      <c r="W410" s="107" t="s">
        <v>432</v>
      </c>
      <c r="X410" s="107" t="s">
        <v>432</v>
      </c>
      <c r="Y410" s="107" t="s">
        <v>432</v>
      </c>
      <c r="Z410" s="107" t="s">
        <v>432</v>
      </c>
      <c r="AA410" s="107" t="s">
        <v>432</v>
      </c>
      <c r="AB410" s="107" t="s">
        <v>432</v>
      </c>
      <c r="AC410" s="107" t="s">
        <v>432</v>
      </c>
      <c r="AD410" s="107" t="s">
        <v>432</v>
      </c>
      <c r="AE410" s="107" t="s">
        <v>432</v>
      </c>
      <c r="AF410" s="107" t="s">
        <v>432</v>
      </c>
      <c r="AG410" s="107" t="s">
        <v>432</v>
      </c>
      <c r="AH410" s="107" t="s">
        <v>432</v>
      </c>
      <c r="AI410" s="107" t="s">
        <v>432</v>
      </c>
      <c r="AJ410" s="107" t="s">
        <v>432</v>
      </c>
      <c r="AK410" s="882" t="s">
        <v>432</v>
      </c>
      <c r="AL410" s="600" t="s">
        <v>432</v>
      </c>
      <c r="AM410" s="137" t="s">
        <v>432</v>
      </c>
      <c r="AN410" s="137" t="s">
        <v>432</v>
      </c>
      <c r="AO410" s="137" t="s">
        <v>432</v>
      </c>
      <c r="AP410" s="137" t="s">
        <v>432</v>
      </c>
      <c r="AQ410" s="137" t="s">
        <v>432</v>
      </c>
      <c r="AR410" s="137" t="s">
        <v>432</v>
      </c>
      <c r="AS410" s="137" t="s">
        <v>432</v>
      </c>
      <c r="AT410" s="137" t="s">
        <v>432</v>
      </c>
      <c r="AU410" s="137" t="s">
        <v>432</v>
      </c>
      <c r="AV410" s="137" t="s">
        <v>432</v>
      </c>
      <c r="AW410" s="137" t="s">
        <v>432</v>
      </c>
      <c r="AX410" s="137" t="s">
        <v>432</v>
      </c>
      <c r="AY410" s="137" t="s">
        <v>432</v>
      </c>
      <c r="AZ410" s="137" t="s">
        <v>432</v>
      </c>
      <c r="BA410" s="137" t="s">
        <v>432</v>
      </c>
      <c r="BB410" s="239" t="str">
        <f t="shared" si="78"/>
        <v>BRTacessibilidade</v>
      </c>
      <c r="BC410" s="239" t="str">
        <f t="shared" si="79"/>
        <v>BRTacessibilidadex</v>
      </c>
      <c r="BD410" s="239" t="str">
        <f t="shared" si="80"/>
        <v>BRTx</v>
      </c>
    </row>
    <row r="411" spans="1:56" s="105" customFormat="1" ht="57.75" customHeight="1" x14ac:dyDescent="0.25">
      <c r="A411" s="275" t="str">
        <f>'Q100b-totais'!B54</f>
        <v>8.2</v>
      </c>
      <c r="B411" s="13" t="str">
        <f>'Q100b-totais'!C54</f>
        <v>BRT</v>
      </c>
      <c r="C411" s="167" t="s">
        <v>743</v>
      </c>
      <c r="D411" s="324" t="s">
        <v>5699</v>
      </c>
      <c r="E411" s="1491" t="s">
        <v>1306</v>
      </c>
      <c r="F411" s="1205" t="s">
        <v>5821</v>
      </c>
      <c r="G411" s="110" t="s">
        <v>5578</v>
      </c>
      <c r="H411" s="173" t="s">
        <v>432</v>
      </c>
      <c r="I411" s="57">
        <v>1</v>
      </c>
      <c r="J411" s="107" t="s">
        <v>432</v>
      </c>
      <c r="K411" s="107" t="s">
        <v>432</v>
      </c>
      <c r="L411" s="107" t="s">
        <v>432</v>
      </c>
      <c r="M411" s="107" t="s">
        <v>432</v>
      </c>
      <c r="N411" s="107" t="s">
        <v>432</v>
      </c>
      <c r="O411" s="107" t="s">
        <v>432</v>
      </c>
      <c r="P411" s="107" t="s">
        <v>432</v>
      </c>
      <c r="Q411" s="107" t="s">
        <v>432</v>
      </c>
      <c r="R411" s="107" t="s">
        <v>432</v>
      </c>
      <c r="S411" s="109" t="s">
        <v>2209</v>
      </c>
      <c r="T411" s="107" t="s">
        <v>432</v>
      </c>
      <c r="U411" s="107" t="s">
        <v>432</v>
      </c>
      <c r="V411" s="109" t="s">
        <v>2209</v>
      </c>
      <c r="W411" s="107" t="s">
        <v>432</v>
      </c>
      <c r="X411" s="107" t="s">
        <v>432</v>
      </c>
      <c r="Y411" s="107" t="s">
        <v>432</v>
      </c>
      <c r="Z411" s="107" t="s">
        <v>432</v>
      </c>
      <c r="AA411" s="107" t="s">
        <v>432</v>
      </c>
      <c r="AB411" s="107" t="s">
        <v>432</v>
      </c>
      <c r="AC411" s="107" t="s">
        <v>432</v>
      </c>
      <c r="AD411" s="107" t="s">
        <v>432</v>
      </c>
      <c r="AE411" s="107" t="s">
        <v>432</v>
      </c>
      <c r="AF411" s="107" t="s">
        <v>432</v>
      </c>
      <c r="AG411" s="107" t="s">
        <v>432</v>
      </c>
      <c r="AH411" s="107" t="s">
        <v>432</v>
      </c>
      <c r="AI411" s="107" t="s">
        <v>432</v>
      </c>
      <c r="AJ411" s="107" t="s">
        <v>432</v>
      </c>
      <c r="AK411" s="95">
        <v>0.71</v>
      </c>
      <c r="AL411" s="600" t="s">
        <v>432</v>
      </c>
      <c r="AM411" s="137" t="s">
        <v>432</v>
      </c>
      <c r="AN411" s="137" t="s">
        <v>432</v>
      </c>
      <c r="AO411" s="137" t="s">
        <v>432</v>
      </c>
      <c r="AP411" s="137" t="s">
        <v>432</v>
      </c>
      <c r="AQ411" s="137" t="s">
        <v>432</v>
      </c>
      <c r="AR411" s="137" t="s">
        <v>432</v>
      </c>
      <c r="AS411" s="137" t="s">
        <v>432</v>
      </c>
      <c r="AT411" s="137" t="s">
        <v>432</v>
      </c>
      <c r="AU411" s="137" t="s">
        <v>432</v>
      </c>
      <c r="AV411" s="137" t="s">
        <v>432</v>
      </c>
      <c r="AW411" s="137" t="s">
        <v>432</v>
      </c>
      <c r="AX411" s="137" t="s">
        <v>432</v>
      </c>
      <c r="AY411" s="137" t="s">
        <v>432</v>
      </c>
      <c r="AZ411" s="137" t="s">
        <v>432</v>
      </c>
      <c r="BA411" s="137" t="s">
        <v>432</v>
      </c>
      <c r="BB411" s="239" t="str">
        <f t="shared" si="78"/>
        <v>BRTacessibilidade</v>
      </c>
      <c r="BC411" s="239" t="str">
        <f t="shared" si="79"/>
        <v>BRTacessibilidadex</v>
      </c>
      <c r="BD411" s="239" t="str">
        <f t="shared" si="80"/>
        <v>BRTx</v>
      </c>
    </row>
    <row r="412" spans="1:56" s="105" customFormat="1" ht="57" customHeight="1" x14ac:dyDescent="0.25">
      <c r="A412" s="275" t="str">
        <f>'Q100b-totais'!B54</f>
        <v>8.2</v>
      </c>
      <c r="B412" s="13" t="str">
        <f>'Q100b-totais'!C54</f>
        <v>BRT</v>
      </c>
      <c r="C412" s="167" t="s">
        <v>743</v>
      </c>
      <c r="D412" s="324" t="s">
        <v>5700</v>
      </c>
      <c r="E412" s="1491" t="s">
        <v>1306</v>
      </c>
      <c r="F412" s="1205" t="s">
        <v>5822</v>
      </c>
      <c r="G412" s="110" t="s">
        <v>5578</v>
      </c>
      <c r="H412" s="173" t="s">
        <v>432</v>
      </c>
      <c r="I412" s="57">
        <v>1</v>
      </c>
      <c r="J412" s="107" t="s">
        <v>432</v>
      </c>
      <c r="K412" s="107" t="s">
        <v>432</v>
      </c>
      <c r="L412" s="107" t="s">
        <v>432</v>
      </c>
      <c r="M412" s="107" t="s">
        <v>432</v>
      </c>
      <c r="N412" s="107" t="s">
        <v>432</v>
      </c>
      <c r="O412" s="107" t="s">
        <v>432</v>
      </c>
      <c r="P412" s="107" t="s">
        <v>432</v>
      </c>
      <c r="Q412" s="107" t="s">
        <v>432</v>
      </c>
      <c r="R412" s="107" t="s">
        <v>432</v>
      </c>
      <c r="S412" s="109" t="s">
        <v>2209</v>
      </c>
      <c r="T412" s="107" t="s">
        <v>432</v>
      </c>
      <c r="U412" s="107" t="s">
        <v>432</v>
      </c>
      <c r="V412" s="109" t="s">
        <v>2209</v>
      </c>
      <c r="W412" s="107" t="s">
        <v>432</v>
      </c>
      <c r="X412" s="107" t="s">
        <v>432</v>
      </c>
      <c r="Y412" s="107" t="s">
        <v>432</v>
      </c>
      <c r="Z412" s="107" t="s">
        <v>432</v>
      </c>
      <c r="AA412" s="107" t="s">
        <v>432</v>
      </c>
      <c r="AB412" s="107" t="s">
        <v>432</v>
      </c>
      <c r="AC412" s="107" t="s">
        <v>432</v>
      </c>
      <c r="AD412" s="107" t="s">
        <v>432</v>
      </c>
      <c r="AE412" s="107" t="s">
        <v>432</v>
      </c>
      <c r="AF412" s="107" t="s">
        <v>432</v>
      </c>
      <c r="AG412" s="107" t="s">
        <v>432</v>
      </c>
      <c r="AH412" s="107" t="s">
        <v>432</v>
      </c>
      <c r="AI412" s="107" t="s">
        <v>432</v>
      </c>
      <c r="AJ412" s="107" t="s">
        <v>432</v>
      </c>
      <c r="AK412" s="95">
        <v>0.63</v>
      </c>
      <c r="AL412" s="600" t="s">
        <v>432</v>
      </c>
      <c r="AM412" s="137" t="s">
        <v>432</v>
      </c>
      <c r="AN412" s="137" t="s">
        <v>432</v>
      </c>
      <c r="AO412" s="137" t="s">
        <v>432</v>
      </c>
      <c r="AP412" s="137" t="s">
        <v>432</v>
      </c>
      <c r="AQ412" s="137" t="s">
        <v>432</v>
      </c>
      <c r="AR412" s="137" t="s">
        <v>432</v>
      </c>
      <c r="AS412" s="137" t="s">
        <v>432</v>
      </c>
      <c r="AT412" s="137" t="s">
        <v>432</v>
      </c>
      <c r="AU412" s="137" t="s">
        <v>432</v>
      </c>
      <c r="AV412" s="137" t="s">
        <v>432</v>
      </c>
      <c r="AW412" s="137" t="s">
        <v>432</v>
      </c>
      <c r="AX412" s="137" t="s">
        <v>432</v>
      </c>
      <c r="AY412" s="137" t="s">
        <v>432</v>
      </c>
      <c r="AZ412" s="137" t="s">
        <v>432</v>
      </c>
      <c r="BA412" s="137" t="s">
        <v>432</v>
      </c>
      <c r="BB412" s="239" t="str">
        <f t="shared" si="78"/>
        <v>BRTacessibilidade</v>
      </c>
      <c r="BC412" s="239" t="str">
        <f t="shared" si="79"/>
        <v>BRTacessibilidadex</v>
      </c>
      <c r="BD412" s="239" t="str">
        <f t="shared" si="80"/>
        <v>BRTx</v>
      </c>
    </row>
    <row r="413" spans="1:56" s="105" customFormat="1" ht="56.25" customHeight="1" x14ac:dyDescent="0.25">
      <c r="A413" s="275" t="str">
        <f>'Q100b-totais'!B54</f>
        <v>8.2</v>
      </c>
      <c r="B413" s="13" t="str">
        <f>'Q100b-totais'!C54</f>
        <v>BRT</v>
      </c>
      <c r="C413" s="167" t="s">
        <v>743</v>
      </c>
      <c r="D413" s="324" t="s">
        <v>5701</v>
      </c>
      <c r="E413" s="1491" t="s">
        <v>1306</v>
      </c>
      <c r="F413" s="1205" t="s">
        <v>5823</v>
      </c>
      <c r="G413" s="110" t="s">
        <v>5578</v>
      </c>
      <c r="H413" s="173" t="s">
        <v>432</v>
      </c>
      <c r="I413" s="57">
        <v>1</v>
      </c>
      <c r="J413" s="107" t="s">
        <v>432</v>
      </c>
      <c r="K413" s="107" t="s">
        <v>432</v>
      </c>
      <c r="L413" s="107" t="s">
        <v>432</v>
      </c>
      <c r="M413" s="107" t="s">
        <v>432</v>
      </c>
      <c r="N413" s="107" t="s">
        <v>432</v>
      </c>
      <c r="O413" s="107" t="s">
        <v>432</v>
      </c>
      <c r="P413" s="107" t="s">
        <v>432</v>
      </c>
      <c r="Q413" s="107" t="s">
        <v>432</v>
      </c>
      <c r="R413" s="107" t="s">
        <v>432</v>
      </c>
      <c r="S413" s="109" t="s">
        <v>2209</v>
      </c>
      <c r="T413" s="107" t="s">
        <v>432</v>
      </c>
      <c r="U413" s="107" t="s">
        <v>432</v>
      </c>
      <c r="V413" s="109" t="s">
        <v>2209</v>
      </c>
      <c r="W413" s="107" t="s">
        <v>432</v>
      </c>
      <c r="X413" s="107" t="s">
        <v>432</v>
      </c>
      <c r="Y413" s="107" t="s">
        <v>432</v>
      </c>
      <c r="Z413" s="107" t="s">
        <v>432</v>
      </c>
      <c r="AA413" s="107" t="s">
        <v>432</v>
      </c>
      <c r="AB413" s="107" t="s">
        <v>432</v>
      </c>
      <c r="AC413" s="107" t="s">
        <v>432</v>
      </c>
      <c r="AD413" s="107" t="s">
        <v>432</v>
      </c>
      <c r="AE413" s="107" t="s">
        <v>432</v>
      </c>
      <c r="AF413" s="107" t="s">
        <v>432</v>
      </c>
      <c r="AG413" s="107" t="s">
        <v>432</v>
      </c>
      <c r="AH413" s="107" t="s">
        <v>432</v>
      </c>
      <c r="AI413" s="107" t="s">
        <v>432</v>
      </c>
      <c r="AJ413" s="107" t="s">
        <v>432</v>
      </c>
      <c r="AK413" s="95">
        <v>0.86</v>
      </c>
      <c r="AL413" s="600" t="s">
        <v>432</v>
      </c>
      <c r="AM413" s="137" t="s">
        <v>432</v>
      </c>
      <c r="AN413" s="137" t="s">
        <v>432</v>
      </c>
      <c r="AO413" s="137" t="s">
        <v>432</v>
      </c>
      <c r="AP413" s="137" t="s">
        <v>432</v>
      </c>
      <c r="AQ413" s="137" t="s">
        <v>432</v>
      </c>
      <c r="AR413" s="137" t="s">
        <v>432</v>
      </c>
      <c r="AS413" s="137" t="s">
        <v>432</v>
      </c>
      <c r="AT413" s="137" t="s">
        <v>432</v>
      </c>
      <c r="AU413" s="137" t="s">
        <v>432</v>
      </c>
      <c r="AV413" s="137" t="s">
        <v>432</v>
      </c>
      <c r="AW413" s="137" t="s">
        <v>432</v>
      </c>
      <c r="AX413" s="137" t="s">
        <v>432</v>
      </c>
      <c r="AY413" s="137" t="s">
        <v>432</v>
      </c>
      <c r="AZ413" s="137" t="s">
        <v>432</v>
      </c>
      <c r="BA413" s="137" t="s">
        <v>432</v>
      </c>
      <c r="BB413" s="239" t="str">
        <f t="shared" si="78"/>
        <v>BRTacessibilidade</v>
      </c>
      <c r="BC413" s="239" t="str">
        <f t="shared" si="79"/>
        <v>BRTacessibilidadex</v>
      </c>
      <c r="BD413" s="239" t="str">
        <f t="shared" si="80"/>
        <v>BRTx</v>
      </c>
    </row>
    <row r="414" spans="1:56" s="105" customFormat="1" ht="54" customHeight="1" x14ac:dyDescent="0.25">
      <c r="A414" s="275" t="str">
        <f>'Q100b-totais'!B54</f>
        <v>8.2</v>
      </c>
      <c r="B414" s="13" t="str">
        <f>'Q100b-totais'!C54</f>
        <v>BRT</v>
      </c>
      <c r="C414" s="167" t="s">
        <v>743</v>
      </c>
      <c r="D414" s="324" t="s">
        <v>5534</v>
      </c>
      <c r="E414" s="1491" t="s">
        <v>1306</v>
      </c>
      <c r="F414" s="1205" t="s">
        <v>5824</v>
      </c>
      <c r="G414" s="110" t="s">
        <v>5578</v>
      </c>
      <c r="H414" s="173" t="s">
        <v>432</v>
      </c>
      <c r="I414" s="57">
        <v>1</v>
      </c>
      <c r="J414" s="107" t="s">
        <v>432</v>
      </c>
      <c r="K414" s="107" t="s">
        <v>432</v>
      </c>
      <c r="L414" s="107" t="s">
        <v>432</v>
      </c>
      <c r="M414" s="107" t="s">
        <v>432</v>
      </c>
      <c r="N414" s="107" t="s">
        <v>432</v>
      </c>
      <c r="O414" s="107" t="s">
        <v>432</v>
      </c>
      <c r="P414" s="107" t="s">
        <v>432</v>
      </c>
      <c r="Q414" s="107" t="s">
        <v>432</v>
      </c>
      <c r="R414" s="107" t="s">
        <v>432</v>
      </c>
      <c r="S414" s="109" t="s">
        <v>2209</v>
      </c>
      <c r="T414" s="107" t="s">
        <v>432</v>
      </c>
      <c r="U414" s="107" t="s">
        <v>432</v>
      </c>
      <c r="V414" s="109" t="s">
        <v>2209</v>
      </c>
      <c r="W414" s="107" t="s">
        <v>432</v>
      </c>
      <c r="X414" s="107" t="s">
        <v>432</v>
      </c>
      <c r="Y414" s="107" t="s">
        <v>432</v>
      </c>
      <c r="Z414" s="107" t="s">
        <v>432</v>
      </c>
      <c r="AA414" s="107" t="s">
        <v>432</v>
      </c>
      <c r="AB414" s="107" t="s">
        <v>432</v>
      </c>
      <c r="AC414" s="107" t="s">
        <v>432</v>
      </c>
      <c r="AD414" s="107" t="s">
        <v>432</v>
      </c>
      <c r="AE414" s="107" t="s">
        <v>432</v>
      </c>
      <c r="AF414" s="107" t="s">
        <v>432</v>
      </c>
      <c r="AG414" s="107" t="s">
        <v>432</v>
      </c>
      <c r="AH414" s="107" t="s">
        <v>432</v>
      </c>
      <c r="AI414" s="107" t="s">
        <v>432</v>
      </c>
      <c r="AJ414" s="107" t="s">
        <v>432</v>
      </c>
      <c r="AK414" s="95">
        <v>0.97</v>
      </c>
      <c r="AL414" s="600" t="s">
        <v>432</v>
      </c>
      <c r="AM414" s="137" t="s">
        <v>432</v>
      </c>
      <c r="AN414" s="137" t="s">
        <v>432</v>
      </c>
      <c r="AO414" s="137" t="s">
        <v>432</v>
      </c>
      <c r="AP414" s="137" t="s">
        <v>432</v>
      </c>
      <c r="AQ414" s="137" t="s">
        <v>432</v>
      </c>
      <c r="AR414" s="137" t="s">
        <v>432</v>
      </c>
      <c r="AS414" s="137" t="s">
        <v>432</v>
      </c>
      <c r="AT414" s="137" t="s">
        <v>432</v>
      </c>
      <c r="AU414" s="137" t="s">
        <v>432</v>
      </c>
      <c r="AV414" s="137" t="s">
        <v>432</v>
      </c>
      <c r="AW414" s="137" t="s">
        <v>432</v>
      </c>
      <c r="AX414" s="137" t="s">
        <v>432</v>
      </c>
      <c r="AY414" s="137" t="s">
        <v>432</v>
      </c>
      <c r="AZ414" s="137" t="s">
        <v>432</v>
      </c>
      <c r="BA414" s="137" t="s">
        <v>432</v>
      </c>
      <c r="BB414" s="239" t="str">
        <f t="shared" si="78"/>
        <v>BRTacessibilidade</v>
      </c>
      <c r="BC414" s="239" t="str">
        <f t="shared" si="79"/>
        <v>BRTacessibilidadex</v>
      </c>
      <c r="BD414" s="239" t="str">
        <f t="shared" si="80"/>
        <v>BRTx</v>
      </c>
    </row>
    <row r="415" spans="1:56" s="105" customFormat="1" ht="54.75" customHeight="1" x14ac:dyDescent="0.25">
      <c r="A415" s="275" t="str">
        <f>'Q100b-totais'!B54</f>
        <v>8.2</v>
      </c>
      <c r="B415" s="13" t="str">
        <f>'Q100b-totais'!C54</f>
        <v>BRT</v>
      </c>
      <c r="C415" s="167" t="s">
        <v>743</v>
      </c>
      <c r="D415" s="324" t="s">
        <v>5556</v>
      </c>
      <c r="E415" s="1491" t="s">
        <v>1306</v>
      </c>
      <c r="F415" s="1205" t="s">
        <v>5825</v>
      </c>
      <c r="G415" s="110" t="s">
        <v>5578</v>
      </c>
      <c r="H415" s="173" t="s">
        <v>432</v>
      </c>
      <c r="I415" s="57">
        <v>1</v>
      </c>
      <c r="J415" s="107" t="s">
        <v>432</v>
      </c>
      <c r="K415" s="107" t="s">
        <v>432</v>
      </c>
      <c r="L415" s="107" t="s">
        <v>432</v>
      </c>
      <c r="M415" s="107" t="s">
        <v>432</v>
      </c>
      <c r="N415" s="107" t="s">
        <v>432</v>
      </c>
      <c r="O415" s="107" t="s">
        <v>432</v>
      </c>
      <c r="P415" s="107" t="s">
        <v>432</v>
      </c>
      <c r="Q415" s="107" t="s">
        <v>432</v>
      </c>
      <c r="R415" s="107" t="s">
        <v>432</v>
      </c>
      <c r="S415" s="109" t="s">
        <v>2209</v>
      </c>
      <c r="T415" s="107" t="s">
        <v>432</v>
      </c>
      <c r="U415" s="107" t="s">
        <v>432</v>
      </c>
      <c r="V415" s="109" t="s">
        <v>2209</v>
      </c>
      <c r="W415" s="107" t="s">
        <v>432</v>
      </c>
      <c r="X415" s="107" t="s">
        <v>432</v>
      </c>
      <c r="Y415" s="107" t="s">
        <v>432</v>
      </c>
      <c r="Z415" s="107" t="s">
        <v>432</v>
      </c>
      <c r="AA415" s="107" t="s">
        <v>432</v>
      </c>
      <c r="AB415" s="107" t="s">
        <v>432</v>
      </c>
      <c r="AC415" s="107" t="s">
        <v>432</v>
      </c>
      <c r="AD415" s="107" t="s">
        <v>432</v>
      </c>
      <c r="AE415" s="107" t="s">
        <v>432</v>
      </c>
      <c r="AF415" s="107" t="s">
        <v>432</v>
      </c>
      <c r="AG415" s="107" t="s">
        <v>432</v>
      </c>
      <c r="AH415" s="107" t="s">
        <v>432</v>
      </c>
      <c r="AI415" s="107" t="s">
        <v>432</v>
      </c>
      <c r="AJ415" s="107" t="s">
        <v>432</v>
      </c>
      <c r="AK415" s="95">
        <v>0.36</v>
      </c>
      <c r="AL415" s="600" t="s">
        <v>432</v>
      </c>
      <c r="AM415" s="137" t="s">
        <v>432</v>
      </c>
      <c r="AN415" s="137" t="s">
        <v>432</v>
      </c>
      <c r="AO415" s="137" t="s">
        <v>432</v>
      </c>
      <c r="AP415" s="137" t="s">
        <v>432</v>
      </c>
      <c r="AQ415" s="137" t="s">
        <v>432</v>
      </c>
      <c r="AR415" s="137" t="s">
        <v>432</v>
      </c>
      <c r="AS415" s="137" t="s">
        <v>432</v>
      </c>
      <c r="AT415" s="137" t="s">
        <v>432</v>
      </c>
      <c r="AU415" s="137" t="s">
        <v>432</v>
      </c>
      <c r="AV415" s="137" t="s">
        <v>432</v>
      </c>
      <c r="AW415" s="137" t="s">
        <v>432</v>
      </c>
      <c r="AX415" s="137" t="s">
        <v>432</v>
      </c>
      <c r="AY415" s="137" t="s">
        <v>432</v>
      </c>
      <c r="AZ415" s="137" t="s">
        <v>432</v>
      </c>
      <c r="BA415" s="137" t="s">
        <v>432</v>
      </c>
      <c r="BB415" s="239" t="str">
        <f t="shared" si="78"/>
        <v>BRTacessibilidade</v>
      </c>
      <c r="BC415" s="239" t="str">
        <f t="shared" si="79"/>
        <v>BRTacessibilidadex</v>
      </c>
      <c r="BD415" s="239" t="str">
        <f t="shared" si="80"/>
        <v>BRTx</v>
      </c>
    </row>
    <row r="416" spans="1:56" s="105" customFormat="1" ht="38.25" x14ac:dyDescent="0.25">
      <c r="A416" s="275" t="str">
        <f>'Q100b-totais'!B54</f>
        <v>8.2</v>
      </c>
      <c r="B416" s="13" t="str">
        <f>'Q100b-totais'!C54</f>
        <v>BRT</v>
      </c>
      <c r="C416" s="167" t="s">
        <v>743</v>
      </c>
      <c r="D416" s="324" t="s">
        <v>5538</v>
      </c>
      <c r="E416" s="1491" t="s">
        <v>1306</v>
      </c>
      <c r="F416" s="1205" t="s">
        <v>5826</v>
      </c>
      <c r="G416" s="110" t="s">
        <v>5578</v>
      </c>
      <c r="H416" s="173" t="s">
        <v>432</v>
      </c>
      <c r="I416" s="57">
        <v>1</v>
      </c>
      <c r="J416" s="107" t="s">
        <v>432</v>
      </c>
      <c r="K416" s="107" t="s">
        <v>432</v>
      </c>
      <c r="L416" s="107" t="s">
        <v>432</v>
      </c>
      <c r="M416" s="107" t="s">
        <v>432</v>
      </c>
      <c r="N416" s="107" t="s">
        <v>432</v>
      </c>
      <c r="O416" s="107" t="s">
        <v>432</v>
      </c>
      <c r="P416" s="107" t="s">
        <v>432</v>
      </c>
      <c r="Q416" s="107" t="s">
        <v>432</v>
      </c>
      <c r="R416" s="107" t="s">
        <v>432</v>
      </c>
      <c r="S416" s="109" t="s">
        <v>2209</v>
      </c>
      <c r="T416" s="107" t="s">
        <v>432</v>
      </c>
      <c r="U416" s="107" t="s">
        <v>432</v>
      </c>
      <c r="V416" s="109" t="s">
        <v>2209</v>
      </c>
      <c r="W416" s="107" t="s">
        <v>432</v>
      </c>
      <c r="X416" s="107" t="s">
        <v>432</v>
      </c>
      <c r="Y416" s="107" t="s">
        <v>432</v>
      </c>
      <c r="Z416" s="107" t="s">
        <v>432</v>
      </c>
      <c r="AA416" s="107" t="s">
        <v>432</v>
      </c>
      <c r="AB416" s="107" t="s">
        <v>432</v>
      </c>
      <c r="AC416" s="107" t="s">
        <v>432</v>
      </c>
      <c r="AD416" s="107" t="s">
        <v>432</v>
      </c>
      <c r="AE416" s="107" t="s">
        <v>432</v>
      </c>
      <c r="AF416" s="107" t="s">
        <v>432</v>
      </c>
      <c r="AG416" s="107" t="s">
        <v>432</v>
      </c>
      <c r="AH416" s="107" t="s">
        <v>432</v>
      </c>
      <c r="AI416" s="107" t="s">
        <v>432</v>
      </c>
      <c r="AJ416" s="107" t="s">
        <v>432</v>
      </c>
      <c r="AK416" s="95">
        <v>0.73</v>
      </c>
      <c r="AL416" s="600" t="s">
        <v>432</v>
      </c>
      <c r="AM416" s="137" t="s">
        <v>432</v>
      </c>
      <c r="AN416" s="137" t="s">
        <v>432</v>
      </c>
      <c r="AO416" s="137" t="s">
        <v>432</v>
      </c>
      <c r="AP416" s="137" t="s">
        <v>432</v>
      </c>
      <c r="AQ416" s="137" t="s">
        <v>432</v>
      </c>
      <c r="AR416" s="137" t="s">
        <v>432</v>
      </c>
      <c r="AS416" s="137" t="s">
        <v>432</v>
      </c>
      <c r="AT416" s="137" t="s">
        <v>432</v>
      </c>
      <c r="AU416" s="137" t="s">
        <v>432</v>
      </c>
      <c r="AV416" s="137" t="s">
        <v>432</v>
      </c>
      <c r="AW416" s="137" t="s">
        <v>432</v>
      </c>
      <c r="AX416" s="137" t="s">
        <v>432</v>
      </c>
      <c r="AY416" s="137" t="s">
        <v>432</v>
      </c>
      <c r="AZ416" s="137" t="s">
        <v>432</v>
      </c>
      <c r="BA416" s="137" t="s">
        <v>432</v>
      </c>
      <c r="BB416" s="239" t="str">
        <f t="shared" si="78"/>
        <v>BRTacessibilidade</v>
      </c>
      <c r="BC416" s="239" t="str">
        <f t="shared" si="79"/>
        <v>BRTacessibilidadex</v>
      </c>
      <c r="BD416" s="239" t="str">
        <f t="shared" si="80"/>
        <v>BRTx</v>
      </c>
    </row>
    <row r="417" spans="1:56" s="3" customFormat="1" x14ac:dyDescent="0.25">
      <c r="A417" s="402"/>
      <c r="B417" s="399"/>
      <c r="C417" s="399"/>
      <c r="D417" s="970"/>
      <c r="E417" s="1495"/>
      <c r="F417" s="399"/>
      <c r="G417" s="399"/>
      <c r="H417" s="399"/>
      <c r="I417" s="399"/>
      <c r="J417" s="399"/>
      <c r="K417" s="399"/>
      <c r="L417" s="399"/>
      <c r="M417" s="399"/>
      <c r="N417" s="399"/>
      <c r="O417" s="399"/>
      <c r="P417" s="399"/>
      <c r="Q417" s="399"/>
      <c r="R417" s="399"/>
      <c r="S417" s="399"/>
      <c r="T417" s="399"/>
      <c r="U417" s="399"/>
      <c r="V417" s="399"/>
      <c r="W417" s="399"/>
      <c r="X417" s="399"/>
      <c r="Y417" s="221"/>
      <c r="Z417" s="221"/>
      <c r="AA417" s="221"/>
      <c r="AB417" s="221"/>
      <c r="AC417" s="221"/>
      <c r="AD417" s="221"/>
      <c r="AE417" s="221"/>
      <c r="AF417" s="221"/>
      <c r="AG417" s="221"/>
      <c r="AH417" s="221"/>
      <c r="AI417" s="221"/>
      <c r="AJ417" s="221"/>
      <c r="AK417" s="223"/>
      <c r="AL417" s="223"/>
      <c r="AM417" s="223"/>
      <c r="AN417" s="223"/>
      <c r="AO417" s="223"/>
      <c r="AP417" s="223"/>
      <c r="AQ417" s="223"/>
      <c r="AR417" s="223"/>
      <c r="AS417" s="223"/>
      <c r="AT417" s="223"/>
      <c r="AU417" s="223"/>
      <c r="AV417" s="223"/>
      <c r="AW417" s="223"/>
      <c r="AX417" s="223"/>
      <c r="AY417" s="223"/>
      <c r="AZ417" s="223"/>
      <c r="BA417" s="223"/>
      <c r="BB417" s="400"/>
      <c r="BC417" s="400"/>
      <c r="BD417" s="400"/>
    </row>
    <row r="418" spans="1:56" s="105" customFormat="1" ht="38.25" x14ac:dyDescent="0.25">
      <c r="A418" s="275" t="str">
        <f>'Q100b-totais'!B54</f>
        <v>8.2</v>
      </c>
      <c r="B418" s="13" t="str">
        <f>'Q100b-totais'!C54</f>
        <v>BRT</v>
      </c>
      <c r="C418" s="167" t="s">
        <v>743</v>
      </c>
      <c r="D418" s="362" t="s">
        <v>5528</v>
      </c>
      <c r="E418" s="1494" t="s">
        <v>1306</v>
      </c>
      <c r="F418" s="1478" t="s">
        <v>5827</v>
      </c>
      <c r="G418" s="110" t="s">
        <v>5578</v>
      </c>
      <c r="H418" s="173" t="s">
        <v>432</v>
      </c>
      <c r="I418" s="57">
        <v>1</v>
      </c>
      <c r="J418" s="107" t="s">
        <v>432</v>
      </c>
      <c r="K418" s="107" t="s">
        <v>432</v>
      </c>
      <c r="L418" s="107" t="s">
        <v>432</v>
      </c>
      <c r="M418" s="107" t="s">
        <v>432</v>
      </c>
      <c r="N418" s="107" t="s">
        <v>432</v>
      </c>
      <c r="O418" s="107" t="s">
        <v>432</v>
      </c>
      <c r="P418" s="107" t="s">
        <v>432</v>
      </c>
      <c r="Q418" s="107" t="s">
        <v>432</v>
      </c>
      <c r="R418" s="107" t="s">
        <v>432</v>
      </c>
      <c r="S418" s="109" t="s">
        <v>2209</v>
      </c>
      <c r="T418" s="107" t="s">
        <v>432</v>
      </c>
      <c r="U418" s="107" t="s">
        <v>432</v>
      </c>
      <c r="V418" s="109" t="s">
        <v>2209</v>
      </c>
      <c r="W418" s="107" t="s">
        <v>432</v>
      </c>
      <c r="X418" s="107" t="s">
        <v>432</v>
      </c>
      <c r="Y418" s="107" t="s">
        <v>432</v>
      </c>
      <c r="Z418" s="107" t="s">
        <v>432</v>
      </c>
      <c r="AA418" s="107" t="s">
        <v>432</v>
      </c>
      <c r="AB418" s="107" t="s">
        <v>432</v>
      </c>
      <c r="AC418" s="107" t="s">
        <v>432</v>
      </c>
      <c r="AD418" s="107" t="s">
        <v>432</v>
      </c>
      <c r="AE418" s="107" t="s">
        <v>432</v>
      </c>
      <c r="AF418" s="107" t="s">
        <v>432</v>
      </c>
      <c r="AG418" s="107" t="s">
        <v>432</v>
      </c>
      <c r="AH418" s="107" t="s">
        <v>432</v>
      </c>
      <c r="AI418" s="107" t="s">
        <v>432</v>
      </c>
      <c r="AJ418" s="107" t="s">
        <v>432</v>
      </c>
      <c r="AK418" s="95">
        <v>0.62</v>
      </c>
      <c r="AL418" s="600" t="s">
        <v>432</v>
      </c>
      <c r="AM418" s="137" t="s">
        <v>432</v>
      </c>
      <c r="AN418" s="137" t="s">
        <v>432</v>
      </c>
      <c r="AO418" s="137" t="s">
        <v>432</v>
      </c>
      <c r="AP418" s="137" t="s">
        <v>432</v>
      </c>
      <c r="AQ418" s="137" t="s">
        <v>432</v>
      </c>
      <c r="AR418" s="137" t="s">
        <v>432</v>
      </c>
      <c r="AS418" s="137" t="s">
        <v>432</v>
      </c>
      <c r="AT418" s="137" t="s">
        <v>432</v>
      </c>
      <c r="AU418" s="137" t="s">
        <v>432</v>
      </c>
      <c r="AV418" s="137" t="s">
        <v>432</v>
      </c>
      <c r="AW418" s="137" t="s">
        <v>432</v>
      </c>
      <c r="AX418" s="137" t="s">
        <v>432</v>
      </c>
      <c r="AY418" s="137" t="s">
        <v>432</v>
      </c>
      <c r="AZ418" s="137" t="s">
        <v>432</v>
      </c>
      <c r="BA418" s="137" t="s">
        <v>432</v>
      </c>
      <c r="BB418" s="239" t="str">
        <f t="shared" ref="BB418:BB438" si="81">B418&amp;C418</f>
        <v>BRTacessibilidade</v>
      </c>
      <c r="BC418" s="239" t="str">
        <f t="shared" ref="BC418:BC438" si="82">B418&amp;C418&amp;H418</f>
        <v>BRTacessibilidadex</v>
      </c>
      <c r="BD418" s="239" t="str">
        <f t="shared" ref="BD418:BD438" si="83">B418&amp;H418</f>
        <v>BRTx</v>
      </c>
    </row>
    <row r="419" spans="1:56" s="105" customFormat="1" ht="38.25" x14ac:dyDescent="0.25">
      <c r="A419" s="275" t="str">
        <f>'Q100b-totais'!B54</f>
        <v>8.2</v>
      </c>
      <c r="B419" s="13" t="str">
        <f>'Q100b-totais'!C54</f>
        <v>BRT</v>
      </c>
      <c r="C419" s="167" t="s">
        <v>743</v>
      </c>
      <c r="D419" s="324" t="s">
        <v>5624</v>
      </c>
      <c r="E419" s="1491" t="s">
        <v>1306</v>
      </c>
      <c r="F419" s="1205" t="s">
        <v>5828</v>
      </c>
      <c r="G419" s="110" t="s">
        <v>5578</v>
      </c>
      <c r="H419" s="173" t="s">
        <v>432</v>
      </c>
      <c r="I419" s="57">
        <v>1</v>
      </c>
      <c r="J419" s="107" t="s">
        <v>432</v>
      </c>
      <c r="K419" s="107" t="s">
        <v>432</v>
      </c>
      <c r="L419" s="107" t="s">
        <v>432</v>
      </c>
      <c r="M419" s="107" t="s">
        <v>432</v>
      </c>
      <c r="N419" s="107" t="s">
        <v>432</v>
      </c>
      <c r="O419" s="107" t="s">
        <v>432</v>
      </c>
      <c r="P419" s="107" t="s">
        <v>432</v>
      </c>
      <c r="Q419" s="107" t="s">
        <v>432</v>
      </c>
      <c r="R419" s="107" t="s">
        <v>432</v>
      </c>
      <c r="S419" s="109" t="s">
        <v>2209</v>
      </c>
      <c r="T419" s="107" t="s">
        <v>432</v>
      </c>
      <c r="U419" s="107" t="s">
        <v>432</v>
      </c>
      <c r="V419" s="109" t="s">
        <v>2209</v>
      </c>
      <c r="W419" s="107" t="s">
        <v>432</v>
      </c>
      <c r="X419" s="107" t="s">
        <v>432</v>
      </c>
      <c r="Y419" s="107" t="s">
        <v>432</v>
      </c>
      <c r="Z419" s="107" t="s">
        <v>432</v>
      </c>
      <c r="AA419" s="107" t="s">
        <v>432</v>
      </c>
      <c r="AB419" s="107" t="s">
        <v>432</v>
      </c>
      <c r="AC419" s="107" t="s">
        <v>432</v>
      </c>
      <c r="AD419" s="107" t="s">
        <v>432</v>
      </c>
      <c r="AE419" s="107" t="s">
        <v>432</v>
      </c>
      <c r="AF419" s="107" t="s">
        <v>432</v>
      </c>
      <c r="AG419" s="107" t="s">
        <v>432</v>
      </c>
      <c r="AH419" s="107" t="s">
        <v>432</v>
      </c>
      <c r="AI419" s="107" t="s">
        <v>432</v>
      </c>
      <c r="AJ419" s="107" t="s">
        <v>432</v>
      </c>
      <c r="AK419" s="95">
        <v>0.36</v>
      </c>
      <c r="AL419" s="600" t="s">
        <v>432</v>
      </c>
      <c r="AM419" s="137" t="s">
        <v>432</v>
      </c>
      <c r="AN419" s="137" t="s">
        <v>432</v>
      </c>
      <c r="AO419" s="137" t="s">
        <v>432</v>
      </c>
      <c r="AP419" s="137" t="s">
        <v>432</v>
      </c>
      <c r="AQ419" s="137" t="s">
        <v>432</v>
      </c>
      <c r="AR419" s="137" t="s">
        <v>432</v>
      </c>
      <c r="AS419" s="137" t="s">
        <v>432</v>
      </c>
      <c r="AT419" s="137" t="s">
        <v>432</v>
      </c>
      <c r="AU419" s="137" t="s">
        <v>432</v>
      </c>
      <c r="AV419" s="137" t="s">
        <v>432</v>
      </c>
      <c r="AW419" s="137" t="s">
        <v>432</v>
      </c>
      <c r="AX419" s="137" t="s">
        <v>432</v>
      </c>
      <c r="AY419" s="137" t="s">
        <v>432</v>
      </c>
      <c r="AZ419" s="137" t="s">
        <v>432</v>
      </c>
      <c r="BA419" s="137" t="s">
        <v>432</v>
      </c>
      <c r="BB419" s="239" t="str">
        <f t="shared" si="81"/>
        <v>BRTacessibilidade</v>
      </c>
      <c r="BC419" s="239" t="str">
        <f t="shared" si="82"/>
        <v>BRTacessibilidadex</v>
      </c>
      <c r="BD419" s="239" t="str">
        <f t="shared" si="83"/>
        <v>BRTx</v>
      </c>
    </row>
    <row r="420" spans="1:56" s="105" customFormat="1" ht="51" x14ac:dyDescent="0.25">
      <c r="A420" s="275" t="str">
        <f>'Q100b-totais'!B54</f>
        <v>8.2</v>
      </c>
      <c r="B420" s="13" t="str">
        <f>'Q100b-totais'!C54</f>
        <v>BRT</v>
      </c>
      <c r="C420" s="167" t="s">
        <v>743</v>
      </c>
      <c r="D420" s="324" t="s">
        <v>5531</v>
      </c>
      <c r="E420" s="1491" t="s">
        <v>1306</v>
      </c>
      <c r="F420" s="1205" t="s">
        <v>5620</v>
      </c>
      <c r="G420" s="110" t="s">
        <v>5578</v>
      </c>
      <c r="H420" s="173" t="s">
        <v>432</v>
      </c>
      <c r="I420" s="57">
        <v>1</v>
      </c>
      <c r="J420" s="107" t="s">
        <v>432</v>
      </c>
      <c r="K420" s="107" t="s">
        <v>432</v>
      </c>
      <c r="L420" s="107" t="s">
        <v>432</v>
      </c>
      <c r="M420" s="107" t="s">
        <v>432</v>
      </c>
      <c r="N420" s="107" t="s">
        <v>432</v>
      </c>
      <c r="O420" s="107" t="s">
        <v>432</v>
      </c>
      <c r="P420" s="107" t="s">
        <v>432</v>
      </c>
      <c r="Q420" s="107" t="s">
        <v>432</v>
      </c>
      <c r="R420" s="107" t="s">
        <v>432</v>
      </c>
      <c r="S420" s="109" t="s">
        <v>2209</v>
      </c>
      <c r="T420" s="107" t="s">
        <v>432</v>
      </c>
      <c r="U420" s="107" t="s">
        <v>432</v>
      </c>
      <c r="V420" s="109" t="s">
        <v>2209</v>
      </c>
      <c r="W420" s="107" t="s">
        <v>432</v>
      </c>
      <c r="X420" s="107" t="s">
        <v>432</v>
      </c>
      <c r="Y420" s="107" t="s">
        <v>432</v>
      </c>
      <c r="Z420" s="107" t="s">
        <v>432</v>
      </c>
      <c r="AA420" s="107" t="s">
        <v>432</v>
      </c>
      <c r="AB420" s="107" t="s">
        <v>432</v>
      </c>
      <c r="AC420" s="107" t="s">
        <v>432</v>
      </c>
      <c r="AD420" s="107" t="s">
        <v>432</v>
      </c>
      <c r="AE420" s="107" t="s">
        <v>432</v>
      </c>
      <c r="AF420" s="107" t="s">
        <v>432</v>
      </c>
      <c r="AG420" s="107" t="s">
        <v>432</v>
      </c>
      <c r="AH420" s="107" t="s">
        <v>432</v>
      </c>
      <c r="AI420" s="107" t="s">
        <v>432</v>
      </c>
      <c r="AJ420" s="107" t="s">
        <v>432</v>
      </c>
      <c r="AK420" s="95">
        <v>0.57999999999999996</v>
      </c>
      <c r="AL420" s="600" t="s">
        <v>432</v>
      </c>
      <c r="AM420" s="137" t="s">
        <v>432</v>
      </c>
      <c r="AN420" s="137" t="s">
        <v>432</v>
      </c>
      <c r="AO420" s="137" t="s">
        <v>432</v>
      </c>
      <c r="AP420" s="137" t="s">
        <v>432</v>
      </c>
      <c r="AQ420" s="137" t="s">
        <v>432</v>
      </c>
      <c r="AR420" s="137" t="s">
        <v>432</v>
      </c>
      <c r="AS420" s="137" t="s">
        <v>432</v>
      </c>
      <c r="AT420" s="137" t="s">
        <v>432</v>
      </c>
      <c r="AU420" s="137" t="s">
        <v>432</v>
      </c>
      <c r="AV420" s="137" t="s">
        <v>432</v>
      </c>
      <c r="AW420" s="137" t="s">
        <v>432</v>
      </c>
      <c r="AX420" s="137" t="s">
        <v>432</v>
      </c>
      <c r="AY420" s="137" t="s">
        <v>432</v>
      </c>
      <c r="AZ420" s="137" t="s">
        <v>432</v>
      </c>
      <c r="BA420" s="137" t="s">
        <v>432</v>
      </c>
      <c r="BB420" s="239" t="str">
        <f t="shared" si="81"/>
        <v>BRTacessibilidade</v>
      </c>
      <c r="BC420" s="239" t="str">
        <f t="shared" si="82"/>
        <v>BRTacessibilidadex</v>
      </c>
      <c r="BD420" s="239" t="str">
        <f t="shared" si="83"/>
        <v>BRTx</v>
      </c>
    </row>
    <row r="421" spans="1:56" s="105" customFormat="1" ht="38.25" x14ac:dyDescent="0.25">
      <c r="A421" s="275" t="str">
        <f>'Q100b-totais'!B54</f>
        <v>8.2</v>
      </c>
      <c r="B421" s="13" t="str">
        <f>'Q100b-totais'!C54</f>
        <v>BRT</v>
      </c>
      <c r="C421" s="167" t="s">
        <v>743</v>
      </c>
      <c r="D421" s="324" t="s">
        <v>5549</v>
      </c>
      <c r="E421" s="1491" t="s">
        <v>1306</v>
      </c>
      <c r="F421" s="1205" t="s">
        <v>5829</v>
      </c>
      <c r="G421" s="110" t="s">
        <v>5578</v>
      </c>
      <c r="H421" s="173" t="s">
        <v>432</v>
      </c>
      <c r="I421" s="57">
        <v>1</v>
      </c>
      <c r="J421" s="107" t="s">
        <v>432</v>
      </c>
      <c r="K421" s="107" t="s">
        <v>432</v>
      </c>
      <c r="L421" s="107" t="s">
        <v>432</v>
      </c>
      <c r="M421" s="107" t="s">
        <v>432</v>
      </c>
      <c r="N421" s="107" t="s">
        <v>432</v>
      </c>
      <c r="O421" s="107" t="s">
        <v>432</v>
      </c>
      <c r="P421" s="107" t="s">
        <v>432</v>
      </c>
      <c r="Q421" s="107" t="s">
        <v>432</v>
      </c>
      <c r="R421" s="107" t="s">
        <v>432</v>
      </c>
      <c r="S421" s="109" t="s">
        <v>2209</v>
      </c>
      <c r="T421" s="107" t="s">
        <v>432</v>
      </c>
      <c r="U421" s="107" t="s">
        <v>432</v>
      </c>
      <c r="V421" s="109" t="s">
        <v>2209</v>
      </c>
      <c r="W421" s="107" t="s">
        <v>432</v>
      </c>
      <c r="X421" s="107" t="s">
        <v>432</v>
      </c>
      <c r="Y421" s="107" t="s">
        <v>432</v>
      </c>
      <c r="Z421" s="107" t="s">
        <v>432</v>
      </c>
      <c r="AA421" s="107" t="s">
        <v>432</v>
      </c>
      <c r="AB421" s="107" t="s">
        <v>432</v>
      </c>
      <c r="AC421" s="107" t="s">
        <v>432</v>
      </c>
      <c r="AD421" s="107" t="s">
        <v>432</v>
      </c>
      <c r="AE421" s="107" t="s">
        <v>432</v>
      </c>
      <c r="AF421" s="107" t="s">
        <v>432</v>
      </c>
      <c r="AG421" s="107" t="s">
        <v>432</v>
      </c>
      <c r="AH421" s="107" t="s">
        <v>432</v>
      </c>
      <c r="AI421" s="107" t="s">
        <v>432</v>
      </c>
      <c r="AJ421" s="107" t="s">
        <v>432</v>
      </c>
      <c r="AK421" s="95">
        <v>0.91</v>
      </c>
      <c r="AL421" s="600" t="s">
        <v>432</v>
      </c>
      <c r="AM421" s="137" t="s">
        <v>432</v>
      </c>
      <c r="AN421" s="137" t="s">
        <v>432</v>
      </c>
      <c r="AO421" s="137" t="s">
        <v>432</v>
      </c>
      <c r="AP421" s="137" t="s">
        <v>432</v>
      </c>
      <c r="AQ421" s="137" t="s">
        <v>432</v>
      </c>
      <c r="AR421" s="137" t="s">
        <v>432</v>
      </c>
      <c r="AS421" s="137" t="s">
        <v>432</v>
      </c>
      <c r="AT421" s="137" t="s">
        <v>432</v>
      </c>
      <c r="AU421" s="137" t="s">
        <v>432</v>
      </c>
      <c r="AV421" s="137" t="s">
        <v>432</v>
      </c>
      <c r="AW421" s="137" t="s">
        <v>432</v>
      </c>
      <c r="AX421" s="137" t="s">
        <v>432</v>
      </c>
      <c r="AY421" s="137" t="s">
        <v>432</v>
      </c>
      <c r="AZ421" s="137" t="s">
        <v>432</v>
      </c>
      <c r="BA421" s="137" t="s">
        <v>432</v>
      </c>
      <c r="BB421" s="239" t="str">
        <f t="shared" si="81"/>
        <v>BRTacessibilidade</v>
      </c>
      <c r="BC421" s="239" t="str">
        <f t="shared" si="82"/>
        <v>BRTacessibilidadex</v>
      </c>
      <c r="BD421" s="239" t="str">
        <f t="shared" si="83"/>
        <v>BRTx</v>
      </c>
    </row>
    <row r="422" spans="1:56" s="105" customFormat="1" ht="38.25" x14ac:dyDescent="0.25">
      <c r="A422" s="275" t="str">
        <f>'Q100b-totais'!B54</f>
        <v>8.2</v>
      </c>
      <c r="B422" s="13" t="str">
        <f>'Q100b-totais'!C54</f>
        <v>BRT</v>
      </c>
      <c r="C422" s="167" t="s">
        <v>743</v>
      </c>
      <c r="D422" s="324" t="s">
        <v>5553</v>
      </c>
      <c r="E422" s="1491" t="s">
        <v>1306</v>
      </c>
      <c r="F422" s="1205" t="s">
        <v>5830</v>
      </c>
      <c r="G422" s="110" t="s">
        <v>5578</v>
      </c>
      <c r="H422" s="173" t="s">
        <v>432</v>
      </c>
      <c r="I422" s="57">
        <v>1</v>
      </c>
      <c r="J422" s="107" t="s">
        <v>432</v>
      </c>
      <c r="K422" s="107" t="s">
        <v>432</v>
      </c>
      <c r="L422" s="107" t="s">
        <v>432</v>
      </c>
      <c r="M422" s="107" t="s">
        <v>432</v>
      </c>
      <c r="N422" s="107" t="s">
        <v>432</v>
      </c>
      <c r="O422" s="107" t="s">
        <v>432</v>
      </c>
      <c r="P422" s="107" t="s">
        <v>432</v>
      </c>
      <c r="Q422" s="107" t="s">
        <v>432</v>
      </c>
      <c r="R422" s="107" t="s">
        <v>432</v>
      </c>
      <c r="S422" s="109" t="s">
        <v>2209</v>
      </c>
      <c r="T422" s="107" t="s">
        <v>432</v>
      </c>
      <c r="U422" s="107" t="s">
        <v>432</v>
      </c>
      <c r="V422" s="109" t="s">
        <v>2209</v>
      </c>
      <c r="W422" s="107" t="s">
        <v>432</v>
      </c>
      <c r="X422" s="107" t="s">
        <v>432</v>
      </c>
      <c r="Y422" s="107" t="s">
        <v>432</v>
      </c>
      <c r="Z422" s="107" t="s">
        <v>432</v>
      </c>
      <c r="AA422" s="107" t="s">
        <v>432</v>
      </c>
      <c r="AB422" s="107" t="s">
        <v>432</v>
      </c>
      <c r="AC422" s="107" t="s">
        <v>432</v>
      </c>
      <c r="AD422" s="107" t="s">
        <v>432</v>
      </c>
      <c r="AE422" s="107" t="s">
        <v>432</v>
      </c>
      <c r="AF422" s="107" t="s">
        <v>432</v>
      </c>
      <c r="AG422" s="107" t="s">
        <v>432</v>
      </c>
      <c r="AH422" s="107" t="s">
        <v>432</v>
      </c>
      <c r="AI422" s="107" t="s">
        <v>432</v>
      </c>
      <c r="AJ422" s="107" t="s">
        <v>432</v>
      </c>
      <c r="AK422" s="95">
        <v>0</v>
      </c>
      <c r="AL422" s="600" t="s">
        <v>432</v>
      </c>
      <c r="AM422" s="137" t="s">
        <v>432</v>
      </c>
      <c r="AN422" s="137" t="s">
        <v>432</v>
      </c>
      <c r="AO422" s="137" t="s">
        <v>432</v>
      </c>
      <c r="AP422" s="137" t="s">
        <v>432</v>
      </c>
      <c r="AQ422" s="137" t="s">
        <v>432</v>
      </c>
      <c r="AR422" s="137" t="s">
        <v>432</v>
      </c>
      <c r="AS422" s="137" t="s">
        <v>432</v>
      </c>
      <c r="AT422" s="137" t="s">
        <v>432</v>
      </c>
      <c r="AU422" s="137" t="s">
        <v>432</v>
      </c>
      <c r="AV422" s="137" t="s">
        <v>432</v>
      </c>
      <c r="AW422" s="137" t="s">
        <v>432</v>
      </c>
      <c r="AX422" s="137" t="s">
        <v>432</v>
      </c>
      <c r="AY422" s="137" t="s">
        <v>432</v>
      </c>
      <c r="AZ422" s="137" t="s">
        <v>432</v>
      </c>
      <c r="BA422" s="137" t="s">
        <v>432</v>
      </c>
      <c r="BB422" s="239" t="str">
        <f t="shared" si="81"/>
        <v>BRTacessibilidade</v>
      </c>
      <c r="BC422" s="239" t="str">
        <f t="shared" si="82"/>
        <v>BRTacessibilidadex</v>
      </c>
      <c r="BD422" s="239" t="str">
        <f t="shared" si="83"/>
        <v>BRTx</v>
      </c>
    </row>
    <row r="423" spans="1:56" s="105" customFormat="1" ht="38.25" x14ac:dyDescent="0.25">
      <c r="A423" s="275" t="str">
        <f>'Q100b-totais'!B54</f>
        <v>8.2</v>
      </c>
      <c r="B423" s="13" t="str">
        <f>'Q100b-totais'!C54</f>
        <v>BRT</v>
      </c>
      <c r="C423" s="167" t="s">
        <v>743</v>
      </c>
      <c r="D423" s="324" t="s">
        <v>5545</v>
      </c>
      <c r="E423" s="1491" t="s">
        <v>1306</v>
      </c>
      <c r="F423" s="1205" t="s">
        <v>5831</v>
      </c>
      <c r="G423" s="110" t="s">
        <v>5578</v>
      </c>
      <c r="H423" s="173" t="s">
        <v>432</v>
      </c>
      <c r="I423" s="57">
        <v>1</v>
      </c>
      <c r="J423" s="107" t="s">
        <v>432</v>
      </c>
      <c r="K423" s="107" t="s">
        <v>432</v>
      </c>
      <c r="L423" s="107" t="s">
        <v>432</v>
      </c>
      <c r="M423" s="107" t="s">
        <v>432</v>
      </c>
      <c r="N423" s="107" t="s">
        <v>432</v>
      </c>
      <c r="O423" s="107" t="s">
        <v>432</v>
      </c>
      <c r="P423" s="107" t="s">
        <v>432</v>
      </c>
      <c r="Q423" s="107" t="s">
        <v>432</v>
      </c>
      <c r="R423" s="107" t="s">
        <v>432</v>
      </c>
      <c r="S423" s="109" t="s">
        <v>2209</v>
      </c>
      <c r="T423" s="107" t="s">
        <v>432</v>
      </c>
      <c r="U423" s="107" t="s">
        <v>432</v>
      </c>
      <c r="V423" s="109" t="s">
        <v>2209</v>
      </c>
      <c r="W423" s="107" t="s">
        <v>432</v>
      </c>
      <c r="X423" s="107" t="s">
        <v>432</v>
      </c>
      <c r="Y423" s="107" t="s">
        <v>432</v>
      </c>
      <c r="Z423" s="107" t="s">
        <v>432</v>
      </c>
      <c r="AA423" s="107" t="s">
        <v>432</v>
      </c>
      <c r="AB423" s="107" t="s">
        <v>432</v>
      </c>
      <c r="AC423" s="107" t="s">
        <v>432</v>
      </c>
      <c r="AD423" s="107" t="s">
        <v>432</v>
      </c>
      <c r="AE423" s="107" t="s">
        <v>432</v>
      </c>
      <c r="AF423" s="107" t="s">
        <v>432</v>
      </c>
      <c r="AG423" s="107" t="s">
        <v>432</v>
      </c>
      <c r="AH423" s="107" t="s">
        <v>432</v>
      </c>
      <c r="AI423" s="107" t="s">
        <v>432</v>
      </c>
      <c r="AJ423" s="107" t="s">
        <v>432</v>
      </c>
      <c r="AK423" s="95">
        <v>0.25</v>
      </c>
      <c r="AL423" s="600" t="s">
        <v>432</v>
      </c>
      <c r="AM423" s="137" t="s">
        <v>432</v>
      </c>
      <c r="AN423" s="137" t="s">
        <v>432</v>
      </c>
      <c r="AO423" s="137" t="s">
        <v>432</v>
      </c>
      <c r="AP423" s="137" t="s">
        <v>432</v>
      </c>
      <c r="AQ423" s="137" t="s">
        <v>432</v>
      </c>
      <c r="AR423" s="137" t="s">
        <v>432</v>
      </c>
      <c r="AS423" s="137" t="s">
        <v>432</v>
      </c>
      <c r="AT423" s="137" t="s">
        <v>432</v>
      </c>
      <c r="AU423" s="137" t="s">
        <v>432</v>
      </c>
      <c r="AV423" s="137" t="s">
        <v>432</v>
      </c>
      <c r="AW423" s="137" t="s">
        <v>432</v>
      </c>
      <c r="AX423" s="137" t="s">
        <v>432</v>
      </c>
      <c r="AY423" s="137" t="s">
        <v>432</v>
      </c>
      <c r="AZ423" s="137" t="s">
        <v>432</v>
      </c>
      <c r="BA423" s="137" t="s">
        <v>432</v>
      </c>
      <c r="BB423" s="239" t="str">
        <f t="shared" si="81"/>
        <v>BRTacessibilidade</v>
      </c>
      <c r="BC423" s="239" t="str">
        <f t="shared" si="82"/>
        <v>BRTacessibilidadex</v>
      </c>
      <c r="BD423" s="239" t="str">
        <f t="shared" si="83"/>
        <v>BRTx</v>
      </c>
    </row>
    <row r="424" spans="1:56" s="105" customFormat="1" ht="47.25" x14ac:dyDescent="0.25">
      <c r="A424" s="275" t="str">
        <f>'Q100b-totais'!B54</f>
        <v>8.2</v>
      </c>
      <c r="B424" s="13" t="str">
        <f>'Q100b-totais'!C54</f>
        <v>BRT</v>
      </c>
      <c r="C424" s="167" t="s">
        <v>743</v>
      </c>
      <c r="D424" s="324" t="s">
        <v>5669</v>
      </c>
      <c r="E424" s="1491" t="s">
        <v>1306</v>
      </c>
      <c r="F424" s="1205" t="s">
        <v>5832</v>
      </c>
      <c r="G424" s="110" t="s">
        <v>5578</v>
      </c>
      <c r="H424" s="173" t="s">
        <v>432</v>
      </c>
      <c r="I424" s="57">
        <v>1</v>
      </c>
      <c r="J424" s="107" t="s">
        <v>432</v>
      </c>
      <c r="K424" s="107" t="s">
        <v>432</v>
      </c>
      <c r="L424" s="107" t="s">
        <v>432</v>
      </c>
      <c r="M424" s="107" t="s">
        <v>432</v>
      </c>
      <c r="N424" s="107" t="s">
        <v>432</v>
      </c>
      <c r="O424" s="107" t="s">
        <v>432</v>
      </c>
      <c r="P424" s="107" t="s">
        <v>432</v>
      </c>
      <c r="Q424" s="107" t="s">
        <v>432</v>
      </c>
      <c r="R424" s="107" t="s">
        <v>432</v>
      </c>
      <c r="S424" s="109" t="s">
        <v>2209</v>
      </c>
      <c r="T424" s="107" t="s">
        <v>432</v>
      </c>
      <c r="U424" s="107" t="s">
        <v>432</v>
      </c>
      <c r="V424" s="109" t="s">
        <v>2209</v>
      </c>
      <c r="W424" s="107" t="s">
        <v>432</v>
      </c>
      <c r="X424" s="107" t="s">
        <v>432</v>
      </c>
      <c r="Y424" s="107" t="s">
        <v>432</v>
      </c>
      <c r="Z424" s="107" t="s">
        <v>432</v>
      </c>
      <c r="AA424" s="107" t="s">
        <v>432</v>
      </c>
      <c r="AB424" s="107" t="s">
        <v>432</v>
      </c>
      <c r="AC424" s="107" t="s">
        <v>432</v>
      </c>
      <c r="AD424" s="107" t="s">
        <v>432</v>
      </c>
      <c r="AE424" s="107" t="s">
        <v>432</v>
      </c>
      <c r="AF424" s="107" t="s">
        <v>432</v>
      </c>
      <c r="AG424" s="107" t="s">
        <v>432</v>
      </c>
      <c r="AH424" s="107" t="s">
        <v>432</v>
      </c>
      <c r="AI424" s="107" t="s">
        <v>432</v>
      </c>
      <c r="AJ424" s="107" t="s">
        <v>432</v>
      </c>
      <c r="AK424" s="95">
        <v>0.59</v>
      </c>
      <c r="AL424" s="600" t="s">
        <v>432</v>
      </c>
      <c r="AM424" s="137" t="s">
        <v>432</v>
      </c>
      <c r="AN424" s="137" t="s">
        <v>432</v>
      </c>
      <c r="AO424" s="137" t="s">
        <v>432</v>
      </c>
      <c r="AP424" s="137" t="s">
        <v>432</v>
      </c>
      <c r="AQ424" s="137" t="s">
        <v>432</v>
      </c>
      <c r="AR424" s="137" t="s">
        <v>432</v>
      </c>
      <c r="AS424" s="137" t="s">
        <v>432</v>
      </c>
      <c r="AT424" s="137" t="s">
        <v>432</v>
      </c>
      <c r="AU424" s="137" t="s">
        <v>432</v>
      </c>
      <c r="AV424" s="137" t="s">
        <v>432</v>
      </c>
      <c r="AW424" s="137" t="s">
        <v>432</v>
      </c>
      <c r="AX424" s="137" t="s">
        <v>432</v>
      </c>
      <c r="AY424" s="137" t="s">
        <v>432</v>
      </c>
      <c r="AZ424" s="137" t="s">
        <v>432</v>
      </c>
      <c r="BA424" s="137" t="s">
        <v>432</v>
      </c>
      <c r="BB424" s="239" t="str">
        <f t="shared" si="81"/>
        <v>BRTacessibilidade</v>
      </c>
      <c r="BC424" s="239" t="str">
        <f t="shared" si="82"/>
        <v>BRTacessibilidadex</v>
      </c>
      <c r="BD424" s="239" t="str">
        <f t="shared" si="83"/>
        <v>BRTx</v>
      </c>
    </row>
    <row r="425" spans="1:56" s="105" customFormat="1" ht="51" x14ac:dyDescent="0.25">
      <c r="A425" s="275" t="str">
        <f>'Q100b-totais'!B54</f>
        <v>8.2</v>
      </c>
      <c r="B425" s="13" t="str">
        <f>'Q100b-totais'!C54</f>
        <v>BRT</v>
      </c>
      <c r="C425" s="167" t="s">
        <v>743</v>
      </c>
      <c r="D425" s="324" t="s">
        <v>5670</v>
      </c>
      <c r="E425" s="1491" t="s">
        <v>1306</v>
      </c>
      <c r="F425" s="1205" t="s">
        <v>5833</v>
      </c>
      <c r="G425" s="110" t="s">
        <v>5578</v>
      </c>
      <c r="H425" s="173" t="s">
        <v>432</v>
      </c>
      <c r="I425" s="57">
        <v>1</v>
      </c>
      <c r="J425" s="107" t="s">
        <v>432</v>
      </c>
      <c r="K425" s="107" t="s">
        <v>432</v>
      </c>
      <c r="L425" s="107" t="s">
        <v>432</v>
      </c>
      <c r="M425" s="107" t="s">
        <v>432</v>
      </c>
      <c r="N425" s="107" t="s">
        <v>432</v>
      </c>
      <c r="O425" s="107" t="s">
        <v>432</v>
      </c>
      <c r="P425" s="107" t="s">
        <v>432</v>
      </c>
      <c r="Q425" s="107" t="s">
        <v>432</v>
      </c>
      <c r="R425" s="107" t="s">
        <v>432</v>
      </c>
      <c r="S425" s="109" t="s">
        <v>2209</v>
      </c>
      <c r="T425" s="107" t="s">
        <v>432</v>
      </c>
      <c r="U425" s="107" t="s">
        <v>432</v>
      </c>
      <c r="V425" s="109" t="s">
        <v>2209</v>
      </c>
      <c r="W425" s="107" t="s">
        <v>432</v>
      </c>
      <c r="X425" s="107" t="s">
        <v>432</v>
      </c>
      <c r="Y425" s="107" t="s">
        <v>432</v>
      </c>
      <c r="Z425" s="107" t="s">
        <v>432</v>
      </c>
      <c r="AA425" s="107" t="s">
        <v>432</v>
      </c>
      <c r="AB425" s="107" t="s">
        <v>432</v>
      </c>
      <c r="AC425" s="107" t="s">
        <v>432</v>
      </c>
      <c r="AD425" s="107" t="s">
        <v>432</v>
      </c>
      <c r="AE425" s="107" t="s">
        <v>432</v>
      </c>
      <c r="AF425" s="107" t="s">
        <v>432</v>
      </c>
      <c r="AG425" s="107" t="s">
        <v>432</v>
      </c>
      <c r="AH425" s="107" t="s">
        <v>432</v>
      </c>
      <c r="AI425" s="107" t="s">
        <v>432</v>
      </c>
      <c r="AJ425" s="107" t="s">
        <v>432</v>
      </c>
      <c r="AK425" s="95">
        <v>0.79</v>
      </c>
      <c r="AL425" s="600" t="s">
        <v>432</v>
      </c>
      <c r="AM425" s="137" t="s">
        <v>432</v>
      </c>
      <c r="AN425" s="137" t="s">
        <v>432</v>
      </c>
      <c r="AO425" s="137" t="s">
        <v>432</v>
      </c>
      <c r="AP425" s="137" t="s">
        <v>432</v>
      </c>
      <c r="AQ425" s="137" t="s">
        <v>432</v>
      </c>
      <c r="AR425" s="137" t="s">
        <v>432</v>
      </c>
      <c r="AS425" s="137" t="s">
        <v>432</v>
      </c>
      <c r="AT425" s="137" t="s">
        <v>432</v>
      </c>
      <c r="AU425" s="137" t="s">
        <v>432</v>
      </c>
      <c r="AV425" s="137" t="s">
        <v>432</v>
      </c>
      <c r="AW425" s="137" t="s">
        <v>432</v>
      </c>
      <c r="AX425" s="137" t="s">
        <v>432</v>
      </c>
      <c r="AY425" s="137" t="s">
        <v>432</v>
      </c>
      <c r="AZ425" s="137" t="s">
        <v>432</v>
      </c>
      <c r="BA425" s="137" t="s">
        <v>432</v>
      </c>
      <c r="BB425" s="239" t="str">
        <f t="shared" si="81"/>
        <v>BRTacessibilidade</v>
      </c>
      <c r="BC425" s="239" t="str">
        <f t="shared" si="82"/>
        <v>BRTacessibilidadex</v>
      </c>
      <c r="BD425" s="239" t="str">
        <f t="shared" si="83"/>
        <v>BRTx</v>
      </c>
    </row>
    <row r="426" spans="1:56" s="105" customFormat="1" ht="63.75" x14ac:dyDescent="0.25">
      <c r="A426" s="275" t="str">
        <f>'Q100b-totais'!B54</f>
        <v>8.2</v>
      </c>
      <c r="B426" s="13" t="str">
        <f>'Q100b-totais'!C54</f>
        <v>BRT</v>
      </c>
      <c r="C426" s="167" t="s">
        <v>743</v>
      </c>
      <c r="D426" s="324" t="s">
        <v>5671</v>
      </c>
      <c r="E426" s="1491" t="s">
        <v>1306</v>
      </c>
      <c r="F426" s="1205" t="s">
        <v>5834</v>
      </c>
      <c r="G426" s="110" t="s">
        <v>5578</v>
      </c>
      <c r="H426" s="173" t="s">
        <v>432</v>
      </c>
      <c r="I426" s="57">
        <v>1</v>
      </c>
      <c r="J426" s="107" t="s">
        <v>432</v>
      </c>
      <c r="K426" s="107" t="s">
        <v>432</v>
      </c>
      <c r="L426" s="107" t="s">
        <v>432</v>
      </c>
      <c r="M426" s="107" t="s">
        <v>432</v>
      </c>
      <c r="N426" s="107" t="s">
        <v>432</v>
      </c>
      <c r="O426" s="107" t="s">
        <v>432</v>
      </c>
      <c r="P426" s="107" t="s">
        <v>432</v>
      </c>
      <c r="Q426" s="107" t="s">
        <v>432</v>
      </c>
      <c r="R426" s="107" t="s">
        <v>432</v>
      </c>
      <c r="S426" s="109" t="s">
        <v>2209</v>
      </c>
      <c r="T426" s="107" t="s">
        <v>432</v>
      </c>
      <c r="U426" s="107" t="s">
        <v>432</v>
      </c>
      <c r="V426" s="109" t="s">
        <v>2209</v>
      </c>
      <c r="W426" s="107" t="s">
        <v>432</v>
      </c>
      <c r="X426" s="107" t="s">
        <v>432</v>
      </c>
      <c r="Y426" s="107" t="s">
        <v>432</v>
      </c>
      <c r="Z426" s="107" t="s">
        <v>432</v>
      </c>
      <c r="AA426" s="107" t="s">
        <v>432</v>
      </c>
      <c r="AB426" s="107" t="s">
        <v>432</v>
      </c>
      <c r="AC426" s="107" t="s">
        <v>432</v>
      </c>
      <c r="AD426" s="107" t="s">
        <v>432</v>
      </c>
      <c r="AE426" s="107" t="s">
        <v>432</v>
      </c>
      <c r="AF426" s="107" t="s">
        <v>432</v>
      </c>
      <c r="AG426" s="107" t="s">
        <v>432</v>
      </c>
      <c r="AH426" s="107" t="s">
        <v>432</v>
      </c>
      <c r="AI426" s="107" t="s">
        <v>432</v>
      </c>
      <c r="AJ426" s="107" t="s">
        <v>432</v>
      </c>
      <c r="AK426" s="95">
        <v>0.66</v>
      </c>
      <c r="AL426" s="600" t="s">
        <v>432</v>
      </c>
      <c r="AM426" s="137" t="s">
        <v>432</v>
      </c>
      <c r="AN426" s="137" t="s">
        <v>432</v>
      </c>
      <c r="AO426" s="137" t="s">
        <v>432</v>
      </c>
      <c r="AP426" s="137" t="s">
        <v>432</v>
      </c>
      <c r="AQ426" s="137" t="s">
        <v>432</v>
      </c>
      <c r="AR426" s="137" t="s">
        <v>432</v>
      </c>
      <c r="AS426" s="137" t="s">
        <v>432</v>
      </c>
      <c r="AT426" s="137" t="s">
        <v>432</v>
      </c>
      <c r="AU426" s="137" t="s">
        <v>432</v>
      </c>
      <c r="AV426" s="137" t="s">
        <v>432</v>
      </c>
      <c r="AW426" s="137" t="s">
        <v>432</v>
      </c>
      <c r="AX426" s="137" t="s">
        <v>432</v>
      </c>
      <c r="AY426" s="137" t="s">
        <v>432</v>
      </c>
      <c r="AZ426" s="137" t="s">
        <v>432</v>
      </c>
      <c r="BA426" s="137" t="s">
        <v>432</v>
      </c>
      <c r="BB426" s="239" t="str">
        <f t="shared" si="81"/>
        <v>BRTacessibilidade</v>
      </c>
      <c r="BC426" s="239" t="str">
        <f t="shared" si="82"/>
        <v>BRTacessibilidadex</v>
      </c>
      <c r="BD426" s="239" t="str">
        <f t="shared" si="83"/>
        <v>BRTx</v>
      </c>
    </row>
    <row r="427" spans="1:56" s="105" customFormat="1" ht="51" x14ac:dyDescent="0.25">
      <c r="A427" s="275" t="str">
        <f>'Q100b-totais'!B54</f>
        <v>8.2</v>
      </c>
      <c r="B427" s="13" t="str">
        <f>'Q100b-totais'!C54</f>
        <v>BRT</v>
      </c>
      <c r="C427" s="167" t="s">
        <v>743</v>
      </c>
      <c r="D427" s="324" t="s">
        <v>5672</v>
      </c>
      <c r="E427" s="1491" t="s">
        <v>1306</v>
      </c>
      <c r="F427" s="1205" t="s">
        <v>5835</v>
      </c>
      <c r="G427" s="110" t="s">
        <v>5578</v>
      </c>
      <c r="H427" s="173" t="s">
        <v>432</v>
      </c>
      <c r="I427" s="57">
        <v>1</v>
      </c>
      <c r="J427" s="107" t="s">
        <v>432</v>
      </c>
      <c r="K427" s="107" t="s">
        <v>432</v>
      </c>
      <c r="L427" s="107" t="s">
        <v>432</v>
      </c>
      <c r="M427" s="107" t="s">
        <v>432</v>
      </c>
      <c r="N427" s="107" t="s">
        <v>432</v>
      </c>
      <c r="O427" s="107" t="s">
        <v>432</v>
      </c>
      <c r="P427" s="107" t="s">
        <v>432</v>
      </c>
      <c r="Q427" s="107" t="s">
        <v>432</v>
      </c>
      <c r="R427" s="107" t="s">
        <v>432</v>
      </c>
      <c r="S427" s="109" t="s">
        <v>2209</v>
      </c>
      <c r="T427" s="107" t="s">
        <v>432</v>
      </c>
      <c r="U427" s="107" t="s">
        <v>432</v>
      </c>
      <c r="V427" s="109" t="s">
        <v>2209</v>
      </c>
      <c r="W427" s="107" t="s">
        <v>432</v>
      </c>
      <c r="X427" s="107" t="s">
        <v>432</v>
      </c>
      <c r="Y427" s="107" t="s">
        <v>432</v>
      </c>
      <c r="Z427" s="107" t="s">
        <v>432</v>
      </c>
      <c r="AA427" s="107" t="s">
        <v>432</v>
      </c>
      <c r="AB427" s="107" t="s">
        <v>432</v>
      </c>
      <c r="AC427" s="107" t="s">
        <v>432</v>
      </c>
      <c r="AD427" s="107" t="s">
        <v>432</v>
      </c>
      <c r="AE427" s="107" t="s">
        <v>432</v>
      </c>
      <c r="AF427" s="107" t="s">
        <v>432</v>
      </c>
      <c r="AG427" s="107" t="s">
        <v>432</v>
      </c>
      <c r="AH427" s="107" t="s">
        <v>432</v>
      </c>
      <c r="AI427" s="107" t="s">
        <v>432</v>
      </c>
      <c r="AJ427" s="107" t="s">
        <v>432</v>
      </c>
      <c r="AK427" s="95">
        <v>0.43</v>
      </c>
      <c r="AL427" s="600" t="s">
        <v>432</v>
      </c>
      <c r="AM427" s="137" t="s">
        <v>432</v>
      </c>
      <c r="AN427" s="137" t="s">
        <v>432</v>
      </c>
      <c r="AO427" s="137" t="s">
        <v>432</v>
      </c>
      <c r="AP427" s="137" t="s">
        <v>432</v>
      </c>
      <c r="AQ427" s="137" t="s">
        <v>432</v>
      </c>
      <c r="AR427" s="137" t="s">
        <v>432</v>
      </c>
      <c r="AS427" s="137" t="s">
        <v>432</v>
      </c>
      <c r="AT427" s="137" t="s">
        <v>432</v>
      </c>
      <c r="AU427" s="137" t="s">
        <v>432</v>
      </c>
      <c r="AV427" s="137" t="s">
        <v>432</v>
      </c>
      <c r="AW427" s="137" t="s">
        <v>432</v>
      </c>
      <c r="AX427" s="137" t="s">
        <v>432</v>
      </c>
      <c r="AY427" s="137" t="s">
        <v>432</v>
      </c>
      <c r="AZ427" s="137" t="s">
        <v>432</v>
      </c>
      <c r="BA427" s="137" t="s">
        <v>432</v>
      </c>
      <c r="BB427" s="239" t="str">
        <f t="shared" si="81"/>
        <v>BRTacessibilidade</v>
      </c>
      <c r="BC427" s="239" t="str">
        <f t="shared" si="82"/>
        <v>BRTacessibilidadex</v>
      </c>
      <c r="BD427" s="239" t="str">
        <f t="shared" si="83"/>
        <v>BRTx</v>
      </c>
    </row>
    <row r="428" spans="1:56" s="105" customFormat="1" ht="47.25" x14ac:dyDescent="0.25">
      <c r="A428" s="275" t="str">
        <f>'Q100b-totais'!B54</f>
        <v>8.2</v>
      </c>
      <c r="B428" s="13" t="str">
        <f>'Q100b-totais'!C54</f>
        <v>BRT</v>
      </c>
      <c r="C428" s="167" t="s">
        <v>743</v>
      </c>
      <c r="D428" s="324" t="s">
        <v>5689</v>
      </c>
      <c r="E428" s="1491" t="s">
        <v>1306</v>
      </c>
      <c r="F428" s="1205" t="s">
        <v>5836</v>
      </c>
      <c r="G428" s="110" t="s">
        <v>5578</v>
      </c>
      <c r="H428" s="173" t="s">
        <v>432</v>
      </c>
      <c r="I428" s="57">
        <v>1</v>
      </c>
      <c r="J428" s="107" t="s">
        <v>432</v>
      </c>
      <c r="K428" s="107" t="s">
        <v>432</v>
      </c>
      <c r="L428" s="107" t="s">
        <v>432</v>
      </c>
      <c r="M428" s="107" t="s">
        <v>432</v>
      </c>
      <c r="N428" s="107" t="s">
        <v>432</v>
      </c>
      <c r="O428" s="107" t="s">
        <v>432</v>
      </c>
      <c r="P428" s="107" t="s">
        <v>432</v>
      </c>
      <c r="Q428" s="107" t="s">
        <v>432</v>
      </c>
      <c r="R428" s="107" t="s">
        <v>432</v>
      </c>
      <c r="S428" s="109" t="s">
        <v>2209</v>
      </c>
      <c r="T428" s="107" t="s">
        <v>432</v>
      </c>
      <c r="U428" s="107" t="s">
        <v>432</v>
      </c>
      <c r="V428" s="109" t="s">
        <v>2209</v>
      </c>
      <c r="W428" s="107" t="s">
        <v>432</v>
      </c>
      <c r="X428" s="107" t="s">
        <v>432</v>
      </c>
      <c r="Y428" s="107" t="s">
        <v>432</v>
      </c>
      <c r="Z428" s="107" t="s">
        <v>432</v>
      </c>
      <c r="AA428" s="107" t="s">
        <v>432</v>
      </c>
      <c r="AB428" s="107" t="s">
        <v>432</v>
      </c>
      <c r="AC428" s="107" t="s">
        <v>432</v>
      </c>
      <c r="AD428" s="107" t="s">
        <v>432</v>
      </c>
      <c r="AE428" s="107" t="s">
        <v>432</v>
      </c>
      <c r="AF428" s="107" t="s">
        <v>432</v>
      </c>
      <c r="AG428" s="107" t="s">
        <v>432</v>
      </c>
      <c r="AH428" s="107" t="s">
        <v>432</v>
      </c>
      <c r="AI428" s="107" t="s">
        <v>432</v>
      </c>
      <c r="AJ428" s="107" t="s">
        <v>432</v>
      </c>
      <c r="AK428" s="95">
        <v>0.69</v>
      </c>
      <c r="AL428" s="600" t="s">
        <v>432</v>
      </c>
      <c r="AM428" s="137" t="s">
        <v>432</v>
      </c>
      <c r="AN428" s="137" t="s">
        <v>432</v>
      </c>
      <c r="AO428" s="137" t="s">
        <v>432</v>
      </c>
      <c r="AP428" s="137" t="s">
        <v>432</v>
      </c>
      <c r="AQ428" s="137" t="s">
        <v>432</v>
      </c>
      <c r="AR428" s="137" t="s">
        <v>432</v>
      </c>
      <c r="AS428" s="137" t="s">
        <v>432</v>
      </c>
      <c r="AT428" s="137" t="s">
        <v>432</v>
      </c>
      <c r="AU428" s="137" t="s">
        <v>432</v>
      </c>
      <c r="AV428" s="137" t="s">
        <v>432</v>
      </c>
      <c r="AW428" s="137" t="s">
        <v>432</v>
      </c>
      <c r="AX428" s="137" t="s">
        <v>432</v>
      </c>
      <c r="AY428" s="137" t="s">
        <v>432</v>
      </c>
      <c r="AZ428" s="137" t="s">
        <v>432</v>
      </c>
      <c r="BA428" s="137" t="s">
        <v>432</v>
      </c>
      <c r="BB428" s="239" t="str">
        <f t="shared" si="81"/>
        <v>BRTacessibilidade</v>
      </c>
      <c r="BC428" s="239" t="str">
        <f t="shared" si="82"/>
        <v>BRTacessibilidadex</v>
      </c>
      <c r="BD428" s="239" t="str">
        <f t="shared" si="83"/>
        <v>BRTx</v>
      </c>
    </row>
    <row r="429" spans="1:56" s="105" customFormat="1" ht="47.25" x14ac:dyDescent="0.25">
      <c r="A429" s="275" t="str">
        <f>'Q100b-totais'!B54</f>
        <v>8.2</v>
      </c>
      <c r="B429" s="13" t="str">
        <f>'Q100b-totais'!C54</f>
        <v>BRT</v>
      </c>
      <c r="C429" s="167" t="s">
        <v>743</v>
      </c>
      <c r="D429" s="324" t="s">
        <v>5685</v>
      </c>
      <c r="E429" s="1491" t="s">
        <v>1306</v>
      </c>
      <c r="F429" s="1205" t="s">
        <v>5837</v>
      </c>
      <c r="G429" s="110" t="s">
        <v>5578</v>
      </c>
      <c r="H429" s="173" t="s">
        <v>432</v>
      </c>
      <c r="I429" s="57">
        <v>1</v>
      </c>
      <c r="J429" s="107" t="s">
        <v>432</v>
      </c>
      <c r="K429" s="107" t="s">
        <v>432</v>
      </c>
      <c r="L429" s="107" t="s">
        <v>432</v>
      </c>
      <c r="M429" s="107" t="s">
        <v>432</v>
      </c>
      <c r="N429" s="107" t="s">
        <v>432</v>
      </c>
      <c r="O429" s="107" t="s">
        <v>432</v>
      </c>
      <c r="P429" s="107" t="s">
        <v>432</v>
      </c>
      <c r="Q429" s="107" t="s">
        <v>432</v>
      </c>
      <c r="R429" s="107" t="s">
        <v>432</v>
      </c>
      <c r="S429" s="109" t="s">
        <v>2209</v>
      </c>
      <c r="T429" s="107" t="s">
        <v>432</v>
      </c>
      <c r="U429" s="107" t="s">
        <v>432</v>
      </c>
      <c r="V429" s="109" t="s">
        <v>2209</v>
      </c>
      <c r="W429" s="107" t="s">
        <v>432</v>
      </c>
      <c r="X429" s="107" t="s">
        <v>432</v>
      </c>
      <c r="Y429" s="107" t="s">
        <v>432</v>
      </c>
      <c r="Z429" s="107" t="s">
        <v>432</v>
      </c>
      <c r="AA429" s="107" t="s">
        <v>432</v>
      </c>
      <c r="AB429" s="107" t="s">
        <v>432</v>
      </c>
      <c r="AC429" s="107" t="s">
        <v>432</v>
      </c>
      <c r="AD429" s="107" t="s">
        <v>432</v>
      </c>
      <c r="AE429" s="107" t="s">
        <v>432</v>
      </c>
      <c r="AF429" s="107" t="s">
        <v>432</v>
      </c>
      <c r="AG429" s="107" t="s">
        <v>432</v>
      </c>
      <c r="AH429" s="107" t="s">
        <v>432</v>
      </c>
      <c r="AI429" s="107" t="s">
        <v>432</v>
      </c>
      <c r="AJ429" s="107" t="s">
        <v>432</v>
      </c>
      <c r="AK429" s="882" t="s">
        <v>432</v>
      </c>
      <c r="AL429" s="600" t="s">
        <v>432</v>
      </c>
      <c r="AM429" s="137" t="s">
        <v>432</v>
      </c>
      <c r="AN429" s="137" t="s">
        <v>432</v>
      </c>
      <c r="AO429" s="137" t="s">
        <v>432</v>
      </c>
      <c r="AP429" s="137" t="s">
        <v>432</v>
      </c>
      <c r="AQ429" s="137" t="s">
        <v>432</v>
      </c>
      <c r="AR429" s="137" t="s">
        <v>432</v>
      </c>
      <c r="AS429" s="137" t="s">
        <v>432</v>
      </c>
      <c r="AT429" s="137" t="s">
        <v>432</v>
      </c>
      <c r="AU429" s="137" t="s">
        <v>432</v>
      </c>
      <c r="AV429" s="137" t="s">
        <v>432</v>
      </c>
      <c r="AW429" s="137" t="s">
        <v>432</v>
      </c>
      <c r="AX429" s="137" t="s">
        <v>432</v>
      </c>
      <c r="AY429" s="137" t="s">
        <v>432</v>
      </c>
      <c r="AZ429" s="137" t="s">
        <v>432</v>
      </c>
      <c r="BA429" s="137" t="s">
        <v>432</v>
      </c>
      <c r="BB429" s="239" t="str">
        <f t="shared" si="81"/>
        <v>BRTacessibilidade</v>
      </c>
      <c r="BC429" s="239" t="str">
        <f t="shared" si="82"/>
        <v>BRTacessibilidadex</v>
      </c>
      <c r="BD429" s="239" t="str">
        <f t="shared" si="83"/>
        <v>BRTx</v>
      </c>
    </row>
    <row r="430" spans="1:56" s="105" customFormat="1" ht="47.25" x14ac:dyDescent="0.25">
      <c r="A430" s="275" t="str">
        <f>'Q100b-totais'!B54</f>
        <v>8.2</v>
      </c>
      <c r="B430" s="13" t="str">
        <f>'Q100b-totais'!C54</f>
        <v>BRT</v>
      </c>
      <c r="C430" s="167" t="s">
        <v>743</v>
      </c>
      <c r="D430" s="324" t="s">
        <v>5679</v>
      </c>
      <c r="E430" s="1491" t="s">
        <v>1306</v>
      </c>
      <c r="F430" s="1205" t="s">
        <v>5838</v>
      </c>
      <c r="G430" s="110" t="s">
        <v>5578</v>
      </c>
      <c r="H430" s="173" t="s">
        <v>432</v>
      </c>
      <c r="I430" s="57">
        <v>1</v>
      </c>
      <c r="J430" s="107" t="s">
        <v>432</v>
      </c>
      <c r="K430" s="107" t="s">
        <v>432</v>
      </c>
      <c r="L430" s="107" t="s">
        <v>432</v>
      </c>
      <c r="M430" s="107" t="s">
        <v>432</v>
      </c>
      <c r="N430" s="107" t="s">
        <v>432</v>
      </c>
      <c r="O430" s="107" t="s">
        <v>432</v>
      </c>
      <c r="P430" s="107" t="s">
        <v>432</v>
      </c>
      <c r="Q430" s="107" t="s">
        <v>432</v>
      </c>
      <c r="R430" s="107" t="s">
        <v>432</v>
      </c>
      <c r="S430" s="109" t="s">
        <v>2209</v>
      </c>
      <c r="T430" s="107" t="s">
        <v>432</v>
      </c>
      <c r="U430" s="107" t="s">
        <v>432</v>
      </c>
      <c r="V430" s="109" t="s">
        <v>2209</v>
      </c>
      <c r="W430" s="107" t="s">
        <v>432</v>
      </c>
      <c r="X430" s="107" t="s">
        <v>432</v>
      </c>
      <c r="Y430" s="107" t="s">
        <v>432</v>
      </c>
      <c r="Z430" s="107" t="s">
        <v>432</v>
      </c>
      <c r="AA430" s="107" t="s">
        <v>432</v>
      </c>
      <c r="AB430" s="107" t="s">
        <v>432</v>
      </c>
      <c r="AC430" s="107" t="s">
        <v>432</v>
      </c>
      <c r="AD430" s="107" t="s">
        <v>432</v>
      </c>
      <c r="AE430" s="107" t="s">
        <v>432</v>
      </c>
      <c r="AF430" s="107" t="s">
        <v>432</v>
      </c>
      <c r="AG430" s="107" t="s">
        <v>432</v>
      </c>
      <c r="AH430" s="107" t="s">
        <v>432</v>
      </c>
      <c r="AI430" s="107" t="s">
        <v>432</v>
      </c>
      <c r="AJ430" s="107" t="s">
        <v>432</v>
      </c>
      <c r="AK430" s="95">
        <v>0.88</v>
      </c>
      <c r="AL430" s="600" t="s">
        <v>432</v>
      </c>
      <c r="AM430" s="137" t="s">
        <v>432</v>
      </c>
      <c r="AN430" s="137" t="s">
        <v>432</v>
      </c>
      <c r="AO430" s="137" t="s">
        <v>432</v>
      </c>
      <c r="AP430" s="137" t="s">
        <v>432</v>
      </c>
      <c r="AQ430" s="137" t="s">
        <v>432</v>
      </c>
      <c r="AR430" s="137" t="s">
        <v>432</v>
      </c>
      <c r="AS430" s="137" t="s">
        <v>432</v>
      </c>
      <c r="AT430" s="137" t="s">
        <v>432</v>
      </c>
      <c r="AU430" s="137" t="s">
        <v>432</v>
      </c>
      <c r="AV430" s="137" t="s">
        <v>432</v>
      </c>
      <c r="AW430" s="137" t="s">
        <v>432</v>
      </c>
      <c r="AX430" s="137" t="s">
        <v>432</v>
      </c>
      <c r="AY430" s="137" t="s">
        <v>432</v>
      </c>
      <c r="AZ430" s="137" t="s">
        <v>432</v>
      </c>
      <c r="BA430" s="137" t="s">
        <v>432</v>
      </c>
      <c r="BB430" s="239" t="str">
        <f t="shared" si="81"/>
        <v>BRTacessibilidade</v>
      </c>
      <c r="BC430" s="239" t="str">
        <f t="shared" si="82"/>
        <v>BRTacessibilidadex</v>
      </c>
      <c r="BD430" s="239" t="str">
        <f t="shared" si="83"/>
        <v>BRTx</v>
      </c>
    </row>
    <row r="431" spans="1:56" s="105" customFormat="1" ht="47.25" x14ac:dyDescent="0.25">
      <c r="A431" s="275" t="str">
        <f>'Q100b-totais'!B54</f>
        <v>8.2</v>
      </c>
      <c r="B431" s="13" t="str">
        <f>'Q100b-totais'!C54</f>
        <v>BRT</v>
      </c>
      <c r="C431" s="167" t="s">
        <v>743</v>
      </c>
      <c r="D431" s="324" t="s">
        <v>5682</v>
      </c>
      <c r="E431" s="1491" t="s">
        <v>1306</v>
      </c>
      <c r="F431" s="1205" t="s">
        <v>5839</v>
      </c>
      <c r="G431" s="110" t="s">
        <v>5578</v>
      </c>
      <c r="H431" s="173" t="s">
        <v>432</v>
      </c>
      <c r="I431" s="57">
        <v>1</v>
      </c>
      <c r="J431" s="107" t="s">
        <v>432</v>
      </c>
      <c r="K431" s="107" t="s">
        <v>432</v>
      </c>
      <c r="L431" s="107" t="s">
        <v>432</v>
      </c>
      <c r="M431" s="107" t="s">
        <v>432</v>
      </c>
      <c r="N431" s="107" t="s">
        <v>432</v>
      </c>
      <c r="O431" s="107" t="s">
        <v>432</v>
      </c>
      <c r="P431" s="107" t="s">
        <v>432</v>
      </c>
      <c r="Q431" s="107" t="s">
        <v>432</v>
      </c>
      <c r="R431" s="107" t="s">
        <v>432</v>
      </c>
      <c r="S431" s="109" t="s">
        <v>2209</v>
      </c>
      <c r="T431" s="107" t="s">
        <v>432</v>
      </c>
      <c r="U431" s="107" t="s">
        <v>432</v>
      </c>
      <c r="V431" s="109" t="s">
        <v>2209</v>
      </c>
      <c r="W431" s="107" t="s">
        <v>432</v>
      </c>
      <c r="X431" s="107" t="s">
        <v>432</v>
      </c>
      <c r="Y431" s="107" t="s">
        <v>432</v>
      </c>
      <c r="Z431" s="107" t="s">
        <v>432</v>
      </c>
      <c r="AA431" s="107" t="s">
        <v>432</v>
      </c>
      <c r="AB431" s="107" t="s">
        <v>432</v>
      </c>
      <c r="AC431" s="107" t="s">
        <v>432</v>
      </c>
      <c r="AD431" s="107" t="s">
        <v>432</v>
      </c>
      <c r="AE431" s="107" t="s">
        <v>432</v>
      </c>
      <c r="AF431" s="107" t="s">
        <v>432</v>
      </c>
      <c r="AG431" s="107" t="s">
        <v>432</v>
      </c>
      <c r="AH431" s="107" t="s">
        <v>432</v>
      </c>
      <c r="AI431" s="107" t="s">
        <v>432</v>
      </c>
      <c r="AJ431" s="107" t="s">
        <v>432</v>
      </c>
      <c r="AK431" s="95">
        <v>0.8</v>
      </c>
      <c r="AL431" s="600" t="s">
        <v>432</v>
      </c>
      <c r="AM431" s="137" t="s">
        <v>432</v>
      </c>
      <c r="AN431" s="137" t="s">
        <v>432</v>
      </c>
      <c r="AO431" s="137" t="s">
        <v>432</v>
      </c>
      <c r="AP431" s="137" t="s">
        <v>432</v>
      </c>
      <c r="AQ431" s="137" t="s">
        <v>432</v>
      </c>
      <c r="AR431" s="137" t="s">
        <v>432</v>
      </c>
      <c r="AS431" s="137" t="s">
        <v>432</v>
      </c>
      <c r="AT431" s="137" t="s">
        <v>432</v>
      </c>
      <c r="AU431" s="137" t="s">
        <v>432</v>
      </c>
      <c r="AV431" s="137" t="s">
        <v>432</v>
      </c>
      <c r="AW431" s="137" t="s">
        <v>432</v>
      </c>
      <c r="AX431" s="137" t="s">
        <v>432</v>
      </c>
      <c r="AY431" s="137" t="s">
        <v>432</v>
      </c>
      <c r="AZ431" s="137" t="s">
        <v>432</v>
      </c>
      <c r="BA431" s="137" t="s">
        <v>432</v>
      </c>
      <c r="BB431" s="239" t="str">
        <f t="shared" si="81"/>
        <v>BRTacessibilidade</v>
      </c>
      <c r="BC431" s="239" t="str">
        <f t="shared" si="82"/>
        <v>BRTacessibilidadex</v>
      </c>
      <c r="BD431" s="239" t="str">
        <f t="shared" si="83"/>
        <v>BRTx</v>
      </c>
    </row>
    <row r="432" spans="1:56" s="105" customFormat="1" ht="47.25" x14ac:dyDescent="0.25">
      <c r="A432" s="275" t="str">
        <f>'Q100b-totais'!B54</f>
        <v>8.2</v>
      </c>
      <c r="B432" s="13" t="str">
        <f>'Q100b-totais'!C54</f>
        <v>BRT</v>
      </c>
      <c r="C432" s="167" t="s">
        <v>743</v>
      </c>
      <c r="D432" s="324" t="s">
        <v>5703</v>
      </c>
      <c r="E432" s="1491" t="s">
        <v>1306</v>
      </c>
      <c r="F432" s="1205" t="s">
        <v>5840</v>
      </c>
      <c r="G432" s="110" t="s">
        <v>5578</v>
      </c>
      <c r="H432" s="173" t="s">
        <v>432</v>
      </c>
      <c r="I432" s="57">
        <v>1</v>
      </c>
      <c r="J432" s="107" t="s">
        <v>432</v>
      </c>
      <c r="K432" s="107" t="s">
        <v>432</v>
      </c>
      <c r="L432" s="107" t="s">
        <v>432</v>
      </c>
      <c r="M432" s="107" t="s">
        <v>432</v>
      </c>
      <c r="N432" s="107" t="s">
        <v>432</v>
      </c>
      <c r="O432" s="107" t="s">
        <v>432</v>
      </c>
      <c r="P432" s="107" t="s">
        <v>432</v>
      </c>
      <c r="Q432" s="107" t="s">
        <v>432</v>
      </c>
      <c r="R432" s="107" t="s">
        <v>432</v>
      </c>
      <c r="S432" s="109" t="s">
        <v>2209</v>
      </c>
      <c r="T432" s="107" t="s">
        <v>432</v>
      </c>
      <c r="U432" s="107" t="s">
        <v>432</v>
      </c>
      <c r="V432" s="109" t="s">
        <v>2209</v>
      </c>
      <c r="W432" s="107" t="s">
        <v>432</v>
      </c>
      <c r="X432" s="107" t="s">
        <v>432</v>
      </c>
      <c r="Y432" s="107" t="s">
        <v>432</v>
      </c>
      <c r="Z432" s="107" t="s">
        <v>432</v>
      </c>
      <c r="AA432" s="107" t="s">
        <v>432</v>
      </c>
      <c r="AB432" s="107" t="s">
        <v>432</v>
      </c>
      <c r="AC432" s="107" t="s">
        <v>432</v>
      </c>
      <c r="AD432" s="107" t="s">
        <v>432</v>
      </c>
      <c r="AE432" s="107" t="s">
        <v>432</v>
      </c>
      <c r="AF432" s="107" t="s">
        <v>432</v>
      </c>
      <c r="AG432" s="107" t="s">
        <v>432</v>
      </c>
      <c r="AH432" s="107" t="s">
        <v>432</v>
      </c>
      <c r="AI432" s="107" t="s">
        <v>432</v>
      </c>
      <c r="AJ432" s="107" t="s">
        <v>432</v>
      </c>
      <c r="AK432" s="95">
        <v>0.72</v>
      </c>
      <c r="AL432" s="600" t="s">
        <v>432</v>
      </c>
      <c r="AM432" s="137" t="s">
        <v>432</v>
      </c>
      <c r="AN432" s="137" t="s">
        <v>432</v>
      </c>
      <c r="AO432" s="137" t="s">
        <v>432</v>
      </c>
      <c r="AP432" s="137" t="s">
        <v>432</v>
      </c>
      <c r="AQ432" s="137" t="s">
        <v>432</v>
      </c>
      <c r="AR432" s="137" t="s">
        <v>432</v>
      </c>
      <c r="AS432" s="137" t="s">
        <v>432</v>
      </c>
      <c r="AT432" s="137" t="s">
        <v>432</v>
      </c>
      <c r="AU432" s="137" t="s">
        <v>432</v>
      </c>
      <c r="AV432" s="137" t="s">
        <v>432</v>
      </c>
      <c r="AW432" s="137" t="s">
        <v>432</v>
      </c>
      <c r="AX432" s="137" t="s">
        <v>432</v>
      </c>
      <c r="AY432" s="137" t="s">
        <v>432</v>
      </c>
      <c r="AZ432" s="137" t="s">
        <v>432</v>
      </c>
      <c r="BA432" s="137" t="s">
        <v>432</v>
      </c>
      <c r="BB432" s="239" t="str">
        <f t="shared" si="81"/>
        <v>BRTacessibilidade</v>
      </c>
      <c r="BC432" s="239" t="str">
        <f t="shared" si="82"/>
        <v>BRTacessibilidadex</v>
      </c>
      <c r="BD432" s="239" t="str">
        <f t="shared" si="83"/>
        <v>BRTx</v>
      </c>
    </row>
    <row r="433" spans="1:56" s="105" customFormat="1" ht="47.25" x14ac:dyDescent="0.25">
      <c r="A433" s="275" t="str">
        <f>'Q100b-totais'!B54</f>
        <v>8.2</v>
      </c>
      <c r="B433" s="13" t="str">
        <f>'Q100b-totais'!C54</f>
        <v>BRT</v>
      </c>
      <c r="C433" s="167" t="s">
        <v>743</v>
      </c>
      <c r="D433" s="324" t="s">
        <v>5704</v>
      </c>
      <c r="E433" s="1491" t="s">
        <v>1306</v>
      </c>
      <c r="F433" s="1205" t="s">
        <v>5841</v>
      </c>
      <c r="G433" s="110" t="s">
        <v>5578</v>
      </c>
      <c r="H433" s="173" t="s">
        <v>432</v>
      </c>
      <c r="I433" s="57">
        <v>1</v>
      </c>
      <c r="J433" s="107" t="s">
        <v>432</v>
      </c>
      <c r="K433" s="107" t="s">
        <v>432</v>
      </c>
      <c r="L433" s="107" t="s">
        <v>432</v>
      </c>
      <c r="M433" s="107" t="s">
        <v>432</v>
      </c>
      <c r="N433" s="107" t="s">
        <v>432</v>
      </c>
      <c r="O433" s="107" t="s">
        <v>432</v>
      </c>
      <c r="P433" s="107" t="s">
        <v>432</v>
      </c>
      <c r="Q433" s="107" t="s">
        <v>432</v>
      </c>
      <c r="R433" s="107" t="s">
        <v>432</v>
      </c>
      <c r="S433" s="109" t="s">
        <v>2209</v>
      </c>
      <c r="T433" s="107" t="s">
        <v>432</v>
      </c>
      <c r="U433" s="107" t="s">
        <v>432</v>
      </c>
      <c r="V433" s="109" t="s">
        <v>2209</v>
      </c>
      <c r="W433" s="107" t="s">
        <v>432</v>
      </c>
      <c r="X433" s="107" t="s">
        <v>432</v>
      </c>
      <c r="Y433" s="107" t="s">
        <v>432</v>
      </c>
      <c r="Z433" s="107" t="s">
        <v>432</v>
      </c>
      <c r="AA433" s="107" t="s">
        <v>432</v>
      </c>
      <c r="AB433" s="107" t="s">
        <v>432</v>
      </c>
      <c r="AC433" s="107" t="s">
        <v>432</v>
      </c>
      <c r="AD433" s="107" t="s">
        <v>432</v>
      </c>
      <c r="AE433" s="107" t="s">
        <v>432</v>
      </c>
      <c r="AF433" s="107" t="s">
        <v>432</v>
      </c>
      <c r="AG433" s="107" t="s">
        <v>432</v>
      </c>
      <c r="AH433" s="107" t="s">
        <v>432</v>
      </c>
      <c r="AI433" s="107" t="s">
        <v>432</v>
      </c>
      <c r="AJ433" s="107" t="s">
        <v>432</v>
      </c>
      <c r="AK433" s="95">
        <v>0.45</v>
      </c>
      <c r="AL433" s="600" t="s">
        <v>432</v>
      </c>
      <c r="AM433" s="137" t="s">
        <v>432</v>
      </c>
      <c r="AN433" s="137" t="s">
        <v>432</v>
      </c>
      <c r="AO433" s="137" t="s">
        <v>432</v>
      </c>
      <c r="AP433" s="137" t="s">
        <v>432</v>
      </c>
      <c r="AQ433" s="137" t="s">
        <v>432</v>
      </c>
      <c r="AR433" s="137" t="s">
        <v>432</v>
      </c>
      <c r="AS433" s="137" t="s">
        <v>432</v>
      </c>
      <c r="AT433" s="137" t="s">
        <v>432</v>
      </c>
      <c r="AU433" s="137" t="s">
        <v>432</v>
      </c>
      <c r="AV433" s="137" t="s">
        <v>432</v>
      </c>
      <c r="AW433" s="137" t="s">
        <v>432</v>
      </c>
      <c r="AX433" s="137" t="s">
        <v>432</v>
      </c>
      <c r="AY433" s="137" t="s">
        <v>432</v>
      </c>
      <c r="AZ433" s="137" t="s">
        <v>432</v>
      </c>
      <c r="BA433" s="137" t="s">
        <v>432</v>
      </c>
      <c r="BB433" s="239" t="str">
        <f t="shared" si="81"/>
        <v>BRTacessibilidade</v>
      </c>
      <c r="BC433" s="239" t="str">
        <f t="shared" si="82"/>
        <v>BRTacessibilidadex</v>
      </c>
      <c r="BD433" s="239" t="str">
        <f t="shared" si="83"/>
        <v>BRTx</v>
      </c>
    </row>
    <row r="434" spans="1:56" s="105" customFormat="1" ht="47.25" x14ac:dyDescent="0.25">
      <c r="A434" s="275" t="str">
        <f>'Q100b-totais'!B54</f>
        <v>8.2</v>
      </c>
      <c r="B434" s="13" t="str">
        <f>'Q100b-totais'!C54</f>
        <v>BRT</v>
      </c>
      <c r="C434" s="167" t="s">
        <v>743</v>
      </c>
      <c r="D434" s="324" t="s">
        <v>5705</v>
      </c>
      <c r="E434" s="1491" t="s">
        <v>1306</v>
      </c>
      <c r="F434" s="1205" t="s">
        <v>5842</v>
      </c>
      <c r="G434" s="110" t="s">
        <v>5578</v>
      </c>
      <c r="H434" s="173" t="s">
        <v>432</v>
      </c>
      <c r="I434" s="57">
        <v>1</v>
      </c>
      <c r="J434" s="107" t="s">
        <v>432</v>
      </c>
      <c r="K434" s="107" t="s">
        <v>432</v>
      </c>
      <c r="L434" s="107" t="s">
        <v>432</v>
      </c>
      <c r="M434" s="107" t="s">
        <v>432</v>
      </c>
      <c r="N434" s="107" t="s">
        <v>432</v>
      </c>
      <c r="O434" s="107" t="s">
        <v>432</v>
      </c>
      <c r="P434" s="107" t="s">
        <v>432</v>
      </c>
      <c r="Q434" s="107" t="s">
        <v>432</v>
      </c>
      <c r="R434" s="107" t="s">
        <v>432</v>
      </c>
      <c r="S434" s="109" t="s">
        <v>2209</v>
      </c>
      <c r="T434" s="107" t="s">
        <v>432</v>
      </c>
      <c r="U434" s="107" t="s">
        <v>432</v>
      </c>
      <c r="V434" s="109" t="s">
        <v>2209</v>
      </c>
      <c r="W434" s="107" t="s">
        <v>432</v>
      </c>
      <c r="X434" s="107" t="s">
        <v>432</v>
      </c>
      <c r="Y434" s="107" t="s">
        <v>432</v>
      </c>
      <c r="Z434" s="107" t="s">
        <v>432</v>
      </c>
      <c r="AA434" s="107" t="s">
        <v>432</v>
      </c>
      <c r="AB434" s="107" t="s">
        <v>432</v>
      </c>
      <c r="AC434" s="107" t="s">
        <v>432</v>
      </c>
      <c r="AD434" s="107" t="s">
        <v>432</v>
      </c>
      <c r="AE434" s="107" t="s">
        <v>432</v>
      </c>
      <c r="AF434" s="107" t="s">
        <v>432</v>
      </c>
      <c r="AG434" s="107" t="s">
        <v>432</v>
      </c>
      <c r="AH434" s="107" t="s">
        <v>432</v>
      </c>
      <c r="AI434" s="107" t="s">
        <v>432</v>
      </c>
      <c r="AJ434" s="107" t="s">
        <v>432</v>
      </c>
      <c r="AK434" s="95">
        <v>0.55000000000000004</v>
      </c>
      <c r="AL434" s="600" t="s">
        <v>432</v>
      </c>
      <c r="AM434" s="137" t="s">
        <v>432</v>
      </c>
      <c r="AN434" s="137" t="s">
        <v>432</v>
      </c>
      <c r="AO434" s="137" t="s">
        <v>432</v>
      </c>
      <c r="AP434" s="137" t="s">
        <v>432</v>
      </c>
      <c r="AQ434" s="137" t="s">
        <v>432</v>
      </c>
      <c r="AR434" s="137" t="s">
        <v>432</v>
      </c>
      <c r="AS434" s="137" t="s">
        <v>432</v>
      </c>
      <c r="AT434" s="137" t="s">
        <v>432</v>
      </c>
      <c r="AU434" s="137" t="s">
        <v>432</v>
      </c>
      <c r="AV434" s="137" t="s">
        <v>432</v>
      </c>
      <c r="AW434" s="137" t="s">
        <v>432</v>
      </c>
      <c r="AX434" s="137" t="s">
        <v>432</v>
      </c>
      <c r="AY434" s="137" t="s">
        <v>432</v>
      </c>
      <c r="AZ434" s="137" t="s">
        <v>432</v>
      </c>
      <c r="BA434" s="137" t="s">
        <v>432</v>
      </c>
      <c r="BB434" s="239" t="str">
        <f t="shared" si="81"/>
        <v>BRTacessibilidade</v>
      </c>
      <c r="BC434" s="239" t="str">
        <f t="shared" si="82"/>
        <v>BRTacessibilidadex</v>
      </c>
      <c r="BD434" s="239" t="str">
        <f t="shared" si="83"/>
        <v>BRTx</v>
      </c>
    </row>
    <row r="435" spans="1:56" s="105" customFormat="1" ht="47.25" x14ac:dyDescent="0.25">
      <c r="A435" s="275" t="str">
        <f>'Q100b-totais'!B54</f>
        <v>8.2</v>
      </c>
      <c r="B435" s="13" t="str">
        <f>'Q100b-totais'!C54</f>
        <v>BRT</v>
      </c>
      <c r="C435" s="167" t="s">
        <v>743</v>
      </c>
      <c r="D435" s="324" t="s">
        <v>5706</v>
      </c>
      <c r="E435" s="1491" t="s">
        <v>1306</v>
      </c>
      <c r="F435" s="1205" t="s">
        <v>5843</v>
      </c>
      <c r="G435" s="110" t="s">
        <v>5578</v>
      </c>
      <c r="H435" s="173" t="s">
        <v>432</v>
      </c>
      <c r="I435" s="57">
        <v>1</v>
      </c>
      <c r="J435" s="107" t="s">
        <v>432</v>
      </c>
      <c r="K435" s="107" t="s">
        <v>432</v>
      </c>
      <c r="L435" s="107" t="s">
        <v>432</v>
      </c>
      <c r="M435" s="107" t="s">
        <v>432</v>
      </c>
      <c r="N435" s="107" t="s">
        <v>432</v>
      </c>
      <c r="O435" s="107" t="s">
        <v>432</v>
      </c>
      <c r="P435" s="107" t="s">
        <v>432</v>
      </c>
      <c r="Q435" s="107" t="s">
        <v>432</v>
      </c>
      <c r="R435" s="107" t="s">
        <v>432</v>
      </c>
      <c r="S435" s="109" t="s">
        <v>2209</v>
      </c>
      <c r="T435" s="107" t="s">
        <v>432</v>
      </c>
      <c r="U435" s="107" t="s">
        <v>432</v>
      </c>
      <c r="V435" s="109" t="s">
        <v>2209</v>
      </c>
      <c r="W435" s="107" t="s">
        <v>432</v>
      </c>
      <c r="X435" s="107" t="s">
        <v>432</v>
      </c>
      <c r="Y435" s="107" t="s">
        <v>432</v>
      </c>
      <c r="Z435" s="107" t="s">
        <v>432</v>
      </c>
      <c r="AA435" s="107" t="s">
        <v>432</v>
      </c>
      <c r="AB435" s="107" t="s">
        <v>432</v>
      </c>
      <c r="AC435" s="107" t="s">
        <v>432</v>
      </c>
      <c r="AD435" s="107" t="s">
        <v>432</v>
      </c>
      <c r="AE435" s="107" t="s">
        <v>432</v>
      </c>
      <c r="AF435" s="107" t="s">
        <v>432</v>
      </c>
      <c r="AG435" s="107" t="s">
        <v>432</v>
      </c>
      <c r="AH435" s="107" t="s">
        <v>432</v>
      </c>
      <c r="AI435" s="107" t="s">
        <v>432</v>
      </c>
      <c r="AJ435" s="107" t="s">
        <v>432</v>
      </c>
      <c r="AK435" s="95">
        <v>0.81</v>
      </c>
      <c r="AL435" s="600" t="s">
        <v>432</v>
      </c>
      <c r="AM435" s="137" t="s">
        <v>432</v>
      </c>
      <c r="AN435" s="137" t="s">
        <v>432</v>
      </c>
      <c r="AO435" s="137" t="s">
        <v>432</v>
      </c>
      <c r="AP435" s="137" t="s">
        <v>432</v>
      </c>
      <c r="AQ435" s="137" t="s">
        <v>432</v>
      </c>
      <c r="AR435" s="137" t="s">
        <v>432</v>
      </c>
      <c r="AS435" s="137" t="s">
        <v>432</v>
      </c>
      <c r="AT435" s="137" t="s">
        <v>432</v>
      </c>
      <c r="AU435" s="137" t="s">
        <v>432</v>
      </c>
      <c r="AV435" s="137" t="s">
        <v>432</v>
      </c>
      <c r="AW435" s="137" t="s">
        <v>432</v>
      </c>
      <c r="AX435" s="137" t="s">
        <v>432</v>
      </c>
      <c r="AY435" s="137" t="s">
        <v>432</v>
      </c>
      <c r="AZ435" s="137" t="s">
        <v>432</v>
      </c>
      <c r="BA435" s="137" t="s">
        <v>432</v>
      </c>
      <c r="BB435" s="239" t="str">
        <f t="shared" si="81"/>
        <v>BRTacessibilidade</v>
      </c>
      <c r="BC435" s="239" t="str">
        <f t="shared" si="82"/>
        <v>BRTacessibilidadex</v>
      </c>
      <c r="BD435" s="239" t="str">
        <f t="shared" si="83"/>
        <v>BRTx</v>
      </c>
    </row>
    <row r="436" spans="1:56" s="105" customFormat="1" ht="38.25" x14ac:dyDescent="0.25">
      <c r="A436" s="275" t="str">
        <f>'Q100b-totais'!B54</f>
        <v>8.2</v>
      </c>
      <c r="B436" s="13" t="str">
        <f>'Q100b-totais'!C54</f>
        <v>BRT</v>
      </c>
      <c r="C436" s="167" t="s">
        <v>743</v>
      </c>
      <c r="D436" s="324" t="s">
        <v>5535</v>
      </c>
      <c r="E436" s="1491" t="s">
        <v>1306</v>
      </c>
      <c r="F436" s="1205" t="s">
        <v>5844</v>
      </c>
      <c r="G436" s="110" t="s">
        <v>5578</v>
      </c>
      <c r="H436" s="173" t="s">
        <v>432</v>
      </c>
      <c r="I436" s="57">
        <v>1</v>
      </c>
      <c r="J436" s="107" t="s">
        <v>432</v>
      </c>
      <c r="K436" s="107" t="s">
        <v>432</v>
      </c>
      <c r="L436" s="107" t="s">
        <v>432</v>
      </c>
      <c r="M436" s="107" t="s">
        <v>432</v>
      </c>
      <c r="N436" s="107" t="s">
        <v>432</v>
      </c>
      <c r="O436" s="107" t="s">
        <v>432</v>
      </c>
      <c r="P436" s="107" t="s">
        <v>432</v>
      </c>
      <c r="Q436" s="107" t="s">
        <v>432</v>
      </c>
      <c r="R436" s="107" t="s">
        <v>432</v>
      </c>
      <c r="S436" s="109" t="s">
        <v>2209</v>
      </c>
      <c r="T436" s="107" t="s">
        <v>432</v>
      </c>
      <c r="U436" s="107" t="s">
        <v>432</v>
      </c>
      <c r="V436" s="109" t="s">
        <v>2209</v>
      </c>
      <c r="W436" s="107" t="s">
        <v>432</v>
      </c>
      <c r="X436" s="107" t="s">
        <v>432</v>
      </c>
      <c r="Y436" s="107" t="s">
        <v>432</v>
      </c>
      <c r="Z436" s="107" t="s">
        <v>432</v>
      </c>
      <c r="AA436" s="107" t="s">
        <v>432</v>
      </c>
      <c r="AB436" s="107" t="s">
        <v>432</v>
      </c>
      <c r="AC436" s="107" t="s">
        <v>432</v>
      </c>
      <c r="AD436" s="107" t="s">
        <v>432</v>
      </c>
      <c r="AE436" s="107" t="s">
        <v>432</v>
      </c>
      <c r="AF436" s="107" t="s">
        <v>432</v>
      </c>
      <c r="AG436" s="107" t="s">
        <v>432</v>
      </c>
      <c r="AH436" s="107" t="s">
        <v>432</v>
      </c>
      <c r="AI436" s="107" t="s">
        <v>432</v>
      </c>
      <c r="AJ436" s="107" t="s">
        <v>432</v>
      </c>
      <c r="AK436" s="95">
        <v>0.63</v>
      </c>
      <c r="AL436" s="600" t="s">
        <v>432</v>
      </c>
      <c r="AM436" s="137" t="s">
        <v>432</v>
      </c>
      <c r="AN436" s="137" t="s">
        <v>432</v>
      </c>
      <c r="AO436" s="137" t="s">
        <v>432</v>
      </c>
      <c r="AP436" s="137" t="s">
        <v>432</v>
      </c>
      <c r="AQ436" s="137" t="s">
        <v>432</v>
      </c>
      <c r="AR436" s="137" t="s">
        <v>432</v>
      </c>
      <c r="AS436" s="137" t="s">
        <v>432</v>
      </c>
      <c r="AT436" s="137" t="s">
        <v>432</v>
      </c>
      <c r="AU436" s="137" t="s">
        <v>432</v>
      </c>
      <c r="AV436" s="137" t="s">
        <v>432</v>
      </c>
      <c r="AW436" s="137" t="s">
        <v>432</v>
      </c>
      <c r="AX436" s="137" t="s">
        <v>432</v>
      </c>
      <c r="AY436" s="137" t="s">
        <v>432</v>
      </c>
      <c r="AZ436" s="137" t="s">
        <v>432</v>
      </c>
      <c r="BA436" s="137" t="s">
        <v>432</v>
      </c>
      <c r="BB436" s="239" t="str">
        <f t="shared" si="81"/>
        <v>BRTacessibilidade</v>
      </c>
      <c r="BC436" s="239" t="str">
        <f t="shared" si="82"/>
        <v>BRTacessibilidadex</v>
      </c>
      <c r="BD436" s="239" t="str">
        <f t="shared" si="83"/>
        <v>BRTx</v>
      </c>
    </row>
    <row r="437" spans="1:56" s="105" customFormat="1" ht="57.75" customHeight="1" x14ac:dyDescent="0.25">
      <c r="A437" s="275" t="str">
        <f>'Q100b-totais'!B54</f>
        <v>8.2</v>
      </c>
      <c r="B437" s="13" t="str">
        <f>'Q100b-totais'!C54</f>
        <v>BRT</v>
      </c>
      <c r="C437" s="167" t="s">
        <v>743</v>
      </c>
      <c r="D437" s="324" t="s">
        <v>5557</v>
      </c>
      <c r="E437" s="1491" t="s">
        <v>1306</v>
      </c>
      <c r="F437" s="1205" t="s">
        <v>5845</v>
      </c>
      <c r="G437" s="110" t="s">
        <v>5578</v>
      </c>
      <c r="H437" s="173" t="s">
        <v>432</v>
      </c>
      <c r="I437" s="57">
        <v>1</v>
      </c>
      <c r="J437" s="107" t="s">
        <v>432</v>
      </c>
      <c r="K437" s="107" t="s">
        <v>432</v>
      </c>
      <c r="L437" s="107" t="s">
        <v>432</v>
      </c>
      <c r="M437" s="107" t="s">
        <v>432</v>
      </c>
      <c r="N437" s="107" t="s">
        <v>432</v>
      </c>
      <c r="O437" s="107" t="s">
        <v>432</v>
      </c>
      <c r="P437" s="107" t="s">
        <v>432</v>
      </c>
      <c r="Q437" s="107" t="s">
        <v>432</v>
      </c>
      <c r="R437" s="107" t="s">
        <v>432</v>
      </c>
      <c r="S437" s="109" t="s">
        <v>2209</v>
      </c>
      <c r="T437" s="107" t="s">
        <v>432</v>
      </c>
      <c r="U437" s="107" t="s">
        <v>432</v>
      </c>
      <c r="V437" s="109" t="s">
        <v>2209</v>
      </c>
      <c r="W437" s="107" t="s">
        <v>432</v>
      </c>
      <c r="X437" s="107" t="s">
        <v>432</v>
      </c>
      <c r="Y437" s="107" t="s">
        <v>432</v>
      </c>
      <c r="Z437" s="107" t="s">
        <v>432</v>
      </c>
      <c r="AA437" s="107" t="s">
        <v>432</v>
      </c>
      <c r="AB437" s="107" t="s">
        <v>432</v>
      </c>
      <c r="AC437" s="107" t="s">
        <v>432</v>
      </c>
      <c r="AD437" s="107" t="s">
        <v>432</v>
      </c>
      <c r="AE437" s="107" t="s">
        <v>432</v>
      </c>
      <c r="AF437" s="107" t="s">
        <v>432</v>
      </c>
      <c r="AG437" s="107" t="s">
        <v>432</v>
      </c>
      <c r="AH437" s="107" t="s">
        <v>432</v>
      </c>
      <c r="AI437" s="107" t="s">
        <v>432</v>
      </c>
      <c r="AJ437" s="107" t="s">
        <v>432</v>
      </c>
      <c r="AK437" s="95">
        <v>0.52</v>
      </c>
      <c r="AL437" s="600" t="s">
        <v>432</v>
      </c>
      <c r="AM437" s="137" t="s">
        <v>432</v>
      </c>
      <c r="AN437" s="137" t="s">
        <v>432</v>
      </c>
      <c r="AO437" s="137" t="s">
        <v>432</v>
      </c>
      <c r="AP437" s="137" t="s">
        <v>432</v>
      </c>
      <c r="AQ437" s="137" t="s">
        <v>432</v>
      </c>
      <c r="AR437" s="137" t="s">
        <v>432</v>
      </c>
      <c r="AS437" s="137" t="s">
        <v>432</v>
      </c>
      <c r="AT437" s="137" t="s">
        <v>432</v>
      </c>
      <c r="AU437" s="137" t="s">
        <v>432</v>
      </c>
      <c r="AV437" s="137" t="s">
        <v>432</v>
      </c>
      <c r="AW437" s="137" t="s">
        <v>432</v>
      </c>
      <c r="AX437" s="137" t="s">
        <v>432</v>
      </c>
      <c r="AY437" s="137" t="s">
        <v>432</v>
      </c>
      <c r="AZ437" s="137" t="s">
        <v>432</v>
      </c>
      <c r="BA437" s="137" t="s">
        <v>432</v>
      </c>
      <c r="BB437" s="239" t="str">
        <f t="shared" si="81"/>
        <v>BRTacessibilidade</v>
      </c>
      <c r="BC437" s="239" t="str">
        <f t="shared" si="82"/>
        <v>BRTacessibilidadex</v>
      </c>
      <c r="BD437" s="239" t="str">
        <f t="shared" si="83"/>
        <v>BRTx</v>
      </c>
    </row>
    <row r="438" spans="1:56" s="105" customFormat="1" ht="38.25" x14ac:dyDescent="0.25">
      <c r="A438" s="275" t="str">
        <f>'Q100b-totais'!B54</f>
        <v>8.2</v>
      </c>
      <c r="B438" s="13" t="str">
        <f>'Q100b-totais'!C54</f>
        <v>BRT</v>
      </c>
      <c r="C438" s="167" t="s">
        <v>743</v>
      </c>
      <c r="D438" s="324" t="s">
        <v>5539</v>
      </c>
      <c r="E438" s="1491" t="s">
        <v>1306</v>
      </c>
      <c r="F438" s="1205" t="s">
        <v>5846</v>
      </c>
      <c r="G438" s="110" t="s">
        <v>5578</v>
      </c>
      <c r="H438" s="173" t="s">
        <v>432</v>
      </c>
      <c r="I438" s="57">
        <v>1</v>
      </c>
      <c r="J438" s="107" t="s">
        <v>432</v>
      </c>
      <c r="K438" s="107" t="s">
        <v>432</v>
      </c>
      <c r="L438" s="107" t="s">
        <v>432</v>
      </c>
      <c r="M438" s="107" t="s">
        <v>432</v>
      </c>
      <c r="N438" s="107" t="s">
        <v>432</v>
      </c>
      <c r="O438" s="107" t="s">
        <v>432</v>
      </c>
      <c r="P438" s="107" t="s">
        <v>432</v>
      </c>
      <c r="Q438" s="107" t="s">
        <v>432</v>
      </c>
      <c r="R438" s="107" t="s">
        <v>432</v>
      </c>
      <c r="S438" s="109" t="s">
        <v>2209</v>
      </c>
      <c r="T438" s="107" t="s">
        <v>432</v>
      </c>
      <c r="U438" s="107" t="s">
        <v>432</v>
      </c>
      <c r="V438" s="109" t="s">
        <v>2209</v>
      </c>
      <c r="W438" s="107" t="s">
        <v>432</v>
      </c>
      <c r="X438" s="107" t="s">
        <v>432</v>
      </c>
      <c r="Y438" s="107" t="s">
        <v>432</v>
      </c>
      <c r="Z438" s="107" t="s">
        <v>432</v>
      </c>
      <c r="AA438" s="107" t="s">
        <v>432</v>
      </c>
      <c r="AB438" s="107" t="s">
        <v>432</v>
      </c>
      <c r="AC438" s="107" t="s">
        <v>432</v>
      </c>
      <c r="AD438" s="107" t="s">
        <v>432</v>
      </c>
      <c r="AE438" s="107" t="s">
        <v>432</v>
      </c>
      <c r="AF438" s="107" t="s">
        <v>432</v>
      </c>
      <c r="AG438" s="107" t="s">
        <v>432</v>
      </c>
      <c r="AH438" s="107" t="s">
        <v>432</v>
      </c>
      <c r="AI438" s="107" t="s">
        <v>432</v>
      </c>
      <c r="AJ438" s="107" t="s">
        <v>432</v>
      </c>
      <c r="AK438" s="95">
        <v>0.56000000000000005</v>
      </c>
      <c r="AL438" s="600" t="s">
        <v>432</v>
      </c>
      <c r="AM438" s="137" t="s">
        <v>432</v>
      </c>
      <c r="AN438" s="137" t="s">
        <v>432</v>
      </c>
      <c r="AO438" s="137" t="s">
        <v>432</v>
      </c>
      <c r="AP438" s="137" t="s">
        <v>432</v>
      </c>
      <c r="AQ438" s="137" t="s">
        <v>432</v>
      </c>
      <c r="AR438" s="137" t="s">
        <v>432</v>
      </c>
      <c r="AS438" s="137" t="s">
        <v>432</v>
      </c>
      <c r="AT438" s="137" t="s">
        <v>432</v>
      </c>
      <c r="AU438" s="137" t="s">
        <v>432</v>
      </c>
      <c r="AV438" s="137" t="s">
        <v>432</v>
      </c>
      <c r="AW438" s="137" t="s">
        <v>432</v>
      </c>
      <c r="AX438" s="137" t="s">
        <v>432</v>
      </c>
      <c r="AY438" s="137" t="s">
        <v>432</v>
      </c>
      <c r="AZ438" s="137" t="s">
        <v>432</v>
      </c>
      <c r="BA438" s="137" t="s">
        <v>432</v>
      </c>
      <c r="BB438" s="239" t="str">
        <f t="shared" si="81"/>
        <v>BRTacessibilidade</v>
      </c>
      <c r="BC438" s="239" t="str">
        <f t="shared" si="82"/>
        <v>BRTacessibilidadex</v>
      </c>
      <c r="BD438" s="239" t="str">
        <f t="shared" si="83"/>
        <v>BRTx</v>
      </c>
    </row>
    <row r="439" spans="1:56" s="3" customFormat="1" x14ac:dyDescent="0.25">
      <c r="A439" s="402"/>
      <c r="B439" s="399"/>
      <c r="C439" s="399"/>
      <c r="D439" s="970"/>
      <c r="E439" s="1495"/>
      <c r="F439" s="399"/>
      <c r="G439" s="399"/>
      <c r="H439" s="399"/>
      <c r="I439" s="399"/>
      <c r="J439" s="399"/>
      <c r="K439" s="399"/>
      <c r="L439" s="399"/>
      <c r="M439" s="399"/>
      <c r="N439" s="399"/>
      <c r="O439" s="399"/>
      <c r="P439" s="399"/>
      <c r="Q439" s="399"/>
      <c r="R439" s="399"/>
      <c r="S439" s="399"/>
      <c r="T439" s="399"/>
      <c r="U439" s="399"/>
      <c r="V439" s="399"/>
      <c r="W439" s="399"/>
      <c r="X439" s="399"/>
      <c r="Y439" s="221"/>
      <c r="Z439" s="221"/>
      <c r="AA439" s="221"/>
      <c r="AB439" s="221"/>
      <c r="AC439" s="221"/>
      <c r="AD439" s="221"/>
      <c r="AE439" s="221"/>
      <c r="AF439" s="221"/>
      <c r="AG439" s="221"/>
      <c r="AH439" s="221"/>
      <c r="AI439" s="221"/>
      <c r="AJ439" s="221"/>
      <c r="AK439" s="223"/>
      <c r="AL439" s="223"/>
      <c r="AM439" s="223"/>
      <c r="AN439" s="223"/>
      <c r="AO439" s="223"/>
      <c r="AP439" s="223"/>
      <c r="AQ439" s="223"/>
      <c r="AR439" s="223"/>
      <c r="AS439" s="223"/>
      <c r="AT439" s="223"/>
      <c r="AU439" s="223"/>
      <c r="AV439" s="223"/>
      <c r="AW439" s="223"/>
      <c r="AX439" s="223"/>
      <c r="AY439" s="223"/>
      <c r="AZ439" s="223"/>
      <c r="BA439" s="223"/>
      <c r="BB439" s="400"/>
      <c r="BC439" s="400"/>
      <c r="BD439" s="400"/>
    </row>
    <row r="440" spans="1:56" s="105" customFormat="1" ht="38.25" x14ac:dyDescent="0.25">
      <c r="A440" s="275" t="str">
        <f>'Q100b-totais'!B54</f>
        <v>8.2</v>
      </c>
      <c r="B440" s="13" t="str">
        <f>'Q100b-totais'!C54</f>
        <v>BRT</v>
      </c>
      <c r="C440" s="167" t="s">
        <v>743</v>
      </c>
      <c r="D440" s="362" t="s">
        <v>5527</v>
      </c>
      <c r="E440" s="1494" t="s">
        <v>1306</v>
      </c>
      <c r="F440" s="1478" t="s">
        <v>5847</v>
      </c>
      <c r="G440" s="110" t="s">
        <v>5578</v>
      </c>
      <c r="H440" s="173" t="s">
        <v>432</v>
      </c>
      <c r="I440" s="57">
        <v>1</v>
      </c>
      <c r="J440" s="107" t="s">
        <v>432</v>
      </c>
      <c r="K440" s="107" t="s">
        <v>432</v>
      </c>
      <c r="L440" s="107" t="s">
        <v>432</v>
      </c>
      <c r="M440" s="107" t="s">
        <v>432</v>
      </c>
      <c r="N440" s="107" t="s">
        <v>432</v>
      </c>
      <c r="O440" s="107" t="s">
        <v>432</v>
      </c>
      <c r="P440" s="107" t="s">
        <v>432</v>
      </c>
      <c r="Q440" s="107" t="s">
        <v>432</v>
      </c>
      <c r="R440" s="107" t="s">
        <v>432</v>
      </c>
      <c r="S440" s="109" t="s">
        <v>2209</v>
      </c>
      <c r="T440" s="107" t="s">
        <v>432</v>
      </c>
      <c r="U440" s="107" t="s">
        <v>432</v>
      </c>
      <c r="V440" s="109" t="s">
        <v>2209</v>
      </c>
      <c r="W440" s="107" t="s">
        <v>432</v>
      </c>
      <c r="X440" s="107" t="s">
        <v>432</v>
      </c>
      <c r="Y440" s="107" t="s">
        <v>432</v>
      </c>
      <c r="Z440" s="107" t="s">
        <v>432</v>
      </c>
      <c r="AA440" s="107" t="s">
        <v>432</v>
      </c>
      <c r="AB440" s="107" t="s">
        <v>432</v>
      </c>
      <c r="AC440" s="107" t="s">
        <v>432</v>
      </c>
      <c r="AD440" s="107" t="s">
        <v>432</v>
      </c>
      <c r="AE440" s="107" t="s">
        <v>432</v>
      </c>
      <c r="AF440" s="107" t="s">
        <v>432</v>
      </c>
      <c r="AG440" s="107" t="s">
        <v>432</v>
      </c>
      <c r="AH440" s="107" t="s">
        <v>432</v>
      </c>
      <c r="AI440" s="107" t="s">
        <v>432</v>
      </c>
      <c r="AJ440" s="107" t="s">
        <v>432</v>
      </c>
      <c r="AK440" s="95">
        <v>0.61</v>
      </c>
      <c r="AL440" s="600" t="s">
        <v>432</v>
      </c>
      <c r="AM440" s="137" t="s">
        <v>432</v>
      </c>
      <c r="AN440" s="137" t="s">
        <v>432</v>
      </c>
      <c r="AO440" s="137" t="s">
        <v>432</v>
      </c>
      <c r="AP440" s="137" t="s">
        <v>432</v>
      </c>
      <c r="AQ440" s="137" t="s">
        <v>432</v>
      </c>
      <c r="AR440" s="137" t="s">
        <v>432</v>
      </c>
      <c r="AS440" s="137" t="s">
        <v>432</v>
      </c>
      <c r="AT440" s="137" t="s">
        <v>432</v>
      </c>
      <c r="AU440" s="137" t="s">
        <v>432</v>
      </c>
      <c r="AV440" s="137" t="s">
        <v>432</v>
      </c>
      <c r="AW440" s="137" t="s">
        <v>432</v>
      </c>
      <c r="AX440" s="137" t="s">
        <v>432</v>
      </c>
      <c r="AY440" s="137" t="s">
        <v>432</v>
      </c>
      <c r="AZ440" s="137" t="s">
        <v>432</v>
      </c>
      <c r="BA440" s="137" t="s">
        <v>432</v>
      </c>
      <c r="BB440" s="239" t="str">
        <f t="shared" ref="BB440:BB460" si="84">B440&amp;C440</f>
        <v>BRTacessibilidade</v>
      </c>
      <c r="BC440" s="239" t="str">
        <f t="shared" ref="BC440:BC460" si="85">B440&amp;C440&amp;H440</f>
        <v>BRTacessibilidadex</v>
      </c>
      <c r="BD440" s="239" t="str">
        <f t="shared" ref="BD440:BD460" si="86">B440&amp;H440</f>
        <v>BRTx</v>
      </c>
    </row>
    <row r="441" spans="1:56" s="105" customFormat="1" ht="38.25" x14ac:dyDescent="0.25">
      <c r="A441" s="275" t="str">
        <f>'Q100b-totais'!B54</f>
        <v>8.2</v>
      </c>
      <c r="B441" s="13" t="str">
        <f>'Q100b-totais'!C54</f>
        <v>BRT</v>
      </c>
      <c r="C441" s="167" t="s">
        <v>743</v>
      </c>
      <c r="D441" s="324" t="s">
        <v>5625</v>
      </c>
      <c r="E441" s="1491" t="s">
        <v>1306</v>
      </c>
      <c r="F441" s="1205" t="s">
        <v>5848</v>
      </c>
      <c r="G441" s="110" t="s">
        <v>5578</v>
      </c>
      <c r="H441" s="173" t="s">
        <v>432</v>
      </c>
      <c r="I441" s="57">
        <v>1</v>
      </c>
      <c r="J441" s="107" t="s">
        <v>432</v>
      </c>
      <c r="K441" s="107" t="s">
        <v>432</v>
      </c>
      <c r="L441" s="107" t="s">
        <v>432</v>
      </c>
      <c r="M441" s="107" t="s">
        <v>432</v>
      </c>
      <c r="N441" s="107" t="s">
        <v>432</v>
      </c>
      <c r="O441" s="107" t="s">
        <v>432</v>
      </c>
      <c r="P441" s="107" t="s">
        <v>432</v>
      </c>
      <c r="Q441" s="107" t="s">
        <v>432</v>
      </c>
      <c r="R441" s="107" t="s">
        <v>432</v>
      </c>
      <c r="S441" s="109" t="s">
        <v>2209</v>
      </c>
      <c r="T441" s="107" t="s">
        <v>432</v>
      </c>
      <c r="U441" s="107" t="s">
        <v>432</v>
      </c>
      <c r="V441" s="109" t="s">
        <v>2209</v>
      </c>
      <c r="W441" s="107" t="s">
        <v>432</v>
      </c>
      <c r="X441" s="107" t="s">
        <v>432</v>
      </c>
      <c r="Y441" s="107" t="s">
        <v>432</v>
      </c>
      <c r="Z441" s="107" t="s">
        <v>432</v>
      </c>
      <c r="AA441" s="107" t="s">
        <v>432</v>
      </c>
      <c r="AB441" s="107" t="s">
        <v>432</v>
      </c>
      <c r="AC441" s="107" t="s">
        <v>432</v>
      </c>
      <c r="AD441" s="107" t="s">
        <v>432</v>
      </c>
      <c r="AE441" s="107" t="s">
        <v>432</v>
      </c>
      <c r="AF441" s="107" t="s">
        <v>432</v>
      </c>
      <c r="AG441" s="107" t="s">
        <v>432</v>
      </c>
      <c r="AH441" s="107" t="s">
        <v>432</v>
      </c>
      <c r="AI441" s="107" t="s">
        <v>432</v>
      </c>
      <c r="AJ441" s="107" t="s">
        <v>432</v>
      </c>
      <c r="AK441" s="95">
        <v>0.45</v>
      </c>
      <c r="AL441" s="600" t="s">
        <v>432</v>
      </c>
      <c r="AM441" s="137" t="s">
        <v>432</v>
      </c>
      <c r="AN441" s="137" t="s">
        <v>432</v>
      </c>
      <c r="AO441" s="137" t="s">
        <v>432</v>
      </c>
      <c r="AP441" s="137" t="s">
        <v>432</v>
      </c>
      <c r="AQ441" s="137" t="s">
        <v>432</v>
      </c>
      <c r="AR441" s="137" t="s">
        <v>432</v>
      </c>
      <c r="AS441" s="137" t="s">
        <v>432</v>
      </c>
      <c r="AT441" s="137" t="s">
        <v>432</v>
      </c>
      <c r="AU441" s="137" t="s">
        <v>432</v>
      </c>
      <c r="AV441" s="137" t="s">
        <v>432</v>
      </c>
      <c r="AW441" s="137" t="s">
        <v>432</v>
      </c>
      <c r="AX441" s="137" t="s">
        <v>432</v>
      </c>
      <c r="AY441" s="137" t="s">
        <v>432</v>
      </c>
      <c r="AZ441" s="137" t="s">
        <v>432</v>
      </c>
      <c r="BA441" s="137" t="s">
        <v>432</v>
      </c>
      <c r="BB441" s="239" t="str">
        <f t="shared" si="84"/>
        <v>BRTacessibilidade</v>
      </c>
      <c r="BC441" s="239" t="str">
        <f t="shared" si="85"/>
        <v>BRTacessibilidadex</v>
      </c>
      <c r="BD441" s="239" t="str">
        <f t="shared" si="86"/>
        <v>BRTx</v>
      </c>
    </row>
    <row r="442" spans="1:56" s="105" customFormat="1" ht="38.25" x14ac:dyDescent="0.25">
      <c r="A442" s="275" t="str">
        <f>'Q100b-totais'!B54</f>
        <v>8.2</v>
      </c>
      <c r="B442" s="13" t="str">
        <f>'Q100b-totais'!C54</f>
        <v>BRT</v>
      </c>
      <c r="C442" s="167" t="s">
        <v>743</v>
      </c>
      <c r="D442" s="324" t="s">
        <v>5532</v>
      </c>
      <c r="E442" s="1491" t="s">
        <v>1306</v>
      </c>
      <c r="F442" s="1205" t="s">
        <v>5849</v>
      </c>
      <c r="G442" s="110" t="s">
        <v>5578</v>
      </c>
      <c r="H442" s="173" t="s">
        <v>432</v>
      </c>
      <c r="I442" s="57">
        <v>1</v>
      </c>
      <c r="J442" s="107" t="s">
        <v>432</v>
      </c>
      <c r="K442" s="107" t="s">
        <v>432</v>
      </c>
      <c r="L442" s="107" t="s">
        <v>432</v>
      </c>
      <c r="M442" s="107" t="s">
        <v>432</v>
      </c>
      <c r="N442" s="107" t="s">
        <v>432</v>
      </c>
      <c r="O442" s="107" t="s">
        <v>432</v>
      </c>
      <c r="P442" s="107" t="s">
        <v>432</v>
      </c>
      <c r="Q442" s="107" t="s">
        <v>432</v>
      </c>
      <c r="R442" s="107" t="s">
        <v>432</v>
      </c>
      <c r="S442" s="109" t="s">
        <v>2209</v>
      </c>
      <c r="T442" s="107" t="s">
        <v>432</v>
      </c>
      <c r="U442" s="107" t="s">
        <v>432</v>
      </c>
      <c r="V442" s="109" t="s">
        <v>2209</v>
      </c>
      <c r="W442" s="107" t="s">
        <v>432</v>
      </c>
      <c r="X442" s="107" t="s">
        <v>432</v>
      </c>
      <c r="Y442" s="107" t="s">
        <v>432</v>
      </c>
      <c r="Z442" s="107" t="s">
        <v>432</v>
      </c>
      <c r="AA442" s="107" t="s">
        <v>432</v>
      </c>
      <c r="AB442" s="107" t="s">
        <v>432</v>
      </c>
      <c r="AC442" s="107" t="s">
        <v>432</v>
      </c>
      <c r="AD442" s="107" t="s">
        <v>432</v>
      </c>
      <c r="AE442" s="107" t="s">
        <v>432</v>
      </c>
      <c r="AF442" s="107" t="s">
        <v>432</v>
      </c>
      <c r="AG442" s="107" t="s">
        <v>432</v>
      </c>
      <c r="AH442" s="107" t="s">
        <v>432</v>
      </c>
      <c r="AI442" s="107" t="s">
        <v>432</v>
      </c>
      <c r="AJ442" s="107" t="s">
        <v>432</v>
      </c>
      <c r="AK442" s="95">
        <v>0.49</v>
      </c>
      <c r="AL442" s="600" t="s">
        <v>432</v>
      </c>
      <c r="AM442" s="137" t="s">
        <v>432</v>
      </c>
      <c r="AN442" s="137" t="s">
        <v>432</v>
      </c>
      <c r="AO442" s="137" t="s">
        <v>432</v>
      </c>
      <c r="AP442" s="137" t="s">
        <v>432</v>
      </c>
      <c r="AQ442" s="137" t="s">
        <v>432</v>
      </c>
      <c r="AR442" s="137" t="s">
        <v>432</v>
      </c>
      <c r="AS442" s="137" t="s">
        <v>432</v>
      </c>
      <c r="AT442" s="137" t="s">
        <v>432</v>
      </c>
      <c r="AU442" s="137" t="s">
        <v>432</v>
      </c>
      <c r="AV442" s="137" t="s">
        <v>432</v>
      </c>
      <c r="AW442" s="137" t="s">
        <v>432</v>
      </c>
      <c r="AX442" s="137" t="s">
        <v>432</v>
      </c>
      <c r="AY442" s="137" t="s">
        <v>432</v>
      </c>
      <c r="AZ442" s="137" t="s">
        <v>432</v>
      </c>
      <c r="BA442" s="137" t="s">
        <v>432</v>
      </c>
      <c r="BB442" s="239" t="str">
        <f t="shared" si="84"/>
        <v>BRTacessibilidade</v>
      </c>
      <c r="BC442" s="239" t="str">
        <f t="shared" si="85"/>
        <v>BRTacessibilidadex</v>
      </c>
      <c r="BD442" s="239" t="str">
        <f t="shared" si="86"/>
        <v>BRTx</v>
      </c>
    </row>
    <row r="443" spans="1:56" s="105" customFormat="1" ht="38.25" x14ac:dyDescent="0.25">
      <c r="A443" s="275" t="str">
        <f>'Q100b-totais'!B54</f>
        <v>8.2</v>
      </c>
      <c r="B443" s="13" t="str">
        <f>'Q100b-totais'!C54</f>
        <v>BRT</v>
      </c>
      <c r="C443" s="167" t="s">
        <v>743</v>
      </c>
      <c r="D443" s="324" t="s">
        <v>5550</v>
      </c>
      <c r="E443" s="1491" t="s">
        <v>1306</v>
      </c>
      <c r="F443" s="1205" t="s">
        <v>5850</v>
      </c>
      <c r="G443" s="110" t="s">
        <v>5578</v>
      </c>
      <c r="H443" s="173" t="s">
        <v>432</v>
      </c>
      <c r="I443" s="57">
        <v>1</v>
      </c>
      <c r="J443" s="107" t="s">
        <v>432</v>
      </c>
      <c r="K443" s="107" t="s">
        <v>432</v>
      </c>
      <c r="L443" s="107" t="s">
        <v>432</v>
      </c>
      <c r="M443" s="107" t="s">
        <v>432</v>
      </c>
      <c r="N443" s="107" t="s">
        <v>432</v>
      </c>
      <c r="O443" s="107" t="s">
        <v>432</v>
      </c>
      <c r="P443" s="107" t="s">
        <v>432</v>
      </c>
      <c r="Q443" s="107" t="s">
        <v>432</v>
      </c>
      <c r="R443" s="107" t="s">
        <v>432</v>
      </c>
      <c r="S443" s="109" t="s">
        <v>2209</v>
      </c>
      <c r="T443" s="107" t="s">
        <v>432</v>
      </c>
      <c r="U443" s="107" t="s">
        <v>432</v>
      </c>
      <c r="V443" s="109" t="s">
        <v>2209</v>
      </c>
      <c r="W443" s="107" t="s">
        <v>432</v>
      </c>
      <c r="X443" s="107" t="s">
        <v>432</v>
      </c>
      <c r="Y443" s="107" t="s">
        <v>432</v>
      </c>
      <c r="Z443" s="107" t="s">
        <v>432</v>
      </c>
      <c r="AA443" s="107" t="s">
        <v>432</v>
      </c>
      <c r="AB443" s="107" t="s">
        <v>432</v>
      </c>
      <c r="AC443" s="107" t="s">
        <v>432</v>
      </c>
      <c r="AD443" s="107" t="s">
        <v>432</v>
      </c>
      <c r="AE443" s="107" t="s">
        <v>432</v>
      </c>
      <c r="AF443" s="107" t="s">
        <v>432</v>
      </c>
      <c r="AG443" s="107" t="s">
        <v>432</v>
      </c>
      <c r="AH443" s="107" t="s">
        <v>432</v>
      </c>
      <c r="AI443" s="107" t="s">
        <v>432</v>
      </c>
      <c r="AJ443" s="107" t="s">
        <v>432</v>
      </c>
      <c r="AK443" s="95">
        <v>1</v>
      </c>
      <c r="AL443" s="600" t="s">
        <v>432</v>
      </c>
      <c r="AM443" s="137" t="s">
        <v>432</v>
      </c>
      <c r="AN443" s="137" t="s">
        <v>432</v>
      </c>
      <c r="AO443" s="137" t="s">
        <v>432</v>
      </c>
      <c r="AP443" s="137" t="s">
        <v>432</v>
      </c>
      <c r="AQ443" s="137" t="s">
        <v>432</v>
      </c>
      <c r="AR443" s="137" t="s">
        <v>432</v>
      </c>
      <c r="AS443" s="137" t="s">
        <v>432</v>
      </c>
      <c r="AT443" s="137" t="s">
        <v>432</v>
      </c>
      <c r="AU443" s="137" t="s">
        <v>432</v>
      </c>
      <c r="AV443" s="137" t="s">
        <v>432</v>
      </c>
      <c r="AW443" s="137" t="s">
        <v>432</v>
      </c>
      <c r="AX443" s="137" t="s">
        <v>432</v>
      </c>
      <c r="AY443" s="137" t="s">
        <v>432</v>
      </c>
      <c r="AZ443" s="137" t="s">
        <v>432</v>
      </c>
      <c r="BA443" s="137" t="s">
        <v>432</v>
      </c>
      <c r="BB443" s="239" t="str">
        <f t="shared" si="84"/>
        <v>BRTacessibilidade</v>
      </c>
      <c r="BC443" s="239" t="str">
        <f t="shared" si="85"/>
        <v>BRTacessibilidadex</v>
      </c>
      <c r="BD443" s="239" t="str">
        <f t="shared" si="86"/>
        <v>BRTx</v>
      </c>
    </row>
    <row r="444" spans="1:56" s="105" customFormat="1" ht="38.25" x14ac:dyDescent="0.25">
      <c r="A444" s="275" t="str">
        <f>'Q100b-totais'!B54</f>
        <v>8.2</v>
      </c>
      <c r="B444" s="13" t="str">
        <f>'Q100b-totais'!C54</f>
        <v>BRT</v>
      </c>
      <c r="C444" s="167" t="s">
        <v>743</v>
      </c>
      <c r="D444" s="324" t="s">
        <v>5554</v>
      </c>
      <c r="E444" s="1491" t="s">
        <v>1306</v>
      </c>
      <c r="F444" s="1205" t="s">
        <v>5851</v>
      </c>
      <c r="G444" s="110" t="s">
        <v>5578</v>
      </c>
      <c r="H444" s="173" t="s">
        <v>432</v>
      </c>
      <c r="I444" s="57">
        <v>1</v>
      </c>
      <c r="J444" s="107" t="s">
        <v>432</v>
      </c>
      <c r="K444" s="107" t="s">
        <v>432</v>
      </c>
      <c r="L444" s="107" t="s">
        <v>432</v>
      </c>
      <c r="M444" s="107" t="s">
        <v>432</v>
      </c>
      <c r="N444" s="107" t="s">
        <v>432</v>
      </c>
      <c r="O444" s="107" t="s">
        <v>432</v>
      </c>
      <c r="P444" s="107" t="s">
        <v>432</v>
      </c>
      <c r="Q444" s="107" t="s">
        <v>432</v>
      </c>
      <c r="R444" s="107" t="s">
        <v>432</v>
      </c>
      <c r="S444" s="109" t="s">
        <v>2209</v>
      </c>
      <c r="T444" s="107" t="s">
        <v>432</v>
      </c>
      <c r="U444" s="107" t="s">
        <v>432</v>
      </c>
      <c r="V444" s="109" t="s">
        <v>2209</v>
      </c>
      <c r="W444" s="107" t="s">
        <v>432</v>
      </c>
      <c r="X444" s="107" t="s">
        <v>432</v>
      </c>
      <c r="Y444" s="107" t="s">
        <v>432</v>
      </c>
      <c r="Z444" s="107" t="s">
        <v>432</v>
      </c>
      <c r="AA444" s="107" t="s">
        <v>432</v>
      </c>
      <c r="AB444" s="107" t="s">
        <v>432</v>
      </c>
      <c r="AC444" s="107" t="s">
        <v>432</v>
      </c>
      <c r="AD444" s="107" t="s">
        <v>432</v>
      </c>
      <c r="AE444" s="107" t="s">
        <v>432</v>
      </c>
      <c r="AF444" s="107" t="s">
        <v>432</v>
      </c>
      <c r="AG444" s="107" t="s">
        <v>432</v>
      </c>
      <c r="AH444" s="107" t="s">
        <v>432</v>
      </c>
      <c r="AI444" s="107" t="s">
        <v>432</v>
      </c>
      <c r="AJ444" s="107" t="s">
        <v>432</v>
      </c>
      <c r="AK444" s="95">
        <v>0</v>
      </c>
      <c r="AL444" s="600" t="s">
        <v>432</v>
      </c>
      <c r="AM444" s="137" t="s">
        <v>432</v>
      </c>
      <c r="AN444" s="137" t="s">
        <v>432</v>
      </c>
      <c r="AO444" s="137" t="s">
        <v>432</v>
      </c>
      <c r="AP444" s="137" t="s">
        <v>432</v>
      </c>
      <c r="AQ444" s="137" t="s">
        <v>432</v>
      </c>
      <c r="AR444" s="137" t="s">
        <v>432</v>
      </c>
      <c r="AS444" s="137" t="s">
        <v>432</v>
      </c>
      <c r="AT444" s="137" t="s">
        <v>432</v>
      </c>
      <c r="AU444" s="137" t="s">
        <v>432</v>
      </c>
      <c r="AV444" s="137" t="s">
        <v>432</v>
      </c>
      <c r="AW444" s="137" t="s">
        <v>432</v>
      </c>
      <c r="AX444" s="137" t="s">
        <v>432</v>
      </c>
      <c r="AY444" s="137" t="s">
        <v>432</v>
      </c>
      <c r="AZ444" s="137" t="s">
        <v>432</v>
      </c>
      <c r="BA444" s="137" t="s">
        <v>432</v>
      </c>
      <c r="BB444" s="239" t="str">
        <f t="shared" si="84"/>
        <v>BRTacessibilidade</v>
      </c>
      <c r="BC444" s="239" t="str">
        <f t="shared" si="85"/>
        <v>BRTacessibilidadex</v>
      </c>
      <c r="BD444" s="239" t="str">
        <f t="shared" si="86"/>
        <v>BRTx</v>
      </c>
    </row>
    <row r="445" spans="1:56" s="105" customFormat="1" ht="38.25" x14ac:dyDescent="0.25">
      <c r="A445" s="275" t="str">
        <f>'Q100b-totais'!B54</f>
        <v>8.2</v>
      </c>
      <c r="B445" s="13" t="str">
        <f>'Q100b-totais'!C54</f>
        <v>BRT</v>
      </c>
      <c r="C445" s="167" t="s">
        <v>743</v>
      </c>
      <c r="D445" s="324" t="s">
        <v>5546</v>
      </c>
      <c r="E445" s="1491" t="s">
        <v>1306</v>
      </c>
      <c r="F445" s="1205" t="s">
        <v>5852</v>
      </c>
      <c r="G445" s="110" t="s">
        <v>5578</v>
      </c>
      <c r="H445" s="173" t="s">
        <v>432</v>
      </c>
      <c r="I445" s="57">
        <v>1</v>
      </c>
      <c r="J445" s="107" t="s">
        <v>432</v>
      </c>
      <c r="K445" s="107" t="s">
        <v>432</v>
      </c>
      <c r="L445" s="107" t="s">
        <v>432</v>
      </c>
      <c r="M445" s="107" t="s">
        <v>432</v>
      </c>
      <c r="N445" s="107" t="s">
        <v>432</v>
      </c>
      <c r="O445" s="107" t="s">
        <v>432</v>
      </c>
      <c r="P445" s="107" t="s">
        <v>432</v>
      </c>
      <c r="Q445" s="107" t="s">
        <v>432</v>
      </c>
      <c r="R445" s="107" t="s">
        <v>432</v>
      </c>
      <c r="S445" s="109" t="s">
        <v>2209</v>
      </c>
      <c r="T445" s="107" t="s">
        <v>432</v>
      </c>
      <c r="U445" s="107" t="s">
        <v>432</v>
      </c>
      <c r="V445" s="109" t="s">
        <v>2209</v>
      </c>
      <c r="W445" s="107" t="s">
        <v>432</v>
      </c>
      <c r="X445" s="107" t="s">
        <v>432</v>
      </c>
      <c r="Y445" s="107" t="s">
        <v>432</v>
      </c>
      <c r="Z445" s="107" t="s">
        <v>432</v>
      </c>
      <c r="AA445" s="107" t="s">
        <v>432</v>
      </c>
      <c r="AB445" s="107" t="s">
        <v>432</v>
      </c>
      <c r="AC445" s="107" t="s">
        <v>432</v>
      </c>
      <c r="AD445" s="107" t="s">
        <v>432</v>
      </c>
      <c r="AE445" s="107" t="s">
        <v>432</v>
      </c>
      <c r="AF445" s="107" t="s">
        <v>432</v>
      </c>
      <c r="AG445" s="107" t="s">
        <v>432</v>
      </c>
      <c r="AH445" s="107" t="s">
        <v>432</v>
      </c>
      <c r="AI445" s="107" t="s">
        <v>432</v>
      </c>
      <c r="AJ445" s="107" t="s">
        <v>432</v>
      </c>
      <c r="AK445" s="95">
        <v>0.27</v>
      </c>
      <c r="AL445" s="600" t="s">
        <v>432</v>
      </c>
      <c r="AM445" s="137" t="s">
        <v>432</v>
      </c>
      <c r="AN445" s="137" t="s">
        <v>432</v>
      </c>
      <c r="AO445" s="137" t="s">
        <v>432</v>
      </c>
      <c r="AP445" s="137" t="s">
        <v>432</v>
      </c>
      <c r="AQ445" s="137" t="s">
        <v>432</v>
      </c>
      <c r="AR445" s="137" t="s">
        <v>432</v>
      </c>
      <c r="AS445" s="137" t="s">
        <v>432</v>
      </c>
      <c r="AT445" s="137" t="s">
        <v>432</v>
      </c>
      <c r="AU445" s="137" t="s">
        <v>432</v>
      </c>
      <c r="AV445" s="137" t="s">
        <v>432</v>
      </c>
      <c r="AW445" s="137" t="s">
        <v>432</v>
      </c>
      <c r="AX445" s="137" t="s">
        <v>432</v>
      </c>
      <c r="AY445" s="137" t="s">
        <v>432</v>
      </c>
      <c r="AZ445" s="137" t="s">
        <v>432</v>
      </c>
      <c r="BA445" s="137" t="s">
        <v>432</v>
      </c>
      <c r="BB445" s="239" t="str">
        <f t="shared" si="84"/>
        <v>BRTacessibilidade</v>
      </c>
      <c r="BC445" s="239" t="str">
        <f t="shared" si="85"/>
        <v>BRTacessibilidadex</v>
      </c>
      <c r="BD445" s="239" t="str">
        <f t="shared" si="86"/>
        <v>BRTx</v>
      </c>
    </row>
    <row r="446" spans="1:56" s="105" customFormat="1" ht="47.25" x14ac:dyDescent="0.25">
      <c r="A446" s="275" t="str">
        <f>'Q100b-totais'!B54</f>
        <v>8.2</v>
      </c>
      <c r="B446" s="13" t="str">
        <f>'Q100b-totais'!C54</f>
        <v>BRT</v>
      </c>
      <c r="C446" s="167" t="s">
        <v>743</v>
      </c>
      <c r="D446" s="324" t="s">
        <v>5673</v>
      </c>
      <c r="E446" s="1491" t="s">
        <v>1306</v>
      </c>
      <c r="F446" s="1205" t="s">
        <v>5853</v>
      </c>
      <c r="G446" s="110" t="s">
        <v>5578</v>
      </c>
      <c r="H446" s="173" t="s">
        <v>432</v>
      </c>
      <c r="I446" s="57">
        <v>1</v>
      </c>
      <c r="J446" s="107" t="s">
        <v>432</v>
      </c>
      <c r="K446" s="107" t="s">
        <v>432</v>
      </c>
      <c r="L446" s="107" t="s">
        <v>432</v>
      </c>
      <c r="M446" s="107" t="s">
        <v>432</v>
      </c>
      <c r="N446" s="107" t="s">
        <v>432</v>
      </c>
      <c r="O446" s="107" t="s">
        <v>432</v>
      </c>
      <c r="P446" s="107" t="s">
        <v>432</v>
      </c>
      <c r="Q446" s="107" t="s">
        <v>432</v>
      </c>
      <c r="R446" s="107" t="s">
        <v>432</v>
      </c>
      <c r="S446" s="109" t="s">
        <v>2209</v>
      </c>
      <c r="T446" s="107" t="s">
        <v>432</v>
      </c>
      <c r="U446" s="107" t="s">
        <v>432</v>
      </c>
      <c r="V446" s="109" t="s">
        <v>2209</v>
      </c>
      <c r="W446" s="107" t="s">
        <v>432</v>
      </c>
      <c r="X446" s="107" t="s">
        <v>432</v>
      </c>
      <c r="Y446" s="107" t="s">
        <v>432</v>
      </c>
      <c r="Z446" s="107" t="s">
        <v>432</v>
      </c>
      <c r="AA446" s="107" t="s">
        <v>432</v>
      </c>
      <c r="AB446" s="107" t="s">
        <v>432</v>
      </c>
      <c r="AC446" s="107" t="s">
        <v>432</v>
      </c>
      <c r="AD446" s="107" t="s">
        <v>432</v>
      </c>
      <c r="AE446" s="107" t="s">
        <v>432</v>
      </c>
      <c r="AF446" s="107" t="s">
        <v>432</v>
      </c>
      <c r="AG446" s="107" t="s">
        <v>432</v>
      </c>
      <c r="AH446" s="107" t="s">
        <v>432</v>
      </c>
      <c r="AI446" s="107" t="s">
        <v>432</v>
      </c>
      <c r="AJ446" s="107" t="s">
        <v>432</v>
      </c>
      <c r="AK446" s="95">
        <v>0.56000000000000005</v>
      </c>
      <c r="AL446" s="600" t="s">
        <v>432</v>
      </c>
      <c r="AM446" s="137" t="s">
        <v>432</v>
      </c>
      <c r="AN446" s="137" t="s">
        <v>432</v>
      </c>
      <c r="AO446" s="137" t="s">
        <v>432</v>
      </c>
      <c r="AP446" s="137" t="s">
        <v>432</v>
      </c>
      <c r="AQ446" s="137" t="s">
        <v>432</v>
      </c>
      <c r="AR446" s="137" t="s">
        <v>432</v>
      </c>
      <c r="AS446" s="137" t="s">
        <v>432</v>
      </c>
      <c r="AT446" s="137" t="s">
        <v>432</v>
      </c>
      <c r="AU446" s="137" t="s">
        <v>432</v>
      </c>
      <c r="AV446" s="137" t="s">
        <v>432</v>
      </c>
      <c r="AW446" s="137" t="s">
        <v>432</v>
      </c>
      <c r="AX446" s="137" t="s">
        <v>432</v>
      </c>
      <c r="AY446" s="137" t="s">
        <v>432</v>
      </c>
      <c r="AZ446" s="137" t="s">
        <v>432</v>
      </c>
      <c r="BA446" s="137" t="s">
        <v>432</v>
      </c>
      <c r="BB446" s="239" t="str">
        <f t="shared" si="84"/>
        <v>BRTacessibilidade</v>
      </c>
      <c r="BC446" s="239" t="str">
        <f t="shared" si="85"/>
        <v>BRTacessibilidadex</v>
      </c>
      <c r="BD446" s="239" t="str">
        <f t="shared" si="86"/>
        <v>BRTx</v>
      </c>
    </row>
    <row r="447" spans="1:56" s="105" customFormat="1" ht="51" x14ac:dyDescent="0.25">
      <c r="A447" s="275" t="str">
        <f>'Q100b-totais'!B54</f>
        <v>8.2</v>
      </c>
      <c r="B447" s="13" t="str">
        <f>'Q100b-totais'!C54</f>
        <v>BRT</v>
      </c>
      <c r="C447" s="167" t="s">
        <v>743</v>
      </c>
      <c r="D447" s="324" t="s">
        <v>5674</v>
      </c>
      <c r="E447" s="1491" t="s">
        <v>1306</v>
      </c>
      <c r="F447" s="1205" t="s">
        <v>5854</v>
      </c>
      <c r="G447" s="110" t="s">
        <v>5578</v>
      </c>
      <c r="H447" s="173" t="s">
        <v>432</v>
      </c>
      <c r="I447" s="57">
        <v>1</v>
      </c>
      <c r="J447" s="107" t="s">
        <v>432</v>
      </c>
      <c r="K447" s="107" t="s">
        <v>432</v>
      </c>
      <c r="L447" s="107" t="s">
        <v>432</v>
      </c>
      <c r="M447" s="107" t="s">
        <v>432</v>
      </c>
      <c r="N447" s="107" t="s">
        <v>432</v>
      </c>
      <c r="O447" s="107" t="s">
        <v>432</v>
      </c>
      <c r="P447" s="107" t="s">
        <v>432</v>
      </c>
      <c r="Q447" s="107" t="s">
        <v>432</v>
      </c>
      <c r="R447" s="107" t="s">
        <v>432</v>
      </c>
      <c r="S447" s="109" t="s">
        <v>2209</v>
      </c>
      <c r="T447" s="107" t="s">
        <v>432</v>
      </c>
      <c r="U447" s="107" t="s">
        <v>432</v>
      </c>
      <c r="V447" s="109" t="s">
        <v>2209</v>
      </c>
      <c r="W447" s="107" t="s">
        <v>432</v>
      </c>
      <c r="X447" s="107" t="s">
        <v>432</v>
      </c>
      <c r="Y447" s="107" t="s">
        <v>432</v>
      </c>
      <c r="Z447" s="107" t="s">
        <v>432</v>
      </c>
      <c r="AA447" s="107" t="s">
        <v>432</v>
      </c>
      <c r="AB447" s="107" t="s">
        <v>432</v>
      </c>
      <c r="AC447" s="107" t="s">
        <v>432</v>
      </c>
      <c r="AD447" s="107" t="s">
        <v>432</v>
      </c>
      <c r="AE447" s="107" t="s">
        <v>432</v>
      </c>
      <c r="AF447" s="107" t="s">
        <v>432</v>
      </c>
      <c r="AG447" s="107" t="s">
        <v>432</v>
      </c>
      <c r="AH447" s="107" t="s">
        <v>432</v>
      </c>
      <c r="AI447" s="107" t="s">
        <v>432</v>
      </c>
      <c r="AJ447" s="107" t="s">
        <v>432</v>
      </c>
      <c r="AK447" s="95">
        <v>0.62</v>
      </c>
      <c r="AL447" s="600" t="s">
        <v>432</v>
      </c>
      <c r="AM447" s="137" t="s">
        <v>432</v>
      </c>
      <c r="AN447" s="137" t="s">
        <v>432</v>
      </c>
      <c r="AO447" s="137" t="s">
        <v>432</v>
      </c>
      <c r="AP447" s="137" t="s">
        <v>432</v>
      </c>
      <c r="AQ447" s="137" t="s">
        <v>432</v>
      </c>
      <c r="AR447" s="137" t="s">
        <v>432</v>
      </c>
      <c r="AS447" s="137" t="s">
        <v>432</v>
      </c>
      <c r="AT447" s="137" t="s">
        <v>432</v>
      </c>
      <c r="AU447" s="137" t="s">
        <v>432</v>
      </c>
      <c r="AV447" s="137" t="s">
        <v>432</v>
      </c>
      <c r="AW447" s="137" t="s">
        <v>432</v>
      </c>
      <c r="AX447" s="137" t="s">
        <v>432</v>
      </c>
      <c r="AY447" s="137" t="s">
        <v>432</v>
      </c>
      <c r="AZ447" s="137" t="s">
        <v>432</v>
      </c>
      <c r="BA447" s="137" t="s">
        <v>432</v>
      </c>
      <c r="BB447" s="239" t="str">
        <f t="shared" si="84"/>
        <v>BRTacessibilidade</v>
      </c>
      <c r="BC447" s="239" t="str">
        <f t="shared" si="85"/>
        <v>BRTacessibilidadex</v>
      </c>
      <c r="BD447" s="239" t="str">
        <f t="shared" si="86"/>
        <v>BRTx</v>
      </c>
    </row>
    <row r="448" spans="1:56" s="105" customFormat="1" ht="51" x14ac:dyDescent="0.25">
      <c r="A448" s="275" t="str">
        <f>'Q100b-totais'!B54</f>
        <v>8.2</v>
      </c>
      <c r="B448" s="13" t="str">
        <f>'Q100b-totais'!C54</f>
        <v>BRT</v>
      </c>
      <c r="C448" s="167" t="s">
        <v>743</v>
      </c>
      <c r="D448" s="324" t="s">
        <v>5675</v>
      </c>
      <c r="E448" s="1491" t="s">
        <v>1306</v>
      </c>
      <c r="F448" s="1205" t="s">
        <v>5855</v>
      </c>
      <c r="G448" s="110" t="s">
        <v>5578</v>
      </c>
      <c r="H448" s="173" t="s">
        <v>432</v>
      </c>
      <c r="I448" s="57">
        <v>1</v>
      </c>
      <c r="J448" s="107" t="s">
        <v>432</v>
      </c>
      <c r="K448" s="107" t="s">
        <v>432</v>
      </c>
      <c r="L448" s="107" t="s">
        <v>432</v>
      </c>
      <c r="M448" s="107" t="s">
        <v>432</v>
      </c>
      <c r="N448" s="107" t="s">
        <v>432</v>
      </c>
      <c r="O448" s="107" t="s">
        <v>432</v>
      </c>
      <c r="P448" s="107" t="s">
        <v>432</v>
      </c>
      <c r="Q448" s="107" t="s">
        <v>432</v>
      </c>
      <c r="R448" s="107" t="s">
        <v>432</v>
      </c>
      <c r="S448" s="109" t="s">
        <v>2209</v>
      </c>
      <c r="T448" s="107" t="s">
        <v>432</v>
      </c>
      <c r="U448" s="107" t="s">
        <v>432</v>
      </c>
      <c r="V448" s="109" t="s">
        <v>2209</v>
      </c>
      <c r="W448" s="107" t="s">
        <v>432</v>
      </c>
      <c r="X448" s="107" t="s">
        <v>432</v>
      </c>
      <c r="Y448" s="107" t="s">
        <v>432</v>
      </c>
      <c r="Z448" s="107" t="s">
        <v>432</v>
      </c>
      <c r="AA448" s="107" t="s">
        <v>432</v>
      </c>
      <c r="AB448" s="107" t="s">
        <v>432</v>
      </c>
      <c r="AC448" s="107" t="s">
        <v>432</v>
      </c>
      <c r="AD448" s="107" t="s">
        <v>432</v>
      </c>
      <c r="AE448" s="107" t="s">
        <v>432</v>
      </c>
      <c r="AF448" s="107" t="s">
        <v>432</v>
      </c>
      <c r="AG448" s="107" t="s">
        <v>432</v>
      </c>
      <c r="AH448" s="107" t="s">
        <v>432</v>
      </c>
      <c r="AI448" s="107" t="s">
        <v>432</v>
      </c>
      <c r="AJ448" s="107" t="s">
        <v>432</v>
      </c>
      <c r="AK448" s="95">
        <v>0.79</v>
      </c>
      <c r="AL448" s="600" t="s">
        <v>432</v>
      </c>
      <c r="AM448" s="137" t="s">
        <v>432</v>
      </c>
      <c r="AN448" s="137" t="s">
        <v>432</v>
      </c>
      <c r="AO448" s="137" t="s">
        <v>432</v>
      </c>
      <c r="AP448" s="137" t="s">
        <v>432</v>
      </c>
      <c r="AQ448" s="137" t="s">
        <v>432</v>
      </c>
      <c r="AR448" s="137" t="s">
        <v>432</v>
      </c>
      <c r="AS448" s="137" t="s">
        <v>432</v>
      </c>
      <c r="AT448" s="137" t="s">
        <v>432</v>
      </c>
      <c r="AU448" s="137" t="s">
        <v>432</v>
      </c>
      <c r="AV448" s="137" t="s">
        <v>432</v>
      </c>
      <c r="AW448" s="137" t="s">
        <v>432</v>
      </c>
      <c r="AX448" s="137" t="s">
        <v>432</v>
      </c>
      <c r="AY448" s="137" t="s">
        <v>432</v>
      </c>
      <c r="AZ448" s="137" t="s">
        <v>432</v>
      </c>
      <c r="BA448" s="137" t="s">
        <v>432</v>
      </c>
      <c r="BB448" s="239" t="str">
        <f t="shared" si="84"/>
        <v>BRTacessibilidade</v>
      </c>
      <c r="BC448" s="239" t="str">
        <f t="shared" si="85"/>
        <v>BRTacessibilidadex</v>
      </c>
      <c r="BD448" s="239" t="str">
        <f t="shared" si="86"/>
        <v>BRTx</v>
      </c>
    </row>
    <row r="449" spans="1:56" s="105" customFormat="1" ht="51" x14ac:dyDescent="0.25">
      <c r="A449" s="275" t="str">
        <f>'Q100b-totais'!B54</f>
        <v>8.2</v>
      </c>
      <c r="B449" s="13" t="str">
        <f>'Q100b-totais'!C54</f>
        <v>BRT</v>
      </c>
      <c r="C449" s="167" t="s">
        <v>743</v>
      </c>
      <c r="D449" s="324" t="s">
        <v>5676</v>
      </c>
      <c r="E449" s="1491" t="s">
        <v>1306</v>
      </c>
      <c r="F449" s="1205" t="s">
        <v>5856</v>
      </c>
      <c r="G449" s="110" t="s">
        <v>5578</v>
      </c>
      <c r="H449" s="173" t="s">
        <v>432</v>
      </c>
      <c r="I449" s="57">
        <v>1</v>
      </c>
      <c r="J449" s="107" t="s">
        <v>432</v>
      </c>
      <c r="K449" s="107" t="s">
        <v>432</v>
      </c>
      <c r="L449" s="107" t="s">
        <v>432</v>
      </c>
      <c r="M449" s="107" t="s">
        <v>432</v>
      </c>
      <c r="N449" s="107" t="s">
        <v>432</v>
      </c>
      <c r="O449" s="107" t="s">
        <v>432</v>
      </c>
      <c r="P449" s="107" t="s">
        <v>432</v>
      </c>
      <c r="Q449" s="107" t="s">
        <v>432</v>
      </c>
      <c r="R449" s="107" t="s">
        <v>432</v>
      </c>
      <c r="S449" s="109" t="s">
        <v>2209</v>
      </c>
      <c r="T449" s="107" t="s">
        <v>432</v>
      </c>
      <c r="U449" s="107" t="s">
        <v>432</v>
      </c>
      <c r="V449" s="109" t="s">
        <v>2209</v>
      </c>
      <c r="W449" s="107" t="s">
        <v>432</v>
      </c>
      <c r="X449" s="107" t="s">
        <v>432</v>
      </c>
      <c r="Y449" s="107" t="s">
        <v>432</v>
      </c>
      <c r="Z449" s="107" t="s">
        <v>432</v>
      </c>
      <c r="AA449" s="107" t="s">
        <v>432</v>
      </c>
      <c r="AB449" s="107" t="s">
        <v>432</v>
      </c>
      <c r="AC449" s="107" t="s">
        <v>432</v>
      </c>
      <c r="AD449" s="107" t="s">
        <v>432</v>
      </c>
      <c r="AE449" s="107" t="s">
        <v>432</v>
      </c>
      <c r="AF449" s="107" t="s">
        <v>432</v>
      </c>
      <c r="AG449" s="107" t="s">
        <v>432</v>
      </c>
      <c r="AH449" s="107" t="s">
        <v>432</v>
      </c>
      <c r="AI449" s="107" t="s">
        <v>432</v>
      </c>
      <c r="AJ449" s="107" t="s">
        <v>432</v>
      </c>
      <c r="AK449" s="95">
        <v>0.46</v>
      </c>
      <c r="AL449" s="600" t="s">
        <v>432</v>
      </c>
      <c r="AM449" s="137" t="s">
        <v>432</v>
      </c>
      <c r="AN449" s="137" t="s">
        <v>432</v>
      </c>
      <c r="AO449" s="137" t="s">
        <v>432</v>
      </c>
      <c r="AP449" s="137" t="s">
        <v>432</v>
      </c>
      <c r="AQ449" s="137" t="s">
        <v>432</v>
      </c>
      <c r="AR449" s="137" t="s">
        <v>432</v>
      </c>
      <c r="AS449" s="137" t="s">
        <v>432</v>
      </c>
      <c r="AT449" s="137" t="s">
        <v>432</v>
      </c>
      <c r="AU449" s="137" t="s">
        <v>432</v>
      </c>
      <c r="AV449" s="137" t="s">
        <v>432</v>
      </c>
      <c r="AW449" s="137" t="s">
        <v>432</v>
      </c>
      <c r="AX449" s="137" t="s">
        <v>432</v>
      </c>
      <c r="AY449" s="137" t="s">
        <v>432</v>
      </c>
      <c r="AZ449" s="137" t="s">
        <v>432</v>
      </c>
      <c r="BA449" s="137" t="s">
        <v>432</v>
      </c>
      <c r="BB449" s="239" t="str">
        <f t="shared" si="84"/>
        <v>BRTacessibilidade</v>
      </c>
      <c r="BC449" s="239" t="str">
        <f t="shared" si="85"/>
        <v>BRTacessibilidadex</v>
      </c>
      <c r="BD449" s="239" t="str">
        <f t="shared" si="86"/>
        <v>BRTx</v>
      </c>
    </row>
    <row r="450" spans="1:56" s="105" customFormat="1" ht="47.25" x14ac:dyDescent="0.25">
      <c r="A450" s="275" t="str">
        <f>'Q100b-totais'!B54</f>
        <v>8.2</v>
      </c>
      <c r="B450" s="13" t="str">
        <f>'Q100b-totais'!C54</f>
        <v>BRT</v>
      </c>
      <c r="C450" s="167" t="s">
        <v>743</v>
      </c>
      <c r="D450" s="324" t="s">
        <v>5690</v>
      </c>
      <c r="E450" s="1491" t="s">
        <v>1306</v>
      </c>
      <c r="F450" s="1205" t="s">
        <v>5857</v>
      </c>
      <c r="G450" s="110" t="s">
        <v>5578</v>
      </c>
      <c r="H450" s="173" t="s">
        <v>432</v>
      </c>
      <c r="I450" s="57">
        <v>1</v>
      </c>
      <c r="J450" s="107" t="s">
        <v>432</v>
      </c>
      <c r="K450" s="107" t="s">
        <v>432</v>
      </c>
      <c r="L450" s="107" t="s">
        <v>432</v>
      </c>
      <c r="M450" s="107" t="s">
        <v>432</v>
      </c>
      <c r="N450" s="107" t="s">
        <v>432</v>
      </c>
      <c r="O450" s="107" t="s">
        <v>432</v>
      </c>
      <c r="P450" s="107" t="s">
        <v>432</v>
      </c>
      <c r="Q450" s="107" t="s">
        <v>432</v>
      </c>
      <c r="R450" s="107" t="s">
        <v>432</v>
      </c>
      <c r="S450" s="109" t="s">
        <v>2209</v>
      </c>
      <c r="T450" s="107" t="s">
        <v>432</v>
      </c>
      <c r="U450" s="107" t="s">
        <v>432</v>
      </c>
      <c r="V450" s="109" t="s">
        <v>2209</v>
      </c>
      <c r="W450" s="107" t="s">
        <v>432</v>
      </c>
      <c r="X450" s="107" t="s">
        <v>432</v>
      </c>
      <c r="Y450" s="107" t="s">
        <v>432</v>
      </c>
      <c r="Z450" s="107" t="s">
        <v>432</v>
      </c>
      <c r="AA450" s="107" t="s">
        <v>432</v>
      </c>
      <c r="AB450" s="107" t="s">
        <v>432</v>
      </c>
      <c r="AC450" s="107" t="s">
        <v>432</v>
      </c>
      <c r="AD450" s="107" t="s">
        <v>432</v>
      </c>
      <c r="AE450" s="107" t="s">
        <v>432</v>
      </c>
      <c r="AF450" s="107" t="s">
        <v>432</v>
      </c>
      <c r="AG450" s="107" t="s">
        <v>432</v>
      </c>
      <c r="AH450" s="107" t="s">
        <v>432</v>
      </c>
      <c r="AI450" s="107" t="s">
        <v>432</v>
      </c>
      <c r="AJ450" s="107" t="s">
        <v>432</v>
      </c>
      <c r="AK450" s="95">
        <v>0.55000000000000004</v>
      </c>
      <c r="AL450" s="600" t="s">
        <v>432</v>
      </c>
      <c r="AM450" s="137" t="s">
        <v>432</v>
      </c>
      <c r="AN450" s="137" t="s">
        <v>432</v>
      </c>
      <c r="AO450" s="137" t="s">
        <v>432</v>
      </c>
      <c r="AP450" s="137" t="s">
        <v>432</v>
      </c>
      <c r="AQ450" s="137" t="s">
        <v>432</v>
      </c>
      <c r="AR450" s="137" t="s">
        <v>432</v>
      </c>
      <c r="AS450" s="137" t="s">
        <v>432</v>
      </c>
      <c r="AT450" s="137" t="s">
        <v>432</v>
      </c>
      <c r="AU450" s="137" t="s">
        <v>432</v>
      </c>
      <c r="AV450" s="137" t="s">
        <v>432</v>
      </c>
      <c r="AW450" s="137" t="s">
        <v>432</v>
      </c>
      <c r="AX450" s="137" t="s">
        <v>432</v>
      </c>
      <c r="AY450" s="137" t="s">
        <v>432</v>
      </c>
      <c r="AZ450" s="137" t="s">
        <v>432</v>
      </c>
      <c r="BA450" s="137" t="s">
        <v>432</v>
      </c>
      <c r="BB450" s="239" t="str">
        <f t="shared" si="84"/>
        <v>BRTacessibilidade</v>
      </c>
      <c r="BC450" s="239" t="str">
        <f t="shared" si="85"/>
        <v>BRTacessibilidadex</v>
      </c>
      <c r="BD450" s="239" t="str">
        <f t="shared" si="86"/>
        <v>BRTx</v>
      </c>
    </row>
    <row r="451" spans="1:56" s="105" customFormat="1" ht="47.25" x14ac:dyDescent="0.25">
      <c r="A451" s="275" t="str">
        <f>'Q100b-totais'!B54</f>
        <v>8.2</v>
      </c>
      <c r="B451" s="13" t="str">
        <f>'Q100b-totais'!C54</f>
        <v>BRT</v>
      </c>
      <c r="C451" s="167" t="s">
        <v>743</v>
      </c>
      <c r="D451" s="324" t="s">
        <v>5686</v>
      </c>
      <c r="E451" s="1491" t="s">
        <v>1306</v>
      </c>
      <c r="F451" s="1205" t="s">
        <v>5858</v>
      </c>
      <c r="G451" s="110" t="s">
        <v>5578</v>
      </c>
      <c r="H451" s="173" t="s">
        <v>432</v>
      </c>
      <c r="I451" s="57">
        <v>1</v>
      </c>
      <c r="J451" s="107" t="s">
        <v>432</v>
      </c>
      <c r="K451" s="107" t="s">
        <v>432</v>
      </c>
      <c r="L451" s="107" t="s">
        <v>432</v>
      </c>
      <c r="M451" s="107" t="s">
        <v>432</v>
      </c>
      <c r="N451" s="107" t="s">
        <v>432</v>
      </c>
      <c r="O451" s="107" t="s">
        <v>432</v>
      </c>
      <c r="P451" s="107" t="s">
        <v>432</v>
      </c>
      <c r="Q451" s="107" t="s">
        <v>432</v>
      </c>
      <c r="R451" s="107" t="s">
        <v>432</v>
      </c>
      <c r="S451" s="109" t="s">
        <v>2209</v>
      </c>
      <c r="T451" s="107" t="s">
        <v>432</v>
      </c>
      <c r="U451" s="107" t="s">
        <v>432</v>
      </c>
      <c r="V451" s="109" t="s">
        <v>2209</v>
      </c>
      <c r="W451" s="107" t="s">
        <v>432</v>
      </c>
      <c r="X451" s="107" t="s">
        <v>432</v>
      </c>
      <c r="Y451" s="107" t="s">
        <v>432</v>
      </c>
      <c r="Z451" s="107" t="s">
        <v>432</v>
      </c>
      <c r="AA451" s="107" t="s">
        <v>432</v>
      </c>
      <c r="AB451" s="107" t="s">
        <v>432</v>
      </c>
      <c r="AC451" s="107" t="s">
        <v>432</v>
      </c>
      <c r="AD451" s="107" t="s">
        <v>432</v>
      </c>
      <c r="AE451" s="107" t="s">
        <v>432</v>
      </c>
      <c r="AF451" s="107" t="s">
        <v>432</v>
      </c>
      <c r="AG451" s="107" t="s">
        <v>432</v>
      </c>
      <c r="AH451" s="107" t="s">
        <v>432</v>
      </c>
      <c r="AI451" s="107" t="s">
        <v>432</v>
      </c>
      <c r="AJ451" s="107" t="s">
        <v>432</v>
      </c>
      <c r="AK451" s="95">
        <v>0.38</v>
      </c>
      <c r="AL451" s="600" t="s">
        <v>432</v>
      </c>
      <c r="AM451" s="137" t="s">
        <v>432</v>
      </c>
      <c r="AN451" s="137" t="s">
        <v>432</v>
      </c>
      <c r="AO451" s="137" t="s">
        <v>432</v>
      </c>
      <c r="AP451" s="137" t="s">
        <v>432</v>
      </c>
      <c r="AQ451" s="137" t="s">
        <v>432</v>
      </c>
      <c r="AR451" s="137" t="s">
        <v>432</v>
      </c>
      <c r="AS451" s="137" t="s">
        <v>432</v>
      </c>
      <c r="AT451" s="137" t="s">
        <v>432</v>
      </c>
      <c r="AU451" s="137" t="s">
        <v>432</v>
      </c>
      <c r="AV451" s="137" t="s">
        <v>432</v>
      </c>
      <c r="AW451" s="137" t="s">
        <v>432</v>
      </c>
      <c r="AX451" s="137" t="s">
        <v>432</v>
      </c>
      <c r="AY451" s="137" t="s">
        <v>432</v>
      </c>
      <c r="AZ451" s="137" t="s">
        <v>432</v>
      </c>
      <c r="BA451" s="137" t="s">
        <v>432</v>
      </c>
      <c r="BB451" s="239" t="str">
        <f t="shared" si="84"/>
        <v>BRTacessibilidade</v>
      </c>
      <c r="BC451" s="239" t="str">
        <f t="shared" si="85"/>
        <v>BRTacessibilidadex</v>
      </c>
      <c r="BD451" s="239" t="str">
        <f t="shared" si="86"/>
        <v>BRTx</v>
      </c>
    </row>
    <row r="452" spans="1:56" s="105" customFormat="1" ht="47.25" x14ac:dyDescent="0.25">
      <c r="A452" s="275" t="str">
        <f>'Q100b-totais'!B54</f>
        <v>8.2</v>
      </c>
      <c r="B452" s="13" t="str">
        <f>'Q100b-totais'!C54</f>
        <v>BRT</v>
      </c>
      <c r="C452" s="167" t="s">
        <v>743</v>
      </c>
      <c r="D452" s="324" t="s">
        <v>5680</v>
      </c>
      <c r="E452" s="1491" t="s">
        <v>1306</v>
      </c>
      <c r="F452" s="1205" t="s">
        <v>5859</v>
      </c>
      <c r="G452" s="110" t="s">
        <v>5578</v>
      </c>
      <c r="H452" s="173" t="s">
        <v>432</v>
      </c>
      <c r="I452" s="57">
        <v>1</v>
      </c>
      <c r="J452" s="107" t="s">
        <v>432</v>
      </c>
      <c r="K452" s="107" t="s">
        <v>432</v>
      </c>
      <c r="L452" s="107" t="s">
        <v>432</v>
      </c>
      <c r="M452" s="107" t="s">
        <v>432</v>
      </c>
      <c r="N452" s="107" t="s">
        <v>432</v>
      </c>
      <c r="O452" s="107" t="s">
        <v>432</v>
      </c>
      <c r="P452" s="107" t="s">
        <v>432</v>
      </c>
      <c r="Q452" s="107" t="s">
        <v>432</v>
      </c>
      <c r="R452" s="107" t="s">
        <v>432</v>
      </c>
      <c r="S452" s="109" t="s">
        <v>2209</v>
      </c>
      <c r="T452" s="107" t="s">
        <v>432</v>
      </c>
      <c r="U452" s="107" t="s">
        <v>432</v>
      </c>
      <c r="V452" s="109" t="s">
        <v>2209</v>
      </c>
      <c r="W452" s="107" t="s">
        <v>432</v>
      </c>
      <c r="X452" s="107" t="s">
        <v>432</v>
      </c>
      <c r="Y452" s="107" t="s">
        <v>432</v>
      </c>
      <c r="Z452" s="107" t="s">
        <v>432</v>
      </c>
      <c r="AA452" s="107" t="s">
        <v>432</v>
      </c>
      <c r="AB452" s="107" t="s">
        <v>432</v>
      </c>
      <c r="AC452" s="107" t="s">
        <v>432</v>
      </c>
      <c r="AD452" s="107" t="s">
        <v>432</v>
      </c>
      <c r="AE452" s="107" t="s">
        <v>432</v>
      </c>
      <c r="AF452" s="107" t="s">
        <v>432</v>
      </c>
      <c r="AG452" s="107" t="s">
        <v>432</v>
      </c>
      <c r="AH452" s="107" t="s">
        <v>432</v>
      </c>
      <c r="AI452" s="107" t="s">
        <v>432</v>
      </c>
      <c r="AJ452" s="107" t="s">
        <v>432</v>
      </c>
      <c r="AK452" s="95">
        <v>0.85</v>
      </c>
      <c r="AL452" s="600" t="s">
        <v>432</v>
      </c>
      <c r="AM452" s="137" t="s">
        <v>432</v>
      </c>
      <c r="AN452" s="137" t="s">
        <v>432</v>
      </c>
      <c r="AO452" s="137" t="s">
        <v>432</v>
      </c>
      <c r="AP452" s="137" t="s">
        <v>432</v>
      </c>
      <c r="AQ452" s="137" t="s">
        <v>432</v>
      </c>
      <c r="AR452" s="137" t="s">
        <v>432</v>
      </c>
      <c r="AS452" s="137" t="s">
        <v>432</v>
      </c>
      <c r="AT452" s="137" t="s">
        <v>432</v>
      </c>
      <c r="AU452" s="137" t="s">
        <v>432</v>
      </c>
      <c r="AV452" s="137" t="s">
        <v>432</v>
      </c>
      <c r="AW452" s="137" t="s">
        <v>432</v>
      </c>
      <c r="AX452" s="137" t="s">
        <v>432</v>
      </c>
      <c r="AY452" s="137" t="s">
        <v>432</v>
      </c>
      <c r="AZ452" s="137" t="s">
        <v>432</v>
      </c>
      <c r="BA452" s="137" t="s">
        <v>432</v>
      </c>
      <c r="BB452" s="239" t="str">
        <f t="shared" si="84"/>
        <v>BRTacessibilidade</v>
      </c>
      <c r="BC452" s="239" t="str">
        <f t="shared" si="85"/>
        <v>BRTacessibilidadex</v>
      </c>
      <c r="BD452" s="239" t="str">
        <f t="shared" si="86"/>
        <v>BRTx</v>
      </c>
    </row>
    <row r="453" spans="1:56" s="105" customFormat="1" ht="47.25" x14ac:dyDescent="0.25">
      <c r="A453" s="275" t="str">
        <f>'Q100b-totais'!B54</f>
        <v>8.2</v>
      </c>
      <c r="B453" s="13" t="str">
        <f>'Q100b-totais'!C54</f>
        <v>BRT</v>
      </c>
      <c r="C453" s="167" t="s">
        <v>743</v>
      </c>
      <c r="D453" s="324" t="s">
        <v>5683</v>
      </c>
      <c r="E453" s="1491" t="s">
        <v>1306</v>
      </c>
      <c r="F453" s="1205" t="s">
        <v>5860</v>
      </c>
      <c r="G453" s="110" t="s">
        <v>5578</v>
      </c>
      <c r="H453" s="173" t="s">
        <v>432</v>
      </c>
      <c r="I453" s="57">
        <v>1</v>
      </c>
      <c r="J453" s="107" t="s">
        <v>432</v>
      </c>
      <c r="K453" s="107" t="s">
        <v>432</v>
      </c>
      <c r="L453" s="107" t="s">
        <v>432</v>
      </c>
      <c r="M453" s="107" t="s">
        <v>432</v>
      </c>
      <c r="N453" s="107" t="s">
        <v>432</v>
      </c>
      <c r="O453" s="107" t="s">
        <v>432</v>
      </c>
      <c r="P453" s="107" t="s">
        <v>432</v>
      </c>
      <c r="Q453" s="107" t="s">
        <v>432</v>
      </c>
      <c r="R453" s="107" t="s">
        <v>432</v>
      </c>
      <c r="S453" s="109" t="s">
        <v>2209</v>
      </c>
      <c r="T453" s="107" t="s">
        <v>432</v>
      </c>
      <c r="U453" s="107" t="s">
        <v>432</v>
      </c>
      <c r="V453" s="109" t="s">
        <v>2209</v>
      </c>
      <c r="W453" s="107" t="s">
        <v>432</v>
      </c>
      <c r="X453" s="107" t="s">
        <v>432</v>
      </c>
      <c r="Y453" s="107" t="s">
        <v>432</v>
      </c>
      <c r="Z453" s="107" t="s">
        <v>432</v>
      </c>
      <c r="AA453" s="107" t="s">
        <v>432</v>
      </c>
      <c r="AB453" s="107" t="s">
        <v>432</v>
      </c>
      <c r="AC453" s="107" t="s">
        <v>432</v>
      </c>
      <c r="AD453" s="107" t="s">
        <v>432</v>
      </c>
      <c r="AE453" s="107" t="s">
        <v>432</v>
      </c>
      <c r="AF453" s="107" t="s">
        <v>432</v>
      </c>
      <c r="AG453" s="107" t="s">
        <v>432</v>
      </c>
      <c r="AH453" s="107" t="s">
        <v>432</v>
      </c>
      <c r="AI453" s="107" t="s">
        <v>432</v>
      </c>
      <c r="AJ453" s="107" t="s">
        <v>432</v>
      </c>
      <c r="AK453" s="95">
        <v>0.71</v>
      </c>
      <c r="AL453" s="600" t="s">
        <v>432</v>
      </c>
      <c r="AM453" s="137" t="s">
        <v>432</v>
      </c>
      <c r="AN453" s="137" t="s">
        <v>432</v>
      </c>
      <c r="AO453" s="137" t="s">
        <v>432</v>
      </c>
      <c r="AP453" s="137" t="s">
        <v>432</v>
      </c>
      <c r="AQ453" s="137" t="s">
        <v>432</v>
      </c>
      <c r="AR453" s="137" t="s">
        <v>432</v>
      </c>
      <c r="AS453" s="137" t="s">
        <v>432</v>
      </c>
      <c r="AT453" s="137" t="s">
        <v>432</v>
      </c>
      <c r="AU453" s="137" t="s">
        <v>432</v>
      </c>
      <c r="AV453" s="137" t="s">
        <v>432</v>
      </c>
      <c r="AW453" s="137" t="s">
        <v>432</v>
      </c>
      <c r="AX453" s="137" t="s">
        <v>432</v>
      </c>
      <c r="AY453" s="137" t="s">
        <v>432</v>
      </c>
      <c r="AZ453" s="137" t="s">
        <v>432</v>
      </c>
      <c r="BA453" s="137" t="s">
        <v>432</v>
      </c>
      <c r="BB453" s="239" t="str">
        <f t="shared" si="84"/>
        <v>BRTacessibilidade</v>
      </c>
      <c r="BC453" s="239" t="str">
        <f t="shared" si="85"/>
        <v>BRTacessibilidadex</v>
      </c>
      <c r="BD453" s="239" t="str">
        <f t="shared" si="86"/>
        <v>BRTx</v>
      </c>
    </row>
    <row r="454" spans="1:56" s="105" customFormat="1" ht="47.25" x14ac:dyDescent="0.25">
      <c r="A454" s="275" t="str">
        <f>'Q100b-totais'!B54</f>
        <v>8.2</v>
      </c>
      <c r="B454" s="13" t="str">
        <f>'Q100b-totais'!C54</f>
        <v>BRT</v>
      </c>
      <c r="C454" s="167" t="s">
        <v>743</v>
      </c>
      <c r="D454" s="324" t="s">
        <v>5710</v>
      </c>
      <c r="E454" s="1491" t="s">
        <v>1306</v>
      </c>
      <c r="F454" s="1205" t="s">
        <v>5861</v>
      </c>
      <c r="G454" s="110" t="s">
        <v>5578</v>
      </c>
      <c r="H454" s="173" t="s">
        <v>432</v>
      </c>
      <c r="I454" s="57">
        <v>1</v>
      </c>
      <c r="J454" s="107" t="s">
        <v>432</v>
      </c>
      <c r="K454" s="107" t="s">
        <v>432</v>
      </c>
      <c r="L454" s="107" t="s">
        <v>432</v>
      </c>
      <c r="M454" s="107" t="s">
        <v>432</v>
      </c>
      <c r="N454" s="107" t="s">
        <v>432</v>
      </c>
      <c r="O454" s="107" t="s">
        <v>432</v>
      </c>
      <c r="P454" s="107" t="s">
        <v>432</v>
      </c>
      <c r="Q454" s="107" t="s">
        <v>432</v>
      </c>
      <c r="R454" s="107" t="s">
        <v>432</v>
      </c>
      <c r="S454" s="109" t="s">
        <v>2209</v>
      </c>
      <c r="T454" s="107" t="s">
        <v>432</v>
      </c>
      <c r="U454" s="107" t="s">
        <v>432</v>
      </c>
      <c r="V454" s="109" t="s">
        <v>2209</v>
      </c>
      <c r="W454" s="107" t="s">
        <v>432</v>
      </c>
      <c r="X454" s="107" t="s">
        <v>432</v>
      </c>
      <c r="Y454" s="107" t="s">
        <v>432</v>
      </c>
      <c r="Z454" s="107" t="s">
        <v>432</v>
      </c>
      <c r="AA454" s="107" t="s">
        <v>432</v>
      </c>
      <c r="AB454" s="107" t="s">
        <v>432</v>
      </c>
      <c r="AC454" s="107" t="s">
        <v>432</v>
      </c>
      <c r="AD454" s="107" t="s">
        <v>432</v>
      </c>
      <c r="AE454" s="107" t="s">
        <v>432</v>
      </c>
      <c r="AF454" s="107" t="s">
        <v>432</v>
      </c>
      <c r="AG454" s="107" t="s">
        <v>432</v>
      </c>
      <c r="AH454" s="107" t="s">
        <v>432</v>
      </c>
      <c r="AI454" s="107" t="s">
        <v>432</v>
      </c>
      <c r="AJ454" s="107" t="s">
        <v>432</v>
      </c>
      <c r="AK454" s="95">
        <v>0.69</v>
      </c>
      <c r="AL454" s="600" t="s">
        <v>432</v>
      </c>
      <c r="AM454" s="137" t="s">
        <v>432</v>
      </c>
      <c r="AN454" s="137" t="s">
        <v>432</v>
      </c>
      <c r="AO454" s="137" t="s">
        <v>432</v>
      </c>
      <c r="AP454" s="137" t="s">
        <v>432</v>
      </c>
      <c r="AQ454" s="137" t="s">
        <v>432</v>
      </c>
      <c r="AR454" s="137" t="s">
        <v>432</v>
      </c>
      <c r="AS454" s="137" t="s">
        <v>432</v>
      </c>
      <c r="AT454" s="137" t="s">
        <v>432</v>
      </c>
      <c r="AU454" s="137" t="s">
        <v>432</v>
      </c>
      <c r="AV454" s="137" t="s">
        <v>432</v>
      </c>
      <c r="AW454" s="137" t="s">
        <v>432</v>
      </c>
      <c r="AX454" s="137" t="s">
        <v>432</v>
      </c>
      <c r="AY454" s="137" t="s">
        <v>432</v>
      </c>
      <c r="AZ454" s="137" t="s">
        <v>432</v>
      </c>
      <c r="BA454" s="137" t="s">
        <v>432</v>
      </c>
      <c r="BB454" s="239" t="str">
        <f t="shared" si="84"/>
        <v>BRTacessibilidade</v>
      </c>
      <c r="BC454" s="239" t="str">
        <f t="shared" si="85"/>
        <v>BRTacessibilidadex</v>
      </c>
      <c r="BD454" s="239" t="str">
        <f t="shared" si="86"/>
        <v>BRTx</v>
      </c>
    </row>
    <row r="455" spans="1:56" s="105" customFormat="1" ht="47.25" x14ac:dyDescent="0.25">
      <c r="A455" s="275" t="str">
        <f>'Q100b-totais'!B54</f>
        <v>8.2</v>
      </c>
      <c r="B455" s="13" t="str">
        <f>'Q100b-totais'!C54</f>
        <v>BRT</v>
      </c>
      <c r="C455" s="167" t="s">
        <v>743</v>
      </c>
      <c r="D455" s="324" t="s">
        <v>5708</v>
      </c>
      <c r="E455" s="1491" t="s">
        <v>1306</v>
      </c>
      <c r="F455" s="1205" t="s">
        <v>5862</v>
      </c>
      <c r="G455" s="110" t="s">
        <v>5578</v>
      </c>
      <c r="H455" s="173" t="s">
        <v>432</v>
      </c>
      <c r="I455" s="57">
        <v>1</v>
      </c>
      <c r="J455" s="107" t="s">
        <v>432</v>
      </c>
      <c r="K455" s="107" t="s">
        <v>432</v>
      </c>
      <c r="L455" s="107" t="s">
        <v>432</v>
      </c>
      <c r="M455" s="107" t="s">
        <v>432</v>
      </c>
      <c r="N455" s="107" t="s">
        <v>432</v>
      </c>
      <c r="O455" s="107" t="s">
        <v>432</v>
      </c>
      <c r="P455" s="107" t="s">
        <v>432</v>
      </c>
      <c r="Q455" s="107" t="s">
        <v>432</v>
      </c>
      <c r="R455" s="107" t="s">
        <v>432</v>
      </c>
      <c r="S455" s="109" t="s">
        <v>2209</v>
      </c>
      <c r="T455" s="107" t="s">
        <v>432</v>
      </c>
      <c r="U455" s="107" t="s">
        <v>432</v>
      </c>
      <c r="V455" s="109" t="s">
        <v>2209</v>
      </c>
      <c r="W455" s="107" t="s">
        <v>432</v>
      </c>
      <c r="X455" s="107" t="s">
        <v>432</v>
      </c>
      <c r="Y455" s="107" t="s">
        <v>432</v>
      </c>
      <c r="Z455" s="107" t="s">
        <v>432</v>
      </c>
      <c r="AA455" s="107" t="s">
        <v>432</v>
      </c>
      <c r="AB455" s="107" t="s">
        <v>432</v>
      </c>
      <c r="AC455" s="107" t="s">
        <v>432</v>
      </c>
      <c r="AD455" s="107" t="s">
        <v>432</v>
      </c>
      <c r="AE455" s="107" t="s">
        <v>432</v>
      </c>
      <c r="AF455" s="107" t="s">
        <v>432</v>
      </c>
      <c r="AG455" s="107" t="s">
        <v>432</v>
      </c>
      <c r="AH455" s="107" t="s">
        <v>432</v>
      </c>
      <c r="AI455" s="107" t="s">
        <v>432</v>
      </c>
      <c r="AJ455" s="107" t="s">
        <v>432</v>
      </c>
      <c r="AK455" s="882" t="s">
        <v>432</v>
      </c>
      <c r="AL455" s="600" t="s">
        <v>432</v>
      </c>
      <c r="AM455" s="137" t="s">
        <v>432</v>
      </c>
      <c r="AN455" s="137" t="s">
        <v>432</v>
      </c>
      <c r="AO455" s="137" t="s">
        <v>432</v>
      </c>
      <c r="AP455" s="137" t="s">
        <v>432</v>
      </c>
      <c r="AQ455" s="137" t="s">
        <v>432</v>
      </c>
      <c r="AR455" s="137" t="s">
        <v>432</v>
      </c>
      <c r="AS455" s="137" t="s">
        <v>432</v>
      </c>
      <c r="AT455" s="137" t="s">
        <v>432</v>
      </c>
      <c r="AU455" s="137" t="s">
        <v>432</v>
      </c>
      <c r="AV455" s="137" t="s">
        <v>432</v>
      </c>
      <c r="AW455" s="137" t="s">
        <v>432</v>
      </c>
      <c r="AX455" s="137" t="s">
        <v>432</v>
      </c>
      <c r="AY455" s="137" t="s">
        <v>432</v>
      </c>
      <c r="AZ455" s="137" t="s">
        <v>432</v>
      </c>
      <c r="BA455" s="137" t="s">
        <v>432</v>
      </c>
      <c r="BB455" s="239" t="str">
        <f t="shared" si="84"/>
        <v>BRTacessibilidade</v>
      </c>
      <c r="BC455" s="239" t="str">
        <f t="shared" si="85"/>
        <v>BRTacessibilidadex</v>
      </c>
      <c r="BD455" s="239" t="str">
        <f t="shared" si="86"/>
        <v>BRTx</v>
      </c>
    </row>
    <row r="456" spans="1:56" s="105" customFormat="1" ht="47.25" x14ac:dyDescent="0.25">
      <c r="A456" s="275" t="str">
        <f>'Q100b-totais'!B54</f>
        <v>8.2</v>
      </c>
      <c r="B456" s="13" t="str">
        <f>'Q100b-totais'!C54</f>
        <v>BRT</v>
      </c>
      <c r="C456" s="167" t="s">
        <v>743</v>
      </c>
      <c r="D456" s="324" t="s">
        <v>5707</v>
      </c>
      <c r="E456" s="1491" t="s">
        <v>1306</v>
      </c>
      <c r="F456" s="1205" t="s">
        <v>5863</v>
      </c>
      <c r="G456" s="110" t="s">
        <v>5578</v>
      </c>
      <c r="H456" s="173" t="s">
        <v>432</v>
      </c>
      <c r="I456" s="57">
        <v>1</v>
      </c>
      <c r="J456" s="107" t="s">
        <v>432</v>
      </c>
      <c r="K456" s="107" t="s">
        <v>432</v>
      </c>
      <c r="L456" s="107" t="s">
        <v>432</v>
      </c>
      <c r="M456" s="107" t="s">
        <v>432</v>
      </c>
      <c r="N456" s="107" t="s">
        <v>432</v>
      </c>
      <c r="O456" s="107" t="s">
        <v>432</v>
      </c>
      <c r="P456" s="107" t="s">
        <v>432</v>
      </c>
      <c r="Q456" s="107" t="s">
        <v>432</v>
      </c>
      <c r="R456" s="107" t="s">
        <v>432</v>
      </c>
      <c r="S456" s="109" t="s">
        <v>2209</v>
      </c>
      <c r="T456" s="107" t="s">
        <v>432</v>
      </c>
      <c r="U456" s="107" t="s">
        <v>432</v>
      </c>
      <c r="V456" s="109" t="s">
        <v>2209</v>
      </c>
      <c r="W456" s="107" t="s">
        <v>432</v>
      </c>
      <c r="X456" s="107" t="s">
        <v>432</v>
      </c>
      <c r="Y456" s="107" t="s">
        <v>432</v>
      </c>
      <c r="Z456" s="107" t="s">
        <v>432</v>
      </c>
      <c r="AA456" s="107" t="s">
        <v>432</v>
      </c>
      <c r="AB456" s="107" t="s">
        <v>432</v>
      </c>
      <c r="AC456" s="107" t="s">
        <v>432</v>
      </c>
      <c r="AD456" s="107" t="s">
        <v>432</v>
      </c>
      <c r="AE456" s="107" t="s">
        <v>432</v>
      </c>
      <c r="AF456" s="107" t="s">
        <v>432</v>
      </c>
      <c r="AG456" s="107" t="s">
        <v>432</v>
      </c>
      <c r="AH456" s="107" t="s">
        <v>432</v>
      </c>
      <c r="AI456" s="107" t="s">
        <v>432</v>
      </c>
      <c r="AJ456" s="107" t="s">
        <v>432</v>
      </c>
      <c r="AK456" s="95">
        <v>0.5</v>
      </c>
      <c r="AL456" s="600" t="s">
        <v>432</v>
      </c>
      <c r="AM456" s="137" t="s">
        <v>432</v>
      </c>
      <c r="AN456" s="137" t="s">
        <v>432</v>
      </c>
      <c r="AO456" s="137" t="s">
        <v>432</v>
      </c>
      <c r="AP456" s="137" t="s">
        <v>432</v>
      </c>
      <c r="AQ456" s="137" t="s">
        <v>432</v>
      </c>
      <c r="AR456" s="137" t="s">
        <v>432</v>
      </c>
      <c r="AS456" s="137" t="s">
        <v>432</v>
      </c>
      <c r="AT456" s="137" t="s">
        <v>432</v>
      </c>
      <c r="AU456" s="137" t="s">
        <v>432</v>
      </c>
      <c r="AV456" s="137" t="s">
        <v>432</v>
      </c>
      <c r="AW456" s="137" t="s">
        <v>432</v>
      </c>
      <c r="AX456" s="137" t="s">
        <v>432</v>
      </c>
      <c r="AY456" s="137" t="s">
        <v>432</v>
      </c>
      <c r="AZ456" s="137" t="s">
        <v>432</v>
      </c>
      <c r="BA456" s="137" t="s">
        <v>432</v>
      </c>
      <c r="BB456" s="239" t="str">
        <f t="shared" si="84"/>
        <v>BRTacessibilidade</v>
      </c>
      <c r="BC456" s="239" t="str">
        <f t="shared" si="85"/>
        <v>BRTacessibilidadex</v>
      </c>
      <c r="BD456" s="239" t="str">
        <f t="shared" si="86"/>
        <v>BRTx</v>
      </c>
    </row>
    <row r="457" spans="1:56" s="105" customFormat="1" ht="47.25" x14ac:dyDescent="0.25">
      <c r="A457" s="275" t="str">
        <f>'Q100b-totais'!B54</f>
        <v>8.2</v>
      </c>
      <c r="B457" s="13" t="str">
        <f>'Q100b-totais'!C54</f>
        <v>BRT</v>
      </c>
      <c r="C457" s="167" t="s">
        <v>743</v>
      </c>
      <c r="D457" s="324" t="s">
        <v>5709</v>
      </c>
      <c r="E457" s="1491" t="s">
        <v>1306</v>
      </c>
      <c r="F457" s="1205" t="s">
        <v>5864</v>
      </c>
      <c r="G457" s="110" t="s">
        <v>5578</v>
      </c>
      <c r="H457" s="173" t="s">
        <v>432</v>
      </c>
      <c r="I457" s="57">
        <v>1</v>
      </c>
      <c r="J457" s="107" t="s">
        <v>432</v>
      </c>
      <c r="K457" s="107" t="s">
        <v>432</v>
      </c>
      <c r="L457" s="107" t="s">
        <v>432</v>
      </c>
      <c r="M457" s="107" t="s">
        <v>432</v>
      </c>
      <c r="N457" s="107" t="s">
        <v>432</v>
      </c>
      <c r="O457" s="107" t="s">
        <v>432</v>
      </c>
      <c r="P457" s="107" t="s">
        <v>432</v>
      </c>
      <c r="Q457" s="107" t="s">
        <v>432</v>
      </c>
      <c r="R457" s="107" t="s">
        <v>432</v>
      </c>
      <c r="S457" s="109" t="s">
        <v>2209</v>
      </c>
      <c r="T457" s="107" t="s">
        <v>432</v>
      </c>
      <c r="U457" s="107" t="s">
        <v>432</v>
      </c>
      <c r="V457" s="109" t="s">
        <v>2209</v>
      </c>
      <c r="W457" s="107" t="s">
        <v>432</v>
      </c>
      <c r="X457" s="107" t="s">
        <v>432</v>
      </c>
      <c r="Y457" s="107" t="s">
        <v>432</v>
      </c>
      <c r="Z457" s="107" t="s">
        <v>432</v>
      </c>
      <c r="AA457" s="107" t="s">
        <v>432</v>
      </c>
      <c r="AB457" s="107" t="s">
        <v>432</v>
      </c>
      <c r="AC457" s="107" t="s">
        <v>432</v>
      </c>
      <c r="AD457" s="107" t="s">
        <v>432</v>
      </c>
      <c r="AE457" s="107" t="s">
        <v>432</v>
      </c>
      <c r="AF457" s="107" t="s">
        <v>432</v>
      </c>
      <c r="AG457" s="107" t="s">
        <v>432</v>
      </c>
      <c r="AH457" s="107" t="s">
        <v>432</v>
      </c>
      <c r="AI457" s="107" t="s">
        <v>432</v>
      </c>
      <c r="AJ457" s="107" t="s">
        <v>432</v>
      </c>
      <c r="AK457" s="95">
        <v>0.88</v>
      </c>
      <c r="AL457" s="600" t="s">
        <v>432</v>
      </c>
      <c r="AM457" s="137" t="s">
        <v>432</v>
      </c>
      <c r="AN457" s="137" t="s">
        <v>432</v>
      </c>
      <c r="AO457" s="137" t="s">
        <v>432</v>
      </c>
      <c r="AP457" s="137" t="s">
        <v>432</v>
      </c>
      <c r="AQ457" s="137" t="s">
        <v>432</v>
      </c>
      <c r="AR457" s="137" t="s">
        <v>432</v>
      </c>
      <c r="AS457" s="137" t="s">
        <v>432</v>
      </c>
      <c r="AT457" s="137" t="s">
        <v>432</v>
      </c>
      <c r="AU457" s="137" t="s">
        <v>432</v>
      </c>
      <c r="AV457" s="137" t="s">
        <v>432</v>
      </c>
      <c r="AW457" s="137" t="s">
        <v>432</v>
      </c>
      <c r="AX457" s="137" t="s">
        <v>432</v>
      </c>
      <c r="AY457" s="137" t="s">
        <v>432</v>
      </c>
      <c r="AZ457" s="137" t="s">
        <v>432</v>
      </c>
      <c r="BA457" s="137" t="s">
        <v>432</v>
      </c>
      <c r="BB457" s="239" t="str">
        <f t="shared" si="84"/>
        <v>BRTacessibilidade</v>
      </c>
      <c r="BC457" s="239" t="str">
        <f t="shared" si="85"/>
        <v>BRTacessibilidadex</v>
      </c>
      <c r="BD457" s="239" t="str">
        <f t="shared" si="86"/>
        <v>BRTx</v>
      </c>
    </row>
    <row r="458" spans="1:56" s="105" customFormat="1" ht="38.25" x14ac:dyDescent="0.25">
      <c r="A458" s="275" t="str">
        <f>'Q100b-totais'!B54</f>
        <v>8.2</v>
      </c>
      <c r="B458" s="13" t="str">
        <f>'Q100b-totais'!C54</f>
        <v>BRT</v>
      </c>
      <c r="C458" s="167" t="s">
        <v>743</v>
      </c>
      <c r="D458" s="324" t="s">
        <v>5536</v>
      </c>
      <c r="E458" s="1491" t="s">
        <v>1306</v>
      </c>
      <c r="F458" s="1205" t="s">
        <v>5865</v>
      </c>
      <c r="G458" s="110" t="s">
        <v>5578</v>
      </c>
      <c r="H458" s="173" t="s">
        <v>432</v>
      </c>
      <c r="I458" s="57">
        <v>1</v>
      </c>
      <c r="J458" s="107" t="s">
        <v>432</v>
      </c>
      <c r="K458" s="107" t="s">
        <v>432</v>
      </c>
      <c r="L458" s="107" t="s">
        <v>432</v>
      </c>
      <c r="M458" s="107" t="s">
        <v>432</v>
      </c>
      <c r="N458" s="107" t="s">
        <v>432</v>
      </c>
      <c r="O458" s="107" t="s">
        <v>432</v>
      </c>
      <c r="P458" s="107" t="s">
        <v>432</v>
      </c>
      <c r="Q458" s="107" t="s">
        <v>432</v>
      </c>
      <c r="R458" s="107" t="s">
        <v>432</v>
      </c>
      <c r="S458" s="109" t="s">
        <v>2209</v>
      </c>
      <c r="T458" s="107" t="s">
        <v>432</v>
      </c>
      <c r="U458" s="107" t="s">
        <v>432</v>
      </c>
      <c r="V458" s="109" t="s">
        <v>2209</v>
      </c>
      <c r="W458" s="107" t="s">
        <v>432</v>
      </c>
      <c r="X458" s="107" t="s">
        <v>432</v>
      </c>
      <c r="Y458" s="107" t="s">
        <v>432</v>
      </c>
      <c r="Z458" s="107" t="s">
        <v>432</v>
      </c>
      <c r="AA458" s="107" t="s">
        <v>432</v>
      </c>
      <c r="AB458" s="107" t="s">
        <v>432</v>
      </c>
      <c r="AC458" s="107" t="s">
        <v>432</v>
      </c>
      <c r="AD458" s="107" t="s">
        <v>432</v>
      </c>
      <c r="AE458" s="107" t="s">
        <v>432</v>
      </c>
      <c r="AF458" s="107" t="s">
        <v>432</v>
      </c>
      <c r="AG458" s="107" t="s">
        <v>432</v>
      </c>
      <c r="AH458" s="107" t="s">
        <v>432</v>
      </c>
      <c r="AI458" s="107" t="s">
        <v>432</v>
      </c>
      <c r="AJ458" s="107" t="s">
        <v>432</v>
      </c>
      <c r="AK458" s="95">
        <v>0.56000000000000005</v>
      </c>
      <c r="AL458" s="600" t="s">
        <v>432</v>
      </c>
      <c r="AM458" s="137" t="s">
        <v>432</v>
      </c>
      <c r="AN458" s="137" t="s">
        <v>432</v>
      </c>
      <c r="AO458" s="137" t="s">
        <v>432</v>
      </c>
      <c r="AP458" s="137" t="s">
        <v>432</v>
      </c>
      <c r="AQ458" s="137" t="s">
        <v>432</v>
      </c>
      <c r="AR458" s="137" t="s">
        <v>432</v>
      </c>
      <c r="AS458" s="137" t="s">
        <v>432</v>
      </c>
      <c r="AT458" s="137" t="s">
        <v>432</v>
      </c>
      <c r="AU458" s="137" t="s">
        <v>432</v>
      </c>
      <c r="AV458" s="137" t="s">
        <v>432</v>
      </c>
      <c r="AW458" s="137" t="s">
        <v>432</v>
      </c>
      <c r="AX458" s="137" t="s">
        <v>432</v>
      </c>
      <c r="AY458" s="137" t="s">
        <v>432</v>
      </c>
      <c r="AZ458" s="137" t="s">
        <v>432</v>
      </c>
      <c r="BA458" s="137" t="s">
        <v>432</v>
      </c>
      <c r="BB458" s="239" t="str">
        <f t="shared" si="84"/>
        <v>BRTacessibilidade</v>
      </c>
      <c r="BC458" s="239" t="str">
        <f t="shared" si="85"/>
        <v>BRTacessibilidadex</v>
      </c>
      <c r="BD458" s="239" t="str">
        <f t="shared" si="86"/>
        <v>BRTx</v>
      </c>
    </row>
    <row r="459" spans="1:56" s="105" customFormat="1" ht="61.5" customHeight="1" x14ac:dyDescent="0.25">
      <c r="A459" s="275" t="str">
        <f>'Q100b-totais'!B54</f>
        <v>8.2</v>
      </c>
      <c r="B459" s="13" t="str">
        <f>'Q100b-totais'!C54</f>
        <v>BRT</v>
      </c>
      <c r="C459" s="167" t="s">
        <v>743</v>
      </c>
      <c r="D459" s="324" t="s">
        <v>5558</v>
      </c>
      <c r="E459" s="1491" t="s">
        <v>1306</v>
      </c>
      <c r="F459" s="1205" t="s">
        <v>5866</v>
      </c>
      <c r="G459" s="110" t="s">
        <v>5578</v>
      </c>
      <c r="H459" s="173" t="s">
        <v>432</v>
      </c>
      <c r="I459" s="57">
        <v>1</v>
      </c>
      <c r="J459" s="107" t="s">
        <v>432</v>
      </c>
      <c r="K459" s="107" t="s">
        <v>432</v>
      </c>
      <c r="L459" s="107" t="s">
        <v>432</v>
      </c>
      <c r="M459" s="107" t="s">
        <v>432</v>
      </c>
      <c r="N459" s="107" t="s">
        <v>432</v>
      </c>
      <c r="O459" s="107" t="s">
        <v>432</v>
      </c>
      <c r="P459" s="107" t="s">
        <v>432</v>
      </c>
      <c r="Q459" s="107" t="s">
        <v>432</v>
      </c>
      <c r="R459" s="107" t="s">
        <v>432</v>
      </c>
      <c r="S459" s="109" t="s">
        <v>2209</v>
      </c>
      <c r="T459" s="107" t="s">
        <v>432</v>
      </c>
      <c r="U459" s="107" t="s">
        <v>432</v>
      </c>
      <c r="V459" s="109" t="s">
        <v>2209</v>
      </c>
      <c r="W459" s="107" t="s">
        <v>432</v>
      </c>
      <c r="X459" s="107" t="s">
        <v>432</v>
      </c>
      <c r="Y459" s="107" t="s">
        <v>432</v>
      </c>
      <c r="Z459" s="107" t="s">
        <v>432</v>
      </c>
      <c r="AA459" s="107" t="s">
        <v>432</v>
      </c>
      <c r="AB459" s="107" t="s">
        <v>432</v>
      </c>
      <c r="AC459" s="107" t="s">
        <v>432</v>
      </c>
      <c r="AD459" s="107" t="s">
        <v>432</v>
      </c>
      <c r="AE459" s="107" t="s">
        <v>432</v>
      </c>
      <c r="AF459" s="107" t="s">
        <v>432</v>
      </c>
      <c r="AG459" s="107" t="s">
        <v>432</v>
      </c>
      <c r="AH459" s="107" t="s">
        <v>432</v>
      </c>
      <c r="AI459" s="107" t="s">
        <v>432</v>
      </c>
      <c r="AJ459" s="107" t="s">
        <v>432</v>
      </c>
      <c r="AK459" s="95">
        <v>0.53</v>
      </c>
      <c r="AL459" s="600" t="s">
        <v>432</v>
      </c>
      <c r="AM459" s="137" t="s">
        <v>432</v>
      </c>
      <c r="AN459" s="137" t="s">
        <v>432</v>
      </c>
      <c r="AO459" s="137" t="s">
        <v>432</v>
      </c>
      <c r="AP459" s="137" t="s">
        <v>432</v>
      </c>
      <c r="AQ459" s="137" t="s">
        <v>432</v>
      </c>
      <c r="AR459" s="137" t="s">
        <v>432</v>
      </c>
      <c r="AS459" s="137" t="s">
        <v>432</v>
      </c>
      <c r="AT459" s="137" t="s">
        <v>432</v>
      </c>
      <c r="AU459" s="137" t="s">
        <v>432</v>
      </c>
      <c r="AV459" s="137" t="s">
        <v>432</v>
      </c>
      <c r="AW459" s="137" t="s">
        <v>432</v>
      </c>
      <c r="AX459" s="137" t="s">
        <v>432</v>
      </c>
      <c r="AY459" s="137" t="s">
        <v>432</v>
      </c>
      <c r="AZ459" s="137" t="s">
        <v>432</v>
      </c>
      <c r="BA459" s="137" t="s">
        <v>432</v>
      </c>
      <c r="BB459" s="239" t="str">
        <f t="shared" si="84"/>
        <v>BRTacessibilidade</v>
      </c>
      <c r="BC459" s="239" t="str">
        <f t="shared" si="85"/>
        <v>BRTacessibilidadex</v>
      </c>
      <c r="BD459" s="239" t="str">
        <f t="shared" si="86"/>
        <v>BRTx</v>
      </c>
    </row>
    <row r="460" spans="1:56" s="105" customFormat="1" ht="54.75" customHeight="1" x14ac:dyDescent="0.25">
      <c r="A460" s="275" t="str">
        <f>'Q100b-totais'!B54</f>
        <v>8.2</v>
      </c>
      <c r="B460" s="13" t="str">
        <f>'Q100b-totais'!C54</f>
        <v>BRT</v>
      </c>
      <c r="C460" s="167" t="s">
        <v>743</v>
      </c>
      <c r="D460" s="324" t="s">
        <v>5540</v>
      </c>
      <c r="E460" s="1491" t="s">
        <v>1306</v>
      </c>
      <c r="F460" s="1205" t="s">
        <v>5867</v>
      </c>
      <c r="G460" s="110" t="s">
        <v>5578</v>
      </c>
      <c r="H460" s="173" t="s">
        <v>432</v>
      </c>
      <c r="I460" s="57">
        <v>1</v>
      </c>
      <c r="J460" s="107" t="s">
        <v>432</v>
      </c>
      <c r="K460" s="107" t="s">
        <v>432</v>
      </c>
      <c r="L460" s="107" t="s">
        <v>432</v>
      </c>
      <c r="M460" s="107" t="s">
        <v>432</v>
      </c>
      <c r="N460" s="107" t="s">
        <v>432</v>
      </c>
      <c r="O460" s="107" t="s">
        <v>432</v>
      </c>
      <c r="P460" s="107" t="s">
        <v>432</v>
      </c>
      <c r="Q460" s="107" t="s">
        <v>432</v>
      </c>
      <c r="R460" s="107" t="s">
        <v>432</v>
      </c>
      <c r="S460" s="109" t="s">
        <v>2209</v>
      </c>
      <c r="T460" s="107" t="s">
        <v>432</v>
      </c>
      <c r="U460" s="107" t="s">
        <v>432</v>
      </c>
      <c r="V460" s="109" t="s">
        <v>2209</v>
      </c>
      <c r="W460" s="107" t="s">
        <v>432</v>
      </c>
      <c r="X460" s="107" t="s">
        <v>432</v>
      </c>
      <c r="Y460" s="107" t="s">
        <v>432</v>
      </c>
      <c r="Z460" s="107" t="s">
        <v>432</v>
      </c>
      <c r="AA460" s="107" t="s">
        <v>432</v>
      </c>
      <c r="AB460" s="107" t="s">
        <v>432</v>
      </c>
      <c r="AC460" s="107" t="s">
        <v>432</v>
      </c>
      <c r="AD460" s="107" t="s">
        <v>432</v>
      </c>
      <c r="AE460" s="107" t="s">
        <v>432</v>
      </c>
      <c r="AF460" s="107" t="s">
        <v>432</v>
      </c>
      <c r="AG460" s="107" t="s">
        <v>432</v>
      </c>
      <c r="AH460" s="107" t="s">
        <v>432</v>
      </c>
      <c r="AI460" s="107" t="s">
        <v>432</v>
      </c>
      <c r="AJ460" s="107" t="s">
        <v>432</v>
      </c>
      <c r="AK460" s="95">
        <v>0.63</v>
      </c>
      <c r="AL460" s="600" t="s">
        <v>432</v>
      </c>
      <c r="AM460" s="137" t="s">
        <v>432</v>
      </c>
      <c r="AN460" s="137" t="s">
        <v>432</v>
      </c>
      <c r="AO460" s="137" t="s">
        <v>432</v>
      </c>
      <c r="AP460" s="137" t="s">
        <v>432</v>
      </c>
      <c r="AQ460" s="137" t="s">
        <v>432</v>
      </c>
      <c r="AR460" s="137" t="s">
        <v>432</v>
      </c>
      <c r="AS460" s="137" t="s">
        <v>432</v>
      </c>
      <c r="AT460" s="137" t="s">
        <v>432</v>
      </c>
      <c r="AU460" s="137" t="s">
        <v>432</v>
      </c>
      <c r="AV460" s="137" t="s">
        <v>432</v>
      </c>
      <c r="AW460" s="137" t="s">
        <v>432</v>
      </c>
      <c r="AX460" s="137" t="s">
        <v>432</v>
      </c>
      <c r="AY460" s="137" t="s">
        <v>432</v>
      </c>
      <c r="AZ460" s="137" t="s">
        <v>432</v>
      </c>
      <c r="BA460" s="137" t="s">
        <v>432</v>
      </c>
      <c r="BB460" s="239" t="str">
        <f t="shared" si="84"/>
        <v>BRTacessibilidade</v>
      </c>
      <c r="BC460" s="239" t="str">
        <f t="shared" si="85"/>
        <v>BRTacessibilidadex</v>
      </c>
      <c r="BD460" s="239" t="str">
        <f t="shared" si="86"/>
        <v>BRTx</v>
      </c>
    </row>
    <row r="461" spans="1:56" s="3" customFormat="1" x14ac:dyDescent="0.25">
      <c r="A461" s="402"/>
      <c r="B461" s="399"/>
      <c r="C461" s="399"/>
      <c r="D461" s="970"/>
      <c r="E461" s="1495"/>
      <c r="F461" s="399"/>
      <c r="G461" s="399"/>
      <c r="H461" s="399"/>
      <c r="I461" s="399"/>
      <c r="J461" s="399"/>
      <c r="K461" s="399"/>
      <c r="L461" s="399"/>
      <c r="M461" s="399"/>
      <c r="N461" s="399"/>
      <c r="O461" s="399"/>
      <c r="P461" s="399"/>
      <c r="Q461" s="399"/>
      <c r="R461" s="399"/>
      <c r="S461" s="399"/>
      <c r="T461" s="399"/>
      <c r="U461" s="399"/>
      <c r="V461" s="399"/>
      <c r="W461" s="399"/>
      <c r="X461" s="399"/>
      <c r="Y461" s="221"/>
      <c r="Z461" s="221"/>
      <c r="AA461" s="221"/>
      <c r="AB461" s="221"/>
      <c r="AC461" s="221"/>
      <c r="AD461" s="221"/>
      <c r="AE461" s="221"/>
      <c r="AF461" s="221"/>
      <c r="AG461" s="221"/>
      <c r="AH461" s="221"/>
      <c r="AI461" s="221"/>
      <c r="AJ461" s="221"/>
      <c r="AK461" s="223"/>
      <c r="AL461" s="223"/>
      <c r="AM461" s="223"/>
      <c r="AN461" s="223"/>
      <c r="AO461" s="223"/>
      <c r="AP461" s="223"/>
      <c r="AQ461" s="223"/>
      <c r="AR461" s="223"/>
      <c r="AS461" s="223"/>
      <c r="AT461" s="223"/>
      <c r="AU461" s="223"/>
      <c r="AV461" s="223"/>
      <c r="AW461" s="223"/>
      <c r="AX461" s="223"/>
      <c r="AY461" s="223"/>
      <c r="AZ461" s="223"/>
      <c r="BA461" s="223"/>
      <c r="BB461" s="400"/>
      <c r="BC461" s="400"/>
      <c r="BD461" s="400"/>
    </row>
    <row r="462" spans="1:56" s="1" customFormat="1" ht="40.5" customHeight="1" x14ac:dyDescent="0.25">
      <c r="A462" s="275" t="str">
        <f>'Q100b-totais'!B54</f>
        <v>8.2</v>
      </c>
      <c r="B462" s="1205" t="str">
        <f>'Q100b-totais'!C54</f>
        <v>BRT</v>
      </c>
      <c r="C462" s="167" t="s">
        <v>432</v>
      </c>
      <c r="D462" s="325" t="s">
        <v>2625</v>
      </c>
      <c r="E462" s="1491" t="s">
        <v>432</v>
      </c>
      <c r="F462" s="1205" t="s">
        <v>5728</v>
      </c>
      <c r="G462" s="230" t="s">
        <v>3507</v>
      </c>
      <c r="H462" s="167" t="s">
        <v>2408</v>
      </c>
      <c r="I462" s="167" t="s">
        <v>432</v>
      </c>
      <c r="J462" s="107" t="s">
        <v>432</v>
      </c>
      <c r="K462" s="107" t="s">
        <v>432</v>
      </c>
      <c r="L462" s="107" t="s">
        <v>432</v>
      </c>
      <c r="M462" s="107" t="s">
        <v>432</v>
      </c>
      <c r="N462" s="107" t="s">
        <v>432</v>
      </c>
      <c r="O462" s="107" t="s">
        <v>432</v>
      </c>
      <c r="P462" s="107" t="s">
        <v>432</v>
      </c>
      <c r="Q462" s="107" t="s">
        <v>432</v>
      </c>
      <c r="R462" s="107" t="s">
        <v>432</v>
      </c>
      <c r="S462" s="109" t="s">
        <v>2209</v>
      </c>
      <c r="T462" s="107" t="s">
        <v>432</v>
      </c>
      <c r="U462" s="107" t="s">
        <v>432</v>
      </c>
      <c r="V462" s="109" t="s">
        <v>2209</v>
      </c>
      <c r="W462" s="107" t="s">
        <v>432</v>
      </c>
      <c r="X462" s="107" t="s">
        <v>432</v>
      </c>
      <c r="Y462" s="107" t="s">
        <v>432</v>
      </c>
      <c r="Z462" s="107" t="s">
        <v>432</v>
      </c>
      <c r="AA462" s="107" t="s">
        <v>432</v>
      </c>
      <c r="AB462" s="107" t="s">
        <v>432</v>
      </c>
      <c r="AC462" s="107" t="s">
        <v>432</v>
      </c>
      <c r="AD462" s="107" t="s">
        <v>432</v>
      </c>
      <c r="AE462" s="107" t="s">
        <v>432</v>
      </c>
      <c r="AF462" s="107" t="s">
        <v>432</v>
      </c>
      <c r="AG462" s="107" t="s">
        <v>432</v>
      </c>
      <c r="AH462" s="107" t="s">
        <v>432</v>
      </c>
      <c r="AI462" s="107" t="s">
        <v>432</v>
      </c>
      <c r="AJ462" s="107" t="s">
        <v>432</v>
      </c>
      <c r="AK462" s="137" t="s">
        <v>432</v>
      </c>
      <c r="AL462" s="600" t="s">
        <v>432</v>
      </c>
      <c r="AM462" s="137" t="s">
        <v>432</v>
      </c>
      <c r="AN462" s="137" t="s">
        <v>432</v>
      </c>
      <c r="AO462" s="137" t="s">
        <v>432</v>
      </c>
      <c r="AP462" s="137" t="s">
        <v>432</v>
      </c>
      <c r="AQ462" s="137" t="s">
        <v>432</v>
      </c>
      <c r="AR462" s="137" t="s">
        <v>432</v>
      </c>
      <c r="AS462" s="137" t="s">
        <v>432</v>
      </c>
      <c r="AT462" s="137" t="s">
        <v>432</v>
      </c>
      <c r="AU462" s="137" t="s">
        <v>432</v>
      </c>
      <c r="AV462" s="137" t="s">
        <v>432</v>
      </c>
      <c r="AW462" s="137" t="s">
        <v>432</v>
      </c>
      <c r="AX462" s="137" t="s">
        <v>432</v>
      </c>
      <c r="AY462" s="137" t="s">
        <v>432</v>
      </c>
      <c r="AZ462" s="137" t="s">
        <v>432</v>
      </c>
      <c r="BA462" s="137" t="s">
        <v>432</v>
      </c>
      <c r="BB462" s="239" t="str">
        <f>B462&amp;C462</f>
        <v>BRTx</v>
      </c>
      <c r="BC462" s="239" t="str">
        <f>B462&amp;C462&amp;H462</f>
        <v>BRTxsigla/verbete</v>
      </c>
      <c r="BD462" s="239" t="str">
        <f>B462&amp;H462</f>
        <v>BRTsigla/verbete</v>
      </c>
    </row>
    <row r="463" spans="1:56" s="1" customFormat="1" ht="40.5" customHeight="1" x14ac:dyDescent="0.25">
      <c r="A463" s="275" t="str">
        <f>'Q100b-totais'!B54</f>
        <v>8.2</v>
      </c>
      <c r="B463" s="1205" t="str">
        <f>'Q100b-totais'!C54</f>
        <v>BRT</v>
      </c>
      <c r="C463" s="167" t="s">
        <v>432</v>
      </c>
      <c r="D463" s="325" t="s">
        <v>5735</v>
      </c>
      <c r="E463" s="1491" t="s">
        <v>1298</v>
      </c>
      <c r="F463" s="11" t="s">
        <v>5738</v>
      </c>
      <c r="G463" s="230" t="s">
        <v>3507</v>
      </c>
      <c r="H463" s="167" t="s">
        <v>2408</v>
      </c>
      <c r="I463" s="167" t="s">
        <v>432</v>
      </c>
      <c r="J463" s="107" t="s">
        <v>432</v>
      </c>
      <c r="K463" s="107" t="s">
        <v>432</v>
      </c>
      <c r="L463" s="107" t="s">
        <v>432</v>
      </c>
      <c r="M463" s="107" t="s">
        <v>432</v>
      </c>
      <c r="N463" s="107" t="s">
        <v>432</v>
      </c>
      <c r="O463" s="107" t="s">
        <v>432</v>
      </c>
      <c r="P463" s="107" t="s">
        <v>432</v>
      </c>
      <c r="Q463" s="107" t="s">
        <v>432</v>
      </c>
      <c r="R463" s="107" t="s">
        <v>432</v>
      </c>
      <c r="S463" s="109" t="s">
        <v>2209</v>
      </c>
      <c r="T463" s="107" t="s">
        <v>432</v>
      </c>
      <c r="U463" s="107" t="s">
        <v>432</v>
      </c>
      <c r="V463" s="109" t="s">
        <v>2209</v>
      </c>
      <c r="W463" s="107" t="s">
        <v>432</v>
      </c>
      <c r="X463" s="107" t="s">
        <v>432</v>
      </c>
      <c r="Y463" s="107" t="s">
        <v>432</v>
      </c>
      <c r="Z463" s="107" t="s">
        <v>432</v>
      </c>
      <c r="AA463" s="107" t="s">
        <v>432</v>
      </c>
      <c r="AB463" s="107" t="s">
        <v>432</v>
      </c>
      <c r="AC463" s="107" t="s">
        <v>432</v>
      </c>
      <c r="AD463" s="107" t="s">
        <v>432</v>
      </c>
      <c r="AE463" s="107" t="s">
        <v>432</v>
      </c>
      <c r="AF463" s="107" t="s">
        <v>432</v>
      </c>
      <c r="AG463" s="107" t="s">
        <v>432</v>
      </c>
      <c r="AH463" s="107" t="s">
        <v>432</v>
      </c>
      <c r="AI463" s="107" t="s">
        <v>432</v>
      </c>
      <c r="AJ463" s="107" t="s">
        <v>432</v>
      </c>
      <c r="AK463" s="137" t="s">
        <v>432</v>
      </c>
      <c r="AL463" s="600" t="s">
        <v>432</v>
      </c>
      <c r="AM463" s="137" t="s">
        <v>432</v>
      </c>
      <c r="AN463" s="137" t="s">
        <v>432</v>
      </c>
      <c r="AO463" s="137" t="s">
        <v>432</v>
      </c>
      <c r="AP463" s="137" t="s">
        <v>432</v>
      </c>
      <c r="AQ463" s="137" t="s">
        <v>432</v>
      </c>
      <c r="AR463" s="137" t="s">
        <v>432</v>
      </c>
      <c r="AS463" s="137" t="s">
        <v>432</v>
      </c>
      <c r="AT463" s="137" t="s">
        <v>432</v>
      </c>
      <c r="AU463" s="137" t="s">
        <v>432</v>
      </c>
      <c r="AV463" s="137" t="s">
        <v>432</v>
      </c>
      <c r="AW463" s="137" t="s">
        <v>432</v>
      </c>
      <c r="AX463" s="137" t="s">
        <v>432</v>
      </c>
      <c r="AY463" s="137" t="s">
        <v>432</v>
      </c>
      <c r="AZ463" s="137" t="s">
        <v>432</v>
      </c>
      <c r="BA463" s="137" t="s">
        <v>432</v>
      </c>
      <c r="BB463" s="239" t="str">
        <f>B463&amp;C463</f>
        <v>BRTx</v>
      </c>
      <c r="BC463" s="239" t="str">
        <f>B463&amp;C463&amp;H463</f>
        <v>BRTxsigla/verbete</v>
      </c>
      <c r="BD463" s="239" t="str">
        <f>B463&amp;H463</f>
        <v>BRTsigla/verbete</v>
      </c>
    </row>
    <row r="464" spans="1:56" s="1" customFormat="1" ht="40.5" customHeight="1" x14ac:dyDescent="0.25">
      <c r="A464" s="275" t="str">
        <f>'Q100b-totais'!B55</f>
        <v>8.3</v>
      </c>
      <c r="B464" s="1205" t="str">
        <f>'Q100b-totais'!C55</f>
        <v>Estações BHBUS</v>
      </c>
      <c r="C464" s="167" t="s">
        <v>432</v>
      </c>
      <c r="D464" s="325" t="s">
        <v>5736</v>
      </c>
      <c r="E464" s="1491" t="s">
        <v>1306</v>
      </c>
      <c r="F464" s="1205" t="s">
        <v>5737</v>
      </c>
      <c r="G464" s="230" t="s">
        <v>3507</v>
      </c>
      <c r="H464" s="167" t="s">
        <v>2408</v>
      </c>
      <c r="I464" s="167" t="s">
        <v>432</v>
      </c>
      <c r="J464" s="107" t="s">
        <v>432</v>
      </c>
      <c r="K464" s="107" t="s">
        <v>432</v>
      </c>
      <c r="L464" s="107" t="s">
        <v>432</v>
      </c>
      <c r="M464" s="107" t="s">
        <v>432</v>
      </c>
      <c r="N464" s="107" t="s">
        <v>432</v>
      </c>
      <c r="O464" s="107" t="s">
        <v>432</v>
      </c>
      <c r="P464" s="107" t="s">
        <v>432</v>
      </c>
      <c r="Q464" s="107" t="s">
        <v>432</v>
      </c>
      <c r="R464" s="107" t="s">
        <v>432</v>
      </c>
      <c r="S464" s="109" t="s">
        <v>2209</v>
      </c>
      <c r="T464" s="107" t="s">
        <v>432</v>
      </c>
      <c r="U464" s="107" t="s">
        <v>432</v>
      </c>
      <c r="V464" s="109" t="s">
        <v>2209</v>
      </c>
      <c r="W464" s="107" t="s">
        <v>432</v>
      </c>
      <c r="X464" s="107" t="s">
        <v>432</v>
      </c>
      <c r="Y464" s="107" t="s">
        <v>432</v>
      </c>
      <c r="Z464" s="107" t="s">
        <v>432</v>
      </c>
      <c r="AA464" s="107" t="s">
        <v>432</v>
      </c>
      <c r="AB464" s="107" t="s">
        <v>432</v>
      </c>
      <c r="AC464" s="107" t="s">
        <v>432</v>
      </c>
      <c r="AD464" s="107" t="s">
        <v>432</v>
      </c>
      <c r="AE464" s="107" t="s">
        <v>432</v>
      </c>
      <c r="AF464" s="107" t="s">
        <v>432</v>
      </c>
      <c r="AG464" s="107" t="s">
        <v>432</v>
      </c>
      <c r="AH464" s="107" t="s">
        <v>432</v>
      </c>
      <c r="AI464" s="107" t="s">
        <v>432</v>
      </c>
      <c r="AJ464" s="107" t="s">
        <v>432</v>
      </c>
      <c r="AK464" s="137" t="s">
        <v>432</v>
      </c>
      <c r="AL464" s="600" t="s">
        <v>432</v>
      </c>
      <c r="AM464" s="137" t="s">
        <v>432</v>
      </c>
      <c r="AN464" s="137" t="s">
        <v>432</v>
      </c>
      <c r="AO464" s="137" t="s">
        <v>432</v>
      </c>
      <c r="AP464" s="137" t="s">
        <v>432</v>
      </c>
      <c r="AQ464" s="137" t="s">
        <v>432</v>
      </c>
      <c r="AR464" s="137" t="s">
        <v>432</v>
      </c>
      <c r="AS464" s="137" t="s">
        <v>432</v>
      </c>
      <c r="AT464" s="137" t="s">
        <v>432</v>
      </c>
      <c r="AU464" s="137" t="s">
        <v>432</v>
      </c>
      <c r="AV464" s="137" t="s">
        <v>432</v>
      </c>
      <c r="AW464" s="137" t="s">
        <v>432</v>
      </c>
      <c r="AX464" s="137" t="s">
        <v>432</v>
      </c>
      <c r="AY464" s="137" t="s">
        <v>432</v>
      </c>
      <c r="AZ464" s="137" t="s">
        <v>432</v>
      </c>
      <c r="BA464" s="137" t="s">
        <v>432</v>
      </c>
      <c r="BB464" s="239" t="str">
        <f>B464&amp;C464</f>
        <v>Estações BHBUSx</v>
      </c>
      <c r="BC464" s="239" t="str">
        <f>B464&amp;C464&amp;H464</f>
        <v>Estações BHBUSxsigla/verbete</v>
      </c>
      <c r="BD464" s="239" t="str">
        <f>B464&amp;H464</f>
        <v>Estações BHBUSsigla/verbete</v>
      </c>
    </row>
    <row r="465" spans="1:56" s="3" customFormat="1" ht="12.75" customHeight="1" x14ac:dyDescent="0.25">
      <c r="A465" s="402"/>
      <c r="B465" s="399"/>
      <c r="C465" s="399"/>
      <c r="D465" s="970"/>
      <c r="E465" s="1495"/>
      <c r="F465" s="399"/>
      <c r="G465" s="399"/>
      <c r="H465" s="399"/>
      <c r="I465" s="399"/>
      <c r="J465" s="399"/>
      <c r="K465" s="399"/>
      <c r="L465" s="399"/>
      <c r="M465" s="399"/>
      <c r="N465" s="399"/>
      <c r="O465" s="399"/>
      <c r="P465" s="399"/>
      <c r="Q465" s="399"/>
      <c r="R465" s="399"/>
      <c r="S465" s="109" t="s">
        <v>2209</v>
      </c>
      <c r="T465" s="399"/>
      <c r="U465" s="399"/>
      <c r="V465" s="109" t="s">
        <v>2209</v>
      </c>
      <c r="W465" s="399"/>
      <c r="X465" s="399"/>
      <c r="Y465" s="221"/>
      <c r="Z465" s="221"/>
      <c r="AA465" s="221"/>
      <c r="AB465" s="221"/>
      <c r="AC465" s="221"/>
      <c r="AD465" s="221"/>
      <c r="AE465" s="221"/>
      <c r="AF465" s="221"/>
      <c r="AG465" s="221"/>
      <c r="AH465" s="221"/>
      <c r="AI465" s="221"/>
      <c r="AJ465" s="221"/>
      <c r="AK465" s="223"/>
      <c r="AL465" s="223"/>
      <c r="AM465" s="223"/>
      <c r="AN465" s="223"/>
      <c r="AO465" s="223"/>
      <c r="AP465" s="223"/>
      <c r="AQ465" s="223"/>
      <c r="AR465" s="223"/>
      <c r="AS465" s="223"/>
      <c r="AT465" s="223"/>
      <c r="AU465" s="223"/>
      <c r="AV465" s="223"/>
      <c r="AW465" s="223"/>
      <c r="AX465" s="223"/>
      <c r="AY465" s="223"/>
      <c r="AZ465" s="223"/>
      <c r="BA465" s="223"/>
      <c r="BB465" s="400"/>
      <c r="BC465" s="400"/>
      <c r="BD465" s="400"/>
    </row>
    <row r="466" spans="1:56" s="1" customFormat="1" ht="25.5" x14ac:dyDescent="0.25">
      <c r="A466" s="275" t="str">
        <f>'Q100b-totais'!B21</f>
        <v>2.6</v>
      </c>
      <c r="B466" s="1205" t="str">
        <f>'Q100b-totais'!C21</f>
        <v>Cidades da RMBH</v>
      </c>
      <c r="C466" s="167" t="s">
        <v>432</v>
      </c>
      <c r="D466" s="324" t="s">
        <v>1739</v>
      </c>
      <c r="E466" s="1508" t="s">
        <v>1739</v>
      </c>
      <c r="F466" s="1205" t="str">
        <f>pend!C184</f>
        <v>município da RMBH (faltando completar)</v>
      </c>
      <c r="G466" s="230" t="s">
        <v>3507</v>
      </c>
      <c r="H466" s="167" t="s">
        <v>2408</v>
      </c>
      <c r="I466" s="167" t="s">
        <v>432</v>
      </c>
      <c r="J466" s="107" t="s">
        <v>432</v>
      </c>
      <c r="K466" s="107" t="s">
        <v>432</v>
      </c>
      <c r="L466" s="107" t="s">
        <v>432</v>
      </c>
      <c r="M466" s="107" t="s">
        <v>432</v>
      </c>
      <c r="N466" s="107" t="s">
        <v>432</v>
      </c>
      <c r="O466" s="107" t="s">
        <v>432</v>
      </c>
      <c r="P466" s="107" t="s">
        <v>432</v>
      </c>
      <c r="Q466" s="107" t="s">
        <v>432</v>
      </c>
      <c r="R466" s="107" t="s">
        <v>432</v>
      </c>
      <c r="S466" s="109" t="s">
        <v>2209</v>
      </c>
      <c r="T466" s="107" t="s">
        <v>432</v>
      </c>
      <c r="U466" s="107" t="s">
        <v>432</v>
      </c>
      <c r="V466" s="109" t="s">
        <v>2209</v>
      </c>
      <c r="W466" s="107" t="s">
        <v>432</v>
      </c>
      <c r="X466" s="107" t="s">
        <v>432</v>
      </c>
      <c r="Y466" s="107" t="s">
        <v>432</v>
      </c>
      <c r="Z466" s="107" t="s">
        <v>432</v>
      </c>
      <c r="AA466" s="107" t="s">
        <v>432</v>
      </c>
      <c r="AB466" s="107" t="s">
        <v>432</v>
      </c>
      <c r="AC466" s="107" t="s">
        <v>432</v>
      </c>
      <c r="AD466" s="107" t="s">
        <v>432</v>
      </c>
      <c r="AE466" s="107" t="s">
        <v>432</v>
      </c>
      <c r="AF466" s="107" t="s">
        <v>432</v>
      </c>
      <c r="AG466" s="107" t="s">
        <v>432</v>
      </c>
      <c r="AH466" s="107" t="s">
        <v>432</v>
      </c>
      <c r="AI466" s="107" t="s">
        <v>432</v>
      </c>
      <c r="AJ466" s="107" t="s">
        <v>432</v>
      </c>
      <c r="AK466" s="137" t="s">
        <v>432</v>
      </c>
      <c r="AL466" s="600" t="s">
        <v>432</v>
      </c>
      <c r="AM466" s="137" t="s">
        <v>432</v>
      </c>
      <c r="AN466" s="137" t="s">
        <v>432</v>
      </c>
      <c r="AO466" s="137" t="s">
        <v>432</v>
      </c>
      <c r="AP466" s="137" t="s">
        <v>432</v>
      </c>
      <c r="AQ466" s="137" t="s">
        <v>432</v>
      </c>
      <c r="AR466" s="137" t="s">
        <v>432</v>
      </c>
      <c r="AS466" s="137" t="s">
        <v>432</v>
      </c>
      <c r="AT466" s="137" t="s">
        <v>432</v>
      </c>
      <c r="AU466" s="137" t="s">
        <v>432</v>
      </c>
      <c r="AV466" s="137" t="s">
        <v>432</v>
      </c>
      <c r="AW466" s="137" t="s">
        <v>432</v>
      </c>
      <c r="AX466" s="137" t="s">
        <v>432</v>
      </c>
      <c r="AY466" s="137" t="s">
        <v>432</v>
      </c>
      <c r="AZ466" s="137" t="s">
        <v>432</v>
      </c>
      <c r="BA466" s="137" t="s">
        <v>432</v>
      </c>
      <c r="BB466" s="239" t="str">
        <f>B466&amp;C466</f>
        <v>Cidades da RMBHx</v>
      </c>
      <c r="BC466" s="239" t="str">
        <f>B466&amp;C466&amp;H466</f>
        <v>Cidades da RMBHxsigla/verbete</v>
      </c>
      <c r="BD466" s="239" t="str">
        <f>B466&amp;H466</f>
        <v>Cidades da RMBHsigla/verbete</v>
      </c>
    </row>
    <row r="467" spans="1:56" s="3" customFormat="1" ht="38.25" x14ac:dyDescent="0.25">
      <c r="A467" s="262" t="str">
        <f>'Q100b-totais'!B22</f>
        <v>2.7</v>
      </c>
      <c r="B467" s="252" t="str">
        <f>'Q100b-totais'!C22</f>
        <v>Outras cidades/regiões</v>
      </c>
      <c r="C467" s="167" t="s">
        <v>743</v>
      </c>
      <c r="D467" s="325" t="s">
        <v>3289</v>
      </c>
      <c r="E467" s="1445" t="s">
        <v>4189</v>
      </c>
      <c r="F467" s="1205" t="s">
        <v>4202</v>
      </c>
      <c r="G467" s="230" t="s">
        <v>3507</v>
      </c>
      <c r="H467" s="167" t="s">
        <v>2408</v>
      </c>
      <c r="I467" s="167" t="s">
        <v>432</v>
      </c>
      <c r="J467" s="107" t="s">
        <v>432</v>
      </c>
      <c r="K467" s="107" t="s">
        <v>432</v>
      </c>
      <c r="L467" s="107" t="s">
        <v>432</v>
      </c>
      <c r="M467" s="107" t="s">
        <v>432</v>
      </c>
      <c r="N467" s="107" t="s">
        <v>432</v>
      </c>
      <c r="O467" s="107" t="s">
        <v>432</v>
      </c>
      <c r="P467" s="107" t="s">
        <v>432</v>
      </c>
      <c r="Q467" s="107" t="s">
        <v>432</v>
      </c>
      <c r="R467" s="107" t="s">
        <v>432</v>
      </c>
      <c r="S467" s="109" t="s">
        <v>2209</v>
      </c>
      <c r="T467" s="107" t="s">
        <v>432</v>
      </c>
      <c r="U467" s="107" t="s">
        <v>432</v>
      </c>
      <c r="V467" s="109" t="s">
        <v>2209</v>
      </c>
      <c r="W467" s="107" t="s">
        <v>432</v>
      </c>
      <c r="X467" s="107" t="s">
        <v>432</v>
      </c>
      <c r="Y467" s="107" t="s">
        <v>432</v>
      </c>
      <c r="Z467" s="107" t="s">
        <v>432</v>
      </c>
      <c r="AA467" s="107" t="s">
        <v>432</v>
      </c>
      <c r="AB467" s="107" t="s">
        <v>432</v>
      </c>
      <c r="AC467" s="107" t="s">
        <v>432</v>
      </c>
      <c r="AD467" s="107" t="s">
        <v>432</v>
      </c>
      <c r="AE467" s="107" t="s">
        <v>432</v>
      </c>
      <c r="AF467" s="107" t="s">
        <v>432</v>
      </c>
      <c r="AG467" s="107" t="s">
        <v>432</v>
      </c>
      <c r="AH467" s="107" t="s">
        <v>432</v>
      </c>
      <c r="AI467" s="107" t="s">
        <v>432</v>
      </c>
      <c r="AJ467" s="107" t="s">
        <v>432</v>
      </c>
      <c r="AK467" s="107" t="s">
        <v>432</v>
      </c>
      <c r="AL467" s="600" t="s">
        <v>432</v>
      </c>
      <c r="AM467" s="137" t="s">
        <v>432</v>
      </c>
      <c r="AN467" s="137" t="s">
        <v>432</v>
      </c>
      <c r="AO467" s="137" t="s">
        <v>432</v>
      </c>
      <c r="AP467" s="137" t="s">
        <v>432</v>
      </c>
      <c r="AQ467" s="137" t="s">
        <v>432</v>
      </c>
      <c r="AR467" s="137" t="s">
        <v>432</v>
      </c>
      <c r="AS467" s="137" t="s">
        <v>432</v>
      </c>
      <c r="AT467" s="137" t="s">
        <v>432</v>
      </c>
      <c r="AU467" s="137" t="s">
        <v>432</v>
      </c>
      <c r="AV467" s="137" t="s">
        <v>432</v>
      </c>
      <c r="AW467" s="137" t="s">
        <v>432</v>
      </c>
      <c r="AX467" s="137" t="s">
        <v>432</v>
      </c>
      <c r="AY467" s="137" t="s">
        <v>432</v>
      </c>
      <c r="AZ467" s="137" t="s">
        <v>432</v>
      </c>
      <c r="BA467" s="137" t="s">
        <v>432</v>
      </c>
      <c r="BB467" s="239" t="str">
        <f>B467&amp;C467</f>
        <v>Outras cidades/regiõesacessibilidade</v>
      </c>
      <c r="BC467" s="239" t="str">
        <f>B467&amp;C467&amp;H467</f>
        <v>Outras cidades/regiõesacessibilidadesigla/verbete</v>
      </c>
      <c r="BD467" s="239" t="str">
        <f>B467&amp;H467</f>
        <v>Outras cidades/regiõessigla/verbete</v>
      </c>
    </row>
    <row r="468" spans="1:56" s="3" customFormat="1" ht="38.25" x14ac:dyDescent="0.25">
      <c r="A468" s="262" t="str">
        <f>'Q100b-totais'!B22</f>
        <v>2.7</v>
      </c>
      <c r="B468" s="252" t="str">
        <f>'Q100b-totais'!C22</f>
        <v>Outras cidades/regiões</v>
      </c>
      <c r="C468" s="167" t="s">
        <v>743</v>
      </c>
      <c r="D468" s="1323" t="s">
        <v>3022</v>
      </c>
      <c r="E468" s="1499" t="s">
        <v>3022</v>
      </c>
      <c r="F468" s="1327" t="s">
        <v>4226</v>
      </c>
      <c r="G468" s="230" t="s">
        <v>3507</v>
      </c>
      <c r="H468" s="167" t="s">
        <v>2408</v>
      </c>
      <c r="I468" s="167" t="s">
        <v>432</v>
      </c>
      <c r="J468" s="107" t="s">
        <v>432</v>
      </c>
      <c r="K468" s="107" t="s">
        <v>432</v>
      </c>
      <c r="L468" s="107" t="s">
        <v>432</v>
      </c>
      <c r="M468" s="107" t="s">
        <v>432</v>
      </c>
      <c r="N468" s="107" t="s">
        <v>432</v>
      </c>
      <c r="O468" s="107" t="s">
        <v>432</v>
      </c>
      <c r="P468" s="107" t="s">
        <v>432</v>
      </c>
      <c r="Q468" s="107" t="s">
        <v>432</v>
      </c>
      <c r="R468" s="107" t="s">
        <v>432</v>
      </c>
      <c r="S468" s="109" t="s">
        <v>2209</v>
      </c>
      <c r="T468" s="107" t="s">
        <v>432</v>
      </c>
      <c r="U468" s="107" t="s">
        <v>432</v>
      </c>
      <c r="V468" s="109" t="s">
        <v>2209</v>
      </c>
      <c r="W468" s="107" t="s">
        <v>432</v>
      </c>
      <c r="X468" s="107" t="s">
        <v>432</v>
      </c>
      <c r="Y468" s="107" t="s">
        <v>432</v>
      </c>
      <c r="Z468" s="107" t="s">
        <v>432</v>
      </c>
      <c r="AA468" s="107" t="s">
        <v>432</v>
      </c>
      <c r="AB468" s="107" t="s">
        <v>432</v>
      </c>
      <c r="AC468" s="107" t="s">
        <v>432</v>
      </c>
      <c r="AD468" s="107" t="s">
        <v>432</v>
      </c>
      <c r="AE468" s="107" t="s">
        <v>432</v>
      </c>
      <c r="AF468" s="107" t="s">
        <v>432</v>
      </c>
      <c r="AG468" s="107" t="s">
        <v>432</v>
      </c>
      <c r="AH468" s="107" t="s">
        <v>432</v>
      </c>
      <c r="AI468" s="107" t="s">
        <v>432</v>
      </c>
      <c r="AJ468" s="107" t="s">
        <v>432</v>
      </c>
      <c r="AK468" s="107" t="s">
        <v>432</v>
      </c>
      <c r="AL468" s="600" t="s">
        <v>432</v>
      </c>
      <c r="AM468" s="137" t="s">
        <v>432</v>
      </c>
      <c r="AN468" s="137" t="s">
        <v>432</v>
      </c>
      <c r="AO468" s="137" t="s">
        <v>432</v>
      </c>
      <c r="AP468" s="137" t="s">
        <v>432</v>
      </c>
      <c r="AQ468" s="137" t="s">
        <v>432</v>
      </c>
      <c r="AR468" s="137" t="s">
        <v>432</v>
      </c>
      <c r="AS468" s="137" t="s">
        <v>432</v>
      </c>
      <c r="AT468" s="137" t="s">
        <v>432</v>
      </c>
      <c r="AU468" s="137" t="s">
        <v>432</v>
      </c>
      <c r="AV468" s="137" t="s">
        <v>432</v>
      </c>
      <c r="AW468" s="137" t="s">
        <v>432</v>
      </c>
      <c r="AX468" s="137" t="s">
        <v>432</v>
      </c>
      <c r="AY468" s="137" t="s">
        <v>432</v>
      </c>
      <c r="AZ468" s="137" t="s">
        <v>432</v>
      </c>
      <c r="BA468" s="137" t="s">
        <v>432</v>
      </c>
      <c r="BB468" s="239" t="str">
        <f>B468&amp;C468</f>
        <v>Outras cidades/regiõesacessibilidade</v>
      </c>
      <c r="BC468" s="239" t="str">
        <f>B468&amp;C468&amp;H468</f>
        <v>Outras cidades/regiõesacessibilidadesigla/verbete</v>
      </c>
      <c r="BD468" s="239" t="str">
        <f>B468&amp;H468</f>
        <v>Outras cidades/regiõessigla/verbete</v>
      </c>
    </row>
    <row r="469" spans="1:56" s="3" customFormat="1" ht="38.25" x14ac:dyDescent="0.25">
      <c r="A469" s="262" t="str">
        <f>'Q100b-totais'!B22</f>
        <v>2.7</v>
      </c>
      <c r="B469" s="252" t="str">
        <f>'Q100b-totais'!C22</f>
        <v>Outras cidades/regiões</v>
      </c>
      <c r="C469" s="167" t="s">
        <v>743</v>
      </c>
      <c r="D469" s="1323" t="s">
        <v>3035</v>
      </c>
      <c r="E469" s="1499" t="s">
        <v>3035</v>
      </c>
      <c r="F469" s="1327" t="s">
        <v>4228</v>
      </c>
      <c r="G469" s="230" t="s">
        <v>3507</v>
      </c>
      <c r="H469" s="167" t="s">
        <v>2408</v>
      </c>
      <c r="I469" s="167" t="s">
        <v>432</v>
      </c>
      <c r="J469" s="107" t="s">
        <v>432</v>
      </c>
      <c r="K469" s="107" t="s">
        <v>432</v>
      </c>
      <c r="L469" s="107" t="s">
        <v>432</v>
      </c>
      <c r="M469" s="107" t="s">
        <v>432</v>
      </c>
      <c r="N469" s="107" t="s">
        <v>432</v>
      </c>
      <c r="O469" s="107" t="s">
        <v>432</v>
      </c>
      <c r="P469" s="107" t="s">
        <v>432</v>
      </c>
      <c r="Q469" s="107" t="s">
        <v>432</v>
      </c>
      <c r="R469" s="107" t="s">
        <v>432</v>
      </c>
      <c r="S469" s="109" t="s">
        <v>2209</v>
      </c>
      <c r="T469" s="107" t="s">
        <v>432</v>
      </c>
      <c r="U469" s="107" t="s">
        <v>432</v>
      </c>
      <c r="V469" s="109" t="s">
        <v>2209</v>
      </c>
      <c r="W469" s="107" t="s">
        <v>432</v>
      </c>
      <c r="X469" s="107" t="s">
        <v>432</v>
      </c>
      <c r="Y469" s="107" t="s">
        <v>432</v>
      </c>
      <c r="Z469" s="107" t="s">
        <v>432</v>
      </c>
      <c r="AA469" s="107" t="s">
        <v>432</v>
      </c>
      <c r="AB469" s="107" t="s">
        <v>432</v>
      </c>
      <c r="AC469" s="107" t="s">
        <v>432</v>
      </c>
      <c r="AD469" s="107" t="s">
        <v>432</v>
      </c>
      <c r="AE469" s="107" t="s">
        <v>432</v>
      </c>
      <c r="AF469" s="107" t="s">
        <v>432</v>
      </c>
      <c r="AG469" s="107" t="s">
        <v>432</v>
      </c>
      <c r="AH469" s="107" t="s">
        <v>432</v>
      </c>
      <c r="AI469" s="107" t="s">
        <v>432</v>
      </c>
      <c r="AJ469" s="107" t="s">
        <v>432</v>
      </c>
      <c r="AK469" s="107" t="s">
        <v>432</v>
      </c>
      <c r="AL469" s="600" t="s">
        <v>432</v>
      </c>
      <c r="AM469" s="137" t="s">
        <v>432</v>
      </c>
      <c r="AN469" s="137" t="s">
        <v>432</v>
      </c>
      <c r="AO469" s="137" t="s">
        <v>432</v>
      </c>
      <c r="AP469" s="137" t="s">
        <v>432</v>
      </c>
      <c r="AQ469" s="137" t="s">
        <v>432</v>
      </c>
      <c r="AR469" s="137" t="s">
        <v>432</v>
      </c>
      <c r="AS469" s="137" t="s">
        <v>432</v>
      </c>
      <c r="AT469" s="137" t="s">
        <v>432</v>
      </c>
      <c r="AU469" s="137" t="s">
        <v>432</v>
      </c>
      <c r="AV469" s="137" t="s">
        <v>432</v>
      </c>
      <c r="AW469" s="137" t="s">
        <v>432</v>
      </c>
      <c r="AX469" s="137" t="s">
        <v>432</v>
      </c>
      <c r="AY469" s="137" t="s">
        <v>432</v>
      </c>
      <c r="AZ469" s="137" t="s">
        <v>432</v>
      </c>
      <c r="BA469" s="137" t="s">
        <v>432</v>
      </c>
      <c r="BB469" s="239" t="str">
        <f>B469&amp;C469</f>
        <v>Outras cidades/regiõesacessibilidade</v>
      </c>
      <c r="BC469" s="239" t="str">
        <f>B469&amp;C469&amp;H469</f>
        <v>Outras cidades/regiõesacessibilidadesigla/verbete</v>
      </c>
      <c r="BD469" s="239" t="str">
        <f>B469&amp;H469</f>
        <v>Outras cidades/regiõessigla/verbete</v>
      </c>
    </row>
    <row r="470" spans="1:56" s="3" customFormat="1" ht="10.5" customHeight="1" x14ac:dyDescent="0.25">
      <c r="A470" s="221"/>
      <c r="B470" s="221"/>
      <c r="C470" s="221"/>
      <c r="D470" s="974"/>
      <c r="E470" s="1493"/>
      <c r="F470" s="221"/>
      <c r="G470" s="221"/>
      <c r="H470" s="221"/>
      <c r="I470" s="221"/>
      <c r="J470" s="221"/>
      <c r="K470" s="221"/>
      <c r="L470" s="221"/>
      <c r="M470" s="221"/>
      <c r="N470" s="221"/>
      <c r="O470" s="221"/>
      <c r="P470" s="221"/>
      <c r="Q470" s="221"/>
      <c r="R470" s="221"/>
      <c r="S470" s="109" t="s">
        <v>2209</v>
      </c>
      <c r="T470" s="221"/>
      <c r="U470" s="221"/>
      <c r="V470" s="109" t="s">
        <v>2209</v>
      </c>
      <c r="W470" s="221"/>
      <c r="X470" s="221"/>
      <c r="Y470" s="221"/>
      <c r="Z470" s="221"/>
      <c r="AA470" s="221"/>
      <c r="AB470" s="221"/>
      <c r="AC470" s="221"/>
      <c r="AD470" s="221"/>
      <c r="AE470" s="221"/>
      <c r="AF470" s="221"/>
      <c r="AG470" s="221"/>
      <c r="AH470" s="221"/>
      <c r="AI470" s="221"/>
      <c r="AJ470" s="221"/>
      <c r="AK470" s="223"/>
      <c r="AL470" s="600" t="s">
        <v>432</v>
      </c>
      <c r="AM470" s="223"/>
      <c r="AN470" s="223"/>
      <c r="AO470" s="223"/>
      <c r="AP470" s="223"/>
      <c r="AQ470" s="223"/>
      <c r="AR470" s="223"/>
      <c r="AS470" s="223"/>
      <c r="AT470" s="223"/>
      <c r="AU470" s="223"/>
      <c r="AV470" s="223"/>
      <c r="AW470" s="223"/>
      <c r="AX470" s="223"/>
      <c r="AY470" s="223"/>
      <c r="AZ470" s="223"/>
      <c r="BA470" s="223"/>
      <c r="BB470" s="400"/>
      <c r="BC470" s="400"/>
      <c r="BD470" s="400"/>
    </row>
    <row r="471" spans="1:56" s="3" customFormat="1" ht="25.5" customHeight="1" x14ac:dyDescent="0.25">
      <c r="A471" s="262" t="s">
        <v>432</v>
      </c>
      <c r="B471" s="252" t="s">
        <v>742</v>
      </c>
      <c r="C471" s="167" t="s">
        <v>432</v>
      </c>
      <c r="D471" s="324" t="s">
        <v>134</v>
      </c>
      <c r="E471" s="1496" t="s">
        <v>432</v>
      </c>
      <c r="F471" s="11" t="s">
        <v>1098</v>
      </c>
      <c r="G471" s="167" t="s">
        <v>3879</v>
      </c>
      <c r="H471" s="169" t="s">
        <v>432</v>
      </c>
      <c r="I471" s="167" t="s">
        <v>432</v>
      </c>
      <c r="J471" s="107" t="s">
        <v>432</v>
      </c>
      <c r="K471" s="107" t="s">
        <v>432</v>
      </c>
      <c r="L471" s="107" t="s">
        <v>432</v>
      </c>
      <c r="M471" s="107" t="s">
        <v>432</v>
      </c>
      <c r="N471" s="107" t="s">
        <v>432</v>
      </c>
      <c r="O471" s="107" t="s">
        <v>432</v>
      </c>
      <c r="P471" s="107" t="s">
        <v>432</v>
      </c>
      <c r="Q471" s="107" t="s">
        <v>432</v>
      </c>
      <c r="R471" s="107" t="s">
        <v>432</v>
      </c>
      <c r="S471" s="109" t="s">
        <v>2209</v>
      </c>
      <c r="T471" s="107" t="s">
        <v>432</v>
      </c>
      <c r="U471" s="107" t="s">
        <v>432</v>
      </c>
      <c r="V471" s="109" t="s">
        <v>2209</v>
      </c>
      <c r="W471" s="107" t="s">
        <v>432</v>
      </c>
      <c r="X471" s="107" t="s">
        <v>432</v>
      </c>
      <c r="Y471" s="107" t="s">
        <v>432</v>
      </c>
      <c r="Z471" s="107" t="s">
        <v>432</v>
      </c>
      <c r="AA471" s="107" t="s">
        <v>432</v>
      </c>
      <c r="AB471" s="107" t="s">
        <v>432</v>
      </c>
      <c r="AC471" s="107" t="s">
        <v>432</v>
      </c>
      <c r="AD471" s="107" t="s">
        <v>432</v>
      </c>
      <c r="AE471" s="107" t="s">
        <v>432</v>
      </c>
      <c r="AF471" s="107" t="s">
        <v>432</v>
      </c>
      <c r="AG471" s="107" t="s">
        <v>432</v>
      </c>
      <c r="AH471" s="107" t="s">
        <v>432</v>
      </c>
      <c r="AI471" s="107" t="s">
        <v>432</v>
      </c>
      <c r="AJ471" s="107" t="s">
        <v>432</v>
      </c>
      <c r="AK471" s="137" t="s">
        <v>432</v>
      </c>
      <c r="AL471" s="600" t="s">
        <v>432</v>
      </c>
      <c r="AM471" s="137" t="s">
        <v>432</v>
      </c>
      <c r="AN471" s="137" t="s">
        <v>432</v>
      </c>
      <c r="AO471" s="137" t="s">
        <v>432</v>
      </c>
      <c r="AP471" s="137" t="s">
        <v>432</v>
      </c>
      <c r="AQ471" s="137" t="s">
        <v>432</v>
      </c>
      <c r="AR471" s="137" t="s">
        <v>432</v>
      </c>
      <c r="AS471" s="137" t="s">
        <v>432</v>
      </c>
      <c r="AT471" s="137" t="s">
        <v>432</v>
      </c>
      <c r="AU471" s="137" t="s">
        <v>432</v>
      </c>
      <c r="AV471" s="137" t="s">
        <v>432</v>
      </c>
      <c r="AW471" s="137" t="s">
        <v>432</v>
      </c>
      <c r="AX471" s="137" t="s">
        <v>432</v>
      </c>
      <c r="AY471" s="137" t="s">
        <v>432</v>
      </c>
      <c r="AZ471" s="137" t="s">
        <v>432</v>
      </c>
      <c r="BA471" s="137" t="s">
        <v>432</v>
      </c>
      <c r="BB471" s="239" t="str">
        <f t="shared" ref="BB471:BB502" si="87">B471&amp;C471</f>
        <v>geralx</v>
      </c>
      <c r="BC471" s="239" t="str">
        <f t="shared" ref="BC471:BC502" si="88">B471&amp;C471&amp;H471</f>
        <v>geralxx</v>
      </c>
      <c r="BD471" s="239" t="str">
        <f t="shared" ref="BD471:BD502" si="89">B471&amp;H471</f>
        <v>geralx</v>
      </c>
    </row>
    <row r="472" spans="1:56" s="3" customFormat="1" ht="25.5" customHeight="1" x14ac:dyDescent="0.25">
      <c r="A472" s="262" t="s">
        <v>432</v>
      </c>
      <c r="B472" s="252" t="s">
        <v>742</v>
      </c>
      <c r="C472" s="167" t="s">
        <v>432</v>
      </c>
      <c r="D472" s="324" t="s">
        <v>1096</v>
      </c>
      <c r="E472" s="1496" t="s">
        <v>432</v>
      </c>
      <c r="F472" s="11" t="s">
        <v>1097</v>
      </c>
      <c r="G472" s="167" t="s">
        <v>3879</v>
      </c>
      <c r="H472" s="169" t="s">
        <v>432</v>
      </c>
      <c r="I472" s="167" t="s">
        <v>432</v>
      </c>
      <c r="J472" s="109" t="s">
        <v>432</v>
      </c>
      <c r="K472" s="109" t="s">
        <v>432</v>
      </c>
      <c r="L472" s="109" t="s">
        <v>432</v>
      </c>
      <c r="M472" s="109" t="s">
        <v>432</v>
      </c>
      <c r="N472" s="109" t="s">
        <v>432</v>
      </c>
      <c r="O472" s="109" t="s">
        <v>432</v>
      </c>
      <c r="P472" s="109" t="s">
        <v>432</v>
      </c>
      <c r="Q472" s="109" t="s">
        <v>432</v>
      </c>
      <c r="R472" s="109" t="s">
        <v>432</v>
      </c>
      <c r="S472" s="109" t="s">
        <v>2209</v>
      </c>
      <c r="T472" s="109" t="s">
        <v>432</v>
      </c>
      <c r="U472" s="109" t="s">
        <v>432</v>
      </c>
      <c r="V472" s="109" t="s">
        <v>2209</v>
      </c>
      <c r="W472" s="109" t="s">
        <v>432</v>
      </c>
      <c r="X472" s="109" t="s">
        <v>432</v>
      </c>
      <c r="Y472" s="109" t="s">
        <v>432</v>
      </c>
      <c r="Z472" s="109" t="s">
        <v>432</v>
      </c>
      <c r="AA472" s="109" t="s">
        <v>432</v>
      </c>
      <c r="AB472" s="109" t="s">
        <v>432</v>
      </c>
      <c r="AC472" s="109" t="s">
        <v>432</v>
      </c>
      <c r="AD472" s="109" t="s">
        <v>432</v>
      </c>
      <c r="AE472" s="109" t="s">
        <v>432</v>
      </c>
      <c r="AF472" s="109" t="s">
        <v>432</v>
      </c>
      <c r="AG472" s="109" t="s">
        <v>432</v>
      </c>
      <c r="AH472" s="109" t="s">
        <v>432</v>
      </c>
      <c r="AI472" s="109" t="s">
        <v>432</v>
      </c>
      <c r="AJ472" s="109" t="s">
        <v>432</v>
      </c>
      <c r="AK472" s="109" t="s">
        <v>432</v>
      </c>
      <c r="AL472" s="600" t="s">
        <v>432</v>
      </c>
      <c r="AM472" s="109" t="s">
        <v>432</v>
      </c>
      <c r="AN472" s="109" t="s">
        <v>432</v>
      </c>
      <c r="AO472" s="109" t="s">
        <v>432</v>
      </c>
      <c r="AP472" s="109" t="s">
        <v>432</v>
      </c>
      <c r="AQ472" s="109" t="s">
        <v>432</v>
      </c>
      <c r="AR472" s="137" t="s">
        <v>432</v>
      </c>
      <c r="AS472" s="137" t="s">
        <v>432</v>
      </c>
      <c r="AT472" s="137" t="s">
        <v>432</v>
      </c>
      <c r="AU472" s="137" t="s">
        <v>432</v>
      </c>
      <c r="AV472" s="109" t="s">
        <v>432</v>
      </c>
      <c r="AW472" s="137" t="s">
        <v>432</v>
      </c>
      <c r="AX472" s="109" t="s">
        <v>432</v>
      </c>
      <c r="AY472" s="109" t="s">
        <v>432</v>
      </c>
      <c r="AZ472" s="109" t="s">
        <v>432</v>
      </c>
      <c r="BA472" s="109" t="s">
        <v>432</v>
      </c>
      <c r="BB472" s="239" t="str">
        <f t="shared" si="87"/>
        <v>geralx</v>
      </c>
      <c r="BC472" s="239" t="str">
        <f t="shared" si="88"/>
        <v>geralxx</v>
      </c>
      <c r="BD472" s="239" t="str">
        <f t="shared" si="89"/>
        <v>geralx</v>
      </c>
    </row>
    <row r="473" spans="1:56" s="3" customFormat="1" ht="110.25" customHeight="1" x14ac:dyDescent="0.25">
      <c r="A473" s="262" t="s">
        <v>432</v>
      </c>
      <c r="B473" s="252" t="s">
        <v>742</v>
      </c>
      <c r="C473" s="167" t="s">
        <v>743</v>
      </c>
      <c r="D473" s="324" t="s">
        <v>3220</v>
      </c>
      <c r="E473" s="1496" t="s">
        <v>1306</v>
      </c>
      <c r="F473" s="54" t="s">
        <v>3225</v>
      </c>
      <c r="G473" s="230" t="s">
        <v>3507</v>
      </c>
      <c r="H473" s="167" t="s">
        <v>2408</v>
      </c>
      <c r="I473" s="167" t="s">
        <v>432</v>
      </c>
      <c r="J473" s="109" t="s">
        <v>432</v>
      </c>
      <c r="K473" s="109" t="s">
        <v>432</v>
      </c>
      <c r="L473" s="109" t="s">
        <v>432</v>
      </c>
      <c r="M473" s="109" t="s">
        <v>432</v>
      </c>
      <c r="N473" s="109" t="s">
        <v>432</v>
      </c>
      <c r="O473" s="109" t="s">
        <v>432</v>
      </c>
      <c r="P473" s="109" t="s">
        <v>432</v>
      </c>
      <c r="Q473" s="109" t="s">
        <v>432</v>
      </c>
      <c r="R473" s="109" t="s">
        <v>432</v>
      </c>
      <c r="S473" s="109" t="s">
        <v>2209</v>
      </c>
      <c r="T473" s="109" t="s">
        <v>432</v>
      </c>
      <c r="U473" s="109" t="s">
        <v>432</v>
      </c>
      <c r="V473" s="109" t="s">
        <v>2209</v>
      </c>
      <c r="W473" s="109" t="s">
        <v>432</v>
      </c>
      <c r="X473" s="109" t="s">
        <v>432</v>
      </c>
      <c r="Y473" s="109" t="s">
        <v>432</v>
      </c>
      <c r="Z473" s="109" t="s">
        <v>432</v>
      </c>
      <c r="AA473" s="109" t="s">
        <v>432</v>
      </c>
      <c r="AB473" s="109" t="s">
        <v>432</v>
      </c>
      <c r="AC473" s="109" t="s">
        <v>432</v>
      </c>
      <c r="AD473" s="109" t="s">
        <v>432</v>
      </c>
      <c r="AE473" s="109" t="s">
        <v>432</v>
      </c>
      <c r="AF473" s="109" t="s">
        <v>432</v>
      </c>
      <c r="AG473" s="109" t="s">
        <v>432</v>
      </c>
      <c r="AH473" s="109" t="s">
        <v>432</v>
      </c>
      <c r="AI473" s="109" t="s">
        <v>432</v>
      </c>
      <c r="AJ473" s="109" t="s">
        <v>432</v>
      </c>
      <c r="AK473" s="109" t="s">
        <v>432</v>
      </c>
      <c r="AL473" s="600" t="s">
        <v>432</v>
      </c>
      <c r="AM473" s="109" t="s">
        <v>432</v>
      </c>
      <c r="AN473" s="109" t="s">
        <v>432</v>
      </c>
      <c r="AO473" s="109" t="s">
        <v>432</v>
      </c>
      <c r="AP473" s="109" t="s">
        <v>432</v>
      </c>
      <c r="AQ473" s="109" t="s">
        <v>432</v>
      </c>
      <c r="AR473" s="137" t="s">
        <v>432</v>
      </c>
      <c r="AS473" s="137" t="s">
        <v>432</v>
      </c>
      <c r="AT473" s="137" t="s">
        <v>432</v>
      </c>
      <c r="AU473" s="137" t="s">
        <v>432</v>
      </c>
      <c r="AV473" s="109" t="s">
        <v>432</v>
      </c>
      <c r="AW473" s="137" t="s">
        <v>432</v>
      </c>
      <c r="AX473" s="109" t="s">
        <v>432</v>
      </c>
      <c r="AY473" s="109" t="s">
        <v>432</v>
      </c>
      <c r="AZ473" s="109" t="s">
        <v>432</v>
      </c>
      <c r="BA473" s="109" t="s">
        <v>432</v>
      </c>
      <c r="BB473" s="239" t="str">
        <f t="shared" si="87"/>
        <v>geralacessibilidade</v>
      </c>
      <c r="BC473" s="239" t="str">
        <f t="shared" si="88"/>
        <v>geralacessibilidadesigla/verbete</v>
      </c>
      <c r="BD473" s="239" t="str">
        <f t="shared" si="89"/>
        <v>geralsigla/verbete</v>
      </c>
    </row>
    <row r="474" spans="1:56" s="3" customFormat="1" ht="54" customHeight="1" x14ac:dyDescent="0.25">
      <c r="A474" s="262" t="str">
        <f>'Q100b-totais'!B21</f>
        <v>2.6</v>
      </c>
      <c r="B474" s="252" t="str">
        <f>'Q100b-totais'!C21</f>
        <v>Cidades da RMBH</v>
      </c>
      <c r="C474" s="167" t="s">
        <v>432</v>
      </c>
      <c r="D474" s="323" t="s">
        <v>1740</v>
      </c>
      <c r="E474" s="1491" t="s">
        <v>1740</v>
      </c>
      <c r="F474" s="468" t="str">
        <f>pend!C185</f>
        <v>município da RMBH (faltando completar)</v>
      </c>
      <c r="G474" s="230" t="s">
        <v>3507</v>
      </c>
      <c r="H474" s="167" t="s">
        <v>2408</v>
      </c>
      <c r="I474" s="167" t="s">
        <v>432</v>
      </c>
      <c r="J474" s="109" t="s">
        <v>432</v>
      </c>
      <c r="K474" s="109" t="s">
        <v>432</v>
      </c>
      <c r="L474" s="109" t="s">
        <v>432</v>
      </c>
      <c r="M474" s="109" t="s">
        <v>432</v>
      </c>
      <c r="N474" s="109" t="s">
        <v>432</v>
      </c>
      <c r="O474" s="109" t="s">
        <v>432</v>
      </c>
      <c r="P474" s="109" t="s">
        <v>432</v>
      </c>
      <c r="Q474" s="109" t="s">
        <v>432</v>
      </c>
      <c r="R474" s="109" t="s">
        <v>432</v>
      </c>
      <c r="S474" s="109" t="s">
        <v>2209</v>
      </c>
      <c r="T474" s="109" t="s">
        <v>432</v>
      </c>
      <c r="U474" s="109" t="s">
        <v>432</v>
      </c>
      <c r="V474" s="109" t="s">
        <v>2209</v>
      </c>
      <c r="W474" s="109" t="s">
        <v>432</v>
      </c>
      <c r="X474" s="109" t="s">
        <v>432</v>
      </c>
      <c r="Y474" s="109" t="s">
        <v>432</v>
      </c>
      <c r="Z474" s="109" t="s">
        <v>432</v>
      </c>
      <c r="AA474" s="109" t="s">
        <v>432</v>
      </c>
      <c r="AB474" s="109" t="s">
        <v>432</v>
      </c>
      <c r="AC474" s="109" t="s">
        <v>432</v>
      </c>
      <c r="AD474" s="109" t="s">
        <v>432</v>
      </c>
      <c r="AE474" s="109" t="s">
        <v>432</v>
      </c>
      <c r="AF474" s="109" t="s">
        <v>432</v>
      </c>
      <c r="AG474" s="109" t="s">
        <v>432</v>
      </c>
      <c r="AH474" s="109" t="s">
        <v>432</v>
      </c>
      <c r="AI474" s="109" t="s">
        <v>432</v>
      </c>
      <c r="AJ474" s="109" t="s">
        <v>432</v>
      </c>
      <c r="AK474" s="109" t="s">
        <v>432</v>
      </c>
      <c r="AL474" s="600" t="s">
        <v>432</v>
      </c>
      <c r="AM474" s="109" t="s">
        <v>432</v>
      </c>
      <c r="AN474" s="109" t="s">
        <v>432</v>
      </c>
      <c r="AO474" s="109" t="s">
        <v>432</v>
      </c>
      <c r="AP474" s="109" t="s">
        <v>432</v>
      </c>
      <c r="AQ474" s="109" t="s">
        <v>432</v>
      </c>
      <c r="AR474" s="137" t="s">
        <v>432</v>
      </c>
      <c r="AS474" s="137" t="s">
        <v>432</v>
      </c>
      <c r="AT474" s="137" t="s">
        <v>432</v>
      </c>
      <c r="AU474" s="137" t="s">
        <v>432</v>
      </c>
      <c r="AV474" s="109" t="s">
        <v>432</v>
      </c>
      <c r="AW474" s="137" t="s">
        <v>432</v>
      </c>
      <c r="AX474" s="109" t="s">
        <v>432</v>
      </c>
      <c r="AY474" s="109" t="s">
        <v>432</v>
      </c>
      <c r="AZ474" s="109" t="s">
        <v>432</v>
      </c>
      <c r="BA474" s="109" t="s">
        <v>432</v>
      </c>
      <c r="BB474" s="239" t="str">
        <f t="shared" si="87"/>
        <v>Cidades da RMBHx</v>
      </c>
      <c r="BC474" s="239" t="str">
        <f t="shared" si="88"/>
        <v>Cidades da RMBHxsigla/verbete</v>
      </c>
      <c r="BD474" s="239" t="str">
        <f t="shared" si="89"/>
        <v>Cidades da RMBHsigla/verbete</v>
      </c>
    </row>
    <row r="475" spans="1:56" s="3" customFormat="1" ht="54" customHeight="1" x14ac:dyDescent="0.25">
      <c r="A475" s="262" t="s">
        <v>432</v>
      </c>
      <c r="B475" s="252" t="s">
        <v>742</v>
      </c>
      <c r="C475" s="167" t="s">
        <v>432</v>
      </c>
      <c r="D475" s="324" t="s">
        <v>2805</v>
      </c>
      <c r="E475" s="1496" t="s">
        <v>432</v>
      </c>
      <c r="F475" s="54" t="s">
        <v>3461</v>
      </c>
      <c r="G475" s="230" t="s">
        <v>3507</v>
      </c>
      <c r="H475" s="167" t="s">
        <v>2408</v>
      </c>
      <c r="I475" s="167" t="s">
        <v>432</v>
      </c>
      <c r="J475" s="109" t="s">
        <v>432</v>
      </c>
      <c r="K475" s="109" t="s">
        <v>432</v>
      </c>
      <c r="L475" s="109" t="s">
        <v>432</v>
      </c>
      <c r="M475" s="109" t="s">
        <v>432</v>
      </c>
      <c r="N475" s="109" t="s">
        <v>432</v>
      </c>
      <c r="O475" s="109" t="s">
        <v>432</v>
      </c>
      <c r="P475" s="109" t="s">
        <v>432</v>
      </c>
      <c r="Q475" s="109" t="s">
        <v>432</v>
      </c>
      <c r="R475" s="109" t="s">
        <v>432</v>
      </c>
      <c r="S475" s="109" t="s">
        <v>2209</v>
      </c>
      <c r="T475" s="109" t="s">
        <v>432</v>
      </c>
      <c r="U475" s="109" t="s">
        <v>432</v>
      </c>
      <c r="V475" s="109" t="s">
        <v>2209</v>
      </c>
      <c r="W475" s="109" t="s">
        <v>432</v>
      </c>
      <c r="X475" s="109" t="s">
        <v>432</v>
      </c>
      <c r="Y475" s="109" t="s">
        <v>432</v>
      </c>
      <c r="Z475" s="109" t="s">
        <v>432</v>
      </c>
      <c r="AA475" s="109" t="s">
        <v>432</v>
      </c>
      <c r="AB475" s="109" t="s">
        <v>432</v>
      </c>
      <c r="AC475" s="109" t="s">
        <v>432</v>
      </c>
      <c r="AD475" s="109" t="s">
        <v>432</v>
      </c>
      <c r="AE475" s="109" t="s">
        <v>432</v>
      </c>
      <c r="AF475" s="109" t="s">
        <v>432</v>
      </c>
      <c r="AG475" s="109" t="s">
        <v>432</v>
      </c>
      <c r="AH475" s="109" t="s">
        <v>432</v>
      </c>
      <c r="AI475" s="109" t="s">
        <v>432</v>
      </c>
      <c r="AJ475" s="109" t="s">
        <v>432</v>
      </c>
      <c r="AK475" s="109" t="s">
        <v>432</v>
      </c>
      <c r="AL475" s="600" t="s">
        <v>432</v>
      </c>
      <c r="AM475" s="109" t="s">
        <v>432</v>
      </c>
      <c r="AN475" s="109" t="s">
        <v>432</v>
      </c>
      <c r="AO475" s="109" t="s">
        <v>432</v>
      </c>
      <c r="AP475" s="109" t="s">
        <v>432</v>
      </c>
      <c r="AQ475" s="109" t="s">
        <v>432</v>
      </c>
      <c r="AR475" s="137" t="s">
        <v>432</v>
      </c>
      <c r="AS475" s="137" t="s">
        <v>432</v>
      </c>
      <c r="AT475" s="137" t="s">
        <v>432</v>
      </c>
      <c r="AU475" s="137" t="s">
        <v>432</v>
      </c>
      <c r="AV475" s="109" t="s">
        <v>432</v>
      </c>
      <c r="AW475" s="137" t="s">
        <v>432</v>
      </c>
      <c r="AX475" s="109" t="s">
        <v>432</v>
      </c>
      <c r="AY475" s="109" t="s">
        <v>432</v>
      </c>
      <c r="AZ475" s="109" t="s">
        <v>432</v>
      </c>
      <c r="BA475" s="109" t="s">
        <v>432</v>
      </c>
      <c r="BB475" s="239" t="str">
        <f t="shared" si="87"/>
        <v>geralx</v>
      </c>
      <c r="BC475" s="239" t="str">
        <f t="shared" si="88"/>
        <v>geralxsigla/verbete</v>
      </c>
      <c r="BD475" s="239" t="str">
        <f t="shared" si="89"/>
        <v>geralsigla/verbete</v>
      </c>
    </row>
    <row r="476" spans="1:56" s="3" customFormat="1" ht="245.25" customHeight="1" x14ac:dyDescent="0.25">
      <c r="A476" s="262" t="str">
        <f>'Q100b-totais'!B49</f>
        <v>6.1</v>
      </c>
      <c r="B476" s="252" t="str">
        <f>'Q100b-totais'!C49</f>
        <v>Calçadas e passarelas</v>
      </c>
      <c r="C476" s="167" t="s">
        <v>432</v>
      </c>
      <c r="D476" s="324" t="s">
        <v>2262</v>
      </c>
      <c r="E476" s="1496" t="s">
        <v>1306</v>
      </c>
      <c r="F476" s="54" t="s">
        <v>6119</v>
      </c>
      <c r="G476" s="230" t="s">
        <v>3507</v>
      </c>
      <c r="H476" s="167" t="s">
        <v>2408</v>
      </c>
      <c r="I476" s="167" t="s">
        <v>432</v>
      </c>
      <c r="J476" s="109" t="s">
        <v>432</v>
      </c>
      <c r="K476" s="109" t="s">
        <v>432</v>
      </c>
      <c r="L476" s="109" t="s">
        <v>432</v>
      </c>
      <c r="M476" s="109" t="s">
        <v>432</v>
      </c>
      <c r="N476" s="109" t="s">
        <v>432</v>
      </c>
      <c r="O476" s="109" t="s">
        <v>432</v>
      </c>
      <c r="P476" s="109" t="s">
        <v>432</v>
      </c>
      <c r="Q476" s="109" t="s">
        <v>432</v>
      </c>
      <c r="R476" s="109" t="s">
        <v>432</v>
      </c>
      <c r="S476" s="109" t="s">
        <v>2209</v>
      </c>
      <c r="T476" s="109" t="s">
        <v>432</v>
      </c>
      <c r="U476" s="109" t="s">
        <v>432</v>
      </c>
      <c r="V476" s="109" t="s">
        <v>2209</v>
      </c>
      <c r="W476" s="109" t="s">
        <v>432</v>
      </c>
      <c r="X476" s="109" t="s">
        <v>432</v>
      </c>
      <c r="Y476" s="109" t="s">
        <v>432</v>
      </c>
      <c r="Z476" s="109" t="s">
        <v>432</v>
      </c>
      <c r="AA476" s="109" t="s">
        <v>432</v>
      </c>
      <c r="AB476" s="109" t="s">
        <v>432</v>
      </c>
      <c r="AC476" s="109" t="s">
        <v>432</v>
      </c>
      <c r="AD476" s="109" t="s">
        <v>432</v>
      </c>
      <c r="AE476" s="109" t="s">
        <v>432</v>
      </c>
      <c r="AF476" s="109" t="s">
        <v>432</v>
      </c>
      <c r="AG476" s="109" t="s">
        <v>432</v>
      </c>
      <c r="AH476" s="109" t="s">
        <v>432</v>
      </c>
      <c r="AI476" s="109" t="s">
        <v>432</v>
      </c>
      <c r="AJ476" s="109" t="s">
        <v>432</v>
      </c>
      <c r="AK476" s="109" t="s">
        <v>432</v>
      </c>
      <c r="AL476" s="600" t="s">
        <v>432</v>
      </c>
      <c r="AM476" s="109" t="s">
        <v>432</v>
      </c>
      <c r="AN476" s="109" t="s">
        <v>432</v>
      </c>
      <c r="AO476" s="109" t="s">
        <v>432</v>
      </c>
      <c r="AP476" s="109" t="s">
        <v>432</v>
      </c>
      <c r="AQ476" s="109" t="s">
        <v>432</v>
      </c>
      <c r="AR476" s="137" t="s">
        <v>432</v>
      </c>
      <c r="AS476" s="137" t="s">
        <v>432</v>
      </c>
      <c r="AT476" s="137" t="s">
        <v>432</v>
      </c>
      <c r="AU476" s="137" t="s">
        <v>432</v>
      </c>
      <c r="AV476" s="109" t="s">
        <v>432</v>
      </c>
      <c r="AW476" s="137" t="s">
        <v>432</v>
      </c>
      <c r="AX476" s="109" t="s">
        <v>432</v>
      </c>
      <c r="AY476" s="109" t="s">
        <v>432</v>
      </c>
      <c r="AZ476" s="109" t="s">
        <v>432</v>
      </c>
      <c r="BA476" s="109" t="s">
        <v>432</v>
      </c>
      <c r="BB476" s="239" t="str">
        <f t="shared" si="87"/>
        <v>Calçadas e passarelasx</v>
      </c>
      <c r="BC476" s="239" t="str">
        <f t="shared" si="88"/>
        <v>Calçadas e passarelasxsigla/verbete</v>
      </c>
      <c r="BD476" s="239" t="str">
        <f t="shared" si="89"/>
        <v>Calçadas e passarelassigla/verbete</v>
      </c>
    </row>
    <row r="477" spans="1:56" s="3" customFormat="1" ht="108" customHeight="1" x14ac:dyDescent="0.25">
      <c r="A477" s="262" t="str">
        <f>'Q100b-totais'!B49</f>
        <v>6.1</v>
      </c>
      <c r="B477" s="252" t="str">
        <f>'Q100b-totais'!C49</f>
        <v>Calçadas e passarelas</v>
      </c>
      <c r="C477" s="167" t="s">
        <v>432</v>
      </c>
      <c r="D477" s="324" t="s">
        <v>2262</v>
      </c>
      <c r="E477" s="1496" t="s">
        <v>1767</v>
      </c>
      <c r="F477" s="54" t="s">
        <v>6199</v>
      </c>
      <c r="G477" s="230" t="s">
        <v>3507</v>
      </c>
      <c r="H477" s="167" t="s">
        <v>2408</v>
      </c>
      <c r="I477" s="167" t="s">
        <v>432</v>
      </c>
      <c r="J477" s="109" t="s">
        <v>432</v>
      </c>
      <c r="K477" s="109" t="s">
        <v>432</v>
      </c>
      <c r="L477" s="109" t="s">
        <v>432</v>
      </c>
      <c r="M477" s="109" t="s">
        <v>432</v>
      </c>
      <c r="N477" s="109" t="s">
        <v>432</v>
      </c>
      <c r="O477" s="109" t="s">
        <v>432</v>
      </c>
      <c r="P477" s="109" t="s">
        <v>432</v>
      </c>
      <c r="Q477" s="109" t="s">
        <v>432</v>
      </c>
      <c r="R477" s="109" t="s">
        <v>432</v>
      </c>
      <c r="S477" s="109" t="s">
        <v>2209</v>
      </c>
      <c r="T477" s="109" t="s">
        <v>432</v>
      </c>
      <c r="U477" s="109" t="s">
        <v>432</v>
      </c>
      <c r="V477" s="109" t="s">
        <v>2209</v>
      </c>
      <c r="W477" s="109" t="s">
        <v>432</v>
      </c>
      <c r="X477" s="109" t="s">
        <v>432</v>
      </c>
      <c r="Y477" s="109" t="s">
        <v>432</v>
      </c>
      <c r="Z477" s="109" t="s">
        <v>432</v>
      </c>
      <c r="AA477" s="109" t="s">
        <v>432</v>
      </c>
      <c r="AB477" s="109" t="s">
        <v>432</v>
      </c>
      <c r="AC477" s="109" t="s">
        <v>432</v>
      </c>
      <c r="AD477" s="109" t="s">
        <v>432</v>
      </c>
      <c r="AE477" s="109" t="s">
        <v>432</v>
      </c>
      <c r="AF477" s="109" t="s">
        <v>432</v>
      </c>
      <c r="AG477" s="109" t="s">
        <v>432</v>
      </c>
      <c r="AH477" s="109" t="s">
        <v>432</v>
      </c>
      <c r="AI477" s="109" t="s">
        <v>432</v>
      </c>
      <c r="AJ477" s="109" t="s">
        <v>432</v>
      </c>
      <c r="AK477" s="109" t="s">
        <v>432</v>
      </c>
      <c r="AL477" s="600" t="s">
        <v>432</v>
      </c>
      <c r="AM477" s="109" t="s">
        <v>432</v>
      </c>
      <c r="AN477" s="109" t="s">
        <v>432</v>
      </c>
      <c r="AO477" s="109" t="s">
        <v>432</v>
      </c>
      <c r="AP477" s="109" t="s">
        <v>432</v>
      </c>
      <c r="AQ477" s="109" t="s">
        <v>432</v>
      </c>
      <c r="AR477" s="137" t="s">
        <v>432</v>
      </c>
      <c r="AS477" s="137" t="s">
        <v>432</v>
      </c>
      <c r="AT477" s="137" t="s">
        <v>432</v>
      </c>
      <c r="AU477" s="137" t="s">
        <v>432</v>
      </c>
      <c r="AV477" s="109" t="s">
        <v>432</v>
      </c>
      <c r="AW477" s="137" t="s">
        <v>432</v>
      </c>
      <c r="AX477" s="109" t="s">
        <v>432</v>
      </c>
      <c r="AY477" s="109" t="s">
        <v>432</v>
      </c>
      <c r="AZ477" s="109" t="s">
        <v>432</v>
      </c>
      <c r="BA477" s="109" t="s">
        <v>432</v>
      </c>
      <c r="BB477" s="239" t="str">
        <f t="shared" si="87"/>
        <v>Calçadas e passarelasx</v>
      </c>
      <c r="BC477" s="239" t="str">
        <f t="shared" si="88"/>
        <v>Calçadas e passarelasxsigla/verbete</v>
      </c>
      <c r="BD477" s="239" t="str">
        <f t="shared" si="89"/>
        <v>Calçadas e passarelassigla/verbete</v>
      </c>
    </row>
    <row r="478" spans="1:56" s="3" customFormat="1" ht="146.25" customHeight="1" x14ac:dyDescent="0.25">
      <c r="A478" s="262" t="str">
        <f>'Q100b-totais'!B49</f>
        <v>6.1</v>
      </c>
      <c r="B478" s="252" t="str">
        <f>'Q100b-totais'!C49</f>
        <v>Calçadas e passarelas</v>
      </c>
      <c r="C478" s="167" t="s">
        <v>743</v>
      </c>
      <c r="D478" s="968" t="s">
        <v>2262</v>
      </c>
      <c r="E478" s="1509" t="s">
        <v>3460</v>
      </c>
      <c r="F478" s="54" t="s">
        <v>4733</v>
      </c>
      <c r="G478" s="230" t="s">
        <v>3507</v>
      </c>
      <c r="H478" s="167" t="s">
        <v>2408</v>
      </c>
      <c r="I478" s="167" t="s">
        <v>432</v>
      </c>
      <c r="J478" s="107" t="s">
        <v>432</v>
      </c>
      <c r="K478" s="107" t="s">
        <v>432</v>
      </c>
      <c r="L478" s="107" t="s">
        <v>432</v>
      </c>
      <c r="M478" s="107" t="s">
        <v>432</v>
      </c>
      <c r="N478" s="107" t="s">
        <v>432</v>
      </c>
      <c r="O478" s="107" t="s">
        <v>432</v>
      </c>
      <c r="P478" s="107" t="s">
        <v>432</v>
      </c>
      <c r="Q478" s="107" t="s">
        <v>432</v>
      </c>
      <c r="R478" s="107" t="s">
        <v>432</v>
      </c>
      <c r="S478" s="109" t="s">
        <v>2209</v>
      </c>
      <c r="T478" s="107" t="s">
        <v>432</v>
      </c>
      <c r="U478" s="107" t="s">
        <v>432</v>
      </c>
      <c r="V478" s="109" t="s">
        <v>2209</v>
      </c>
      <c r="W478" s="107" t="s">
        <v>432</v>
      </c>
      <c r="X478" s="107" t="s">
        <v>432</v>
      </c>
      <c r="Y478" s="107" t="s">
        <v>432</v>
      </c>
      <c r="Z478" s="107" t="s">
        <v>432</v>
      </c>
      <c r="AA478" s="107" t="s">
        <v>432</v>
      </c>
      <c r="AB478" s="107" t="s">
        <v>432</v>
      </c>
      <c r="AC478" s="107" t="s">
        <v>432</v>
      </c>
      <c r="AD478" s="107" t="s">
        <v>432</v>
      </c>
      <c r="AE478" s="107" t="s">
        <v>432</v>
      </c>
      <c r="AF478" s="107" t="s">
        <v>432</v>
      </c>
      <c r="AG478" s="107" t="s">
        <v>432</v>
      </c>
      <c r="AH478" s="107" t="s">
        <v>432</v>
      </c>
      <c r="AI478" s="107" t="s">
        <v>432</v>
      </c>
      <c r="AJ478" s="107" t="s">
        <v>432</v>
      </c>
      <c r="AK478" s="137" t="s">
        <v>432</v>
      </c>
      <c r="AL478" s="600" t="s">
        <v>432</v>
      </c>
      <c r="AM478" s="137" t="s">
        <v>432</v>
      </c>
      <c r="AN478" s="137" t="s">
        <v>432</v>
      </c>
      <c r="AO478" s="137" t="s">
        <v>432</v>
      </c>
      <c r="AP478" s="137" t="s">
        <v>432</v>
      </c>
      <c r="AQ478" s="137" t="s">
        <v>432</v>
      </c>
      <c r="AR478" s="137" t="s">
        <v>432</v>
      </c>
      <c r="AS478" s="137" t="s">
        <v>432</v>
      </c>
      <c r="AT478" s="137" t="s">
        <v>432</v>
      </c>
      <c r="AU478" s="137" t="s">
        <v>432</v>
      </c>
      <c r="AV478" s="137" t="s">
        <v>432</v>
      </c>
      <c r="AW478" s="137" t="s">
        <v>432</v>
      </c>
      <c r="AX478" s="137" t="s">
        <v>432</v>
      </c>
      <c r="AY478" s="137" t="s">
        <v>432</v>
      </c>
      <c r="AZ478" s="137" t="s">
        <v>432</v>
      </c>
      <c r="BA478" s="137" t="s">
        <v>432</v>
      </c>
      <c r="BB478" s="239" t="str">
        <f t="shared" si="87"/>
        <v>Calçadas e passarelasacessibilidade</v>
      </c>
      <c r="BC478" s="239" t="str">
        <f t="shared" si="88"/>
        <v>Calçadas e passarelasacessibilidadesigla/verbete</v>
      </c>
      <c r="BD478" s="239" t="str">
        <f t="shared" si="89"/>
        <v>Calçadas e passarelassigla/verbete</v>
      </c>
    </row>
    <row r="479" spans="1:56" ht="85.5" customHeight="1" x14ac:dyDescent="0.25">
      <c r="A479" s="262" t="str">
        <f>'Q100b-totais'!B49</f>
        <v>6.1</v>
      </c>
      <c r="B479" s="252" t="str">
        <f>'Q100b-totais'!C49</f>
        <v>Calçadas e passarelas</v>
      </c>
      <c r="C479" s="167" t="s">
        <v>743</v>
      </c>
      <c r="D479" s="968" t="s">
        <v>5368</v>
      </c>
      <c r="E479" s="1489" t="s">
        <v>3586</v>
      </c>
      <c r="F479" s="1172" t="s">
        <v>5367</v>
      </c>
      <c r="G479" s="230" t="s">
        <v>3507</v>
      </c>
      <c r="H479" s="167" t="s">
        <v>2408</v>
      </c>
      <c r="I479" s="167" t="s">
        <v>432</v>
      </c>
      <c r="J479" s="107" t="s">
        <v>432</v>
      </c>
      <c r="K479" s="107" t="s">
        <v>432</v>
      </c>
      <c r="L479" s="107" t="s">
        <v>432</v>
      </c>
      <c r="M479" s="107" t="s">
        <v>432</v>
      </c>
      <c r="N479" s="107" t="s">
        <v>432</v>
      </c>
      <c r="O479" s="107" t="s">
        <v>432</v>
      </c>
      <c r="P479" s="107" t="s">
        <v>432</v>
      </c>
      <c r="Q479" s="107" t="s">
        <v>432</v>
      </c>
      <c r="R479" s="107" t="s">
        <v>432</v>
      </c>
      <c r="S479" s="109" t="s">
        <v>2209</v>
      </c>
      <c r="T479" s="107" t="s">
        <v>432</v>
      </c>
      <c r="U479" s="107" t="s">
        <v>432</v>
      </c>
      <c r="V479" s="109" t="s">
        <v>2209</v>
      </c>
      <c r="W479" s="107" t="s">
        <v>432</v>
      </c>
      <c r="X479" s="107" t="s">
        <v>432</v>
      </c>
      <c r="Y479" s="107" t="s">
        <v>432</v>
      </c>
      <c r="Z479" s="107" t="s">
        <v>432</v>
      </c>
      <c r="AA479" s="107" t="s">
        <v>432</v>
      </c>
      <c r="AB479" s="107" t="s">
        <v>432</v>
      </c>
      <c r="AC479" s="107" t="s">
        <v>432</v>
      </c>
      <c r="AD479" s="107" t="s">
        <v>432</v>
      </c>
      <c r="AE479" s="107" t="s">
        <v>432</v>
      </c>
      <c r="AF479" s="107" t="s">
        <v>432</v>
      </c>
      <c r="AG479" s="107" t="s">
        <v>432</v>
      </c>
      <c r="AH479" s="107" t="s">
        <v>432</v>
      </c>
      <c r="AI479" s="107" t="s">
        <v>432</v>
      </c>
      <c r="AJ479" s="107" t="s">
        <v>432</v>
      </c>
      <c r="AK479" s="137" t="s">
        <v>432</v>
      </c>
      <c r="AL479" s="600" t="s">
        <v>432</v>
      </c>
      <c r="AM479" s="137" t="s">
        <v>432</v>
      </c>
      <c r="AN479" s="137" t="s">
        <v>432</v>
      </c>
      <c r="AO479" s="137" t="s">
        <v>432</v>
      </c>
      <c r="AP479" s="137" t="s">
        <v>432</v>
      </c>
      <c r="AQ479" s="137" t="s">
        <v>432</v>
      </c>
      <c r="AR479" s="137" t="s">
        <v>432</v>
      </c>
      <c r="AS479" s="137" t="s">
        <v>432</v>
      </c>
      <c r="AT479" s="137" t="s">
        <v>432</v>
      </c>
      <c r="AU479" s="137" t="s">
        <v>432</v>
      </c>
      <c r="AV479" s="137" t="s">
        <v>432</v>
      </c>
      <c r="AW479" s="137" t="s">
        <v>432</v>
      </c>
      <c r="AX479" s="137" t="s">
        <v>432</v>
      </c>
      <c r="AY479" s="137" t="s">
        <v>432</v>
      </c>
      <c r="AZ479" s="137" t="s">
        <v>432</v>
      </c>
      <c r="BA479" s="137" t="s">
        <v>432</v>
      </c>
      <c r="BB479" s="239" t="str">
        <f t="shared" si="87"/>
        <v>Calçadas e passarelasacessibilidade</v>
      </c>
      <c r="BC479" s="239" t="str">
        <f t="shared" si="88"/>
        <v>Calçadas e passarelasacessibilidadesigla/verbete</v>
      </c>
      <c r="BD479" s="239" t="str">
        <f t="shared" si="89"/>
        <v>Calçadas e passarelassigla/verbete</v>
      </c>
    </row>
    <row r="480" spans="1:56" s="3" customFormat="1" ht="39" customHeight="1" x14ac:dyDescent="0.25">
      <c r="A480" s="262" t="str">
        <f>'Q100b-totais'!B49</f>
        <v>6.1</v>
      </c>
      <c r="B480" s="252" t="str">
        <f>'Q100b-totais'!C49</f>
        <v>Calçadas e passarelas</v>
      </c>
      <c r="C480" s="167" t="s">
        <v>432</v>
      </c>
      <c r="D480" s="324" t="s">
        <v>3690</v>
      </c>
      <c r="E480" s="1445" t="s">
        <v>1705</v>
      </c>
      <c r="F480" s="1205" t="s">
        <v>3692</v>
      </c>
      <c r="G480" s="57" t="s">
        <v>3507</v>
      </c>
      <c r="H480" s="167" t="s">
        <v>2408</v>
      </c>
      <c r="I480" s="167" t="s">
        <v>432</v>
      </c>
      <c r="J480" s="107" t="s">
        <v>432</v>
      </c>
      <c r="K480" s="107" t="s">
        <v>432</v>
      </c>
      <c r="L480" s="107" t="s">
        <v>432</v>
      </c>
      <c r="M480" s="107" t="s">
        <v>432</v>
      </c>
      <c r="N480" s="107" t="s">
        <v>432</v>
      </c>
      <c r="O480" s="107" t="s">
        <v>432</v>
      </c>
      <c r="P480" s="107" t="s">
        <v>432</v>
      </c>
      <c r="Q480" s="107" t="s">
        <v>432</v>
      </c>
      <c r="R480" s="107" t="s">
        <v>432</v>
      </c>
      <c r="S480" s="109" t="s">
        <v>2209</v>
      </c>
      <c r="T480" s="107" t="s">
        <v>432</v>
      </c>
      <c r="U480" s="107" t="s">
        <v>432</v>
      </c>
      <c r="V480" s="109" t="s">
        <v>2209</v>
      </c>
      <c r="W480" s="107" t="s">
        <v>432</v>
      </c>
      <c r="X480" s="107" t="s">
        <v>432</v>
      </c>
      <c r="Y480" s="107" t="s">
        <v>432</v>
      </c>
      <c r="Z480" s="107" t="s">
        <v>432</v>
      </c>
      <c r="AA480" s="107" t="s">
        <v>432</v>
      </c>
      <c r="AB480" s="107" t="s">
        <v>432</v>
      </c>
      <c r="AC480" s="107" t="s">
        <v>432</v>
      </c>
      <c r="AD480" s="107" t="s">
        <v>432</v>
      </c>
      <c r="AE480" s="107" t="s">
        <v>432</v>
      </c>
      <c r="AF480" s="107" t="s">
        <v>432</v>
      </c>
      <c r="AG480" s="107" t="s">
        <v>432</v>
      </c>
      <c r="AH480" s="107" t="s">
        <v>432</v>
      </c>
      <c r="AI480" s="107" t="s">
        <v>432</v>
      </c>
      <c r="AJ480" s="107" t="s">
        <v>432</v>
      </c>
      <c r="AK480" s="137" t="s">
        <v>432</v>
      </c>
      <c r="AL480" s="600" t="s">
        <v>432</v>
      </c>
      <c r="AM480" s="137" t="s">
        <v>432</v>
      </c>
      <c r="AN480" s="137" t="s">
        <v>432</v>
      </c>
      <c r="AO480" s="137" t="s">
        <v>432</v>
      </c>
      <c r="AP480" s="137" t="s">
        <v>432</v>
      </c>
      <c r="AQ480" s="137" t="s">
        <v>432</v>
      </c>
      <c r="AR480" s="137" t="s">
        <v>432</v>
      </c>
      <c r="AS480" s="137" t="s">
        <v>432</v>
      </c>
      <c r="AT480" s="137" t="s">
        <v>432</v>
      </c>
      <c r="AU480" s="137" t="s">
        <v>432</v>
      </c>
      <c r="AV480" s="137" t="s">
        <v>432</v>
      </c>
      <c r="AW480" s="137" t="s">
        <v>432</v>
      </c>
      <c r="AX480" s="137" t="s">
        <v>432</v>
      </c>
      <c r="AY480" s="137" t="s">
        <v>432</v>
      </c>
      <c r="AZ480" s="137" t="s">
        <v>432</v>
      </c>
      <c r="BA480" s="137" t="s">
        <v>432</v>
      </c>
      <c r="BB480" s="239" t="str">
        <f t="shared" si="87"/>
        <v>Calçadas e passarelasx</v>
      </c>
      <c r="BC480" s="239" t="str">
        <f t="shared" si="88"/>
        <v>Calçadas e passarelasxsigla/verbete</v>
      </c>
      <c r="BD480" s="239" t="str">
        <f t="shared" si="89"/>
        <v>Calçadas e passarelassigla/verbete</v>
      </c>
    </row>
    <row r="481" spans="1:56" s="3" customFormat="1" ht="46.5" customHeight="1" x14ac:dyDescent="0.25">
      <c r="A481" s="262" t="str">
        <f>'Q100b-totais'!B49</f>
        <v>6.1</v>
      </c>
      <c r="B481" s="252" t="str">
        <f>'Q100b-totais'!C49</f>
        <v>Calçadas e passarelas</v>
      </c>
      <c r="C481" s="167" t="s">
        <v>743</v>
      </c>
      <c r="D481" s="968" t="s">
        <v>2518</v>
      </c>
      <c r="E481" s="1509" t="s">
        <v>2523</v>
      </c>
      <c r="F481" s="53" t="s">
        <v>4152</v>
      </c>
      <c r="G481" s="230" t="s">
        <v>3507</v>
      </c>
      <c r="H481" s="167" t="s">
        <v>2408</v>
      </c>
      <c r="I481" s="167" t="s">
        <v>432</v>
      </c>
      <c r="J481" s="107" t="s">
        <v>432</v>
      </c>
      <c r="K481" s="107" t="s">
        <v>432</v>
      </c>
      <c r="L481" s="107" t="s">
        <v>432</v>
      </c>
      <c r="M481" s="107" t="s">
        <v>432</v>
      </c>
      <c r="N481" s="107" t="s">
        <v>432</v>
      </c>
      <c r="O481" s="107" t="s">
        <v>432</v>
      </c>
      <c r="P481" s="107" t="s">
        <v>432</v>
      </c>
      <c r="Q481" s="107" t="s">
        <v>432</v>
      </c>
      <c r="R481" s="107" t="s">
        <v>432</v>
      </c>
      <c r="S481" s="109" t="s">
        <v>2209</v>
      </c>
      <c r="T481" s="107" t="s">
        <v>432</v>
      </c>
      <c r="U481" s="107" t="s">
        <v>432</v>
      </c>
      <c r="V481" s="109" t="s">
        <v>2209</v>
      </c>
      <c r="W481" s="107" t="s">
        <v>432</v>
      </c>
      <c r="X481" s="107" t="s">
        <v>432</v>
      </c>
      <c r="Y481" s="107" t="s">
        <v>432</v>
      </c>
      <c r="Z481" s="107" t="s">
        <v>432</v>
      </c>
      <c r="AA481" s="107" t="s">
        <v>432</v>
      </c>
      <c r="AB481" s="107" t="s">
        <v>432</v>
      </c>
      <c r="AC481" s="107" t="s">
        <v>432</v>
      </c>
      <c r="AD481" s="107" t="s">
        <v>432</v>
      </c>
      <c r="AE481" s="107" t="s">
        <v>432</v>
      </c>
      <c r="AF481" s="107" t="s">
        <v>432</v>
      </c>
      <c r="AG481" s="107" t="s">
        <v>432</v>
      </c>
      <c r="AH481" s="107" t="s">
        <v>432</v>
      </c>
      <c r="AI481" s="107" t="s">
        <v>432</v>
      </c>
      <c r="AJ481" s="107" t="s">
        <v>432</v>
      </c>
      <c r="AK481" s="137" t="s">
        <v>432</v>
      </c>
      <c r="AL481" s="600" t="s">
        <v>432</v>
      </c>
      <c r="AM481" s="137" t="s">
        <v>432</v>
      </c>
      <c r="AN481" s="137" t="s">
        <v>432</v>
      </c>
      <c r="AO481" s="137" t="s">
        <v>432</v>
      </c>
      <c r="AP481" s="137" t="s">
        <v>432</v>
      </c>
      <c r="AQ481" s="137" t="s">
        <v>432</v>
      </c>
      <c r="AR481" s="137" t="s">
        <v>432</v>
      </c>
      <c r="AS481" s="137" t="s">
        <v>432</v>
      </c>
      <c r="AT481" s="137" t="s">
        <v>432</v>
      </c>
      <c r="AU481" s="137" t="s">
        <v>432</v>
      </c>
      <c r="AV481" s="137" t="s">
        <v>432</v>
      </c>
      <c r="AW481" s="137" t="s">
        <v>432</v>
      </c>
      <c r="AX481" s="137" t="s">
        <v>432</v>
      </c>
      <c r="AY481" s="137" t="s">
        <v>432</v>
      </c>
      <c r="AZ481" s="137" t="s">
        <v>432</v>
      </c>
      <c r="BA481" s="137" t="s">
        <v>432</v>
      </c>
      <c r="BB481" s="239" t="str">
        <f t="shared" si="87"/>
        <v>Calçadas e passarelasacessibilidade</v>
      </c>
      <c r="BC481" s="239" t="str">
        <f t="shared" si="88"/>
        <v>Calçadas e passarelasacessibilidadesigla/verbete</v>
      </c>
      <c r="BD481" s="239" t="str">
        <f t="shared" si="89"/>
        <v>Calçadas e passarelassigla/verbete</v>
      </c>
    </row>
    <row r="482" spans="1:56" s="3" customFormat="1" ht="89.25" customHeight="1" x14ac:dyDescent="0.25">
      <c r="A482" s="262" t="s">
        <v>432</v>
      </c>
      <c r="B482" s="252" t="s">
        <v>742</v>
      </c>
      <c r="C482" s="167" t="s">
        <v>432</v>
      </c>
      <c r="D482" s="324" t="s">
        <v>4730</v>
      </c>
      <c r="E482" s="1496" t="s">
        <v>1767</v>
      </c>
      <c r="F482" s="54" t="s">
        <v>4729</v>
      </c>
      <c r="G482" s="230" t="s">
        <v>3507</v>
      </c>
      <c r="H482" s="167" t="s">
        <v>2408</v>
      </c>
      <c r="I482" s="167" t="s">
        <v>432</v>
      </c>
      <c r="J482" s="109" t="s">
        <v>432</v>
      </c>
      <c r="K482" s="109" t="s">
        <v>432</v>
      </c>
      <c r="L482" s="109" t="s">
        <v>432</v>
      </c>
      <c r="M482" s="109" t="s">
        <v>432</v>
      </c>
      <c r="N482" s="109" t="s">
        <v>432</v>
      </c>
      <c r="O482" s="109" t="s">
        <v>432</v>
      </c>
      <c r="P482" s="109" t="s">
        <v>432</v>
      </c>
      <c r="Q482" s="109" t="s">
        <v>432</v>
      </c>
      <c r="R482" s="109" t="s">
        <v>432</v>
      </c>
      <c r="S482" s="109" t="s">
        <v>2209</v>
      </c>
      <c r="T482" s="109" t="s">
        <v>432</v>
      </c>
      <c r="U482" s="109" t="s">
        <v>432</v>
      </c>
      <c r="V482" s="109" t="s">
        <v>2209</v>
      </c>
      <c r="W482" s="109" t="s">
        <v>432</v>
      </c>
      <c r="X482" s="109" t="s">
        <v>432</v>
      </c>
      <c r="Y482" s="109" t="s">
        <v>432</v>
      </c>
      <c r="Z482" s="109" t="s">
        <v>432</v>
      </c>
      <c r="AA482" s="109" t="s">
        <v>432</v>
      </c>
      <c r="AB482" s="109" t="s">
        <v>432</v>
      </c>
      <c r="AC482" s="109" t="s">
        <v>432</v>
      </c>
      <c r="AD482" s="109" t="s">
        <v>432</v>
      </c>
      <c r="AE482" s="109" t="s">
        <v>432</v>
      </c>
      <c r="AF482" s="109" t="s">
        <v>432</v>
      </c>
      <c r="AG482" s="109" t="s">
        <v>432</v>
      </c>
      <c r="AH482" s="109" t="s">
        <v>432</v>
      </c>
      <c r="AI482" s="109" t="s">
        <v>432</v>
      </c>
      <c r="AJ482" s="109" t="s">
        <v>432</v>
      </c>
      <c r="AK482" s="109" t="s">
        <v>432</v>
      </c>
      <c r="AL482" s="600" t="s">
        <v>432</v>
      </c>
      <c r="AM482" s="109" t="s">
        <v>432</v>
      </c>
      <c r="AN482" s="109" t="s">
        <v>432</v>
      </c>
      <c r="AO482" s="109" t="s">
        <v>432</v>
      </c>
      <c r="AP482" s="109" t="s">
        <v>432</v>
      </c>
      <c r="AQ482" s="109" t="s">
        <v>432</v>
      </c>
      <c r="AR482" s="137" t="s">
        <v>432</v>
      </c>
      <c r="AS482" s="137" t="s">
        <v>432</v>
      </c>
      <c r="AT482" s="137" t="s">
        <v>432</v>
      </c>
      <c r="AU482" s="137" t="s">
        <v>432</v>
      </c>
      <c r="AV482" s="109" t="s">
        <v>432</v>
      </c>
      <c r="AW482" s="137" t="s">
        <v>432</v>
      </c>
      <c r="AX482" s="109" t="s">
        <v>432</v>
      </c>
      <c r="AY482" s="109" t="s">
        <v>432</v>
      </c>
      <c r="AZ482" s="109" t="s">
        <v>432</v>
      </c>
      <c r="BA482" s="109" t="s">
        <v>432</v>
      </c>
      <c r="BB482" s="239" t="str">
        <f t="shared" si="87"/>
        <v>geralx</v>
      </c>
      <c r="BC482" s="239" t="str">
        <f t="shared" si="88"/>
        <v>geralxsigla/verbete</v>
      </c>
      <c r="BD482" s="239" t="str">
        <f t="shared" si="89"/>
        <v>geralsigla/verbete</v>
      </c>
    </row>
    <row r="483" spans="1:56" s="3" customFormat="1" ht="123" customHeight="1" x14ac:dyDescent="0.25">
      <c r="A483" s="262" t="s">
        <v>432</v>
      </c>
      <c r="B483" s="252" t="s">
        <v>742</v>
      </c>
      <c r="C483" s="167" t="s">
        <v>743</v>
      </c>
      <c r="D483" s="968" t="s">
        <v>4497</v>
      </c>
      <c r="E483" s="1509" t="s">
        <v>432</v>
      </c>
      <c r="F483" s="53" t="s">
        <v>4501</v>
      </c>
      <c r="G483" s="230" t="s">
        <v>3507</v>
      </c>
      <c r="H483" s="167" t="s">
        <v>2408</v>
      </c>
      <c r="I483" s="167" t="s">
        <v>432</v>
      </c>
      <c r="J483" s="107" t="s">
        <v>432</v>
      </c>
      <c r="K483" s="107" t="s">
        <v>432</v>
      </c>
      <c r="L483" s="107" t="s">
        <v>432</v>
      </c>
      <c r="M483" s="107" t="s">
        <v>432</v>
      </c>
      <c r="N483" s="107" t="s">
        <v>432</v>
      </c>
      <c r="O483" s="107" t="s">
        <v>432</v>
      </c>
      <c r="P483" s="107" t="s">
        <v>432</v>
      </c>
      <c r="Q483" s="107" t="s">
        <v>432</v>
      </c>
      <c r="R483" s="107" t="s">
        <v>432</v>
      </c>
      <c r="S483" s="109" t="s">
        <v>2209</v>
      </c>
      <c r="T483" s="107" t="s">
        <v>432</v>
      </c>
      <c r="U483" s="107" t="s">
        <v>432</v>
      </c>
      <c r="V483" s="109" t="s">
        <v>2209</v>
      </c>
      <c r="W483" s="107" t="s">
        <v>432</v>
      </c>
      <c r="X483" s="107" t="s">
        <v>432</v>
      </c>
      <c r="Y483" s="107" t="s">
        <v>432</v>
      </c>
      <c r="Z483" s="107" t="s">
        <v>432</v>
      </c>
      <c r="AA483" s="107" t="s">
        <v>432</v>
      </c>
      <c r="AB483" s="107" t="s">
        <v>432</v>
      </c>
      <c r="AC483" s="107" t="s">
        <v>432</v>
      </c>
      <c r="AD483" s="107" t="s">
        <v>432</v>
      </c>
      <c r="AE483" s="107" t="s">
        <v>432</v>
      </c>
      <c r="AF483" s="107" t="s">
        <v>432</v>
      </c>
      <c r="AG483" s="107" t="s">
        <v>432</v>
      </c>
      <c r="AH483" s="107" t="s">
        <v>432</v>
      </c>
      <c r="AI483" s="107" t="s">
        <v>432</v>
      </c>
      <c r="AJ483" s="107" t="s">
        <v>432</v>
      </c>
      <c r="AK483" s="137" t="s">
        <v>432</v>
      </c>
      <c r="AL483" s="600" t="s">
        <v>432</v>
      </c>
      <c r="AM483" s="137" t="s">
        <v>432</v>
      </c>
      <c r="AN483" s="137" t="s">
        <v>432</v>
      </c>
      <c r="AO483" s="137" t="s">
        <v>432</v>
      </c>
      <c r="AP483" s="137" t="s">
        <v>432</v>
      </c>
      <c r="AQ483" s="137" t="s">
        <v>432</v>
      </c>
      <c r="AR483" s="137" t="s">
        <v>432</v>
      </c>
      <c r="AS483" s="137" t="s">
        <v>432</v>
      </c>
      <c r="AT483" s="137" t="s">
        <v>432</v>
      </c>
      <c r="AU483" s="137" t="s">
        <v>432</v>
      </c>
      <c r="AV483" s="137" t="s">
        <v>432</v>
      </c>
      <c r="AW483" s="137" t="s">
        <v>432</v>
      </c>
      <c r="AX483" s="137" t="s">
        <v>432</v>
      </c>
      <c r="AY483" s="137" t="s">
        <v>432</v>
      </c>
      <c r="AZ483" s="137" t="s">
        <v>432</v>
      </c>
      <c r="BA483" s="137" t="s">
        <v>432</v>
      </c>
      <c r="BB483" s="239" t="str">
        <f t="shared" si="87"/>
        <v>geralacessibilidade</v>
      </c>
      <c r="BC483" s="239" t="str">
        <f t="shared" si="88"/>
        <v>geralacessibilidadesigla/verbete</v>
      </c>
      <c r="BD483" s="239" t="str">
        <f t="shared" si="89"/>
        <v>geralsigla/verbete</v>
      </c>
    </row>
    <row r="484" spans="1:56" s="3" customFormat="1" ht="168" customHeight="1" x14ac:dyDescent="0.25">
      <c r="A484" s="262" t="str">
        <f>'Q100b-totais'!B49</f>
        <v>6.1</v>
      </c>
      <c r="B484" s="252" t="str">
        <f>'Q100b-totais'!C49</f>
        <v>Calçadas e passarelas</v>
      </c>
      <c r="C484" s="167" t="s">
        <v>743</v>
      </c>
      <c r="D484" s="324" t="s">
        <v>5249</v>
      </c>
      <c r="E484" s="1445" t="s">
        <v>432</v>
      </c>
      <c r="F484" s="252" t="s">
        <v>5275</v>
      </c>
      <c r="G484" s="230" t="s">
        <v>3507</v>
      </c>
      <c r="H484" s="167" t="s">
        <v>2408</v>
      </c>
      <c r="I484" s="167" t="s">
        <v>432</v>
      </c>
      <c r="J484" s="107" t="s">
        <v>432</v>
      </c>
      <c r="K484" s="107" t="s">
        <v>432</v>
      </c>
      <c r="L484" s="107" t="s">
        <v>432</v>
      </c>
      <c r="M484" s="107" t="s">
        <v>432</v>
      </c>
      <c r="N484" s="107" t="s">
        <v>432</v>
      </c>
      <c r="O484" s="107" t="s">
        <v>432</v>
      </c>
      <c r="P484" s="107" t="s">
        <v>432</v>
      </c>
      <c r="Q484" s="107" t="s">
        <v>432</v>
      </c>
      <c r="R484" s="107" t="s">
        <v>432</v>
      </c>
      <c r="S484" s="109" t="s">
        <v>2209</v>
      </c>
      <c r="T484" s="107" t="s">
        <v>432</v>
      </c>
      <c r="U484" s="107" t="s">
        <v>432</v>
      </c>
      <c r="V484" s="109" t="s">
        <v>2209</v>
      </c>
      <c r="W484" s="107" t="s">
        <v>432</v>
      </c>
      <c r="X484" s="107" t="s">
        <v>432</v>
      </c>
      <c r="Y484" s="107" t="s">
        <v>432</v>
      </c>
      <c r="Z484" s="107" t="s">
        <v>432</v>
      </c>
      <c r="AA484" s="107" t="s">
        <v>432</v>
      </c>
      <c r="AB484" s="107" t="s">
        <v>432</v>
      </c>
      <c r="AC484" s="107" t="s">
        <v>432</v>
      </c>
      <c r="AD484" s="107" t="s">
        <v>432</v>
      </c>
      <c r="AE484" s="107" t="s">
        <v>432</v>
      </c>
      <c r="AF484" s="107" t="s">
        <v>432</v>
      </c>
      <c r="AG484" s="107" t="s">
        <v>432</v>
      </c>
      <c r="AH484" s="107" t="s">
        <v>432</v>
      </c>
      <c r="AI484" s="107" t="s">
        <v>432</v>
      </c>
      <c r="AJ484" s="107" t="s">
        <v>432</v>
      </c>
      <c r="AK484" s="137" t="s">
        <v>432</v>
      </c>
      <c r="AL484" s="600" t="s">
        <v>432</v>
      </c>
      <c r="AM484" s="137" t="s">
        <v>432</v>
      </c>
      <c r="AN484" s="137" t="s">
        <v>432</v>
      </c>
      <c r="AO484" s="137" t="s">
        <v>432</v>
      </c>
      <c r="AP484" s="137" t="s">
        <v>432</v>
      </c>
      <c r="AQ484" s="137" t="s">
        <v>432</v>
      </c>
      <c r="AR484" s="137" t="s">
        <v>432</v>
      </c>
      <c r="AS484" s="137" t="s">
        <v>432</v>
      </c>
      <c r="AT484" s="137" t="s">
        <v>432</v>
      </c>
      <c r="AU484" s="137" t="s">
        <v>432</v>
      </c>
      <c r="AV484" s="137" t="s">
        <v>432</v>
      </c>
      <c r="AW484" s="137" t="s">
        <v>432</v>
      </c>
      <c r="AX484" s="137" t="s">
        <v>432</v>
      </c>
      <c r="AY484" s="137" t="s">
        <v>432</v>
      </c>
      <c r="AZ484" s="137" t="s">
        <v>432</v>
      </c>
      <c r="BA484" s="137" t="s">
        <v>432</v>
      </c>
      <c r="BB484" s="239" t="str">
        <f t="shared" si="87"/>
        <v>Calçadas e passarelasacessibilidade</v>
      </c>
      <c r="BC484" s="239" t="str">
        <f t="shared" si="88"/>
        <v>Calçadas e passarelasacessibilidadesigla/verbete</v>
      </c>
      <c r="BD484" s="239" t="str">
        <f t="shared" si="89"/>
        <v>Calçadas e passarelassigla/verbete</v>
      </c>
    </row>
    <row r="485" spans="1:56" s="3" customFormat="1" ht="51" customHeight="1" x14ac:dyDescent="0.25">
      <c r="A485" s="262" t="s">
        <v>432</v>
      </c>
      <c r="B485" s="252" t="s">
        <v>742</v>
      </c>
      <c r="C485" s="167" t="s">
        <v>432</v>
      </c>
      <c r="D485" s="325" t="s">
        <v>473</v>
      </c>
      <c r="E485" s="1496" t="s">
        <v>432</v>
      </c>
      <c r="F485" s="53" t="s">
        <v>1099</v>
      </c>
      <c r="G485" s="167" t="s">
        <v>3879</v>
      </c>
      <c r="H485" s="167" t="s">
        <v>432</v>
      </c>
      <c r="I485" s="167" t="s">
        <v>432</v>
      </c>
      <c r="J485" s="107" t="s">
        <v>432</v>
      </c>
      <c r="K485" s="107" t="s">
        <v>432</v>
      </c>
      <c r="L485" s="107" t="s">
        <v>432</v>
      </c>
      <c r="M485" s="107" t="s">
        <v>432</v>
      </c>
      <c r="N485" s="107" t="s">
        <v>432</v>
      </c>
      <c r="O485" s="107" t="s">
        <v>432</v>
      </c>
      <c r="P485" s="107" t="s">
        <v>432</v>
      </c>
      <c r="Q485" s="107" t="s">
        <v>432</v>
      </c>
      <c r="R485" s="107" t="s">
        <v>432</v>
      </c>
      <c r="S485" s="109" t="s">
        <v>2209</v>
      </c>
      <c r="T485" s="107" t="s">
        <v>432</v>
      </c>
      <c r="U485" s="107" t="s">
        <v>432</v>
      </c>
      <c r="V485" s="109" t="s">
        <v>2209</v>
      </c>
      <c r="W485" s="107" t="s">
        <v>432</v>
      </c>
      <c r="X485" s="107" t="s">
        <v>432</v>
      </c>
      <c r="Y485" s="107" t="s">
        <v>432</v>
      </c>
      <c r="Z485" s="107" t="s">
        <v>432</v>
      </c>
      <c r="AA485" s="107" t="s">
        <v>432</v>
      </c>
      <c r="AB485" s="107" t="s">
        <v>432</v>
      </c>
      <c r="AC485" s="107" t="s">
        <v>432</v>
      </c>
      <c r="AD485" s="107" t="s">
        <v>432</v>
      </c>
      <c r="AE485" s="107" t="s">
        <v>432</v>
      </c>
      <c r="AF485" s="107" t="s">
        <v>432</v>
      </c>
      <c r="AG485" s="107" t="s">
        <v>432</v>
      </c>
      <c r="AH485" s="107" t="s">
        <v>432</v>
      </c>
      <c r="AI485" s="107" t="s">
        <v>432</v>
      </c>
      <c r="AJ485" s="107" t="s">
        <v>432</v>
      </c>
      <c r="AK485" s="137" t="s">
        <v>432</v>
      </c>
      <c r="AL485" s="600" t="s">
        <v>432</v>
      </c>
      <c r="AM485" s="137" t="s">
        <v>432</v>
      </c>
      <c r="AN485" s="137" t="s">
        <v>432</v>
      </c>
      <c r="AO485" s="137" t="s">
        <v>432</v>
      </c>
      <c r="AP485" s="137" t="s">
        <v>432</v>
      </c>
      <c r="AQ485" s="137" t="s">
        <v>432</v>
      </c>
      <c r="AR485" s="137" t="s">
        <v>432</v>
      </c>
      <c r="AS485" s="137" t="s">
        <v>432</v>
      </c>
      <c r="AT485" s="137" t="s">
        <v>432</v>
      </c>
      <c r="AU485" s="137" t="s">
        <v>432</v>
      </c>
      <c r="AV485" s="137" t="s">
        <v>432</v>
      </c>
      <c r="AW485" s="137" t="s">
        <v>432</v>
      </c>
      <c r="AX485" s="137" t="s">
        <v>432</v>
      </c>
      <c r="AY485" s="137" t="s">
        <v>432</v>
      </c>
      <c r="AZ485" s="137" t="s">
        <v>432</v>
      </c>
      <c r="BA485" s="137" t="s">
        <v>432</v>
      </c>
      <c r="BB485" s="239" t="str">
        <f t="shared" si="87"/>
        <v>geralx</v>
      </c>
      <c r="BC485" s="239" t="str">
        <f t="shared" si="88"/>
        <v>geralxx</v>
      </c>
      <c r="BD485" s="239" t="str">
        <f t="shared" si="89"/>
        <v>geralx</v>
      </c>
    </row>
    <row r="486" spans="1:56" s="3" customFormat="1" ht="25.5" x14ac:dyDescent="0.25">
      <c r="A486" s="262" t="str">
        <f>'Q100b-totais'!B21</f>
        <v>2.6</v>
      </c>
      <c r="B486" s="252" t="str">
        <f>'Q100b-totais'!C21</f>
        <v>Cidades da RMBH</v>
      </c>
      <c r="C486" s="167" t="s">
        <v>432</v>
      </c>
      <c r="D486" s="323" t="s">
        <v>1741</v>
      </c>
      <c r="E486" s="1491" t="s">
        <v>1741</v>
      </c>
      <c r="F486" s="468" t="str">
        <f>pend!$C$186</f>
        <v>município da RMBH (faltando completar)</v>
      </c>
      <c r="G486" s="230" t="s">
        <v>3507</v>
      </c>
      <c r="H486" s="167" t="s">
        <v>2408</v>
      </c>
      <c r="I486" s="167" t="s">
        <v>432</v>
      </c>
      <c r="J486" s="107" t="s">
        <v>432</v>
      </c>
      <c r="K486" s="107" t="s">
        <v>432</v>
      </c>
      <c r="L486" s="107" t="s">
        <v>432</v>
      </c>
      <c r="M486" s="107" t="s">
        <v>432</v>
      </c>
      <c r="N486" s="107" t="s">
        <v>432</v>
      </c>
      <c r="O486" s="107" t="s">
        <v>432</v>
      </c>
      <c r="P486" s="107" t="s">
        <v>432</v>
      </c>
      <c r="Q486" s="107" t="s">
        <v>432</v>
      </c>
      <c r="R486" s="107" t="s">
        <v>432</v>
      </c>
      <c r="S486" s="109" t="s">
        <v>2209</v>
      </c>
      <c r="T486" s="107" t="s">
        <v>432</v>
      </c>
      <c r="U486" s="107" t="s">
        <v>432</v>
      </c>
      <c r="V486" s="109" t="s">
        <v>2209</v>
      </c>
      <c r="W486" s="107" t="s">
        <v>432</v>
      </c>
      <c r="X486" s="107" t="s">
        <v>432</v>
      </c>
      <c r="Y486" s="107" t="s">
        <v>432</v>
      </c>
      <c r="Z486" s="107" t="s">
        <v>432</v>
      </c>
      <c r="AA486" s="107" t="s">
        <v>432</v>
      </c>
      <c r="AB486" s="107" t="s">
        <v>432</v>
      </c>
      <c r="AC486" s="107" t="s">
        <v>432</v>
      </c>
      <c r="AD486" s="107" t="s">
        <v>432</v>
      </c>
      <c r="AE486" s="107" t="s">
        <v>432</v>
      </c>
      <c r="AF486" s="107" t="s">
        <v>432</v>
      </c>
      <c r="AG486" s="107" t="s">
        <v>432</v>
      </c>
      <c r="AH486" s="107" t="s">
        <v>432</v>
      </c>
      <c r="AI486" s="107" t="s">
        <v>432</v>
      </c>
      <c r="AJ486" s="107" t="s">
        <v>432</v>
      </c>
      <c r="AK486" s="137" t="s">
        <v>432</v>
      </c>
      <c r="AL486" s="600" t="s">
        <v>432</v>
      </c>
      <c r="AM486" s="137" t="s">
        <v>432</v>
      </c>
      <c r="AN486" s="137" t="s">
        <v>432</v>
      </c>
      <c r="AO486" s="137" t="s">
        <v>432</v>
      </c>
      <c r="AP486" s="137" t="s">
        <v>432</v>
      </c>
      <c r="AQ486" s="137" t="s">
        <v>432</v>
      </c>
      <c r="AR486" s="137" t="s">
        <v>432</v>
      </c>
      <c r="AS486" s="137" t="s">
        <v>432</v>
      </c>
      <c r="AT486" s="137" t="s">
        <v>432</v>
      </c>
      <c r="AU486" s="137" t="s">
        <v>432</v>
      </c>
      <c r="AV486" s="137" t="s">
        <v>432</v>
      </c>
      <c r="AW486" s="137" t="s">
        <v>432</v>
      </c>
      <c r="AX486" s="137" t="s">
        <v>432</v>
      </c>
      <c r="AY486" s="137" t="s">
        <v>432</v>
      </c>
      <c r="AZ486" s="137" t="s">
        <v>432</v>
      </c>
      <c r="BA486" s="137" t="s">
        <v>432</v>
      </c>
      <c r="BB486" s="239" t="str">
        <f t="shared" si="87"/>
        <v>Cidades da RMBHx</v>
      </c>
      <c r="BC486" s="239" t="str">
        <f t="shared" si="88"/>
        <v>Cidades da RMBHxsigla/verbete</v>
      </c>
      <c r="BD486" s="239" t="str">
        <f t="shared" si="89"/>
        <v>Cidades da RMBHsigla/verbete</v>
      </c>
    </row>
    <row r="487" spans="1:56" s="3" customFormat="1" ht="66" customHeight="1" x14ac:dyDescent="0.25">
      <c r="A487" s="262" t="str">
        <f>'Q100b-totais'!B62</f>
        <v>8.10</v>
      </c>
      <c r="B487" s="252" t="str">
        <f>'Q100b-totais'!C62</f>
        <v>Sistema de transporte coletivo com um todo</v>
      </c>
      <c r="C487" s="167" t="s">
        <v>743</v>
      </c>
      <c r="D487" s="325" t="s">
        <v>6244</v>
      </c>
      <c r="E487" s="1509" t="s">
        <v>1767</v>
      </c>
      <c r="F487" s="53" t="s">
        <v>5210</v>
      </c>
      <c r="G487" s="167" t="s">
        <v>3879</v>
      </c>
      <c r="H487" s="167" t="s">
        <v>432</v>
      </c>
      <c r="I487" s="167" t="s">
        <v>432</v>
      </c>
      <c r="J487" s="107" t="s">
        <v>432</v>
      </c>
      <c r="K487" s="107" t="s">
        <v>432</v>
      </c>
      <c r="L487" s="107" t="s">
        <v>432</v>
      </c>
      <c r="M487" s="107" t="s">
        <v>432</v>
      </c>
      <c r="N487" s="107" t="s">
        <v>432</v>
      </c>
      <c r="O487" s="107" t="s">
        <v>432</v>
      </c>
      <c r="P487" s="107" t="s">
        <v>432</v>
      </c>
      <c r="Q487" s="107" t="s">
        <v>432</v>
      </c>
      <c r="R487" s="107" t="s">
        <v>432</v>
      </c>
      <c r="S487" s="109" t="s">
        <v>2209</v>
      </c>
      <c r="T487" s="107" t="s">
        <v>432</v>
      </c>
      <c r="U487" s="107" t="s">
        <v>432</v>
      </c>
      <c r="V487" s="109" t="s">
        <v>2209</v>
      </c>
      <c r="W487" s="107" t="s">
        <v>432</v>
      </c>
      <c r="X487" s="107" t="s">
        <v>432</v>
      </c>
      <c r="Y487" s="107" t="s">
        <v>432</v>
      </c>
      <c r="Z487" s="107" t="s">
        <v>432</v>
      </c>
      <c r="AA487" s="107" t="s">
        <v>432</v>
      </c>
      <c r="AB487" s="107" t="s">
        <v>432</v>
      </c>
      <c r="AC487" s="107" t="s">
        <v>432</v>
      </c>
      <c r="AD487" s="107" t="s">
        <v>432</v>
      </c>
      <c r="AE487" s="107" t="s">
        <v>432</v>
      </c>
      <c r="AF487" s="107" t="s">
        <v>432</v>
      </c>
      <c r="AG487" s="107" t="s">
        <v>432</v>
      </c>
      <c r="AH487" s="107" t="s">
        <v>432</v>
      </c>
      <c r="AI487" s="107" t="s">
        <v>432</v>
      </c>
      <c r="AJ487" s="107" t="s">
        <v>432</v>
      </c>
      <c r="AK487" s="137" t="s">
        <v>432</v>
      </c>
      <c r="AL487" s="600" t="s">
        <v>432</v>
      </c>
      <c r="AM487" s="137" t="s">
        <v>432</v>
      </c>
      <c r="AN487" s="137" t="s">
        <v>432</v>
      </c>
      <c r="AO487" s="137" t="s">
        <v>432</v>
      </c>
      <c r="AP487" s="137" t="s">
        <v>432</v>
      </c>
      <c r="AQ487" s="137" t="s">
        <v>432</v>
      </c>
      <c r="AR487" s="137" t="s">
        <v>432</v>
      </c>
      <c r="AS487" s="137" t="s">
        <v>432</v>
      </c>
      <c r="AT487" s="137" t="s">
        <v>432</v>
      </c>
      <c r="AU487" s="137" t="s">
        <v>432</v>
      </c>
      <c r="AV487" s="137" t="s">
        <v>432</v>
      </c>
      <c r="AW487" s="137" t="s">
        <v>432</v>
      </c>
      <c r="AX487" s="137" t="s">
        <v>432</v>
      </c>
      <c r="AY487" s="137" t="s">
        <v>432</v>
      </c>
      <c r="AZ487" s="137" t="s">
        <v>432</v>
      </c>
      <c r="BA487" s="137" t="s">
        <v>432</v>
      </c>
      <c r="BB487" s="239" t="str">
        <f t="shared" si="87"/>
        <v>Sistema de transporte coletivo com um todoacessibilidade</v>
      </c>
      <c r="BC487" s="239" t="str">
        <f t="shared" si="88"/>
        <v>Sistema de transporte coletivo com um todoacessibilidadex</v>
      </c>
      <c r="BD487" s="239" t="str">
        <f t="shared" si="89"/>
        <v>Sistema de transporte coletivo com um todox</v>
      </c>
    </row>
    <row r="488" spans="1:56" s="3" customFormat="1" ht="51" customHeight="1" x14ac:dyDescent="0.25">
      <c r="A488" s="262" t="str">
        <f>'Q100b-totais'!B49</f>
        <v>6.1</v>
      </c>
      <c r="B488" s="252" t="str">
        <f>'Q100b-totais'!C49</f>
        <v>Calçadas e passarelas</v>
      </c>
      <c r="C488" s="167" t="s">
        <v>432</v>
      </c>
      <c r="D488" s="325" t="s">
        <v>4863</v>
      </c>
      <c r="E488" s="1445" t="s">
        <v>1705</v>
      </c>
      <c r="F488" s="53" t="s">
        <v>4864</v>
      </c>
      <c r="G488" s="230" t="s">
        <v>3507</v>
      </c>
      <c r="H488" s="167" t="s">
        <v>2408</v>
      </c>
      <c r="I488" s="167" t="s">
        <v>432</v>
      </c>
      <c r="J488" s="107" t="s">
        <v>432</v>
      </c>
      <c r="K488" s="107" t="s">
        <v>432</v>
      </c>
      <c r="L488" s="107" t="s">
        <v>432</v>
      </c>
      <c r="M488" s="107" t="s">
        <v>432</v>
      </c>
      <c r="N488" s="107" t="s">
        <v>432</v>
      </c>
      <c r="O488" s="107" t="s">
        <v>432</v>
      </c>
      <c r="P488" s="107" t="s">
        <v>432</v>
      </c>
      <c r="Q488" s="107" t="s">
        <v>432</v>
      </c>
      <c r="R488" s="107" t="s">
        <v>432</v>
      </c>
      <c r="S488" s="109" t="s">
        <v>2209</v>
      </c>
      <c r="T488" s="107" t="s">
        <v>432</v>
      </c>
      <c r="U488" s="107" t="s">
        <v>432</v>
      </c>
      <c r="V488" s="109" t="s">
        <v>2209</v>
      </c>
      <c r="W488" s="107" t="s">
        <v>432</v>
      </c>
      <c r="X488" s="107" t="s">
        <v>432</v>
      </c>
      <c r="Y488" s="107" t="s">
        <v>432</v>
      </c>
      <c r="Z488" s="107" t="s">
        <v>432</v>
      </c>
      <c r="AA488" s="107" t="s">
        <v>432</v>
      </c>
      <c r="AB488" s="107" t="s">
        <v>432</v>
      </c>
      <c r="AC488" s="107" t="s">
        <v>432</v>
      </c>
      <c r="AD488" s="107" t="s">
        <v>432</v>
      </c>
      <c r="AE488" s="107" t="s">
        <v>432</v>
      </c>
      <c r="AF488" s="107" t="s">
        <v>432</v>
      </c>
      <c r="AG488" s="107" t="s">
        <v>432</v>
      </c>
      <c r="AH488" s="107" t="s">
        <v>432</v>
      </c>
      <c r="AI488" s="107" t="s">
        <v>432</v>
      </c>
      <c r="AJ488" s="107" t="s">
        <v>432</v>
      </c>
      <c r="AK488" s="137" t="s">
        <v>432</v>
      </c>
      <c r="AL488" s="600" t="s">
        <v>432</v>
      </c>
      <c r="AM488" s="137" t="s">
        <v>432</v>
      </c>
      <c r="AN488" s="137" t="s">
        <v>432</v>
      </c>
      <c r="AO488" s="137" t="s">
        <v>432</v>
      </c>
      <c r="AP488" s="137" t="s">
        <v>432</v>
      </c>
      <c r="AQ488" s="137" t="s">
        <v>432</v>
      </c>
      <c r="AR488" s="137" t="s">
        <v>432</v>
      </c>
      <c r="AS488" s="137" t="s">
        <v>432</v>
      </c>
      <c r="AT488" s="137" t="s">
        <v>432</v>
      </c>
      <c r="AU488" s="137" t="s">
        <v>432</v>
      </c>
      <c r="AV488" s="137" t="s">
        <v>432</v>
      </c>
      <c r="AW488" s="137" t="s">
        <v>432</v>
      </c>
      <c r="AX488" s="137" t="s">
        <v>432</v>
      </c>
      <c r="AY488" s="137" t="s">
        <v>432</v>
      </c>
      <c r="AZ488" s="137" t="s">
        <v>432</v>
      </c>
      <c r="BA488" s="137" t="s">
        <v>432</v>
      </c>
      <c r="BB488" s="239" t="str">
        <f t="shared" si="87"/>
        <v>Calçadas e passarelasx</v>
      </c>
      <c r="BC488" s="239" t="str">
        <f t="shared" si="88"/>
        <v>Calçadas e passarelasxsigla/verbete</v>
      </c>
      <c r="BD488" s="239" t="str">
        <f t="shared" si="89"/>
        <v>Calçadas e passarelassigla/verbete</v>
      </c>
    </row>
    <row r="489" spans="1:56" s="3" customFormat="1" ht="113.25" customHeight="1" x14ac:dyDescent="0.25">
      <c r="A489" s="262" t="s">
        <v>583</v>
      </c>
      <c r="B489" s="252" t="s">
        <v>826</v>
      </c>
      <c r="C489" s="167" t="s">
        <v>432</v>
      </c>
      <c r="D489" s="325" t="s">
        <v>1331</v>
      </c>
      <c r="E489" s="1505" t="s">
        <v>1306</v>
      </c>
      <c r="F489" s="53" t="s">
        <v>1348</v>
      </c>
      <c r="G489" s="252" t="s">
        <v>1347</v>
      </c>
      <c r="H489" s="444" t="s">
        <v>678</v>
      </c>
      <c r="I489" s="167">
        <v>1</v>
      </c>
      <c r="J489" s="109" t="s">
        <v>432</v>
      </c>
      <c r="K489" s="109" t="s">
        <v>432</v>
      </c>
      <c r="L489" s="109" t="s">
        <v>432</v>
      </c>
      <c r="M489" s="58" t="s">
        <v>432</v>
      </c>
      <c r="N489" s="58" t="s">
        <v>432</v>
      </c>
      <c r="O489" s="58" t="s">
        <v>432</v>
      </c>
      <c r="P489" s="58" t="s">
        <v>432</v>
      </c>
      <c r="Q489" s="58" t="s">
        <v>432</v>
      </c>
      <c r="R489" s="58" t="s">
        <v>432</v>
      </c>
      <c r="S489" s="109" t="s">
        <v>2209</v>
      </c>
      <c r="T489" s="58" t="s">
        <v>432</v>
      </c>
      <c r="U489" s="58" t="s">
        <v>432</v>
      </c>
      <c r="V489" s="109" t="s">
        <v>2209</v>
      </c>
      <c r="W489" s="58" t="s">
        <v>432</v>
      </c>
      <c r="X489" s="58" t="s">
        <v>432</v>
      </c>
      <c r="Y489" s="58" t="s">
        <v>432</v>
      </c>
      <c r="Z489" s="58" t="s">
        <v>432</v>
      </c>
      <c r="AA489" s="58" t="s">
        <v>432</v>
      </c>
      <c r="AB489" s="58" t="s">
        <v>432</v>
      </c>
      <c r="AC489" s="58" t="s">
        <v>432</v>
      </c>
      <c r="AD489" s="58" t="s">
        <v>432</v>
      </c>
      <c r="AE489" s="58" t="s">
        <v>432</v>
      </c>
      <c r="AF489" s="58" t="s">
        <v>432</v>
      </c>
      <c r="AG489" s="58" t="s">
        <v>432</v>
      </c>
      <c r="AH489" s="58" t="s">
        <v>432</v>
      </c>
      <c r="AI489" s="58" t="s">
        <v>432</v>
      </c>
      <c r="AJ489" s="58" t="s">
        <v>432</v>
      </c>
      <c r="AK489" s="58" t="s">
        <v>432</v>
      </c>
      <c r="AL489" s="600" t="s">
        <v>432</v>
      </c>
      <c r="AM489" s="137" t="s">
        <v>432</v>
      </c>
      <c r="AN489" s="137" t="s">
        <v>432</v>
      </c>
      <c r="AO489" s="137" t="s">
        <v>432</v>
      </c>
      <c r="AP489" s="137" t="s">
        <v>432</v>
      </c>
      <c r="AQ489" s="137" t="s">
        <v>432</v>
      </c>
      <c r="AR489" s="137" t="s">
        <v>432</v>
      </c>
      <c r="AS489" s="137" t="s">
        <v>432</v>
      </c>
      <c r="AT489" s="137" t="s">
        <v>432</v>
      </c>
      <c r="AU489" s="137" t="s">
        <v>432</v>
      </c>
      <c r="AV489" s="137" t="s">
        <v>432</v>
      </c>
      <c r="AW489" s="137" t="s">
        <v>432</v>
      </c>
      <c r="AX489" s="137" t="s">
        <v>432</v>
      </c>
      <c r="AY489" s="137" t="s">
        <v>432</v>
      </c>
      <c r="AZ489" s="137" t="s">
        <v>432</v>
      </c>
      <c r="BA489" s="137" t="s">
        <v>432</v>
      </c>
      <c r="BB489" s="239" t="str">
        <f t="shared" si="87"/>
        <v>Gratuidades e descontosx</v>
      </c>
      <c r="BC489" s="239" t="str">
        <f t="shared" si="88"/>
        <v>Gratuidades e descontosxainda não incorporado ao SisMob-BH</v>
      </c>
      <c r="BD489" s="239" t="str">
        <f t="shared" si="89"/>
        <v>Gratuidades e descontosainda não incorporado ao SisMob-BH</v>
      </c>
    </row>
    <row r="490" spans="1:56" s="3" customFormat="1" ht="70.5" customHeight="1" x14ac:dyDescent="0.25">
      <c r="A490" s="262" t="s">
        <v>583</v>
      </c>
      <c r="B490" s="252" t="s">
        <v>826</v>
      </c>
      <c r="C490" s="167" t="s">
        <v>432</v>
      </c>
      <c r="D490" s="325" t="s">
        <v>1342</v>
      </c>
      <c r="E490" s="1505" t="s">
        <v>1306</v>
      </c>
      <c r="F490" s="53" t="s">
        <v>1349</v>
      </c>
      <c r="G490" s="252" t="s">
        <v>77</v>
      </c>
      <c r="H490" s="444" t="s">
        <v>678</v>
      </c>
      <c r="I490" s="167">
        <v>1</v>
      </c>
      <c r="J490" s="109" t="s">
        <v>432</v>
      </c>
      <c r="K490" s="109" t="s">
        <v>432</v>
      </c>
      <c r="L490" s="109" t="s">
        <v>432</v>
      </c>
      <c r="M490" s="93" t="s">
        <v>432</v>
      </c>
      <c r="N490" s="93" t="s">
        <v>432</v>
      </c>
      <c r="O490" s="93" t="s">
        <v>432</v>
      </c>
      <c r="P490" s="93" t="s">
        <v>432</v>
      </c>
      <c r="Q490" s="93" t="s">
        <v>432</v>
      </c>
      <c r="R490" s="93" t="s">
        <v>432</v>
      </c>
      <c r="S490" s="109" t="s">
        <v>2209</v>
      </c>
      <c r="T490" s="93" t="s">
        <v>432</v>
      </c>
      <c r="U490" s="93" t="s">
        <v>432</v>
      </c>
      <c r="V490" s="109" t="s">
        <v>2209</v>
      </c>
      <c r="W490" s="93" t="s">
        <v>432</v>
      </c>
      <c r="X490" s="93" t="s">
        <v>432</v>
      </c>
      <c r="Y490" s="93" t="s">
        <v>432</v>
      </c>
      <c r="Z490" s="93" t="s">
        <v>432</v>
      </c>
      <c r="AA490" s="93" t="s">
        <v>432</v>
      </c>
      <c r="AB490" s="93" t="s">
        <v>432</v>
      </c>
      <c r="AC490" s="93" t="s">
        <v>432</v>
      </c>
      <c r="AD490" s="93" t="s">
        <v>432</v>
      </c>
      <c r="AE490" s="93" t="s">
        <v>432</v>
      </c>
      <c r="AF490" s="93" t="s">
        <v>432</v>
      </c>
      <c r="AG490" s="93" t="s">
        <v>432</v>
      </c>
      <c r="AH490" s="93" t="s">
        <v>432</v>
      </c>
      <c r="AI490" s="93" t="s">
        <v>432</v>
      </c>
      <c r="AJ490" s="93" t="s">
        <v>432</v>
      </c>
      <c r="AK490" s="93" t="s">
        <v>432</v>
      </c>
      <c r="AL490" s="600" t="s">
        <v>432</v>
      </c>
      <c r="AM490" s="137" t="s">
        <v>432</v>
      </c>
      <c r="AN490" s="137" t="s">
        <v>432</v>
      </c>
      <c r="AO490" s="137" t="s">
        <v>432</v>
      </c>
      <c r="AP490" s="137" t="s">
        <v>432</v>
      </c>
      <c r="AQ490" s="137" t="s">
        <v>432</v>
      </c>
      <c r="AR490" s="137" t="s">
        <v>432</v>
      </c>
      <c r="AS490" s="137" t="s">
        <v>432</v>
      </c>
      <c r="AT490" s="137" t="s">
        <v>432</v>
      </c>
      <c r="AU490" s="137" t="s">
        <v>432</v>
      </c>
      <c r="AV490" s="137" t="s">
        <v>432</v>
      </c>
      <c r="AW490" s="137" t="s">
        <v>432</v>
      </c>
      <c r="AX490" s="137" t="s">
        <v>432</v>
      </c>
      <c r="AY490" s="137" t="s">
        <v>432</v>
      </c>
      <c r="AZ490" s="137" t="s">
        <v>432</v>
      </c>
      <c r="BA490" s="137" t="s">
        <v>432</v>
      </c>
      <c r="BB490" s="239" t="str">
        <f t="shared" si="87"/>
        <v>Gratuidades e descontosx</v>
      </c>
      <c r="BC490" s="239" t="str">
        <f t="shared" si="88"/>
        <v>Gratuidades e descontosxainda não incorporado ao SisMob-BH</v>
      </c>
      <c r="BD490" s="239" t="str">
        <f t="shared" si="89"/>
        <v>Gratuidades e descontosainda não incorporado ao SisMob-BH</v>
      </c>
    </row>
    <row r="491" spans="1:56" s="3" customFormat="1" ht="66.75" customHeight="1" x14ac:dyDescent="0.25">
      <c r="A491" s="262" t="s">
        <v>583</v>
      </c>
      <c r="B491" s="252" t="s">
        <v>826</v>
      </c>
      <c r="C491" s="167" t="s">
        <v>432</v>
      </c>
      <c r="D491" s="325" t="s">
        <v>1334</v>
      </c>
      <c r="E491" s="1505" t="s">
        <v>1306</v>
      </c>
      <c r="F491" s="53" t="s">
        <v>1350</v>
      </c>
      <c r="G491" s="252" t="s">
        <v>77</v>
      </c>
      <c r="H491" s="444" t="s">
        <v>678</v>
      </c>
      <c r="I491" s="167">
        <v>1</v>
      </c>
      <c r="J491" s="109" t="s">
        <v>432</v>
      </c>
      <c r="K491" s="109" t="s">
        <v>432</v>
      </c>
      <c r="L491" s="109" t="s">
        <v>432</v>
      </c>
      <c r="M491" s="93" t="s">
        <v>432</v>
      </c>
      <c r="N491" s="93" t="s">
        <v>432</v>
      </c>
      <c r="O491" s="93" t="s">
        <v>432</v>
      </c>
      <c r="P491" s="93" t="s">
        <v>432</v>
      </c>
      <c r="Q491" s="93" t="s">
        <v>432</v>
      </c>
      <c r="R491" s="93" t="s">
        <v>432</v>
      </c>
      <c r="S491" s="109" t="s">
        <v>2209</v>
      </c>
      <c r="T491" s="93" t="s">
        <v>432</v>
      </c>
      <c r="U491" s="93" t="s">
        <v>432</v>
      </c>
      <c r="V491" s="109" t="s">
        <v>2209</v>
      </c>
      <c r="W491" s="93" t="s">
        <v>432</v>
      </c>
      <c r="X491" s="93" t="s">
        <v>432</v>
      </c>
      <c r="Y491" s="93" t="s">
        <v>432</v>
      </c>
      <c r="Z491" s="93" t="s">
        <v>432</v>
      </c>
      <c r="AA491" s="93" t="s">
        <v>432</v>
      </c>
      <c r="AB491" s="93" t="s">
        <v>432</v>
      </c>
      <c r="AC491" s="93" t="s">
        <v>432</v>
      </c>
      <c r="AD491" s="93" t="s">
        <v>432</v>
      </c>
      <c r="AE491" s="93" t="s">
        <v>432</v>
      </c>
      <c r="AF491" s="93" t="s">
        <v>432</v>
      </c>
      <c r="AG491" s="93" t="s">
        <v>432</v>
      </c>
      <c r="AH491" s="93" t="s">
        <v>432</v>
      </c>
      <c r="AI491" s="93" t="s">
        <v>432</v>
      </c>
      <c r="AJ491" s="93" t="s">
        <v>432</v>
      </c>
      <c r="AK491" s="93" t="s">
        <v>432</v>
      </c>
      <c r="AL491" s="600" t="s">
        <v>432</v>
      </c>
      <c r="AM491" s="137" t="s">
        <v>432</v>
      </c>
      <c r="AN491" s="137" t="s">
        <v>432</v>
      </c>
      <c r="AO491" s="137" t="s">
        <v>432</v>
      </c>
      <c r="AP491" s="137" t="s">
        <v>432</v>
      </c>
      <c r="AQ491" s="137" t="s">
        <v>432</v>
      </c>
      <c r="AR491" s="137" t="s">
        <v>432</v>
      </c>
      <c r="AS491" s="137" t="s">
        <v>432</v>
      </c>
      <c r="AT491" s="137" t="s">
        <v>432</v>
      </c>
      <c r="AU491" s="137" t="s">
        <v>432</v>
      </c>
      <c r="AV491" s="137" t="s">
        <v>432</v>
      </c>
      <c r="AW491" s="137" t="s">
        <v>432</v>
      </c>
      <c r="AX491" s="137" t="s">
        <v>432</v>
      </c>
      <c r="AY491" s="137" t="s">
        <v>432</v>
      </c>
      <c r="AZ491" s="137" t="s">
        <v>432</v>
      </c>
      <c r="BA491" s="137" t="s">
        <v>432</v>
      </c>
      <c r="BB491" s="239" t="str">
        <f t="shared" si="87"/>
        <v>Gratuidades e descontosx</v>
      </c>
      <c r="BC491" s="239" t="str">
        <f t="shared" si="88"/>
        <v>Gratuidades e descontosxainda não incorporado ao SisMob-BH</v>
      </c>
      <c r="BD491" s="239" t="str">
        <f t="shared" si="89"/>
        <v>Gratuidades e descontosainda não incorporado ao SisMob-BH</v>
      </c>
    </row>
    <row r="492" spans="1:56" s="3" customFormat="1" ht="72.75" customHeight="1" x14ac:dyDescent="0.25">
      <c r="A492" s="262" t="s">
        <v>583</v>
      </c>
      <c r="B492" s="252" t="s">
        <v>826</v>
      </c>
      <c r="C492" s="167" t="s">
        <v>432</v>
      </c>
      <c r="D492" s="325" t="s">
        <v>1343</v>
      </c>
      <c r="E492" s="1505" t="s">
        <v>1306</v>
      </c>
      <c r="F492" s="53" t="s">
        <v>1351</v>
      </c>
      <c r="G492" s="252" t="s">
        <v>77</v>
      </c>
      <c r="H492" s="444" t="s">
        <v>678</v>
      </c>
      <c r="I492" s="167">
        <v>1</v>
      </c>
      <c r="J492" s="109" t="s">
        <v>432</v>
      </c>
      <c r="K492" s="109" t="s">
        <v>432</v>
      </c>
      <c r="L492" s="109" t="s">
        <v>432</v>
      </c>
      <c r="M492" s="93" t="s">
        <v>432</v>
      </c>
      <c r="N492" s="93" t="s">
        <v>432</v>
      </c>
      <c r="O492" s="93" t="s">
        <v>432</v>
      </c>
      <c r="P492" s="93" t="s">
        <v>432</v>
      </c>
      <c r="Q492" s="93" t="s">
        <v>432</v>
      </c>
      <c r="R492" s="93" t="s">
        <v>432</v>
      </c>
      <c r="S492" s="109" t="s">
        <v>2209</v>
      </c>
      <c r="T492" s="93" t="s">
        <v>432</v>
      </c>
      <c r="U492" s="93" t="s">
        <v>432</v>
      </c>
      <c r="V492" s="109" t="s">
        <v>2209</v>
      </c>
      <c r="W492" s="93" t="s">
        <v>432</v>
      </c>
      <c r="X492" s="93" t="s">
        <v>432</v>
      </c>
      <c r="Y492" s="93" t="s">
        <v>432</v>
      </c>
      <c r="Z492" s="93" t="s">
        <v>432</v>
      </c>
      <c r="AA492" s="93" t="s">
        <v>432</v>
      </c>
      <c r="AB492" s="93" t="s">
        <v>432</v>
      </c>
      <c r="AC492" s="93" t="s">
        <v>432</v>
      </c>
      <c r="AD492" s="93" t="s">
        <v>432</v>
      </c>
      <c r="AE492" s="93" t="s">
        <v>432</v>
      </c>
      <c r="AF492" s="93" t="s">
        <v>432</v>
      </c>
      <c r="AG492" s="93" t="s">
        <v>432</v>
      </c>
      <c r="AH492" s="93" t="s">
        <v>432</v>
      </c>
      <c r="AI492" s="93" t="s">
        <v>432</v>
      </c>
      <c r="AJ492" s="93" t="s">
        <v>432</v>
      </c>
      <c r="AK492" s="93" t="s">
        <v>432</v>
      </c>
      <c r="AL492" s="600" t="s">
        <v>432</v>
      </c>
      <c r="AM492" s="137" t="s">
        <v>432</v>
      </c>
      <c r="AN492" s="137" t="s">
        <v>432</v>
      </c>
      <c r="AO492" s="137" t="s">
        <v>432</v>
      </c>
      <c r="AP492" s="137" t="s">
        <v>432</v>
      </c>
      <c r="AQ492" s="137" t="s">
        <v>432</v>
      </c>
      <c r="AR492" s="137" t="s">
        <v>432</v>
      </c>
      <c r="AS492" s="137" t="s">
        <v>432</v>
      </c>
      <c r="AT492" s="137" t="s">
        <v>432</v>
      </c>
      <c r="AU492" s="137" t="s">
        <v>432</v>
      </c>
      <c r="AV492" s="137" t="s">
        <v>432</v>
      </c>
      <c r="AW492" s="137" t="s">
        <v>432</v>
      </c>
      <c r="AX492" s="137" t="s">
        <v>432</v>
      </c>
      <c r="AY492" s="137" t="s">
        <v>432</v>
      </c>
      <c r="AZ492" s="137" t="s">
        <v>432</v>
      </c>
      <c r="BA492" s="137" t="s">
        <v>432</v>
      </c>
      <c r="BB492" s="239" t="str">
        <f t="shared" si="87"/>
        <v>Gratuidades e descontosx</v>
      </c>
      <c r="BC492" s="239" t="str">
        <f t="shared" si="88"/>
        <v>Gratuidades e descontosxainda não incorporado ao SisMob-BH</v>
      </c>
      <c r="BD492" s="239" t="str">
        <f t="shared" si="89"/>
        <v>Gratuidades e descontosainda não incorporado ao SisMob-BH</v>
      </c>
    </row>
    <row r="493" spans="1:56" s="3" customFormat="1" ht="71.25" customHeight="1" x14ac:dyDescent="0.25">
      <c r="A493" s="262" t="s">
        <v>583</v>
      </c>
      <c r="B493" s="252" t="s">
        <v>826</v>
      </c>
      <c r="C493" s="167" t="s">
        <v>432</v>
      </c>
      <c r="D493" s="325" t="s">
        <v>1339</v>
      </c>
      <c r="E493" s="1505" t="s">
        <v>1306</v>
      </c>
      <c r="F493" s="53" t="s">
        <v>1352</v>
      </c>
      <c r="G493" s="252" t="s">
        <v>77</v>
      </c>
      <c r="H493" s="444" t="s">
        <v>678</v>
      </c>
      <c r="I493" s="167">
        <v>1</v>
      </c>
      <c r="J493" s="109" t="s">
        <v>432</v>
      </c>
      <c r="K493" s="109" t="s">
        <v>432</v>
      </c>
      <c r="L493" s="109" t="s">
        <v>432</v>
      </c>
      <c r="M493" s="93" t="s">
        <v>432</v>
      </c>
      <c r="N493" s="93" t="s">
        <v>432</v>
      </c>
      <c r="O493" s="93" t="s">
        <v>432</v>
      </c>
      <c r="P493" s="93" t="s">
        <v>432</v>
      </c>
      <c r="Q493" s="93" t="s">
        <v>432</v>
      </c>
      <c r="R493" s="93" t="s">
        <v>432</v>
      </c>
      <c r="S493" s="109" t="s">
        <v>2209</v>
      </c>
      <c r="T493" s="93" t="s">
        <v>432</v>
      </c>
      <c r="U493" s="93" t="s">
        <v>432</v>
      </c>
      <c r="V493" s="109" t="s">
        <v>2209</v>
      </c>
      <c r="W493" s="93" t="s">
        <v>432</v>
      </c>
      <c r="X493" s="93" t="s">
        <v>432</v>
      </c>
      <c r="Y493" s="93" t="s">
        <v>432</v>
      </c>
      <c r="Z493" s="93" t="s">
        <v>432</v>
      </c>
      <c r="AA493" s="93" t="s">
        <v>432</v>
      </c>
      <c r="AB493" s="93" t="s">
        <v>432</v>
      </c>
      <c r="AC493" s="93" t="s">
        <v>432</v>
      </c>
      <c r="AD493" s="93" t="s">
        <v>432</v>
      </c>
      <c r="AE493" s="93" t="s">
        <v>432</v>
      </c>
      <c r="AF493" s="93" t="s">
        <v>432</v>
      </c>
      <c r="AG493" s="93" t="s">
        <v>432</v>
      </c>
      <c r="AH493" s="93" t="s">
        <v>432</v>
      </c>
      <c r="AI493" s="93" t="s">
        <v>432</v>
      </c>
      <c r="AJ493" s="93" t="s">
        <v>432</v>
      </c>
      <c r="AK493" s="93" t="s">
        <v>432</v>
      </c>
      <c r="AL493" s="600" t="s">
        <v>432</v>
      </c>
      <c r="AM493" s="137" t="s">
        <v>432</v>
      </c>
      <c r="AN493" s="137" t="s">
        <v>432</v>
      </c>
      <c r="AO493" s="137" t="s">
        <v>432</v>
      </c>
      <c r="AP493" s="137" t="s">
        <v>432</v>
      </c>
      <c r="AQ493" s="137" t="s">
        <v>432</v>
      </c>
      <c r="AR493" s="137" t="s">
        <v>432</v>
      </c>
      <c r="AS493" s="137" t="s">
        <v>432</v>
      </c>
      <c r="AT493" s="137" t="s">
        <v>432</v>
      </c>
      <c r="AU493" s="137" t="s">
        <v>432</v>
      </c>
      <c r="AV493" s="137" t="s">
        <v>432</v>
      </c>
      <c r="AW493" s="137" t="s">
        <v>432</v>
      </c>
      <c r="AX493" s="137" t="s">
        <v>432</v>
      </c>
      <c r="AY493" s="137" t="s">
        <v>432</v>
      </c>
      <c r="AZ493" s="137" t="s">
        <v>432</v>
      </c>
      <c r="BA493" s="137" t="s">
        <v>432</v>
      </c>
      <c r="BB493" s="239" t="str">
        <f t="shared" si="87"/>
        <v>Gratuidades e descontosx</v>
      </c>
      <c r="BC493" s="239" t="str">
        <f t="shared" si="88"/>
        <v>Gratuidades e descontosxainda não incorporado ao SisMob-BH</v>
      </c>
      <c r="BD493" s="239" t="str">
        <f t="shared" si="89"/>
        <v>Gratuidades e descontosainda não incorporado ao SisMob-BH</v>
      </c>
    </row>
    <row r="494" spans="1:56" s="3" customFormat="1" ht="47.25" customHeight="1" x14ac:dyDescent="0.25">
      <c r="A494" s="262" t="s">
        <v>583</v>
      </c>
      <c r="B494" s="252" t="s">
        <v>826</v>
      </c>
      <c r="C494" s="167" t="s">
        <v>432</v>
      </c>
      <c r="D494" s="325" t="s">
        <v>1340</v>
      </c>
      <c r="E494" s="1505" t="s">
        <v>1306</v>
      </c>
      <c r="F494" s="53" t="s">
        <v>1353</v>
      </c>
      <c r="G494" s="252" t="s">
        <v>77</v>
      </c>
      <c r="H494" s="444" t="s">
        <v>678</v>
      </c>
      <c r="I494" s="167">
        <v>1</v>
      </c>
      <c r="J494" s="109" t="s">
        <v>432</v>
      </c>
      <c r="K494" s="109" t="s">
        <v>432</v>
      </c>
      <c r="L494" s="109" t="s">
        <v>432</v>
      </c>
      <c r="M494" s="93" t="s">
        <v>432</v>
      </c>
      <c r="N494" s="93" t="s">
        <v>432</v>
      </c>
      <c r="O494" s="93" t="s">
        <v>432</v>
      </c>
      <c r="P494" s="93" t="s">
        <v>432</v>
      </c>
      <c r="Q494" s="93" t="s">
        <v>432</v>
      </c>
      <c r="R494" s="93" t="s">
        <v>432</v>
      </c>
      <c r="S494" s="109" t="s">
        <v>2209</v>
      </c>
      <c r="T494" s="93" t="s">
        <v>432</v>
      </c>
      <c r="U494" s="93" t="s">
        <v>432</v>
      </c>
      <c r="V494" s="109" t="s">
        <v>2209</v>
      </c>
      <c r="W494" s="93" t="s">
        <v>432</v>
      </c>
      <c r="X494" s="93" t="s">
        <v>432</v>
      </c>
      <c r="Y494" s="93" t="s">
        <v>432</v>
      </c>
      <c r="Z494" s="93" t="s">
        <v>432</v>
      </c>
      <c r="AA494" s="93" t="s">
        <v>432</v>
      </c>
      <c r="AB494" s="93" t="s">
        <v>432</v>
      </c>
      <c r="AC494" s="93" t="s">
        <v>432</v>
      </c>
      <c r="AD494" s="93" t="s">
        <v>432</v>
      </c>
      <c r="AE494" s="93" t="s">
        <v>432</v>
      </c>
      <c r="AF494" s="93" t="s">
        <v>432</v>
      </c>
      <c r="AG494" s="93" t="s">
        <v>432</v>
      </c>
      <c r="AH494" s="93" t="s">
        <v>432</v>
      </c>
      <c r="AI494" s="93" t="s">
        <v>432</v>
      </c>
      <c r="AJ494" s="93" t="s">
        <v>432</v>
      </c>
      <c r="AK494" s="93" t="s">
        <v>432</v>
      </c>
      <c r="AL494" s="600" t="s">
        <v>432</v>
      </c>
      <c r="AM494" s="137" t="s">
        <v>432</v>
      </c>
      <c r="AN494" s="137" t="s">
        <v>432</v>
      </c>
      <c r="AO494" s="137" t="s">
        <v>432</v>
      </c>
      <c r="AP494" s="137" t="s">
        <v>432</v>
      </c>
      <c r="AQ494" s="137" t="s">
        <v>432</v>
      </c>
      <c r="AR494" s="137" t="s">
        <v>432</v>
      </c>
      <c r="AS494" s="137" t="s">
        <v>432</v>
      </c>
      <c r="AT494" s="137" t="s">
        <v>432</v>
      </c>
      <c r="AU494" s="137" t="s">
        <v>432</v>
      </c>
      <c r="AV494" s="137" t="s">
        <v>432</v>
      </c>
      <c r="AW494" s="137" t="s">
        <v>432</v>
      </c>
      <c r="AX494" s="137" t="s">
        <v>432</v>
      </c>
      <c r="AY494" s="137" t="s">
        <v>432</v>
      </c>
      <c r="AZ494" s="137" t="s">
        <v>432</v>
      </c>
      <c r="BA494" s="137" t="s">
        <v>432</v>
      </c>
      <c r="BB494" s="239" t="str">
        <f t="shared" si="87"/>
        <v>Gratuidades e descontosx</v>
      </c>
      <c r="BC494" s="239" t="str">
        <f t="shared" si="88"/>
        <v>Gratuidades e descontosxainda não incorporado ao SisMob-BH</v>
      </c>
      <c r="BD494" s="239" t="str">
        <f t="shared" si="89"/>
        <v>Gratuidades e descontosainda não incorporado ao SisMob-BH</v>
      </c>
    </row>
    <row r="495" spans="1:56" s="3" customFormat="1" ht="47.25" customHeight="1" x14ac:dyDescent="0.25">
      <c r="A495" s="262" t="s">
        <v>583</v>
      </c>
      <c r="B495" s="252" t="s">
        <v>826</v>
      </c>
      <c r="C495" s="167" t="s">
        <v>432</v>
      </c>
      <c r="D495" s="325" t="s">
        <v>1346</v>
      </c>
      <c r="E495" s="1505" t="s">
        <v>1306</v>
      </c>
      <c r="F495" s="53" t="s">
        <v>1354</v>
      </c>
      <c r="G495" s="252" t="s">
        <v>77</v>
      </c>
      <c r="H495" s="444" t="s">
        <v>678</v>
      </c>
      <c r="I495" s="167">
        <v>1</v>
      </c>
      <c r="J495" s="109" t="s">
        <v>432</v>
      </c>
      <c r="K495" s="109" t="s">
        <v>432</v>
      </c>
      <c r="L495" s="109" t="s">
        <v>432</v>
      </c>
      <c r="M495" s="93" t="s">
        <v>432</v>
      </c>
      <c r="N495" s="93" t="s">
        <v>432</v>
      </c>
      <c r="O495" s="93" t="s">
        <v>432</v>
      </c>
      <c r="P495" s="93" t="s">
        <v>432</v>
      </c>
      <c r="Q495" s="93" t="s">
        <v>432</v>
      </c>
      <c r="R495" s="93" t="s">
        <v>432</v>
      </c>
      <c r="S495" s="109" t="s">
        <v>2209</v>
      </c>
      <c r="T495" s="93" t="s">
        <v>432</v>
      </c>
      <c r="U495" s="93" t="s">
        <v>432</v>
      </c>
      <c r="V495" s="109" t="s">
        <v>2209</v>
      </c>
      <c r="W495" s="93" t="s">
        <v>432</v>
      </c>
      <c r="X495" s="93" t="s">
        <v>432</v>
      </c>
      <c r="Y495" s="93" t="s">
        <v>432</v>
      </c>
      <c r="Z495" s="93" t="s">
        <v>432</v>
      </c>
      <c r="AA495" s="93" t="s">
        <v>432</v>
      </c>
      <c r="AB495" s="93" t="s">
        <v>432</v>
      </c>
      <c r="AC495" s="93" t="s">
        <v>432</v>
      </c>
      <c r="AD495" s="93" t="s">
        <v>432</v>
      </c>
      <c r="AE495" s="93" t="s">
        <v>432</v>
      </c>
      <c r="AF495" s="93" t="s">
        <v>432</v>
      </c>
      <c r="AG495" s="93" t="s">
        <v>432</v>
      </c>
      <c r="AH495" s="93" t="s">
        <v>432</v>
      </c>
      <c r="AI495" s="93" t="s">
        <v>432</v>
      </c>
      <c r="AJ495" s="93" t="s">
        <v>432</v>
      </c>
      <c r="AK495" s="93" t="s">
        <v>432</v>
      </c>
      <c r="AL495" s="600" t="s">
        <v>432</v>
      </c>
      <c r="AM495" s="137" t="s">
        <v>432</v>
      </c>
      <c r="AN495" s="137" t="s">
        <v>432</v>
      </c>
      <c r="AO495" s="137" t="s">
        <v>432</v>
      </c>
      <c r="AP495" s="137" t="s">
        <v>432</v>
      </c>
      <c r="AQ495" s="137" t="s">
        <v>432</v>
      </c>
      <c r="AR495" s="137" t="s">
        <v>432</v>
      </c>
      <c r="AS495" s="137" t="s">
        <v>432</v>
      </c>
      <c r="AT495" s="137" t="s">
        <v>432</v>
      </c>
      <c r="AU495" s="137" t="s">
        <v>432</v>
      </c>
      <c r="AV495" s="137" t="s">
        <v>432</v>
      </c>
      <c r="AW495" s="137" t="s">
        <v>432</v>
      </c>
      <c r="AX495" s="137" t="s">
        <v>432</v>
      </c>
      <c r="AY495" s="137" t="s">
        <v>432</v>
      </c>
      <c r="AZ495" s="137" t="s">
        <v>432</v>
      </c>
      <c r="BA495" s="137" t="s">
        <v>432</v>
      </c>
      <c r="BB495" s="239" t="str">
        <f t="shared" si="87"/>
        <v>Gratuidades e descontosx</v>
      </c>
      <c r="BC495" s="239" t="str">
        <f t="shared" si="88"/>
        <v>Gratuidades e descontosxainda não incorporado ao SisMob-BH</v>
      </c>
      <c r="BD495" s="239" t="str">
        <f t="shared" si="89"/>
        <v>Gratuidades e descontosainda não incorporado ao SisMob-BH</v>
      </c>
    </row>
    <row r="496" spans="1:56" s="3" customFormat="1" ht="47.25" customHeight="1" x14ac:dyDescent="0.25">
      <c r="A496" s="262" t="s">
        <v>432</v>
      </c>
      <c r="B496" s="252" t="s">
        <v>742</v>
      </c>
      <c r="C496" s="167" t="s">
        <v>432</v>
      </c>
      <c r="D496" s="325" t="s">
        <v>4414</v>
      </c>
      <c r="E496" s="1510" t="s">
        <v>432</v>
      </c>
      <c r="F496" s="188" t="s">
        <v>4431</v>
      </c>
      <c r="G496" s="229" t="s">
        <v>3879</v>
      </c>
      <c r="H496" s="813" t="s">
        <v>432</v>
      </c>
      <c r="I496" s="167" t="s">
        <v>432</v>
      </c>
      <c r="J496" s="109" t="s">
        <v>432</v>
      </c>
      <c r="K496" s="109" t="s">
        <v>432</v>
      </c>
      <c r="L496" s="109" t="s">
        <v>432</v>
      </c>
      <c r="M496" s="109" t="s">
        <v>432</v>
      </c>
      <c r="N496" s="109" t="s">
        <v>432</v>
      </c>
      <c r="O496" s="109" t="s">
        <v>432</v>
      </c>
      <c r="P496" s="109" t="s">
        <v>432</v>
      </c>
      <c r="Q496" s="109" t="s">
        <v>432</v>
      </c>
      <c r="R496" s="109" t="s">
        <v>432</v>
      </c>
      <c r="S496" s="109" t="s">
        <v>2209</v>
      </c>
      <c r="T496" s="109" t="s">
        <v>432</v>
      </c>
      <c r="U496" s="109" t="s">
        <v>432</v>
      </c>
      <c r="V496" s="109" t="s">
        <v>2209</v>
      </c>
      <c r="W496" s="109" t="s">
        <v>432</v>
      </c>
      <c r="X496" s="109" t="s">
        <v>432</v>
      </c>
      <c r="Y496" s="109" t="s">
        <v>432</v>
      </c>
      <c r="Z496" s="109" t="s">
        <v>432</v>
      </c>
      <c r="AA496" s="109" t="s">
        <v>432</v>
      </c>
      <c r="AB496" s="109" t="s">
        <v>432</v>
      </c>
      <c r="AC496" s="109" t="s">
        <v>432</v>
      </c>
      <c r="AD496" s="109" t="s">
        <v>432</v>
      </c>
      <c r="AE496" s="109" t="s">
        <v>432</v>
      </c>
      <c r="AF496" s="109" t="s">
        <v>432</v>
      </c>
      <c r="AG496" s="109" t="s">
        <v>432</v>
      </c>
      <c r="AH496" s="109" t="s">
        <v>432</v>
      </c>
      <c r="AI496" s="109" t="s">
        <v>432</v>
      </c>
      <c r="AJ496" s="109" t="s">
        <v>432</v>
      </c>
      <c r="AK496" s="109" t="s">
        <v>432</v>
      </c>
      <c r="AL496" s="600" t="s">
        <v>432</v>
      </c>
      <c r="AM496" s="137" t="s">
        <v>432</v>
      </c>
      <c r="AN496" s="137" t="s">
        <v>432</v>
      </c>
      <c r="AO496" s="137" t="s">
        <v>432</v>
      </c>
      <c r="AP496" s="137" t="s">
        <v>432</v>
      </c>
      <c r="AQ496" s="137" t="s">
        <v>432</v>
      </c>
      <c r="AR496" s="137" t="s">
        <v>432</v>
      </c>
      <c r="AS496" s="137" t="s">
        <v>432</v>
      </c>
      <c r="AT496" s="137" t="s">
        <v>432</v>
      </c>
      <c r="AU496" s="137" t="s">
        <v>432</v>
      </c>
      <c r="AV496" s="137" t="s">
        <v>432</v>
      </c>
      <c r="AW496" s="137" t="s">
        <v>432</v>
      </c>
      <c r="AX496" s="137" t="s">
        <v>432</v>
      </c>
      <c r="AY496" s="137" t="s">
        <v>432</v>
      </c>
      <c r="AZ496" s="137" t="s">
        <v>432</v>
      </c>
      <c r="BA496" s="137" t="s">
        <v>432</v>
      </c>
      <c r="BB496" s="239" t="str">
        <f t="shared" si="87"/>
        <v>geralx</v>
      </c>
      <c r="BC496" s="239" t="str">
        <f t="shared" si="88"/>
        <v>geralxx</v>
      </c>
      <c r="BD496" s="239" t="str">
        <f t="shared" si="89"/>
        <v>geralx</v>
      </c>
    </row>
    <row r="497" spans="1:67" s="3" customFormat="1" ht="102" customHeight="1" x14ac:dyDescent="0.25">
      <c r="A497" s="262" t="s">
        <v>432</v>
      </c>
      <c r="B497" s="252" t="s">
        <v>742</v>
      </c>
      <c r="C497" s="167" t="s">
        <v>743</v>
      </c>
      <c r="D497" s="325" t="s">
        <v>4495</v>
      </c>
      <c r="E497" s="1511" t="s">
        <v>1283</v>
      </c>
      <c r="F497" s="77" t="s">
        <v>4496</v>
      </c>
      <c r="G497" s="230" t="s">
        <v>3507</v>
      </c>
      <c r="H497" s="167" t="s">
        <v>2408</v>
      </c>
      <c r="I497" s="167" t="s">
        <v>432</v>
      </c>
      <c r="J497" s="109" t="s">
        <v>432</v>
      </c>
      <c r="K497" s="109" t="s">
        <v>432</v>
      </c>
      <c r="L497" s="109" t="s">
        <v>432</v>
      </c>
      <c r="M497" s="109" t="s">
        <v>432</v>
      </c>
      <c r="N497" s="109" t="s">
        <v>432</v>
      </c>
      <c r="O497" s="109" t="s">
        <v>432</v>
      </c>
      <c r="P497" s="109" t="s">
        <v>432</v>
      </c>
      <c r="Q497" s="109" t="s">
        <v>432</v>
      </c>
      <c r="R497" s="109" t="s">
        <v>432</v>
      </c>
      <c r="S497" s="109" t="s">
        <v>2209</v>
      </c>
      <c r="T497" s="109" t="s">
        <v>432</v>
      </c>
      <c r="U497" s="109" t="s">
        <v>432</v>
      </c>
      <c r="V497" s="109" t="s">
        <v>2209</v>
      </c>
      <c r="W497" s="109" t="s">
        <v>432</v>
      </c>
      <c r="X497" s="109" t="s">
        <v>432</v>
      </c>
      <c r="Y497" s="109" t="s">
        <v>432</v>
      </c>
      <c r="Z497" s="109" t="s">
        <v>432</v>
      </c>
      <c r="AA497" s="109" t="s">
        <v>432</v>
      </c>
      <c r="AB497" s="109" t="s">
        <v>432</v>
      </c>
      <c r="AC497" s="109" t="s">
        <v>432</v>
      </c>
      <c r="AD497" s="109" t="s">
        <v>432</v>
      </c>
      <c r="AE497" s="109" t="s">
        <v>432</v>
      </c>
      <c r="AF497" s="109" t="s">
        <v>432</v>
      </c>
      <c r="AG497" s="109" t="s">
        <v>432</v>
      </c>
      <c r="AH497" s="109" t="s">
        <v>432</v>
      </c>
      <c r="AI497" s="109" t="s">
        <v>432</v>
      </c>
      <c r="AJ497" s="109" t="s">
        <v>432</v>
      </c>
      <c r="AK497" s="109" t="s">
        <v>432</v>
      </c>
      <c r="AL497" s="600" t="s">
        <v>432</v>
      </c>
      <c r="AM497" s="137" t="s">
        <v>432</v>
      </c>
      <c r="AN497" s="137" t="s">
        <v>432</v>
      </c>
      <c r="AO497" s="137" t="s">
        <v>432</v>
      </c>
      <c r="AP497" s="137" t="s">
        <v>432</v>
      </c>
      <c r="AQ497" s="137" t="s">
        <v>432</v>
      </c>
      <c r="AR497" s="137" t="s">
        <v>432</v>
      </c>
      <c r="AS497" s="137" t="s">
        <v>432</v>
      </c>
      <c r="AT497" s="137" t="s">
        <v>432</v>
      </c>
      <c r="AU497" s="137" t="s">
        <v>432</v>
      </c>
      <c r="AV497" s="137" t="s">
        <v>432</v>
      </c>
      <c r="AW497" s="137" t="s">
        <v>432</v>
      </c>
      <c r="AX497" s="137" t="s">
        <v>432</v>
      </c>
      <c r="AY497" s="137" t="s">
        <v>432</v>
      </c>
      <c r="AZ497" s="137" t="s">
        <v>432</v>
      </c>
      <c r="BA497" s="137" t="s">
        <v>432</v>
      </c>
      <c r="BB497" s="239" t="str">
        <f t="shared" si="87"/>
        <v>geralacessibilidade</v>
      </c>
      <c r="BC497" s="239" t="str">
        <f t="shared" si="88"/>
        <v>geralacessibilidadesigla/verbete</v>
      </c>
      <c r="BD497" s="239" t="str">
        <f t="shared" si="89"/>
        <v>geralsigla/verbete</v>
      </c>
    </row>
    <row r="498" spans="1:67" s="3" customFormat="1" ht="66.75" customHeight="1" x14ac:dyDescent="0.25">
      <c r="A498" s="262" t="s">
        <v>432</v>
      </c>
      <c r="B498" s="252" t="s">
        <v>742</v>
      </c>
      <c r="C498" s="167" t="s">
        <v>743</v>
      </c>
      <c r="D498" s="325" t="s">
        <v>2536</v>
      </c>
      <c r="E498" s="1508" t="s">
        <v>1767</v>
      </c>
      <c r="F498" s="53" t="s">
        <v>3278</v>
      </c>
      <c r="G498" s="230" t="s">
        <v>3507</v>
      </c>
      <c r="H498" s="167" t="s">
        <v>2408</v>
      </c>
      <c r="I498" s="167" t="s">
        <v>432</v>
      </c>
      <c r="J498" s="109" t="s">
        <v>432</v>
      </c>
      <c r="K498" s="109" t="s">
        <v>432</v>
      </c>
      <c r="L498" s="109" t="s">
        <v>432</v>
      </c>
      <c r="M498" s="109" t="s">
        <v>432</v>
      </c>
      <c r="N498" s="109" t="s">
        <v>432</v>
      </c>
      <c r="O498" s="109" t="s">
        <v>432</v>
      </c>
      <c r="P498" s="109" t="s">
        <v>432</v>
      </c>
      <c r="Q498" s="109" t="s">
        <v>432</v>
      </c>
      <c r="R498" s="109" t="s">
        <v>432</v>
      </c>
      <c r="S498" s="109" t="s">
        <v>2209</v>
      </c>
      <c r="T498" s="109" t="s">
        <v>432</v>
      </c>
      <c r="U498" s="109" t="s">
        <v>432</v>
      </c>
      <c r="V498" s="109" t="s">
        <v>2209</v>
      </c>
      <c r="W498" s="109" t="s">
        <v>432</v>
      </c>
      <c r="X498" s="109" t="s">
        <v>432</v>
      </c>
      <c r="Y498" s="109" t="s">
        <v>432</v>
      </c>
      <c r="Z498" s="109" t="s">
        <v>432</v>
      </c>
      <c r="AA498" s="109" t="s">
        <v>432</v>
      </c>
      <c r="AB498" s="109" t="s">
        <v>432</v>
      </c>
      <c r="AC498" s="109" t="s">
        <v>432</v>
      </c>
      <c r="AD498" s="109" t="s">
        <v>432</v>
      </c>
      <c r="AE498" s="109" t="s">
        <v>432</v>
      </c>
      <c r="AF498" s="109" t="s">
        <v>432</v>
      </c>
      <c r="AG498" s="109" t="s">
        <v>432</v>
      </c>
      <c r="AH498" s="109" t="s">
        <v>432</v>
      </c>
      <c r="AI498" s="109" t="s">
        <v>432</v>
      </c>
      <c r="AJ498" s="109" t="s">
        <v>432</v>
      </c>
      <c r="AK498" s="109" t="s">
        <v>432</v>
      </c>
      <c r="AL498" s="600" t="s">
        <v>432</v>
      </c>
      <c r="AM498" s="137" t="s">
        <v>432</v>
      </c>
      <c r="AN498" s="137" t="s">
        <v>432</v>
      </c>
      <c r="AO498" s="137" t="s">
        <v>432</v>
      </c>
      <c r="AP498" s="137" t="s">
        <v>432</v>
      </c>
      <c r="AQ498" s="137" t="s">
        <v>432</v>
      </c>
      <c r="AR498" s="137" t="s">
        <v>432</v>
      </c>
      <c r="AS498" s="137" t="s">
        <v>432</v>
      </c>
      <c r="AT498" s="137" t="s">
        <v>432</v>
      </c>
      <c r="AU498" s="137" t="s">
        <v>432</v>
      </c>
      <c r="AV498" s="137" t="s">
        <v>432</v>
      </c>
      <c r="AW498" s="137" t="s">
        <v>432</v>
      </c>
      <c r="AX498" s="137" t="s">
        <v>432</v>
      </c>
      <c r="AY498" s="137" t="s">
        <v>432</v>
      </c>
      <c r="AZ498" s="137" t="s">
        <v>432</v>
      </c>
      <c r="BA498" s="137" t="s">
        <v>432</v>
      </c>
      <c r="BB498" s="239" t="str">
        <f t="shared" si="87"/>
        <v>geralacessibilidade</v>
      </c>
      <c r="BC498" s="239" t="str">
        <f t="shared" si="88"/>
        <v>geralacessibilidadesigla/verbete</v>
      </c>
      <c r="BD498" s="239" t="str">
        <f t="shared" si="89"/>
        <v>geralsigla/verbete</v>
      </c>
    </row>
    <row r="499" spans="1:67" s="1" customFormat="1" ht="72" customHeight="1" x14ac:dyDescent="0.25">
      <c r="A499" s="262" t="s">
        <v>432</v>
      </c>
      <c r="B499" s="252" t="s">
        <v>742</v>
      </c>
      <c r="C499" s="167" t="s">
        <v>432</v>
      </c>
      <c r="D499" s="324" t="s">
        <v>3276</v>
      </c>
      <c r="E499" s="1496" t="s">
        <v>1705</v>
      </c>
      <c r="F499" s="53" t="s">
        <v>3711</v>
      </c>
      <c r="G499" s="230" t="s">
        <v>3507</v>
      </c>
      <c r="H499" s="167" t="s">
        <v>2408</v>
      </c>
      <c r="I499" s="167" t="s">
        <v>432</v>
      </c>
      <c r="J499" s="109" t="s">
        <v>432</v>
      </c>
      <c r="K499" s="109" t="s">
        <v>432</v>
      </c>
      <c r="L499" s="109" t="s">
        <v>432</v>
      </c>
      <c r="M499" s="109" t="s">
        <v>432</v>
      </c>
      <c r="N499" s="109" t="s">
        <v>432</v>
      </c>
      <c r="O499" s="109" t="s">
        <v>432</v>
      </c>
      <c r="P499" s="109" t="s">
        <v>432</v>
      </c>
      <c r="Q499" s="109" t="s">
        <v>432</v>
      </c>
      <c r="R499" s="109" t="s">
        <v>432</v>
      </c>
      <c r="S499" s="109" t="s">
        <v>2209</v>
      </c>
      <c r="T499" s="109" t="s">
        <v>432</v>
      </c>
      <c r="U499" s="109" t="s">
        <v>432</v>
      </c>
      <c r="V499" s="109" t="s">
        <v>2209</v>
      </c>
      <c r="W499" s="109" t="s">
        <v>432</v>
      </c>
      <c r="X499" s="109" t="s">
        <v>432</v>
      </c>
      <c r="Y499" s="109" t="s">
        <v>432</v>
      </c>
      <c r="Z499" s="109" t="s">
        <v>432</v>
      </c>
      <c r="AA499" s="109" t="s">
        <v>432</v>
      </c>
      <c r="AB499" s="109" t="s">
        <v>432</v>
      </c>
      <c r="AC499" s="109" t="s">
        <v>432</v>
      </c>
      <c r="AD499" s="109" t="s">
        <v>432</v>
      </c>
      <c r="AE499" s="109" t="s">
        <v>432</v>
      </c>
      <c r="AF499" s="109" t="s">
        <v>432</v>
      </c>
      <c r="AG499" s="109" t="s">
        <v>432</v>
      </c>
      <c r="AH499" s="109" t="s">
        <v>432</v>
      </c>
      <c r="AI499" s="109" t="s">
        <v>432</v>
      </c>
      <c r="AJ499" s="109" t="s">
        <v>432</v>
      </c>
      <c r="AK499" s="137" t="s">
        <v>432</v>
      </c>
      <c r="AL499" s="600" t="s">
        <v>432</v>
      </c>
      <c r="AM499" s="137" t="s">
        <v>432</v>
      </c>
      <c r="AN499" s="137" t="s">
        <v>432</v>
      </c>
      <c r="AO499" s="137" t="s">
        <v>432</v>
      </c>
      <c r="AP499" s="137" t="s">
        <v>432</v>
      </c>
      <c r="AQ499" s="137" t="s">
        <v>432</v>
      </c>
      <c r="AR499" s="137" t="s">
        <v>432</v>
      </c>
      <c r="AS499" s="137" t="s">
        <v>432</v>
      </c>
      <c r="AT499" s="137" t="s">
        <v>432</v>
      </c>
      <c r="AU499" s="137" t="s">
        <v>432</v>
      </c>
      <c r="AV499" s="137" t="s">
        <v>432</v>
      </c>
      <c r="AW499" s="137" t="s">
        <v>432</v>
      </c>
      <c r="AX499" s="137" t="s">
        <v>432</v>
      </c>
      <c r="AY499" s="137" t="s">
        <v>432</v>
      </c>
      <c r="AZ499" s="137" t="s">
        <v>432</v>
      </c>
      <c r="BA499" s="137" t="s">
        <v>432</v>
      </c>
      <c r="BB499" s="239" t="str">
        <f t="shared" si="87"/>
        <v>geralx</v>
      </c>
      <c r="BC499" s="239" t="str">
        <f t="shared" si="88"/>
        <v>geralxsigla/verbete</v>
      </c>
      <c r="BD499" s="239" t="str">
        <f t="shared" si="89"/>
        <v>geralsigla/verbete</v>
      </c>
      <c r="BM499" s="1008"/>
      <c r="BN499" s="1008"/>
      <c r="BO499" s="1008"/>
    </row>
    <row r="500" spans="1:67" s="1" customFormat="1" ht="72" customHeight="1" x14ac:dyDescent="0.25">
      <c r="A500" s="262" t="str">
        <f>'Q100b-totais'!B22</f>
        <v>2.7</v>
      </c>
      <c r="B500" s="252" t="str">
        <f>'Q100b-totais'!C22</f>
        <v>Outras cidades/regiões</v>
      </c>
      <c r="C500" s="167" t="s">
        <v>432</v>
      </c>
      <c r="D500" s="1570" t="s">
        <v>6319</v>
      </c>
      <c r="E500" s="1499" t="s">
        <v>6319</v>
      </c>
      <c r="F500" s="252" t="s">
        <v>6333</v>
      </c>
      <c r="G500" s="230" t="s">
        <v>3507</v>
      </c>
      <c r="H500" s="167" t="s">
        <v>2408</v>
      </c>
      <c r="I500" s="167" t="s">
        <v>432</v>
      </c>
      <c r="J500" s="109" t="s">
        <v>432</v>
      </c>
      <c r="K500" s="109" t="s">
        <v>432</v>
      </c>
      <c r="L500" s="109" t="s">
        <v>432</v>
      </c>
      <c r="M500" s="109" t="s">
        <v>432</v>
      </c>
      <c r="N500" s="109" t="s">
        <v>432</v>
      </c>
      <c r="O500" s="109" t="s">
        <v>432</v>
      </c>
      <c r="P500" s="109" t="s">
        <v>432</v>
      </c>
      <c r="Q500" s="109" t="s">
        <v>432</v>
      </c>
      <c r="R500" s="109" t="s">
        <v>432</v>
      </c>
      <c r="S500" s="109" t="s">
        <v>2209</v>
      </c>
      <c r="T500" s="109" t="s">
        <v>432</v>
      </c>
      <c r="U500" s="109" t="s">
        <v>432</v>
      </c>
      <c r="V500" s="109" t="s">
        <v>2209</v>
      </c>
      <c r="W500" s="109" t="s">
        <v>432</v>
      </c>
      <c r="X500" s="109" t="s">
        <v>432</v>
      </c>
      <c r="Y500" s="109" t="s">
        <v>432</v>
      </c>
      <c r="Z500" s="109" t="s">
        <v>432</v>
      </c>
      <c r="AA500" s="109" t="s">
        <v>432</v>
      </c>
      <c r="AB500" s="109" t="s">
        <v>432</v>
      </c>
      <c r="AC500" s="109" t="s">
        <v>432</v>
      </c>
      <c r="AD500" s="109" t="s">
        <v>432</v>
      </c>
      <c r="AE500" s="109" t="s">
        <v>432</v>
      </c>
      <c r="AF500" s="109" t="s">
        <v>432</v>
      </c>
      <c r="AG500" s="109" t="s">
        <v>432</v>
      </c>
      <c r="AH500" s="109" t="s">
        <v>432</v>
      </c>
      <c r="AI500" s="109" t="s">
        <v>432</v>
      </c>
      <c r="AJ500" s="109" t="s">
        <v>432</v>
      </c>
      <c r="AK500" s="137" t="s">
        <v>432</v>
      </c>
      <c r="AL500" s="600" t="s">
        <v>432</v>
      </c>
      <c r="AM500" s="137" t="s">
        <v>432</v>
      </c>
      <c r="AN500" s="137" t="s">
        <v>432</v>
      </c>
      <c r="AO500" s="137" t="s">
        <v>432</v>
      </c>
      <c r="AP500" s="137" t="s">
        <v>432</v>
      </c>
      <c r="AQ500" s="137" t="s">
        <v>432</v>
      </c>
      <c r="AR500" s="137" t="s">
        <v>432</v>
      </c>
      <c r="AS500" s="137" t="s">
        <v>432</v>
      </c>
      <c r="AT500" s="137" t="s">
        <v>432</v>
      </c>
      <c r="AU500" s="137" t="s">
        <v>432</v>
      </c>
      <c r="AV500" s="137" t="s">
        <v>432</v>
      </c>
      <c r="AW500" s="137" t="s">
        <v>432</v>
      </c>
      <c r="AX500" s="137" t="s">
        <v>432</v>
      </c>
      <c r="AY500" s="137" t="s">
        <v>432</v>
      </c>
      <c r="AZ500" s="137" t="s">
        <v>432</v>
      </c>
      <c r="BA500" s="137" t="s">
        <v>432</v>
      </c>
      <c r="BB500" s="239" t="str">
        <f t="shared" si="87"/>
        <v>Outras cidades/regiõesx</v>
      </c>
      <c r="BC500" s="239" t="str">
        <f t="shared" si="88"/>
        <v>Outras cidades/regiõesxsigla/verbete</v>
      </c>
      <c r="BD500" s="239" t="str">
        <f t="shared" si="89"/>
        <v>Outras cidades/regiõessigla/verbete</v>
      </c>
      <c r="BM500" s="1573"/>
      <c r="BN500" s="1573"/>
      <c r="BO500" s="1573"/>
    </row>
    <row r="501" spans="1:67" s="1" customFormat="1" ht="124.5" customHeight="1" x14ac:dyDescent="0.25">
      <c r="A501" s="262" t="str">
        <f>'Q100b-totais'!$B$50</f>
        <v>6.2</v>
      </c>
      <c r="B501" s="252" t="str">
        <f>'Q100b-totais'!$C$50</f>
        <v>Sistema de bicicleta</v>
      </c>
      <c r="C501" s="1369" t="s">
        <v>432</v>
      </c>
      <c r="D501" s="324" t="s">
        <v>4795</v>
      </c>
      <c r="E501" s="1496" t="s">
        <v>1767</v>
      </c>
      <c r="F501" s="53" t="s">
        <v>4796</v>
      </c>
      <c r="G501" s="230" t="s">
        <v>4610</v>
      </c>
      <c r="H501" s="167" t="s">
        <v>2408</v>
      </c>
      <c r="I501" s="167" t="s">
        <v>432</v>
      </c>
      <c r="J501" s="109" t="s">
        <v>432</v>
      </c>
      <c r="K501" s="109" t="s">
        <v>432</v>
      </c>
      <c r="L501" s="109" t="s">
        <v>432</v>
      </c>
      <c r="M501" s="109" t="s">
        <v>432</v>
      </c>
      <c r="N501" s="109" t="s">
        <v>432</v>
      </c>
      <c r="O501" s="109" t="s">
        <v>432</v>
      </c>
      <c r="P501" s="109" t="s">
        <v>432</v>
      </c>
      <c r="Q501" s="109" t="s">
        <v>432</v>
      </c>
      <c r="R501" s="109" t="s">
        <v>432</v>
      </c>
      <c r="S501" s="109" t="s">
        <v>2209</v>
      </c>
      <c r="T501" s="109" t="s">
        <v>432</v>
      </c>
      <c r="U501" s="109" t="s">
        <v>432</v>
      </c>
      <c r="V501" s="109" t="s">
        <v>2209</v>
      </c>
      <c r="W501" s="109" t="s">
        <v>432</v>
      </c>
      <c r="X501" s="109" t="s">
        <v>432</v>
      </c>
      <c r="Y501" s="109" t="s">
        <v>432</v>
      </c>
      <c r="Z501" s="109" t="s">
        <v>432</v>
      </c>
      <c r="AA501" s="109" t="s">
        <v>432</v>
      </c>
      <c r="AB501" s="109" t="s">
        <v>432</v>
      </c>
      <c r="AC501" s="109" t="s">
        <v>432</v>
      </c>
      <c r="AD501" s="109" t="s">
        <v>432</v>
      </c>
      <c r="AE501" s="109" t="s">
        <v>432</v>
      </c>
      <c r="AF501" s="109" t="s">
        <v>432</v>
      </c>
      <c r="AG501" s="109" t="s">
        <v>432</v>
      </c>
      <c r="AH501" s="109" t="s">
        <v>432</v>
      </c>
      <c r="AI501" s="109" t="s">
        <v>432</v>
      </c>
      <c r="AJ501" s="109" t="s">
        <v>432</v>
      </c>
      <c r="AK501" s="137" t="s">
        <v>432</v>
      </c>
      <c r="AL501" s="600" t="s">
        <v>432</v>
      </c>
      <c r="AM501" s="137" t="s">
        <v>432</v>
      </c>
      <c r="AN501" s="137" t="s">
        <v>432</v>
      </c>
      <c r="AO501" s="137" t="s">
        <v>432</v>
      </c>
      <c r="AP501" s="137" t="s">
        <v>432</v>
      </c>
      <c r="AQ501" s="137" t="s">
        <v>432</v>
      </c>
      <c r="AR501" s="137" t="s">
        <v>432</v>
      </c>
      <c r="AS501" s="137" t="s">
        <v>432</v>
      </c>
      <c r="AT501" s="137" t="s">
        <v>432</v>
      </c>
      <c r="AU501" s="137" t="s">
        <v>432</v>
      </c>
      <c r="AV501" s="137" t="s">
        <v>432</v>
      </c>
      <c r="AW501" s="137" t="s">
        <v>432</v>
      </c>
      <c r="AX501" s="137" t="s">
        <v>432</v>
      </c>
      <c r="AY501" s="137" t="s">
        <v>432</v>
      </c>
      <c r="AZ501" s="137" t="s">
        <v>432</v>
      </c>
      <c r="BA501" s="137" t="s">
        <v>432</v>
      </c>
      <c r="BB501" s="239" t="str">
        <f t="shared" si="87"/>
        <v>Sistema de bicicletax</v>
      </c>
      <c r="BC501" s="239" t="str">
        <f t="shared" si="88"/>
        <v>Sistema de bicicletaxsigla/verbete</v>
      </c>
      <c r="BD501" s="239" t="str">
        <f t="shared" si="89"/>
        <v>Sistema de bicicletasigla/verbete</v>
      </c>
      <c r="BM501" s="1363"/>
      <c r="BN501" s="1363"/>
      <c r="BO501" s="1363"/>
    </row>
    <row r="502" spans="1:67" s="3" customFormat="1" ht="61.5" customHeight="1" x14ac:dyDescent="0.25">
      <c r="A502" s="262" t="s">
        <v>432</v>
      </c>
      <c r="B502" s="252" t="s">
        <v>742</v>
      </c>
      <c r="C502" s="167" t="s">
        <v>432</v>
      </c>
      <c r="D502" s="325" t="s">
        <v>1682</v>
      </c>
      <c r="E502" s="1496" t="s">
        <v>432</v>
      </c>
      <c r="F502" s="53" t="s">
        <v>1683</v>
      </c>
      <c r="G502" s="230" t="s">
        <v>3507</v>
      </c>
      <c r="H502" s="167" t="s">
        <v>2408</v>
      </c>
      <c r="I502" s="167" t="s">
        <v>432</v>
      </c>
      <c r="J502" s="109" t="s">
        <v>432</v>
      </c>
      <c r="K502" s="109" t="s">
        <v>432</v>
      </c>
      <c r="L502" s="109" t="s">
        <v>432</v>
      </c>
      <c r="M502" s="109" t="s">
        <v>432</v>
      </c>
      <c r="N502" s="109" t="s">
        <v>432</v>
      </c>
      <c r="O502" s="109" t="s">
        <v>432</v>
      </c>
      <c r="P502" s="109" t="s">
        <v>432</v>
      </c>
      <c r="Q502" s="109" t="s">
        <v>432</v>
      </c>
      <c r="R502" s="109" t="s">
        <v>432</v>
      </c>
      <c r="S502" s="109" t="s">
        <v>2209</v>
      </c>
      <c r="T502" s="109" t="s">
        <v>432</v>
      </c>
      <c r="U502" s="109" t="s">
        <v>432</v>
      </c>
      <c r="V502" s="109" t="s">
        <v>2209</v>
      </c>
      <c r="W502" s="109" t="s">
        <v>432</v>
      </c>
      <c r="X502" s="109" t="s">
        <v>432</v>
      </c>
      <c r="Y502" s="109" t="s">
        <v>432</v>
      </c>
      <c r="Z502" s="109" t="s">
        <v>432</v>
      </c>
      <c r="AA502" s="109" t="s">
        <v>432</v>
      </c>
      <c r="AB502" s="109" t="s">
        <v>432</v>
      </c>
      <c r="AC502" s="109" t="s">
        <v>432</v>
      </c>
      <c r="AD502" s="109" t="s">
        <v>432</v>
      </c>
      <c r="AE502" s="109" t="s">
        <v>432</v>
      </c>
      <c r="AF502" s="109" t="s">
        <v>432</v>
      </c>
      <c r="AG502" s="109" t="s">
        <v>432</v>
      </c>
      <c r="AH502" s="109" t="s">
        <v>432</v>
      </c>
      <c r="AI502" s="109" t="s">
        <v>432</v>
      </c>
      <c r="AJ502" s="109" t="s">
        <v>432</v>
      </c>
      <c r="AK502" s="137" t="s">
        <v>432</v>
      </c>
      <c r="AL502" s="600" t="s">
        <v>432</v>
      </c>
      <c r="AM502" s="137" t="s">
        <v>432</v>
      </c>
      <c r="AN502" s="137" t="s">
        <v>432</v>
      </c>
      <c r="AO502" s="137" t="s">
        <v>432</v>
      </c>
      <c r="AP502" s="137" t="s">
        <v>432</v>
      </c>
      <c r="AQ502" s="137" t="s">
        <v>432</v>
      </c>
      <c r="AR502" s="137" t="s">
        <v>432</v>
      </c>
      <c r="AS502" s="137" t="s">
        <v>432</v>
      </c>
      <c r="AT502" s="137" t="s">
        <v>432</v>
      </c>
      <c r="AU502" s="137" t="s">
        <v>432</v>
      </c>
      <c r="AV502" s="137" t="s">
        <v>432</v>
      </c>
      <c r="AW502" s="137" t="s">
        <v>432</v>
      </c>
      <c r="AX502" s="137" t="s">
        <v>432</v>
      </c>
      <c r="AY502" s="137" t="s">
        <v>432</v>
      </c>
      <c r="AZ502" s="137" t="s">
        <v>432</v>
      </c>
      <c r="BA502" s="137" t="s">
        <v>432</v>
      </c>
      <c r="BB502" s="239" t="str">
        <f t="shared" si="87"/>
        <v>geralx</v>
      </c>
      <c r="BC502" s="239" t="str">
        <f t="shared" si="88"/>
        <v>geralxsigla/verbete</v>
      </c>
      <c r="BD502" s="239" t="str">
        <f t="shared" si="89"/>
        <v>geralsigla/verbete</v>
      </c>
    </row>
    <row r="503" spans="1:67" s="3" customFormat="1" ht="104.25" customHeight="1" x14ac:dyDescent="0.25">
      <c r="A503" s="262" t="str">
        <f>'Q100b-totais'!$B$50</f>
        <v>6.2</v>
      </c>
      <c r="B503" s="252" t="str">
        <f>'Q100b-totais'!$C$50</f>
        <v>Sistema de bicicleta</v>
      </c>
      <c r="C503" s="1369" t="s">
        <v>432</v>
      </c>
      <c r="D503" s="325" t="s">
        <v>4794</v>
      </c>
      <c r="E503" s="1496" t="s">
        <v>1767</v>
      </c>
      <c r="F503" s="53" t="s">
        <v>4797</v>
      </c>
      <c r="G503" s="230" t="s">
        <v>4610</v>
      </c>
      <c r="H503" s="167" t="s">
        <v>2408</v>
      </c>
      <c r="I503" s="167" t="s">
        <v>432</v>
      </c>
      <c r="J503" s="109" t="s">
        <v>432</v>
      </c>
      <c r="K503" s="109" t="s">
        <v>432</v>
      </c>
      <c r="L503" s="109" t="s">
        <v>432</v>
      </c>
      <c r="M503" s="109" t="s">
        <v>432</v>
      </c>
      <c r="N503" s="109" t="s">
        <v>432</v>
      </c>
      <c r="O503" s="109" t="s">
        <v>432</v>
      </c>
      <c r="P503" s="109" t="s">
        <v>432</v>
      </c>
      <c r="Q503" s="109" t="s">
        <v>432</v>
      </c>
      <c r="R503" s="109" t="s">
        <v>432</v>
      </c>
      <c r="S503" s="109" t="s">
        <v>2209</v>
      </c>
      <c r="T503" s="109" t="s">
        <v>432</v>
      </c>
      <c r="U503" s="109" t="s">
        <v>432</v>
      </c>
      <c r="V503" s="109" t="s">
        <v>2209</v>
      </c>
      <c r="W503" s="109" t="s">
        <v>432</v>
      </c>
      <c r="X503" s="109" t="s">
        <v>432</v>
      </c>
      <c r="Y503" s="109" t="s">
        <v>432</v>
      </c>
      <c r="Z503" s="109" t="s">
        <v>432</v>
      </c>
      <c r="AA503" s="109" t="s">
        <v>432</v>
      </c>
      <c r="AB503" s="109" t="s">
        <v>432</v>
      </c>
      <c r="AC503" s="109" t="s">
        <v>432</v>
      </c>
      <c r="AD503" s="109" t="s">
        <v>432</v>
      </c>
      <c r="AE503" s="109" t="s">
        <v>432</v>
      </c>
      <c r="AF503" s="109" t="s">
        <v>432</v>
      </c>
      <c r="AG503" s="109" t="s">
        <v>432</v>
      </c>
      <c r="AH503" s="109" t="s">
        <v>432</v>
      </c>
      <c r="AI503" s="109" t="s">
        <v>432</v>
      </c>
      <c r="AJ503" s="109" t="s">
        <v>432</v>
      </c>
      <c r="AK503" s="137" t="s">
        <v>432</v>
      </c>
      <c r="AL503" s="600" t="s">
        <v>432</v>
      </c>
      <c r="AM503" s="137" t="s">
        <v>432</v>
      </c>
      <c r="AN503" s="137" t="s">
        <v>432</v>
      </c>
      <c r="AO503" s="137" t="s">
        <v>432</v>
      </c>
      <c r="AP503" s="137" t="s">
        <v>432</v>
      </c>
      <c r="AQ503" s="137" t="s">
        <v>432</v>
      </c>
      <c r="AR503" s="137" t="s">
        <v>432</v>
      </c>
      <c r="AS503" s="137" t="s">
        <v>432</v>
      </c>
      <c r="AT503" s="137" t="s">
        <v>432</v>
      </c>
      <c r="AU503" s="137" t="s">
        <v>432</v>
      </c>
      <c r="AV503" s="137" t="s">
        <v>432</v>
      </c>
      <c r="AW503" s="137" t="s">
        <v>432</v>
      </c>
      <c r="AX503" s="137" t="s">
        <v>432</v>
      </c>
      <c r="AY503" s="137" t="s">
        <v>432</v>
      </c>
      <c r="AZ503" s="137" t="s">
        <v>432</v>
      </c>
      <c r="BA503" s="137" t="s">
        <v>432</v>
      </c>
      <c r="BB503" s="239" t="str">
        <f t="shared" ref="BB503:BB539" si="90">B503&amp;C503</f>
        <v>Sistema de bicicletax</v>
      </c>
      <c r="BC503" s="239" t="str">
        <f t="shared" ref="BC503:BC539" si="91">B503&amp;C503&amp;H503</f>
        <v>Sistema de bicicletaxsigla/verbete</v>
      </c>
      <c r="BD503" s="239" t="str">
        <f t="shared" ref="BD503:BD539" si="92">B503&amp;H503</f>
        <v>Sistema de bicicletasigla/verbete</v>
      </c>
    </row>
    <row r="504" spans="1:67" s="3" customFormat="1" ht="266.25" customHeight="1" x14ac:dyDescent="0.25">
      <c r="A504" s="262" t="s">
        <v>432</v>
      </c>
      <c r="B504" s="252" t="s">
        <v>742</v>
      </c>
      <c r="C504" s="167" t="s">
        <v>743</v>
      </c>
      <c r="D504" s="325" t="s">
        <v>3257</v>
      </c>
      <c r="E504" s="1496" t="s">
        <v>1306</v>
      </c>
      <c r="F504" s="53" t="s">
        <v>5433</v>
      </c>
      <c r="G504" s="230" t="s">
        <v>3507</v>
      </c>
      <c r="H504" s="167" t="s">
        <v>2408</v>
      </c>
      <c r="I504" s="167" t="s">
        <v>432</v>
      </c>
      <c r="J504" s="109" t="s">
        <v>432</v>
      </c>
      <c r="K504" s="109" t="s">
        <v>432</v>
      </c>
      <c r="L504" s="109" t="s">
        <v>432</v>
      </c>
      <c r="M504" s="109" t="s">
        <v>432</v>
      </c>
      <c r="N504" s="109" t="s">
        <v>432</v>
      </c>
      <c r="O504" s="109" t="s">
        <v>432</v>
      </c>
      <c r="P504" s="109" t="s">
        <v>432</v>
      </c>
      <c r="Q504" s="109" t="s">
        <v>432</v>
      </c>
      <c r="R504" s="109" t="s">
        <v>432</v>
      </c>
      <c r="S504" s="109" t="s">
        <v>2209</v>
      </c>
      <c r="T504" s="109" t="s">
        <v>432</v>
      </c>
      <c r="U504" s="109" t="s">
        <v>432</v>
      </c>
      <c r="V504" s="109" t="s">
        <v>2209</v>
      </c>
      <c r="W504" s="109" t="s">
        <v>432</v>
      </c>
      <c r="X504" s="109" t="s">
        <v>432</v>
      </c>
      <c r="Y504" s="109" t="s">
        <v>432</v>
      </c>
      <c r="Z504" s="109" t="s">
        <v>432</v>
      </c>
      <c r="AA504" s="109" t="s">
        <v>432</v>
      </c>
      <c r="AB504" s="109" t="s">
        <v>432</v>
      </c>
      <c r="AC504" s="109" t="s">
        <v>432</v>
      </c>
      <c r="AD504" s="109" t="s">
        <v>432</v>
      </c>
      <c r="AE504" s="109" t="s">
        <v>432</v>
      </c>
      <c r="AF504" s="109" t="s">
        <v>432</v>
      </c>
      <c r="AG504" s="109" t="s">
        <v>432</v>
      </c>
      <c r="AH504" s="109" t="s">
        <v>432</v>
      </c>
      <c r="AI504" s="109" t="s">
        <v>432</v>
      </c>
      <c r="AJ504" s="109" t="s">
        <v>432</v>
      </c>
      <c r="AK504" s="109" t="s">
        <v>432</v>
      </c>
      <c r="AL504" s="600" t="s">
        <v>432</v>
      </c>
      <c r="AM504" s="137" t="s">
        <v>432</v>
      </c>
      <c r="AN504" s="137" t="s">
        <v>432</v>
      </c>
      <c r="AO504" s="137" t="s">
        <v>432</v>
      </c>
      <c r="AP504" s="137" t="s">
        <v>432</v>
      </c>
      <c r="AQ504" s="137" t="s">
        <v>432</v>
      </c>
      <c r="AR504" s="137" t="s">
        <v>432</v>
      </c>
      <c r="AS504" s="137" t="s">
        <v>432</v>
      </c>
      <c r="AT504" s="137" t="s">
        <v>432</v>
      </c>
      <c r="AU504" s="137" t="s">
        <v>432</v>
      </c>
      <c r="AV504" s="137" t="s">
        <v>432</v>
      </c>
      <c r="AW504" s="137" t="s">
        <v>432</v>
      </c>
      <c r="AX504" s="137" t="s">
        <v>432</v>
      </c>
      <c r="AY504" s="137" t="s">
        <v>432</v>
      </c>
      <c r="AZ504" s="137" t="s">
        <v>432</v>
      </c>
      <c r="BA504" s="137" t="s">
        <v>432</v>
      </c>
      <c r="BB504" s="239" t="str">
        <f t="shared" si="90"/>
        <v>geralacessibilidade</v>
      </c>
      <c r="BC504" s="239" t="str">
        <f t="shared" si="91"/>
        <v>geralacessibilidadesigla/verbete</v>
      </c>
      <c r="BD504" s="239" t="str">
        <f t="shared" si="92"/>
        <v>geralsigla/verbete</v>
      </c>
    </row>
    <row r="505" spans="1:67" s="3" customFormat="1" ht="42.75" customHeight="1" x14ac:dyDescent="0.25">
      <c r="A505" s="262" t="s">
        <v>432</v>
      </c>
      <c r="B505" s="252" t="s">
        <v>742</v>
      </c>
      <c r="C505" s="167" t="s">
        <v>432</v>
      </c>
      <c r="D505" s="325" t="s">
        <v>3259</v>
      </c>
      <c r="E505" s="1496" t="s">
        <v>1306</v>
      </c>
      <c r="F505" s="53" t="s">
        <v>5434</v>
      </c>
      <c r="G505" s="230" t="s">
        <v>3507</v>
      </c>
      <c r="H505" s="167" t="s">
        <v>2408</v>
      </c>
      <c r="I505" s="167" t="s">
        <v>432</v>
      </c>
      <c r="J505" s="109" t="s">
        <v>432</v>
      </c>
      <c r="K505" s="109" t="s">
        <v>432</v>
      </c>
      <c r="L505" s="109" t="s">
        <v>432</v>
      </c>
      <c r="M505" s="109" t="s">
        <v>432</v>
      </c>
      <c r="N505" s="109" t="s">
        <v>432</v>
      </c>
      <c r="O505" s="109" t="s">
        <v>432</v>
      </c>
      <c r="P505" s="109" t="s">
        <v>432</v>
      </c>
      <c r="Q505" s="109" t="s">
        <v>432</v>
      </c>
      <c r="R505" s="109" t="s">
        <v>432</v>
      </c>
      <c r="S505" s="109" t="s">
        <v>2209</v>
      </c>
      <c r="T505" s="109" t="s">
        <v>432</v>
      </c>
      <c r="U505" s="109" t="s">
        <v>432</v>
      </c>
      <c r="V505" s="109" t="s">
        <v>2209</v>
      </c>
      <c r="W505" s="109" t="s">
        <v>432</v>
      </c>
      <c r="X505" s="109" t="s">
        <v>432</v>
      </c>
      <c r="Y505" s="109" t="s">
        <v>432</v>
      </c>
      <c r="Z505" s="109" t="s">
        <v>432</v>
      </c>
      <c r="AA505" s="109" t="s">
        <v>432</v>
      </c>
      <c r="AB505" s="109" t="s">
        <v>432</v>
      </c>
      <c r="AC505" s="109" t="s">
        <v>432</v>
      </c>
      <c r="AD505" s="109" t="s">
        <v>432</v>
      </c>
      <c r="AE505" s="109" t="s">
        <v>432</v>
      </c>
      <c r="AF505" s="109" t="s">
        <v>432</v>
      </c>
      <c r="AG505" s="109" t="s">
        <v>432</v>
      </c>
      <c r="AH505" s="109" t="s">
        <v>432</v>
      </c>
      <c r="AI505" s="109" t="s">
        <v>432</v>
      </c>
      <c r="AJ505" s="109" t="s">
        <v>432</v>
      </c>
      <c r="AK505" s="109" t="s">
        <v>432</v>
      </c>
      <c r="AL505" s="600" t="s">
        <v>432</v>
      </c>
      <c r="AM505" s="137" t="s">
        <v>432</v>
      </c>
      <c r="AN505" s="137" t="s">
        <v>432</v>
      </c>
      <c r="AO505" s="137" t="s">
        <v>432</v>
      </c>
      <c r="AP505" s="137" t="s">
        <v>432</v>
      </c>
      <c r="AQ505" s="137" t="s">
        <v>432</v>
      </c>
      <c r="AR505" s="137" t="s">
        <v>432</v>
      </c>
      <c r="AS505" s="137" t="s">
        <v>432</v>
      </c>
      <c r="AT505" s="137" t="s">
        <v>432</v>
      </c>
      <c r="AU505" s="137" t="s">
        <v>432</v>
      </c>
      <c r="AV505" s="137" t="s">
        <v>432</v>
      </c>
      <c r="AW505" s="137" t="s">
        <v>432</v>
      </c>
      <c r="AX505" s="137" t="s">
        <v>432</v>
      </c>
      <c r="AY505" s="137" t="s">
        <v>432</v>
      </c>
      <c r="AZ505" s="137" t="s">
        <v>432</v>
      </c>
      <c r="BA505" s="137" t="s">
        <v>432</v>
      </c>
      <c r="BB505" s="239" t="str">
        <f t="shared" si="90"/>
        <v>geralx</v>
      </c>
      <c r="BC505" s="239" t="str">
        <f t="shared" si="91"/>
        <v>geralxsigla/verbete</v>
      </c>
      <c r="BD505" s="239" t="str">
        <f t="shared" si="92"/>
        <v>geralsigla/verbete</v>
      </c>
    </row>
    <row r="506" spans="1:67" s="3" customFormat="1" ht="54.75" customHeight="1" x14ac:dyDescent="0.25">
      <c r="A506" s="262" t="s">
        <v>432</v>
      </c>
      <c r="B506" s="252" t="s">
        <v>742</v>
      </c>
      <c r="C506" s="167" t="s">
        <v>432</v>
      </c>
      <c r="D506" s="325" t="s">
        <v>3260</v>
      </c>
      <c r="E506" s="1496" t="s">
        <v>1306</v>
      </c>
      <c r="F506" s="53" t="s">
        <v>5140</v>
      </c>
      <c r="G506" s="230" t="s">
        <v>3507</v>
      </c>
      <c r="H506" s="167" t="s">
        <v>2408</v>
      </c>
      <c r="I506" s="167" t="s">
        <v>432</v>
      </c>
      <c r="J506" s="109" t="s">
        <v>432</v>
      </c>
      <c r="K506" s="109" t="s">
        <v>432</v>
      </c>
      <c r="L506" s="109" t="s">
        <v>432</v>
      </c>
      <c r="M506" s="109" t="s">
        <v>432</v>
      </c>
      <c r="N506" s="109" t="s">
        <v>432</v>
      </c>
      <c r="O506" s="109" t="s">
        <v>432</v>
      </c>
      <c r="P506" s="109" t="s">
        <v>432</v>
      </c>
      <c r="Q506" s="109" t="s">
        <v>432</v>
      </c>
      <c r="R506" s="109" t="s">
        <v>432</v>
      </c>
      <c r="S506" s="109" t="s">
        <v>2209</v>
      </c>
      <c r="T506" s="109" t="s">
        <v>432</v>
      </c>
      <c r="U506" s="109" t="s">
        <v>432</v>
      </c>
      <c r="V506" s="109" t="s">
        <v>2209</v>
      </c>
      <c r="W506" s="109" t="s">
        <v>432</v>
      </c>
      <c r="X506" s="109" t="s">
        <v>432</v>
      </c>
      <c r="Y506" s="109" t="s">
        <v>432</v>
      </c>
      <c r="Z506" s="109" t="s">
        <v>432</v>
      </c>
      <c r="AA506" s="109" t="s">
        <v>432</v>
      </c>
      <c r="AB506" s="109" t="s">
        <v>432</v>
      </c>
      <c r="AC506" s="109" t="s">
        <v>432</v>
      </c>
      <c r="AD506" s="109" t="s">
        <v>432</v>
      </c>
      <c r="AE506" s="109" t="s">
        <v>432</v>
      </c>
      <c r="AF506" s="109" t="s">
        <v>432</v>
      </c>
      <c r="AG506" s="109" t="s">
        <v>432</v>
      </c>
      <c r="AH506" s="109" t="s">
        <v>432</v>
      </c>
      <c r="AI506" s="109" t="s">
        <v>432</v>
      </c>
      <c r="AJ506" s="109" t="s">
        <v>432</v>
      </c>
      <c r="AK506" s="109" t="s">
        <v>432</v>
      </c>
      <c r="AL506" s="600" t="s">
        <v>432</v>
      </c>
      <c r="AM506" s="137" t="s">
        <v>432</v>
      </c>
      <c r="AN506" s="137" t="s">
        <v>432</v>
      </c>
      <c r="AO506" s="137" t="s">
        <v>432</v>
      </c>
      <c r="AP506" s="137" t="s">
        <v>432</v>
      </c>
      <c r="AQ506" s="137" t="s">
        <v>432</v>
      </c>
      <c r="AR506" s="137" t="s">
        <v>432</v>
      </c>
      <c r="AS506" s="137" t="s">
        <v>432</v>
      </c>
      <c r="AT506" s="137" t="s">
        <v>432</v>
      </c>
      <c r="AU506" s="137" t="s">
        <v>432</v>
      </c>
      <c r="AV506" s="137" t="s">
        <v>432</v>
      </c>
      <c r="AW506" s="137" t="s">
        <v>432</v>
      </c>
      <c r="AX506" s="137" t="s">
        <v>432</v>
      </c>
      <c r="AY506" s="137" t="s">
        <v>432</v>
      </c>
      <c r="AZ506" s="137" t="s">
        <v>432</v>
      </c>
      <c r="BA506" s="137" t="s">
        <v>432</v>
      </c>
      <c r="BB506" s="239" t="str">
        <f t="shared" si="90"/>
        <v>geralx</v>
      </c>
      <c r="BC506" s="239" t="str">
        <f t="shared" si="91"/>
        <v>geralxsigla/verbete</v>
      </c>
      <c r="BD506" s="239" t="str">
        <f t="shared" si="92"/>
        <v>geralsigla/verbete</v>
      </c>
    </row>
    <row r="507" spans="1:67" s="3" customFormat="1" ht="51" x14ac:dyDescent="0.25">
      <c r="A507" s="262" t="s">
        <v>432</v>
      </c>
      <c r="B507" s="252" t="s">
        <v>742</v>
      </c>
      <c r="C507" s="167" t="s">
        <v>743</v>
      </c>
      <c r="D507" s="325" t="s">
        <v>3713</v>
      </c>
      <c r="E507" s="1496" t="s">
        <v>1705</v>
      </c>
      <c r="F507" s="53" t="s">
        <v>3714</v>
      </c>
      <c r="G507" s="57" t="s">
        <v>3507</v>
      </c>
      <c r="H507" s="167" t="s">
        <v>2408</v>
      </c>
      <c r="I507" s="167" t="s">
        <v>432</v>
      </c>
      <c r="J507" s="109" t="s">
        <v>432</v>
      </c>
      <c r="K507" s="109" t="s">
        <v>432</v>
      </c>
      <c r="L507" s="109" t="s">
        <v>432</v>
      </c>
      <c r="M507" s="109" t="s">
        <v>432</v>
      </c>
      <c r="N507" s="109" t="s">
        <v>432</v>
      </c>
      <c r="O507" s="109" t="s">
        <v>432</v>
      </c>
      <c r="P507" s="109" t="s">
        <v>432</v>
      </c>
      <c r="Q507" s="109" t="s">
        <v>432</v>
      </c>
      <c r="R507" s="109" t="s">
        <v>432</v>
      </c>
      <c r="S507" s="109" t="s">
        <v>2209</v>
      </c>
      <c r="T507" s="109" t="s">
        <v>432</v>
      </c>
      <c r="U507" s="109" t="s">
        <v>432</v>
      </c>
      <c r="V507" s="109" t="s">
        <v>2209</v>
      </c>
      <c r="W507" s="109" t="s">
        <v>432</v>
      </c>
      <c r="X507" s="109" t="s">
        <v>432</v>
      </c>
      <c r="Y507" s="109" t="s">
        <v>432</v>
      </c>
      <c r="Z507" s="109" t="s">
        <v>432</v>
      </c>
      <c r="AA507" s="109" t="s">
        <v>432</v>
      </c>
      <c r="AB507" s="109" t="s">
        <v>432</v>
      </c>
      <c r="AC507" s="109" t="s">
        <v>432</v>
      </c>
      <c r="AD507" s="109" t="s">
        <v>432</v>
      </c>
      <c r="AE507" s="109" t="s">
        <v>432</v>
      </c>
      <c r="AF507" s="109" t="s">
        <v>432</v>
      </c>
      <c r="AG507" s="109" t="s">
        <v>432</v>
      </c>
      <c r="AH507" s="109" t="s">
        <v>432</v>
      </c>
      <c r="AI507" s="109" t="s">
        <v>432</v>
      </c>
      <c r="AJ507" s="109" t="s">
        <v>432</v>
      </c>
      <c r="AK507" s="109" t="s">
        <v>432</v>
      </c>
      <c r="AL507" s="600" t="s">
        <v>432</v>
      </c>
      <c r="AM507" s="137" t="s">
        <v>432</v>
      </c>
      <c r="AN507" s="137" t="s">
        <v>432</v>
      </c>
      <c r="AO507" s="137" t="s">
        <v>432</v>
      </c>
      <c r="AP507" s="137" t="s">
        <v>432</v>
      </c>
      <c r="AQ507" s="137" t="s">
        <v>432</v>
      </c>
      <c r="AR507" s="137" t="s">
        <v>432</v>
      </c>
      <c r="AS507" s="137" t="s">
        <v>432</v>
      </c>
      <c r="AT507" s="137" t="s">
        <v>432</v>
      </c>
      <c r="AU507" s="137" t="s">
        <v>432</v>
      </c>
      <c r="AV507" s="137" t="s">
        <v>432</v>
      </c>
      <c r="AW507" s="137" t="s">
        <v>432</v>
      </c>
      <c r="AX507" s="137" t="s">
        <v>432</v>
      </c>
      <c r="AY507" s="137" t="s">
        <v>432</v>
      </c>
      <c r="AZ507" s="137" t="s">
        <v>432</v>
      </c>
      <c r="BA507" s="137" t="s">
        <v>432</v>
      </c>
      <c r="BB507" s="239" t="str">
        <f t="shared" si="90"/>
        <v>geralacessibilidade</v>
      </c>
      <c r="BC507" s="239" t="str">
        <f t="shared" si="91"/>
        <v>geralacessibilidadesigla/verbete</v>
      </c>
      <c r="BD507" s="239" t="str">
        <f t="shared" si="92"/>
        <v>geralsigla/verbete</v>
      </c>
    </row>
    <row r="508" spans="1:67" s="3" customFormat="1" ht="31.5" x14ac:dyDescent="0.25">
      <c r="A508" s="262" t="s">
        <v>432</v>
      </c>
      <c r="B508" s="252" t="s">
        <v>742</v>
      </c>
      <c r="C508" s="167" t="s">
        <v>743</v>
      </c>
      <c r="D508" s="325" t="s">
        <v>5252</v>
      </c>
      <c r="E508" s="1445" t="s">
        <v>432</v>
      </c>
      <c r="F508" s="252" t="s">
        <v>5276</v>
      </c>
      <c r="G508" s="57" t="s">
        <v>3507</v>
      </c>
      <c r="H508" s="167" t="s">
        <v>2408</v>
      </c>
      <c r="I508" s="167" t="s">
        <v>432</v>
      </c>
      <c r="J508" s="109" t="s">
        <v>432</v>
      </c>
      <c r="K508" s="109" t="s">
        <v>432</v>
      </c>
      <c r="L508" s="109" t="s">
        <v>432</v>
      </c>
      <c r="M508" s="109" t="s">
        <v>432</v>
      </c>
      <c r="N508" s="109" t="s">
        <v>432</v>
      </c>
      <c r="O508" s="109" t="s">
        <v>432</v>
      </c>
      <c r="P508" s="109" t="s">
        <v>432</v>
      </c>
      <c r="Q508" s="109" t="s">
        <v>432</v>
      </c>
      <c r="R508" s="109" t="s">
        <v>432</v>
      </c>
      <c r="S508" s="109" t="s">
        <v>2209</v>
      </c>
      <c r="T508" s="109" t="s">
        <v>432</v>
      </c>
      <c r="U508" s="109" t="s">
        <v>432</v>
      </c>
      <c r="V508" s="109" t="s">
        <v>2209</v>
      </c>
      <c r="W508" s="109" t="s">
        <v>432</v>
      </c>
      <c r="X508" s="109" t="s">
        <v>432</v>
      </c>
      <c r="Y508" s="109" t="s">
        <v>432</v>
      </c>
      <c r="Z508" s="109" t="s">
        <v>432</v>
      </c>
      <c r="AA508" s="109" t="s">
        <v>432</v>
      </c>
      <c r="AB508" s="109" t="s">
        <v>432</v>
      </c>
      <c r="AC508" s="109" t="s">
        <v>432</v>
      </c>
      <c r="AD508" s="109" t="s">
        <v>432</v>
      </c>
      <c r="AE508" s="109" t="s">
        <v>432</v>
      </c>
      <c r="AF508" s="109" t="s">
        <v>432</v>
      </c>
      <c r="AG508" s="109" t="s">
        <v>432</v>
      </c>
      <c r="AH508" s="109" t="s">
        <v>432</v>
      </c>
      <c r="AI508" s="109" t="s">
        <v>432</v>
      </c>
      <c r="AJ508" s="109" t="s">
        <v>432</v>
      </c>
      <c r="AK508" s="109" t="s">
        <v>432</v>
      </c>
      <c r="AL508" s="600" t="s">
        <v>432</v>
      </c>
      <c r="AM508" s="137" t="s">
        <v>432</v>
      </c>
      <c r="AN508" s="137" t="s">
        <v>432</v>
      </c>
      <c r="AO508" s="137" t="s">
        <v>432</v>
      </c>
      <c r="AP508" s="137" t="s">
        <v>432</v>
      </c>
      <c r="AQ508" s="137" t="s">
        <v>432</v>
      </c>
      <c r="AR508" s="137" t="s">
        <v>432</v>
      </c>
      <c r="AS508" s="137" t="s">
        <v>432</v>
      </c>
      <c r="AT508" s="137" t="s">
        <v>432</v>
      </c>
      <c r="AU508" s="137" t="s">
        <v>432</v>
      </c>
      <c r="AV508" s="137" t="s">
        <v>432</v>
      </c>
      <c r="AW508" s="137" t="s">
        <v>432</v>
      </c>
      <c r="AX508" s="137" t="s">
        <v>432</v>
      </c>
      <c r="AY508" s="137" t="s">
        <v>432</v>
      </c>
      <c r="AZ508" s="137" t="s">
        <v>432</v>
      </c>
      <c r="BA508" s="137" t="s">
        <v>432</v>
      </c>
      <c r="BB508" s="239" t="str">
        <f t="shared" si="90"/>
        <v>geralacessibilidade</v>
      </c>
      <c r="BC508" s="239" t="str">
        <f t="shared" si="91"/>
        <v>geralacessibilidadesigla/verbete</v>
      </c>
      <c r="BD508" s="239" t="str">
        <f t="shared" si="92"/>
        <v>geralsigla/verbete</v>
      </c>
    </row>
    <row r="509" spans="1:67" s="3" customFormat="1" ht="54.75" customHeight="1" x14ac:dyDescent="0.25">
      <c r="A509" s="262" t="s">
        <v>432</v>
      </c>
      <c r="B509" s="252" t="s">
        <v>742</v>
      </c>
      <c r="C509" s="167" t="s">
        <v>743</v>
      </c>
      <c r="D509" s="325" t="s">
        <v>5343</v>
      </c>
      <c r="E509" s="1496" t="s">
        <v>1306</v>
      </c>
      <c r="F509" s="53" t="s">
        <v>5344</v>
      </c>
      <c r="G509" s="57" t="s">
        <v>3507</v>
      </c>
      <c r="H509" s="167" t="s">
        <v>2408</v>
      </c>
      <c r="I509" s="167" t="s">
        <v>432</v>
      </c>
      <c r="J509" s="109" t="s">
        <v>432</v>
      </c>
      <c r="K509" s="109" t="s">
        <v>432</v>
      </c>
      <c r="L509" s="109" t="s">
        <v>432</v>
      </c>
      <c r="M509" s="109" t="s">
        <v>432</v>
      </c>
      <c r="N509" s="109" t="s">
        <v>432</v>
      </c>
      <c r="O509" s="109" t="s">
        <v>432</v>
      </c>
      <c r="P509" s="109" t="s">
        <v>432</v>
      </c>
      <c r="Q509" s="109" t="s">
        <v>432</v>
      </c>
      <c r="R509" s="109" t="s">
        <v>432</v>
      </c>
      <c r="S509" s="109" t="s">
        <v>2209</v>
      </c>
      <c r="T509" s="109" t="s">
        <v>432</v>
      </c>
      <c r="U509" s="109" t="s">
        <v>432</v>
      </c>
      <c r="V509" s="109" t="s">
        <v>2209</v>
      </c>
      <c r="W509" s="109" t="s">
        <v>432</v>
      </c>
      <c r="X509" s="109" t="s">
        <v>432</v>
      </c>
      <c r="Y509" s="109" t="s">
        <v>432</v>
      </c>
      <c r="Z509" s="109" t="s">
        <v>432</v>
      </c>
      <c r="AA509" s="109" t="s">
        <v>432</v>
      </c>
      <c r="AB509" s="109" t="s">
        <v>432</v>
      </c>
      <c r="AC509" s="109" t="s">
        <v>432</v>
      </c>
      <c r="AD509" s="109" t="s">
        <v>432</v>
      </c>
      <c r="AE509" s="109" t="s">
        <v>432</v>
      </c>
      <c r="AF509" s="109" t="s">
        <v>432</v>
      </c>
      <c r="AG509" s="109" t="s">
        <v>432</v>
      </c>
      <c r="AH509" s="109" t="s">
        <v>432</v>
      </c>
      <c r="AI509" s="109" t="s">
        <v>432</v>
      </c>
      <c r="AJ509" s="109" t="s">
        <v>432</v>
      </c>
      <c r="AK509" s="109" t="s">
        <v>432</v>
      </c>
      <c r="AL509" s="600" t="s">
        <v>432</v>
      </c>
      <c r="AM509" s="137" t="s">
        <v>432</v>
      </c>
      <c r="AN509" s="137" t="s">
        <v>432</v>
      </c>
      <c r="AO509" s="137" t="s">
        <v>432</v>
      </c>
      <c r="AP509" s="137" t="s">
        <v>432</v>
      </c>
      <c r="AQ509" s="137" t="s">
        <v>432</v>
      </c>
      <c r="AR509" s="137" t="s">
        <v>432</v>
      </c>
      <c r="AS509" s="137" t="s">
        <v>432</v>
      </c>
      <c r="AT509" s="137" t="s">
        <v>432</v>
      </c>
      <c r="AU509" s="137" t="s">
        <v>432</v>
      </c>
      <c r="AV509" s="137" t="s">
        <v>432</v>
      </c>
      <c r="AW509" s="137" t="s">
        <v>432</v>
      </c>
      <c r="AX509" s="137" t="s">
        <v>432</v>
      </c>
      <c r="AY509" s="137" t="s">
        <v>432</v>
      </c>
      <c r="AZ509" s="137" t="s">
        <v>432</v>
      </c>
      <c r="BA509" s="137" t="s">
        <v>432</v>
      </c>
      <c r="BB509" s="239" t="str">
        <f t="shared" si="90"/>
        <v>geralacessibilidade</v>
      </c>
      <c r="BC509" s="239" t="str">
        <f t="shared" si="91"/>
        <v>geralacessibilidadesigla/verbete</v>
      </c>
      <c r="BD509" s="239" t="str">
        <f t="shared" si="92"/>
        <v>geralsigla/verbete</v>
      </c>
    </row>
    <row r="510" spans="1:67" s="3" customFormat="1" ht="76.5" x14ac:dyDescent="0.25">
      <c r="A510" s="262" t="s">
        <v>432</v>
      </c>
      <c r="B510" s="252" t="s">
        <v>742</v>
      </c>
      <c r="C510" s="167" t="s">
        <v>432</v>
      </c>
      <c r="D510" s="325" t="s">
        <v>3844</v>
      </c>
      <c r="E510" s="1496" t="s">
        <v>1767</v>
      </c>
      <c r="F510" s="53" t="s">
        <v>3851</v>
      </c>
      <c r="G510" s="57" t="s">
        <v>3507</v>
      </c>
      <c r="H510" s="167" t="s">
        <v>2408</v>
      </c>
      <c r="I510" s="167" t="s">
        <v>432</v>
      </c>
      <c r="J510" s="109" t="s">
        <v>432</v>
      </c>
      <c r="K510" s="109" t="s">
        <v>432</v>
      </c>
      <c r="L510" s="109" t="s">
        <v>432</v>
      </c>
      <c r="M510" s="109" t="s">
        <v>432</v>
      </c>
      <c r="N510" s="109" t="s">
        <v>432</v>
      </c>
      <c r="O510" s="109" t="s">
        <v>432</v>
      </c>
      <c r="P510" s="109" t="s">
        <v>432</v>
      </c>
      <c r="Q510" s="109" t="s">
        <v>432</v>
      </c>
      <c r="R510" s="109" t="s">
        <v>432</v>
      </c>
      <c r="S510" s="109" t="s">
        <v>2209</v>
      </c>
      <c r="T510" s="109" t="s">
        <v>432</v>
      </c>
      <c r="U510" s="109" t="s">
        <v>432</v>
      </c>
      <c r="V510" s="109" t="s">
        <v>2209</v>
      </c>
      <c r="W510" s="109" t="s">
        <v>432</v>
      </c>
      <c r="X510" s="109" t="s">
        <v>432</v>
      </c>
      <c r="Y510" s="109" t="s">
        <v>432</v>
      </c>
      <c r="Z510" s="109" t="s">
        <v>432</v>
      </c>
      <c r="AA510" s="109" t="s">
        <v>432</v>
      </c>
      <c r="AB510" s="109" t="s">
        <v>432</v>
      </c>
      <c r="AC510" s="109" t="s">
        <v>432</v>
      </c>
      <c r="AD510" s="109" t="s">
        <v>432</v>
      </c>
      <c r="AE510" s="109" t="s">
        <v>432</v>
      </c>
      <c r="AF510" s="109" t="s">
        <v>432</v>
      </c>
      <c r="AG510" s="109" t="s">
        <v>432</v>
      </c>
      <c r="AH510" s="109" t="s">
        <v>432</v>
      </c>
      <c r="AI510" s="109" t="s">
        <v>432</v>
      </c>
      <c r="AJ510" s="109" t="s">
        <v>432</v>
      </c>
      <c r="AK510" s="109" t="s">
        <v>432</v>
      </c>
      <c r="AL510" s="600" t="s">
        <v>432</v>
      </c>
      <c r="AM510" s="137" t="s">
        <v>432</v>
      </c>
      <c r="AN510" s="137" t="s">
        <v>432</v>
      </c>
      <c r="AO510" s="137" t="s">
        <v>432</v>
      </c>
      <c r="AP510" s="137" t="s">
        <v>432</v>
      </c>
      <c r="AQ510" s="137" t="s">
        <v>432</v>
      </c>
      <c r="AR510" s="137" t="s">
        <v>432</v>
      </c>
      <c r="AS510" s="137" t="s">
        <v>432</v>
      </c>
      <c r="AT510" s="137" t="s">
        <v>432</v>
      </c>
      <c r="AU510" s="137" t="s">
        <v>432</v>
      </c>
      <c r="AV510" s="137" t="s">
        <v>432</v>
      </c>
      <c r="AW510" s="137" t="s">
        <v>432</v>
      </c>
      <c r="AX510" s="137" t="s">
        <v>432</v>
      </c>
      <c r="AY510" s="137" t="s">
        <v>432</v>
      </c>
      <c r="AZ510" s="137" t="s">
        <v>432</v>
      </c>
      <c r="BA510" s="137" t="s">
        <v>432</v>
      </c>
      <c r="BB510" s="239" t="str">
        <f t="shared" si="90"/>
        <v>geralx</v>
      </c>
      <c r="BC510" s="239" t="str">
        <f t="shared" si="91"/>
        <v>geralxsigla/verbete</v>
      </c>
      <c r="BD510" s="239" t="str">
        <f t="shared" si="92"/>
        <v>geralsigla/verbete</v>
      </c>
    </row>
    <row r="511" spans="1:67" s="3" customFormat="1" ht="63.75" x14ac:dyDescent="0.25">
      <c r="A511" s="262" t="s">
        <v>432</v>
      </c>
      <c r="B511" s="252" t="s">
        <v>742</v>
      </c>
      <c r="C511" s="167" t="s">
        <v>743</v>
      </c>
      <c r="D511" s="325" t="s">
        <v>3843</v>
      </c>
      <c r="E511" s="1496" t="s">
        <v>1767</v>
      </c>
      <c r="F511" s="53" t="s">
        <v>3847</v>
      </c>
      <c r="G511" s="57" t="s">
        <v>3507</v>
      </c>
      <c r="H511" s="167" t="s">
        <v>2408</v>
      </c>
      <c r="I511" s="167" t="s">
        <v>432</v>
      </c>
      <c r="J511" s="109" t="s">
        <v>432</v>
      </c>
      <c r="K511" s="109" t="s">
        <v>432</v>
      </c>
      <c r="L511" s="109" t="s">
        <v>432</v>
      </c>
      <c r="M511" s="109" t="s">
        <v>432</v>
      </c>
      <c r="N511" s="109" t="s">
        <v>432</v>
      </c>
      <c r="O511" s="109" t="s">
        <v>432</v>
      </c>
      <c r="P511" s="109" t="s">
        <v>432</v>
      </c>
      <c r="Q511" s="109" t="s">
        <v>432</v>
      </c>
      <c r="R511" s="109" t="s">
        <v>432</v>
      </c>
      <c r="S511" s="109" t="s">
        <v>2209</v>
      </c>
      <c r="T511" s="109" t="s">
        <v>432</v>
      </c>
      <c r="U511" s="109" t="s">
        <v>432</v>
      </c>
      <c r="V511" s="109" t="s">
        <v>2209</v>
      </c>
      <c r="W511" s="109" t="s">
        <v>432</v>
      </c>
      <c r="X511" s="109" t="s">
        <v>432</v>
      </c>
      <c r="Y511" s="109" t="s">
        <v>432</v>
      </c>
      <c r="Z511" s="109" t="s">
        <v>432</v>
      </c>
      <c r="AA511" s="109" t="s">
        <v>432</v>
      </c>
      <c r="AB511" s="109" t="s">
        <v>432</v>
      </c>
      <c r="AC511" s="109" t="s">
        <v>432</v>
      </c>
      <c r="AD511" s="109" t="s">
        <v>432</v>
      </c>
      <c r="AE511" s="109" t="s">
        <v>432</v>
      </c>
      <c r="AF511" s="109" t="s">
        <v>432</v>
      </c>
      <c r="AG511" s="109" t="s">
        <v>432</v>
      </c>
      <c r="AH511" s="109" t="s">
        <v>432</v>
      </c>
      <c r="AI511" s="109" t="s">
        <v>432</v>
      </c>
      <c r="AJ511" s="109" t="s">
        <v>432</v>
      </c>
      <c r="AK511" s="109" t="s">
        <v>432</v>
      </c>
      <c r="AL511" s="600" t="s">
        <v>432</v>
      </c>
      <c r="AM511" s="137" t="s">
        <v>432</v>
      </c>
      <c r="AN511" s="137" t="s">
        <v>432</v>
      </c>
      <c r="AO511" s="137" t="s">
        <v>432</v>
      </c>
      <c r="AP511" s="137" t="s">
        <v>432</v>
      </c>
      <c r="AQ511" s="137" t="s">
        <v>432</v>
      </c>
      <c r="AR511" s="137" t="s">
        <v>432</v>
      </c>
      <c r="AS511" s="137" t="s">
        <v>432</v>
      </c>
      <c r="AT511" s="137" t="s">
        <v>432</v>
      </c>
      <c r="AU511" s="137" t="s">
        <v>432</v>
      </c>
      <c r="AV511" s="137" t="s">
        <v>432</v>
      </c>
      <c r="AW511" s="137" t="s">
        <v>432</v>
      </c>
      <c r="AX511" s="137" t="s">
        <v>432</v>
      </c>
      <c r="AY511" s="137" t="s">
        <v>432</v>
      </c>
      <c r="AZ511" s="137" t="s">
        <v>432</v>
      </c>
      <c r="BA511" s="137" t="s">
        <v>432</v>
      </c>
      <c r="BB511" s="239" t="str">
        <f t="shared" si="90"/>
        <v>geralacessibilidade</v>
      </c>
      <c r="BC511" s="239" t="str">
        <f t="shared" si="91"/>
        <v>geralacessibilidadesigla/verbete</v>
      </c>
      <c r="BD511" s="239" t="str">
        <f t="shared" si="92"/>
        <v>geralsigla/verbete</v>
      </c>
    </row>
    <row r="512" spans="1:67" s="3" customFormat="1" ht="78.75" customHeight="1" x14ac:dyDescent="0.25">
      <c r="A512" s="262" t="s">
        <v>432</v>
      </c>
      <c r="B512" s="252" t="s">
        <v>742</v>
      </c>
      <c r="C512" s="167" t="s">
        <v>432</v>
      </c>
      <c r="D512" s="325" t="s">
        <v>3845</v>
      </c>
      <c r="E512" s="1496" t="s">
        <v>1767</v>
      </c>
      <c r="F512" s="53" t="s">
        <v>3848</v>
      </c>
      <c r="G512" s="57" t="s">
        <v>3507</v>
      </c>
      <c r="H512" s="167" t="s">
        <v>2408</v>
      </c>
      <c r="I512" s="167" t="s">
        <v>432</v>
      </c>
      <c r="J512" s="109" t="s">
        <v>432</v>
      </c>
      <c r="K512" s="109" t="s">
        <v>432</v>
      </c>
      <c r="L512" s="109" t="s">
        <v>432</v>
      </c>
      <c r="M512" s="109" t="s">
        <v>432</v>
      </c>
      <c r="N512" s="109" t="s">
        <v>432</v>
      </c>
      <c r="O512" s="109" t="s">
        <v>432</v>
      </c>
      <c r="P512" s="109" t="s">
        <v>432</v>
      </c>
      <c r="Q512" s="109" t="s">
        <v>432</v>
      </c>
      <c r="R512" s="109" t="s">
        <v>432</v>
      </c>
      <c r="S512" s="109" t="s">
        <v>2209</v>
      </c>
      <c r="T512" s="109" t="s">
        <v>432</v>
      </c>
      <c r="U512" s="109" t="s">
        <v>432</v>
      </c>
      <c r="V512" s="109" t="s">
        <v>2209</v>
      </c>
      <c r="W512" s="109" t="s">
        <v>432</v>
      </c>
      <c r="X512" s="109" t="s">
        <v>432</v>
      </c>
      <c r="Y512" s="109" t="s">
        <v>432</v>
      </c>
      <c r="Z512" s="109" t="s">
        <v>432</v>
      </c>
      <c r="AA512" s="109" t="s">
        <v>432</v>
      </c>
      <c r="AB512" s="109" t="s">
        <v>432</v>
      </c>
      <c r="AC512" s="109" t="s">
        <v>432</v>
      </c>
      <c r="AD512" s="109" t="s">
        <v>432</v>
      </c>
      <c r="AE512" s="109" t="s">
        <v>432</v>
      </c>
      <c r="AF512" s="109" t="s">
        <v>432</v>
      </c>
      <c r="AG512" s="109" t="s">
        <v>432</v>
      </c>
      <c r="AH512" s="109" t="s">
        <v>432</v>
      </c>
      <c r="AI512" s="109" t="s">
        <v>432</v>
      </c>
      <c r="AJ512" s="109" t="s">
        <v>432</v>
      </c>
      <c r="AK512" s="109" t="s">
        <v>432</v>
      </c>
      <c r="AL512" s="600" t="s">
        <v>432</v>
      </c>
      <c r="AM512" s="137" t="s">
        <v>432</v>
      </c>
      <c r="AN512" s="137" t="s">
        <v>432</v>
      </c>
      <c r="AO512" s="137" t="s">
        <v>432</v>
      </c>
      <c r="AP512" s="137" t="s">
        <v>432</v>
      </c>
      <c r="AQ512" s="137" t="s">
        <v>432</v>
      </c>
      <c r="AR512" s="137" t="s">
        <v>432</v>
      </c>
      <c r="AS512" s="137" t="s">
        <v>432</v>
      </c>
      <c r="AT512" s="137" t="s">
        <v>432</v>
      </c>
      <c r="AU512" s="137" t="s">
        <v>432</v>
      </c>
      <c r="AV512" s="137" t="s">
        <v>432</v>
      </c>
      <c r="AW512" s="137" t="s">
        <v>432</v>
      </c>
      <c r="AX512" s="137" t="s">
        <v>432</v>
      </c>
      <c r="AY512" s="137" t="s">
        <v>432</v>
      </c>
      <c r="AZ512" s="137" t="s">
        <v>432</v>
      </c>
      <c r="BA512" s="137" t="s">
        <v>432</v>
      </c>
      <c r="BB512" s="239" t="str">
        <f t="shared" si="90"/>
        <v>geralx</v>
      </c>
      <c r="BC512" s="239" t="str">
        <f t="shared" si="91"/>
        <v>geralxsigla/verbete</v>
      </c>
      <c r="BD512" s="239" t="str">
        <f t="shared" si="92"/>
        <v>geralsigla/verbete</v>
      </c>
    </row>
    <row r="513" spans="1:56" s="3" customFormat="1" ht="54.75" customHeight="1" x14ac:dyDescent="0.25">
      <c r="A513" s="262" t="s">
        <v>432</v>
      </c>
      <c r="B513" s="252" t="s">
        <v>742</v>
      </c>
      <c r="C513" s="167" t="s">
        <v>432</v>
      </c>
      <c r="D513" s="325" t="s">
        <v>3737</v>
      </c>
      <c r="E513" s="1496" t="s">
        <v>2272</v>
      </c>
      <c r="F513" s="53" t="s">
        <v>3736</v>
      </c>
      <c r="G513" s="57" t="s">
        <v>3507</v>
      </c>
      <c r="H513" s="167" t="s">
        <v>2408</v>
      </c>
      <c r="I513" s="167" t="s">
        <v>432</v>
      </c>
      <c r="J513" s="109" t="s">
        <v>432</v>
      </c>
      <c r="K513" s="109" t="s">
        <v>432</v>
      </c>
      <c r="L513" s="109" t="s">
        <v>432</v>
      </c>
      <c r="M513" s="109" t="s">
        <v>432</v>
      </c>
      <c r="N513" s="109" t="s">
        <v>432</v>
      </c>
      <c r="O513" s="109" t="s">
        <v>432</v>
      </c>
      <c r="P513" s="109" t="s">
        <v>432</v>
      </c>
      <c r="Q513" s="109" t="s">
        <v>432</v>
      </c>
      <c r="R513" s="109" t="s">
        <v>432</v>
      </c>
      <c r="S513" s="109" t="s">
        <v>2209</v>
      </c>
      <c r="T513" s="109" t="s">
        <v>432</v>
      </c>
      <c r="U513" s="109" t="s">
        <v>432</v>
      </c>
      <c r="V513" s="109" t="s">
        <v>2209</v>
      </c>
      <c r="W513" s="109" t="s">
        <v>432</v>
      </c>
      <c r="X513" s="109" t="s">
        <v>432</v>
      </c>
      <c r="Y513" s="109" t="s">
        <v>432</v>
      </c>
      <c r="Z513" s="109" t="s">
        <v>432</v>
      </c>
      <c r="AA513" s="109" t="s">
        <v>432</v>
      </c>
      <c r="AB513" s="109" t="s">
        <v>432</v>
      </c>
      <c r="AC513" s="109" t="s">
        <v>432</v>
      </c>
      <c r="AD513" s="109" t="s">
        <v>432</v>
      </c>
      <c r="AE513" s="109" t="s">
        <v>432</v>
      </c>
      <c r="AF513" s="109" t="s">
        <v>432</v>
      </c>
      <c r="AG513" s="109" t="s">
        <v>432</v>
      </c>
      <c r="AH513" s="109" t="s">
        <v>432</v>
      </c>
      <c r="AI513" s="109" t="s">
        <v>432</v>
      </c>
      <c r="AJ513" s="109" t="s">
        <v>432</v>
      </c>
      <c r="AK513" s="109" t="s">
        <v>432</v>
      </c>
      <c r="AL513" s="600" t="s">
        <v>432</v>
      </c>
      <c r="AM513" s="137" t="s">
        <v>432</v>
      </c>
      <c r="AN513" s="137" t="s">
        <v>432</v>
      </c>
      <c r="AO513" s="137" t="s">
        <v>432</v>
      </c>
      <c r="AP513" s="137" t="s">
        <v>432</v>
      </c>
      <c r="AQ513" s="137" t="s">
        <v>432</v>
      </c>
      <c r="AR513" s="137" t="s">
        <v>432</v>
      </c>
      <c r="AS513" s="137" t="s">
        <v>432</v>
      </c>
      <c r="AT513" s="137" t="s">
        <v>432</v>
      </c>
      <c r="AU513" s="137" t="s">
        <v>432</v>
      </c>
      <c r="AV513" s="137" t="s">
        <v>432</v>
      </c>
      <c r="AW513" s="137" t="s">
        <v>432</v>
      </c>
      <c r="AX513" s="137" t="s">
        <v>432</v>
      </c>
      <c r="AY513" s="137" t="s">
        <v>432</v>
      </c>
      <c r="AZ513" s="137" t="s">
        <v>432</v>
      </c>
      <c r="BA513" s="137" t="s">
        <v>432</v>
      </c>
      <c r="BB513" s="239" t="str">
        <f t="shared" si="90"/>
        <v>geralx</v>
      </c>
      <c r="BC513" s="239" t="str">
        <f t="shared" si="91"/>
        <v>geralxsigla/verbete</v>
      </c>
      <c r="BD513" s="239" t="str">
        <f t="shared" si="92"/>
        <v>geralsigla/verbete</v>
      </c>
    </row>
    <row r="514" spans="1:56" s="3" customFormat="1" ht="78.75" customHeight="1" x14ac:dyDescent="0.25">
      <c r="A514" s="262" t="s">
        <v>432</v>
      </c>
      <c r="B514" s="252" t="s">
        <v>742</v>
      </c>
      <c r="C514" s="167" t="s">
        <v>743</v>
      </c>
      <c r="D514" s="325" t="s">
        <v>4635</v>
      </c>
      <c r="E514" s="1496" t="s">
        <v>432</v>
      </c>
      <c r="F514" s="53" t="s">
        <v>4636</v>
      </c>
      <c r="G514" s="57" t="s">
        <v>3507</v>
      </c>
      <c r="H514" s="167" t="s">
        <v>2408</v>
      </c>
      <c r="I514" s="167" t="s">
        <v>432</v>
      </c>
      <c r="J514" s="109" t="s">
        <v>432</v>
      </c>
      <c r="K514" s="109" t="s">
        <v>432</v>
      </c>
      <c r="L514" s="109" t="s">
        <v>432</v>
      </c>
      <c r="M514" s="109" t="s">
        <v>432</v>
      </c>
      <c r="N514" s="109" t="s">
        <v>432</v>
      </c>
      <c r="O514" s="109" t="s">
        <v>432</v>
      </c>
      <c r="P514" s="109" t="s">
        <v>432</v>
      </c>
      <c r="Q514" s="109" t="s">
        <v>432</v>
      </c>
      <c r="R514" s="109" t="s">
        <v>432</v>
      </c>
      <c r="S514" s="109" t="s">
        <v>2209</v>
      </c>
      <c r="T514" s="109" t="s">
        <v>432</v>
      </c>
      <c r="U514" s="109" t="s">
        <v>432</v>
      </c>
      <c r="V514" s="109" t="s">
        <v>2209</v>
      </c>
      <c r="W514" s="109" t="s">
        <v>432</v>
      </c>
      <c r="X514" s="109" t="s">
        <v>432</v>
      </c>
      <c r="Y514" s="109" t="s">
        <v>432</v>
      </c>
      <c r="Z514" s="109" t="s">
        <v>432</v>
      </c>
      <c r="AA514" s="109" t="s">
        <v>432</v>
      </c>
      <c r="AB514" s="109" t="s">
        <v>432</v>
      </c>
      <c r="AC514" s="109" t="s">
        <v>432</v>
      </c>
      <c r="AD514" s="109" t="s">
        <v>432</v>
      </c>
      <c r="AE514" s="109" t="s">
        <v>432</v>
      </c>
      <c r="AF514" s="109" t="s">
        <v>432</v>
      </c>
      <c r="AG514" s="109" t="s">
        <v>432</v>
      </c>
      <c r="AH514" s="109" t="s">
        <v>432</v>
      </c>
      <c r="AI514" s="109" t="s">
        <v>432</v>
      </c>
      <c r="AJ514" s="109" t="s">
        <v>432</v>
      </c>
      <c r="AK514" s="109" t="s">
        <v>432</v>
      </c>
      <c r="AL514" s="600" t="s">
        <v>432</v>
      </c>
      <c r="AM514" s="137" t="s">
        <v>432</v>
      </c>
      <c r="AN514" s="137" t="s">
        <v>432</v>
      </c>
      <c r="AO514" s="137" t="s">
        <v>432</v>
      </c>
      <c r="AP514" s="137" t="s">
        <v>432</v>
      </c>
      <c r="AQ514" s="137" t="s">
        <v>432</v>
      </c>
      <c r="AR514" s="137" t="s">
        <v>432</v>
      </c>
      <c r="AS514" s="137" t="s">
        <v>432</v>
      </c>
      <c r="AT514" s="137" t="s">
        <v>432</v>
      </c>
      <c r="AU514" s="137" t="s">
        <v>432</v>
      </c>
      <c r="AV514" s="137" t="s">
        <v>432</v>
      </c>
      <c r="AW514" s="137" t="s">
        <v>432</v>
      </c>
      <c r="AX514" s="137" t="s">
        <v>432</v>
      </c>
      <c r="AY514" s="137" t="s">
        <v>432</v>
      </c>
      <c r="AZ514" s="137" t="s">
        <v>432</v>
      </c>
      <c r="BA514" s="137" t="s">
        <v>432</v>
      </c>
      <c r="BB514" s="239" t="str">
        <f t="shared" si="90"/>
        <v>geralacessibilidade</v>
      </c>
      <c r="BC514" s="239" t="str">
        <f t="shared" si="91"/>
        <v>geralacessibilidadesigla/verbete</v>
      </c>
      <c r="BD514" s="239" t="str">
        <f t="shared" si="92"/>
        <v>geralsigla/verbete</v>
      </c>
    </row>
    <row r="515" spans="1:56" s="3" customFormat="1" ht="54.75" customHeight="1" x14ac:dyDescent="0.25">
      <c r="A515" s="262" t="s">
        <v>432</v>
      </c>
      <c r="B515" s="252" t="s">
        <v>742</v>
      </c>
      <c r="C515" s="167" t="s">
        <v>743</v>
      </c>
      <c r="D515" s="325" t="s">
        <v>4517</v>
      </c>
      <c r="E515" s="1496" t="s">
        <v>4518</v>
      </c>
      <c r="F515" s="53" t="s">
        <v>4519</v>
      </c>
      <c r="G515" s="57" t="s">
        <v>3507</v>
      </c>
      <c r="H515" s="167" t="s">
        <v>2408</v>
      </c>
      <c r="I515" s="167" t="s">
        <v>432</v>
      </c>
      <c r="J515" s="109" t="s">
        <v>432</v>
      </c>
      <c r="K515" s="109" t="s">
        <v>432</v>
      </c>
      <c r="L515" s="109" t="s">
        <v>432</v>
      </c>
      <c r="M515" s="109" t="s">
        <v>432</v>
      </c>
      <c r="N515" s="109" t="s">
        <v>432</v>
      </c>
      <c r="O515" s="109" t="s">
        <v>432</v>
      </c>
      <c r="P515" s="109" t="s">
        <v>432</v>
      </c>
      <c r="Q515" s="109" t="s">
        <v>432</v>
      </c>
      <c r="R515" s="109" t="s">
        <v>432</v>
      </c>
      <c r="S515" s="109" t="s">
        <v>2209</v>
      </c>
      <c r="T515" s="109" t="s">
        <v>432</v>
      </c>
      <c r="U515" s="109" t="s">
        <v>432</v>
      </c>
      <c r="V515" s="109" t="s">
        <v>2209</v>
      </c>
      <c r="W515" s="109" t="s">
        <v>432</v>
      </c>
      <c r="X515" s="109" t="s">
        <v>432</v>
      </c>
      <c r="Y515" s="109" t="s">
        <v>432</v>
      </c>
      <c r="Z515" s="109" t="s">
        <v>432</v>
      </c>
      <c r="AA515" s="109" t="s">
        <v>432</v>
      </c>
      <c r="AB515" s="109" t="s">
        <v>432</v>
      </c>
      <c r="AC515" s="109" t="s">
        <v>432</v>
      </c>
      <c r="AD515" s="109" t="s">
        <v>432</v>
      </c>
      <c r="AE515" s="109" t="s">
        <v>432</v>
      </c>
      <c r="AF515" s="109" t="s">
        <v>432</v>
      </c>
      <c r="AG515" s="109" t="s">
        <v>432</v>
      </c>
      <c r="AH515" s="109" t="s">
        <v>432</v>
      </c>
      <c r="AI515" s="109" t="s">
        <v>432</v>
      </c>
      <c r="AJ515" s="109" t="s">
        <v>432</v>
      </c>
      <c r="AK515" s="109" t="s">
        <v>432</v>
      </c>
      <c r="AL515" s="600" t="s">
        <v>432</v>
      </c>
      <c r="AM515" s="137" t="s">
        <v>432</v>
      </c>
      <c r="AN515" s="137" t="s">
        <v>432</v>
      </c>
      <c r="AO515" s="137" t="s">
        <v>432</v>
      </c>
      <c r="AP515" s="137" t="s">
        <v>432</v>
      </c>
      <c r="AQ515" s="137" t="s">
        <v>432</v>
      </c>
      <c r="AR515" s="137" t="s">
        <v>432</v>
      </c>
      <c r="AS515" s="137" t="s">
        <v>432</v>
      </c>
      <c r="AT515" s="137" t="s">
        <v>432</v>
      </c>
      <c r="AU515" s="137" t="s">
        <v>432</v>
      </c>
      <c r="AV515" s="137" t="s">
        <v>432</v>
      </c>
      <c r="AW515" s="137" t="s">
        <v>432</v>
      </c>
      <c r="AX515" s="137" t="s">
        <v>432</v>
      </c>
      <c r="AY515" s="137" t="s">
        <v>432</v>
      </c>
      <c r="AZ515" s="137" t="s">
        <v>432</v>
      </c>
      <c r="BA515" s="137" t="s">
        <v>432</v>
      </c>
      <c r="BB515" s="239" t="str">
        <f t="shared" si="90"/>
        <v>geralacessibilidade</v>
      </c>
      <c r="BC515" s="239" t="str">
        <f t="shared" si="91"/>
        <v>geralacessibilidadesigla/verbete</v>
      </c>
      <c r="BD515" s="239" t="str">
        <f t="shared" si="92"/>
        <v>geralsigla/verbete</v>
      </c>
    </row>
    <row r="516" spans="1:56" s="1" customFormat="1" ht="25.5" x14ac:dyDescent="0.25">
      <c r="A516" s="262" t="s">
        <v>432</v>
      </c>
      <c r="B516" s="252" t="s">
        <v>742</v>
      </c>
      <c r="C516" s="167" t="s">
        <v>432</v>
      </c>
      <c r="D516" s="324" t="s">
        <v>5468</v>
      </c>
      <c r="E516" s="1508" t="s">
        <v>1306</v>
      </c>
      <c r="F516" s="1205" t="s">
        <v>5470</v>
      </c>
      <c r="G516" s="230" t="s">
        <v>3879</v>
      </c>
      <c r="H516" s="167" t="s">
        <v>432</v>
      </c>
      <c r="I516" s="167" t="s">
        <v>432</v>
      </c>
      <c r="J516" s="107" t="s">
        <v>432</v>
      </c>
      <c r="K516" s="107" t="s">
        <v>432</v>
      </c>
      <c r="L516" s="107" t="s">
        <v>432</v>
      </c>
      <c r="M516" s="107" t="s">
        <v>432</v>
      </c>
      <c r="N516" s="107" t="s">
        <v>432</v>
      </c>
      <c r="O516" s="107" t="s">
        <v>432</v>
      </c>
      <c r="P516" s="107" t="s">
        <v>432</v>
      </c>
      <c r="Q516" s="107" t="s">
        <v>432</v>
      </c>
      <c r="R516" s="107" t="s">
        <v>432</v>
      </c>
      <c r="S516" s="109" t="s">
        <v>2209</v>
      </c>
      <c r="T516" s="107" t="s">
        <v>432</v>
      </c>
      <c r="U516" s="107" t="s">
        <v>432</v>
      </c>
      <c r="V516" s="109" t="s">
        <v>2209</v>
      </c>
      <c r="W516" s="107" t="s">
        <v>432</v>
      </c>
      <c r="X516" s="107" t="s">
        <v>432</v>
      </c>
      <c r="Y516" s="107" t="s">
        <v>432</v>
      </c>
      <c r="Z516" s="107" t="s">
        <v>432</v>
      </c>
      <c r="AA516" s="107" t="s">
        <v>432</v>
      </c>
      <c r="AB516" s="107" t="s">
        <v>432</v>
      </c>
      <c r="AC516" s="107" t="s">
        <v>432</v>
      </c>
      <c r="AD516" s="107" t="s">
        <v>432</v>
      </c>
      <c r="AE516" s="107" t="s">
        <v>432</v>
      </c>
      <c r="AF516" s="107" t="s">
        <v>432</v>
      </c>
      <c r="AG516" s="107" t="s">
        <v>432</v>
      </c>
      <c r="AH516" s="107" t="s">
        <v>432</v>
      </c>
      <c r="AI516" s="107" t="s">
        <v>432</v>
      </c>
      <c r="AJ516" s="107" t="s">
        <v>432</v>
      </c>
      <c r="AK516" s="107" t="s">
        <v>432</v>
      </c>
      <c r="AL516" s="600" t="s">
        <v>432</v>
      </c>
      <c r="AM516" s="137" t="s">
        <v>432</v>
      </c>
      <c r="AN516" s="137" t="s">
        <v>432</v>
      </c>
      <c r="AO516" s="137" t="s">
        <v>432</v>
      </c>
      <c r="AP516" s="137" t="s">
        <v>432</v>
      </c>
      <c r="AQ516" s="137" t="s">
        <v>432</v>
      </c>
      <c r="AR516" s="137" t="s">
        <v>432</v>
      </c>
      <c r="AS516" s="137" t="s">
        <v>432</v>
      </c>
      <c r="AT516" s="137" t="s">
        <v>432</v>
      </c>
      <c r="AU516" s="137" t="s">
        <v>432</v>
      </c>
      <c r="AV516" s="137" t="s">
        <v>432</v>
      </c>
      <c r="AW516" s="137" t="s">
        <v>432</v>
      </c>
      <c r="AX516" s="137" t="s">
        <v>432</v>
      </c>
      <c r="AY516" s="137" t="s">
        <v>432</v>
      </c>
      <c r="AZ516" s="137" t="s">
        <v>432</v>
      </c>
      <c r="BA516" s="137" t="s">
        <v>432</v>
      </c>
      <c r="BB516" s="239" t="str">
        <f t="shared" si="90"/>
        <v>geralx</v>
      </c>
      <c r="BC516" s="239" t="str">
        <f t="shared" si="91"/>
        <v>geralxx</v>
      </c>
      <c r="BD516" s="239" t="str">
        <f t="shared" si="92"/>
        <v>geralx</v>
      </c>
    </row>
    <row r="517" spans="1:56" s="3" customFormat="1" ht="123" customHeight="1" x14ac:dyDescent="0.25">
      <c r="A517" s="262" t="str">
        <f>'Q100b-totais'!B43</f>
        <v>5.1</v>
      </c>
      <c r="B517" s="252" t="str">
        <f>'Q100b-totais'!C43</f>
        <v>Gases de efeito estufa</v>
      </c>
      <c r="C517" s="167" t="s">
        <v>432</v>
      </c>
      <c r="D517" s="325" t="s">
        <v>935</v>
      </c>
      <c r="E517" s="1496" t="s">
        <v>1306</v>
      </c>
      <c r="F517" s="53" t="s">
        <v>3716</v>
      </c>
      <c r="G517" s="57" t="s">
        <v>5436</v>
      </c>
      <c r="H517" s="167" t="s">
        <v>2408</v>
      </c>
      <c r="I517" s="167" t="s">
        <v>432</v>
      </c>
      <c r="J517" s="109" t="s">
        <v>432</v>
      </c>
      <c r="K517" s="109" t="s">
        <v>432</v>
      </c>
      <c r="L517" s="109" t="s">
        <v>432</v>
      </c>
      <c r="M517" s="109" t="s">
        <v>432</v>
      </c>
      <c r="N517" s="109" t="s">
        <v>432</v>
      </c>
      <c r="O517" s="109" t="s">
        <v>432</v>
      </c>
      <c r="P517" s="109" t="s">
        <v>432</v>
      </c>
      <c r="Q517" s="109" t="s">
        <v>432</v>
      </c>
      <c r="R517" s="109" t="s">
        <v>432</v>
      </c>
      <c r="S517" s="109" t="s">
        <v>2209</v>
      </c>
      <c r="T517" s="109" t="s">
        <v>432</v>
      </c>
      <c r="U517" s="109" t="s">
        <v>432</v>
      </c>
      <c r="V517" s="109" t="s">
        <v>2209</v>
      </c>
      <c r="W517" s="109" t="s">
        <v>432</v>
      </c>
      <c r="X517" s="109" t="s">
        <v>432</v>
      </c>
      <c r="Y517" s="109" t="s">
        <v>432</v>
      </c>
      <c r="Z517" s="109" t="s">
        <v>432</v>
      </c>
      <c r="AA517" s="109" t="s">
        <v>432</v>
      </c>
      <c r="AB517" s="109" t="s">
        <v>432</v>
      </c>
      <c r="AC517" s="109" t="s">
        <v>432</v>
      </c>
      <c r="AD517" s="109" t="s">
        <v>432</v>
      </c>
      <c r="AE517" s="109" t="s">
        <v>432</v>
      </c>
      <c r="AF517" s="109" t="s">
        <v>432</v>
      </c>
      <c r="AG517" s="109" t="s">
        <v>432</v>
      </c>
      <c r="AH517" s="109" t="s">
        <v>432</v>
      </c>
      <c r="AI517" s="109" t="s">
        <v>432</v>
      </c>
      <c r="AJ517" s="109" t="s">
        <v>432</v>
      </c>
      <c r="AK517" s="109" t="s">
        <v>432</v>
      </c>
      <c r="AL517" s="600" t="s">
        <v>432</v>
      </c>
      <c r="AM517" s="137" t="s">
        <v>432</v>
      </c>
      <c r="AN517" s="137" t="s">
        <v>432</v>
      </c>
      <c r="AO517" s="137" t="s">
        <v>432</v>
      </c>
      <c r="AP517" s="137" t="s">
        <v>432</v>
      </c>
      <c r="AQ517" s="137" t="s">
        <v>432</v>
      </c>
      <c r="AR517" s="137" t="s">
        <v>432</v>
      </c>
      <c r="AS517" s="137" t="s">
        <v>432</v>
      </c>
      <c r="AT517" s="137" t="s">
        <v>432</v>
      </c>
      <c r="AU517" s="137" t="s">
        <v>432</v>
      </c>
      <c r="AV517" s="137" t="s">
        <v>432</v>
      </c>
      <c r="AW517" s="137" t="s">
        <v>432</v>
      </c>
      <c r="AX517" s="137" t="s">
        <v>432</v>
      </c>
      <c r="AY517" s="137" t="s">
        <v>432</v>
      </c>
      <c r="AZ517" s="137" t="s">
        <v>432</v>
      </c>
      <c r="BA517" s="137" t="s">
        <v>432</v>
      </c>
      <c r="BB517" s="239" t="str">
        <f t="shared" si="90"/>
        <v>Gases de efeito estufax</v>
      </c>
      <c r="BC517" s="239" t="str">
        <f t="shared" si="91"/>
        <v>Gases de efeito estufaxsigla/verbete</v>
      </c>
      <c r="BD517" s="239" t="str">
        <f t="shared" si="92"/>
        <v>Gases de efeito estufasigla/verbete</v>
      </c>
    </row>
    <row r="518" spans="1:56" s="3" customFormat="1" ht="62.25" customHeight="1" x14ac:dyDescent="0.25">
      <c r="A518" s="262" t="s">
        <v>432</v>
      </c>
      <c r="B518" s="252" t="s">
        <v>742</v>
      </c>
      <c r="C518" s="167" t="s">
        <v>743</v>
      </c>
      <c r="D518" s="325" t="s">
        <v>4103</v>
      </c>
      <c r="E518" s="1496" t="s">
        <v>1306</v>
      </c>
      <c r="F518" s="1172" t="s">
        <v>4106</v>
      </c>
      <c r="G518" s="230" t="s">
        <v>3507</v>
      </c>
      <c r="H518" s="167" t="s">
        <v>2408</v>
      </c>
      <c r="I518" s="167" t="s">
        <v>432</v>
      </c>
      <c r="J518" s="107" t="s">
        <v>432</v>
      </c>
      <c r="K518" s="107" t="s">
        <v>432</v>
      </c>
      <c r="L518" s="107" t="s">
        <v>432</v>
      </c>
      <c r="M518" s="107" t="s">
        <v>432</v>
      </c>
      <c r="N518" s="107" t="s">
        <v>432</v>
      </c>
      <c r="O518" s="107" t="s">
        <v>432</v>
      </c>
      <c r="P518" s="107" t="s">
        <v>432</v>
      </c>
      <c r="Q518" s="107" t="s">
        <v>432</v>
      </c>
      <c r="R518" s="107" t="s">
        <v>432</v>
      </c>
      <c r="S518" s="109" t="s">
        <v>2209</v>
      </c>
      <c r="T518" s="107" t="s">
        <v>432</v>
      </c>
      <c r="U518" s="107" t="s">
        <v>432</v>
      </c>
      <c r="V518" s="109" t="s">
        <v>2209</v>
      </c>
      <c r="W518" s="107" t="s">
        <v>432</v>
      </c>
      <c r="X518" s="107" t="s">
        <v>432</v>
      </c>
      <c r="Y518" s="107" t="s">
        <v>432</v>
      </c>
      <c r="Z518" s="107" t="s">
        <v>432</v>
      </c>
      <c r="AA518" s="107" t="s">
        <v>432</v>
      </c>
      <c r="AB518" s="107" t="s">
        <v>432</v>
      </c>
      <c r="AC518" s="107" t="s">
        <v>432</v>
      </c>
      <c r="AD518" s="107" t="s">
        <v>432</v>
      </c>
      <c r="AE518" s="107" t="s">
        <v>432</v>
      </c>
      <c r="AF518" s="107" t="s">
        <v>432</v>
      </c>
      <c r="AG518" s="107" t="s">
        <v>432</v>
      </c>
      <c r="AH518" s="107" t="s">
        <v>432</v>
      </c>
      <c r="AI518" s="107" t="s">
        <v>432</v>
      </c>
      <c r="AJ518" s="107" t="s">
        <v>432</v>
      </c>
      <c r="AK518" s="107" t="s">
        <v>432</v>
      </c>
      <c r="AL518" s="600" t="s">
        <v>432</v>
      </c>
      <c r="AM518" s="137" t="s">
        <v>432</v>
      </c>
      <c r="AN518" s="137" t="s">
        <v>432</v>
      </c>
      <c r="AO518" s="137" t="s">
        <v>432</v>
      </c>
      <c r="AP518" s="137" t="s">
        <v>432</v>
      </c>
      <c r="AQ518" s="137" t="s">
        <v>432</v>
      </c>
      <c r="AR518" s="137" t="s">
        <v>432</v>
      </c>
      <c r="AS518" s="137" t="s">
        <v>432</v>
      </c>
      <c r="AT518" s="137" t="s">
        <v>432</v>
      </c>
      <c r="AU518" s="137" t="s">
        <v>432</v>
      </c>
      <c r="AV518" s="137" t="s">
        <v>432</v>
      </c>
      <c r="AW518" s="137" t="s">
        <v>432</v>
      </c>
      <c r="AX518" s="137" t="s">
        <v>432</v>
      </c>
      <c r="AY518" s="137" t="s">
        <v>432</v>
      </c>
      <c r="AZ518" s="137" t="s">
        <v>432</v>
      </c>
      <c r="BA518" s="137" t="s">
        <v>432</v>
      </c>
      <c r="BB518" s="239" t="str">
        <f t="shared" si="90"/>
        <v>geralacessibilidade</v>
      </c>
      <c r="BC518" s="239" t="str">
        <f t="shared" si="91"/>
        <v>geralacessibilidadesigla/verbete</v>
      </c>
      <c r="BD518" s="239" t="str">
        <f t="shared" si="92"/>
        <v>geralsigla/verbete</v>
      </c>
    </row>
    <row r="519" spans="1:56" s="3" customFormat="1" ht="62.25" customHeight="1" x14ac:dyDescent="0.25">
      <c r="A519" s="262" t="s">
        <v>432</v>
      </c>
      <c r="B519" s="252" t="s">
        <v>742</v>
      </c>
      <c r="C519" s="167" t="s">
        <v>743</v>
      </c>
      <c r="D519" s="325" t="s">
        <v>4105</v>
      </c>
      <c r="E519" s="1496" t="s">
        <v>1306</v>
      </c>
      <c r="F519" s="1172" t="s">
        <v>4107</v>
      </c>
      <c r="G519" s="230" t="s">
        <v>3507</v>
      </c>
      <c r="H519" s="167" t="s">
        <v>2408</v>
      </c>
      <c r="I519" s="167" t="s">
        <v>432</v>
      </c>
      <c r="J519" s="107" t="s">
        <v>432</v>
      </c>
      <c r="K519" s="107" t="s">
        <v>432</v>
      </c>
      <c r="L519" s="107" t="s">
        <v>432</v>
      </c>
      <c r="M519" s="107" t="s">
        <v>432</v>
      </c>
      <c r="N519" s="107" t="s">
        <v>432</v>
      </c>
      <c r="O519" s="107" t="s">
        <v>432</v>
      </c>
      <c r="P519" s="107" t="s">
        <v>432</v>
      </c>
      <c r="Q519" s="107" t="s">
        <v>432</v>
      </c>
      <c r="R519" s="107" t="s">
        <v>432</v>
      </c>
      <c r="S519" s="109" t="s">
        <v>2209</v>
      </c>
      <c r="T519" s="107" t="s">
        <v>432</v>
      </c>
      <c r="U519" s="107" t="s">
        <v>432</v>
      </c>
      <c r="V519" s="109" t="s">
        <v>2209</v>
      </c>
      <c r="W519" s="107" t="s">
        <v>432</v>
      </c>
      <c r="X519" s="107" t="s">
        <v>432</v>
      </c>
      <c r="Y519" s="107" t="s">
        <v>432</v>
      </c>
      <c r="Z519" s="107" t="s">
        <v>432</v>
      </c>
      <c r="AA519" s="107" t="s">
        <v>432</v>
      </c>
      <c r="AB519" s="107" t="s">
        <v>432</v>
      </c>
      <c r="AC519" s="107" t="s">
        <v>432</v>
      </c>
      <c r="AD519" s="107" t="s">
        <v>432</v>
      </c>
      <c r="AE519" s="107" t="s">
        <v>432</v>
      </c>
      <c r="AF519" s="107" t="s">
        <v>432</v>
      </c>
      <c r="AG519" s="107" t="s">
        <v>432</v>
      </c>
      <c r="AH519" s="107" t="s">
        <v>432</v>
      </c>
      <c r="AI519" s="107" t="s">
        <v>432</v>
      </c>
      <c r="AJ519" s="107" t="s">
        <v>432</v>
      </c>
      <c r="AK519" s="107" t="s">
        <v>432</v>
      </c>
      <c r="AL519" s="600" t="s">
        <v>432</v>
      </c>
      <c r="AM519" s="137" t="s">
        <v>432</v>
      </c>
      <c r="AN519" s="137" t="s">
        <v>432</v>
      </c>
      <c r="AO519" s="137" t="s">
        <v>432</v>
      </c>
      <c r="AP519" s="137" t="s">
        <v>432</v>
      </c>
      <c r="AQ519" s="137" t="s">
        <v>432</v>
      </c>
      <c r="AR519" s="137" t="s">
        <v>432</v>
      </c>
      <c r="AS519" s="137" t="s">
        <v>432</v>
      </c>
      <c r="AT519" s="137" t="s">
        <v>432</v>
      </c>
      <c r="AU519" s="137" t="s">
        <v>432</v>
      </c>
      <c r="AV519" s="137" t="s">
        <v>432</v>
      </c>
      <c r="AW519" s="137" t="s">
        <v>432</v>
      </c>
      <c r="AX519" s="137" t="s">
        <v>432</v>
      </c>
      <c r="AY519" s="137" t="s">
        <v>432</v>
      </c>
      <c r="AZ519" s="137" t="s">
        <v>432</v>
      </c>
      <c r="BA519" s="137" t="s">
        <v>432</v>
      </c>
      <c r="BB519" s="239" t="str">
        <f t="shared" si="90"/>
        <v>geralacessibilidade</v>
      </c>
      <c r="BC519" s="239" t="str">
        <f t="shared" si="91"/>
        <v>geralacessibilidadesigla/verbete</v>
      </c>
      <c r="BD519" s="239" t="str">
        <f t="shared" si="92"/>
        <v>geralsigla/verbete</v>
      </c>
    </row>
    <row r="520" spans="1:56" s="3" customFormat="1" ht="86.25" customHeight="1" x14ac:dyDescent="0.25">
      <c r="A520" s="262" t="s">
        <v>432</v>
      </c>
      <c r="B520" s="252" t="s">
        <v>742</v>
      </c>
      <c r="C520" s="167" t="s">
        <v>743</v>
      </c>
      <c r="D520" s="325" t="s">
        <v>4654</v>
      </c>
      <c r="E520" s="1496" t="s">
        <v>1767</v>
      </c>
      <c r="F520" s="1172" t="s">
        <v>4655</v>
      </c>
      <c r="G520" s="230" t="s">
        <v>3507</v>
      </c>
      <c r="H520" s="167" t="s">
        <v>2408</v>
      </c>
      <c r="I520" s="167" t="s">
        <v>432</v>
      </c>
      <c r="J520" s="107" t="s">
        <v>432</v>
      </c>
      <c r="K520" s="107" t="s">
        <v>432</v>
      </c>
      <c r="L520" s="107" t="s">
        <v>432</v>
      </c>
      <c r="M520" s="107" t="s">
        <v>432</v>
      </c>
      <c r="N520" s="107" t="s">
        <v>432</v>
      </c>
      <c r="O520" s="107" t="s">
        <v>432</v>
      </c>
      <c r="P520" s="107" t="s">
        <v>432</v>
      </c>
      <c r="Q520" s="107" t="s">
        <v>432</v>
      </c>
      <c r="R520" s="107" t="s">
        <v>432</v>
      </c>
      <c r="S520" s="109" t="s">
        <v>2209</v>
      </c>
      <c r="T520" s="107" t="s">
        <v>432</v>
      </c>
      <c r="U520" s="107" t="s">
        <v>432</v>
      </c>
      <c r="V520" s="109" t="s">
        <v>2209</v>
      </c>
      <c r="W520" s="107" t="s">
        <v>432</v>
      </c>
      <c r="X520" s="107" t="s">
        <v>432</v>
      </c>
      <c r="Y520" s="107" t="s">
        <v>432</v>
      </c>
      <c r="Z520" s="107" t="s">
        <v>432</v>
      </c>
      <c r="AA520" s="107" t="s">
        <v>432</v>
      </c>
      <c r="AB520" s="107" t="s">
        <v>432</v>
      </c>
      <c r="AC520" s="107" t="s">
        <v>432</v>
      </c>
      <c r="AD520" s="107" t="s">
        <v>432</v>
      </c>
      <c r="AE520" s="107" t="s">
        <v>432</v>
      </c>
      <c r="AF520" s="107" t="s">
        <v>432</v>
      </c>
      <c r="AG520" s="107" t="s">
        <v>432</v>
      </c>
      <c r="AH520" s="107" t="s">
        <v>432</v>
      </c>
      <c r="AI520" s="107" t="s">
        <v>432</v>
      </c>
      <c r="AJ520" s="107" t="s">
        <v>432</v>
      </c>
      <c r="AK520" s="107" t="s">
        <v>432</v>
      </c>
      <c r="AL520" s="600" t="s">
        <v>432</v>
      </c>
      <c r="AM520" s="137" t="s">
        <v>432</v>
      </c>
      <c r="AN520" s="137" t="s">
        <v>432</v>
      </c>
      <c r="AO520" s="137" t="s">
        <v>432</v>
      </c>
      <c r="AP520" s="137" t="s">
        <v>432</v>
      </c>
      <c r="AQ520" s="137" t="s">
        <v>432</v>
      </c>
      <c r="AR520" s="137" t="s">
        <v>432</v>
      </c>
      <c r="AS520" s="137" t="s">
        <v>432</v>
      </c>
      <c r="AT520" s="137" t="s">
        <v>432</v>
      </c>
      <c r="AU520" s="137" t="s">
        <v>432</v>
      </c>
      <c r="AV520" s="137" t="s">
        <v>432</v>
      </c>
      <c r="AW520" s="137" t="s">
        <v>432</v>
      </c>
      <c r="AX520" s="137" t="s">
        <v>432</v>
      </c>
      <c r="AY520" s="137" t="s">
        <v>432</v>
      </c>
      <c r="AZ520" s="137" t="s">
        <v>432</v>
      </c>
      <c r="BA520" s="137" t="s">
        <v>432</v>
      </c>
      <c r="BB520" s="239" t="str">
        <f t="shared" si="90"/>
        <v>geralacessibilidade</v>
      </c>
      <c r="BC520" s="239" t="str">
        <f t="shared" si="91"/>
        <v>geralacessibilidadesigla/verbete</v>
      </c>
      <c r="BD520" s="239" t="str">
        <f t="shared" si="92"/>
        <v>geralsigla/verbete</v>
      </c>
    </row>
    <row r="521" spans="1:56" s="3" customFormat="1" ht="80.25" customHeight="1" x14ac:dyDescent="0.25">
      <c r="A521" s="262" t="s">
        <v>432</v>
      </c>
      <c r="B521" s="252" t="s">
        <v>742</v>
      </c>
      <c r="C521" s="167" t="s">
        <v>743</v>
      </c>
      <c r="D521" s="325" t="s">
        <v>4675</v>
      </c>
      <c r="E521" s="1496" t="s">
        <v>1767</v>
      </c>
      <c r="F521" s="1172" t="s">
        <v>4676</v>
      </c>
      <c r="G521" s="230" t="s">
        <v>3507</v>
      </c>
      <c r="H521" s="167" t="s">
        <v>2408</v>
      </c>
      <c r="I521" s="167" t="s">
        <v>432</v>
      </c>
      <c r="J521" s="107" t="s">
        <v>432</v>
      </c>
      <c r="K521" s="107" t="s">
        <v>432</v>
      </c>
      <c r="L521" s="107" t="s">
        <v>432</v>
      </c>
      <c r="M521" s="107" t="s">
        <v>432</v>
      </c>
      <c r="N521" s="107" t="s">
        <v>432</v>
      </c>
      <c r="O521" s="107" t="s">
        <v>432</v>
      </c>
      <c r="P521" s="107" t="s">
        <v>432</v>
      </c>
      <c r="Q521" s="107" t="s">
        <v>432</v>
      </c>
      <c r="R521" s="107" t="s">
        <v>432</v>
      </c>
      <c r="S521" s="109" t="s">
        <v>2209</v>
      </c>
      <c r="T521" s="107" t="s">
        <v>432</v>
      </c>
      <c r="U521" s="107" t="s">
        <v>432</v>
      </c>
      <c r="V521" s="109" t="s">
        <v>2209</v>
      </c>
      <c r="W521" s="107" t="s">
        <v>432</v>
      </c>
      <c r="X521" s="107" t="s">
        <v>432</v>
      </c>
      <c r="Y521" s="107" t="s">
        <v>432</v>
      </c>
      <c r="Z521" s="107" t="s">
        <v>432</v>
      </c>
      <c r="AA521" s="107" t="s">
        <v>432</v>
      </c>
      <c r="AB521" s="107" t="s">
        <v>432</v>
      </c>
      <c r="AC521" s="107" t="s">
        <v>432</v>
      </c>
      <c r="AD521" s="107" t="s">
        <v>432</v>
      </c>
      <c r="AE521" s="107" t="s">
        <v>432</v>
      </c>
      <c r="AF521" s="107" t="s">
        <v>432</v>
      </c>
      <c r="AG521" s="107" t="s">
        <v>432</v>
      </c>
      <c r="AH521" s="107" t="s">
        <v>432</v>
      </c>
      <c r="AI521" s="107" t="s">
        <v>432</v>
      </c>
      <c r="AJ521" s="107" t="s">
        <v>432</v>
      </c>
      <c r="AK521" s="107" t="s">
        <v>432</v>
      </c>
      <c r="AL521" s="600" t="s">
        <v>432</v>
      </c>
      <c r="AM521" s="137" t="s">
        <v>432</v>
      </c>
      <c r="AN521" s="137" t="s">
        <v>432</v>
      </c>
      <c r="AO521" s="137" t="s">
        <v>432</v>
      </c>
      <c r="AP521" s="137" t="s">
        <v>432</v>
      </c>
      <c r="AQ521" s="137" t="s">
        <v>432</v>
      </c>
      <c r="AR521" s="137" t="s">
        <v>432</v>
      </c>
      <c r="AS521" s="137" t="s">
        <v>432</v>
      </c>
      <c r="AT521" s="137" t="s">
        <v>432</v>
      </c>
      <c r="AU521" s="137" t="s">
        <v>432</v>
      </c>
      <c r="AV521" s="137" t="s">
        <v>432</v>
      </c>
      <c r="AW521" s="137" t="s">
        <v>432</v>
      </c>
      <c r="AX521" s="137" t="s">
        <v>432</v>
      </c>
      <c r="AY521" s="137" t="s">
        <v>432</v>
      </c>
      <c r="AZ521" s="137" t="s">
        <v>432</v>
      </c>
      <c r="BA521" s="137" t="s">
        <v>432</v>
      </c>
      <c r="BB521" s="239" t="str">
        <f t="shared" si="90"/>
        <v>geralacessibilidade</v>
      </c>
      <c r="BC521" s="239" t="str">
        <f t="shared" si="91"/>
        <v>geralacessibilidadesigla/verbete</v>
      </c>
      <c r="BD521" s="239" t="str">
        <f t="shared" si="92"/>
        <v>geralsigla/verbete</v>
      </c>
    </row>
    <row r="522" spans="1:56" s="3" customFormat="1" ht="47.25" x14ac:dyDescent="0.25">
      <c r="A522" s="262" t="str">
        <f>'Q100b-totais'!B54</f>
        <v>8.2</v>
      </c>
      <c r="B522" s="252" t="str">
        <f>'Q100b-totais'!C54</f>
        <v>BRT</v>
      </c>
      <c r="C522" s="167" t="s">
        <v>743</v>
      </c>
      <c r="D522" s="325" t="s">
        <v>5877</v>
      </c>
      <c r="E522" s="1496" t="s">
        <v>1306</v>
      </c>
      <c r="F522" s="1172" t="s">
        <v>5878</v>
      </c>
      <c r="G522" s="230" t="s">
        <v>3507</v>
      </c>
      <c r="H522" s="167" t="s">
        <v>2408</v>
      </c>
      <c r="I522" s="167" t="s">
        <v>432</v>
      </c>
      <c r="J522" s="107" t="s">
        <v>432</v>
      </c>
      <c r="K522" s="107" t="s">
        <v>432</v>
      </c>
      <c r="L522" s="107" t="s">
        <v>432</v>
      </c>
      <c r="M522" s="107" t="s">
        <v>432</v>
      </c>
      <c r="N522" s="107" t="s">
        <v>432</v>
      </c>
      <c r="O522" s="107" t="s">
        <v>432</v>
      </c>
      <c r="P522" s="107" t="s">
        <v>432</v>
      </c>
      <c r="Q522" s="107" t="s">
        <v>432</v>
      </c>
      <c r="R522" s="107" t="s">
        <v>432</v>
      </c>
      <c r="S522" s="109" t="s">
        <v>2209</v>
      </c>
      <c r="T522" s="107" t="s">
        <v>432</v>
      </c>
      <c r="U522" s="107" t="s">
        <v>432</v>
      </c>
      <c r="V522" s="109" t="s">
        <v>2209</v>
      </c>
      <c r="W522" s="107" t="s">
        <v>432</v>
      </c>
      <c r="X522" s="107" t="s">
        <v>432</v>
      </c>
      <c r="Y522" s="107" t="s">
        <v>432</v>
      </c>
      <c r="Z522" s="107" t="s">
        <v>432</v>
      </c>
      <c r="AA522" s="107" t="s">
        <v>432</v>
      </c>
      <c r="AB522" s="107" t="s">
        <v>432</v>
      </c>
      <c r="AC522" s="107" t="s">
        <v>432</v>
      </c>
      <c r="AD522" s="107" t="s">
        <v>432</v>
      </c>
      <c r="AE522" s="107" t="s">
        <v>432</v>
      </c>
      <c r="AF522" s="107" t="s">
        <v>432</v>
      </c>
      <c r="AG522" s="107" t="s">
        <v>432</v>
      </c>
      <c r="AH522" s="107" t="s">
        <v>432</v>
      </c>
      <c r="AI522" s="107" t="s">
        <v>432</v>
      </c>
      <c r="AJ522" s="107" t="s">
        <v>432</v>
      </c>
      <c r="AK522" s="107" t="s">
        <v>432</v>
      </c>
      <c r="AL522" s="600" t="s">
        <v>432</v>
      </c>
      <c r="AM522" s="137" t="s">
        <v>432</v>
      </c>
      <c r="AN522" s="137" t="s">
        <v>432</v>
      </c>
      <c r="AO522" s="137" t="s">
        <v>432</v>
      </c>
      <c r="AP522" s="137" t="s">
        <v>432</v>
      </c>
      <c r="AQ522" s="137" t="s">
        <v>432</v>
      </c>
      <c r="AR522" s="137" t="s">
        <v>432</v>
      </c>
      <c r="AS522" s="137" t="s">
        <v>432</v>
      </c>
      <c r="AT522" s="137" t="s">
        <v>432</v>
      </c>
      <c r="AU522" s="137" t="s">
        <v>432</v>
      </c>
      <c r="AV522" s="137" t="s">
        <v>432</v>
      </c>
      <c r="AW522" s="137" t="s">
        <v>432</v>
      </c>
      <c r="AX522" s="137" t="s">
        <v>432</v>
      </c>
      <c r="AY522" s="137" t="s">
        <v>432</v>
      </c>
      <c r="AZ522" s="137" t="s">
        <v>432</v>
      </c>
      <c r="BA522" s="137" t="s">
        <v>432</v>
      </c>
      <c r="BB522" s="239" t="str">
        <f t="shared" si="90"/>
        <v>BRTacessibilidade</v>
      </c>
      <c r="BC522" s="239" t="str">
        <f t="shared" si="91"/>
        <v>BRTacessibilidadesigla/verbete</v>
      </c>
      <c r="BD522" s="239" t="str">
        <f t="shared" si="92"/>
        <v>BRTsigla/verbete</v>
      </c>
    </row>
    <row r="523" spans="1:56" s="3" customFormat="1" ht="25.5" x14ac:dyDescent="0.25">
      <c r="A523" s="262" t="s">
        <v>432</v>
      </c>
      <c r="B523" s="252" t="s">
        <v>742</v>
      </c>
      <c r="C523" s="167" t="s">
        <v>432</v>
      </c>
      <c r="D523" s="324" t="s">
        <v>135</v>
      </c>
      <c r="E523" s="1496" t="s">
        <v>432</v>
      </c>
      <c r="F523" s="11" t="s">
        <v>1100</v>
      </c>
      <c r="G523" s="167" t="s">
        <v>3879</v>
      </c>
      <c r="H523" s="167" t="s">
        <v>432</v>
      </c>
      <c r="I523" s="167" t="s">
        <v>432</v>
      </c>
      <c r="J523" s="107" t="s">
        <v>432</v>
      </c>
      <c r="K523" s="107" t="s">
        <v>432</v>
      </c>
      <c r="L523" s="107" t="s">
        <v>432</v>
      </c>
      <c r="M523" s="107" t="s">
        <v>432</v>
      </c>
      <c r="N523" s="107" t="s">
        <v>432</v>
      </c>
      <c r="O523" s="107" t="s">
        <v>432</v>
      </c>
      <c r="P523" s="107" t="s">
        <v>432</v>
      </c>
      <c r="Q523" s="107" t="s">
        <v>432</v>
      </c>
      <c r="R523" s="107" t="s">
        <v>432</v>
      </c>
      <c r="S523" s="109" t="s">
        <v>2209</v>
      </c>
      <c r="T523" s="107" t="s">
        <v>432</v>
      </c>
      <c r="U523" s="107" t="s">
        <v>432</v>
      </c>
      <c r="V523" s="109" t="s">
        <v>2209</v>
      </c>
      <c r="W523" s="107" t="s">
        <v>432</v>
      </c>
      <c r="X523" s="107" t="s">
        <v>432</v>
      </c>
      <c r="Y523" s="107" t="s">
        <v>432</v>
      </c>
      <c r="Z523" s="107" t="s">
        <v>432</v>
      </c>
      <c r="AA523" s="107" t="s">
        <v>432</v>
      </c>
      <c r="AB523" s="107" t="s">
        <v>432</v>
      </c>
      <c r="AC523" s="107" t="s">
        <v>432</v>
      </c>
      <c r="AD523" s="107" t="s">
        <v>432</v>
      </c>
      <c r="AE523" s="107" t="s">
        <v>432</v>
      </c>
      <c r="AF523" s="107" t="s">
        <v>432</v>
      </c>
      <c r="AG523" s="107" t="s">
        <v>432</v>
      </c>
      <c r="AH523" s="107" t="s">
        <v>432</v>
      </c>
      <c r="AI523" s="107" t="s">
        <v>432</v>
      </c>
      <c r="AJ523" s="107" t="s">
        <v>432</v>
      </c>
      <c r="AK523" s="137" t="s">
        <v>432</v>
      </c>
      <c r="AL523" s="600" t="s">
        <v>432</v>
      </c>
      <c r="AM523" s="137" t="s">
        <v>432</v>
      </c>
      <c r="AN523" s="137" t="s">
        <v>432</v>
      </c>
      <c r="AO523" s="137" t="s">
        <v>432</v>
      </c>
      <c r="AP523" s="137" t="s">
        <v>432</v>
      </c>
      <c r="AQ523" s="137" t="s">
        <v>432</v>
      </c>
      <c r="AR523" s="137" t="s">
        <v>432</v>
      </c>
      <c r="AS523" s="137" t="s">
        <v>432</v>
      </c>
      <c r="AT523" s="137" t="s">
        <v>432</v>
      </c>
      <c r="AU523" s="137" t="s">
        <v>432</v>
      </c>
      <c r="AV523" s="137" t="s">
        <v>432</v>
      </c>
      <c r="AW523" s="137" t="s">
        <v>432</v>
      </c>
      <c r="AX523" s="137" t="s">
        <v>432</v>
      </c>
      <c r="AY523" s="137" t="s">
        <v>432</v>
      </c>
      <c r="AZ523" s="137" t="s">
        <v>432</v>
      </c>
      <c r="BA523" s="137" t="s">
        <v>432</v>
      </c>
      <c r="BB523" s="239" t="str">
        <f t="shared" si="90"/>
        <v>geralx</v>
      </c>
      <c r="BC523" s="239" t="str">
        <f t="shared" si="91"/>
        <v>geralxx</v>
      </c>
      <c r="BD523" s="239" t="str">
        <f t="shared" si="92"/>
        <v>geralx</v>
      </c>
    </row>
    <row r="524" spans="1:56" s="3" customFormat="1" ht="158.25" customHeight="1" x14ac:dyDescent="0.25">
      <c r="A524" s="262" t="s">
        <v>604</v>
      </c>
      <c r="B524" s="53" t="s">
        <v>736</v>
      </c>
      <c r="C524" s="167" t="s">
        <v>432</v>
      </c>
      <c r="D524" s="325" t="s">
        <v>2845</v>
      </c>
      <c r="E524" s="1505" t="s">
        <v>1306</v>
      </c>
      <c r="F524" s="188" t="s">
        <v>1918</v>
      </c>
      <c r="G524" s="167" t="s">
        <v>432</v>
      </c>
      <c r="H524" s="167" t="s">
        <v>432</v>
      </c>
      <c r="I524" s="167">
        <v>1</v>
      </c>
      <c r="J524" s="107" t="s">
        <v>432</v>
      </c>
      <c r="K524" s="107" t="s">
        <v>432</v>
      </c>
      <c r="L524" s="107" t="s">
        <v>432</v>
      </c>
      <c r="M524" s="107" t="s">
        <v>432</v>
      </c>
      <c r="N524" s="107" t="s">
        <v>432</v>
      </c>
      <c r="O524" s="107" t="s">
        <v>432</v>
      </c>
      <c r="P524" s="107" t="s">
        <v>432</v>
      </c>
      <c r="Q524" s="107" t="s">
        <v>432</v>
      </c>
      <c r="R524" s="107" t="s">
        <v>432</v>
      </c>
      <c r="S524" s="109" t="s">
        <v>2209</v>
      </c>
      <c r="T524" s="107" t="s">
        <v>432</v>
      </c>
      <c r="U524" s="107" t="s">
        <v>432</v>
      </c>
      <c r="V524" s="109" t="s">
        <v>2209</v>
      </c>
      <c r="W524" s="137" t="s">
        <v>432</v>
      </c>
      <c r="X524" s="137" t="s">
        <v>432</v>
      </c>
      <c r="Y524" s="137" t="s">
        <v>432</v>
      </c>
      <c r="Z524" s="137" t="s">
        <v>432</v>
      </c>
      <c r="AA524" s="137" t="s">
        <v>432</v>
      </c>
      <c r="AB524" s="137" t="s">
        <v>432</v>
      </c>
      <c r="AC524" s="137" t="s">
        <v>432</v>
      </c>
      <c r="AD524" s="137" t="s">
        <v>432</v>
      </c>
      <c r="AE524" s="137" t="s">
        <v>432</v>
      </c>
      <c r="AF524" s="137" t="s">
        <v>432</v>
      </c>
      <c r="AG524" s="137" t="s">
        <v>432</v>
      </c>
      <c r="AH524" s="137" t="s">
        <v>432</v>
      </c>
      <c r="AI524" s="137" t="s">
        <v>432</v>
      </c>
      <c r="AJ524" s="137" t="s">
        <v>432</v>
      </c>
      <c r="AK524" s="137" t="s">
        <v>432</v>
      </c>
      <c r="AL524" s="600" t="s">
        <v>432</v>
      </c>
      <c r="AM524" s="137" t="s">
        <v>432</v>
      </c>
      <c r="AN524" s="137" t="s">
        <v>432</v>
      </c>
      <c r="AO524" s="137" t="s">
        <v>432</v>
      </c>
      <c r="AP524" s="137" t="s">
        <v>432</v>
      </c>
      <c r="AQ524" s="137" t="s">
        <v>432</v>
      </c>
      <c r="AR524" s="137" t="s">
        <v>432</v>
      </c>
      <c r="AS524" s="137" t="s">
        <v>432</v>
      </c>
      <c r="AT524" s="137" t="s">
        <v>432</v>
      </c>
      <c r="AU524" s="137" t="s">
        <v>432</v>
      </c>
      <c r="AV524" s="137" t="s">
        <v>432</v>
      </c>
      <c r="AW524" s="137" t="s">
        <v>432</v>
      </c>
      <c r="AX524" s="137" t="s">
        <v>432</v>
      </c>
      <c r="AY524" s="137" t="s">
        <v>432</v>
      </c>
      <c r="AZ524" s="137" t="s">
        <v>432</v>
      </c>
      <c r="BA524" s="137" t="s">
        <v>432</v>
      </c>
      <c r="BB524" s="239" t="str">
        <f t="shared" si="90"/>
        <v>Poluição do arx</v>
      </c>
      <c r="BC524" s="239" t="str">
        <f t="shared" si="91"/>
        <v>Poluição do arxx</v>
      </c>
      <c r="BD524" s="239" t="str">
        <f t="shared" si="92"/>
        <v>Poluição do arx</v>
      </c>
    </row>
    <row r="525" spans="1:56" s="105" customFormat="1" ht="72.75" customHeight="1" x14ac:dyDescent="0.25">
      <c r="A525" s="262" t="s">
        <v>604</v>
      </c>
      <c r="B525" s="53" t="s">
        <v>736</v>
      </c>
      <c r="C525" s="167" t="s">
        <v>432</v>
      </c>
      <c r="D525" s="325" t="s">
        <v>2845</v>
      </c>
      <c r="E525" s="1512" t="s">
        <v>1298</v>
      </c>
      <c r="F525" s="188" t="s">
        <v>1919</v>
      </c>
      <c r="G525" s="167" t="s">
        <v>432</v>
      </c>
      <c r="H525" s="171" t="s">
        <v>819</v>
      </c>
      <c r="I525" s="167" t="s">
        <v>432</v>
      </c>
      <c r="J525" s="107" t="s">
        <v>432</v>
      </c>
      <c r="K525" s="107" t="s">
        <v>432</v>
      </c>
      <c r="L525" s="107" t="s">
        <v>432</v>
      </c>
      <c r="M525" s="107" t="s">
        <v>432</v>
      </c>
      <c r="N525" s="107" t="s">
        <v>432</v>
      </c>
      <c r="O525" s="107" t="s">
        <v>432</v>
      </c>
      <c r="P525" s="107" t="s">
        <v>432</v>
      </c>
      <c r="Q525" s="107" t="s">
        <v>432</v>
      </c>
      <c r="R525" s="107" t="s">
        <v>432</v>
      </c>
      <c r="S525" s="109" t="s">
        <v>2209</v>
      </c>
      <c r="T525" s="107" t="s">
        <v>432</v>
      </c>
      <c r="U525" s="107" t="s">
        <v>432</v>
      </c>
      <c r="V525" s="109" t="s">
        <v>2209</v>
      </c>
      <c r="W525" s="137" t="s">
        <v>432</v>
      </c>
      <c r="X525" s="137" t="s">
        <v>432</v>
      </c>
      <c r="Y525" s="137" t="s">
        <v>432</v>
      </c>
      <c r="Z525" s="137" t="s">
        <v>432</v>
      </c>
      <c r="AA525" s="137" t="s">
        <v>432</v>
      </c>
      <c r="AB525" s="137" t="s">
        <v>432</v>
      </c>
      <c r="AC525" s="137" t="s">
        <v>432</v>
      </c>
      <c r="AD525" s="137" t="s">
        <v>432</v>
      </c>
      <c r="AE525" s="137" t="s">
        <v>432</v>
      </c>
      <c r="AF525" s="137" t="s">
        <v>432</v>
      </c>
      <c r="AG525" s="137" t="s">
        <v>432</v>
      </c>
      <c r="AH525" s="137" t="s">
        <v>432</v>
      </c>
      <c r="AI525" s="137" t="s">
        <v>432</v>
      </c>
      <c r="AJ525" s="137" t="s">
        <v>432</v>
      </c>
      <c r="AK525" s="137" t="s">
        <v>432</v>
      </c>
      <c r="AL525" s="600" t="s">
        <v>432</v>
      </c>
      <c r="AM525" s="137" t="s">
        <v>432</v>
      </c>
      <c r="AN525" s="137" t="s">
        <v>432</v>
      </c>
      <c r="AO525" s="137" t="s">
        <v>432</v>
      </c>
      <c r="AP525" s="137" t="s">
        <v>432</v>
      </c>
      <c r="AQ525" s="137" t="s">
        <v>432</v>
      </c>
      <c r="AR525" s="137" t="s">
        <v>432</v>
      </c>
      <c r="AS525" s="137" t="s">
        <v>432</v>
      </c>
      <c r="AT525" s="137" t="s">
        <v>432</v>
      </c>
      <c r="AU525" s="137" t="s">
        <v>432</v>
      </c>
      <c r="AV525" s="137" t="s">
        <v>432</v>
      </c>
      <c r="AW525" s="137" t="s">
        <v>432</v>
      </c>
      <c r="AX525" s="137" t="s">
        <v>432</v>
      </c>
      <c r="AY525" s="137" t="s">
        <v>432</v>
      </c>
      <c r="AZ525" s="137" t="s">
        <v>432</v>
      </c>
      <c r="BA525" s="137" t="s">
        <v>432</v>
      </c>
      <c r="BB525" s="239" t="str">
        <f t="shared" si="90"/>
        <v>Poluição do arx</v>
      </c>
      <c r="BC525" s="239" t="str">
        <f t="shared" si="91"/>
        <v>Poluição do arxbenchmarking</v>
      </c>
      <c r="BD525" s="239" t="str">
        <f t="shared" si="92"/>
        <v>Poluição do arbenchmarking</v>
      </c>
    </row>
    <row r="526" spans="1:56" s="105" customFormat="1" ht="49.5" customHeight="1" x14ac:dyDescent="0.25">
      <c r="A526" s="262" t="s">
        <v>604</v>
      </c>
      <c r="B526" s="252" t="s">
        <v>736</v>
      </c>
      <c r="C526" s="167" t="s">
        <v>432</v>
      </c>
      <c r="D526" s="325" t="s">
        <v>2846</v>
      </c>
      <c r="E526" s="1505" t="s">
        <v>1306</v>
      </c>
      <c r="F526" s="102" t="s">
        <v>2847</v>
      </c>
      <c r="G526" s="110" t="s">
        <v>1643</v>
      </c>
      <c r="H526" s="168" t="s">
        <v>765</v>
      </c>
      <c r="I526" s="167" t="s">
        <v>432</v>
      </c>
      <c r="J526" s="107" t="s">
        <v>432</v>
      </c>
      <c r="K526" s="107" t="s">
        <v>432</v>
      </c>
      <c r="L526" s="107" t="s">
        <v>432</v>
      </c>
      <c r="M526" s="107" t="s">
        <v>432</v>
      </c>
      <c r="N526" s="107" t="s">
        <v>432</v>
      </c>
      <c r="O526" s="107" t="s">
        <v>432</v>
      </c>
      <c r="P526" s="107" t="s">
        <v>432</v>
      </c>
      <c r="Q526" s="107" t="s">
        <v>432</v>
      </c>
      <c r="R526" s="107" t="s">
        <v>432</v>
      </c>
      <c r="S526" s="109" t="s">
        <v>2209</v>
      </c>
      <c r="T526" s="107" t="s">
        <v>432</v>
      </c>
      <c r="U526" s="107" t="s">
        <v>432</v>
      </c>
      <c r="V526" s="109" t="s">
        <v>2209</v>
      </c>
      <c r="W526" s="84">
        <v>35</v>
      </c>
      <c r="X526" s="84">
        <v>35</v>
      </c>
      <c r="Y526" s="84">
        <v>35</v>
      </c>
      <c r="Z526" s="84">
        <v>35</v>
      </c>
      <c r="AA526" s="84">
        <v>35</v>
      </c>
      <c r="AB526" s="84">
        <v>35</v>
      </c>
      <c r="AC526" s="84">
        <v>35</v>
      </c>
      <c r="AD526" s="84">
        <v>35</v>
      </c>
      <c r="AE526" s="84">
        <v>35</v>
      </c>
      <c r="AF526" s="84">
        <v>35</v>
      </c>
      <c r="AG526" s="84">
        <v>35</v>
      </c>
      <c r="AH526" s="84">
        <v>35</v>
      </c>
      <c r="AI526" s="84">
        <v>35</v>
      </c>
      <c r="AJ526" s="84">
        <v>35</v>
      </c>
      <c r="AK526" s="84">
        <v>35</v>
      </c>
      <c r="AL526" s="600" t="s">
        <v>432</v>
      </c>
      <c r="AM526" s="137" t="s">
        <v>432</v>
      </c>
      <c r="AN526" s="137" t="s">
        <v>432</v>
      </c>
      <c r="AO526" s="137" t="s">
        <v>432</v>
      </c>
      <c r="AP526" s="137" t="s">
        <v>432</v>
      </c>
      <c r="AQ526" s="137" t="s">
        <v>432</v>
      </c>
      <c r="AR526" s="137" t="s">
        <v>432</v>
      </c>
      <c r="AS526" s="137" t="s">
        <v>432</v>
      </c>
      <c r="AT526" s="137" t="s">
        <v>432</v>
      </c>
      <c r="AU526" s="137" t="s">
        <v>432</v>
      </c>
      <c r="AV526" s="137" t="s">
        <v>432</v>
      </c>
      <c r="AW526" s="137" t="s">
        <v>432</v>
      </c>
      <c r="AX526" s="137" t="s">
        <v>432</v>
      </c>
      <c r="AY526" s="137" t="s">
        <v>432</v>
      </c>
      <c r="AZ526" s="137" t="s">
        <v>432</v>
      </c>
      <c r="BA526" s="137" t="s">
        <v>432</v>
      </c>
      <c r="BB526" s="239" t="str">
        <f t="shared" si="90"/>
        <v>Poluição do arx</v>
      </c>
      <c r="BC526" s="239" t="str">
        <f t="shared" si="91"/>
        <v>Poluição do arxmeta/RPI</v>
      </c>
      <c r="BD526" s="239" t="str">
        <f t="shared" si="92"/>
        <v>Poluição do armeta/RPI</v>
      </c>
    </row>
    <row r="527" spans="1:56" s="3" customFormat="1" ht="62.25" customHeight="1" x14ac:dyDescent="0.25">
      <c r="A527" s="262" t="str">
        <f>'Q100b-totais'!B22</f>
        <v>2.7</v>
      </c>
      <c r="B527" s="252" t="str">
        <f>'Q100b-totais'!C22</f>
        <v>Outras cidades/regiões</v>
      </c>
      <c r="C527" s="167" t="s">
        <v>743</v>
      </c>
      <c r="D527" s="325" t="s">
        <v>3016</v>
      </c>
      <c r="E527" s="1445" t="s">
        <v>3014</v>
      </c>
      <c r="F527" s="1328" t="s">
        <v>4230</v>
      </c>
      <c r="G527" s="230" t="s">
        <v>3507</v>
      </c>
      <c r="H527" s="167" t="s">
        <v>2408</v>
      </c>
      <c r="I527" s="167" t="s">
        <v>432</v>
      </c>
      <c r="J527" s="107" t="s">
        <v>432</v>
      </c>
      <c r="K527" s="107" t="s">
        <v>432</v>
      </c>
      <c r="L527" s="107" t="s">
        <v>432</v>
      </c>
      <c r="M527" s="107" t="s">
        <v>432</v>
      </c>
      <c r="N527" s="107" t="s">
        <v>432</v>
      </c>
      <c r="O527" s="107" t="s">
        <v>432</v>
      </c>
      <c r="P527" s="107" t="s">
        <v>432</v>
      </c>
      <c r="Q527" s="107" t="s">
        <v>432</v>
      </c>
      <c r="R527" s="107" t="s">
        <v>432</v>
      </c>
      <c r="S527" s="109" t="s">
        <v>2209</v>
      </c>
      <c r="T527" s="107" t="s">
        <v>432</v>
      </c>
      <c r="U527" s="107" t="s">
        <v>432</v>
      </c>
      <c r="V527" s="109" t="s">
        <v>2209</v>
      </c>
      <c r="W527" s="107" t="s">
        <v>432</v>
      </c>
      <c r="X527" s="107" t="s">
        <v>432</v>
      </c>
      <c r="Y527" s="107" t="s">
        <v>432</v>
      </c>
      <c r="Z527" s="107" t="s">
        <v>432</v>
      </c>
      <c r="AA527" s="107" t="s">
        <v>432</v>
      </c>
      <c r="AB527" s="107" t="s">
        <v>432</v>
      </c>
      <c r="AC527" s="107" t="s">
        <v>432</v>
      </c>
      <c r="AD527" s="107" t="s">
        <v>432</v>
      </c>
      <c r="AE527" s="107" t="s">
        <v>432</v>
      </c>
      <c r="AF527" s="107" t="s">
        <v>432</v>
      </c>
      <c r="AG527" s="107" t="s">
        <v>432</v>
      </c>
      <c r="AH527" s="107" t="s">
        <v>432</v>
      </c>
      <c r="AI527" s="107" t="s">
        <v>432</v>
      </c>
      <c r="AJ527" s="107" t="s">
        <v>432</v>
      </c>
      <c r="AK527" s="107" t="s">
        <v>432</v>
      </c>
      <c r="AL527" s="600" t="s">
        <v>432</v>
      </c>
      <c r="AM527" s="137" t="s">
        <v>432</v>
      </c>
      <c r="AN527" s="137" t="s">
        <v>432</v>
      </c>
      <c r="AO527" s="137" t="s">
        <v>432</v>
      </c>
      <c r="AP527" s="137" t="s">
        <v>432</v>
      </c>
      <c r="AQ527" s="137" t="s">
        <v>432</v>
      </c>
      <c r="AR527" s="137" t="s">
        <v>432</v>
      </c>
      <c r="AS527" s="137" t="s">
        <v>432</v>
      </c>
      <c r="AT527" s="137" t="s">
        <v>432</v>
      </c>
      <c r="AU527" s="137" t="s">
        <v>432</v>
      </c>
      <c r="AV527" s="137" t="s">
        <v>432</v>
      </c>
      <c r="AW527" s="137" t="s">
        <v>432</v>
      </c>
      <c r="AX527" s="137" t="s">
        <v>432</v>
      </c>
      <c r="AY527" s="137" t="s">
        <v>432</v>
      </c>
      <c r="AZ527" s="137" t="s">
        <v>432</v>
      </c>
      <c r="BA527" s="137" t="s">
        <v>432</v>
      </c>
      <c r="BB527" s="239" t="str">
        <f t="shared" si="90"/>
        <v>Outras cidades/regiõesacessibilidade</v>
      </c>
      <c r="BC527" s="239" t="str">
        <f t="shared" si="91"/>
        <v>Outras cidades/regiõesacessibilidadesigla/verbete</v>
      </c>
      <c r="BD527" s="239" t="str">
        <f t="shared" si="92"/>
        <v>Outras cidades/regiõessigla/verbete</v>
      </c>
    </row>
    <row r="528" spans="1:56" s="3" customFormat="1" ht="225" customHeight="1" x14ac:dyDescent="0.25">
      <c r="A528" s="262" t="s">
        <v>432</v>
      </c>
      <c r="B528" s="252" t="s">
        <v>742</v>
      </c>
      <c r="C528" s="167" t="s">
        <v>743</v>
      </c>
      <c r="D528" s="325" t="s">
        <v>2844</v>
      </c>
      <c r="E528" s="1496" t="s">
        <v>1306</v>
      </c>
      <c r="F528" s="252" t="s">
        <v>5927</v>
      </c>
      <c r="G528" s="230" t="s">
        <v>3507</v>
      </c>
      <c r="H528" s="167" t="s">
        <v>2408</v>
      </c>
      <c r="I528" s="167" t="s">
        <v>432</v>
      </c>
      <c r="J528" s="107" t="s">
        <v>432</v>
      </c>
      <c r="K528" s="107" t="s">
        <v>432</v>
      </c>
      <c r="L528" s="107" t="s">
        <v>432</v>
      </c>
      <c r="M528" s="107" t="s">
        <v>432</v>
      </c>
      <c r="N528" s="107" t="s">
        <v>432</v>
      </c>
      <c r="O528" s="107" t="s">
        <v>432</v>
      </c>
      <c r="P528" s="107" t="s">
        <v>432</v>
      </c>
      <c r="Q528" s="107" t="s">
        <v>432</v>
      </c>
      <c r="R528" s="107" t="s">
        <v>432</v>
      </c>
      <c r="S528" s="109" t="s">
        <v>2209</v>
      </c>
      <c r="T528" s="107" t="s">
        <v>432</v>
      </c>
      <c r="U528" s="107" t="s">
        <v>432</v>
      </c>
      <c r="V528" s="109" t="s">
        <v>2209</v>
      </c>
      <c r="W528" s="107" t="s">
        <v>432</v>
      </c>
      <c r="X528" s="107" t="s">
        <v>432</v>
      </c>
      <c r="Y528" s="107" t="s">
        <v>432</v>
      </c>
      <c r="Z528" s="107" t="s">
        <v>432</v>
      </c>
      <c r="AA528" s="107" t="s">
        <v>432</v>
      </c>
      <c r="AB528" s="107" t="s">
        <v>432</v>
      </c>
      <c r="AC528" s="107" t="s">
        <v>432</v>
      </c>
      <c r="AD528" s="107" t="s">
        <v>432</v>
      </c>
      <c r="AE528" s="107" t="s">
        <v>432</v>
      </c>
      <c r="AF528" s="107" t="s">
        <v>432</v>
      </c>
      <c r="AG528" s="107" t="s">
        <v>432</v>
      </c>
      <c r="AH528" s="107" t="s">
        <v>432</v>
      </c>
      <c r="AI528" s="107" t="s">
        <v>432</v>
      </c>
      <c r="AJ528" s="107" t="s">
        <v>432</v>
      </c>
      <c r="AK528" s="137" t="s">
        <v>432</v>
      </c>
      <c r="AL528" s="600" t="s">
        <v>432</v>
      </c>
      <c r="AM528" s="137" t="s">
        <v>432</v>
      </c>
      <c r="AN528" s="137" t="s">
        <v>432</v>
      </c>
      <c r="AO528" s="137" t="s">
        <v>432</v>
      </c>
      <c r="AP528" s="137" t="s">
        <v>432</v>
      </c>
      <c r="AQ528" s="137" t="s">
        <v>432</v>
      </c>
      <c r="AR528" s="137" t="s">
        <v>432</v>
      </c>
      <c r="AS528" s="137" t="s">
        <v>432</v>
      </c>
      <c r="AT528" s="137" t="s">
        <v>432</v>
      </c>
      <c r="AU528" s="137" t="s">
        <v>432</v>
      </c>
      <c r="AV528" s="137" t="s">
        <v>432</v>
      </c>
      <c r="AW528" s="137" t="s">
        <v>432</v>
      </c>
      <c r="AX528" s="137" t="s">
        <v>432</v>
      </c>
      <c r="AY528" s="137" t="s">
        <v>432</v>
      </c>
      <c r="AZ528" s="137" t="s">
        <v>432</v>
      </c>
      <c r="BA528" s="137" t="s">
        <v>432</v>
      </c>
      <c r="BB528" s="239" t="str">
        <f t="shared" si="90"/>
        <v>geralacessibilidade</v>
      </c>
      <c r="BC528" s="239" t="str">
        <f t="shared" si="91"/>
        <v>geralacessibilidadesigla/verbete</v>
      </c>
      <c r="BD528" s="239" t="str">
        <f t="shared" si="92"/>
        <v>geralsigla/verbete</v>
      </c>
    </row>
    <row r="529" spans="1:67" s="3" customFormat="1" ht="87.75" customHeight="1" x14ac:dyDescent="0.25">
      <c r="A529" s="275" t="str">
        <f>'Q100b-totais'!$B$56</f>
        <v>8.4</v>
      </c>
      <c r="B529" s="54" t="s">
        <v>641</v>
      </c>
      <c r="C529" s="167" t="s">
        <v>432</v>
      </c>
      <c r="D529" s="362" t="s">
        <v>136</v>
      </c>
      <c r="E529" s="1513" t="s">
        <v>1298</v>
      </c>
      <c r="F529" s="925" t="s">
        <v>2705</v>
      </c>
      <c r="G529" s="110" t="s">
        <v>77</v>
      </c>
      <c r="H529" s="173" t="s">
        <v>432</v>
      </c>
      <c r="I529" s="57">
        <v>1</v>
      </c>
      <c r="J529" s="93" t="s">
        <v>432</v>
      </c>
      <c r="K529" s="84" t="s">
        <v>432</v>
      </c>
      <c r="L529" s="84" t="s">
        <v>432</v>
      </c>
      <c r="M529" s="84" t="s">
        <v>432</v>
      </c>
      <c r="N529" s="84" t="s">
        <v>432</v>
      </c>
      <c r="O529" s="84" t="s">
        <v>432</v>
      </c>
      <c r="P529" s="84" t="s">
        <v>432</v>
      </c>
      <c r="Q529" s="84" t="s">
        <v>432</v>
      </c>
      <c r="R529" s="84" t="s">
        <v>432</v>
      </c>
      <c r="S529" s="109" t="s">
        <v>2209</v>
      </c>
      <c r="T529" s="84" t="s">
        <v>432</v>
      </c>
      <c r="U529" s="84" t="s">
        <v>432</v>
      </c>
      <c r="V529" s="109" t="s">
        <v>2209</v>
      </c>
      <c r="W529" s="84" t="s">
        <v>432</v>
      </c>
      <c r="X529" s="84" t="s">
        <v>432</v>
      </c>
      <c r="Y529" s="84" t="s">
        <v>432</v>
      </c>
      <c r="Z529" s="84" t="s">
        <v>432</v>
      </c>
      <c r="AA529" s="84" t="s">
        <v>432</v>
      </c>
      <c r="AB529" s="86">
        <v>5316</v>
      </c>
      <c r="AC529" s="86">
        <v>5167</v>
      </c>
      <c r="AD529" s="86">
        <v>5106</v>
      </c>
      <c r="AE529" s="86">
        <v>5142</v>
      </c>
      <c r="AF529" s="86">
        <v>5181</v>
      </c>
      <c r="AG529" s="86">
        <v>5279</v>
      </c>
      <c r="AH529" s="86">
        <v>5312</v>
      </c>
      <c r="AI529" s="87">
        <v>5903</v>
      </c>
      <c r="AJ529" s="87">
        <v>6398</v>
      </c>
      <c r="AK529" s="87">
        <v>6441</v>
      </c>
      <c r="AL529" s="600" t="s">
        <v>432</v>
      </c>
      <c r="AM529" s="137" t="s">
        <v>432</v>
      </c>
      <c r="AN529" s="137" t="s">
        <v>432</v>
      </c>
      <c r="AO529" s="137" t="s">
        <v>432</v>
      </c>
      <c r="AP529" s="137" t="s">
        <v>432</v>
      </c>
      <c r="AQ529" s="137" t="s">
        <v>432</v>
      </c>
      <c r="AR529" s="137" t="s">
        <v>432</v>
      </c>
      <c r="AS529" s="137" t="s">
        <v>432</v>
      </c>
      <c r="AT529" s="137" t="s">
        <v>432</v>
      </c>
      <c r="AU529" s="137" t="s">
        <v>432</v>
      </c>
      <c r="AV529" s="137" t="s">
        <v>432</v>
      </c>
      <c r="AW529" s="137" t="s">
        <v>432</v>
      </c>
      <c r="AX529" s="137" t="s">
        <v>432</v>
      </c>
      <c r="AY529" s="137" t="s">
        <v>432</v>
      </c>
      <c r="AZ529" s="137" t="s">
        <v>432</v>
      </c>
      <c r="BA529" s="137" t="s">
        <v>432</v>
      </c>
      <c r="BB529" s="239" t="str">
        <f t="shared" si="90"/>
        <v>Táxix</v>
      </c>
      <c r="BC529" s="239" t="str">
        <f t="shared" si="91"/>
        <v>Táxixx</v>
      </c>
      <c r="BD529" s="239" t="str">
        <f t="shared" si="92"/>
        <v>Táxix</v>
      </c>
      <c r="BM529" s="8"/>
      <c r="BN529" s="8"/>
      <c r="BO529" s="8"/>
    </row>
    <row r="530" spans="1:67" s="45" customFormat="1" ht="69" customHeight="1" x14ac:dyDescent="0.25">
      <c r="A530" s="275" t="str">
        <f>'Q100b-totais'!$B$56</f>
        <v>8.4</v>
      </c>
      <c r="B530" s="54" t="s">
        <v>641</v>
      </c>
      <c r="C530" s="167" t="s">
        <v>432</v>
      </c>
      <c r="D530" s="324" t="s">
        <v>137</v>
      </c>
      <c r="E530" s="1512" t="s">
        <v>1298</v>
      </c>
      <c r="F530" s="14" t="s">
        <v>1671</v>
      </c>
      <c r="G530" s="408" t="s">
        <v>521</v>
      </c>
      <c r="H530" s="173" t="s">
        <v>432</v>
      </c>
      <c r="I530" s="57">
        <v>1</v>
      </c>
      <c r="J530" s="58" t="s">
        <v>432</v>
      </c>
      <c r="K530" s="23" t="s">
        <v>432</v>
      </c>
      <c r="L530" s="23" t="s">
        <v>432</v>
      </c>
      <c r="M530" s="23" t="s">
        <v>432</v>
      </c>
      <c r="N530" s="23" t="s">
        <v>432</v>
      </c>
      <c r="O530" s="23" t="s">
        <v>432</v>
      </c>
      <c r="P530" s="23" t="s">
        <v>432</v>
      </c>
      <c r="Q530" s="23" t="s">
        <v>432</v>
      </c>
      <c r="R530" s="23" t="s">
        <v>432</v>
      </c>
      <c r="S530" s="109" t="s">
        <v>2209</v>
      </c>
      <c r="T530" s="23" t="s">
        <v>432</v>
      </c>
      <c r="U530" s="23" t="s">
        <v>432</v>
      </c>
      <c r="V530" s="109" t="s">
        <v>2209</v>
      </c>
      <c r="W530" s="23" t="s">
        <v>432</v>
      </c>
      <c r="X530" s="23" t="s">
        <v>432</v>
      </c>
      <c r="Y530" s="23" t="s">
        <v>432</v>
      </c>
      <c r="Z530" s="23" t="s">
        <v>432</v>
      </c>
      <c r="AA530" s="23" t="s">
        <v>432</v>
      </c>
      <c r="AB530" s="22">
        <f t="shared" ref="AB530:AK530" si="93">AB529/AB2452</f>
        <v>0.87896825396825395</v>
      </c>
      <c r="AC530" s="22">
        <f t="shared" si="93"/>
        <v>0.85617232808616406</v>
      </c>
      <c r="AD530" s="22">
        <f t="shared" si="93"/>
        <v>0.84718765555002484</v>
      </c>
      <c r="AE530" s="22">
        <f t="shared" si="93"/>
        <v>0.85457869370118</v>
      </c>
      <c r="AF530" s="22">
        <f t="shared" si="93"/>
        <v>0.86378792930976989</v>
      </c>
      <c r="AG530" s="22">
        <f t="shared" si="93"/>
        <v>0.88027347006836754</v>
      </c>
      <c r="AH530" s="22">
        <f t="shared" si="93"/>
        <v>0.88666332832582206</v>
      </c>
      <c r="AI530" s="22">
        <f t="shared" si="93"/>
        <v>0.90606293169608598</v>
      </c>
      <c r="AJ530" s="22">
        <f t="shared" si="93"/>
        <v>0.96748828065930748</v>
      </c>
      <c r="AK530" s="22">
        <f t="shared" si="93"/>
        <v>0.93145336225596531</v>
      </c>
      <c r="AL530" s="600" t="s">
        <v>432</v>
      </c>
      <c r="AM530" s="137" t="s">
        <v>432</v>
      </c>
      <c r="AN530" s="137" t="s">
        <v>432</v>
      </c>
      <c r="AO530" s="137" t="s">
        <v>432</v>
      </c>
      <c r="AP530" s="137" t="s">
        <v>432</v>
      </c>
      <c r="AQ530" s="137" t="s">
        <v>432</v>
      </c>
      <c r="AR530" s="137" t="s">
        <v>432</v>
      </c>
      <c r="AS530" s="137" t="s">
        <v>432</v>
      </c>
      <c r="AT530" s="137" t="s">
        <v>432</v>
      </c>
      <c r="AU530" s="137" t="s">
        <v>432</v>
      </c>
      <c r="AV530" s="137" t="s">
        <v>432</v>
      </c>
      <c r="AW530" s="137" t="s">
        <v>432</v>
      </c>
      <c r="AX530" s="137" t="s">
        <v>432</v>
      </c>
      <c r="AY530" s="137" t="s">
        <v>432</v>
      </c>
      <c r="AZ530" s="137" t="s">
        <v>432</v>
      </c>
      <c r="BA530" s="137" t="s">
        <v>432</v>
      </c>
      <c r="BB530" s="239" t="str">
        <f t="shared" si="90"/>
        <v>Táxix</v>
      </c>
      <c r="BC530" s="239" t="str">
        <f t="shared" si="91"/>
        <v>Táxixx</v>
      </c>
      <c r="BD530" s="239" t="str">
        <f t="shared" si="92"/>
        <v>Táxix</v>
      </c>
    </row>
    <row r="531" spans="1:67" s="105" customFormat="1" ht="51" x14ac:dyDescent="0.25">
      <c r="A531" s="275" t="str">
        <f>'Q100b-totais'!B13</f>
        <v>1.4</v>
      </c>
      <c r="B531" s="54" t="str">
        <f>'Q100b-totais'!C13</f>
        <v>Relacionamento com a sociedade organizada</v>
      </c>
      <c r="C531" s="167" t="s">
        <v>743</v>
      </c>
      <c r="D531" s="324" t="s">
        <v>4623</v>
      </c>
      <c r="E531" s="1512" t="s">
        <v>1306</v>
      </c>
      <c r="F531" s="14" t="s">
        <v>5191</v>
      </c>
      <c r="G531" s="230" t="s">
        <v>3507</v>
      </c>
      <c r="H531" s="167" t="s">
        <v>2408</v>
      </c>
      <c r="I531" s="167" t="s">
        <v>432</v>
      </c>
      <c r="J531" s="107" t="s">
        <v>432</v>
      </c>
      <c r="K531" s="107" t="s">
        <v>432</v>
      </c>
      <c r="L531" s="107" t="s">
        <v>432</v>
      </c>
      <c r="M531" s="107" t="s">
        <v>432</v>
      </c>
      <c r="N531" s="107" t="s">
        <v>432</v>
      </c>
      <c r="O531" s="107" t="s">
        <v>432</v>
      </c>
      <c r="P531" s="107" t="s">
        <v>432</v>
      </c>
      <c r="Q531" s="107" t="s">
        <v>432</v>
      </c>
      <c r="R531" s="107" t="s">
        <v>432</v>
      </c>
      <c r="S531" s="109" t="s">
        <v>2209</v>
      </c>
      <c r="T531" s="107" t="s">
        <v>432</v>
      </c>
      <c r="U531" s="107" t="s">
        <v>432</v>
      </c>
      <c r="V531" s="109" t="s">
        <v>2209</v>
      </c>
      <c r="W531" s="137" t="s">
        <v>432</v>
      </c>
      <c r="X531" s="137" t="s">
        <v>432</v>
      </c>
      <c r="Y531" s="137" t="s">
        <v>432</v>
      </c>
      <c r="Z531" s="137" t="s">
        <v>432</v>
      </c>
      <c r="AA531" s="137" t="s">
        <v>432</v>
      </c>
      <c r="AB531" s="137" t="s">
        <v>432</v>
      </c>
      <c r="AC531" s="137" t="s">
        <v>432</v>
      </c>
      <c r="AD531" s="137" t="s">
        <v>432</v>
      </c>
      <c r="AE531" s="137" t="s">
        <v>432</v>
      </c>
      <c r="AF531" s="137" t="s">
        <v>432</v>
      </c>
      <c r="AG531" s="137" t="s">
        <v>432</v>
      </c>
      <c r="AH531" s="137" t="s">
        <v>432</v>
      </c>
      <c r="AI531" s="137" t="s">
        <v>432</v>
      </c>
      <c r="AJ531" s="137" t="s">
        <v>432</v>
      </c>
      <c r="AK531" s="137" t="s">
        <v>432</v>
      </c>
      <c r="AL531" s="600" t="s">
        <v>432</v>
      </c>
      <c r="AM531" s="137" t="s">
        <v>432</v>
      </c>
      <c r="AN531" s="137" t="s">
        <v>432</v>
      </c>
      <c r="AO531" s="137" t="s">
        <v>432</v>
      </c>
      <c r="AP531" s="137" t="s">
        <v>432</v>
      </c>
      <c r="AQ531" s="137" t="s">
        <v>432</v>
      </c>
      <c r="AR531" s="137" t="s">
        <v>432</v>
      </c>
      <c r="AS531" s="137" t="s">
        <v>432</v>
      </c>
      <c r="AT531" s="137" t="s">
        <v>432</v>
      </c>
      <c r="AU531" s="137" t="s">
        <v>432</v>
      </c>
      <c r="AV531" s="137" t="s">
        <v>432</v>
      </c>
      <c r="AW531" s="137" t="s">
        <v>432</v>
      </c>
      <c r="AX531" s="137" t="s">
        <v>432</v>
      </c>
      <c r="AY531" s="137" t="s">
        <v>432</v>
      </c>
      <c r="AZ531" s="137" t="s">
        <v>432</v>
      </c>
      <c r="BA531" s="137" t="s">
        <v>432</v>
      </c>
      <c r="BB531" s="239" t="str">
        <f t="shared" si="90"/>
        <v>Relacionamento com a sociedade organizadaacessibilidade</v>
      </c>
      <c r="BC531" s="239" t="str">
        <f t="shared" si="91"/>
        <v>Relacionamento com a sociedade organizadaacessibilidadesigla/verbete</v>
      </c>
      <c r="BD531" s="239" t="str">
        <f t="shared" si="92"/>
        <v>Relacionamento com a sociedade organizadasigla/verbete</v>
      </c>
    </row>
    <row r="532" spans="1:67" s="105" customFormat="1" ht="63.75" x14ac:dyDescent="0.25">
      <c r="A532" s="275" t="str">
        <f>'Q100b-totais'!B13</f>
        <v>1.4</v>
      </c>
      <c r="B532" s="54" t="str">
        <f>'Q100b-totais'!C13</f>
        <v>Relacionamento com a sociedade organizada</v>
      </c>
      <c r="C532" s="167" t="s">
        <v>743</v>
      </c>
      <c r="D532" s="324" t="s">
        <v>4623</v>
      </c>
      <c r="E532" s="1512" t="s">
        <v>1767</v>
      </c>
      <c r="F532" s="14" t="s">
        <v>5190</v>
      </c>
      <c r="G532" s="230" t="s">
        <v>3507</v>
      </c>
      <c r="H532" s="167" t="s">
        <v>2408</v>
      </c>
      <c r="I532" s="167" t="s">
        <v>432</v>
      </c>
      <c r="J532" s="107" t="s">
        <v>432</v>
      </c>
      <c r="K532" s="107" t="s">
        <v>432</v>
      </c>
      <c r="L532" s="107" t="s">
        <v>432</v>
      </c>
      <c r="M532" s="107" t="s">
        <v>432</v>
      </c>
      <c r="N532" s="107" t="s">
        <v>432</v>
      </c>
      <c r="O532" s="107" t="s">
        <v>432</v>
      </c>
      <c r="P532" s="107" t="s">
        <v>432</v>
      </c>
      <c r="Q532" s="107" t="s">
        <v>432</v>
      </c>
      <c r="R532" s="107" t="s">
        <v>432</v>
      </c>
      <c r="S532" s="109" t="s">
        <v>2209</v>
      </c>
      <c r="T532" s="107" t="s">
        <v>432</v>
      </c>
      <c r="U532" s="107" t="s">
        <v>432</v>
      </c>
      <c r="V532" s="109" t="s">
        <v>2209</v>
      </c>
      <c r="W532" s="137" t="s">
        <v>432</v>
      </c>
      <c r="X532" s="137" t="s">
        <v>432</v>
      </c>
      <c r="Y532" s="137" t="s">
        <v>432</v>
      </c>
      <c r="Z532" s="137" t="s">
        <v>432</v>
      </c>
      <c r="AA532" s="137" t="s">
        <v>432</v>
      </c>
      <c r="AB532" s="137" t="s">
        <v>432</v>
      </c>
      <c r="AC532" s="137" t="s">
        <v>432</v>
      </c>
      <c r="AD532" s="137" t="s">
        <v>432</v>
      </c>
      <c r="AE532" s="137" t="s">
        <v>432</v>
      </c>
      <c r="AF532" s="137" t="s">
        <v>432</v>
      </c>
      <c r="AG532" s="137" t="s">
        <v>432</v>
      </c>
      <c r="AH532" s="137" t="s">
        <v>432</v>
      </c>
      <c r="AI532" s="137" t="s">
        <v>432</v>
      </c>
      <c r="AJ532" s="137" t="s">
        <v>432</v>
      </c>
      <c r="AK532" s="137" t="s">
        <v>432</v>
      </c>
      <c r="AL532" s="600" t="s">
        <v>432</v>
      </c>
      <c r="AM532" s="137" t="s">
        <v>432</v>
      </c>
      <c r="AN532" s="137" t="s">
        <v>432</v>
      </c>
      <c r="AO532" s="137" t="s">
        <v>432</v>
      </c>
      <c r="AP532" s="137" t="s">
        <v>432</v>
      </c>
      <c r="AQ532" s="137" t="s">
        <v>432</v>
      </c>
      <c r="AR532" s="137" t="s">
        <v>432</v>
      </c>
      <c r="AS532" s="137" t="s">
        <v>432</v>
      </c>
      <c r="AT532" s="137" t="s">
        <v>432</v>
      </c>
      <c r="AU532" s="137" t="s">
        <v>432</v>
      </c>
      <c r="AV532" s="137" t="s">
        <v>432</v>
      </c>
      <c r="AW532" s="137" t="s">
        <v>432</v>
      </c>
      <c r="AX532" s="137" t="s">
        <v>432</v>
      </c>
      <c r="AY532" s="137" t="s">
        <v>432</v>
      </c>
      <c r="AZ532" s="137" t="s">
        <v>432</v>
      </c>
      <c r="BA532" s="137" t="s">
        <v>432</v>
      </c>
      <c r="BB532" s="239" t="str">
        <f t="shared" si="90"/>
        <v>Relacionamento com a sociedade organizadaacessibilidade</v>
      </c>
      <c r="BC532" s="239" t="str">
        <f t="shared" si="91"/>
        <v>Relacionamento com a sociedade organizadaacessibilidadesigla/verbete</v>
      </c>
      <c r="BD532" s="239" t="str">
        <f t="shared" si="92"/>
        <v>Relacionamento com a sociedade organizadasigla/verbete</v>
      </c>
    </row>
    <row r="533" spans="1:67" s="105" customFormat="1" ht="51" x14ac:dyDescent="0.25">
      <c r="A533" s="275" t="str">
        <f>'Q100b-totais'!B13</f>
        <v>1.4</v>
      </c>
      <c r="B533" s="54" t="str">
        <f>'Q100b-totais'!C13</f>
        <v>Relacionamento com a sociedade organizada</v>
      </c>
      <c r="C533" s="167" t="s">
        <v>743</v>
      </c>
      <c r="D533" s="324" t="s">
        <v>4623</v>
      </c>
      <c r="E533" s="1509" t="s">
        <v>2075</v>
      </c>
      <c r="F533" s="14" t="s">
        <v>5191</v>
      </c>
      <c r="G533" s="230" t="s">
        <v>3507</v>
      </c>
      <c r="H533" s="167" t="s">
        <v>2408</v>
      </c>
      <c r="I533" s="167" t="s">
        <v>432</v>
      </c>
      <c r="J533" s="107" t="s">
        <v>432</v>
      </c>
      <c r="K533" s="107" t="s">
        <v>432</v>
      </c>
      <c r="L533" s="107" t="s">
        <v>432</v>
      </c>
      <c r="M533" s="107" t="s">
        <v>432</v>
      </c>
      <c r="N533" s="107" t="s">
        <v>432</v>
      </c>
      <c r="O533" s="107" t="s">
        <v>432</v>
      </c>
      <c r="P533" s="107" t="s">
        <v>432</v>
      </c>
      <c r="Q533" s="107" t="s">
        <v>432</v>
      </c>
      <c r="R533" s="107" t="s">
        <v>432</v>
      </c>
      <c r="S533" s="109" t="s">
        <v>2209</v>
      </c>
      <c r="T533" s="107" t="s">
        <v>432</v>
      </c>
      <c r="U533" s="107" t="s">
        <v>432</v>
      </c>
      <c r="V533" s="109" t="s">
        <v>2209</v>
      </c>
      <c r="W533" s="137" t="s">
        <v>432</v>
      </c>
      <c r="X533" s="137" t="s">
        <v>432</v>
      </c>
      <c r="Y533" s="137" t="s">
        <v>432</v>
      </c>
      <c r="Z533" s="137" t="s">
        <v>432</v>
      </c>
      <c r="AA533" s="137" t="s">
        <v>432</v>
      </c>
      <c r="AB533" s="137" t="s">
        <v>432</v>
      </c>
      <c r="AC533" s="137" t="s">
        <v>432</v>
      </c>
      <c r="AD533" s="137" t="s">
        <v>432</v>
      </c>
      <c r="AE533" s="137" t="s">
        <v>432</v>
      </c>
      <c r="AF533" s="137" t="s">
        <v>432</v>
      </c>
      <c r="AG533" s="137" t="s">
        <v>432</v>
      </c>
      <c r="AH533" s="137" t="s">
        <v>432</v>
      </c>
      <c r="AI533" s="137" t="s">
        <v>432</v>
      </c>
      <c r="AJ533" s="137" t="s">
        <v>432</v>
      </c>
      <c r="AK533" s="137" t="s">
        <v>432</v>
      </c>
      <c r="AL533" s="600" t="s">
        <v>432</v>
      </c>
      <c r="AM533" s="137" t="s">
        <v>432</v>
      </c>
      <c r="AN533" s="137" t="s">
        <v>432</v>
      </c>
      <c r="AO533" s="137" t="s">
        <v>432</v>
      </c>
      <c r="AP533" s="137" t="s">
        <v>432</v>
      </c>
      <c r="AQ533" s="137" t="s">
        <v>432</v>
      </c>
      <c r="AR533" s="137" t="s">
        <v>432</v>
      </c>
      <c r="AS533" s="137" t="s">
        <v>432</v>
      </c>
      <c r="AT533" s="137" t="s">
        <v>432</v>
      </c>
      <c r="AU533" s="137" t="s">
        <v>432</v>
      </c>
      <c r="AV533" s="137" t="s">
        <v>432</v>
      </c>
      <c r="AW533" s="137" t="s">
        <v>432</v>
      </c>
      <c r="AX533" s="137" t="s">
        <v>432</v>
      </c>
      <c r="AY533" s="137" t="s">
        <v>432</v>
      </c>
      <c r="AZ533" s="137" t="s">
        <v>432</v>
      </c>
      <c r="BA533" s="137" t="s">
        <v>432</v>
      </c>
      <c r="BB533" s="239" t="str">
        <f t="shared" si="90"/>
        <v>Relacionamento com a sociedade organizadaacessibilidade</v>
      </c>
      <c r="BC533" s="239" t="str">
        <f t="shared" si="91"/>
        <v>Relacionamento com a sociedade organizadaacessibilidadesigla/verbete</v>
      </c>
      <c r="BD533" s="239" t="str">
        <f t="shared" si="92"/>
        <v>Relacionamento com a sociedade organizadasigla/verbete</v>
      </c>
    </row>
    <row r="534" spans="1:67" s="105" customFormat="1" ht="51" x14ac:dyDescent="0.25">
      <c r="A534" s="275" t="str">
        <f>'Q100b-totais'!B13</f>
        <v>1.4</v>
      </c>
      <c r="B534" s="54" t="str">
        <f>'Q100b-totais'!C13</f>
        <v>Relacionamento com a sociedade organizada</v>
      </c>
      <c r="C534" s="167" t="s">
        <v>743</v>
      </c>
      <c r="D534" s="325" t="s">
        <v>4624</v>
      </c>
      <c r="E534" s="1364" t="s">
        <v>1306</v>
      </c>
      <c r="F534" s="14" t="s">
        <v>5189</v>
      </c>
      <c r="G534" s="230" t="s">
        <v>3507</v>
      </c>
      <c r="H534" s="167" t="s">
        <v>2408</v>
      </c>
      <c r="I534" s="167" t="s">
        <v>432</v>
      </c>
      <c r="J534" s="107" t="s">
        <v>432</v>
      </c>
      <c r="K534" s="107" t="s">
        <v>432</v>
      </c>
      <c r="L534" s="107" t="s">
        <v>432</v>
      </c>
      <c r="M534" s="107" t="s">
        <v>432</v>
      </c>
      <c r="N534" s="107" t="s">
        <v>432</v>
      </c>
      <c r="O534" s="107" t="s">
        <v>432</v>
      </c>
      <c r="P534" s="107" t="s">
        <v>432</v>
      </c>
      <c r="Q534" s="107" t="s">
        <v>432</v>
      </c>
      <c r="R534" s="107" t="s">
        <v>432</v>
      </c>
      <c r="S534" s="109" t="s">
        <v>2209</v>
      </c>
      <c r="T534" s="107" t="s">
        <v>432</v>
      </c>
      <c r="U534" s="107" t="s">
        <v>432</v>
      </c>
      <c r="V534" s="109" t="s">
        <v>2209</v>
      </c>
      <c r="W534" s="137" t="s">
        <v>432</v>
      </c>
      <c r="X534" s="137" t="s">
        <v>432</v>
      </c>
      <c r="Y534" s="137" t="s">
        <v>432</v>
      </c>
      <c r="Z534" s="137" t="s">
        <v>432</v>
      </c>
      <c r="AA534" s="137" t="s">
        <v>432</v>
      </c>
      <c r="AB534" s="137" t="s">
        <v>432</v>
      </c>
      <c r="AC534" s="137" t="s">
        <v>432</v>
      </c>
      <c r="AD534" s="137" t="s">
        <v>432</v>
      </c>
      <c r="AE534" s="137" t="s">
        <v>432</v>
      </c>
      <c r="AF534" s="137" t="s">
        <v>432</v>
      </c>
      <c r="AG534" s="137" t="s">
        <v>432</v>
      </c>
      <c r="AH534" s="137" t="s">
        <v>432</v>
      </c>
      <c r="AI534" s="137" t="s">
        <v>432</v>
      </c>
      <c r="AJ534" s="137" t="s">
        <v>432</v>
      </c>
      <c r="AK534" s="137" t="s">
        <v>432</v>
      </c>
      <c r="AL534" s="600" t="s">
        <v>432</v>
      </c>
      <c r="AM534" s="137" t="s">
        <v>432</v>
      </c>
      <c r="AN534" s="137" t="s">
        <v>432</v>
      </c>
      <c r="AO534" s="137" t="s">
        <v>432</v>
      </c>
      <c r="AP534" s="137" t="s">
        <v>432</v>
      </c>
      <c r="AQ534" s="137" t="s">
        <v>432</v>
      </c>
      <c r="AR534" s="137" t="s">
        <v>432</v>
      </c>
      <c r="AS534" s="137" t="s">
        <v>432</v>
      </c>
      <c r="AT534" s="137" t="s">
        <v>432</v>
      </c>
      <c r="AU534" s="137" t="s">
        <v>432</v>
      </c>
      <c r="AV534" s="137" t="s">
        <v>432</v>
      </c>
      <c r="AW534" s="137" t="s">
        <v>432</v>
      </c>
      <c r="AX534" s="137" t="s">
        <v>432</v>
      </c>
      <c r="AY534" s="137" t="s">
        <v>432</v>
      </c>
      <c r="AZ534" s="137" t="s">
        <v>432</v>
      </c>
      <c r="BA534" s="137" t="s">
        <v>432</v>
      </c>
      <c r="BB534" s="239" t="str">
        <f t="shared" si="90"/>
        <v>Relacionamento com a sociedade organizadaacessibilidade</v>
      </c>
      <c r="BC534" s="239" t="str">
        <f t="shared" si="91"/>
        <v>Relacionamento com a sociedade organizadaacessibilidadesigla/verbete</v>
      </c>
      <c r="BD534" s="239" t="str">
        <f t="shared" si="92"/>
        <v>Relacionamento com a sociedade organizadasigla/verbete</v>
      </c>
    </row>
    <row r="535" spans="1:67" s="105" customFormat="1" ht="25.5" x14ac:dyDescent="0.25">
      <c r="A535" s="275" t="str">
        <f>'Q100b-totais'!B21</f>
        <v>2.6</v>
      </c>
      <c r="B535" s="54" t="str">
        <f>'Q100b-totais'!C21</f>
        <v>Cidades da RMBH</v>
      </c>
      <c r="C535" s="167" t="s">
        <v>432</v>
      </c>
      <c r="D535" s="323" t="s">
        <v>1742</v>
      </c>
      <c r="E535" s="1491" t="s">
        <v>1742</v>
      </c>
      <c r="F535" s="468" t="str">
        <f>pend!C187</f>
        <v>município da RMBH (faltando completar)</v>
      </c>
      <c r="G535" s="230" t="s">
        <v>3507</v>
      </c>
      <c r="H535" s="167" t="s">
        <v>2408</v>
      </c>
      <c r="I535" s="167" t="s">
        <v>432</v>
      </c>
      <c r="J535" s="107" t="s">
        <v>432</v>
      </c>
      <c r="K535" s="107" t="s">
        <v>432</v>
      </c>
      <c r="L535" s="107" t="s">
        <v>432</v>
      </c>
      <c r="M535" s="107" t="s">
        <v>432</v>
      </c>
      <c r="N535" s="107" t="s">
        <v>432</v>
      </c>
      <c r="O535" s="107" t="s">
        <v>432</v>
      </c>
      <c r="P535" s="107" t="s">
        <v>432</v>
      </c>
      <c r="Q535" s="107" t="s">
        <v>432</v>
      </c>
      <c r="R535" s="107" t="s">
        <v>432</v>
      </c>
      <c r="S535" s="109" t="s">
        <v>2209</v>
      </c>
      <c r="T535" s="107" t="s">
        <v>432</v>
      </c>
      <c r="U535" s="107" t="s">
        <v>432</v>
      </c>
      <c r="V535" s="109" t="s">
        <v>2209</v>
      </c>
      <c r="W535" s="137" t="s">
        <v>432</v>
      </c>
      <c r="X535" s="137" t="s">
        <v>432</v>
      </c>
      <c r="Y535" s="137" t="s">
        <v>432</v>
      </c>
      <c r="Z535" s="137" t="s">
        <v>432</v>
      </c>
      <c r="AA535" s="137" t="s">
        <v>432</v>
      </c>
      <c r="AB535" s="137" t="s">
        <v>432</v>
      </c>
      <c r="AC535" s="137" t="s">
        <v>432</v>
      </c>
      <c r="AD535" s="137" t="s">
        <v>432</v>
      </c>
      <c r="AE535" s="137" t="s">
        <v>432</v>
      </c>
      <c r="AF535" s="137" t="s">
        <v>432</v>
      </c>
      <c r="AG535" s="137" t="s">
        <v>432</v>
      </c>
      <c r="AH535" s="137" t="s">
        <v>432</v>
      </c>
      <c r="AI535" s="137" t="s">
        <v>432</v>
      </c>
      <c r="AJ535" s="137" t="s">
        <v>432</v>
      </c>
      <c r="AK535" s="137" t="s">
        <v>432</v>
      </c>
      <c r="AL535" s="600" t="s">
        <v>432</v>
      </c>
      <c r="AM535" s="137" t="s">
        <v>432</v>
      </c>
      <c r="AN535" s="137" t="s">
        <v>432</v>
      </c>
      <c r="AO535" s="137" t="s">
        <v>432</v>
      </c>
      <c r="AP535" s="137" t="s">
        <v>432</v>
      </c>
      <c r="AQ535" s="137" t="s">
        <v>432</v>
      </c>
      <c r="AR535" s="137" t="s">
        <v>432</v>
      </c>
      <c r="AS535" s="137" t="s">
        <v>432</v>
      </c>
      <c r="AT535" s="137" t="s">
        <v>432</v>
      </c>
      <c r="AU535" s="137" t="s">
        <v>432</v>
      </c>
      <c r="AV535" s="137" t="s">
        <v>432</v>
      </c>
      <c r="AW535" s="137" t="s">
        <v>432</v>
      </c>
      <c r="AX535" s="137" t="s">
        <v>432</v>
      </c>
      <c r="AY535" s="137" t="s">
        <v>432</v>
      </c>
      <c r="AZ535" s="137" t="s">
        <v>432</v>
      </c>
      <c r="BA535" s="137" t="s">
        <v>432</v>
      </c>
      <c r="BB535" s="239" t="str">
        <f t="shared" si="90"/>
        <v>Cidades da RMBHx</v>
      </c>
      <c r="BC535" s="239" t="str">
        <f t="shared" si="91"/>
        <v>Cidades da RMBHxsigla/verbete</v>
      </c>
      <c r="BD535" s="239" t="str">
        <f t="shared" si="92"/>
        <v>Cidades da RMBHsigla/verbete</v>
      </c>
    </row>
    <row r="536" spans="1:67" s="105" customFormat="1" ht="72.75" customHeight="1" x14ac:dyDescent="0.25">
      <c r="A536" s="275" t="str">
        <f>'Q100b-totais'!B69</f>
        <v>9.6</v>
      </c>
      <c r="B536" s="54" t="s">
        <v>186</v>
      </c>
      <c r="C536" s="167" t="s">
        <v>432</v>
      </c>
      <c r="D536" s="324" t="s">
        <v>1052</v>
      </c>
      <c r="E536" s="254" t="s">
        <v>1306</v>
      </c>
      <c r="F536" s="5" t="s">
        <v>1462</v>
      </c>
      <c r="G536" s="93" t="s">
        <v>768</v>
      </c>
      <c r="H536" s="173" t="s">
        <v>765</v>
      </c>
      <c r="I536" s="167" t="s">
        <v>432</v>
      </c>
      <c r="J536" s="137" t="s">
        <v>432</v>
      </c>
      <c r="K536" s="137" t="s">
        <v>432</v>
      </c>
      <c r="L536" s="137" t="s">
        <v>432</v>
      </c>
      <c r="M536" s="137" t="s">
        <v>432</v>
      </c>
      <c r="N536" s="137" t="s">
        <v>432</v>
      </c>
      <c r="O536" s="137" t="s">
        <v>432</v>
      </c>
      <c r="P536" s="137" t="s">
        <v>432</v>
      </c>
      <c r="Q536" s="137" t="s">
        <v>432</v>
      </c>
      <c r="R536" s="137" t="s">
        <v>432</v>
      </c>
      <c r="S536" s="109" t="s">
        <v>2209</v>
      </c>
      <c r="T536" s="137" t="s">
        <v>432</v>
      </c>
      <c r="U536" s="137" t="s">
        <v>432</v>
      </c>
      <c r="V536" s="109" t="s">
        <v>2209</v>
      </c>
      <c r="W536" s="137" t="s">
        <v>432</v>
      </c>
      <c r="X536" s="137" t="s">
        <v>432</v>
      </c>
      <c r="Y536" s="137" t="s">
        <v>432</v>
      </c>
      <c r="Z536" s="137" t="s">
        <v>432</v>
      </c>
      <c r="AA536" s="137" t="s">
        <v>432</v>
      </c>
      <c r="AB536" s="137" t="s">
        <v>432</v>
      </c>
      <c r="AC536" s="137" t="s">
        <v>432</v>
      </c>
      <c r="AD536" s="137" t="s">
        <v>432</v>
      </c>
      <c r="AE536" s="137" t="s">
        <v>432</v>
      </c>
      <c r="AF536" s="137" t="s">
        <v>432</v>
      </c>
      <c r="AG536" s="137" t="s">
        <v>432</v>
      </c>
      <c r="AH536" s="137" t="s">
        <v>432</v>
      </c>
      <c r="AI536" s="137" t="s">
        <v>432</v>
      </c>
      <c r="AJ536" s="93" t="s">
        <v>1053</v>
      </c>
      <c r="AK536" s="137" t="s">
        <v>432</v>
      </c>
      <c r="AL536" s="600" t="s">
        <v>432</v>
      </c>
      <c r="AM536" s="174" t="s">
        <v>1054</v>
      </c>
      <c r="AN536" s="137" t="s">
        <v>432</v>
      </c>
      <c r="AO536" s="137" t="s">
        <v>432</v>
      </c>
      <c r="AP536" s="137" t="s">
        <v>432</v>
      </c>
      <c r="AQ536" s="174" t="s">
        <v>1055</v>
      </c>
      <c r="AR536" s="137" t="s">
        <v>432</v>
      </c>
      <c r="AS536" s="137" t="s">
        <v>432</v>
      </c>
      <c r="AT536" s="137" t="s">
        <v>432</v>
      </c>
      <c r="AU536" s="137" t="s">
        <v>432</v>
      </c>
      <c r="AV536" s="137" t="s">
        <v>432</v>
      </c>
      <c r="AW536" s="137" t="s">
        <v>432</v>
      </c>
      <c r="AX536" s="137" t="s">
        <v>432</v>
      </c>
      <c r="AY536" s="137" t="s">
        <v>432</v>
      </c>
      <c r="AZ536" s="137" t="s">
        <v>432</v>
      </c>
      <c r="BA536" s="137" t="s">
        <v>432</v>
      </c>
      <c r="BB536" s="239" t="str">
        <f t="shared" si="90"/>
        <v>Velocidades e volumesx</v>
      </c>
      <c r="BC536" s="239" t="str">
        <f t="shared" si="91"/>
        <v>Velocidades e volumesxmeta/RPI</v>
      </c>
      <c r="BD536" s="239" t="str">
        <f t="shared" si="92"/>
        <v>Velocidades e volumesmeta/RPI</v>
      </c>
    </row>
    <row r="537" spans="1:67" s="105" customFormat="1" ht="25.5" x14ac:dyDescent="0.25">
      <c r="A537" s="275" t="str">
        <f>'Q100b-totais'!B21</f>
        <v>2.6</v>
      </c>
      <c r="B537" s="54" t="str">
        <f>'Q100b-totais'!C21</f>
        <v>Cidades da RMBH</v>
      </c>
      <c r="C537" s="167" t="s">
        <v>432</v>
      </c>
      <c r="D537" s="323" t="s">
        <v>1371</v>
      </c>
      <c r="E537" s="1491" t="s">
        <v>1371</v>
      </c>
      <c r="F537" s="468" t="str">
        <f>pend!C188</f>
        <v>município da RMBH (faltando completar)</v>
      </c>
      <c r="G537" s="230" t="s">
        <v>3507</v>
      </c>
      <c r="H537" s="167" t="s">
        <v>2408</v>
      </c>
      <c r="I537" s="167" t="s">
        <v>432</v>
      </c>
      <c r="J537" s="107" t="s">
        <v>432</v>
      </c>
      <c r="K537" s="107" t="s">
        <v>432</v>
      </c>
      <c r="L537" s="107" t="s">
        <v>432</v>
      </c>
      <c r="M537" s="107" t="s">
        <v>432</v>
      </c>
      <c r="N537" s="107" t="s">
        <v>432</v>
      </c>
      <c r="O537" s="107" t="s">
        <v>432</v>
      </c>
      <c r="P537" s="107" t="s">
        <v>432</v>
      </c>
      <c r="Q537" s="107" t="s">
        <v>432</v>
      </c>
      <c r="R537" s="107" t="s">
        <v>432</v>
      </c>
      <c r="S537" s="109" t="s">
        <v>2209</v>
      </c>
      <c r="T537" s="107" t="s">
        <v>432</v>
      </c>
      <c r="U537" s="107" t="s">
        <v>432</v>
      </c>
      <c r="V537" s="109" t="s">
        <v>2209</v>
      </c>
      <c r="W537" s="137" t="s">
        <v>432</v>
      </c>
      <c r="X537" s="137" t="s">
        <v>432</v>
      </c>
      <c r="Y537" s="137" t="s">
        <v>432</v>
      </c>
      <c r="Z537" s="137" t="s">
        <v>432</v>
      </c>
      <c r="AA537" s="137" t="s">
        <v>432</v>
      </c>
      <c r="AB537" s="137" t="s">
        <v>432</v>
      </c>
      <c r="AC537" s="137" t="s">
        <v>432</v>
      </c>
      <c r="AD537" s="137" t="s">
        <v>432</v>
      </c>
      <c r="AE537" s="137" t="s">
        <v>432</v>
      </c>
      <c r="AF537" s="137" t="s">
        <v>432</v>
      </c>
      <c r="AG537" s="137" t="s">
        <v>432</v>
      </c>
      <c r="AH537" s="137" t="s">
        <v>432</v>
      </c>
      <c r="AI537" s="137" t="s">
        <v>432</v>
      </c>
      <c r="AJ537" s="137" t="s">
        <v>432</v>
      </c>
      <c r="AK537" s="137" t="s">
        <v>432</v>
      </c>
      <c r="AL537" s="600" t="s">
        <v>432</v>
      </c>
      <c r="AM537" s="137" t="s">
        <v>432</v>
      </c>
      <c r="AN537" s="137" t="s">
        <v>432</v>
      </c>
      <c r="AO537" s="137" t="s">
        <v>432</v>
      </c>
      <c r="AP537" s="137" t="s">
        <v>432</v>
      </c>
      <c r="AQ537" s="137" t="s">
        <v>432</v>
      </c>
      <c r="AR537" s="137" t="s">
        <v>432</v>
      </c>
      <c r="AS537" s="137" t="s">
        <v>432</v>
      </c>
      <c r="AT537" s="137" t="s">
        <v>432</v>
      </c>
      <c r="AU537" s="137" t="s">
        <v>432</v>
      </c>
      <c r="AV537" s="137" t="s">
        <v>432</v>
      </c>
      <c r="AW537" s="137" t="s">
        <v>432</v>
      </c>
      <c r="AX537" s="137" t="s">
        <v>432</v>
      </c>
      <c r="AY537" s="137" t="s">
        <v>432</v>
      </c>
      <c r="AZ537" s="137" t="s">
        <v>432</v>
      </c>
      <c r="BA537" s="137" t="s">
        <v>432</v>
      </c>
      <c r="BB537" s="239" t="str">
        <f t="shared" si="90"/>
        <v>Cidades da RMBHx</v>
      </c>
      <c r="BC537" s="239" t="str">
        <f t="shared" si="91"/>
        <v>Cidades da RMBHxsigla/verbete</v>
      </c>
      <c r="BD537" s="239" t="str">
        <f t="shared" si="92"/>
        <v>Cidades da RMBHsigla/verbete</v>
      </c>
    </row>
    <row r="538" spans="1:67" s="105" customFormat="1" ht="60.75" customHeight="1" x14ac:dyDescent="0.25">
      <c r="A538" s="275" t="s">
        <v>432</v>
      </c>
      <c r="B538" s="54" t="s">
        <v>742</v>
      </c>
      <c r="C538" s="167" t="s">
        <v>432</v>
      </c>
      <c r="D538" s="324" t="s">
        <v>4727</v>
      </c>
      <c r="E538" s="1402" t="s">
        <v>1767</v>
      </c>
      <c r="F538" s="151" t="s">
        <v>4728</v>
      </c>
      <c r="G538" s="230" t="s">
        <v>3507</v>
      </c>
      <c r="H538" s="167" t="s">
        <v>2408</v>
      </c>
      <c r="I538" s="167" t="s">
        <v>432</v>
      </c>
      <c r="J538" s="107" t="s">
        <v>432</v>
      </c>
      <c r="K538" s="107" t="s">
        <v>432</v>
      </c>
      <c r="L538" s="107" t="s">
        <v>432</v>
      </c>
      <c r="M538" s="107" t="s">
        <v>432</v>
      </c>
      <c r="N538" s="107" t="s">
        <v>432</v>
      </c>
      <c r="O538" s="107" t="s">
        <v>432</v>
      </c>
      <c r="P538" s="107" t="s">
        <v>432</v>
      </c>
      <c r="Q538" s="107" t="s">
        <v>432</v>
      </c>
      <c r="R538" s="107" t="s">
        <v>432</v>
      </c>
      <c r="S538" s="109" t="s">
        <v>2209</v>
      </c>
      <c r="T538" s="107" t="s">
        <v>432</v>
      </c>
      <c r="U538" s="107" t="s">
        <v>432</v>
      </c>
      <c r="V538" s="109" t="s">
        <v>2209</v>
      </c>
      <c r="W538" s="137" t="s">
        <v>432</v>
      </c>
      <c r="X538" s="137" t="s">
        <v>432</v>
      </c>
      <c r="Y538" s="137" t="s">
        <v>432</v>
      </c>
      <c r="Z538" s="137" t="s">
        <v>432</v>
      </c>
      <c r="AA538" s="137" t="s">
        <v>432</v>
      </c>
      <c r="AB538" s="137" t="s">
        <v>432</v>
      </c>
      <c r="AC538" s="137" t="s">
        <v>432</v>
      </c>
      <c r="AD538" s="137" t="s">
        <v>432</v>
      </c>
      <c r="AE538" s="137" t="s">
        <v>432</v>
      </c>
      <c r="AF538" s="137" t="s">
        <v>432</v>
      </c>
      <c r="AG538" s="137" t="s">
        <v>432</v>
      </c>
      <c r="AH538" s="137" t="s">
        <v>432</v>
      </c>
      <c r="AI538" s="137" t="s">
        <v>432</v>
      </c>
      <c r="AJ538" s="137" t="s">
        <v>432</v>
      </c>
      <c r="AK538" s="137" t="s">
        <v>432</v>
      </c>
      <c r="AL538" s="600" t="s">
        <v>432</v>
      </c>
      <c r="AM538" s="137" t="s">
        <v>432</v>
      </c>
      <c r="AN538" s="137" t="s">
        <v>432</v>
      </c>
      <c r="AO538" s="137" t="s">
        <v>432</v>
      </c>
      <c r="AP538" s="137" t="s">
        <v>432</v>
      </c>
      <c r="AQ538" s="137" t="s">
        <v>432</v>
      </c>
      <c r="AR538" s="137" t="s">
        <v>432</v>
      </c>
      <c r="AS538" s="137" t="s">
        <v>432</v>
      </c>
      <c r="AT538" s="137" t="s">
        <v>432</v>
      </c>
      <c r="AU538" s="137" t="s">
        <v>432</v>
      </c>
      <c r="AV538" s="137" t="s">
        <v>432</v>
      </c>
      <c r="AW538" s="137" t="s">
        <v>432</v>
      </c>
      <c r="AX538" s="137" t="s">
        <v>432</v>
      </c>
      <c r="AY538" s="137" t="s">
        <v>432</v>
      </c>
      <c r="AZ538" s="137" t="s">
        <v>432</v>
      </c>
      <c r="BA538" s="137" t="s">
        <v>432</v>
      </c>
      <c r="BB538" s="239" t="str">
        <f t="shared" si="90"/>
        <v>geralx</v>
      </c>
      <c r="BC538" s="239" t="str">
        <f t="shared" si="91"/>
        <v>geralxsigla/verbete</v>
      </c>
      <c r="BD538" s="239" t="str">
        <f t="shared" si="92"/>
        <v>geralsigla/verbete</v>
      </c>
    </row>
    <row r="539" spans="1:67" s="105" customFormat="1" ht="164.25" customHeight="1" x14ac:dyDescent="0.25">
      <c r="A539" s="275" t="s">
        <v>432</v>
      </c>
      <c r="B539" s="54" t="s">
        <v>742</v>
      </c>
      <c r="C539" s="167" t="s">
        <v>432</v>
      </c>
      <c r="D539" s="324" t="s">
        <v>5127</v>
      </c>
      <c r="E539" s="1402" t="s">
        <v>432</v>
      </c>
      <c r="F539" s="151" t="s">
        <v>6191</v>
      </c>
      <c r="G539" s="230" t="s">
        <v>3507</v>
      </c>
      <c r="H539" s="167" t="s">
        <v>2408</v>
      </c>
      <c r="I539" s="167" t="s">
        <v>432</v>
      </c>
      <c r="J539" s="107" t="s">
        <v>432</v>
      </c>
      <c r="K539" s="107" t="s">
        <v>432</v>
      </c>
      <c r="L539" s="107" t="s">
        <v>432</v>
      </c>
      <c r="M539" s="107" t="s">
        <v>432</v>
      </c>
      <c r="N539" s="107" t="s">
        <v>432</v>
      </c>
      <c r="O539" s="107" t="s">
        <v>432</v>
      </c>
      <c r="P539" s="107" t="s">
        <v>432</v>
      </c>
      <c r="Q539" s="107" t="s">
        <v>432</v>
      </c>
      <c r="R539" s="107" t="s">
        <v>432</v>
      </c>
      <c r="S539" s="109" t="s">
        <v>2209</v>
      </c>
      <c r="T539" s="107" t="s">
        <v>432</v>
      </c>
      <c r="U539" s="107" t="s">
        <v>432</v>
      </c>
      <c r="V539" s="109" t="s">
        <v>2209</v>
      </c>
      <c r="W539" s="137" t="s">
        <v>432</v>
      </c>
      <c r="X539" s="137" t="s">
        <v>432</v>
      </c>
      <c r="Y539" s="137" t="s">
        <v>432</v>
      </c>
      <c r="Z539" s="137" t="s">
        <v>432</v>
      </c>
      <c r="AA539" s="137" t="s">
        <v>432</v>
      </c>
      <c r="AB539" s="137" t="s">
        <v>432</v>
      </c>
      <c r="AC539" s="137" t="s">
        <v>432</v>
      </c>
      <c r="AD539" s="137" t="s">
        <v>432</v>
      </c>
      <c r="AE539" s="137" t="s">
        <v>432</v>
      </c>
      <c r="AF539" s="137" t="s">
        <v>432</v>
      </c>
      <c r="AG539" s="137" t="s">
        <v>432</v>
      </c>
      <c r="AH539" s="137" t="s">
        <v>432</v>
      </c>
      <c r="AI539" s="137" t="s">
        <v>432</v>
      </c>
      <c r="AJ539" s="137" t="s">
        <v>432</v>
      </c>
      <c r="AK539" s="137" t="s">
        <v>432</v>
      </c>
      <c r="AL539" s="600" t="s">
        <v>432</v>
      </c>
      <c r="AM539" s="137" t="s">
        <v>432</v>
      </c>
      <c r="AN539" s="137" t="s">
        <v>432</v>
      </c>
      <c r="AO539" s="137" t="s">
        <v>432</v>
      </c>
      <c r="AP539" s="137" t="s">
        <v>432</v>
      </c>
      <c r="AQ539" s="137" t="s">
        <v>432</v>
      </c>
      <c r="AR539" s="137" t="s">
        <v>432</v>
      </c>
      <c r="AS539" s="137" t="s">
        <v>432</v>
      </c>
      <c r="AT539" s="137" t="s">
        <v>432</v>
      </c>
      <c r="AU539" s="137" t="s">
        <v>432</v>
      </c>
      <c r="AV539" s="137" t="s">
        <v>432</v>
      </c>
      <c r="AW539" s="137" t="s">
        <v>432</v>
      </c>
      <c r="AX539" s="137" t="s">
        <v>432</v>
      </c>
      <c r="AY539" s="137" t="s">
        <v>432</v>
      </c>
      <c r="AZ539" s="137" t="s">
        <v>432</v>
      </c>
      <c r="BA539" s="137" t="s">
        <v>432</v>
      </c>
      <c r="BB539" s="239" t="str">
        <f t="shared" si="90"/>
        <v>geralx</v>
      </c>
      <c r="BC539" s="239" t="str">
        <f t="shared" si="91"/>
        <v>geralxsigla/verbete</v>
      </c>
      <c r="BD539" s="239" t="str">
        <f t="shared" si="92"/>
        <v>geralsigla/verbete</v>
      </c>
    </row>
    <row r="540" spans="1:67" s="105" customFormat="1" ht="31.5" x14ac:dyDescent="0.25">
      <c r="A540" s="275" t="str">
        <f>'Q100b-totais'!B68</f>
        <v>9.5</v>
      </c>
      <c r="B540" s="54" t="str">
        <f>'Q100b-totais'!C68</f>
        <v>Sinalização semafórica</v>
      </c>
      <c r="C540" s="167" t="s">
        <v>432</v>
      </c>
      <c r="D540" s="325" t="s">
        <v>6187</v>
      </c>
      <c r="E540" s="509" t="s">
        <v>1767</v>
      </c>
      <c r="F540" s="1172" t="s">
        <v>6189</v>
      </c>
      <c r="G540" s="230"/>
      <c r="H540" s="167"/>
      <c r="I540" s="167"/>
      <c r="J540" s="107"/>
      <c r="K540" s="107"/>
      <c r="L540" s="107"/>
      <c r="M540" s="107"/>
      <c r="N540" s="107"/>
      <c r="O540" s="107"/>
      <c r="P540" s="107"/>
      <c r="Q540" s="107"/>
      <c r="R540" s="107"/>
      <c r="S540" s="109"/>
      <c r="T540" s="107"/>
      <c r="U540" s="107"/>
      <c r="V540" s="109"/>
      <c r="W540" s="137"/>
      <c r="X540" s="137"/>
      <c r="Y540" s="137"/>
      <c r="Z540" s="137"/>
      <c r="AA540" s="137"/>
      <c r="AB540" s="137"/>
      <c r="AC540" s="137"/>
      <c r="AD540" s="137"/>
      <c r="AE540" s="137"/>
      <c r="AF540" s="137"/>
      <c r="AG540" s="137"/>
      <c r="AH540" s="137"/>
      <c r="AI540" s="137"/>
      <c r="AJ540" s="137"/>
      <c r="AK540" s="137"/>
      <c r="AL540" s="600"/>
      <c r="AM540" s="137"/>
      <c r="AN540" s="137"/>
      <c r="AO540" s="137"/>
      <c r="AP540" s="137"/>
      <c r="AQ540" s="137"/>
      <c r="AR540" s="137"/>
      <c r="AS540" s="137"/>
      <c r="AT540" s="137"/>
      <c r="AU540" s="137"/>
      <c r="AV540" s="137"/>
      <c r="AW540" s="137"/>
      <c r="AX540" s="137"/>
      <c r="AY540" s="137"/>
      <c r="AZ540" s="137"/>
      <c r="BA540" s="137"/>
      <c r="BB540" s="239"/>
      <c r="BC540" s="239"/>
      <c r="BD540" s="239"/>
    </row>
    <row r="541" spans="1:67" s="105" customFormat="1" ht="47.25" x14ac:dyDescent="0.25">
      <c r="A541" s="275" t="str">
        <f>'Q100b-totais'!B68</f>
        <v>9.5</v>
      </c>
      <c r="B541" s="54" t="str">
        <f>'Q100b-totais'!C68</f>
        <v>Sinalização semafórica</v>
      </c>
      <c r="C541" s="167" t="s">
        <v>432</v>
      </c>
      <c r="D541" s="325" t="s">
        <v>6188</v>
      </c>
      <c r="E541" s="509" t="s">
        <v>1767</v>
      </c>
      <c r="F541" s="1172" t="s">
        <v>6190</v>
      </c>
      <c r="G541" s="230"/>
      <c r="H541" s="167"/>
      <c r="I541" s="167"/>
      <c r="J541" s="107"/>
      <c r="K541" s="107"/>
      <c r="L541" s="107"/>
      <c r="M541" s="107"/>
      <c r="N541" s="107"/>
      <c r="O541" s="107"/>
      <c r="P541" s="107"/>
      <c r="Q541" s="107"/>
      <c r="R541" s="107"/>
      <c r="S541" s="109"/>
      <c r="T541" s="107"/>
      <c r="U541" s="107"/>
      <c r="V541" s="109"/>
      <c r="W541" s="137"/>
      <c r="X541" s="137"/>
      <c r="Y541" s="137"/>
      <c r="Z541" s="137"/>
      <c r="AA541" s="137"/>
      <c r="AB541" s="137"/>
      <c r="AC541" s="137"/>
      <c r="AD541" s="137"/>
      <c r="AE541" s="137"/>
      <c r="AF541" s="137"/>
      <c r="AG541" s="137"/>
      <c r="AH541" s="137"/>
      <c r="AI541" s="137"/>
      <c r="AJ541" s="137"/>
      <c r="AK541" s="137"/>
      <c r="AL541" s="600"/>
      <c r="AM541" s="137"/>
      <c r="AN541" s="137"/>
      <c r="AO541" s="137"/>
      <c r="AP541" s="137"/>
      <c r="AQ541" s="137"/>
      <c r="AR541" s="137"/>
      <c r="AS541" s="137"/>
      <c r="AT541" s="137"/>
      <c r="AU541" s="137"/>
      <c r="AV541" s="137"/>
      <c r="AW541" s="137"/>
      <c r="AX541" s="137"/>
      <c r="AY541" s="137"/>
      <c r="AZ541" s="137"/>
      <c r="BA541" s="137"/>
      <c r="BB541" s="239"/>
      <c r="BC541" s="239"/>
      <c r="BD541" s="239"/>
    </row>
    <row r="542" spans="1:67" s="105" customFormat="1" ht="60.75" customHeight="1" x14ac:dyDescent="0.25">
      <c r="A542" s="275" t="s">
        <v>432</v>
      </c>
      <c r="B542" s="54" t="s">
        <v>742</v>
      </c>
      <c r="C542" s="167" t="s">
        <v>432</v>
      </c>
      <c r="D542" s="324" t="s">
        <v>5101</v>
      </c>
      <c r="E542" s="1402" t="s">
        <v>432</v>
      </c>
      <c r="F542" s="151" t="s">
        <v>5104</v>
      </c>
      <c r="G542" s="230" t="s">
        <v>3507</v>
      </c>
      <c r="H542" s="167" t="s">
        <v>2408</v>
      </c>
      <c r="I542" s="167" t="s">
        <v>432</v>
      </c>
      <c r="J542" s="107" t="s">
        <v>432</v>
      </c>
      <c r="K542" s="107" t="s">
        <v>432</v>
      </c>
      <c r="L542" s="107" t="s">
        <v>432</v>
      </c>
      <c r="M542" s="107" t="s">
        <v>432</v>
      </c>
      <c r="N542" s="107" t="s">
        <v>432</v>
      </c>
      <c r="O542" s="107" t="s">
        <v>432</v>
      </c>
      <c r="P542" s="107" t="s">
        <v>432</v>
      </c>
      <c r="Q542" s="107" t="s">
        <v>432</v>
      </c>
      <c r="R542" s="107" t="s">
        <v>432</v>
      </c>
      <c r="S542" s="109" t="s">
        <v>2209</v>
      </c>
      <c r="T542" s="107" t="s">
        <v>432</v>
      </c>
      <c r="U542" s="107" t="s">
        <v>432</v>
      </c>
      <c r="V542" s="109" t="s">
        <v>2209</v>
      </c>
      <c r="W542" s="137" t="s">
        <v>432</v>
      </c>
      <c r="X542" s="137" t="s">
        <v>432</v>
      </c>
      <c r="Y542" s="137" t="s">
        <v>432</v>
      </c>
      <c r="Z542" s="137" t="s">
        <v>432</v>
      </c>
      <c r="AA542" s="137" t="s">
        <v>432</v>
      </c>
      <c r="AB542" s="137" t="s">
        <v>432</v>
      </c>
      <c r="AC542" s="137" t="s">
        <v>432</v>
      </c>
      <c r="AD542" s="137" t="s">
        <v>432</v>
      </c>
      <c r="AE542" s="137" t="s">
        <v>432</v>
      </c>
      <c r="AF542" s="137" t="s">
        <v>432</v>
      </c>
      <c r="AG542" s="137" t="s">
        <v>432</v>
      </c>
      <c r="AH542" s="137" t="s">
        <v>432</v>
      </c>
      <c r="AI542" s="137" t="s">
        <v>432</v>
      </c>
      <c r="AJ542" s="137" t="s">
        <v>432</v>
      </c>
      <c r="AK542" s="137" t="s">
        <v>432</v>
      </c>
      <c r="AL542" s="600" t="s">
        <v>432</v>
      </c>
      <c r="AM542" s="137" t="s">
        <v>432</v>
      </c>
      <c r="AN542" s="137" t="s">
        <v>432</v>
      </c>
      <c r="AO542" s="137" t="s">
        <v>432</v>
      </c>
      <c r="AP542" s="137" t="s">
        <v>432</v>
      </c>
      <c r="AQ542" s="137" t="s">
        <v>432</v>
      </c>
      <c r="AR542" s="137" t="s">
        <v>432</v>
      </c>
      <c r="AS542" s="137" t="s">
        <v>432</v>
      </c>
      <c r="AT542" s="137" t="s">
        <v>432</v>
      </c>
      <c r="AU542" s="137" t="s">
        <v>432</v>
      </c>
      <c r="AV542" s="137" t="s">
        <v>432</v>
      </c>
      <c r="AW542" s="137" t="s">
        <v>432</v>
      </c>
      <c r="AX542" s="137" t="s">
        <v>432</v>
      </c>
      <c r="AY542" s="137" t="s">
        <v>432</v>
      </c>
      <c r="AZ542" s="137" t="s">
        <v>432</v>
      </c>
      <c r="BA542" s="137" t="s">
        <v>432</v>
      </c>
      <c r="BB542" s="239" t="str">
        <f t="shared" ref="BB542:BB564" si="94">B542&amp;C542</f>
        <v>geralx</v>
      </c>
      <c r="BC542" s="239" t="str">
        <f t="shared" ref="BC542:BC564" si="95">B542&amp;C542&amp;H542</f>
        <v>geralxsigla/verbete</v>
      </c>
      <c r="BD542" s="239" t="str">
        <f t="shared" ref="BD542:BD564" si="96">B542&amp;H542</f>
        <v>geralsigla/verbete</v>
      </c>
    </row>
    <row r="543" spans="1:67" s="105" customFormat="1" ht="144" customHeight="1" x14ac:dyDescent="0.25">
      <c r="A543" s="275" t="s">
        <v>432</v>
      </c>
      <c r="B543" s="54" t="s">
        <v>742</v>
      </c>
      <c r="C543" s="167" t="s">
        <v>432</v>
      </c>
      <c r="D543" s="324" t="s">
        <v>3272</v>
      </c>
      <c r="E543" s="1402" t="s">
        <v>1306</v>
      </c>
      <c r="F543" s="151" t="s">
        <v>3273</v>
      </c>
      <c r="G543" s="230" t="s">
        <v>3507</v>
      </c>
      <c r="H543" s="167" t="s">
        <v>2408</v>
      </c>
      <c r="I543" s="167" t="s">
        <v>432</v>
      </c>
      <c r="J543" s="107" t="s">
        <v>432</v>
      </c>
      <c r="K543" s="107" t="s">
        <v>432</v>
      </c>
      <c r="L543" s="107" t="s">
        <v>432</v>
      </c>
      <c r="M543" s="107" t="s">
        <v>432</v>
      </c>
      <c r="N543" s="107" t="s">
        <v>432</v>
      </c>
      <c r="O543" s="107" t="s">
        <v>432</v>
      </c>
      <c r="P543" s="107" t="s">
        <v>432</v>
      </c>
      <c r="Q543" s="107" t="s">
        <v>432</v>
      </c>
      <c r="R543" s="107" t="s">
        <v>432</v>
      </c>
      <c r="S543" s="109" t="s">
        <v>2209</v>
      </c>
      <c r="T543" s="107" t="s">
        <v>432</v>
      </c>
      <c r="U543" s="107" t="s">
        <v>432</v>
      </c>
      <c r="V543" s="109" t="s">
        <v>2209</v>
      </c>
      <c r="W543" s="137" t="s">
        <v>432</v>
      </c>
      <c r="X543" s="137" t="s">
        <v>432</v>
      </c>
      <c r="Y543" s="137" t="s">
        <v>432</v>
      </c>
      <c r="Z543" s="137" t="s">
        <v>432</v>
      </c>
      <c r="AA543" s="137" t="s">
        <v>432</v>
      </c>
      <c r="AB543" s="137" t="s">
        <v>432</v>
      </c>
      <c r="AC543" s="137" t="s">
        <v>432</v>
      </c>
      <c r="AD543" s="137" t="s">
        <v>432</v>
      </c>
      <c r="AE543" s="137" t="s">
        <v>432</v>
      </c>
      <c r="AF543" s="137" t="s">
        <v>432</v>
      </c>
      <c r="AG543" s="137" t="s">
        <v>432</v>
      </c>
      <c r="AH543" s="137" t="s">
        <v>432</v>
      </c>
      <c r="AI543" s="137" t="s">
        <v>432</v>
      </c>
      <c r="AJ543" s="137" t="s">
        <v>432</v>
      </c>
      <c r="AK543" s="137" t="s">
        <v>432</v>
      </c>
      <c r="AL543" s="600" t="s">
        <v>432</v>
      </c>
      <c r="AM543" s="137" t="s">
        <v>432</v>
      </c>
      <c r="AN543" s="137" t="s">
        <v>432</v>
      </c>
      <c r="AO543" s="137" t="s">
        <v>432</v>
      </c>
      <c r="AP543" s="137" t="s">
        <v>432</v>
      </c>
      <c r="AQ543" s="137" t="s">
        <v>432</v>
      </c>
      <c r="AR543" s="137" t="s">
        <v>432</v>
      </c>
      <c r="AS543" s="137" t="s">
        <v>432</v>
      </c>
      <c r="AT543" s="137" t="s">
        <v>432</v>
      </c>
      <c r="AU543" s="137" t="s">
        <v>432</v>
      </c>
      <c r="AV543" s="137" t="s">
        <v>432</v>
      </c>
      <c r="AW543" s="137" t="s">
        <v>432</v>
      </c>
      <c r="AX543" s="137" t="s">
        <v>432</v>
      </c>
      <c r="AY543" s="137" t="s">
        <v>432</v>
      </c>
      <c r="AZ543" s="137" t="s">
        <v>432</v>
      </c>
      <c r="BA543" s="137" t="s">
        <v>432</v>
      </c>
      <c r="BB543" s="239" t="str">
        <f t="shared" si="94"/>
        <v>geralx</v>
      </c>
      <c r="BC543" s="239" t="str">
        <f t="shared" si="95"/>
        <v>geralxsigla/verbete</v>
      </c>
      <c r="BD543" s="239" t="str">
        <f t="shared" si="96"/>
        <v>geralsigla/verbete</v>
      </c>
    </row>
    <row r="544" spans="1:67" s="105" customFormat="1" ht="123.75" customHeight="1" x14ac:dyDescent="0.25">
      <c r="A544" s="275" t="s">
        <v>432</v>
      </c>
      <c r="B544" s="54" t="s">
        <v>742</v>
      </c>
      <c r="C544" s="167" t="s">
        <v>432</v>
      </c>
      <c r="D544" s="324" t="s">
        <v>3272</v>
      </c>
      <c r="E544" s="1402" t="s">
        <v>1705</v>
      </c>
      <c r="F544" s="151" t="s">
        <v>3274</v>
      </c>
      <c r="G544" s="230" t="s">
        <v>3507</v>
      </c>
      <c r="H544" s="167" t="s">
        <v>2408</v>
      </c>
      <c r="I544" s="167" t="s">
        <v>432</v>
      </c>
      <c r="J544" s="107" t="s">
        <v>432</v>
      </c>
      <c r="K544" s="107" t="s">
        <v>432</v>
      </c>
      <c r="L544" s="107" t="s">
        <v>432</v>
      </c>
      <c r="M544" s="107" t="s">
        <v>432</v>
      </c>
      <c r="N544" s="107" t="s">
        <v>432</v>
      </c>
      <c r="O544" s="107" t="s">
        <v>432</v>
      </c>
      <c r="P544" s="107" t="s">
        <v>432</v>
      </c>
      <c r="Q544" s="107" t="s">
        <v>432</v>
      </c>
      <c r="R544" s="107" t="s">
        <v>432</v>
      </c>
      <c r="S544" s="109" t="s">
        <v>2209</v>
      </c>
      <c r="T544" s="107" t="s">
        <v>432</v>
      </c>
      <c r="U544" s="107" t="s">
        <v>432</v>
      </c>
      <c r="V544" s="109" t="s">
        <v>2209</v>
      </c>
      <c r="W544" s="137" t="s">
        <v>432</v>
      </c>
      <c r="X544" s="137" t="s">
        <v>432</v>
      </c>
      <c r="Y544" s="137" t="s">
        <v>432</v>
      </c>
      <c r="Z544" s="137" t="s">
        <v>432</v>
      </c>
      <c r="AA544" s="137" t="s">
        <v>432</v>
      </c>
      <c r="AB544" s="137" t="s">
        <v>432</v>
      </c>
      <c r="AC544" s="137" t="s">
        <v>432</v>
      </c>
      <c r="AD544" s="137" t="s">
        <v>432</v>
      </c>
      <c r="AE544" s="137" t="s">
        <v>432</v>
      </c>
      <c r="AF544" s="137" t="s">
        <v>432</v>
      </c>
      <c r="AG544" s="137" t="s">
        <v>432</v>
      </c>
      <c r="AH544" s="137" t="s">
        <v>432</v>
      </c>
      <c r="AI544" s="137" t="s">
        <v>432</v>
      </c>
      <c r="AJ544" s="137" t="s">
        <v>432</v>
      </c>
      <c r="AK544" s="137" t="s">
        <v>432</v>
      </c>
      <c r="AL544" s="600" t="s">
        <v>432</v>
      </c>
      <c r="AM544" s="137" t="s">
        <v>432</v>
      </c>
      <c r="AN544" s="137" t="s">
        <v>432</v>
      </c>
      <c r="AO544" s="137" t="s">
        <v>432</v>
      </c>
      <c r="AP544" s="137" t="s">
        <v>432</v>
      </c>
      <c r="AQ544" s="137" t="s">
        <v>432</v>
      </c>
      <c r="AR544" s="137" t="s">
        <v>432</v>
      </c>
      <c r="AS544" s="137" t="s">
        <v>432</v>
      </c>
      <c r="AT544" s="137" t="s">
        <v>432</v>
      </c>
      <c r="AU544" s="137" t="s">
        <v>432</v>
      </c>
      <c r="AV544" s="137" t="s">
        <v>432</v>
      </c>
      <c r="AW544" s="137" t="s">
        <v>432</v>
      </c>
      <c r="AX544" s="137" t="s">
        <v>432</v>
      </c>
      <c r="AY544" s="137" t="s">
        <v>432</v>
      </c>
      <c r="AZ544" s="137" t="s">
        <v>432</v>
      </c>
      <c r="BA544" s="137" t="s">
        <v>432</v>
      </c>
      <c r="BB544" s="239" t="str">
        <f t="shared" si="94"/>
        <v>geralx</v>
      </c>
      <c r="BC544" s="239" t="str">
        <f t="shared" si="95"/>
        <v>geralxsigla/verbete</v>
      </c>
      <c r="BD544" s="239" t="str">
        <f t="shared" si="96"/>
        <v>geralsigla/verbete</v>
      </c>
    </row>
    <row r="545" spans="1:56" s="3" customFormat="1" ht="151.5" customHeight="1" x14ac:dyDescent="0.25">
      <c r="A545" s="275" t="str">
        <f>'Q100b-totais'!$B$44</f>
        <v>5.2</v>
      </c>
      <c r="B545" s="54" t="str">
        <f>'Q100b-totais'!$C$44</f>
        <v>Poluição do ar</v>
      </c>
      <c r="C545" s="167" t="s">
        <v>432</v>
      </c>
      <c r="D545" s="325" t="s">
        <v>138</v>
      </c>
      <c r="E545" s="1512" t="s">
        <v>432</v>
      </c>
      <c r="F545" s="15" t="s">
        <v>1300</v>
      </c>
      <c r="G545" s="230" t="s">
        <v>3507</v>
      </c>
      <c r="H545" s="167" t="s">
        <v>2408</v>
      </c>
      <c r="I545" s="167" t="s">
        <v>432</v>
      </c>
      <c r="J545" s="107" t="s">
        <v>432</v>
      </c>
      <c r="K545" s="107" t="s">
        <v>432</v>
      </c>
      <c r="L545" s="107" t="s">
        <v>432</v>
      </c>
      <c r="M545" s="107" t="s">
        <v>432</v>
      </c>
      <c r="N545" s="107" t="s">
        <v>432</v>
      </c>
      <c r="O545" s="107" t="s">
        <v>432</v>
      </c>
      <c r="P545" s="107" t="s">
        <v>432</v>
      </c>
      <c r="Q545" s="107" t="s">
        <v>432</v>
      </c>
      <c r="R545" s="107" t="s">
        <v>432</v>
      </c>
      <c r="S545" s="109" t="s">
        <v>2209</v>
      </c>
      <c r="T545" s="107" t="s">
        <v>432</v>
      </c>
      <c r="U545" s="107" t="s">
        <v>432</v>
      </c>
      <c r="V545" s="109" t="s">
        <v>2209</v>
      </c>
      <c r="W545" s="137" t="s">
        <v>432</v>
      </c>
      <c r="X545" s="137" t="s">
        <v>432</v>
      </c>
      <c r="Y545" s="137" t="s">
        <v>432</v>
      </c>
      <c r="Z545" s="137" t="s">
        <v>432</v>
      </c>
      <c r="AA545" s="137" t="s">
        <v>432</v>
      </c>
      <c r="AB545" s="137" t="s">
        <v>432</v>
      </c>
      <c r="AC545" s="137" t="s">
        <v>432</v>
      </c>
      <c r="AD545" s="137" t="s">
        <v>432</v>
      </c>
      <c r="AE545" s="137" t="s">
        <v>432</v>
      </c>
      <c r="AF545" s="137" t="s">
        <v>432</v>
      </c>
      <c r="AG545" s="137" t="s">
        <v>432</v>
      </c>
      <c r="AH545" s="137" t="s">
        <v>432</v>
      </c>
      <c r="AI545" s="137" t="s">
        <v>432</v>
      </c>
      <c r="AJ545" s="137" t="s">
        <v>432</v>
      </c>
      <c r="AK545" s="137" t="s">
        <v>432</v>
      </c>
      <c r="AL545" s="600" t="s">
        <v>432</v>
      </c>
      <c r="AM545" s="137" t="s">
        <v>432</v>
      </c>
      <c r="AN545" s="137" t="s">
        <v>432</v>
      </c>
      <c r="AO545" s="137" t="s">
        <v>432</v>
      </c>
      <c r="AP545" s="137" t="s">
        <v>432</v>
      </c>
      <c r="AQ545" s="137" t="s">
        <v>432</v>
      </c>
      <c r="AR545" s="137" t="s">
        <v>432</v>
      </c>
      <c r="AS545" s="137" t="s">
        <v>432</v>
      </c>
      <c r="AT545" s="137" t="s">
        <v>432</v>
      </c>
      <c r="AU545" s="137" t="s">
        <v>432</v>
      </c>
      <c r="AV545" s="137" t="s">
        <v>432</v>
      </c>
      <c r="AW545" s="137" t="s">
        <v>432</v>
      </c>
      <c r="AX545" s="137" t="s">
        <v>432</v>
      </c>
      <c r="AY545" s="137" t="s">
        <v>432</v>
      </c>
      <c r="AZ545" s="137" t="s">
        <v>432</v>
      </c>
      <c r="BA545" s="137" t="s">
        <v>432</v>
      </c>
      <c r="BB545" s="239" t="str">
        <f t="shared" si="94"/>
        <v>Poluição do arx</v>
      </c>
      <c r="BC545" s="239" t="str">
        <f t="shared" si="95"/>
        <v>Poluição do arxsigla/verbete</v>
      </c>
      <c r="BD545" s="239" t="str">
        <f t="shared" si="96"/>
        <v>Poluição do arsigla/verbete</v>
      </c>
    </row>
    <row r="546" spans="1:56" s="3" customFormat="1" ht="62.25" customHeight="1" x14ac:dyDescent="0.25">
      <c r="A546" s="275" t="str">
        <f>'Q100b-totais'!$B$44</f>
        <v>5.2</v>
      </c>
      <c r="B546" s="54" t="str">
        <f>'Q100b-totais'!$C$44</f>
        <v>Poluição do ar</v>
      </c>
      <c r="C546" s="167" t="s">
        <v>432</v>
      </c>
      <c r="D546" s="325" t="s">
        <v>139</v>
      </c>
      <c r="E546" s="1512" t="s">
        <v>1306</v>
      </c>
      <c r="F546" s="15" t="s">
        <v>3108</v>
      </c>
      <c r="G546" s="110" t="s">
        <v>77</v>
      </c>
      <c r="H546" s="167" t="s">
        <v>432</v>
      </c>
      <c r="I546" s="167">
        <v>1</v>
      </c>
      <c r="J546" s="107" t="s">
        <v>432</v>
      </c>
      <c r="K546" s="107" t="s">
        <v>432</v>
      </c>
      <c r="L546" s="107" t="s">
        <v>432</v>
      </c>
      <c r="M546" s="107" t="s">
        <v>432</v>
      </c>
      <c r="N546" s="107" t="s">
        <v>432</v>
      </c>
      <c r="O546" s="107" t="s">
        <v>432</v>
      </c>
      <c r="P546" s="107" t="s">
        <v>432</v>
      </c>
      <c r="Q546" s="107" t="s">
        <v>432</v>
      </c>
      <c r="R546" s="107" t="s">
        <v>432</v>
      </c>
      <c r="S546" s="109" t="s">
        <v>2209</v>
      </c>
      <c r="T546" s="107" t="s">
        <v>432</v>
      </c>
      <c r="U546" s="107" t="s">
        <v>432</v>
      </c>
      <c r="V546" s="109" t="s">
        <v>2209</v>
      </c>
      <c r="W546" s="123">
        <v>0.78900000000000003</v>
      </c>
      <c r="X546" s="124">
        <v>0.80600000000000005</v>
      </c>
      <c r="Y546" s="124">
        <v>0.76700000000000002</v>
      </c>
      <c r="Z546" s="124">
        <v>0.82799999999999996</v>
      </c>
      <c r="AA546" s="124">
        <v>0.92300000000000004</v>
      </c>
      <c r="AB546" s="124">
        <v>0.83560000000000001</v>
      </c>
      <c r="AC546" s="124">
        <v>0.75070000000000003</v>
      </c>
      <c r="AD546" s="124">
        <v>0.71299999999999997</v>
      </c>
      <c r="AE546" s="125">
        <v>0.50700000000000001</v>
      </c>
      <c r="AF546" s="125">
        <v>0.55300000000000005</v>
      </c>
      <c r="AG546" s="125">
        <v>0.64900000000000002</v>
      </c>
      <c r="AH546" s="125">
        <v>0.69399999999999995</v>
      </c>
      <c r="AI546" s="622" t="s">
        <v>2213</v>
      </c>
      <c r="AJ546" s="622" t="s">
        <v>2213</v>
      </c>
      <c r="AK546" s="622" t="s">
        <v>2213</v>
      </c>
      <c r="AL546" s="600" t="s">
        <v>432</v>
      </c>
      <c r="AM546" s="137" t="s">
        <v>432</v>
      </c>
      <c r="AN546" s="137" t="s">
        <v>432</v>
      </c>
      <c r="AO546" s="137" t="s">
        <v>432</v>
      </c>
      <c r="AP546" s="137" t="s">
        <v>432</v>
      </c>
      <c r="AQ546" s="137" t="s">
        <v>432</v>
      </c>
      <c r="AR546" s="137" t="s">
        <v>432</v>
      </c>
      <c r="AS546" s="137" t="s">
        <v>432</v>
      </c>
      <c r="AT546" s="137" t="s">
        <v>432</v>
      </c>
      <c r="AU546" s="137" t="s">
        <v>432</v>
      </c>
      <c r="AV546" s="137" t="s">
        <v>432</v>
      </c>
      <c r="AW546" s="137" t="s">
        <v>432</v>
      </c>
      <c r="AX546" s="137" t="s">
        <v>432</v>
      </c>
      <c r="AY546" s="137" t="s">
        <v>432</v>
      </c>
      <c r="AZ546" s="137" t="s">
        <v>432</v>
      </c>
      <c r="BA546" s="137" t="s">
        <v>432</v>
      </c>
      <c r="BB546" s="239" t="str">
        <f t="shared" si="94"/>
        <v>Poluição do arx</v>
      </c>
      <c r="BC546" s="239" t="str">
        <f t="shared" si="95"/>
        <v>Poluição do arxx</v>
      </c>
      <c r="BD546" s="239" t="str">
        <f t="shared" si="96"/>
        <v>Poluição do arx</v>
      </c>
    </row>
    <row r="547" spans="1:56" s="3" customFormat="1" ht="52.5" customHeight="1" x14ac:dyDescent="0.25">
      <c r="A547" s="275" t="str">
        <f>'Q100b-totais'!$B$44</f>
        <v>5.2</v>
      </c>
      <c r="B547" s="54" t="str">
        <f>'Q100b-totais'!$C$44</f>
        <v>Poluição do ar</v>
      </c>
      <c r="C547" s="167" t="s">
        <v>432</v>
      </c>
      <c r="D547" s="325" t="s">
        <v>140</v>
      </c>
      <c r="E547" s="1512" t="s">
        <v>1306</v>
      </c>
      <c r="F547" s="15" t="s">
        <v>3109</v>
      </c>
      <c r="G547" s="110" t="s">
        <v>77</v>
      </c>
      <c r="H547" s="167" t="s">
        <v>432</v>
      </c>
      <c r="I547" s="167">
        <v>1</v>
      </c>
      <c r="J547" s="107" t="s">
        <v>432</v>
      </c>
      <c r="K547" s="107" t="s">
        <v>432</v>
      </c>
      <c r="L547" s="107" t="s">
        <v>432</v>
      </c>
      <c r="M547" s="107" t="s">
        <v>432</v>
      </c>
      <c r="N547" s="107" t="s">
        <v>432</v>
      </c>
      <c r="O547" s="107" t="s">
        <v>432</v>
      </c>
      <c r="P547" s="107" t="s">
        <v>432</v>
      </c>
      <c r="Q547" s="107" t="s">
        <v>432</v>
      </c>
      <c r="R547" s="107" t="s">
        <v>432</v>
      </c>
      <c r="S547" s="109" t="s">
        <v>2209</v>
      </c>
      <c r="T547" s="107" t="s">
        <v>432</v>
      </c>
      <c r="U547" s="107" t="s">
        <v>432</v>
      </c>
      <c r="V547" s="109" t="s">
        <v>2209</v>
      </c>
      <c r="W547" s="125">
        <v>0</v>
      </c>
      <c r="X547" s="125">
        <v>0</v>
      </c>
      <c r="Y547" s="125">
        <v>3.0000000000000001E-3</v>
      </c>
      <c r="Z547" s="125">
        <v>0</v>
      </c>
      <c r="AA547" s="125">
        <v>0</v>
      </c>
      <c r="AB547" s="125">
        <v>0</v>
      </c>
      <c r="AC547" s="125">
        <v>0</v>
      </c>
      <c r="AD547" s="125">
        <v>0</v>
      </c>
      <c r="AE547" s="125">
        <v>0</v>
      </c>
      <c r="AF547" s="125">
        <v>3.0000000000000001E-3</v>
      </c>
      <c r="AG547" s="125">
        <v>3.0000000000000001E-3</v>
      </c>
      <c r="AH547" s="125">
        <v>1.6E-2</v>
      </c>
      <c r="AI547" s="622" t="s">
        <v>2213</v>
      </c>
      <c r="AJ547" s="622" t="s">
        <v>2213</v>
      </c>
      <c r="AK547" s="622" t="s">
        <v>2213</v>
      </c>
      <c r="AL547" s="600" t="s">
        <v>432</v>
      </c>
      <c r="AM547" s="137" t="s">
        <v>432</v>
      </c>
      <c r="AN547" s="137" t="s">
        <v>432</v>
      </c>
      <c r="AO547" s="137" t="s">
        <v>432</v>
      </c>
      <c r="AP547" s="137" t="s">
        <v>432</v>
      </c>
      <c r="AQ547" s="137" t="s">
        <v>432</v>
      </c>
      <c r="AR547" s="137" t="s">
        <v>432</v>
      </c>
      <c r="AS547" s="137" t="s">
        <v>432</v>
      </c>
      <c r="AT547" s="137" t="s">
        <v>432</v>
      </c>
      <c r="AU547" s="137" t="s">
        <v>432</v>
      </c>
      <c r="AV547" s="137" t="s">
        <v>432</v>
      </c>
      <c r="AW547" s="137" t="s">
        <v>432</v>
      </c>
      <c r="AX547" s="137" t="s">
        <v>432</v>
      </c>
      <c r="AY547" s="137" t="s">
        <v>432</v>
      </c>
      <c r="AZ547" s="137" t="s">
        <v>432</v>
      </c>
      <c r="BA547" s="137" t="s">
        <v>432</v>
      </c>
      <c r="BB547" s="239" t="str">
        <f t="shared" si="94"/>
        <v>Poluição do arx</v>
      </c>
      <c r="BC547" s="239" t="str">
        <f t="shared" si="95"/>
        <v>Poluição do arxx</v>
      </c>
      <c r="BD547" s="239" t="str">
        <f t="shared" si="96"/>
        <v>Poluição do arx</v>
      </c>
    </row>
    <row r="548" spans="1:56" s="3" customFormat="1" ht="58.5" customHeight="1" x14ac:dyDescent="0.25">
      <c r="A548" s="275" t="str">
        <f>'Q100b-totais'!$B$44</f>
        <v>5.2</v>
      </c>
      <c r="B548" s="54" t="str">
        <f>'Q100b-totais'!$C$44</f>
        <v>Poluição do ar</v>
      </c>
      <c r="C548" s="167" t="s">
        <v>432</v>
      </c>
      <c r="D548" s="325" t="s">
        <v>141</v>
      </c>
      <c r="E548" s="1512" t="s">
        <v>1306</v>
      </c>
      <c r="F548" s="15" t="s">
        <v>3110</v>
      </c>
      <c r="G548" s="110" t="s">
        <v>77</v>
      </c>
      <c r="H548" s="167" t="s">
        <v>432</v>
      </c>
      <c r="I548" s="167">
        <v>1</v>
      </c>
      <c r="J548" s="107" t="s">
        <v>432</v>
      </c>
      <c r="K548" s="107" t="s">
        <v>432</v>
      </c>
      <c r="L548" s="107" t="s">
        <v>432</v>
      </c>
      <c r="M548" s="107" t="s">
        <v>432</v>
      </c>
      <c r="N548" s="107" t="s">
        <v>432</v>
      </c>
      <c r="O548" s="107" t="s">
        <v>432</v>
      </c>
      <c r="P548" s="107" t="s">
        <v>432</v>
      </c>
      <c r="Q548" s="107" t="s">
        <v>432</v>
      </c>
      <c r="R548" s="107" t="s">
        <v>432</v>
      </c>
      <c r="S548" s="109" t="s">
        <v>2209</v>
      </c>
      <c r="T548" s="107" t="s">
        <v>432</v>
      </c>
      <c r="U548" s="107" t="s">
        <v>432</v>
      </c>
      <c r="V548" s="109" t="s">
        <v>2209</v>
      </c>
      <c r="W548" s="125">
        <v>0</v>
      </c>
      <c r="X548" s="125">
        <v>0</v>
      </c>
      <c r="Y548" s="125" t="s">
        <v>432</v>
      </c>
      <c r="Z548" s="125" t="s">
        <v>432</v>
      </c>
      <c r="AA548" s="125" t="s">
        <v>432</v>
      </c>
      <c r="AB548" s="125" t="s">
        <v>432</v>
      </c>
      <c r="AC548" s="125" t="s">
        <v>432</v>
      </c>
      <c r="AD548" s="125" t="s">
        <v>432</v>
      </c>
      <c r="AE548" s="125" t="s">
        <v>432</v>
      </c>
      <c r="AF548" s="125" t="s">
        <v>432</v>
      </c>
      <c r="AG548" s="125" t="s">
        <v>432</v>
      </c>
      <c r="AH548" s="125">
        <v>0</v>
      </c>
      <c r="AI548" s="622" t="s">
        <v>2213</v>
      </c>
      <c r="AJ548" s="622" t="s">
        <v>2213</v>
      </c>
      <c r="AK548" s="622" t="s">
        <v>2213</v>
      </c>
      <c r="AL548" s="600" t="s">
        <v>432</v>
      </c>
      <c r="AM548" s="137" t="s">
        <v>432</v>
      </c>
      <c r="AN548" s="137" t="s">
        <v>432</v>
      </c>
      <c r="AO548" s="137" t="s">
        <v>432</v>
      </c>
      <c r="AP548" s="137" t="s">
        <v>432</v>
      </c>
      <c r="AQ548" s="137" t="s">
        <v>432</v>
      </c>
      <c r="AR548" s="137" t="s">
        <v>432</v>
      </c>
      <c r="AS548" s="137" t="s">
        <v>432</v>
      </c>
      <c r="AT548" s="137" t="s">
        <v>432</v>
      </c>
      <c r="AU548" s="137" t="s">
        <v>432</v>
      </c>
      <c r="AV548" s="137" t="s">
        <v>432</v>
      </c>
      <c r="AW548" s="137" t="s">
        <v>432</v>
      </c>
      <c r="AX548" s="137" t="s">
        <v>432</v>
      </c>
      <c r="AY548" s="137" t="s">
        <v>432</v>
      </c>
      <c r="AZ548" s="137" t="s">
        <v>432</v>
      </c>
      <c r="BA548" s="137" t="s">
        <v>432</v>
      </c>
      <c r="BB548" s="239" t="str">
        <f t="shared" si="94"/>
        <v>Poluição do arx</v>
      </c>
      <c r="BC548" s="239" t="str">
        <f t="shared" si="95"/>
        <v>Poluição do arxx</v>
      </c>
      <c r="BD548" s="239" t="str">
        <f t="shared" si="96"/>
        <v>Poluição do arx</v>
      </c>
    </row>
    <row r="549" spans="1:56" s="1" customFormat="1" ht="51" x14ac:dyDescent="0.25">
      <c r="A549" s="275" t="str">
        <f>'Q100b-totais'!$B$44</f>
        <v>5.2</v>
      </c>
      <c r="B549" s="54" t="str">
        <f>'Q100b-totais'!$C$44</f>
        <v>Poluição do ar</v>
      </c>
      <c r="C549" s="167" t="s">
        <v>432</v>
      </c>
      <c r="D549" s="325" t="s">
        <v>142</v>
      </c>
      <c r="E549" s="1512" t="s">
        <v>1306</v>
      </c>
      <c r="F549" s="15" t="s">
        <v>722</v>
      </c>
      <c r="G549" s="412" t="s">
        <v>723</v>
      </c>
      <c r="H549" s="167" t="s">
        <v>432</v>
      </c>
      <c r="I549" s="167">
        <v>1</v>
      </c>
      <c r="J549" s="107" t="s">
        <v>432</v>
      </c>
      <c r="K549" s="107" t="s">
        <v>432</v>
      </c>
      <c r="L549" s="107" t="s">
        <v>432</v>
      </c>
      <c r="M549" s="107" t="s">
        <v>432</v>
      </c>
      <c r="N549" s="107" t="s">
        <v>432</v>
      </c>
      <c r="O549" s="107" t="s">
        <v>432</v>
      </c>
      <c r="P549" s="107" t="s">
        <v>432</v>
      </c>
      <c r="Q549" s="107" t="s">
        <v>432</v>
      </c>
      <c r="R549" s="107" t="s">
        <v>432</v>
      </c>
      <c r="S549" s="109" t="s">
        <v>2209</v>
      </c>
      <c r="T549" s="107" t="s">
        <v>432</v>
      </c>
      <c r="U549" s="107" t="s">
        <v>432</v>
      </c>
      <c r="V549" s="109" t="s">
        <v>2209</v>
      </c>
      <c r="W549" s="47">
        <f>W548+W547+W546+W551</f>
        <v>0.84400000000000008</v>
      </c>
      <c r="X549" s="47">
        <f>X548+X547+X546+X551</f>
        <v>0.93200000000000005</v>
      </c>
      <c r="Y549" s="47">
        <f t="shared" ref="Y549:AK549" si="97">Y547+Y546+Y551</f>
        <v>0.98099999999999998</v>
      </c>
      <c r="Z549" s="47">
        <f t="shared" si="97"/>
        <v>0.91799999999999993</v>
      </c>
      <c r="AA549" s="47">
        <f t="shared" si="97"/>
        <v>0.99199999999999999</v>
      </c>
      <c r="AB549" s="47">
        <f t="shared" si="97"/>
        <v>0.98629999999999995</v>
      </c>
      <c r="AC549" s="47">
        <f t="shared" si="97"/>
        <v>0.94520000000000004</v>
      </c>
      <c r="AD549" s="47">
        <f t="shared" si="97"/>
        <v>0.94299999999999995</v>
      </c>
      <c r="AE549" s="47">
        <f t="shared" si="97"/>
        <v>0.59199999999999997</v>
      </c>
      <c r="AF549" s="47">
        <f t="shared" si="97"/>
        <v>0.68800000000000006</v>
      </c>
      <c r="AG549" s="47">
        <f t="shared" si="97"/>
        <v>0.97500000000000009</v>
      </c>
      <c r="AH549" s="47">
        <f t="shared" si="97"/>
        <v>0.98899999999999999</v>
      </c>
      <c r="AI549" s="47" t="e">
        <f t="shared" si="97"/>
        <v>#VALUE!</v>
      </c>
      <c r="AJ549" s="47" t="e">
        <f t="shared" si="97"/>
        <v>#VALUE!</v>
      </c>
      <c r="AK549" s="47" t="e">
        <f t="shared" si="97"/>
        <v>#VALUE!</v>
      </c>
      <c r="AL549" s="600" t="s">
        <v>432</v>
      </c>
      <c r="AM549" s="137" t="s">
        <v>432</v>
      </c>
      <c r="AN549" s="137" t="s">
        <v>432</v>
      </c>
      <c r="AO549" s="137" t="s">
        <v>432</v>
      </c>
      <c r="AP549" s="137" t="s">
        <v>432</v>
      </c>
      <c r="AQ549" s="137" t="s">
        <v>432</v>
      </c>
      <c r="AR549" s="137" t="s">
        <v>432</v>
      </c>
      <c r="AS549" s="137" t="s">
        <v>432</v>
      </c>
      <c r="AT549" s="137" t="s">
        <v>432</v>
      </c>
      <c r="AU549" s="137" t="s">
        <v>432</v>
      </c>
      <c r="AV549" s="137" t="s">
        <v>432</v>
      </c>
      <c r="AW549" s="137" t="s">
        <v>432</v>
      </c>
      <c r="AX549" s="137" t="s">
        <v>432</v>
      </c>
      <c r="AY549" s="137" t="s">
        <v>432</v>
      </c>
      <c r="AZ549" s="137" t="s">
        <v>432</v>
      </c>
      <c r="BA549" s="137" t="s">
        <v>432</v>
      </c>
      <c r="BB549" s="239" t="str">
        <f t="shared" si="94"/>
        <v>Poluição do arx</v>
      </c>
      <c r="BC549" s="239" t="str">
        <f t="shared" si="95"/>
        <v>Poluição do arxx</v>
      </c>
      <c r="BD549" s="239" t="str">
        <f t="shared" si="96"/>
        <v>Poluição do arx</v>
      </c>
    </row>
    <row r="550" spans="1:56" s="1" customFormat="1" ht="51" x14ac:dyDescent="0.25">
      <c r="A550" s="275" t="str">
        <f>'Q100b-totais'!$B$44</f>
        <v>5.2</v>
      </c>
      <c r="B550" s="54" t="str">
        <f>'Q100b-totais'!$C$44</f>
        <v>Poluição do ar</v>
      </c>
      <c r="C550" s="167" t="s">
        <v>432</v>
      </c>
      <c r="D550" s="325" t="s">
        <v>143</v>
      </c>
      <c r="E550" s="1512" t="s">
        <v>1306</v>
      </c>
      <c r="F550" s="15" t="s">
        <v>3111</v>
      </c>
      <c r="G550" s="110" t="s">
        <v>77</v>
      </c>
      <c r="H550" s="167" t="s">
        <v>432</v>
      </c>
      <c r="I550" s="167">
        <v>1</v>
      </c>
      <c r="J550" s="107" t="s">
        <v>432</v>
      </c>
      <c r="K550" s="107" t="s">
        <v>432</v>
      </c>
      <c r="L550" s="107" t="s">
        <v>432</v>
      </c>
      <c r="M550" s="107" t="s">
        <v>432</v>
      </c>
      <c r="N550" s="107" t="s">
        <v>432</v>
      </c>
      <c r="O550" s="107" t="s">
        <v>432</v>
      </c>
      <c r="P550" s="107" t="s">
        <v>432</v>
      </c>
      <c r="Q550" s="107" t="s">
        <v>432</v>
      </c>
      <c r="R550" s="107" t="s">
        <v>432</v>
      </c>
      <c r="S550" s="109" t="s">
        <v>2209</v>
      </c>
      <c r="T550" s="107" t="s">
        <v>432</v>
      </c>
      <c r="U550" s="107" t="s">
        <v>432</v>
      </c>
      <c r="V550" s="109" t="s">
        <v>2209</v>
      </c>
      <c r="W550" s="125">
        <v>0.156</v>
      </c>
      <c r="X550" s="125">
        <v>6.8000000000000005E-2</v>
      </c>
      <c r="Y550" s="125">
        <v>0.02</v>
      </c>
      <c r="Z550" s="125">
        <v>8.2000000000000003E-2</v>
      </c>
      <c r="AA550" s="125">
        <v>8.0000000000000002E-3</v>
      </c>
      <c r="AB550" s="125">
        <v>1.37E-2</v>
      </c>
      <c r="AC550" s="125">
        <v>5.4800000000000001E-2</v>
      </c>
      <c r="AD550" s="125">
        <v>5.7000000000000002E-2</v>
      </c>
      <c r="AE550" s="125">
        <v>0.40799999999999997</v>
      </c>
      <c r="AF550" s="125">
        <v>0.312</v>
      </c>
      <c r="AG550" s="125">
        <v>2.5000000000000001E-2</v>
      </c>
      <c r="AH550" s="125">
        <v>1.0999999999999999E-2</v>
      </c>
      <c r="AI550" s="622" t="s">
        <v>2213</v>
      </c>
      <c r="AJ550" s="622" t="s">
        <v>2213</v>
      </c>
      <c r="AK550" s="622" t="s">
        <v>2213</v>
      </c>
      <c r="AL550" s="600" t="s">
        <v>432</v>
      </c>
      <c r="AM550" s="137" t="s">
        <v>432</v>
      </c>
      <c r="AN550" s="137" t="s">
        <v>432</v>
      </c>
      <c r="AO550" s="137" t="s">
        <v>432</v>
      </c>
      <c r="AP550" s="137" t="s">
        <v>432</v>
      </c>
      <c r="AQ550" s="137" t="s">
        <v>432</v>
      </c>
      <c r="AR550" s="137" t="s">
        <v>432</v>
      </c>
      <c r="AS550" s="137" t="s">
        <v>432</v>
      </c>
      <c r="AT550" s="137" t="s">
        <v>432</v>
      </c>
      <c r="AU550" s="137" t="s">
        <v>432</v>
      </c>
      <c r="AV550" s="137" t="s">
        <v>432</v>
      </c>
      <c r="AW550" s="137" t="s">
        <v>432</v>
      </c>
      <c r="AX550" s="137" t="s">
        <v>432</v>
      </c>
      <c r="AY550" s="137" t="s">
        <v>432</v>
      </c>
      <c r="AZ550" s="137" t="s">
        <v>432</v>
      </c>
      <c r="BA550" s="137" t="s">
        <v>432</v>
      </c>
      <c r="BB550" s="239" t="str">
        <f t="shared" si="94"/>
        <v>Poluição do arx</v>
      </c>
      <c r="BC550" s="239" t="str">
        <f t="shared" si="95"/>
        <v>Poluição do arxx</v>
      </c>
      <c r="BD550" s="239" t="str">
        <f t="shared" si="96"/>
        <v>Poluição do arx</v>
      </c>
    </row>
    <row r="551" spans="1:56" s="1" customFormat="1" ht="56.25" customHeight="1" x14ac:dyDescent="0.25">
      <c r="A551" s="275" t="str">
        <f>'Q100b-totais'!$B$44</f>
        <v>5.2</v>
      </c>
      <c r="B551" s="54" t="str">
        <f>'Q100b-totais'!$C$44</f>
        <v>Poluição do ar</v>
      </c>
      <c r="C551" s="167" t="s">
        <v>432</v>
      </c>
      <c r="D551" s="324" t="s">
        <v>144</v>
      </c>
      <c r="E551" s="1512" t="s">
        <v>1306</v>
      </c>
      <c r="F551" s="15" t="s">
        <v>3112</v>
      </c>
      <c r="G551" s="110" t="s">
        <v>77</v>
      </c>
      <c r="H551" s="167" t="s">
        <v>432</v>
      </c>
      <c r="I551" s="57">
        <v>1</v>
      </c>
      <c r="J551" s="107" t="s">
        <v>432</v>
      </c>
      <c r="K551" s="107" t="s">
        <v>432</v>
      </c>
      <c r="L551" s="107" t="s">
        <v>432</v>
      </c>
      <c r="M551" s="107" t="s">
        <v>432</v>
      </c>
      <c r="N551" s="107" t="s">
        <v>432</v>
      </c>
      <c r="O551" s="107" t="s">
        <v>432</v>
      </c>
      <c r="P551" s="107" t="s">
        <v>432</v>
      </c>
      <c r="Q551" s="107" t="s">
        <v>432</v>
      </c>
      <c r="R551" s="107" t="s">
        <v>432</v>
      </c>
      <c r="S551" s="109" t="s">
        <v>2209</v>
      </c>
      <c r="T551" s="107" t="s">
        <v>432</v>
      </c>
      <c r="U551" s="107" t="s">
        <v>432</v>
      </c>
      <c r="V551" s="109" t="s">
        <v>2209</v>
      </c>
      <c r="W551" s="125">
        <v>5.5E-2</v>
      </c>
      <c r="X551" s="125">
        <v>0.126</v>
      </c>
      <c r="Y551" s="125">
        <v>0.21099999999999999</v>
      </c>
      <c r="Z551" s="125">
        <v>0.09</v>
      </c>
      <c r="AA551" s="125">
        <v>6.9000000000000006E-2</v>
      </c>
      <c r="AB551" s="125">
        <v>0.1507</v>
      </c>
      <c r="AC551" s="125">
        <v>0.19450000000000001</v>
      </c>
      <c r="AD551" s="125">
        <v>0.23</v>
      </c>
      <c r="AE551" s="125">
        <v>8.5000000000000006E-2</v>
      </c>
      <c r="AF551" s="125">
        <v>0.13200000000000001</v>
      </c>
      <c r="AG551" s="125">
        <v>0.32300000000000001</v>
      </c>
      <c r="AH551" s="125">
        <v>0.27900000000000003</v>
      </c>
      <c r="AI551" s="622" t="s">
        <v>2213</v>
      </c>
      <c r="AJ551" s="622" t="s">
        <v>2213</v>
      </c>
      <c r="AK551" s="622" t="s">
        <v>2213</v>
      </c>
      <c r="AL551" s="600" t="s">
        <v>432</v>
      </c>
      <c r="AM551" s="137" t="s">
        <v>432</v>
      </c>
      <c r="AN551" s="137" t="s">
        <v>432</v>
      </c>
      <c r="AO551" s="137" t="s">
        <v>432</v>
      </c>
      <c r="AP551" s="137" t="s">
        <v>432</v>
      </c>
      <c r="AQ551" s="137" t="s">
        <v>432</v>
      </c>
      <c r="AR551" s="137" t="s">
        <v>432</v>
      </c>
      <c r="AS551" s="137" t="s">
        <v>432</v>
      </c>
      <c r="AT551" s="137" t="s">
        <v>432</v>
      </c>
      <c r="AU551" s="137" t="s">
        <v>432</v>
      </c>
      <c r="AV551" s="137" t="s">
        <v>432</v>
      </c>
      <c r="AW551" s="137" t="s">
        <v>432</v>
      </c>
      <c r="AX551" s="137" t="s">
        <v>432</v>
      </c>
      <c r="AY551" s="137" t="s">
        <v>432</v>
      </c>
      <c r="AZ551" s="137" t="s">
        <v>432</v>
      </c>
      <c r="BA551" s="137" t="s">
        <v>432</v>
      </c>
      <c r="BB551" s="239" t="str">
        <f t="shared" si="94"/>
        <v>Poluição do arx</v>
      </c>
      <c r="BC551" s="239" t="str">
        <f t="shared" si="95"/>
        <v>Poluição do arxx</v>
      </c>
      <c r="BD551" s="239" t="str">
        <f t="shared" si="96"/>
        <v>Poluição do arx</v>
      </c>
    </row>
    <row r="552" spans="1:56" s="3" customFormat="1" ht="25.5" customHeight="1" x14ac:dyDescent="0.25">
      <c r="A552" s="262" t="s">
        <v>432</v>
      </c>
      <c r="B552" s="252" t="s">
        <v>742</v>
      </c>
      <c r="C552" s="167" t="s">
        <v>432</v>
      </c>
      <c r="D552" s="324" t="s">
        <v>1101</v>
      </c>
      <c r="E552" s="1496" t="s">
        <v>432</v>
      </c>
      <c r="F552" s="11" t="s">
        <v>1102</v>
      </c>
      <c r="G552" s="167" t="s">
        <v>3879</v>
      </c>
      <c r="H552" s="169" t="s">
        <v>432</v>
      </c>
      <c r="I552" s="167" t="s">
        <v>432</v>
      </c>
      <c r="J552" s="109" t="s">
        <v>432</v>
      </c>
      <c r="K552" s="109" t="s">
        <v>432</v>
      </c>
      <c r="L552" s="109" t="s">
        <v>432</v>
      </c>
      <c r="M552" s="109" t="s">
        <v>432</v>
      </c>
      <c r="N552" s="109" t="s">
        <v>432</v>
      </c>
      <c r="O552" s="109" t="s">
        <v>432</v>
      </c>
      <c r="P552" s="109" t="s">
        <v>432</v>
      </c>
      <c r="Q552" s="109" t="s">
        <v>432</v>
      </c>
      <c r="R552" s="109" t="s">
        <v>432</v>
      </c>
      <c r="S552" s="109" t="s">
        <v>2209</v>
      </c>
      <c r="T552" s="109" t="s">
        <v>432</v>
      </c>
      <c r="U552" s="109" t="s">
        <v>432</v>
      </c>
      <c r="V552" s="109" t="s">
        <v>2209</v>
      </c>
      <c r="W552" s="109" t="s">
        <v>432</v>
      </c>
      <c r="X552" s="109" t="s">
        <v>432</v>
      </c>
      <c r="Y552" s="109" t="s">
        <v>432</v>
      </c>
      <c r="Z552" s="109" t="s">
        <v>432</v>
      </c>
      <c r="AA552" s="109" t="s">
        <v>432</v>
      </c>
      <c r="AB552" s="109" t="s">
        <v>432</v>
      </c>
      <c r="AC552" s="109" t="s">
        <v>432</v>
      </c>
      <c r="AD552" s="109" t="s">
        <v>432</v>
      </c>
      <c r="AE552" s="109" t="s">
        <v>432</v>
      </c>
      <c r="AF552" s="109" t="s">
        <v>432</v>
      </c>
      <c r="AG552" s="109" t="s">
        <v>432</v>
      </c>
      <c r="AH552" s="109" t="s">
        <v>432</v>
      </c>
      <c r="AI552" s="109" t="s">
        <v>432</v>
      </c>
      <c r="AJ552" s="109" t="s">
        <v>432</v>
      </c>
      <c r="AK552" s="109" t="s">
        <v>432</v>
      </c>
      <c r="AL552" s="600" t="s">
        <v>432</v>
      </c>
      <c r="AM552" s="109" t="s">
        <v>432</v>
      </c>
      <c r="AN552" s="109" t="s">
        <v>432</v>
      </c>
      <c r="AO552" s="109" t="s">
        <v>432</v>
      </c>
      <c r="AP552" s="109" t="s">
        <v>432</v>
      </c>
      <c r="AQ552" s="109" t="s">
        <v>432</v>
      </c>
      <c r="AR552" s="109" t="s">
        <v>432</v>
      </c>
      <c r="AS552" s="109" t="s">
        <v>432</v>
      </c>
      <c r="AT552" s="109" t="s">
        <v>432</v>
      </c>
      <c r="AU552" s="109" t="s">
        <v>432</v>
      </c>
      <c r="AV552" s="109" t="s">
        <v>432</v>
      </c>
      <c r="AW552" s="137" t="s">
        <v>432</v>
      </c>
      <c r="AX552" s="109" t="s">
        <v>432</v>
      </c>
      <c r="AY552" s="109" t="s">
        <v>432</v>
      </c>
      <c r="AZ552" s="109" t="s">
        <v>432</v>
      </c>
      <c r="BA552" s="109" t="s">
        <v>432</v>
      </c>
      <c r="BB552" s="239" t="str">
        <f t="shared" si="94"/>
        <v>geralx</v>
      </c>
      <c r="BC552" s="239" t="str">
        <f t="shared" si="95"/>
        <v>geralxx</v>
      </c>
      <c r="BD552" s="239" t="str">
        <f t="shared" si="96"/>
        <v>geralx</v>
      </c>
    </row>
    <row r="553" spans="1:56" s="3" customFormat="1" ht="38.25" x14ac:dyDescent="0.25">
      <c r="A553" s="262" t="str">
        <f>'Q100b-totais'!B22</f>
        <v>2.7</v>
      </c>
      <c r="B553" s="252" t="str">
        <f>'Q100b-totais'!C22</f>
        <v>Outras cidades/regiões</v>
      </c>
      <c r="C553" s="167" t="s">
        <v>743</v>
      </c>
      <c r="D553" s="325" t="s">
        <v>3036</v>
      </c>
      <c r="E553" s="1445" t="s">
        <v>3036</v>
      </c>
      <c r="F553" s="1327" t="s">
        <v>4232</v>
      </c>
      <c r="G553" s="230" t="s">
        <v>3507</v>
      </c>
      <c r="H553" s="167" t="s">
        <v>2408</v>
      </c>
      <c r="I553" s="167" t="s">
        <v>432</v>
      </c>
      <c r="J553" s="107" t="s">
        <v>432</v>
      </c>
      <c r="K553" s="107" t="s">
        <v>432</v>
      </c>
      <c r="L553" s="107" t="s">
        <v>432</v>
      </c>
      <c r="M553" s="107" t="s">
        <v>432</v>
      </c>
      <c r="N553" s="107" t="s">
        <v>432</v>
      </c>
      <c r="O553" s="107" t="s">
        <v>432</v>
      </c>
      <c r="P553" s="107" t="s">
        <v>432</v>
      </c>
      <c r="Q553" s="107" t="s">
        <v>432</v>
      </c>
      <c r="R553" s="107" t="s">
        <v>432</v>
      </c>
      <c r="S553" s="109" t="s">
        <v>2209</v>
      </c>
      <c r="T553" s="107" t="s">
        <v>432</v>
      </c>
      <c r="U553" s="107" t="s">
        <v>432</v>
      </c>
      <c r="V553" s="109" t="s">
        <v>2209</v>
      </c>
      <c r="W553" s="107" t="s">
        <v>432</v>
      </c>
      <c r="X553" s="107" t="s">
        <v>432</v>
      </c>
      <c r="Y553" s="107" t="s">
        <v>432</v>
      </c>
      <c r="Z553" s="107" t="s">
        <v>432</v>
      </c>
      <c r="AA553" s="107" t="s">
        <v>432</v>
      </c>
      <c r="AB553" s="107" t="s">
        <v>432</v>
      </c>
      <c r="AC553" s="107" t="s">
        <v>432</v>
      </c>
      <c r="AD553" s="107" t="s">
        <v>432</v>
      </c>
      <c r="AE553" s="107" t="s">
        <v>432</v>
      </c>
      <c r="AF553" s="107" t="s">
        <v>432</v>
      </c>
      <c r="AG553" s="107" t="s">
        <v>432</v>
      </c>
      <c r="AH553" s="107" t="s">
        <v>432</v>
      </c>
      <c r="AI553" s="107" t="s">
        <v>432</v>
      </c>
      <c r="AJ553" s="107" t="s">
        <v>432</v>
      </c>
      <c r="AK553" s="107" t="s">
        <v>432</v>
      </c>
      <c r="AL553" s="600" t="s">
        <v>432</v>
      </c>
      <c r="AM553" s="137" t="s">
        <v>432</v>
      </c>
      <c r="AN553" s="137" t="s">
        <v>432</v>
      </c>
      <c r="AO553" s="137" t="s">
        <v>432</v>
      </c>
      <c r="AP553" s="137" t="s">
        <v>432</v>
      </c>
      <c r="AQ553" s="137" t="s">
        <v>432</v>
      </c>
      <c r="AR553" s="137" t="s">
        <v>432</v>
      </c>
      <c r="AS553" s="137" t="s">
        <v>432</v>
      </c>
      <c r="AT553" s="137" t="s">
        <v>432</v>
      </c>
      <c r="AU553" s="137" t="s">
        <v>432</v>
      </c>
      <c r="AV553" s="137" t="s">
        <v>432</v>
      </c>
      <c r="AW553" s="137" t="s">
        <v>432</v>
      </c>
      <c r="AX553" s="137" t="s">
        <v>432</v>
      </c>
      <c r="AY553" s="137" t="s">
        <v>432</v>
      </c>
      <c r="AZ553" s="137" t="s">
        <v>432</v>
      </c>
      <c r="BA553" s="137" t="s">
        <v>432</v>
      </c>
      <c r="BB553" s="239" t="str">
        <f t="shared" si="94"/>
        <v>Outras cidades/regiõesacessibilidade</v>
      </c>
      <c r="BC553" s="239" t="str">
        <f t="shared" si="95"/>
        <v>Outras cidades/regiõesacessibilidadesigla/verbete</v>
      </c>
      <c r="BD553" s="239" t="str">
        <f t="shared" si="96"/>
        <v>Outras cidades/regiõessigla/verbete</v>
      </c>
    </row>
    <row r="554" spans="1:56" ht="25.5" customHeight="1" x14ac:dyDescent="0.25">
      <c r="A554" s="275" t="str">
        <f>'Q100b-totais'!$B$65</f>
        <v>9.2</v>
      </c>
      <c r="B554" s="53" t="str">
        <f>'Q100b-totais'!$C$65</f>
        <v>Estacionamento</v>
      </c>
      <c r="C554" s="167" t="s">
        <v>432</v>
      </c>
      <c r="D554" s="362" t="s">
        <v>4480</v>
      </c>
      <c r="E554" s="1507" t="s">
        <v>1306</v>
      </c>
      <c r="F554" s="337" t="s">
        <v>419</v>
      </c>
      <c r="G554" s="408" t="s">
        <v>4479</v>
      </c>
      <c r="H554" s="168" t="s">
        <v>432</v>
      </c>
      <c r="I554" s="57">
        <v>1</v>
      </c>
      <c r="J554" s="107" t="s">
        <v>432</v>
      </c>
      <c r="K554" s="137" t="s">
        <v>432</v>
      </c>
      <c r="L554" s="137" t="s">
        <v>432</v>
      </c>
      <c r="M554" s="137" t="s">
        <v>432</v>
      </c>
      <c r="N554" s="137" t="s">
        <v>432</v>
      </c>
      <c r="O554" s="137" t="s">
        <v>432</v>
      </c>
      <c r="P554" s="137" t="s">
        <v>432</v>
      </c>
      <c r="Q554" s="137" t="s">
        <v>432</v>
      </c>
      <c r="R554" s="137" t="s">
        <v>432</v>
      </c>
      <c r="S554" s="109" t="s">
        <v>2209</v>
      </c>
      <c r="T554" s="108" t="s">
        <v>432</v>
      </c>
      <c r="U554" s="108" t="s">
        <v>432</v>
      </c>
      <c r="V554" s="109" t="s">
        <v>2209</v>
      </c>
      <c r="W554" s="20" t="s">
        <v>432</v>
      </c>
      <c r="X554" s="20" t="e">
        <f t="shared" ref="X554:AK554" si="98">X556+X558</f>
        <v>#VALUE!</v>
      </c>
      <c r="Y554" s="20">
        <f t="shared" si="98"/>
        <v>351</v>
      </c>
      <c r="Z554" s="20">
        <f t="shared" si="98"/>
        <v>723</v>
      </c>
      <c r="AA554" s="20">
        <f t="shared" si="98"/>
        <v>1018</v>
      </c>
      <c r="AB554" s="20">
        <f t="shared" si="98"/>
        <v>1207</v>
      </c>
      <c r="AC554" s="20">
        <f t="shared" si="98"/>
        <v>1437</v>
      </c>
      <c r="AD554" s="20">
        <f t="shared" si="98"/>
        <v>1677</v>
      </c>
      <c r="AE554" s="20">
        <f t="shared" si="98"/>
        <v>1892</v>
      </c>
      <c r="AF554" s="20">
        <f t="shared" si="98"/>
        <v>2304</v>
      </c>
      <c r="AG554" s="20">
        <f t="shared" si="98"/>
        <v>2630</v>
      </c>
      <c r="AH554" s="20">
        <f t="shared" si="98"/>
        <v>2967</v>
      </c>
      <c r="AI554" s="20">
        <f t="shared" si="98"/>
        <v>3382</v>
      </c>
      <c r="AJ554" s="20">
        <f t="shared" si="98"/>
        <v>3764</v>
      </c>
      <c r="AK554" s="20">
        <f t="shared" si="98"/>
        <v>4216</v>
      </c>
      <c r="AL554" s="600" t="s">
        <v>432</v>
      </c>
      <c r="AM554" s="137" t="s">
        <v>432</v>
      </c>
      <c r="AN554" s="137" t="s">
        <v>432</v>
      </c>
      <c r="AO554" s="137" t="s">
        <v>432</v>
      </c>
      <c r="AP554" s="137" t="s">
        <v>432</v>
      </c>
      <c r="AQ554" s="137" t="s">
        <v>432</v>
      </c>
      <c r="AR554" s="137" t="s">
        <v>432</v>
      </c>
      <c r="AS554" s="137" t="s">
        <v>432</v>
      </c>
      <c r="AT554" s="137" t="s">
        <v>432</v>
      </c>
      <c r="AU554" s="137" t="s">
        <v>432</v>
      </c>
      <c r="AV554" s="137" t="s">
        <v>432</v>
      </c>
      <c r="AW554" s="137" t="s">
        <v>432</v>
      </c>
      <c r="AX554" s="137" t="s">
        <v>432</v>
      </c>
      <c r="AY554" s="137" t="s">
        <v>432</v>
      </c>
      <c r="AZ554" s="137" t="s">
        <v>432</v>
      </c>
      <c r="BA554" s="137" t="s">
        <v>432</v>
      </c>
      <c r="BB554" s="239" t="str">
        <f t="shared" si="94"/>
        <v>Estacionamentox</v>
      </c>
      <c r="BC554" s="239" t="str">
        <f t="shared" si="95"/>
        <v>Estacionamentoxx</v>
      </c>
      <c r="BD554" s="239" t="str">
        <f t="shared" si="96"/>
        <v>Estacionamentox</v>
      </c>
    </row>
    <row r="555" spans="1:56" ht="25.5" customHeight="1" x14ac:dyDescent="0.25">
      <c r="A555" s="275" t="str">
        <f>'Q100b-totais'!$B$65</f>
        <v>9.2</v>
      </c>
      <c r="B555" s="53" t="str">
        <f>'Q100b-totais'!$C$65</f>
        <v>Estacionamento</v>
      </c>
      <c r="C555" s="167" t="s">
        <v>432</v>
      </c>
      <c r="D555" s="362" t="s">
        <v>1200</v>
      </c>
      <c r="E555" s="1507" t="s">
        <v>1306</v>
      </c>
      <c r="F555" s="337" t="s">
        <v>4150</v>
      </c>
      <c r="G555" s="408" t="s">
        <v>513</v>
      </c>
      <c r="H555" s="168" t="s">
        <v>432</v>
      </c>
      <c r="I555" s="57">
        <v>1</v>
      </c>
      <c r="J555" s="107" t="s">
        <v>432</v>
      </c>
      <c r="K555" s="137" t="s">
        <v>432</v>
      </c>
      <c r="L555" s="137" t="s">
        <v>432</v>
      </c>
      <c r="M555" s="137" t="s">
        <v>432</v>
      </c>
      <c r="N555" s="137" t="s">
        <v>432</v>
      </c>
      <c r="O555" s="137" t="s">
        <v>432</v>
      </c>
      <c r="P555" s="137" t="s">
        <v>432</v>
      </c>
      <c r="Q555" s="137" t="s">
        <v>432</v>
      </c>
      <c r="R555" s="137" t="s">
        <v>432</v>
      </c>
      <c r="S555" s="109" t="s">
        <v>2209</v>
      </c>
      <c r="T555" s="108" t="s">
        <v>432</v>
      </c>
      <c r="U555" s="108" t="s">
        <v>432</v>
      </c>
      <c r="V555" s="109" t="s">
        <v>2209</v>
      </c>
      <c r="W555" s="20" t="s">
        <v>432</v>
      </c>
      <c r="X555" s="20" t="s">
        <v>432</v>
      </c>
      <c r="Y555" s="22">
        <f t="shared" ref="Y555:AK555" si="99">Y554/Y2257</f>
        <v>1.0233236151603498</v>
      </c>
      <c r="Z555" s="22">
        <f t="shared" si="99"/>
        <v>1.412109375</v>
      </c>
      <c r="AA555" s="22">
        <f t="shared" si="99"/>
        <v>1.9135338345864661</v>
      </c>
      <c r="AB555" s="22">
        <f t="shared" si="99"/>
        <v>2.2602996254681647</v>
      </c>
      <c r="AC555" s="22">
        <f t="shared" si="99"/>
        <v>2.6318681318681318</v>
      </c>
      <c r="AD555" s="22">
        <f t="shared" si="99"/>
        <v>3.0325497287522603</v>
      </c>
      <c r="AE555" s="22">
        <f t="shared" si="99"/>
        <v>3.2847222222222223</v>
      </c>
      <c r="AF555" s="22">
        <f t="shared" si="99"/>
        <v>3.7832512315270934</v>
      </c>
      <c r="AG555" s="22">
        <f t="shared" si="99"/>
        <v>4.046153846153846</v>
      </c>
      <c r="AH555" s="22">
        <f t="shared" si="99"/>
        <v>4.2204836415362728</v>
      </c>
      <c r="AI555" s="22">
        <f t="shared" si="99"/>
        <v>4.6202185792349724</v>
      </c>
      <c r="AJ555" s="22">
        <f t="shared" si="99"/>
        <v>4.8630490956072352</v>
      </c>
      <c r="AK555" s="22">
        <f t="shared" si="99"/>
        <v>5.019047619047619</v>
      </c>
      <c r="AL555" s="600" t="s">
        <v>432</v>
      </c>
      <c r="AM555" s="137" t="s">
        <v>432</v>
      </c>
      <c r="AN555" s="137" t="s">
        <v>432</v>
      </c>
      <c r="AO555" s="137" t="s">
        <v>432</v>
      </c>
      <c r="AP555" s="137" t="s">
        <v>432</v>
      </c>
      <c r="AQ555" s="137" t="s">
        <v>432</v>
      </c>
      <c r="AR555" s="137" t="s">
        <v>432</v>
      </c>
      <c r="AS555" s="137" t="s">
        <v>432</v>
      </c>
      <c r="AT555" s="137" t="s">
        <v>432</v>
      </c>
      <c r="AU555" s="137" t="s">
        <v>432</v>
      </c>
      <c r="AV555" s="137" t="s">
        <v>432</v>
      </c>
      <c r="AW555" s="137" t="s">
        <v>432</v>
      </c>
      <c r="AX555" s="137" t="s">
        <v>432</v>
      </c>
      <c r="AY555" s="137" t="s">
        <v>432</v>
      </c>
      <c r="AZ555" s="137" t="s">
        <v>432</v>
      </c>
      <c r="BA555" s="137" t="s">
        <v>432</v>
      </c>
      <c r="BB555" s="239" t="str">
        <f t="shared" si="94"/>
        <v>Estacionamentox</v>
      </c>
      <c r="BC555" s="239" t="str">
        <f t="shared" si="95"/>
        <v>Estacionamentoxx</v>
      </c>
      <c r="BD555" s="239" t="str">
        <f t="shared" si="96"/>
        <v>Estacionamentox</v>
      </c>
    </row>
    <row r="556" spans="1:56" ht="25.5" customHeight="1" x14ac:dyDescent="0.25">
      <c r="A556" s="275" t="str">
        <f>'Q100b-totais'!$B$65</f>
        <v>9.2</v>
      </c>
      <c r="B556" s="53" t="str">
        <f>'Q100b-totais'!$C$65</f>
        <v>Estacionamento</v>
      </c>
      <c r="C556" s="167" t="s">
        <v>432</v>
      </c>
      <c r="D556" s="324" t="s">
        <v>4481</v>
      </c>
      <c r="E556" s="1402" t="s">
        <v>1306</v>
      </c>
      <c r="F556" s="14" t="s">
        <v>4159</v>
      </c>
      <c r="G556" s="110" t="s">
        <v>77</v>
      </c>
      <c r="H556" s="168" t="s">
        <v>432</v>
      </c>
      <c r="I556" s="57">
        <v>1</v>
      </c>
      <c r="J556" s="107" t="s">
        <v>432</v>
      </c>
      <c r="K556" s="137" t="s">
        <v>432</v>
      </c>
      <c r="L556" s="137" t="s">
        <v>432</v>
      </c>
      <c r="M556" s="137" t="s">
        <v>432</v>
      </c>
      <c r="N556" s="137" t="s">
        <v>432</v>
      </c>
      <c r="O556" s="137" t="s">
        <v>432</v>
      </c>
      <c r="P556" s="137" t="s">
        <v>432</v>
      </c>
      <c r="Q556" s="137" t="s">
        <v>432</v>
      </c>
      <c r="R556" s="137" t="s">
        <v>432</v>
      </c>
      <c r="S556" s="109" t="s">
        <v>2209</v>
      </c>
      <c r="T556" s="108" t="s">
        <v>432</v>
      </c>
      <c r="U556" s="108" t="s">
        <v>432</v>
      </c>
      <c r="V556" s="109" t="s">
        <v>2209</v>
      </c>
      <c r="W556" s="87" t="s">
        <v>432</v>
      </c>
      <c r="X556" s="1343" t="s">
        <v>2082</v>
      </c>
      <c r="Y556" s="87">
        <v>351</v>
      </c>
      <c r="Z556" s="87">
        <v>723</v>
      </c>
      <c r="AA556" s="87">
        <v>1018</v>
      </c>
      <c r="AB556" s="87">
        <v>1207</v>
      </c>
      <c r="AC556" s="87">
        <v>1437</v>
      </c>
      <c r="AD556" s="87">
        <v>1677</v>
      </c>
      <c r="AE556" s="87">
        <v>1892</v>
      </c>
      <c r="AF556" s="87">
        <v>2298</v>
      </c>
      <c r="AG556" s="87">
        <v>2619</v>
      </c>
      <c r="AH556" s="87">
        <v>2946</v>
      </c>
      <c r="AI556" s="87">
        <v>3353</v>
      </c>
      <c r="AJ556" s="87">
        <v>3708</v>
      </c>
      <c r="AK556" s="335">
        <f>AJ556+441</f>
        <v>4149</v>
      </c>
      <c r="AL556" s="600" t="s">
        <v>432</v>
      </c>
      <c r="AM556" s="137" t="s">
        <v>432</v>
      </c>
      <c r="AN556" s="137" t="s">
        <v>432</v>
      </c>
      <c r="AO556" s="137" t="s">
        <v>432</v>
      </c>
      <c r="AP556" s="137" t="s">
        <v>432</v>
      </c>
      <c r="AQ556" s="137" t="s">
        <v>432</v>
      </c>
      <c r="AR556" s="137" t="s">
        <v>432</v>
      </c>
      <c r="AS556" s="137" t="s">
        <v>432</v>
      </c>
      <c r="AT556" s="137" t="s">
        <v>432</v>
      </c>
      <c r="AU556" s="137" t="s">
        <v>432</v>
      </c>
      <c r="AV556" s="137" t="s">
        <v>432</v>
      </c>
      <c r="AW556" s="137" t="s">
        <v>432</v>
      </c>
      <c r="AX556" s="137" t="s">
        <v>432</v>
      </c>
      <c r="AY556" s="137" t="s">
        <v>432</v>
      </c>
      <c r="AZ556" s="137" t="s">
        <v>432</v>
      </c>
      <c r="BA556" s="137" t="s">
        <v>432</v>
      </c>
      <c r="BB556" s="239" t="str">
        <f t="shared" si="94"/>
        <v>Estacionamentox</v>
      </c>
      <c r="BC556" s="239" t="str">
        <f t="shared" si="95"/>
        <v>Estacionamentoxx</v>
      </c>
      <c r="BD556" s="239" t="str">
        <f t="shared" si="96"/>
        <v>Estacionamentox</v>
      </c>
    </row>
    <row r="557" spans="1:56" ht="25.5" customHeight="1" x14ac:dyDescent="0.25">
      <c r="A557" s="275" t="str">
        <f>'Q100b-totais'!$B$65</f>
        <v>9.2</v>
      </c>
      <c r="B557" s="53" t="str">
        <f>'Q100b-totais'!$C$65</f>
        <v>Estacionamento</v>
      </c>
      <c r="C557" s="167" t="s">
        <v>432</v>
      </c>
      <c r="D557" s="362" t="s">
        <v>1201</v>
      </c>
      <c r="E557" s="1507" t="s">
        <v>1306</v>
      </c>
      <c r="F557" s="337" t="s">
        <v>420</v>
      </c>
      <c r="G557" s="408" t="s">
        <v>514</v>
      </c>
      <c r="H557" s="168" t="s">
        <v>432</v>
      </c>
      <c r="I557" s="57">
        <v>1</v>
      </c>
      <c r="J557" s="107" t="s">
        <v>432</v>
      </c>
      <c r="K557" s="137" t="s">
        <v>432</v>
      </c>
      <c r="L557" s="137" t="s">
        <v>432</v>
      </c>
      <c r="M557" s="137" t="s">
        <v>432</v>
      </c>
      <c r="N557" s="137" t="s">
        <v>432</v>
      </c>
      <c r="O557" s="137" t="s">
        <v>432</v>
      </c>
      <c r="P557" s="137" t="s">
        <v>432</v>
      </c>
      <c r="Q557" s="137" t="s">
        <v>432</v>
      </c>
      <c r="R557" s="137" t="s">
        <v>432</v>
      </c>
      <c r="S557" s="109" t="s">
        <v>2209</v>
      </c>
      <c r="T557" s="108" t="s">
        <v>432</v>
      </c>
      <c r="U557" s="108" t="s">
        <v>432</v>
      </c>
      <c r="V557" s="109" t="s">
        <v>2209</v>
      </c>
      <c r="W557" s="20" t="s">
        <v>432</v>
      </c>
      <c r="X557" s="20" t="s">
        <v>432</v>
      </c>
      <c r="Y557" s="20">
        <f t="shared" ref="Y557:AK557" si="100">Y554+Y559</f>
        <v>351</v>
      </c>
      <c r="Z557" s="20">
        <f t="shared" si="100"/>
        <v>723</v>
      </c>
      <c r="AA557" s="20">
        <f t="shared" si="100"/>
        <v>1018</v>
      </c>
      <c r="AB557" s="20">
        <f t="shared" si="100"/>
        <v>1207</v>
      </c>
      <c r="AC557" s="20">
        <f t="shared" si="100"/>
        <v>1437</v>
      </c>
      <c r="AD557" s="20">
        <f t="shared" si="100"/>
        <v>1677</v>
      </c>
      <c r="AE557" s="20">
        <f t="shared" si="100"/>
        <v>1896</v>
      </c>
      <c r="AF557" s="20">
        <f t="shared" si="100"/>
        <v>4353</v>
      </c>
      <c r="AG557" s="20">
        <f t="shared" si="100"/>
        <v>5654</v>
      </c>
      <c r="AH557" s="20">
        <f t="shared" si="100"/>
        <v>8226</v>
      </c>
      <c r="AI557" s="20">
        <f t="shared" si="100"/>
        <v>12050</v>
      </c>
      <c r="AJ557" s="20">
        <f t="shared" si="100"/>
        <v>16099</v>
      </c>
      <c r="AK557" s="20">
        <f t="shared" si="100"/>
        <v>24180</v>
      </c>
      <c r="AL557" s="600" t="s">
        <v>432</v>
      </c>
      <c r="AM557" s="137" t="s">
        <v>432</v>
      </c>
      <c r="AN557" s="137" t="s">
        <v>432</v>
      </c>
      <c r="AO557" s="137" t="s">
        <v>432</v>
      </c>
      <c r="AP557" s="137" t="s">
        <v>432</v>
      </c>
      <c r="AQ557" s="137" t="s">
        <v>432</v>
      </c>
      <c r="AR557" s="137" t="s">
        <v>432</v>
      </c>
      <c r="AS557" s="137" t="s">
        <v>432</v>
      </c>
      <c r="AT557" s="137" t="s">
        <v>432</v>
      </c>
      <c r="AU557" s="137" t="s">
        <v>432</v>
      </c>
      <c r="AV557" s="137" t="s">
        <v>432</v>
      </c>
      <c r="AW557" s="137" t="s">
        <v>432</v>
      </c>
      <c r="AX557" s="137" t="s">
        <v>432</v>
      </c>
      <c r="AY557" s="137" t="s">
        <v>432</v>
      </c>
      <c r="AZ557" s="137" t="s">
        <v>432</v>
      </c>
      <c r="BA557" s="137" t="s">
        <v>432</v>
      </c>
      <c r="BB557" s="239" t="str">
        <f t="shared" si="94"/>
        <v>Estacionamentox</v>
      </c>
      <c r="BC557" s="239" t="str">
        <f t="shared" si="95"/>
        <v>Estacionamentoxx</v>
      </c>
      <c r="BD557" s="239" t="str">
        <f t="shared" si="96"/>
        <v>Estacionamentox</v>
      </c>
    </row>
    <row r="558" spans="1:56" ht="25.5" customHeight="1" x14ac:dyDescent="0.25">
      <c r="A558" s="275" t="str">
        <f>'Q100b-totais'!$B$65</f>
        <v>9.2</v>
      </c>
      <c r="B558" s="53" t="str">
        <f>'Q100b-totais'!$C$65</f>
        <v>Estacionamento</v>
      </c>
      <c r="C558" s="167" t="s">
        <v>432</v>
      </c>
      <c r="D558" s="324" t="s">
        <v>4482</v>
      </c>
      <c r="E558" s="1402" t="s">
        <v>1306</v>
      </c>
      <c r="F558" s="14" t="s">
        <v>4160</v>
      </c>
      <c r="G558" s="110" t="s">
        <v>77</v>
      </c>
      <c r="H558" s="168" t="s">
        <v>432</v>
      </c>
      <c r="I558" s="57">
        <v>1</v>
      </c>
      <c r="J558" s="107" t="s">
        <v>432</v>
      </c>
      <c r="K558" s="137" t="s">
        <v>432</v>
      </c>
      <c r="L558" s="137" t="s">
        <v>432</v>
      </c>
      <c r="M558" s="137" t="s">
        <v>432</v>
      </c>
      <c r="N558" s="137" t="s">
        <v>432</v>
      </c>
      <c r="O558" s="137" t="s">
        <v>432</v>
      </c>
      <c r="P558" s="137" t="s">
        <v>432</v>
      </c>
      <c r="Q558" s="137" t="s">
        <v>432</v>
      </c>
      <c r="R558" s="137" t="s">
        <v>432</v>
      </c>
      <c r="S558" s="109" t="s">
        <v>2209</v>
      </c>
      <c r="T558" s="108" t="s">
        <v>432</v>
      </c>
      <c r="U558" s="108" t="s">
        <v>432</v>
      </c>
      <c r="V558" s="109" t="s">
        <v>2209</v>
      </c>
      <c r="W558" s="87" t="s">
        <v>432</v>
      </c>
      <c r="X558" s="87">
        <v>0</v>
      </c>
      <c r="Y558" s="87">
        <v>0</v>
      </c>
      <c r="Z558" s="87">
        <v>0</v>
      </c>
      <c r="AA558" s="87">
        <v>0</v>
      </c>
      <c r="AB558" s="87">
        <v>0</v>
      </c>
      <c r="AC558" s="87">
        <v>0</v>
      </c>
      <c r="AD558" s="87">
        <v>0</v>
      </c>
      <c r="AE558" s="87">
        <v>0</v>
      </c>
      <c r="AF558" s="87">
        <v>6</v>
      </c>
      <c r="AG558" s="87">
        <v>11</v>
      </c>
      <c r="AH558" s="87">
        <v>21</v>
      </c>
      <c r="AI558" s="87">
        <v>29</v>
      </c>
      <c r="AJ558" s="87">
        <v>56</v>
      </c>
      <c r="AK558" s="335">
        <f>AJ558+11</f>
        <v>67</v>
      </c>
      <c r="AL558" s="600" t="s">
        <v>432</v>
      </c>
      <c r="AM558" s="137" t="s">
        <v>432</v>
      </c>
      <c r="AN558" s="137" t="s">
        <v>432</v>
      </c>
      <c r="AO558" s="137" t="s">
        <v>432</v>
      </c>
      <c r="AP558" s="137" t="s">
        <v>432</v>
      </c>
      <c r="AQ558" s="137" t="s">
        <v>432</v>
      </c>
      <c r="AR558" s="137" t="s">
        <v>432</v>
      </c>
      <c r="AS558" s="137" t="s">
        <v>432</v>
      </c>
      <c r="AT558" s="137" t="s">
        <v>432</v>
      </c>
      <c r="AU558" s="137" t="s">
        <v>432</v>
      </c>
      <c r="AV558" s="137" t="s">
        <v>432</v>
      </c>
      <c r="AW558" s="137" t="s">
        <v>432</v>
      </c>
      <c r="AX558" s="137" t="s">
        <v>432</v>
      </c>
      <c r="AY558" s="137" t="s">
        <v>432</v>
      </c>
      <c r="AZ558" s="137" t="s">
        <v>432</v>
      </c>
      <c r="BA558" s="137" t="s">
        <v>432</v>
      </c>
      <c r="BB558" s="239" t="str">
        <f t="shared" si="94"/>
        <v>Estacionamentox</v>
      </c>
      <c r="BC558" s="239" t="str">
        <f t="shared" si="95"/>
        <v>Estacionamentoxx</v>
      </c>
      <c r="BD558" s="239" t="str">
        <f t="shared" si="96"/>
        <v>Estacionamentox</v>
      </c>
    </row>
    <row r="559" spans="1:56" ht="25.5" customHeight="1" x14ac:dyDescent="0.25">
      <c r="A559" s="275" t="str">
        <f>'Q100b-totais'!$B$65</f>
        <v>9.2</v>
      </c>
      <c r="B559" s="53" t="str">
        <f>'Q100b-totais'!$C$65</f>
        <v>Estacionamento</v>
      </c>
      <c r="C559" s="167" t="s">
        <v>432</v>
      </c>
      <c r="D559" s="362" t="s">
        <v>1202</v>
      </c>
      <c r="E559" s="1507" t="s">
        <v>1306</v>
      </c>
      <c r="F559" s="337" t="s">
        <v>4478</v>
      </c>
      <c r="G559" s="110" t="s">
        <v>77</v>
      </c>
      <c r="H559" s="168" t="s">
        <v>432</v>
      </c>
      <c r="I559" s="57">
        <v>1</v>
      </c>
      <c r="J559" s="107" t="s">
        <v>432</v>
      </c>
      <c r="K559" s="137" t="s">
        <v>432</v>
      </c>
      <c r="L559" s="137" t="s">
        <v>432</v>
      </c>
      <c r="M559" s="137" t="s">
        <v>432</v>
      </c>
      <c r="N559" s="137" t="s">
        <v>432</v>
      </c>
      <c r="O559" s="137" t="s">
        <v>432</v>
      </c>
      <c r="P559" s="137" t="s">
        <v>432</v>
      </c>
      <c r="Q559" s="137" t="s">
        <v>432</v>
      </c>
      <c r="R559" s="137" t="s">
        <v>432</v>
      </c>
      <c r="S559" s="109" t="s">
        <v>2209</v>
      </c>
      <c r="T559" s="108" t="s">
        <v>432</v>
      </c>
      <c r="U559" s="108" t="s">
        <v>432</v>
      </c>
      <c r="V559" s="109" t="s">
        <v>2209</v>
      </c>
      <c r="W559" s="87" t="s">
        <v>432</v>
      </c>
      <c r="X559" s="87" t="s">
        <v>432</v>
      </c>
      <c r="Y559" s="87">
        <v>0</v>
      </c>
      <c r="Z559" s="87">
        <v>0</v>
      </c>
      <c r="AA559" s="87">
        <v>0</v>
      </c>
      <c r="AB559" s="87">
        <v>0</v>
      </c>
      <c r="AC559" s="87">
        <v>0</v>
      </c>
      <c r="AD559" s="87">
        <v>0</v>
      </c>
      <c r="AE559" s="87">
        <v>4</v>
      </c>
      <c r="AF559" s="87">
        <v>2049</v>
      </c>
      <c r="AG559" s="87">
        <v>3024</v>
      </c>
      <c r="AH559" s="87">
        <v>5259</v>
      </c>
      <c r="AI559" s="87">
        <v>8668</v>
      </c>
      <c r="AJ559" s="87">
        <v>12335</v>
      </c>
      <c r="AK559" s="335">
        <f>AJ559+7629</f>
        <v>19964</v>
      </c>
      <c r="AL559" s="600" t="s">
        <v>432</v>
      </c>
      <c r="AM559" s="137" t="s">
        <v>432</v>
      </c>
      <c r="AN559" s="137" t="s">
        <v>432</v>
      </c>
      <c r="AO559" s="137" t="s">
        <v>432</v>
      </c>
      <c r="AP559" s="137" t="s">
        <v>432</v>
      </c>
      <c r="AQ559" s="137" t="s">
        <v>432</v>
      </c>
      <c r="AR559" s="137" t="s">
        <v>432</v>
      </c>
      <c r="AS559" s="137" t="s">
        <v>432</v>
      </c>
      <c r="AT559" s="137" t="s">
        <v>432</v>
      </c>
      <c r="AU559" s="137" t="s">
        <v>432</v>
      </c>
      <c r="AV559" s="137" t="s">
        <v>432</v>
      </c>
      <c r="AW559" s="137" t="s">
        <v>432</v>
      </c>
      <c r="AX559" s="137" t="s">
        <v>432</v>
      </c>
      <c r="AY559" s="137" t="s">
        <v>432</v>
      </c>
      <c r="AZ559" s="137" t="s">
        <v>432</v>
      </c>
      <c r="BA559" s="137" t="s">
        <v>432</v>
      </c>
      <c r="BB559" s="239" t="str">
        <f t="shared" si="94"/>
        <v>Estacionamentox</v>
      </c>
      <c r="BC559" s="239" t="str">
        <f t="shared" si="95"/>
        <v>Estacionamentoxx</v>
      </c>
      <c r="BD559" s="239" t="str">
        <f t="shared" si="96"/>
        <v>Estacionamentox</v>
      </c>
    </row>
    <row r="560" spans="1:56" ht="25.5" customHeight="1" x14ac:dyDescent="0.25">
      <c r="A560" s="275" t="str">
        <f>'Q100b-totais'!$B$65</f>
        <v>9.2</v>
      </c>
      <c r="B560" s="53" t="str">
        <f>'Q100b-totais'!$C$65</f>
        <v>Estacionamento</v>
      </c>
      <c r="C560" s="167" t="s">
        <v>432</v>
      </c>
      <c r="D560" s="362" t="s">
        <v>1203</v>
      </c>
      <c r="E560" s="1507" t="s">
        <v>1306</v>
      </c>
      <c r="F560" s="337" t="s">
        <v>421</v>
      </c>
      <c r="G560" s="408" t="s">
        <v>515</v>
      </c>
      <c r="H560" s="168" t="s">
        <v>432</v>
      </c>
      <c r="I560" s="57">
        <v>1</v>
      </c>
      <c r="J560" s="107" t="s">
        <v>432</v>
      </c>
      <c r="K560" s="137" t="s">
        <v>432</v>
      </c>
      <c r="L560" s="137" t="s">
        <v>432</v>
      </c>
      <c r="M560" s="137" t="s">
        <v>432</v>
      </c>
      <c r="N560" s="137" t="s">
        <v>432</v>
      </c>
      <c r="O560" s="137" t="s">
        <v>432</v>
      </c>
      <c r="P560" s="137" t="s">
        <v>432</v>
      </c>
      <c r="Q560" s="137" t="s">
        <v>432</v>
      </c>
      <c r="R560" s="137" t="s">
        <v>432</v>
      </c>
      <c r="S560" s="109" t="s">
        <v>2209</v>
      </c>
      <c r="T560" s="108" t="s">
        <v>432</v>
      </c>
      <c r="U560" s="108" t="s">
        <v>432</v>
      </c>
      <c r="V560" s="109" t="s">
        <v>2209</v>
      </c>
      <c r="W560" s="20" t="s">
        <v>432</v>
      </c>
      <c r="X560" s="20" t="s">
        <v>432</v>
      </c>
      <c r="Y560" s="20" t="s">
        <v>432</v>
      </c>
      <c r="Z560" s="20" t="s">
        <v>432</v>
      </c>
      <c r="AA560" s="20" t="s">
        <v>432</v>
      </c>
      <c r="AB560" s="20" t="s">
        <v>432</v>
      </c>
      <c r="AC560" s="20" t="s">
        <v>432</v>
      </c>
      <c r="AD560" s="20" t="s">
        <v>432</v>
      </c>
      <c r="AE560" s="22">
        <f t="shared" ref="AE560:AK560" si="101">AE559/AE2259</f>
        <v>7.2727272727272724E-2</v>
      </c>
      <c r="AF560" s="22">
        <f t="shared" si="101"/>
        <v>19.514285714285716</v>
      </c>
      <c r="AG560" s="22">
        <f t="shared" si="101"/>
        <v>22.072992700729927</v>
      </c>
      <c r="AH560" s="22">
        <f t="shared" si="101"/>
        <v>31.491017964071855</v>
      </c>
      <c r="AI560" s="22">
        <f t="shared" si="101"/>
        <v>49.25</v>
      </c>
      <c r="AJ560" s="22">
        <f t="shared" si="101"/>
        <v>49.939271255060731</v>
      </c>
      <c r="AK560" s="22">
        <f t="shared" si="101"/>
        <v>44.364444444444445</v>
      </c>
      <c r="AL560" s="600" t="s">
        <v>432</v>
      </c>
      <c r="AM560" s="137" t="s">
        <v>432</v>
      </c>
      <c r="AN560" s="137" t="s">
        <v>432</v>
      </c>
      <c r="AO560" s="137" t="s">
        <v>432</v>
      </c>
      <c r="AP560" s="137" t="s">
        <v>432</v>
      </c>
      <c r="AQ560" s="137" t="s">
        <v>432</v>
      </c>
      <c r="AR560" s="137" t="s">
        <v>432</v>
      </c>
      <c r="AS560" s="137" t="s">
        <v>432</v>
      </c>
      <c r="AT560" s="137" t="s">
        <v>432</v>
      </c>
      <c r="AU560" s="137" t="s">
        <v>432</v>
      </c>
      <c r="AV560" s="137" t="s">
        <v>432</v>
      </c>
      <c r="AW560" s="137" t="s">
        <v>432</v>
      </c>
      <c r="AX560" s="137" t="s">
        <v>432</v>
      </c>
      <c r="AY560" s="137" t="s">
        <v>432</v>
      </c>
      <c r="AZ560" s="137" t="s">
        <v>432</v>
      </c>
      <c r="BA560" s="137" t="s">
        <v>432</v>
      </c>
      <c r="BB560" s="239" t="str">
        <f t="shared" si="94"/>
        <v>Estacionamentox</v>
      </c>
      <c r="BC560" s="239" t="str">
        <f t="shared" si="95"/>
        <v>Estacionamentoxx</v>
      </c>
      <c r="BD560" s="239" t="str">
        <f t="shared" si="96"/>
        <v>Estacionamentox</v>
      </c>
    </row>
    <row r="561" spans="1:56" s="1" customFormat="1" ht="63" customHeight="1" x14ac:dyDescent="0.25">
      <c r="A561" s="275" t="str">
        <f>'Q100b-totais'!$B$68</f>
        <v>9.5</v>
      </c>
      <c r="B561" s="1205" t="str">
        <f>'Q100b-totais'!$C$68</f>
        <v>Sinalização semafórica</v>
      </c>
      <c r="C561" s="167" t="s">
        <v>432</v>
      </c>
      <c r="D561" s="961" t="s">
        <v>145</v>
      </c>
      <c r="E561" s="254" t="s">
        <v>432</v>
      </c>
      <c r="F561" s="11" t="s">
        <v>1680</v>
      </c>
      <c r="G561" s="230" t="s">
        <v>3507</v>
      </c>
      <c r="H561" s="167" t="s">
        <v>2408</v>
      </c>
      <c r="I561" s="57" t="s">
        <v>432</v>
      </c>
      <c r="J561" s="107" t="s">
        <v>432</v>
      </c>
      <c r="K561" s="107" t="s">
        <v>432</v>
      </c>
      <c r="L561" s="107" t="s">
        <v>432</v>
      </c>
      <c r="M561" s="107" t="s">
        <v>432</v>
      </c>
      <c r="N561" s="107" t="s">
        <v>432</v>
      </c>
      <c r="O561" s="107" t="s">
        <v>432</v>
      </c>
      <c r="P561" s="107" t="s">
        <v>432</v>
      </c>
      <c r="Q561" s="107" t="s">
        <v>432</v>
      </c>
      <c r="R561" s="107" t="s">
        <v>432</v>
      </c>
      <c r="S561" s="109" t="s">
        <v>2209</v>
      </c>
      <c r="T561" s="107" t="s">
        <v>432</v>
      </c>
      <c r="U561" s="107" t="s">
        <v>432</v>
      </c>
      <c r="V561" s="109" t="s">
        <v>2209</v>
      </c>
      <c r="W561" s="107" t="s">
        <v>432</v>
      </c>
      <c r="X561" s="107" t="s">
        <v>432</v>
      </c>
      <c r="Y561" s="107" t="s">
        <v>432</v>
      </c>
      <c r="Z561" s="107" t="s">
        <v>432</v>
      </c>
      <c r="AA561" s="107" t="s">
        <v>432</v>
      </c>
      <c r="AB561" s="107" t="s">
        <v>432</v>
      </c>
      <c r="AC561" s="107" t="s">
        <v>432</v>
      </c>
      <c r="AD561" s="107" t="s">
        <v>432</v>
      </c>
      <c r="AE561" s="107" t="s">
        <v>432</v>
      </c>
      <c r="AF561" s="107" t="s">
        <v>432</v>
      </c>
      <c r="AG561" s="107" t="s">
        <v>432</v>
      </c>
      <c r="AH561" s="107" t="s">
        <v>432</v>
      </c>
      <c r="AI561" s="107" t="s">
        <v>432</v>
      </c>
      <c r="AJ561" s="107" t="s">
        <v>432</v>
      </c>
      <c r="AK561" s="137" t="s">
        <v>432</v>
      </c>
      <c r="AL561" s="600" t="s">
        <v>432</v>
      </c>
      <c r="AM561" s="137" t="s">
        <v>432</v>
      </c>
      <c r="AN561" s="137" t="s">
        <v>432</v>
      </c>
      <c r="AO561" s="137" t="s">
        <v>432</v>
      </c>
      <c r="AP561" s="137" t="s">
        <v>432</v>
      </c>
      <c r="AQ561" s="137" t="s">
        <v>432</v>
      </c>
      <c r="AR561" s="137" t="s">
        <v>432</v>
      </c>
      <c r="AS561" s="137" t="s">
        <v>432</v>
      </c>
      <c r="AT561" s="137" t="s">
        <v>432</v>
      </c>
      <c r="AU561" s="137" t="s">
        <v>432</v>
      </c>
      <c r="AV561" s="137" t="s">
        <v>432</v>
      </c>
      <c r="AW561" s="137" t="s">
        <v>432</v>
      </c>
      <c r="AX561" s="137" t="s">
        <v>432</v>
      </c>
      <c r="AY561" s="137" t="s">
        <v>432</v>
      </c>
      <c r="AZ561" s="137" t="s">
        <v>432</v>
      </c>
      <c r="BA561" s="137" t="s">
        <v>432</v>
      </c>
      <c r="BB561" s="239" t="str">
        <f t="shared" si="94"/>
        <v>Sinalização semafóricax</v>
      </c>
      <c r="BC561" s="239" t="str">
        <f t="shared" si="95"/>
        <v>Sinalização semafóricaxsigla/verbete</v>
      </c>
      <c r="BD561" s="239" t="str">
        <f t="shared" si="96"/>
        <v>Sinalização semafóricasigla/verbete</v>
      </c>
    </row>
    <row r="562" spans="1:56" s="1" customFormat="1" ht="47.25" customHeight="1" x14ac:dyDescent="0.25">
      <c r="A562" s="262" t="s">
        <v>432</v>
      </c>
      <c r="B562" s="252" t="s">
        <v>742</v>
      </c>
      <c r="C562" s="167" t="s">
        <v>432</v>
      </c>
      <c r="D562" s="324" t="s">
        <v>1332</v>
      </c>
      <c r="E562" s="1496" t="s">
        <v>432</v>
      </c>
      <c r="F562" s="11" t="s">
        <v>1333</v>
      </c>
      <c r="G562" s="167" t="s">
        <v>3879</v>
      </c>
      <c r="H562" s="167" t="s">
        <v>432</v>
      </c>
      <c r="I562" s="167" t="s">
        <v>432</v>
      </c>
      <c r="J562" s="107" t="s">
        <v>432</v>
      </c>
      <c r="K562" s="107" t="s">
        <v>432</v>
      </c>
      <c r="L562" s="107" t="s">
        <v>432</v>
      </c>
      <c r="M562" s="107" t="s">
        <v>432</v>
      </c>
      <c r="N562" s="107" t="s">
        <v>432</v>
      </c>
      <c r="O562" s="107" t="s">
        <v>432</v>
      </c>
      <c r="P562" s="107" t="s">
        <v>432</v>
      </c>
      <c r="Q562" s="107" t="s">
        <v>432</v>
      </c>
      <c r="R562" s="107" t="s">
        <v>432</v>
      </c>
      <c r="S562" s="109" t="s">
        <v>2209</v>
      </c>
      <c r="T562" s="107" t="s">
        <v>432</v>
      </c>
      <c r="U562" s="107" t="s">
        <v>432</v>
      </c>
      <c r="V562" s="109" t="s">
        <v>2209</v>
      </c>
      <c r="W562" s="107" t="s">
        <v>432</v>
      </c>
      <c r="X562" s="107" t="s">
        <v>432</v>
      </c>
      <c r="Y562" s="107" t="s">
        <v>432</v>
      </c>
      <c r="Z562" s="107" t="s">
        <v>432</v>
      </c>
      <c r="AA562" s="107" t="s">
        <v>432</v>
      </c>
      <c r="AB562" s="107" t="s">
        <v>432</v>
      </c>
      <c r="AC562" s="107" t="s">
        <v>432</v>
      </c>
      <c r="AD562" s="107" t="s">
        <v>432</v>
      </c>
      <c r="AE562" s="107" t="s">
        <v>432</v>
      </c>
      <c r="AF562" s="107" t="s">
        <v>432</v>
      </c>
      <c r="AG562" s="107" t="s">
        <v>432</v>
      </c>
      <c r="AH562" s="107" t="s">
        <v>432</v>
      </c>
      <c r="AI562" s="107" t="s">
        <v>432</v>
      </c>
      <c r="AJ562" s="107" t="s">
        <v>432</v>
      </c>
      <c r="AK562" s="137" t="s">
        <v>432</v>
      </c>
      <c r="AL562" s="600" t="s">
        <v>432</v>
      </c>
      <c r="AM562" s="137" t="s">
        <v>432</v>
      </c>
      <c r="AN562" s="137" t="s">
        <v>432</v>
      </c>
      <c r="AO562" s="137" t="s">
        <v>432</v>
      </c>
      <c r="AP562" s="137" t="s">
        <v>432</v>
      </c>
      <c r="AQ562" s="137" t="s">
        <v>432</v>
      </c>
      <c r="AR562" s="137" t="s">
        <v>432</v>
      </c>
      <c r="AS562" s="137" t="s">
        <v>432</v>
      </c>
      <c r="AT562" s="137" t="s">
        <v>432</v>
      </c>
      <c r="AU562" s="137" t="s">
        <v>432</v>
      </c>
      <c r="AV562" s="137" t="s">
        <v>432</v>
      </c>
      <c r="AW562" s="137" t="s">
        <v>432</v>
      </c>
      <c r="AX562" s="137" t="s">
        <v>432</v>
      </c>
      <c r="AY562" s="137" t="s">
        <v>432</v>
      </c>
      <c r="AZ562" s="137" t="s">
        <v>432</v>
      </c>
      <c r="BA562" s="137" t="s">
        <v>432</v>
      </c>
      <c r="BB562" s="239" t="str">
        <f t="shared" si="94"/>
        <v>geralx</v>
      </c>
      <c r="BC562" s="239" t="str">
        <f t="shared" si="95"/>
        <v>geralxx</v>
      </c>
      <c r="BD562" s="239" t="str">
        <f t="shared" si="96"/>
        <v>geralx</v>
      </c>
    </row>
    <row r="563" spans="1:56" ht="25.5" customHeight="1" x14ac:dyDescent="0.25">
      <c r="A563" s="262" t="s">
        <v>432</v>
      </c>
      <c r="B563" s="252" t="s">
        <v>742</v>
      </c>
      <c r="C563" s="167" t="s">
        <v>432</v>
      </c>
      <c r="D563" s="325" t="s">
        <v>146</v>
      </c>
      <c r="E563" s="1496" t="s">
        <v>432</v>
      </c>
      <c r="F563" s="165" t="s">
        <v>993</v>
      </c>
      <c r="G563" s="167" t="s">
        <v>3879</v>
      </c>
      <c r="H563" s="167" t="s">
        <v>432</v>
      </c>
      <c r="I563" s="167" t="s">
        <v>432</v>
      </c>
      <c r="J563" s="107" t="s">
        <v>432</v>
      </c>
      <c r="K563" s="107" t="s">
        <v>432</v>
      </c>
      <c r="L563" s="107" t="s">
        <v>432</v>
      </c>
      <c r="M563" s="107" t="s">
        <v>432</v>
      </c>
      <c r="N563" s="107" t="s">
        <v>432</v>
      </c>
      <c r="O563" s="107" t="s">
        <v>432</v>
      </c>
      <c r="P563" s="107" t="s">
        <v>432</v>
      </c>
      <c r="Q563" s="107" t="s">
        <v>432</v>
      </c>
      <c r="R563" s="107" t="s">
        <v>432</v>
      </c>
      <c r="S563" s="109" t="s">
        <v>2209</v>
      </c>
      <c r="T563" s="107" t="s">
        <v>432</v>
      </c>
      <c r="U563" s="107" t="s">
        <v>432</v>
      </c>
      <c r="V563" s="109" t="s">
        <v>2209</v>
      </c>
      <c r="W563" s="107" t="s">
        <v>432</v>
      </c>
      <c r="X563" s="107" t="s">
        <v>432</v>
      </c>
      <c r="Y563" s="107" t="s">
        <v>432</v>
      </c>
      <c r="Z563" s="107" t="s">
        <v>432</v>
      </c>
      <c r="AA563" s="107" t="s">
        <v>432</v>
      </c>
      <c r="AB563" s="107" t="s">
        <v>432</v>
      </c>
      <c r="AC563" s="107" t="s">
        <v>432</v>
      </c>
      <c r="AD563" s="107" t="s">
        <v>432</v>
      </c>
      <c r="AE563" s="107" t="s">
        <v>432</v>
      </c>
      <c r="AF563" s="107" t="s">
        <v>432</v>
      </c>
      <c r="AG563" s="107" t="s">
        <v>432</v>
      </c>
      <c r="AH563" s="107" t="s">
        <v>432</v>
      </c>
      <c r="AI563" s="107" t="s">
        <v>432</v>
      </c>
      <c r="AJ563" s="107" t="s">
        <v>432</v>
      </c>
      <c r="AK563" s="137" t="s">
        <v>432</v>
      </c>
      <c r="AL563" s="600" t="s">
        <v>432</v>
      </c>
      <c r="AM563" s="137" t="s">
        <v>432</v>
      </c>
      <c r="AN563" s="137" t="s">
        <v>432</v>
      </c>
      <c r="AO563" s="137" t="s">
        <v>432</v>
      </c>
      <c r="AP563" s="137" t="s">
        <v>432</v>
      </c>
      <c r="AQ563" s="137" t="s">
        <v>432</v>
      </c>
      <c r="AR563" s="137" t="s">
        <v>432</v>
      </c>
      <c r="AS563" s="137" t="s">
        <v>432</v>
      </c>
      <c r="AT563" s="137" t="s">
        <v>432</v>
      </c>
      <c r="AU563" s="137" t="s">
        <v>432</v>
      </c>
      <c r="AV563" s="137" t="s">
        <v>432</v>
      </c>
      <c r="AW563" s="137" t="s">
        <v>432</v>
      </c>
      <c r="AX563" s="137" t="s">
        <v>432</v>
      </c>
      <c r="AY563" s="137" t="s">
        <v>432</v>
      </c>
      <c r="AZ563" s="137" t="s">
        <v>432</v>
      </c>
      <c r="BA563" s="137" t="s">
        <v>432</v>
      </c>
      <c r="BB563" s="239" t="str">
        <f t="shared" si="94"/>
        <v>geralx</v>
      </c>
      <c r="BC563" s="239" t="str">
        <f t="shared" si="95"/>
        <v>geralxx</v>
      </c>
      <c r="BD563" s="239" t="str">
        <f t="shared" si="96"/>
        <v>geralx</v>
      </c>
    </row>
    <row r="564" spans="1:56" s="1" customFormat="1" ht="25.5" customHeight="1" x14ac:dyDescent="0.25">
      <c r="A564" s="262" t="s">
        <v>432</v>
      </c>
      <c r="B564" s="252" t="s">
        <v>742</v>
      </c>
      <c r="C564" s="167" t="s">
        <v>432</v>
      </c>
      <c r="D564" s="325" t="s">
        <v>975</v>
      </c>
      <c r="E564" s="1496" t="s">
        <v>432</v>
      </c>
      <c r="F564" s="194" t="s">
        <v>976</v>
      </c>
      <c r="G564" s="167" t="s">
        <v>3879</v>
      </c>
      <c r="H564" s="167" t="s">
        <v>432</v>
      </c>
      <c r="I564" s="167" t="s">
        <v>432</v>
      </c>
      <c r="J564" s="109" t="s">
        <v>432</v>
      </c>
      <c r="K564" s="109" t="s">
        <v>432</v>
      </c>
      <c r="L564" s="109" t="s">
        <v>432</v>
      </c>
      <c r="M564" s="109" t="s">
        <v>432</v>
      </c>
      <c r="N564" s="109" t="s">
        <v>432</v>
      </c>
      <c r="O564" s="109" t="s">
        <v>432</v>
      </c>
      <c r="P564" s="109" t="s">
        <v>432</v>
      </c>
      <c r="Q564" s="109" t="s">
        <v>432</v>
      </c>
      <c r="R564" s="109" t="s">
        <v>432</v>
      </c>
      <c r="S564" s="109" t="s">
        <v>2209</v>
      </c>
      <c r="T564" s="109" t="s">
        <v>432</v>
      </c>
      <c r="U564" s="109" t="s">
        <v>432</v>
      </c>
      <c r="V564" s="109" t="s">
        <v>2209</v>
      </c>
      <c r="W564" s="109" t="s">
        <v>432</v>
      </c>
      <c r="X564" s="109" t="s">
        <v>432</v>
      </c>
      <c r="Y564" s="109" t="s">
        <v>432</v>
      </c>
      <c r="Z564" s="109" t="s">
        <v>432</v>
      </c>
      <c r="AA564" s="109" t="s">
        <v>432</v>
      </c>
      <c r="AB564" s="109" t="s">
        <v>432</v>
      </c>
      <c r="AC564" s="109" t="s">
        <v>432</v>
      </c>
      <c r="AD564" s="109" t="s">
        <v>432</v>
      </c>
      <c r="AE564" s="109" t="s">
        <v>432</v>
      </c>
      <c r="AF564" s="109" t="s">
        <v>432</v>
      </c>
      <c r="AG564" s="109" t="s">
        <v>432</v>
      </c>
      <c r="AH564" s="109" t="s">
        <v>432</v>
      </c>
      <c r="AI564" s="109" t="s">
        <v>432</v>
      </c>
      <c r="AJ564" s="109" t="s">
        <v>432</v>
      </c>
      <c r="AK564" s="109" t="s">
        <v>432</v>
      </c>
      <c r="AL564" s="600" t="s">
        <v>432</v>
      </c>
      <c r="AM564" s="109" t="s">
        <v>432</v>
      </c>
      <c r="AN564" s="109" t="s">
        <v>432</v>
      </c>
      <c r="AO564" s="109" t="s">
        <v>432</v>
      </c>
      <c r="AP564" s="109" t="s">
        <v>432</v>
      </c>
      <c r="AQ564" s="109" t="s">
        <v>432</v>
      </c>
      <c r="AR564" s="109" t="s">
        <v>432</v>
      </c>
      <c r="AS564" s="109" t="s">
        <v>432</v>
      </c>
      <c r="AT564" s="109" t="s">
        <v>432</v>
      </c>
      <c r="AU564" s="109" t="s">
        <v>432</v>
      </c>
      <c r="AV564" s="109" t="s">
        <v>432</v>
      </c>
      <c r="AW564" s="137" t="s">
        <v>432</v>
      </c>
      <c r="AX564" s="109" t="s">
        <v>432</v>
      </c>
      <c r="AY564" s="109" t="s">
        <v>432</v>
      </c>
      <c r="AZ564" s="109" t="s">
        <v>432</v>
      </c>
      <c r="BA564" s="109" t="s">
        <v>432</v>
      </c>
      <c r="BB564" s="239" t="str">
        <f t="shared" si="94"/>
        <v>geralx</v>
      </c>
      <c r="BC564" s="239" t="str">
        <f t="shared" si="95"/>
        <v>geralxx</v>
      </c>
      <c r="BD564" s="239" t="str">
        <f t="shared" si="96"/>
        <v>geralx</v>
      </c>
    </row>
    <row r="565" spans="1:56" s="1" customFormat="1" ht="38.25" x14ac:dyDescent="0.25">
      <c r="A565" s="262" t="s">
        <v>432</v>
      </c>
      <c r="B565" s="252" t="s">
        <v>742</v>
      </c>
      <c r="C565" s="167"/>
      <c r="D565" s="325" t="s">
        <v>5604</v>
      </c>
      <c r="E565" s="1496" t="s">
        <v>1767</v>
      </c>
      <c r="F565" s="53" t="s">
        <v>5605</v>
      </c>
      <c r="G565" s="230" t="s">
        <v>3507</v>
      </c>
      <c r="H565" s="167" t="s">
        <v>2408</v>
      </c>
      <c r="I565" s="167"/>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600"/>
      <c r="AM565" s="109"/>
      <c r="AN565" s="109"/>
      <c r="AO565" s="109"/>
      <c r="AP565" s="109"/>
      <c r="AQ565" s="109"/>
      <c r="AR565" s="109"/>
      <c r="AS565" s="109"/>
      <c r="AT565" s="109"/>
      <c r="AU565" s="109"/>
      <c r="AV565" s="109"/>
      <c r="AW565" s="137"/>
      <c r="AX565" s="109"/>
      <c r="AY565" s="109"/>
      <c r="AZ565" s="109"/>
      <c r="BA565" s="109"/>
      <c r="BB565" s="239"/>
      <c r="BC565" s="239"/>
      <c r="BD565" s="239"/>
    </row>
    <row r="566" spans="1:56" s="373" customFormat="1" x14ac:dyDescent="0.25">
      <c r="A566" s="402"/>
      <c r="B566" s="399"/>
      <c r="C566" s="399"/>
      <c r="D566" s="1439"/>
      <c r="E566" s="1514"/>
      <c r="F566" s="520"/>
      <c r="G566" s="520"/>
      <c r="H566" s="399"/>
      <c r="I566" s="399"/>
      <c r="J566" s="399"/>
      <c r="K566" s="399"/>
      <c r="L566" s="399"/>
      <c r="M566" s="399"/>
      <c r="N566" s="399"/>
      <c r="O566" s="399"/>
      <c r="P566" s="399"/>
      <c r="Q566" s="399"/>
      <c r="R566" s="399"/>
      <c r="S566" s="399"/>
      <c r="T566" s="399"/>
      <c r="U566" s="399"/>
      <c r="V566" s="399"/>
      <c r="W566" s="399"/>
      <c r="X566" s="399"/>
      <c r="Y566" s="399"/>
      <c r="Z566" s="399"/>
      <c r="AA566" s="399"/>
      <c r="AB566" s="399"/>
      <c r="AC566" s="399"/>
      <c r="AD566" s="399"/>
      <c r="AE566" s="399"/>
      <c r="AF566" s="399"/>
      <c r="AG566" s="399"/>
      <c r="AH566" s="399"/>
      <c r="AI566" s="399"/>
      <c r="AJ566" s="399"/>
      <c r="AK566" s="399"/>
      <c r="AL566" s="1440"/>
      <c r="AM566" s="399"/>
      <c r="AN566" s="399"/>
      <c r="AO566" s="399"/>
      <c r="AP566" s="399"/>
      <c r="AQ566" s="399"/>
      <c r="AR566" s="399"/>
      <c r="AS566" s="399"/>
      <c r="AT566" s="399"/>
      <c r="AU566" s="399"/>
      <c r="AV566" s="399"/>
      <c r="AW566" s="223"/>
      <c r="AX566" s="399"/>
      <c r="AY566" s="399"/>
      <c r="AZ566" s="399"/>
      <c r="BA566" s="399"/>
      <c r="BB566" s="400"/>
      <c r="BC566" s="400"/>
      <c r="BD566" s="400"/>
    </row>
    <row r="567" spans="1:56" s="1" customFormat="1" ht="25.5" customHeight="1" x14ac:dyDescent="0.25">
      <c r="A567" s="262" t="s">
        <v>432</v>
      </c>
      <c r="B567" s="252" t="s">
        <v>742</v>
      </c>
      <c r="C567" s="167" t="s">
        <v>432</v>
      </c>
      <c r="D567" s="325" t="s">
        <v>2720</v>
      </c>
      <c r="E567" s="1496" t="s">
        <v>432</v>
      </c>
      <c r="F567" s="53" t="s">
        <v>2721</v>
      </c>
      <c r="G567" s="230" t="s">
        <v>3507</v>
      </c>
      <c r="H567" s="167" t="s">
        <v>2408</v>
      </c>
      <c r="I567" s="167" t="s">
        <v>432</v>
      </c>
      <c r="J567" s="109" t="s">
        <v>432</v>
      </c>
      <c r="K567" s="109" t="s">
        <v>432</v>
      </c>
      <c r="L567" s="109" t="s">
        <v>432</v>
      </c>
      <c r="M567" s="109" t="s">
        <v>432</v>
      </c>
      <c r="N567" s="109" t="s">
        <v>432</v>
      </c>
      <c r="O567" s="109" t="s">
        <v>432</v>
      </c>
      <c r="P567" s="109" t="s">
        <v>432</v>
      </c>
      <c r="Q567" s="109" t="s">
        <v>432</v>
      </c>
      <c r="R567" s="109" t="s">
        <v>432</v>
      </c>
      <c r="S567" s="109" t="s">
        <v>2209</v>
      </c>
      <c r="T567" s="109" t="s">
        <v>432</v>
      </c>
      <c r="U567" s="109" t="s">
        <v>432</v>
      </c>
      <c r="V567" s="109" t="s">
        <v>2209</v>
      </c>
      <c r="W567" s="109" t="s">
        <v>432</v>
      </c>
      <c r="X567" s="109" t="s">
        <v>432</v>
      </c>
      <c r="Y567" s="109" t="s">
        <v>432</v>
      </c>
      <c r="Z567" s="109" t="s">
        <v>432</v>
      </c>
      <c r="AA567" s="109" t="s">
        <v>432</v>
      </c>
      <c r="AB567" s="109" t="s">
        <v>432</v>
      </c>
      <c r="AC567" s="109" t="s">
        <v>432</v>
      </c>
      <c r="AD567" s="109" t="s">
        <v>432</v>
      </c>
      <c r="AE567" s="109" t="s">
        <v>432</v>
      </c>
      <c r="AF567" s="109" t="s">
        <v>432</v>
      </c>
      <c r="AG567" s="109" t="s">
        <v>432</v>
      </c>
      <c r="AH567" s="109" t="s">
        <v>432</v>
      </c>
      <c r="AI567" s="109" t="s">
        <v>432</v>
      </c>
      <c r="AJ567" s="109" t="s">
        <v>432</v>
      </c>
      <c r="AK567" s="109" t="s">
        <v>432</v>
      </c>
      <c r="AL567" s="600" t="s">
        <v>432</v>
      </c>
      <c r="AM567" s="109" t="s">
        <v>432</v>
      </c>
      <c r="AN567" s="109" t="s">
        <v>432</v>
      </c>
      <c r="AO567" s="109" t="s">
        <v>432</v>
      </c>
      <c r="AP567" s="109" t="s">
        <v>432</v>
      </c>
      <c r="AQ567" s="109" t="s">
        <v>432</v>
      </c>
      <c r="AR567" s="109" t="s">
        <v>432</v>
      </c>
      <c r="AS567" s="109" t="s">
        <v>432</v>
      </c>
      <c r="AT567" s="109" t="s">
        <v>432</v>
      </c>
      <c r="AU567" s="109" t="s">
        <v>432</v>
      </c>
      <c r="AV567" s="109" t="s">
        <v>432</v>
      </c>
      <c r="AW567" s="137" t="s">
        <v>432</v>
      </c>
      <c r="AX567" s="109" t="s">
        <v>432</v>
      </c>
      <c r="AY567" s="109" t="s">
        <v>432</v>
      </c>
      <c r="AZ567" s="109" t="s">
        <v>432</v>
      </c>
      <c r="BA567" s="109" t="s">
        <v>432</v>
      </c>
      <c r="BB567" s="239" t="str">
        <f>B567&amp;C567</f>
        <v>geralx</v>
      </c>
      <c r="BC567" s="239" t="str">
        <f>B567&amp;C567&amp;H567</f>
        <v>geralxsigla/verbete</v>
      </c>
      <c r="BD567" s="239" t="str">
        <f>B567&amp;H567</f>
        <v>geralsigla/verbete</v>
      </c>
    </row>
    <row r="568" spans="1:56" s="1" customFormat="1" ht="76.5" customHeight="1" x14ac:dyDescent="0.25">
      <c r="A568" s="262" t="s">
        <v>432</v>
      </c>
      <c r="B568" s="252" t="s">
        <v>742</v>
      </c>
      <c r="C568" s="167" t="s">
        <v>432</v>
      </c>
      <c r="D568" s="324" t="s">
        <v>147</v>
      </c>
      <c r="E568" s="1496" t="s">
        <v>432</v>
      </c>
      <c r="F568" s="53" t="s">
        <v>485</v>
      </c>
      <c r="G568" s="167" t="s">
        <v>3879</v>
      </c>
      <c r="H568" s="167" t="s">
        <v>432</v>
      </c>
      <c r="I568" s="167" t="s">
        <v>432</v>
      </c>
      <c r="J568" s="107" t="s">
        <v>432</v>
      </c>
      <c r="K568" s="107" t="s">
        <v>432</v>
      </c>
      <c r="L568" s="107" t="s">
        <v>432</v>
      </c>
      <c r="M568" s="107" t="s">
        <v>432</v>
      </c>
      <c r="N568" s="107" t="s">
        <v>432</v>
      </c>
      <c r="O568" s="107" t="s">
        <v>432</v>
      </c>
      <c r="P568" s="107" t="s">
        <v>432</v>
      </c>
      <c r="Q568" s="107" t="s">
        <v>432</v>
      </c>
      <c r="R568" s="107" t="s">
        <v>432</v>
      </c>
      <c r="S568" s="109" t="s">
        <v>2209</v>
      </c>
      <c r="T568" s="107" t="s">
        <v>432</v>
      </c>
      <c r="U568" s="107" t="s">
        <v>432</v>
      </c>
      <c r="V568" s="109" t="s">
        <v>2209</v>
      </c>
      <c r="W568" s="107" t="s">
        <v>432</v>
      </c>
      <c r="X568" s="107" t="s">
        <v>432</v>
      </c>
      <c r="Y568" s="107" t="s">
        <v>432</v>
      </c>
      <c r="Z568" s="107" t="s">
        <v>432</v>
      </c>
      <c r="AA568" s="107" t="s">
        <v>432</v>
      </c>
      <c r="AB568" s="107" t="s">
        <v>432</v>
      </c>
      <c r="AC568" s="107" t="s">
        <v>432</v>
      </c>
      <c r="AD568" s="107" t="s">
        <v>432</v>
      </c>
      <c r="AE568" s="107" t="s">
        <v>432</v>
      </c>
      <c r="AF568" s="107" t="s">
        <v>432</v>
      </c>
      <c r="AG568" s="107" t="s">
        <v>432</v>
      </c>
      <c r="AH568" s="107" t="s">
        <v>432</v>
      </c>
      <c r="AI568" s="107" t="s">
        <v>432</v>
      </c>
      <c r="AJ568" s="107" t="s">
        <v>432</v>
      </c>
      <c r="AK568" s="137" t="s">
        <v>432</v>
      </c>
      <c r="AL568" s="600" t="s">
        <v>432</v>
      </c>
      <c r="AM568" s="137" t="s">
        <v>432</v>
      </c>
      <c r="AN568" s="137" t="s">
        <v>432</v>
      </c>
      <c r="AO568" s="137" t="s">
        <v>432</v>
      </c>
      <c r="AP568" s="137" t="s">
        <v>432</v>
      </c>
      <c r="AQ568" s="137" t="s">
        <v>432</v>
      </c>
      <c r="AR568" s="137" t="s">
        <v>432</v>
      </c>
      <c r="AS568" s="137" t="s">
        <v>432</v>
      </c>
      <c r="AT568" s="137" t="s">
        <v>432</v>
      </c>
      <c r="AU568" s="137" t="s">
        <v>432</v>
      </c>
      <c r="AV568" s="137" t="s">
        <v>432</v>
      </c>
      <c r="AW568" s="137" t="s">
        <v>432</v>
      </c>
      <c r="AX568" s="137" t="s">
        <v>432</v>
      </c>
      <c r="AY568" s="137" t="s">
        <v>432</v>
      </c>
      <c r="AZ568" s="137" t="s">
        <v>432</v>
      </c>
      <c r="BA568" s="137" t="s">
        <v>432</v>
      </c>
      <c r="BB568" s="239" t="str">
        <f>B568&amp;C568</f>
        <v>geralx</v>
      </c>
      <c r="BC568" s="239" t="str">
        <f>B568&amp;C568&amp;H568</f>
        <v>geralxx</v>
      </c>
      <c r="BD568" s="239" t="str">
        <f>B568&amp;H568</f>
        <v>geralx</v>
      </c>
    </row>
    <row r="569" spans="1:56" s="3" customFormat="1" ht="11.25" customHeight="1" x14ac:dyDescent="0.25">
      <c r="A569" s="402"/>
      <c r="B569" s="399"/>
      <c r="C569" s="399"/>
      <c r="D569" s="970"/>
      <c r="E569" s="1493"/>
      <c r="F569" s="221"/>
      <c r="G569" s="221"/>
      <c r="H569" s="221"/>
      <c r="I569" s="399"/>
      <c r="J569" s="221"/>
      <c r="K569" s="221"/>
      <c r="L569" s="221"/>
      <c r="M569" s="221"/>
      <c r="N569" s="221"/>
      <c r="O569" s="221"/>
      <c r="P569" s="221"/>
      <c r="Q569" s="221"/>
      <c r="R569" s="221"/>
      <c r="S569" s="109" t="s">
        <v>2209</v>
      </c>
      <c r="T569" s="221"/>
      <c r="U569" s="221"/>
      <c r="V569" s="109" t="s">
        <v>2209</v>
      </c>
      <c r="W569" s="221"/>
      <c r="X569" s="221"/>
      <c r="Y569" s="221"/>
      <c r="Z569" s="221"/>
      <c r="AA569" s="221"/>
      <c r="AB569" s="221"/>
      <c r="AC569" s="221"/>
      <c r="AD569" s="221"/>
      <c r="AE569" s="221"/>
      <c r="AF569" s="221"/>
      <c r="AG569" s="221"/>
      <c r="AH569" s="221"/>
      <c r="AI569" s="221"/>
      <c r="AJ569" s="221"/>
      <c r="AK569" s="221"/>
      <c r="AL569" s="600" t="s">
        <v>432</v>
      </c>
      <c r="AM569" s="221"/>
      <c r="AN569" s="221"/>
      <c r="AO569" s="221"/>
      <c r="AP569" s="223"/>
      <c r="AQ569" s="223"/>
      <c r="AR569" s="223"/>
      <c r="AS569" s="223"/>
      <c r="AT569" s="223"/>
      <c r="AU569" s="223"/>
      <c r="AV569" s="223"/>
      <c r="AW569" s="137" t="s">
        <v>432</v>
      </c>
      <c r="AX569" s="223"/>
      <c r="AY569" s="223"/>
      <c r="AZ569" s="223"/>
      <c r="BA569" s="223"/>
      <c r="BB569" s="400"/>
      <c r="BC569" s="400"/>
      <c r="BD569" s="400"/>
    </row>
    <row r="570" spans="1:56" s="3" customFormat="1" ht="198.75" customHeight="1" x14ac:dyDescent="0.25">
      <c r="A570" s="262" t="str">
        <f>'Q100b-totais'!B50</f>
        <v>6.2</v>
      </c>
      <c r="B570" s="252" t="str">
        <f>'Q100b-totais'!C50</f>
        <v>Sistema de bicicleta</v>
      </c>
      <c r="C570" s="167" t="s">
        <v>432</v>
      </c>
      <c r="D570" s="325" t="s">
        <v>2989</v>
      </c>
      <c r="E570" s="254" t="s">
        <v>432</v>
      </c>
      <c r="F570" s="11" t="s">
        <v>2999</v>
      </c>
      <c r="G570" s="230" t="s">
        <v>4610</v>
      </c>
      <c r="H570" s="167" t="s">
        <v>2408</v>
      </c>
      <c r="I570" s="167" t="s">
        <v>432</v>
      </c>
      <c r="J570" s="109" t="s">
        <v>432</v>
      </c>
      <c r="K570" s="109" t="s">
        <v>432</v>
      </c>
      <c r="L570" s="109" t="s">
        <v>432</v>
      </c>
      <c r="M570" s="109" t="s">
        <v>432</v>
      </c>
      <c r="N570" s="109" t="s">
        <v>432</v>
      </c>
      <c r="O570" s="109" t="s">
        <v>432</v>
      </c>
      <c r="P570" s="109" t="s">
        <v>432</v>
      </c>
      <c r="Q570" s="109" t="s">
        <v>432</v>
      </c>
      <c r="R570" s="109" t="s">
        <v>432</v>
      </c>
      <c r="S570" s="109" t="s">
        <v>2209</v>
      </c>
      <c r="T570" s="109" t="s">
        <v>432</v>
      </c>
      <c r="U570" s="109" t="s">
        <v>432</v>
      </c>
      <c r="V570" s="109" t="s">
        <v>2209</v>
      </c>
      <c r="W570" s="109" t="s">
        <v>432</v>
      </c>
      <c r="X570" s="109" t="s">
        <v>432</v>
      </c>
      <c r="Y570" s="109" t="s">
        <v>432</v>
      </c>
      <c r="Z570" s="109" t="s">
        <v>432</v>
      </c>
      <c r="AA570" s="109" t="s">
        <v>432</v>
      </c>
      <c r="AB570" s="109" t="s">
        <v>432</v>
      </c>
      <c r="AC570" s="109" t="s">
        <v>432</v>
      </c>
      <c r="AD570" s="109" t="s">
        <v>432</v>
      </c>
      <c r="AE570" s="109" t="s">
        <v>432</v>
      </c>
      <c r="AF570" s="109" t="s">
        <v>432</v>
      </c>
      <c r="AG570" s="109" t="s">
        <v>432</v>
      </c>
      <c r="AH570" s="109" t="s">
        <v>432</v>
      </c>
      <c r="AI570" s="109" t="s">
        <v>432</v>
      </c>
      <c r="AJ570" s="109" t="s">
        <v>432</v>
      </c>
      <c r="AK570" s="109" t="s">
        <v>432</v>
      </c>
      <c r="AL570" s="600" t="s">
        <v>432</v>
      </c>
      <c r="AM570" s="109" t="s">
        <v>432</v>
      </c>
      <c r="AN570" s="109" t="s">
        <v>432</v>
      </c>
      <c r="AO570" s="109" t="s">
        <v>432</v>
      </c>
      <c r="AP570" s="109" t="s">
        <v>432</v>
      </c>
      <c r="AQ570" s="109" t="s">
        <v>432</v>
      </c>
      <c r="AR570" s="109" t="s">
        <v>432</v>
      </c>
      <c r="AS570" s="109" t="s">
        <v>432</v>
      </c>
      <c r="AT570" s="109" t="s">
        <v>432</v>
      </c>
      <c r="AU570" s="109" t="s">
        <v>432</v>
      </c>
      <c r="AV570" s="109" t="s">
        <v>432</v>
      </c>
      <c r="AW570" s="137" t="s">
        <v>432</v>
      </c>
      <c r="AX570" s="109" t="s">
        <v>432</v>
      </c>
      <c r="AY570" s="109" t="s">
        <v>432</v>
      </c>
      <c r="AZ570" s="109" t="s">
        <v>432</v>
      </c>
      <c r="BA570" s="109" t="s">
        <v>432</v>
      </c>
      <c r="BB570" s="239" t="str">
        <f t="shared" ref="BB570:BB576" si="102">B570&amp;C570</f>
        <v>Sistema de bicicletax</v>
      </c>
      <c r="BC570" s="239" t="str">
        <f t="shared" ref="BC570:BC576" si="103">B570&amp;C570&amp;H570</f>
        <v>Sistema de bicicletaxsigla/verbete</v>
      </c>
      <c r="BD570" s="239" t="str">
        <f t="shared" ref="BD570:BD576" si="104">B570&amp;H570</f>
        <v>Sistema de bicicletasigla/verbete</v>
      </c>
    </row>
    <row r="571" spans="1:56" s="3" customFormat="1" ht="25.5" x14ac:dyDescent="0.25">
      <c r="A571" s="262" t="str">
        <f>'Q100b-totais'!B50</f>
        <v>6.2</v>
      </c>
      <c r="B571" s="252" t="str">
        <f>'Q100b-totais'!C50</f>
        <v>Sistema de bicicleta</v>
      </c>
      <c r="C571" s="167" t="s">
        <v>432</v>
      </c>
      <c r="D571" s="325" t="s">
        <v>2989</v>
      </c>
      <c r="E571" s="254" t="s">
        <v>1306</v>
      </c>
      <c r="F571" s="11" t="s">
        <v>3000</v>
      </c>
      <c r="G571" s="941" t="s">
        <v>77</v>
      </c>
      <c r="H571" s="168" t="s">
        <v>432</v>
      </c>
      <c r="I571" s="167">
        <v>1</v>
      </c>
      <c r="J571" s="109" t="s">
        <v>432</v>
      </c>
      <c r="K571" s="109" t="s">
        <v>432</v>
      </c>
      <c r="L571" s="109" t="s">
        <v>432</v>
      </c>
      <c r="M571" s="109" t="s">
        <v>432</v>
      </c>
      <c r="N571" s="109" t="s">
        <v>432</v>
      </c>
      <c r="O571" s="109" t="s">
        <v>432</v>
      </c>
      <c r="P571" s="109" t="s">
        <v>432</v>
      </c>
      <c r="Q571" s="109" t="s">
        <v>432</v>
      </c>
      <c r="R571" s="109" t="s">
        <v>432</v>
      </c>
      <c r="S571" s="109" t="s">
        <v>2209</v>
      </c>
      <c r="T571" s="109" t="s">
        <v>432</v>
      </c>
      <c r="U571" s="109" t="s">
        <v>432</v>
      </c>
      <c r="V571" s="109" t="s">
        <v>2209</v>
      </c>
      <c r="W571" s="109" t="s">
        <v>432</v>
      </c>
      <c r="X571" s="109" t="s">
        <v>432</v>
      </c>
      <c r="Y571" s="109" t="s">
        <v>432</v>
      </c>
      <c r="Z571" s="109" t="s">
        <v>432</v>
      </c>
      <c r="AA571" s="109" t="s">
        <v>432</v>
      </c>
      <c r="AB571" s="109" t="s">
        <v>432</v>
      </c>
      <c r="AC571" s="109" t="s">
        <v>432</v>
      </c>
      <c r="AD571" s="109" t="s">
        <v>432</v>
      </c>
      <c r="AE571" s="109" t="s">
        <v>432</v>
      </c>
      <c r="AF571" s="109" t="s">
        <v>432</v>
      </c>
      <c r="AG571" s="109" t="s">
        <v>432</v>
      </c>
      <c r="AH571" s="109" t="s">
        <v>432</v>
      </c>
      <c r="AI571" s="109" t="s">
        <v>432</v>
      </c>
      <c r="AJ571" s="942" t="s">
        <v>432</v>
      </c>
      <c r="AK571" s="185">
        <v>2.74</v>
      </c>
      <c r="AL571" s="600" t="s">
        <v>432</v>
      </c>
      <c r="AM571" s="109" t="s">
        <v>432</v>
      </c>
      <c r="AN571" s="109" t="s">
        <v>432</v>
      </c>
      <c r="AO571" s="109" t="s">
        <v>432</v>
      </c>
      <c r="AP571" s="109" t="s">
        <v>432</v>
      </c>
      <c r="AQ571" s="109" t="s">
        <v>432</v>
      </c>
      <c r="AR571" s="109" t="s">
        <v>432</v>
      </c>
      <c r="AS571" s="109" t="s">
        <v>432</v>
      </c>
      <c r="AT571" s="109" t="s">
        <v>432</v>
      </c>
      <c r="AU571" s="109" t="s">
        <v>432</v>
      </c>
      <c r="AV571" s="109" t="s">
        <v>432</v>
      </c>
      <c r="AW571" s="137" t="s">
        <v>432</v>
      </c>
      <c r="AX571" s="109" t="s">
        <v>432</v>
      </c>
      <c r="AY571" s="109" t="s">
        <v>432</v>
      </c>
      <c r="AZ571" s="109" t="s">
        <v>432</v>
      </c>
      <c r="BA571" s="109" t="s">
        <v>432</v>
      </c>
      <c r="BB571" s="239" t="str">
        <f t="shared" si="102"/>
        <v>Sistema de bicicletax</v>
      </c>
      <c r="BC571" s="239" t="str">
        <f t="shared" si="103"/>
        <v>Sistema de bicicletaxx</v>
      </c>
      <c r="BD571" s="239" t="str">
        <f t="shared" si="104"/>
        <v>Sistema de bicicletax</v>
      </c>
    </row>
    <row r="572" spans="1:56" s="3" customFormat="1" ht="25.5" x14ac:dyDescent="0.25">
      <c r="A572" s="262" t="str">
        <f>'Q100b-totais'!B50</f>
        <v>6.2</v>
      </c>
      <c r="B572" s="252" t="str">
        <f>'Q100b-totais'!C50</f>
        <v>Sistema de bicicleta</v>
      </c>
      <c r="C572" s="167" t="s">
        <v>432</v>
      </c>
      <c r="D572" s="325" t="s">
        <v>2989</v>
      </c>
      <c r="E572" s="254" t="s">
        <v>2991</v>
      </c>
      <c r="F572" s="11" t="s">
        <v>3000</v>
      </c>
      <c r="G572" s="941" t="s">
        <v>77</v>
      </c>
      <c r="H572" s="168" t="s">
        <v>432</v>
      </c>
      <c r="I572" s="167">
        <v>1</v>
      </c>
      <c r="J572" s="109" t="s">
        <v>432</v>
      </c>
      <c r="K572" s="109" t="s">
        <v>432</v>
      </c>
      <c r="L572" s="109" t="s">
        <v>432</v>
      </c>
      <c r="M572" s="109" t="s">
        <v>432</v>
      </c>
      <c r="N572" s="109" t="s">
        <v>432</v>
      </c>
      <c r="O572" s="109" t="s">
        <v>432</v>
      </c>
      <c r="P572" s="109" t="s">
        <v>432</v>
      </c>
      <c r="Q572" s="109" t="s">
        <v>432</v>
      </c>
      <c r="R572" s="109" t="s">
        <v>432</v>
      </c>
      <c r="S572" s="109" t="s">
        <v>2209</v>
      </c>
      <c r="T572" s="109" t="s">
        <v>432</v>
      </c>
      <c r="U572" s="109" t="s">
        <v>432</v>
      </c>
      <c r="V572" s="109" t="s">
        <v>2209</v>
      </c>
      <c r="W572" s="109" t="s">
        <v>432</v>
      </c>
      <c r="X572" s="109" t="s">
        <v>432</v>
      </c>
      <c r="Y572" s="109" t="s">
        <v>432</v>
      </c>
      <c r="Z572" s="109" t="s">
        <v>432</v>
      </c>
      <c r="AA572" s="109" t="s">
        <v>432</v>
      </c>
      <c r="AB572" s="109" t="s">
        <v>432</v>
      </c>
      <c r="AC572" s="109" t="s">
        <v>432</v>
      </c>
      <c r="AD572" s="109" t="s">
        <v>432</v>
      </c>
      <c r="AE572" s="109" t="s">
        <v>432</v>
      </c>
      <c r="AF572" s="109" t="s">
        <v>432</v>
      </c>
      <c r="AG572" s="109" t="s">
        <v>432</v>
      </c>
      <c r="AH572" s="109" t="s">
        <v>432</v>
      </c>
      <c r="AI572" s="109" t="s">
        <v>432</v>
      </c>
      <c r="AJ572" s="942" t="s">
        <v>432</v>
      </c>
      <c r="AK572" s="185">
        <v>2.72</v>
      </c>
      <c r="AL572" s="600" t="s">
        <v>432</v>
      </c>
      <c r="AM572" s="109" t="s">
        <v>432</v>
      </c>
      <c r="AN572" s="109" t="s">
        <v>432</v>
      </c>
      <c r="AO572" s="109" t="s">
        <v>432</v>
      </c>
      <c r="AP572" s="109" t="s">
        <v>432</v>
      </c>
      <c r="AQ572" s="109" t="s">
        <v>432</v>
      </c>
      <c r="AR572" s="109" t="s">
        <v>432</v>
      </c>
      <c r="AS572" s="109" t="s">
        <v>432</v>
      </c>
      <c r="AT572" s="109" t="s">
        <v>432</v>
      </c>
      <c r="AU572" s="109" t="s">
        <v>432</v>
      </c>
      <c r="AV572" s="109" t="s">
        <v>432</v>
      </c>
      <c r="AW572" s="137" t="s">
        <v>432</v>
      </c>
      <c r="AX572" s="109" t="s">
        <v>432</v>
      </c>
      <c r="AY572" s="109" t="s">
        <v>432</v>
      </c>
      <c r="AZ572" s="109" t="s">
        <v>432</v>
      </c>
      <c r="BA572" s="109" t="s">
        <v>432</v>
      </c>
      <c r="BB572" s="239" t="str">
        <f t="shared" si="102"/>
        <v>Sistema de bicicletax</v>
      </c>
      <c r="BC572" s="239" t="str">
        <f t="shared" si="103"/>
        <v>Sistema de bicicletaxx</v>
      </c>
      <c r="BD572" s="239" t="str">
        <f t="shared" si="104"/>
        <v>Sistema de bicicletax</v>
      </c>
    </row>
    <row r="573" spans="1:56" s="3" customFormat="1" ht="25.5" x14ac:dyDescent="0.25">
      <c r="A573" s="262" t="str">
        <f>'Q100b-totais'!B50</f>
        <v>6.2</v>
      </c>
      <c r="B573" s="252" t="str">
        <f>'Q100b-totais'!C50</f>
        <v>Sistema de bicicleta</v>
      </c>
      <c r="C573" s="167" t="s">
        <v>432</v>
      </c>
      <c r="D573" s="325" t="s">
        <v>2989</v>
      </c>
      <c r="E573" s="254" t="s">
        <v>1283</v>
      </c>
      <c r="F573" s="11" t="s">
        <v>3001</v>
      </c>
      <c r="G573" s="941" t="s">
        <v>77</v>
      </c>
      <c r="H573" s="168" t="s">
        <v>432</v>
      </c>
      <c r="I573" s="167">
        <v>1</v>
      </c>
      <c r="J573" s="109" t="s">
        <v>432</v>
      </c>
      <c r="K573" s="109" t="s">
        <v>432</v>
      </c>
      <c r="L573" s="109" t="s">
        <v>432</v>
      </c>
      <c r="M573" s="109" t="s">
        <v>432</v>
      </c>
      <c r="N573" s="109" t="s">
        <v>432</v>
      </c>
      <c r="O573" s="109" t="s">
        <v>432</v>
      </c>
      <c r="P573" s="109" t="s">
        <v>432</v>
      </c>
      <c r="Q573" s="109" t="s">
        <v>432</v>
      </c>
      <c r="R573" s="109" t="s">
        <v>432</v>
      </c>
      <c r="S573" s="109" t="s">
        <v>2209</v>
      </c>
      <c r="T573" s="109" t="s">
        <v>432</v>
      </c>
      <c r="U573" s="109" t="s">
        <v>432</v>
      </c>
      <c r="V573" s="109" t="s">
        <v>2209</v>
      </c>
      <c r="W573" s="109" t="s">
        <v>432</v>
      </c>
      <c r="X573" s="109" t="s">
        <v>432</v>
      </c>
      <c r="Y573" s="109" t="s">
        <v>432</v>
      </c>
      <c r="Z573" s="109" t="s">
        <v>432</v>
      </c>
      <c r="AA573" s="109" t="s">
        <v>432</v>
      </c>
      <c r="AB573" s="109" t="s">
        <v>432</v>
      </c>
      <c r="AC573" s="109" t="s">
        <v>432</v>
      </c>
      <c r="AD573" s="109" t="s">
        <v>432</v>
      </c>
      <c r="AE573" s="109" t="s">
        <v>432</v>
      </c>
      <c r="AF573" s="109" t="s">
        <v>432</v>
      </c>
      <c r="AG573" s="109" t="s">
        <v>432</v>
      </c>
      <c r="AH573" s="109" t="s">
        <v>432</v>
      </c>
      <c r="AI573" s="109" t="s">
        <v>432</v>
      </c>
      <c r="AJ573" s="943">
        <v>3.13</v>
      </c>
      <c r="AK573" s="942" t="s">
        <v>432</v>
      </c>
      <c r="AL573" s="600" t="s">
        <v>432</v>
      </c>
      <c r="AM573" s="109" t="s">
        <v>432</v>
      </c>
      <c r="AN573" s="109" t="s">
        <v>432</v>
      </c>
      <c r="AO573" s="109" t="s">
        <v>432</v>
      </c>
      <c r="AP573" s="109" t="s">
        <v>432</v>
      </c>
      <c r="AQ573" s="109" t="s">
        <v>432</v>
      </c>
      <c r="AR573" s="109" t="s">
        <v>432</v>
      </c>
      <c r="AS573" s="109" t="s">
        <v>432</v>
      </c>
      <c r="AT573" s="109" t="s">
        <v>432</v>
      </c>
      <c r="AU573" s="109" t="s">
        <v>432</v>
      </c>
      <c r="AV573" s="109" t="s">
        <v>432</v>
      </c>
      <c r="AW573" s="137" t="s">
        <v>432</v>
      </c>
      <c r="AX573" s="109" t="s">
        <v>432</v>
      </c>
      <c r="AY573" s="109" t="s">
        <v>432</v>
      </c>
      <c r="AZ573" s="109" t="s">
        <v>432</v>
      </c>
      <c r="BA573" s="109" t="s">
        <v>432</v>
      </c>
      <c r="BB573" s="239" t="str">
        <f t="shared" si="102"/>
        <v>Sistema de bicicletax</v>
      </c>
      <c r="BC573" s="239" t="str">
        <f t="shared" si="103"/>
        <v>Sistema de bicicletaxx</v>
      </c>
      <c r="BD573" s="239" t="str">
        <f t="shared" si="104"/>
        <v>Sistema de bicicletax</v>
      </c>
    </row>
    <row r="574" spans="1:56" s="3" customFormat="1" ht="25.5" x14ac:dyDescent="0.25">
      <c r="A574" s="262" t="str">
        <f>'Q100b-totais'!B50</f>
        <v>6.2</v>
      </c>
      <c r="B574" s="252" t="str">
        <f>'Q100b-totais'!C50</f>
        <v>Sistema de bicicleta</v>
      </c>
      <c r="C574" s="167" t="s">
        <v>432</v>
      </c>
      <c r="D574" s="325" t="s">
        <v>2989</v>
      </c>
      <c r="E574" s="254" t="s">
        <v>1705</v>
      </c>
      <c r="F574" s="11" t="s">
        <v>3001</v>
      </c>
      <c r="G574" s="941" t="s">
        <v>77</v>
      </c>
      <c r="H574" s="168" t="s">
        <v>432</v>
      </c>
      <c r="I574" s="167">
        <v>1</v>
      </c>
      <c r="J574" s="109" t="s">
        <v>432</v>
      </c>
      <c r="K574" s="109" t="s">
        <v>432</v>
      </c>
      <c r="L574" s="109" t="s">
        <v>432</v>
      </c>
      <c r="M574" s="109" t="s">
        <v>432</v>
      </c>
      <c r="N574" s="109" t="s">
        <v>432</v>
      </c>
      <c r="O574" s="109" t="s">
        <v>432</v>
      </c>
      <c r="P574" s="109" t="s">
        <v>432</v>
      </c>
      <c r="Q574" s="109" t="s">
        <v>432</v>
      </c>
      <c r="R574" s="109" t="s">
        <v>432</v>
      </c>
      <c r="S574" s="109" t="s">
        <v>2209</v>
      </c>
      <c r="T574" s="109" t="s">
        <v>432</v>
      </c>
      <c r="U574" s="109" t="s">
        <v>432</v>
      </c>
      <c r="V574" s="109" t="s">
        <v>2209</v>
      </c>
      <c r="W574" s="109" t="s">
        <v>432</v>
      </c>
      <c r="X574" s="109" t="s">
        <v>432</v>
      </c>
      <c r="Y574" s="109" t="s">
        <v>432</v>
      </c>
      <c r="Z574" s="109" t="s">
        <v>432</v>
      </c>
      <c r="AA574" s="109" t="s">
        <v>432</v>
      </c>
      <c r="AB574" s="109" t="s">
        <v>432</v>
      </c>
      <c r="AC574" s="109" t="s">
        <v>432</v>
      </c>
      <c r="AD574" s="109" t="s">
        <v>432</v>
      </c>
      <c r="AE574" s="109" t="s">
        <v>432</v>
      </c>
      <c r="AF574" s="109" t="s">
        <v>432</v>
      </c>
      <c r="AG574" s="109" t="s">
        <v>432</v>
      </c>
      <c r="AH574" s="109" t="s">
        <v>432</v>
      </c>
      <c r="AI574" s="109" t="s">
        <v>432</v>
      </c>
      <c r="AJ574" s="943">
        <v>2.6</v>
      </c>
      <c r="AK574" s="942" t="s">
        <v>432</v>
      </c>
      <c r="AL574" s="600" t="s">
        <v>432</v>
      </c>
      <c r="AM574" s="109" t="s">
        <v>432</v>
      </c>
      <c r="AN574" s="109" t="s">
        <v>432</v>
      </c>
      <c r="AO574" s="109" t="s">
        <v>432</v>
      </c>
      <c r="AP574" s="109" t="s">
        <v>432</v>
      </c>
      <c r="AQ574" s="109" t="s">
        <v>432</v>
      </c>
      <c r="AR574" s="109" t="s">
        <v>432</v>
      </c>
      <c r="AS574" s="109" t="s">
        <v>432</v>
      </c>
      <c r="AT574" s="109" t="s">
        <v>432</v>
      </c>
      <c r="AU574" s="109" t="s">
        <v>432</v>
      </c>
      <c r="AV574" s="109" t="s">
        <v>432</v>
      </c>
      <c r="AW574" s="137" t="s">
        <v>432</v>
      </c>
      <c r="AX574" s="109" t="s">
        <v>432</v>
      </c>
      <c r="AY574" s="109" t="s">
        <v>432</v>
      </c>
      <c r="AZ574" s="109" t="s">
        <v>432</v>
      </c>
      <c r="BA574" s="109" t="s">
        <v>432</v>
      </c>
      <c r="BB574" s="239" t="str">
        <f t="shared" si="102"/>
        <v>Sistema de bicicletax</v>
      </c>
      <c r="BC574" s="239" t="str">
        <f t="shared" si="103"/>
        <v>Sistema de bicicletaxx</v>
      </c>
      <c r="BD574" s="239" t="str">
        <f t="shared" si="104"/>
        <v>Sistema de bicicletax</v>
      </c>
    </row>
    <row r="575" spans="1:56" s="3" customFormat="1" ht="63.75" customHeight="1" x14ac:dyDescent="0.25">
      <c r="A575" s="262" t="str">
        <f>'Q100b-totais'!B50</f>
        <v>6.2</v>
      </c>
      <c r="B575" s="252" t="str">
        <f>'Q100b-totais'!C50</f>
        <v>Sistema de bicicleta</v>
      </c>
      <c r="C575" s="167" t="s">
        <v>432</v>
      </c>
      <c r="D575" s="325" t="s">
        <v>2989</v>
      </c>
      <c r="E575" s="254" t="s">
        <v>2017</v>
      </c>
      <c r="F575" s="11" t="s">
        <v>2998</v>
      </c>
      <c r="G575" s="1353" t="s">
        <v>77</v>
      </c>
      <c r="H575" s="168" t="s">
        <v>819</v>
      </c>
      <c r="I575" s="167" t="s">
        <v>432</v>
      </c>
      <c r="J575" s="109" t="s">
        <v>432</v>
      </c>
      <c r="K575" s="109" t="s">
        <v>432</v>
      </c>
      <c r="L575" s="109" t="s">
        <v>432</v>
      </c>
      <c r="M575" s="109" t="s">
        <v>432</v>
      </c>
      <c r="N575" s="109" t="s">
        <v>432</v>
      </c>
      <c r="O575" s="109" t="s">
        <v>432</v>
      </c>
      <c r="P575" s="109" t="s">
        <v>432</v>
      </c>
      <c r="Q575" s="109" t="s">
        <v>432</v>
      </c>
      <c r="R575" s="109" t="s">
        <v>432</v>
      </c>
      <c r="S575" s="109" t="s">
        <v>2209</v>
      </c>
      <c r="T575" s="109" t="s">
        <v>432</v>
      </c>
      <c r="U575" s="109" t="s">
        <v>432</v>
      </c>
      <c r="V575" s="109" t="s">
        <v>2209</v>
      </c>
      <c r="W575" s="109" t="s">
        <v>432</v>
      </c>
      <c r="X575" s="109" t="s">
        <v>432</v>
      </c>
      <c r="Y575" s="109" t="s">
        <v>432</v>
      </c>
      <c r="Z575" s="109" t="s">
        <v>432</v>
      </c>
      <c r="AA575" s="109" t="s">
        <v>432</v>
      </c>
      <c r="AB575" s="109" t="s">
        <v>432</v>
      </c>
      <c r="AC575" s="109" t="s">
        <v>432</v>
      </c>
      <c r="AD575" s="109" t="s">
        <v>432</v>
      </c>
      <c r="AE575" s="109" t="s">
        <v>432</v>
      </c>
      <c r="AF575" s="109" t="s">
        <v>432</v>
      </c>
      <c r="AG575" s="109" t="s">
        <v>432</v>
      </c>
      <c r="AH575" s="109" t="s">
        <v>432</v>
      </c>
      <c r="AI575" s="109" t="s">
        <v>432</v>
      </c>
      <c r="AJ575" s="136" t="s">
        <v>432</v>
      </c>
      <c r="AK575" s="136" t="s">
        <v>432</v>
      </c>
      <c r="AL575" s="600" t="s">
        <v>432</v>
      </c>
      <c r="AM575" s="109" t="s">
        <v>432</v>
      </c>
      <c r="AN575" s="109" t="s">
        <v>432</v>
      </c>
      <c r="AO575" s="109" t="s">
        <v>432</v>
      </c>
      <c r="AP575" s="109" t="s">
        <v>432</v>
      </c>
      <c r="AQ575" s="109" t="s">
        <v>432</v>
      </c>
      <c r="AR575" s="109" t="s">
        <v>432</v>
      </c>
      <c r="AS575" s="109" t="s">
        <v>432</v>
      </c>
      <c r="AT575" s="109" t="s">
        <v>432</v>
      </c>
      <c r="AU575" s="109" t="s">
        <v>432</v>
      </c>
      <c r="AV575" s="109" t="s">
        <v>432</v>
      </c>
      <c r="AW575" s="137" t="s">
        <v>432</v>
      </c>
      <c r="AX575" s="109" t="s">
        <v>432</v>
      </c>
      <c r="AY575" s="109" t="s">
        <v>432</v>
      </c>
      <c r="AZ575" s="109" t="s">
        <v>432</v>
      </c>
      <c r="BA575" s="109" t="s">
        <v>432</v>
      </c>
      <c r="BB575" s="239" t="str">
        <f t="shared" si="102"/>
        <v>Sistema de bicicletax</v>
      </c>
      <c r="BC575" s="239" t="str">
        <f t="shared" si="103"/>
        <v>Sistema de bicicletaxbenchmarking</v>
      </c>
      <c r="BD575" s="239" t="str">
        <f t="shared" si="104"/>
        <v>Sistema de bicicletabenchmarking</v>
      </c>
    </row>
    <row r="576" spans="1:56" s="3" customFormat="1" ht="53.25" customHeight="1" x14ac:dyDescent="0.25">
      <c r="A576" s="262" t="str">
        <f>'Q100b-totais'!B50</f>
        <v>6.2</v>
      </c>
      <c r="B576" s="252" t="str">
        <f>'Q100b-totais'!C50</f>
        <v>Sistema de bicicleta</v>
      </c>
      <c r="C576" s="167" t="s">
        <v>432</v>
      </c>
      <c r="D576" s="325" t="s">
        <v>2990</v>
      </c>
      <c r="E576" s="254" t="s">
        <v>432</v>
      </c>
      <c r="F576" s="11" t="s">
        <v>4611</v>
      </c>
      <c r="G576" s="230" t="s">
        <v>4610</v>
      </c>
      <c r="H576" s="167" t="s">
        <v>765</v>
      </c>
      <c r="I576" s="167" t="s">
        <v>432</v>
      </c>
      <c r="J576" s="109" t="s">
        <v>432</v>
      </c>
      <c r="K576" s="109" t="s">
        <v>432</v>
      </c>
      <c r="L576" s="109" t="s">
        <v>432</v>
      </c>
      <c r="M576" s="109" t="s">
        <v>432</v>
      </c>
      <c r="N576" s="109" t="s">
        <v>432</v>
      </c>
      <c r="O576" s="109" t="s">
        <v>432</v>
      </c>
      <c r="P576" s="109" t="s">
        <v>432</v>
      </c>
      <c r="Q576" s="109" t="s">
        <v>432</v>
      </c>
      <c r="R576" s="109" t="s">
        <v>432</v>
      </c>
      <c r="S576" s="109" t="s">
        <v>2209</v>
      </c>
      <c r="T576" s="109" t="s">
        <v>432</v>
      </c>
      <c r="U576" s="109" t="s">
        <v>432</v>
      </c>
      <c r="V576" s="109" t="s">
        <v>2209</v>
      </c>
      <c r="W576" s="109" t="s">
        <v>432</v>
      </c>
      <c r="X576" s="109" t="s">
        <v>432</v>
      </c>
      <c r="Y576" s="109" t="s">
        <v>432</v>
      </c>
      <c r="Z576" s="109" t="s">
        <v>432</v>
      </c>
      <c r="AA576" s="109" t="s">
        <v>432</v>
      </c>
      <c r="AB576" s="109" t="s">
        <v>432</v>
      </c>
      <c r="AC576" s="109" t="s">
        <v>432</v>
      </c>
      <c r="AD576" s="109" t="s">
        <v>432</v>
      </c>
      <c r="AE576" s="109" t="s">
        <v>432</v>
      </c>
      <c r="AF576" s="109" t="s">
        <v>432</v>
      </c>
      <c r="AG576" s="109" t="s">
        <v>432</v>
      </c>
      <c r="AH576" s="109" t="s">
        <v>432</v>
      </c>
      <c r="AI576" s="109" t="s">
        <v>432</v>
      </c>
      <c r="AJ576" s="136" t="s">
        <v>432</v>
      </c>
      <c r="AK576" s="136" t="s">
        <v>432</v>
      </c>
      <c r="AL576" s="600" t="s">
        <v>432</v>
      </c>
      <c r="AM576" s="109" t="s">
        <v>432</v>
      </c>
      <c r="AN576" s="109" t="s">
        <v>432</v>
      </c>
      <c r="AO576" s="109" t="s">
        <v>432</v>
      </c>
      <c r="AP576" s="109" t="s">
        <v>432</v>
      </c>
      <c r="AQ576" s="109" t="s">
        <v>432</v>
      </c>
      <c r="AR576" s="109" t="s">
        <v>432</v>
      </c>
      <c r="AS576" s="109" t="s">
        <v>432</v>
      </c>
      <c r="AT576" s="109" t="s">
        <v>432</v>
      </c>
      <c r="AU576" s="109" t="s">
        <v>432</v>
      </c>
      <c r="AV576" s="109" t="s">
        <v>432</v>
      </c>
      <c r="AW576" s="137" t="s">
        <v>432</v>
      </c>
      <c r="AX576" s="109" t="s">
        <v>432</v>
      </c>
      <c r="AY576" s="109" t="s">
        <v>432</v>
      </c>
      <c r="AZ576" s="109" t="s">
        <v>432</v>
      </c>
      <c r="BA576" s="109" t="s">
        <v>432</v>
      </c>
      <c r="BB576" s="239" t="str">
        <f t="shared" si="102"/>
        <v>Sistema de bicicletax</v>
      </c>
      <c r="BC576" s="239" t="str">
        <f t="shared" si="103"/>
        <v>Sistema de bicicletaxmeta/RPI</v>
      </c>
      <c r="BD576" s="239" t="str">
        <f t="shared" si="104"/>
        <v>Sistema de bicicletameta/RPI</v>
      </c>
    </row>
    <row r="577" spans="1:56" s="3" customFormat="1" ht="25.5" x14ac:dyDescent="0.25">
      <c r="A577" s="223"/>
      <c r="B577" s="223"/>
      <c r="C577" s="223"/>
      <c r="D577" s="975"/>
      <c r="E577" s="1515"/>
      <c r="F577" s="223"/>
      <c r="G577" s="223"/>
      <c r="H577" s="223"/>
      <c r="I577" s="223"/>
      <c r="J577" s="223"/>
      <c r="K577" s="223"/>
      <c r="L577" s="223"/>
      <c r="M577" s="223"/>
      <c r="N577" s="223"/>
      <c r="O577" s="223"/>
      <c r="P577" s="223"/>
      <c r="Q577" s="223"/>
      <c r="R577" s="223"/>
      <c r="S577" s="109" t="s">
        <v>2209</v>
      </c>
      <c r="T577" s="223"/>
      <c r="U577" s="223"/>
      <c r="V577" s="109" t="s">
        <v>2209</v>
      </c>
      <c r="W577" s="223"/>
      <c r="X577" s="223"/>
      <c r="Y577" s="223"/>
      <c r="Z577" s="223"/>
      <c r="AA577" s="223"/>
      <c r="AB577" s="223"/>
      <c r="AC577" s="223"/>
      <c r="AD577" s="223"/>
      <c r="AE577" s="223"/>
      <c r="AF577" s="223"/>
      <c r="AG577" s="223"/>
      <c r="AH577" s="223"/>
      <c r="AI577" s="223"/>
      <c r="AJ577" s="223"/>
      <c r="AK577" s="223"/>
      <c r="AL577" s="600" t="s">
        <v>432</v>
      </c>
      <c r="AM577" s="223"/>
      <c r="AN577" s="223"/>
      <c r="AO577" s="223"/>
      <c r="AP577" s="223"/>
      <c r="AQ577" s="223"/>
      <c r="AR577" s="223"/>
      <c r="AS577" s="223"/>
      <c r="AT577" s="223"/>
      <c r="AU577" s="223"/>
      <c r="AV577" s="223"/>
      <c r="AW577" s="223"/>
      <c r="AX577" s="223"/>
      <c r="AY577" s="223"/>
      <c r="AZ577" s="223"/>
      <c r="BA577" s="223"/>
      <c r="BB577" s="400"/>
      <c r="BC577" s="400"/>
      <c r="BD577" s="400"/>
    </row>
    <row r="578" spans="1:56" s="3" customFormat="1" ht="50.25" customHeight="1" x14ac:dyDescent="0.25">
      <c r="A578" s="275" t="str">
        <f>'Q100b-totais'!$B$19</f>
        <v>2.4</v>
      </c>
      <c r="B578" s="54" t="str">
        <f>'Q100b-totais'!$C$19</f>
        <v>População</v>
      </c>
      <c r="C578" s="167" t="s">
        <v>432</v>
      </c>
      <c r="D578" s="940" t="s">
        <v>2988</v>
      </c>
      <c r="E578" s="1516" t="s">
        <v>432</v>
      </c>
      <c r="F578" s="14" t="s">
        <v>6065</v>
      </c>
      <c r="G578" s="230" t="s">
        <v>3507</v>
      </c>
      <c r="H578" s="167" t="s">
        <v>2408</v>
      </c>
      <c r="I578" s="167" t="s">
        <v>432</v>
      </c>
      <c r="J578" s="109" t="s">
        <v>432</v>
      </c>
      <c r="K578" s="109" t="s">
        <v>432</v>
      </c>
      <c r="L578" s="109" t="s">
        <v>432</v>
      </c>
      <c r="M578" s="109" t="s">
        <v>432</v>
      </c>
      <c r="N578" s="109" t="s">
        <v>432</v>
      </c>
      <c r="O578" s="109" t="s">
        <v>432</v>
      </c>
      <c r="P578" s="109" t="s">
        <v>432</v>
      </c>
      <c r="Q578" s="109" t="s">
        <v>432</v>
      </c>
      <c r="R578" s="109" t="s">
        <v>432</v>
      </c>
      <c r="S578" s="109" t="s">
        <v>2209</v>
      </c>
      <c r="T578" s="109" t="s">
        <v>432</v>
      </c>
      <c r="U578" s="109" t="s">
        <v>432</v>
      </c>
      <c r="V578" s="109" t="s">
        <v>2209</v>
      </c>
      <c r="W578" s="109" t="s">
        <v>432</v>
      </c>
      <c r="X578" s="109" t="s">
        <v>432</v>
      </c>
      <c r="Y578" s="109" t="s">
        <v>432</v>
      </c>
      <c r="Z578" s="109" t="s">
        <v>432</v>
      </c>
      <c r="AA578" s="109" t="s">
        <v>432</v>
      </c>
      <c r="AB578" s="109" t="s">
        <v>432</v>
      </c>
      <c r="AC578" s="109" t="s">
        <v>432</v>
      </c>
      <c r="AD578" s="109" t="s">
        <v>432</v>
      </c>
      <c r="AE578" s="109" t="s">
        <v>432</v>
      </c>
      <c r="AF578" s="109" t="s">
        <v>432</v>
      </c>
      <c r="AG578" s="109" t="s">
        <v>432</v>
      </c>
      <c r="AH578" s="109" t="s">
        <v>432</v>
      </c>
      <c r="AI578" s="109" t="s">
        <v>432</v>
      </c>
      <c r="AJ578" s="109" t="s">
        <v>432</v>
      </c>
      <c r="AK578" s="109" t="s">
        <v>432</v>
      </c>
      <c r="AL578" s="600" t="s">
        <v>432</v>
      </c>
      <c r="AM578" s="109" t="s">
        <v>432</v>
      </c>
      <c r="AN578" s="109" t="s">
        <v>432</v>
      </c>
      <c r="AO578" s="109" t="s">
        <v>432</v>
      </c>
      <c r="AP578" s="109" t="s">
        <v>432</v>
      </c>
      <c r="AQ578" s="109" t="s">
        <v>432</v>
      </c>
      <c r="AR578" s="109" t="s">
        <v>432</v>
      </c>
      <c r="AS578" s="109" t="s">
        <v>432</v>
      </c>
      <c r="AT578" s="109" t="s">
        <v>432</v>
      </c>
      <c r="AU578" s="109" t="s">
        <v>432</v>
      </c>
      <c r="AV578" s="109" t="s">
        <v>432</v>
      </c>
      <c r="AW578" s="137" t="s">
        <v>432</v>
      </c>
      <c r="AX578" s="109" t="s">
        <v>432</v>
      </c>
      <c r="AY578" s="109" t="s">
        <v>432</v>
      </c>
      <c r="AZ578" s="109" t="s">
        <v>432</v>
      </c>
      <c r="BA578" s="109" t="s">
        <v>432</v>
      </c>
      <c r="BB578" s="239" t="str">
        <f t="shared" ref="BB578:BB613" si="105">B578&amp;C578</f>
        <v>Populaçãox</v>
      </c>
      <c r="BC578" s="239" t="str">
        <f t="shared" ref="BC578:BC613" si="106">B578&amp;C578&amp;H578</f>
        <v>Populaçãoxsigla/verbete</v>
      </c>
      <c r="BD578" s="239" t="str">
        <f t="shared" ref="BD578:BD613" si="107">B578&amp;H578</f>
        <v>Populaçãosigla/verbete</v>
      </c>
    </row>
    <row r="579" spans="1:56" s="1" customFormat="1" ht="31.5" customHeight="1" x14ac:dyDescent="0.25">
      <c r="A579" s="275" t="str">
        <f>'Q100b-totais'!$B$19</f>
        <v>2.4</v>
      </c>
      <c r="B579" s="54" t="str">
        <f>'Q100b-totais'!$C$19</f>
        <v>População</v>
      </c>
      <c r="C579" s="167" t="s">
        <v>432</v>
      </c>
      <c r="D579" s="940" t="s">
        <v>2988</v>
      </c>
      <c r="E579" s="1503" t="s">
        <v>1738</v>
      </c>
      <c r="F579" s="14" t="s">
        <v>504</v>
      </c>
      <c r="G579" s="412" t="s">
        <v>498</v>
      </c>
      <c r="H579" s="173" t="s">
        <v>819</v>
      </c>
      <c r="I579" s="167" t="s">
        <v>432</v>
      </c>
      <c r="J579" s="58" t="s">
        <v>432</v>
      </c>
      <c r="K579" s="58" t="s">
        <v>432</v>
      </c>
      <c r="L579" s="58" t="s">
        <v>432</v>
      </c>
      <c r="M579" s="58" t="s">
        <v>432</v>
      </c>
      <c r="N579" s="58" t="s">
        <v>432</v>
      </c>
      <c r="O579" s="58" t="s">
        <v>432</v>
      </c>
      <c r="P579" s="58" t="s">
        <v>432</v>
      </c>
      <c r="Q579" s="58" t="s">
        <v>432</v>
      </c>
      <c r="R579" s="58" t="s">
        <v>432</v>
      </c>
      <c r="S579" s="109" t="s">
        <v>2209</v>
      </c>
      <c r="T579" s="58" t="s">
        <v>432</v>
      </c>
      <c r="U579" s="58" t="s">
        <v>432</v>
      </c>
      <c r="V579" s="109" t="s">
        <v>2209</v>
      </c>
      <c r="W579" s="58" t="s">
        <v>432</v>
      </c>
      <c r="X579" s="58" t="s">
        <v>432</v>
      </c>
      <c r="Y579" s="58" t="s">
        <v>432</v>
      </c>
      <c r="Z579" s="58" t="s">
        <v>432</v>
      </c>
      <c r="AA579" s="58" t="s">
        <v>432</v>
      </c>
      <c r="AB579" s="58" t="s">
        <v>432</v>
      </c>
      <c r="AC579" s="58" t="s">
        <v>432</v>
      </c>
      <c r="AD579" s="58" t="s">
        <v>432</v>
      </c>
      <c r="AE579" s="58" t="s">
        <v>432</v>
      </c>
      <c r="AF579" s="44">
        <f>AF1854/AF176</f>
        <v>14.225208802982747</v>
      </c>
      <c r="AG579" s="58" t="s">
        <v>432</v>
      </c>
      <c r="AH579" s="58" t="s">
        <v>432</v>
      </c>
      <c r="AI579" s="58" t="s">
        <v>432</v>
      </c>
      <c r="AJ579" s="58" t="s">
        <v>432</v>
      </c>
      <c r="AK579" s="137" t="s">
        <v>432</v>
      </c>
      <c r="AL579" s="600" t="s">
        <v>432</v>
      </c>
      <c r="AM579" s="137" t="s">
        <v>432</v>
      </c>
      <c r="AN579" s="137" t="s">
        <v>432</v>
      </c>
      <c r="AO579" s="137" t="s">
        <v>432</v>
      </c>
      <c r="AP579" s="137" t="s">
        <v>432</v>
      </c>
      <c r="AQ579" s="137" t="s">
        <v>432</v>
      </c>
      <c r="AR579" s="137" t="s">
        <v>432</v>
      </c>
      <c r="AS579" s="137" t="s">
        <v>432</v>
      </c>
      <c r="AT579" s="137" t="s">
        <v>432</v>
      </c>
      <c r="AU579" s="137" t="s">
        <v>432</v>
      </c>
      <c r="AV579" s="137" t="s">
        <v>432</v>
      </c>
      <c r="AW579" s="137" t="s">
        <v>432</v>
      </c>
      <c r="AX579" s="137" t="s">
        <v>432</v>
      </c>
      <c r="AY579" s="137" t="s">
        <v>432</v>
      </c>
      <c r="AZ579" s="137" t="s">
        <v>432</v>
      </c>
      <c r="BA579" s="137" t="s">
        <v>432</v>
      </c>
      <c r="BB579" s="239" t="str">
        <f t="shared" si="105"/>
        <v>Populaçãox</v>
      </c>
      <c r="BC579" s="239" t="str">
        <f t="shared" si="106"/>
        <v>Populaçãoxbenchmarking</v>
      </c>
      <c r="BD579" s="239" t="str">
        <f t="shared" si="107"/>
        <v>Populaçãobenchmarking</v>
      </c>
    </row>
    <row r="580" spans="1:56" s="1" customFormat="1" ht="31.5" customHeight="1" x14ac:dyDescent="0.25">
      <c r="A580" s="275" t="str">
        <f>'Q100b-totais'!$B$19</f>
        <v>2.4</v>
      </c>
      <c r="B580" s="54" t="str">
        <f>'Q100b-totais'!$C$19</f>
        <v>População</v>
      </c>
      <c r="C580" s="167" t="s">
        <v>432</v>
      </c>
      <c r="D580" s="940" t="s">
        <v>2988</v>
      </c>
      <c r="E580" s="1504" t="s">
        <v>1307</v>
      </c>
      <c r="F580" s="14" t="s">
        <v>504</v>
      </c>
      <c r="G580" s="412" t="s">
        <v>498</v>
      </c>
      <c r="H580" s="173" t="s">
        <v>819</v>
      </c>
      <c r="I580" s="167" t="s">
        <v>432</v>
      </c>
      <c r="J580" s="58" t="s">
        <v>432</v>
      </c>
      <c r="K580" s="58" t="s">
        <v>432</v>
      </c>
      <c r="L580" s="58" t="s">
        <v>432</v>
      </c>
      <c r="M580" s="58" t="s">
        <v>432</v>
      </c>
      <c r="N580" s="58" t="s">
        <v>432</v>
      </c>
      <c r="O580" s="58" t="s">
        <v>432</v>
      </c>
      <c r="P580" s="58" t="s">
        <v>432</v>
      </c>
      <c r="Q580" s="58" t="s">
        <v>432</v>
      </c>
      <c r="R580" s="58" t="s">
        <v>432</v>
      </c>
      <c r="S580" s="109" t="s">
        <v>2209</v>
      </c>
      <c r="T580" s="58" t="s">
        <v>432</v>
      </c>
      <c r="U580" s="58" t="s">
        <v>432</v>
      </c>
      <c r="V580" s="109" t="s">
        <v>2209</v>
      </c>
      <c r="W580" s="58" t="s">
        <v>432</v>
      </c>
      <c r="X580" s="58" t="s">
        <v>432</v>
      </c>
      <c r="Y580" s="58" t="s">
        <v>432</v>
      </c>
      <c r="Z580" s="58" t="s">
        <v>432</v>
      </c>
      <c r="AA580" s="58" t="s">
        <v>432</v>
      </c>
      <c r="AB580" s="58" t="s">
        <v>432</v>
      </c>
      <c r="AC580" s="58" t="s">
        <v>432</v>
      </c>
      <c r="AD580" s="58" t="s">
        <v>432</v>
      </c>
      <c r="AE580" s="58" t="s">
        <v>432</v>
      </c>
      <c r="AF580" s="44">
        <f>AF1856/AF177</f>
        <v>1102.7954241846194</v>
      </c>
      <c r="AG580" s="58" t="s">
        <v>432</v>
      </c>
      <c r="AH580" s="58" t="s">
        <v>432</v>
      </c>
      <c r="AI580" s="58" t="s">
        <v>432</v>
      </c>
      <c r="AJ580" s="58" t="s">
        <v>432</v>
      </c>
      <c r="AK580" s="137" t="s">
        <v>432</v>
      </c>
      <c r="AL580" s="600" t="s">
        <v>432</v>
      </c>
      <c r="AM580" s="137" t="s">
        <v>432</v>
      </c>
      <c r="AN580" s="137" t="s">
        <v>432</v>
      </c>
      <c r="AO580" s="137" t="s">
        <v>432</v>
      </c>
      <c r="AP580" s="137" t="s">
        <v>432</v>
      </c>
      <c r="AQ580" s="137" t="s">
        <v>432</v>
      </c>
      <c r="AR580" s="137" t="s">
        <v>432</v>
      </c>
      <c r="AS580" s="137" t="s">
        <v>432</v>
      </c>
      <c r="AT580" s="137" t="s">
        <v>432</v>
      </c>
      <c r="AU580" s="137" t="s">
        <v>432</v>
      </c>
      <c r="AV580" s="137" t="s">
        <v>432</v>
      </c>
      <c r="AW580" s="137" t="s">
        <v>432</v>
      </c>
      <c r="AX580" s="137" t="s">
        <v>432</v>
      </c>
      <c r="AY580" s="137" t="s">
        <v>432</v>
      </c>
      <c r="AZ580" s="137" t="s">
        <v>432</v>
      </c>
      <c r="BA580" s="137" t="s">
        <v>432</v>
      </c>
      <c r="BB580" s="239" t="str">
        <f t="shared" si="105"/>
        <v>Populaçãox</v>
      </c>
      <c r="BC580" s="239" t="str">
        <f t="shared" si="106"/>
        <v>Populaçãoxbenchmarking</v>
      </c>
      <c r="BD580" s="239" t="str">
        <f t="shared" si="107"/>
        <v>Populaçãobenchmarking</v>
      </c>
    </row>
    <row r="581" spans="1:56" s="1" customFormat="1" ht="31.5" customHeight="1" x14ac:dyDescent="0.25">
      <c r="A581" s="275" t="str">
        <f>'Q100b-totais'!$B$19</f>
        <v>2.4</v>
      </c>
      <c r="B581" s="54" t="str">
        <f>'Q100b-totais'!$C$19</f>
        <v>População</v>
      </c>
      <c r="C581" s="167" t="s">
        <v>432</v>
      </c>
      <c r="D581" s="940" t="s">
        <v>2988</v>
      </c>
      <c r="E581" s="254" t="s">
        <v>1306</v>
      </c>
      <c r="F581" s="14" t="s">
        <v>505</v>
      </c>
      <c r="G581" s="412" t="s">
        <v>498</v>
      </c>
      <c r="H581" s="173" t="s">
        <v>432</v>
      </c>
      <c r="I581" s="57">
        <v>1</v>
      </c>
      <c r="J581" s="58" t="s">
        <v>432</v>
      </c>
      <c r="K581" s="48">
        <f t="shared" ref="K581:R581" si="108">K1855/K178</f>
        <v>6095.8388654194332</v>
      </c>
      <c r="L581" s="48">
        <f t="shared" si="108"/>
        <v>6120.2232951116475</v>
      </c>
      <c r="M581" s="48">
        <f t="shared" si="108"/>
        <v>6144.7042848521432</v>
      </c>
      <c r="N581" s="48">
        <f t="shared" si="108"/>
        <v>6169.2818346409176</v>
      </c>
      <c r="O581" s="48">
        <f t="shared" si="108"/>
        <v>6193.9589619794815</v>
      </c>
      <c r="P581" s="48">
        <f t="shared" si="108"/>
        <v>6310.9474954737479</v>
      </c>
      <c r="Q581" s="48">
        <f t="shared" si="108"/>
        <v>6336.1919130959568</v>
      </c>
      <c r="R581" s="48">
        <f t="shared" si="108"/>
        <v>6361.5359082679543</v>
      </c>
      <c r="S581" s="109" t="s">
        <v>2209</v>
      </c>
      <c r="T581" s="48">
        <f>T1855/T178</f>
        <v>6386.9824984912493</v>
      </c>
      <c r="U581" s="48">
        <f>U1855/U178</f>
        <v>6754.7555823777921</v>
      </c>
      <c r="V581" s="109" t="s">
        <v>2209</v>
      </c>
      <c r="W581" s="48">
        <f t="shared" ref="W581:AJ581" si="109">W1855/W178</f>
        <v>6815.4103802051904</v>
      </c>
      <c r="X581" s="48">
        <f t="shared" si="109"/>
        <v>6893.3856366928185</v>
      </c>
      <c r="Y581" s="48">
        <f t="shared" si="109"/>
        <v>6957.791188895595</v>
      </c>
      <c r="Z581" s="48">
        <f t="shared" si="109"/>
        <v>7092.8304164152087</v>
      </c>
      <c r="AA581" s="48">
        <f t="shared" si="109"/>
        <v>7167.5588412794214</v>
      </c>
      <c r="AB581" s="48">
        <f t="shared" si="109"/>
        <v>7241.7622208811108</v>
      </c>
      <c r="AC581" s="48">
        <f t="shared" si="109"/>
        <v>7281.0410380205194</v>
      </c>
      <c r="AD581" s="48">
        <f t="shared" si="109"/>
        <v>7346.5359082679543</v>
      </c>
      <c r="AE581" s="48">
        <f t="shared" si="109"/>
        <v>7400.7754978877492</v>
      </c>
      <c r="AF581" s="48">
        <f t="shared" si="109"/>
        <v>7167.0217260108639</v>
      </c>
      <c r="AG581" s="48">
        <f t="shared" si="109"/>
        <v>7198.67229933615</v>
      </c>
      <c r="AH581" s="48">
        <f t="shared" si="109"/>
        <v>7229.2848521424266</v>
      </c>
      <c r="AI581" s="48">
        <f t="shared" si="109"/>
        <v>7480.8841279420649</v>
      </c>
      <c r="AJ581" s="48">
        <f t="shared" si="109"/>
        <v>7516.9251659625834</v>
      </c>
      <c r="AK581" s="137" t="s">
        <v>432</v>
      </c>
      <c r="AL581" s="600" t="s">
        <v>432</v>
      </c>
      <c r="AM581" s="137" t="s">
        <v>432</v>
      </c>
      <c r="AN581" s="137" t="s">
        <v>432</v>
      </c>
      <c r="AO581" s="137" t="s">
        <v>432</v>
      </c>
      <c r="AP581" s="137" t="s">
        <v>432</v>
      </c>
      <c r="AQ581" s="137" t="s">
        <v>432</v>
      </c>
      <c r="AR581" s="137" t="s">
        <v>432</v>
      </c>
      <c r="AS581" s="137" t="s">
        <v>432</v>
      </c>
      <c r="AT581" s="137" t="s">
        <v>432</v>
      </c>
      <c r="AU581" s="137" t="s">
        <v>432</v>
      </c>
      <c r="AV581" s="137" t="s">
        <v>432</v>
      </c>
      <c r="AW581" s="137" t="s">
        <v>432</v>
      </c>
      <c r="AX581" s="137" t="s">
        <v>432</v>
      </c>
      <c r="AY581" s="137" t="s">
        <v>432</v>
      </c>
      <c r="AZ581" s="137" t="s">
        <v>432</v>
      </c>
      <c r="BA581" s="137" t="s">
        <v>432</v>
      </c>
      <c r="BB581" s="239" t="str">
        <f t="shared" si="105"/>
        <v>Populaçãox</v>
      </c>
      <c r="BC581" s="239" t="str">
        <f t="shared" si="106"/>
        <v>Populaçãoxx</v>
      </c>
      <c r="BD581" s="239" t="str">
        <f t="shared" si="107"/>
        <v>Populaçãox</v>
      </c>
    </row>
    <row r="582" spans="1:56" s="1" customFormat="1" ht="31.5" customHeight="1" x14ac:dyDescent="0.25">
      <c r="A582" s="275" t="str">
        <f>'Q100b-totais'!$B$19</f>
        <v>2.4</v>
      </c>
      <c r="B582" s="54" t="str">
        <f>'Q100b-totais'!$C$19</f>
        <v>População</v>
      </c>
      <c r="C582" s="167" t="s">
        <v>432</v>
      </c>
      <c r="D582" s="940" t="s">
        <v>2988</v>
      </c>
      <c r="E582" s="1505" t="s">
        <v>1739</v>
      </c>
      <c r="F582" s="14" t="s">
        <v>504</v>
      </c>
      <c r="G582" s="412" t="s">
        <v>498</v>
      </c>
      <c r="H582" s="173" t="s">
        <v>819</v>
      </c>
      <c r="I582" s="167" t="s">
        <v>432</v>
      </c>
      <c r="J582" s="58" t="s">
        <v>432</v>
      </c>
      <c r="K582" s="58" t="s">
        <v>432</v>
      </c>
      <c r="L582" s="58" t="s">
        <v>432</v>
      </c>
      <c r="M582" s="58" t="s">
        <v>432</v>
      </c>
      <c r="N582" s="58" t="s">
        <v>432</v>
      </c>
      <c r="O582" s="58" t="s">
        <v>432</v>
      </c>
      <c r="P582" s="58" t="s">
        <v>432</v>
      </c>
      <c r="Q582" s="58" t="s">
        <v>432</v>
      </c>
      <c r="R582" s="58" t="s">
        <v>432</v>
      </c>
      <c r="S582" s="109" t="s">
        <v>2209</v>
      </c>
      <c r="T582" s="58" t="s">
        <v>432</v>
      </c>
      <c r="U582" s="58" t="s">
        <v>432</v>
      </c>
      <c r="V582" s="109" t="s">
        <v>2209</v>
      </c>
      <c r="W582" s="58" t="s">
        <v>432</v>
      </c>
      <c r="X582" s="58" t="s">
        <v>432</v>
      </c>
      <c r="Y582" s="58" t="s">
        <v>432</v>
      </c>
      <c r="Z582" s="58" t="s">
        <v>432</v>
      </c>
      <c r="AA582" s="58" t="s">
        <v>432</v>
      </c>
      <c r="AB582" s="58" t="s">
        <v>432</v>
      </c>
      <c r="AC582" s="58" t="s">
        <v>432</v>
      </c>
      <c r="AD582" s="58" t="s">
        <v>432</v>
      </c>
      <c r="AE582" s="58" t="s">
        <v>432</v>
      </c>
      <c r="AF582" s="44">
        <f t="shared" ref="AF582:AF606" si="110">AF1857/AF179</f>
        <v>53.129799166137552</v>
      </c>
      <c r="AG582" s="58" t="s">
        <v>432</v>
      </c>
      <c r="AH582" s="58" t="s">
        <v>432</v>
      </c>
      <c r="AI582" s="58" t="s">
        <v>432</v>
      </c>
      <c r="AJ582" s="58" t="s">
        <v>432</v>
      </c>
      <c r="AK582" s="137" t="s">
        <v>432</v>
      </c>
      <c r="AL582" s="600" t="s">
        <v>432</v>
      </c>
      <c r="AM582" s="137" t="s">
        <v>432</v>
      </c>
      <c r="AN582" s="137" t="s">
        <v>432</v>
      </c>
      <c r="AO582" s="137" t="s">
        <v>432</v>
      </c>
      <c r="AP582" s="137" t="s">
        <v>432</v>
      </c>
      <c r="AQ582" s="137" t="s">
        <v>432</v>
      </c>
      <c r="AR582" s="137" t="s">
        <v>432</v>
      </c>
      <c r="AS582" s="137" t="s">
        <v>432</v>
      </c>
      <c r="AT582" s="137" t="s">
        <v>432</v>
      </c>
      <c r="AU582" s="137" t="s">
        <v>432</v>
      </c>
      <c r="AV582" s="137" t="s">
        <v>432</v>
      </c>
      <c r="AW582" s="137" t="s">
        <v>432</v>
      </c>
      <c r="AX582" s="137" t="s">
        <v>432</v>
      </c>
      <c r="AY582" s="137" t="s">
        <v>432</v>
      </c>
      <c r="AZ582" s="137" t="s">
        <v>432</v>
      </c>
      <c r="BA582" s="137" t="s">
        <v>432</v>
      </c>
      <c r="BB582" s="239" t="str">
        <f t="shared" si="105"/>
        <v>Populaçãox</v>
      </c>
      <c r="BC582" s="239" t="str">
        <f t="shared" si="106"/>
        <v>Populaçãoxbenchmarking</v>
      </c>
      <c r="BD582" s="239" t="str">
        <f t="shared" si="107"/>
        <v>Populaçãobenchmarking</v>
      </c>
    </row>
    <row r="583" spans="1:56" s="1" customFormat="1" ht="31.5" customHeight="1" x14ac:dyDescent="0.25">
      <c r="A583" s="275" t="str">
        <f>'Q100b-totais'!$B$19</f>
        <v>2.4</v>
      </c>
      <c r="B583" s="54" t="str">
        <f>'Q100b-totais'!$C$19</f>
        <v>População</v>
      </c>
      <c r="C583" s="167" t="s">
        <v>432</v>
      </c>
      <c r="D583" s="940" t="s">
        <v>2988</v>
      </c>
      <c r="E583" s="1505" t="s">
        <v>1740</v>
      </c>
      <c r="F583" s="14" t="s">
        <v>504</v>
      </c>
      <c r="G583" s="412" t="s">
        <v>498</v>
      </c>
      <c r="H583" s="173" t="s">
        <v>819</v>
      </c>
      <c r="I583" s="167" t="s">
        <v>432</v>
      </c>
      <c r="J583" s="58" t="s">
        <v>432</v>
      </c>
      <c r="K583" s="58" t="s">
        <v>432</v>
      </c>
      <c r="L583" s="58" t="s">
        <v>432</v>
      </c>
      <c r="M583" s="58" t="s">
        <v>432</v>
      </c>
      <c r="N583" s="58" t="s">
        <v>432</v>
      </c>
      <c r="O583" s="58" t="s">
        <v>432</v>
      </c>
      <c r="P583" s="58" t="s">
        <v>432</v>
      </c>
      <c r="Q583" s="58" t="s">
        <v>432</v>
      </c>
      <c r="R583" s="58" t="s">
        <v>432</v>
      </c>
      <c r="S583" s="109" t="s">
        <v>2209</v>
      </c>
      <c r="T583" s="58" t="s">
        <v>432</v>
      </c>
      <c r="U583" s="58" t="s">
        <v>432</v>
      </c>
      <c r="V583" s="109" t="s">
        <v>2209</v>
      </c>
      <c r="W583" s="58" t="s">
        <v>432</v>
      </c>
      <c r="X583" s="58" t="s">
        <v>432</v>
      </c>
      <c r="Y583" s="58" t="s">
        <v>432</v>
      </c>
      <c r="Z583" s="58" t="s">
        <v>432</v>
      </c>
      <c r="AA583" s="58" t="s">
        <v>432</v>
      </c>
      <c r="AB583" s="58" t="s">
        <v>432</v>
      </c>
      <c r="AC583" s="58" t="s">
        <v>432</v>
      </c>
      <c r="AD583" s="58" t="s">
        <v>432</v>
      </c>
      <c r="AE583" s="58" t="s">
        <v>432</v>
      </c>
      <c r="AF583" s="44">
        <f t="shared" si="110"/>
        <v>75.105377913673962</v>
      </c>
      <c r="AG583" s="58" t="s">
        <v>432</v>
      </c>
      <c r="AH583" s="58" t="s">
        <v>432</v>
      </c>
      <c r="AI583" s="58" t="s">
        <v>432</v>
      </c>
      <c r="AJ583" s="58" t="s">
        <v>432</v>
      </c>
      <c r="AK583" s="137" t="s">
        <v>432</v>
      </c>
      <c r="AL583" s="600" t="s">
        <v>432</v>
      </c>
      <c r="AM583" s="137" t="s">
        <v>432</v>
      </c>
      <c r="AN583" s="137" t="s">
        <v>432</v>
      </c>
      <c r="AO583" s="137" t="s">
        <v>432</v>
      </c>
      <c r="AP583" s="137" t="s">
        <v>432</v>
      </c>
      <c r="AQ583" s="137" t="s">
        <v>432</v>
      </c>
      <c r="AR583" s="137" t="s">
        <v>432</v>
      </c>
      <c r="AS583" s="137" t="s">
        <v>432</v>
      </c>
      <c r="AT583" s="137" t="s">
        <v>432</v>
      </c>
      <c r="AU583" s="137" t="s">
        <v>432</v>
      </c>
      <c r="AV583" s="137" t="s">
        <v>432</v>
      </c>
      <c r="AW583" s="137" t="s">
        <v>432</v>
      </c>
      <c r="AX583" s="137" t="s">
        <v>432</v>
      </c>
      <c r="AY583" s="137" t="s">
        <v>432</v>
      </c>
      <c r="AZ583" s="137" t="s">
        <v>432</v>
      </c>
      <c r="BA583" s="137" t="s">
        <v>432</v>
      </c>
      <c r="BB583" s="239" t="str">
        <f t="shared" si="105"/>
        <v>Populaçãox</v>
      </c>
      <c r="BC583" s="239" t="str">
        <f t="shared" si="106"/>
        <v>Populaçãoxbenchmarking</v>
      </c>
      <c r="BD583" s="239" t="str">
        <f t="shared" si="107"/>
        <v>Populaçãobenchmarking</v>
      </c>
    </row>
    <row r="584" spans="1:56" s="1" customFormat="1" ht="31.5" customHeight="1" x14ac:dyDescent="0.25">
      <c r="A584" s="275" t="str">
        <f>'Q100b-totais'!$B$19</f>
        <v>2.4</v>
      </c>
      <c r="B584" s="54" t="str">
        <f>'Q100b-totais'!$C$19</f>
        <v>População</v>
      </c>
      <c r="C584" s="167" t="s">
        <v>432</v>
      </c>
      <c r="D584" s="940" t="s">
        <v>2988</v>
      </c>
      <c r="E584" s="1505" t="s">
        <v>1741</v>
      </c>
      <c r="F584" s="14" t="s">
        <v>504</v>
      </c>
      <c r="G584" s="412" t="s">
        <v>498</v>
      </c>
      <c r="H584" s="173" t="s">
        <v>819</v>
      </c>
      <c r="I584" s="167" t="s">
        <v>432</v>
      </c>
      <c r="J584" s="58" t="s">
        <v>432</v>
      </c>
      <c r="K584" s="58" t="s">
        <v>432</v>
      </c>
      <c r="L584" s="58" t="s">
        <v>432</v>
      </c>
      <c r="M584" s="58" t="s">
        <v>432</v>
      </c>
      <c r="N584" s="58" t="s">
        <v>432</v>
      </c>
      <c r="O584" s="58" t="s">
        <v>432</v>
      </c>
      <c r="P584" s="58" t="s">
        <v>432</v>
      </c>
      <c r="Q584" s="58" t="s">
        <v>432</v>
      </c>
      <c r="R584" s="58" t="s">
        <v>432</v>
      </c>
      <c r="S584" s="109" t="s">
        <v>2209</v>
      </c>
      <c r="T584" s="58" t="s">
        <v>432</v>
      </c>
      <c r="U584" s="58" t="s">
        <v>432</v>
      </c>
      <c r="V584" s="109" t="s">
        <v>2209</v>
      </c>
      <c r="W584" s="58" t="s">
        <v>432</v>
      </c>
      <c r="X584" s="58" t="s">
        <v>432</v>
      </c>
      <c r="Y584" s="58" t="s">
        <v>432</v>
      </c>
      <c r="Z584" s="58" t="s">
        <v>432</v>
      </c>
      <c r="AA584" s="58" t="s">
        <v>432</v>
      </c>
      <c r="AB584" s="58" t="s">
        <v>432</v>
      </c>
      <c r="AC584" s="58" t="s">
        <v>432</v>
      </c>
      <c r="AD584" s="58" t="s">
        <v>432</v>
      </c>
      <c r="AE584" s="58" t="s">
        <v>432</v>
      </c>
      <c r="AF584" s="44">
        <f t="shared" si="110"/>
        <v>93.157668383455885</v>
      </c>
      <c r="AG584" s="58" t="s">
        <v>432</v>
      </c>
      <c r="AH584" s="58" t="s">
        <v>432</v>
      </c>
      <c r="AI584" s="58" t="s">
        <v>432</v>
      </c>
      <c r="AJ584" s="58" t="s">
        <v>432</v>
      </c>
      <c r="AK584" s="137" t="s">
        <v>432</v>
      </c>
      <c r="AL584" s="600" t="s">
        <v>432</v>
      </c>
      <c r="AM584" s="137" t="s">
        <v>432</v>
      </c>
      <c r="AN584" s="137" t="s">
        <v>432</v>
      </c>
      <c r="AO584" s="137" t="s">
        <v>432</v>
      </c>
      <c r="AP584" s="137" t="s">
        <v>432</v>
      </c>
      <c r="AQ584" s="137" t="s">
        <v>432</v>
      </c>
      <c r="AR584" s="137" t="s">
        <v>432</v>
      </c>
      <c r="AS584" s="137" t="s">
        <v>432</v>
      </c>
      <c r="AT584" s="137" t="s">
        <v>432</v>
      </c>
      <c r="AU584" s="137" t="s">
        <v>432</v>
      </c>
      <c r="AV584" s="137" t="s">
        <v>432</v>
      </c>
      <c r="AW584" s="137" t="s">
        <v>432</v>
      </c>
      <c r="AX584" s="137" t="s">
        <v>432</v>
      </c>
      <c r="AY584" s="137" t="s">
        <v>432</v>
      </c>
      <c r="AZ584" s="137" t="s">
        <v>432</v>
      </c>
      <c r="BA584" s="137" t="s">
        <v>432</v>
      </c>
      <c r="BB584" s="239" t="str">
        <f t="shared" si="105"/>
        <v>Populaçãox</v>
      </c>
      <c r="BC584" s="239" t="str">
        <f t="shared" si="106"/>
        <v>Populaçãoxbenchmarking</v>
      </c>
      <c r="BD584" s="239" t="str">
        <f t="shared" si="107"/>
        <v>Populaçãobenchmarking</v>
      </c>
    </row>
    <row r="585" spans="1:56" s="1" customFormat="1" ht="31.5" customHeight="1" x14ac:dyDescent="0.25">
      <c r="A585" s="275" t="str">
        <f>'Q100b-totais'!$B$19</f>
        <v>2.4</v>
      </c>
      <c r="B585" s="54" t="str">
        <f>'Q100b-totais'!$C$19</f>
        <v>População</v>
      </c>
      <c r="C585" s="167" t="s">
        <v>432</v>
      </c>
      <c r="D585" s="940" t="s">
        <v>2988</v>
      </c>
      <c r="E585" s="1505" t="s">
        <v>1742</v>
      </c>
      <c r="F585" s="14" t="s">
        <v>504</v>
      </c>
      <c r="G585" s="412" t="s">
        <v>498</v>
      </c>
      <c r="H585" s="173" t="s">
        <v>819</v>
      </c>
      <c r="I585" s="167" t="s">
        <v>432</v>
      </c>
      <c r="J585" s="58" t="s">
        <v>432</v>
      </c>
      <c r="K585" s="58" t="s">
        <v>432</v>
      </c>
      <c r="L585" s="58" t="s">
        <v>432</v>
      </c>
      <c r="M585" s="58" t="s">
        <v>432</v>
      </c>
      <c r="N585" s="58" t="s">
        <v>432</v>
      </c>
      <c r="O585" s="58" t="s">
        <v>432</v>
      </c>
      <c r="P585" s="58" t="s">
        <v>432</v>
      </c>
      <c r="Q585" s="58" t="s">
        <v>432</v>
      </c>
      <c r="R585" s="58" t="s">
        <v>432</v>
      </c>
      <c r="S585" s="109" t="s">
        <v>2209</v>
      </c>
      <c r="T585" s="58" t="s">
        <v>432</v>
      </c>
      <c r="U585" s="58" t="s">
        <v>432</v>
      </c>
      <c r="V585" s="109" t="s">
        <v>2209</v>
      </c>
      <c r="W585" s="58" t="s">
        <v>432</v>
      </c>
      <c r="X585" s="58" t="s">
        <v>432</v>
      </c>
      <c r="Y585" s="58" t="s">
        <v>432</v>
      </c>
      <c r="Z585" s="58" t="s">
        <v>432</v>
      </c>
      <c r="AA585" s="58" t="s">
        <v>432</v>
      </c>
      <c r="AB585" s="58" t="s">
        <v>432</v>
      </c>
      <c r="AC585" s="58" t="s">
        <v>432</v>
      </c>
      <c r="AD585" s="58" t="s">
        <v>432</v>
      </c>
      <c r="AE585" s="58" t="s">
        <v>432</v>
      </c>
      <c r="AF585" s="44">
        <f t="shared" si="110"/>
        <v>140.14874276944872</v>
      </c>
      <c r="AG585" s="58" t="s">
        <v>432</v>
      </c>
      <c r="AH585" s="58" t="s">
        <v>432</v>
      </c>
      <c r="AI585" s="58" t="s">
        <v>432</v>
      </c>
      <c r="AJ585" s="58" t="s">
        <v>432</v>
      </c>
      <c r="AK585" s="137" t="s">
        <v>432</v>
      </c>
      <c r="AL585" s="600" t="s">
        <v>432</v>
      </c>
      <c r="AM585" s="137" t="s">
        <v>432</v>
      </c>
      <c r="AN585" s="137" t="s">
        <v>432</v>
      </c>
      <c r="AO585" s="137" t="s">
        <v>432</v>
      </c>
      <c r="AP585" s="137" t="s">
        <v>432</v>
      </c>
      <c r="AQ585" s="137" t="s">
        <v>432</v>
      </c>
      <c r="AR585" s="137" t="s">
        <v>432</v>
      </c>
      <c r="AS585" s="137" t="s">
        <v>432</v>
      </c>
      <c r="AT585" s="137" t="s">
        <v>432</v>
      </c>
      <c r="AU585" s="137" t="s">
        <v>432</v>
      </c>
      <c r="AV585" s="137" t="s">
        <v>432</v>
      </c>
      <c r="AW585" s="137" t="s">
        <v>432</v>
      </c>
      <c r="AX585" s="137" t="s">
        <v>432</v>
      </c>
      <c r="AY585" s="137" t="s">
        <v>432</v>
      </c>
      <c r="AZ585" s="137" t="s">
        <v>432</v>
      </c>
      <c r="BA585" s="137" t="s">
        <v>432</v>
      </c>
      <c r="BB585" s="239" t="str">
        <f t="shared" si="105"/>
        <v>Populaçãox</v>
      </c>
      <c r="BC585" s="239" t="str">
        <f t="shared" si="106"/>
        <v>Populaçãoxbenchmarking</v>
      </c>
      <c r="BD585" s="239" t="str">
        <f t="shared" si="107"/>
        <v>Populaçãobenchmarking</v>
      </c>
    </row>
    <row r="586" spans="1:56" s="1" customFormat="1" ht="31.5" customHeight="1" x14ac:dyDescent="0.25">
      <c r="A586" s="275" t="str">
        <f>'Q100b-totais'!$B$19</f>
        <v>2.4</v>
      </c>
      <c r="B586" s="54" t="str">
        <f>'Q100b-totais'!$C$19</f>
        <v>População</v>
      </c>
      <c r="C586" s="167" t="s">
        <v>432</v>
      </c>
      <c r="D586" s="940" t="s">
        <v>2988</v>
      </c>
      <c r="E586" s="1505" t="s">
        <v>1371</v>
      </c>
      <c r="F586" s="14" t="s">
        <v>504</v>
      </c>
      <c r="G586" s="412" t="s">
        <v>498</v>
      </c>
      <c r="H586" s="173" t="s">
        <v>819</v>
      </c>
      <c r="I586" s="167" t="s">
        <v>432</v>
      </c>
      <c r="J586" s="58" t="s">
        <v>432</v>
      </c>
      <c r="K586" s="58" t="s">
        <v>432</v>
      </c>
      <c r="L586" s="58" t="s">
        <v>432</v>
      </c>
      <c r="M586" s="58" t="s">
        <v>432</v>
      </c>
      <c r="N586" s="58" t="s">
        <v>432</v>
      </c>
      <c r="O586" s="58" t="s">
        <v>432</v>
      </c>
      <c r="P586" s="58" t="s">
        <v>432</v>
      </c>
      <c r="Q586" s="58" t="s">
        <v>432</v>
      </c>
      <c r="R586" s="58" t="s">
        <v>432</v>
      </c>
      <c r="S586" s="109" t="s">
        <v>2209</v>
      </c>
      <c r="T586" s="58" t="s">
        <v>432</v>
      </c>
      <c r="U586" s="58" t="s">
        <v>432</v>
      </c>
      <c r="V586" s="109" t="s">
        <v>2209</v>
      </c>
      <c r="W586" s="58" t="s">
        <v>432</v>
      </c>
      <c r="X586" s="58" t="s">
        <v>432</v>
      </c>
      <c r="Y586" s="58" t="s">
        <v>432</v>
      </c>
      <c r="Z586" s="58" t="s">
        <v>432</v>
      </c>
      <c r="AA586" s="58" t="s">
        <v>432</v>
      </c>
      <c r="AB586" s="58" t="s">
        <v>432</v>
      </c>
      <c r="AC586" s="58" t="s">
        <v>432</v>
      </c>
      <c r="AD586" s="58" t="s">
        <v>432</v>
      </c>
      <c r="AE586" s="58" t="s">
        <v>432</v>
      </c>
      <c r="AF586" s="44">
        <f t="shared" si="110"/>
        <v>3090.3271401356083</v>
      </c>
      <c r="AG586" s="58" t="s">
        <v>432</v>
      </c>
      <c r="AH586" s="58" t="s">
        <v>432</v>
      </c>
      <c r="AI586" s="58" t="s">
        <v>432</v>
      </c>
      <c r="AJ586" s="58" t="s">
        <v>432</v>
      </c>
      <c r="AK586" s="137" t="s">
        <v>432</v>
      </c>
      <c r="AL586" s="600" t="s">
        <v>432</v>
      </c>
      <c r="AM586" s="137" t="s">
        <v>432</v>
      </c>
      <c r="AN586" s="137" t="s">
        <v>432</v>
      </c>
      <c r="AO586" s="137" t="s">
        <v>432</v>
      </c>
      <c r="AP586" s="137" t="s">
        <v>432</v>
      </c>
      <c r="AQ586" s="137" t="s">
        <v>432</v>
      </c>
      <c r="AR586" s="137" t="s">
        <v>432</v>
      </c>
      <c r="AS586" s="137" t="s">
        <v>432</v>
      </c>
      <c r="AT586" s="137" t="s">
        <v>432</v>
      </c>
      <c r="AU586" s="137" t="s">
        <v>432</v>
      </c>
      <c r="AV586" s="137" t="s">
        <v>432</v>
      </c>
      <c r="AW586" s="137" t="s">
        <v>432</v>
      </c>
      <c r="AX586" s="137" t="s">
        <v>432</v>
      </c>
      <c r="AY586" s="137" t="s">
        <v>432</v>
      </c>
      <c r="AZ586" s="137" t="s">
        <v>432</v>
      </c>
      <c r="BA586" s="137" t="s">
        <v>432</v>
      </c>
      <c r="BB586" s="239" t="str">
        <f t="shared" si="105"/>
        <v>Populaçãox</v>
      </c>
      <c r="BC586" s="239" t="str">
        <f t="shared" si="106"/>
        <v>Populaçãoxbenchmarking</v>
      </c>
      <c r="BD586" s="239" t="str">
        <f t="shared" si="107"/>
        <v>Populaçãobenchmarking</v>
      </c>
    </row>
    <row r="587" spans="1:56" s="1" customFormat="1" ht="31.5" customHeight="1" x14ac:dyDescent="0.25">
      <c r="A587" s="275" t="str">
        <f>'Q100b-totais'!$B$19</f>
        <v>2.4</v>
      </c>
      <c r="B587" s="54" t="str">
        <f>'Q100b-totais'!$C$19</f>
        <v>População</v>
      </c>
      <c r="C587" s="167" t="s">
        <v>432</v>
      </c>
      <c r="D587" s="940" t="s">
        <v>2988</v>
      </c>
      <c r="E587" s="1505" t="s">
        <v>1743</v>
      </c>
      <c r="F587" s="14" t="s">
        <v>504</v>
      </c>
      <c r="G587" s="412" t="s">
        <v>498</v>
      </c>
      <c r="H587" s="173" t="s">
        <v>819</v>
      </c>
      <c r="I587" s="167" t="s">
        <v>432</v>
      </c>
      <c r="J587" s="58" t="s">
        <v>432</v>
      </c>
      <c r="K587" s="58" t="s">
        <v>432</v>
      </c>
      <c r="L587" s="58" t="s">
        <v>432</v>
      </c>
      <c r="M587" s="58" t="s">
        <v>432</v>
      </c>
      <c r="N587" s="58" t="s">
        <v>432</v>
      </c>
      <c r="O587" s="58" t="s">
        <v>432</v>
      </c>
      <c r="P587" s="58" t="s">
        <v>432</v>
      </c>
      <c r="Q587" s="58" t="s">
        <v>432</v>
      </c>
      <c r="R587" s="58" t="s">
        <v>432</v>
      </c>
      <c r="S587" s="109" t="s">
        <v>2209</v>
      </c>
      <c r="T587" s="58" t="s">
        <v>432</v>
      </c>
      <c r="U587" s="58" t="s">
        <v>432</v>
      </c>
      <c r="V587" s="109" t="s">
        <v>2209</v>
      </c>
      <c r="W587" s="58" t="s">
        <v>432</v>
      </c>
      <c r="X587" s="58" t="s">
        <v>432</v>
      </c>
      <c r="Y587" s="58" t="s">
        <v>432</v>
      </c>
      <c r="Z587" s="58" t="s">
        <v>432</v>
      </c>
      <c r="AA587" s="58" t="s">
        <v>432</v>
      </c>
      <c r="AB587" s="58" t="s">
        <v>432</v>
      </c>
      <c r="AC587" s="58" t="s">
        <v>432</v>
      </c>
      <c r="AD587" s="58" t="s">
        <v>432</v>
      </c>
      <c r="AE587" s="58" t="s">
        <v>432</v>
      </c>
      <c r="AF587" s="44">
        <f t="shared" si="110"/>
        <v>66.128823437764012</v>
      </c>
      <c r="AG587" s="58" t="s">
        <v>432</v>
      </c>
      <c r="AH587" s="58" t="s">
        <v>432</v>
      </c>
      <c r="AI587" s="58" t="s">
        <v>432</v>
      </c>
      <c r="AJ587" s="58" t="s">
        <v>432</v>
      </c>
      <c r="AK587" s="137" t="s">
        <v>432</v>
      </c>
      <c r="AL587" s="600" t="s">
        <v>432</v>
      </c>
      <c r="AM587" s="137" t="s">
        <v>432</v>
      </c>
      <c r="AN587" s="137" t="s">
        <v>432</v>
      </c>
      <c r="AO587" s="137" t="s">
        <v>432</v>
      </c>
      <c r="AP587" s="137" t="s">
        <v>432</v>
      </c>
      <c r="AQ587" s="137" t="s">
        <v>432</v>
      </c>
      <c r="AR587" s="137" t="s">
        <v>432</v>
      </c>
      <c r="AS587" s="137" t="s">
        <v>432</v>
      </c>
      <c r="AT587" s="137" t="s">
        <v>432</v>
      </c>
      <c r="AU587" s="137" t="s">
        <v>432</v>
      </c>
      <c r="AV587" s="137" t="s">
        <v>432</v>
      </c>
      <c r="AW587" s="137" t="s">
        <v>432</v>
      </c>
      <c r="AX587" s="137" t="s">
        <v>432</v>
      </c>
      <c r="AY587" s="137" t="s">
        <v>432</v>
      </c>
      <c r="AZ587" s="137" t="s">
        <v>432</v>
      </c>
      <c r="BA587" s="137" t="s">
        <v>432</v>
      </c>
      <c r="BB587" s="239" t="str">
        <f t="shared" si="105"/>
        <v>Populaçãox</v>
      </c>
      <c r="BC587" s="239" t="str">
        <f t="shared" si="106"/>
        <v>Populaçãoxbenchmarking</v>
      </c>
      <c r="BD587" s="239" t="str">
        <f t="shared" si="107"/>
        <v>Populaçãobenchmarking</v>
      </c>
    </row>
    <row r="588" spans="1:56" s="1" customFormat="1" ht="31.5" customHeight="1" x14ac:dyDescent="0.25">
      <c r="A588" s="275" t="str">
        <f>'Q100b-totais'!$B$19</f>
        <v>2.4</v>
      </c>
      <c r="B588" s="54" t="str">
        <f>'Q100b-totais'!$C$19</f>
        <v>População</v>
      </c>
      <c r="C588" s="167" t="s">
        <v>432</v>
      </c>
      <c r="D588" s="940" t="s">
        <v>2988</v>
      </c>
      <c r="E588" s="1505" t="s">
        <v>1744</v>
      </c>
      <c r="F588" s="14" t="s">
        <v>504</v>
      </c>
      <c r="G588" s="412" t="s">
        <v>498</v>
      </c>
      <c r="H588" s="173" t="s">
        <v>819</v>
      </c>
      <c r="I588" s="167" t="s">
        <v>432</v>
      </c>
      <c r="J588" s="58" t="s">
        <v>432</v>
      </c>
      <c r="K588" s="58" t="s">
        <v>432</v>
      </c>
      <c r="L588" s="58" t="s">
        <v>432</v>
      </c>
      <c r="M588" s="58" t="s">
        <v>432</v>
      </c>
      <c r="N588" s="58" t="s">
        <v>432</v>
      </c>
      <c r="O588" s="58" t="s">
        <v>432</v>
      </c>
      <c r="P588" s="58" t="s">
        <v>432</v>
      </c>
      <c r="Q588" s="58" t="s">
        <v>432</v>
      </c>
      <c r="R588" s="58" t="s">
        <v>432</v>
      </c>
      <c r="S588" s="109" t="s">
        <v>2209</v>
      </c>
      <c r="T588" s="58" t="s">
        <v>432</v>
      </c>
      <c r="U588" s="58" t="s">
        <v>432</v>
      </c>
      <c r="V588" s="109" t="s">
        <v>2209</v>
      </c>
      <c r="W588" s="58" t="s">
        <v>432</v>
      </c>
      <c r="X588" s="58" t="s">
        <v>432</v>
      </c>
      <c r="Y588" s="58" t="s">
        <v>432</v>
      </c>
      <c r="Z588" s="58" t="s">
        <v>432</v>
      </c>
      <c r="AA588" s="58" t="s">
        <v>432</v>
      </c>
      <c r="AB588" s="58" t="s">
        <v>432</v>
      </c>
      <c r="AC588" s="58" t="s">
        <v>432</v>
      </c>
      <c r="AD588" s="58" t="s">
        <v>432</v>
      </c>
      <c r="AE588" s="58" t="s">
        <v>432</v>
      </c>
      <c r="AF588" s="44">
        <f t="shared" si="110"/>
        <v>34.478975660977639</v>
      </c>
      <c r="AG588" s="58" t="s">
        <v>432</v>
      </c>
      <c r="AH588" s="58" t="s">
        <v>432</v>
      </c>
      <c r="AI588" s="58" t="s">
        <v>432</v>
      </c>
      <c r="AJ588" s="58" t="s">
        <v>432</v>
      </c>
      <c r="AK588" s="137" t="s">
        <v>432</v>
      </c>
      <c r="AL588" s="600" t="s">
        <v>432</v>
      </c>
      <c r="AM588" s="137" t="s">
        <v>432</v>
      </c>
      <c r="AN588" s="137" t="s">
        <v>432</v>
      </c>
      <c r="AO588" s="137" t="s">
        <v>432</v>
      </c>
      <c r="AP588" s="137" t="s">
        <v>432</v>
      </c>
      <c r="AQ588" s="137" t="s">
        <v>432</v>
      </c>
      <c r="AR588" s="137" t="s">
        <v>432</v>
      </c>
      <c r="AS588" s="137" t="s">
        <v>432</v>
      </c>
      <c r="AT588" s="137" t="s">
        <v>432</v>
      </c>
      <c r="AU588" s="137" t="s">
        <v>432</v>
      </c>
      <c r="AV588" s="137" t="s">
        <v>432</v>
      </c>
      <c r="AW588" s="137" t="s">
        <v>432</v>
      </c>
      <c r="AX588" s="137" t="s">
        <v>432</v>
      </c>
      <c r="AY588" s="137" t="s">
        <v>432</v>
      </c>
      <c r="AZ588" s="137" t="s">
        <v>432</v>
      </c>
      <c r="BA588" s="137" t="s">
        <v>432</v>
      </c>
      <c r="BB588" s="239" t="str">
        <f t="shared" si="105"/>
        <v>Populaçãox</v>
      </c>
      <c r="BC588" s="239" t="str">
        <f t="shared" si="106"/>
        <v>Populaçãoxbenchmarking</v>
      </c>
      <c r="BD588" s="239" t="str">
        <f t="shared" si="107"/>
        <v>Populaçãobenchmarking</v>
      </c>
    </row>
    <row r="589" spans="1:56" s="1" customFormat="1" ht="31.5" customHeight="1" x14ac:dyDescent="0.25">
      <c r="A589" s="275" t="str">
        <f>'Q100b-totais'!$B$19</f>
        <v>2.4</v>
      </c>
      <c r="B589" s="54" t="str">
        <f>'Q100b-totais'!$C$19</f>
        <v>População</v>
      </c>
      <c r="C589" s="167" t="s">
        <v>432</v>
      </c>
      <c r="D589" s="940" t="s">
        <v>2988</v>
      </c>
      <c r="E589" s="1505" t="s">
        <v>1269</v>
      </c>
      <c r="F589" s="14" t="s">
        <v>504</v>
      </c>
      <c r="G589" s="412" t="s">
        <v>498</v>
      </c>
      <c r="H589" s="173" t="s">
        <v>819</v>
      </c>
      <c r="I589" s="167" t="s">
        <v>432</v>
      </c>
      <c r="J589" s="58" t="s">
        <v>432</v>
      </c>
      <c r="K589" s="58" t="s">
        <v>432</v>
      </c>
      <c r="L589" s="58" t="s">
        <v>432</v>
      </c>
      <c r="M589" s="58" t="s">
        <v>432</v>
      </c>
      <c r="N589" s="58" t="s">
        <v>432</v>
      </c>
      <c r="O589" s="58" t="s">
        <v>432</v>
      </c>
      <c r="P589" s="58" t="s">
        <v>432</v>
      </c>
      <c r="Q589" s="58" t="s">
        <v>432</v>
      </c>
      <c r="R589" s="58" t="s">
        <v>432</v>
      </c>
      <c r="S589" s="109" t="s">
        <v>2209</v>
      </c>
      <c r="T589" s="58" t="s">
        <v>432</v>
      </c>
      <c r="U589" s="58" t="s">
        <v>432</v>
      </c>
      <c r="V589" s="109" t="s">
        <v>2209</v>
      </c>
      <c r="W589" s="58" t="s">
        <v>432</v>
      </c>
      <c r="X589" s="58" t="s">
        <v>432</v>
      </c>
      <c r="Y589" s="58" t="s">
        <v>432</v>
      </c>
      <c r="Z589" s="58" t="s">
        <v>432</v>
      </c>
      <c r="AA589" s="58" t="s">
        <v>432</v>
      </c>
      <c r="AB589" s="58" t="s">
        <v>432</v>
      </c>
      <c r="AC589" s="58" t="s">
        <v>432</v>
      </c>
      <c r="AD589" s="58" t="s">
        <v>432</v>
      </c>
      <c r="AE589" s="58" t="s">
        <v>432</v>
      </c>
      <c r="AF589" s="44">
        <f t="shared" si="110"/>
        <v>2190.2635966544035</v>
      </c>
      <c r="AG589" s="58" t="s">
        <v>432</v>
      </c>
      <c r="AH589" s="58" t="s">
        <v>432</v>
      </c>
      <c r="AI589" s="58" t="s">
        <v>432</v>
      </c>
      <c r="AJ589" s="58" t="s">
        <v>432</v>
      </c>
      <c r="AK589" s="137" t="s">
        <v>432</v>
      </c>
      <c r="AL589" s="600" t="s">
        <v>432</v>
      </c>
      <c r="AM589" s="137" t="s">
        <v>432</v>
      </c>
      <c r="AN589" s="137" t="s">
        <v>432</v>
      </c>
      <c r="AO589" s="137" t="s">
        <v>432</v>
      </c>
      <c r="AP589" s="137" t="s">
        <v>432</v>
      </c>
      <c r="AQ589" s="137" t="s">
        <v>432</v>
      </c>
      <c r="AR589" s="137" t="s">
        <v>432</v>
      </c>
      <c r="AS589" s="137" t="s">
        <v>432</v>
      </c>
      <c r="AT589" s="137" t="s">
        <v>432</v>
      </c>
      <c r="AU589" s="137" t="s">
        <v>432</v>
      </c>
      <c r="AV589" s="137" t="s">
        <v>432</v>
      </c>
      <c r="AW589" s="137" t="s">
        <v>432</v>
      </c>
      <c r="AX589" s="137" t="s">
        <v>432</v>
      </c>
      <c r="AY589" s="137" t="s">
        <v>432</v>
      </c>
      <c r="AZ589" s="137" t="s">
        <v>432</v>
      </c>
      <c r="BA589" s="137" t="s">
        <v>432</v>
      </c>
      <c r="BB589" s="239" t="str">
        <f t="shared" si="105"/>
        <v>Populaçãox</v>
      </c>
      <c r="BC589" s="239" t="str">
        <f t="shared" si="106"/>
        <v>Populaçãoxbenchmarking</v>
      </c>
      <c r="BD589" s="239" t="str">
        <f t="shared" si="107"/>
        <v>Populaçãobenchmarking</v>
      </c>
    </row>
    <row r="590" spans="1:56" s="1" customFormat="1" ht="31.5" customHeight="1" x14ac:dyDescent="0.25">
      <c r="A590" s="275" t="str">
        <f>'Q100b-totais'!$B$19</f>
        <v>2.4</v>
      </c>
      <c r="B590" s="54" t="str">
        <f>'Q100b-totais'!$C$19</f>
        <v>População</v>
      </c>
      <c r="C590" s="167" t="s">
        <v>432</v>
      </c>
      <c r="D590" s="940" t="s">
        <v>2988</v>
      </c>
      <c r="E590" s="1505" t="s">
        <v>1269</v>
      </c>
      <c r="F590" s="14" t="s">
        <v>504</v>
      </c>
      <c r="G590" s="412" t="s">
        <v>498</v>
      </c>
      <c r="H590" s="173" t="s">
        <v>819</v>
      </c>
      <c r="I590" s="167" t="s">
        <v>432</v>
      </c>
      <c r="J590" s="58" t="s">
        <v>432</v>
      </c>
      <c r="K590" s="58" t="s">
        <v>432</v>
      </c>
      <c r="L590" s="58" t="s">
        <v>432</v>
      </c>
      <c r="M590" s="58" t="s">
        <v>432</v>
      </c>
      <c r="N590" s="58" t="s">
        <v>432</v>
      </c>
      <c r="O590" s="58" t="s">
        <v>432</v>
      </c>
      <c r="P590" s="58" t="s">
        <v>432</v>
      </c>
      <c r="Q590" s="58" t="s">
        <v>432</v>
      </c>
      <c r="R590" s="58" t="s">
        <v>432</v>
      </c>
      <c r="S590" s="109" t="s">
        <v>2209</v>
      </c>
      <c r="T590" s="58" t="s">
        <v>432</v>
      </c>
      <c r="U590" s="58" t="s">
        <v>432</v>
      </c>
      <c r="V590" s="109" t="s">
        <v>2209</v>
      </c>
      <c r="W590" s="58" t="s">
        <v>432</v>
      </c>
      <c r="X590" s="58" t="s">
        <v>432</v>
      </c>
      <c r="Y590" s="58" t="s">
        <v>432</v>
      </c>
      <c r="Z590" s="58" t="s">
        <v>432</v>
      </c>
      <c r="AA590" s="58" t="s">
        <v>432</v>
      </c>
      <c r="AB590" s="58" t="s">
        <v>432</v>
      </c>
      <c r="AC590" s="58" t="s">
        <v>432</v>
      </c>
      <c r="AD590" s="58" t="s">
        <v>432</v>
      </c>
      <c r="AE590" s="58" t="s">
        <v>432</v>
      </c>
      <c r="AF590" s="44">
        <f t="shared" si="110"/>
        <v>316.07444087718346</v>
      </c>
      <c r="AG590" s="58" t="s">
        <v>432</v>
      </c>
      <c r="AH590" s="58" t="s">
        <v>432</v>
      </c>
      <c r="AI590" s="58" t="s">
        <v>432</v>
      </c>
      <c r="AJ590" s="58" t="s">
        <v>432</v>
      </c>
      <c r="AK590" s="137" t="s">
        <v>432</v>
      </c>
      <c r="AL590" s="600" t="s">
        <v>432</v>
      </c>
      <c r="AM590" s="137" t="s">
        <v>432</v>
      </c>
      <c r="AN590" s="137" t="s">
        <v>432</v>
      </c>
      <c r="AO590" s="137" t="s">
        <v>432</v>
      </c>
      <c r="AP590" s="137" t="s">
        <v>432</v>
      </c>
      <c r="AQ590" s="137" t="s">
        <v>432</v>
      </c>
      <c r="AR590" s="137" t="s">
        <v>432</v>
      </c>
      <c r="AS590" s="137" t="s">
        <v>432</v>
      </c>
      <c r="AT590" s="137" t="s">
        <v>432</v>
      </c>
      <c r="AU590" s="137" t="s">
        <v>432</v>
      </c>
      <c r="AV590" s="137" t="s">
        <v>432</v>
      </c>
      <c r="AW590" s="137" t="s">
        <v>432</v>
      </c>
      <c r="AX590" s="137" t="s">
        <v>432</v>
      </c>
      <c r="AY590" s="137" t="s">
        <v>432</v>
      </c>
      <c r="AZ590" s="137" t="s">
        <v>432</v>
      </c>
      <c r="BA590" s="137" t="s">
        <v>432</v>
      </c>
      <c r="BB590" s="239" t="str">
        <f t="shared" si="105"/>
        <v>Populaçãox</v>
      </c>
      <c r="BC590" s="239" t="str">
        <f t="shared" si="106"/>
        <v>Populaçãoxbenchmarking</v>
      </c>
      <c r="BD590" s="239" t="str">
        <f t="shared" si="107"/>
        <v>Populaçãobenchmarking</v>
      </c>
    </row>
    <row r="591" spans="1:56" s="1" customFormat="1" ht="31.5" customHeight="1" x14ac:dyDescent="0.25">
      <c r="A591" s="275" t="str">
        <f>'Q100b-totais'!$B$19</f>
        <v>2.4</v>
      </c>
      <c r="B591" s="54" t="str">
        <f>'Q100b-totais'!$C$19</f>
        <v>População</v>
      </c>
      <c r="C591" s="167" t="s">
        <v>432</v>
      </c>
      <c r="D591" s="940" t="s">
        <v>2988</v>
      </c>
      <c r="E591" s="1505" t="s">
        <v>1745</v>
      </c>
      <c r="F591" s="14" t="s">
        <v>504</v>
      </c>
      <c r="G591" s="412" t="s">
        <v>498</v>
      </c>
      <c r="H591" s="173" t="s">
        <v>819</v>
      </c>
      <c r="I591" s="167" t="s">
        <v>432</v>
      </c>
      <c r="J591" s="58" t="s">
        <v>432</v>
      </c>
      <c r="K591" s="58" t="s">
        <v>432</v>
      </c>
      <c r="L591" s="58" t="s">
        <v>432</v>
      </c>
      <c r="M591" s="58" t="s">
        <v>432</v>
      </c>
      <c r="N591" s="58" t="s">
        <v>432</v>
      </c>
      <c r="O591" s="58" t="s">
        <v>432</v>
      </c>
      <c r="P591" s="58" t="s">
        <v>432</v>
      </c>
      <c r="Q591" s="58" t="s">
        <v>432</v>
      </c>
      <c r="R591" s="58" t="s">
        <v>432</v>
      </c>
      <c r="S591" s="109" t="s">
        <v>2209</v>
      </c>
      <c r="T591" s="58" t="s">
        <v>432</v>
      </c>
      <c r="U591" s="58" t="s">
        <v>432</v>
      </c>
      <c r="V591" s="109" t="s">
        <v>2209</v>
      </c>
      <c r="W591" s="58" t="s">
        <v>432</v>
      </c>
      <c r="X591" s="58" t="s">
        <v>432</v>
      </c>
      <c r="Y591" s="58" t="s">
        <v>432</v>
      </c>
      <c r="Z591" s="58" t="s">
        <v>432</v>
      </c>
      <c r="AA591" s="58" t="s">
        <v>432</v>
      </c>
      <c r="AB591" s="58" t="s">
        <v>432</v>
      </c>
      <c r="AC591" s="58" t="s">
        <v>432</v>
      </c>
      <c r="AD591" s="58" t="s">
        <v>432</v>
      </c>
      <c r="AE591" s="58" t="s">
        <v>432</v>
      </c>
      <c r="AF591" s="44">
        <f t="shared" si="110"/>
        <v>30.141204673689543</v>
      </c>
      <c r="AG591" s="58" t="s">
        <v>432</v>
      </c>
      <c r="AH591" s="58" t="s">
        <v>432</v>
      </c>
      <c r="AI591" s="58" t="s">
        <v>432</v>
      </c>
      <c r="AJ591" s="58" t="s">
        <v>432</v>
      </c>
      <c r="AK591" s="137" t="s">
        <v>432</v>
      </c>
      <c r="AL591" s="600" t="s">
        <v>432</v>
      </c>
      <c r="AM591" s="137" t="s">
        <v>432</v>
      </c>
      <c r="AN591" s="137" t="s">
        <v>432</v>
      </c>
      <c r="AO591" s="137" t="s">
        <v>432</v>
      </c>
      <c r="AP591" s="137" t="s">
        <v>432</v>
      </c>
      <c r="AQ591" s="137" t="s">
        <v>432</v>
      </c>
      <c r="AR591" s="137" t="s">
        <v>432</v>
      </c>
      <c r="AS591" s="137" t="s">
        <v>432</v>
      </c>
      <c r="AT591" s="137" t="s">
        <v>432</v>
      </c>
      <c r="AU591" s="137" t="s">
        <v>432</v>
      </c>
      <c r="AV591" s="137" t="s">
        <v>432</v>
      </c>
      <c r="AW591" s="137" t="s">
        <v>432</v>
      </c>
      <c r="AX591" s="137" t="s">
        <v>432</v>
      </c>
      <c r="AY591" s="137" t="s">
        <v>432</v>
      </c>
      <c r="AZ591" s="137" t="s">
        <v>432</v>
      </c>
      <c r="BA591" s="137" t="s">
        <v>432</v>
      </c>
      <c r="BB591" s="239" t="str">
        <f t="shared" si="105"/>
        <v>Populaçãox</v>
      </c>
      <c r="BC591" s="239" t="str">
        <f t="shared" si="106"/>
        <v>Populaçãoxbenchmarking</v>
      </c>
      <c r="BD591" s="239" t="str">
        <f t="shared" si="107"/>
        <v>Populaçãobenchmarking</v>
      </c>
    </row>
    <row r="592" spans="1:56" s="1" customFormat="1" ht="31.5" customHeight="1" x14ac:dyDescent="0.25">
      <c r="A592" s="275" t="str">
        <f>'Q100b-totais'!$B$19</f>
        <v>2.4</v>
      </c>
      <c r="B592" s="54" t="str">
        <f>'Q100b-totais'!$C$19</f>
        <v>População</v>
      </c>
      <c r="C592" s="167" t="s">
        <v>432</v>
      </c>
      <c r="D592" s="940" t="s">
        <v>2988</v>
      </c>
      <c r="E592" s="1505" t="s">
        <v>1746</v>
      </c>
      <c r="F592" s="14" t="s">
        <v>504</v>
      </c>
      <c r="G592" s="412" t="s">
        <v>498</v>
      </c>
      <c r="H592" s="173" t="s">
        <v>819</v>
      </c>
      <c r="I592" s="167" t="s">
        <v>432</v>
      </c>
      <c r="J592" s="58" t="s">
        <v>432</v>
      </c>
      <c r="K592" s="58" t="s">
        <v>432</v>
      </c>
      <c r="L592" s="58" t="s">
        <v>432</v>
      </c>
      <c r="M592" s="58" t="s">
        <v>432</v>
      </c>
      <c r="N592" s="58" t="s">
        <v>432</v>
      </c>
      <c r="O592" s="58" t="s">
        <v>432</v>
      </c>
      <c r="P592" s="58" t="s">
        <v>432</v>
      </c>
      <c r="Q592" s="58" t="s">
        <v>432</v>
      </c>
      <c r="R592" s="58" t="s">
        <v>432</v>
      </c>
      <c r="S592" s="109" t="s">
        <v>2209</v>
      </c>
      <c r="T592" s="58" t="s">
        <v>432</v>
      </c>
      <c r="U592" s="58" t="s">
        <v>432</v>
      </c>
      <c r="V592" s="109" t="s">
        <v>2209</v>
      </c>
      <c r="W592" s="58" t="s">
        <v>432</v>
      </c>
      <c r="X592" s="58" t="s">
        <v>432</v>
      </c>
      <c r="Y592" s="58" t="s">
        <v>432</v>
      </c>
      <c r="Z592" s="58" t="s">
        <v>432</v>
      </c>
      <c r="AA592" s="58" t="s">
        <v>432</v>
      </c>
      <c r="AB592" s="58" t="s">
        <v>432</v>
      </c>
      <c r="AC592" s="58" t="s">
        <v>432</v>
      </c>
      <c r="AD592" s="58" t="s">
        <v>432</v>
      </c>
      <c r="AE592" s="58" t="s">
        <v>432</v>
      </c>
      <c r="AF592" s="44">
        <f t="shared" si="110"/>
        <v>33.637703501668675</v>
      </c>
      <c r="AG592" s="58" t="s">
        <v>432</v>
      </c>
      <c r="AH592" s="58" t="s">
        <v>432</v>
      </c>
      <c r="AI592" s="58" t="s">
        <v>432</v>
      </c>
      <c r="AJ592" s="58" t="s">
        <v>432</v>
      </c>
      <c r="AK592" s="137" t="s">
        <v>432</v>
      </c>
      <c r="AL592" s="600" t="s">
        <v>432</v>
      </c>
      <c r="AM592" s="137" t="s">
        <v>432</v>
      </c>
      <c r="AN592" s="137" t="s">
        <v>432</v>
      </c>
      <c r="AO592" s="137" t="s">
        <v>432</v>
      </c>
      <c r="AP592" s="137" t="s">
        <v>432</v>
      </c>
      <c r="AQ592" s="137" t="s">
        <v>432</v>
      </c>
      <c r="AR592" s="137" t="s">
        <v>432</v>
      </c>
      <c r="AS592" s="137" t="s">
        <v>432</v>
      </c>
      <c r="AT592" s="137" t="s">
        <v>432</v>
      </c>
      <c r="AU592" s="137" t="s">
        <v>432</v>
      </c>
      <c r="AV592" s="137" t="s">
        <v>432</v>
      </c>
      <c r="AW592" s="137" t="s">
        <v>432</v>
      </c>
      <c r="AX592" s="137" t="s">
        <v>432</v>
      </c>
      <c r="AY592" s="137" t="s">
        <v>432</v>
      </c>
      <c r="AZ592" s="137" t="s">
        <v>432</v>
      </c>
      <c r="BA592" s="137" t="s">
        <v>432</v>
      </c>
      <c r="BB592" s="239" t="str">
        <f t="shared" si="105"/>
        <v>Populaçãox</v>
      </c>
      <c r="BC592" s="239" t="str">
        <f t="shared" si="106"/>
        <v>Populaçãoxbenchmarking</v>
      </c>
      <c r="BD592" s="239" t="str">
        <f t="shared" si="107"/>
        <v>Populaçãobenchmarking</v>
      </c>
    </row>
    <row r="593" spans="1:56" s="1" customFormat="1" ht="31.5" customHeight="1" x14ac:dyDescent="0.25">
      <c r="A593" s="275" t="str">
        <f>'Q100b-totais'!$B$19</f>
        <v>2.4</v>
      </c>
      <c r="B593" s="54" t="str">
        <f>'Q100b-totais'!$C$19</f>
        <v>População</v>
      </c>
      <c r="C593" s="167" t="s">
        <v>432</v>
      </c>
      <c r="D593" s="940" t="s">
        <v>2988</v>
      </c>
      <c r="E593" s="1505" t="s">
        <v>1747</v>
      </c>
      <c r="F593" s="14" t="s">
        <v>504</v>
      </c>
      <c r="G593" s="412" t="s">
        <v>498</v>
      </c>
      <c r="H593" s="173" t="s">
        <v>819</v>
      </c>
      <c r="I593" s="167" t="s">
        <v>432</v>
      </c>
      <c r="J593" s="58" t="s">
        <v>432</v>
      </c>
      <c r="K593" s="58" t="s">
        <v>432</v>
      </c>
      <c r="L593" s="58" t="s">
        <v>432</v>
      </c>
      <c r="M593" s="58" t="s">
        <v>432</v>
      </c>
      <c r="N593" s="58" t="s">
        <v>432</v>
      </c>
      <c r="O593" s="58" t="s">
        <v>432</v>
      </c>
      <c r="P593" s="58" t="s">
        <v>432</v>
      </c>
      <c r="Q593" s="58" t="s">
        <v>432</v>
      </c>
      <c r="R593" s="58" t="s">
        <v>432</v>
      </c>
      <c r="S593" s="109" t="s">
        <v>2209</v>
      </c>
      <c r="T593" s="58" t="s">
        <v>432</v>
      </c>
      <c r="U593" s="58" t="s">
        <v>432</v>
      </c>
      <c r="V593" s="109" t="s">
        <v>2209</v>
      </c>
      <c r="W593" s="58" t="s">
        <v>432</v>
      </c>
      <c r="X593" s="58" t="s">
        <v>432</v>
      </c>
      <c r="Y593" s="58" t="s">
        <v>432</v>
      </c>
      <c r="Z593" s="58" t="s">
        <v>432</v>
      </c>
      <c r="AA593" s="58" t="s">
        <v>432</v>
      </c>
      <c r="AB593" s="58" t="s">
        <v>432</v>
      </c>
      <c r="AC593" s="58" t="s">
        <v>432</v>
      </c>
      <c r="AD593" s="58" t="s">
        <v>432</v>
      </c>
      <c r="AE593" s="58" t="s">
        <v>432</v>
      </c>
      <c r="AF593" s="44">
        <f t="shared" si="110"/>
        <v>15.37847067957331</v>
      </c>
      <c r="AG593" s="58" t="s">
        <v>432</v>
      </c>
      <c r="AH593" s="58" t="s">
        <v>432</v>
      </c>
      <c r="AI593" s="58" t="s">
        <v>432</v>
      </c>
      <c r="AJ593" s="58" t="s">
        <v>432</v>
      </c>
      <c r="AK593" s="137" t="s">
        <v>432</v>
      </c>
      <c r="AL593" s="600" t="s">
        <v>432</v>
      </c>
      <c r="AM593" s="137" t="s">
        <v>432</v>
      </c>
      <c r="AN593" s="137" t="s">
        <v>432</v>
      </c>
      <c r="AO593" s="137" t="s">
        <v>432</v>
      </c>
      <c r="AP593" s="137" t="s">
        <v>432</v>
      </c>
      <c r="AQ593" s="137" t="s">
        <v>432</v>
      </c>
      <c r="AR593" s="137" t="s">
        <v>432</v>
      </c>
      <c r="AS593" s="137" t="s">
        <v>432</v>
      </c>
      <c r="AT593" s="137" t="s">
        <v>432</v>
      </c>
      <c r="AU593" s="137" t="s">
        <v>432</v>
      </c>
      <c r="AV593" s="137" t="s">
        <v>432</v>
      </c>
      <c r="AW593" s="137" t="s">
        <v>432</v>
      </c>
      <c r="AX593" s="137" t="s">
        <v>432</v>
      </c>
      <c r="AY593" s="137" t="s">
        <v>432</v>
      </c>
      <c r="AZ593" s="137" t="s">
        <v>432</v>
      </c>
      <c r="BA593" s="137" t="s">
        <v>432</v>
      </c>
      <c r="BB593" s="239" t="str">
        <f t="shared" si="105"/>
        <v>Populaçãox</v>
      </c>
      <c r="BC593" s="239" t="str">
        <f t="shared" si="106"/>
        <v>Populaçãoxbenchmarking</v>
      </c>
      <c r="BD593" s="239" t="str">
        <f t="shared" si="107"/>
        <v>Populaçãobenchmarking</v>
      </c>
    </row>
    <row r="594" spans="1:56" s="1" customFormat="1" ht="31.5" customHeight="1" x14ac:dyDescent="0.25">
      <c r="A594" s="275" t="str">
        <f>'Q100b-totais'!$B$19</f>
        <v>2.4</v>
      </c>
      <c r="B594" s="54" t="str">
        <f>'Q100b-totais'!$C$19</f>
        <v>População</v>
      </c>
      <c r="C594" s="167" t="s">
        <v>432</v>
      </c>
      <c r="D594" s="940" t="s">
        <v>2988</v>
      </c>
      <c r="E594" s="1505" t="s">
        <v>1748</v>
      </c>
      <c r="F594" s="14" t="s">
        <v>504</v>
      </c>
      <c r="G594" s="412" t="s">
        <v>498</v>
      </c>
      <c r="H594" s="173" t="s">
        <v>819</v>
      </c>
      <c r="I594" s="167" t="s">
        <v>432</v>
      </c>
      <c r="J594" s="58" t="s">
        <v>432</v>
      </c>
      <c r="K594" s="58" t="s">
        <v>432</v>
      </c>
      <c r="L594" s="58" t="s">
        <v>432</v>
      </c>
      <c r="M594" s="58" t="s">
        <v>432</v>
      </c>
      <c r="N594" s="58" t="s">
        <v>432</v>
      </c>
      <c r="O594" s="58" t="s">
        <v>432</v>
      </c>
      <c r="P594" s="58" t="s">
        <v>432</v>
      </c>
      <c r="Q594" s="58" t="s">
        <v>432</v>
      </c>
      <c r="R594" s="58" t="s">
        <v>432</v>
      </c>
      <c r="S594" s="109" t="s">
        <v>2209</v>
      </c>
      <c r="T594" s="58" t="s">
        <v>432</v>
      </c>
      <c r="U594" s="58" t="s">
        <v>432</v>
      </c>
      <c r="V594" s="109" t="s">
        <v>2209</v>
      </c>
      <c r="W594" s="58" t="s">
        <v>432</v>
      </c>
      <c r="X594" s="58" t="s">
        <v>432</v>
      </c>
      <c r="Y594" s="58" t="s">
        <v>432</v>
      </c>
      <c r="Z594" s="58" t="s">
        <v>432</v>
      </c>
      <c r="AA594" s="58" t="s">
        <v>432</v>
      </c>
      <c r="AB594" s="58" t="s">
        <v>432</v>
      </c>
      <c r="AC594" s="58" t="s">
        <v>432</v>
      </c>
      <c r="AD594" s="58" t="s">
        <v>432</v>
      </c>
      <c r="AE594" s="58" t="s">
        <v>432</v>
      </c>
      <c r="AF594" s="44">
        <f t="shared" si="110"/>
        <v>223.17605194909632</v>
      </c>
      <c r="AG594" s="58" t="s">
        <v>432</v>
      </c>
      <c r="AH594" s="58" t="s">
        <v>432</v>
      </c>
      <c r="AI594" s="58" t="s">
        <v>432</v>
      </c>
      <c r="AJ594" s="58" t="s">
        <v>432</v>
      </c>
      <c r="AK594" s="137" t="s">
        <v>432</v>
      </c>
      <c r="AL594" s="600" t="s">
        <v>432</v>
      </c>
      <c r="AM594" s="137" t="s">
        <v>432</v>
      </c>
      <c r="AN594" s="137" t="s">
        <v>432</v>
      </c>
      <c r="AO594" s="137" t="s">
        <v>432</v>
      </c>
      <c r="AP594" s="137" t="s">
        <v>432</v>
      </c>
      <c r="AQ594" s="137" t="s">
        <v>432</v>
      </c>
      <c r="AR594" s="137" t="s">
        <v>432</v>
      </c>
      <c r="AS594" s="137" t="s">
        <v>432</v>
      </c>
      <c r="AT594" s="137" t="s">
        <v>432</v>
      </c>
      <c r="AU594" s="137" t="s">
        <v>432</v>
      </c>
      <c r="AV594" s="137" t="s">
        <v>432</v>
      </c>
      <c r="AW594" s="137" t="s">
        <v>432</v>
      </c>
      <c r="AX594" s="137" t="s">
        <v>432</v>
      </c>
      <c r="AY594" s="137" t="s">
        <v>432</v>
      </c>
      <c r="AZ594" s="137" t="s">
        <v>432</v>
      </c>
      <c r="BA594" s="137" t="s">
        <v>432</v>
      </c>
      <c r="BB594" s="239" t="str">
        <f t="shared" si="105"/>
        <v>Populaçãox</v>
      </c>
      <c r="BC594" s="239" t="str">
        <f t="shared" si="106"/>
        <v>Populaçãoxbenchmarking</v>
      </c>
      <c r="BD594" s="239" t="str">
        <f t="shared" si="107"/>
        <v>Populaçãobenchmarking</v>
      </c>
    </row>
    <row r="595" spans="1:56" s="1" customFormat="1" ht="31.5" customHeight="1" x14ac:dyDescent="0.25">
      <c r="A595" s="275" t="str">
        <f>'Q100b-totais'!$B$19</f>
        <v>2.4</v>
      </c>
      <c r="B595" s="54" t="str">
        <f>'Q100b-totais'!$C$19</f>
        <v>População</v>
      </c>
      <c r="C595" s="167" t="s">
        <v>432</v>
      </c>
      <c r="D595" s="940" t="s">
        <v>2988</v>
      </c>
      <c r="E595" s="1505" t="s">
        <v>1749</v>
      </c>
      <c r="F595" s="14" t="s">
        <v>504</v>
      </c>
      <c r="G595" s="412" t="s">
        <v>498</v>
      </c>
      <c r="H595" s="173" t="s">
        <v>819</v>
      </c>
      <c r="I595" s="167" t="s">
        <v>432</v>
      </c>
      <c r="J595" s="58" t="s">
        <v>432</v>
      </c>
      <c r="K595" s="58" t="s">
        <v>432</v>
      </c>
      <c r="L595" s="58" t="s">
        <v>432</v>
      </c>
      <c r="M595" s="58" t="s">
        <v>432</v>
      </c>
      <c r="N595" s="58" t="s">
        <v>432</v>
      </c>
      <c r="O595" s="58" t="s">
        <v>432</v>
      </c>
      <c r="P595" s="58" t="s">
        <v>432</v>
      </c>
      <c r="Q595" s="58" t="s">
        <v>432</v>
      </c>
      <c r="R595" s="58" t="s">
        <v>432</v>
      </c>
      <c r="S595" s="109" t="s">
        <v>2209</v>
      </c>
      <c r="T595" s="58" t="s">
        <v>432</v>
      </c>
      <c r="U595" s="58" t="s">
        <v>432</v>
      </c>
      <c r="V595" s="109" t="s">
        <v>2209</v>
      </c>
      <c r="W595" s="58" t="s">
        <v>432</v>
      </c>
      <c r="X595" s="58" t="s">
        <v>432</v>
      </c>
      <c r="Y595" s="58" t="s">
        <v>432</v>
      </c>
      <c r="Z595" s="58" t="s">
        <v>432</v>
      </c>
      <c r="AA595" s="58" t="s">
        <v>432</v>
      </c>
      <c r="AB595" s="58" t="s">
        <v>432</v>
      </c>
      <c r="AC595" s="58" t="s">
        <v>432</v>
      </c>
      <c r="AD595" s="58" t="s">
        <v>432</v>
      </c>
      <c r="AE595" s="58" t="s">
        <v>432</v>
      </c>
      <c r="AF595" s="44">
        <f t="shared" si="110"/>
        <v>228.26644413730759</v>
      </c>
      <c r="AG595" s="58" t="s">
        <v>432</v>
      </c>
      <c r="AH595" s="58" t="s">
        <v>432</v>
      </c>
      <c r="AI595" s="58" t="s">
        <v>432</v>
      </c>
      <c r="AJ595" s="58" t="s">
        <v>432</v>
      </c>
      <c r="AK595" s="137" t="s">
        <v>432</v>
      </c>
      <c r="AL595" s="600" t="s">
        <v>432</v>
      </c>
      <c r="AM595" s="137" t="s">
        <v>432</v>
      </c>
      <c r="AN595" s="137" t="s">
        <v>432</v>
      </c>
      <c r="AO595" s="137" t="s">
        <v>432</v>
      </c>
      <c r="AP595" s="137" t="s">
        <v>432</v>
      </c>
      <c r="AQ595" s="137" t="s">
        <v>432</v>
      </c>
      <c r="AR595" s="137" t="s">
        <v>432</v>
      </c>
      <c r="AS595" s="137" t="s">
        <v>432</v>
      </c>
      <c r="AT595" s="137" t="s">
        <v>432</v>
      </c>
      <c r="AU595" s="137" t="s">
        <v>432</v>
      </c>
      <c r="AV595" s="137" t="s">
        <v>432</v>
      </c>
      <c r="AW595" s="137" t="s">
        <v>432</v>
      </c>
      <c r="AX595" s="137" t="s">
        <v>432</v>
      </c>
      <c r="AY595" s="137" t="s">
        <v>432</v>
      </c>
      <c r="AZ595" s="137" t="s">
        <v>432</v>
      </c>
      <c r="BA595" s="137" t="s">
        <v>432</v>
      </c>
      <c r="BB595" s="239" t="str">
        <f t="shared" si="105"/>
        <v>Populaçãox</v>
      </c>
      <c r="BC595" s="239" t="str">
        <f t="shared" si="106"/>
        <v>Populaçãoxbenchmarking</v>
      </c>
      <c r="BD595" s="239" t="str">
        <f t="shared" si="107"/>
        <v>Populaçãobenchmarking</v>
      </c>
    </row>
    <row r="596" spans="1:56" s="1" customFormat="1" ht="31.5" customHeight="1" x14ac:dyDescent="0.25">
      <c r="A596" s="275" t="str">
        <f>'Q100b-totais'!$B$19</f>
        <v>2.4</v>
      </c>
      <c r="B596" s="54" t="str">
        <f>'Q100b-totais'!$C$19</f>
        <v>População</v>
      </c>
      <c r="C596" s="167" t="s">
        <v>432</v>
      </c>
      <c r="D596" s="940" t="s">
        <v>2988</v>
      </c>
      <c r="E596" s="1505" t="s">
        <v>1750</v>
      </c>
      <c r="F596" s="14" t="s">
        <v>504</v>
      </c>
      <c r="G596" s="412" t="s">
        <v>498</v>
      </c>
      <c r="H596" s="173" t="s">
        <v>819</v>
      </c>
      <c r="I596" s="167" t="s">
        <v>432</v>
      </c>
      <c r="J596" s="58" t="s">
        <v>432</v>
      </c>
      <c r="K596" s="58" t="s">
        <v>432</v>
      </c>
      <c r="L596" s="58" t="s">
        <v>432</v>
      </c>
      <c r="M596" s="58" t="s">
        <v>432</v>
      </c>
      <c r="N596" s="58" t="s">
        <v>432</v>
      </c>
      <c r="O596" s="58" t="s">
        <v>432</v>
      </c>
      <c r="P596" s="58" t="s">
        <v>432</v>
      </c>
      <c r="Q596" s="58" t="s">
        <v>432</v>
      </c>
      <c r="R596" s="58" t="s">
        <v>432</v>
      </c>
      <c r="S596" s="109" t="s">
        <v>2209</v>
      </c>
      <c r="T596" s="58" t="s">
        <v>432</v>
      </c>
      <c r="U596" s="58" t="s">
        <v>432</v>
      </c>
      <c r="V596" s="109" t="s">
        <v>2209</v>
      </c>
      <c r="W596" s="58" t="s">
        <v>432</v>
      </c>
      <c r="X596" s="58" t="s">
        <v>432</v>
      </c>
      <c r="Y596" s="58" t="s">
        <v>432</v>
      </c>
      <c r="Z596" s="58" t="s">
        <v>432</v>
      </c>
      <c r="AA596" s="58" t="s">
        <v>432</v>
      </c>
      <c r="AB596" s="58" t="s">
        <v>432</v>
      </c>
      <c r="AC596" s="58" t="s">
        <v>432</v>
      </c>
      <c r="AD596" s="58" t="s">
        <v>432</v>
      </c>
      <c r="AE596" s="58" t="s">
        <v>432</v>
      </c>
      <c r="AF596" s="44">
        <f t="shared" si="110"/>
        <v>374.81531992271852</v>
      </c>
      <c r="AG596" s="58" t="s">
        <v>432</v>
      </c>
      <c r="AH596" s="58" t="s">
        <v>432</v>
      </c>
      <c r="AI596" s="58" t="s">
        <v>432</v>
      </c>
      <c r="AJ596" s="58" t="s">
        <v>432</v>
      </c>
      <c r="AK596" s="137" t="s">
        <v>432</v>
      </c>
      <c r="AL596" s="600" t="s">
        <v>432</v>
      </c>
      <c r="AM596" s="137" t="s">
        <v>432</v>
      </c>
      <c r="AN596" s="137" t="s">
        <v>432</v>
      </c>
      <c r="AO596" s="137" t="s">
        <v>432</v>
      </c>
      <c r="AP596" s="137" t="s">
        <v>432</v>
      </c>
      <c r="AQ596" s="137" t="s">
        <v>432</v>
      </c>
      <c r="AR596" s="137" t="s">
        <v>432</v>
      </c>
      <c r="AS596" s="137" t="s">
        <v>432</v>
      </c>
      <c r="AT596" s="137" t="s">
        <v>432</v>
      </c>
      <c r="AU596" s="137" t="s">
        <v>432</v>
      </c>
      <c r="AV596" s="137" t="s">
        <v>432</v>
      </c>
      <c r="AW596" s="137" t="s">
        <v>432</v>
      </c>
      <c r="AX596" s="137" t="s">
        <v>432</v>
      </c>
      <c r="AY596" s="137" t="s">
        <v>432</v>
      </c>
      <c r="AZ596" s="137" t="s">
        <v>432</v>
      </c>
      <c r="BA596" s="137" t="s">
        <v>432</v>
      </c>
      <c r="BB596" s="239" t="str">
        <f t="shared" si="105"/>
        <v>Populaçãox</v>
      </c>
      <c r="BC596" s="239" t="str">
        <f t="shared" si="106"/>
        <v>Populaçãoxbenchmarking</v>
      </c>
      <c r="BD596" s="239" t="str">
        <f t="shared" si="107"/>
        <v>Populaçãobenchmarking</v>
      </c>
    </row>
    <row r="597" spans="1:56" s="1" customFormat="1" ht="31.5" customHeight="1" x14ac:dyDescent="0.25">
      <c r="A597" s="275" t="str">
        <f>'Q100b-totais'!$B$19</f>
        <v>2.4</v>
      </c>
      <c r="B597" s="54" t="str">
        <f>'Q100b-totais'!$C$19</f>
        <v>População</v>
      </c>
      <c r="C597" s="167" t="s">
        <v>432</v>
      </c>
      <c r="D597" s="940" t="s">
        <v>2988</v>
      </c>
      <c r="E597" s="1505" t="s">
        <v>1751</v>
      </c>
      <c r="F597" s="14" t="s">
        <v>504</v>
      </c>
      <c r="G597" s="412" t="s">
        <v>498</v>
      </c>
      <c r="H597" s="173" t="s">
        <v>819</v>
      </c>
      <c r="I597" s="167" t="s">
        <v>432</v>
      </c>
      <c r="J597" s="58" t="s">
        <v>432</v>
      </c>
      <c r="K597" s="58" t="s">
        <v>432</v>
      </c>
      <c r="L597" s="58" t="s">
        <v>432</v>
      </c>
      <c r="M597" s="58" t="s">
        <v>432</v>
      </c>
      <c r="N597" s="58" t="s">
        <v>432</v>
      </c>
      <c r="O597" s="58" t="s">
        <v>432</v>
      </c>
      <c r="P597" s="58" t="s">
        <v>432</v>
      </c>
      <c r="Q597" s="58" t="s">
        <v>432</v>
      </c>
      <c r="R597" s="58" t="s">
        <v>432</v>
      </c>
      <c r="S597" s="109" t="s">
        <v>2209</v>
      </c>
      <c r="T597" s="58" t="s">
        <v>432</v>
      </c>
      <c r="U597" s="58" t="s">
        <v>432</v>
      </c>
      <c r="V597" s="109" t="s">
        <v>2209</v>
      </c>
      <c r="W597" s="58" t="s">
        <v>432</v>
      </c>
      <c r="X597" s="58" t="s">
        <v>432</v>
      </c>
      <c r="Y597" s="58" t="s">
        <v>432</v>
      </c>
      <c r="Z597" s="58" t="s">
        <v>432</v>
      </c>
      <c r="AA597" s="58" t="s">
        <v>432</v>
      </c>
      <c r="AB597" s="58" t="s">
        <v>432</v>
      </c>
      <c r="AC597" s="58" t="s">
        <v>432</v>
      </c>
      <c r="AD597" s="58" t="s">
        <v>432</v>
      </c>
      <c r="AE597" s="58" t="s">
        <v>432</v>
      </c>
      <c r="AF597" s="44">
        <f t="shared" si="110"/>
        <v>92.00291967909952</v>
      </c>
      <c r="AG597" s="58" t="s">
        <v>432</v>
      </c>
      <c r="AH597" s="58" t="s">
        <v>432</v>
      </c>
      <c r="AI597" s="58" t="s">
        <v>432</v>
      </c>
      <c r="AJ597" s="58" t="s">
        <v>432</v>
      </c>
      <c r="AK597" s="137" t="s">
        <v>432</v>
      </c>
      <c r="AL597" s="600" t="s">
        <v>432</v>
      </c>
      <c r="AM597" s="137" t="s">
        <v>432</v>
      </c>
      <c r="AN597" s="137" t="s">
        <v>432</v>
      </c>
      <c r="AO597" s="137" t="s">
        <v>432</v>
      </c>
      <c r="AP597" s="137" t="s">
        <v>432</v>
      </c>
      <c r="AQ597" s="137" t="s">
        <v>432</v>
      </c>
      <c r="AR597" s="137" t="s">
        <v>432</v>
      </c>
      <c r="AS597" s="137" t="s">
        <v>432</v>
      </c>
      <c r="AT597" s="137" t="s">
        <v>432</v>
      </c>
      <c r="AU597" s="137" t="s">
        <v>432</v>
      </c>
      <c r="AV597" s="137" t="s">
        <v>432</v>
      </c>
      <c r="AW597" s="137" t="s">
        <v>432</v>
      </c>
      <c r="AX597" s="137" t="s">
        <v>432</v>
      </c>
      <c r="AY597" s="137" t="s">
        <v>432</v>
      </c>
      <c r="AZ597" s="137" t="s">
        <v>432</v>
      </c>
      <c r="BA597" s="137" t="s">
        <v>432</v>
      </c>
      <c r="BB597" s="239" t="str">
        <f t="shared" si="105"/>
        <v>Populaçãox</v>
      </c>
      <c r="BC597" s="239" t="str">
        <f t="shared" si="106"/>
        <v>Populaçãoxbenchmarking</v>
      </c>
      <c r="BD597" s="239" t="str">
        <f t="shared" si="107"/>
        <v>Populaçãobenchmarking</v>
      </c>
    </row>
    <row r="598" spans="1:56" s="1" customFormat="1" ht="31.5" customHeight="1" x14ac:dyDescent="0.25">
      <c r="A598" s="275" t="str">
        <f>'Q100b-totais'!$B$19</f>
        <v>2.4</v>
      </c>
      <c r="B598" s="54" t="str">
        <f>'Q100b-totais'!$C$19</f>
        <v>População</v>
      </c>
      <c r="C598" s="167" t="s">
        <v>432</v>
      </c>
      <c r="D598" s="940" t="s">
        <v>2988</v>
      </c>
      <c r="E598" s="1505" t="s">
        <v>1752</v>
      </c>
      <c r="F598" s="14" t="s">
        <v>504</v>
      </c>
      <c r="G598" s="412" t="s">
        <v>498</v>
      </c>
      <c r="H598" s="173" t="s">
        <v>819</v>
      </c>
      <c r="I598" s="167" t="s">
        <v>432</v>
      </c>
      <c r="J598" s="58" t="s">
        <v>432</v>
      </c>
      <c r="K598" s="58" t="s">
        <v>432</v>
      </c>
      <c r="L598" s="58" t="s">
        <v>432</v>
      </c>
      <c r="M598" s="58" t="s">
        <v>432</v>
      </c>
      <c r="N598" s="58" t="s">
        <v>432</v>
      </c>
      <c r="O598" s="58" t="s">
        <v>432</v>
      </c>
      <c r="P598" s="58" t="s">
        <v>432</v>
      </c>
      <c r="Q598" s="58" t="s">
        <v>432</v>
      </c>
      <c r="R598" s="58" t="s">
        <v>432</v>
      </c>
      <c r="S598" s="109" t="s">
        <v>2209</v>
      </c>
      <c r="T598" s="58" t="s">
        <v>432</v>
      </c>
      <c r="U598" s="58" t="s">
        <v>432</v>
      </c>
      <c r="V598" s="109" t="s">
        <v>2209</v>
      </c>
      <c r="W598" s="58" t="s">
        <v>432</v>
      </c>
      <c r="X598" s="58" t="s">
        <v>432</v>
      </c>
      <c r="Y598" s="58" t="s">
        <v>432</v>
      </c>
      <c r="Z598" s="58" t="s">
        <v>432</v>
      </c>
      <c r="AA598" s="58" t="s">
        <v>432</v>
      </c>
      <c r="AB598" s="58" t="s">
        <v>432</v>
      </c>
      <c r="AC598" s="58" t="s">
        <v>432</v>
      </c>
      <c r="AD598" s="58" t="s">
        <v>432</v>
      </c>
      <c r="AE598" s="58" t="s">
        <v>432</v>
      </c>
      <c r="AF598" s="44">
        <f t="shared" si="110"/>
        <v>134.59251625178374</v>
      </c>
      <c r="AG598" s="58" t="s">
        <v>432</v>
      </c>
      <c r="AH598" s="58" t="s">
        <v>432</v>
      </c>
      <c r="AI598" s="58" t="s">
        <v>432</v>
      </c>
      <c r="AJ598" s="58" t="s">
        <v>432</v>
      </c>
      <c r="AK598" s="137" t="s">
        <v>432</v>
      </c>
      <c r="AL598" s="600" t="s">
        <v>432</v>
      </c>
      <c r="AM598" s="137" t="s">
        <v>432</v>
      </c>
      <c r="AN598" s="137" t="s">
        <v>432</v>
      </c>
      <c r="AO598" s="137" t="s">
        <v>432</v>
      </c>
      <c r="AP598" s="137" t="s">
        <v>432</v>
      </c>
      <c r="AQ598" s="137" t="s">
        <v>432</v>
      </c>
      <c r="AR598" s="137" t="s">
        <v>432</v>
      </c>
      <c r="AS598" s="137" t="s">
        <v>432</v>
      </c>
      <c r="AT598" s="137" t="s">
        <v>432</v>
      </c>
      <c r="AU598" s="137" t="s">
        <v>432</v>
      </c>
      <c r="AV598" s="137" t="s">
        <v>432</v>
      </c>
      <c r="AW598" s="137" t="s">
        <v>432</v>
      </c>
      <c r="AX598" s="137" t="s">
        <v>432</v>
      </c>
      <c r="AY598" s="137" t="s">
        <v>432</v>
      </c>
      <c r="AZ598" s="137" t="s">
        <v>432</v>
      </c>
      <c r="BA598" s="137" t="s">
        <v>432</v>
      </c>
      <c r="BB598" s="239" t="str">
        <f t="shared" si="105"/>
        <v>Populaçãox</v>
      </c>
      <c r="BC598" s="239" t="str">
        <f t="shared" si="106"/>
        <v>Populaçãoxbenchmarking</v>
      </c>
      <c r="BD598" s="239" t="str">
        <f t="shared" si="107"/>
        <v>Populaçãobenchmarking</v>
      </c>
    </row>
    <row r="599" spans="1:56" s="1" customFormat="1" ht="31.5" customHeight="1" x14ac:dyDescent="0.25">
      <c r="A599" s="275" t="str">
        <f>'Q100b-totais'!$B$19</f>
        <v>2.4</v>
      </c>
      <c r="B599" s="54" t="str">
        <f>'Q100b-totais'!$C$19</f>
        <v>População</v>
      </c>
      <c r="C599" s="167" t="s">
        <v>432</v>
      </c>
      <c r="D599" s="940" t="s">
        <v>2988</v>
      </c>
      <c r="E599" s="1505" t="s">
        <v>1753</v>
      </c>
      <c r="F599" s="14" t="s">
        <v>504</v>
      </c>
      <c r="G599" s="412" t="s">
        <v>498</v>
      </c>
      <c r="H599" s="173" t="s">
        <v>819</v>
      </c>
      <c r="I599" s="167" t="s">
        <v>432</v>
      </c>
      <c r="J599" s="58" t="s">
        <v>432</v>
      </c>
      <c r="K599" s="58" t="s">
        <v>432</v>
      </c>
      <c r="L599" s="58" t="s">
        <v>432</v>
      </c>
      <c r="M599" s="58" t="s">
        <v>432</v>
      </c>
      <c r="N599" s="58" t="s">
        <v>432</v>
      </c>
      <c r="O599" s="58" t="s">
        <v>432</v>
      </c>
      <c r="P599" s="58" t="s">
        <v>432</v>
      </c>
      <c r="Q599" s="58" t="s">
        <v>432</v>
      </c>
      <c r="R599" s="58" t="s">
        <v>432</v>
      </c>
      <c r="S599" s="109" t="s">
        <v>2209</v>
      </c>
      <c r="T599" s="58" t="s">
        <v>432</v>
      </c>
      <c r="U599" s="58" t="s">
        <v>432</v>
      </c>
      <c r="V599" s="109" t="s">
        <v>2209</v>
      </c>
      <c r="W599" s="58" t="s">
        <v>432</v>
      </c>
      <c r="X599" s="58" t="s">
        <v>432</v>
      </c>
      <c r="Y599" s="58" t="s">
        <v>432</v>
      </c>
      <c r="Z599" s="58" t="s">
        <v>432</v>
      </c>
      <c r="AA599" s="58" t="s">
        <v>432</v>
      </c>
      <c r="AB599" s="58" t="s">
        <v>432</v>
      </c>
      <c r="AC599" s="58" t="s">
        <v>432</v>
      </c>
      <c r="AD599" s="58" t="s">
        <v>432</v>
      </c>
      <c r="AE599" s="58" t="s">
        <v>432</v>
      </c>
      <c r="AF599" s="44">
        <f t="shared" si="110"/>
        <v>188.77880404509361</v>
      </c>
      <c r="AG599" s="58" t="s">
        <v>432</v>
      </c>
      <c r="AH599" s="58" t="s">
        <v>432</v>
      </c>
      <c r="AI599" s="58" t="s">
        <v>432</v>
      </c>
      <c r="AJ599" s="58" t="s">
        <v>432</v>
      </c>
      <c r="AK599" s="137" t="s">
        <v>432</v>
      </c>
      <c r="AL599" s="600" t="s">
        <v>432</v>
      </c>
      <c r="AM599" s="137" t="s">
        <v>432</v>
      </c>
      <c r="AN599" s="137" t="s">
        <v>432</v>
      </c>
      <c r="AO599" s="137" t="s">
        <v>432</v>
      </c>
      <c r="AP599" s="137" t="s">
        <v>432</v>
      </c>
      <c r="AQ599" s="137" t="s">
        <v>432</v>
      </c>
      <c r="AR599" s="137" t="s">
        <v>432</v>
      </c>
      <c r="AS599" s="137" t="s">
        <v>432</v>
      </c>
      <c r="AT599" s="137" t="s">
        <v>432</v>
      </c>
      <c r="AU599" s="137" t="s">
        <v>432</v>
      </c>
      <c r="AV599" s="137" t="s">
        <v>432</v>
      </c>
      <c r="AW599" s="137" t="s">
        <v>432</v>
      </c>
      <c r="AX599" s="137" t="s">
        <v>432</v>
      </c>
      <c r="AY599" s="137" t="s">
        <v>432</v>
      </c>
      <c r="AZ599" s="137" t="s">
        <v>432</v>
      </c>
      <c r="BA599" s="137" t="s">
        <v>432</v>
      </c>
      <c r="BB599" s="239" t="str">
        <f t="shared" si="105"/>
        <v>Populaçãox</v>
      </c>
      <c r="BC599" s="239" t="str">
        <f t="shared" si="106"/>
        <v>Populaçãoxbenchmarking</v>
      </c>
      <c r="BD599" s="239" t="str">
        <f t="shared" si="107"/>
        <v>Populaçãobenchmarking</v>
      </c>
    </row>
    <row r="600" spans="1:56" s="1" customFormat="1" ht="31.5" customHeight="1" x14ac:dyDescent="0.25">
      <c r="A600" s="275" t="str">
        <f>'Q100b-totais'!$B$19</f>
        <v>2.4</v>
      </c>
      <c r="B600" s="54" t="str">
        <f>'Q100b-totais'!$C$19</f>
        <v>População</v>
      </c>
      <c r="C600" s="167" t="s">
        <v>432</v>
      </c>
      <c r="D600" s="940" t="s">
        <v>2988</v>
      </c>
      <c r="E600" s="1505" t="s">
        <v>1754</v>
      </c>
      <c r="F600" s="14" t="s">
        <v>504</v>
      </c>
      <c r="G600" s="412" t="s">
        <v>498</v>
      </c>
      <c r="H600" s="173" t="s">
        <v>819</v>
      </c>
      <c r="I600" s="167" t="s">
        <v>432</v>
      </c>
      <c r="J600" s="58" t="s">
        <v>432</v>
      </c>
      <c r="K600" s="58" t="s">
        <v>432</v>
      </c>
      <c r="L600" s="58" t="s">
        <v>432</v>
      </c>
      <c r="M600" s="58" t="s">
        <v>432</v>
      </c>
      <c r="N600" s="58" t="s">
        <v>432</v>
      </c>
      <c r="O600" s="58" t="s">
        <v>432</v>
      </c>
      <c r="P600" s="58" t="s">
        <v>432</v>
      </c>
      <c r="Q600" s="58" t="s">
        <v>432</v>
      </c>
      <c r="R600" s="58" t="s">
        <v>432</v>
      </c>
      <c r="S600" s="109" t="s">
        <v>2209</v>
      </c>
      <c r="T600" s="58" t="s">
        <v>432</v>
      </c>
      <c r="U600" s="58" t="s">
        <v>432</v>
      </c>
      <c r="V600" s="109" t="s">
        <v>2209</v>
      </c>
      <c r="W600" s="58" t="s">
        <v>432</v>
      </c>
      <c r="X600" s="58" t="s">
        <v>432</v>
      </c>
      <c r="Y600" s="58" t="s">
        <v>432</v>
      </c>
      <c r="Z600" s="58" t="s">
        <v>432</v>
      </c>
      <c r="AA600" s="58" t="s">
        <v>432</v>
      </c>
      <c r="AB600" s="58" t="s">
        <v>432</v>
      </c>
      <c r="AC600" s="58" t="s">
        <v>432</v>
      </c>
      <c r="AD600" s="58" t="s">
        <v>432</v>
      </c>
      <c r="AE600" s="58" t="s">
        <v>432</v>
      </c>
      <c r="AF600" s="44">
        <f t="shared" si="110"/>
        <v>32.271932423561125</v>
      </c>
      <c r="AG600" s="58" t="s">
        <v>432</v>
      </c>
      <c r="AH600" s="58" t="s">
        <v>432</v>
      </c>
      <c r="AI600" s="58" t="s">
        <v>432</v>
      </c>
      <c r="AJ600" s="58" t="s">
        <v>432</v>
      </c>
      <c r="AK600" s="137" t="s">
        <v>432</v>
      </c>
      <c r="AL600" s="600" t="s">
        <v>432</v>
      </c>
      <c r="AM600" s="137" t="s">
        <v>432</v>
      </c>
      <c r="AN600" s="137" t="s">
        <v>432</v>
      </c>
      <c r="AO600" s="137" t="s">
        <v>432</v>
      </c>
      <c r="AP600" s="137" t="s">
        <v>432</v>
      </c>
      <c r="AQ600" s="137" t="s">
        <v>432</v>
      </c>
      <c r="AR600" s="137" t="s">
        <v>432</v>
      </c>
      <c r="AS600" s="137" t="s">
        <v>432</v>
      </c>
      <c r="AT600" s="137" t="s">
        <v>432</v>
      </c>
      <c r="AU600" s="137" t="s">
        <v>432</v>
      </c>
      <c r="AV600" s="137" t="s">
        <v>432</v>
      </c>
      <c r="AW600" s="137" t="s">
        <v>432</v>
      </c>
      <c r="AX600" s="137" t="s">
        <v>432</v>
      </c>
      <c r="AY600" s="137" t="s">
        <v>432</v>
      </c>
      <c r="AZ600" s="137" t="s">
        <v>432</v>
      </c>
      <c r="BA600" s="137" t="s">
        <v>432</v>
      </c>
      <c r="BB600" s="239" t="str">
        <f t="shared" si="105"/>
        <v>Populaçãox</v>
      </c>
      <c r="BC600" s="239" t="str">
        <f t="shared" si="106"/>
        <v>Populaçãoxbenchmarking</v>
      </c>
      <c r="BD600" s="239" t="str">
        <f t="shared" si="107"/>
        <v>Populaçãobenchmarking</v>
      </c>
    </row>
    <row r="601" spans="1:56" s="1" customFormat="1" ht="31.5" customHeight="1" x14ac:dyDescent="0.25">
      <c r="A601" s="275" t="str">
        <f>'Q100b-totais'!$B$19</f>
        <v>2.4</v>
      </c>
      <c r="B601" s="54" t="str">
        <f>'Q100b-totais'!$C$19</f>
        <v>População</v>
      </c>
      <c r="C601" s="167" t="s">
        <v>432</v>
      </c>
      <c r="D601" s="940" t="s">
        <v>2988</v>
      </c>
      <c r="E601" s="1505" t="s">
        <v>1755</v>
      </c>
      <c r="F601" s="14" t="s">
        <v>504</v>
      </c>
      <c r="G601" s="412" t="s">
        <v>498</v>
      </c>
      <c r="H601" s="173" t="s">
        <v>819</v>
      </c>
      <c r="I601" s="167" t="s">
        <v>432</v>
      </c>
      <c r="J601" s="58" t="s">
        <v>432</v>
      </c>
      <c r="K601" s="58" t="s">
        <v>432</v>
      </c>
      <c r="L601" s="58" t="s">
        <v>432</v>
      </c>
      <c r="M601" s="58" t="s">
        <v>432</v>
      </c>
      <c r="N601" s="58" t="s">
        <v>432</v>
      </c>
      <c r="O601" s="58" t="s">
        <v>432</v>
      </c>
      <c r="P601" s="58" t="s">
        <v>432</v>
      </c>
      <c r="Q601" s="58" t="s">
        <v>432</v>
      </c>
      <c r="R601" s="58" t="s">
        <v>432</v>
      </c>
      <c r="S601" s="109" t="s">
        <v>2209</v>
      </c>
      <c r="T601" s="58" t="s">
        <v>432</v>
      </c>
      <c r="U601" s="58" t="s">
        <v>432</v>
      </c>
      <c r="V601" s="109" t="s">
        <v>2209</v>
      </c>
      <c r="W601" s="58" t="s">
        <v>432</v>
      </c>
      <c r="X601" s="58" t="s">
        <v>432</v>
      </c>
      <c r="Y601" s="58" t="s">
        <v>432</v>
      </c>
      <c r="Z601" s="58" t="s">
        <v>432</v>
      </c>
      <c r="AA601" s="58" t="s">
        <v>432</v>
      </c>
      <c r="AB601" s="58" t="s">
        <v>432</v>
      </c>
      <c r="AC601" s="58" t="s">
        <v>432</v>
      </c>
      <c r="AD601" s="58" t="s">
        <v>432</v>
      </c>
      <c r="AE601" s="58" t="s">
        <v>432</v>
      </c>
      <c r="AF601" s="44">
        <f t="shared" si="110"/>
        <v>200.48534245312965</v>
      </c>
      <c r="AG601" s="58" t="s">
        <v>432</v>
      </c>
      <c r="AH601" s="58" t="s">
        <v>432</v>
      </c>
      <c r="AI601" s="58" t="s">
        <v>432</v>
      </c>
      <c r="AJ601" s="58" t="s">
        <v>432</v>
      </c>
      <c r="AK601" s="137" t="s">
        <v>432</v>
      </c>
      <c r="AL601" s="600" t="s">
        <v>432</v>
      </c>
      <c r="AM601" s="137" t="s">
        <v>432</v>
      </c>
      <c r="AN601" s="137" t="s">
        <v>432</v>
      </c>
      <c r="AO601" s="137" t="s">
        <v>432</v>
      </c>
      <c r="AP601" s="137" t="s">
        <v>432</v>
      </c>
      <c r="AQ601" s="137" t="s">
        <v>432</v>
      </c>
      <c r="AR601" s="137" t="s">
        <v>432</v>
      </c>
      <c r="AS601" s="137" t="s">
        <v>432</v>
      </c>
      <c r="AT601" s="137" t="s">
        <v>432</v>
      </c>
      <c r="AU601" s="137" t="s">
        <v>432</v>
      </c>
      <c r="AV601" s="137" t="s">
        <v>432</v>
      </c>
      <c r="AW601" s="137" t="s">
        <v>432</v>
      </c>
      <c r="AX601" s="137" t="s">
        <v>432</v>
      </c>
      <c r="AY601" s="137" t="s">
        <v>432</v>
      </c>
      <c r="AZ601" s="137" t="s">
        <v>432</v>
      </c>
      <c r="BA601" s="137" t="s">
        <v>432</v>
      </c>
      <c r="BB601" s="239" t="str">
        <f t="shared" si="105"/>
        <v>Populaçãox</v>
      </c>
      <c r="BC601" s="239" t="str">
        <f t="shared" si="106"/>
        <v>Populaçãoxbenchmarking</v>
      </c>
      <c r="BD601" s="239" t="str">
        <f t="shared" si="107"/>
        <v>Populaçãobenchmarking</v>
      </c>
    </row>
    <row r="602" spans="1:56" s="1" customFormat="1" ht="31.5" customHeight="1" x14ac:dyDescent="0.25">
      <c r="A602" s="275" t="str">
        <f>'Q100b-totais'!$B$19</f>
        <v>2.4</v>
      </c>
      <c r="B602" s="54" t="str">
        <f>'Q100b-totais'!$C$19</f>
        <v>População</v>
      </c>
      <c r="C602" s="167" t="s">
        <v>432</v>
      </c>
      <c r="D602" s="940" t="s">
        <v>2988</v>
      </c>
      <c r="E602" s="1505" t="s">
        <v>1756</v>
      </c>
      <c r="F602" s="14" t="s">
        <v>504</v>
      </c>
      <c r="G602" s="412" t="s">
        <v>498</v>
      </c>
      <c r="H602" s="173" t="s">
        <v>819</v>
      </c>
      <c r="I602" s="167" t="s">
        <v>432</v>
      </c>
      <c r="J602" s="58" t="s">
        <v>432</v>
      </c>
      <c r="K602" s="58" t="s">
        <v>432</v>
      </c>
      <c r="L602" s="58" t="s">
        <v>432</v>
      </c>
      <c r="M602" s="58" t="s">
        <v>432</v>
      </c>
      <c r="N602" s="58" t="s">
        <v>432</v>
      </c>
      <c r="O602" s="58" t="s">
        <v>432</v>
      </c>
      <c r="P602" s="58" t="s">
        <v>432</v>
      </c>
      <c r="Q602" s="58" t="s">
        <v>432</v>
      </c>
      <c r="R602" s="58" t="s">
        <v>432</v>
      </c>
      <c r="S602" s="109" t="s">
        <v>2209</v>
      </c>
      <c r="T602" s="58" t="s">
        <v>432</v>
      </c>
      <c r="U602" s="58" t="s">
        <v>432</v>
      </c>
      <c r="V602" s="109" t="s">
        <v>2209</v>
      </c>
      <c r="W602" s="58" t="s">
        <v>432</v>
      </c>
      <c r="X602" s="58" t="s">
        <v>432</v>
      </c>
      <c r="Y602" s="58" t="s">
        <v>432</v>
      </c>
      <c r="Z602" s="58" t="s">
        <v>432</v>
      </c>
      <c r="AA602" s="58" t="s">
        <v>432</v>
      </c>
      <c r="AB602" s="58" t="s">
        <v>432</v>
      </c>
      <c r="AC602" s="58" t="s">
        <v>432</v>
      </c>
      <c r="AD602" s="58" t="s">
        <v>432</v>
      </c>
      <c r="AE602" s="58" t="s">
        <v>432</v>
      </c>
      <c r="AF602" s="44">
        <f t="shared" si="110"/>
        <v>212.58435062145799</v>
      </c>
      <c r="AG602" s="58" t="s">
        <v>432</v>
      </c>
      <c r="AH602" s="58" t="s">
        <v>432</v>
      </c>
      <c r="AI602" s="58" t="s">
        <v>432</v>
      </c>
      <c r="AJ602" s="58" t="s">
        <v>432</v>
      </c>
      <c r="AK602" s="137" t="s">
        <v>432</v>
      </c>
      <c r="AL602" s="600" t="s">
        <v>432</v>
      </c>
      <c r="AM602" s="137" t="s">
        <v>432</v>
      </c>
      <c r="AN602" s="137" t="s">
        <v>432</v>
      </c>
      <c r="AO602" s="137" t="s">
        <v>432</v>
      </c>
      <c r="AP602" s="137" t="s">
        <v>432</v>
      </c>
      <c r="AQ602" s="137" t="s">
        <v>432</v>
      </c>
      <c r="AR602" s="137" t="s">
        <v>432</v>
      </c>
      <c r="AS602" s="137" t="s">
        <v>432</v>
      </c>
      <c r="AT602" s="137" t="s">
        <v>432</v>
      </c>
      <c r="AU602" s="137" t="s">
        <v>432</v>
      </c>
      <c r="AV602" s="137" t="s">
        <v>432</v>
      </c>
      <c r="AW602" s="137" t="s">
        <v>432</v>
      </c>
      <c r="AX602" s="137" t="s">
        <v>432</v>
      </c>
      <c r="AY602" s="137" t="s">
        <v>432</v>
      </c>
      <c r="AZ602" s="137" t="s">
        <v>432</v>
      </c>
      <c r="BA602" s="137" t="s">
        <v>432</v>
      </c>
      <c r="BB602" s="239" t="str">
        <f t="shared" si="105"/>
        <v>Populaçãox</v>
      </c>
      <c r="BC602" s="239" t="str">
        <f t="shared" si="106"/>
        <v>Populaçãoxbenchmarking</v>
      </c>
      <c r="BD602" s="239" t="str">
        <f t="shared" si="107"/>
        <v>Populaçãobenchmarking</v>
      </c>
    </row>
    <row r="603" spans="1:56" s="1" customFormat="1" ht="31.5" customHeight="1" x14ac:dyDescent="0.25">
      <c r="A603" s="275" t="str">
        <f>'Q100b-totais'!$B$19</f>
        <v>2.4</v>
      </c>
      <c r="B603" s="54" t="str">
        <f>'Q100b-totais'!$C$19</f>
        <v>População</v>
      </c>
      <c r="C603" s="167" t="s">
        <v>432</v>
      </c>
      <c r="D603" s="940" t="s">
        <v>2988</v>
      </c>
      <c r="E603" s="1505" t="s">
        <v>1757</v>
      </c>
      <c r="F603" s="14" t="s">
        <v>504</v>
      </c>
      <c r="G603" s="412" t="s">
        <v>498</v>
      </c>
      <c r="H603" s="173" t="s">
        <v>819</v>
      </c>
      <c r="I603" s="167" t="s">
        <v>432</v>
      </c>
      <c r="J603" s="58" t="s">
        <v>432</v>
      </c>
      <c r="K603" s="58" t="s">
        <v>432</v>
      </c>
      <c r="L603" s="58" t="s">
        <v>432</v>
      </c>
      <c r="M603" s="58" t="s">
        <v>432</v>
      </c>
      <c r="N603" s="58" t="s">
        <v>432</v>
      </c>
      <c r="O603" s="58" t="s">
        <v>432</v>
      </c>
      <c r="P603" s="58" t="s">
        <v>432</v>
      </c>
      <c r="Q603" s="58" t="s">
        <v>432</v>
      </c>
      <c r="R603" s="58" t="s">
        <v>432</v>
      </c>
      <c r="S603" s="109" t="s">
        <v>2209</v>
      </c>
      <c r="T603" s="58" t="s">
        <v>432</v>
      </c>
      <c r="U603" s="58" t="s">
        <v>432</v>
      </c>
      <c r="V603" s="109" t="s">
        <v>2209</v>
      </c>
      <c r="W603" s="58" t="s">
        <v>432</v>
      </c>
      <c r="X603" s="58" t="s">
        <v>432</v>
      </c>
      <c r="Y603" s="58" t="s">
        <v>432</v>
      </c>
      <c r="Z603" s="58" t="s">
        <v>432</v>
      </c>
      <c r="AA603" s="58" t="s">
        <v>432</v>
      </c>
      <c r="AB603" s="58" t="s">
        <v>432</v>
      </c>
      <c r="AC603" s="58" t="s">
        <v>432</v>
      </c>
      <c r="AD603" s="58" t="s">
        <v>432</v>
      </c>
      <c r="AE603" s="58" t="s">
        <v>432</v>
      </c>
      <c r="AF603" s="44">
        <f t="shared" si="110"/>
        <v>1917.8969715406372</v>
      </c>
      <c r="AG603" s="58" t="s">
        <v>432</v>
      </c>
      <c r="AH603" s="58" t="s">
        <v>432</v>
      </c>
      <c r="AI603" s="58" t="s">
        <v>432</v>
      </c>
      <c r="AJ603" s="58" t="s">
        <v>432</v>
      </c>
      <c r="AK603" s="137" t="s">
        <v>432</v>
      </c>
      <c r="AL603" s="600" t="s">
        <v>432</v>
      </c>
      <c r="AM603" s="137" t="s">
        <v>432</v>
      </c>
      <c r="AN603" s="137" t="s">
        <v>432</v>
      </c>
      <c r="AO603" s="137" t="s">
        <v>432</v>
      </c>
      <c r="AP603" s="137" t="s">
        <v>432</v>
      </c>
      <c r="AQ603" s="137" t="s">
        <v>432</v>
      </c>
      <c r="AR603" s="137" t="s">
        <v>432</v>
      </c>
      <c r="AS603" s="137" t="s">
        <v>432</v>
      </c>
      <c r="AT603" s="137" t="s">
        <v>432</v>
      </c>
      <c r="AU603" s="137" t="s">
        <v>432</v>
      </c>
      <c r="AV603" s="137" t="s">
        <v>432</v>
      </c>
      <c r="AW603" s="137" t="s">
        <v>432</v>
      </c>
      <c r="AX603" s="137" t="s">
        <v>432</v>
      </c>
      <c r="AY603" s="137" t="s">
        <v>432</v>
      </c>
      <c r="AZ603" s="137" t="s">
        <v>432</v>
      </c>
      <c r="BA603" s="137" t="s">
        <v>432</v>
      </c>
      <c r="BB603" s="239" t="str">
        <f t="shared" si="105"/>
        <v>Populaçãox</v>
      </c>
      <c r="BC603" s="239" t="str">
        <f t="shared" si="106"/>
        <v>Populaçãoxbenchmarking</v>
      </c>
      <c r="BD603" s="239" t="str">
        <f t="shared" si="107"/>
        <v>Populaçãobenchmarking</v>
      </c>
    </row>
    <row r="604" spans="1:56" s="1" customFormat="1" ht="31.5" customHeight="1" x14ac:dyDescent="0.25">
      <c r="A604" s="275" t="str">
        <f>'Q100b-totais'!$B$19</f>
        <v>2.4</v>
      </c>
      <c r="B604" s="54" t="str">
        <f>'Q100b-totais'!$C$19</f>
        <v>População</v>
      </c>
      <c r="C604" s="167" t="s">
        <v>432</v>
      </c>
      <c r="D604" s="940" t="s">
        <v>2988</v>
      </c>
      <c r="E604" s="1505" t="s">
        <v>1758</v>
      </c>
      <c r="F604" s="14" t="s">
        <v>504</v>
      </c>
      <c r="G604" s="412" t="s">
        <v>498</v>
      </c>
      <c r="H604" s="173" t="s">
        <v>819</v>
      </c>
      <c r="I604" s="167" t="s">
        <v>432</v>
      </c>
      <c r="J604" s="58" t="s">
        <v>432</v>
      </c>
      <c r="K604" s="58" t="s">
        <v>432</v>
      </c>
      <c r="L604" s="58" t="s">
        <v>432</v>
      </c>
      <c r="M604" s="58" t="s">
        <v>432</v>
      </c>
      <c r="N604" s="58" t="s">
        <v>432</v>
      </c>
      <c r="O604" s="58" t="s">
        <v>432</v>
      </c>
      <c r="P604" s="58" t="s">
        <v>432</v>
      </c>
      <c r="Q604" s="58" t="s">
        <v>432</v>
      </c>
      <c r="R604" s="58" t="s">
        <v>432</v>
      </c>
      <c r="S604" s="109" t="s">
        <v>2209</v>
      </c>
      <c r="T604" s="58" t="s">
        <v>432</v>
      </c>
      <c r="U604" s="58" t="s">
        <v>432</v>
      </c>
      <c r="V604" s="109" t="s">
        <v>2209</v>
      </c>
      <c r="W604" s="58" t="s">
        <v>432</v>
      </c>
      <c r="X604" s="58" t="s">
        <v>432</v>
      </c>
      <c r="Y604" s="58" t="s">
        <v>432</v>
      </c>
      <c r="Z604" s="58" t="s">
        <v>432</v>
      </c>
      <c r="AA604" s="58" t="s">
        <v>432</v>
      </c>
      <c r="AB604" s="58" t="s">
        <v>432</v>
      </c>
      <c r="AC604" s="58" t="s">
        <v>432</v>
      </c>
      <c r="AD604" s="58" t="s">
        <v>432</v>
      </c>
      <c r="AE604" s="58" t="s">
        <v>432</v>
      </c>
      <c r="AF604" s="44">
        <f t="shared" si="110"/>
        <v>39.554070283536106</v>
      </c>
      <c r="AG604" s="58" t="s">
        <v>432</v>
      </c>
      <c r="AH604" s="58" t="s">
        <v>432</v>
      </c>
      <c r="AI604" s="58" t="s">
        <v>432</v>
      </c>
      <c r="AJ604" s="58" t="s">
        <v>432</v>
      </c>
      <c r="AK604" s="137" t="s">
        <v>432</v>
      </c>
      <c r="AL604" s="600" t="s">
        <v>432</v>
      </c>
      <c r="AM604" s="137" t="s">
        <v>432</v>
      </c>
      <c r="AN604" s="137" t="s">
        <v>432</v>
      </c>
      <c r="AO604" s="137" t="s">
        <v>432</v>
      </c>
      <c r="AP604" s="137" t="s">
        <v>432</v>
      </c>
      <c r="AQ604" s="137" t="s">
        <v>432</v>
      </c>
      <c r="AR604" s="137" t="s">
        <v>432</v>
      </c>
      <c r="AS604" s="137" t="s">
        <v>432</v>
      </c>
      <c r="AT604" s="137" t="s">
        <v>432</v>
      </c>
      <c r="AU604" s="137" t="s">
        <v>432</v>
      </c>
      <c r="AV604" s="137" t="s">
        <v>432</v>
      </c>
      <c r="AW604" s="137" t="s">
        <v>432</v>
      </c>
      <c r="AX604" s="137" t="s">
        <v>432</v>
      </c>
      <c r="AY604" s="137" t="s">
        <v>432</v>
      </c>
      <c r="AZ604" s="137" t="s">
        <v>432</v>
      </c>
      <c r="BA604" s="137" t="s">
        <v>432</v>
      </c>
      <c r="BB604" s="239" t="str">
        <f t="shared" si="105"/>
        <v>Populaçãox</v>
      </c>
      <c r="BC604" s="239" t="str">
        <f t="shared" si="106"/>
        <v>Populaçãoxbenchmarking</v>
      </c>
      <c r="BD604" s="239" t="str">
        <f t="shared" si="107"/>
        <v>Populaçãobenchmarking</v>
      </c>
    </row>
    <row r="605" spans="1:56" s="1" customFormat="1" ht="31.5" customHeight="1" x14ac:dyDescent="0.25">
      <c r="A605" s="275" t="str">
        <f>'Q100b-totais'!$B$19</f>
        <v>2.4</v>
      </c>
      <c r="B605" s="54" t="str">
        <f>'Q100b-totais'!$C$19</f>
        <v>População</v>
      </c>
      <c r="C605" s="167" t="s">
        <v>432</v>
      </c>
      <c r="D605" s="940" t="s">
        <v>2988</v>
      </c>
      <c r="E605" s="1505" t="s">
        <v>1759</v>
      </c>
      <c r="F605" s="14" t="s">
        <v>504</v>
      </c>
      <c r="G605" s="412" t="s">
        <v>498</v>
      </c>
      <c r="H605" s="173" t="s">
        <v>819</v>
      </c>
      <c r="I605" s="167" t="s">
        <v>432</v>
      </c>
      <c r="J605" s="58" t="s">
        <v>432</v>
      </c>
      <c r="K605" s="58" t="s">
        <v>432</v>
      </c>
      <c r="L605" s="58" t="s">
        <v>432</v>
      </c>
      <c r="M605" s="58" t="s">
        <v>432</v>
      </c>
      <c r="N605" s="58" t="s">
        <v>432</v>
      </c>
      <c r="O605" s="58" t="s">
        <v>432</v>
      </c>
      <c r="P605" s="58" t="s">
        <v>432</v>
      </c>
      <c r="Q605" s="58" t="s">
        <v>432</v>
      </c>
      <c r="R605" s="58" t="s">
        <v>432</v>
      </c>
      <c r="S605" s="109" t="s">
        <v>2209</v>
      </c>
      <c r="T605" s="58" t="s">
        <v>432</v>
      </c>
      <c r="U605" s="58" t="s">
        <v>432</v>
      </c>
      <c r="V605" s="109" t="s">
        <v>2209</v>
      </c>
      <c r="W605" s="58" t="s">
        <v>432</v>
      </c>
      <c r="X605" s="58" t="s">
        <v>432</v>
      </c>
      <c r="Y605" s="58" t="s">
        <v>432</v>
      </c>
      <c r="Z605" s="58" t="s">
        <v>432</v>
      </c>
      <c r="AA605" s="58" t="s">
        <v>432</v>
      </c>
      <c r="AB605" s="58" t="s">
        <v>432</v>
      </c>
      <c r="AC605" s="58" t="s">
        <v>432</v>
      </c>
      <c r="AD605" s="58" t="s">
        <v>432</v>
      </c>
      <c r="AE605" s="58" t="s">
        <v>432</v>
      </c>
      <c r="AF605" s="44">
        <f t="shared" si="110"/>
        <v>22.786559557743804</v>
      </c>
      <c r="AG605" s="58" t="s">
        <v>432</v>
      </c>
      <c r="AH605" s="58" t="s">
        <v>432</v>
      </c>
      <c r="AI605" s="58" t="s">
        <v>432</v>
      </c>
      <c r="AJ605" s="58" t="s">
        <v>432</v>
      </c>
      <c r="AK605" s="137" t="s">
        <v>432</v>
      </c>
      <c r="AL605" s="600" t="s">
        <v>432</v>
      </c>
      <c r="AM605" s="137" t="s">
        <v>432</v>
      </c>
      <c r="AN605" s="137" t="s">
        <v>432</v>
      </c>
      <c r="AO605" s="137" t="s">
        <v>432</v>
      </c>
      <c r="AP605" s="137" t="s">
        <v>432</v>
      </c>
      <c r="AQ605" s="137" t="s">
        <v>432</v>
      </c>
      <c r="AR605" s="137" t="s">
        <v>432</v>
      </c>
      <c r="AS605" s="137" t="s">
        <v>432</v>
      </c>
      <c r="AT605" s="137" t="s">
        <v>432</v>
      </c>
      <c r="AU605" s="137" t="s">
        <v>432</v>
      </c>
      <c r="AV605" s="137" t="s">
        <v>432</v>
      </c>
      <c r="AW605" s="137" t="s">
        <v>432</v>
      </c>
      <c r="AX605" s="137" t="s">
        <v>432</v>
      </c>
      <c r="AY605" s="137" t="s">
        <v>432</v>
      </c>
      <c r="AZ605" s="137" t="s">
        <v>432</v>
      </c>
      <c r="BA605" s="137" t="s">
        <v>432</v>
      </c>
      <c r="BB605" s="239" t="str">
        <f t="shared" si="105"/>
        <v>Populaçãox</v>
      </c>
      <c r="BC605" s="239" t="str">
        <f t="shared" si="106"/>
        <v>Populaçãoxbenchmarking</v>
      </c>
      <c r="BD605" s="239" t="str">
        <f t="shared" si="107"/>
        <v>Populaçãobenchmarking</v>
      </c>
    </row>
    <row r="606" spans="1:56" s="1" customFormat="1" ht="31.5" customHeight="1" x14ac:dyDescent="0.25">
      <c r="A606" s="275" t="str">
        <f>'Q100b-totais'!$B$19</f>
        <v>2.4</v>
      </c>
      <c r="B606" s="54" t="str">
        <f>'Q100b-totais'!$C$19</f>
        <v>População</v>
      </c>
      <c r="C606" s="167" t="s">
        <v>432</v>
      </c>
      <c r="D606" s="940" t="s">
        <v>2988</v>
      </c>
      <c r="E606" s="1505" t="s">
        <v>1298</v>
      </c>
      <c r="F606" s="14" t="s">
        <v>506</v>
      </c>
      <c r="G606" s="412" t="s">
        <v>498</v>
      </c>
      <c r="H606" s="173" t="s">
        <v>432</v>
      </c>
      <c r="I606" s="167">
        <v>1</v>
      </c>
      <c r="J606" s="58" t="s">
        <v>432</v>
      </c>
      <c r="K606" s="58" t="s">
        <v>432</v>
      </c>
      <c r="L606" s="58" t="s">
        <v>432</v>
      </c>
      <c r="M606" s="58" t="s">
        <v>432</v>
      </c>
      <c r="N606" s="58" t="s">
        <v>432</v>
      </c>
      <c r="O606" s="58" t="s">
        <v>432</v>
      </c>
      <c r="P606" s="58" t="s">
        <v>432</v>
      </c>
      <c r="Q606" s="58" t="s">
        <v>432</v>
      </c>
      <c r="R606" s="58" t="s">
        <v>432</v>
      </c>
      <c r="S606" s="109" t="s">
        <v>2209</v>
      </c>
      <c r="T606" s="58" t="s">
        <v>432</v>
      </c>
      <c r="U606" s="58" t="s">
        <v>432</v>
      </c>
      <c r="V606" s="109" t="s">
        <v>2209</v>
      </c>
      <c r="W606" s="58" t="s">
        <v>432</v>
      </c>
      <c r="X606" s="58" t="s">
        <v>432</v>
      </c>
      <c r="Y606" s="58" t="s">
        <v>432</v>
      </c>
      <c r="Z606" s="58" t="s">
        <v>432</v>
      </c>
      <c r="AA606" s="58" t="s">
        <v>432</v>
      </c>
      <c r="AB606" s="58" t="s">
        <v>432</v>
      </c>
      <c r="AC606" s="58" t="s">
        <v>432</v>
      </c>
      <c r="AD606" s="58" t="s">
        <v>432</v>
      </c>
      <c r="AE606" s="58" t="s">
        <v>432</v>
      </c>
      <c r="AF606" s="44">
        <f t="shared" si="110"/>
        <v>515.59608562621383</v>
      </c>
      <c r="AG606" s="58" t="s">
        <v>432</v>
      </c>
      <c r="AH606" s="58" t="s">
        <v>432</v>
      </c>
      <c r="AI606" s="58" t="s">
        <v>432</v>
      </c>
      <c r="AJ606" s="58" t="s">
        <v>432</v>
      </c>
      <c r="AK606" s="137" t="s">
        <v>432</v>
      </c>
      <c r="AL606" s="600" t="s">
        <v>432</v>
      </c>
      <c r="AM606" s="137" t="s">
        <v>432</v>
      </c>
      <c r="AN606" s="137" t="s">
        <v>432</v>
      </c>
      <c r="AO606" s="137" t="s">
        <v>432</v>
      </c>
      <c r="AP606" s="137" t="s">
        <v>432</v>
      </c>
      <c r="AQ606" s="137" t="s">
        <v>432</v>
      </c>
      <c r="AR606" s="137" t="s">
        <v>432</v>
      </c>
      <c r="AS606" s="137" t="s">
        <v>432</v>
      </c>
      <c r="AT606" s="137" t="s">
        <v>432</v>
      </c>
      <c r="AU606" s="137" t="s">
        <v>432</v>
      </c>
      <c r="AV606" s="137" t="s">
        <v>432</v>
      </c>
      <c r="AW606" s="137" t="s">
        <v>432</v>
      </c>
      <c r="AX606" s="137" t="s">
        <v>432</v>
      </c>
      <c r="AY606" s="137" t="s">
        <v>432</v>
      </c>
      <c r="AZ606" s="137" t="s">
        <v>432</v>
      </c>
      <c r="BA606" s="137" t="s">
        <v>432</v>
      </c>
      <c r="BB606" s="239" t="str">
        <f t="shared" si="105"/>
        <v>Populaçãox</v>
      </c>
      <c r="BC606" s="239" t="str">
        <f t="shared" si="106"/>
        <v>Populaçãoxx</v>
      </c>
      <c r="BD606" s="239" t="str">
        <f t="shared" si="107"/>
        <v>Populaçãox</v>
      </c>
    </row>
    <row r="607" spans="1:56" s="1" customFormat="1" ht="31.5" customHeight="1" x14ac:dyDescent="0.25">
      <c r="A607" s="275" t="str">
        <f>'Q100b-totais'!$B$19</f>
        <v>2.4</v>
      </c>
      <c r="B607" s="54" t="str">
        <f>'Q100b-totais'!$C$19</f>
        <v>População</v>
      </c>
      <c r="C607" s="167" t="s">
        <v>432</v>
      </c>
      <c r="D607" s="940" t="s">
        <v>2988</v>
      </c>
      <c r="E607" s="1505" t="s">
        <v>1760</v>
      </c>
      <c r="F607" s="14" t="s">
        <v>504</v>
      </c>
      <c r="G607" s="412" t="s">
        <v>498</v>
      </c>
      <c r="H607" s="173" t="s">
        <v>819</v>
      </c>
      <c r="I607" s="167" t="s">
        <v>432</v>
      </c>
      <c r="J607" s="58" t="s">
        <v>432</v>
      </c>
      <c r="K607" s="58" t="s">
        <v>432</v>
      </c>
      <c r="L607" s="58" t="s">
        <v>432</v>
      </c>
      <c r="M607" s="58" t="s">
        <v>432</v>
      </c>
      <c r="N607" s="58" t="s">
        <v>432</v>
      </c>
      <c r="O607" s="58" t="s">
        <v>432</v>
      </c>
      <c r="P607" s="58" t="s">
        <v>432</v>
      </c>
      <c r="Q607" s="58" t="s">
        <v>432</v>
      </c>
      <c r="R607" s="58" t="s">
        <v>432</v>
      </c>
      <c r="S607" s="109" t="s">
        <v>2209</v>
      </c>
      <c r="T607" s="58" t="s">
        <v>432</v>
      </c>
      <c r="U607" s="58" t="s">
        <v>432</v>
      </c>
      <c r="V607" s="109" t="s">
        <v>2209</v>
      </c>
      <c r="W607" s="58" t="s">
        <v>432</v>
      </c>
      <c r="X607" s="58" t="s">
        <v>432</v>
      </c>
      <c r="Y607" s="58" t="s">
        <v>432</v>
      </c>
      <c r="Z607" s="58" t="s">
        <v>432</v>
      </c>
      <c r="AA607" s="58" t="s">
        <v>432</v>
      </c>
      <c r="AB607" s="58" t="s">
        <v>432</v>
      </c>
      <c r="AC607" s="58" t="s">
        <v>432</v>
      </c>
      <c r="AD607" s="58" t="s">
        <v>432</v>
      </c>
      <c r="AE607" s="58" t="s">
        <v>432</v>
      </c>
      <c r="AF607" s="44">
        <f t="shared" ref="AF607:AF613" si="111">AF1883/AF205</f>
        <v>417.86989572198706</v>
      </c>
      <c r="AG607" s="58" t="s">
        <v>432</v>
      </c>
      <c r="AH607" s="58" t="s">
        <v>432</v>
      </c>
      <c r="AI607" s="58" t="s">
        <v>432</v>
      </c>
      <c r="AJ607" s="58" t="s">
        <v>432</v>
      </c>
      <c r="AK607" s="137" t="s">
        <v>432</v>
      </c>
      <c r="AL607" s="600" t="s">
        <v>432</v>
      </c>
      <c r="AM607" s="137" t="s">
        <v>432</v>
      </c>
      <c r="AN607" s="137" t="s">
        <v>432</v>
      </c>
      <c r="AO607" s="137" t="s">
        <v>432</v>
      </c>
      <c r="AP607" s="137" t="s">
        <v>432</v>
      </c>
      <c r="AQ607" s="137" t="s">
        <v>432</v>
      </c>
      <c r="AR607" s="137" t="s">
        <v>432</v>
      </c>
      <c r="AS607" s="137" t="s">
        <v>432</v>
      </c>
      <c r="AT607" s="137" t="s">
        <v>432</v>
      </c>
      <c r="AU607" s="137" t="s">
        <v>432</v>
      </c>
      <c r="AV607" s="137" t="s">
        <v>432</v>
      </c>
      <c r="AW607" s="137" t="s">
        <v>432</v>
      </c>
      <c r="AX607" s="137" t="s">
        <v>432</v>
      </c>
      <c r="AY607" s="137" t="s">
        <v>432</v>
      </c>
      <c r="AZ607" s="137" t="s">
        <v>432</v>
      </c>
      <c r="BA607" s="137" t="s">
        <v>432</v>
      </c>
      <c r="BB607" s="239" t="str">
        <f t="shared" si="105"/>
        <v>Populaçãox</v>
      </c>
      <c r="BC607" s="239" t="str">
        <f t="shared" si="106"/>
        <v>Populaçãoxbenchmarking</v>
      </c>
      <c r="BD607" s="239" t="str">
        <f t="shared" si="107"/>
        <v>Populaçãobenchmarking</v>
      </c>
    </row>
    <row r="608" spans="1:56" s="1" customFormat="1" ht="31.5" customHeight="1" x14ac:dyDescent="0.25">
      <c r="A608" s="275" t="str">
        <f>'Q100b-totais'!$B$19</f>
        <v>2.4</v>
      </c>
      <c r="B608" s="54" t="str">
        <f>'Q100b-totais'!$C$19</f>
        <v>População</v>
      </c>
      <c r="C608" s="167" t="s">
        <v>432</v>
      </c>
      <c r="D608" s="940" t="s">
        <v>2988</v>
      </c>
      <c r="E608" s="1505" t="s">
        <v>1761</v>
      </c>
      <c r="F608" s="14" t="s">
        <v>504</v>
      </c>
      <c r="G608" s="412" t="s">
        <v>498</v>
      </c>
      <c r="H608" s="173" t="s">
        <v>819</v>
      </c>
      <c r="I608" s="167" t="s">
        <v>432</v>
      </c>
      <c r="J608" s="58" t="s">
        <v>432</v>
      </c>
      <c r="K608" s="58" t="s">
        <v>432</v>
      </c>
      <c r="L608" s="58" t="s">
        <v>432</v>
      </c>
      <c r="M608" s="58" t="s">
        <v>432</v>
      </c>
      <c r="N608" s="58" t="s">
        <v>432</v>
      </c>
      <c r="O608" s="58" t="s">
        <v>432</v>
      </c>
      <c r="P608" s="58" t="s">
        <v>432</v>
      </c>
      <c r="Q608" s="58" t="s">
        <v>432</v>
      </c>
      <c r="R608" s="58" t="s">
        <v>432</v>
      </c>
      <c r="S608" s="109" t="s">
        <v>2209</v>
      </c>
      <c r="T608" s="58" t="s">
        <v>432</v>
      </c>
      <c r="U608" s="58" t="s">
        <v>432</v>
      </c>
      <c r="V608" s="109" t="s">
        <v>2209</v>
      </c>
      <c r="W608" s="58" t="s">
        <v>432</v>
      </c>
      <c r="X608" s="58" t="s">
        <v>432</v>
      </c>
      <c r="Y608" s="58" t="s">
        <v>432</v>
      </c>
      <c r="Z608" s="58" t="s">
        <v>432</v>
      </c>
      <c r="AA608" s="58" t="s">
        <v>432</v>
      </c>
      <c r="AB608" s="58" t="s">
        <v>432</v>
      </c>
      <c r="AC608" s="58" t="s">
        <v>432</v>
      </c>
      <c r="AD608" s="58" t="s">
        <v>432</v>
      </c>
      <c r="AE608" s="58" t="s">
        <v>432</v>
      </c>
      <c r="AF608" s="44">
        <f t="shared" si="111"/>
        <v>862.3829819782685</v>
      </c>
      <c r="AG608" s="58" t="s">
        <v>432</v>
      </c>
      <c r="AH608" s="58" t="s">
        <v>432</v>
      </c>
      <c r="AI608" s="58" t="s">
        <v>432</v>
      </c>
      <c r="AJ608" s="58" t="s">
        <v>432</v>
      </c>
      <c r="AK608" s="137" t="s">
        <v>432</v>
      </c>
      <c r="AL608" s="600" t="s">
        <v>432</v>
      </c>
      <c r="AM608" s="137" t="s">
        <v>432</v>
      </c>
      <c r="AN608" s="137" t="s">
        <v>432</v>
      </c>
      <c r="AO608" s="137" t="s">
        <v>432</v>
      </c>
      <c r="AP608" s="137" t="s">
        <v>432</v>
      </c>
      <c r="AQ608" s="137" t="s">
        <v>432</v>
      </c>
      <c r="AR608" s="137" t="s">
        <v>432</v>
      </c>
      <c r="AS608" s="137" t="s">
        <v>432</v>
      </c>
      <c r="AT608" s="137" t="s">
        <v>432</v>
      </c>
      <c r="AU608" s="137" t="s">
        <v>432</v>
      </c>
      <c r="AV608" s="137" t="s">
        <v>432</v>
      </c>
      <c r="AW608" s="137" t="s">
        <v>432</v>
      </c>
      <c r="AX608" s="137" t="s">
        <v>432</v>
      </c>
      <c r="AY608" s="137" t="s">
        <v>432</v>
      </c>
      <c r="AZ608" s="137" t="s">
        <v>432</v>
      </c>
      <c r="BA608" s="137" t="s">
        <v>432</v>
      </c>
      <c r="BB608" s="239" t="str">
        <f t="shared" si="105"/>
        <v>Populaçãox</v>
      </c>
      <c r="BC608" s="239" t="str">
        <f t="shared" si="106"/>
        <v>Populaçãoxbenchmarking</v>
      </c>
      <c r="BD608" s="239" t="str">
        <f t="shared" si="107"/>
        <v>Populaçãobenchmarking</v>
      </c>
    </row>
    <row r="609" spans="1:56" s="1" customFormat="1" ht="31.5" customHeight="1" x14ac:dyDescent="0.25">
      <c r="A609" s="275" t="str">
        <f>'Q100b-totais'!$B$19</f>
        <v>2.4</v>
      </c>
      <c r="B609" s="54" t="str">
        <f>'Q100b-totais'!$C$19</f>
        <v>População</v>
      </c>
      <c r="C609" s="167" t="s">
        <v>432</v>
      </c>
      <c r="D609" s="940" t="s">
        <v>2988</v>
      </c>
      <c r="E609" s="1505" t="s">
        <v>1762</v>
      </c>
      <c r="F609" s="14" t="s">
        <v>504</v>
      </c>
      <c r="G609" s="412" t="s">
        <v>498</v>
      </c>
      <c r="H609" s="173" t="s">
        <v>819</v>
      </c>
      <c r="I609" s="167" t="s">
        <v>432</v>
      </c>
      <c r="J609" s="58" t="s">
        <v>432</v>
      </c>
      <c r="K609" s="58" t="s">
        <v>432</v>
      </c>
      <c r="L609" s="58" t="s">
        <v>432</v>
      </c>
      <c r="M609" s="58" t="s">
        <v>432</v>
      </c>
      <c r="N609" s="58" t="s">
        <v>432</v>
      </c>
      <c r="O609" s="58" t="s">
        <v>432</v>
      </c>
      <c r="P609" s="58" t="s">
        <v>432</v>
      </c>
      <c r="Q609" s="58" t="s">
        <v>432</v>
      </c>
      <c r="R609" s="58" t="s">
        <v>432</v>
      </c>
      <c r="S609" s="109" t="s">
        <v>2209</v>
      </c>
      <c r="T609" s="58" t="s">
        <v>432</v>
      </c>
      <c r="U609" s="58" t="s">
        <v>432</v>
      </c>
      <c r="V609" s="109" t="s">
        <v>2209</v>
      </c>
      <c r="W609" s="58" t="s">
        <v>432</v>
      </c>
      <c r="X609" s="58" t="s">
        <v>432</v>
      </c>
      <c r="Y609" s="58" t="s">
        <v>432</v>
      </c>
      <c r="Z609" s="58" t="s">
        <v>432</v>
      </c>
      <c r="AA609" s="58" t="s">
        <v>432</v>
      </c>
      <c r="AB609" s="58" t="s">
        <v>432</v>
      </c>
      <c r="AC609" s="58" t="s">
        <v>432</v>
      </c>
      <c r="AD609" s="58" t="s">
        <v>432</v>
      </c>
      <c r="AE609" s="58" t="s">
        <v>432</v>
      </c>
      <c r="AF609" s="44">
        <f t="shared" si="111"/>
        <v>356.87633634724762</v>
      </c>
      <c r="AG609" s="58" t="s">
        <v>432</v>
      </c>
      <c r="AH609" s="58" t="s">
        <v>432</v>
      </c>
      <c r="AI609" s="58" t="s">
        <v>432</v>
      </c>
      <c r="AJ609" s="58" t="s">
        <v>432</v>
      </c>
      <c r="AK609" s="137" t="s">
        <v>432</v>
      </c>
      <c r="AL609" s="600" t="s">
        <v>432</v>
      </c>
      <c r="AM609" s="137" t="s">
        <v>432</v>
      </c>
      <c r="AN609" s="137" t="s">
        <v>432</v>
      </c>
      <c r="AO609" s="137" t="s">
        <v>432</v>
      </c>
      <c r="AP609" s="137" t="s">
        <v>432</v>
      </c>
      <c r="AQ609" s="137" t="s">
        <v>432</v>
      </c>
      <c r="AR609" s="137" t="s">
        <v>432</v>
      </c>
      <c r="AS609" s="137" t="s">
        <v>432</v>
      </c>
      <c r="AT609" s="137" t="s">
        <v>432</v>
      </c>
      <c r="AU609" s="137" t="s">
        <v>432</v>
      </c>
      <c r="AV609" s="137" t="s">
        <v>432</v>
      </c>
      <c r="AW609" s="137" t="s">
        <v>432</v>
      </c>
      <c r="AX609" s="137" t="s">
        <v>432</v>
      </c>
      <c r="AY609" s="137" t="s">
        <v>432</v>
      </c>
      <c r="AZ609" s="137" t="s">
        <v>432</v>
      </c>
      <c r="BA609" s="137" t="s">
        <v>432</v>
      </c>
      <c r="BB609" s="239" t="str">
        <f t="shared" si="105"/>
        <v>Populaçãox</v>
      </c>
      <c r="BC609" s="239" t="str">
        <f t="shared" si="106"/>
        <v>Populaçãoxbenchmarking</v>
      </c>
      <c r="BD609" s="239" t="str">
        <f t="shared" si="107"/>
        <v>Populaçãobenchmarking</v>
      </c>
    </row>
    <row r="610" spans="1:56" s="1" customFormat="1" ht="31.5" customHeight="1" x14ac:dyDescent="0.25">
      <c r="A610" s="275" t="str">
        <f>'Q100b-totais'!$B$19</f>
        <v>2.4</v>
      </c>
      <c r="B610" s="54" t="str">
        <f>'Q100b-totais'!$C$19</f>
        <v>População</v>
      </c>
      <c r="C610" s="167" t="s">
        <v>432</v>
      </c>
      <c r="D610" s="940" t="s">
        <v>2988</v>
      </c>
      <c r="E610" s="1505" t="s">
        <v>1763</v>
      </c>
      <c r="F610" s="14" t="s">
        <v>504</v>
      </c>
      <c r="G610" s="412" t="s">
        <v>498</v>
      </c>
      <c r="H610" s="173" t="s">
        <v>819</v>
      </c>
      <c r="I610" s="167" t="s">
        <v>432</v>
      </c>
      <c r="J610" s="58" t="s">
        <v>432</v>
      </c>
      <c r="K610" s="58" t="s">
        <v>432</v>
      </c>
      <c r="L610" s="58" t="s">
        <v>432</v>
      </c>
      <c r="M610" s="58" t="s">
        <v>432</v>
      </c>
      <c r="N610" s="58" t="s">
        <v>432</v>
      </c>
      <c r="O610" s="58" t="s">
        <v>432</v>
      </c>
      <c r="P610" s="58" t="s">
        <v>432</v>
      </c>
      <c r="Q610" s="58" t="s">
        <v>432</v>
      </c>
      <c r="R610" s="58" t="s">
        <v>432</v>
      </c>
      <c r="S610" s="109" t="s">
        <v>2209</v>
      </c>
      <c r="T610" s="58" t="s">
        <v>432</v>
      </c>
      <c r="U610" s="58" t="s">
        <v>432</v>
      </c>
      <c r="V610" s="109" t="s">
        <v>2209</v>
      </c>
      <c r="W610" s="58" t="s">
        <v>432</v>
      </c>
      <c r="X610" s="58" t="s">
        <v>432</v>
      </c>
      <c r="Y610" s="58" t="s">
        <v>432</v>
      </c>
      <c r="Z610" s="58" t="s">
        <v>432</v>
      </c>
      <c r="AA610" s="58" t="s">
        <v>432</v>
      </c>
      <c r="AB610" s="58" t="s">
        <v>432</v>
      </c>
      <c r="AC610" s="58" t="s">
        <v>432</v>
      </c>
      <c r="AD610" s="58" t="s">
        <v>432</v>
      </c>
      <c r="AE610" s="58" t="s">
        <v>432</v>
      </c>
      <c r="AF610" s="44">
        <f t="shared" si="111"/>
        <v>413.09019591479063</v>
      </c>
      <c r="AG610" s="58" t="s">
        <v>432</v>
      </c>
      <c r="AH610" s="58" t="s">
        <v>432</v>
      </c>
      <c r="AI610" s="58" t="s">
        <v>432</v>
      </c>
      <c r="AJ610" s="58" t="s">
        <v>432</v>
      </c>
      <c r="AK610" s="137" t="s">
        <v>432</v>
      </c>
      <c r="AL610" s="600" t="s">
        <v>432</v>
      </c>
      <c r="AM610" s="137" t="s">
        <v>432</v>
      </c>
      <c r="AN610" s="137" t="s">
        <v>432</v>
      </c>
      <c r="AO610" s="137" t="s">
        <v>432</v>
      </c>
      <c r="AP610" s="137" t="s">
        <v>432</v>
      </c>
      <c r="AQ610" s="137" t="s">
        <v>432</v>
      </c>
      <c r="AR610" s="137" t="s">
        <v>432</v>
      </c>
      <c r="AS610" s="137" t="s">
        <v>432</v>
      </c>
      <c r="AT610" s="137" t="s">
        <v>432</v>
      </c>
      <c r="AU610" s="137" t="s">
        <v>432</v>
      </c>
      <c r="AV610" s="137" t="s">
        <v>432</v>
      </c>
      <c r="AW610" s="137" t="s">
        <v>432</v>
      </c>
      <c r="AX610" s="137" t="s">
        <v>432</v>
      </c>
      <c r="AY610" s="137" t="s">
        <v>432</v>
      </c>
      <c r="AZ610" s="137" t="s">
        <v>432</v>
      </c>
      <c r="BA610" s="137" t="s">
        <v>432</v>
      </c>
      <c r="BB610" s="239" t="str">
        <f t="shared" si="105"/>
        <v>Populaçãox</v>
      </c>
      <c r="BC610" s="239" t="str">
        <f t="shared" si="106"/>
        <v>Populaçãoxbenchmarking</v>
      </c>
      <c r="BD610" s="239" t="str">
        <f t="shared" si="107"/>
        <v>Populaçãobenchmarking</v>
      </c>
    </row>
    <row r="611" spans="1:56" s="1" customFormat="1" ht="31.5" customHeight="1" x14ac:dyDescent="0.25">
      <c r="A611" s="275" t="str">
        <f>'Q100b-totais'!$B$19</f>
        <v>2.4</v>
      </c>
      <c r="B611" s="54" t="str">
        <f>'Q100b-totais'!$C$19</f>
        <v>População</v>
      </c>
      <c r="C611" s="167" t="s">
        <v>432</v>
      </c>
      <c r="D611" s="940" t="s">
        <v>2988</v>
      </c>
      <c r="E611" s="1505" t="s">
        <v>1764</v>
      </c>
      <c r="F611" s="14" t="s">
        <v>504</v>
      </c>
      <c r="G611" s="412" t="s">
        <v>498</v>
      </c>
      <c r="H611" s="173" t="s">
        <v>819</v>
      </c>
      <c r="I611" s="167" t="s">
        <v>432</v>
      </c>
      <c r="J611" s="58" t="s">
        <v>432</v>
      </c>
      <c r="K611" s="58" t="s">
        <v>432</v>
      </c>
      <c r="L611" s="58" t="s">
        <v>432</v>
      </c>
      <c r="M611" s="58" t="s">
        <v>432</v>
      </c>
      <c r="N611" s="58" t="s">
        <v>432</v>
      </c>
      <c r="O611" s="58" t="s">
        <v>432</v>
      </c>
      <c r="P611" s="58" t="s">
        <v>432</v>
      </c>
      <c r="Q611" s="58" t="s">
        <v>432</v>
      </c>
      <c r="R611" s="58" t="s">
        <v>432</v>
      </c>
      <c r="S611" s="109" t="s">
        <v>2209</v>
      </c>
      <c r="T611" s="58" t="s">
        <v>432</v>
      </c>
      <c r="U611" s="58" t="s">
        <v>432</v>
      </c>
      <c r="V611" s="109" t="s">
        <v>2209</v>
      </c>
      <c r="W611" s="58" t="s">
        <v>432</v>
      </c>
      <c r="X611" s="58" t="s">
        <v>432</v>
      </c>
      <c r="Y611" s="58" t="s">
        <v>432</v>
      </c>
      <c r="Z611" s="58" t="s">
        <v>432</v>
      </c>
      <c r="AA611" s="58" t="s">
        <v>432</v>
      </c>
      <c r="AB611" s="58" t="s">
        <v>432</v>
      </c>
      <c r="AC611" s="58" t="s">
        <v>432</v>
      </c>
      <c r="AD611" s="58" t="s">
        <v>432</v>
      </c>
      <c r="AE611" s="58" t="s">
        <v>432</v>
      </c>
      <c r="AF611" s="44">
        <f t="shared" si="111"/>
        <v>415.4569156983294</v>
      </c>
      <c r="AG611" s="58" t="s">
        <v>432</v>
      </c>
      <c r="AH611" s="58" t="s">
        <v>432</v>
      </c>
      <c r="AI611" s="58" t="s">
        <v>432</v>
      </c>
      <c r="AJ611" s="58" t="s">
        <v>432</v>
      </c>
      <c r="AK611" s="137" t="s">
        <v>432</v>
      </c>
      <c r="AL611" s="600" t="s">
        <v>432</v>
      </c>
      <c r="AM611" s="137" t="s">
        <v>432</v>
      </c>
      <c r="AN611" s="137" t="s">
        <v>432</v>
      </c>
      <c r="AO611" s="137" t="s">
        <v>432</v>
      </c>
      <c r="AP611" s="137" t="s">
        <v>432</v>
      </c>
      <c r="AQ611" s="137" t="s">
        <v>432</v>
      </c>
      <c r="AR611" s="137" t="s">
        <v>432</v>
      </c>
      <c r="AS611" s="137" t="s">
        <v>432</v>
      </c>
      <c r="AT611" s="137" t="s">
        <v>432</v>
      </c>
      <c r="AU611" s="137" t="s">
        <v>432</v>
      </c>
      <c r="AV611" s="137" t="s">
        <v>432</v>
      </c>
      <c r="AW611" s="137" t="s">
        <v>432</v>
      </c>
      <c r="AX611" s="137" t="s">
        <v>432</v>
      </c>
      <c r="AY611" s="137" t="s">
        <v>432</v>
      </c>
      <c r="AZ611" s="137" t="s">
        <v>432</v>
      </c>
      <c r="BA611" s="137" t="s">
        <v>432</v>
      </c>
      <c r="BB611" s="239" t="str">
        <f t="shared" si="105"/>
        <v>Populaçãox</v>
      </c>
      <c r="BC611" s="239" t="str">
        <f t="shared" si="106"/>
        <v>Populaçãoxbenchmarking</v>
      </c>
      <c r="BD611" s="239" t="str">
        <f t="shared" si="107"/>
        <v>Populaçãobenchmarking</v>
      </c>
    </row>
    <row r="612" spans="1:56" s="1" customFormat="1" ht="31.5" customHeight="1" x14ac:dyDescent="0.25">
      <c r="A612" s="275" t="str">
        <f>'Q100b-totais'!$B$19</f>
        <v>2.4</v>
      </c>
      <c r="B612" s="54" t="str">
        <f>'Q100b-totais'!$C$19</f>
        <v>População</v>
      </c>
      <c r="C612" s="167" t="s">
        <v>432</v>
      </c>
      <c r="D612" s="940" t="s">
        <v>2988</v>
      </c>
      <c r="E612" s="1505" t="s">
        <v>1765</v>
      </c>
      <c r="F612" s="14" t="s">
        <v>504</v>
      </c>
      <c r="G612" s="412" t="s">
        <v>498</v>
      </c>
      <c r="H612" s="173" t="s">
        <v>819</v>
      </c>
      <c r="I612" s="167" t="s">
        <v>432</v>
      </c>
      <c r="J612" s="58" t="s">
        <v>432</v>
      </c>
      <c r="K612" s="58" t="s">
        <v>432</v>
      </c>
      <c r="L612" s="58" t="s">
        <v>432</v>
      </c>
      <c r="M612" s="58" t="s">
        <v>432</v>
      </c>
      <c r="N612" s="58" t="s">
        <v>432</v>
      </c>
      <c r="O612" s="58" t="s">
        <v>432</v>
      </c>
      <c r="P612" s="58" t="s">
        <v>432</v>
      </c>
      <c r="Q612" s="58" t="s">
        <v>432</v>
      </c>
      <c r="R612" s="58" t="s">
        <v>432</v>
      </c>
      <c r="S612" s="109" t="s">
        <v>2209</v>
      </c>
      <c r="T612" s="58" t="s">
        <v>432</v>
      </c>
      <c r="U612" s="58" t="s">
        <v>432</v>
      </c>
      <c r="V612" s="109" t="s">
        <v>2209</v>
      </c>
      <c r="W612" s="58" t="s">
        <v>432</v>
      </c>
      <c r="X612" s="58" t="s">
        <v>432</v>
      </c>
      <c r="Y612" s="58" t="s">
        <v>432</v>
      </c>
      <c r="Z612" s="58" t="s">
        <v>432</v>
      </c>
      <c r="AA612" s="58" t="s">
        <v>432</v>
      </c>
      <c r="AB612" s="58" t="s">
        <v>432</v>
      </c>
      <c r="AC612" s="58" t="s">
        <v>432</v>
      </c>
      <c r="AD612" s="58" t="s">
        <v>432</v>
      </c>
      <c r="AE612" s="58" t="s">
        <v>432</v>
      </c>
      <c r="AF612" s="44">
        <f t="shared" si="111"/>
        <v>11.523508686672336</v>
      </c>
      <c r="AG612" s="58" t="s">
        <v>432</v>
      </c>
      <c r="AH612" s="58" t="s">
        <v>432</v>
      </c>
      <c r="AI612" s="58" t="s">
        <v>432</v>
      </c>
      <c r="AJ612" s="58" t="s">
        <v>432</v>
      </c>
      <c r="AK612" s="137" t="s">
        <v>432</v>
      </c>
      <c r="AL612" s="600" t="s">
        <v>432</v>
      </c>
      <c r="AM612" s="137" t="s">
        <v>432</v>
      </c>
      <c r="AN612" s="137" t="s">
        <v>432</v>
      </c>
      <c r="AO612" s="137" t="s">
        <v>432</v>
      </c>
      <c r="AP612" s="137" t="s">
        <v>432</v>
      </c>
      <c r="AQ612" s="137" t="s">
        <v>432</v>
      </c>
      <c r="AR612" s="137" t="s">
        <v>432</v>
      </c>
      <c r="AS612" s="137" t="s">
        <v>432</v>
      </c>
      <c r="AT612" s="137" t="s">
        <v>432</v>
      </c>
      <c r="AU612" s="137" t="s">
        <v>432</v>
      </c>
      <c r="AV612" s="137" t="s">
        <v>432</v>
      </c>
      <c r="AW612" s="137" t="s">
        <v>432</v>
      </c>
      <c r="AX612" s="137" t="s">
        <v>432</v>
      </c>
      <c r="AY612" s="137" t="s">
        <v>432</v>
      </c>
      <c r="AZ612" s="137" t="s">
        <v>432</v>
      </c>
      <c r="BA612" s="137" t="s">
        <v>432</v>
      </c>
      <c r="BB612" s="239" t="str">
        <f t="shared" si="105"/>
        <v>Populaçãox</v>
      </c>
      <c r="BC612" s="239" t="str">
        <f t="shared" si="106"/>
        <v>Populaçãoxbenchmarking</v>
      </c>
      <c r="BD612" s="239" t="str">
        <f t="shared" si="107"/>
        <v>Populaçãobenchmarking</v>
      </c>
    </row>
    <row r="613" spans="1:56" s="1" customFormat="1" ht="31.5" customHeight="1" x14ac:dyDescent="0.25">
      <c r="A613" s="275" t="str">
        <f>'Q100b-totais'!$B$19</f>
        <v>2.4</v>
      </c>
      <c r="B613" s="54" t="str">
        <f>'Q100b-totais'!$C$19</f>
        <v>População</v>
      </c>
      <c r="C613" s="167" t="s">
        <v>432</v>
      </c>
      <c r="D613" s="940" t="s">
        <v>2988</v>
      </c>
      <c r="E613" s="1505" t="s">
        <v>1766</v>
      </c>
      <c r="F613" s="14" t="s">
        <v>504</v>
      </c>
      <c r="G613" s="412" t="s">
        <v>498</v>
      </c>
      <c r="H613" s="173" t="s">
        <v>819</v>
      </c>
      <c r="I613" s="167" t="s">
        <v>432</v>
      </c>
      <c r="J613" s="58" t="s">
        <v>432</v>
      </c>
      <c r="K613" s="58" t="s">
        <v>432</v>
      </c>
      <c r="L613" s="58" t="s">
        <v>432</v>
      </c>
      <c r="M613" s="58" t="s">
        <v>432</v>
      </c>
      <c r="N613" s="58" t="s">
        <v>432</v>
      </c>
      <c r="O613" s="58" t="s">
        <v>432</v>
      </c>
      <c r="P613" s="58" t="s">
        <v>432</v>
      </c>
      <c r="Q613" s="58" t="s">
        <v>432</v>
      </c>
      <c r="R613" s="58" t="s">
        <v>432</v>
      </c>
      <c r="S613" s="109" t="s">
        <v>2209</v>
      </c>
      <c r="T613" s="58" t="s">
        <v>432</v>
      </c>
      <c r="U613" s="58" t="s">
        <v>432</v>
      </c>
      <c r="V613" s="109" t="s">
        <v>2209</v>
      </c>
      <c r="W613" s="58" t="s">
        <v>432</v>
      </c>
      <c r="X613" s="58" t="s">
        <v>432</v>
      </c>
      <c r="Y613" s="58" t="s">
        <v>432</v>
      </c>
      <c r="Z613" s="58" t="s">
        <v>432</v>
      </c>
      <c r="AA613" s="58" t="s">
        <v>432</v>
      </c>
      <c r="AB613" s="58" t="s">
        <v>432</v>
      </c>
      <c r="AC613" s="58" t="s">
        <v>432</v>
      </c>
      <c r="AD613" s="58" t="s">
        <v>432</v>
      </c>
      <c r="AE613" s="58" t="s">
        <v>432</v>
      </c>
      <c r="AF613" s="44">
        <f t="shared" si="111"/>
        <v>1468.4883394211856</v>
      </c>
      <c r="AG613" s="58" t="s">
        <v>432</v>
      </c>
      <c r="AH613" s="58" t="s">
        <v>432</v>
      </c>
      <c r="AI613" s="58" t="s">
        <v>432</v>
      </c>
      <c r="AJ613" s="58" t="s">
        <v>432</v>
      </c>
      <c r="AK613" s="137" t="s">
        <v>432</v>
      </c>
      <c r="AL613" s="600" t="s">
        <v>432</v>
      </c>
      <c r="AM613" s="137" t="s">
        <v>432</v>
      </c>
      <c r="AN613" s="137" t="s">
        <v>432</v>
      </c>
      <c r="AO613" s="137" t="s">
        <v>432</v>
      </c>
      <c r="AP613" s="137" t="s">
        <v>432</v>
      </c>
      <c r="AQ613" s="137" t="s">
        <v>432</v>
      </c>
      <c r="AR613" s="137" t="s">
        <v>432</v>
      </c>
      <c r="AS613" s="137" t="s">
        <v>432</v>
      </c>
      <c r="AT613" s="137" t="s">
        <v>432</v>
      </c>
      <c r="AU613" s="137" t="s">
        <v>432</v>
      </c>
      <c r="AV613" s="137" t="s">
        <v>432</v>
      </c>
      <c r="AW613" s="137" t="s">
        <v>432</v>
      </c>
      <c r="AX613" s="137" t="s">
        <v>432</v>
      </c>
      <c r="AY613" s="137" t="s">
        <v>432</v>
      </c>
      <c r="AZ613" s="137" t="s">
        <v>432</v>
      </c>
      <c r="BA613" s="137" t="s">
        <v>432</v>
      </c>
      <c r="BB613" s="239" t="str">
        <f t="shared" si="105"/>
        <v>Populaçãox</v>
      </c>
      <c r="BC613" s="239" t="str">
        <f t="shared" si="106"/>
        <v>Populaçãoxbenchmarking</v>
      </c>
      <c r="BD613" s="239" t="str">
        <f t="shared" si="107"/>
        <v>Populaçãobenchmarking</v>
      </c>
    </row>
    <row r="614" spans="1:56" s="3" customFormat="1" x14ac:dyDescent="0.25">
      <c r="A614" s="402"/>
      <c r="B614" s="399"/>
      <c r="C614" s="399"/>
      <c r="D614" s="1410"/>
      <c r="E614" s="1493"/>
      <c r="F614" s="487"/>
      <c r="G614" s="487"/>
      <c r="H614" s="487"/>
      <c r="I614" s="487"/>
      <c r="J614" s="487"/>
      <c r="K614" s="487"/>
      <c r="L614" s="487"/>
      <c r="M614" s="487"/>
      <c r="N614" s="487"/>
      <c r="O614" s="487"/>
      <c r="P614" s="487"/>
      <c r="Q614" s="487"/>
      <c r="R614" s="487"/>
      <c r="S614" s="487"/>
      <c r="T614" s="487"/>
      <c r="U614" s="487"/>
      <c r="V614" s="487"/>
      <c r="W614" s="487"/>
      <c r="X614" s="487"/>
      <c r="Y614" s="221"/>
      <c r="Z614" s="221"/>
      <c r="AA614" s="221"/>
      <c r="AB614" s="221"/>
      <c r="AC614" s="221"/>
      <c r="AD614" s="221"/>
      <c r="AE614" s="221"/>
      <c r="AF614" s="221"/>
      <c r="AG614" s="221"/>
      <c r="AH614" s="221"/>
      <c r="AI614" s="221"/>
      <c r="AJ614" s="221"/>
      <c r="AK614" s="223"/>
      <c r="AL614" s="600" t="s">
        <v>432</v>
      </c>
      <c r="AM614" s="223"/>
      <c r="AN614" s="223"/>
      <c r="AO614" s="223"/>
      <c r="AP614" s="223"/>
      <c r="AQ614" s="223"/>
      <c r="AR614" s="223"/>
      <c r="AS614" s="223"/>
      <c r="AT614" s="223"/>
      <c r="AU614" s="223"/>
      <c r="AV614" s="223"/>
      <c r="AW614" s="137" t="s">
        <v>432</v>
      </c>
      <c r="AX614" s="223"/>
      <c r="AY614" s="223"/>
      <c r="AZ614" s="223"/>
      <c r="BA614" s="223"/>
      <c r="BB614" s="400"/>
      <c r="BC614" s="400"/>
      <c r="BD614" s="400"/>
    </row>
    <row r="615" spans="1:56" s="3" customFormat="1" ht="81.75" customHeight="1" x14ac:dyDescent="0.25">
      <c r="A615" s="276" t="s">
        <v>432</v>
      </c>
      <c r="B615" s="252" t="s">
        <v>742</v>
      </c>
      <c r="C615" s="167" t="s">
        <v>743</v>
      </c>
      <c r="D615" s="325" t="s">
        <v>5260</v>
      </c>
      <c r="E615" s="1445" t="s">
        <v>432</v>
      </c>
      <c r="F615" s="1205" t="s">
        <v>5277</v>
      </c>
      <c r="G615" s="230" t="s">
        <v>3507</v>
      </c>
      <c r="H615" s="167" t="s">
        <v>2408</v>
      </c>
      <c r="I615" s="887" t="s">
        <v>432</v>
      </c>
      <c r="J615" s="109" t="s">
        <v>432</v>
      </c>
      <c r="K615" s="109" t="s">
        <v>432</v>
      </c>
      <c r="L615" s="109" t="s">
        <v>432</v>
      </c>
      <c r="M615" s="109" t="s">
        <v>432</v>
      </c>
      <c r="N615" s="109" t="s">
        <v>432</v>
      </c>
      <c r="O615" s="109" t="s">
        <v>432</v>
      </c>
      <c r="P615" s="109" t="s">
        <v>432</v>
      </c>
      <c r="Q615" s="109" t="s">
        <v>432</v>
      </c>
      <c r="R615" s="109" t="s">
        <v>432</v>
      </c>
      <c r="S615" s="109" t="s">
        <v>2209</v>
      </c>
      <c r="T615" s="109" t="s">
        <v>432</v>
      </c>
      <c r="U615" s="109" t="s">
        <v>432</v>
      </c>
      <c r="V615" s="109" t="s">
        <v>2209</v>
      </c>
      <c r="W615" s="109" t="s">
        <v>432</v>
      </c>
      <c r="X615" s="109" t="s">
        <v>432</v>
      </c>
      <c r="Y615" s="109" t="s">
        <v>432</v>
      </c>
      <c r="Z615" s="109" t="s">
        <v>432</v>
      </c>
      <c r="AA615" s="109" t="s">
        <v>432</v>
      </c>
      <c r="AB615" s="109" t="s">
        <v>432</v>
      </c>
      <c r="AC615" s="109" t="s">
        <v>432</v>
      </c>
      <c r="AD615" s="109" t="s">
        <v>432</v>
      </c>
      <c r="AE615" s="109" t="s">
        <v>432</v>
      </c>
      <c r="AF615" s="109" t="s">
        <v>432</v>
      </c>
      <c r="AG615" s="109" t="s">
        <v>432</v>
      </c>
      <c r="AH615" s="109" t="s">
        <v>432</v>
      </c>
      <c r="AI615" s="109" t="s">
        <v>432</v>
      </c>
      <c r="AJ615" s="109" t="s">
        <v>432</v>
      </c>
      <c r="AK615" s="877" t="s">
        <v>432</v>
      </c>
      <c r="AL615" s="600" t="s">
        <v>432</v>
      </c>
      <c r="AM615" s="877" t="s">
        <v>432</v>
      </c>
      <c r="AN615" s="877" t="s">
        <v>432</v>
      </c>
      <c r="AO615" s="877" t="s">
        <v>432</v>
      </c>
      <c r="AP615" s="877" t="s">
        <v>432</v>
      </c>
      <c r="AQ615" s="877" t="s">
        <v>432</v>
      </c>
      <c r="AR615" s="877" t="s">
        <v>432</v>
      </c>
      <c r="AS615" s="877" t="s">
        <v>432</v>
      </c>
      <c r="AT615" s="877" t="s">
        <v>432</v>
      </c>
      <c r="AU615" s="877" t="s">
        <v>432</v>
      </c>
      <c r="AV615" s="877" t="s">
        <v>432</v>
      </c>
      <c r="AW615" s="137" t="s">
        <v>432</v>
      </c>
      <c r="AX615" s="877" t="s">
        <v>432</v>
      </c>
      <c r="AY615" s="877" t="s">
        <v>432</v>
      </c>
      <c r="AZ615" s="877" t="s">
        <v>432</v>
      </c>
      <c r="BA615" s="877" t="s">
        <v>432</v>
      </c>
      <c r="BB615" s="879" t="str">
        <f t="shared" ref="BB615:BB636" si="112">B615&amp;C615</f>
        <v>geralacessibilidade</v>
      </c>
      <c r="BC615" s="879" t="str">
        <f t="shared" ref="BC615:BC636" si="113">B615&amp;C615&amp;H615</f>
        <v>geralacessibilidadesigla/verbete</v>
      </c>
      <c r="BD615" s="879" t="str">
        <f t="shared" ref="BD615:BD636" si="114">B615&amp;H615</f>
        <v>geralsigla/verbete</v>
      </c>
    </row>
    <row r="616" spans="1:56" s="1" customFormat="1" ht="409.6" customHeight="1" x14ac:dyDescent="0.25">
      <c r="A616" s="276" t="s">
        <v>432</v>
      </c>
      <c r="B616" s="252" t="s">
        <v>742</v>
      </c>
      <c r="C616" s="167" t="s">
        <v>743</v>
      </c>
      <c r="D616" s="847" t="s">
        <v>2022</v>
      </c>
      <c r="E616" s="1445" t="s">
        <v>432</v>
      </c>
      <c r="F616" s="1445" t="s">
        <v>5879</v>
      </c>
      <c r="G616" s="230" t="s">
        <v>3507</v>
      </c>
      <c r="H616" s="167" t="s">
        <v>2408</v>
      </c>
      <c r="I616" s="887" t="s">
        <v>432</v>
      </c>
      <c r="J616" s="109" t="s">
        <v>432</v>
      </c>
      <c r="K616" s="109" t="s">
        <v>432</v>
      </c>
      <c r="L616" s="109" t="s">
        <v>432</v>
      </c>
      <c r="M616" s="109" t="s">
        <v>432</v>
      </c>
      <c r="N616" s="109" t="s">
        <v>432</v>
      </c>
      <c r="O616" s="109" t="s">
        <v>432</v>
      </c>
      <c r="P616" s="109" t="s">
        <v>432</v>
      </c>
      <c r="Q616" s="109" t="s">
        <v>432</v>
      </c>
      <c r="R616" s="109" t="s">
        <v>432</v>
      </c>
      <c r="S616" s="109" t="s">
        <v>2209</v>
      </c>
      <c r="T616" s="109" t="s">
        <v>432</v>
      </c>
      <c r="U616" s="109" t="s">
        <v>432</v>
      </c>
      <c r="V616" s="109" t="s">
        <v>2209</v>
      </c>
      <c r="W616" s="109" t="s">
        <v>432</v>
      </c>
      <c r="X616" s="109" t="s">
        <v>432</v>
      </c>
      <c r="Y616" s="109" t="s">
        <v>432</v>
      </c>
      <c r="Z616" s="109" t="s">
        <v>432</v>
      </c>
      <c r="AA616" s="109" t="s">
        <v>432</v>
      </c>
      <c r="AB616" s="109" t="s">
        <v>432</v>
      </c>
      <c r="AC616" s="109" t="s">
        <v>432</v>
      </c>
      <c r="AD616" s="109" t="s">
        <v>432</v>
      </c>
      <c r="AE616" s="109" t="s">
        <v>432</v>
      </c>
      <c r="AF616" s="109" t="s">
        <v>432</v>
      </c>
      <c r="AG616" s="109" t="s">
        <v>432</v>
      </c>
      <c r="AH616" s="109" t="s">
        <v>432</v>
      </c>
      <c r="AI616" s="109" t="s">
        <v>432</v>
      </c>
      <c r="AJ616" s="109" t="s">
        <v>432</v>
      </c>
      <c r="AK616" s="877" t="s">
        <v>432</v>
      </c>
      <c r="AL616" s="600" t="s">
        <v>432</v>
      </c>
      <c r="AM616" s="877" t="s">
        <v>432</v>
      </c>
      <c r="AN616" s="877" t="s">
        <v>432</v>
      </c>
      <c r="AO616" s="877" t="s">
        <v>432</v>
      </c>
      <c r="AP616" s="877" t="s">
        <v>432</v>
      </c>
      <c r="AQ616" s="877" t="s">
        <v>432</v>
      </c>
      <c r="AR616" s="877" t="s">
        <v>432</v>
      </c>
      <c r="AS616" s="877" t="s">
        <v>432</v>
      </c>
      <c r="AT616" s="877" t="s">
        <v>432</v>
      </c>
      <c r="AU616" s="877" t="s">
        <v>432</v>
      </c>
      <c r="AV616" s="877" t="s">
        <v>432</v>
      </c>
      <c r="AW616" s="137" t="s">
        <v>432</v>
      </c>
      <c r="AX616" s="877" t="s">
        <v>432</v>
      </c>
      <c r="AY616" s="877" t="s">
        <v>432</v>
      </c>
      <c r="AZ616" s="877" t="s">
        <v>432</v>
      </c>
      <c r="BA616" s="877" t="s">
        <v>432</v>
      </c>
      <c r="BB616" s="879" t="str">
        <f t="shared" si="112"/>
        <v>geralacessibilidade</v>
      </c>
      <c r="BC616" s="879" t="str">
        <f t="shared" si="113"/>
        <v>geralacessibilidadesigla/verbete</v>
      </c>
      <c r="BD616" s="879" t="str">
        <f t="shared" si="114"/>
        <v>geralsigla/verbete</v>
      </c>
    </row>
    <row r="617" spans="1:56" s="1" customFormat="1" ht="107.25" customHeight="1" x14ac:dyDescent="0.25">
      <c r="A617" s="276" t="s">
        <v>432</v>
      </c>
      <c r="B617" s="252" t="s">
        <v>742</v>
      </c>
      <c r="C617" s="167" t="s">
        <v>743</v>
      </c>
      <c r="D617" s="325" t="s">
        <v>4169</v>
      </c>
      <c r="E617" s="1445" t="s">
        <v>1767</v>
      </c>
      <c r="F617" s="252" t="s">
        <v>4632</v>
      </c>
      <c r="G617" s="230" t="s">
        <v>2044</v>
      </c>
      <c r="H617" s="167" t="s">
        <v>765</v>
      </c>
      <c r="I617" s="887" t="s">
        <v>432</v>
      </c>
      <c r="J617" s="109" t="s">
        <v>432</v>
      </c>
      <c r="K617" s="109" t="s">
        <v>432</v>
      </c>
      <c r="L617" s="109" t="s">
        <v>432</v>
      </c>
      <c r="M617" s="109" t="s">
        <v>432</v>
      </c>
      <c r="N617" s="109" t="s">
        <v>432</v>
      </c>
      <c r="O617" s="109" t="s">
        <v>432</v>
      </c>
      <c r="P617" s="109" t="s">
        <v>432</v>
      </c>
      <c r="Q617" s="109" t="s">
        <v>432</v>
      </c>
      <c r="R617" s="109" t="s">
        <v>432</v>
      </c>
      <c r="S617" s="109" t="s">
        <v>2209</v>
      </c>
      <c r="T617" s="109" t="s">
        <v>432</v>
      </c>
      <c r="U617" s="109" t="s">
        <v>432</v>
      </c>
      <c r="V617" s="109" t="s">
        <v>2209</v>
      </c>
      <c r="W617" s="109" t="s">
        <v>432</v>
      </c>
      <c r="X617" s="109" t="s">
        <v>432</v>
      </c>
      <c r="Y617" s="109" t="s">
        <v>432</v>
      </c>
      <c r="Z617" s="109" t="s">
        <v>432</v>
      </c>
      <c r="AA617" s="109" t="s">
        <v>432</v>
      </c>
      <c r="AB617" s="109" t="s">
        <v>432</v>
      </c>
      <c r="AC617" s="109" t="s">
        <v>432</v>
      </c>
      <c r="AD617" s="109" t="s">
        <v>432</v>
      </c>
      <c r="AE617" s="109" t="s">
        <v>432</v>
      </c>
      <c r="AF617" s="109" t="s">
        <v>432</v>
      </c>
      <c r="AG617" s="109" t="s">
        <v>432</v>
      </c>
      <c r="AH617" s="109" t="s">
        <v>432</v>
      </c>
      <c r="AI617" s="109" t="s">
        <v>432</v>
      </c>
      <c r="AJ617" s="109" t="s">
        <v>432</v>
      </c>
      <c r="AK617" s="877" t="s">
        <v>432</v>
      </c>
      <c r="AL617" s="600" t="s">
        <v>432</v>
      </c>
      <c r="AM617" s="877" t="s">
        <v>432</v>
      </c>
      <c r="AN617" s="877" t="s">
        <v>432</v>
      </c>
      <c r="AO617" s="877" t="s">
        <v>432</v>
      </c>
      <c r="AP617" s="877" t="s">
        <v>432</v>
      </c>
      <c r="AQ617" s="877" t="s">
        <v>432</v>
      </c>
      <c r="AR617" s="877" t="s">
        <v>432</v>
      </c>
      <c r="AS617" s="877" t="s">
        <v>432</v>
      </c>
      <c r="AT617" s="877" t="s">
        <v>432</v>
      </c>
      <c r="AU617" s="877" t="s">
        <v>432</v>
      </c>
      <c r="AV617" s="877" t="s">
        <v>432</v>
      </c>
      <c r="AW617" s="137" t="s">
        <v>432</v>
      </c>
      <c r="AX617" s="877" t="s">
        <v>432</v>
      </c>
      <c r="AY617" s="877" t="s">
        <v>432</v>
      </c>
      <c r="AZ617" s="877" t="s">
        <v>432</v>
      </c>
      <c r="BA617" s="877" t="s">
        <v>432</v>
      </c>
      <c r="BB617" s="879" t="str">
        <f t="shared" si="112"/>
        <v>geralacessibilidade</v>
      </c>
      <c r="BC617" s="879" t="str">
        <f t="shared" si="113"/>
        <v>geralacessibilidademeta/RPI</v>
      </c>
      <c r="BD617" s="879" t="str">
        <f t="shared" si="114"/>
        <v>geralmeta/RPI</v>
      </c>
    </row>
    <row r="618" spans="1:56" s="1" customFormat="1" ht="50.25" customHeight="1" x14ac:dyDescent="0.25">
      <c r="A618" s="276" t="s">
        <v>432</v>
      </c>
      <c r="B618" s="252" t="s">
        <v>742</v>
      </c>
      <c r="C618" s="167" t="s">
        <v>743</v>
      </c>
      <c r="D618" s="325" t="s">
        <v>4168</v>
      </c>
      <c r="E618" s="1445" t="s">
        <v>1767</v>
      </c>
      <c r="F618" s="252" t="s">
        <v>4633</v>
      </c>
      <c r="G618" s="230" t="s">
        <v>2044</v>
      </c>
      <c r="H618" s="167" t="s">
        <v>765</v>
      </c>
      <c r="I618" s="887" t="s">
        <v>432</v>
      </c>
      <c r="J618" s="109" t="s">
        <v>432</v>
      </c>
      <c r="K618" s="109" t="s">
        <v>432</v>
      </c>
      <c r="L618" s="109" t="s">
        <v>432</v>
      </c>
      <c r="M618" s="109" t="s">
        <v>432</v>
      </c>
      <c r="N618" s="109" t="s">
        <v>432</v>
      </c>
      <c r="O618" s="109" t="s">
        <v>432</v>
      </c>
      <c r="P618" s="109" t="s">
        <v>432</v>
      </c>
      <c r="Q618" s="109" t="s">
        <v>432</v>
      </c>
      <c r="R618" s="109" t="s">
        <v>432</v>
      </c>
      <c r="S618" s="109" t="s">
        <v>2209</v>
      </c>
      <c r="T618" s="109" t="s">
        <v>432</v>
      </c>
      <c r="U618" s="109" t="s">
        <v>432</v>
      </c>
      <c r="V618" s="109" t="s">
        <v>2209</v>
      </c>
      <c r="W618" s="109" t="s">
        <v>432</v>
      </c>
      <c r="X618" s="109" t="s">
        <v>432</v>
      </c>
      <c r="Y618" s="109" t="s">
        <v>432</v>
      </c>
      <c r="Z618" s="109" t="s">
        <v>432</v>
      </c>
      <c r="AA618" s="109" t="s">
        <v>432</v>
      </c>
      <c r="AB618" s="109" t="s">
        <v>432</v>
      </c>
      <c r="AC618" s="109" t="s">
        <v>432</v>
      </c>
      <c r="AD618" s="109" t="s">
        <v>432</v>
      </c>
      <c r="AE618" s="109" t="s">
        <v>432</v>
      </c>
      <c r="AF618" s="109" t="s">
        <v>432</v>
      </c>
      <c r="AG618" s="109" t="s">
        <v>432</v>
      </c>
      <c r="AH618" s="109" t="s">
        <v>432</v>
      </c>
      <c r="AI618" s="109" t="s">
        <v>432</v>
      </c>
      <c r="AJ618" s="109" t="s">
        <v>432</v>
      </c>
      <c r="AK618" s="877" t="s">
        <v>432</v>
      </c>
      <c r="AL618" s="600" t="s">
        <v>432</v>
      </c>
      <c r="AM618" s="877" t="s">
        <v>432</v>
      </c>
      <c r="AN618" s="877" t="s">
        <v>432</v>
      </c>
      <c r="AO618" s="877" t="s">
        <v>432</v>
      </c>
      <c r="AP618" s="877" t="s">
        <v>432</v>
      </c>
      <c r="AQ618" s="877" t="s">
        <v>432</v>
      </c>
      <c r="AR618" s="877" t="s">
        <v>432</v>
      </c>
      <c r="AS618" s="877" t="s">
        <v>432</v>
      </c>
      <c r="AT618" s="877" t="s">
        <v>432</v>
      </c>
      <c r="AU618" s="877" t="s">
        <v>432</v>
      </c>
      <c r="AV618" s="877" t="s">
        <v>432</v>
      </c>
      <c r="AW618" s="137" t="s">
        <v>432</v>
      </c>
      <c r="AX618" s="877" t="s">
        <v>432</v>
      </c>
      <c r="AY618" s="877" t="s">
        <v>432</v>
      </c>
      <c r="AZ618" s="877" t="s">
        <v>432</v>
      </c>
      <c r="BA618" s="877" t="s">
        <v>432</v>
      </c>
      <c r="BB618" s="879" t="str">
        <f t="shared" si="112"/>
        <v>geralacessibilidade</v>
      </c>
      <c r="BC618" s="879" t="str">
        <f t="shared" si="113"/>
        <v>geralacessibilidademeta/RPI</v>
      </c>
      <c r="BD618" s="879" t="str">
        <f t="shared" si="114"/>
        <v>geralmeta/RPI</v>
      </c>
    </row>
    <row r="619" spans="1:56" s="3" customFormat="1" ht="25.5" x14ac:dyDescent="0.25">
      <c r="A619" s="276" t="s">
        <v>432</v>
      </c>
      <c r="B619" s="252" t="s">
        <v>742</v>
      </c>
      <c r="C619" s="167" t="s">
        <v>743</v>
      </c>
      <c r="D619" s="886" t="s">
        <v>2626</v>
      </c>
      <c r="E619" s="1445" t="s">
        <v>432</v>
      </c>
      <c r="F619" s="655" t="s">
        <v>2614</v>
      </c>
      <c r="G619" s="230" t="s">
        <v>3507</v>
      </c>
      <c r="H619" s="167" t="s">
        <v>2408</v>
      </c>
      <c r="I619" s="887" t="s">
        <v>432</v>
      </c>
      <c r="J619" s="109" t="s">
        <v>432</v>
      </c>
      <c r="K619" s="109" t="s">
        <v>432</v>
      </c>
      <c r="L619" s="109" t="s">
        <v>432</v>
      </c>
      <c r="M619" s="109" t="s">
        <v>432</v>
      </c>
      <c r="N619" s="109" t="s">
        <v>432</v>
      </c>
      <c r="O619" s="109" t="s">
        <v>432</v>
      </c>
      <c r="P619" s="109" t="s">
        <v>432</v>
      </c>
      <c r="Q619" s="109" t="s">
        <v>432</v>
      </c>
      <c r="R619" s="109" t="s">
        <v>432</v>
      </c>
      <c r="S619" s="109" t="s">
        <v>2209</v>
      </c>
      <c r="T619" s="109" t="s">
        <v>432</v>
      </c>
      <c r="U619" s="109" t="s">
        <v>432</v>
      </c>
      <c r="V619" s="109" t="s">
        <v>2209</v>
      </c>
      <c r="W619" s="109" t="s">
        <v>432</v>
      </c>
      <c r="X619" s="109" t="s">
        <v>432</v>
      </c>
      <c r="Y619" s="109" t="s">
        <v>432</v>
      </c>
      <c r="Z619" s="109" t="s">
        <v>432</v>
      </c>
      <c r="AA619" s="109" t="s">
        <v>432</v>
      </c>
      <c r="AB619" s="109" t="s">
        <v>432</v>
      </c>
      <c r="AC619" s="109" t="s">
        <v>432</v>
      </c>
      <c r="AD619" s="109" t="s">
        <v>432</v>
      </c>
      <c r="AE619" s="109" t="s">
        <v>432</v>
      </c>
      <c r="AF619" s="109" t="s">
        <v>432</v>
      </c>
      <c r="AG619" s="109" t="s">
        <v>432</v>
      </c>
      <c r="AH619" s="109" t="s">
        <v>432</v>
      </c>
      <c r="AI619" s="109" t="s">
        <v>432</v>
      </c>
      <c r="AJ619" s="109" t="s">
        <v>432</v>
      </c>
      <c r="AK619" s="877" t="s">
        <v>432</v>
      </c>
      <c r="AL619" s="600" t="s">
        <v>432</v>
      </c>
      <c r="AM619" s="877" t="s">
        <v>432</v>
      </c>
      <c r="AN619" s="877" t="s">
        <v>432</v>
      </c>
      <c r="AO619" s="877" t="s">
        <v>432</v>
      </c>
      <c r="AP619" s="877" t="s">
        <v>432</v>
      </c>
      <c r="AQ619" s="877" t="s">
        <v>432</v>
      </c>
      <c r="AR619" s="877" t="s">
        <v>432</v>
      </c>
      <c r="AS619" s="877" t="s">
        <v>432</v>
      </c>
      <c r="AT619" s="877" t="s">
        <v>432</v>
      </c>
      <c r="AU619" s="877" t="s">
        <v>432</v>
      </c>
      <c r="AV619" s="877" t="s">
        <v>432</v>
      </c>
      <c r="AW619" s="137" t="s">
        <v>432</v>
      </c>
      <c r="AX619" s="877" t="s">
        <v>432</v>
      </c>
      <c r="AY619" s="877" t="s">
        <v>432</v>
      </c>
      <c r="AZ619" s="877" t="s">
        <v>432</v>
      </c>
      <c r="BA619" s="877" t="s">
        <v>432</v>
      </c>
      <c r="BB619" s="879" t="str">
        <f t="shared" si="112"/>
        <v>geralacessibilidade</v>
      </c>
      <c r="BC619" s="879" t="str">
        <f t="shared" si="113"/>
        <v>geralacessibilidadesigla/verbete</v>
      </c>
      <c r="BD619" s="879" t="str">
        <f t="shared" si="114"/>
        <v>geralsigla/verbete</v>
      </c>
    </row>
    <row r="620" spans="1:56" s="1" customFormat="1" ht="51" x14ac:dyDescent="0.25">
      <c r="A620" s="275" t="str">
        <f>'Q100b-totais'!$B$20</f>
        <v>2.5</v>
      </c>
      <c r="B620" s="54" t="str">
        <f>'Q100b-totais'!$C$20</f>
        <v>Distribuição modal em pesquisas origem/destino</v>
      </c>
      <c r="C620" s="167" t="s">
        <v>432</v>
      </c>
      <c r="D620" s="324" t="s">
        <v>148</v>
      </c>
      <c r="E620" s="254" t="s">
        <v>432</v>
      </c>
      <c r="F620" s="11" t="s">
        <v>512</v>
      </c>
      <c r="G620" s="230" t="s">
        <v>3507</v>
      </c>
      <c r="H620" s="167" t="s">
        <v>2408</v>
      </c>
      <c r="I620" s="172" t="s">
        <v>432</v>
      </c>
      <c r="J620" s="109" t="s">
        <v>432</v>
      </c>
      <c r="K620" s="109" t="s">
        <v>432</v>
      </c>
      <c r="L620" s="109" t="s">
        <v>432</v>
      </c>
      <c r="M620" s="109" t="s">
        <v>432</v>
      </c>
      <c r="N620" s="109" t="s">
        <v>432</v>
      </c>
      <c r="O620" s="109" t="s">
        <v>432</v>
      </c>
      <c r="P620" s="109" t="s">
        <v>432</v>
      </c>
      <c r="Q620" s="109" t="s">
        <v>432</v>
      </c>
      <c r="R620" s="109" t="s">
        <v>432</v>
      </c>
      <c r="S620" s="109" t="s">
        <v>2209</v>
      </c>
      <c r="T620" s="109" t="s">
        <v>432</v>
      </c>
      <c r="U620" s="109" t="s">
        <v>432</v>
      </c>
      <c r="V620" s="109" t="s">
        <v>2209</v>
      </c>
      <c r="W620" s="109" t="s">
        <v>432</v>
      </c>
      <c r="X620" s="109" t="s">
        <v>432</v>
      </c>
      <c r="Y620" s="109" t="s">
        <v>432</v>
      </c>
      <c r="Z620" s="109" t="s">
        <v>432</v>
      </c>
      <c r="AA620" s="109" t="s">
        <v>432</v>
      </c>
      <c r="AB620" s="109" t="s">
        <v>432</v>
      </c>
      <c r="AC620" s="109" t="s">
        <v>432</v>
      </c>
      <c r="AD620" s="109" t="s">
        <v>432</v>
      </c>
      <c r="AE620" s="109" t="s">
        <v>432</v>
      </c>
      <c r="AF620" s="109" t="s">
        <v>432</v>
      </c>
      <c r="AG620" s="109" t="s">
        <v>432</v>
      </c>
      <c r="AH620" s="109" t="s">
        <v>432</v>
      </c>
      <c r="AI620" s="109" t="s">
        <v>432</v>
      </c>
      <c r="AJ620" s="109" t="s">
        <v>432</v>
      </c>
      <c r="AK620" s="137" t="s">
        <v>432</v>
      </c>
      <c r="AL620" s="600" t="s">
        <v>432</v>
      </c>
      <c r="AM620" s="137" t="s">
        <v>432</v>
      </c>
      <c r="AN620" s="137" t="s">
        <v>432</v>
      </c>
      <c r="AO620" s="137" t="s">
        <v>432</v>
      </c>
      <c r="AP620" s="137" t="s">
        <v>432</v>
      </c>
      <c r="AQ620" s="137" t="s">
        <v>432</v>
      </c>
      <c r="AR620" s="137" t="s">
        <v>432</v>
      </c>
      <c r="AS620" s="137" t="s">
        <v>432</v>
      </c>
      <c r="AT620" s="137" t="s">
        <v>432</v>
      </c>
      <c r="AU620" s="137" t="s">
        <v>432</v>
      </c>
      <c r="AV620" s="137" t="s">
        <v>432</v>
      </c>
      <c r="AW620" s="137" t="s">
        <v>432</v>
      </c>
      <c r="AX620" s="137" t="s">
        <v>432</v>
      </c>
      <c r="AY620" s="137" t="s">
        <v>432</v>
      </c>
      <c r="AZ620" s="137" t="s">
        <v>432</v>
      </c>
      <c r="BA620" s="137" t="s">
        <v>432</v>
      </c>
      <c r="BB620" s="239" t="str">
        <f t="shared" si="112"/>
        <v>Distribuição modal em pesquisas origem/destinox</v>
      </c>
      <c r="BC620" s="239" t="str">
        <f t="shared" si="113"/>
        <v>Distribuição modal em pesquisas origem/destinoxsigla/verbete</v>
      </c>
      <c r="BD620" s="239" t="str">
        <f t="shared" si="114"/>
        <v>Distribuição modal em pesquisas origem/destinosigla/verbete</v>
      </c>
    </row>
    <row r="621" spans="1:56" s="1" customFormat="1" ht="25.5" x14ac:dyDescent="0.25">
      <c r="A621" s="262" t="s">
        <v>432</v>
      </c>
      <c r="B621" s="252" t="s">
        <v>742</v>
      </c>
      <c r="C621" s="167" t="s">
        <v>743</v>
      </c>
      <c r="D621" s="324" t="s">
        <v>3193</v>
      </c>
      <c r="E621" s="1364" t="s">
        <v>1767</v>
      </c>
      <c r="F621" s="11" t="s">
        <v>5076</v>
      </c>
      <c r="G621" s="230" t="s">
        <v>3507</v>
      </c>
      <c r="H621" s="167" t="s">
        <v>2408</v>
      </c>
      <c r="I621" s="172" t="s">
        <v>432</v>
      </c>
      <c r="J621" s="109" t="s">
        <v>432</v>
      </c>
      <c r="K621" s="109" t="s">
        <v>432</v>
      </c>
      <c r="L621" s="109" t="s">
        <v>432</v>
      </c>
      <c r="M621" s="109" t="s">
        <v>432</v>
      </c>
      <c r="N621" s="109" t="s">
        <v>432</v>
      </c>
      <c r="O621" s="109" t="s">
        <v>432</v>
      </c>
      <c r="P621" s="109" t="s">
        <v>432</v>
      </c>
      <c r="Q621" s="109" t="s">
        <v>432</v>
      </c>
      <c r="R621" s="109" t="s">
        <v>432</v>
      </c>
      <c r="S621" s="109" t="s">
        <v>2209</v>
      </c>
      <c r="T621" s="109" t="s">
        <v>432</v>
      </c>
      <c r="U621" s="109" t="s">
        <v>432</v>
      </c>
      <c r="V621" s="109" t="s">
        <v>2209</v>
      </c>
      <c r="W621" s="109" t="s">
        <v>432</v>
      </c>
      <c r="X621" s="109" t="s">
        <v>432</v>
      </c>
      <c r="Y621" s="109" t="s">
        <v>432</v>
      </c>
      <c r="Z621" s="109" t="s">
        <v>432</v>
      </c>
      <c r="AA621" s="109" t="s">
        <v>432</v>
      </c>
      <c r="AB621" s="109" t="s">
        <v>432</v>
      </c>
      <c r="AC621" s="109" t="s">
        <v>432</v>
      </c>
      <c r="AD621" s="109" t="s">
        <v>432</v>
      </c>
      <c r="AE621" s="109" t="s">
        <v>432</v>
      </c>
      <c r="AF621" s="109" t="s">
        <v>432</v>
      </c>
      <c r="AG621" s="109" t="s">
        <v>432</v>
      </c>
      <c r="AH621" s="109" t="s">
        <v>432</v>
      </c>
      <c r="AI621" s="109" t="s">
        <v>432</v>
      </c>
      <c r="AJ621" s="109" t="s">
        <v>432</v>
      </c>
      <c r="AK621" s="137" t="s">
        <v>432</v>
      </c>
      <c r="AL621" s="600" t="s">
        <v>432</v>
      </c>
      <c r="AM621" s="137" t="s">
        <v>432</v>
      </c>
      <c r="AN621" s="137" t="s">
        <v>432</v>
      </c>
      <c r="AO621" s="137" t="s">
        <v>432</v>
      </c>
      <c r="AP621" s="137" t="s">
        <v>432</v>
      </c>
      <c r="AQ621" s="137" t="s">
        <v>432</v>
      </c>
      <c r="AR621" s="137" t="s">
        <v>432</v>
      </c>
      <c r="AS621" s="137" t="s">
        <v>432</v>
      </c>
      <c r="AT621" s="137" t="s">
        <v>432</v>
      </c>
      <c r="AU621" s="137" t="s">
        <v>432</v>
      </c>
      <c r="AV621" s="137" t="s">
        <v>432</v>
      </c>
      <c r="AW621" s="137" t="s">
        <v>432</v>
      </c>
      <c r="AX621" s="137" t="s">
        <v>432</v>
      </c>
      <c r="AY621" s="137" t="s">
        <v>432</v>
      </c>
      <c r="AZ621" s="137" t="s">
        <v>432</v>
      </c>
      <c r="BA621" s="137" t="s">
        <v>432</v>
      </c>
      <c r="BB621" s="239" t="str">
        <f t="shared" si="112"/>
        <v>geralacessibilidade</v>
      </c>
      <c r="BC621" s="239" t="str">
        <f t="shared" si="113"/>
        <v>geralacessibilidadesigla/verbete</v>
      </c>
      <c r="BD621" s="239" t="str">
        <f t="shared" si="114"/>
        <v>geralsigla/verbete</v>
      </c>
    </row>
    <row r="622" spans="1:56" s="16" customFormat="1" ht="15.75" customHeight="1" x14ac:dyDescent="0.25">
      <c r="A622" s="262" t="s">
        <v>432</v>
      </c>
      <c r="B622" s="252" t="s">
        <v>742</v>
      </c>
      <c r="C622" s="167" t="s">
        <v>432</v>
      </c>
      <c r="D622" s="325" t="s">
        <v>149</v>
      </c>
      <c r="E622" s="1496" t="s">
        <v>432</v>
      </c>
      <c r="F622" s="165" t="s">
        <v>994</v>
      </c>
      <c r="G622" s="167" t="s">
        <v>3879</v>
      </c>
      <c r="H622" s="167" t="s">
        <v>432</v>
      </c>
      <c r="I622" s="167" t="s">
        <v>432</v>
      </c>
      <c r="J622" s="107" t="s">
        <v>432</v>
      </c>
      <c r="K622" s="107" t="s">
        <v>432</v>
      </c>
      <c r="L622" s="107" t="s">
        <v>432</v>
      </c>
      <c r="M622" s="107" t="s">
        <v>432</v>
      </c>
      <c r="N622" s="107" t="s">
        <v>432</v>
      </c>
      <c r="O622" s="107" t="s">
        <v>432</v>
      </c>
      <c r="P622" s="107" t="s">
        <v>432</v>
      </c>
      <c r="Q622" s="107" t="s">
        <v>432</v>
      </c>
      <c r="R622" s="107" t="s">
        <v>432</v>
      </c>
      <c r="S622" s="109" t="s">
        <v>2209</v>
      </c>
      <c r="T622" s="107" t="s">
        <v>432</v>
      </c>
      <c r="U622" s="107" t="s">
        <v>432</v>
      </c>
      <c r="V622" s="109" t="s">
        <v>2209</v>
      </c>
      <c r="W622" s="107" t="s">
        <v>432</v>
      </c>
      <c r="X622" s="107" t="s">
        <v>432</v>
      </c>
      <c r="Y622" s="107" t="s">
        <v>432</v>
      </c>
      <c r="Z622" s="107" t="s">
        <v>432</v>
      </c>
      <c r="AA622" s="107" t="s">
        <v>432</v>
      </c>
      <c r="AB622" s="107" t="s">
        <v>432</v>
      </c>
      <c r="AC622" s="107" t="s">
        <v>432</v>
      </c>
      <c r="AD622" s="107" t="s">
        <v>432</v>
      </c>
      <c r="AE622" s="107" t="s">
        <v>432</v>
      </c>
      <c r="AF622" s="107" t="s">
        <v>432</v>
      </c>
      <c r="AG622" s="107" t="s">
        <v>432</v>
      </c>
      <c r="AH622" s="107" t="s">
        <v>432</v>
      </c>
      <c r="AI622" s="107" t="s">
        <v>432</v>
      </c>
      <c r="AJ622" s="107" t="s">
        <v>432</v>
      </c>
      <c r="AK622" s="137" t="s">
        <v>432</v>
      </c>
      <c r="AL622" s="600" t="s">
        <v>432</v>
      </c>
      <c r="AM622" s="137" t="s">
        <v>432</v>
      </c>
      <c r="AN622" s="137" t="s">
        <v>432</v>
      </c>
      <c r="AO622" s="137" t="s">
        <v>432</v>
      </c>
      <c r="AP622" s="137" t="s">
        <v>432</v>
      </c>
      <c r="AQ622" s="137" t="s">
        <v>432</v>
      </c>
      <c r="AR622" s="137" t="s">
        <v>432</v>
      </c>
      <c r="AS622" s="137" t="s">
        <v>432</v>
      </c>
      <c r="AT622" s="137" t="s">
        <v>432</v>
      </c>
      <c r="AU622" s="137" t="s">
        <v>432</v>
      </c>
      <c r="AV622" s="137" t="s">
        <v>432</v>
      </c>
      <c r="AW622" s="137" t="s">
        <v>432</v>
      </c>
      <c r="AX622" s="137" t="s">
        <v>432</v>
      </c>
      <c r="AY622" s="137" t="s">
        <v>432</v>
      </c>
      <c r="AZ622" s="137" t="s">
        <v>432</v>
      </c>
      <c r="BA622" s="137" t="s">
        <v>432</v>
      </c>
      <c r="BB622" s="239" t="str">
        <f t="shared" si="112"/>
        <v>geralx</v>
      </c>
      <c r="BC622" s="239" t="str">
        <f t="shared" si="113"/>
        <v>geralxx</v>
      </c>
      <c r="BD622" s="239" t="str">
        <f t="shared" si="114"/>
        <v>geralx</v>
      </c>
    </row>
    <row r="623" spans="1:56" s="16" customFormat="1" ht="25.5" x14ac:dyDescent="0.25">
      <c r="A623" s="262" t="s">
        <v>432</v>
      </c>
      <c r="B623" s="252" t="s">
        <v>742</v>
      </c>
      <c r="C623" s="167" t="s">
        <v>432</v>
      </c>
      <c r="D623" s="325" t="s">
        <v>150</v>
      </c>
      <c r="E623" s="1496" t="s">
        <v>432</v>
      </c>
      <c r="F623" s="165" t="s">
        <v>151</v>
      </c>
      <c r="G623" s="167" t="s">
        <v>3879</v>
      </c>
      <c r="H623" s="167" t="s">
        <v>432</v>
      </c>
      <c r="I623" s="167" t="s">
        <v>432</v>
      </c>
      <c r="J623" s="107" t="s">
        <v>432</v>
      </c>
      <c r="K623" s="107" t="s">
        <v>432</v>
      </c>
      <c r="L623" s="107" t="s">
        <v>432</v>
      </c>
      <c r="M623" s="107" t="s">
        <v>432</v>
      </c>
      <c r="N623" s="107" t="s">
        <v>432</v>
      </c>
      <c r="O623" s="107" t="s">
        <v>432</v>
      </c>
      <c r="P623" s="107" t="s">
        <v>432</v>
      </c>
      <c r="Q623" s="107" t="s">
        <v>432</v>
      </c>
      <c r="R623" s="107" t="s">
        <v>432</v>
      </c>
      <c r="S623" s="109" t="s">
        <v>2209</v>
      </c>
      <c r="T623" s="107" t="s">
        <v>432</v>
      </c>
      <c r="U623" s="107" t="s">
        <v>432</v>
      </c>
      <c r="V623" s="109" t="s">
        <v>2209</v>
      </c>
      <c r="W623" s="107" t="s">
        <v>432</v>
      </c>
      <c r="X623" s="107" t="s">
        <v>432</v>
      </c>
      <c r="Y623" s="107" t="s">
        <v>432</v>
      </c>
      <c r="Z623" s="107" t="s">
        <v>432</v>
      </c>
      <c r="AA623" s="107" t="s">
        <v>432</v>
      </c>
      <c r="AB623" s="107" t="s">
        <v>432</v>
      </c>
      <c r="AC623" s="107" t="s">
        <v>432</v>
      </c>
      <c r="AD623" s="107" t="s">
        <v>432</v>
      </c>
      <c r="AE623" s="107" t="s">
        <v>432</v>
      </c>
      <c r="AF623" s="107" t="s">
        <v>432</v>
      </c>
      <c r="AG623" s="107" t="s">
        <v>432</v>
      </c>
      <c r="AH623" s="107" t="s">
        <v>432</v>
      </c>
      <c r="AI623" s="107" t="s">
        <v>432</v>
      </c>
      <c r="AJ623" s="107" t="s">
        <v>432</v>
      </c>
      <c r="AK623" s="137" t="s">
        <v>432</v>
      </c>
      <c r="AL623" s="600" t="s">
        <v>432</v>
      </c>
      <c r="AM623" s="137" t="s">
        <v>432</v>
      </c>
      <c r="AN623" s="137" t="s">
        <v>432</v>
      </c>
      <c r="AO623" s="137" t="s">
        <v>432</v>
      </c>
      <c r="AP623" s="137" t="s">
        <v>432</v>
      </c>
      <c r="AQ623" s="137" t="s">
        <v>432</v>
      </c>
      <c r="AR623" s="137" t="s">
        <v>432</v>
      </c>
      <c r="AS623" s="137" t="s">
        <v>432</v>
      </c>
      <c r="AT623" s="137" t="s">
        <v>432</v>
      </c>
      <c r="AU623" s="137" t="s">
        <v>432</v>
      </c>
      <c r="AV623" s="137" t="s">
        <v>432</v>
      </c>
      <c r="AW623" s="137" t="s">
        <v>432</v>
      </c>
      <c r="AX623" s="137" t="s">
        <v>432</v>
      </c>
      <c r="AY623" s="137" t="s">
        <v>432</v>
      </c>
      <c r="AZ623" s="137" t="s">
        <v>432</v>
      </c>
      <c r="BA623" s="137" t="s">
        <v>432</v>
      </c>
      <c r="BB623" s="239" t="str">
        <f t="shared" si="112"/>
        <v>geralx</v>
      </c>
      <c r="BC623" s="239" t="str">
        <f t="shared" si="113"/>
        <v>geralxx</v>
      </c>
      <c r="BD623" s="239" t="str">
        <f t="shared" si="114"/>
        <v>geralx</v>
      </c>
    </row>
    <row r="624" spans="1:56" s="16" customFormat="1" ht="180" customHeight="1" x14ac:dyDescent="0.25">
      <c r="A624" s="262" t="s">
        <v>432</v>
      </c>
      <c r="B624" s="252" t="s">
        <v>742</v>
      </c>
      <c r="C624" s="167" t="s">
        <v>743</v>
      </c>
      <c r="D624" s="325" t="s">
        <v>4670</v>
      </c>
      <c r="E624" s="1496" t="s">
        <v>1767</v>
      </c>
      <c r="F624" s="252" t="s">
        <v>4671</v>
      </c>
      <c r="G624" s="230" t="s">
        <v>3507</v>
      </c>
      <c r="H624" s="167" t="s">
        <v>2408</v>
      </c>
      <c r="I624" s="167" t="s">
        <v>432</v>
      </c>
      <c r="J624" s="107" t="s">
        <v>432</v>
      </c>
      <c r="K624" s="107" t="s">
        <v>432</v>
      </c>
      <c r="L624" s="107" t="s">
        <v>432</v>
      </c>
      <c r="M624" s="107" t="s">
        <v>432</v>
      </c>
      <c r="N624" s="107" t="s">
        <v>432</v>
      </c>
      <c r="O624" s="107" t="s">
        <v>432</v>
      </c>
      <c r="P624" s="107" t="s">
        <v>432</v>
      </c>
      <c r="Q624" s="107" t="s">
        <v>432</v>
      </c>
      <c r="R624" s="107" t="s">
        <v>432</v>
      </c>
      <c r="S624" s="109" t="s">
        <v>2209</v>
      </c>
      <c r="T624" s="107" t="s">
        <v>432</v>
      </c>
      <c r="U624" s="107" t="s">
        <v>432</v>
      </c>
      <c r="V624" s="109" t="s">
        <v>2209</v>
      </c>
      <c r="W624" s="107" t="s">
        <v>432</v>
      </c>
      <c r="X624" s="107" t="s">
        <v>432</v>
      </c>
      <c r="Y624" s="107" t="s">
        <v>432</v>
      </c>
      <c r="Z624" s="107" t="s">
        <v>432</v>
      </c>
      <c r="AA624" s="107" t="s">
        <v>432</v>
      </c>
      <c r="AB624" s="107" t="s">
        <v>432</v>
      </c>
      <c r="AC624" s="107" t="s">
        <v>432</v>
      </c>
      <c r="AD624" s="107" t="s">
        <v>432</v>
      </c>
      <c r="AE624" s="107" t="s">
        <v>432</v>
      </c>
      <c r="AF624" s="107" t="s">
        <v>432</v>
      </c>
      <c r="AG624" s="107" t="s">
        <v>432</v>
      </c>
      <c r="AH624" s="107" t="s">
        <v>432</v>
      </c>
      <c r="AI624" s="107" t="s">
        <v>432</v>
      </c>
      <c r="AJ624" s="107" t="s">
        <v>432</v>
      </c>
      <c r="AK624" s="137" t="s">
        <v>432</v>
      </c>
      <c r="AL624" s="600" t="s">
        <v>432</v>
      </c>
      <c r="AM624" s="137" t="s">
        <v>432</v>
      </c>
      <c r="AN624" s="137" t="s">
        <v>432</v>
      </c>
      <c r="AO624" s="137" t="s">
        <v>432</v>
      </c>
      <c r="AP624" s="137" t="s">
        <v>432</v>
      </c>
      <c r="AQ624" s="137" t="s">
        <v>432</v>
      </c>
      <c r="AR624" s="137" t="s">
        <v>432</v>
      </c>
      <c r="AS624" s="137" t="s">
        <v>432</v>
      </c>
      <c r="AT624" s="137" t="s">
        <v>432</v>
      </c>
      <c r="AU624" s="137" t="s">
        <v>432</v>
      </c>
      <c r="AV624" s="137" t="s">
        <v>432</v>
      </c>
      <c r="AW624" s="137" t="s">
        <v>432</v>
      </c>
      <c r="AX624" s="137" t="s">
        <v>432</v>
      </c>
      <c r="AY624" s="137" t="s">
        <v>432</v>
      </c>
      <c r="AZ624" s="137" t="s">
        <v>432</v>
      </c>
      <c r="BA624" s="137" t="s">
        <v>432</v>
      </c>
      <c r="BB624" s="239" t="str">
        <f t="shared" si="112"/>
        <v>geralacessibilidade</v>
      </c>
      <c r="BC624" s="239" t="str">
        <f t="shared" si="113"/>
        <v>geralacessibilidadesigla/verbete</v>
      </c>
      <c r="BD624" s="239" t="str">
        <f t="shared" si="114"/>
        <v>geralsigla/verbete</v>
      </c>
    </row>
    <row r="625" spans="1:67" s="16" customFormat="1" ht="117" customHeight="1" x14ac:dyDescent="0.25">
      <c r="A625" s="262" t="s">
        <v>432</v>
      </c>
      <c r="B625" s="252" t="s">
        <v>742</v>
      </c>
      <c r="C625" s="167" t="s">
        <v>743</v>
      </c>
      <c r="D625" s="325" t="s">
        <v>4667</v>
      </c>
      <c r="E625" s="1496" t="s">
        <v>1767</v>
      </c>
      <c r="F625" s="252" t="s">
        <v>4668</v>
      </c>
      <c r="G625" s="230" t="s">
        <v>3507</v>
      </c>
      <c r="H625" s="167" t="s">
        <v>2408</v>
      </c>
      <c r="I625" s="167" t="s">
        <v>432</v>
      </c>
      <c r="J625" s="107" t="s">
        <v>432</v>
      </c>
      <c r="K625" s="107" t="s">
        <v>432</v>
      </c>
      <c r="L625" s="107" t="s">
        <v>432</v>
      </c>
      <c r="M625" s="107" t="s">
        <v>432</v>
      </c>
      <c r="N625" s="107" t="s">
        <v>432</v>
      </c>
      <c r="O625" s="107" t="s">
        <v>432</v>
      </c>
      <c r="P625" s="107" t="s">
        <v>432</v>
      </c>
      <c r="Q625" s="107" t="s">
        <v>432</v>
      </c>
      <c r="R625" s="107" t="s">
        <v>432</v>
      </c>
      <c r="S625" s="109" t="s">
        <v>2209</v>
      </c>
      <c r="T625" s="107" t="s">
        <v>432</v>
      </c>
      <c r="U625" s="107" t="s">
        <v>432</v>
      </c>
      <c r="V625" s="109" t="s">
        <v>2209</v>
      </c>
      <c r="W625" s="107" t="s">
        <v>432</v>
      </c>
      <c r="X625" s="107" t="s">
        <v>432</v>
      </c>
      <c r="Y625" s="107" t="s">
        <v>432</v>
      </c>
      <c r="Z625" s="107" t="s">
        <v>432</v>
      </c>
      <c r="AA625" s="107" t="s">
        <v>432</v>
      </c>
      <c r="AB625" s="107" t="s">
        <v>432</v>
      </c>
      <c r="AC625" s="107" t="s">
        <v>432</v>
      </c>
      <c r="AD625" s="107" t="s">
        <v>432</v>
      </c>
      <c r="AE625" s="107" t="s">
        <v>432</v>
      </c>
      <c r="AF625" s="107" t="s">
        <v>432</v>
      </c>
      <c r="AG625" s="107" t="s">
        <v>432</v>
      </c>
      <c r="AH625" s="107" t="s">
        <v>432</v>
      </c>
      <c r="AI625" s="107" t="s">
        <v>432</v>
      </c>
      <c r="AJ625" s="107" t="s">
        <v>432</v>
      </c>
      <c r="AK625" s="137" t="s">
        <v>432</v>
      </c>
      <c r="AL625" s="600" t="s">
        <v>432</v>
      </c>
      <c r="AM625" s="137" t="s">
        <v>432</v>
      </c>
      <c r="AN625" s="137" t="s">
        <v>432</v>
      </c>
      <c r="AO625" s="137" t="s">
        <v>432</v>
      </c>
      <c r="AP625" s="137" t="s">
        <v>432</v>
      </c>
      <c r="AQ625" s="137" t="s">
        <v>432</v>
      </c>
      <c r="AR625" s="137" t="s">
        <v>432</v>
      </c>
      <c r="AS625" s="137" t="s">
        <v>432</v>
      </c>
      <c r="AT625" s="137" t="s">
        <v>432</v>
      </c>
      <c r="AU625" s="137" t="s">
        <v>432</v>
      </c>
      <c r="AV625" s="137" t="s">
        <v>432</v>
      </c>
      <c r="AW625" s="137" t="s">
        <v>432</v>
      </c>
      <c r="AX625" s="137" t="s">
        <v>432</v>
      </c>
      <c r="AY625" s="137" t="s">
        <v>432</v>
      </c>
      <c r="AZ625" s="137" t="s">
        <v>432</v>
      </c>
      <c r="BA625" s="137" t="s">
        <v>432</v>
      </c>
      <c r="BB625" s="239" t="str">
        <f t="shared" si="112"/>
        <v>geralacessibilidade</v>
      </c>
      <c r="BC625" s="239" t="str">
        <f t="shared" si="113"/>
        <v>geralacessibilidadesigla/verbete</v>
      </c>
      <c r="BD625" s="239" t="str">
        <f t="shared" si="114"/>
        <v>geralsigla/verbete</v>
      </c>
    </row>
    <row r="626" spans="1:67" s="1" customFormat="1" ht="47.25" x14ac:dyDescent="0.25">
      <c r="A626" s="262" t="s">
        <v>432</v>
      </c>
      <c r="B626" s="252" t="s">
        <v>742</v>
      </c>
      <c r="C626" s="167" t="s">
        <v>743</v>
      </c>
      <c r="D626" s="324" t="s">
        <v>3195</v>
      </c>
      <c r="E626" s="1364" t="s">
        <v>1767</v>
      </c>
      <c r="F626" s="11" t="s">
        <v>3194</v>
      </c>
      <c r="G626" s="230" t="s">
        <v>3507</v>
      </c>
      <c r="H626" s="167" t="s">
        <v>2408</v>
      </c>
      <c r="I626" s="167" t="s">
        <v>432</v>
      </c>
      <c r="J626" s="107" t="s">
        <v>432</v>
      </c>
      <c r="K626" s="107" t="s">
        <v>432</v>
      </c>
      <c r="L626" s="107" t="s">
        <v>432</v>
      </c>
      <c r="M626" s="107" t="s">
        <v>432</v>
      </c>
      <c r="N626" s="107" t="s">
        <v>432</v>
      </c>
      <c r="O626" s="107" t="s">
        <v>432</v>
      </c>
      <c r="P626" s="107" t="s">
        <v>432</v>
      </c>
      <c r="Q626" s="107" t="s">
        <v>432</v>
      </c>
      <c r="R626" s="107" t="s">
        <v>432</v>
      </c>
      <c r="S626" s="109" t="s">
        <v>2209</v>
      </c>
      <c r="T626" s="107" t="s">
        <v>432</v>
      </c>
      <c r="U626" s="107" t="s">
        <v>432</v>
      </c>
      <c r="V626" s="109" t="s">
        <v>2209</v>
      </c>
      <c r="W626" s="107" t="s">
        <v>432</v>
      </c>
      <c r="X626" s="107" t="s">
        <v>432</v>
      </c>
      <c r="Y626" s="107" t="s">
        <v>432</v>
      </c>
      <c r="Z626" s="107" t="s">
        <v>432</v>
      </c>
      <c r="AA626" s="107" t="s">
        <v>432</v>
      </c>
      <c r="AB626" s="107" t="s">
        <v>432</v>
      </c>
      <c r="AC626" s="107" t="s">
        <v>432</v>
      </c>
      <c r="AD626" s="107" t="s">
        <v>432</v>
      </c>
      <c r="AE626" s="107" t="s">
        <v>432</v>
      </c>
      <c r="AF626" s="107" t="s">
        <v>432</v>
      </c>
      <c r="AG626" s="107" t="s">
        <v>432</v>
      </c>
      <c r="AH626" s="107" t="s">
        <v>432</v>
      </c>
      <c r="AI626" s="107" t="s">
        <v>432</v>
      </c>
      <c r="AJ626" s="107" t="s">
        <v>432</v>
      </c>
      <c r="AK626" s="137" t="s">
        <v>432</v>
      </c>
      <c r="AL626" s="600" t="s">
        <v>432</v>
      </c>
      <c r="AM626" s="137" t="s">
        <v>432</v>
      </c>
      <c r="AN626" s="137" t="s">
        <v>432</v>
      </c>
      <c r="AO626" s="137" t="s">
        <v>432</v>
      </c>
      <c r="AP626" s="137" t="s">
        <v>432</v>
      </c>
      <c r="AQ626" s="137" t="s">
        <v>432</v>
      </c>
      <c r="AR626" s="137" t="s">
        <v>432</v>
      </c>
      <c r="AS626" s="137" t="s">
        <v>432</v>
      </c>
      <c r="AT626" s="137" t="s">
        <v>432</v>
      </c>
      <c r="AU626" s="137" t="s">
        <v>432</v>
      </c>
      <c r="AV626" s="137" t="s">
        <v>432</v>
      </c>
      <c r="AW626" s="137" t="s">
        <v>432</v>
      </c>
      <c r="AX626" s="137" t="s">
        <v>432</v>
      </c>
      <c r="AY626" s="137" t="s">
        <v>432</v>
      </c>
      <c r="AZ626" s="137" t="s">
        <v>432</v>
      </c>
      <c r="BA626" s="137" t="s">
        <v>432</v>
      </c>
      <c r="BB626" s="239" t="str">
        <f t="shared" si="112"/>
        <v>geralacessibilidade</v>
      </c>
      <c r="BC626" s="239" t="str">
        <f t="shared" si="113"/>
        <v>geralacessibilidadesigla/verbete</v>
      </c>
      <c r="BD626" s="239" t="str">
        <f t="shared" si="114"/>
        <v>geralsigla/verbete</v>
      </c>
    </row>
    <row r="627" spans="1:67" s="1" customFormat="1" ht="69.75" customHeight="1" x14ac:dyDescent="0.25">
      <c r="A627" s="262" t="str">
        <f>'Q100b-totais'!B20</f>
        <v>2.5</v>
      </c>
      <c r="B627" s="252" t="str">
        <f>'Q100b-totais'!C20</f>
        <v>Distribuição modal em pesquisas origem/destino</v>
      </c>
      <c r="C627" s="167" t="s">
        <v>432</v>
      </c>
      <c r="D627" s="324" t="s">
        <v>5241</v>
      </c>
      <c r="E627" s="1364" t="s">
        <v>1298</v>
      </c>
      <c r="F627" s="1205" t="s">
        <v>5242</v>
      </c>
      <c r="G627" s="230" t="s">
        <v>3507</v>
      </c>
      <c r="H627" s="167" t="s">
        <v>2408</v>
      </c>
      <c r="I627" s="167" t="s">
        <v>432</v>
      </c>
      <c r="J627" s="107" t="s">
        <v>432</v>
      </c>
      <c r="K627" s="107" t="s">
        <v>432</v>
      </c>
      <c r="L627" s="107" t="s">
        <v>432</v>
      </c>
      <c r="M627" s="107" t="s">
        <v>432</v>
      </c>
      <c r="N627" s="107" t="s">
        <v>432</v>
      </c>
      <c r="O627" s="107" t="s">
        <v>432</v>
      </c>
      <c r="P627" s="107" t="s">
        <v>432</v>
      </c>
      <c r="Q627" s="107" t="s">
        <v>432</v>
      </c>
      <c r="R627" s="107" t="s">
        <v>432</v>
      </c>
      <c r="S627" s="109" t="s">
        <v>2209</v>
      </c>
      <c r="T627" s="107" t="s">
        <v>432</v>
      </c>
      <c r="U627" s="107" t="s">
        <v>432</v>
      </c>
      <c r="V627" s="109" t="s">
        <v>2209</v>
      </c>
      <c r="W627" s="107" t="s">
        <v>432</v>
      </c>
      <c r="X627" s="107" t="s">
        <v>432</v>
      </c>
      <c r="Y627" s="107" t="s">
        <v>432</v>
      </c>
      <c r="Z627" s="107" t="s">
        <v>432</v>
      </c>
      <c r="AA627" s="107" t="s">
        <v>432</v>
      </c>
      <c r="AB627" s="107" t="s">
        <v>432</v>
      </c>
      <c r="AC627" s="107" t="s">
        <v>432</v>
      </c>
      <c r="AD627" s="107" t="s">
        <v>432</v>
      </c>
      <c r="AE627" s="107" t="s">
        <v>432</v>
      </c>
      <c r="AF627" s="107" t="s">
        <v>432</v>
      </c>
      <c r="AG627" s="107" t="s">
        <v>432</v>
      </c>
      <c r="AH627" s="107" t="s">
        <v>432</v>
      </c>
      <c r="AI627" s="107" t="s">
        <v>432</v>
      </c>
      <c r="AJ627" s="107" t="s">
        <v>432</v>
      </c>
      <c r="AK627" s="137" t="s">
        <v>432</v>
      </c>
      <c r="AL627" s="600" t="s">
        <v>432</v>
      </c>
      <c r="AM627" s="137" t="s">
        <v>432</v>
      </c>
      <c r="AN627" s="137" t="s">
        <v>432</v>
      </c>
      <c r="AO627" s="137" t="s">
        <v>432</v>
      </c>
      <c r="AP627" s="137" t="s">
        <v>432</v>
      </c>
      <c r="AQ627" s="137" t="s">
        <v>432</v>
      </c>
      <c r="AR627" s="137" t="s">
        <v>432</v>
      </c>
      <c r="AS627" s="137" t="s">
        <v>432</v>
      </c>
      <c r="AT627" s="137" t="s">
        <v>432</v>
      </c>
      <c r="AU627" s="137" t="s">
        <v>432</v>
      </c>
      <c r="AV627" s="137" t="s">
        <v>432</v>
      </c>
      <c r="AW627" s="137" t="s">
        <v>432</v>
      </c>
      <c r="AX627" s="137" t="s">
        <v>432</v>
      </c>
      <c r="AY627" s="137" t="s">
        <v>432</v>
      </c>
      <c r="AZ627" s="137" t="s">
        <v>432</v>
      </c>
      <c r="BA627" s="137" t="s">
        <v>432</v>
      </c>
      <c r="BB627" s="239" t="str">
        <f t="shared" si="112"/>
        <v>Distribuição modal em pesquisas origem/destinox</v>
      </c>
      <c r="BC627" s="239" t="str">
        <f t="shared" si="113"/>
        <v>Distribuição modal em pesquisas origem/destinoxsigla/verbete</v>
      </c>
      <c r="BD627" s="239" t="str">
        <f t="shared" si="114"/>
        <v>Distribuição modal em pesquisas origem/destinosigla/verbete</v>
      </c>
    </row>
    <row r="628" spans="1:67" s="1" customFormat="1" ht="78.75" customHeight="1" x14ac:dyDescent="0.25">
      <c r="A628" s="262" t="str">
        <f>'Q100b-totais'!B20</f>
        <v>2.5</v>
      </c>
      <c r="B628" s="252" t="str">
        <f>'Q100b-totais'!C20</f>
        <v>Distribuição modal em pesquisas origem/destino</v>
      </c>
      <c r="C628" s="167" t="s">
        <v>432</v>
      </c>
      <c r="D628" s="324" t="s">
        <v>5241</v>
      </c>
      <c r="E628" s="1364" t="s">
        <v>5243</v>
      </c>
      <c r="F628" s="1205" t="s">
        <v>5244</v>
      </c>
      <c r="G628" s="230" t="s">
        <v>3507</v>
      </c>
      <c r="H628" s="167" t="s">
        <v>2408</v>
      </c>
      <c r="I628" s="167" t="s">
        <v>432</v>
      </c>
      <c r="J628" s="107" t="s">
        <v>432</v>
      </c>
      <c r="K628" s="107" t="s">
        <v>432</v>
      </c>
      <c r="L628" s="107" t="s">
        <v>432</v>
      </c>
      <c r="M628" s="107" t="s">
        <v>432</v>
      </c>
      <c r="N628" s="107" t="s">
        <v>432</v>
      </c>
      <c r="O628" s="107" t="s">
        <v>432</v>
      </c>
      <c r="P628" s="107" t="s">
        <v>432</v>
      </c>
      <c r="Q628" s="107" t="s">
        <v>432</v>
      </c>
      <c r="R628" s="107" t="s">
        <v>432</v>
      </c>
      <c r="S628" s="109" t="s">
        <v>2209</v>
      </c>
      <c r="T628" s="107" t="s">
        <v>432</v>
      </c>
      <c r="U628" s="107" t="s">
        <v>432</v>
      </c>
      <c r="V628" s="109" t="s">
        <v>2209</v>
      </c>
      <c r="W628" s="107" t="s">
        <v>432</v>
      </c>
      <c r="X628" s="107" t="s">
        <v>432</v>
      </c>
      <c r="Y628" s="107" t="s">
        <v>432</v>
      </c>
      <c r="Z628" s="107" t="s">
        <v>432</v>
      </c>
      <c r="AA628" s="107" t="s">
        <v>432</v>
      </c>
      <c r="AB628" s="107" t="s">
        <v>432</v>
      </c>
      <c r="AC628" s="107" t="s">
        <v>432</v>
      </c>
      <c r="AD628" s="107" t="s">
        <v>432</v>
      </c>
      <c r="AE628" s="107" t="s">
        <v>432</v>
      </c>
      <c r="AF628" s="107" t="s">
        <v>432</v>
      </c>
      <c r="AG628" s="107" t="s">
        <v>432</v>
      </c>
      <c r="AH628" s="107" t="s">
        <v>432</v>
      </c>
      <c r="AI628" s="107" t="s">
        <v>432</v>
      </c>
      <c r="AJ628" s="107" t="s">
        <v>432</v>
      </c>
      <c r="AK628" s="137" t="s">
        <v>432</v>
      </c>
      <c r="AL628" s="600" t="s">
        <v>432</v>
      </c>
      <c r="AM628" s="137" t="s">
        <v>432</v>
      </c>
      <c r="AN628" s="137" t="s">
        <v>432</v>
      </c>
      <c r="AO628" s="137" t="s">
        <v>432</v>
      </c>
      <c r="AP628" s="137" t="s">
        <v>432</v>
      </c>
      <c r="AQ628" s="137" t="s">
        <v>432</v>
      </c>
      <c r="AR628" s="137" t="s">
        <v>432</v>
      </c>
      <c r="AS628" s="137" t="s">
        <v>432</v>
      </c>
      <c r="AT628" s="137" t="s">
        <v>432</v>
      </c>
      <c r="AU628" s="137" t="s">
        <v>432</v>
      </c>
      <c r="AV628" s="137" t="s">
        <v>432</v>
      </c>
      <c r="AW628" s="137" t="s">
        <v>432</v>
      </c>
      <c r="AX628" s="137" t="s">
        <v>432</v>
      </c>
      <c r="AY628" s="137" t="s">
        <v>432</v>
      </c>
      <c r="AZ628" s="137" t="s">
        <v>432</v>
      </c>
      <c r="BA628" s="137" t="s">
        <v>432</v>
      </c>
      <c r="BB628" s="239" t="str">
        <f t="shared" si="112"/>
        <v>Distribuição modal em pesquisas origem/destinox</v>
      </c>
      <c r="BC628" s="239" t="str">
        <f t="shared" si="113"/>
        <v>Distribuição modal em pesquisas origem/destinoxsigla/verbete</v>
      </c>
      <c r="BD628" s="239" t="str">
        <f t="shared" si="114"/>
        <v>Distribuição modal em pesquisas origem/destinosigla/verbete</v>
      </c>
    </row>
    <row r="629" spans="1:67" s="16" customFormat="1" ht="25.5" x14ac:dyDescent="0.25">
      <c r="A629" s="262" t="s">
        <v>432</v>
      </c>
      <c r="B629" s="252" t="s">
        <v>742</v>
      </c>
      <c r="C629" s="167" t="s">
        <v>432</v>
      </c>
      <c r="D629" s="325" t="s">
        <v>977</v>
      </c>
      <c r="E629" s="1496" t="s">
        <v>432</v>
      </c>
      <c r="F629" s="194" t="s">
        <v>978</v>
      </c>
      <c r="G629" s="167" t="s">
        <v>3879</v>
      </c>
      <c r="H629" s="167" t="s">
        <v>432</v>
      </c>
      <c r="I629" s="167" t="s">
        <v>432</v>
      </c>
      <c r="J629" s="109" t="s">
        <v>432</v>
      </c>
      <c r="K629" s="109" t="s">
        <v>432</v>
      </c>
      <c r="L629" s="109" t="s">
        <v>432</v>
      </c>
      <c r="M629" s="109" t="s">
        <v>432</v>
      </c>
      <c r="N629" s="109" t="s">
        <v>432</v>
      </c>
      <c r="O629" s="109" t="s">
        <v>432</v>
      </c>
      <c r="P629" s="109" t="s">
        <v>432</v>
      </c>
      <c r="Q629" s="109" t="s">
        <v>432</v>
      </c>
      <c r="R629" s="109" t="s">
        <v>432</v>
      </c>
      <c r="S629" s="109" t="s">
        <v>2209</v>
      </c>
      <c r="T629" s="109" t="s">
        <v>432</v>
      </c>
      <c r="U629" s="109" t="s">
        <v>432</v>
      </c>
      <c r="V629" s="109" t="s">
        <v>2209</v>
      </c>
      <c r="W629" s="109" t="s">
        <v>432</v>
      </c>
      <c r="X629" s="109" t="s">
        <v>432</v>
      </c>
      <c r="Y629" s="109" t="s">
        <v>432</v>
      </c>
      <c r="Z629" s="109" t="s">
        <v>432</v>
      </c>
      <c r="AA629" s="109" t="s">
        <v>432</v>
      </c>
      <c r="AB629" s="109" t="s">
        <v>432</v>
      </c>
      <c r="AC629" s="109" t="s">
        <v>432</v>
      </c>
      <c r="AD629" s="109" t="s">
        <v>432</v>
      </c>
      <c r="AE629" s="109" t="s">
        <v>432</v>
      </c>
      <c r="AF629" s="109" t="s">
        <v>432</v>
      </c>
      <c r="AG629" s="109" t="s">
        <v>432</v>
      </c>
      <c r="AH629" s="109" t="s">
        <v>432</v>
      </c>
      <c r="AI629" s="109" t="s">
        <v>432</v>
      </c>
      <c r="AJ629" s="109" t="s">
        <v>432</v>
      </c>
      <c r="AK629" s="109" t="s">
        <v>432</v>
      </c>
      <c r="AL629" s="600" t="s">
        <v>432</v>
      </c>
      <c r="AM629" s="109" t="s">
        <v>432</v>
      </c>
      <c r="AN629" s="109" t="s">
        <v>432</v>
      </c>
      <c r="AO629" s="109" t="s">
        <v>432</v>
      </c>
      <c r="AP629" s="109" t="s">
        <v>432</v>
      </c>
      <c r="AQ629" s="109" t="s">
        <v>432</v>
      </c>
      <c r="AR629" s="109" t="s">
        <v>432</v>
      </c>
      <c r="AS629" s="109" t="s">
        <v>432</v>
      </c>
      <c r="AT629" s="109" t="s">
        <v>432</v>
      </c>
      <c r="AU629" s="109" t="s">
        <v>432</v>
      </c>
      <c r="AV629" s="109" t="s">
        <v>432</v>
      </c>
      <c r="AW629" s="137" t="s">
        <v>432</v>
      </c>
      <c r="AX629" s="109" t="s">
        <v>432</v>
      </c>
      <c r="AY629" s="109" t="s">
        <v>432</v>
      </c>
      <c r="AZ629" s="109" t="s">
        <v>432</v>
      </c>
      <c r="BA629" s="109" t="s">
        <v>432</v>
      </c>
      <c r="BB629" s="239" t="str">
        <f t="shared" si="112"/>
        <v>geralx</v>
      </c>
      <c r="BC629" s="239" t="str">
        <f t="shared" si="113"/>
        <v>geralxx</v>
      </c>
      <c r="BD629" s="239" t="str">
        <f t="shared" si="114"/>
        <v>geralx</v>
      </c>
    </row>
    <row r="630" spans="1:67" s="1" customFormat="1" ht="182.25" customHeight="1" x14ac:dyDescent="0.25">
      <c r="A630" s="275" t="str">
        <f>'Q100b-totais'!$B$20</f>
        <v>2.5</v>
      </c>
      <c r="B630" s="54" t="str">
        <f>'Q100b-totais'!$C$20</f>
        <v>Distribuição modal em pesquisas origem/destino</v>
      </c>
      <c r="C630" s="167" t="s">
        <v>432</v>
      </c>
      <c r="D630" s="378" t="s">
        <v>866</v>
      </c>
      <c r="E630" s="1494" t="s">
        <v>1779</v>
      </c>
      <c r="F630" s="286" t="s">
        <v>3726</v>
      </c>
      <c r="G630" s="230" t="s">
        <v>3507</v>
      </c>
      <c r="H630" s="168" t="s">
        <v>2408</v>
      </c>
      <c r="I630" s="172">
        <v>532</v>
      </c>
      <c r="J630" s="109" t="s">
        <v>432</v>
      </c>
      <c r="K630" s="109" t="s">
        <v>432</v>
      </c>
      <c r="L630" s="109" t="s">
        <v>432</v>
      </c>
      <c r="M630" s="109" t="s">
        <v>432</v>
      </c>
      <c r="N630" s="109" t="s">
        <v>432</v>
      </c>
      <c r="O630" s="109" t="s">
        <v>432</v>
      </c>
      <c r="P630" s="109" t="s">
        <v>432</v>
      </c>
      <c r="Q630" s="109" t="s">
        <v>432</v>
      </c>
      <c r="R630" s="109" t="s">
        <v>432</v>
      </c>
      <c r="S630" s="109" t="s">
        <v>2209</v>
      </c>
      <c r="T630" s="109" t="s">
        <v>432</v>
      </c>
      <c r="U630" s="109" t="s">
        <v>432</v>
      </c>
      <c r="V630" s="109" t="s">
        <v>2209</v>
      </c>
      <c r="W630" s="109" t="s">
        <v>432</v>
      </c>
      <c r="X630" s="109" t="s">
        <v>432</v>
      </c>
      <c r="Y630" s="109" t="s">
        <v>432</v>
      </c>
      <c r="Z630" s="109" t="s">
        <v>432</v>
      </c>
      <c r="AA630" s="109" t="s">
        <v>432</v>
      </c>
      <c r="AB630" s="109" t="s">
        <v>432</v>
      </c>
      <c r="AC630" s="109" t="s">
        <v>432</v>
      </c>
      <c r="AD630" s="109" t="s">
        <v>432</v>
      </c>
      <c r="AE630" s="109" t="s">
        <v>432</v>
      </c>
      <c r="AF630" s="109" t="s">
        <v>432</v>
      </c>
      <c r="AG630" s="109" t="s">
        <v>432</v>
      </c>
      <c r="AH630" s="109" t="s">
        <v>432</v>
      </c>
      <c r="AI630" s="109" t="s">
        <v>432</v>
      </c>
      <c r="AJ630" s="109" t="s">
        <v>432</v>
      </c>
      <c r="AK630" s="137" t="s">
        <v>432</v>
      </c>
      <c r="AL630" s="600" t="s">
        <v>432</v>
      </c>
      <c r="AM630" s="137" t="s">
        <v>432</v>
      </c>
      <c r="AN630" s="137" t="s">
        <v>432</v>
      </c>
      <c r="AO630" s="137" t="s">
        <v>432</v>
      </c>
      <c r="AP630" s="137" t="s">
        <v>432</v>
      </c>
      <c r="AQ630" s="137" t="s">
        <v>432</v>
      </c>
      <c r="AR630" s="137" t="s">
        <v>432</v>
      </c>
      <c r="AS630" s="137" t="s">
        <v>432</v>
      </c>
      <c r="AT630" s="137" t="s">
        <v>432</v>
      </c>
      <c r="AU630" s="137" t="s">
        <v>432</v>
      </c>
      <c r="AV630" s="137" t="s">
        <v>432</v>
      </c>
      <c r="AW630" s="137" t="s">
        <v>432</v>
      </c>
      <c r="AX630" s="137" t="s">
        <v>432</v>
      </c>
      <c r="AY630" s="137" t="s">
        <v>432</v>
      </c>
      <c r="AZ630" s="137" t="s">
        <v>432</v>
      </c>
      <c r="BA630" s="137" t="s">
        <v>432</v>
      </c>
      <c r="BB630" s="239" t="str">
        <f t="shared" si="112"/>
        <v>Distribuição modal em pesquisas origem/destinox</v>
      </c>
      <c r="BC630" s="239" t="str">
        <f t="shared" si="113"/>
        <v>Distribuição modal em pesquisas origem/destinoxsigla/verbete</v>
      </c>
      <c r="BD630" s="239" t="str">
        <f t="shared" si="114"/>
        <v>Distribuição modal em pesquisas origem/destinosigla/verbete</v>
      </c>
    </row>
    <row r="631" spans="1:67" s="347" customFormat="1" ht="79.5" customHeight="1" x14ac:dyDescent="0.25">
      <c r="A631" s="275" t="str">
        <f>'Q100b-totais'!$B$20</f>
        <v>2.5</v>
      </c>
      <c r="B631" s="54" t="str">
        <f>'Q100b-totais'!$C$20</f>
        <v>Distribuição modal em pesquisas origem/destino</v>
      </c>
      <c r="C631" s="167" t="s">
        <v>432</v>
      </c>
      <c r="D631" s="939" t="s">
        <v>1958</v>
      </c>
      <c r="E631" s="1517"/>
      <c r="F631" s="54" t="s">
        <v>1961</v>
      </c>
      <c r="G631" s="110" t="s">
        <v>933</v>
      </c>
      <c r="H631" s="168" t="s">
        <v>765</v>
      </c>
      <c r="I631" s="167" t="s">
        <v>432</v>
      </c>
      <c r="J631" s="109" t="s">
        <v>432</v>
      </c>
      <c r="K631" s="109" t="s">
        <v>432</v>
      </c>
      <c r="L631" s="109" t="s">
        <v>432</v>
      </c>
      <c r="M631" s="109" t="s">
        <v>432</v>
      </c>
      <c r="N631" s="109" t="s">
        <v>432</v>
      </c>
      <c r="O631" s="109" t="s">
        <v>432</v>
      </c>
      <c r="P631" s="109" t="s">
        <v>432</v>
      </c>
      <c r="Q631" s="109" t="s">
        <v>432</v>
      </c>
      <c r="R631" s="109" t="s">
        <v>432</v>
      </c>
      <c r="S631" s="109" t="s">
        <v>2209</v>
      </c>
      <c r="T631" s="109" t="s">
        <v>432</v>
      </c>
      <c r="U631" s="109" t="s">
        <v>432</v>
      </c>
      <c r="V631" s="109" t="s">
        <v>2209</v>
      </c>
      <c r="W631" s="109" t="s">
        <v>432</v>
      </c>
      <c r="X631" s="109" t="s">
        <v>432</v>
      </c>
      <c r="Y631" s="109" t="s">
        <v>432</v>
      </c>
      <c r="Z631" s="109" t="s">
        <v>432</v>
      </c>
      <c r="AA631" s="109" t="s">
        <v>432</v>
      </c>
      <c r="AB631" s="109" t="s">
        <v>432</v>
      </c>
      <c r="AC631" s="109" t="s">
        <v>432</v>
      </c>
      <c r="AD631" s="109" t="s">
        <v>432</v>
      </c>
      <c r="AE631" s="109" t="s">
        <v>432</v>
      </c>
      <c r="AF631" s="109" t="s">
        <v>432</v>
      </c>
      <c r="AG631" s="109" t="s">
        <v>432</v>
      </c>
      <c r="AH631" s="109" t="s">
        <v>432</v>
      </c>
      <c r="AI631" s="109" t="s">
        <v>432</v>
      </c>
      <c r="AJ631" s="109" t="s">
        <v>432</v>
      </c>
      <c r="AK631" s="109" t="s">
        <v>432</v>
      </c>
      <c r="AL631" s="600" t="s">
        <v>432</v>
      </c>
      <c r="AM631" s="109" t="s">
        <v>432</v>
      </c>
      <c r="AN631" s="109" t="s">
        <v>432</v>
      </c>
      <c r="AO631" s="109" t="s">
        <v>432</v>
      </c>
      <c r="AP631" s="109" t="s">
        <v>432</v>
      </c>
      <c r="AQ631" s="109" t="s">
        <v>432</v>
      </c>
      <c r="AR631" s="109" t="s">
        <v>432</v>
      </c>
      <c r="AS631" s="109" t="s">
        <v>432</v>
      </c>
      <c r="AT631" s="109" t="s">
        <v>432</v>
      </c>
      <c r="AU631" s="109" t="s">
        <v>432</v>
      </c>
      <c r="AV631" s="109" t="s">
        <v>432</v>
      </c>
      <c r="AW631" s="137" t="s">
        <v>432</v>
      </c>
      <c r="AX631" s="109" t="s">
        <v>432</v>
      </c>
      <c r="AY631" s="109" t="s">
        <v>432</v>
      </c>
      <c r="AZ631" s="109" t="s">
        <v>432</v>
      </c>
      <c r="BA631" s="109" t="s">
        <v>432</v>
      </c>
      <c r="BB631" s="239" t="str">
        <f t="shared" si="112"/>
        <v>Distribuição modal em pesquisas origem/destinox</v>
      </c>
      <c r="BC631" s="239" t="str">
        <f t="shared" si="113"/>
        <v>Distribuição modal em pesquisas origem/destinoxmeta/RPI</v>
      </c>
      <c r="BD631" s="239" t="str">
        <f t="shared" si="114"/>
        <v>Distribuição modal em pesquisas origem/destinometa/RPI</v>
      </c>
    </row>
    <row r="632" spans="1:67" s="105" customFormat="1" ht="67.5" customHeight="1" x14ac:dyDescent="0.25">
      <c r="A632" s="275" t="s">
        <v>864</v>
      </c>
      <c r="B632" s="54" t="s">
        <v>863</v>
      </c>
      <c r="C632" s="167" t="s">
        <v>432</v>
      </c>
      <c r="D632" s="939" t="s">
        <v>1561</v>
      </c>
      <c r="E632" s="1492" t="s">
        <v>1306</v>
      </c>
      <c r="F632" s="59" t="s">
        <v>1960</v>
      </c>
      <c r="G632" s="446" t="s">
        <v>678</v>
      </c>
      <c r="H632" s="446" t="s">
        <v>678</v>
      </c>
      <c r="I632" s="167">
        <v>1</v>
      </c>
      <c r="J632" s="107" t="s">
        <v>432</v>
      </c>
      <c r="K632" s="107" t="s">
        <v>432</v>
      </c>
      <c r="L632" s="107" t="s">
        <v>432</v>
      </c>
      <c r="M632" s="107" t="s">
        <v>432</v>
      </c>
      <c r="N632" s="107" t="s">
        <v>432</v>
      </c>
      <c r="O632" s="107" t="s">
        <v>432</v>
      </c>
      <c r="P632" s="107" t="s">
        <v>432</v>
      </c>
      <c r="Q632" s="107" t="s">
        <v>432</v>
      </c>
      <c r="R632" s="107" t="s">
        <v>432</v>
      </c>
      <c r="S632" s="109" t="s">
        <v>2209</v>
      </c>
      <c r="T632" s="107" t="s">
        <v>432</v>
      </c>
      <c r="U632" s="107" t="s">
        <v>432</v>
      </c>
      <c r="V632" s="109" t="s">
        <v>2209</v>
      </c>
      <c r="W632" s="107" t="s">
        <v>432</v>
      </c>
      <c r="X632" s="107" t="s">
        <v>432</v>
      </c>
      <c r="Y632" s="107" t="s">
        <v>432</v>
      </c>
      <c r="Z632" s="107" t="s">
        <v>432</v>
      </c>
      <c r="AA632" s="107" t="s">
        <v>432</v>
      </c>
      <c r="AB632" s="107" t="s">
        <v>432</v>
      </c>
      <c r="AC632" s="107" t="s">
        <v>432</v>
      </c>
      <c r="AD632" s="107" t="s">
        <v>432</v>
      </c>
      <c r="AE632" s="107" t="s">
        <v>432</v>
      </c>
      <c r="AF632" s="107" t="s">
        <v>432</v>
      </c>
      <c r="AG632" s="107" t="s">
        <v>432</v>
      </c>
      <c r="AH632" s="107" t="s">
        <v>432</v>
      </c>
      <c r="AI632" s="107" t="s">
        <v>432</v>
      </c>
      <c r="AJ632" s="107" t="s">
        <v>432</v>
      </c>
      <c r="AK632" s="107" t="s">
        <v>432</v>
      </c>
      <c r="AL632" s="600" t="s">
        <v>432</v>
      </c>
      <c r="AM632" s="107" t="s">
        <v>432</v>
      </c>
      <c r="AN632" s="107" t="s">
        <v>432</v>
      </c>
      <c r="AO632" s="107" t="s">
        <v>432</v>
      </c>
      <c r="AP632" s="107" t="s">
        <v>432</v>
      </c>
      <c r="AQ632" s="107" t="s">
        <v>432</v>
      </c>
      <c r="AR632" s="107" t="s">
        <v>432</v>
      </c>
      <c r="AS632" s="107" t="s">
        <v>432</v>
      </c>
      <c r="AT632" s="107" t="s">
        <v>432</v>
      </c>
      <c r="AU632" s="107" t="s">
        <v>432</v>
      </c>
      <c r="AV632" s="107" t="s">
        <v>432</v>
      </c>
      <c r="AW632" s="137" t="s">
        <v>432</v>
      </c>
      <c r="AX632" s="107" t="s">
        <v>432</v>
      </c>
      <c r="AY632" s="107" t="s">
        <v>432</v>
      </c>
      <c r="AZ632" s="107" t="s">
        <v>432</v>
      </c>
      <c r="BA632" s="107" t="s">
        <v>432</v>
      </c>
      <c r="BB632" s="239" t="str">
        <f t="shared" si="112"/>
        <v>Distribuição modal em pesquisas origem/destinox</v>
      </c>
      <c r="BC632" s="239" t="str">
        <f t="shared" si="113"/>
        <v>Distribuição modal em pesquisas origem/destinoxainda não incorporado ao SisMob-BH</v>
      </c>
      <c r="BD632" s="239" t="str">
        <f t="shared" si="114"/>
        <v>Distribuição modal em pesquisas origem/destinoainda não incorporado ao SisMob-BH</v>
      </c>
      <c r="BM632" s="372"/>
      <c r="BN632" s="372"/>
      <c r="BO632" s="372"/>
    </row>
    <row r="633" spans="1:67" s="105" customFormat="1" ht="110.25" customHeight="1" x14ac:dyDescent="0.25">
      <c r="A633" s="275" t="s">
        <v>864</v>
      </c>
      <c r="B633" s="54" t="s">
        <v>863</v>
      </c>
      <c r="C633" s="167" t="s">
        <v>432</v>
      </c>
      <c r="D633" s="939" t="s">
        <v>1698</v>
      </c>
      <c r="E633" s="1492" t="s">
        <v>1306</v>
      </c>
      <c r="F633" s="59" t="s">
        <v>5142</v>
      </c>
      <c r="G633" s="110" t="s">
        <v>933</v>
      </c>
      <c r="H633" s="168" t="s">
        <v>765</v>
      </c>
      <c r="I633" s="167" t="s">
        <v>432</v>
      </c>
      <c r="J633" s="107" t="s">
        <v>432</v>
      </c>
      <c r="K633" s="107" t="s">
        <v>432</v>
      </c>
      <c r="L633" s="107" t="s">
        <v>432</v>
      </c>
      <c r="M633" s="107" t="s">
        <v>432</v>
      </c>
      <c r="N633" s="107" t="s">
        <v>432</v>
      </c>
      <c r="O633" s="107" t="s">
        <v>432</v>
      </c>
      <c r="P633" s="107" t="s">
        <v>432</v>
      </c>
      <c r="Q633" s="107" t="s">
        <v>432</v>
      </c>
      <c r="R633" s="107" t="s">
        <v>432</v>
      </c>
      <c r="S633" s="109" t="s">
        <v>2209</v>
      </c>
      <c r="T633" s="107" t="s">
        <v>432</v>
      </c>
      <c r="U633" s="107" t="s">
        <v>432</v>
      </c>
      <c r="V633" s="109" t="s">
        <v>2209</v>
      </c>
      <c r="W633" s="107" t="s">
        <v>432</v>
      </c>
      <c r="X633" s="107" t="s">
        <v>432</v>
      </c>
      <c r="Y633" s="107" t="s">
        <v>432</v>
      </c>
      <c r="Z633" s="107" t="s">
        <v>432</v>
      </c>
      <c r="AA633" s="107" t="s">
        <v>432</v>
      </c>
      <c r="AB633" s="107" t="s">
        <v>432</v>
      </c>
      <c r="AC633" s="107" t="s">
        <v>432</v>
      </c>
      <c r="AD633" s="107" t="s">
        <v>432</v>
      </c>
      <c r="AE633" s="107" t="s">
        <v>432</v>
      </c>
      <c r="AF633" s="107" t="s">
        <v>432</v>
      </c>
      <c r="AG633" s="107" t="s">
        <v>432</v>
      </c>
      <c r="AH633" s="107" t="s">
        <v>432</v>
      </c>
      <c r="AI633" s="107" t="s">
        <v>432</v>
      </c>
      <c r="AJ633" s="107" t="s">
        <v>432</v>
      </c>
      <c r="AK633" s="174">
        <v>0.55000000000000004</v>
      </c>
      <c r="AL633" s="600" t="s">
        <v>432</v>
      </c>
      <c r="AM633" s="107" t="s">
        <v>432</v>
      </c>
      <c r="AN633" s="107" t="s">
        <v>432</v>
      </c>
      <c r="AO633" s="107" t="s">
        <v>432</v>
      </c>
      <c r="AP633" s="107" t="s">
        <v>432</v>
      </c>
      <c r="AQ633" s="107" t="s">
        <v>432</v>
      </c>
      <c r="AR633" s="107" t="s">
        <v>432</v>
      </c>
      <c r="AS633" s="107" t="s">
        <v>432</v>
      </c>
      <c r="AT633" s="107" t="s">
        <v>432</v>
      </c>
      <c r="AU633" s="107" t="s">
        <v>432</v>
      </c>
      <c r="AV633" s="107" t="s">
        <v>432</v>
      </c>
      <c r="AW633" s="137" t="s">
        <v>432</v>
      </c>
      <c r="AX633" s="107" t="s">
        <v>432</v>
      </c>
      <c r="AY633" s="107" t="s">
        <v>432</v>
      </c>
      <c r="AZ633" s="107" t="s">
        <v>432</v>
      </c>
      <c r="BA633" s="174">
        <v>0.7</v>
      </c>
      <c r="BB633" s="239" t="str">
        <f t="shared" si="112"/>
        <v>Distribuição modal em pesquisas origem/destinox</v>
      </c>
      <c r="BC633" s="239" t="str">
        <f t="shared" si="113"/>
        <v>Distribuição modal em pesquisas origem/destinoxmeta/RPI</v>
      </c>
      <c r="BD633" s="239" t="str">
        <f t="shared" si="114"/>
        <v>Distribuição modal em pesquisas origem/destinometa/RPI</v>
      </c>
      <c r="BM633" s="451"/>
      <c r="BN633" s="451"/>
      <c r="BO633" s="451"/>
    </row>
    <row r="634" spans="1:67" s="1" customFormat="1" ht="67.5" customHeight="1" x14ac:dyDescent="0.25">
      <c r="A634" s="275" t="str">
        <f>'Q100b-totais'!$B$20</f>
        <v>2.5</v>
      </c>
      <c r="B634" s="54" t="str">
        <f>'Q100b-totais'!$C$20</f>
        <v>Distribuição modal em pesquisas origem/destino</v>
      </c>
      <c r="C634" s="167" t="s">
        <v>432</v>
      </c>
      <c r="D634" s="323" t="s">
        <v>1041</v>
      </c>
      <c r="E634" s="1492" t="s">
        <v>1306</v>
      </c>
      <c r="F634" s="11" t="s">
        <v>1558</v>
      </c>
      <c r="G634" s="110" t="s">
        <v>768</v>
      </c>
      <c r="H634" s="168" t="s">
        <v>765</v>
      </c>
      <c r="I634" s="167" t="s">
        <v>432</v>
      </c>
      <c r="J634" s="109" t="s">
        <v>432</v>
      </c>
      <c r="K634" s="109" t="s">
        <v>432</v>
      </c>
      <c r="L634" s="109" t="s">
        <v>432</v>
      </c>
      <c r="M634" s="109" t="s">
        <v>432</v>
      </c>
      <c r="N634" s="109" t="s">
        <v>432</v>
      </c>
      <c r="O634" s="109" t="s">
        <v>432</v>
      </c>
      <c r="P634" s="109" t="s">
        <v>432</v>
      </c>
      <c r="Q634" s="109" t="s">
        <v>432</v>
      </c>
      <c r="R634" s="109" t="s">
        <v>432</v>
      </c>
      <c r="S634" s="109" t="s">
        <v>2209</v>
      </c>
      <c r="T634" s="109" t="s">
        <v>432</v>
      </c>
      <c r="U634" s="109" t="s">
        <v>432</v>
      </c>
      <c r="V634" s="109" t="s">
        <v>2209</v>
      </c>
      <c r="W634" s="109" t="s">
        <v>432</v>
      </c>
      <c r="X634" s="109" t="s">
        <v>432</v>
      </c>
      <c r="Y634" s="109" t="s">
        <v>432</v>
      </c>
      <c r="Z634" s="109" t="s">
        <v>432</v>
      </c>
      <c r="AA634" s="109" t="s">
        <v>432</v>
      </c>
      <c r="AB634" s="109" t="s">
        <v>432</v>
      </c>
      <c r="AC634" s="109" t="s">
        <v>432</v>
      </c>
      <c r="AD634" s="109" t="s">
        <v>432</v>
      </c>
      <c r="AE634" s="109" t="s">
        <v>432</v>
      </c>
      <c r="AF634" s="109" t="s">
        <v>432</v>
      </c>
      <c r="AG634" s="109" t="s">
        <v>432</v>
      </c>
      <c r="AH634" s="109" t="s">
        <v>432</v>
      </c>
      <c r="AI634" s="109" t="s">
        <v>432</v>
      </c>
      <c r="AJ634" s="110" t="s">
        <v>1048</v>
      </c>
      <c r="AK634" s="137" t="s">
        <v>432</v>
      </c>
      <c r="AL634" s="600" t="s">
        <v>432</v>
      </c>
      <c r="AM634" s="93" t="s">
        <v>1045</v>
      </c>
      <c r="AN634" s="137" t="s">
        <v>432</v>
      </c>
      <c r="AO634" s="137" t="s">
        <v>432</v>
      </c>
      <c r="AP634" s="137" t="s">
        <v>432</v>
      </c>
      <c r="AQ634" s="93" t="s">
        <v>1051</v>
      </c>
      <c r="AR634" s="107" t="s">
        <v>432</v>
      </c>
      <c r="AS634" s="107" t="s">
        <v>432</v>
      </c>
      <c r="AT634" s="107" t="s">
        <v>432</v>
      </c>
      <c r="AU634" s="107" t="s">
        <v>432</v>
      </c>
      <c r="AV634" s="137" t="s">
        <v>432</v>
      </c>
      <c r="AW634" s="137" t="s">
        <v>432</v>
      </c>
      <c r="AX634" s="137" t="s">
        <v>432</v>
      </c>
      <c r="AY634" s="137" t="s">
        <v>432</v>
      </c>
      <c r="AZ634" s="137" t="s">
        <v>432</v>
      </c>
      <c r="BA634" s="137" t="s">
        <v>432</v>
      </c>
      <c r="BB634" s="239" t="str">
        <f t="shared" si="112"/>
        <v>Distribuição modal em pesquisas origem/destinox</v>
      </c>
      <c r="BC634" s="239" t="str">
        <f t="shared" si="113"/>
        <v>Distribuição modal em pesquisas origem/destinoxmeta/RPI</v>
      </c>
      <c r="BD634" s="239" t="str">
        <f t="shared" si="114"/>
        <v>Distribuição modal em pesquisas origem/destinometa/RPI</v>
      </c>
    </row>
    <row r="635" spans="1:67" s="105" customFormat="1" ht="57.75" x14ac:dyDescent="0.25">
      <c r="A635" s="275" t="s">
        <v>864</v>
      </c>
      <c r="B635" s="54" t="s">
        <v>863</v>
      </c>
      <c r="C635" s="167" t="s">
        <v>432</v>
      </c>
      <c r="D635" s="939" t="s">
        <v>1649</v>
      </c>
      <c r="E635" s="1492" t="s">
        <v>1306</v>
      </c>
      <c r="F635" s="59" t="s">
        <v>1957</v>
      </c>
      <c r="G635" s="446" t="s">
        <v>678</v>
      </c>
      <c r="H635" s="446" t="s">
        <v>678</v>
      </c>
      <c r="I635" s="167">
        <v>1</v>
      </c>
      <c r="J635" s="107" t="s">
        <v>432</v>
      </c>
      <c r="K635" s="107" t="s">
        <v>432</v>
      </c>
      <c r="L635" s="107" t="s">
        <v>432</v>
      </c>
      <c r="M635" s="107" t="s">
        <v>432</v>
      </c>
      <c r="N635" s="107" t="s">
        <v>432</v>
      </c>
      <c r="O635" s="107" t="s">
        <v>432</v>
      </c>
      <c r="P635" s="107" t="s">
        <v>432</v>
      </c>
      <c r="Q635" s="107" t="s">
        <v>432</v>
      </c>
      <c r="R635" s="107" t="s">
        <v>432</v>
      </c>
      <c r="S635" s="109" t="s">
        <v>2209</v>
      </c>
      <c r="T635" s="107" t="s">
        <v>432</v>
      </c>
      <c r="U635" s="107" t="s">
        <v>432</v>
      </c>
      <c r="V635" s="109" t="s">
        <v>2209</v>
      </c>
      <c r="W635" s="107" t="s">
        <v>432</v>
      </c>
      <c r="X635" s="107" t="s">
        <v>432</v>
      </c>
      <c r="Y635" s="107" t="s">
        <v>432</v>
      </c>
      <c r="Z635" s="107" t="s">
        <v>432</v>
      </c>
      <c r="AA635" s="107" t="s">
        <v>432</v>
      </c>
      <c r="AB635" s="107" t="s">
        <v>432</v>
      </c>
      <c r="AC635" s="107" t="s">
        <v>432</v>
      </c>
      <c r="AD635" s="107" t="s">
        <v>432</v>
      </c>
      <c r="AE635" s="107" t="s">
        <v>432</v>
      </c>
      <c r="AF635" s="107" t="s">
        <v>432</v>
      </c>
      <c r="AG635" s="107" t="s">
        <v>432</v>
      </c>
      <c r="AH635" s="107" t="s">
        <v>432</v>
      </c>
      <c r="AI635" s="107" t="s">
        <v>432</v>
      </c>
      <c r="AJ635" s="107" t="s">
        <v>432</v>
      </c>
      <c r="AK635" s="107" t="s">
        <v>432</v>
      </c>
      <c r="AL635" s="600" t="s">
        <v>432</v>
      </c>
      <c r="AM635" s="107" t="s">
        <v>432</v>
      </c>
      <c r="AN635" s="107" t="s">
        <v>432</v>
      </c>
      <c r="AO635" s="107" t="s">
        <v>432</v>
      </c>
      <c r="AP635" s="107" t="s">
        <v>432</v>
      </c>
      <c r="AQ635" s="107" t="s">
        <v>432</v>
      </c>
      <c r="AR635" s="107" t="s">
        <v>432</v>
      </c>
      <c r="AS635" s="107" t="s">
        <v>432</v>
      </c>
      <c r="AT635" s="107" t="s">
        <v>432</v>
      </c>
      <c r="AU635" s="107" t="s">
        <v>432</v>
      </c>
      <c r="AV635" s="107" t="s">
        <v>432</v>
      </c>
      <c r="AW635" s="137" t="s">
        <v>432</v>
      </c>
      <c r="AX635" s="107" t="s">
        <v>432</v>
      </c>
      <c r="AY635" s="107" t="s">
        <v>432</v>
      </c>
      <c r="AZ635" s="107" t="s">
        <v>432</v>
      </c>
      <c r="BA635" s="107" t="s">
        <v>432</v>
      </c>
      <c r="BB635" s="239" t="str">
        <f t="shared" si="112"/>
        <v>Distribuição modal em pesquisas origem/destinox</v>
      </c>
      <c r="BC635" s="239" t="str">
        <f t="shared" si="113"/>
        <v>Distribuição modal em pesquisas origem/destinoxainda não incorporado ao SisMob-BH</v>
      </c>
      <c r="BD635" s="239" t="str">
        <f t="shared" si="114"/>
        <v>Distribuição modal em pesquisas origem/destinoainda não incorporado ao SisMob-BH</v>
      </c>
      <c r="BM635" s="372"/>
      <c r="BN635" s="372"/>
      <c r="BO635" s="372"/>
    </row>
    <row r="636" spans="1:67" s="1" customFormat="1" ht="87" customHeight="1" x14ac:dyDescent="0.25">
      <c r="A636" s="275" t="str">
        <f>'Q100b-totais'!$B$20</f>
        <v>2.5</v>
      </c>
      <c r="B636" s="54" t="str">
        <f>'Q100b-totais'!$C$20</f>
        <v>Distribuição modal em pesquisas origem/destino</v>
      </c>
      <c r="C636" s="167" t="s">
        <v>432</v>
      </c>
      <c r="D636" s="323" t="s">
        <v>1648</v>
      </c>
      <c r="E636" s="1492" t="s">
        <v>1306</v>
      </c>
      <c r="F636" s="11" t="s">
        <v>1557</v>
      </c>
      <c r="G636" s="110" t="s">
        <v>768</v>
      </c>
      <c r="H636" s="168" t="s">
        <v>765</v>
      </c>
      <c r="I636" s="167" t="s">
        <v>432</v>
      </c>
      <c r="J636" s="109" t="s">
        <v>432</v>
      </c>
      <c r="K636" s="109" t="s">
        <v>432</v>
      </c>
      <c r="L636" s="109" t="s">
        <v>432</v>
      </c>
      <c r="M636" s="109" t="s">
        <v>432</v>
      </c>
      <c r="N636" s="109" t="s">
        <v>432</v>
      </c>
      <c r="O636" s="109" t="s">
        <v>432</v>
      </c>
      <c r="P636" s="109" t="s">
        <v>432</v>
      </c>
      <c r="Q636" s="109" t="s">
        <v>432</v>
      </c>
      <c r="R636" s="109" t="s">
        <v>432</v>
      </c>
      <c r="S636" s="109" t="s">
        <v>2209</v>
      </c>
      <c r="T636" s="109" t="s">
        <v>432</v>
      </c>
      <c r="U636" s="109" t="s">
        <v>432</v>
      </c>
      <c r="V636" s="109" t="s">
        <v>2209</v>
      </c>
      <c r="W636" s="109" t="s">
        <v>432</v>
      </c>
      <c r="X636" s="109" t="s">
        <v>432</v>
      </c>
      <c r="Y636" s="109" t="s">
        <v>432</v>
      </c>
      <c r="Z636" s="109" t="s">
        <v>432</v>
      </c>
      <c r="AA636" s="109" t="s">
        <v>432</v>
      </c>
      <c r="AB636" s="109" t="s">
        <v>432</v>
      </c>
      <c r="AC636" s="109" t="s">
        <v>432</v>
      </c>
      <c r="AD636" s="109" t="s">
        <v>432</v>
      </c>
      <c r="AE636" s="109" t="s">
        <v>432</v>
      </c>
      <c r="AF636" s="109" t="s">
        <v>432</v>
      </c>
      <c r="AG636" s="109" t="s">
        <v>432</v>
      </c>
      <c r="AH636" s="109" t="s">
        <v>432</v>
      </c>
      <c r="AI636" s="109" t="s">
        <v>432</v>
      </c>
      <c r="AJ636" s="110" t="s">
        <v>1047</v>
      </c>
      <c r="AK636" s="137" t="s">
        <v>432</v>
      </c>
      <c r="AL636" s="600" t="s">
        <v>432</v>
      </c>
      <c r="AM636" s="93" t="s">
        <v>1049</v>
      </c>
      <c r="AN636" s="137" t="s">
        <v>432</v>
      </c>
      <c r="AO636" s="137" t="s">
        <v>432</v>
      </c>
      <c r="AP636" s="137" t="s">
        <v>432</v>
      </c>
      <c r="AQ636" s="93" t="s">
        <v>1050</v>
      </c>
      <c r="AR636" s="908"/>
      <c r="AS636" s="908"/>
      <c r="AT636" s="908"/>
      <c r="AU636" s="908"/>
      <c r="AV636" s="137" t="s">
        <v>432</v>
      </c>
      <c r="AW636" s="137" t="s">
        <v>432</v>
      </c>
      <c r="AX636" s="137" t="s">
        <v>432</v>
      </c>
      <c r="AY636" s="137" t="s">
        <v>432</v>
      </c>
      <c r="AZ636" s="137" t="s">
        <v>432</v>
      </c>
      <c r="BA636" s="137" t="s">
        <v>432</v>
      </c>
      <c r="BB636" s="239" t="str">
        <f t="shared" si="112"/>
        <v>Distribuição modal em pesquisas origem/destinox</v>
      </c>
      <c r="BC636" s="239" t="str">
        <f t="shared" si="113"/>
        <v>Distribuição modal em pesquisas origem/destinoxmeta/RPI</v>
      </c>
      <c r="BD636" s="239" t="str">
        <f t="shared" si="114"/>
        <v>Distribuição modal em pesquisas origem/destinometa/RPI</v>
      </c>
    </row>
    <row r="637" spans="1:67" s="3" customFormat="1" ht="25.5" x14ac:dyDescent="0.25">
      <c r="A637" s="402"/>
      <c r="B637" s="399"/>
      <c r="C637" s="399"/>
      <c r="D637" s="970"/>
      <c r="E637" s="1493"/>
      <c r="F637" s="221"/>
      <c r="G637" s="221"/>
      <c r="H637" s="221"/>
      <c r="I637" s="221"/>
      <c r="J637" s="221"/>
      <c r="K637" s="221"/>
      <c r="L637" s="221"/>
      <c r="M637" s="221"/>
      <c r="N637" s="221"/>
      <c r="O637" s="221"/>
      <c r="P637" s="221"/>
      <c r="Q637" s="221"/>
      <c r="R637" s="221"/>
      <c r="S637" s="109" t="s">
        <v>2209</v>
      </c>
      <c r="T637" s="221"/>
      <c r="U637" s="221"/>
      <c r="V637" s="109" t="s">
        <v>2209</v>
      </c>
      <c r="W637" s="221"/>
      <c r="X637" s="221"/>
      <c r="Y637" s="221"/>
      <c r="Z637" s="221"/>
      <c r="AA637" s="221"/>
      <c r="AB637" s="221"/>
      <c r="AC637" s="221"/>
      <c r="AD637" s="221"/>
      <c r="AE637" s="221"/>
      <c r="AF637" s="221"/>
      <c r="AG637" s="221"/>
      <c r="AH637" s="221"/>
      <c r="AI637" s="221"/>
      <c r="AJ637" s="221"/>
      <c r="AK637" s="223"/>
      <c r="AL637" s="600" t="s">
        <v>432</v>
      </c>
      <c r="AM637" s="223"/>
      <c r="AN637" s="223"/>
      <c r="AO637" s="223"/>
      <c r="AP637" s="223"/>
      <c r="AQ637" s="223"/>
      <c r="AR637" s="223"/>
      <c r="AS637" s="223"/>
      <c r="AT637" s="223"/>
      <c r="AU637" s="223"/>
      <c r="AV637" s="223"/>
      <c r="AW637" s="137" t="s">
        <v>432</v>
      </c>
      <c r="AX637" s="223"/>
      <c r="AY637" s="223"/>
      <c r="AZ637" s="223"/>
      <c r="BA637" s="223"/>
      <c r="BB637" s="400"/>
      <c r="BC637" s="400"/>
      <c r="BD637" s="400"/>
    </row>
    <row r="638" spans="1:67" s="1" customFormat="1" ht="210" customHeight="1" x14ac:dyDescent="0.25">
      <c r="A638" s="275" t="str">
        <f>'Q100b-totais'!$B$16</f>
        <v>2.1</v>
      </c>
      <c r="B638" s="54" t="str">
        <f>'Q100b-totais'!$C$16</f>
        <v>Distribuição modal em pesquisas de opinião</v>
      </c>
      <c r="C638" s="167" t="s">
        <v>432</v>
      </c>
      <c r="D638" s="323" t="s">
        <v>860</v>
      </c>
      <c r="E638" s="1492" t="s">
        <v>1306</v>
      </c>
      <c r="F638" s="11" t="s">
        <v>3725</v>
      </c>
      <c r="G638" s="167" t="s">
        <v>1920</v>
      </c>
      <c r="H638" s="173" t="s">
        <v>2408</v>
      </c>
      <c r="I638" s="172" t="s">
        <v>432</v>
      </c>
      <c r="J638" s="109" t="s">
        <v>432</v>
      </c>
      <c r="K638" s="109" t="s">
        <v>432</v>
      </c>
      <c r="L638" s="109" t="s">
        <v>432</v>
      </c>
      <c r="M638" s="109" t="s">
        <v>432</v>
      </c>
      <c r="N638" s="109" t="s">
        <v>432</v>
      </c>
      <c r="O638" s="109" t="s">
        <v>432</v>
      </c>
      <c r="P638" s="109" t="s">
        <v>432</v>
      </c>
      <c r="Q638" s="109" t="s">
        <v>432</v>
      </c>
      <c r="R638" s="109" t="s">
        <v>432</v>
      </c>
      <c r="S638" s="109" t="s">
        <v>2209</v>
      </c>
      <c r="T638" s="109" t="s">
        <v>432</v>
      </c>
      <c r="U638" s="109" t="s">
        <v>432</v>
      </c>
      <c r="V638" s="109" t="s">
        <v>2209</v>
      </c>
      <c r="W638" s="109" t="s">
        <v>432</v>
      </c>
      <c r="X638" s="109" t="s">
        <v>432</v>
      </c>
      <c r="Y638" s="109" t="s">
        <v>432</v>
      </c>
      <c r="Z638" s="109" t="s">
        <v>432</v>
      </c>
      <c r="AA638" s="109" t="s">
        <v>432</v>
      </c>
      <c r="AB638" s="109" t="s">
        <v>432</v>
      </c>
      <c r="AC638" s="109" t="s">
        <v>432</v>
      </c>
      <c r="AD638" s="109" t="s">
        <v>432</v>
      </c>
      <c r="AE638" s="107" t="s">
        <v>2208</v>
      </c>
      <c r="AF638" s="109" t="s">
        <v>432</v>
      </c>
      <c r="AG638" s="109" t="s">
        <v>432</v>
      </c>
      <c r="AH638" s="107" t="s">
        <v>2208</v>
      </c>
      <c r="AI638" s="109" t="s">
        <v>432</v>
      </c>
      <c r="AJ638" s="107" t="s">
        <v>2208</v>
      </c>
      <c r="AK638" s="137" t="s">
        <v>432</v>
      </c>
      <c r="AL638" s="600" t="s">
        <v>432</v>
      </c>
      <c r="AM638" s="137" t="s">
        <v>432</v>
      </c>
      <c r="AN638" s="137" t="s">
        <v>432</v>
      </c>
      <c r="AO638" s="137" t="s">
        <v>432</v>
      </c>
      <c r="AP638" s="137" t="s">
        <v>432</v>
      </c>
      <c r="AQ638" s="137" t="s">
        <v>432</v>
      </c>
      <c r="AR638" s="137" t="s">
        <v>432</v>
      </c>
      <c r="AS638" s="137" t="s">
        <v>432</v>
      </c>
      <c r="AT638" s="137" t="s">
        <v>432</v>
      </c>
      <c r="AU638" s="137" t="s">
        <v>432</v>
      </c>
      <c r="AV638" s="137" t="s">
        <v>432</v>
      </c>
      <c r="AW638" s="137" t="s">
        <v>432</v>
      </c>
      <c r="AX638" s="137" t="s">
        <v>432</v>
      </c>
      <c r="AY638" s="137" t="s">
        <v>432</v>
      </c>
      <c r="AZ638" s="137" t="s">
        <v>432</v>
      </c>
      <c r="BA638" s="137" t="s">
        <v>432</v>
      </c>
      <c r="BB638" s="239" t="str">
        <f t="shared" ref="BB638:BB645" si="115">B638&amp;C638</f>
        <v>Distribuição modal em pesquisas de opiniãox</v>
      </c>
      <c r="BC638" s="239" t="str">
        <f t="shared" ref="BC638:BC645" si="116">B638&amp;C638&amp;H638</f>
        <v>Distribuição modal em pesquisas de opiniãoxsigla/verbete</v>
      </c>
      <c r="BD638" s="239" t="str">
        <f t="shared" ref="BD638:BD645" si="117">B638&amp;H638</f>
        <v>Distribuição modal em pesquisas de opiniãosigla/verbete</v>
      </c>
    </row>
    <row r="639" spans="1:67" s="1" customFormat="1" ht="65.25" customHeight="1" x14ac:dyDescent="0.25">
      <c r="A639" s="275" t="str">
        <f>'Q100b-totais'!$B$16</f>
        <v>2.1</v>
      </c>
      <c r="B639" s="54" t="str">
        <f>'Q100b-totais'!$C$16</f>
        <v>Distribuição modal em pesquisas de opinião</v>
      </c>
      <c r="C639" s="167" t="s">
        <v>432</v>
      </c>
      <c r="D639" s="323" t="s">
        <v>834</v>
      </c>
      <c r="E639" s="1492" t="s">
        <v>1306</v>
      </c>
      <c r="F639" s="177" t="s">
        <v>1547</v>
      </c>
      <c r="G639" s="110" t="s">
        <v>77</v>
      </c>
      <c r="H639" s="233" t="s">
        <v>432</v>
      </c>
      <c r="I639" s="172">
        <v>1</v>
      </c>
      <c r="J639" s="109" t="s">
        <v>432</v>
      </c>
      <c r="K639" s="109" t="s">
        <v>432</v>
      </c>
      <c r="L639" s="109" t="s">
        <v>432</v>
      </c>
      <c r="M639" s="109" t="s">
        <v>432</v>
      </c>
      <c r="N639" s="109" t="s">
        <v>432</v>
      </c>
      <c r="O639" s="110" t="s">
        <v>432</v>
      </c>
      <c r="P639" s="185">
        <v>18</v>
      </c>
      <c r="Q639" s="185" t="s">
        <v>432</v>
      </c>
      <c r="R639" s="185" t="s">
        <v>432</v>
      </c>
      <c r="S639" s="109" t="s">
        <v>2209</v>
      </c>
      <c r="T639" s="185" t="s">
        <v>432</v>
      </c>
      <c r="U639" s="185">
        <v>15</v>
      </c>
      <c r="V639" s="109" t="s">
        <v>2209</v>
      </c>
      <c r="W639" s="185">
        <v>14.67</v>
      </c>
      <c r="X639" s="185">
        <v>14.07</v>
      </c>
      <c r="Y639" s="185">
        <v>14.37</v>
      </c>
      <c r="Z639" s="185">
        <v>19.28</v>
      </c>
      <c r="AA639" s="185">
        <v>13.5</v>
      </c>
      <c r="AB639" s="185">
        <v>21.11</v>
      </c>
      <c r="AC639" s="185">
        <v>17.7</v>
      </c>
      <c r="AD639" s="185">
        <v>19.41</v>
      </c>
      <c r="AE639" s="107" t="s">
        <v>2208</v>
      </c>
      <c r="AF639" s="185">
        <v>20.440000000000001</v>
      </c>
      <c r="AG639" s="185" t="s">
        <v>432</v>
      </c>
      <c r="AH639" s="107" t="s">
        <v>2208</v>
      </c>
      <c r="AI639" s="185">
        <v>22.3</v>
      </c>
      <c r="AJ639" s="107" t="s">
        <v>2208</v>
      </c>
      <c r="AK639" s="118">
        <v>25.1</v>
      </c>
      <c r="AL639" s="600" t="s">
        <v>432</v>
      </c>
      <c r="AM639" s="137" t="s">
        <v>432</v>
      </c>
      <c r="AN639" s="137" t="s">
        <v>432</v>
      </c>
      <c r="AO639" s="137" t="s">
        <v>432</v>
      </c>
      <c r="AP639" s="137" t="s">
        <v>432</v>
      </c>
      <c r="AQ639" s="137" t="s">
        <v>432</v>
      </c>
      <c r="AR639" s="137" t="s">
        <v>432</v>
      </c>
      <c r="AS639" s="137" t="s">
        <v>432</v>
      </c>
      <c r="AT639" s="137" t="s">
        <v>432</v>
      </c>
      <c r="AU639" s="137" t="s">
        <v>432</v>
      </c>
      <c r="AV639" s="137" t="s">
        <v>432</v>
      </c>
      <c r="AW639" s="137" t="s">
        <v>432</v>
      </c>
      <c r="AX639" s="137" t="s">
        <v>432</v>
      </c>
      <c r="AY639" s="137" t="s">
        <v>432</v>
      </c>
      <c r="AZ639" s="137" t="s">
        <v>432</v>
      </c>
      <c r="BA639" s="137" t="s">
        <v>432</v>
      </c>
      <c r="BB639" s="239" t="str">
        <f t="shared" si="115"/>
        <v>Distribuição modal em pesquisas de opiniãox</v>
      </c>
      <c r="BC639" s="239" t="str">
        <f t="shared" si="116"/>
        <v>Distribuição modal em pesquisas de opiniãoxx</v>
      </c>
      <c r="BD639" s="239" t="str">
        <f t="shared" si="117"/>
        <v>Distribuição modal em pesquisas de opiniãox</v>
      </c>
    </row>
    <row r="640" spans="1:67" s="1" customFormat="1" ht="51" x14ac:dyDescent="0.25">
      <c r="A640" s="275" t="str">
        <f>'Q100b-totais'!$B$16</f>
        <v>2.1</v>
      </c>
      <c r="B640" s="54" t="str">
        <f>'Q100b-totais'!$C$16</f>
        <v>Distribuição modal em pesquisas de opinião</v>
      </c>
      <c r="C640" s="167" t="s">
        <v>432</v>
      </c>
      <c r="D640" s="323" t="s">
        <v>838</v>
      </c>
      <c r="E640" s="1492" t="s">
        <v>1306</v>
      </c>
      <c r="F640" s="177" t="s">
        <v>1548</v>
      </c>
      <c r="G640" s="110" t="s">
        <v>77</v>
      </c>
      <c r="H640" s="233" t="s">
        <v>432</v>
      </c>
      <c r="I640" s="172">
        <v>1</v>
      </c>
      <c r="J640" s="107" t="s">
        <v>432</v>
      </c>
      <c r="K640" s="109" t="s">
        <v>432</v>
      </c>
      <c r="L640" s="109" t="s">
        <v>432</v>
      </c>
      <c r="M640" s="109" t="s">
        <v>432</v>
      </c>
      <c r="N640" s="109" t="s">
        <v>432</v>
      </c>
      <c r="O640" s="85" t="s">
        <v>432</v>
      </c>
      <c r="P640" s="85" t="s">
        <v>432</v>
      </c>
      <c r="Q640" s="85" t="s">
        <v>432</v>
      </c>
      <c r="R640" s="85" t="s">
        <v>432</v>
      </c>
      <c r="S640" s="109" t="s">
        <v>2209</v>
      </c>
      <c r="T640" s="85" t="s">
        <v>432</v>
      </c>
      <c r="U640" s="85" t="s">
        <v>432</v>
      </c>
      <c r="V640" s="109" t="s">
        <v>2209</v>
      </c>
      <c r="W640" s="85">
        <v>0.16</v>
      </c>
      <c r="X640" s="85">
        <v>0.67</v>
      </c>
      <c r="Y640" s="85">
        <v>0.74</v>
      </c>
      <c r="Z640" s="85" t="s">
        <v>432</v>
      </c>
      <c r="AA640" s="85">
        <v>0.6</v>
      </c>
      <c r="AB640" s="85">
        <v>0.36</v>
      </c>
      <c r="AC640" s="85">
        <v>0.59</v>
      </c>
      <c r="AD640" s="85">
        <v>0.74</v>
      </c>
      <c r="AE640" s="107" t="s">
        <v>2208</v>
      </c>
      <c r="AF640" s="85">
        <v>0.52</v>
      </c>
      <c r="AG640" s="85" t="s">
        <v>432</v>
      </c>
      <c r="AH640" s="107" t="s">
        <v>2208</v>
      </c>
      <c r="AI640" s="85">
        <v>0.52</v>
      </c>
      <c r="AJ640" s="107" t="s">
        <v>2208</v>
      </c>
      <c r="AK640" s="118">
        <v>0.6</v>
      </c>
      <c r="AL640" s="600" t="s">
        <v>432</v>
      </c>
      <c r="AM640" s="137" t="s">
        <v>432</v>
      </c>
      <c r="AN640" s="137" t="s">
        <v>432</v>
      </c>
      <c r="AO640" s="137" t="s">
        <v>432</v>
      </c>
      <c r="AP640" s="137" t="s">
        <v>432</v>
      </c>
      <c r="AQ640" s="137" t="s">
        <v>432</v>
      </c>
      <c r="AR640" s="137" t="s">
        <v>432</v>
      </c>
      <c r="AS640" s="137" t="s">
        <v>432</v>
      </c>
      <c r="AT640" s="137" t="s">
        <v>432</v>
      </c>
      <c r="AU640" s="137" t="s">
        <v>432</v>
      </c>
      <c r="AV640" s="137" t="s">
        <v>432</v>
      </c>
      <c r="AW640" s="137" t="s">
        <v>432</v>
      </c>
      <c r="AX640" s="137" t="s">
        <v>432</v>
      </c>
      <c r="AY640" s="137" t="s">
        <v>432</v>
      </c>
      <c r="AZ640" s="137" t="s">
        <v>432</v>
      </c>
      <c r="BA640" s="137" t="s">
        <v>432</v>
      </c>
      <c r="BB640" s="239" t="str">
        <f t="shared" si="115"/>
        <v>Distribuição modal em pesquisas de opiniãox</v>
      </c>
      <c r="BC640" s="239" t="str">
        <f t="shared" si="116"/>
        <v>Distribuição modal em pesquisas de opiniãoxx</v>
      </c>
      <c r="BD640" s="239" t="str">
        <f t="shared" si="117"/>
        <v>Distribuição modal em pesquisas de opiniãox</v>
      </c>
    </row>
    <row r="641" spans="1:56" s="1" customFormat="1" ht="51" x14ac:dyDescent="0.25">
      <c r="A641" s="275" t="str">
        <f>'Q100b-totais'!$B$16</f>
        <v>2.1</v>
      </c>
      <c r="B641" s="54" t="str">
        <f>'Q100b-totais'!$C$16</f>
        <v>Distribuição modal em pesquisas de opinião</v>
      </c>
      <c r="C641" s="167" t="s">
        <v>432</v>
      </c>
      <c r="D641" s="323" t="s">
        <v>831</v>
      </c>
      <c r="E641" s="1492" t="s">
        <v>1306</v>
      </c>
      <c r="F641" s="11" t="s">
        <v>1549</v>
      </c>
      <c r="G641" s="110" t="s">
        <v>77</v>
      </c>
      <c r="H641" s="233" t="s">
        <v>432</v>
      </c>
      <c r="I641" s="172">
        <v>1</v>
      </c>
      <c r="J641" s="109" t="s">
        <v>432</v>
      </c>
      <c r="K641" s="109" t="s">
        <v>432</v>
      </c>
      <c r="L641" s="109" t="s">
        <v>432</v>
      </c>
      <c r="M641" s="109" t="s">
        <v>432</v>
      </c>
      <c r="N641" s="109" t="s">
        <v>432</v>
      </c>
      <c r="O641" s="85" t="s">
        <v>432</v>
      </c>
      <c r="P641" s="83">
        <v>1</v>
      </c>
      <c r="Q641" s="83" t="s">
        <v>432</v>
      </c>
      <c r="R641" s="83" t="s">
        <v>432</v>
      </c>
      <c r="S641" s="109" t="s">
        <v>2209</v>
      </c>
      <c r="T641" s="83" t="s">
        <v>432</v>
      </c>
      <c r="U641" s="83">
        <v>3</v>
      </c>
      <c r="V641" s="109" t="s">
        <v>2209</v>
      </c>
      <c r="W641" s="83">
        <v>0.7</v>
      </c>
      <c r="X641" s="83">
        <v>0.89</v>
      </c>
      <c r="Y641" s="83">
        <v>1.41</v>
      </c>
      <c r="Z641" s="83">
        <v>2.7</v>
      </c>
      <c r="AA641" s="83">
        <v>2.2999999999999998</v>
      </c>
      <c r="AB641" s="83">
        <v>1.78</v>
      </c>
      <c r="AC641" s="83">
        <v>2.67</v>
      </c>
      <c r="AD641" s="83">
        <v>2.96</v>
      </c>
      <c r="AE641" s="107" t="s">
        <v>2208</v>
      </c>
      <c r="AF641" s="83">
        <v>3.56</v>
      </c>
      <c r="AG641" s="83" t="s">
        <v>432</v>
      </c>
      <c r="AH641" s="107" t="s">
        <v>2208</v>
      </c>
      <c r="AI641" s="83">
        <v>2.67</v>
      </c>
      <c r="AJ641" s="107" t="s">
        <v>2208</v>
      </c>
      <c r="AK641" s="118">
        <v>3.3</v>
      </c>
      <c r="AL641" s="600" t="s">
        <v>432</v>
      </c>
      <c r="AM641" s="137" t="s">
        <v>432</v>
      </c>
      <c r="AN641" s="137" t="s">
        <v>432</v>
      </c>
      <c r="AO641" s="137" t="s">
        <v>432</v>
      </c>
      <c r="AP641" s="137" t="s">
        <v>432</v>
      </c>
      <c r="AQ641" s="137" t="s">
        <v>432</v>
      </c>
      <c r="AR641" s="137" t="s">
        <v>432</v>
      </c>
      <c r="AS641" s="137" t="s">
        <v>432</v>
      </c>
      <c r="AT641" s="137" t="s">
        <v>432</v>
      </c>
      <c r="AU641" s="137" t="s">
        <v>432</v>
      </c>
      <c r="AV641" s="137" t="s">
        <v>432</v>
      </c>
      <c r="AW641" s="137" t="s">
        <v>432</v>
      </c>
      <c r="AX641" s="137" t="s">
        <v>432</v>
      </c>
      <c r="AY641" s="137" t="s">
        <v>432</v>
      </c>
      <c r="AZ641" s="137" t="s">
        <v>432</v>
      </c>
      <c r="BA641" s="137" t="s">
        <v>432</v>
      </c>
      <c r="BB641" s="239" t="str">
        <f t="shared" si="115"/>
        <v>Distribuição modal em pesquisas de opiniãox</v>
      </c>
      <c r="BC641" s="239" t="str">
        <f t="shared" si="116"/>
        <v>Distribuição modal em pesquisas de opiniãoxx</v>
      </c>
      <c r="BD641" s="239" t="str">
        <f t="shared" si="117"/>
        <v>Distribuição modal em pesquisas de opiniãox</v>
      </c>
    </row>
    <row r="642" spans="1:56" s="1" customFormat="1" ht="51" x14ac:dyDescent="0.25">
      <c r="A642" s="275" t="str">
        <f>'Q100b-totais'!$B$16</f>
        <v>2.1</v>
      </c>
      <c r="B642" s="54" t="str">
        <f>'Q100b-totais'!$C$16</f>
        <v>Distribuição modal em pesquisas de opinião</v>
      </c>
      <c r="C642" s="167" t="s">
        <v>432</v>
      </c>
      <c r="D642" s="323" t="s">
        <v>843</v>
      </c>
      <c r="E642" s="1492" t="s">
        <v>1306</v>
      </c>
      <c r="F642" s="11" t="s">
        <v>1550</v>
      </c>
      <c r="G642" s="110" t="s">
        <v>77</v>
      </c>
      <c r="H642" s="233" t="s">
        <v>432</v>
      </c>
      <c r="I642" s="172">
        <v>1</v>
      </c>
      <c r="J642" s="109" t="s">
        <v>432</v>
      </c>
      <c r="K642" s="109" t="s">
        <v>432</v>
      </c>
      <c r="L642" s="109" t="s">
        <v>432</v>
      </c>
      <c r="M642" s="109" t="s">
        <v>432</v>
      </c>
      <c r="N642" s="109" t="s">
        <v>432</v>
      </c>
      <c r="O642" s="85" t="s">
        <v>432</v>
      </c>
      <c r="P642" s="83">
        <v>1</v>
      </c>
      <c r="Q642" s="83" t="s">
        <v>432</v>
      </c>
      <c r="R642" s="83" t="s">
        <v>432</v>
      </c>
      <c r="S642" s="109" t="s">
        <v>2209</v>
      </c>
      <c r="T642" s="83" t="s">
        <v>432</v>
      </c>
      <c r="U642" s="83" t="s">
        <v>432</v>
      </c>
      <c r="V642" s="109" t="s">
        <v>2209</v>
      </c>
      <c r="W642" s="83">
        <v>1.03</v>
      </c>
      <c r="X642" s="83">
        <v>1.41</v>
      </c>
      <c r="Y642" s="83">
        <v>1.04</v>
      </c>
      <c r="Z642" s="83">
        <v>2.7</v>
      </c>
      <c r="AA642" s="83">
        <v>1.7</v>
      </c>
      <c r="AB642" s="83">
        <v>2.14</v>
      </c>
      <c r="AC642" s="83">
        <v>2.59</v>
      </c>
      <c r="AD642" s="83">
        <v>4.1500000000000004</v>
      </c>
      <c r="AE642" s="107" t="s">
        <v>2208</v>
      </c>
      <c r="AF642" s="83">
        <v>4.96</v>
      </c>
      <c r="AG642" s="83" t="s">
        <v>432</v>
      </c>
      <c r="AH642" s="107" t="s">
        <v>2208</v>
      </c>
      <c r="AI642" s="83">
        <v>4.96</v>
      </c>
      <c r="AJ642" s="107" t="s">
        <v>2208</v>
      </c>
      <c r="AK642" s="118">
        <v>5.6</v>
      </c>
      <c r="AL642" s="600" t="s">
        <v>432</v>
      </c>
      <c r="AM642" s="137" t="s">
        <v>432</v>
      </c>
      <c r="AN642" s="137" t="s">
        <v>432</v>
      </c>
      <c r="AO642" s="137" t="s">
        <v>432</v>
      </c>
      <c r="AP642" s="137" t="s">
        <v>432</v>
      </c>
      <c r="AQ642" s="137" t="s">
        <v>432</v>
      </c>
      <c r="AR642" s="137" t="s">
        <v>432</v>
      </c>
      <c r="AS642" s="137" t="s">
        <v>432</v>
      </c>
      <c r="AT642" s="137" t="s">
        <v>432</v>
      </c>
      <c r="AU642" s="137" t="s">
        <v>432</v>
      </c>
      <c r="AV642" s="137" t="s">
        <v>432</v>
      </c>
      <c r="AW642" s="137" t="s">
        <v>432</v>
      </c>
      <c r="AX642" s="137" t="s">
        <v>432</v>
      </c>
      <c r="AY642" s="137" t="s">
        <v>432</v>
      </c>
      <c r="AZ642" s="137" t="s">
        <v>432</v>
      </c>
      <c r="BA642" s="137" t="s">
        <v>432</v>
      </c>
      <c r="BB642" s="239" t="str">
        <f t="shared" si="115"/>
        <v>Distribuição modal em pesquisas de opiniãox</v>
      </c>
      <c r="BC642" s="239" t="str">
        <f t="shared" si="116"/>
        <v>Distribuição modal em pesquisas de opiniãoxx</v>
      </c>
      <c r="BD642" s="239" t="str">
        <f t="shared" si="117"/>
        <v>Distribuição modal em pesquisas de opiniãox</v>
      </c>
    </row>
    <row r="643" spans="1:56" s="1" customFormat="1" ht="51" x14ac:dyDescent="0.25">
      <c r="A643" s="275" t="str">
        <f>'Q100b-totais'!$B$16</f>
        <v>2.1</v>
      </c>
      <c r="B643" s="54" t="str">
        <f>'Q100b-totais'!$C$16</f>
        <v>Distribuição modal em pesquisas de opinião</v>
      </c>
      <c r="C643" s="167" t="s">
        <v>432</v>
      </c>
      <c r="D643" s="378" t="s">
        <v>837</v>
      </c>
      <c r="E643" s="1494" t="s">
        <v>1306</v>
      </c>
      <c r="F643" s="286" t="s">
        <v>876</v>
      </c>
      <c r="G643" s="111" t="s">
        <v>877</v>
      </c>
      <c r="H643" s="233" t="s">
        <v>432</v>
      </c>
      <c r="I643" s="172">
        <v>1</v>
      </c>
      <c r="J643" s="109" t="s">
        <v>432</v>
      </c>
      <c r="K643" s="109" t="s">
        <v>432</v>
      </c>
      <c r="L643" s="109" t="s">
        <v>432</v>
      </c>
      <c r="M643" s="109" t="s">
        <v>432</v>
      </c>
      <c r="N643" s="109" t="s">
        <v>432</v>
      </c>
      <c r="O643" s="85" t="s">
        <v>432</v>
      </c>
      <c r="P643" s="44">
        <f>P647</f>
        <v>3</v>
      </c>
      <c r="Q643" s="85" t="s">
        <v>432</v>
      </c>
      <c r="R643" s="85" t="s">
        <v>432</v>
      </c>
      <c r="S643" s="109" t="s">
        <v>2209</v>
      </c>
      <c r="T643" s="85" t="s">
        <v>432</v>
      </c>
      <c r="U643" s="44">
        <f>U647</f>
        <v>2</v>
      </c>
      <c r="V643" s="109" t="s">
        <v>2209</v>
      </c>
      <c r="W643" s="44">
        <f>W640+W647</f>
        <v>2.93</v>
      </c>
      <c r="X643" s="44">
        <f>X640+X647</f>
        <v>2.9699999999999998</v>
      </c>
      <c r="Y643" s="44">
        <f>Y640+Y647</f>
        <v>3.7800000000000002</v>
      </c>
      <c r="Z643" s="44">
        <f>Z647</f>
        <v>1</v>
      </c>
      <c r="AA643" s="44">
        <f>AA640+AA647</f>
        <v>4.2</v>
      </c>
      <c r="AB643" s="44">
        <f>AB640+AB647</f>
        <v>5.92</v>
      </c>
      <c r="AC643" s="44">
        <f>AC640+AC647</f>
        <v>4.1500000000000004</v>
      </c>
      <c r="AD643" s="44">
        <f>AD640+AD647</f>
        <v>5.78</v>
      </c>
      <c r="AE643" s="107" t="s">
        <v>2208</v>
      </c>
      <c r="AF643" s="44">
        <f>AF640+AF647</f>
        <v>5.26</v>
      </c>
      <c r="AG643" s="85" t="s">
        <v>432</v>
      </c>
      <c r="AH643" s="107" t="s">
        <v>2208</v>
      </c>
      <c r="AI643" s="44">
        <f>AI640+AI647</f>
        <v>4.3</v>
      </c>
      <c r="AJ643" s="107" t="s">
        <v>2208</v>
      </c>
      <c r="AK643" s="314">
        <f>AK640+AK647</f>
        <v>4.5999999999999996</v>
      </c>
      <c r="AL643" s="600" t="s">
        <v>432</v>
      </c>
      <c r="AM643" s="137" t="s">
        <v>432</v>
      </c>
      <c r="AN643" s="137" t="s">
        <v>432</v>
      </c>
      <c r="AO643" s="137" t="s">
        <v>432</v>
      </c>
      <c r="AP643" s="137" t="s">
        <v>432</v>
      </c>
      <c r="AQ643" s="137" t="s">
        <v>432</v>
      </c>
      <c r="AR643" s="137" t="s">
        <v>432</v>
      </c>
      <c r="AS643" s="137" t="s">
        <v>432</v>
      </c>
      <c r="AT643" s="137" t="s">
        <v>432</v>
      </c>
      <c r="AU643" s="137" t="s">
        <v>432</v>
      </c>
      <c r="AV643" s="137" t="s">
        <v>432</v>
      </c>
      <c r="AW643" s="137" t="s">
        <v>432</v>
      </c>
      <c r="AX643" s="137" t="s">
        <v>432</v>
      </c>
      <c r="AY643" s="137" t="s">
        <v>432</v>
      </c>
      <c r="AZ643" s="137" t="s">
        <v>432</v>
      </c>
      <c r="BA643" s="137" t="s">
        <v>432</v>
      </c>
      <c r="BB643" s="239" t="str">
        <f t="shared" si="115"/>
        <v>Distribuição modal em pesquisas de opiniãox</v>
      </c>
      <c r="BC643" s="239" t="str">
        <f t="shared" si="116"/>
        <v>Distribuição modal em pesquisas de opiniãoxx</v>
      </c>
      <c r="BD643" s="239" t="str">
        <f t="shared" si="117"/>
        <v>Distribuição modal em pesquisas de opiniãox</v>
      </c>
    </row>
    <row r="644" spans="1:56" s="1" customFormat="1" ht="51" x14ac:dyDescent="0.25">
      <c r="A644" s="275" t="str">
        <f>'Q100b-totais'!$B$16</f>
        <v>2.1</v>
      </c>
      <c r="B644" s="54" t="str">
        <f>'Q100b-totais'!$C$16</f>
        <v>Distribuição modal em pesquisas de opinião</v>
      </c>
      <c r="C644" s="167" t="s">
        <v>432</v>
      </c>
      <c r="D644" s="323" t="s">
        <v>873</v>
      </c>
      <c r="E644" s="1491" t="s">
        <v>1306</v>
      </c>
      <c r="F644" s="11" t="s">
        <v>1551</v>
      </c>
      <c r="G644" s="110" t="s">
        <v>77</v>
      </c>
      <c r="H644" s="233" t="s">
        <v>432</v>
      </c>
      <c r="I644" s="172">
        <v>1</v>
      </c>
      <c r="J644" s="109" t="s">
        <v>432</v>
      </c>
      <c r="K644" s="109" t="s">
        <v>432</v>
      </c>
      <c r="L644" s="109" t="s">
        <v>432</v>
      </c>
      <c r="M644" s="109" t="s">
        <v>432</v>
      </c>
      <c r="N644" s="109" t="s">
        <v>432</v>
      </c>
      <c r="O644" s="85" t="s">
        <v>432</v>
      </c>
      <c r="P644" s="83">
        <v>1</v>
      </c>
      <c r="Q644" s="83" t="s">
        <v>432</v>
      </c>
      <c r="R644" s="83" t="s">
        <v>432</v>
      </c>
      <c r="S644" s="109" t="s">
        <v>2209</v>
      </c>
      <c r="T644" s="83" t="s">
        <v>432</v>
      </c>
      <c r="U644" s="83">
        <v>4</v>
      </c>
      <c r="V644" s="109" t="s">
        <v>2209</v>
      </c>
      <c r="W644" s="83">
        <v>0</v>
      </c>
      <c r="X644" s="83">
        <v>0</v>
      </c>
      <c r="Y644" s="83">
        <v>7.0000000000000007E-2</v>
      </c>
      <c r="Z644" s="83">
        <v>0</v>
      </c>
      <c r="AA644" s="83">
        <v>0.1</v>
      </c>
      <c r="AB644" s="83">
        <v>0</v>
      </c>
      <c r="AC644" s="83">
        <v>0</v>
      </c>
      <c r="AD644" s="83">
        <v>0</v>
      </c>
      <c r="AE644" s="107" t="s">
        <v>2208</v>
      </c>
      <c r="AF644" s="83">
        <v>0</v>
      </c>
      <c r="AG644" s="83" t="s">
        <v>432</v>
      </c>
      <c r="AH644" s="107" t="s">
        <v>2208</v>
      </c>
      <c r="AI644" s="83">
        <v>0</v>
      </c>
      <c r="AJ644" s="107" t="s">
        <v>2208</v>
      </c>
      <c r="AK644" s="118" t="s">
        <v>432</v>
      </c>
      <c r="AL644" s="600" t="s">
        <v>432</v>
      </c>
      <c r="AM644" s="137" t="s">
        <v>432</v>
      </c>
      <c r="AN644" s="137" t="s">
        <v>432</v>
      </c>
      <c r="AO644" s="137" t="s">
        <v>432</v>
      </c>
      <c r="AP644" s="137" t="s">
        <v>432</v>
      </c>
      <c r="AQ644" s="137" t="s">
        <v>432</v>
      </c>
      <c r="AR644" s="137" t="s">
        <v>432</v>
      </c>
      <c r="AS644" s="137" t="s">
        <v>432</v>
      </c>
      <c r="AT644" s="137" t="s">
        <v>432</v>
      </c>
      <c r="AU644" s="137" t="s">
        <v>432</v>
      </c>
      <c r="AV644" s="137" t="s">
        <v>432</v>
      </c>
      <c r="AW644" s="137" t="s">
        <v>432</v>
      </c>
      <c r="AX644" s="137" t="s">
        <v>432</v>
      </c>
      <c r="AY644" s="137" t="s">
        <v>432</v>
      </c>
      <c r="AZ644" s="137" t="s">
        <v>432</v>
      </c>
      <c r="BA644" s="137" t="s">
        <v>432</v>
      </c>
      <c r="BB644" s="239" t="str">
        <f t="shared" si="115"/>
        <v>Distribuição modal em pesquisas de opiniãox</v>
      </c>
      <c r="BC644" s="239" t="str">
        <f t="shared" si="116"/>
        <v>Distribuição modal em pesquisas de opiniãoxx</v>
      </c>
      <c r="BD644" s="239" t="str">
        <f t="shared" si="117"/>
        <v>Distribuição modal em pesquisas de opiniãox</v>
      </c>
    </row>
    <row r="645" spans="1:56" s="1" customFormat="1" ht="51" x14ac:dyDescent="0.25">
      <c r="A645" s="275" t="str">
        <f>'Q100b-totais'!$B$16</f>
        <v>2.1</v>
      </c>
      <c r="B645" s="54" t="str">
        <f>'Q100b-totais'!$C$16</f>
        <v>Distribuição modal em pesquisas de opinião</v>
      </c>
      <c r="C645" s="167" t="s">
        <v>432</v>
      </c>
      <c r="D645" s="323" t="s">
        <v>829</v>
      </c>
      <c r="E645" s="1491" t="s">
        <v>1306</v>
      </c>
      <c r="F645" s="11" t="s">
        <v>1552</v>
      </c>
      <c r="G645" s="110" t="s">
        <v>77</v>
      </c>
      <c r="H645" s="233" t="s">
        <v>432</v>
      </c>
      <c r="I645" s="172">
        <v>1</v>
      </c>
      <c r="J645" s="109" t="s">
        <v>432</v>
      </c>
      <c r="K645" s="109" t="s">
        <v>432</v>
      </c>
      <c r="L645" s="109" t="s">
        <v>432</v>
      </c>
      <c r="M645" s="109" t="s">
        <v>432</v>
      </c>
      <c r="N645" s="109" t="s">
        <v>432</v>
      </c>
      <c r="O645" s="85" t="s">
        <v>432</v>
      </c>
      <c r="P645" s="83">
        <v>75</v>
      </c>
      <c r="Q645" s="83" t="s">
        <v>432</v>
      </c>
      <c r="R645" s="83" t="s">
        <v>432</v>
      </c>
      <c r="S645" s="109" t="s">
        <v>2209</v>
      </c>
      <c r="T645" s="83" t="s">
        <v>432</v>
      </c>
      <c r="U645" s="83">
        <v>76</v>
      </c>
      <c r="V645" s="109" t="s">
        <v>2209</v>
      </c>
      <c r="W645" s="83">
        <v>80.09</v>
      </c>
      <c r="X645" s="83">
        <v>79.56</v>
      </c>
      <c r="Y645" s="83">
        <v>78.22</v>
      </c>
      <c r="Z645" s="83">
        <v>74.13</v>
      </c>
      <c r="AA645" s="83">
        <v>77.7</v>
      </c>
      <c r="AB645" s="83">
        <v>68.62</v>
      </c>
      <c r="AC645" s="83">
        <v>71.56</v>
      </c>
      <c r="AD645" s="83">
        <v>65.849999999999994</v>
      </c>
      <c r="AE645" s="107" t="s">
        <v>2208</v>
      </c>
      <c r="AF645" s="83">
        <v>62.59</v>
      </c>
      <c r="AG645" s="83" t="s">
        <v>432</v>
      </c>
      <c r="AH645" s="107" t="s">
        <v>2208</v>
      </c>
      <c r="AI645" s="83">
        <v>62.52</v>
      </c>
      <c r="AJ645" s="107" t="s">
        <v>2208</v>
      </c>
      <c r="AK645" s="118">
        <v>48.9</v>
      </c>
      <c r="AL645" s="600" t="s">
        <v>432</v>
      </c>
      <c r="AM645" s="137" t="s">
        <v>432</v>
      </c>
      <c r="AN645" s="137" t="s">
        <v>432</v>
      </c>
      <c r="AO645" s="137" t="s">
        <v>432</v>
      </c>
      <c r="AP645" s="137" t="s">
        <v>432</v>
      </c>
      <c r="AQ645" s="137" t="s">
        <v>432</v>
      </c>
      <c r="AR645" s="137" t="s">
        <v>432</v>
      </c>
      <c r="AS645" s="137" t="s">
        <v>432</v>
      </c>
      <c r="AT645" s="137" t="s">
        <v>432</v>
      </c>
      <c r="AU645" s="137" t="s">
        <v>432</v>
      </c>
      <c r="AV645" s="137" t="s">
        <v>432</v>
      </c>
      <c r="AW645" s="137" t="s">
        <v>432</v>
      </c>
      <c r="AX645" s="137" t="s">
        <v>432</v>
      </c>
      <c r="AY645" s="137" t="s">
        <v>432</v>
      </c>
      <c r="AZ645" s="137" t="s">
        <v>432</v>
      </c>
      <c r="BA645" s="137" t="s">
        <v>432</v>
      </c>
      <c r="BB645" s="239" t="str">
        <f t="shared" si="115"/>
        <v>Distribuição modal em pesquisas de opiniãox</v>
      </c>
      <c r="BC645" s="239" t="str">
        <f t="shared" si="116"/>
        <v>Distribuição modal em pesquisas de opiniãoxx</v>
      </c>
      <c r="BD645" s="239" t="str">
        <f t="shared" si="117"/>
        <v>Distribuição modal em pesquisas de opiniãox</v>
      </c>
    </row>
    <row r="646" spans="1:56" s="1" customFormat="1" ht="70.5" customHeight="1" x14ac:dyDescent="0.25">
      <c r="A646" s="275" t="str">
        <f>'Q100b-totais'!$B$16</f>
        <v>2.1</v>
      </c>
      <c r="B646" s="54" t="str">
        <f>'Q100b-totais'!$C$16</f>
        <v>Distribuição modal em pesquisas de opinião</v>
      </c>
      <c r="C646" s="167" t="s">
        <v>432</v>
      </c>
      <c r="D646" s="323" t="s">
        <v>1170</v>
      </c>
      <c r="E646" s="1491" t="s">
        <v>1306</v>
      </c>
      <c r="F646" s="11" t="s">
        <v>2279</v>
      </c>
      <c r="G646" s="110" t="s">
        <v>77</v>
      </c>
      <c r="H646" s="233" t="s">
        <v>432</v>
      </c>
      <c r="I646" s="172">
        <v>1</v>
      </c>
      <c r="J646" s="109" t="s">
        <v>432</v>
      </c>
      <c r="K646" s="109" t="s">
        <v>432</v>
      </c>
      <c r="L646" s="109" t="s">
        <v>432</v>
      </c>
      <c r="M646" s="109" t="s">
        <v>432</v>
      </c>
      <c r="N646" s="109" t="s">
        <v>432</v>
      </c>
      <c r="O646" s="109" t="s">
        <v>432</v>
      </c>
      <c r="P646" s="109" t="s">
        <v>432</v>
      </c>
      <c r="Q646" s="109" t="s">
        <v>432</v>
      </c>
      <c r="R646" s="109" t="s">
        <v>432</v>
      </c>
      <c r="S646" s="109" t="s">
        <v>2209</v>
      </c>
      <c r="T646" s="109" t="s">
        <v>432</v>
      </c>
      <c r="U646" s="109" t="s">
        <v>432</v>
      </c>
      <c r="V646" s="109" t="s">
        <v>2209</v>
      </c>
      <c r="W646" s="109" t="s">
        <v>432</v>
      </c>
      <c r="X646" s="109" t="s">
        <v>432</v>
      </c>
      <c r="Y646" s="109" t="s">
        <v>432</v>
      </c>
      <c r="Z646" s="109" t="s">
        <v>432</v>
      </c>
      <c r="AA646" s="109" t="s">
        <v>432</v>
      </c>
      <c r="AB646" s="109" t="s">
        <v>432</v>
      </c>
      <c r="AC646" s="109" t="s">
        <v>432</v>
      </c>
      <c r="AD646" s="109" t="s">
        <v>432</v>
      </c>
      <c r="AE646" s="107" t="s">
        <v>2208</v>
      </c>
      <c r="AF646" s="109" t="s">
        <v>432</v>
      </c>
      <c r="AG646" s="109" t="s">
        <v>432</v>
      </c>
      <c r="AH646" s="107" t="s">
        <v>2208</v>
      </c>
      <c r="AI646" s="109" t="s">
        <v>432</v>
      </c>
      <c r="AJ646" s="107" t="s">
        <v>2208</v>
      </c>
      <c r="AK646" s="118">
        <v>8.5</v>
      </c>
      <c r="AL646" s="600" t="s">
        <v>432</v>
      </c>
      <c r="AM646" s="137"/>
      <c r="AN646" s="137"/>
      <c r="AO646" s="137"/>
      <c r="AP646" s="137"/>
      <c r="AQ646" s="137"/>
      <c r="AR646" s="137"/>
      <c r="AS646" s="137"/>
      <c r="AT646" s="137"/>
      <c r="AU646" s="137"/>
      <c r="AV646" s="137"/>
      <c r="AW646" s="137" t="s">
        <v>432</v>
      </c>
      <c r="AX646" s="137"/>
      <c r="AY646" s="137"/>
      <c r="AZ646" s="137"/>
      <c r="BA646" s="137"/>
      <c r="BB646" s="239"/>
      <c r="BC646" s="239"/>
      <c r="BD646" s="239"/>
    </row>
    <row r="647" spans="1:56" s="1" customFormat="1" ht="51" x14ac:dyDescent="0.25">
      <c r="A647" s="275" t="str">
        <f>'Q100b-totais'!$B$16</f>
        <v>2.1</v>
      </c>
      <c r="B647" s="54" t="str">
        <f>'Q100b-totais'!$C$16</f>
        <v>Distribuição modal em pesquisas de opinião</v>
      </c>
      <c r="C647" s="167" t="s">
        <v>432</v>
      </c>
      <c r="D647" s="323" t="s">
        <v>872</v>
      </c>
      <c r="E647" s="1491" t="s">
        <v>1306</v>
      </c>
      <c r="F647" s="11" t="s">
        <v>1553</v>
      </c>
      <c r="G647" s="110" t="s">
        <v>77</v>
      </c>
      <c r="H647" s="233" t="s">
        <v>432</v>
      </c>
      <c r="I647" s="172">
        <v>1</v>
      </c>
      <c r="J647" s="109" t="s">
        <v>432</v>
      </c>
      <c r="K647" s="109" t="s">
        <v>432</v>
      </c>
      <c r="L647" s="109" t="s">
        <v>432</v>
      </c>
      <c r="M647" s="109" t="s">
        <v>432</v>
      </c>
      <c r="N647" s="109" t="s">
        <v>432</v>
      </c>
      <c r="O647" s="85" t="s">
        <v>432</v>
      </c>
      <c r="P647" s="83">
        <v>3</v>
      </c>
      <c r="Q647" s="83" t="s">
        <v>432</v>
      </c>
      <c r="R647" s="83" t="s">
        <v>432</v>
      </c>
      <c r="S647" s="109" t="s">
        <v>2209</v>
      </c>
      <c r="T647" s="83" t="s">
        <v>432</v>
      </c>
      <c r="U647" s="83">
        <v>2</v>
      </c>
      <c r="V647" s="109" t="s">
        <v>2209</v>
      </c>
      <c r="W647" s="83">
        <v>2.77</v>
      </c>
      <c r="X647" s="83">
        <v>2.2999999999999998</v>
      </c>
      <c r="Y647" s="83">
        <v>3.04</v>
      </c>
      <c r="Z647" s="83">
        <v>1</v>
      </c>
      <c r="AA647" s="83">
        <v>3.6</v>
      </c>
      <c r="AB647" s="83">
        <v>5.56</v>
      </c>
      <c r="AC647" s="83">
        <v>3.56</v>
      </c>
      <c r="AD647" s="83">
        <v>5.04</v>
      </c>
      <c r="AE647" s="107" t="s">
        <v>2208</v>
      </c>
      <c r="AF647" s="83">
        <v>4.74</v>
      </c>
      <c r="AG647" s="83" t="s">
        <v>432</v>
      </c>
      <c r="AH647" s="107" t="s">
        <v>2208</v>
      </c>
      <c r="AI647" s="83">
        <v>3.78</v>
      </c>
      <c r="AJ647" s="107" t="s">
        <v>2208</v>
      </c>
      <c r="AK647" s="118">
        <v>4</v>
      </c>
      <c r="AL647" s="600" t="s">
        <v>432</v>
      </c>
      <c r="AM647" s="137" t="s">
        <v>432</v>
      </c>
      <c r="AN647" s="137" t="s">
        <v>432</v>
      </c>
      <c r="AO647" s="137" t="s">
        <v>432</v>
      </c>
      <c r="AP647" s="137" t="s">
        <v>432</v>
      </c>
      <c r="AQ647" s="137" t="s">
        <v>432</v>
      </c>
      <c r="AR647" s="137" t="s">
        <v>432</v>
      </c>
      <c r="AS647" s="137" t="s">
        <v>432</v>
      </c>
      <c r="AT647" s="137" t="s">
        <v>432</v>
      </c>
      <c r="AU647" s="137" t="s">
        <v>432</v>
      </c>
      <c r="AV647" s="137" t="s">
        <v>432</v>
      </c>
      <c r="AW647" s="137" t="s">
        <v>432</v>
      </c>
      <c r="AX647" s="137" t="s">
        <v>432</v>
      </c>
      <c r="AY647" s="137" t="s">
        <v>432</v>
      </c>
      <c r="AZ647" s="137" t="s">
        <v>432</v>
      </c>
      <c r="BA647" s="137" t="s">
        <v>432</v>
      </c>
      <c r="BB647" s="239" t="str">
        <f t="shared" ref="BB647:BB663" si="118">B647&amp;C647</f>
        <v>Distribuição modal em pesquisas de opiniãox</v>
      </c>
      <c r="BC647" s="239" t="str">
        <f t="shared" ref="BC647:BC663" si="119">B647&amp;C647&amp;H647</f>
        <v>Distribuição modal em pesquisas de opiniãoxx</v>
      </c>
      <c r="BD647" s="239" t="str">
        <f t="shared" ref="BD647:BD663" si="120">B647&amp;H647</f>
        <v>Distribuição modal em pesquisas de opiniãox</v>
      </c>
    </row>
    <row r="648" spans="1:56" s="1" customFormat="1" ht="51" x14ac:dyDescent="0.25">
      <c r="A648" s="275" t="str">
        <f>'Q100b-totais'!$B$16</f>
        <v>2.1</v>
      </c>
      <c r="B648" s="54" t="str">
        <f>'Q100b-totais'!$C$16</f>
        <v>Distribuição modal em pesquisas de opinião</v>
      </c>
      <c r="C648" s="167" t="s">
        <v>432</v>
      </c>
      <c r="D648" s="323" t="s">
        <v>830</v>
      </c>
      <c r="E648" s="1491" t="s">
        <v>1306</v>
      </c>
      <c r="F648" s="11" t="s">
        <v>1554</v>
      </c>
      <c r="G648" s="110" t="s">
        <v>77</v>
      </c>
      <c r="H648" s="233" t="s">
        <v>432</v>
      </c>
      <c r="I648" s="172">
        <v>1</v>
      </c>
      <c r="J648" s="109" t="s">
        <v>432</v>
      </c>
      <c r="K648" s="109" t="s">
        <v>432</v>
      </c>
      <c r="L648" s="109" t="s">
        <v>432</v>
      </c>
      <c r="M648" s="109" t="s">
        <v>432</v>
      </c>
      <c r="N648" s="109" t="s">
        <v>432</v>
      </c>
      <c r="O648" s="85" t="s">
        <v>432</v>
      </c>
      <c r="P648" s="83" t="s">
        <v>432</v>
      </c>
      <c r="Q648" s="83" t="s">
        <v>432</v>
      </c>
      <c r="R648" s="83" t="s">
        <v>432</v>
      </c>
      <c r="S648" s="109" t="s">
        <v>2209</v>
      </c>
      <c r="T648" s="83" t="s">
        <v>432</v>
      </c>
      <c r="U648" s="83" t="s">
        <v>432</v>
      </c>
      <c r="V648" s="109" t="s">
        <v>2209</v>
      </c>
      <c r="W648" s="83" t="s">
        <v>432</v>
      </c>
      <c r="X648" s="83" t="s">
        <v>432</v>
      </c>
      <c r="Y648" s="83" t="s">
        <v>432</v>
      </c>
      <c r="Z648" s="83" t="s">
        <v>432</v>
      </c>
      <c r="AA648" s="83" t="s">
        <v>432</v>
      </c>
      <c r="AB648" s="83">
        <v>0.14000000000000001</v>
      </c>
      <c r="AC648" s="83">
        <v>0.74</v>
      </c>
      <c r="AD648" s="83">
        <v>0.96</v>
      </c>
      <c r="AE648" s="107" t="s">
        <v>2208</v>
      </c>
      <c r="AF648" s="83">
        <v>1.7</v>
      </c>
      <c r="AG648" s="83" t="s">
        <v>432</v>
      </c>
      <c r="AH648" s="107" t="s">
        <v>2208</v>
      </c>
      <c r="AI648" s="83">
        <v>2</v>
      </c>
      <c r="AJ648" s="107" t="s">
        <v>2208</v>
      </c>
      <c r="AK648" s="118">
        <v>2.7</v>
      </c>
      <c r="AL648" s="600" t="s">
        <v>432</v>
      </c>
      <c r="AM648" s="137" t="s">
        <v>432</v>
      </c>
      <c r="AN648" s="137" t="s">
        <v>432</v>
      </c>
      <c r="AO648" s="137" t="s">
        <v>432</v>
      </c>
      <c r="AP648" s="137" t="s">
        <v>432</v>
      </c>
      <c r="AQ648" s="137" t="s">
        <v>432</v>
      </c>
      <c r="AR648" s="137" t="s">
        <v>432</v>
      </c>
      <c r="AS648" s="137" t="s">
        <v>432</v>
      </c>
      <c r="AT648" s="137" t="s">
        <v>432</v>
      </c>
      <c r="AU648" s="137" t="s">
        <v>432</v>
      </c>
      <c r="AV648" s="137" t="s">
        <v>432</v>
      </c>
      <c r="AW648" s="137" t="s">
        <v>432</v>
      </c>
      <c r="AX648" s="137" t="s">
        <v>432</v>
      </c>
      <c r="AY648" s="137" t="s">
        <v>432</v>
      </c>
      <c r="AZ648" s="137" t="s">
        <v>432</v>
      </c>
      <c r="BA648" s="137" t="s">
        <v>432</v>
      </c>
      <c r="BB648" s="239" t="str">
        <f t="shared" si="118"/>
        <v>Distribuição modal em pesquisas de opiniãox</v>
      </c>
      <c r="BC648" s="239" t="str">
        <f t="shared" si="119"/>
        <v>Distribuição modal em pesquisas de opiniãoxx</v>
      </c>
      <c r="BD648" s="239" t="str">
        <f t="shared" si="120"/>
        <v>Distribuição modal em pesquisas de opiniãox</v>
      </c>
    </row>
    <row r="649" spans="1:56" s="1" customFormat="1" ht="51" x14ac:dyDescent="0.25">
      <c r="A649" s="275" t="str">
        <f>'Q100b-totais'!$B$16</f>
        <v>2.1</v>
      </c>
      <c r="B649" s="54" t="str">
        <f>'Q100b-totais'!$C$16</f>
        <v>Distribuição modal em pesquisas de opinião</v>
      </c>
      <c r="C649" s="167" t="s">
        <v>432</v>
      </c>
      <c r="D649" s="323" t="s">
        <v>835</v>
      </c>
      <c r="E649" s="1491" t="s">
        <v>1306</v>
      </c>
      <c r="F649" s="11" t="s">
        <v>1555</v>
      </c>
      <c r="G649" s="110" t="s">
        <v>77</v>
      </c>
      <c r="H649" s="233" t="s">
        <v>432</v>
      </c>
      <c r="I649" s="172">
        <v>1</v>
      </c>
      <c r="J649" s="109" t="s">
        <v>432</v>
      </c>
      <c r="K649" s="109" t="s">
        <v>432</v>
      </c>
      <c r="L649" s="109" t="s">
        <v>432</v>
      </c>
      <c r="M649" s="109" t="s">
        <v>432</v>
      </c>
      <c r="N649" s="109" t="s">
        <v>432</v>
      </c>
      <c r="O649" s="85" t="s">
        <v>432</v>
      </c>
      <c r="P649" s="83">
        <v>1</v>
      </c>
      <c r="Q649" s="83" t="s">
        <v>432</v>
      </c>
      <c r="R649" s="83" t="s">
        <v>432</v>
      </c>
      <c r="S649" s="109" t="s">
        <v>2209</v>
      </c>
      <c r="T649" s="83" t="s">
        <v>432</v>
      </c>
      <c r="U649" s="83" t="s">
        <v>432</v>
      </c>
      <c r="V649" s="109" t="s">
        <v>2209</v>
      </c>
      <c r="W649" s="83">
        <v>0.57999999999999996</v>
      </c>
      <c r="X649" s="83">
        <v>1.1100000000000001</v>
      </c>
      <c r="Y649" s="83">
        <v>1.1100000000000001</v>
      </c>
      <c r="Z649" s="83">
        <v>0.2</v>
      </c>
      <c r="AA649" s="83">
        <v>0.5</v>
      </c>
      <c r="AB649" s="83">
        <v>0.28999999999999998</v>
      </c>
      <c r="AC649" s="83">
        <v>0.59</v>
      </c>
      <c r="AD649" s="83">
        <v>0.89</v>
      </c>
      <c r="AE649" s="107" t="s">
        <v>2208</v>
      </c>
      <c r="AF649" s="83">
        <v>1.48</v>
      </c>
      <c r="AG649" s="83" t="s">
        <v>432</v>
      </c>
      <c r="AH649" s="107" t="s">
        <v>2208</v>
      </c>
      <c r="AI649" s="83">
        <v>1.26</v>
      </c>
      <c r="AJ649" s="107" t="s">
        <v>2208</v>
      </c>
      <c r="AK649" s="118">
        <v>1.4</v>
      </c>
      <c r="AL649" s="600" t="s">
        <v>432</v>
      </c>
      <c r="AM649" s="137" t="s">
        <v>432</v>
      </c>
      <c r="AN649" s="137" t="s">
        <v>432</v>
      </c>
      <c r="AO649" s="137" t="s">
        <v>432</v>
      </c>
      <c r="AP649" s="137" t="s">
        <v>432</v>
      </c>
      <c r="AQ649" s="137" t="s">
        <v>432</v>
      </c>
      <c r="AR649" s="137" t="s">
        <v>432</v>
      </c>
      <c r="AS649" s="137" t="s">
        <v>432</v>
      </c>
      <c r="AT649" s="137" t="s">
        <v>432</v>
      </c>
      <c r="AU649" s="137" t="s">
        <v>432</v>
      </c>
      <c r="AV649" s="137" t="s">
        <v>432</v>
      </c>
      <c r="AW649" s="137" t="s">
        <v>432</v>
      </c>
      <c r="AX649" s="137" t="s">
        <v>432</v>
      </c>
      <c r="AY649" s="137" t="s">
        <v>432</v>
      </c>
      <c r="AZ649" s="137" t="s">
        <v>432</v>
      </c>
      <c r="BA649" s="137" t="s">
        <v>432</v>
      </c>
      <c r="BB649" s="239" t="str">
        <f t="shared" si="118"/>
        <v>Distribuição modal em pesquisas de opiniãox</v>
      </c>
      <c r="BC649" s="239" t="str">
        <f t="shared" si="119"/>
        <v>Distribuição modal em pesquisas de opiniãoxx</v>
      </c>
      <c r="BD649" s="239" t="str">
        <f t="shared" si="120"/>
        <v>Distribuição modal em pesquisas de opiniãox</v>
      </c>
    </row>
    <row r="650" spans="1:56" s="1" customFormat="1" ht="51" x14ac:dyDescent="0.25">
      <c r="A650" s="275" t="str">
        <f>'Q100b-totais'!$B$16</f>
        <v>2.1</v>
      </c>
      <c r="B650" s="54" t="str">
        <f>'Q100b-totais'!$C$16</f>
        <v>Distribuição modal em pesquisas de opinião</v>
      </c>
      <c r="C650" s="167" t="s">
        <v>432</v>
      </c>
      <c r="D650" s="323" t="s">
        <v>836</v>
      </c>
      <c r="E650" s="1491" t="s">
        <v>1306</v>
      </c>
      <c r="F650" s="11" t="s">
        <v>861</v>
      </c>
      <c r="G650" s="167" t="s">
        <v>871</v>
      </c>
      <c r="H650" s="233" t="s">
        <v>432</v>
      </c>
      <c r="I650" s="172">
        <v>1</v>
      </c>
      <c r="J650" s="109" t="s">
        <v>432</v>
      </c>
      <c r="K650" s="109" t="s">
        <v>432</v>
      </c>
      <c r="L650" s="109" t="s">
        <v>432</v>
      </c>
      <c r="M650" s="109" t="s">
        <v>432</v>
      </c>
      <c r="N650" s="109" t="s">
        <v>432</v>
      </c>
      <c r="O650" s="184" t="s">
        <v>432</v>
      </c>
      <c r="P650" s="184" t="s">
        <v>432</v>
      </c>
      <c r="Q650" s="184" t="s">
        <v>432</v>
      </c>
      <c r="R650" s="184" t="s">
        <v>432</v>
      </c>
      <c r="S650" s="109" t="s">
        <v>2209</v>
      </c>
      <c r="T650" s="184" t="s">
        <v>432</v>
      </c>
      <c r="U650" s="184" t="s">
        <v>432</v>
      </c>
      <c r="V650" s="109" t="s">
        <v>2209</v>
      </c>
      <c r="W650" s="184" t="s">
        <v>432</v>
      </c>
      <c r="X650" s="184" t="s">
        <v>432</v>
      </c>
      <c r="Y650" s="184" t="s">
        <v>432</v>
      </c>
      <c r="Z650" s="184" t="s">
        <v>432</v>
      </c>
      <c r="AA650" s="184" t="s">
        <v>432</v>
      </c>
      <c r="AB650" s="184" t="s">
        <v>432</v>
      </c>
      <c r="AC650" s="184" t="s">
        <v>432</v>
      </c>
      <c r="AD650" s="184" t="s">
        <v>432</v>
      </c>
      <c r="AE650" s="107" t="s">
        <v>2208</v>
      </c>
      <c r="AF650" s="184" t="s">
        <v>432</v>
      </c>
      <c r="AG650" s="184" t="s">
        <v>432</v>
      </c>
      <c r="AH650" s="107" t="s">
        <v>2208</v>
      </c>
      <c r="AI650" s="184" t="s">
        <v>432</v>
      </c>
      <c r="AJ650" s="107" t="s">
        <v>2208</v>
      </c>
      <c r="AK650" s="118" t="s">
        <v>1169</v>
      </c>
      <c r="AL650" s="600" t="s">
        <v>432</v>
      </c>
      <c r="AM650" s="137" t="s">
        <v>432</v>
      </c>
      <c r="AN650" s="137" t="s">
        <v>432</v>
      </c>
      <c r="AO650" s="137" t="s">
        <v>432</v>
      </c>
      <c r="AP650" s="137" t="s">
        <v>432</v>
      </c>
      <c r="AQ650" s="137" t="s">
        <v>432</v>
      </c>
      <c r="AR650" s="137" t="s">
        <v>432</v>
      </c>
      <c r="AS650" s="137" t="s">
        <v>432</v>
      </c>
      <c r="AT650" s="137" t="s">
        <v>432</v>
      </c>
      <c r="AU650" s="137" t="s">
        <v>432</v>
      </c>
      <c r="AV650" s="137" t="s">
        <v>432</v>
      </c>
      <c r="AW650" s="137" t="s">
        <v>432</v>
      </c>
      <c r="AX650" s="137" t="s">
        <v>432</v>
      </c>
      <c r="AY650" s="137" t="s">
        <v>432</v>
      </c>
      <c r="AZ650" s="137" t="s">
        <v>432</v>
      </c>
      <c r="BA650" s="137" t="s">
        <v>432</v>
      </c>
      <c r="BB650" s="239" t="str">
        <f t="shared" si="118"/>
        <v>Distribuição modal em pesquisas de opiniãox</v>
      </c>
      <c r="BC650" s="239" t="str">
        <f t="shared" si="119"/>
        <v>Distribuição modal em pesquisas de opiniãoxx</v>
      </c>
      <c r="BD650" s="239" t="str">
        <f t="shared" si="120"/>
        <v>Distribuição modal em pesquisas de opiniãox</v>
      </c>
    </row>
    <row r="651" spans="1:56" s="1" customFormat="1" ht="69" customHeight="1" x14ac:dyDescent="0.25">
      <c r="A651" s="275" t="str">
        <f>'Q100b-totais'!$B$16</f>
        <v>2.1</v>
      </c>
      <c r="B651" s="54" t="str">
        <f>'Q100b-totais'!$C$16</f>
        <v>Distribuição modal em pesquisas de opinião</v>
      </c>
      <c r="C651" s="167" t="s">
        <v>432</v>
      </c>
      <c r="D651" s="378" t="s">
        <v>833</v>
      </c>
      <c r="E651" s="1494" t="s">
        <v>1306</v>
      </c>
      <c r="F651" s="286" t="s">
        <v>2278</v>
      </c>
      <c r="G651" s="111" t="s">
        <v>828</v>
      </c>
      <c r="H651" s="233" t="s">
        <v>432</v>
      </c>
      <c r="I651" s="172">
        <v>1</v>
      </c>
      <c r="J651" s="109" t="s">
        <v>432</v>
      </c>
      <c r="K651" s="109" t="s">
        <v>432</v>
      </c>
      <c r="L651" s="109" t="s">
        <v>432</v>
      </c>
      <c r="M651" s="109" t="s">
        <v>432</v>
      </c>
      <c r="N651" s="109" t="s">
        <v>432</v>
      </c>
      <c r="O651" s="85" t="s">
        <v>432</v>
      </c>
      <c r="P651" s="64">
        <f>P645+P641</f>
        <v>76</v>
      </c>
      <c r="Q651" s="64" t="s">
        <v>432</v>
      </c>
      <c r="R651" s="64" t="s">
        <v>432</v>
      </c>
      <c r="S651" s="109" t="s">
        <v>2209</v>
      </c>
      <c r="T651" s="64" t="s">
        <v>432</v>
      </c>
      <c r="U651" s="64">
        <f>U645+U641</f>
        <v>79</v>
      </c>
      <c r="V651" s="109" t="s">
        <v>2209</v>
      </c>
      <c r="W651" s="64">
        <f>W645+W641</f>
        <v>80.790000000000006</v>
      </c>
      <c r="X651" s="64">
        <f>X645+X641</f>
        <v>80.45</v>
      </c>
      <c r="Y651" s="64">
        <f>Y645+Y641</f>
        <v>79.63</v>
      </c>
      <c r="Z651" s="64">
        <f>Z645+Z641</f>
        <v>76.83</v>
      </c>
      <c r="AA651" s="64">
        <f>AA645+AA641</f>
        <v>80</v>
      </c>
      <c r="AB651" s="64">
        <f>AB645+AB648+AB641</f>
        <v>70.540000000000006</v>
      </c>
      <c r="AC651" s="64">
        <f>AC645+AC648+AC641</f>
        <v>74.97</v>
      </c>
      <c r="AD651" s="64">
        <f>AD645+AD648+AD641</f>
        <v>69.769999999999982</v>
      </c>
      <c r="AE651" s="107" t="s">
        <v>2208</v>
      </c>
      <c r="AF651" s="64">
        <f>AF645+AF648+AF641</f>
        <v>67.850000000000009</v>
      </c>
      <c r="AG651" s="64" t="s">
        <v>432</v>
      </c>
      <c r="AH651" s="107" t="s">
        <v>2208</v>
      </c>
      <c r="AI651" s="64">
        <f>AI645+AI648+AI641</f>
        <v>67.190000000000012</v>
      </c>
      <c r="AJ651" s="107" t="s">
        <v>2208</v>
      </c>
      <c r="AK651" s="122">
        <f>AK645+AK646+AK648+AK641</f>
        <v>63.4</v>
      </c>
      <c r="AL651" s="600" t="s">
        <v>432</v>
      </c>
      <c r="AM651" s="137" t="s">
        <v>432</v>
      </c>
      <c r="AN651" s="137" t="s">
        <v>432</v>
      </c>
      <c r="AO651" s="137" t="s">
        <v>432</v>
      </c>
      <c r="AP651" s="137" t="s">
        <v>432</v>
      </c>
      <c r="AQ651" s="137" t="s">
        <v>432</v>
      </c>
      <c r="AR651" s="137" t="s">
        <v>432</v>
      </c>
      <c r="AS651" s="137" t="s">
        <v>432</v>
      </c>
      <c r="AT651" s="137" t="s">
        <v>432</v>
      </c>
      <c r="AU651" s="137" t="s">
        <v>432</v>
      </c>
      <c r="AV651" s="137" t="s">
        <v>432</v>
      </c>
      <c r="AW651" s="137" t="s">
        <v>432</v>
      </c>
      <c r="AX651" s="137" t="s">
        <v>432</v>
      </c>
      <c r="AY651" s="137" t="s">
        <v>432</v>
      </c>
      <c r="AZ651" s="137" t="s">
        <v>432</v>
      </c>
      <c r="BA651" s="137" t="s">
        <v>432</v>
      </c>
      <c r="BB651" s="239" t="str">
        <f t="shared" si="118"/>
        <v>Distribuição modal em pesquisas de opiniãox</v>
      </c>
      <c r="BC651" s="239" t="str">
        <f t="shared" si="119"/>
        <v>Distribuição modal em pesquisas de opiniãoxx</v>
      </c>
      <c r="BD651" s="239" t="str">
        <f t="shared" si="120"/>
        <v>Distribuição modal em pesquisas de opiniãox</v>
      </c>
    </row>
    <row r="652" spans="1:56" s="1" customFormat="1" ht="66.75" customHeight="1" x14ac:dyDescent="0.25">
      <c r="A652" s="275" t="str">
        <f>'Q100b-totais'!$B$16</f>
        <v>2.1</v>
      </c>
      <c r="B652" s="54" t="str">
        <f>'Q100b-totais'!$C$16</f>
        <v>Distribuição modal em pesquisas de opinião</v>
      </c>
      <c r="C652" s="167" t="s">
        <v>432</v>
      </c>
      <c r="D652" s="323" t="s">
        <v>855</v>
      </c>
      <c r="E652" s="1491" t="s">
        <v>1767</v>
      </c>
      <c r="F652" s="11" t="s">
        <v>1542</v>
      </c>
      <c r="G652" s="110" t="s">
        <v>77</v>
      </c>
      <c r="H652" s="233" t="s">
        <v>819</v>
      </c>
      <c r="I652" s="167" t="s">
        <v>432</v>
      </c>
      <c r="J652" s="109" t="s">
        <v>432</v>
      </c>
      <c r="K652" s="109" t="s">
        <v>432</v>
      </c>
      <c r="L652" s="109" t="s">
        <v>432</v>
      </c>
      <c r="M652" s="109" t="s">
        <v>432</v>
      </c>
      <c r="N652" s="109" t="s">
        <v>432</v>
      </c>
      <c r="O652" s="109" t="s">
        <v>432</v>
      </c>
      <c r="P652" s="109" t="s">
        <v>432</v>
      </c>
      <c r="Q652" s="109" t="s">
        <v>432</v>
      </c>
      <c r="R652" s="109" t="s">
        <v>432</v>
      </c>
      <c r="S652" s="109" t="s">
        <v>2209</v>
      </c>
      <c r="T652" s="109" t="s">
        <v>432</v>
      </c>
      <c r="U652" s="109" t="s">
        <v>432</v>
      </c>
      <c r="V652" s="109" t="s">
        <v>2209</v>
      </c>
      <c r="W652" s="109" t="s">
        <v>432</v>
      </c>
      <c r="X652" s="109" t="s">
        <v>432</v>
      </c>
      <c r="Y652" s="109" t="s">
        <v>432</v>
      </c>
      <c r="Z652" s="109" t="s">
        <v>432</v>
      </c>
      <c r="AA652" s="109" t="s">
        <v>432</v>
      </c>
      <c r="AB652" s="109" t="s">
        <v>432</v>
      </c>
      <c r="AC652" s="109" t="s">
        <v>432</v>
      </c>
      <c r="AD652" s="109" t="s">
        <v>432</v>
      </c>
      <c r="AE652" s="107" t="s">
        <v>2208</v>
      </c>
      <c r="AF652" s="109" t="s">
        <v>432</v>
      </c>
      <c r="AG652" s="125">
        <v>0.42</v>
      </c>
      <c r="AH652" s="107" t="s">
        <v>2208</v>
      </c>
      <c r="AI652" s="109" t="s">
        <v>432</v>
      </c>
      <c r="AJ652" s="107" t="s">
        <v>2208</v>
      </c>
      <c r="AK652" s="137" t="s">
        <v>432</v>
      </c>
      <c r="AL652" s="600" t="s">
        <v>432</v>
      </c>
      <c r="AM652" s="137" t="s">
        <v>432</v>
      </c>
      <c r="AN652" s="137" t="s">
        <v>432</v>
      </c>
      <c r="AO652" s="137" t="s">
        <v>432</v>
      </c>
      <c r="AP652" s="137" t="s">
        <v>432</v>
      </c>
      <c r="AQ652" s="137" t="s">
        <v>432</v>
      </c>
      <c r="AR652" s="137" t="s">
        <v>432</v>
      </c>
      <c r="AS652" s="137" t="s">
        <v>432</v>
      </c>
      <c r="AT652" s="137" t="s">
        <v>432</v>
      </c>
      <c r="AU652" s="137" t="s">
        <v>432</v>
      </c>
      <c r="AV652" s="137" t="s">
        <v>432</v>
      </c>
      <c r="AW652" s="137" t="s">
        <v>432</v>
      </c>
      <c r="AX652" s="137" t="s">
        <v>432</v>
      </c>
      <c r="AY652" s="137" t="s">
        <v>432</v>
      </c>
      <c r="AZ652" s="137" t="s">
        <v>432</v>
      </c>
      <c r="BA652" s="137" t="s">
        <v>432</v>
      </c>
      <c r="BB652" s="239" t="str">
        <f t="shared" si="118"/>
        <v>Distribuição modal em pesquisas de opiniãox</v>
      </c>
      <c r="BC652" s="239" t="str">
        <f t="shared" si="119"/>
        <v>Distribuição modal em pesquisas de opiniãoxbenchmarking</v>
      </c>
      <c r="BD652" s="239" t="str">
        <f t="shared" si="120"/>
        <v>Distribuição modal em pesquisas de opiniãobenchmarking</v>
      </c>
    </row>
    <row r="653" spans="1:56" s="1" customFormat="1" ht="82.5" customHeight="1" x14ac:dyDescent="0.25">
      <c r="A653" s="275" t="str">
        <f>'Q100b-totais'!$B$16</f>
        <v>2.1</v>
      </c>
      <c r="B653" s="54" t="str">
        <f>'Q100b-totais'!$C$16</f>
        <v>Distribuição modal em pesquisas de opinião</v>
      </c>
      <c r="C653" s="167" t="s">
        <v>432</v>
      </c>
      <c r="D653" s="323" t="s">
        <v>856</v>
      </c>
      <c r="E653" s="1491" t="s">
        <v>1767</v>
      </c>
      <c r="F653" s="11" t="s">
        <v>1543</v>
      </c>
      <c r="G653" s="110" t="s">
        <v>77</v>
      </c>
      <c r="H653" s="233" t="s">
        <v>819</v>
      </c>
      <c r="I653" s="167" t="s">
        <v>432</v>
      </c>
      <c r="J653" s="109" t="s">
        <v>432</v>
      </c>
      <c r="K653" s="109" t="s">
        <v>432</v>
      </c>
      <c r="L653" s="109" t="s">
        <v>432</v>
      </c>
      <c r="M653" s="109" t="s">
        <v>432</v>
      </c>
      <c r="N653" s="109" t="s">
        <v>432</v>
      </c>
      <c r="O653" s="109" t="s">
        <v>432</v>
      </c>
      <c r="P653" s="109" t="s">
        <v>432</v>
      </c>
      <c r="Q653" s="109" t="s">
        <v>432</v>
      </c>
      <c r="R653" s="109" t="s">
        <v>432</v>
      </c>
      <c r="S653" s="109" t="s">
        <v>2209</v>
      </c>
      <c r="T653" s="109" t="s">
        <v>432</v>
      </c>
      <c r="U653" s="109" t="s">
        <v>432</v>
      </c>
      <c r="V653" s="109" t="s">
        <v>2209</v>
      </c>
      <c r="W653" s="109" t="s">
        <v>432</v>
      </c>
      <c r="X653" s="109" t="s">
        <v>432</v>
      </c>
      <c r="Y653" s="109" t="s">
        <v>432</v>
      </c>
      <c r="Z653" s="109" t="s">
        <v>432</v>
      </c>
      <c r="AA653" s="109" t="s">
        <v>432</v>
      </c>
      <c r="AB653" s="109" t="s">
        <v>432</v>
      </c>
      <c r="AC653" s="109" t="s">
        <v>432</v>
      </c>
      <c r="AD653" s="109" t="s">
        <v>432</v>
      </c>
      <c r="AE653" s="107" t="s">
        <v>2208</v>
      </c>
      <c r="AF653" s="109" t="s">
        <v>432</v>
      </c>
      <c r="AG653" s="125">
        <v>0.45</v>
      </c>
      <c r="AH653" s="107" t="s">
        <v>2208</v>
      </c>
      <c r="AI653" s="109" t="s">
        <v>432</v>
      </c>
      <c r="AJ653" s="107" t="s">
        <v>2208</v>
      </c>
      <c r="AK653" s="137" t="s">
        <v>432</v>
      </c>
      <c r="AL653" s="600" t="s">
        <v>432</v>
      </c>
      <c r="AM653" s="137" t="s">
        <v>432</v>
      </c>
      <c r="AN653" s="137" t="s">
        <v>432</v>
      </c>
      <c r="AO653" s="137" t="s">
        <v>432</v>
      </c>
      <c r="AP653" s="137" t="s">
        <v>432</v>
      </c>
      <c r="AQ653" s="137" t="s">
        <v>432</v>
      </c>
      <c r="AR653" s="137" t="s">
        <v>432</v>
      </c>
      <c r="AS653" s="137" t="s">
        <v>432</v>
      </c>
      <c r="AT653" s="137" t="s">
        <v>432</v>
      </c>
      <c r="AU653" s="137" t="s">
        <v>432</v>
      </c>
      <c r="AV653" s="137" t="s">
        <v>432</v>
      </c>
      <c r="AW653" s="137" t="s">
        <v>432</v>
      </c>
      <c r="AX653" s="137" t="s">
        <v>432</v>
      </c>
      <c r="AY653" s="137" t="s">
        <v>432</v>
      </c>
      <c r="AZ653" s="137" t="s">
        <v>432</v>
      </c>
      <c r="BA653" s="137" t="s">
        <v>432</v>
      </c>
      <c r="BB653" s="239" t="str">
        <f t="shared" si="118"/>
        <v>Distribuição modal em pesquisas de opiniãox</v>
      </c>
      <c r="BC653" s="239" t="str">
        <f t="shared" si="119"/>
        <v>Distribuição modal em pesquisas de opiniãoxbenchmarking</v>
      </c>
      <c r="BD653" s="239" t="str">
        <f t="shared" si="120"/>
        <v>Distribuição modal em pesquisas de opiniãobenchmarking</v>
      </c>
    </row>
    <row r="654" spans="1:56" s="1" customFormat="1" ht="87.75" customHeight="1" x14ac:dyDescent="0.25">
      <c r="A654" s="275" t="str">
        <f>'Q100b-totais'!$B$16</f>
        <v>2.1</v>
      </c>
      <c r="B654" s="54" t="str">
        <f>'Q100b-totais'!$C$16</f>
        <v>Distribuição modal em pesquisas de opinião</v>
      </c>
      <c r="C654" s="167" t="s">
        <v>432</v>
      </c>
      <c r="D654" s="378" t="s">
        <v>858</v>
      </c>
      <c r="E654" s="1494" t="s">
        <v>1767</v>
      </c>
      <c r="F654" s="286" t="s">
        <v>1544</v>
      </c>
      <c r="G654" s="110" t="s">
        <v>77</v>
      </c>
      <c r="H654" s="233" t="s">
        <v>819</v>
      </c>
      <c r="I654" s="167" t="s">
        <v>432</v>
      </c>
      <c r="J654" s="109" t="s">
        <v>432</v>
      </c>
      <c r="K654" s="109" t="s">
        <v>432</v>
      </c>
      <c r="L654" s="109" t="s">
        <v>432</v>
      </c>
      <c r="M654" s="109" t="s">
        <v>432</v>
      </c>
      <c r="N654" s="109" t="s">
        <v>432</v>
      </c>
      <c r="O654" s="109" t="s">
        <v>432</v>
      </c>
      <c r="P654" s="109" t="s">
        <v>432</v>
      </c>
      <c r="Q654" s="109" t="s">
        <v>432</v>
      </c>
      <c r="R654" s="109" t="s">
        <v>432</v>
      </c>
      <c r="S654" s="109" t="s">
        <v>2209</v>
      </c>
      <c r="T654" s="109" t="s">
        <v>432</v>
      </c>
      <c r="U654" s="109" t="s">
        <v>432</v>
      </c>
      <c r="V654" s="109" t="s">
        <v>2209</v>
      </c>
      <c r="W654" s="109" t="s">
        <v>432</v>
      </c>
      <c r="X654" s="109" t="s">
        <v>432</v>
      </c>
      <c r="Y654" s="109" t="s">
        <v>432</v>
      </c>
      <c r="Z654" s="109" t="s">
        <v>432</v>
      </c>
      <c r="AA654" s="109" t="s">
        <v>432</v>
      </c>
      <c r="AB654" s="109" t="s">
        <v>432</v>
      </c>
      <c r="AC654" s="109" t="s">
        <v>432</v>
      </c>
      <c r="AD654" s="109" t="s">
        <v>432</v>
      </c>
      <c r="AE654" s="107" t="s">
        <v>2208</v>
      </c>
      <c r="AF654" s="109" t="s">
        <v>432</v>
      </c>
      <c r="AG654" s="125">
        <v>0.79</v>
      </c>
      <c r="AH654" s="107" t="s">
        <v>2208</v>
      </c>
      <c r="AI654" s="109" t="s">
        <v>432</v>
      </c>
      <c r="AJ654" s="107" t="s">
        <v>2208</v>
      </c>
      <c r="AK654" s="137" t="s">
        <v>432</v>
      </c>
      <c r="AL654" s="600" t="s">
        <v>432</v>
      </c>
      <c r="AM654" s="137" t="s">
        <v>432</v>
      </c>
      <c r="AN654" s="137" t="s">
        <v>432</v>
      </c>
      <c r="AO654" s="137" t="s">
        <v>432</v>
      </c>
      <c r="AP654" s="137" t="s">
        <v>432</v>
      </c>
      <c r="AQ654" s="137" t="s">
        <v>432</v>
      </c>
      <c r="AR654" s="137" t="s">
        <v>432</v>
      </c>
      <c r="AS654" s="137" t="s">
        <v>432</v>
      </c>
      <c r="AT654" s="137" t="s">
        <v>432</v>
      </c>
      <c r="AU654" s="137" t="s">
        <v>432</v>
      </c>
      <c r="AV654" s="137" t="s">
        <v>432</v>
      </c>
      <c r="AW654" s="137" t="s">
        <v>432</v>
      </c>
      <c r="AX654" s="137" t="s">
        <v>432</v>
      </c>
      <c r="AY654" s="137" t="s">
        <v>432</v>
      </c>
      <c r="AZ654" s="137" t="s">
        <v>432</v>
      </c>
      <c r="BA654" s="137" t="s">
        <v>432</v>
      </c>
      <c r="BB654" s="239" t="str">
        <f t="shared" si="118"/>
        <v>Distribuição modal em pesquisas de opiniãox</v>
      </c>
      <c r="BC654" s="239" t="str">
        <f t="shared" si="119"/>
        <v>Distribuição modal em pesquisas de opiniãoxbenchmarking</v>
      </c>
      <c r="BD654" s="239" t="str">
        <f t="shared" si="120"/>
        <v>Distribuição modal em pesquisas de opiniãobenchmarking</v>
      </c>
    </row>
    <row r="655" spans="1:56" s="1" customFormat="1" ht="69" customHeight="1" x14ac:dyDescent="0.25">
      <c r="A655" s="275" t="str">
        <f>'Q100b-totais'!$B$16</f>
        <v>2.1</v>
      </c>
      <c r="B655" s="54" t="str">
        <f>'Q100b-totais'!$C$16</f>
        <v>Distribuição modal em pesquisas de opinião</v>
      </c>
      <c r="C655" s="167" t="s">
        <v>432</v>
      </c>
      <c r="D655" s="378" t="s">
        <v>857</v>
      </c>
      <c r="E655" s="1494" t="s">
        <v>1767</v>
      </c>
      <c r="F655" s="286" t="s">
        <v>1545</v>
      </c>
      <c r="G655" s="110" t="s">
        <v>77</v>
      </c>
      <c r="H655" s="233" t="s">
        <v>819</v>
      </c>
      <c r="I655" s="167" t="s">
        <v>432</v>
      </c>
      <c r="J655" s="109" t="s">
        <v>432</v>
      </c>
      <c r="K655" s="109" t="s">
        <v>432</v>
      </c>
      <c r="L655" s="109" t="s">
        <v>432</v>
      </c>
      <c r="M655" s="109" t="s">
        <v>432</v>
      </c>
      <c r="N655" s="109" t="s">
        <v>432</v>
      </c>
      <c r="O655" s="109" t="s">
        <v>432</v>
      </c>
      <c r="P655" s="109" t="s">
        <v>432</v>
      </c>
      <c r="Q655" s="109" t="s">
        <v>432</v>
      </c>
      <c r="R655" s="109" t="s">
        <v>432</v>
      </c>
      <c r="S655" s="109" t="s">
        <v>2209</v>
      </c>
      <c r="T655" s="109" t="s">
        <v>432</v>
      </c>
      <c r="U655" s="109" t="s">
        <v>432</v>
      </c>
      <c r="V655" s="109" t="s">
        <v>2209</v>
      </c>
      <c r="W655" s="109" t="s">
        <v>432</v>
      </c>
      <c r="X655" s="109" t="s">
        <v>432</v>
      </c>
      <c r="Y655" s="109" t="s">
        <v>432</v>
      </c>
      <c r="Z655" s="109" t="s">
        <v>432</v>
      </c>
      <c r="AA655" s="109" t="s">
        <v>432</v>
      </c>
      <c r="AB655" s="109" t="s">
        <v>432</v>
      </c>
      <c r="AC655" s="109" t="s">
        <v>432</v>
      </c>
      <c r="AD655" s="109" t="s">
        <v>432</v>
      </c>
      <c r="AE655" s="107" t="s">
        <v>2208</v>
      </c>
      <c r="AF655" s="109" t="s">
        <v>432</v>
      </c>
      <c r="AG655" s="125">
        <v>0.71</v>
      </c>
      <c r="AH655" s="107" t="s">
        <v>2208</v>
      </c>
      <c r="AI655" s="109" t="s">
        <v>432</v>
      </c>
      <c r="AJ655" s="107" t="s">
        <v>2208</v>
      </c>
      <c r="AK655" s="137" t="s">
        <v>432</v>
      </c>
      <c r="AL655" s="600" t="s">
        <v>432</v>
      </c>
      <c r="AM655" s="137" t="s">
        <v>432</v>
      </c>
      <c r="AN655" s="137" t="s">
        <v>432</v>
      </c>
      <c r="AO655" s="137" t="s">
        <v>432</v>
      </c>
      <c r="AP655" s="137" t="s">
        <v>432</v>
      </c>
      <c r="AQ655" s="137" t="s">
        <v>432</v>
      </c>
      <c r="AR655" s="137" t="s">
        <v>432</v>
      </c>
      <c r="AS655" s="137" t="s">
        <v>432</v>
      </c>
      <c r="AT655" s="137" t="s">
        <v>432</v>
      </c>
      <c r="AU655" s="137" t="s">
        <v>432</v>
      </c>
      <c r="AV655" s="137" t="s">
        <v>432</v>
      </c>
      <c r="AW655" s="137" t="s">
        <v>432</v>
      </c>
      <c r="AX655" s="137" t="s">
        <v>432</v>
      </c>
      <c r="AY655" s="137" t="s">
        <v>432</v>
      </c>
      <c r="AZ655" s="137" t="s">
        <v>432</v>
      </c>
      <c r="BA655" s="137" t="s">
        <v>432</v>
      </c>
      <c r="BB655" s="239" t="str">
        <f t="shared" si="118"/>
        <v>Distribuição modal em pesquisas de opiniãox</v>
      </c>
      <c r="BC655" s="239" t="str">
        <f t="shared" si="119"/>
        <v>Distribuição modal em pesquisas de opiniãoxbenchmarking</v>
      </c>
      <c r="BD655" s="239" t="str">
        <f t="shared" si="120"/>
        <v>Distribuição modal em pesquisas de opiniãobenchmarking</v>
      </c>
    </row>
    <row r="656" spans="1:56" s="1" customFormat="1" ht="51" x14ac:dyDescent="0.25">
      <c r="A656" s="275" t="str">
        <f>'Q100b-totais'!$B$16</f>
        <v>2.1</v>
      </c>
      <c r="B656" s="54" t="str">
        <f>'Q100b-totais'!$C$16</f>
        <v>Distribuição modal em pesquisas de opinião</v>
      </c>
      <c r="C656" s="167" t="s">
        <v>432</v>
      </c>
      <c r="D656" s="323" t="s">
        <v>859</v>
      </c>
      <c r="E656" s="1491" t="s">
        <v>1767</v>
      </c>
      <c r="F656" s="11" t="s">
        <v>1546</v>
      </c>
      <c r="G656" s="110" t="s">
        <v>77</v>
      </c>
      <c r="H656" s="233" t="s">
        <v>819</v>
      </c>
      <c r="I656" s="167" t="s">
        <v>432</v>
      </c>
      <c r="J656" s="109" t="s">
        <v>432</v>
      </c>
      <c r="K656" s="109" t="s">
        <v>432</v>
      </c>
      <c r="L656" s="109" t="s">
        <v>432</v>
      </c>
      <c r="M656" s="109" t="s">
        <v>432</v>
      </c>
      <c r="N656" s="109" t="s">
        <v>432</v>
      </c>
      <c r="O656" s="109" t="s">
        <v>432</v>
      </c>
      <c r="P656" s="109" t="s">
        <v>432</v>
      </c>
      <c r="Q656" s="109" t="s">
        <v>432</v>
      </c>
      <c r="R656" s="109" t="s">
        <v>432</v>
      </c>
      <c r="S656" s="109" t="s">
        <v>2209</v>
      </c>
      <c r="T656" s="109" t="s">
        <v>432</v>
      </c>
      <c r="U656" s="109" t="s">
        <v>432</v>
      </c>
      <c r="V656" s="109" t="s">
        <v>2209</v>
      </c>
      <c r="W656" s="109" t="s">
        <v>432</v>
      </c>
      <c r="X656" s="109" t="s">
        <v>432</v>
      </c>
      <c r="Y656" s="109" t="s">
        <v>432</v>
      </c>
      <c r="Z656" s="109" t="s">
        <v>432</v>
      </c>
      <c r="AA656" s="109" t="s">
        <v>432</v>
      </c>
      <c r="AB656" s="109" t="s">
        <v>432</v>
      </c>
      <c r="AC656" s="109" t="s">
        <v>432</v>
      </c>
      <c r="AD656" s="109" t="s">
        <v>432</v>
      </c>
      <c r="AE656" s="107" t="s">
        <v>2208</v>
      </c>
      <c r="AF656" s="109" t="s">
        <v>432</v>
      </c>
      <c r="AG656" s="125">
        <v>0.48</v>
      </c>
      <c r="AH656" s="107" t="s">
        <v>2208</v>
      </c>
      <c r="AI656" s="109" t="s">
        <v>432</v>
      </c>
      <c r="AJ656" s="107" t="s">
        <v>2208</v>
      </c>
      <c r="AK656" s="137" t="s">
        <v>432</v>
      </c>
      <c r="AL656" s="600" t="s">
        <v>432</v>
      </c>
      <c r="AM656" s="137" t="s">
        <v>432</v>
      </c>
      <c r="AN656" s="137" t="s">
        <v>432</v>
      </c>
      <c r="AO656" s="137" t="s">
        <v>432</v>
      </c>
      <c r="AP656" s="137" t="s">
        <v>432</v>
      </c>
      <c r="AQ656" s="137" t="s">
        <v>432</v>
      </c>
      <c r="AR656" s="137" t="s">
        <v>432</v>
      </c>
      <c r="AS656" s="137" t="s">
        <v>432</v>
      </c>
      <c r="AT656" s="137" t="s">
        <v>432</v>
      </c>
      <c r="AU656" s="137" t="s">
        <v>432</v>
      </c>
      <c r="AV656" s="137" t="s">
        <v>432</v>
      </c>
      <c r="AW656" s="137" t="s">
        <v>432</v>
      </c>
      <c r="AX656" s="137" t="s">
        <v>432</v>
      </c>
      <c r="AY656" s="137" t="s">
        <v>432</v>
      </c>
      <c r="AZ656" s="137" t="s">
        <v>432</v>
      </c>
      <c r="BA656" s="137" t="s">
        <v>432</v>
      </c>
      <c r="BB656" s="239" t="str">
        <f t="shared" si="118"/>
        <v>Distribuição modal em pesquisas de opiniãox</v>
      </c>
      <c r="BC656" s="239" t="str">
        <f t="shared" si="119"/>
        <v>Distribuição modal em pesquisas de opiniãoxbenchmarking</v>
      </c>
      <c r="BD656" s="239" t="str">
        <f t="shared" si="120"/>
        <v>Distribuição modal em pesquisas de opiniãobenchmarking</v>
      </c>
    </row>
    <row r="657" spans="1:56" s="1" customFormat="1" ht="51" x14ac:dyDescent="0.25">
      <c r="A657" s="275" t="str">
        <f>'Q100b-totais'!$B$16</f>
        <v>2.1</v>
      </c>
      <c r="B657" s="54" t="str">
        <f>'Q100b-totais'!$C$16</f>
        <v>Distribuição modal em pesquisas de opinião</v>
      </c>
      <c r="C657" s="167" t="s">
        <v>432</v>
      </c>
      <c r="D657" s="378" t="s">
        <v>832</v>
      </c>
      <c r="E657" s="1494" t="s">
        <v>1306</v>
      </c>
      <c r="F657" s="286" t="s">
        <v>862</v>
      </c>
      <c r="G657" s="111" t="s">
        <v>152</v>
      </c>
      <c r="H657" s="233" t="s">
        <v>432</v>
      </c>
      <c r="I657" s="172">
        <v>1</v>
      </c>
      <c r="J657" s="109" t="s">
        <v>432</v>
      </c>
      <c r="K657" s="109" t="s">
        <v>432</v>
      </c>
      <c r="L657" s="109" t="s">
        <v>432</v>
      </c>
      <c r="M657" s="109" t="s">
        <v>432</v>
      </c>
      <c r="N657" s="109" t="s">
        <v>432</v>
      </c>
      <c r="O657" s="85" t="s">
        <v>432</v>
      </c>
      <c r="P657" s="64">
        <f>P649+P639+P642</f>
        <v>20</v>
      </c>
      <c r="Q657" s="64" t="s">
        <v>432</v>
      </c>
      <c r="R657" s="64" t="s">
        <v>432</v>
      </c>
      <c r="S657" s="109" t="s">
        <v>2209</v>
      </c>
      <c r="T657" s="64" t="s">
        <v>432</v>
      </c>
      <c r="U657" s="64">
        <f>U639</f>
        <v>15</v>
      </c>
      <c r="V657" s="109" t="s">
        <v>2209</v>
      </c>
      <c r="W657" s="64">
        <f t="shared" ref="W657:AD657" si="121">W649+W639+W642</f>
        <v>16.28</v>
      </c>
      <c r="X657" s="64">
        <f t="shared" si="121"/>
        <v>16.59</v>
      </c>
      <c r="Y657" s="64">
        <f t="shared" si="121"/>
        <v>16.52</v>
      </c>
      <c r="Z657" s="64">
        <f t="shared" si="121"/>
        <v>22.18</v>
      </c>
      <c r="AA657" s="64">
        <f t="shared" si="121"/>
        <v>15.7</v>
      </c>
      <c r="AB657" s="64">
        <f t="shared" si="121"/>
        <v>23.54</v>
      </c>
      <c r="AC657" s="64">
        <f t="shared" si="121"/>
        <v>20.88</v>
      </c>
      <c r="AD657" s="64">
        <f t="shared" si="121"/>
        <v>24.450000000000003</v>
      </c>
      <c r="AE657" s="107" t="s">
        <v>2208</v>
      </c>
      <c r="AF657" s="64">
        <f>AF649+AF639+AF642</f>
        <v>26.880000000000003</v>
      </c>
      <c r="AG657" s="64" t="s">
        <v>432</v>
      </c>
      <c r="AH657" s="107" t="s">
        <v>2208</v>
      </c>
      <c r="AI657" s="64">
        <f>AI649+AI639+AI642</f>
        <v>28.520000000000003</v>
      </c>
      <c r="AJ657" s="107" t="s">
        <v>2208</v>
      </c>
      <c r="AK657" s="122">
        <f>AK649+AK639+AK642</f>
        <v>32.1</v>
      </c>
      <c r="AL657" s="600" t="s">
        <v>432</v>
      </c>
      <c r="AM657" s="137" t="s">
        <v>432</v>
      </c>
      <c r="AN657" s="137" t="s">
        <v>432</v>
      </c>
      <c r="AO657" s="137" t="s">
        <v>432</v>
      </c>
      <c r="AP657" s="137" t="s">
        <v>432</v>
      </c>
      <c r="AQ657" s="137" t="s">
        <v>432</v>
      </c>
      <c r="AR657" s="137" t="s">
        <v>432</v>
      </c>
      <c r="AS657" s="137" t="s">
        <v>432</v>
      </c>
      <c r="AT657" s="137" t="s">
        <v>432</v>
      </c>
      <c r="AU657" s="137" t="s">
        <v>432</v>
      </c>
      <c r="AV657" s="137" t="s">
        <v>432</v>
      </c>
      <c r="AW657" s="137" t="s">
        <v>432</v>
      </c>
      <c r="AX657" s="137" t="s">
        <v>432</v>
      </c>
      <c r="AY657" s="137" t="s">
        <v>432</v>
      </c>
      <c r="AZ657" s="137" t="s">
        <v>432</v>
      </c>
      <c r="BA657" s="137" t="s">
        <v>432</v>
      </c>
      <c r="BB657" s="239" t="str">
        <f t="shared" si="118"/>
        <v>Distribuição modal em pesquisas de opiniãox</v>
      </c>
      <c r="BC657" s="239" t="str">
        <f t="shared" si="119"/>
        <v>Distribuição modal em pesquisas de opiniãoxx</v>
      </c>
      <c r="BD657" s="239" t="str">
        <f t="shared" si="120"/>
        <v>Distribuição modal em pesquisas de opiniãox</v>
      </c>
    </row>
    <row r="658" spans="1:56" s="1" customFormat="1" ht="75.75" customHeight="1" x14ac:dyDescent="0.25">
      <c r="A658" s="275" t="str">
        <f>'Q100b-totais'!$B$16</f>
        <v>2.1</v>
      </c>
      <c r="B658" s="54" t="str">
        <f>'Q100b-totais'!$C$16</f>
        <v>Distribuição modal em pesquisas de opinião</v>
      </c>
      <c r="C658" s="167" t="s">
        <v>432</v>
      </c>
      <c r="D658" s="323" t="s">
        <v>848</v>
      </c>
      <c r="E658" s="1491" t="s">
        <v>1767</v>
      </c>
      <c r="F658" s="11" t="s">
        <v>1793</v>
      </c>
      <c r="G658" s="110" t="s">
        <v>77</v>
      </c>
      <c r="H658" s="233" t="s">
        <v>819</v>
      </c>
      <c r="I658" s="167" t="s">
        <v>432</v>
      </c>
      <c r="J658" s="107" t="s">
        <v>432</v>
      </c>
      <c r="K658" s="109" t="s">
        <v>432</v>
      </c>
      <c r="L658" s="109" t="s">
        <v>432</v>
      </c>
      <c r="M658" s="109" t="s">
        <v>432</v>
      </c>
      <c r="N658" s="109" t="s">
        <v>432</v>
      </c>
      <c r="O658" s="109" t="s">
        <v>432</v>
      </c>
      <c r="P658" s="109" t="s">
        <v>432</v>
      </c>
      <c r="Q658" s="109" t="s">
        <v>432</v>
      </c>
      <c r="R658" s="107" t="s">
        <v>432</v>
      </c>
      <c r="S658" s="109" t="s">
        <v>2209</v>
      </c>
      <c r="T658" s="107" t="s">
        <v>432</v>
      </c>
      <c r="U658" s="107" t="s">
        <v>432</v>
      </c>
      <c r="V658" s="109" t="s">
        <v>2209</v>
      </c>
      <c r="W658" s="107" t="s">
        <v>432</v>
      </c>
      <c r="X658" s="107" t="s">
        <v>432</v>
      </c>
      <c r="Y658" s="107" t="s">
        <v>432</v>
      </c>
      <c r="Z658" s="107" t="s">
        <v>432</v>
      </c>
      <c r="AA658" s="107" t="s">
        <v>432</v>
      </c>
      <c r="AB658" s="107" t="s">
        <v>432</v>
      </c>
      <c r="AC658" s="107" t="s">
        <v>432</v>
      </c>
      <c r="AD658" s="107" t="s">
        <v>432</v>
      </c>
      <c r="AE658" s="107" t="s">
        <v>2208</v>
      </c>
      <c r="AF658" s="125">
        <v>0.443</v>
      </c>
      <c r="AG658" s="107" t="s">
        <v>432</v>
      </c>
      <c r="AH658" s="107" t="s">
        <v>2208</v>
      </c>
      <c r="AI658" s="107" t="s">
        <v>432</v>
      </c>
      <c r="AJ658" s="107" t="s">
        <v>2208</v>
      </c>
      <c r="AK658" s="137" t="s">
        <v>432</v>
      </c>
      <c r="AL658" s="600" t="s">
        <v>432</v>
      </c>
      <c r="AM658" s="137" t="s">
        <v>432</v>
      </c>
      <c r="AN658" s="137" t="s">
        <v>432</v>
      </c>
      <c r="AO658" s="137" t="s">
        <v>432</v>
      </c>
      <c r="AP658" s="137" t="s">
        <v>432</v>
      </c>
      <c r="AQ658" s="137" t="s">
        <v>432</v>
      </c>
      <c r="AR658" s="137" t="s">
        <v>432</v>
      </c>
      <c r="AS658" s="137" t="s">
        <v>432</v>
      </c>
      <c r="AT658" s="137" t="s">
        <v>432</v>
      </c>
      <c r="AU658" s="137" t="s">
        <v>432</v>
      </c>
      <c r="AV658" s="137" t="s">
        <v>432</v>
      </c>
      <c r="AW658" s="137" t="s">
        <v>432</v>
      </c>
      <c r="AX658" s="137" t="s">
        <v>432</v>
      </c>
      <c r="AY658" s="137" t="s">
        <v>432</v>
      </c>
      <c r="AZ658" s="137" t="s">
        <v>432</v>
      </c>
      <c r="BA658" s="137" t="s">
        <v>432</v>
      </c>
      <c r="BB658" s="239" t="str">
        <f t="shared" si="118"/>
        <v>Distribuição modal em pesquisas de opiniãox</v>
      </c>
      <c r="BC658" s="239" t="str">
        <f t="shared" si="119"/>
        <v>Distribuição modal em pesquisas de opiniãoxbenchmarking</v>
      </c>
      <c r="BD658" s="239" t="str">
        <f t="shared" si="120"/>
        <v>Distribuição modal em pesquisas de opiniãobenchmarking</v>
      </c>
    </row>
    <row r="659" spans="1:56" s="1" customFormat="1" ht="78.75" customHeight="1" x14ac:dyDescent="0.25">
      <c r="A659" s="275" t="str">
        <f>'Q100b-totais'!$B$16</f>
        <v>2.1</v>
      </c>
      <c r="B659" s="54" t="str">
        <f>'Q100b-totais'!$C$16</f>
        <v>Distribuição modal em pesquisas de opinião</v>
      </c>
      <c r="C659" s="167" t="s">
        <v>432</v>
      </c>
      <c r="D659" s="323" t="s">
        <v>849</v>
      </c>
      <c r="E659" s="1491" t="s">
        <v>1767</v>
      </c>
      <c r="F659" s="11" t="s">
        <v>1788</v>
      </c>
      <c r="G659" s="110" t="s">
        <v>77</v>
      </c>
      <c r="H659" s="233" t="s">
        <v>819</v>
      </c>
      <c r="I659" s="167" t="s">
        <v>432</v>
      </c>
      <c r="J659" s="107" t="s">
        <v>432</v>
      </c>
      <c r="K659" s="109" t="s">
        <v>432</v>
      </c>
      <c r="L659" s="109" t="s">
        <v>432</v>
      </c>
      <c r="M659" s="109" t="s">
        <v>432</v>
      </c>
      <c r="N659" s="109" t="s">
        <v>432</v>
      </c>
      <c r="O659" s="109" t="s">
        <v>432</v>
      </c>
      <c r="P659" s="109" t="s">
        <v>432</v>
      </c>
      <c r="Q659" s="109" t="s">
        <v>432</v>
      </c>
      <c r="R659" s="107" t="s">
        <v>432</v>
      </c>
      <c r="S659" s="109" t="s">
        <v>2209</v>
      </c>
      <c r="T659" s="107" t="s">
        <v>432</v>
      </c>
      <c r="U659" s="107" t="s">
        <v>432</v>
      </c>
      <c r="V659" s="109" t="s">
        <v>2209</v>
      </c>
      <c r="W659" s="107" t="s">
        <v>432</v>
      </c>
      <c r="X659" s="107" t="s">
        <v>432</v>
      </c>
      <c r="Y659" s="107" t="s">
        <v>432</v>
      </c>
      <c r="Z659" s="107" t="s">
        <v>432</v>
      </c>
      <c r="AA659" s="107" t="s">
        <v>432</v>
      </c>
      <c r="AB659" s="107" t="s">
        <v>432</v>
      </c>
      <c r="AC659" s="107" t="s">
        <v>432</v>
      </c>
      <c r="AD659" s="107" t="s">
        <v>432</v>
      </c>
      <c r="AE659" s="107" t="s">
        <v>2208</v>
      </c>
      <c r="AF659" s="125">
        <v>0.39600000000000002</v>
      </c>
      <c r="AG659" s="107" t="s">
        <v>432</v>
      </c>
      <c r="AH659" s="107" t="s">
        <v>2208</v>
      </c>
      <c r="AI659" s="107" t="s">
        <v>432</v>
      </c>
      <c r="AJ659" s="107" t="s">
        <v>2208</v>
      </c>
      <c r="AK659" s="137" t="s">
        <v>432</v>
      </c>
      <c r="AL659" s="600" t="s">
        <v>432</v>
      </c>
      <c r="AM659" s="137" t="s">
        <v>432</v>
      </c>
      <c r="AN659" s="137" t="s">
        <v>432</v>
      </c>
      <c r="AO659" s="137" t="s">
        <v>432</v>
      </c>
      <c r="AP659" s="137" t="s">
        <v>432</v>
      </c>
      <c r="AQ659" s="137" t="s">
        <v>432</v>
      </c>
      <c r="AR659" s="137" t="s">
        <v>432</v>
      </c>
      <c r="AS659" s="137" t="s">
        <v>432</v>
      </c>
      <c r="AT659" s="137" t="s">
        <v>432</v>
      </c>
      <c r="AU659" s="137" t="s">
        <v>432</v>
      </c>
      <c r="AV659" s="137" t="s">
        <v>432</v>
      </c>
      <c r="AW659" s="137" t="s">
        <v>432</v>
      </c>
      <c r="AX659" s="137" t="s">
        <v>432</v>
      </c>
      <c r="AY659" s="137" t="s">
        <v>432</v>
      </c>
      <c r="AZ659" s="137" t="s">
        <v>432</v>
      </c>
      <c r="BA659" s="137" t="s">
        <v>432</v>
      </c>
      <c r="BB659" s="239" t="str">
        <f t="shared" si="118"/>
        <v>Distribuição modal em pesquisas de opiniãox</v>
      </c>
      <c r="BC659" s="239" t="str">
        <f t="shared" si="119"/>
        <v>Distribuição modal em pesquisas de opiniãoxbenchmarking</v>
      </c>
      <c r="BD659" s="239" t="str">
        <f t="shared" si="120"/>
        <v>Distribuição modal em pesquisas de opiniãobenchmarking</v>
      </c>
    </row>
    <row r="660" spans="1:56" s="1" customFormat="1" ht="63" x14ac:dyDescent="0.25">
      <c r="A660" s="275" t="str">
        <f>'Q100b-totais'!$B$16</f>
        <v>2.1</v>
      </c>
      <c r="B660" s="54" t="str">
        <f>'Q100b-totais'!$C$16</f>
        <v>Distribuição modal em pesquisas de opinião</v>
      </c>
      <c r="C660" s="167" t="s">
        <v>432</v>
      </c>
      <c r="D660" s="323" t="s">
        <v>850</v>
      </c>
      <c r="E660" s="1491" t="s">
        <v>1767</v>
      </c>
      <c r="F660" s="11" t="s">
        <v>1789</v>
      </c>
      <c r="G660" s="110" t="s">
        <v>77</v>
      </c>
      <c r="H660" s="233" t="s">
        <v>819</v>
      </c>
      <c r="I660" s="167" t="s">
        <v>432</v>
      </c>
      <c r="J660" s="107" t="s">
        <v>432</v>
      </c>
      <c r="K660" s="109" t="s">
        <v>432</v>
      </c>
      <c r="L660" s="109" t="s">
        <v>432</v>
      </c>
      <c r="M660" s="109" t="s">
        <v>432</v>
      </c>
      <c r="N660" s="109" t="s">
        <v>432</v>
      </c>
      <c r="O660" s="109" t="s">
        <v>432</v>
      </c>
      <c r="P660" s="109" t="s">
        <v>432</v>
      </c>
      <c r="Q660" s="109" t="s">
        <v>432</v>
      </c>
      <c r="R660" s="107" t="s">
        <v>432</v>
      </c>
      <c r="S660" s="109" t="s">
        <v>2209</v>
      </c>
      <c r="T660" s="107" t="s">
        <v>432</v>
      </c>
      <c r="U660" s="107" t="s">
        <v>432</v>
      </c>
      <c r="V660" s="109" t="s">
        <v>2209</v>
      </c>
      <c r="W660" s="107" t="s">
        <v>432</v>
      </c>
      <c r="X660" s="107" t="s">
        <v>432</v>
      </c>
      <c r="Y660" s="107" t="s">
        <v>432</v>
      </c>
      <c r="Z660" s="107" t="s">
        <v>432</v>
      </c>
      <c r="AA660" s="107" t="s">
        <v>432</v>
      </c>
      <c r="AB660" s="107" t="s">
        <v>432</v>
      </c>
      <c r="AC660" s="107" t="s">
        <v>432</v>
      </c>
      <c r="AD660" s="107" t="s">
        <v>432</v>
      </c>
      <c r="AE660" s="107" t="s">
        <v>2208</v>
      </c>
      <c r="AF660" s="125">
        <v>0.375</v>
      </c>
      <c r="AG660" s="107" t="s">
        <v>432</v>
      </c>
      <c r="AH660" s="107" t="s">
        <v>2208</v>
      </c>
      <c r="AI660" s="107" t="s">
        <v>432</v>
      </c>
      <c r="AJ660" s="107" t="s">
        <v>2208</v>
      </c>
      <c r="AK660" s="137" t="s">
        <v>432</v>
      </c>
      <c r="AL660" s="600" t="s">
        <v>432</v>
      </c>
      <c r="AM660" s="137" t="s">
        <v>432</v>
      </c>
      <c r="AN660" s="137" t="s">
        <v>432</v>
      </c>
      <c r="AO660" s="137" t="s">
        <v>432</v>
      </c>
      <c r="AP660" s="137" t="s">
        <v>432</v>
      </c>
      <c r="AQ660" s="137" t="s">
        <v>432</v>
      </c>
      <c r="AR660" s="137" t="s">
        <v>432</v>
      </c>
      <c r="AS660" s="137" t="s">
        <v>432</v>
      </c>
      <c r="AT660" s="137" t="s">
        <v>432</v>
      </c>
      <c r="AU660" s="137" t="s">
        <v>432</v>
      </c>
      <c r="AV660" s="137" t="s">
        <v>432</v>
      </c>
      <c r="AW660" s="137" t="s">
        <v>432</v>
      </c>
      <c r="AX660" s="137" t="s">
        <v>432</v>
      </c>
      <c r="AY660" s="137" t="s">
        <v>432</v>
      </c>
      <c r="AZ660" s="137" t="s">
        <v>432</v>
      </c>
      <c r="BA660" s="137" t="s">
        <v>432</v>
      </c>
      <c r="BB660" s="239" t="str">
        <f t="shared" si="118"/>
        <v>Distribuição modal em pesquisas de opiniãox</v>
      </c>
      <c r="BC660" s="239" t="str">
        <f t="shared" si="119"/>
        <v>Distribuição modal em pesquisas de opiniãoxbenchmarking</v>
      </c>
      <c r="BD660" s="239" t="str">
        <f t="shared" si="120"/>
        <v>Distribuição modal em pesquisas de opiniãobenchmarking</v>
      </c>
    </row>
    <row r="661" spans="1:56" s="1" customFormat="1" ht="51" x14ac:dyDescent="0.25">
      <c r="A661" s="275" t="str">
        <f>'Q100b-totais'!$B$16</f>
        <v>2.1</v>
      </c>
      <c r="B661" s="54" t="str">
        <f>'Q100b-totais'!$C$16</f>
        <v>Distribuição modal em pesquisas de opinião</v>
      </c>
      <c r="C661" s="167" t="s">
        <v>432</v>
      </c>
      <c r="D661" s="323" t="s">
        <v>851</v>
      </c>
      <c r="E661" s="1491" t="s">
        <v>1767</v>
      </c>
      <c r="F661" s="11" t="s">
        <v>1790</v>
      </c>
      <c r="G661" s="110" t="s">
        <v>77</v>
      </c>
      <c r="H661" s="233" t="s">
        <v>819</v>
      </c>
      <c r="I661" s="167" t="s">
        <v>432</v>
      </c>
      <c r="J661" s="107" t="s">
        <v>432</v>
      </c>
      <c r="K661" s="109" t="s">
        <v>432</v>
      </c>
      <c r="L661" s="109" t="s">
        <v>432</v>
      </c>
      <c r="M661" s="109" t="s">
        <v>432</v>
      </c>
      <c r="N661" s="109" t="s">
        <v>432</v>
      </c>
      <c r="O661" s="109" t="s">
        <v>432</v>
      </c>
      <c r="P661" s="109" t="s">
        <v>432</v>
      </c>
      <c r="Q661" s="109" t="s">
        <v>432</v>
      </c>
      <c r="R661" s="107" t="s">
        <v>432</v>
      </c>
      <c r="S661" s="109" t="s">
        <v>2209</v>
      </c>
      <c r="T661" s="107" t="s">
        <v>432</v>
      </c>
      <c r="U661" s="107" t="s">
        <v>432</v>
      </c>
      <c r="V661" s="109" t="s">
        <v>2209</v>
      </c>
      <c r="W661" s="107" t="s">
        <v>432</v>
      </c>
      <c r="X661" s="107" t="s">
        <v>432</v>
      </c>
      <c r="Y661" s="107" t="s">
        <v>432</v>
      </c>
      <c r="Z661" s="107" t="s">
        <v>432</v>
      </c>
      <c r="AA661" s="107" t="s">
        <v>432</v>
      </c>
      <c r="AB661" s="107" t="s">
        <v>432</v>
      </c>
      <c r="AC661" s="107" t="s">
        <v>432</v>
      </c>
      <c r="AD661" s="107" t="s">
        <v>432</v>
      </c>
      <c r="AE661" s="107" t="s">
        <v>2208</v>
      </c>
      <c r="AF661" s="125">
        <v>0.40300000000000002</v>
      </c>
      <c r="AG661" s="107" t="s">
        <v>432</v>
      </c>
      <c r="AH661" s="107" t="s">
        <v>2208</v>
      </c>
      <c r="AI661" s="107" t="s">
        <v>432</v>
      </c>
      <c r="AJ661" s="107" t="s">
        <v>2208</v>
      </c>
      <c r="AK661" s="137" t="s">
        <v>432</v>
      </c>
      <c r="AL661" s="600" t="s">
        <v>432</v>
      </c>
      <c r="AM661" s="137" t="s">
        <v>432</v>
      </c>
      <c r="AN661" s="137" t="s">
        <v>432</v>
      </c>
      <c r="AO661" s="137" t="s">
        <v>432</v>
      </c>
      <c r="AP661" s="137" t="s">
        <v>432</v>
      </c>
      <c r="AQ661" s="137" t="s">
        <v>432</v>
      </c>
      <c r="AR661" s="137" t="s">
        <v>432</v>
      </c>
      <c r="AS661" s="137" t="s">
        <v>432</v>
      </c>
      <c r="AT661" s="137" t="s">
        <v>432</v>
      </c>
      <c r="AU661" s="137" t="s">
        <v>432</v>
      </c>
      <c r="AV661" s="137" t="s">
        <v>432</v>
      </c>
      <c r="AW661" s="137" t="s">
        <v>432</v>
      </c>
      <c r="AX661" s="137" t="s">
        <v>432</v>
      </c>
      <c r="AY661" s="137" t="s">
        <v>432</v>
      </c>
      <c r="AZ661" s="137" t="s">
        <v>432</v>
      </c>
      <c r="BA661" s="137" t="s">
        <v>432</v>
      </c>
      <c r="BB661" s="239" t="str">
        <f t="shared" si="118"/>
        <v>Distribuição modal em pesquisas de opiniãox</v>
      </c>
      <c r="BC661" s="239" t="str">
        <f t="shared" si="119"/>
        <v>Distribuição modal em pesquisas de opiniãoxbenchmarking</v>
      </c>
      <c r="BD661" s="239" t="str">
        <f t="shared" si="120"/>
        <v>Distribuição modal em pesquisas de opiniãobenchmarking</v>
      </c>
    </row>
    <row r="662" spans="1:56" s="1" customFormat="1" ht="63" x14ac:dyDescent="0.25">
      <c r="A662" s="275" t="str">
        <f>'Q100b-totais'!$B$16</f>
        <v>2.1</v>
      </c>
      <c r="B662" s="54" t="str">
        <f>'Q100b-totais'!$C$16</f>
        <v>Distribuição modal em pesquisas de opinião</v>
      </c>
      <c r="C662" s="167" t="s">
        <v>432</v>
      </c>
      <c r="D662" s="378" t="s">
        <v>852</v>
      </c>
      <c r="E662" s="1494" t="s">
        <v>1767</v>
      </c>
      <c r="F662" s="286" t="s">
        <v>1791</v>
      </c>
      <c r="G662" s="110" t="s">
        <v>77</v>
      </c>
      <c r="H662" s="233" t="s">
        <v>819</v>
      </c>
      <c r="I662" s="167" t="s">
        <v>432</v>
      </c>
      <c r="J662" s="107" t="s">
        <v>432</v>
      </c>
      <c r="K662" s="109" t="s">
        <v>432</v>
      </c>
      <c r="L662" s="109" t="s">
        <v>432</v>
      </c>
      <c r="M662" s="109" t="s">
        <v>432</v>
      </c>
      <c r="N662" s="109" t="s">
        <v>432</v>
      </c>
      <c r="O662" s="109" t="s">
        <v>432</v>
      </c>
      <c r="P662" s="109" t="s">
        <v>432</v>
      </c>
      <c r="Q662" s="109" t="s">
        <v>432</v>
      </c>
      <c r="R662" s="107" t="s">
        <v>432</v>
      </c>
      <c r="S662" s="109" t="s">
        <v>2209</v>
      </c>
      <c r="T662" s="107" t="s">
        <v>432</v>
      </c>
      <c r="U662" s="107" t="s">
        <v>432</v>
      </c>
      <c r="V662" s="109" t="s">
        <v>2209</v>
      </c>
      <c r="W662" s="107" t="s">
        <v>432</v>
      </c>
      <c r="X662" s="107" t="s">
        <v>432</v>
      </c>
      <c r="Y662" s="107" t="s">
        <v>432</v>
      </c>
      <c r="Z662" s="107" t="s">
        <v>432</v>
      </c>
      <c r="AA662" s="107" t="s">
        <v>432</v>
      </c>
      <c r="AB662" s="107" t="s">
        <v>432</v>
      </c>
      <c r="AC662" s="107" t="s">
        <v>432</v>
      </c>
      <c r="AD662" s="107" t="s">
        <v>432</v>
      </c>
      <c r="AE662" s="107" t="s">
        <v>2208</v>
      </c>
      <c r="AF662" s="125">
        <v>0.50700000000000001</v>
      </c>
      <c r="AG662" s="107" t="s">
        <v>432</v>
      </c>
      <c r="AH662" s="107" t="s">
        <v>2208</v>
      </c>
      <c r="AI662" s="107" t="s">
        <v>432</v>
      </c>
      <c r="AJ662" s="107" t="s">
        <v>2208</v>
      </c>
      <c r="AK662" s="137" t="s">
        <v>432</v>
      </c>
      <c r="AL662" s="600" t="s">
        <v>432</v>
      </c>
      <c r="AM662" s="137" t="s">
        <v>432</v>
      </c>
      <c r="AN662" s="137" t="s">
        <v>432</v>
      </c>
      <c r="AO662" s="137" t="s">
        <v>432</v>
      </c>
      <c r="AP662" s="137" t="s">
        <v>432</v>
      </c>
      <c r="AQ662" s="137" t="s">
        <v>432</v>
      </c>
      <c r="AR662" s="137" t="s">
        <v>432</v>
      </c>
      <c r="AS662" s="137" t="s">
        <v>432</v>
      </c>
      <c r="AT662" s="137" t="s">
        <v>432</v>
      </c>
      <c r="AU662" s="137" t="s">
        <v>432</v>
      </c>
      <c r="AV662" s="137" t="s">
        <v>432</v>
      </c>
      <c r="AW662" s="137" t="s">
        <v>432</v>
      </c>
      <c r="AX662" s="137" t="s">
        <v>432</v>
      </c>
      <c r="AY662" s="137" t="s">
        <v>432</v>
      </c>
      <c r="AZ662" s="137" t="s">
        <v>432</v>
      </c>
      <c r="BA662" s="137" t="s">
        <v>432</v>
      </c>
      <c r="BB662" s="239" t="str">
        <f t="shared" si="118"/>
        <v>Distribuição modal em pesquisas de opiniãox</v>
      </c>
      <c r="BC662" s="239" t="str">
        <f t="shared" si="119"/>
        <v>Distribuição modal em pesquisas de opiniãoxbenchmarking</v>
      </c>
      <c r="BD662" s="239" t="str">
        <f t="shared" si="120"/>
        <v>Distribuição modal em pesquisas de opiniãobenchmarking</v>
      </c>
    </row>
    <row r="663" spans="1:56" s="1" customFormat="1" ht="51" x14ac:dyDescent="0.25">
      <c r="A663" s="275" t="str">
        <f>'Q100b-totais'!$B$16</f>
        <v>2.1</v>
      </c>
      <c r="B663" s="54" t="str">
        <f>'Q100b-totais'!$C$16</f>
        <v>Distribuição modal em pesquisas de opinião</v>
      </c>
      <c r="C663" s="167" t="s">
        <v>432</v>
      </c>
      <c r="D663" s="323" t="s">
        <v>853</v>
      </c>
      <c r="E663" s="1491" t="s">
        <v>1767</v>
      </c>
      <c r="F663" s="11" t="s">
        <v>1792</v>
      </c>
      <c r="G663" s="110" t="s">
        <v>77</v>
      </c>
      <c r="H663" s="233" t="s">
        <v>819</v>
      </c>
      <c r="I663" s="167" t="s">
        <v>432</v>
      </c>
      <c r="J663" s="107" t="s">
        <v>432</v>
      </c>
      <c r="K663" s="109" t="s">
        <v>432</v>
      </c>
      <c r="L663" s="109" t="s">
        <v>432</v>
      </c>
      <c r="M663" s="109" t="s">
        <v>432</v>
      </c>
      <c r="N663" s="109" t="s">
        <v>432</v>
      </c>
      <c r="O663" s="109" t="s">
        <v>432</v>
      </c>
      <c r="P663" s="109" t="s">
        <v>432</v>
      </c>
      <c r="Q663" s="109" t="s">
        <v>432</v>
      </c>
      <c r="R663" s="107" t="s">
        <v>432</v>
      </c>
      <c r="S663" s="109" t="s">
        <v>2209</v>
      </c>
      <c r="T663" s="107" t="s">
        <v>432</v>
      </c>
      <c r="U663" s="107" t="s">
        <v>432</v>
      </c>
      <c r="V663" s="109" t="s">
        <v>2209</v>
      </c>
      <c r="W663" s="107" t="s">
        <v>432</v>
      </c>
      <c r="X663" s="107" t="s">
        <v>432</v>
      </c>
      <c r="Y663" s="107" t="s">
        <v>432</v>
      </c>
      <c r="Z663" s="107" t="s">
        <v>432</v>
      </c>
      <c r="AA663" s="107" t="s">
        <v>432</v>
      </c>
      <c r="AB663" s="107" t="s">
        <v>432</v>
      </c>
      <c r="AC663" s="107" t="s">
        <v>432</v>
      </c>
      <c r="AD663" s="107" t="s">
        <v>432</v>
      </c>
      <c r="AE663" s="107" t="s">
        <v>2208</v>
      </c>
      <c r="AF663" s="125">
        <v>0.46300000000000002</v>
      </c>
      <c r="AG663" s="107" t="s">
        <v>432</v>
      </c>
      <c r="AH663" s="107" t="s">
        <v>2208</v>
      </c>
      <c r="AI663" s="107" t="s">
        <v>432</v>
      </c>
      <c r="AJ663" s="107" t="s">
        <v>2208</v>
      </c>
      <c r="AK663" s="137" t="s">
        <v>432</v>
      </c>
      <c r="AL663" s="600" t="s">
        <v>432</v>
      </c>
      <c r="AM663" s="137" t="s">
        <v>432</v>
      </c>
      <c r="AN663" s="137" t="s">
        <v>432</v>
      </c>
      <c r="AO663" s="137" t="s">
        <v>432</v>
      </c>
      <c r="AP663" s="137" t="s">
        <v>432</v>
      </c>
      <c r="AQ663" s="137" t="s">
        <v>432</v>
      </c>
      <c r="AR663" s="137" t="s">
        <v>432</v>
      </c>
      <c r="AS663" s="137" t="s">
        <v>432</v>
      </c>
      <c r="AT663" s="137" t="s">
        <v>432</v>
      </c>
      <c r="AU663" s="137" t="s">
        <v>432</v>
      </c>
      <c r="AV663" s="137" t="s">
        <v>432</v>
      </c>
      <c r="AW663" s="137" t="s">
        <v>432</v>
      </c>
      <c r="AX663" s="137" t="s">
        <v>432</v>
      </c>
      <c r="AY663" s="137" t="s">
        <v>432</v>
      </c>
      <c r="AZ663" s="137" t="s">
        <v>432</v>
      </c>
      <c r="BA663" s="137" t="s">
        <v>432</v>
      </c>
      <c r="BB663" s="239" t="str">
        <f t="shared" si="118"/>
        <v>Distribuição modal em pesquisas de opiniãox</v>
      </c>
      <c r="BC663" s="239" t="str">
        <f t="shared" si="119"/>
        <v>Distribuição modal em pesquisas de opiniãoxbenchmarking</v>
      </c>
      <c r="BD663" s="239" t="str">
        <f t="shared" si="120"/>
        <v>Distribuição modal em pesquisas de opiniãobenchmarking</v>
      </c>
    </row>
    <row r="664" spans="1:56" s="3" customFormat="1" ht="25.5" x14ac:dyDescent="0.25">
      <c r="A664" s="402"/>
      <c r="B664" s="399"/>
      <c r="C664" s="399"/>
      <c r="D664" s="970"/>
      <c r="E664" s="1493"/>
      <c r="F664" s="221"/>
      <c r="G664" s="221"/>
      <c r="H664" s="221"/>
      <c r="I664" s="399"/>
      <c r="J664" s="221"/>
      <c r="K664" s="221"/>
      <c r="L664" s="221"/>
      <c r="M664" s="221"/>
      <c r="N664" s="221"/>
      <c r="O664" s="221"/>
      <c r="P664" s="221"/>
      <c r="Q664" s="221"/>
      <c r="R664" s="221"/>
      <c r="S664" s="109" t="s">
        <v>2209</v>
      </c>
      <c r="T664" s="221"/>
      <c r="U664" s="221"/>
      <c r="V664" s="109" t="s">
        <v>2209</v>
      </c>
      <c r="W664" s="221"/>
      <c r="X664" s="221"/>
      <c r="Y664" s="221"/>
      <c r="Z664" s="221"/>
      <c r="AA664" s="221"/>
      <c r="AB664" s="221"/>
      <c r="AC664" s="221"/>
      <c r="AD664" s="221"/>
      <c r="AE664" s="221"/>
      <c r="AF664" s="221"/>
      <c r="AG664" s="221"/>
      <c r="AH664" s="221"/>
      <c r="AI664" s="221"/>
      <c r="AJ664" s="221"/>
      <c r="AK664" s="223"/>
      <c r="AL664" s="600" t="s">
        <v>432</v>
      </c>
      <c r="AM664" s="223"/>
      <c r="AN664" s="223"/>
      <c r="AO664" s="223"/>
      <c r="AP664" s="223"/>
      <c r="AQ664" s="223"/>
      <c r="AR664" s="223"/>
      <c r="AS664" s="223"/>
      <c r="AT664" s="223"/>
      <c r="AU664" s="223"/>
      <c r="AV664" s="223"/>
      <c r="AW664" s="137" t="s">
        <v>432</v>
      </c>
      <c r="AX664" s="223"/>
      <c r="AY664" s="223"/>
      <c r="AZ664" s="223"/>
      <c r="BA664" s="223"/>
      <c r="BB664" s="400"/>
      <c r="BC664" s="400"/>
      <c r="BD664" s="400"/>
    </row>
    <row r="665" spans="1:56" s="3" customFormat="1" ht="57" customHeight="1" x14ac:dyDescent="0.25">
      <c r="A665" s="262" t="str">
        <f>'Q100b-totais'!B62</f>
        <v>8.10</v>
      </c>
      <c r="B665" s="252" t="str">
        <f>'Q100b-totais'!C62</f>
        <v>Sistema de transporte coletivo com um todo</v>
      </c>
      <c r="C665" s="167" t="s">
        <v>432</v>
      </c>
      <c r="D665" s="324" t="s">
        <v>2901</v>
      </c>
      <c r="E665" s="254" t="s">
        <v>1306</v>
      </c>
      <c r="F665" s="11" t="s">
        <v>2902</v>
      </c>
      <c r="G665" s="230" t="s">
        <v>3507</v>
      </c>
      <c r="H665" s="57" t="s">
        <v>2408</v>
      </c>
      <c r="I665" s="167" t="s">
        <v>432</v>
      </c>
      <c r="J665" s="107" t="s">
        <v>432</v>
      </c>
      <c r="K665" s="107" t="s">
        <v>432</v>
      </c>
      <c r="L665" s="107" t="s">
        <v>432</v>
      </c>
      <c r="M665" s="107" t="s">
        <v>432</v>
      </c>
      <c r="N665" s="107" t="s">
        <v>432</v>
      </c>
      <c r="O665" s="107" t="s">
        <v>432</v>
      </c>
      <c r="P665" s="107" t="s">
        <v>432</v>
      </c>
      <c r="Q665" s="107" t="s">
        <v>432</v>
      </c>
      <c r="R665" s="107" t="s">
        <v>432</v>
      </c>
      <c r="S665" s="109" t="s">
        <v>2209</v>
      </c>
      <c r="T665" s="107" t="s">
        <v>432</v>
      </c>
      <c r="U665" s="107" t="s">
        <v>432</v>
      </c>
      <c r="V665" s="109" t="s">
        <v>2209</v>
      </c>
      <c r="W665" s="107" t="s">
        <v>432</v>
      </c>
      <c r="X665" s="107" t="s">
        <v>432</v>
      </c>
      <c r="Y665" s="107" t="s">
        <v>432</v>
      </c>
      <c r="Z665" s="107" t="s">
        <v>432</v>
      </c>
      <c r="AA665" s="107" t="s">
        <v>432</v>
      </c>
      <c r="AB665" s="107" t="s">
        <v>432</v>
      </c>
      <c r="AC665" s="107" t="s">
        <v>432</v>
      </c>
      <c r="AD665" s="107" t="s">
        <v>432</v>
      </c>
      <c r="AE665" s="107" t="s">
        <v>432</v>
      </c>
      <c r="AF665" s="107" t="s">
        <v>432</v>
      </c>
      <c r="AG665" s="107" t="s">
        <v>432</v>
      </c>
      <c r="AH665" s="107" t="s">
        <v>432</v>
      </c>
      <c r="AI665" s="107" t="s">
        <v>432</v>
      </c>
      <c r="AJ665" s="107" t="s">
        <v>432</v>
      </c>
      <c r="AK665" s="137" t="s">
        <v>432</v>
      </c>
      <c r="AL665" s="600" t="s">
        <v>432</v>
      </c>
      <c r="AM665" s="137" t="s">
        <v>432</v>
      </c>
      <c r="AN665" s="137" t="s">
        <v>432</v>
      </c>
      <c r="AO665" s="137" t="s">
        <v>432</v>
      </c>
      <c r="AP665" s="137" t="s">
        <v>432</v>
      </c>
      <c r="AQ665" s="137" t="s">
        <v>432</v>
      </c>
      <c r="AR665" s="137" t="s">
        <v>432</v>
      </c>
      <c r="AS665" s="137" t="s">
        <v>432</v>
      </c>
      <c r="AT665" s="137" t="s">
        <v>432</v>
      </c>
      <c r="AU665" s="137" t="s">
        <v>432</v>
      </c>
      <c r="AV665" s="137" t="s">
        <v>432</v>
      </c>
      <c r="AW665" s="137" t="s">
        <v>432</v>
      </c>
      <c r="AX665" s="137" t="s">
        <v>432</v>
      </c>
      <c r="AY665" s="137" t="s">
        <v>432</v>
      </c>
      <c r="AZ665" s="137" t="s">
        <v>432</v>
      </c>
      <c r="BA665" s="137" t="s">
        <v>432</v>
      </c>
      <c r="BB665" s="239" t="str">
        <f t="shared" ref="BB665:BB672" si="122">B665&amp;C665</f>
        <v>Sistema de transporte coletivo com um todox</v>
      </c>
      <c r="BC665" s="239" t="str">
        <f t="shared" ref="BC665:BC672" si="123">B665&amp;C665&amp;H665</f>
        <v>Sistema de transporte coletivo com um todoxsigla/verbete</v>
      </c>
      <c r="BD665" s="239" t="str">
        <f t="shared" ref="BD665:BD672" si="124">B665&amp;H665</f>
        <v>Sistema de transporte coletivo com um todosigla/verbete</v>
      </c>
    </row>
    <row r="666" spans="1:56" s="3" customFormat="1" ht="70.5" customHeight="1" x14ac:dyDescent="0.25">
      <c r="A666" s="262" t="str">
        <f>'Q100b-totais'!B24</f>
        <v>3.1</v>
      </c>
      <c r="B666" s="252" t="str">
        <f>'Q100b-totais'!C24</f>
        <v>Normas produzidas</v>
      </c>
      <c r="C666" s="167" t="s">
        <v>432</v>
      </c>
      <c r="D666" s="324" t="s">
        <v>3722</v>
      </c>
      <c r="E666" s="1364" t="s">
        <v>1306</v>
      </c>
      <c r="F666" s="1170" t="s">
        <v>3723</v>
      </c>
      <c r="G666" s="53" t="s">
        <v>678</v>
      </c>
      <c r="H666" s="57" t="s">
        <v>432</v>
      </c>
      <c r="I666" s="167">
        <v>1</v>
      </c>
      <c r="J666" s="109" t="s">
        <v>432</v>
      </c>
      <c r="K666" s="109" t="s">
        <v>432</v>
      </c>
      <c r="L666" s="109" t="s">
        <v>432</v>
      </c>
      <c r="M666" s="109" t="s">
        <v>432</v>
      </c>
      <c r="N666" s="109" t="s">
        <v>432</v>
      </c>
      <c r="O666" s="109" t="s">
        <v>432</v>
      </c>
      <c r="P666" s="109" t="s">
        <v>432</v>
      </c>
      <c r="Q666" s="109" t="s">
        <v>432</v>
      </c>
      <c r="R666" s="109" t="s">
        <v>432</v>
      </c>
      <c r="S666" s="109" t="s">
        <v>2209</v>
      </c>
      <c r="T666" s="109" t="s">
        <v>432</v>
      </c>
      <c r="U666" s="109" t="s">
        <v>432</v>
      </c>
      <c r="V666" s="109" t="s">
        <v>2209</v>
      </c>
      <c r="W666" s="109" t="s">
        <v>432</v>
      </c>
      <c r="X666" s="109" t="s">
        <v>432</v>
      </c>
      <c r="Y666" s="109" t="s">
        <v>432</v>
      </c>
      <c r="Z666" s="109" t="s">
        <v>432</v>
      </c>
      <c r="AA666" s="109" t="s">
        <v>432</v>
      </c>
      <c r="AB666" s="109" t="s">
        <v>432</v>
      </c>
      <c r="AC666" s="109" t="s">
        <v>432</v>
      </c>
      <c r="AD666" s="109" t="s">
        <v>432</v>
      </c>
      <c r="AE666" s="109" t="s">
        <v>432</v>
      </c>
      <c r="AF666" s="109" t="s">
        <v>432</v>
      </c>
      <c r="AG666" s="109" t="s">
        <v>432</v>
      </c>
      <c r="AH666" s="109" t="s">
        <v>432</v>
      </c>
      <c r="AI666" s="109" t="s">
        <v>432</v>
      </c>
      <c r="AJ666" s="109" t="s">
        <v>432</v>
      </c>
      <c r="AK666" s="109" t="s">
        <v>432</v>
      </c>
      <c r="AL666" s="600" t="s">
        <v>432</v>
      </c>
      <c r="AM666" s="137" t="s">
        <v>432</v>
      </c>
      <c r="AN666" s="137" t="s">
        <v>432</v>
      </c>
      <c r="AO666" s="137" t="s">
        <v>432</v>
      </c>
      <c r="AP666" s="137" t="s">
        <v>432</v>
      </c>
      <c r="AQ666" s="137" t="s">
        <v>432</v>
      </c>
      <c r="AR666" s="137" t="s">
        <v>432</v>
      </c>
      <c r="AS666" s="137" t="s">
        <v>432</v>
      </c>
      <c r="AT666" s="137" t="s">
        <v>432</v>
      </c>
      <c r="AU666" s="137" t="s">
        <v>432</v>
      </c>
      <c r="AV666" s="137" t="s">
        <v>432</v>
      </c>
      <c r="AW666" s="137" t="s">
        <v>432</v>
      </c>
      <c r="AX666" s="137" t="s">
        <v>432</v>
      </c>
      <c r="AY666" s="137" t="s">
        <v>432</v>
      </c>
      <c r="AZ666" s="137" t="s">
        <v>432</v>
      </c>
      <c r="BA666" s="137" t="s">
        <v>432</v>
      </c>
      <c r="BB666" s="239" t="str">
        <f t="shared" si="122"/>
        <v>Normas produzidasx</v>
      </c>
      <c r="BC666" s="239" t="str">
        <f t="shared" si="123"/>
        <v>Normas produzidasxx</v>
      </c>
      <c r="BD666" s="239" t="str">
        <f t="shared" si="124"/>
        <v>Normas produzidasx</v>
      </c>
    </row>
    <row r="667" spans="1:56" s="1" customFormat="1" ht="25.5" x14ac:dyDescent="0.25">
      <c r="A667" s="262" t="s">
        <v>432</v>
      </c>
      <c r="B667" s="252" t="s">
        <v>742</v>
      </c>
      <c r="C667" s="167" t="s">
        <v>432</v>
      </c>
      <c r="D667" s="324" t="s">
        <v>153</v>
      </c>
      <c r="E667" s="1496" t="s">
        <v>432</v>
      </c>
      <c r="F667" s="11" t="s">
        <v>4432</v>
      </c>
      <c r="G667" s="167" t="s">
        <v>3879</v>
      </c>
      <c r="H667" s="167" t="s">
        <v>432</v>
      </c>
      <c r="I667" s="167" t="s">
        <v>432</v>
      </c>
      <c r="J667" s="107" t="s">
        <v>432</v>
      </c>
      <c r="K667" s="107" t="s">
        <v>432</v>
      </c>
      <c r="L667" s="107" t="s">
        <v>432</v>
      </c>
      <c r="M667" s="107" t="s">
        <v>432</v>
      </c>
      <c r="N667" s="107" t="s">
        <v>432</v>
      </c>
      <c r="O667" s="107" t="s">
        <v>432</v>
      </c>
      <c r="P667" s="107" t="s">
        <v>432</v>
      </c>
      <c r="Q667" s="107" t="s">
        <v>432</v>
      </c>
      <c r="R667" s="107" t="s">
        <v>432</v>
      </c>
      <c r="S667" s="109" t="s">
        <v>2209</v>
      </c>
      <c r="T667" s="107" t="s">
        <v>432</v>
      </c>
      <c r="U667" s="107" t="s">
        <v>432</v>
      </c>
      <c r="V667" s="109" t="s">
        <v>2209</v>
      </c>
      <c r="W667" s="107" t="s">
        <v>432</v>
      </c>
      <c r="X667" s="107" t="s">
        <v>432</v>
      </c>
      <c r="Y667" s="107" t="s">
        <v>432</v>
      </c>
      <c r="Z667" s="107" t="s">
        <v>432</v>
      </c>
      <c r="AA667" s="107" t="s">
        <v>432</v>
      </c>
      <c r="AB667" s="107" t="s">
        <v>432</v>
      </c>
      <c r="AC667" s="107" t="s">
        <v>432</v>
      </c>
      <c r="AD667" s="107" t="s">
        <v>432</v>
      </c>
      <c r="AE667" s="107" t="s">
        <v>432</v>
      </c>
      <c r="AF667" s="107" t="s">
        <v>432</v>
      </c>
      <c r="AG667" s="107" t="s">
        <v>432</v>
      </c>
      <c r="AH667" s="107" t="s">
        <v>432</v>
      </c>
      <c r="AI667" s="107" t="s">
        <v>432</v>
      </c>
      <c r="AJ667" s="107" t="s">
        <v>432</v>
      </c>
      <c r="AK667" s="137" t="s">
        <v>432</v>
      </c>
      <c r="AL667" s="600" t="s">
        <v>432</v>
      </c>
      <c r="AM667" s="137" t="s">
        <v>432</v>
      </c>
      <c r="AN667" s="137" t="s">
        <v>432</v>
      </c>
      <c r="AO667" s="137" t="s">
        <v>432</v>
      </c>
      <c r="AP667" s="137" t="s">
        <v>432</v>
      </c>
      <c r="AQ667" s="137" t="s">
        <v>432</v>
      </c>
      <c r="AR667" s="137" t="s">
        <v>432</v>
      </c>
      <c r="AS667" s="137" t="s">
        <v>432</v>
      </c>
      <c r="AT667" s="137" t="s">
        <v>432</v>
      </c>
      <c r="AU667" s="137" t="s">
        <v>432</v>
      </c>
      <c r="AV667" s="137" t="s">
        <v>432</v>
      </c>
      <c r="AW667" s="137" t="s">
        <v>432</v>
      </c>
      <c r="AX667" s="137" t="s">
        <v>432</v>
      </c>
      <c r="AY667" s="137" t="s">
        <v>432</v>
      </c>
      <c r="AZ667" s="137" t="s">
        <v>432</v>
      </c>
      <c r="BA667" s="137" t="s">
        <v>432</v>
      </c>
      <c r="BB667" s="239" t="str">
        <f t="shared" si="122"/>
        <v>geralx</v>
      </c>
      <c r="BC667" s="239" t="str">
        <f t="shared" si="123"/>
        <v>geralxx</v>
      </c>
      <c r="BD667" s="239" t="str">
        <f t="shared" si="124"/>
        <v>geralx</v>
      </c>
    </row>
    <row r="668" spans="1:56" s="1" customFormat="1" ht="25.5" x14ac:dyDescent="0.25">
      <c r="A668" s="262" t="s">
        <v>432</v>
      </c>
      <c r="B668" s="252" t="s">
        <v>742</v>
      </c>
      <c r="C668" s="167" t="s">
        <v>432</v>
      </c>
      <c r="D668" s="324" t="s">
        <v>980</v>
      </c>
      <c r="E668" s="1496" t="s">
        <v>432</v>
      </c>
      <c r="F668" s="194" t="s">
        <v>979</v>
      </c>
      <c r="G668" s="167" t="s">
        <v>3879</v>
      </c>
      <c r="H668" s="167" t="s">
        <v>432</v>
      </c>
      <c r="I668" s="167" t="s">
        <v>432</v>
      </c>
      <c r="J668" s="109" t="s">
        <v>432</v>
      </c>
      <c r="K668" s="109" t="s">
        <v>432</v>
      </c>
      <c r="L668" s="109" t="s">
        <v>432</v>
      </c>
      <c r="M668" s="109" t="s">
        <v>432</v>
      </c>
      <c r="N668" s="109" t="s">
        <v>432</v>
      </c>
      <c r="O668" s="109" t="s">
        <v>432</v>
      </c>
      <c r="P668" s="109" t="s">
        <v>432</v>
      </c>
      <c r="Q668" s="109" t="s">
        <v>432</v>
      </c>
      <c r="R668" s="109" t="s">
        <v>432</v>
      </c>
      <c r="S668" s="109" t="s">
        <v>2209</v>
      </c>
      <c r="T668" s="109" t="s">
        <v>432</v>
      </c>
      <c r="U668" s="109" t="s">
        <v>432</v>
      </c>
      <c r="V668" s="109" t="s">
        <v>2209</v>
      </c>
      <c r="W668" s="109" t="s">
        <v>432</v>
      </c>
      <c r="X668" s="109" t="s">
        <v>432</v>
      </c>
      <c r="Y668" s="109" t="s">
        <v>432</v>
      </c>
      <c r="Z668" s="109" t="s">
        <v>432</v>
      </c>
      <c r="AA668" s="109" t="s">
        <v>432</v>
      </c>
      <c r="AB668" s="109" t="s">
        <v>432</v>
      </c>
      <c r="AC668" s="109" t="s">
        <v>432</v>
      </c>
      <c r="AD668" s="109" t="s">
        <v>432</v>
      </c>
      <c r="AE668" s="109" t="s">
        <v>432</v>
      </c>
      <c r="AF668" s="109" t="s">
        <v>432</v>
      </c>
      <c r="AG668" s="109" t="s">
        <v>432</v>
      </c>
      <c r="AH668" s="109" t="s">
        <v>432</v>
      </c>
      <c r="AI668" s="109" t="s">
        <v>432</v>
      </c>
      <c r="AJ668" s="109" t="s">
        <v>432</v>
      </c>
      <c r="AK668" s="109" t="s">
        <v>432</v>
      </c>
      <c r="AL668" s="600" t="s">
        <v>432</v>
      </c>
      <c r="AM668" s="109" t="s">
        <v>432</v>
      </c>
      <c r="AN668" s="109" t="s">
        <v>432</v>
      </c>
      <c r="AO668" s="109" t="s">
        <v>432</v>
      </c>
      <c r="AP668" s="109" t="s">
        <v>432</v>
      </c>
      <c r="AQ668" s="109" t="s">
        <v>432</v>
      </c>
      <c r="AR668" s="109" t="s">
        <v>432</v>
      </c>
      <c r="AS668" s="109" t="s">
        <v>432</v>
      </c>
      <c r="AT668" s="109" t="s">
        <v>432</v>
      </c>
      <c r="AU668" s="109" t="s">
        <v>432</v>
      </c>
      <c r="AV668" s="109" t="s">
        <v>432</v>
      </c>
      <c r="AW668" s="137" t="s">
        <v>432</v>
      </c>
      <c r="AX668" s="109" t="s">
        <v>432</v>
      </c>
      <c r="AY668" s="109" t="s">
        <v>432</v>
      </c>
      <c r="AZ668" s="109" t="s">
        <v>432</v>
      </c>
      <c r="BA668" s="109" t="s">
        <v>432</v>
      </c>
      <c r="BB668" s="239" t="str">
        <f t="shared" si="122"/>
        <v>geralx</v>
      </c>
      <c r="BC668" s="239" t="str">
        <f t="shared" si="123"/>
        <v>geralxx</v>
      </c>
      <c r="BD668" s="239" t="str">
        <f t="shared" si="124"/>
        <v>geralx</v>
      </c>
    </row>
    <row r="669" spans="1:56" s="3" customFormat="1" ht="38.25" x14ac:dyDescent="0.25">
      <c r="A669" s="262" t="str">
        <f>'Q100b-totais'!B22</f>
        <v>2.7</v>
      </c>
      <c r="B669" s="252" t="str">
        <f>'Q100b-totais'!C22</f>
        <v>Outras cidades/regiões</v>
      </c>
      <c r="C669" s="167" t="s">
        <v>743</v>
      </c>
      <c r="D669" s="1323" t="s">
        <v>3033</v>
      </c>
      <c r="E669" s="1499" t="s">
        <v>3033</v>
      </c>
      <c r="F669" s="252" t="s">
        <v>4234</v>
      </c>
      <c r="G669" s="230" t="s">
        <v>3507</v>
      </c>
      <c r="H669" s="167" t="s">
        <v>2408</v>
      </c>
      <c r="I669" s="167" t="s">
        <v>432</v>
      </c>
      <c r="J669" s="107" t="s">
        <v>432</v>
      </c>
      <c r="K669" s="107" t="s">
        <v>432</v>
      </c>
      <c r="L669" s="107" t="s">
        <v>432</v>
      </c>
      <c r="M669" s="107" t="s">
        <v>432</v>
      </c>
      <c r="N669" s="107" t="s">
        <v>432</v>
      </c>
      <c r="O669" s="107" t="s">
        <v>432</v>
      </c>
      <c r="P669" s="107" t="s">
        <v>432</v>
      </c>
      <c r="Q669" s="107" t="s">
        <v>432</v>
      </c>
      <c r="R669" s="107" t="s">
        <v>432</v>
      </c>
      <c r="S669" s="109" t="s">
        <v>2209</v>
      </c>
      <c r="T669" s="107" t="s">
        <v>432</v>
      </c>
      <c r="U669" s="107" t="s">
        <v>432</v>
      </c>
      <c r="V669" s="109" t="s">
        <v>2209</v>
      </c>
      <c r="W669" s="107" t="s">
        <v>432</v>
      </c>
      <c r="X669" s="107" t="s">
        <v>432</v>
      </c>
      <c r="Y669" s="107" t="s">
        <v>432</v>
      </c>
      <c r="Z669" s="107" t="s">
        <v>432</v>
      </c>
      <c r="AA669" s="107" t="s">
        <v>432</v>
      </c>
      <c r="AB669" s="107" t="s">
        <v>432</v>
      </c>
      <c r="AC669" s="107" t="s">
        <v>432</v>
      </c>
      <c r="AD669" s="107" t="s">
        <v>432</v>
      </c>
      <c r="AE669" s="107" t="s">
        <v>432</v>
      </c>
      <c r="AF669" s="107" t="s">
        <v>432</v>
      </c>
      <c r="AG669" s="107" t="s">
        <v>432</v>
      </c>
      <c r="AH669" s="107" t="s">
        <v>432</v>
      </c>
      <c r="AI669" s="107" t="s">
        <v>432</v>
      </c>
      <c r="AJ669" s="107" t="s">
        <v>432</v>
      </c>
      <c r="AK669" s="107" t="s">
        <v>432</v>
      </c>
      <c r="AL669" s="600" t="s">
        <v>432</v>
      </c>
      <c r="AM669" s="137" t="s">
        <v>432</v>
      </c>
      <c r="AN669" s="137" t="s">
        <v>432</v>
      </c>
      <c r="AO669" s="137" t="s">
        <v>432</v>
      </c>
      <c r="AP669" s="137" t="s">
        <v>432</v>
      </c>
      <c r="AQ669" s="137" t="s">
        <v>432</v>
      </c>
      <c r="AR669" s="137" t="s">
        <v>432</v>
      </c>
      <c r="AS669" s="137" t="s">
        <v>432</v>
      </c>
      <c r="AT669" s="137" t="s">
        <v>432</v>
      </c>
      <c r="AU669" s="137" t="s">
        <v>432</v>
      </c>
      <c r="AV669" s="137" t="s">
        <v>432</v>
      </c>
      <c r="AW669" s="137" t="s">
        <v>432</v>
      </c>
      <c r="AX669" s="137" t="s">
        <v>432</v>
      </c>
      <c r="AY669" s="137" t="s">
        <v>432</v>
      </c>
      <c r="AZ669" s="137" t="s">
        <v>432</v>
      </c>
      <c r="BA669" s="137" t="s">
        <v>432</v>
      </c>
      <c r="BB669" s="239" t="str">
        <f t="shared" si="122"/>
        <v>Outras cidades/regiõesacessibilidade</v>
      </c>
      <c r="BC669" s="239" t="str">
        <f t="shared" si="123"/>
        <v>Outras cidades/regiõesacessibilidadesigla/verbete</v>
      </c>
      <c r="BD669" s="239" t="str">
        <f t="shared" si="124"/>
        <v>Outras cidades/regiõessigla/verbete</v>
      </c>
    </row>
    <row r="670" spans="1:56" ht="25.5" x14ac:dyDescent="0.25">
      <c r="A670" s="262" t="s">
        <v>432</v>
      </c>
      <c r="B670" s="252" t="s">
        <v>742</v>
      </c>
      <c r="C670" s="167" t="s">
        <v>432</v>
      </c>
      <c r="D670" s="325" t="s">
        <v>154</v>
      </c>
      <c r="E670" s="1496" t="s">
        <v>432</v>
      </c>
      <c r="F670" s="165" t="s">
        <v>995</v>
      </c>
      <c r="G670" s="167" t="s">
        <v>3879</v>
      </c>
      <c r="H670" s="167" t="s">
        <v>432</v>
      </c>
      <c r="I670" s="167" t="s">
        <v>432</v>
      </c>
      <c r="J670" s="107" t="s">
        <v>432</v>
      </c>
      <c r="K670" s="107" t="s">
        <v>432</v>
      </c>
      <c r="L670" s="107" t="s">
        <v>432</v>
      </c>
      <c r="M670" s="107" t="s">
        <v>432</v>
      </c>
      <c r="N670" s="107" t="s">
        <v>432</v>
      </c>
      <c r="O670" s="107" t="s">
        <v>432</v>
      </c>
      <c r="P670" s="107" t="s">
        <v>432</v>
      </c>
      <c r="Q670" s="107" t="s">
        <v>432</v>
      </c>
      <c r="R670" s="107" t="s">
        <v>432</v>
      </c>
      <c r="S670" s="109" t="s">
        <v>2209</v>
      </c>
      <c r="T670" s="107" t="s">
        <v>432</v>
      </c>
      <c r="U670" s="107" t="s">
        <v>432</v>
      </c>
      <c r="V670" s="109" t="s">
        <v>2209</v>
      </c>
      <c r="W670" s="107" t="s">
        <v>432</v>
      </c>
      <c r="X670" s="107" t="s">
        <v>432</v>
      </c>
      <c r="Y670" s="107" t="s">
        <v>432</v>
      </c>
      <c r="Z670" s="107" t="s">
        <v>432</v>
      </c>
      <c r="AA670" s="107" t="s">
        <v>432</v>
      </c>
      <c r="AB670" s="107" t="s">
        <v>432</v>
      </c>
      <c r="AC670" s="107" t="s">
        <v>432</v>
      </c>
      <c r="AD670" s="107" t="s">
        <v>432</v>
      </c>
      <c r="AE670" s="107" t="s">
        <v>432</v>
      </c>
      <c r="AF670" s="107" t="s">
        <v>432</v>
      </c>
      <c r="AG670" s="107" t="s">
        <v>432</v>
      </c>
      <c r="AH670" s="107" t="s">
        <v>432</v>
      </c>
      <c r="AI670" s="107" t="s">
        <v>432</v>
      </c>
      <c r="AJ670" s="107" t="s">
        <v>432</v>
      </c>
      <c r="AK670" s="137" t="s">
        <v>432</v>
      </c>
      <c r="AL670" s="600" t="s">
        <v>432</v>
      </c>
      <c r="AM670" s="137" t="s">
        <v>432</v>
      </c>
      <c r="AN670" s="137" t="s">
        <v>432</v>
      </c>
      <c r="AO670" s="137" t="s">
        <v>432</v>
      </c>
      <c r="AP670" s="137" t="s">
        <v>432</v>
      </c>
      <c r="AQ670" s="137" t="s">
        <v>432</v>
      </c>
      <c r="AR670" s="137" t="s">
        <v>432</v>
      </c>
      <c r="AS670" s="137" t="s">
        <v>432</v>
      </c>
      <c r="AT670" s="137" t="s">
        <v>432</v>
      </c>
      <c r="AU670" s="137" t="s">
        <v>432</v>
      </c>
      <c r="AV670" s="137" t="s">
        <v>432</v>
      </c>
      <c r="AW670" s="137" t="s">
        <v>432</v>
      </c>
      <c r="AX670" s="137" t="s">
        <v>432</v>
      </c>
      <c r="AY670" s="137" t="s">
        <v>432</v>
      </c>
      <c r="AZ670" s="137" t="s">
        <v>432</v>
      </c>
      <c r="BA670" s="137" t="s">
        <v>432</v>
      </c>
      <c r="BB670" s="239" t="str">
        <f t="shared" si="122"/>
        <v>geralx</v>
      </c>
      <c r="BC670" s="239" t="str">
        <f t="shared" si="123"/>
        <v>geralxx</v>
      </c>
      <c r="BD670" s="239" t="str">
        <f t="shared" si="124"/>
        <v>geralx</v>
      </c>
    </row>
    <row r="671" spans="1:56" s="1" customFormat="1" ht="25.5" x14ac:dyDescent="0.25">
      <c r="A671" s="262" t="s">
        <v>432</v>
      </c>
      <c r="B671" s="252" t="s">
        <v>742</v>
      </c>
      <c r="C671" s="167" t="s">
        <v>432</v>
      </c>
      <c r="D671" s="324" t="s">
        <v>154</v>
      </c>
      <c r="E671" s="1496" t="s">
        <v>432</v>
      </c>
      <c r="F671" s="11" t="s">
        <v>902</v>
      </c>
      <c r="G671" s="167" t="s">
        <v>3879</v>
      </c>
      <c r="H671" s="167" t="s">
        <v>432</v>
      </c>
      <c r="I671" s="167" t="s">
        <v>432</v>
      </c>
      <c r="J671" s="107" t="s">
        <v>432</v>
      </c>
      <c r="K671" s="107" t="s">
        <v>432</v>
      </c>
      <c r="L671" s="107" t="s">
        <v>432</v>
      </c>
      <c r="M671" s="107" t="s">
        <v>432</v>
      </c>
      <c r="N671" s="107" t="s">
        <v>432</v>
      </c>
      <c r="O671" s="107" t="s">
        <v>432</v>
      </c>
      <c r="P671" s="107" t="s">
        <v>432</v>
      </c>
      <c r="Q671" s="107" t="s">
        <v>432</v>
      </c>
      <c r="R671" s="107" t="s">
        <v>432</v>
      </c>
      <c r="S671" s="109" t="s">
        <v>2209</v>
      </c>
      <c r="T671" s="107" t="s">
        <v>432</v>
      </c>
      <c r="U671" s="107" t="s">
        <v>432</v>
      </c>
      <c r="V671" s="109" t="s">
        <v>2209</v>
      </c>
      <c r="W671" s="107" t="s">
        <v>432</v>
      </c>
      <c r="X671" s="107" t="s">
        <v>432</v>
      </c>
      <c r="Y671" s="107" t="s">
        <v>432</v>
      </c>
      <c r="Z671" s="107" t="s">
        <v>432</v>
      </c>
      <c r="AA671" s="107" t="s">
        <v>432</v>
      </c>
      <c r="AB671" s="107" t="s">
        <v>432</v>
      </c>
      <c r="AC671" s="107" t="s">
        <v>432</v>
      </c>
      <c r="AD671" s="107" t="s">
        <v>432</v>
      </c>
      <c r="AE671" s="107" t="s">
        <v>432</v>
      </c>
      <c r="AF671" s="107" t="s">
        <v>432</v>
      </c>
      <c r="AG671" s="107" t="s">
        <v>432</v>
      </c>
      <c r="AH671" s="107" t="s">
        <v>432</v>
      </c>
      <c r="AI671" s="107" t="s">
        <v>432</v>
      </c>
      <c r="AJ671" s="107" t="s">
        <v>432</v>
      </c>
      <c r="AK671" s="137" t="s">
        <v>432</v>
      </c>
      <c r="AL671" s="600" t="s">
        <v>432</v>
      </c>
      <c r="AM671" s="137" t="s">
        <v>432</v>
      </c>
      <c r="AN671" s="137" t="s">
        <v>432</v>
      </c>
      <c r="AO671" s="137" t="s">
        <v>432</v>
      </c>
      <c r="AP671" s="137" t="s">
        <v>432</v>
      </c>
      <c r="AQ671" s="137" t="s">
        <v>432</v>
      </c>
      <c r="AR671" s="137" t="s">
        <v>432</v>
      </c>
      <c r="AS671" s="137" t="s">
        <v>432</v>
      </c>
      <c r="AT671" s="137" t="s">
        <v>432</v>
      </c>
      <c r="AU671" s="137" t="s">
        <v>432</v>
      </c>
      <c r="AV671" s="137" t="s">
        <v>432</v>
      </c>
      <c r="AW671" s="137" t="s">
        <v>432</v>
      </c>
      <c r="AX671" s="137" t="s">
        <v>432</v>
      </c>
      <c r="AY671" s="137" t="s">
        <v>432</v>
      </c>
      <c r="AZ671" s="137" t="s">
        <v>432</v>
      </c>
      <c r="BA671" s="137" t="s">
        <v>432</v>
      </c>
      <c r="BB671" s="239" t="str">
        <f t="shared" si="122"/>
        <v>geralx</v>
      </c>
      <c r="BC671" s="239" t="str">
        <f t="shared" si="123"/>
        <v>geralxx</v>
      </c>
      <c r="BD671" s="239" t="str">
        <f t="shared" si="124"/>
        <v>geralx</v>
      </c>
    </row>
    <row r="672" spans="1:56" s="1" customFormat="1" ht="25.5" x14ac:dyDescent="0.25">
      <c r="A672" s="275" t="str">
        <f>'Q100b-totais'!$B$10</f>
        <v>1.1</v>
      </c>
      <c r="B672" s="252" t="str">
        <f>'Q100b-totais'!$C$10</f>
        <v>Ações educativas</v>
      </c>
      <c r="C672" s="167" t="s">
        <v>432</v>
      </c>
      <c r="D672" s="362" t="s">
        <v>155</v>
      </c>
      <c r="E672" s="1502" t="s">
        <v>1306</v>
      </c>
      <c r="F672" s="355" t="s">
        <v>4133</v>
      </c>
      <c r="G672" s="110" t="s">
        <v>77</v>
      </c>
      <c r="H672" s="167" t="s">
        <v>432</v>
      </c>
      <c r="I672" s="167">
        <v>1</v>
      </c>
      <c r="J672" s="107" t="s">
        <v>432</v>
      </c>
      <c r="K672" s="93" t="s">
        <v>432</v>
      </c>
      <c r="L672" s="93" t="s">
        <v>432</v>
      </c>
      <c r="M672" s="93" t="s">
        <v>432</v>
      </c>
      <c r="N672" s="93" t="s">
        <v>432</v>
      </c>
      <c r="O672" s="93" t="s">
        <v>432</v>
      </c>
      <c r="P672" s="93" t="s">
        <v>432</v>
      </c>
      <c r="Q672" s="93" t="s">
        <v>432</v>
      </c>
      <c r="R672" s="93" t="s">
        <v>432</v>
      </c>
      <c r="S672" s="109" t="s">
        <v>2209</v>
      </c>
      <c r="T672" s="93" t="s">
        <v>432</v>
      </c>
      <c r="U672" s="93" t="s">
        <v>432</v>
      </c>
      <c r="V672" s="109" t="s">
        <v>2209</v>
      </c>
      <c r="W672" s="93" t="s">
        <v>432</v>
      </c>
      <c r="X672" s="93" t="s">
        <v>432</v>
      </c>
      <c r="Y672" s="93" t="s">
        <v>432</v>
      </c>
      <c r="Z672" s="93" t="s">
        <v>432</v>
      </c>
      <c r="AA672" s="87">
        <v>138</v>
      </c>
      <c r="AB672" s="87">
        <v>192</v>
      </c>
      <c r="AC672" s="87">
        <v>178</v>
      </c>
      <c r="AD672" s="87">
        <v>214</v>
      </c>
      <c r="AE672" s="87">
        <v>202</v>
      </c>
      <c r="AF672" s="87">
        <v>274</v>
      </c>
      <c r="AG672" s="87">
        <v>411</v>
      </c>
      <c r="AH672" s="87">
        <v>502</v>
      </c>
      <c r="AI672" s="87">
        <v>734</v>
      </c>
      <c r="AJ672" s="1310">
        <v>551</v>
      </c>
      <c r="AK672" s="84">
        <v>493</v>
      </c>
      <c r="AL672" s="600" t="s">
        <v>432</v>
      </c>
      <c r="AM672" s="137" t="s">
        <v>432</v>
      </c>
      <c r="AN672" s="137" t="s">
        <v>432</v>
      </c>
      <c r="AO672" s="137" t="s">
        <v>432</v>
      </c>
      <c r="AP672" s="137" t="s">
        <v>432</v>
      </c>
      <c r="AQ672" s="137" t="s">
        <v>432</v>
      </c>
      <c r="AR672" s="137" t="s">
        <v>432</v>
      </c>
      <c r="AS672" s="137" t="s">
        <v>432</v>
      </c>
      <c r="AT672" s="137" t="s">
        <v>432</v>
      </c>
      <c r="AU672" s="137" t="s">
        <v>432</v>
      </c>
      <c r="AV672" s="137" t="s">
        <v>432</v>
      </c>
      <c r="AW672" s="137" t="s">
        <v>432</v>
      </c>
      <c r="AX672" s="137" t="s">
        <v>432</v>
      </c>
      <c r="AY672" s="137" t="s">
        <v>432</v>
      </c>
      <c r="AZ672" s="137" t="s">
        <v>432</v>
      </c>
      <c r="BA672" s="137" t="s">
        <v>432</v>
      </c>
      <c r="BB672" s="239" t="str">
        <f t="shared" si="122"/>
        <v>Ações educativasx</v>
      </c>
      <c r="BC672" s="239" t="str">
        <f t="shared" si="123"/>
        <v>Ações educativasxx</v>
      </c>
      <c r="BD672" s="239" t="str">
        <f t="shared" si="124"/>
        <v>Ações educativasx</v>
      </c>
    </row>
    <row r="673" spans="1:56" s="3" customFormat="1" ht="25.5" x14ac:dyDescent="0.25">
      <c r="A673" s="402"/>
      <c r="B673" s="399"/>
      <c r="C673" s="399"/>
      <c r="D673" s="970"/>
      <c r="E673" s="1493"/>
      <c r="F673" s="487"/>
      <c r="G673" s="487"/>
      <c r="H673" s="487"/>
      <c r="I673" s="487"/>
      <c r="J673" s="487"/>
      <c r="K673" s="487"/>
      <c r="L673" s="487"/>
      <c r="M673" s="487"/>
      <c r="N673" s="487"/>
      <c r="O673" s="487"/>
      <c r="P673" s="487"/>
      <c r="Q673" s="487"/>
      <c r="R673" s="487"/>
      <c r="S673" s="109" t="s">
        <v>2209</v>
      </c>
      <c r="T673" s="487"/>
      <c r="U673" s="487"/>
      <c r="V673" s="109" t="s">
        <v>2209</v>
      </c>
      <c r="W673" s="487"/>
      <c r="X673" s="487"/>
      <c r="Y673" s="487"/>
      <c r="Z673" s="487"/>
      <c r="AA673" s="487"/>
      <c r="AB673" s="487"/>
      <c r="AC673" s="487"/>
      <c r="AD673" s="487"/>
      <c r="AE673" s="487"/>
      <c r="AF673" s="487"/>
      <c r="AG673" s="487"/>
      <c r="AH673" s="487"/>
      <c r="AI673" s="487"/>
      <c r="AJ673" s="487"/>
      <c r="AK673" s="487"/>
      <c r="AL673" s="487"/>
      <c r="AM673" s="487"/>
      <c r="AN673" s="487"/>
      <c r="AO673" s="487"/>
      <c r="AP673" s="487"/>
      <c r="AQ673" s="487"/>
      <c r="AR673" s="487"/>
      <c r="AS673" s="487"/>
      <c r="AT673" s="487"/>
      <c r="AU673" s="487"/>
      <c r="AV673" s="487"/>
      <c r="AW673" s="487"/>
      <c r="AX673" s="487"/>
      <c r="AY673" s="223"/>
      <c r="AZ673" s="223"/>
      <c r="BA673" s="223"/>
      <c r="BB673" s="400"/>
      <c r="BC673" s="400"/>
      <c r="BD673" s="400"/>
    </row>
    <row r="674" spans="1:56" s="3" customFormat="1" ht="25.5" x14ac:dyDescent="0.25">
      <c r="A674" s="262" t="s">
        <v>432</v>
      </c>
      <c r="B674" s="252" t="s">
        <v>742</v>
      </c>
      <c r="C674" s="167" t="s">
        <v>432</v>
      </c>
      <c r="D674" s="324" t="s">
        <v>3204</v>
      </c>
      <c r="E674" s="254" t="s">
        <v>432</v>
      </c>
      <c r="F674" s="11" t="s">
        <v>4433</v>
      </c>
      <c r="G674" s="167" t="s">
        <v>3879</v>
      </c>
      <c r="H674" s="167" t="s">
        <v>432</v>
      </c>
      <c r="I674" s="167" t="s">
        <v>432</v>
      </c>
      <c r="J674" s="109" t="s">
        <v>432</v>
      </c>
      <c r="K674" s="109" t="s">
        <v>432</v>
      </c>
      <c r="L674" s="109" t="s">
        <v>432</v>
      </c>
      <c r="M674" s="109" t="s">
        <v>432</v>
      </c>
      <c r="N674" s="109" t="s">
        <v>432</v>
      </c>
      <c r="O674" s="109" t="s">
        <v>432</v>
      </c>
      <c r="P674" s="109" t="s">
        <v>432</v>
      </c>
      <c r="Q674" s="109" t="s">
        <v>432</v>
      </c>
      <c r="R674" s="109" t="s">
        <v>432</v>
      </c>
      <c r="S674" s="109" t="s">
        <v>2209</v>
      </c>
      <c r="T674" s="109" t="s">
        <v>432</v>
      </c>
      <c r="U674" s="109" t="s">
        <v>432</v>
      </c>
      <c r="V674" s="109" t="s">
        <v>2209</v>
      </c>
      <c r="W674" s="109" t="s">
        <v>432</v>
      </c>
      <c r="X674" s="109" t="s">
        <v>432</v>
      </c>
      <c r="Y674" s="109" t="s">
        <v>432</v>
      </c>
      <c r="Z674" s="109" t="s">
        <v>432</v>
      </c>
      <c r="AA674" s="109" t="s">
        <v>432</v>
      </c>
      <c r="AB674" s="109" t="s">
        <v>432</v>
      </c>
      <c r="AC674" s="109" t="s">
        <v>432</v>
      </c>
      <c r="AD674" s="109" t="s">
        <v>432</v>
      </c>
      <c r="AE674" s="109" t="s">
        <v>432</v>
      </c>
      <c r="AF674" s="109" t="s">
        <v>432</v>
      </c>
      <c r="AG674" s="109" t="s">
        <v>432</v>
      </c>
      <c r="AH674" s="109" t="s">
        <v>432</v>
      </c>
      <c r="AI674" s="109" t="s">
        <v>432</v>
      </c>
      <c r="AJ674" s="109" t="s">
        <v>432</v>
      </c>
      <c r="AK674" s="109" t="s">
        <v>432</v>
      </c>
      <c r="AL674" s="600" t="s">
        <v>432</v>
      </c>
      <c r="AM674" s="137" t="s">
        <v>432</v>
      </c>
      <c r="AN674" s="137" t="s">
        <v>432</v>
      </c>
      <c r="AO674" s="137" t="s">
        <v>432</v>
      </c>
      <c r="AP674" s="137" t="s">
        <v>432</v>
      </c>
      <c r="AQ674" s="137" t="s">
        <v>432</v>
      </c>
      <c r="AR674" s="137" t="s">
        <v>432</v>
      </c>
      <c r="AS674" s="137" t="s">
        <v>432</v>
      </c>
      <c r="AT674" s="137" t="s">
        <v>432</v>
      </c>
      <c r="AU674" s="137" t="s">
        <v>432</v>
      </c>
      <c r="AV674" s="137" t="s">
        <v>432</v>
      </c>
      <c r="AW674" s="137" t="s">
        <v>432</v>
      </c>
      <c r="AX674" s="137" t="s">
        <v>432</v>
      </c>
      <c r="AY674" s="137" t="s">
        <v>432</v>
      </c>
      <c r="AZ674" s="137" t="s">
        <v>432</v>
      </c>
      <c r="BA674" s="137" t="s">
        <v>432</v>
      </c>
      <c r="BB674" s="239" t="str">
        <f t="shared" ref="BB674:BB684" si="125">B674&amp;C674</f>
        <v>geralx</v>
      </c>
      <c r="BC674" s="239" t="str">
        <f t="shared" ref="BC674:BC684" si="126">B674&amp;C674&amp;H674</f>
        <v>geralxx</v>
      </c>
      <c r="BD674" s="239" t="str">
        <f t="shared" ref="BD674:BD684" si="127">B674&amp;H674</f>
        <v>geralx</v>
      </c>
    </row>
    <row r="675" spans="1:56" s="3" customFormat="1" ht="25.5" x14ac:dyDescent="0.25">
      <c r="A675" s="262" t="s">
        <v>432</v>
      </c>
      <c r="B675" s="252" t="s">
        <v>742</v>
      </c>
      <c r="C675" s="167" t="s">
        <v>432</v>
      </c>
      <c r="D675" s="324" t="s">
        <v>2153</v>
      </c>
      <c r="E675" s="254" t="s">
        <v>432</v>
      </c>
      <c r="F675" s="11" t="s">
        <v>2155</v>
      </c>
      <c r="G675" s="167" t="s">
        <v>3879</v>
      </c>
      <c r="H675" s="167" t="s">
        <v>432</v>
      </c>
      <c r="I675" s="167" t="s">
        <v>432</v>
      </c>
      <c r="J675" s="109" t="s">
        <v>432</v>
      </c>
      <c r="K675" s="109" t="s">
        <v>432</v>
      </c>
      <c r="L675" s="109" t="s">
        <v>432</v>
      </c>
      <c r="M675" s="109" t="s">
        <v>432</v>
      </c>
      <c r="N675" s="109" t="s">
        <v>432</v>
      </c>
      <c r="O675" s="109" t="s">
        <v>432</v>
      </c>
      <c r="P675" s="109" t="s">
        <v>432</v>
      </c>
      <c r="Q675" s="109" t="s">
        <v>432</v>
      </c>
      <c r="R675" s="109" t="s">
        <v>432</v>
      </c>
      <c r="S675" s="109" t="s">
        <v>2209</v>
      </c>
      <c r="T675" s="109" t="s">
        <v>432</v>
      </c>
      <c r="U675" s="109" t="s">
        <v>432</v>
      </c>
      <c r="V675" s="109" t="s">
        <v>2209</v>
      </c>
      <c r="W675" s="109" t="s">
        <v>432</v>
      </c>
      <c r="X675" s="109" t="s">
        <v>432</v>
      </c>
      <c r="Y675" s="109" t="s">
        <v>432</v>
      </c>
      <c r="Z675" s="109" t="s">
        <v>432</v>
      </c>
      <c r="AA675" s="109" t="s">
        <v>432</v>
      </c>
      <c r="AB675" s="109" t="s">
        <v>432</v>
      </c>
      <c r="AC675" s="109" t="s">
        <v>432</v>
      </c>
      <c r="AD675" s="109" t="s">
        <v>432</v>
      </c>
      <c r="AE675" s="109" t="s">
        <v>432</v>
      </c>
      <c r="AF675" s="109" t="s">
        <v>432</v>
      </c>
      <c r="AG675" s="109" t="s">
        <v>432</v>
      </c>
      <c r="AH675" s="109" t="s">
        <v>432</v>
      </c>
      <c r="AI675" s="109" t="s">
        <v>432</v>
      </c>
      <c r="AJ675" s="109" t="s">
        <v>432</v>
      </c>
      <c r="AK675" s="109" t="s">
        <v>432</v>
      </c>
      <c r="AL675" s="600" t="s">
        <v>432</v>
      </c>
      <c r="AM675" s="137" t="s">
        <v>432</v>
      </c>
      <c r="AN675" s="137" t="s">
        <v>432</v>
      </c>
      <c r="AO675" s="137" t="s">
        <v>432</v>
      </c>
      <c r="AP675" s="137" t="s">
        <v>432</v>
      </c>
      <c r="AQ675" s="137" t="s">
        <v>432</v>
      </c>
      <c r="AR675" s="137" t="s">
        <v>432</v>
      </c>
      <c r="AS675" s="137" t="s">
        <v>432</v>
      </c>
      <c r="AT675" s="137" t="s">
        <v>432</v>
      </c>
      <c r="AU675" s="137" t="s">
        <v>432</v>
      </c>
      <c r="AV675" s="137" t="s">
        <v>432</v>
      </c>
      <c r="AW675" s="137" t="s">
        <v>432</v>
      </c>
      <c r="AX675" s="137" t="s">
        <v>432</v>
      </c>
      <c r="AY675" s="137" t="s">
        <v>432</v>
      </c>
      <c r="AZ675" s="137" t="s">
        <v>432</v>
      </c>
      <c r="BA675" s="137" t="s">
        <v>432</v>
      </c>
      <c r="BB675" s="239" t="str">
        <f t="shared" si="125"/>
        <v>geralx</v>
      </c>
      <c r="BC675" s="239" t="str">
        <f t="shared" si="126"/>
        <v>geralxx</v>
      </c>
      <c r="BD675" s="239" t="str">
        <f t="shared" si="127"/>
        <v>geralx</v>
      </c>
    </row>
    <row r="676" spans="1:56" s="3" customFormat="1" ht="25.5" x14ac:dyDescent="0.25">
      <c r="A676" s="262" t="s">
        <v>432</v>
      </c>
      <c r="B676" s="252" t="s">
        <v>742</v>
      </c>
      <c r="C676" s="167" t="s">
        <v>432</v>
      </c>
      <c r="D676" s="324" t="s">
        <v>2154</v>
      </c>
      <c r="E676" s="254" t="s">
        <v>432</v>
      </c>
      <c r="F676" s="11" t="s">
        <v>2156</v>
      </c>
      <c r="G676" s="167" t="s">
        <v>3879</v>
      </c>
      <c r="H676" s="167" t="s">
        <v>432</v>
      </c>
      <c r="I676" s="167" t="s">
        <v>432</v>
      </c>
      <c r="J676" s="109" t="s">
        <v>432</v>
      </c>
      <c r="K676" s="109" t="s">
        <v>432</v>
      </c>
      <c r="L676" s="109" t="s">
        <v>432</v>
      </c>
      <c r="M676" s="109" t="s">
        <v>432</v>
      </c>
      <c r="N676" s="109" t="s">
        <v>432</v>
      </c>
      <c r="O676" s="109" t="s">
        <v>432</v>
      </c>
      <c r="P676" s="109" t="s">
        <v>432</v>
      </c>
      <c r="Q676" s="109" t="s">
        <v>432</v>
      </c>
      <c r="R676" s="109" t="s">
        <v>432</v>
      </c>
      <c r="S676" s="109" t="s">
        <v>2209</v>
      </c>
      <c r="T676" s="109" t="s">
        <v>432</v>
      </c>
      <c r="U676" s="109" t="s">
        <v>432</v>
      </c>
      <c r="V676" s="109" t="s">
        <v>2209</v>
      </c>
      <c r="W676" s="109" t="s">
        <v>432</v>
      </c>
      <c r="X676" s="109" t="s">
        <v>432</v>
      </c>
      <c r="Y676" s="109" t="s">
        <v>432</v>
      </c>
      <c r="Z676" s="109" t="s">
        <v>432</v>
      </c>
      <c r="AA676" s="109" t="s">
        <v>432</v>
      </c>
      <c r="AB676" s="109" t="s">
        <v>432</v>
      </c>
      <c r="AC676" s="109" t="s">
        <v>432</v>
      </c>
      <c r="AD676" s="109" t="s">
        <v>432</v>
      </c>
      <c r="AE676" s="109" t="s">
        <v>432</v>
      </c>
      <c r="AF676" s="109" t="s">
        <v>432</v>
      </c>
      <c r="AG676" s="109" t="s">
        <v>432</v>
      </c>
      <c r="AH676" s="109" t="s">
        <v>432</v>
      </c>
      <c r="AI676" s="109" t="s">
        <v>432</v>
      </c>
      <c r="AJ676" s="109" t="s">
        <v>432</v>
      </c>
      <c r="AK676" s="109" t="s">
        <v>432</v>
      </c>
      <c r="AL676" s="600" t="s">
        <v>432</v>
      </c>
      <c r="AM676" s="137" t="s">
        <v>432</v>
      </c>
      <c r="AN676" s="137" t="s">
        <v>432</v>
      </c>
      <c r="AO676" s="137" t="s">
        <v>432</v>
      </c>
      <c r="AP676" s="137" t="s">
        <v>432</v>
      </c>
      <c r="AQ676" s="137" t="s">
        <v>432</v>
      </c>
      <c r="AR676" s="137" t="s">
        <v>432</v>
      </c>
      <c r="AS676" s="137" t="s">
        <v>432</v>
      </c>
      <c r="AT676" s="137" t="s">
        <v>432</v>
      </c>
      <c r="AU676" s="137" t="s">
        <v>432</v>
      </c>
      <c r="AV676" s="137" t="s">
        <v>432</v>
      </c>
      <c r="AW676" s="137" t="s">
        <v>432</v>
      </c>
      <c r="AX676" s="137" t="s">
        <v>432</v>
      </c>
      <c r="AY676" s="137" t="s">
        <v>432</v>
      </c>
      <c r="AZ676" s="137" t="s">
        <v>432</v>
      </c>
      <c r="BA676" s="137" t="s">
        <v>432</v>
      </c>
      <c r="BB676" s="239" t="str">
        <f t="shared" si="125"/>
        <v>geralx</v>
      </c>
      <c r="BC676" s="239" t="str">
        <f t="shared" si="126"/>
        <v>geralxx</v>
      </c>
      <c r="BD676" s="239" t="str">
        <f t="shared" si="127"/>
        <v>geralx</v>
      </c>
    </row>
    <row r="677" spans="1:56" s="3" customFormat="1" ht="25.5" x14ac:dyDescent="0.25">
      <c r="A677" s="262" t="s">
        <v>432</v>
      </c>
      <c r="B677" s="252" t="s">
        <v>742</v>
      </c>
      <c r="C677" s="167" t="s">
        <v>432</v>
      </c>
      <c r="D677" s="324" t="s">
        <v>4063</v>
      </c>
      <c r="E677" s="254" t="s">
        <v>432</v>
      </c>
      <c r="F677" s="1205" t="s">
        <v>4085</v>
      </c>
      <c r="G677" s="167" t="s">
        <v>3719</v>
      </c>
      <c r="H677" s="173" t="s">
        <v>2408</v>
      </c>
      <c r="I677" s="167" t="s">
        <v>432</v>
      </c>
      <c r="J677" s="109" t="s">
        <v>432</v>
      </c>
      <c r="K677" s="109" t="s">
        <v>432</v>
      </c>
      <c r="L677" s="109" t="s">
        <v>432</v>
      </c>
      <c r="M677" s="109" t="s">
        <v>432</v>
      </c>
      <c r="N677" s="109" t="s">
        <v>432</v>
      </c>
      <c r="O677" s="109" t="s">
        <v>432</v>
      </c>
      <c r="P677" s="109" t="s">
        <v>432</v>
      </c>
      <c r="Q677" s="109" t="s">
        <v>432</v>
      </c>
      <c r="R677" s="109" t="s">
        <v>432</v>
      </c>
      <c r="S677" s="109" t="s">
        <v>2209</v>
      </c>
      <c r="T677" s="109" t="s">
        <v>432</v>
      </c>
      <c r="U677" s="109" t="s">
        <v>432</v>
      </c>
      <c r="V677" s="109" t="s">
        <v>2209</v>
      </c>
      <c r="W677" s="109" t="s">
        <v>432</v>
      </c>
      <c r="X677" s="109" t="s">
        <v>432</v>
      </c>
      <c r="Y677" s="109" t="s">
        <v>432</v>
      </c>
      <c r="Z677" s="109" t="s">
        <v>432</v>
      </c>
      <c r="AA677" s="109" t="s">
        <v>432</v>
      </c>
      <c r="AB677" s="109" t="s">
        <v>432</v>
      </c>
      <c r="AC677" s="109" t="s">
        <v>432</v>
      </c>
      <c r="AD677" s="109" t="s">
        <v>432</v>
      </c>
      <c r="AE677" s="109" t="s">
        <v>432</v>
      </c>
      <c r="AF677" s="109" t="s">
        <v>432</v>
      </c>
      <c r="AG677" s="109" t="s">
        <v>432</v>
      </c>
      <c r="AH677" s="109" t="s">
        <v>432</v>
      </c>
      <c r="AI677" s="109" t="s">
        <v>432</v>
      </c>
      <c r="AJ677" s="109" t="s">
        <v>432</v>
      </c>
      <c r="AK677" s="109" t="s">
        <v>432</v>
      </c>
      <c r="AL677" s="600" t="s">
        <v>432</v>
      </c>
      <c r="AM677" s="137" t="s">
        <v>432</v>
      </c>
      <c r="AN677" s="137" t="s">
        <v>432</v>
      </c>
      <c r="AO677" s="137" t="s">
        <v>432</v>
      </c>
      <c r="AP677" s="137" t="s">
        <v>432</v>
      </c>
      <c r="AQ677" s="137" t="s">
        <v>432</v>
      </c>
      <c r="AR677" s="137" t="s">
        <v>432</v>
      </c>
      <c r="AS677" s="137" t="s">
        <v>432</v>
      </c>
      <c r="AT677" s="137" t="s">
        <v>432</v>
      </c>
      <c r="AU677" s="137" t="s">
        <v>432</v>
      </c>
      <c r="AV677" s="137" t="s">
        <v>432</v>
      </c>
      <c r="AW677" s="137" t="s">
        <v>432</v>
      </c>
      <c r="AX677" s="137" t="s">
        <v>432</v>
      </c>
      <c r="AY677" s="137" t="s">
        <v>432</v>
      </c>
      <c r="AZ677" s="137" t="s">
        <v>432</v>
      </c>
      <c r="BA677" s="137" t="s">
        <v>432</v>
      </c>
      <c r="BB677" s="239" t="str">
        <f t="shared" si="125"/>
        <v>geralx</v>
      </c>
      <c r="BC677" s="239" t="str">
        <f t="shared" si="126"/>
        <v>geralxsigla/verbete</v>
      </c>
      <c r="BD677" s="239" t="str">
        <f t="shared" si="127"/>
        <v>geralsigla/verbete</v>
      </c>
    </row>
    <row r="678" spans="1:56" s="1" customFormat="1" ht="143.25" customHeight="1" x14ac:dyDescent="0.25">
      <c r="A678" s="275" t="str">
        <f>'Q100b-totais'!$B$68</f>
        <v>9.5</v>
      </c>
      <c r="B678" s="1205" t="str">
        <f>'Q100b-totais'!$C$68</f>
        <v>Sinalização semafórica</v>
      </c>
      <c r="C678" s="167" t="s">
        <v>432</v>
      </c>
      <c r="D678" s="961" t="s">
        <v>156</v>
      </c>
      <c r="E678" s="254" t="s">
        <v>1306</v>
      </c>
      <c r="F678" s="11" t="s">
        <v>5773</v>
      </c>
      <c r="G678" s="110" t="s">
        <v>1594</v>
      </c>
      <c r="H678" s="173" t="s">
        <v>432</v>
      </c>
      <c r="I678" s="57">
        <v>1</v>
      </c>
      <c r="J678" s="107" t="s">
        <v>432</v>
      </c>
      <c r="K678" s="93" t="s">
        <v>432</v>
      </c>
      <c r="L678" s="93" t="s">
        <v>432</v>
      </c>
      <c r="M678" s="93" t="s">
        <v>432</v>
      </c>
      <c r="N678" s="93" t="s">
        <v>432</v>
      </c>
      <c r="O678" s="93" t="s">
        <v>432</v>
      </c>
      <c r="P678" s="93" t="s">
        <v>432</v>
      </c>
      <c r="Q678" s="93" t="s">
        <v>432</v>
      </c>
      <c r="R678" s="93" t="s">
        <v>432</v>
      </c>
      <c r="S678" s="109" t="s">
        <v>2209</v>
      </c>
      <c r="T678" s="87" t="s">
        <v>432</v>
      </c>
      <c r="U678" s="87" t="s">
        <v>432</v>
      </c>
      <c r="V678" s="109" t="s">
        <v>2209</v>
      </c>
      <c r="W678" s="87" t="s">
        <v>432</v>
      </c>
      <c r="X678" s="87" t="s">
        <v>432</v>
      </c>
      <c r="Y678" s="87" t="s">
        <v>432</v>
      </c>
      <c r="Z678" s="87" t="s">
        <v>432</v>
      </c>
      <c r="AA678" s="87">
        <v>4338900</v>
      </c>
      <c r="AB678" s="87">
        <v>4281707</v>
      </c>
      <c r="AC678" s="87">
        <v>3842661</v>
      </c>
      <c r="AD678" s="87">
        <v>3837719</v>
      </c>
      <c r="AE678" s="87">
        <v>3918284</v>
      </c>
      <c r="AF678" s="87">
        <v>3989750</v>
      </c>
      <c r="AG678" s="87">
        <v>2995808</v>
      </c>
      <c r="AH678" s="87">
        <v>1319325</v>
      </c>
      <c r="AI678" s="87">
        <v>1136258</v>
      </c>
      <c r="AJ678" s="87">
        <v>1130206</v>
      </c>
      <c r="AK678" s="137" t="s">
        <v>432</v>
      </c>
      <c r="AL678" s="600" t="s">
        <v>432</v>
      </c>
      <c r="AM678" s="137" t="s">
        <v>432</v>
      </c>
      <c r="AN678" s="137" t="s">
        <v>432</v>
      </c>
      <c r="AO678" s="137" t="s">
        <v>432</v>
      </c>
      <c r="AP678" s="137" t="s">
        <v>432</v>
      </c>
      <c r="AQ678" s="137" t="s">
        <v>432</v>
      </c>
      <c r="AR678" s="137" t="s">
        <v>432</v>
      </c>
      <c r="AS678" s="137" t="s">
        <v>432</v>
      </c>
      <c r="AT678" s="137" t="s">
        <v>432</v>
      </c>
      <c r="AU678" s="137" t="s">
        <v>432</v>
      </c>
      <c r="AV678" s="137" t="s">
        <v>432</v>
      </c>
      <c r="AW678" s="137" t="s">
        <v>432</v>
      </c>
      <c r="AX678" s="137" t="s">
        <v>432</v>
      </c>
      <c r="AY678" s="137" t="s">
        <v>432</v>
      </c>
      <c r="AZ678" s="137" t="s">
        <v>432</v>
      </c>
      <c r="BA678" s="137" t="s">
        <v>432</v>
      </c>
      <c r="BB678" s="239" t="str">
        <f t="shared" si="125"/>
        <v>Sinalização semafóricax</v>
      </c>
      <c r="BC678" s="239" t="str">
        <f t="shared" si="126"/>
        <v>Sinalização semafóricaxx</v>
      </c>
      <c r="BD678" s="239" t="str">
        <f t="shared" si="127"/>
        <v>Sinalização semafóricax</v>
      </c>
    </row>
    <row r="679" spans="1:56" s="1" customFormat="1" ht="51.75" customHeight="1" x14ac:dyDescent="0.25">
      <c r="A679" s="275" t="str">
        <f>'Q100b-totais'!$B$68</f>
        <v>9.5</v>
      </c>
      <c r="B679" s="1205" t="str">
        <f>'Q100b-totais'!$C$68</f>
        <v>Sinalização semafórica</v>
      </c>
      <c r="C679" s="167" t="s">
        <v>432</v>
      </c>
      <c r="D679" s="961" t="s">
        <v>157</v>
      </c>
      <c r="E679" s="254" t="s">
        <v>1306</v>
      </c>
      <c r="F679" s="11" t="s">
        <v>5774</v>
      </c>
      <c r="G679" s="57" t="s">
        <v>5760</v>
      </c>
      <c r="H679" s="173" t="s">
        <v>2408</v>
      </c>
      <c r="I679" s="57" t="s">
        <v>432</v>
      </c>
      <c r="J679" s="107" t="s">
        <v>432</v>
      </c>
      <c r="K679" s="107" t="s">
        <v>432</v>
      </c>
      <c r="L679" s="107" t="s">
        <v>432</v>
      </c>
      <c r="M679" s="107" t="s">
        <v>432</v>
      </c>
      <c r="N679" s="107" t="s">
        <v>432</v>
      </c>
      <c r="O679" s="107" t="s">
        <v>432</v>
      </c>
      <c r="P679" s="107" t="s">
        <v>432</v>
      </c>
      <c r="Q679" s="107" t="s">
        <v>432</v>
      </c>
      <c r="R679" s="107" t="s">
        <v>432</v>
      </c>
      <c r="S679" s="109" t="s">
        <v>2209</v>
      </c>
      <c r="T679" s="107" t="s">
        <v>432</v>
      </c>
      <c r="U679" s="107" t="s">
        <v>432</v>
      </c>
      <c r="V679" s="109" t="s">
        <v>2209</v>
      </c>
      <c r="W679" s="107" t="s">
        <v>432</v>
      </c>
      <c r="X679" s="107" t="s">
        <v>432</v>
      </c>
      <c r="Y679" s="107" t="s">
        <v>432</v>
      </c>
      <c r="Z679" s="107" t="s">
        <v>432</v>
      </c>
      <c r="AA679" s="107" t="s">
        <v>432</v>
      </c>
      <c r="AB679" s="107" t="s">
        <v>432</v>
      </c>
      <c r="AC679" s="107" t="s">
        <v>432</v>
      </c>
      <c r="AD679" s="107" t="s">
        <v>432</v>
      </c>
      <c r="AE679" s="107" t="s">
        <v>432</v>
      </c>
      <c r="AF679" s="107" t="s">
        <v>432</v>
      </c>
      <c r="AG679" s="107" t="s">
        <v>432</v>
      </c>
      <c r="AH679" s="107" t="s">
        <v>432</v>
      </c>
      <c r="AI679" s="107" t="s">
        <v>432</v>
      </c>
      <c r="AJ679" s="107" t="s">
        <v>432</v>
      </c>
      <c r="AK679" s="137" t="s">
        <v>432</v>
      </c>
      <c r="AL679" s="600" t="s">
        <v>432</v>
      </c>
      <c r="AM679" s="137" t="s">
        <v>432</v>
      </c>
      <c r="AN679" s="137" t="s">
        <v>432</v>
      </c>
      <c r="AO679" s="137" t="s">
        <v>432</v>
      </c>
      <c r="AP679" s="137" t="s">
        <v>432</v>
      </c>
      <c r="AQ679" s="137" t="s">
        <v>432</v>
      </c>
      <c r="AR679" s="137" t="s">
        <v>432</v>
      </c>
      <c r="AS679" s="137" t="s">
        <v>432</v>
      </c>
      <c r="AT679" s="137" t="s">
        <v>432</v>
      </c>
      <c r="AU679" s="137" t="s">
        <v>432</v>
      </c>
      <c r="AV679" s="137" t="s">
        <v>432</v>
      </c>
      <c r="AW679" s="137" t="s">
        <v>432</v>
      </c>
      <c r="AX679" s="137" t="s">
        <v>432</v>
      </c>
      <c r="AY679" s="137" t="s">
        <v>432</v>
      </c>
      <c r="AZ679" s="137" t="s">
        <v>432</v>
      </c>
      <c r="BA679" s="137" t="s">
        <v>432</v>
      </c>
      <c r="BB679" s="239" t="str">
        <f t="shared" si="125"/>
        <v>Sinalização semafóricax</v>
      </c>
      <c r="BC679" s="239" t="str">
        <f t="shared" si="126"/>
        <v>Sinalização semafóricaxsigla/verbete</v>
      </c>
      <c r="BD679" s="239" t="str">
        <f t="shared" si="127"/>
        <v>Sinalização semafóricasigla/verbete</v>
      </c>
    </row>
    <row r="680" spans="1:56" s="1" customFormat="1" ht="25.5" x14ac:dyDescent="0.25">
      <c r="A680" s="275" t="str">
        <f>'Q100b-totais'!$B$68</f>
        <v>9.5</v>
      </c>
      <c r="B680" s="1205" t="str">
        <f>'Q100b-totais'!$C$68</f>
        <v>Sinalização semafórica</v>
      </c>
      <c r="C680" s="167" t="s">
        <v>432</v>
      </c>
      <c r="D680" s="961" t="s">
        <v>158</v>
      </c>
      <c r="E680" s="254" t="s">
        <v>1306</v>
      </c>
      <c r="F680" s="11" t="s">
        <v>5775</v>
      </c>
      <c r="G680" s="58" t="s">
        <v>525</v>
      </c>
      <c r="H680" s="173" t="s">
        <v>432</v>
      </c>
      <c r="I680" s="57">
        <v>1</v>
      </c>
      <c r="J680" s="107" t="s">
        <v>432</v>
      </c>
      <c r="K680" s="58" t="s">
        <v>432</v>
      </c>
      <c r="L680" s="58" t="s">
        <v>432</v>
      </c>
      <c r="M680" s="58" t="s">
        <v>432</v>
      </c>
      <c r="N680" s="58" t="s">
        <v>432</v>
      </c>
      <c r="O680" s="58" t="s">
        <v>432</v>
      </c>
      <c r="P680" s="58" t="s">
        <v>432</v>
      </c>
      <c r="Q680" s="58" t="s">
        <v>432</v>
      </c>
      <c r="R680" s="58" t="s">
        <v>432</v>
      </c>
      <c r="S680" s="109" t="s">
        <v>2209</v>
      </c>
      <c r="T680" s="20" t="s">
        <v>432</v>
      </c>
      <c r="U680" s="20" t="s">
        <v>432</v>
      </c>
      <c r="V680" s="109" t="s">
        <v>2209</v>
      </c>
      <c r="W680" s="20" t="s">
        <v>432</v>
      </c>
      <c r="X680" s="20" t="s">
        <v>432</v>
      </c>
      <c r="Y680" s="20" t="s">
        <v>432</v>
      </c>
      <c r="Z680" s="20" t="s">
        <v>432</v>
      </c>
      <c r="AA680" s="20">
        <f t="shared" ref="AA680:AJ680" si="128">AA678/12</f>
        <v>361575</v>
      </c>
      <c r="AB680" s="20">
        <f t="shared" si="128"/>
        <v>356808.91666666669</v>
      </c>
      <c r="AC680" s="20">
        <f t="shared" si="128"/>
        <v>320221.75</v>
      </c>
      <c r="AD680" s="20">
        <f t="shared" si="128"/>
        <v>319809.91666666669</v>
      </c>
      <c r="AE680" s="20">
        <f t="shared" si="128"/>
        <v>326523.66666666669</v>
      </c>
      <c r="AF680" s="20">
        <f t="shared" si="128"/>
        <v>332479.16666666669</v>
      </c>
      <c r="AG680" s="20">
        <f t="shared" si="128"/>
        <v>249650.66666666666</v>
      </c>
      <c r="AH680" s="20">
        <f t="shared" si="128"/>
        <v>109943.75</v>
      </c>
      <c r="AI680" s="20">
        <f t="shared" si="128"/>
        <v>94688.166666666672</v>
      </c>
      <c r="AJ680" s="20">
        <f t="shared" si="128"/>
        <v>94183.833333333328</v>
      </c>
      <c r="AK680" s="137" t="s">
        <v>432</v>
      </c>
      <c r="AL680" s="600" t="s">
        <v>432</v>
      </c>
      <c r="AM680" s="137" t="s">
        <v>432</v>
      </c>
      <c r="AN680" s="137" t="s">
        <v>432</v>
      </c>
      <c r="AO680" s="137" t="s">
        <v>432</v>
      </c>
      <c r="AP680" s="137" t="s">
        <v>432</v>
      </c>
      <c r="AQ680" s="137" t="s">
        <v>432</v>
      </c>
      <c r="AR680" s="137" t="s">
        <v>432</v>
      </c>
      <c r="AS680" s="137" t="s">
        <v>432</v>
      </c>
      <c r="AT680" s="137" t="s">
        <v>432</v>
      </c>
      <c r="AU680" s="137" t="s">
        <v>432</v>
      </c>
      <c r="AV680" s="137" t="s">
        <v>432</v>
      </c>
      <c r="AW680" s="137" t="s">
        <v>432</v>
      </c>
      <c r="AX680" s="137" t="s">
        <v>432</v>
      </c>
      <c r="AY680" s="137" t="s">
        <v>432</v>
      </c>
      <c r="AZ680" s="137" t="s">
        <v>432</v>
      </c>
      <c r="BA680" s="137" t="s">
        <v>432</v>
      </c>
      <c r="BB680" s="239" t="str">
        <f t="shared" si="125"/>
        <v>Sinalização semafóricax</v>
      </c>
      <c r="BC680" s="239" t="str">
        <f t="shared" si="126"/>
        <v>Sinalização semafóricaxx</v>
      </c>
      <c r="BD680" s="239" t="str">
        <f t="shared" si="127"/>
        <v>Sinalização semafóricax</v>
      </c>
    </row>
    <row r="681" spans="1:56" s="1" customFormat="1" ht="91.5" customHeight="1" x14ac:dyDescent="0.25">
      <c r="A681" s="275" t="str">
        <f>'Q100b-totais'!$B$68</f>
        <v>9.5</v>
      </c>
      <c r="B681" s="1205" t="str">
        <f>'Q100b-totais'!$C$68</f>
        <v>Sinalização semafórica</v>
      </c>
      <c r="C681" s="167" t="s">
        <v>432</v>
      </c>
      <c r="D681" s="976" t="s">
        <v>159</v>
      </c>
      <c r="E681" s="1502" t="s">
        <v>1306</v>
      </c>
      <c r="F681" s="286" t="s">
        <v>5776</v>
      </c>
      <c r="G681" s="93" t="s">
        <v>77</v>
      </c>
      <c r="H681" s="173" t="s">
        <v>432</v>
      </c>
      <c r="I681" s="57">
        <v>1</v>
      </c>
      <c r="J681" s="109" t="s">
        <v>432</v>
      </c>
      <c r="K681" s="93" t="s">
        <v>432</v>
      </c>
      <c r="L681" s="93" t="s">
        <v>432</v>
      </c>
      <c r="M681" s="93" t="s">
        <v>432</v>
      </c>
      <c r="N681" s="93" t="s">
        <v>432</v>
      </c>
      <c r="O681" s="93" t="s">
        <v>432</v>
      </c>
      <c r="P681" s="93" t="s">
        <v>432</v>
      </c>
      <c r="Q681" s="93" t="s">
        <v>432</v>
      </c>
      <c r="R681" s="93" t="s">
        <v>432</v>
      </c>
      <c r="S681" s="109" t="s">
        <v>2209</v>
      </c>
      <c r="T681" s="87" t="s">
        <v>432</v>
      </c>
      <c r="U681" s="87" t="s">
        <v>432</v>
      </c>
      <c r="V681" s="109" t="s">
        <v>2209</v>
      </c>
      <c r="W681" s="87" t="s">
        <v>432</v>
      </c>
      <c r="X681" s="87" t="s">
        <v>432</v>
      </c>
      <c r="Y681" s="87" t="s">
        <v>432</v>
      </c>
      <c r="Z681" s="87" t="s">
        <v>432</v>
      </c>
      <c r="AA681" s="88">
        <v>512.29631105437909</v>
      </c>
      <c r="AB681" s="88">
        <v>492.65458220562999</v>
      </c>
      <c r="AC681" s="88">
        <v>425</v>
      </c>
      <c r="AD681" s="88">
        <v>411.81204045310074</v>
      </c>
      <c r="AE681" s="88">
        <v>407.05349690191775</v>
      </c>
      <c r="AF681" s="88">
        <v>402.91712683443058</v>
      </c>
      <c r="AG681" s="88">
        <v>294</v>
      </c>
      <c r="AH681" s="88">
        <v>125.05953729352912</v>
      </c>
      <c r="AI681" s="88">
        <v>103.56469562162511</v>
      </c>
      <c r="AJ681" s="88">
        <v>98.263181961660578</v>
      </c>
      <c r="AK681" s="137" t="s">
        <v>432</v>
      </c>
      <c r="AL681" s="600" t="s">
        <v>432</v>
      </c>
      <c r="AM681" s="137" t="s">
        <v>432</v>
      </c>
      <c r="AN681" s="137" t="s">
        <v>432</v>
      </c>
      <c r="AO681" s="137" t="s">
        <v>432</v>
      </c>
      <c r="AP681" s="137" t="s">
        <v>432</v>
      </c>
      <c r="AQ681" s="137" t="s">
        <v>432</v>
      </c>
      <c r="AR681" s="137" t="s">
        <v>432</v>
      </c>
      <c r="AS681" s="137" t="s">
        <v>432</v>
      </c>
      <c r="AT681" s="137" t="s">
        <v>432</v>
      </c>
      <c r="AU681" s="137" t="s">
        <v>432</v>
      </c>
      <c r="AV681" s="137" t="s">
        <v>432</v>
      </c>
      <c r="AW681" s="137" t="s">
        <v>432</v>
      </c>
      <c r="AX681" s="137" t="s">
        <v>432</v>
      </c>
      <c r="AY681" s="137" t="s">
        <v>432</v>
      </c>
      <c r="AZ681" s="137" t="s">
        <v>432</v>
      </c>
      <c r="BA681" s="137" t="s">
        <v>432</v>
      </c>
      <c r="BB681" s="239" t="str">
        <f t="shared" si="125"/>
        <v>Sinalização semafóricax</v>
      </c>
      <c r="BC681" s="239" t="str">
        <f t="shared" si="126"/>
        <v>Sinalização semafóricaxx</v>
      </c>
      <c r="BD681" s="239" t="str">
        <f t="shared" si="127"/>
        <v>Sinalização semafóricax</v>
      </c>
    </row>
    <row r="682" spans="1:56" s="1" customFormat="1" ht="76.5" customHeight="1" x14ac:dyDescent="0.25">
      <c r="A682" s="275" t="str">
        <f>'Q100b-totais'!$B$68</f>
        <v>9.5</v>
      </c>
      <c r="B682" s="1205" t="str">
        <f>'Q100b-totais'!$C$68</f>
        <v>Sinalização semafórica</v>
      </c>
      <c r="C682" s="167" t="s">
        <v>432</v>
      </c>
      <c r="D682" s="324" t="s">
        <v>1008</v>
      </c>
      <c r="E682" s="254" t="s">
        <v>1306</v>
      </c>
      <c r="F682" s="11" t="s">
        <v>1591</v>
      </c>
      <c r="G682" s="58" t="s">
        <v>1010</v>
      </c>
      <c r="H682" s="173" t="s">
        <v>432</v>
      </c>
      <c r="I682" s="57">
        <v>1</v>
      </c>
      <c r="J682" s="109" t="s">
        <v>432</v>
      </c>
      <c r="K682" s="109" t="s">
        <v>432</v>
      </c>
      <c r="L682" s="109" t="s">
        <v>432</v>
      </c>
      <c r="M682" s="109" t="s">
        <v>432</v>
      </c>
      <c r="N682" s="109" t="s">
        <v>432</v>
      </c>
      <c r="O682" s="109" t="s">
        <v>432</v>
      </c>
      <c r="P682" s="109" t="s">
        <v>432</v>
      </c>
      <c r="Q682" s="109" t="s">
        <v>432</v>
      </c>
      <c r="R682" s="109" t="s">
        <v>432</v>
      </c>
      <c r="S682" s="109" t="s">
        <v>2209</v>
      </c>
      <c r="T682" s="109" t="s">
        <v>432</v>
      </c>
      <c r="U682" s="109" t="s">
        <v>432</v>
      </c>
      <c r="V682" s="109" t="s">
        <v>2209</v>
      </c>
      <c r="W682" s="109" t="s">
        <v>432</v>
      </c>
      <c r="X682" s="109" t="s">
        <v>432</v>
      </c>
      <c r="Y682" s="109" t="s">
        <v>432</v>
      </c>
      <c r="Z682" s="109" t="s">
        <v>432</v>
      </c>
      <c r="AA682" s="109" t="s">
        <v>432</v>
      </c>
      <c r="AB682" s="21">
        <f>(AB681-AA681)/AA681</f>
        <v>-3.8340562726917958E-2</v>
      </c>
      <c r="AC682" s="21">
        <f>(AC681-AA681)/AA681</f>
        <v>-0.17040199035341635</v>
      </c>
      <c r="AD682" s="21">
        <f>(AD681-AA681)/AA681</f>
        <v>-0.19614482562731586</v>
      </c>
      <c r="AE682" s="21">
        <f>(AE681-AA681)/AA681</f>
        <v>-0.20543348035408759</v>
      </c>
      <c r="AF682" s="21">
        <f>(AF681-AA681)/AA681</f>
        <v>-0.21350765535443836</v>
      </c>
      <c r="AG682" s="21">
        <f>(AG681-AA681)/AA681</f>
        <v>-0.42611337685624567</v>
      </c>
      <c r="AH682" s="21">
        <f>(AH681-AA681)/AA681</f>
        <v>-0.75588436887991894</v>
      </c>
      <c r="AI682" s="21">
        <f>(AI681-AA681)/AA681</f>
        <v>-0.79784219915916599</v>
      </c>
      <c r="AJ682" s="21">
        <f>(AJ681-AA681)/AA681</f>
        <v>-0.80819072899545019</v>
      </c>
      <c r="AK682" s="137" t="s">
        <v>432</v>
      </c>
      <c r="AL682" s="600" t="s">
        <v>432</v>
      </c>
      <c r="AM682" s="137" t="s">
        <v>432</v>
      </c>
      <c r="AN682" s="137" t="s">
        <v>432</v>
      </c>
      <c r="AO682" s="137" t="s">
        <v>432</v>
      </c>
      <c r="AP682" s="137" t="s">
        <v>432</v>
      </c>
      <c r="AQ682" s="137" t="s">
        <v>432</v>
      </c>
      <c r="AR682" s="137" t="s">
        <v>432</v>
      </c>
      <c r="AS682" s="137" t="s">
        <v>432</v>
      </c>
      <c r="AT682" s="137" t="s">
        <v>432</v>
      </c>
      <c r="AU682" s="137" t="s">
        <v>432</v>
      </c>
      <c r="AV682" s="137" t="s">
        <v>432</v>
      </c>
      <c r="AW682" s="137" t="s">
        <v>432</v>
      </c>
      <c r="AX682" s="137" t="s">
        <v>432</v>
      </c>
      <c r="AY682" s="137" t="s">
        <v>432</v>
      </c>
      <c r="AZ682" s="137" t="s">
        <v>432</v>
      </c>
      <c r="BA682" s="137" t="s">
        <v>432</v>
      </c>
      <c r="BB682" s="239" t="str">
        <f t="shared" si="125"/>
        <v>Sinalização semafóricax</v>
      </c>
      <c r="BC682" s="239" t="str">
        <f t="shared" si="126"/>
        <v>Sinalização semafóricaxx</v>
      </c>
      <c r="BD682" s="239" t="str">
        <f t="shared" si="127"/>
        <v>Sinalização semafóricax</v>
      </c>
    </row>
    <row r="683" spans="1:56" s="1" customFormat="1" ht="76.5" customHeight="1" x14ac:dyDescent="0.25">
      <c r="A683" s="275" t="str">
        <f>'Q100b-totais'!$B$68</f>
        <v>9.5</v>
      </c>
      <c r="B683" s="1205" t="str">
        <f>'Q100b-totais'!$C$68</f>
        <v>Sinalização semafórica</v>
      </c>
      <c r="C683" s="167" t="s">
        <v>432</v>
      </c>
      <c r="D683" s="324" t="s">
        <v>1009</v>
      </c>
      <c r="E683" s="254" t="s">
        <v>1306</v>
      </c>
      <c r="F683" s="11" t="s">
        <v>5777</v>
      </c>
      <c r="G683" s="58" t="s">
        <v>1011</v>
      </c>
      <c r="H683" s="173" t="s">
        <v>432</v>
      </c>
      <c r="I683" s="57">
        <v>1</v>
      </c>
      <c r="J683" s="109" t="s">
        <v>432</v>
      </c>
      <c r="K683" s="109" t="s">
        <v>432</v>
      </c>
      <c r="L683" s="109" t="s">
        <v>432</v>
      </c>
      <c r="M683" s="109" t="s">
        <v>432</v>
      </c>
      <c r="N683" s="109" t="s">
        <v>432</v>
      </c>
      <c r="O683" s="109" t="s">
        <v>432</v>
      </c>
      <c r="P683" s="109" t="s">
        <v>432</v>
      </c>
      <c r="Q683" s="109" t="s">
        <v>432</v>
      </c>
      <c r="R683" s="109" t="s">
        <v>432</v>
      </c>
      <c r="S683" s="109" t="s">
        <v>2209</v>
      </c>
      <c r="T683" s="109" t="s">
        <v>432</v>
      </c>
      <c r="U683" s="109" t="s">
        <v>432</v>
      </c>
      <c r="V683" s="109" t="s">
        <v>2209</v>
      </c>
      <c r="W683" s="109" t="s">
        <v>432</v>
      </c>
      <c r="X683" s="109" t="s">
        <v>432</v>
      </c>
      <c r="Y683" s="109" t="s">
        <v>432</v>
      </c>
      <c r="Z683" s="109" t="s">
        <v>432</v>
      </c>
      <c r="AA683" s="109" t="s">
        <v>432</v>
      </c>
      <c r="AB683" s="109" t="s">
        <v>432</v>
      </c>
      <c r="AC683" s="109" t="s">
        <v>432</v>
      </c>
      <c r="AD683" s="109" t="s">
        <v>432</v>
      </c>
      <c r="AE683" s="109" t="s">
        <v>432</v>
      </c>
      <c r="AF683" s="109" t="s">
        <v>432</v>
      </c>
      <c r="AG683" s="109" t="s">
        <v>432</v>
      </c>
      <c r="AH683" s="21">
        <f>(AH681-AF681)/AF681</f>
        <v>-0.68961473969579001</v>
      </c>
      <c r="AI683" s="21">
        <f>(AI681-AF681)/AF681</f>
        <v>-0.7429627863295506</v>
      </c>
      <c r="AJ683" s="21">
        <f>(AJ681-AF681)/AF681</f>
        <v>-0.75612061285734444</v>
      </c>
      <c r="AK683" s="137" t="s">
        <v>432</v>
      </c>
      <c r="AL683" s="600" t="s">
        <v>432</v>
      </c>
      <c r="AM683" s="137" t="s">
        <v>432</v>
      </c>
      <c r="AN683" s="137" t="s">
        <v>432</v>
      </c>
      <c r="AO683" s="137" t="s">
        <v>432</v>
      </c>
      <c r="AP683" s="137" t="s">
        <v>432</v>
      </c>
      <c r="AQ683" s="137" t="s">
        <v>432</v>
      </c>
      <c r="AR683" s="137" t="s">
        <v>432</v>
      </c>
      <c r="AS683" s="137" t="s">
        <v>432</v>
      </c>
      <c r="AT683" s="137" t="s">
        <v>432</v>
      </c>
      <c r="AU683" s="137" t="s">
        <v>432</v>
      </c>
      <c r="AV683" s="137" t="s">
        <v>432</v>
      </c>
      <c r="AW683" s="137" t="s">
        <v>432</v>
      </c>
      <c r="AX683" s="137" t="s">
        <v>432</v>
      </c>
      <c r="AY683" s="137" t="s">
        <v>432</v>
      </c>
      <c r="AZ683" s="137" t="s">
        <v>432</v>
      </c>
      <c r="BA683" s="137" t="s">
        <v>432</v>
      </c>
      <c r="BB683" s="239" t="str">
        <f t="shared" si="125"/>
        <v>Sinalização semafóricax</v>
      </c>
      <c r="BC683" s="239" t="str">
        <f t="shared" si="126"/>
        <v>Sinalização semafóricaxx</v>
      </c>
      <c r="BD683" s="239" t="str">
        <f t="shared" si="127"/>
        <v>Sinalização semafóricax</v>
      </c>
    </row>
    <row r="684" spans="1:56" s="1" customFormat="1" ht="81.75" customHeight="1" x14ac:dyDescent="0.25">
      <c r="A684" s="275" t="str">
        <f>'Q100b-totais'!$B$68</f>
        <v>9.5</v>
      </c>
      <c r="B684" s="1205" t="str">
        <f>'Q100b-totais'!$C$68</f>
        <v>Sinalização semafórica</v>
      </c>
      <c r="C684" s="167" t="s">
        <v>432</v>
      </c>
      <c r="D684" s="324" t="s">
        <v>1007</v>
      </c>
      <c r="E684" s="254" t="s">
        <v>1306</v>
      </c>
      <c r="F684" s="11" t="s">
        <v>5763</v>
      </c>
      <c r="G684" s="409" t="s">
        <v>77</v>
      </c>
      <c r="H684" s="173" t="s">
        <v>765</v>
      </c>
      <c r="I684" s="167" t="s">
        <v>432</v>
      </c>
      <c r="J684" s="109" t="s">
        <v>432</v>
      </c>
      <c r="K684" s="109" t="s">
        <v>432</v>
      </c>
      <c r="L684" s="109" t="s">
        <v>432</v>
      </c>
      <c r="M684" s="109" t="s">
        <v>432</v>
      </c>
      <c r="N684" s="109" t="s">
        <v>432</v>
      </c>
      <c r="O684" s="109" t="s">
        <v>432</v>
      </c>
      <c r="P684" s="109" t="s">
        <v>432</v>
      </c>
      <c r="Q684" s="109" t="s">
        <v>432</v>
      </c>
      <c r="R684" s="109" t="s">
        <v>432</v>
      </c>
      <c r="S684" s="109" t="s">
        <v>2209</v>
      </c>
      <c r="T684" s="109" t="s">
        <v>432</v>
      </c>
      <c r="U684" s="109" t="s">
        <v>432</v>
      </c>
      <c r="V684" s="109" t="s">
        <v>2209</v>
      </c>
      <c r="W684" s="109" t="s">
        <v>432</v>
      </c>
      <c r="X684" s="109" t="s">
        <v>432</v>
      </c>
      <c r="Y684" s="109" t="s">
        <v>432</v>
      </c>
      <c r="Z684" s="109" t="s">
        <v>432</v>
      </c>
      <c r="AA684" s="109" t="s">
        <v>432</v>
      </c>
      <c r="AB684" s="109" t="s">
        <v>432</v>
      </c>
      <c r="AC684" s="109" t="s">
        <v>432</v>
      </c>
      <c r="AD684" s="109" t="s">
        <v>432</v>
      </c>
      <c r="AE684" s="109" t="s">
        <v>432</v>
      </c>
      <c r="AF684" s="109" t="s">
        <v>432</v>
      </c>
      <c r="AG684" s="95">
        <v>0.86</v>
      </c>
      <c r="AH684" s="109" t="s">
        <v>432</v>
      </c>
      <c r="AI684" s="109" t="s">
        <v>432</v>
      </c>
      <c r="AJ684" s="109" t="s">
        <v>432</v>
      </c>
      <c r="AK684" s="137" t="s">
        <v>432</v>
      </c>
      <c r="AL684" s="600" t="s">
        <v>432</v>
      </c>
      <c r="AM684" s="137" t="s">
        <v>432</v>
      </c>
      <c r="AN684" s="137" t="s">
        <v>432</v>
      </c>
      <c r="AO684" s="137" t="s">
        <v>432</v>
      </c>
      <c r="AP684" s="137" t="s">
        <v>432</v>
      </c>
      <c r="AQ684" s="137" t="s">
        <v>432</v>
      </c>
      <c r="AR684" s="137" t="s">
        <v>432</v>
      </c>
      <c r="AS684" s="137" t="s">
        <v>432</v>
      </c>
      <c r="AT684" s="137" t="s">
        <v>432</v>
      </c>
      <c r="AU684" s="137" t="s">
        <v>432</v>
      </c>
      <c r="AV684" s="137" t="s">
        <v>432</v>
      </c>
      <c r="AW684" s="137" t="s">
        <v>432</v>
      </c>
      <c r="AX684" s="137" t="s">
        <v>432</v>
      </c>
      <c r="AY684" s="137" t="s">
        <v>432</v>
      </c>
      <c r="AZ684" s="137" t="s">
        <v>432</v>
      </c>
      <c r="BA684" s="137" t="s">
        <v>432</v>
      </c>
      <c r="BB684" s="239" t="str">
        <f t="shared" si="125"/>
        <v>Sinalização semafóricax</v>
      </c>
      <c r="BC684" s="239" t="str">
        <f t="shared" si="126"/>
        <v>Sinalização semafóricaxmeta/RPI</v>
      </c>
      <c r="BD684" s="239" t="str">
        <f t="shared" si="127"/>
        <v>Sinalização semafóricameta/RPI</v>
      </c>
    </row>
    <row r="685" spans="1:56" s="3" customFormat="1" x14ac:dyDescent="0.25">
      <c r="A685" s="402"/>
      <c r="B685" s="399"/>
      <c r="C685" s="399"/>
      <c r="D685" s="970"/>
      <c r="E685" s="1493"/>
      <c r="F685" s="221"/>
      <c r="G685" s="221"/>
      <c r="H685" s="221"/>
      <c r="I685" s="399"/>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c r="AI685" s="221"/>
      <c r="AJ685" s="221"/>
      <c r="AK685" s="223"/>
      <c r="AL685" s="600" t="s">
        <v>432</v>
      </c>
      <c r="AM685" s="223"/>
      <c r="AN685" s="223"/>
      <c r="AO685" s="223"/>
      <c r="AP685" s="223"/>
      <c r="AQ685" s="223"/>
      <c r="AR685" s="223"/>
      <c r="AS685" s="223"/>
      <c r="AT685" s="223"/>
      <c r="AU685" s="223"/>
      <c r="AV685" s="223"/>
      <c r="AW685" s="137" t="s">
        <v>432</v>
      </c>
      <c r="AX685" s="223"/>
      <c r="AY685" s="223"/>
      <c r="AZ685" s="223"/>
      <c r="BA685" s="223"/>
      <c r="BB685" s="400"/>
      <c r="BC685" s="400"/>
      <c r="BD685" s="400"/>
    </row>
    <row r="686" spans="1:56" s="347" customFormat="1" ht="146.25" customHeight="1" x14ac:dyDescent="0.25">
      <c r="A686" s="413" t="str">
        <f>'Q100b-totais'!B43</f>
        <v>5.1</v>
      </c>
      <c r="B686" s="1205" t="str">
        <f>'Q100b-totais'!C43</f>
        <v>Gases de efeito estufa</v>
      </c>
      <c r="C686" s="57" t="s">
        <v>935</v>
      </c>
      <c r="D686" s="325" t="s">
        <v>3129</v>
      </c>
      <c r="E686" s="1402" t="s">
        <v>432</v>
      </c>
      <c r="F686" s="14" t="s">
        <v>5437</v>
      </c>
      <c r="G686" s="57" t="s">
        <v>5436</v>
      </c>
      <c r="H686" s="173" t="s">
        <v>819</v>
      </c>
      <c r="I686" s="167" t="s">
        <v>432</v>
      </c>
      <c r="J686" s="109" t="s">
        <v>432</v>
      </c>
      <c r="K686" s="109" t="s">
        <v>432</v>
      </c>
      <c r="L686" s="109" t="s">
        <v>432</v>
      </c>
      <c r="M686" s="109" t="s">
        <v>432</v>
      </c>
      <c r="N686" s="109" t="s">
        <v>432</v>
      </c>
      <c r="O686" s="109" t="s">
        <v>432</v>
      </c>
      <c r="P686" s="109" t="s">
        <v>432</v>
      </c>
      <c r="Q686" s="109" t="s">
        <v>432</v>
      </c>
      <c r="R686" s="109" t="s">
        <v>432</v>
      </c>
      <c r="S686" s="109" t="s">
        <v>2209</v>
      </c>
      <c r="T686" s="109" t="s">
        <v>432</v>
      </c>
      <c r="U686" s="109" t="s">
        <v>432</v>
      </c>
      <c r="V686" s="109" t="s">
        <v>2209</v>
      </c>
      <c r="W686" s="109" t="s">
        <v>432</v>
      </c>
      <c r="X686" s="109" t="s">
        <v>432</v>
      </c>
      <c r="Y686" s="109" t="s">
        <v>432</v>
      </c>
      <c r="Z686" s="109" t="s">
        <v>432</v>
      </c>
      <c r="AA686" s="109" t="s">
        <v>432</v>
      </c>
      <c r="AB686" s="109" t="s">
        <v>432</v>
      </c>
      <c r="AC686" s="109" t="s">
        <v>432</v>
      </c>
      <c r="AD686" s="109" t="s">
        <v>432</v>
      </c>
      <c r="AE686" s="109" t="s">
        <v>432</v>
      </c>
      <c r="AF686" s="109" t="s">
        <v>432</v>
      </c>
      <c r="AG686" s="109" t="s">
        <v>432</v>
      </c>
      <c r="AH686" s="109" t="s">
        <v>432</v>
      </c>
      <c r="AI686" s="109" t="s">
        <v>432</v>
      </c>
      <c r="AJ686" s="109" t="s">
        <v>432</v>
      </c>
      <c r="AK686" s="137" t="s">
        <v>432</v>
      </c>
      <c r="AL686" s="600" t="s">
        <v>432</v>
      </c>
      <c r="AM686" s="137" t="s">
        <v>432</v>
      </c>
      <c r="AN686" s="137" t="s">
        <v>432</v>
      </c>
      <c r="AO686" s="137" t="s">
        <v>432</v>
      </c>
      <c r="AP686" s="137" t="s">
        <v>432</v>
      </c>
      <c r="AQ686" s="137" t="s">
        <v>432</v>
      </c>
      <c r="AR686" s="137" t="s">
        <v>432</v>
      </c>
      <c r="AS686" s="137" t="s">
        <v>432</v>
      </c>
      <c r="AT686" s="137" t="s">
        <v>432</v>
      </c>
      <c r="AU686" s="137" t="s">
        <v>432</v>
      </c>
      <c r="AV686" s="137" t="s">
        <v>432</v>
      </c>
      <c r="AW686" s="137" t="s">
        <v>432</v>
      </c>
      <c r="AX686" s="137" t="s">
        <v>432</v>
      </c>
      <c r="AY686" s="137" t="s">
        <v>432</v>
      </c>
      <c r="AZ686" s="137" t="s">
        <v>432</v>
      </c>
      <c r="BA686" s="95">
        <v>-0.3</v>
      </c>
      <c r="BB686" s="239" t="str">
        <f t="shared" ref="BB686:BB700" si="129">B686&amp;C686</f>
        <v>Gases de efeito estufaCMMCE</v>
      </c>
      <c r="BC686" s="239" t="str">
        <f t="shared" ref="BC686:BC700" si="130">B686&amp;C686&amp;H686</f>
        <v>Gases de efeito estufaCMMCEbenchmarking</v>
      </c>
      <c r="BD686" s="239" t="str">
        <f>B686&amp;H686</f>
        <v>Gases de efeito estufabenchmarking</v>
      </c>
    </row>
    <row r="687" spans="1:56" s="1" customFormat="1" ht="173.25" customHeight="1" x14ac:dyDescent="0.25">
      <c r="A687" s="275" t="str">
        <f>'Q100b-totais'!B43</f>
        <v>5.1</v>
      </c>
      <c r="B687" s="1172" t="str">
        <f>'Q100b-totais'!C43</f>
        <v>Gases de efeito estufa</v>
      </c>
      <c r="C687" s="167" t="s">
        <v>432</v>
      </c>
      <c r="D687" s="325" t="s">
        <v>3127</v>
      </c>
      <c r="E687" s="254" t="s">
        <v>1306</v>
      </c>
      <c r="F687" s="14" t="s">
        <v>2879</v>
      </c>
      <c r="G687" s="408" t="s">
        <v>2878</v>
      </c>
      <c r="H687" s="173" t="s">
        <v>432</v>
      </c>
      <c r="I687" s="57">
        <v>1</v>
      </c>
      <c r="J687" s="109" t="s">
        <v>432</v>
      </c>
      <c r="K687" s="109" t="s">
        <v>432</v>
      </c>
      <c r="L687" s="109" t="s">
        <v>432</v>
      </c>
      <c r="M687" s="109" t="s">
        <v>432</v>
      </c>
      <c r="N687" s="109" t="s">
        <v>432</v>
      </c>
      <c r="O687" s="109" t="s">
        <v>432</v>
      </c>
      <c r="P687" s="109" t="s">
        <v>432</v>
      </c>
      <c r="Q687" s="109" t="s">
        <v>432</v>
      </c>
      <c r="R687" s="109" t="s">
        <v>432</v>
      </c>
      <c r="S687" s="109" t="s">
        <v>2209</v>
      </c>
      <c r="T687" s="109" t="s">
        <v>432</v>
      </c>
      <c r="U687" s="87">
        <v>2595153</v>
      </c>
      <c r="V687" s="109" t="s">
        <v>2209</v>
      </c>
      <c r="W687" s="87">
        <v>2746968</v>
      </c>
      <c r="X687" s="87">
        <v>2871131</v>
      </c>
      <c r="Y687" s="87">
        <v>2882599</v>
      </c>
      <c r="Z687" s="87">
        <v>2967156</v>
      </c>
      <c r="AA687" s="87">
        <v>3015365</v>
      </c>
      <c r="AB687" s="87">
        <v>3122662</v>
      </c>
      <c r="AC687" s="87">
        <v>3178509</v>
      </c>
      <c r="AD687" s="67">
        <f t="shared" ref="AD687:AI687" si="131">AD705+AD709+AD717</f>
        <v>3434480.8679957353</v>
      </c>
      <c r="AE687" s="20">
        <f t="shared" si="131"/>
        <v>3466319.1987606073</v>
      </c>
      <c r="AF687" s="20">
        <f t="shared" si="131"/>
        <v>3754272.0266638966</v>
      </c>
      <c r="AG687" s="20">
        <f t="shared" si="131"/>
        <v>3967013.2312288536</v>
      </c>
      <c r="AH687" s="20">
        <f t="shared" si="131"/>
        <v>4236796.965401317</v>
      </c>
      <c r="AI687" s="20">
        <f t="shared" si="131"/>
        <v>4395077.1573319491</v>
      </c>
      <c r="AJ687" s="23" t="s">
        <v>432</v>
      </c>
      <c r="AK687" s="137" t="s">
        <v>432</v>
      </c>
      <c r="AL687" s="600" t="s">
        <v>432</v>
      </c>
      <c r="AM687" s="137" t="s">
        <v>432</v>
      </c>
      <c r="AN687" s="137" t="s">
        <v>432</v>
      </c>
      <c r="AO687" s="137" t="s">
        <v>432</v>
      </c>
      <c r="AP687" s="137" t="s">
        <v>432</v>
      </c>
      <c r="AQ687" s="137" t="s">
        <v>432</v>
      </c>
      <c r="AR687" s="137" t="s">
        <v>432</v>
      </c>
      <c r="AS687" s="137" t="s">
        <v>432</v>
      </c>
      <c r="AT687" s="137" t="s">
        <v>432</v>
      </c>
      <c r="AU687" s="137" t="s">
        <v>432</v>
      </c>
      <c r="AV687" s="137" t="s">
        <v>432</v>
      </c>
      <c r="AW687" s="137" t="s">
        <v>432</v>
      </c>
      <c r="AX687" s="137" t="s">
        <v>432</v>
      </c>
      <c r="AY687" s="137" t="s">
        <v>432</v>
      </c>
      <c r="AZ687" s="137" t="s">
        <v>432</v>
      </c>
      <c r="BA687" s="137" t="s">
        <v>432</v>
      </c>
      <c r="BB687" s="239" t="str">
        <f t="shared" si="129"/>
        <v>Gases de efeito estufax</v>
      </c>
      <c r="BC687" s="239" t="str">
        <f t="shared" si="130"/>
        <v>Gases de efeito estufaxx</v>
      </c>
      <c r="BD687" s="239" t="str">
        <f>B687&amp;H687</f>
        <v>Gases de efeito estufax</v>
      </c>
    </row>
    <row r="688" spans="1:56" s="1" customFormat="1" ht="111.75" customHeight="1" x14ac:dyDescent="0.25">
      <c r="A688" s="275" t="str">
        <f>'Q100b-totais'!B43</f>
        <v>5.1</v>
      </c>
      <c r="B688" s="1172" t="str">
        <f>'Q100b-totais'!C43</f>
        <v>Gases de efeito estufa</v>
      </c>
      <c r="C688" s="57" t="s">
        <v>935</v>
      </c>
      <c r="D688" s="377" t="s">
        <v>3128</v>
      </c>
      <c r="E688" s="1502" t="s">
        <v>1306</v>
      </c>
      <c r="F688" s="337" t="s">
        <v>2880</v>
      </c>
      <c r="G688" s="408" t="s">
        <v>2876</v>
      </c>
      <c r="H688" s="173" t="s">
        <v>432</v>
      </c>
      <c r="I688" s="57">
        <v>1</v>
      </c>
      <c r="J688" s="109" t="s">
        <v>432</v>
      </c>
      <c r="K688" s="109" t="s">
        <v>432</v>
      </c>
      <c r="L688" s="109" t="s">
        <v>432</v>
      </c>
      <c r="M688" s="109" t="s">
        <v>432</v>
      </c>
      <c r="N688" s="109" t="s">
        <v>432</v>
      </c>
      <c r="O688" s="109" t="s">
        <v>432</v>
      </c>
      <c r="P688" s="109" t="s">
        <v>432</v>
      </c>
      <c r="Q688" s="109" t="s">
        <v>432</v>
      </c>
      <c r="R688" s="109" t="s">
        <v>432</v>
      </c>
      <c r="S688" s="109" t="s">
        <v>2209</v>
      </c>
      <c r="T688" s="109" t="s">
        <v>432</v>
      </c>
      <c r="U688" s="22">
        <f>U687/1000000</f>
        <v>2.5951529999999998</v>
      </c>
      <c r="V688" s="109" t="s">
        <v>2209</v>
      </c>
      <c r="W688" s="22">
        <f t="shared" ref="W688:AI688" si="132">W687/1000000</f>
        <v>2.7469679999999999</v>
      </c>
      <c r="X688" s="22">
        <f t="shared" si="132"/>
        <v>2.8711310000000001</v>
      </c>
      <c r="Y688" s="22">
        <f t="shared" si="132"/>
        <v>2.8825989999999999</v>
      </c>
      <c r="Z688" s="22">
        <f t="shared" si="132"/>
        <v>2.9671560000000001</v>
      </c>
      <c r="AA688" s="22">
        <f t="shared" si="132"/>
        <v>3.0153650000000001</v>
      </c>
      <c r="AB688" s="22">
        <f t="shared" si="132"/>
        <v>3.122662</v>
      </c>
      <c r="AC688" s="22">
        <f t="shared" si="132"/>
        <v>3.178509</v>
      </c>
      <c r="AD688" s="22">
        <f t="shared" si="132"/>
        <v>3.434480867995735</v>
      </c>
      <c r="AE688" s="22">
        <f t="shared" si="132"/>
        <v>3.4663191987606075</v>
      </c>
      <c r="AF688" s="22">
        <f t="shared" si="132"/>
        <v>3.7542720266638967</v>
      </c>
      <c r="AG688" s="22">
        <f t="shared" si="132"/>
        <v>3.9670132312288535</v>
      </c>
      <c r="AH688" s="22">
        <f t="shared" si="132"/>
        <v>4.2367969654013171</v>
      </c>
      <c r="AI688" s="22">
        <f t="shared" si="132"/>
        <v>4.3950771573319489</v>
      </c>
      <c r="AJ688" s="23" t="s">
        <v>432</v>
      </c>
      <c r="AK688" s="137" t="s">
        <v>432</v>
      </c>
      <c r="AL688" s="600" t="s">
        <v>432</v>
      </c>
      <c r="AM688" s="137" t="s">
        <v>432</v>
      </c>
      <c r="AN688" s="137" t="s">
        <v>432</v>
      </c>
      <c r="AO688" s="137" t="s">
        <v>432</v>
      </c>
      <c r="AP688" s="137" t="s">
        <v>432</v>
      </c>
      <c r="AQ688" s="137" t="s">
        <v>432</v>
      </c>
      <c r="AR688" s="137" t="s">
        <v>432</v>
      </c>
      <c r="AS688" s="137" t="s">
        <v>432</v>
      </c>
      <c r="AT688" s="137" t="s">
        <v>432</v>
      </c>
      <c r="AU688" s="137" t="s">
        <v>432</v>
      </c>
      <c r="AV688" s="137" t="s">
        <v>432</v>
      </c>
      <c r="AW688" s="137" t="s">
        <v>432</v>
      </c>
      <c r="AX688" s="137" t="s">
        <v>432</v>
      </c>
      <c r="AY688" s="137" t="s">
        <v>432</v>
      </c>
      <c r="AZ688" s="137" t="s">
        <v>432</v>
      </c>
      <c r="BA688" s="137" t="s">
        <v>432</v>
      </c>
      <c r="BB688" s="239" t="str">
        <f t="shared" si="129"/>
        <v>Gases de efeito estufaCMMCE</v>
      </c>
      <c r="BC688" s="239" t="str">
        <f t="shared" si="130"/>
        <v>Gases de efeito estufaCMMCEx</v>
      </c>
      <c r="BD688" s="239" t="str">
        <f>B688&amp;H688</f>
        <v>Gases de efeito estufax</v>
      </c>
    </row>
    <row r="689" spans="1:56" s="1" customFormat="1" ht="50.25" customHeight="1" x14ac:dyDescent="0.25">
      <c r="A689" s="275" t="str">
        <f>'Q100b-totais'!B43</f>
        <v>5.1</v>
      </c>
      <c r="B689" s="1205" t="str">
        <f>'Q100b-totais'!C43</f>
        <v>Gases de efeito estufa</v>
      </c>
      <c r="C689" s="57" t="s">
        <v>432</v>
      </c>
      <c r="D689" s="325" t="s">
        <v>3129</v>
      </c>
      <c r="E689" s="1512" t="s">
        <v>1266</v>
      </c>
      <c r="F689" s="14" t="s">
        <v>2884</v>
      </c>
      <c r="G689" s="14" t="s">
        <v>678</v>
      </c>
      <c r="H689" s="173" t="s">
        <v>819</v>
      </c>
      <c r="I689" s="167" t="s">
        <v>432</v>
      </c>
      <c r="J689" s="109" t="s">
        <v>432</v>
      </c>
      <c r="K689" s="109" t="s">
        <v>432</v>
      </c>
      <c r="L689" s="109" t="s">
        <v>432</v>
      </c>
      <c r="M689" s="109" t="s">
        <v>432</v>
      </c>
      <c r="N689" s="109" t="s">
        <v>432</v>
      </c>
      <c r="O689" s="109" t="s">
        <v>432</v>
      </c>
      <c r="P689" s="109" t="s">
        <v>432</v>
      </c>
      <c r="Q689" s="109" t="s">
        <v>432</v>
      </c>
      <c r="R689" s="109" t="s">
        <v>432</v>
      </c>
      <c r="S689" s="109" t="s">
        <v>2209</v>
      </c>
      <c r="T689" s="109" t="s">
        <v>432</v>
      </c>
      <c r="U689" s="109" t="s">
        <v>432</v>
      </c>
      <c r="V689" s="109" t="s">
        <v>2209</v>
      </c>
      <c r="W689" s="136" t="s">
        <v>432</v>
      </c>
      <c r="X689" s="136" t="s">
        <v>432</v>
      </c>
      <c r="Y689" s="136" t="s">
        <v>432</v>
      </c>
      <c r="Z689" s="136" t="s">
        <v>432</v>
      </c>
      <c r="AA689" s="136" t="s">
        <v>432</v>
      </c>
      <c r="AB689" s="136" t="s">
        <v>432</v>
      </c>
      <c r="AC689" s="136" t="s">
        <v>432</v>
      </c>
      <c r="AD689" s="136" t="s">
        <v>432</v>
      </c>
      <c r="AE689" s="136" t="s">
        <v>432</v>
      </c>
      <c r="AF689" s="136" t="s">
        <v>432</v>
      </c>
      <c r="AG689" s="136" t="s">
        <v>432</v>
      </c>
      <c r="AH689" s="136" t="s">
        <v>432</v>
      </c>
      <c r="AI689" s="136" t="s">
        <v>432</v>
      </c>
      <c r="AJ689" s="136" t="s">
        <v>432</v>
      </c>
      <c r="AK689" s="136" t="s">
        <v>432</v>
      </c>
      <c r="AL689" s="600" t="s">
        <v>432</v>
      </c>
      <c r="AM689" s="136" t="s">
        <v>432</v>
      </c>
      <c r="AN689" s="136" t="s">
        <v>432</v>
      </c>
      <c r="AO689" s="136" t="s">
        <v>432</v>
      </c>
      <c r="AP689" s="136" t="s">
        <v>432</v>
      </c>
      <c r="AQ689" s="136" t="s">
        <v>432</v>
      </c>
      <c r="AR689" s="136" t="s">
        <v>432</v>
      </c>
      <c r="AS689" s="136" t="s">
        <v>432</v>
      </c>
      <c r="AT689" s="136" t="s">
        <v>432</v>
      </c>
      <c r="AU689" s="136" t="s">
        <v>432</v>
      </c>
      <c r="AV689" s="136" t="s">
        <v>432</v>
      </c>
      <c r="AW689" s="136" t="s">
        <v>432</v>
      </c>
      <c r="AX689" s="136" t="s">
        <v>432</v>
      </c>
      <c r="AY689" s="136" t="s">
        <v>432</v>
      </c>
      <c r="AZ689" s="136" t="s">
        <v>432</v>
      </c>
      <c r="BA689" s="136" t="s">
        <v>432</v>
      </c>
      <c r="BB689" s="239" t="str">
        <f t="shared" si="129"/>
        <v>Gases de efeito estufax</v>
      </c>
      <c r="BC689" s="239" t="str">
        <f t="shared" si="130"/>
        <v>Gases de efeito estufaxbenchmarking</v>
      </c>
      <c r="BD689" s="239"/>
    </row>
    <row r="690" spans="1:56" s="1" customFormat="1" ht="45.75" customHeight="1" x14ac:dyDescent="0.25">
      <c r="A690" s="275" t="str">
        <f>'Q100b-totais'!B43</f>
        <v>5.1</v>
      </c>
      <c r="B690" s="1205" t="str">
        <f>'Q100b-totais'!C43</f>
        <v>Gases de efeito estufa</v>
      </c>
      <c r="C690" s="57" t="s">
        <v>432</v>
      </c>
      <c r="D690" s="325" t="s">
        <v>3129</v>
      </c>
      <c r="E690" s="1512" t="s">
        <v>1703</v>
      </c>
      <c r="F690" s="14" t="s">
        <v>2885</v>
      </c>
      <c r="G690" s="14" t="s">
        <v>678</v>
      </c>
      <c r="H690" s="173" t="s">
        <v>819</v>
      </c>
      <c r="I690" s="167" t="s">
        <v>432</v>
      </c>
      <c r="J690" s="109" t="s">
        <v>432</v>
      </c>
      <c r="K690" s="109" t="s">
        <v>432</v>
      </c>
      <c r="L690" s="109" t="s">
        <v>432</v>
      </c>
      <c r="M690" s="109" t="s">
        <v>432</v>
      </c>
      <c r="N690" s="109" t="s">
        <v>432</v>
      </c>
      <c r="O690" s="109" t="s">
        <v>432</v>
      </c>
      <c r="P690" s="109" t="s">
        <v>432</v>
      </c>
      <c r="Q690" s="109" t="s">
        <v>432</v>
      </c>
      <c r="R690" s="109" t="s">
        <v>432</v>
      </c>
      <c r="S690" s="109" t="s">
        <v>2209</v>
      </c>
      <c r="T690" s="109" t="s">
        <v>432</v>
      </c>
      <c r="U690" s="109" t="s">
        <v>432</v>
      </c>
      <c r="V690" s="109" t="s">
        <v>2209</v>
      </c>
      <c r="W690" s="136" t="s">
        <v>432</v>
      </c>
      <c r="X690" s="136" t="s">
        <v>432</v>
      </c>
      <c r="Y690" s="136" t="s">
        <v>432</v>
      </c>
      <c r="Z690" s="136" t="s">
        <v>432</v>
      </c>
      <c r="AA690" s="136" t="s">
        <v>432</v>
      </c>
      <c r="AB690" s="136" t="s">
        <v>432</v>
      </c>
      <c r="AC690" s="136" t="s">
        <v>432</v>
      </c>
      <c r="AD690" s="136" t="s">
        <v>432</v>
      </c>
      <c r="AE690" s="136" t="s">
        <v>432</v>
      </c>
      <c r="AF690" s="136" t="s">
        <v>432</v>
      </c>
      <c r="AG690" s="136" t="s">
        <v>432</v>
      </c>
      <c r="AH690" s="136" t="s">
        <v>432</v>
      </c>
      <c r="AI690" s="136" t="s">
        <v>432</v>
      </c>
      <c r="AJ690" s="136" t="s">
        <v>432</v>
      </c>
      <c r="AK690" s="136" t="s">
        <v>432</v>
      </c>
      <c r="AL690" s="600" t="s">
        <v>432</v>
      </c>
      <c r="AM690" s="136" t="s">
        <v>432</v>
      </c>
      <c r="AN690" s="136" t="s">
        <v>432</v>
      </c>
      <c r="AO690" s="136" t="s">
        <v>432</v>
      </c>
      <c r="AP690" s="136" t="s">
        <v>432</v>
      </c>
      <c r="AQ690" s="136" t="s">
        <v>432</v>
      </c>
      <c r="AR690" s="136" t="s">
        <v>432</v>
      </c>
      <c r="AS690" s="136" t="s">
        <v>432</v>
      </c>
      <c r="AT690" s="136" t="s">
        <v>432</v>
      </c>
      <c r="AU690" s="136" t="s">
        <v>432</v>
      </c>
      <c r="AV690" s="136" t="s">
        <v>432</v>
      </c>
      <c r="AW690" s="136" t="s">
        <v>432</v>
      </c>
      <c r="AX690" s="136" t="s">
        <v>432</v>
      </c>
      <c r="AY690" s="136" t="s">
        <v>432</v>
      </c>
      <c r="AZ690" s="136" t="s">
        <v>432</v>
      </c>
      <c r="BA690" s="136" t="s">
        <v>432</v>
      </c>
      <c r="BB690" s="239" t="str">
        <f t="shared" si="129"/>
        <v>Gases de efeito estufax</v>
      </c>
      <c r="BC690" s="239" t="str">
        <f t="shared" si="130"/>
        <v>Gases de efeito estufaxbenchmarking</v>
      </c>
      <c r="BD690" s="239"/>
    </row>
    <row r="691" spans="1:56" s="1" customFormat="1" ht="123" customHeight="1" x14ac:dyDescent="0.25">
      <c r="A691" s="275" t="str">
        <f>'Q100b-totais'!B43</f>
        <v>5.1</v>
      </c>
      <c r="B691" s="1205" t="str">
        <f>'Q100b-totais'!C43</f>
        <v>Gases de efeito estufa</v>
      </c>
      <c r="C691" s="167" t="s">
        <v>432</v>
      </c>
      <c r="D691" s="325" t="s">
        <v>3130</v>
      </c>
      <c r="E691" s="254" t="s">
        <v>1306</v>
      </c>
      <c r="F691" s="188" t="s">
        <v>2874</v>
      </c>
      <c r="G691" s="409" t="s">
        <v>77</v>
      </c>
      <c r="H691" s="173" t="s">
        <v>432</v>
      </c>
      <c r="I691" s="57">
        <v>1</v>
      </c>
      <c r="J691" s="109" t="s">
        <v>432</v>
      </c>
      <c r="K691" s="109" t="s">
        <v>432</v>
      </c>
      <c r="L691" s="109" t="s">
        <v>432</v>
      </c>
      <c r="M691" s="109" t="s">
        <v>432</v>
      </c>
      <c r="N691" s="109" t="s">
        <v>432</v>
      </c>
      <c r="O691" s="109" t="s">
        <v>432</v>
      </c>
      <c r="P691" s="109" t="s">
        <v>432</v>
      </c>
      <c r="Q691" s="109" t="s">
        <v>432</v>
      </c>
      <c r="R691" s="109" t="s">
        <v>432</v>
      </c>
      <c r="S691" s="109" t="s">
        <v>2209</v>
      </c>
      <c r="T691" s="109" t="s">
        <v>432</v>
      </c>
      <c r="U691" s="109" t="s">
        <v>432</v>
      </c>
      <c r="V691" s="109" t="s">
        <v>2209</v>
      </c>
      <c r="W691" s="136" t="s">
        <v>432</v>
      </c>
      <c r="X691" s="136" t="s">
        <v>432</v>
      </c>
      <c r="Y691" s="136" t="s">
        <v>432</v>
      </c>
      <c r="Z691" s="136" t="s">
        <v>432</v>
      </c>
      <c r="AA691" s="136" t="s">
        <v>432</v>
      </c>
      <c r="AB691" s="136" t="s">
        <v>432</v>
      </c>
      <c r="AC691" s="136" t="s">
        <v>432</v>
      </c>
      <c r="AD691" s="335">
        <f>(3.37652)*1000000</f>
        <v>3376520</v>
      </c>
      <c r="AE691" s="335">
        <f>(3.56922784)*1000000</f>
        <v>3569227.84</v>
      </c>
      <c r="AF691" s="335">
        <f>(3.75807858816)*1000000</f>
        <v>3758078.5881600003</v>
      </c>
      <c r="AG691" s="335">
        <f>(3.9430268377088)*1000000</f>
        <v>3943026.8377087996</v>
      </c>
      <c r="AH691" s="335">
        <f>(4.12402670222074)*1000000</f>
        <v>4124026.7022207398</v>
      </c>
      <c r="AI691" s="335">
        <f>(4.30103181084725)*1000000</f>
        <v>4301031.8108472498</v>
      </c>
      <c r="AJ691" s="335">
        <f>(4.47399530350285)*1000000</f>
        <v>4473995.3035028502</v>
      </c>
      <c r="AK691" s="335">
        <f>(4.64286982600505)*1000000</f>
        <v>4642869.82600505</v>
      </c>
      <c r="AL691" s="600" t="s">
        <v>432</v>
      </c>
      <c r="AM691" s="335">
        <f>(4.74859718009359)*1000000</f>
        <v>4748597.1800935902</v>
      </c>
      <c r="AN691" s="335">
        <f>(4.85123518817868)*1000000</f>
        <v>4851235.1881786799</v>
      </c>
      <c r="AO691" s="335">
        <f>4.95074813417361*1000000</f>
        <v>4950748.1341736102</v>
      </c>
      <c r="AP691" s="335">
        <f>5.04709992825242*1000000</f>
        <v>5047099.9282524204</v>
      </c>
      <c r="AQ691" s="335">
        <f>5.1402541031559*1000000</f>
        <v>5140254.1031559007</v>
      </c>
      <c r="AR691" s="335">
        <f>5.20018630463515*1000000</f>
        <v>5200186.3046351504</v>
      </c>
      <c r="AS691" s="335">
        <f>5.25745500507547*1000000</f>
        <v>5257455.0050754696</v>
      </c>
      <c r="AT691" s="335">
        <f>5.31202988079934*1000000</f>
        <v>5312029.8807993401</v>
      </c>
      <c r="AU691" s="335">
        <f>5.36388029341447*1000000</f>
        <v>5363880.2934144698</v>
      </c>
      <c r="AV691" s="335">
        <f>5.41297528671906*1000000</f>
        <v>5412975.2867190605</v>
      </c>
      <c r="AW691" s="335">
        <f>5.48939915345345*1000000</f>
        <v>5489399.1534534497</v>
      </c>
      <c r="AX691" s="335">
        <f>5.56233457163724*1000000</f>
        <v>5562334.5716372393</v>
      </c>
      <c r="AY691" s="335">
        <f>5.63174157096615*1000000</f>
        <v>5631741.5709661497</v>
      </c>
      <c r="AZ691" s="335">
        <f>5.69757976487174*1000000</f>
        <v>5697579.7648717407</v>
      </c>
      <c r="BA691" s="335">
        <f>5.75980834641927*1000000</f>
        <v>5759808.3464192702</v>
      </c>
      <c r="BB691" s="239" t="str">
        <f t="shared" si="129"/>
        <v>Gases de efeito estufax</v>
      </c>
      <c r="BC691" s="239" t="str">
        <f t="shared" si="130"/>
        <v>Gases de efeito estufaxx</v>
      </c>
      <c r="BD691" s="239" t="str">
        <f t="shared" ref="BD691:BD700" si="133">B691&amp;H691</f>
        <v>Gases de efeito estufax</v>
      </c>
    </row>
    <row r="692" spans="1:56" s="1" customFormat="1" ht="100.5" customHeight="1" x14ac:dyDescent="0.25">
      <c r="A692" s="275" t="str">
        <f>'Q100b-totais'!B43</f>
        <v>5.1</v>
      </c>
      <c r="B692" s="1205" t="str">
        <f>'Q100b-totais'!C43</f>
        <v>Gases de efeito estufa</v>
      </c>
      <c r="C692" s="167" t="s">
        <v>432</v>
      </c>
      <c r="D692" s="377" t="s">
        <v>3131</v>
      </c>
      <c r="E692" s="1502" t="s">
        <v>1306</v>
      </c>
      <c r="F692" s="918" t="s">
        <v>2873</v>
      </c>
      <c r="G692" s="408" t="s">
        <v>2877</v>
      </c>
      <c r="H692" s="173" t="s">
        <v>432</v>
      </c>
      <c r="I692" s="57">
        <v>1</v>
      </c>
      <c r="J692" s="109" t="s">
        <v>432</v>
      </c>
      <c r="K692" s="109" t="s">
        <v>432</v>
      </c>
      <c r="L692" s="109" t="s">
        <v>432</v>
      </c>
      <c r="M692" s="109" t="s">
        <v>432</v>
      </c>
      <c r="N692" s="109" t="s">
        <v>432</v>
      </c>
      <c r="O692" s="109" t="s">
        <v>432</v>
      </c>
      <c r="P692" s="109" t="s">
        <v>432</v>
      </c>
      <c r="Q692" s="109" t="s">
        <v>432</v>
      </c>
      <c r="R692" s="109" t="s">
        <v>432</v>
      </c>
      <c r="S692" s="109" t="s">
        <v>2209</v>
      </c>
      <c r="T692" s="109" t="s">
        <v>432</v>
      </c>
      <c r="U692" s="109" t="s">
        <v>432</v>
      </c>
      <c r="V692" s="109" t="s">
        <v>2209</v>
      </c>
      <c r="W692" s="136" t="s">
        <v>432</v>
      </c>
      <c r="X692" s="136" t="s">
        <v>432</v>
      </c>
      <c r="Y692" s="136" t="s">
        <v>432</v>
      </c>
      <c r="Z692" s="136" t="s">
        <v>432</v>
      </c>
      <c r="AA692" s="136" t="s">
        <v>432</v>
      </c>
      <c r="AB692" s="136" t="s">
        <v>432</v>
      </c>
      <c r="AC692" s="136" t="s">
        <v>432</v>
      </c>
      <c r="AD692" s="99">
        <f t="shared" ref="AD692:AK692" si="134">AD691/1000000</f>
        <v>3.3765200000000002</v>
      </c>
      <c r="AE692" s="99">
        <f t="shared" si="134"/>
        <v>3.5692278399999999</v>
      </c>
      <c r="AF692" s="99">
        <f t="shared" si="134"/>
        <v>3.7580785881600001</v>
      </c>
      <c r="AG692" s="99">
        <f t="shared" si="134"/>
        <v>3.9430268377087998</v>
      </c>
      <c r="AH692" s="99">
        <f t="shared" si="134"/>
        <v>4.12402670222074</v>
      </c>
      <c r="AI692" s="99">
        <f t="shared" si="134"/>
        <v>4.3010318108472498</v>
      </c>
      <c r="AJ692" s="99">
        <f t="shared" si="134"/>
        <v>4.4739953035028499</v>
      </c>
      <c r="AK692" s="99">
        <f t="shared" si="134"/>
        <v>4.6428698260050503</v>
      </c>
      <c r="AL692" s="600" t="s">
        <v>432</v>
      </c>
      <c r="AM692" s="99">
        <f t="shared" ref="AM692:BA692" si="135">AM691/1000000</f>
        <v>4.74859718009359</v>
      </c>
      <c r="AN692" s="99">
        <f t="shared" si="135"/>
        <v>4.8512351881786797</v>
      </c>
      <c r="AO692" s="99">
        <f t="shared" si="135"/>
        <v>4.9507481341736099</v>
      </c>
      <c r="AP692" s="99">
        <f t="shared" si="135"/>
        <v>5.04709992825242</v>
      </c>
      <c r="AQ692" s="99">
        <f t="shared" si="135"/>
        <v>5.1402541031559004</v>
      </c>
      <c r="AR692" s="99">
        <f t="shared" si="135"/>
        <v>5.2001863046351504</v>
      </c>
      <c r="AS692" s="99">
        <f t="shared" si="135"/>
        <v>5.25745500507547</v>
      </c>
      <c r="AT692" s="99">
        <f t="shared" si="135"/>
        <v>5.31202988079934</v>
      </c>
      <c r="AU692" s="99">
        <f t="shared" si="135"/>
        <v>5.3638802934144696</v>
      </c>
      <c r="AV692" s="99">
        <f t="shared" si="135"/>
        <v>5.4129752867190604</v>
      </c>
      <c r="AW692" s="99">
        <f t="shared" si="135"/>
        <v>5.4893991534534496</v>
      </c>
      <c r="AX692" s="99">
        <f t="shared" si="135"/>
        <v>5.5623345716372397</v>
      </c>
      <c r="AY692" s="99">
        <f t="shared" si="135"/>
        <v>5.6317415709661498</v>
      </c>
      <c r="AZ692" s="99">
        <f t="shared" si="135"/>
        <v>5.6975797648717403</v>
      </c>
      <c r="BA692" s="99">
        <f t="shared" si="135"/>
        <v>5.7598083464192698</v>
      </c>
      <c r="BB692" s="239" t="str">
        <f t="shared" si="129"/>
        <v>Gases de efeito estufax</v>
      </c>
      <c r="BC692" s="239" t="str">
        <f t="shared" si="130"/>
        <v>Gases de efeito estufaxx</v>
      </c>
      <c r="BD692" s="239" t="str">
        <f t="shared" si="133"/>
        <v>Gases de efeito estufax</v>
      </c>
    </row>
    <row r="693" spans="1:56" s="1" customFormat="1" ht="55.5" x14ac:dyDescent="0.25">
      <c r="A693" s="275" t="str">
        <f>'Q100b-totais'!B43</f>
        <v>5.1</v>
      </c>
      <c r="B693" s="1205" t="str">
        <f>'Q100b-totais'!C43</f>
        <v>Gases de efeito estufa</v>
      </c>
      <c r="C693" s="57" t="s">
        <v>432</v>
      </c>
      <c r="D693" s="377" t="s">
        <v>2875</v>
      </c>
      <c r="E693" s="1513" t="s">
        <v>1306</v>
      </c>
      <c r="F693" s="338" t="s">
        <v>2886</v>
      </c>
      <c r="G693" s="408" t="s">
        <v>2887</v>
      </c>
      <c r="H693" s="173" t="s">
        <v>432</v>
      </c>
      <c r="I693" s="57">
        <v>1</v>
      </c>
      <c r="J693" s="109" t="s">
        <v>432</v>
      </c>
      <c r="K693" s="109" t="s">
        <v>432</v>
      </c>
      <c r="L693" s="109" t="s">
        <v>432</v>
      </c>
      <c r="M693" s="109" t="s">
        <v>432</v>
      </c>
      <c r="N693" s="109" t="s">
        <v>432</v>
      </c>
      <c r="O693" s="109" t="s">
        <v>432</v>
      </c>
      <c r="P693" s="109" t="s">
        <v>432</v>
      </c>
      <c r="Q693" s="109" t="s">
        <v>432</v>
      </c>
      <c r="R693" s="109" t="s">
        <v>432</v>
      </c>
      <c r="S693" s="109" t="s">
        <v>2209</v>
      </c>
      <c r="T693" s="109" t="s">
        <v>432</v>
      </c>
      <c r="U693" s="109" t="s">
        <v>432</v>
      </c>
      <c r="V693" s="109" t="s">
        <v>2209</v>
      </c>
      <c r="W693" s="136" t="s">
        <v>432</v>
      </c>
      <c r="X693" s="136" t="s">
        <v>432</v>
      </c>
      <c r="Y693" s="136" t="s">
        <v>432</v>
      </c>
      <c r="Z693" s="136" t="s">
        <v>432</v>
      </c>
      <c r="AA693" s="136" t="s">
        <v>432</v>
      </c>
      <c r="AB693" s="136" t="s">
        <v>432</v>
      </c>
      <c r="AC693" s="136" t="s">
        <v>432</v>
      </c>
      <c r="AD693" s="599">
        <f t="shared" ref="AD693:AK693" si="136">(AD691-AD687)/AD691</f>
        <v>-1.7165859522743906E-2</v>
      </c>
      <c r="AE693" s="599">
        <f t="shared" si="136"/>
        <v>2.8832186078485977E-2</v>
      </c>
      <c r="AF693" s="599">
        <f t="shared" si="136"/>
        <v>1.0129009829907218E-3</v>
      </c>
      <c r="AG693" s="599">
        <f t="shared" si="136"/>
        <v>-6.083243788924316E-3</v>
      </c>
      <c r="AH693" s="599">
        <f t="shared" si="136"/>
        <v>-2.7344697627649146E-2</v>
      </c>
      <c r="AI693" s="599">
        <f t="shared" si="136"/>
        <v>-2.1865763988891198E-2</v>
      </c>
      <c r="AJ693" s="599" t="e">
        <f t="shared" si="136"/>
        <v>#VALUE!</v>
      </c>
      <c r="AK693" s="599" t="e">
        <f t="shared" si="136"/>
        <v>#VALUE!</v>
      </c>
      <c r="AL693" s="600" t="s">
        <v>432</v>
      </c>
      <c r="AM693" s="599" t="e">
        <f t="shared" ref="AM693:BA693" si="137">(AM691-AM687)/AM691</f>
        <v>#VALUE!</v>
      </c>
      <c r="AN693" s="599" t="e">
        <f t="shared" si="137"/>
        <v>#VALUE!</v>
      </c>
      <c r="AO693" s="599" t="e">
        <f t="shared" si="137"/>
        <v>#VALUE!</v>
      </c>
      <c r="AP693" s="599" t="e">
        <f t="shared" si="137"/>
        <v>#VALUE!</v>
      </c>
      <c r="AQ693" s="599" t="e">
        <f t="shared" si="137"/>
        <v>#VALUE!</v>
      </c>
      <c r="AR693" s="599" t="e">
        <f t="shared" si="137"/>
        <v>#VALUE!</v>
      </c>
      <c r="AS693" s="599" t="e">
        <f t="shared" si="137"/>
        <v>#VALUE!</v>
      </c>
      <c r="AT693" s="599" t="e">
        <f t="shared" si="137"/>
        <v>#VALUE!</v>
      </c>
      <c r="AU693" s="599" t="e">
        <f t="shared" si="137"/>
        <v>#VALUE!</v>
      </c>
      <c r="AV693" s="599" t="e">
        <f t="shared" si="137"/>
        <v>#VALUE!</v>
      </c>
      <c r="AW693" s="599" t="e">
        <f t="shared" si="137"/>
        <v>#VALUE!</v>
      </c>
      <c r="AX693" s="599" t="e">
        <f t="shared" si="137"/>
        <v>#VALUE!</v>
      </c>
      <c r="AY693" s="599" t="e">
        <f t="shared" si="137"/>
        <v>#VALUE!</v>
      </c>
      <c r="AZ693" s="599" t="e">
        <f t="shared" si="137"/>
        <v>#VALUE!</v>
      </c>
      <c r="BA693" s="599" t="e">
        <f t="shared" si="137"/>
        <v>#VALUE!</v>
      </c>
      <c r="BB693" s="239" t="str">
        <f t="shared" si="129"/>
        <v>Gases de efeito estufax</v>
      </c>
      <c r="BC693" s="239" t="str">
        <f t="shared" si="130"/>
        <v>Gases de efeito estufaxx</v>
      </c>
      <c r="BD693" s="239" t="str">
        <f t="shared" si="133"/>
        <v>Gases de efeito estufax</v>
      </c>
    </row>
    <row r="694" spans="1:56" s="1" customFormat="1" ht="219" customHeight="1" x14ac:dyDescent="0.25">
      <c r="A694" s="275" t="str">
        <f>'Q100b-totais'!$B$43</f>
        <v>5.1</v>
      </c>
      <c r="B694" s="1205" t="s">
        <v>643</v>
      </c>
      <c r="C694" s="57" t="s">
        <v>935</v>
      </c>
      <c r="D694" s="325" t="s">
        <v>2811</v>
      </c>
      <c r="E694" s="1512" t="s">
        <v>1306</v>
      </c>
      <c r="F694" s="188" t="s">
        <v>2861</v>
      </c>
      <c r="G694" s="409" t="s">
        <v>933</v>
      </c>
      <c r="H694" s="173" t="s">
        <v>765</v>
      </c>
      <c r="I694" s="167" t="s">
        <v>432</v>
      </c>
      <c r="J694" s="109" t="s">
        <v>432</v>
      </c>
      <c r="K694" s="109" t="s">
        <v>432</v>
      </c>
      <c r="L694" s="109" t="s">
        <v>432</v>
      </c>
      <c r="M694" s="109" t="s">
        <v>432</v>
      </c>
      <c r="N694" s="109" t="s">
        <v>432</v>
      </c>
      <c r="O694" s="109" t="s">
        <v>432</v>
      </c>
      <c r="P694" s="109" t="s">
        <v>432</v>
      </c>
      <c r="Q694" s="109" t="s">
        <v>432</v>
      </c>
      <c r="R694" s="109" t="s">
        <v>432</v>
      </c>
      <c r="S694" s="109" t="s">
        <v>2209</v>
      </c>
      <c r="T694" s="109" t="s">
        <v>432</v>
      </c>
      <c r="U694" s="109" t="s">
        <v>432</v>
      </c>
      <c r="V694" s="109" t="s">
        <v>2209</v>
      </c>
      <c r="W694" s="109" t="s">
        <v>432</v>
      </c>
      <c r="X694" s="109" t="s">
        <v>432</v>
      </c>
      <c r="Y694" s="109" t="s">
        <v>432</v>
      </c>
      <c r="Z694" s="109" t="s">
        <v>432</v>
      </c>
      <c r="AA694" s="109" t="s">
        <v>432</v>
      </c>
      <c r="AB694" s="109" t="s">
        <v>432</v>
      </c>
      <c r="AC694" s="109" t="s">
        <v>432</v>
      </c>
      <c r="AD694" s="109" t="s">
        <v>432</v>
      </c>
      <c r="AE694" s="109" t="s">
        <v>432</v>
      </c>
      <c r="AF694" s="109" t="s">
        <v>432</v>
      </c>
      <c r="AG694" s="109" t="s">
        <v>432</v>
      </c>
      <c r="AH694" s="109" t="s">
        <v>432</v>
      </c>
      <c r="AI694" s="109" t="s">
        <v>432</v>
      </c>
      <c r="AJ694" s="109" t="s">
        <v>432</v>
      </c>
      <c r="AK694" s="95">
        <v>-0.3</v>
      </c>
      <c r="AL694" s="600" t="s">
        <v>432</v>
      </c>
      <c r="AM694" s="137" t="s">
        <v>432</v>
      </c>
      <c r="AN694" s="137" t="s">
        <v>432</v>
      </c>
      <c r="AO694" s="137" t="s">
        <v>432</v>
      </c>
      <c r="AP694" s="137" t="s">
        <v>432</v>
      </c>
      <c r="AQ694" s="83">
        <v>5.14</v>
      </c>
      <c r="AR694" s="137" t="s">
        <v>432</v>
      </c>
      <c r="AS694" s="137" t="s">
        <v>432</v>
      </c>
      <c r="AT694" s="137" t="s">
        <v>432</v>
      </c>
      <c r="AU694" s="137" t="s">
        <v>432</v>
      </c>
      <c r="AV694" s="83">
        <v>5.41</v>
      </c>
      <c r="AW694" s="137" t="s">
        <v>432</v>
      </c>
      <c r="AX694" s="137" t="s">
        <v>432</v>
      </c>
      <c r="AY694" s="137" t="s">
        <v>432</v>
      </c>
      <c r="AZ694" s="137" t="s">
        <v>432</v>
      </c>
      <c r="BA694" s="83">
        <v>5.76</v>
      </c>
      <c r="BB694" s="239" t="str">
        <f t="shared" si="129"/>
        <v>Gases de efeito estufaCMMCE</v>
      </c>
      <c r="BC694" s="239" t="str">
        <f t="shared" si="130"/>
        <v>Gases de efeito estufaCMMCEmeta/RPI</v>
      </c>
      <c r="BD694" s="239" t="str">
        <f t="shared" si="133"/>
        <v>Gases de efeito estufameta/RPI</v>
      </c>
    </row>
    <row r="695" spans="1:56" s="1" customFormat="1" ht="87.75" customHeight="1" x14ac:dyDescent="0.25">
      <c r="A695" s="275" t="str">
        <f>'Q100b-totais'!$B$43</f>
        <v>5.1</v>
      </c>
      <c r="B695" s="1205" t="s">
        <v>643</v>
      </c>
      <c r="C695" s="57" t="s">
        <v>935</v>
      </c>
      <c r="D695" s="325" t="s">
        <v>2274</v>
      </c>
      <c r="E695" s="1512" t="s">
        <v>1768</v>
      </c>
      <c r="F695" s="14" t="s">
        <v>1565</v>
      </c>
      <c r="G695" s="110" t="s">
        <v>77</v>
      </c>
      <c r="H695" s="173" t="s">
        <v>819</v>
      </c>
      <c r="I695" s="167" t="s">
        <v>432</v>
      </c>
      <c r="J695" s="109" t="s">
        <v>432</v>
      </c>
      <c r="K695" s="109" t="s">
        <v>432</v>
      </c>
      <c r="L695" s="109" t="s">
        <v>432</v>
      </c>
      <c r="M695" s="109" t="s">
        <v>432</v>
      </c>
      <c r="N695" s="109" t="s">
        <v>432</v>
      </c>
      <c r="O695" s="109" t="s">
        <v>432</v>
      </c>
      <c r="P695" s="109" t="s">
        <v>432</v>
      </c>
      <c r="Q695" s="109" t="s">
        <v>432</v>
      </c>
      <c r="R695" s="109" t="s">
        <v>432</v>
      </c>
      <c r="S695" s="109" t="s">
        <v>2209</v>
      </c>
      <c r="T695" s="109" t="s">
        <v>432</v>
      </c>
      <c r="U695" s="109" t="s">
        <v>432</v>
      </c>
      <c r="V695" s="109" t="s">
        <v>2209</v>
      </c>
      <c r="W695" s="109" t="s">
        <v>432</v>
      </c>
      <c r="X695" s="109" t="s">
        <v>432</v>
      </c>
      <c r="Y695" s="109" t="s">
        <v>432</v>
      </c>
      <c r="Z695" s="109" t="s">
        <v>432</v>
      </c>
      <c r="AA695" s="109" t="s">
        <v>432</v>
      </c>
      <c r="AB695" s="109" t="s">
        <v>432</v>
      </c>
      <c r="AC695" s="109" t="s">
        <v>432</v>
      </c>
      <c r="AD695" s="109" t="s">
        <v>432</v>
      </c>
      <c r="AE695" s="109" t="s">
        <v>432</v>
      </c>
      <c r="AF695" s="109" t="s">
        <v>432</v>
      </c>
      <c r="AG695" s="109" t="s">
        <v>432</v>
      </c>
      <c r="AH695" s="109" t="s">
        <v>432</v>
      </c>
      <c r="AI695" s="109" t="s">
        <v>432</v>
      </c>
      <c r="AJ695" s="109" t="s">
        <v>432</v>
      </c>
      <c r="AK695" s="137" t="s">
        <v>432</v>
      </c>
      <c r="AL695" s="600" t="s">
        <v>432</v>
      </c>
      <c r="AM695" s="137" t="s">
        <v>432</v>
      </c>
      <c r="AN695" s="137" t="s">
        <v>432</v>
      </c>
      <c r="AO695" s="137" t="s">
        <v>432</v>
      </c>
      <c r="AP695" s="137" t="s">
        <v>432</v>
      </c>
      <c r="AQ695" s="137" t="s">
        <v>432</v>
      </c>
      <c r="AR695" s="137" t="s">
        <v>432</v>
      </c>
      <c r="AS695" s="137" t="s">
        <v>432</v>
      </c>
      <c r="AT695" s="137" t="s">
        <v>432</v>
      </c>
      <c r="AU695" s="137" t="s">
        <v>432</v>
      </c>
      <c r="AV695" s="137" t="s">
        <v>432</v>
      </c>
      <c r="AW695" s="137" t="s">
        <v>432</v>
      </c>
      <c r="AX695" s="137" t="s">
        <v>432</v>
      </c>
      <c r="AY695" s="137" t="s">
        <v>432</v>
      </c>
      <c r="AZ695" s="137" t="s">
        <v>432</v>
      </c>
      <c r="BA695" s="95">
        <v>-0.3</v>
      </c>
      <c r="BB695" s="239" t="str">
        <f t="shared" si="129"/>
        <v>Gases de efeito estufaCMMCE</v>
      </c>
      <c r="BC695" s="239" t="str">
        <f t="shared" si="130"/>
        <v>Gases de efeito estufaCMMCEbenchmarking</v>
      </c>
      <c r="BD695" s="239" t="str">
        <f t="shared" si="133"/>
        <v>Gases de efeito estufabenchmarking</v>
      </c>
    </row>
    <row r="696" spans="1:56" s="1" customFormat="1" ht="49.5" customHeight="1" x14ac:dyDescent="0.25">
      <c r="A696" s="275" t="str">
        <f>'Q100b-totais'!$B$43</f>
        <v>5.1</v>
      </c>
      <c r="B696" s="1205" t="s">
        <v>643</v>
      </c>
      <c r="C696" s="57" t="s">
        <v>935</v>
      </c>
      <c r="D696" s="325" t="s">
        <v>2274</v>
      </c>
      <c r="E696" s="1512" t="s">
        <v>1769</v>
      </c>
      <c r="F696" s="14" t="s">
        <v>1562</v>
      </c>
      <c r="G696" s="110" t="s">
        <v>77</v>
      </c>
      <c r="H696" s="173" t="s">
        <v>819</v>
      </c>
      <c r="I696" s="167" t="s">
        <v>432</v>
      </c>
      <c r="J696" s="109" t="s">
        <v>432</v>
      </c>
      <c r="K696" s="109" t="s">
        <v>432</v>
      </c>
      <c r="L696" s="109" t="s">
        <v>432</v>
      </c>
      <c r="M696" s="109" t="s">
        <v>432</v>
      </c>
      <c r="N696" s="109" t="s">
        <v>432</v>
      </c>
      <c r="O696" s="109" t="s">
        <v>432</v>
      </c>
      <c r="P696" s="109" t="s">
        <v>432</v>
      </c>
      <c r="Q696" s="109" t="s">
        <v>432</v>
      </c>
      <c r="R696" s="109" t="s">
        <v>432</v>
      </c>
      <c r="S696" s="109" t="s">
        <v>2209</v>
      </c>
      <c r="T696" s="109" t="s">
        <v>432</v>
      </c>
      <c r="U696" s="109" t="s">
        <v>432</v>
      </c>
      <c r="V696" s="109" t="s">
        <v>2209</v>
      </c>
      <c r="W696" s="109" t="s">
        <v>432</v>
      </c>
      <c r="X696" s="109" t="s">
        <v>432</v>
      </c>
      <c r="Y696" s="109" t="s">
        <v>432</v>
      </c>
      <c r="Z696" s="109" t="s">
        <v>432</v>
      </c>
      <c r="AA696" s="109" t="s">
        <v>432</v>
      </c>
      <c r="AB696" s="109" t="s">
        <v>432</v>
      </c>
      <c r="AC696" s="109" t="s">
        <v>432</v>
      </c>
      <c r="AD696" s="109" t="s">
        <v>432</v>
      </c>
      <c r="AE696" s="109" t="s">
        <v>432</v>
      </c>
      <c r="AF696" s="109" t="s">
        <v>432</v>
      </c>
      <c r="AG696" s="109" t="s">
        <v>432</v>
      </c>
      <c r="AH696" s="109" t="s">
        <v>432</v>
      </c>
      <c r="AI696" s="109" t="s">
        <v>432</v>
      </c>
      <c r="AJ696" s="109" t="s">
        <v>432</v>
      </c>
      <c r="AK696" s="137" t="s">
        <v>432</v>
      </c>
      <c r="AL696" s="600" t="s">
        <v>432</v>
      </c>
      <c r="AM696" s="137" t="s">
        <v>432</v>
      </c>
      <c r="AN696" s="137" t="s">
        <v>432</v>
      </c>
      <c r="AO696" s="137" t="s">
        <v>432</v>
      </c>
      <c r="AP696" s="137" t="s">
        <v>432</v>
      </c>
      <c r="AQ696" s="137" t="s">
        <v>432</v>
      </c>
      <c r="AR696" s="137" t="s">
        <v>432</v>
      </c>
      <c r="AS696" s="137" t="s">
        <v>432</v>
      </c>
      <c r="AT696" s="137" t="s">
        <v>432</v>
      </c>
      <c r="AU696" s="137" t="s">
        <v>432</v>
      </c>
      <c r="AV696" s="95">
        <v>-0.6</v>
      </c>
      <c r="AW696" s="137" t="s">
        <v>432</v>
      </c>
      <c r="AX696" s="137" t="s">
        <v>432</v>
      </c>
      <c r="AY696" s="137" t="s">
        <v>432</v>
      </c>
      <c r="AZ696" s="137" t="s">
        <v>432</v>
      </c>
      <c r="BA696" s="137" t="s">
        <v>432</v>
      </c>
      <c r="BB696" s="239" t="str">
        <f t="shared" si="129"/>
        <v>Gases de efeito estufaCMMCE</v>
      </c>
      <c r="BC696" s="239" t="str">
        <f t="shared" si="130"/>
        <v>Gases de efeito estufaCMMCEbenchmarking</v>
      </c>
      <c r="BD696" s="239" t="str">
        <f t="shared" si="133"/>
        <v>Gases de efeito estufabenchmarking</v>
      </c>
    </row>
    <row r="697" spans="1:56" s="1" customFormat="1" ht="63.75" x14ac:dyDescent="0.25">
      <c r="A697" s="275" t="str">
        <f>'Q100b-totais'!$B$43</f>
        <v>5.1</v>
      </c>
      <c r="B697" s="1205" t="s">
        <v>643</v>
      </c>
      <c r="C697" s="57" t="s">
        <v>935</v>
      </c>
      <c r="D697" s="325" t="s">
        <v>2274</v>
      </c>
      <c r="E697" s="1512" t="s">
        <v>1770</v>
      </c>
      <c r="F697" s="14" t="s">
        <v>1564</v>
      </c>
      <c r="G697" s="110" t="s">
        <v>77</v>
      </c>
      <c r="H697" s="173" t="s">
        <v>819</v>
      </c>
      <c r="I697" s="167" t="s">
        <v>432</v>
      </c>
      <c r="J697" s="109" t="s">
        <v>432</v>
      </c>
      <c r="K697" s="109" t="s">
        <v>432</v>
      </c>
      <c r="L697" s="109" t="s">
        <v>432</v>
      </c>
      <c r="M697" s="109" t="s">
        <v>432</v>
      </c>
      <c r="N697" s="109" t="s">
        <v>432</v>
      </c>
      <c r="O697" s="109" t="s">
        <v>432</v>
      </c>
      <c r="P697" s="109" t="s">
        <v>432</v>
      </c>
      <c r="Q697" s="109" t="s">
        <v>432</v>
      </c>
      <c r="R697" s="109" t="s">
        <v>432</v>
      </c>
      <c r="S697" s="109" t="s">
        <v>2209</v>
      </c>
      <c r="T697" s="109" t="s">
        <v>432</v>
      </c>
      <c r="U697" s="109" t="s">
        <v>432</v>
      </c>
      <c r="V697" s="109" t="s">
        <v>2209</v>
      </c>
      <c r="W697" s="109" t="s">
        <v>432</v>
      </c>
      <c r="X697" s="109" t="s">
        <v>432</v>
      </c>
      <c r="Y697" s="109" t="s">
        <v>432</v>
      </c>
      <c r="Z697" s="109" t="s">
        <v>432</v>
      </c>
      <c r="AA697" s="109" t="s">
        <v>432</v>
      </c>
      <c r="AB697" s="109" t="s">
        <v>432</v>
      </c>
      <c r="AC697" s="109" t="s">
        <v>432</v>
      </c>
      <c r="AD697" s="109" t="s">
        <v>432</v>
      </c>
      <c r="AE697" s="109" t="s">
        <v>432</v>
      </c>
      <c r="AF697" s="109" t="s">
        <v>432</v>
      </c>
      <c r="AG697" s="109" t="s">
        <v>432</v>
      </c>
      <c r="AH697" s="109" t="s">
        <v>432</v>
      </c>
      <c r="AI697" s="109" t="s">
        <v>432</v>
      </c>
      <c r="AJ697" s="109" t="s">
        <v>432</v>
      </c>
      <c r="AK697" s="137" t="s">
        <v>432</v>
      </c>
      <c r="AL697" s="600" t="s">
        <v>432</v>
      </c>
      <c r="AM697" s="137" t="s">
        <v>432</v>
      </c>
      <c r="AN697" s="95">
        <v>-0.3</v>
      </c>
      <c r="AO697" s="137" t="s">
        <v>432</v>
      </c>
      <c r="AP697" s="137" t="s">
        <v>432</v>
      </c>
      <c r="AQ697" s="137" t="s">
        <v>432</v>
      </c>
      <c r="AR697" s="137" t="s">
        <v>432</v>
      </c>
      <c r="AS697" s="137" t="s">
        <v>432</v>
      </c>
      <c r="AT697" s="137" t="s">
        <v>432</v>
      </c>
      <c r="AU697" s="137" t="s">
        <v>432</v>
      </c>
      <c r="AV697" s="137" t="s">
        <v>432</v>
      </c>
      <c r="AW697" s="137" t="s">
        <v>432</v>
      </c>
      <c r="AX697" s="137" t="s">
        <v>432</v>
      </c>
      <c r="AY697" s="137" t="s">
        <v>432</v>
      </c>
      <c r="AZ697" s="137" t="s">
        <v>432</v>
      </c>
      <c r="BA697" s="137" t="s">
        <v>432</v>
      </c>
      <c r="BB697" s="239" t="str">
        <f t="shared" si="129"/>
        <v>Gases de efeito estufaCMMCE</v>
      </c>
      <c r="BC697" s="239" t="str">
        <f t="shared" si="130"/>
        <v>Gases de efeito estufaCMMCEbenchmarking</v>
      </c>
      <c r="BD697" s="239" t="str">
        <f t="shared" si="133"/>
        <v>Gases de efeito estufabenchmarking</v>
      </c>
    </row>
    <row r="698" spans="1:56" s="1" customFormat="1" ht="85.5" customHeight="1" x14ac:dyDescent="0.25">
      <c r="A698" s="275" t="str">
        <f>'Q100b-totais'!$B$43</f>
        <v>5.1</v>
      </c>
      <c r="B698" s="1205" t="s">
        <v>643</v>
      </c>
      <c r="C698" s="57" t="s">
        <v>935</v>
      </c>
      <c r="D698" s="325" t="s">
        <v>2274</v>
      </c>
      <c r="E698" s="1512" t="s">
        <v>2273</v>
      </c>
      <c r="F698" s="14" t="s">
        <v>1563</v>
      </c>
      <c r="G698" s="110" t="s">
        <v>77</v>
      </c>
      <c r="H698" s="173" t="s">
        <v>819</v>
      </c>
      <c r="I698" s="167" t="s">
        <v>432</v>
      </c>
      <c r="J698" s="109" t="s">
        <v>432</v>
      </c>
      <c r="K698" s="109" t="s">
        <v>432</v>
      </c>
      <c r="L698" s="109" t="s">
        <v>432</v>
      </c>
      <c r="M698" s="109" t="s">
        <v>432</v>
      </c>
      <c r="N698" s="109" t="s">
        <v>432</v>
      </c>
      <c r="O698" s="109" t="s">
        <v>432</v>
      </c>
      <c r="P698" s="109" t="s">
        <v>432</v>
      </c>
      <c r="Q698" s="109" t="s">
        <v>432</v>
      </c>
      <c r="R698" s="109" t="s">
        <v>432</v>
      </c>
      <c r="S698" s="109" t="s">
        <v>2209</v>
      </c>
      <c r="T698" s="109" t="s">
        <v>432</v>
      </c>
      <c r="U698" s="109" t="s">
        <v>432</v>
      </c>
      <c r="V698" s="109" t="s">
        <v>2209</v>
      </c>
      <c r="W698" s="109" t="s">
        <v>432</v>
      </c>
      <c r="X698" s="109" t="s">
        <v>432</v>
      </c>
      <c r="Y698" s="109" t="s">
        <v>432</v>
      </c>
      <c r="Z698" s="109" t="s">
        <v>432</v>
      </c>
      <c r="AA698" s="109" t="s">
        <v>432</v>
      </c>
      <c r="AB698" s="109" t="s">
        <v>432</v>
      </c>
      <c r="AC698" s="109" t="s">
        <v>432</v>
      </c>
      <c r="AD698" s="109" t="s">
        <v>432</v>
      </c>
      <c r="AE698" s="109" t="s">
        <v>432</v>
      </c>
      <c r="AF698" s="109" t="s">
        <v>432</v>
      </c>
      <c r="AG698" s="109" t="s">
        <v>432</v>
      </c>
      <c r="AH698" s="195" t="s">
        <v>934</v>
      </c>
      <c r="AI698" s="109" t="s">
        <v>432</v>
      </c>
      <c r="AJ698" s="109" t="s">
        <v>432</v>
      </c>
      <c r="AK698" s="137" t="s">
        <v>432</v>
      </c>
      <c r="AL698" s="600" t="s">
        <v>432</v>
      </c>
      <c r="AM698" s="137" t="s">
        <v>432</v>
      </c>
      <c r="AN698" s="137" t="s">
        <v>432</v>
      </c>
      <c r="AO698" s="137" t="s">
        <v>432</v>
      </c>
      <c r="AP698" s="137" t="s">
        <v>432</v>
      </c>
      <c r="AQ698" s="137" t="s">
        <v>432</v>
      </c>
      <c r="AR698" s="137" t="s">
        <v>432</v>
      </c>
      <c r="AS698" s="137" t="s">
        <v>432</v>
      </c>
      <c r="AT698" s="137" t="s">
        <v>432</v>
      </c>
      <c r="AU698" s="137" t="s">
        <v>432</v>
      </c>
      <c r="AV698" s="137" t="s">
        <v>432</v>
      </c>
      <c r="AW698" s="137" t="s">
        <v>432</v>
      </c>
      <c r="AX698" s="137" t="s">
        <v>432</v>
      </c>
      <c r="AY698" s="137" t="s">
        <v>432</v>
      </c>
      <c r="AZ698" s="137" t="s">
        <v>432</v>
      </c>
      <c r="BA698" s="137" t="s">
        <v>432</v>
      </c>
      <c r="BB698" s="239" t="str">
        <f t="shared" si="129"/>
        <v>Gases de efeito estufaCMMCE</v>
      </c>
      <c r="BC698" s="239" t="str">
        <f t="shared" si="130"/>
        <v>Gases de efeito estufaCMMCEbenchmarking</v>
      </c>
      <c r="BD698" s="239" t="str">
        <f t="shared" si="133"/>
        <v>Gases de efeito estufabenchmarking</v>
      </c>
    </row>
    <row r="699" spans="1:56" s="1" customFormat="1" ht="162" customHeight="1" x14ac:dyDescent="0.25">
      <c r="A699" s="275" t="str">
        <f>'Q100b-totais'!B43</f>
        <v>5.1</v>
      </c>
      <c r="B699" s="1205" t="str">
        <f>'Q100b-totais'!C43</f>
        <v>Gases de efeito estufa</v>
      </c>
      <c r="C699" s="57" t="s">
        <v>935</v>
      </c>
      <c r="D699" s="325" t="s">
        <v>2274</v>
      </c>
      <c r="E699" s="1512" t="s">
        <v>1705</v>
      </c>
      <c r="F699" s="14" t="s">
        <v>2275</v>
      </c>
      <c r="G699" s="110" t="s">
        <v>77</v>
      </c>
      <c r="H699" s="173" t="s">
        <v>819</v>
      </c>
      <c r="I699" s="167" t="s">
        <v>432</v>
      </c>
      <c r="J699" s="109" t="s">
        <v>432</v>
      </c>
      <c r="K699" s="109" t="s">
        <v>432</v>
      </c>
      <c r="L699" s="109" t="s">
        <v>432</v>
      </c>
      <c r="M699" s="109" t="s">
        <v>432</v>
      </c>
      <c r="N699" s="109" t="s">
        <v>432</v>
      </c>
      <c r="O699" s="109" t="s">
        <v>432</v>
      </c>
      <c r="P699" s="109" t="s">
        <v>432</v>
      </c>
      <c r="Q699" s="109" t="s">
        <v>432</v>
      </c>
      <c r="R699" s="109" t="s">
        <v>432</v>
      </c>
      <c r="S699" s="109" t="s">
        <v>2209</v>
      </c>
      <c r="T699" s="109" t="s">
        <v>432</v>
      </c>
      <c r="U699" s="109" t="s">
        <v>432</v>
      </c>
      <c r="V699" s="109" t="s">
        <v>2209</v>
      </c>
      <c r="W699" s="109" t="s">
        <v>432</v>
      </c>
      <c r="X699" s="109" t="s">
        <v>432</v>
      </c>
      <c r="Y699" s="109" t="s">
        <v>432</v>
      </c>
      <c r="Z699" s="109" t="s">
        <v>432</v>
      </c>
      <c r="AA699" s="109" t="s">
        <v>432</v>
      </c>
      <c r="AB699" s="109" t="s">
        <v>432</v>
      </c>
      <c r="AC699" s="109" t="s">
        <v>432</v>
      </c>
      <c r="AD699" s="109" t="s">
        <v>432</v>
      </c>
      <c r="AE699" s="109" t="s">
        <v>432</v>
      </c>
      <c r="AF699" s="109" t="s">
        <v>432</v>
      </c>
      <c r="AG699" s="109" t="s">
        <v>432</v>
      </c>
      <c r="AH699" s="110" t="s">
        <v>2276</v>
      </c>
      <c r="AI699" s="109" t="s">
        <v>432</v>
      </c>
      <c r="AJ699" s="109" t="s">
        <v>432</v>
      </c>
      <c r="AK699" s="109" t="s">
        <v>432</v>
      </c>
      <c r="AL699" s="600" t="s">
        <v>432</v>
      </c>
      <c r="AM699" s="137" t="s">
        <v>432</v>
      </c>
      <c r="AN699" s="137" t="s">
        <v>432</v>
      </c>
      <c r="AO699" s="137" t="s">
        <v>432</v>
      </c>
      <c r="AP699" s="137" t="s">
        <v>432</v>
      </c>
      <c r="AQ699" s="137" t="s">
        <v>432</v>
      </c>
      <c r="AR699" s="137" t="s">
        <v>432</v>
      </c>
      <c r="AS699" s="137" t="s">
        <v>432</v>
      </c>
      <c r="AT699" s="137" t="s">
        <v>432</v>
      </c>
      <c r="AU699" s="137" t="s">
        <v>432</v>
      </c>
      <c r="AV699" s="137" t="s">
        <v>432</v>
      </c>
      <c r="AW699" s="137" t="s">
        <v>432</v>
      </c>
      <c r="AX699" s="137" t="s">
        <v>432</v>
      </c>
      <c r="AY699" s="137" t="s">
        <v>432</v>
      </c>
      <c r="AZ699" s="137" t="s">
        <v>432</v>
      </c>
      <c r="BA699" s="137" t="s">
        <v>432</v>
      </c>
      <c r="BB699" s="239" t="str">
        <f t="shared" si="129"/>
        <v>Gases de efeito estufaCMMCE</v>
      </c>
      <c r="BC699" s="239" t="str">
        <f t="shared" si="130"/>
        <v>Gases de efeito estufaCMMCEbenchmarking</v>
      </c>
      <c r="BD699" s="239" t="str">
        <f t="shared" si="133"/>
        <v>Gases de efeito estufabenchmarking</v>
      </c>
    </row>
    <row r="700" spans="1:56" s="1" customFormat="1" ht="189" customHeight="1" x14ac:dyDescent="0.25">
      <c r="A700" s="275" t="str">
        <f>'Q100b-totais'!B43</f>
        <v>5.1</v>
      </c>
      <c r="B700" s="1205" t="s">
        <v>643</v>
      </c>
      <c r="C700" s="57" t="s">
        <v>935</v>
      </c>
      <c r="D700" s="377" t="s">
        <v>2868</v>
      </c>
      <c r="E700" s="1513" t="s">
        <v>1306</v>
      </c>
      <c r="F700" s="338" t="s">
        <v>4605</v>
      </c>
      <c r="G700" s="408" t="s">
        <v>649</v>
      </c>
      <c r="H700" s="173" t="s">
        <v>432</v>
      </c>
      <c r="I700" s="57">
        <v>1</v>
      </c>
      <c r="J700" s="109" t="s">
        <v>432</v>
      </c>
      <c r="K700" s="109" t="s">
        <v>432</v>
      </c>
      <c r="L700" s="109" t="s">
        <v>432</v>
      </c>
      <c r="M700" s="109" t="s">
        <v>432</v>
      </c>
      <c r="N700" s="109" t="s">
        <v>432</v>
      </c>
      <c r="O700" s="109" t="s">
        <v>432</v>
      </c>
      <c r="P700" s="109" t="s">
        <v>432</v>
      </c>
      <c r="Q700" s="109" t="s">
        <v>432</v>
      </c>
      <c r="R700" s="109" t="s">
        <v>432</v>
      </c>
      <c r="S700" s="109" t="s">
        <v>2209</v>
      </c>
      <c r="T700" s="109" t="s">
        <v>432</v>
      </c>
      <c r="U700" s="64">
        <f>U687/U1855</f>
        <v>1.1593133159945428</v>
      </c>
      <c r="V700" s="109" t="s">
        <v>2209</v>
      </c>
      <c r="W700" s="64">
        <f t="shared" ref="W700:AK700" si="138">W687/W1855</f>
        <v>1.2162114417298651</v>
      </c>
      <c r="X700" s="64">
        <f t="shared" si="138"/>
        <v>1.2568050854728541</v>
      </c>
      <c r="Y700" s="64">
        <f t="shared" si="138"/>
        <v>1.2501448513582201</v>
      </c>
      <c r="Z700" s="64">
        <f t="shared" si="138"/>
        <v>1.2623166184796499</v>
      </c>
      <c r="AA700" s="64">
        <f t="shared" si="138"/>
        <v>1.2694515159794706</v>
      </c>
      <c r="AB700" s="64">
        <f t="shared" si="138"/>
        <v>1.3011525384179472</v>
      </c>
      <c r="AC700" s="64">
        <f t="shared" si="138"/>
        <v>1.3172780723243085</v>
      </c>
      <c r="AD700" s="64">
        <f t="shared" si="138"/>
        <v>1.4106718227960149</v>
      </c>
      <c r="AE700" s="64">
        <f t="shared" si="138"/>
        <v>1.4133145121152659</v>
      </c>
      <c r="AF700" s="64">
        <f t="shared" si="138"/>
        <v>1.5806456207053348</v>
      </c>
      <c r="AG700" s="64">
        <f t="shared" si="138"/>
        <v>1.6628716953223679</v>
      </c>
      <c r="AH700" s="64">
        <f t="shared" si="138"/>
        <v>1.7684378879579417</v>
      </c>
      <c r="AI700" s="64">
        <f t="shared" si="138"/>
        <v>1.7728054233308186</v>
      </c>
      <c r="AJ700" s="64" t="e">
        <f t="shared" si="138"/>
        <v>#VALUE!</v>
      </c>
      <c r="AK700" s="64" t="e">
        <f t="shared" si="138"/>
        <v>#VALUE!</v>
      </c>
      <c r="AL700" s="600" t="s">
        <v>432</v>
      </c>
      <c r="AM700" s="137" t="s">
        <v>432</v>
      </c>
      <c r="AN700" s="137" t="s">
        <v>432</v>
      </c>
      <c r="AO700" s="137" t="s">
        <v>432</v>
      </c>
      <c r="AP700" s="137" t="s">
        <v>432</v>
      </c>
      <c r="AQ700" s="137" t="s">
        <v>432</v>
      </c>
      <c r="AR700" s="137" t="s">
        <v>432</v>
      </c>
      <c r="AS700" s="137" t="s">
        <v>432</v>
      </c>
      <c r="AT700" s="137" t="s">
        <v>432</v>
      </c>
      <c r="AU700" s="137" t="s">
        <v>432</v>
      </c>
      <c r="AV700" s="137" t="s">
        <v>432</v>
      </c>
      <c r="AW700" s="137" t="s">
        <v>432</v>
      </c>
      <c r="AX700" s="137" t="s">
        <v>432</v>
      </c>
      <c r="AY700" s="137" t="s">
        <v>432</v>
      </c>
      <c r="AZ700" s="137" t="s">
        <v>432</v>
      </c>
      <c r="BA700" s="137" t="s">
        <v>432</v>
      </c>
      <c r="BB700" s="239" t="str">
        <f t="shared" si="129"/>
        <v>Gases de efeito estufaCMMCE</v>
      </c>
      <c r="BC700" s="239" t="str">
        <f t="shared" si="130"/>
        <v>Gases de efeito estufaCMMCEx</v>
      </c>
      <c r="BD700" s="239" t="str">
        <f t="shared" si="133"/>
        <v>Gases de efeito estufax</v>
      </c>
    </row>
    <row r="701" spans="1:56" s="1" customFormat="1" ht="72.75" customHeight="1" x14ac:dyDescent="0.25">
      <c r="A701" s="275" t="str">
        <f>'Q100b-totais'!B43</f>
        <v>5.1</v>
      </c>
      <c r="B701" s="1172" t="str">
        <f>'Q100b-totais'!C43</f>
        <v>Gases de efeito estufa</v>
      </c>
      <c r="C701" s="57" t="s">
        <v>935</v>
      </c>
      <c r="D701" s="325" t="s">
        <v>2869</v>
      </c>
      <c r="E701" s="1512" t="s">
        <v>1306</v>
      </c>
      <c r="F701" s="188" t="s">
        <v>4604</v>
      </c>
      <c r="G701" s="409" t="s">
        <v>77</v>
      </c>
      <c r="H701" s="173" t="s">
        <v>432</v>
      </c>
      <c r="I701" s="57">
        <v>1</v>
      </c>
      <c r="J701" s="109" t="s">
        <v>432</v>
      </c>
      <c r="K701" s="109" t="s">
        <v>432</v>
      </c>
      <c r="L701" s="109" t="s">
        <v>432</v>
      </c>
      <c r="M701" s="109" t="s">
        <v>432</v>
      </c>
      <c r="N701" s="109" t="s">
        <v>432</v>
      </c>
      <c r="O701" s="109" t="s">
        <v>432</v>
      </c>
      <c r="P701" s="109" t="s">
        <v>432</v>
      </c>
      <c r="Q701" s="109" t="s">
        <v>432</v>
      </c>
      <c r="R701" s="109" t="s">
        <v>432</v>
      </c>
      <c r="S701" s="109" t="s">
        <v>2209</v>
      </c>
      <c r="T701" s="109" t="s">
        <v>432</v>
      </c>
      <c r="U701" s="83">
        <v>1.1599999999999999</v>
      </c>
      <c r="V701" s="109" t="s">
        <v>2209</v>
      </c>
      <c r="W701" s="83">
        <v>1.22</v>
      </c>
      <c r="X701" s="83">
        <v>1.27</v>
      </c>
      <c r="Y701" s="83">
        <v>1.26</v>
      </c>
      <c r="Z701" s="83">
        <v>1.3</v>
      </c>
      <c r="AA701" s="83">
        <v>1.31</v>
      </c>
      <c r="AB701" s="83">
        <v>1.35</v>
      </c>
      <c r="AC701" s="83">
        <v>1.36</v>
      </c>
      <c r="AD701" s="83">
        <v>1.46</v>
      </c>
      <c r="AE701" s="83">
        <v>1.47</v>
      </c>
      <c r="AF701" s="83">
        <v>1.58</v>
      </c>
      <c r="AG701" s="83">
        <v>1.65</v>
      </c>
      <c r="AH701" s="83">
        <v>1.74</v>
      </c>
      <c r="AI701" s="83">
        <v>1.79</v>
      </c>
      <c r="AJ701" s="137" t="s">
        <v>432</v>
      </c>
      <c r="AK701" s="137" t="s">
        <v>432</v>
      </c>
      <c r="AL701" s="600" t="s">
        <v>432</v>
      </c>
      <c r="AM701" s="137"/>
      <c r="AN701" s="137"/>
      <c r="AO701" s="137"/>
      <c r="AP701" s="137"/>
      <c r="AQ701" s="137"/>
      <c r="AR701" s="137"/>
      <c r="AS701" s="137"/>
      <c r="AT701" s="137"/>
      <c r="AU701" s="137"/>
      <c r="AV701" s="137"/>
      <c r="AW701" s="137"/>
      <c r="AX701" s="137"/>
      <c r="AY701" s="137"/>
      <c r="AZ701" s="137"/>
      <c r="BA701" s="137"/>
      <c r="BB701" s="239"/>
      <c r="BC701" s="239"/>
      <c r="BD701" s="239"/>
    </row>
    <row r="702" spans="1:56" s="1" customFormat="1" ht="69" customHeight="1" x14ac:dyDescent="0.25">
      <c r="A702" s="275" t="str">
        <f>'Q100b-totais'!$B$43</f>
        <v>5.1</v>
      </c>
      <c r="B702" s="1205" t="s">
        <v>643</v>
      </c>
      <c r="C702" s="57" t="s">
        <v>935</v>
      </c>
      <c r="D702" s="377" t="s">
        <v>5148</v>
      </c>
      <c r="E702" s="1513" t="s">
        <v>1306</v>
      </c>
      <c r="F702" s="338" t="s">
        <v>5146</v>
      </c>
      <c r="G702" s="409" t="s">
        <v>933</v>
      </c>
      <c r="H702" s="173" t="s">
        <v>765</v>
      </c>
      <c r="I702" s="167" t="s">
        <v>432</v>
      </c>
      <c r="J702" s="109" t="s">
        <v>432</v>
      </c>
      <c r="K702" s="109" t="s">
        <v>432</v>
      </c>
      <c r="L702" s="109" t="s">
        <v>432</v>
      </c>
      <c r="M702" s="109" t="s">
        <v>432</v>
      </c>
      <c r="N702" s="109" t="s">
        <v>432</v>
      </c>
      <c r="O702" s="109" t="s">
        <v>432</v>
      </c>
      <c r="P702" s="109" t="s">
        <v>432</v>
      </c>
      <c r="Q702" s="109" t="s">
        <v>432</v>
      </c>
      <c r="R702" s="109" t="s">
        <v>432</v>
      </c>
      <c r="S702" s="109" t="s">
        <v>2209</v>
      </c>
      <c r="T702" s="109" t="s">
        <v>432</v>
      </c>
      <c r="U702" s="109" t="s">
        <v>432</v>
      </c>
      <c r="V702" s="109" t="s">
        <v>2209</v>
      </c>
      <c r="W702" s="109" t="s">
        <v>432</v>
      </c>
      <c r="X702" s="109" t="s">
        <v>432</v>
      </c>
      <c r="Y702" s="109" t="s">
        <v>432</v>
      </c>
      <c r="Z702" s="109" t="s">
        <v>432</v>
      </c>
      <c r="AA702" s="109" t="s">
        <v>432</v>
      </c>
      <c r="AB702" s="109" t="s">
        <v>432</v>
      </c>
      <c r="AC702" s="109" t="s">
        <v>432</v>
      </c>
      <c r="AD702" s="109" t="s">
        <v>432</v>
      </c>
      <c r="AE702" s="109" t="s">
        <v>432</v>
      </c>
      <c r="AF702" s="109" t="s">
        <v>432</v>
      </c>
      <c r="AG702" s="109" t="s">
        <v>432</v>
      </c>
      <c r="AH702" s="109" t="s">
        <v>432</v>
      </c>
      <c r="AI702" s="185">
        <v>1.7819845332327413</v>
      </c>
      <c r="AJ702" s="109" t="s">
        <v>432</v>
      </c>
      <c r="AK702" s="84">
        <v>1.2</v>
      </c>
      <c r="AL702" s="600" t="s">
        <v>432</v>
      </c>
      <c r="AM702" s="137" t="s">
        <v>432</v>
      </c>
      <c r="AN702" s="137" t="s">
        <v>432</v>
      </c>
      <c r="AO702" s="137" t="s">
        <v>432</v>
      </c>
      <c r="AP702" s="137" t="s">
        <v>432</v>
      </c>
      <c r="AQ702" s="137" t="s">
        <v>432</v>
      </c>
      <c r="AR702" s="137" t="s">
        <v>432</v>
      </c>
      <c r="AS702" s="137" t="s">
        <v>432</v>
      </c>
      <c r="AT702" s="137" t="s">
        <v>432</v>
      </c>
      <c r="AU702" s="137" t="s">
        <v>432</v>
      </c>
      <c r="AV702" s="137" t="s">
        <v>432</v>
      </c>
      <c r="AW702" s="137" t="s">
        <v>432</v>
      </c>
      <c r="AX702" s="137" t="s">
        <v>432</v>
      </c>
      <c r="AY702" s="137" t="s">
        <v>432</v>
      </c>
      <c r="AZ702" s="137" t="s">
        <v>432</v>
      </c>
      <c r="BA702" s="84">
        <v>1.05</v>
      </c>
      <c r="BB702" s="239" t="str">
        <f t="shared" ref="BB702:BB720" si="139">B702&amp;C702</f>
        <v>Gases de efeito estufaCMMCE</v>
      </c>
      <c r="BC702" s="239" t="str">
        <f t="shared" ref="BC702:BC720" si="140">B702&amp;C702&amp;H702</f>
        <v>Gases de efeito estufaCMMCEmeta/RPI</v>
      </c>
      <c r="BD702" s="239" t="str">
        <f t="shared" ref="BD702:BD720" si="141">B702&amp;H702</f>
        <v>Gases de efeito estufameta/RPI</v>
      </c>
    </row>
    <row r="703" spans="1:56" s="1" customFormat="1" ht="197.25" customHeight="1" x14ac:dyDescent="0.25">
      <c r="A703" s="275" t="str">
        <f>'Q100b-totais'!$B$43</f>
        <v>5.1</v>
      </c>
      <c r="B703" s="1205" t="s">
        <v>643</v>
      </c>
      <c r="C703" s="57" t="s">
        <v>935</v>
      </c>
      <c r="D703" s="377" t="s">
        <v>5147</v>
      </c>
      <c r="E703" s="1513" t="s">
        <v>1306</v>
      </c>
      <c r="F703" s="338" t="s">
        <v>5145</v>
      </c>
      <c r="G703" s="409" t="s">
        <v>933</v>
      </c>
      <c r="H703" s="173" t="s">
        <v>765</v>
      </c>
      <c r="I703" s="167" t="s">
        <v>432</v>
      </c>
      <c r="J703" s="109" t="s">
        <v>432</v>
      </c>
      <c r="K703" s="109" t="s">
        <v>432</v>
      </c>
      <c r="L703" s="109" t="s">
        <v>432</v>
      </c>
      <c r="M703" s="109" t="s">
        <v>432</v>
      </c>
      <c r="N703" s="109" t="s">
        <v>432</v>
      </c>
      <c r="O703" s="109" t="s">
        <v>432</v>
      </c>
      <c r="P703" s="109" t="s">
        <v>432</v>
      </c>
      <c r="Q703" s="109" t="s">
        <v>432</v>
      </c>
      <c r="R703" s="109" t="s">
        <v>432</v>
      </c>
      <c r="S703" s="109" t="s">
        <v>2209</v>
      </c>
      <c r="T703" s="109" t="s">
        <v>432</v>
      </c>
      <c r="U703" s="109" t="s">
        <v>432</v>
      </c>
      <c r="V703" s="109" t="s">
        <v>2209</v>
      </c>
      <c r="W703" s="109" t="s">
        <v>432</v>
      </c>
      <c r="X703" s="109" t="s">
        <v>432</v>
      </c>
      <c r="Y703" s="109" t="s">
        <v>432</v>
      </c>
      <c r="Z703" s="109" t="s">
        <v>432</v>
      </c>
      <c r="AA703" s="109" t="s">
        <v>432</v>
      </c>
      <c r="AB703" s="109" t="s">
        <v>432</v>
      </c>
      <c r="AC703" s="109" t="s">
        <v>432</v>
      </c>
      <c r="AD703" s="185">
        <v>1.44</v>
      </c>
      <c r="AE703" s="185">
        <v>1.51</v>
      </c>
      <c r="AF703" s="185">
        <v>1.58</v>
      </c>
      <c r="AG703" s="185">
        <v>1.64</v>
      </c>
      <c r="AH703" s="185">
        <v>1.7</v>
      </c>
      <c r="AI703" s="185">
        <v>1.75</v>
      </c>
      <c r="AJ703" s="185">
        <v>1.81</v>
      </c>
      <c r="AK703" s="185">
        <v>1.86</v>
      </c>
      <c r="AL703" s="600" t="s">
        <v>432</v>
      </c>
      <c r="AM703" s="185">
        <v>1.88</v>
      </c>
      <c r="AN703" s="185">
        <v>1.9</v>
      </c>
      <c r="AO703" s="185">
        <v>1.92</v>
      </c>
      <c r="AP703" s="185">
        <v>1.93</v>
      </c>
      <c r="AQ703" s="84">
        <v>1.95</v>
      </c>
      <c r="AR703" s="84">
        <v>1.95</v>
      </c>
      <c r="AS703" s="84">
        <v>1.95</v>
      </c>
      <c r="AT703" s="84">
        <v>1.95</v>
      </c>
      <c r="AU703" s="84">
        <v>1.95</v>
      </c>
      <c r="AV703" s="84">
        <v>1.95</v>
      </c>
      <c r="AW703" s="84">
        <v>1.96</v>
      </c>
      <c r="AX703" s="84">
        <v>1.96</v>
      </c>
      <c r="AY703" s="84">
        <v>1.96</v>
      </c>
      <c r="AZ703" s="84">
        <v>1.97</v>
      </c>
      <c r="BA703" s="84">
        <v>1.97</v>
      </c>
      <c r="BB703" s="239" t="str">
        <f t="shared" si="139"/>
        <v>Gases de efeito estufaCMMCE</v>
      </c>
      <c r="BC703" s="239" t="str">
        <f t="shared" si="140"/>
        <v>Gases de efeito estufaCMMCEmeta/RPI</v>
      </c>
      <c r="BD703" s="239" t="str">
        <f t="shared" si="141"/>
        <v>Gases de efeito estufameta/RPI</v>
      </c>
    </row>
    <row r="704" spans="1:56" s="1" customFormat="1" ht="79.5" customHeight="1" x14ac:dyDescent="0.25">
      <c r="A704" s="275" t="str">
        <f>'Q100b-totais'!B43</f>
        <v>5.1</v>
      </c>
      <c r="B704" s="1205" t="str">
        <f>'Q100b-totais'!C43</f>
        <v>Gases de efeito estufa</v>
      </c>
      <c r="C704" s="57" t="s">
        <v>935</v>
      </c>
      <c r="D704" s="377" t="s">
        <v>2860</v>
      </c>
      <c r="E704" s="1513" t="s">
        <v>1306</v>
      </c>
      <c r="F704" s="338" t="s">
        <v>2862</v>
      </c>
      <c r="G704" s="408" t="s">
        <v>2863</v>
      </c>
      <c r="H704" s="173" t="s">
        <v>432</v>
      </c>
      <c r="I704" s="167">
        <v>1</v>
      </c>
      <c r="J704" s="109" t="s">
        <v>432</v>
      </c>
      <c r="K704" s="109" t="s">
        <v>432</v>
      </c>
      <c r="L704" s="109" t="s">
        <v>432</v>
      </c>
      <c r="M704" s="109" t="s">
        <v>432</v>
      </c>
      <c r="N704" s="109" t="s">
        <v>432</v>
      </c>
      <c r="O704" s="109" t="s">
        <v>432</v>
      </c>
      <c r="P704" s="109" t="s">
        <v>432</v>
      </c>
      <c r="Q704" s="109" t="s">
        <v>432</v>
      </c>
      <c r="R704" s="109" t="s">
        <v>432</v>
      </c>
      <c r="S704" s="109" t="s">
        <v>2209</v>
      </c>
      <c r="T704" s="109" t="s">
        <v>432</v>
      </c>
      <c r="U704" s="109" t="s">
        <v>432</v>
      </c>
      <c r="V704" s="109" t="s">
        <v>2209</v>
      </c>
      <c r="W704" s="109" t="s">
        <v>432</v>
      </c>
      <c r="X704" s="109" t="s">
        <v>432</v>
      </c>
      <c r="Y704" s="109" t="s">
        <v>432</v>
      </c>
      <c r="Z704" s="109" t="s">
        <v>432</v>
      </c>
      <c r="AA704" s="109" t="s">
        <v>432</v>
      </c>
      <c r="AB704" s="109" t="s">
        <v>432</v>
      </c>
      <c r="AC704" s="109" t="s">
        <v>432</v>
      </c>
      <c r="AD704" s="112">
        <f t="shared" ref="AD704:AK704" si="142">(AD703-AD700)/AD703</f>
        <v>2.0366789724989627E-2</v>
      </c>
      <c r="AE704" s="112">
        <f t="shared" si="142"/>
        <v>6.4030124426976212E-2</v>
      </c>
      <c r="AF704" s="112">
        <f t="shared" si="142"/>
        <v>-4.0862069957891959E-4</v>
      </c>
      <c r="AG704" s="112">
        <f t="shared" si="142"/>
        <v>-1.3946155684370727E-2</v>
      </c>
      <c r="AH704" s="112">
        <f t="shared" si="142"/>
        <v>-4.0257581151730414E-2</v>
      </c>
      <c r="AI704" s="112">
        <f t="shared" si="142"/>
        <v>-1.3031670474753478E-2</v>
      </c>
      <c r="AJ704" s="112" t="e">
        <f t="shared" si="142"/>
        <v>#VALUE!</v>
      </c>
      <c r="AK704" s="112" t="e">
        <f t="shared" si="142"/>
        <v>#VALUE!</v>
      </c>
      <c r="AL704" s="600" t="s">
        <v>432</v>
      </c>
      <c r="AM704" s="112" t="e">
        <f t="shared" ref="AM704:BA704" si="143">(AM703-AM700)/AM703</f>
        <v>#VALUE!</v>
      </c>
      <c r="AN704" s="112" t="e">
        <f t="shared" si="143"/>
        <v>#VALUE!</v>
      </c>
      <c r="AO704" s="112" t="e">
        <f t="shared" si="143"/>
        <v>#VALUE!</v>
      </c>
      <c r="AP704" s="112" t="e">
        <f t="shared" si="143"/>
        <v>#VALUE!</v>
      </c>
      <c r="AQ704" s="112" t="e">
        <f t="shared" si="143"/>
        <v>#VALUE!</v>
      </c>
      <c r="AR704" s="112" t="e">
        <f t="shared" si="143"/>
        <v>#VALUE!</v>
      </c>
      <c r="AS704" s="112" t="e">
        <f t="shared" si="143"/>
        <v>#VALUE!</v>
      </c>
      <c r="AT704" s="112" t="e">
        <f t="shared" si="143"/>
        <v>#VALUE!</v>
      </c>
      <c r="AU704" s="112" t="e">
        <f t="shared" si="143"/>
        <v>#VALUE!</v>
      </c>
      <c r="AV704" s="112" t="e">
        <f t="shared" si="143"/>
        <v>#VALUE!</v>
      </c>
      <c r="AW704" s="112" t="e">
        <f t="shared" si="143"/>
        <v>#VALUE!</v>
      </c>
      <c r="AX704" s="112" t="e">
        <f t="shared" si="143"/>
        <v>#VALUE!</v>
      </c>
      <c r="AY704" s="112" t="e">
        <f t="shared" si="143"/>
        <v>#VALUE!</v>
      </c>
      <c r="AZ704" s="112" t="e">
        <f t="shared" si="143"/>
        <v>#VALUE!</v>
      </c>
      <c r="BA704" s="112" t="e">
        <f t="shared" si="143"/>
        <v>#VALUE!</v>
      </c>
      <c r="BB704" s="239" t="str">
        <f t="shared" si="139"/>
        <v>Gases de efeito estufaCMMCE</v>
      </c>
      <c r="BC704" s="239" t="str">
        <f t="shared" si="140"/>
        <v>Gases de efeito estufaCMMCEx</v>
      </c>
      <c r="BD704" s="239" t="str">
        <f t="shared" si="141"/>
        <v>Gases de efeito estufax</v>
      </c>
    </row>
    <row r="705" spans="1:56" s="1" customFormat="1" ht="83.25" customHeight="1" x14ac:dyDescent="0.25">
      <c r="A705" s="275" t="str">
        <f>'Q100b-totais'!$B$43</f>
        <v>5.1</v>
      </c>
      <c r="B705" s="1205" t="s">
        <v>643</v>
      </c>
      <c r="C705" s="57" t="s">
        <v>935</v>
      </c>
      <c r="D705" s="325" t="s">
        <v>1218</v>
      </c>
      <c r="E705" s="1512" t="s">
        <v>1306</v>
      </c>
      <c r="F705" s="15" t="s">
        <v>2581</v>
      </c>
      <c r="G705" s="110" t="s">
        <v>1217</v>
      </c>
      <c r="H705" s="173" t="s">
        <v>432</v>
      </c>
      <c r="I705" s="57">
        <v>1</v>
      </c>
      <c r="J705" s="109" t="s">
        <v>432</v>
      </c>
      <c r="K705" s="109" t="s">
        <v>432</v>
      </c>
      <c r="L705" s="109" t="s">
        <v>432</v>
      </c>
      <c r="M705" s="109" t="s">
        <v>432</v>
      </c>
      <c r="N705" s="109" t="s">
        <v>432</v>
      </c>
      <c r="O705" s="109" t="s">
        <v>432</v>
      </c>
      <c r="P705" s="109" t="s">
        <v>432</v>
      </c>
      <c r="Q705" s="109" t="s">
        <v>432</v>
      </c>
      <c r="R705" s="109" t="s">
        <v>432</v>
      </c>
      <c r="S705" s="109" t="s">
        <v>2209</v>
      </c>
      <c r="T705" s="109" t="s">
        <v>432</v>
      </c>
      <c r="U705" s="87">
        <v>154361</v>
      </c>
      <c r="V705" s="109" t="s">
        <v>2209</v>
      </c>
      <c r="W705" s="87">
        <v>178054</v>
      </c>
      <c r="X705" s="87">
        <v>200257</v>
      </c>
      <c r="Y705" s="87">
        <v>212140</v>
      </c>
      <c r="Z705" s="87">
        <v>244791</v>
      </c>
      <c r="AA705" s="87">
        <v>251255</v>
      </c>
      <c r="AB705" s="87">
        <v>273977</v>
      </c>
      <c r="AC705" s="335">
        <v>308157</v>
      </c>
      <c r="AD705" s="87">
        <v>398514</v>
      </c>
      <c r="AE705" s="87">
        <v>473744</v>
      </c>
      <c r="AF705" s="87">
        <v>605335</v>
      </c>
      <c r="AG705" s="87">
        <v>767516.54953565646</v>
      </c>
      <c r="AH705" s="87">
        <v>813775.65426982834</v>
      </c>
      <c r="AI705" s="87">
        <v>799630.14151775721</v>
      </c>
      <c r="AJ705" s="84" t="s">
        <v>432</v>
      </c>
      <c r="AK705" s="137" t="s">
        <v>432</v>
      </c>
      <c r="AL705" s="600" t="s">
        <v>432</v>
      </c>
      <c r="AM705" s="137" t="s">
        <v>432</v>
      </c>
      <c r="AN705" s="137" t="s">
        <v>432</v>
      </c>
      <c r="AO705" s="137" t="s">
        <v>432</v>
      </c>
      <c r="AP705" s="137" t="s">
        <v>432</v>
      </c>
      <c r="AQ705" s="137" t="s">
        <v>432</v>
      </c>
      <c r="AR705" s="137" t="s">
        <v>432</v>
      </c>
      <c r="AS705" s="137" t="s">
        <v>432</v>
      </c>
      <c r="AT705" s="137" t="s">
        <v>432</v>
      </c>
      <c r="AU705" s="137" t="s">
        <v>432</v>
      </c>
      <c r="AV705" s="137" t="s">
        <v>432</v>
      </c>
      <c r="AW705" s="137" t="s">
        <v>432</v>
      </c>
      <c r="AX705" s="137" t="s">
        <v>432</v>
      </c>
      <c r="AY705" s="137" t="s">
        <v>432</v>
      </c>
      <c r="AZ705" s="137" t="s">
        <v>432</v>
      </c>
      <c r="BA705" s="137" t="s">
        <v>432</v>
      </c>
      <c r="BB705" s="239" t="str">
        <f t="shared" si="139"/>
        <v>Gases de efeito estufaCMMCE</v>
      </c>
      <c r="BC705" s="239" t="str">
        <f t="shared" si="140"/>
        <v>Gases de efeito estufaCMMCEx</v>
      </c>
      <c r="BD705" s="239" t="str">
        <f t="shared" si="141"/>
        <v>Gases de efeito estufax</v>
      </c>
    </row>
    <row r="706" spans="1:56" s="1" customFormat="1" ht="79.5" customHeight="1" x14ac:dyDescent="0.25">
      <c r="A706" s="275" t="str">
        <f>'Q100b-totais'!$B$43</f>
        <v>5.1</v>
      </c>
      <c r="B706" s="1205" t="s">
        <v>643</v>
      </c>
      <c r="C706" s="57" t="s">
        <v>935</v>
      </c>
      <c r="D706" s="377" t="s">
        <v>1219</v>
      </c>
      <c r="E706" s="1513" t="s">
        <v>1306</v>
      </c>
      <c r="F706" s="338" t="s">
        <v>1232</v>
      </c>
      <c r="G706" s="111" t="s">
        <v>1220</v>
      </c>
      <c r="H706" s="173" t="s">
        <v>432</v>
      </c>
      <c r="I706" s="57">
        <v>1</v>
      </c>
      <c r="J706" s="109" t="s">
        <v>432</v>
      </c>
      <c r="K706" s="109" t="s">
        <v>432</v>
      </c>
      <c r="L706" s="109" t="s">
        <v>432</v>
      </c>
      <c r="M706" s="109" t="s">
        <v>432</v>
      </c>
      <c r="N706" s="109" t="s">
        <v>432</v>
      </c>
      <c r="O706" s="109" t="s">
        <v>432</v>
      </c>
      <c r="P706" s="109" t="s">
        <v>432</v>
      </c>
      <c r="Q706" s="109" t="s">
        <v>432</v>
      </c>
      <c r="R706" s="109" t="s">
        <v>432</v>
      </c>
      <c r="S706" s="109" t="s">
        <v>2209</v>
      </c>
      <c r="T706" s="109" t="s">
        <v>432</v>
      </c>
      <c r="U706" s="22">
        <f>U705/1000000</f>
        <v>0.154361</v>
      </c>
      <c r="V706" s="109" t="s">
        <v>2209</v>
      </c>
      <c r="W706" s="22">
        <f t="shared" ref="W706:AI706" si="144">W705/1000000</f>
        <v>0.17805399999999999</v>
      </c>
      <c r="X706" s="22">
        <f t="shared" si="144"/>
        <v>0.20025699999999999</v>
      </c>
      <c r="Y706" s="22">
        <f t="shared" si="144"/>
        <v>0.21214</v>
      </c>
      <c r="Z706" s="22">
        <f t="shared" si="144"/>
        <v>0.24479100000000001</v>
      </c>
      <c r="AA706" s="22">
        <f t="shared" si="144"/>
        <v>0.25125500000000001</v>
      </c>
      <c r="AB706" s="22">
        <f t="shared" si="144"/>
        <v>0.27397700000000003</v>
      </c>
      <c r="AC706" s="22">
        <f t="shared" si="144"/>
        <v>0.30815700000000001</v>
      </c>
      <c r="AD706" s="22">
        <f t="shared" si="144"/>
        <v>0.39851399999999998</v>
      </c>
      <c r="AE706" s="22">
        <f t="shared" si="144"/>
        <v>0.473744</v>
      </c>
      <c r="AF706" s="22">
        <f t="shared" si="144"/>
        <v>0.60533499999999996</v>
      </c>
      <c r="AG706" s="22">
        <f t="shared" si="144"/>
        <v>0.76751654953565651</v>
      </c>
      <c r="AH706" s="22">
        <f t="shared" si="144"/>
        <v>0.81377565426982834</v>
      </c>
      <c r="AI706" s="22">
        <f t="shared" si="144"/>
        <v>0.79963014151775724</v>
      </c>
      <c r="AJ706" s="84"/>
      <c r="AK706" s="137" t="s">
        <v>432</v>
      </c>
      <c r="AL706" s="600" t="s">
        <v>432</v>
      </c>
      <c r="AM706" s="137" t="s">
        <v>432</v>
      </c>
      <c r="AN706" s="137" t="s">
        <v>432</v>
      </c>
      <c r="AO706" s="137" t="s">
        <v>432</v>
      </c>
      <c r="AP706" s="137" t="s">
        <v>432</v>
      </c>
      <c r="AQ706" s="137" t="s">
        <v>432</v>
      </c>
      <c r="AR706" s="137" t="s">
        <v>432</v>
      </c>
      <c r="AS706" s="137" t="s">
        <v>432</v>
      </c>
      <c r="AT706" s="137" t="s">
        <v>432</v>
      </c>
      <c r="AU706" s="137" t="s">
        <v>432</v>
      </c>
      <c r="AV706" s="137" t="s">
        <v>432</v>
      </c>
      <c r="AW706" s="137" t="s">
        <v>432</v>
      </c>
      <c r="AX706" s="137" t="s">
        <v>432</v>
      </c>
      <c r="AY706" s="137" t="s">
        <v>432</v>
      </c>
      <c r="AZ706" s="137" t="s">
        <v>432</v>
      </c>
      <c r="BA706" s="137" t="s">
        <v>432</v>
      </c>
      <c r="BB706" s="239" t="str">
        <f t="shared" si="139"/>
        <v>Gases de efeito estufaCMMCE</v>
      </c>
      <c r="BC706" s="239" t="str">
        <f t="shared" si="140"/>
        <v>Gases de efeito estufaCMMCEx</v>
      </c>
      <c r="BD706" s="239" t="str">
        <f t="shared" si="141"/>
        <v>Gases de efeito estufax</v>
      </c>
    </row>
    <row r="707" spans="1:56" s="1" customFormat="1" ht="31.5" x14ac:dyDescent="0.25">
      <c r="A707" s="275" t="str">
        <f>'Q100b-totais'!$B$43</f>
        <v>5.1</v>
      </c>
      <c r="B707" s="1205" t="s">
        <v>643</v>
      </c>
      <c r="C707" s="57" t="s">
        <v>935</v>
      </c>
      <c r="D707" s="377" t="s">
        <v>160</v>
      </c>
      <c r="E707" s="1513" t="s">
        <v>1306</v>
      </c>
      <c r="F707" s="338" t="s">
        <v>1233</v>
      </c>
      <c r="G707" s="408" t="s">
        <v>644</v>
      </c>
      <c r="H707" s="173" t="s">
        <v>432</v>
      </c>
      <c r="I707" s="57">
        <v>1</v>
      </c>
      <c r="J707" s="109" t="s">
        <v>432</v>
      </c>
      <c r="K707" s="109" t="s">
        <v>432</v>
      </c>
      <c r="L707" s="109" t="s">
        <v>432</v>
      </c>
      <c r="M707" s="109" t="s">
        <v>432</v>
      </c>
      <c r="N707" s="109" t="s">
        <v>432</v>
      </c>
      <c r="O707" s="109" t="s">
        <v>432</v>
      </c>
      <c r="P707" s="109" t="s">
        <v>432</v>
      </c>
      <c r="Q707" s="109" t="s">
        <v>432</v>
      </c>
      <c r="R707" s="109" t="s">
        <v>432</v>
      </c>
      <c r="S707" s="109" t="s">
        <v>2209</v>
      </c>
      <c r="T707" s="109" t="s">
        <v>432</v>
      </c>
      <c r="U707" s="47">
        <f>U705/U687</f>
        <v>5.9480500764309462E-2</v>
      </c>
      <c r="V707" s="109" t="s">
        <v>2209</v>
      </c>
      <c r="W707" s="47">
        <f t="shared" ref="W707:AI707" si="145">W705/W687</f>
        <v>6.4818374294858913E-2</v>
      </c>
      <c r="X707" s="47">
        <f t="shared" si="145"/>
        <v>6.974847194363476E-2</v>
      </c>
      <c r="Y707" s="47">
        <f t="shared" si="145"/>
        <v>7.3593309371161236E-2</v>
      </c>
      <c r="Z707" s="47">
        <f t="shared" si="145"/>
        <v>8.2500212324528949E-2</v>
      </c>
      <c r="AA707" s="47">
        <f t="shared" si="145"/>
        <v>8.3324904281902853E-2</v>
      </c>
      <c r="AB707" s="47">
        <f t="shared" si="145"/>
        <v>8.7738282273265564E-2</v>
      </c>
      <c r="AC707" s="47">
        <f t="shared" si="145"/>
        <v>9.6950173807908047E-2</v>
      </c>
      <c r="AD707" s="47">
        <f t="shared" si="145"/>
        <v>0.11603325664543922</v>
      </c>
      <c r="AE707" s="47">
        <f t="shared" si="145"/>
        <v>0.13667062172733213</v>
      </c>
      <c r="AF707" s="47">
        <f t="shared" si="145"/>
        <v>0.16123898207182125</v>
      </c>
      <c r="AG707" s="47">
        <f t="shared" si="145"/>
        <v>0.19347466337991126</v>
      </c>
      <c r="AH707" s="47">
        <f t="shared" si="145"/>
        <v>0.19207331881025033</v>
      </c>
      <c r="AI707" s="47">
        <f t="shared" si="145"/>
        <v>0.18193768002088415</v>
      </c>
      <c r="AJ707" s="23" t="s">
        <v>432</v>
      </c>
      <c r="AK707" s="137" t="s">
        <v>432</v>
      </c>
      <c r="AL707" s="600" t="s">
        <v>432</v>
      </c>
      <c r="AM707" s="137" t="s">
        <v>432</v>
      </c>
      <c r="AN707" s="137" t="s">
        <v>432</v>
      </c>
      <c r="AO707" s="137" t="s">
        <v>432</v>
      </c>
      <c r="AP707" s="137" t="s">
        <v>432</v>
      </c>
      <c r="AQ707" s="137" t="s">
        <v>432</v>
      </c>
      <c r="AR707" s="137" t="s">
        <v>432</v>
      </c>
      <c r="AS707" s="137" t="s">
        <v>432</v>
      </c>
      <c r="AT707" s="137" t="s">
        <v>432</v>
      </c>
      <c r="AU707" s="137" t="s">
        <v>432</v>
      </c>
      <c r="AV707" s="137" t="s">
        <v>432</v>
      </c>
      <c r="AW707" s="137" t="s">
        <v>432</v>
      </c>
      <c r="AX707" s="137" t="s">
        <v>432</v>
      </c>
      <c r="AY707" s="137" t="s">
        <v>432</v>
      </c>
      <c r="AZ707" s="137" t="s">
        <v>432</v>
      </c>
      <c r="BA707" s="137" t="s">
        <v>432</v>
      </c>
      <c r="BB707" s="239" t="str">
        <f t="shared" si="139"/>
        <v>Gases de efeito estufaCMMCE</v>
      </c>
      <c r="BC707" s="239" t="str">
        <f t="shared" si="140"/>
        <v>Gases de efeito estufaCMMCEx</v>
      </c>
      <c r="BD707" s="239" t="str">
        <f t="shared" si="141"/>
        <v>Gases de efeito estufax</v>
      </c>
    </row>
    <row r="708" spans="1:56" s="1" customFormat="1" ht="31.5" x14ac:dyDescent="0.25">
      <c r="A708" s="275" t="str">
        <f>'Q100b-totais'!$B$43</f>
        <v>5.1</v>
      </c>
      <c r="B708" s="1205" t="s">
        <v>643</v>
      </c>
      <c r="C708" s="57" t="s">
        <v>935</v>
      </c>
      <c r="D708" s="325" t="s">
        <v>161</v>
      </c>
      <c r="E708" s="1512" t="s">
        <v>1306</v>
      </c>
      <c r="F708" s="15" t="s">
        <v>1234</v>
      </c>
      <c r="G708" s="425" t="s">
        <v>645</v>
      </c>
      <c r="H708" s="173" t="s">
        <v>432</v>
      </c>
      <c r="I708" s="57">
        <v>1</v>
      </c>
      <c r="J708" s="109" t="s">
        <v>432</v>
      </c>
      <c r="K708" s="109" t="s">
        <v>432</v>
      </c>
      <c r="L708" s="109" t="s">
        <v>432</v>
      </c>
      <c r="M708" s="109" t="s">
        <v>432</v>
      </c>
      <c r="N708" s="109" t="s">
        <v>432</v>
      </c>
      <c r="O708" s="109" t="s">
        <v>432</v>
      </c>
      <c r="P708" s="109" t="s">
        <v>432</v>
      </c>
      <c r="Q708" s="109" t="s">
        <v>432</v>
      </c>
      <c r="R708" s="109" t="s">
        <v>432</v>
      </c>
      <c r="S708" s="109" t="s">
        <v>2209</v>
      </c>
      <c r="T708" s="109" t="s">
        <v>432</v>
      </c>
      <c r="U708" s="64">
        <f>U705/U1855</f>
        <v>6.8956536578087549E-2</v>
      </c>
      <c r="V708" s="109" t="s">
        <v>2209</v>
      </c>
      <c r="W708" s="64">
        <f t="shared" ref="W708:AI708" si="146">W705/W1855</f>
        <v>7.8832848451736381E-2</v>
      </c>
      <c r="X708" s="64">
        <f t="shared" si="146"/>
        <v>8.7660234242720847E-2</v>
      </c>
      <c r="Y708" s="64">
        <f t="shared" si="146"/>
        <v>9.2002296804769859E-2</v>
      </c>
      <c r="Z708" s="64">
        <f t="shared" si="146"/>
        <v>0.10414138904535251</v>
      </c>
      <c r="AA708" s="64">
        <f t="shared" si="146"/>
        <v>0.10577692605950587</v>
      </c>
      <c r="AB708" s="64">
        <f t="shared" si="146"/>
        <v>0.11416088869628988</v>
      </c>
      <c r="AC708" s="64">
        <f t="shared" si="146"/>
        <v>0.12771033806518778</v>
      </c>
      <c r="AD708" s="64">
        <f t="shared" si="146"/>
        <v>0.16368484565697955</v>
      </c>
      <c r="AE708" s="64">
        <f t="shared" si="146"/>
        <v>0.1931585730670545</v>
      </c>
      <c r="AF708" s="64">
        <f t="shared" si="146"/>
        <v>0.25486169089881022</v>
      </c>
      <c r="AG708" s="64">
        <f t="shared" si="146"/>
        <v>0.32172354149647747</v>
      </c>
      <c r="AH708" s="64">
        <f t="shared" si="146"/>
        <v>0.33966973424987146</v>
      </c>
      <c r="AI708" s="64">
        <f t="shared" si="146"/>
        <v>0.32254010584925052</v>
      </c>
      <c r="AJ708" s="23" t="s">
        <v>432</v>
      </c>
      <c r="AK708" s="137" t="s">
        <v>432</v>
      </c>
      <c r="AL708" s="600" t="s">
        <v>432</v>
      </c>
      <c r="AM708" s="137" t="s">
        <v>432</v>
      </c>
      <c r="AN708" s="137" t="s">
        <v>432</v>
      </c>
      <c r="AO708" s="137" t="s">
        <v>432</v>
      </c>
      <c r="AP708" s="137" t="s">
        <v>432</v>
      </c>
      <c r="AQ708" s="137" t="s">
        <v>432</v>
      </c>
      <c r="AR708" s="137" t="s">
        <v>432</v>
      </c>
      <c r="AS708" s="137" t="s">
        <v>432</v>
      </c>
      <c r="AT708" s="137" t="s">
        <v>432</v>
      </c>
      <c r="AU708" s="137" t="s">
        <v>432</v>
      </c>
      <c r="AV708" s="137" t="s">
        <v>432</v>
      </c>
      <c r="AW708" s="137" t="s">
        <v>432</v>
      </c>
      <c r="AX708" s="137" t="s">
        <v>432</v>
      </c>
      <c r="AY708" s="137" t="s">
        <v>432</v>
      </c>
      <c r="AZ708" s="137" t="s">
        <v>432</v>
      </c>
      <c r="BA708" s="137" t="s">
        <v>432</v>
      </c>
      <c r="BB708" s="239" t="str">
        <f t="shared" si="139"/>
        <v>Gases de efeito estufaCMMCE</v>
      </c>
      <c r="BC708" s="239" t="str">
        <f t="shared" si="140"/>
        <v>Gases de efeito estufaCMMCEx</v>
      </c>
      <c r="BD708" s="239" t="str">
        <f t="shared" si="141"/>
        <v>Gases de efeito estufax</v>
      </c>
    </row>
    <row r="709" spans="1:56" s="1" customFormat="1" ht="60" customHeight="1" x14ac:dyDescent="0.25">
      <c r="A709" s="275" t="str">
        <f>'Q100b-totais'!$B$43</f>
        <v>5.1</v>
      </c>
      <c r="B709" s="1205" t="s">
        <v>643</v>
      </c>
      <c r="C709" s="57" t="s">
        <v>935</v>
      </c>
      <c r="D709" s="325" t="s">
        <v>1224</v>
      </c>
      <c r="E709" s="1512" t="s">
        <v>1306</v>
      </c>
      <c r="F709" s="15" t="s">
        <v>2867</v>
      </c>
      <c r="G709" s="409" t="s">
        <v>77</v>
      </c>
      <c r="H709" s="173" t="s">
        <v>432</v>
      </c>
      <c r="I709" s="57">
        <v>1</v>
      </c>
      <c r="J709" s="109" t="s">
        <v>432</v>
      </c>
      <c r="K709" s="109" t="s">
        <v>432</v>
      </c>
      <c r="L709" s="109" t="s">
        <v>432</v>
      </c>
      <c r="M709" s="109" t="s">
        <v>432</v>
      </c>
      <c r="N709" s="109" t="s">
        <v>432</v>
      </c>
      <c r="O709" s="109" t="s">
        <v>432</v>
      </c>
      <c r="P709" s="109" t="s">
        <v>432</v>
      </c>
      <c r="Q709" s="109" t="s">
        <v>432</v>
      </c>
      <c r="R709" s="109" t="s">
        <v>432</v>
      </c>
      <c r="S709" s="109" t="s">
        <v>2209</v>
      </c>
      <c r="T709" s="109" t="s">
        <v>432</v>
      </c>
      <c r="U709" s="335">
        <v>709945</v>
      </c>
      <c r="V709" s="109" t="s">
        <v>2209</v>
      </c>
      <c r="W709" s="335">
        <v>813422</v>
      </c>
      <c r="X709" s="335">
        <v>896566</v>
      </c>
      <c r="Y709" s="335">
        <v>939987</v>
      </c>
      <c r="Z709" s="335">
        <v>979947</v>
      </c>
      <c r="AA709" s="335">
        <v>1028132</v>
      </c>
      <c r="AB709" s="335">
        <v>1055544</v>
      </c>
      <c r="AC709" s="335">
        <v>1093182</v>
      </c>
      <c r="AD709" s="87">
        <v>1284158</v>
      </c>
      <c r="AE709" s="87">
        <v>1218192</v>
      </c>
      <c r="AF709" s="87">
        <v>1092195</v>
      </c>
      <c r="AG709" s="87">
        <v>1010971.6460517094</v>
      </c>
      <c r="AH709" s="87">
        <v>1089662.6888922583</v>
      </c>
      <c r="AI709" s="87">
        <v>1257612.5456754826</v>
      </c>
      <c r="AJ709" s="84" t="s">
        <v>432</v>
      </c>
      <c r="AK709" s="137" t="s">
        <v>432</v>
      </c>
      <c r="AL709" s="600" t="s">
        <v>432</v>
      </c>
      <c r="AM709" s="137" t="s">
        <v>432</v>
      </c>
      <c r="AN709" s="137" t="s">
        <v>432</v>
      </c>
      <c r="AO709" s="137" t="s">
        <v>432</v>
      </c>
      <c r="AP709" s="137" t="s">
        <v>432</v>
      </c>
      <c r="AQ709" s="137" t="s">
        <v>432</v>
      </c>
      <c r="AR709" s="137" t="s">
        <v>432</v>
      </c>
      <c r="AS709" s="137" t="s">
        <v>432</v>
      </c>
      <c r="AT709" s="137" t="s">
        <v>432</v>
      </c>
      <c r="AU709" s="137" t="s">
        <v>432</v>
      </c>
      <c r="AV709" s="137" t="s">
        <v>432</v>
      </c>
      <c r="AW709" s="137" t="s">
        <v>432</v>
      </c>
      <c r="AX709" s="137" t="s">
        <v>432</v>
      </c>
      <c r="AY709" s="137" t="s">
        <v>432</v>
      </c>
      <c r="AZ709" s="137" t="s">
        <v>432</v>
      </c>
      <c r="BA709" s="137" t="s">
        <v>432</v>
      </c>
      <c r="BB709" s="239" t="str">
        <f t="shared" si="139"/>
        <v>Gases de efeito estufaCMMCE</v>
      </c>
      <c r="BC709" s="239" t="str">
        <f t="shared" si="140"/>
        <v>Gases de efeito estufaCMMCEx</v>
      </c>
      <c r="BD709" s="239" t="str">
        <f t="shared" si="141"/>
        <v>Gases de efeito estufax</v>
      </c>
    </row>
    <row r="710" spans="1:56" s="1" customFormat="1" ht="63" x14ac:dyDescent="0.25">
      <c r="A710" s="275" t="str">
        <f>'Q100b-totais'!$B$43</f>
        <v>5.1</v>
      </c>
      <c r="B710" s="1205" t="s">
        <v>643</v>
      </c>
      <c r="C710" s="57" t="s">
        <v>935</v>
      </c>
      <c r="D710" s="377" t="s">
        <v>1241</v>
      </c>
      <c r="E710" s="1513" t="s">
        <v>1306</v>
      </c>
      <c r="F710" s="338" t="s">
        <v>4800</v>
      </c>
      <c r="G710" s="111" t="s">
        <v>1235</v>
      </c>
      <c r="H710" s="173" t="s">
        <v>432</v>
      </c>
      <c r="I710" s="57">
        <v>1</v>
      </c>
      <c r="J710" s="109"/>
      <c r="K710" s="109"/>
      <c r="L710" s="109"/>
      <c r="M710" s="109"/>
      <c r="N710" s="109"/>
      <c r="O710" s="109"/>
      <c r="P710" s="109"/>
      <c r="Q710" s="109"/>
      <c r="R710" s="109"/>
      <c r="S710" s="109" t="s">
        <v>2209</v>
      </c>
      <c r="T710" s="109"/>
      <c r="U710" s="43">
        <f>U709/1000000</f>
        <v>0.70994500000000005</v>
      </c>
      <c r="V710" s="109" t="s">
        <v>2209</v>
      </c>
      <c r="W710" s="43">
        <f t="shared" ref="W710:AI710" si="147">W709/1000000</f>
        <v>0.81342199999999998</v>
      </c>
      <c r="X710" s="43">
        <f t="shared" si="147"/>
        <v>0.89656599999999997</v>
      </c>
      <c r="Y710" s="43">
        <f t="shared" si="147"/>
        <v>0.93998700000000002</v>
      </c>
      <c r="Z710" s="43">
        <f t="shared" si="147"/>
        <v>0.97994700000000001</v>
      </c>
      <c r="AA710" s="43">
        <f t="shared" si="147"/>
        <v>1.028132</v>
      </c>
      <c r="AB710" s="43">
        <f t="shared" si="147"/>
        <v>1.055544</v>
      </c>
      <c r="AC710" s="43">
        <f t="shared" si="147"/>
        <v>1.0931820000000001</v>
      </c>
      <c r="AD710" s="43">
        <f t="shared" si="147"/>
        <v>1.2841579999999999</v>
      </c>
      <c r="AE710" s="43">
        <f t="shared" si="147"/>
        <v>1.2181919999999999</v>
      </c>
      <c r="AF710" s="43">
        <f t="shared" si="147"/>
        <v>1.092195</v>
      </c>
      <c r="AG710" s="43">
        <f t="shared" si="147"/>
        <v>1.0109716460517095</v>
      </c>
      <c r="AH710" s="43">
        <f t="shared" si="147"/>
        <v>1.0896626888922583</v>
      </c>
      <c r="AI710" s="43">
        <f t="shared" si="147"/>
        <v>1.2576125456754825</v>
      </c>
      <c r="AJ710" s="23" t="s">
        <v>432</v>
      </c>
      <c r="AK710" s="137" t="s">
        <v>432</v>
      </c>
      <c r="AL710" s="600" t="s">
        <v>432</v>
      </c>
      <c r="AM710" s="137" t="s">
        <v>432</v>
      </c>
      <c r="AN710" s="137" t="s">
        <v>432</v>
      </c>
      <c r="AO710" s="137" t="s">
        <v>432</v>
      </c>
      <c r="AP710" s="137" t="s">
        <v>432</v>
      </c>
      <c r="AQ710" s="137" t="s">
        <v>432</v>
      </c>
      <c r="AR710" s="137" t="s">
        <v>432</v>
      </c>
      <c r="AS710" s="137" t="s">
        <v>432</v>
      </c>
      <c r="AT710" s="137" t="s">
        <v>432</v>
      </c>
      <c r="AU710" s="137" t="s">
        <v>432</v>
      </c>
      <c r="AV710" s="137" t="s">
        <v>432</v>
      </c>
      <c r="AW710" s="137" t="s">
        <v>432</v>
      </c>
      <c r="AX710" s="137" t="s">
        <v>432</v>
      </c>
      <c r="AY710" s="137" t="s">
        <v>432</v>
      </c>
      <c r="AZ710" s="137" t="s">
        <v>432</v>
      </c>
      <c r="BA710" s="137" t="s">
        <v>432</v>
      </c>
      <c r="BB710" s="239" t="str">
        <f t="shared" si="139"/>
        <v>Gases de efeito estufaCMMCE</v>
      </c>
      <c r="BC710" s="239" t="str">
        <f t="shared" si="140"/>
        <v>Gases de efeito estufaCMMCEx</v>
      </c>
      <c r="BD710" s="239" t="str">
        <f t="shared" si="141"/>
        <v>Gases de efeito estufax</v>
      </c>
    </row>
    <row r="711" spans="1:56" s="1" customFormat="1" ht="64.5" customHeight="1" x14ac:dyDescent="0.25">
      <c r="A711" s="275" t="str">
        <f>'Q100b-totais'!$B$43</f>
        <v>5.1</v>
      </c>
      <c r="B711" s="1205" t="s">
        <v>643</v>
      </c>
      <c r="C711" s="57" t="s">
        <v>935</v>
      </c>
      <c r="D711" s="377" t="s">
        <v>1225</v>
      </c>
      <c r="E711" s="1513" t="s">
        <v>1306</v>
      </c>
      <c r="F711" s="338" t="s">
        <v>646</v>
      </c>
      <c r="G711" s="408" t="s">
        <v>1236</v>
      </c>
      <c r="H711" s="173" t="s">
        <v>432</v>
      </c>
      <c r="I711" s="57">
        <v>1</v>
      </c>
      <c r="J711" s="109" t="s">
        <v>432</v>
      </c>
      <c r="K711" s="109" t="s">
        <v>432</v>
      </c>
      <c r="L711" s="109" t="s">
        <v>432</v>
      </c>
      <c r="M711" s="109" t="s">
        <v>432</v>
      </c>
      <c r="N711" s="109" t="s">
        <v>432</v>
      </c>
      <c r="O711" s="109" t="s">
        <v>432</v>
      </c>
      <c r="P711" s="109" t="s">
        <v>432</v>
      </c>
      <c r="Q711" s="109" t="s">
        <v>432</v>
      </c>
      <c r="R711" s="109" t="s">
        <v>432</v>
      </c>
      <c r="S711" s="109" t="s">
        <v>2209</v>
      </c>
      <c r="T711" s="109" t="s">
        <v>432</v>
      </c>
      <c r="U711" s="47">
        <f>U709/U687</f>
        <v>0.27356575893598567</v>
      </c>
      <c r="V711" s="109" t="s">
        <v>2209</v>
      </c>
      <c r="W711" s="47">
        <f t="shared" ref="W711:AI711" si="148">W709/W687</f>
        <v>0.29611629986224813</v>
      </c>
      <c r="X711" s="47">
        <f t="shared" si="148"/>
        <v>0.31226927646282948</v>
      </c>
      <c r="Y711" s="47">
        <f t="shared" si="148"/>
        <v>0.32609010132869676</v>
      </c>
      <c r="Z711" s="47">
        <f t="shared" si="148"/>
        <v>0.33026473835551617</v>
      </c>
      <c r="AA711" s="47">
        <f t="shared" si="148"/>
        <v>0.34096436086510257</v>
      </c>
      <c r="AB711" s="47">
        <f t="shared" si="148"/>
        <v>0.33802697826405803</v>
      </c>
      <c r="AC711" s="47">
        <f t="shared" si="148"/>
        <v>0.34392918188999938</v>
      </c>
      <c r="AD711" s="47">
        <f t="shared" si="148"/>
        <v>0.37390163152936645</v>
      </c>
      <c r="AE711" s="47">
        <f t="shared" si="148"/>
        <v>0.35143676336431112</v>
      </c>
      <c r="AF711" s="47">
        <f t="shared" si="148"/>
        <v>0.2909205812053372</v>
      </c>
      <c r="AG711" s="47">
        <f t="shared" si="148"/>
        <v>0.2548445359579864</v>
      </c>
      <c r="AH711" s="47">
        <f t="shared" si="148"/>
        <v>0.25719020708112772</v>
      </c>
      <c r="AI711" s="47">
        <f t="shared" si="148"/>
        <v>0.28614117583294529</v>
      </c>
      <c r="AJ711" s="23" t="s">
        <v>432</v>
      </c>
      <c r="AK711" s="137" t="s">
        <v>432</v>
      </c>
      <c r="AL711" s="600" t="s">
        <v>432</v>
      </c>
      <c r="AM711" s="137" t="s">
        <v>432</v>
      </c>
      <c r="AN711" s="137" t="s">
        <v>432</v>
      </c>
      <c r="AO711" s="137" t="s">
        <v>432</v>
      </c>
      <c r="AP711" s="137" t="s">
        <v>432</v>
      </c>
      <c r="AQ711" s="137" t="s">
        <v>432</v>
      </c>
      <c r="AR711" s="137" t="s">
        <v>432</v>
      </c>
      <c r="AS711" s="137" t="s">
        <v>432</v>
      </c>
      <c r="AT711" s="137" t="s">
        <v>432</v>
      </c>
      <c r="AU711" s="137" t="s">
        <v>432</v>
      </c>
      <c r="AV711" s="137" t="s">
        <v>432</v>
      </c>
      <c r="AW711" s="137" t="s">
        <v>432</v>
      </c>
      <c r="AX711" s="137" t="s">
        <v>432</v>
      </c>
      <c r="AY711" s="137" t="s">
        <v>432</v>
      </c>
      <c r="AZ711" s="137" t="s">
        <v>432</v>
      </c>
      <c r="BA711" s="137" t="s">
        <v>432</v>
      </c>
      <c r="BB711" s="239" t="str">
        <f t="shared" si="139"/>
        <v>Gases de efeito estufaCMMCE</v>
      </c>
      <c r="BC711" s="239" t="str">
        <f t="shared" si="140"/>
        <v>Gases de efeito estufaCMMCEx</v>
      </c>
      <c r="BD711" s="239" t="str">
        <f t="shared" si="141"/>
        <v>Gases de efeito estufax</v>
      </c>
    </row>
    <row r="712" spans="1:56" s="1" customFormat="1" ht="43.5" customHeight="1" x14ac:dyDescent="0.25">
      <c r="A712" s="275" t="str">
        <f>'Q100b-totais'!$B$43</f>
        <v>5.1</v>
      </c>
      <c r="B712" s="1205" t="s">
        <v>643</v>
      </c>
      <c r="C712" s="57" t="s">
        <v>935</v>
      </c>
      <c r="D712" s="325" t="s">
        <v>1226</v>
      </c>
      <c r="E712" s="1512" t="s">
        <v>1306</v>
      </c>
      <c r="F712" s="15" t="s">
        <v>647</v>
      </c>
      <c r="G712" s="408" t="s">
        <v>1237</v>
      </c>
      <c r="H712" s="173" t="s">
        <v>432</v>
      </c>
      <c r="I712" s="57">
        <v>1</v>
      </c>
      <c r="J712" s="109" t="s">
        <v>432</v>
      </c>
      <c r="K712" s="109" t="s">
        <v>432</v>
      </c>
      <c r="L712" s="109" t="s">
        <v>432</v>
      </c>
      <c r="M712" s="109" t="s">
        <v>432</v>
      </c>
      <c r="N712" s="109" t="s">
        <v>432</v>
      </c>
      <c r="O712" s="109" t="s">
        <v>432</v>
      </c>
      <c r="P712" s="109" t="s">
        <v>432</v>
      </c>
      <c r="Q712" s="109" t="s">
        <v>432</v>
      </c>
      <c r="R712" s="109" t="s">
        <v>432</v>
      </c>
      <c r="S712" s="109" t="s">
        <v>2209</v>
      </c>
      <c r="T712" s="109" t="s">
        <v>432</v>
      </c>
      <c r="U712" s="64">
        <f>U709/U1855</f>
        <v>0.31714842713464125</v>
      </c>
      <c r="V712" s="109" t="s">
        <v>2209</v>
      </c>
      <c r="W712" s="64">
        <f t="shared" ref="W712:AI712" si="149">W709/W1855</f>
        <v>0.36014003197517785</v>
      </c>
      <c r="X712" s="64">
        <f t="shared" si="149"/>
        <v>0.39246161469541269</v>
      </c>
      <c r="Y712" s="64">
        <f t="shared" si="149"/>
        <v>0.40765986125495052</v>
      </c>
      <c r="Z712" s="64">
        <f t="shared" si="149"/>
        <v>0.41689866772400158</v>
      </c>
      <c r="AA712" s="64">
        <f t="shared" si="149"/>
        <v>0.43283772479517574</v>
      </c>
      <c r="AB712" s="64">
        <f t="shared" si="149"/>
        <v>0.43982466082202742</v>
      </c>
      <c r="AC712" s="64">
        <f t="shared" si="149"/>
        <v>0.45305036973613483</v>
      </c>
      <c r="AD712" s="64">
        <f t="shared" si="149"/>
        <v>0.52745249609593525</v>
      </c>
      <c r="AE712" s="64">
        <f t="shared" si="149"/>
        <v>0.49669067775359954</v>
      </c>
      <c r="AF712" s="64">
        <f t="shared" si="149"/>
        <v>0.45984234265526697</v>
      </c>
      <c r="AG712" s="64">
        <f t="shared" si="149"/>
        <v>0.423773765552099</v>
      </c>
      <c r="AH712" s="64">
        <f t="shared" si="149"/>
        <v>0.45482490661401515</v>
      </c>
      <c r="AI712" s="64">
        <f t="shared" si="149"/>
        <v>0.50727262835490283</v>
      </c>
      <c r="AJ712" s="23" t="s">
        <v>432</v>
      </c>
      <c r="AK712" s="137" t="s">
        <v>432</v>
      </c>
      <c r="AL712" s="600" t="s">
        <v>432</v>
      </c>
      <c r="AM712" s="137" t="s">
        <v>432</v>
      </c>
      <c r="AN712" s="137" t="s">
        <v>432</v>
      </c>
      <c r="AO712" s="137" t="s">
        <v>432</v>
      </c>
      <c r="AP712" s="137" t="s">
        <v>432</v>
      </c>
      <c r="AQ712" s="137" t="s">
        <v>432</v>
      </c>
      <c r="AR712" s="137" t="s">
        <v>432</v>
      </c>
      <c r="AS712" s="137" t="s">
        <v>432</v>
      </c>
      <c r="AT712" s="137" t="s">
        <v>432</v>
      </c>
      <c r="AU712" s="137" t="s">
        <v>432</v>
      </c>
      <c r="AV712" s="137" t="s">
        <v>432</v>
      </c>
      <c r="AW712" s="137" t="s">
        <v>432</v>
      </c>
      <c r="AX712" s="137" t="s">
        <v>432</v>
      </c>
      <c r="AY712" s="137" t="s">
        <v>432</v>
      </c>
      <c r="AZ712" s="137" t="s">
        <v>432</v>
      </c>
      <c r="BA712" s="137" t="s">
        <v>432</v>
      </c>
      <c r="BB712" s="239" t="str">
        <f t="shared" si="139"/>
        <v>Gases de efeito estufaCMMCE</v>
      </c>
      <c r="BC712" s="239" t="str">
        <f t="shared" si="140"/>
        <v>Gases de efeito estufaCMMCEx</v>
      </c>
      <c r="BD712" s="239" t="str">
        <f t="shared" si="141"/>
        <v>Gases de efeito estufax</v>
      </c>
    </row>
    <row r="713" spans="1:56" s="1" customFormat="1" ht="39.75" x14ac:dyDescent="0.25">
      <c r="A713" s="275" t="str">
        <f>'Q100b-totais'!$B$43</f>
        <v>5.1</v>
      </c>
      <c r="B713" s="1205" t="s">
        <v>643</v>
      </c>
      <c r="C713" s="57" t="s">
        <v>935</v>
      </c>
      <c r="D713" s="377" t="s">
        <v>1208</v>
      </c>
      <c r="E713" s="1513" t="s">
        <v>1306</v>
      </c>
      <c r="F713" s="337" t="s">
        <v>1238</v>
      </c>
      <c r="G713" s="110" t="s">
        <v>77</v>
      </c>
      <c r="H713" s="173" t="s">
        <v>432</v>
      </c>
      <c r="I713" s="57">
        <v>1</v>
      </c>
      <c r="J713" s="109" t="s">
        <v>432</v>
      </c>
      <c r="K713" s="109" t="s">
        <v>432</v>
      </c>
      <c r="L713" s="109" t="s">
        <v>432</v>
      </c>
      <c r="M713" s="109" t="s">
        <v>432</v>
      </c>
      <c r="N713" s="109" t="s">
        <v>432</v>
      </c>
      <c r="O713" s="109" t="s">
        <v>432</v>
      </c>
      <c r="P713" s="109" t="s">
        <v>432</v>
      </c>
      <c r="Q713" s="109" t="s">
        <v>432</v>
      </c>
      <c r="R713" s="109" t="s">
        <v>432</v>
      </c>
      <c r="S713" s="109" t="s">
        <v>2209</v>
      </c>
      <c r="T713" s="109" t="s">
        <v>432</v>
      </c>
      <c r="U713" s="87">
        <v>769983</v>
      </c>
      <c r="V713" s="109" t="s">
        <v>2209</v>
      </c>
      <c r="W713" s="87">
        <v>773195</v>
      </c>
      <c r="X713" s="87">
        <v>776142</v>
      </c>
      <c r="Y713" s="87">
        <v>719243</v>
      </c>
      <c r="Z713" s="87">
        <v>719788</v>
      </c>
      <c r="AA713" s="87">
        <v>697754</v>
      </c>
      <c r="AB713" s="87">
        <v>709576</v>
      </c>
      <c r="AC713" s="335">
        <v>687712</v>
      </c>
      <c r="AD713" s="87">
        <v>619047.06070530927</v>
      </c>
      <c r="AE713" s="87">
        <v>611870.54896031134</v>
      </c>
      <c r="AF713" s="87">
        <v>633016.8527855071</v>
      </c>
      <c r="AG713" s="87">
        <v>640917.74262927647</v>
      </c>
      <c r="AH713" s="87">
        <v>656027.99039288529</v>
      </c>
      <c r="AI713" s="87">
        <v>636088.27732513077</v>
      </c>
      <c r="AJ713" s="84" t="s">
        <v>432</v>
      </c>
      <c r="AK713" s="137" t="s">
        <v>432</v>
      </c>
      <c r="AL713" s="600" t="s">
        <v>432</v>
      </c>
      <c r="AM713" s="137" t="s">
        <v>432</v>
      </c>
      <c r="AN713" s="137" t="s">
        <v>432</v>
      </c>
      <c r="AO713" s="137" t="s">
        <v>432</v>
      </c>
      <c r="AP713" s="137" t="s">
        <v>432</v>
      </c>
      <c r="AQ713" s="137" t="s">
        <v>432</v>
      </c>
      <c r="AR713" s="137" t="s">
        <v>432</v>
      </c>
      <c r="AS713" s="137" t="s">
        <v>432</v>
      </c>
      <c r="AT713" s="137" t="s">
        <v>432</v>
      </c>
      <c r="AU713" s="137" t="s">
        <v>432</v>
      </c>
      <c r="AV713" s="137" t="s">
        <v>432</v>
      </c>
      <c r="AW713" s="137" t="s">
        <v>432</v>
      </c>
      <c r="AX713" s="137" t="s">
        <v>432</v>
      </c>
      <c r="AY713" s="137" t="s">
        <v>432</v>
      </c>
      <c r="AZ713" s="137" t="s">
        <v>432</v>
      </c>
      <c r="BA713" s="137" t="s">
        <v>432</v>
      </c>
      <c r="BB713" s="239" t="str">
        <f t="shared" si="139"/>
        <v>Gases de efeito estufaCMMCE</v>
      </c>
      <c r="BC713" s="239" t="str">
        <f t="shared" si="140"/>
        <v>Gases de efeito estufaCMMCEx</v>
      </c>
      <c r="BD713" s="239" t="str">
        <f t="shared" si="141"/>
        <v>Gases de efeito estufax</v>
      </c>
    </row>
    <row r="714" spans="1:56" s="1" customFormat="1" ht="39.75" x14ac:dyDescent="0.25">
      <c r="A714" s="275" t="str">
        <f>'Q100b-totais'!$B$43</f>
        <v>5.1</v>
      </c>
      <c r="B714" s="1205" t="s">
        <v>643</v>
      </c>
      <c r="C714" s="57" t="s">
        <v>935</v>
      </c>
      <c r="D714" s="377" t="s">
        <v>1209</v>
      </c>
      <c r="E714" s="1513" t="s">
        <v>1306</v>
      </c>
      <c r="F714" s="337" t="s">
        <v>1239</v>
      </c>
      <c r="G714" s="110" t="s">
        <v>77</v>
      </c>
      <c r="H714" s="173" t="s">
        <v>432</v>
      </c>
      <c r="I714" s="57">
        <v>1</v>
      </c>
      <c r="J714" s="109" t="s">
        <v>432</v>
      </c>
      <c r="K714" s="109" t="s">
        <v>432</v>
      </c>
      <c r="L714" s="109" t="s">
        <v>432</v>
      </c>
      <c r="M714" s="109" t="s">
        <v>432</v>
      </c>
      <c r="N714" s="109" t="s">
        <v>432</v>
      </c>
      <c r="O714" s="109" t="s">
        <v>432</v>
      </c>
      <c r="P714" s="109" t="s">
        <v>432</v>
      </c>
      <c r="Q714" s="109" t="s">
        <v>432</v>
      </c>
      <c r="R714" s="109" t="s">
        <v>432</v>
      </c>
      <c r="S714" s="109" t="s">
        <v>2209</v>
      </c>
      <c r="T714" s="109" t="s">
        <v>432</v>
      </c>
      <c r="U714" s="87">
        <v>926482</v>
      </c>
      <c r="V714" s="109" t="s">
        <v>2209</v>
      </c>
      <c r="W714" s="87">
        <v>929642</v>
      </c>
      <c r="X714" s="87">
        <v>932034</v>
      </c>
      <c r="Y714" s="87">
        <v>936821</v>
      </c>
      <c r="Z714" s="87">
        <v>945028</v>
      </c>
      <c r="AA714" s="87">
        <v>960362</v>
      </c>
      <c r="AB714" s="87">
        <v>1015371</v>
      </c>
      <c r="AC714" s="335">
        <v>1030217</v>
      </c>
      <c r="AD714" s="87">
        <v>1079595.2852595428</v>
      </c>
      <c r="AE714" s="87">
        <v>1123208.8264093159</v>
      </c>
      <c r="AF714" s="87">
        <v>1391417.0297706507</v>
      </c>
      <c r="AG714" s="87">
        <v>1516509.5445132949</v>
      </c>
      <c r="AH714" s="87">
        <v>1643931.1508575534</v>
      </c>
      <c r="AI714" s="87">
        <v>1670018.8341378185</v>
      </c>
      <c r="AJ714" s="84" t="s">
        <v>432</v>
      </c>
      <c r="AK714" s="137" t="s">
        <v>432</v>
      </c>
      <c r="AL714" s="600" t="s">
        <v>432</v>
      </c>
      <c r="AM714" s="137" t="s">
        <v>432</v>
      </c>
      <c r="AN714" s="137" t="s">
        <v>432</v>
      </c>
      <c r="AO714" s="137" t="s">
        <v>432</v>
      </c>
      <c r="AP714" s="137" t="s">
        <v>432</v>
      </c>
      <c r="AQ714" s="137" t="s">
        <v>432</v>
      </c>
      <c r="AR714" s="137" t="s">
        <v>432</v>
      </c>
      <c r="AS714" s="137" t="s">
        <v>432</v>
      </c>
      <c r="AT714" s="137" t="s">
        <v>432</v>
      </c>
      <c r="AU714" s="137" t="s">
        <v>432</v>
      </c>
      <c r="AV714" s="137" t="s">
        <v>432</v>
      </c>
      <c r="AW714" s="137" t="s">
        <v>432</v>
      </c>
      <c r="AX714" s="137" t="s">
        <v>432</v>
      </c>
      <c r="AY714" s="137" t="s">
        <v>432</v>
      </c>
      <c r="AZ714" s="137" t="s">
        <v>432</v>
      </c>
      <c r="BA714" s="137" t="s">
        <v>432</v>
      </c>
      <c r="BB714" s="239" t="str">
        <f t="shared" si="139"/>
        <v>Gases de efeito estufaCMMCE</v>
      </c>
      <c r="BC714" s="239" t="str">
        <f t="shared" si="140"/>
        <v>Gases de efeito estufaCMMCEx</v>
      </c>
      <c r="BD714" s="239" t="str">
        <f t="shared" si="141"/>
        <v>Gases de efeito estufax</v>
      </c>
    </row>
    <row r="715" spans="1:56" s="1" customFormat="1" ht="48.75" customHeight="1" x14ac:dyDescent="0.25">
      <c r="A715" s="275" t="str">
        <f>'Q100b-totais'!$B$43</f>
        <v>5.1</v>
      </c>
      <c r="B715" s="1205" t="s">
        <v>643</v>
      </c>
      <c r="C715" s="57" t="s">
        <v>935</v>
      </c>
      <c r="D715" s="377" t="s">
        <v>1210</v>
      </c>
      <c r="E715" s="1513" t="s">
        <v>1306</v>
      </c>
      <c r="F715" s="337" t="s">
        <v>1240</v>
      </c>
      <c r="G715" s="110" t="s">
        <v>77</v>
      </c>
      <c r="H715" s="173" t="s">
        <v>432</v>
      </c>
      <c r="I715" s="57">
        <v>1</v>
      </c>
      <c r="J715" s="109" t="s">
        <v>432</v>
      </c>
      <c r="K715" s="109" t="s">
        <v>432</v>
      </c>
      <c r="L715" s="109" t="s">
        <v>432</v>
      </c>
      <c r="M715" s="109" t="s">
        <v>432</v>
      </c>
      <c r="N715" s="109" t="s">
        <v>432</v>
      </c>
      <c r="O715" s="109" t="s">
        <v>432</v>
      </c>
      <c r="P715" s="109" t="s">
        <v>432</v>
      </c>
      <c r="Q715" s="109" t="s">
        <v>432</v>
      </c>
      <c r="R715" s="109" t="s">
        <v>432</v>
      </c>
      <c r="S715" s="109" t="s">
        <v>2209</v>
      </c>
      <c r="T715" s="109" t="s">
        <v>432</v>
      </c>
      <c r="U715" s="87">
        <v>675</v>
      </c>
      <c r="V715" s="109" t="s">
        <v>2209</v>
      </c>
      <c r="W715" s="87">
        <v>514</v>
      </c>
      <c r="X715" s="87">
        <v>556</v>
      </c>
      <c r="Y715" s="87">
        <v>479</v>
      </c>
      <c r="Z715" s="87">
        <v>493</v>
      </c>
      <c r="AA715" s="87">
        <v>503</v>
      </c>
      <c r="AB715" s="87">
        <v>537</v>
      </c>
      <c r="AC715" s="335">
        <v>931</v>
      </c>
      <c r="AD715" s="87">
        <v>1611.8651783842779</v>
      </c>
      <c r="AE715" s="87">
        <v>2063.6789657818322</v>
      </c>
      <c r="AF715" s="87">
        <v>1350.7096490814779</v>
      </c>
      <c r="AG715" s="87">
        <v>736.59699389933996</v>
      </c>
      <c r="AH715" s="87">
        <v>629.61592816185839</v>
      </c>
      <c r="AI715" s="87">
        <v>843.44652215528049</v>
      </c>
      <c r="AJ715" s="84" t="s">
        <v>432</v>
      </c>
      <c r="AK715" s="137" t="s">
        <v>432</v>
      </c>
      <c r="AL715" s="600" t="s">
        <v>432</v>
      </c>
      <c r="AM715" s="137" t="s">
        <v>432</v>
      </c>
      <c r="AN715" s="137" t="s">
        <v>432</v>
      </c>
      <c r="AO715" s="137" t="s">
        <v>432</v>
      </c>
      <c r="AP715" s="137" t="s">
        <v>432</v>
      </c>
      <c r="AQ715" s="137" t="s">
        <v>432</v>
      </c>
      <c r="AR715" s="137" t="s">
        <v>432</v>
      </c>
      <c r="AS715" s="137" t="s">
        <v>432</v>
      </c>
      <c r="AT715" s="137" t="s">
        <v>432</v>
      </c>
      <c r="AU715" s="137" t="s">
        <v>432</v>
      </c>
      <c r="AV715" s="137" t="s">
        <v>432</v>
      </c>
      <c r="AW715" s="137" t="s">
        <v>432</v>
      </c>
      <c r="AX715" s="137" t="s">
        <v>432</v>
      </c>
      <c r="AY715" s="137" t="s">
        <v>432</v>
      </c>
      <c r="AZ715" s="137" t="s">
        <v>432</v>
      </c>
      <c r="BA715" s="137" t="s">
        <v>432</v>
      </c>
      <c r="BB715" s="239" t="str">
        <f t="shared" si="139"/>
        <v>Gases de efeito estufaCMMCE</v>
      </c>
      <c r="BC715" s="239" t="str">
        <f t="shared" si="140"/>
        <v>Gases de efeito estufaCMMCEx</v>
      </c>
      <c r="BD715" s="239" t="str">
        <f t="shared" si="141"/>
        <v>Gases de efeito estufax</v>
      </c>
    </row>
    <row r="716" spans="1:56" s="1" customFormat="1" ht="47.25" x14ac:dyDescent="0.25">
      <c r="A716" s="275" t="str">
        <f>'Q100b-totais'!$B$43</f>
        <v>5.1</v>
      </c>
      <c r="B716" s="1205" t="s">
        <v>643</v>
      </c>
      <c r="C716" s="57" t="s">
        <v>935</v>
      </c>
      <c r="D716" s="377" t="s">
        <v>1211</v>
      </c>
      <c r="E716" s="1513" t="s">
        <v>1306</v>
      </c>
      <c r="F716" s="337" t="s">
        <v>1227</v>
      </c>
      <c r="G716" s="110" t="s">
        <v>77</v>
      </c>
      <c r="H716" s="173" t="s">
        <v>432</v>
      </c>
      <c r="I716" s="57">
        <v>1</v>
      </c>
      <c r="J716" s="109" t="s">
        <v>432</v>
      </c>
      <c r="K716" s="109" t="s">
        <v>432</v>
      </c>
      <c r="L716" s="109" t="s">
        <v>432</v>
      </c>
      <c r="M716" s="109" t="s">
        <v>432</v>
      </c>
      <c r="N716" s="109" t="s">
        <v>432</v>
      </c>
      <c r="O716" s="109" t="s">
        <v>432</v>
      </c>
      <c r="P716" s="109" t="s">
        <v>432</v>
      </c>
      <c r="Q716" s="109" t="s">
        <v>432</v>
      </c>
      <c r="R716" s="109" t="s">
        <v>432</v>
      </c>
      <c r="S716" s="109" t="s">
        <v>2209</v>
      </c>
      <c r="T716" s="109" t="s">
        <v>432</v>
      </c>
      <c r="U716" s="87">
        <v>33707</v>
      </c>
      <c r="V716" s="109" t="s">
        <v>2209</v>
      </c>
      <c r="W716" s="87">
        <v>52141</v>
      </c>
      <c r="X716" s="87">
        <v>65576</v>
      </c>
      <c r="Y716" s="87">
        <v>73929</v>
      </c>
      <c r="Z716" s="87">
        <v>77109</v>
      </c>
      <c r="AA716" s="87">
        <v>77359</v>
      </c>
      <c r="AB716" s="87">
        <v>67657</v>
      </c>
      <c r="AC716" s="335">
        <v>58310</v>
      </c>
      <c r="AD716" s="87">
        <v>51554.656852498796</v>
      </c>
      <c r="AE716" s="87">
        <v>37240.144425197992</v>
      </c>
      <c r="AF716" s="87">
        <v>30957.434458657201</v>
      </c>
      <c r="AG716" s="87">
        <v>30361.151505016805</v>
      </c>
      <c r="AH716" s="87">
        <v>32769.86506062984</v>
      </c>
      <c r="AI716" s="87">
        <v>30883.91215360464</v>
      </c>
      <c r="AJ716" s="84" t="s">
        <v>432</v>
      </c>
      <c r="AK716" s="137" t="s">
        <v>432</v>
      </c>
      <c r="AL716" s="600" t="s">
        <v>432</v>
      </c>
      <c r="AM716" s="137" t="s">
        <v>432</v>
      </c>
      <c r="AN716" s="137" t="s">
        <v>432</v>
      </c>
      <c r="AO716" s="137" t="s">
        <v>432</v>
      </c>
      <c r="AP716" s="137" t="s">
        <v>432</v>
      </c>
      <c r="AQ716" s="137" t="s">
        <v>432</v>
      </c>
      <c r="AR716" s="137" t="s">
        <v>432</v>
      </c>
      <c r="AS716" s="137" t="s">
        <v>432</v>
      </c>
      <c r="AT716" s="137" t="s">
        <v>432</v>
      </c>
      <c r="AU716" s="137" t="s">
        <v>432</v>
      </c>
      <c r="AV716" s="137" t="s">
        <v>432</v>
      </c>
      <c r="AW716" s="137" t="s">
        <v>432</v>
      </c>
      <c r="AX716" s="137" t="s">
        <v>432</v>
      </c>
      <c r="AY716" s="137" t="s">
        <v>432</v>
      </c>
      <c r="AZ716" s="137" t="s">
        <v>432</v>
      </c>
      <c r="BA716" s="137" t="s">
        <v>432</v>
      </c>
      <c r="BB716" s="239" t="str">
        <f t="shared" si="139"/>
        <v>Gases de efeito estufaCMMCE</v>
      </c>
      <c r="BC716" s="239" t="str">
        <f t="shared" si="140"/>
        <v>Gases de efeito estufaCMMCEx</v>
      </c>
      <c r="BD716" s="239" t="str">
        <f t="shared" si="141"/>
        <v>Gases de efeito estufax</v>
      </c>
    </row>
    <row r="717" spans="1:56" s="1" customFormat="1" ht="58.5" customHeight="1" x14ac:dyDescent="0.25">
      <c r="A717" s="275" t="str">
        <f>'Q100b-totais'!$B$43</f>
        <v>5.1</v>
      </c>
      <c r="B717" s="1205" t="s">
        <v>643</v>
      </c>
      <c r="C717" s="57" t="s">
        <v>935</v>
      </c>
      <c r="D717" s="377" t="s">
        <v>1221</v>
      </c>
      <c r="E717" s="1513" t="s">
        <v>1306</v>
      </c>
      <c r="F717" s="920" t="s">
        <v>1228</v>
      </c>
      <c r="G717" s="58" t="s">
        <v>1212</v>
      </c>
      <c r="H717" s="173" t="s">
        <v>432</v>
      </c>
      <c r="I717" s="57">
        <v>1</v>
      </c>
      <c r="J717" s="109" t="s">
        <v>432</v>
      </c>
      <c r="K717" s="109" t="s">
        <v>432</v>
      </c>
      <c r="L717" s="109" t="s">
        <v>432</v>
      </c>
      <c r="M717" s="109" t="s">
        <v>432</v>
      </c>
      <c r="N717" s="109" t="s">
        <v>432</v>
      </c>
      <c r="O717" s="109" t="s">
        <v>432</v>
      </c>
      <c r="P717" s="109" t="s">
        <v>432</v>
      </c>
      <c r="Q717" s="109" t="s">
        <v>432</v>
      </c>
      <c r="R717" s="109" t="s">
        <v>432</v>
      </c>
      <c r="S717" s="109" t="s">
        <v>2209</v>
      </c>
      <c r="T717" s="109" t="s">
        <v>432</v>
      </c>
      <c r="U717" s="67">
        <f>SUM(U713:U716)</f>
        <v>1730847</v>
      </c>
      <c r="V717" s="109" t="s">
        <v>2209</v>
      </c>
      <c r="W717" s="67">
        <f t="shared" ref="W717:AI717" si="150">SUM(W713:W716)</f>
        <v>1755492</v>
      </c>
      <c r="X717" s="67">
        <f t="shared" si="150"/>
        <v>1774308</v>
      </c>
      <c r="Y717" s="67">
        <f t="shared" si="150"/>
        <v>1730472</v>
      </c>
      <c r="Z717" s="67">
        <f t="shared" si="150"/>
        <v>1742418</v>
      </c>
      <c r="AA717" s="67">
        <f t="shared" si="150"/>
        <v>1735978</v>
      </c>
      <c r="AB717" s="67">
        <f t="shared" si="150"/>
        <v>1793141</v>
      </c>
      <c r="AC717" s="67">
        <f t="shared" si="150"/>
        <v>1777170</v>
      </c>
      <c r="AD717" s="20">
        <f t="shared" si="150"/>
        <v>1751808.8679957353</v>
      </c>
      <c r="AE717" s="20">
        <f t="shared" si="150"/>
        <v>1774383.198760607</v>
      </c>
      <c r="AF717" s="20">
        <f t="shared" si="150"/>
        <v>2056742.0266638964</v>
      </c>
      <c r="AG717" s="20">
        <f t="shared" si="150"/>
        <v>2188525.0356414877</v>
      </c>
      <c r="AH717" s="20">
        <f t="shared" si="150"/>
        <v>2333358.6222392302</v>
      </c>
      <c r="AI717" s="20">
        <f t="shared" si="150"/>
        <v>2337834.4701387091</v>
      </c>
      <c r="AJ717" s="23" t="s">
        <v>432</v>
      </c>
      <c r="AK717" s="137" t="s">
        <v>432</v>
      </c>
      <c r="AL717" s="600" t="s">
        <v>432</v>
      </c>
      <c r="AM717" s="137" t="s">
        <v>432</v>
      </c>
      <c r="AN717" s="137" t="s">
        <v>432</v>
      </c>
      <c r="AO717" s="137" t="s">
        <v>432</v>
      </c>
      <c r="AP717" s="137" t="s">
        <v>432</v>
      </c>
      <c r="AQ717" s="137" t="s">
        <v>432</v>
      </c>
      <c r="AR717" s="137" t="s">
        <v>432</v>
      </c>
      <c r="AS717" s="137" t="s">
        <v>432</v>
      </c>
      <c r="AT717" s="137" t="s">
        <v>432</v>
      </c>
      <c r="AU717" s="137" t="s">
        <v>432</v>
      </c>
      <c r="AV717" s="137" t="s">
        <v>432</v>
      </c>
      <c r="AW717" s="137" t="s">
        <v>432</v>
      </c>
      <c r="AX717" s="137" t="s">
        <v>432</v>
      </c>
      <c r="AY717" s="137" t="s">
        <v>432</v>
      </c>
      <c r="AZ717" s="137" t="s">
        <v>432</v>
      </c>
      <c r="BA717" s="137" t="s">
        <v>432</v>
      </c>
      <c r="BB717" s="239" t="str">
        <f t="shared" si="139"/>
        <v>Gases de efeito estufaCMMCE</v>
      </c>
      <c r="BC717" s="239" t="str">
        <f t="shared" si="140"/>
        <v>Gases de efeito estufaCMMCEx</v>
      </c>
      <c r="BD717" s="239" t="str">
        <f t="shared" si="141"/>
        <v>Gases de efeito estufax</v>
      </c>
    </row>
    <row r="718" spans="1:56" s="1" customFormat="1" ht="58.5" customHeight="1" x14ac:dyDescent="0.25">
      <c r="A718" s="275" t="str">
        <f>'Q100b-totais'!$B$43</f>
        <v>5.1</v>
      </c>
      <c r="B718" s="1205" t="s">
        <v>643</v>
      </c>
      <c r="C718" s="57" t="s">
        <v>935</v>
      </c>
      <c r="D718" s="377" t="s">
        <v>1222</v>
      </c>
      <c r="E718" s="1513" t="s">
        <v>1306</v>
      </c>
      <c r="F718" s="337" t="s">
        <v>1229</v>
      </c>
      <c r="G718" s="111" t="s">
        <v>1223</v>
      </c>
      <c r="H718" s="173" t="s">
        <v>432</v>
      </c>
      <c r="I718" s="57">
        <v>1</v>
      </c>
      <c r="J718" s="109" t="s">
        <v>432</v>
      </c>
      <c r="K718" s="109" t="s">
        <v>432</v>
      </c>
      <c r="L718" s="109" t="s">
        <v>432</v>
      </c>
      <c r="M718" s="109" t="s">
        <v>432</v>
      </c>
      <c r="N718" s="109" t="s">
        <v>432</v>
      </c>
      <c r="O718" s="109" t="s">
        <v>432</v>
      </c>
      <c r="P718" s="109" t="s">
        <v>432</v>
      </c>
      <c r="Q718" s="109" t="s">
        <v>432</v>
      </c>
      <c r="R718" s="109" t="s">
        <v>432</v>
      </c>
      <c r="S718" s="109" t="s">
        <v>2209</v>
      </c>
      <c r="T718" s="109" t="s">
        <v>432</v>
      </c>
      <c r="U718" s="43">
        <f>U717/1000000</f>
        <v>1.730847</v>
      </c>
      <c r="V718" s="109" t="s">
        <v>2209</v>
      </c>
      <c r="W718" s="43">
        <f t="shared" ref="W718:AI718" si="151">W717/1000000</f>
        <v>1.7554920000000001</v>
      </c>
      <c r="X718" s="43">
        <f t="shared" si="151"/>
        <v>1.774308</v>
      </c>
      <c r="Y718" s="43">
        <f t="shared" si="151"/>
        <v>1.730472</v>
      </c>
      <c r="Z718" s="43">
        <f t="shared" si="151"/>
        <v>1.742418</v>
      </c>
      <c r="AA718" s="43">
        <f t="shared" si="151"/>
        <v>1.735978</v>
      </c>
      <c r="AB718" s="43">
        <f t="shared" si="151"/>
        <v>1.7931410000000001</v>
      </c>
      <c r="AC718" s="43">
        <f t="shared" si="151"/>
        <v>1.7771699999999999</v>
      </c>
      <c r="AD718" s="43">
        <f t="shared" si="151"/>
        <v>1.7518088679957353</v>
      </c>
      <c r="AE718" s="43">
        <f t="shared" si="151"/>
        <v>1.7743831987606071</v>
      </c>
      <c r="AF718" s="43">
        <f t="shared" si="151"/>
        <v>2.0567420266638963</v>
      </c>
      <c r="AG718" s="43">
        <f t="shared" si="151"/>
        <v>2.1885250356414878</v>
      </c>
      <c r="AH718" s="43">
        <f t="shared" si="151"/>
        <v>2.3333586222392304</v>
      </c>
      <c r="AI718" s="43">
        <f t="shared" si="151"/>
        <v>2.3378344701387093</v>
      </c>
      <c r="AJ718" s="23" t="s">
        <v>432</v>
      </c>
      <c r="AK718" s="137" t="s">
        <v>432</v>
      </c>
      <c r="AL718" s="600" t="s">
        <v>432</v>
      </c>
      <c r="AM718" s="137" t="s">
        <v>432</v>
      </c>
      <c r="AN718" s="137" t="s">
        <v>432</v>
      </c>
      <c r="AO718" s="137" t="s">
        <v>432</v>
      </c>
      <c r="AP718" s="137" t="s">
        <v>432</v>
      </c>
      <c r="AQ718" s="137" t="s">
        <v>432</v>
      </c>
      <c r="AR718" s="137" t="s">
        <v>432</v>
      </c>
      <c r="AS718" s="137" t="s">
        <v>432</v>
      </c>
      <c r="AT718" s="137" t="s">
        <v>432</v>
      </c>
      <c r="AU718" s="137" t="s">
        <v>432</v>
      </c>
      <c r="AV718" s="137" t="s">
        <v>432</v>
      </c>
      <c r="AW718" s="137" t="s">
        <v>432</v>
      </c>
      <c r="AX718" s="137" t="s">
        <v>432</v>
      </c>
      <c r="AY718" s="137" t="s">
        <v>432</v>
      </c>
      <c r="AZ718" s="137" t="s">
        <v>432</v>
      </c>
      <c r="BA718" s="137" t="s">
        <v>432</v>
      </c>
      <c r="BB718" s="239" t="str">
        <f t="shared" si="139"/>
        <v>Gases de efeito estufaCMMCE</v>
      </c>
      <c r="BC718" s="239" t="str">
        <f t="shared" si="140"/>
        <v>Gases de efeito estufaCMMCEx</v>
      </c>
      <c r="BD718" s="239" t="str">
        <f t="shared" si="141"/>
        <v>Gases de efeito estufax</v>
      </c>
    </row>
    <row r="719" spans="1:56" s="1" customFormat="1" ht="51" customHeight="1" x14ac:dyDescent="0.25">
      <c r="A719" s="275" t="str">
        <f>'Q100b-totais'!$B$43</f>
        <v>5.1</v>
      </c>
      <c r="B719" s="1205" t="s">
        <v>643</v>
      </c>
      <c r="C719" s="57" t="s">
        <v>935</v>
      </c>
      <c r="D719" s="377" t="s">
        <v>162</v>
      </c>
      <c r="E719" s="1513" t="s">
        <v>1306</v>
      </c>
      <c r="F719" s="338" t="s">
        <v>1230</v>
      </c>
      <c r="G719" s="408" t="s">
        <v>648</v>
      </c>
      <c r="H719" s="173" t="s">
        <v>432</v>
      </c>
      <c r="I719" s="157">
        <v>1</v>
      </c>
      <c r="J719" s="109" t="s">
        <v>432</v>
      </c>
      <c r="K719" s="109" t="s">
        <v>432</v>
      </c>
      <c r="L719" s="109" t="s">
        <v>432</v>
      </c>
      <c r="M719" s="109" t="s">
        <v>432</v>
      </c>
      <c r="N719" s="109" t="s">
        <v>432</v>
      </c>
      <c r="O719" s="109" t="s">
        <v>432</v>
      </c>
      <c r="P719" s="109" t="s">
        <v>432</v>
      </c>
      <c r="Q719" s="109" t="s">
        <v>432</v>
      </c>
      <c r="R719" s="109" t="s">
        <v>432</v>
      </c>
      <c r="S719" s="109" t="s">
        <v>2209</v>
      </c>
      <c r="T719" s="109" t="s">
        <v>432</v>
      </c>
      <c r="U719" s="47">
        <f>U717/U687</f>
        <v>0.66695374029970489</v>
      </c>
      <c r="V719" s="109" t="s">
        <v>2209</v>
      </c>
      <c r="W719" s="47">
        <f t="shared" ref="W719:AI719" si="152">W717/W687</f>
        <v>0.639065325842893</v>
      </c>
      <c r="X719" s="47">
        <f t="shared" si="152"/>
        <v>0.61798225159353581</v>
      </c>
      <c r="Y719" s="47">
        <f t="shared" si="152"/>
        <v>0.60031658930014198</v>
      </c>
      <c r="Z719" s="47">
        <f t="shared" si="152"/>
        <v>0.58723504931995485</v>
      </c>
      <c r="AA719" s="47">
        <f t="shared" si="152"/>
        <v>0.57571073485299462</v>
      </c>
      <c r="AB719" s="47">
        <f t="shared" si="152"/>
        <v>0.57423473946267645</v>
      </c>
      <c r="AC719" s="47">
        <f t="shared" si="152"/>
        <v>0.55912064430209263</v>
      </c>
      <c r="AD719" s="47">
        <f t="shared" si="152"/>
        <v>0.51006511182519432</v>
      </c>
      <c r="AE719" s="47">
        <f t="shared" si="152"/>
        <v>0.51189261490835669</v>
      </c>
      <c r="AF719" s="47">
        <f t="shared" si="152"/>
        <v>0.54784043672284155</v>
      </c>
      <c r="AG719" s="47">
        <f t="shared" si="152"/>
        <v>0.55168080066210234</v>
      </c>
      <c r="AH719" s="47">
        <f t="shared" si="152"/>
        <v>0.55073647410862192</v>
      </c>
      <c r="AI719" s="47">
        <f t="shared" si="152"/>
        <v>0.53192114414617053</v>
      </c>
      <c r="AJ719" s="23" t="s">
        <v>432</v>
      </c>
      <c r="AK719" s="137" t="s">
        <v>432</v>
      </c>
      <c r="AL719" s="600" t="s">
        <v>432</v>
      </c>
      <c r="AM719" s="137" t="s">
        <v>432</v>
      </c>
      <c r="AN719" s="137" t="s">
        <v>432</v>
      </c>
      <c r="AO719" s="137" t="s">
        <v>432</v>
      </c>
      <c r="AP719" s="137" t="s">
        <v>432</v>
      </c>
      <c r="AQ719" s="137" t="s">
        <v>432</v>
      </c>
      <c r="AR719" s="137" t="s">
        <v>432</v>
      </c>
      <c r="AS719" s="137" t="s">
        <v>432</v>
      </c>
      <c r="AT719" s="137" t="s">
        <v>432</v>
      </c>
      <c r="AU719" s="137" t="s">
        <v>432</v>
      </c>
      <c r="AV719" s="137" t="s">
        <v>432</v>
      </c>
      <c r="AW719" s="137" t="s">
        <v>432</v>
      </c>
      <c r="AX719" s="137" t="s">
        <v>432</v>
      </c>
      <c r="AY719" s="137" t="s">
        <v>432</v>
      </c>
      <c r="AZ719" s="137" t="s">
        <v>432</v>
      </c>
      <c r="BA719" s="137" t="s">
        <v>432</v>
      </c>
      <c r="BB719" s="239" t="str">
        <f t="shared" si="139"/>
        <v>Gases de efeito estufaCMMCE</v>
      </c>
      <c r="BC719" s="239" t="str">
        <f t="shared" si="140"/>
        <v>Gases de efeito estufaCMMCEx</v>
      </c>
      <c r="BD719" s="239" t="str">
        <f t="shared" si="141"/>
        <v>Gases de efeito estufax</v>
      </c>
    </row>
    <row r="720" spans="1:56" s="1" customFormat="1" ht="31.5" x14ac:dyDescent="0.25">
      <c r="A720" s="275" t="str">
        <f>'Q100b-totais'!$B$43</f>
        <v>5.1</v>
      </c>
      <c r="B720" s="1205" t="s">
        <v>643</v>
      </c>
      <c r="C720" s="57" t="s">
        <v>935</v>
      </c>
      <c r="D720" s="325" t="s">
        <v>163</v>
      </c>
      <c r="E720" s="1512" t="s">
        <v>1306</v>
      </c>
      <c r="F720" s="15" t="s">
        <v>1231</v>
      </c>
      <c r="G720" s="425" t="s">
        <v>645</v>
      </c>
      <c r="H720" s="173" t="s">
        <v>432</v>
      </c>
      <c r="I720" s="157">
        <v>1</v>
      </c>
      <c r="J720" s="109" t="s">
        <v>432</v>
      </c>
      <c r="K720" s="109" t="s">
        <v>432</v>
      </c>
      <c r="L720" s="109" t="s">
        <v>432</v>
      </c>
      <c r="M720" s="109" t="s">
        <v>432</v>
      </c>
      <c r="N720" s="109" t="s">
        <v>432</v>
      </c>
      <c r="O720" s="109" t="s">
        <v>432</v>
      </c>
      <c r="P720" s="109" t="s">
        <v>432</v>
      </c>
      <c r="Q720" s="109" t="s">
        <v>432</v>
      </c>
      <c r="R720" s="109" t="s">
        <v>432</v>
      </c>
      <c r="S720" s="109" t="s">
        <v>2209</v>
      </c>
      <c r="T720" s="109" t="s">
        <v>432</v>
      </c>
      <c r="U720" s="64">
        <f>U717/U1855</f>
        <v>0.77320835228181406</v>
      </c>
      <c r="V720" s="109" t="s">
        <v>2209</v>
      </c>
      <c r="W720" s="64">
        <f t="shared" ref="W720:AI720" si="153">W717/W1855</f>
        <v>0.77723856130295088</v>
      </c>
      <c r="X720" s="64">
        <f t="shared" si="153"/>
        <v>0.7766832365347206</v>
      </c>
      <c r="Y720" s="64">
        <f t="shared" si="153"/>
        <v>0.75048269329849959</v>
      </c>
      <c r="Z720" s="64">
        <f t="shared" si="153"/>
        <v>0.74127656171029588</v>
      </c>
      <c r="AA720" s="64">
        <f t="shared" si="153"/>
        <v>0.73083686512478907</v>
      </c>
      <c r="AB720" s="64">
        <f t="shared" si="153"/>
        <v>0.74716698889962996</v>
      </c>
      <c r="AC720" s="64">
        <f t="shared" si="153"/>
        <v>0.73651736452298588</v>
      </c>
      <c r="AD720" s="64">
        <f t="shared" si="153"/>
        <v>0.71953448104310003</v>
      </c>
      <c r="AE720" s="64">
        <f t="shared" si="153"/>
        <v>0.72346526129461186</v>
      </c>
      <c r="AF720" s="64">
        <f t="shared" si="153"/>
        <v>0.86594158715125746</v>
      </c>
      <c r="AG720" s="64">
        <f t="shared" si="153"/>
        <v>0.91737438827379136</v>
      </c>
      <c r="AH720" s="64">
        <f t="shared" si="153"/>
        <v>0.97394324709405489</v>
      </c>
      <c r="AI720" s="64">
        <f t="shared" si="153"/>
        <v>0.94299268912666523</v>
      </c>
      <c r="AJ720" s="23" t="s">
        <v>432</v>
      </c>
      <c r="AK720" s="137" t="s">
        <v>432</v>
      </c>
      <c r="AL720" s="600" t="s">
        <v>432</v>
      </c>
      <c r="AM720" s="137" t="s">
        <v>432</v>
      </c>
      <c r="AN720" s="137" t="s">
        <v>432</v>
      </c>
      <c r="AO720" s="137" t="s">
        <v>432</v>
      </c>
      <c r="AP720" s="137" t="s">
        <v>432</v>
      </c>
      <c r="AQ720" s="137" t="s">
        <v>432</v>
      </c>
      <c r="AR720" s="137" t="s">
        <v>432</v>
      </c>
      <c r="AS720" s="137" t="s">
        <v>432</v>
      </c>
      <c r="AT720" s="137" t="s">
        <v>432</v>
      </c>
      <c r="AU720" s="137" t="s">
        <v>432</v>
      </c>
      <c r="AV720" s="137" t="s">
        <v>432</v>
      </c>
      <c r="AW720" s="137" t="s">
        <v>432</v>
      </c>
      <c r="AX720" s="137" t="s">
        <v>432</v>
      </c>
      <c r="AY720" s="137" t="s">
        <v>432</v>
      </c>
      <c r="AZ720" s="137" t="s">
        <v>432</v>
      </c>
      <c r="BA720" s="137" t="s">
        <v>432</v>
      </c>
      <c r="BB720" s="239" t="str">
        <f t="shared" si="139"/>
        <v>Gases de efeito estufaCMMCE</v>
      </c>
      <c r="BC720" s="239" t="str">
        <f t="shared" si="140"/>
        <v>Gases de efeito estufaCMMCEx</v>
      </c>
      <c r="BD720" s="239" t="str">
        <f t="shared" si="141"/>
        <v>Gases de efeito estufax</v>
      </c>
    </row>
    <row r="721" spans="1:56" s="3" customFormat="1" x14ac:dyDescent="0.25">
      <c r="A721" s="402"/>
      <c r="B721" s="399"/>
      <c r="C721" s="399"/>
      <c r="D721" s="959"/>
      <c r="E721" s="1493"/>
      <c r="F721" s="221"/>
      <c r="G721" s="221"/>
      <c r="H721" s="221"/>
      <c r="I721" s="399"/>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c r="AI721" s="221"/>
      <c r="AJ721" s="221"/>
      <c r="AK721" s="223"/>
      <c r="AL721" s="600" t="s">
        <v>432</v>
      </c>
      <c r="AM721" s="223"/>
      <c r="AN721" s="223"/>
      <c r="AO721" s="223"/>
      <c r="AP721" s="223"/>
      <c r="AQ721" s="223"/>
      <c r="AR721" s="223"/>
      <c r="AS721" s="223"/>
      <c r="AT721" s="223"/>
      <c r="AU721" s="223"/>
      <c r="AV721" s="223"/>
      <c r="AW721" s="137" t="s">
        <v>432</v>
      </c>
      <c r="AX721" s="223"/>
      <c r="AY721" s="223"/>
      <c r="AZ721" s="223"/>
      <c r="BA721" s="223"/>
      <c r="BB721" s="400"/>
      <c r="BC721" s="400"/>
      <c r="BD721" s="400"/>
    </row>
    <row r="722" spans="1:56" s="1" customFormat="1" ht="25.5" customHeight="1" x14ac:dyDescent="0.25">
      <c r="A722" s="262" t="s">
        <v>432</v>
      </c>
      <c r="B722" s="252" t="s">
        <v>742</v>
      </c>
      <c r="C722" s="167" t="s">
        <v>432</v>
      </c>
      <c r="D722" s="324" t="s">
        <v>689</v>
      </c>
      <c r="E722" s="1496" t="s">
        <v>432</v>
      </c>
      <c r="F722" s="164" t="s">
        <v>2046</v>
      </c>
      <c r="G722" s="167" t="s">
        <v>3879</v>
      </c>
      <c r="H722" s="167" t="s">
        <v>432</v>
      </c>
      <c r="I722" s="167" t="s">
        <v>432</v>
      </c>
      <c r="J722" s="154" t="s">
        <v>432</v>
      </c>
      <c r="K722" s="154" t="s">
        <v>432</v>
      </c>
      <c r="L722" s="154" t="s">
        <v>432</v>
      </c>
      <c r="M722" s="154" t="s">
        <v>432</v>
      </c>
      <c r="N722" s="154" t="s">
        <v>432</v>
      </c>
      <c r="O722" s="154" t="s">
        <v>432</v>
      </c>
      <c r="P722" s="154" t="s">
        <v>432</v>
      </c>
      <c r="Q722" s="154" t="s">
        <v>432</v>
      </c>
      <c r="R722" s="154" t="s">
        <v>432</v>
      </c>
      <c r="S722" s="109" t="s">
        <v>2209</v>
      </c>
      <c r="T722" s="154" t="s">
        <v>432</v>
      </c>
      <c r="U722" s="154" t="s">
        <v>432</v>
      </c>
      <c r="V722" s="109" t="s">
        <v>2209</v>
      </c>
      <c r="W722" s="154" t="s">
        <v>432</v>
      </c>
      <c r="X722" s="154" t="s">
        <v>432</v>
      </c>
      <c r="Y722" s="154" t="s">
        <v>432</v>
      </c>
      <c r="Z722" s="154" t="s">
        <v>432</v>
      </c>
      <c r="AA722" s="154" t="s">
        <v>432</v>
      </c>
      <c r="AB722" s="154" t="s">
        <v>432</v>
      </c>
      <c r="AC722" s="154" t="s">
        <v>432</v>
      </c>
      <c r="AD722" s="154" t="s">
        <v>432</v>
      </c>
      <c r="AE722" s="154" t="s">
        <v>432</v>
      </c>
      <c r="AF722" s="154" t="s">
        <v>432</v>
      </c>
      <c r="AG722" s="154" t="s">
        <v>432</v>
      </c>
      <c r="AH722" s="154" t="s">
        <v>432</v>
      </c>
      <c r="AI722" s="154" t="s">
        <v>432</v>
      </c>
      <c r="AJ722" s="154" t="s">
        <v>432</v>
      </c>
      <c r="AK722" s="137" t="s">
        <v>432</v>
      </c>
      <c r="AL722" s="600" t="s">
        <v>432</v>
      </c>
      <c r="AM722" s="137" t="s">
        <v>432</v>
      </c>
      <c r="AN722" s="137" t="s">
        <v>432</v>
      </c>
      <c r="AO722" s="137" t="s">
        <v>432</v>
      </c>
      <c r="AP722" s="137" t="s">
        <v>432</v>
      </c>
      <c r="AQ722" s="137" t="s">
        <v>432</v>
      </c>
      <c r="AR722" s="137" t="s">
        <v>432</v>
      </c>
      <c r="AS722" s="137" t="s">
        <v>432</v>
      </c>
      <c r="AT722" s="137" t="s">
        <v>432</v>
      </c>
      <c r="AU722" s="137" t="s">
        <v>432</v>
      </c>
      <c r="AV722" s="137" t="s">
        <v>432</v>
      </c>
      <c r="AW722" s="137" t="s">
        <v>432</v>
      </c>
      <c r="AX722" s="137" t="s">
        <v>432</v>
      </c>
      <c r="AY722" s="137" t="s">
        <v>432</v>
      </c>
      <c r="AZ722" s="137" t="s">
        <v>432</v>
      </c>
      <c r="BA722" s="137" t="s">
        <v>432</v>
      </c>
      <c r="BB722" s="239" t="str">
        <f t="shared" ref="BB722:BB761" si="154">B722&amp;C722</f>
        <v>geralx</v>
      </c>
      <c r="BC722" s="239" t="str">
        <f t="shared" ref="BC722:BC761" si="155">B722&amp;C722&amp;H722</f>
        <v>geralxx</v>
      </c>
      <c r="BD722" s="239" t="str">
        <f t="shared" ref="BD722:BD761" si="156">B722&amp;H722</f>
        <v>geralx</v>
      </c>
    </row>
    <row r="723" spans="1:56" s="1" customFormat="1" ht="25.5" customHeight="1" x14ac:dyDescent="0.25">
      <c r="A723" s="262" t="s">
        <v>432</v>
      </c>
      <c r="B723" s="252" t="s">
        <v>742</v>
      </c>
      <c r="C723" s="167" t="s">
        <v>432</v>
      </c>
      <c r="D723" s="324" t="s">
        <v>164</v>
      </c>
      <c r="E723" s="1496" t="s">
        <v>432</v>
      </c>
      <c r="F723" s="11" t="s">
        <v>903</v>
      </c>
      <c r="G723" s="167" t="s">
        <v>3879</v>
      </c>
      <c r="H723" s="167" t="s">
        <v>432</v>
      </c>
      <c r="I723" s="167" t="s">
        <v>432</v>
      </c>
      <c r="J723" s="107" t="s">
        <v>432</v>
      </c>
      <c r="K723" s="107" t="s">
        <v>432</v>
      </c>
      <c r="L723" s="107" t="s">
        <v>432</v>
      </c>
      <c r="M723" s="107" t="s">
        <v>432</v>
      </c>
      <c r="N723" s="107" t="s">
        <v>432</v>
      </c>
      <c r="O723" s="107" t="s">
        <v>432</v>
      </c>
      <c r="P723" s="107" t="s">
        <v>432</v>
      </c>
      <c r="Q723" s="107" t="s">
        <v>432</v>
      </c>
      <c r="R723" s="107" t="s">
        <v>432</v>
      </c>
      <c r="S723" s="109" t="s">
        <v>2209</v>
      </c>
      <c r="T723" s="107" t="s">
        <v>432</v>
      </c>
      <c r="U723" s="107" t="s">
        <v>432</v>
      </c>
      <c r="V723" s="109" t="s">
        <v>2209</v>
      </c>
      <c r="W723" s="107" t="s">
        <v>432</v>
      </c>
      <c r="X723" s="107" t="s">
        <v>432</v>
      </c>
      <c r="Y723" s="107" t="s">
        <v>432</v>
      </c>
      <c r="Z723" s="107" t="s">
        <v>432</v>
      </c>
      <c r="AA723" s="107" t="s">
        <v>432</v>
      </c>
      <c r="AB723" s="107" t="s">
        <v>432</v>
      </c>
      <c r="AC723" s="107" t="s">
        <v>432</v>
      </c>
      <c r="AD723" s="107" t="s">
        <v>432</v>
      </c>
      <c r="AE723" s="107" t="s">
        <v>432</v>
      </c>
      <c r="AF723" s="107" t="s">
        <v>432</v>
      </c>
      <c r="AG723" s="107" t="s">
        <v>432</v>
      </c>
      <c r="AH723" s="107" t="s">
        <v>432</v>
      </c>
      <c r="AI723" s="107" t="s">
        <v>432</v>
      </c>
      <c r="AJ723" s="107" t="s">
        <v>432</v>
      </c>
      <c r="AK723" s="137" t="s">
        <v>432</v>
      </c>
      <c r="AL723" s="600" t="s">
        <v>432</v>
      </c>
      <c r="AM723" s="137" t="s">
        <v>432</v>
      </c>
      <c r="AN723" s="137" t="s">
        <v>432</v>
      </c>
      <c r="AO723" s="137" t="s">
        <v>432</v>
      </c>
      <c r="AP723" s="137" t="s">
        <v>432</v>
      </c>
      <c r="AQ723" s="137" t="s">
        <v>432</v>
      </c>
      <c r="AR723" s="137" t="s">
        <v>432</v>
      </c>
      <c r="AS723" s="137" t="s">
        <v>432</v>
      </c>
      <c r="AT723" s="137" t="s">
        <v>432</v>
      </c>
      <c r="AU723" s="137" t="s">
        <v>432</v>
      </c>
      <c r="AV723" s="137" t="s">
        <v>432</v>
      </c>
      <c r="AW723" s="137" t="s">
        <v>432</v>
      </c>
      <c r="AX723" s="137" t="s">
        <v>432</v>
      </c>
      <c r="AY723" s="137" t="s">
        <v>432</v>
      </c>
      <c r="AZ723" s="137" t="s">
        <v>432</v>
      </c>
      <c r="BA723" s="137" t="s">
        <v>432</v>
      </c>
      <c r="BB723" s="239" t="str">
        <f t="shared" si="154"/>
        <v>geralx</v>
      </c>
      <c r="BC723" s="239" t="str">
        <f t="shared" si="155"/>
        <v>geralxx</v>
      </c>
      <c r="BD723" s="239" t="str">
        <f t="shared" si="156"/>
        <v>geralx</v>
      </c>
    </row>
    <row r="724" spans="1:56" s="1" customFormat="1" ht="63" customHeight="1" x14ac:dyDescent="0.25">
      <c r="A724" s="275" t="str">
        <f>'Q100b-totais'!$B$10</f>
        <v>1.1</v>
      </c>
      <c r="B724" s="252" t="str">
        <f>'Q100b-totais'!$C$10</f>
        <v>Ações educativas</v>
      </c>
      <c r="C724" s="167" t="s">
        <v>432</v>
      </c>
      <c r="D724" s="324" t="s">
        <v>165</v>
      </c>
      <c r="E724" s="1512" t="s">
        <v>1306</v>
      </c>
      <c r="F724" s="12" t="s">
        <v>4134</v>
      </c>
      <c r="G724" s="110" t="s">
        <v>77</v>
      </c>
      <c r="H724" s="167" t="s">
        <v>432</v>
      </c>
      <c r="I724" s="167">
        <v>1</v>
      </c>
      <c r="J724" s="107" t="s">
        <v>432</v>
      </c>
      <c r="K724" s="93" t="s">
        <v>432</v>
      </c>
      <c r="L724" s="93" t="s">
        <v>432</v>
      </c>
      <c r="M724" s="93" t="s">
        <v>432</v>
      </c>
      <c r="N724" s="93" t="s">
        <v>432</v>
      </c>
      <c r="O724" s="93" t="s">
        <v>432</v>
      </c>
      <c r="P724" s="93" t="s">
        <v>432</v>
      </c>
      <c r="Q724" s="93" t="s">
        <v>432</v>
      </c>
      <c r="R724" s="93" t="s">
        <v>432</v>
      </c>
      <c r="S724" s="109" t="s">
        <v>2209</v>
      </c>
      <c r="T724" s="93" t="s">
        <v>432</v>
      </c>
      <c r="U724" s="93" t="s">
        <v>432</v>
      </c>
      <c r="V724" s="109" t="s">
        <v>2209</v>
      </c>
      <c r="W724" s="93" t="s">
        <v>432</v>
      </c>
      <c r="X724" s="93" t="s">
        <v>432</v>
      </c>
      <c r="Y724" s="93" t="s">
        <v>432</v>
      </c>
      <c r="Z724" s="93" t="s">
        <v>432</v>
      </c>
      <c r="AA724" s="87" t="s">
        <v>432</v>
      </c>
      <c r="AB724" s="87" t="s">
        <v>432</v>
      </c>
      <c r="AC724" s="87" t="s">
        <v>432</v>
      </c>
      <c r="AD724" s="87" t="s">
        <v>432</v>
      </c>
      <c r="AE724" s="87" t="s">
        <v>432</v>
      </c>
      <c r="AF724" s="87">
        <v>4</v>
      </c>
      <c r="AG724" s="87">
        <v>53</v>
      </c>
      <c r="AH724" s="87">
        <v>73</v>
      </c>
      <c r="AI724" s="87">
        <v>168</v>
      </c>
      <c r="AJ724" s="1310">
        <v>168</v>
      </c>
      <c r="AK724" s="84">
        <v>227</v>
      </c>
      <c r="AL724" s="600" t="s">
        <v>432</v>
      </c>
      <c r="AM724" s="137" t="s">
        <v>432</v>
      </c>
      <c r="AN724" s="137" t="s">
        <v>432</v>
      </c>
      <c r="AO724" s="137" t="s">
        <v>432</v>
      </c>
      <c r="AP724" s="137" t="s">
        <v>432</v>
      </c>
      <c r="AQ724" s="137" t="s">
        <v>432</v>
      </c>
      <c r="AR724" s="137" t="s">
        <v>432</v>
      </c>
      <c r="AS724" s="137" t="s">
        <v>432</v>
      </c>
      <c r="AT724" s="137" t="s">
        <v>432</v>
      </c>
      <c r="AU724" s="137" t="s">
        <v>432</v>
      </c>
      <c r="AV724" s="137" t="s">
        <v>432</v>
      </c>
      <c r="AW724" s="137" t="s">
        <v>432</v>
      </c>
      <c r="AX724" s="137" t="s">
        <v>432</v>
      </c>
      <c r="AY724" s="137" t="s">
        <v>432</v>
      </c>
      <c r="AZ724" s="137" t="s">
        <v>432</v>
      </c>
      <c r="BA724" s="137" t="s">
        <v>432</v>
      </c>
      <c r="BB724" s="239" t="str">
        <f t="shared" si="154"/>
        <v>Ações educativasx</v>
      </c>
      <c r="BC724" s="239" t="str">
        <f t="shared" si="155"/>
        <v>Ações educativasxx</v>
      </c>
      <c r="BD724" s="239" t="str">
        <f t="shared" si="156"/>
        <v>Ações educativasx</v>
      </c>
    </row>
    <row r="725" spans="1:56" s="1" customFormat="1" ht="63" customHeight="1" x14ac:dyDescent="0.25">
      <c r="A725" s="275" t="str">
        <f>'Q100b-totais'!B33</f>
        <v>3.8</v>
      </c>
      <c r="B725" s="53" t="str">
        <f>'Q100b-totais'!C33</f>
        <v>Relatórios e outros documentos</v>
      </c>
      <c r="C725" s="167" t="s">
        <v>432</v>
      </c>
      <c r="D725" s="324" t="s">
        <v>6109</v>
      </c>
      <c r="E725" s="1512" t="s">
        <v>5888</v>
      </c>
      <c r="F725" s="252" t="s">
        <v>6110</v>
      </c>
      <c r="G725" s="230" t="s">
        <v>3507</v>
      </c>
      <c r="H725" s="167" t="s">
        <v>2408</v>
      </c>
      <c r="I725" s="57" t="s">
        <v>432</v>
      </c>
      <c r="J725" s="107" t="s">
        <v>432</v>
      </c>
      <c r="K725" s="107" t="s">
        <v>432</v>
      </c>
      <c r="L725" s="107" t="s">
        <v>432</v>
      </c>
      <c r="M725" s="107" t="s">
        <v>432</v>
      </c>
      <c r="N725" s="107" t="s">
        <v>432</v>
      </c>
      <c r="O725" s="107" t="s">
        <v>432</v>
      </c>
      <c r="P725" s="107" t="s">
        <v>432</v>
      </c>
      <c r="Q725" s="107" t="s">
        <v>432</v>
      </c>
      <c r="R725" s="107" t="s">
        <v>432</v>
      </c>
      <c r="S725" s="109" t="s">
        <v>2209</v>
      </c>
      <c r="T725" s="107" t="s">
        <v>432</v>
      </c>
      <c r="U725" s="107" t="s">
        <v>432</v>
      </c>
      <c r="V725" s="109" t="s">
        <v>2209</v>
      </c>
      <c r="W725" s="107" t="s">
        <v>432</v>
      </c>
      <c r="X725" s="107" t="s">
        <v>432</v>
      </c>
      <c r="Y725" s="107" t="s">
        <v>432</v>
      </c>
      <c r="Z725" s="107" t="s">
        <v>432</v>
      </c>
      <c r="AA725" s="107" t="s">
        <v>432</v>
      </c>
      <c r="AB725" s="107" t="s">
        <v>432</v>
      </c>
      <c r="AC725" s="107" t="s">
        <v>432</v>
      </c>
      <c r="AD725" s="107" t="s">
        <v>432</v>
      </c>
      <c r="AE725" s="107" t="s">
        <v>432</v>
      </c>
      <c r="AF725" s="107" t="s">
        <v>432</v>
      </c>
      <c r="AG725" s="107" t="s">
        <v>432</v>
      </c>
      <c r="AH725" s="107" t="s">
        <v>432</v>
      </c>
      <c r="AI725" s="107" t="s">
        <v>432</v>
      </c>
      <c r="AJ725" s="107" t="s">
        <v>432</v>
      </c>
      <c r="AK725" s="107" t="s">
        <v>432</v>
      </c>
      <c r="AL725" s="600" t="s">
        <v>432</v>
      </c>
      <c r="AM725" s="107" t="s">
        <v>432</v>
      </c>
      <c r="AN725" s="107" t="s">
        <v>432</v>
      </c>
      <c r="AO725" s="107" t="s">
        <v>432</v>
      </c>
      <c r="AP725" s="107" t="s">
        <v>432</v>
      </c>
      <c r="AQ725" s="107" t="s">
        <v>432</v>
      </c>
      <c r="AR725" s="107" t="s">
        <v>432</v>
      </c>
      <c r="AS725" s="107" t="s">
        <v>432</v>
      </c>
      <c r="AT725" s="107" t="s">
        <v>432</v>
      </c>
      <c r="AU725" s="107" t="s">
        <v>432</v>
      </c>
      <c r="AV725" s="107" t="s">
        <v>432</v>
      </c>
      <c r="AW725" s="107" t="s">
        <v>432</v>
      </c>
      <c r="AX725" s="107" t="s">
        <v>432</v>
      </c>
      <c r="AY725" s="107" t="s">
        <v>432</v>
      </c>
      <c r="AZ725" s="107" t="s">
        <v>432</v>
      </c>
      <c r="BA725" s="107" t="s">
        <v>432</v>
      </c>
      <c r="BB725" s="239" t="str">
        <f t="shared" si="154"/>
        <v>Relatórios e outros documentosx</v>
      </c>
      <c r="BC725" s="239" t="str">
        <f t="shared" si="155"/>
        <v>Relatórios e outros documentosxsigla/verbete</v>
      </c>
      <c r="BD725" s="239" t="str">
        <f t="shared" si="156"/>
        <v>Relatórios e outros documentossigla/verbete</v>
      </c>
    </row>
    <row r="726" spans="1:56" ht="38.25" customHeight="1" x14ac:dyDescent="0.25">
      <c r="A726" s="275" t="str">
        <f>'Q100b-totais'!$B$65</f>
        <v>9.2</v>
      </c>
      <c r="B726" s="53" t="str">
        <f>'Q100b-totais'!$C$65</f>
        <v>Estacionamento</v>
      </c>
      <c r="C726" s="57" t="s">
        <v>743</v>
      </c>
      <c r="D726" s="325" t="s">
        <v>4483</v>
      </c>
      <c r="E726" s="1512" t="s">
        <v>1306</v>
      </c>
      <c r="F726" s="12" t="s">
        <v>4484</v>
      </c>
      <c r="G726" s="110" t="s">
        <v>77</v>
      </c>
      <c r="H726" s="168" t="s">
        <v>432</v>
      </c>
      <c r="I726" s="57">
        <v>1</v>
      </c>
      <c r="J726" s="107" t="s">
        <v>432</v>
      </c>
      <c r="K726" s="137" t="s">
        <v>432</v>
      </c>
      <c r="L726" s="137" t="s">
        <v>432</v>
      </c>
      <c r="M726" s="137" t="s">
        <v>432</v>
      </c>
      <c r="N726" s="137" t="s">
        <v>432</v>
      </c>
      <c r="O726" s="137" t="s">
        <v>432</v>
      </c>
      <c r="P726" s="137" t="s">
        <v>432</v>
      </c>
      <c r="Q726" s="137" t="s">
        <v>432</v>
      </c>
      <c r="R726" s="137" t="s">
        <v>432</v>
      </c>
      <c r="S726" s="109" t="s">
        <v>2209</v>
      </c>
      <c r="T726" s="137" t="s">
        <v>432</v>
      </c>
      <c r="U726" s="137" t="s">
        <v>432</v>
      </c>
      <c r="V726" s="109" t="s">
        <v>2209</v>
      </c>
      <c r="W726" s="84" t="s">
        <v>432</v>
      </c>
      <c r="X726" s="84">
        <v>70</v>
      </c>
      <c r="Y726" s="84">
        <v>189</v>
      </c>
      <c r="Z726" s="84">
        <v>230</v>
      </c>
      <c r="AA726" s="84">
        <v>246</v>
      </c>
      <c r="AB726" s="84">
        <v>244</v>
      </c>
      <c r="AC726" s="84">
        <v>244</v>
      </c>
      <c r="AD726" s="84">
        <v>231</v>
      </c>
      <c r="AE726" s="84">
        <v>237</v>
      </c>
      <c r="AF726" s="84">
        <v>245</v>
      </c>
      <c r="AG726" s="84">
        <v>254</v>
      </c>
      <c r="AH726" s="84">
        <v>280</v>
      </c>
      <c r="AI726" s="84">
        <v>299</v>
      </c>
      <c r="AJ726" s="84">
        <v>323</v>
      </c>
      <c r="AK726" s="84">
        <v>374</v>
      </c>
      <c r="AL726" s="600" t="s">
        <v>432</v>
      </c>
      <c r="AM726" s="137" t="s">
        <v>432</v>
      </c>
      <c r="AN726" s="137" t="s">
        <v>432</v>
      </c>
      <c r="AO726" s="137" t="s">
        <v>432</v>
      </c>
      <c r="AP726" s="137" t="s">
        <v>432</v>
      </c>
      <c r="AQ726" s="137" t="s">
        <v>432</v>
      </c>
      <c r="AR726" s="137" t="s">
        <v>432</v>
      </c>
      <c r="AS726" s="137" t="s">
        <v>432</v>
      </c>
      <c r="AT726" s="137" t="s">
        <v>432</v>
      </c>
      <c r="AU726" s="137" t="s">
        <v>432</v>
      </c>
      <c r="AV726" s="137" t="s">
        <v>432</v>
      </c>
      <c r="AW726" s="137" t="s">
        <v>432</v>
      </c>
      <c r="AX726" s="137" t="s">
        <v>432</v>
      </c>
      <c r="AY726" s="137" t="s">
        <v>432</v>
      </c>
      <c r="AZ726" s="137" t="s">
        <v>432</v>
      </c>
      <c r="BA726" s="137" t="s">
        <v>432</v>
      </c>
      <c r="BB726" s="239" t="str">
        <f t="shared" si="154"/>
        <v>Estacionamentoacessibilidade</v>
      </c>
      <c r="BC726" s="239" t="str">
        <f t="shared" si="155"/>
        <v>Estacionamentoacessibilidadex</v>
      </c>
      <c r="BD726" s="239" t="str">
        <f t="shared" si="156"/>
        <v>Estacionamentox</v>
      </c>
    </row>
    <row r="727" spans="1:56" ht="25.5" customHeight="1" x14ac:dyDescent="0.25">
      <c r="A727" s="275" t="str">
        <f>'Q100b-totais'!$B$65</f>
        <v>9.2</v>
      </c>
      <c r="B727" s="53" t="str">
        <f>'Q100b-totais'!$C$65</f>
        <v>Estacionamento</v>
      </c>
      <c r="C727" s="57" t="s">
        <v>743</v>
      </c>
      <c r="D727" s="325" t="s">
        <v>4486</v>
      </c>
      <c r="E727" s="1512" t="s">
        <v>1306</v>
      </c>
      <c r="F727" s="15" t="s">
        <v>1586</v>
      </c>
      <c r="G727" s="110" t="s">
        <v>77</v>
      </c>
      <c r="H727" s="168" t="s">
        <v>432</v>
      </c>
      <c r="I727" s="57">
        <v>1</v>
      </c>
      <c r="J727" s="107" t="s">
        <v>432</v>
      </c>
      <c r="K727" s="137" t="s">
        <v>432</v>
      </c>
      <c r="L727" s="137" t="s">
        <v>432</v>
      </c>
      <c r="M727" s="137" t="s">
        <v>432</v>
      </c>
      <c r="N727" s="137" t="s">
        <v>432</v>
      </c>
      <c r="O727" s="137" t="s">
        <v>432</v>
      </c>
      <c r="P727" s="137" t="s">
        <v>432</v>
      </c>
      <c r="Q727" s="137" t="s">
        <v>432</v>
      </c>
      <c r="R727" s="137" t="s">
        <v>432</v>
      </c>
      <c r="S727" s="109" t="s">
        <v>2209</v>
      </c>
      <c r="T727" s="137" t="s">
        <v>432</v>
      </c>
      <c r="U727" s="137" t="s">
        <v>432</v>
      </c>
      <c r="V727" s="109" t="s">
        <v>2209</v>
      </c>
      <c r="W727" s="84" t="s">
        <v>432</v>
      </c>
      <c r="X727" s="84">
        <v>0</v>
      </c>
      <c r="Y727" s="84">
        <v>0</v>
      </c>
      <c r="Z727" s="84">
        <v>0</v>
      </c>
      <c r="AA727" s="84">
        <v>0</v>
      </c>
      <c r="AB727" s="84">
        <v>0</v>
      </c>
      <c r="AC727" s="84">
        <v>0</v>
      </c>
      <c r="AD727" s="84">
        <v>0</v>
      </c>
      <c r="AE727" s="84">
        <v>0</v>
      </c>
      <c r="AF727" s="84">
        <v>41</v>
      </c>
      <c r="AG727" s="84">
        <v>54</v>
      </c>
      <c r="AH727" s="84">
        <v>61</v>
      </c>
      <c r="AI727" s="84">
        <v>67</v>
      </c>
      <c r="AJ727" s="84">
        <v>106</v>
      </c>
      <c r="AK727" s="84">
        <v>167</v>
      </c>
      <c r="AL727" s="600" t="s">
        <v>432</v>
      </c>
      <c r="AM727" s="137" t="s">
        <v>432</v>
      </c>
      <c r="AN727" s="137" t="s">
        <v>432</v>
      </c>
      <c r="AO727" s="137" t="s">
        <v>432</v>
      </c>
      <c r="AP727" s="137" t="s">
        <v>432</v>
      </c>
      <c r="AQ727" s="137" t="s">
        <v>432</v>
      </c>
      <c r="AR727" s="137" t="s">
        <v>432</v>
      </c>
      <c r="AS727" s="137" t="s">
        <v>432</v>
      </c>
      <c r="AT727" s="137" t="s">
        <v>432</v>
      </c>
      <c r="AU727" s="137" t="s">
        <v>432</v>
      </c>
      <c r="AV727" s="137" t="s">
        <v>432</v>
      </c>
      <c r="AW727" s="137" t="s">
        <v>432</v>
      </c>
      <c r="AX727" s="137" t="s">
        <v>432</v>
      </c>
      <c r="AY727" s="137" t="s">
        <v>432</v>
      </c>
      <c r="AZ727" s="137" t="s">
        <v>432</v>
      </c>
      <c r="BA727" s="137" t="s">
        <v>432</v>
      </c>
      <c r="BB727" s="239" t="str">
        <f t="shared" si="154"/>
        <v>Estacionamentoacessibilidade</v>
      </c>
      <c r="BC727" s="239" t="str">
        <f t="shared" si="155"/>
        <v>Estacionamentoacessibilidadex</v>
      </c>
      <c r="BD727" s="239" t="str">
        <f t="shared" si="156"/>
        <v>Estacionamentox</v>
      </c>
    </row>
    <row r="728" spans="1:56" ht="42.75" customHeight="1" x14ac:dyDescent="0.25">
      <c r="A728" s="275" t="str">
        <f>'Q100b-totais'!$B$65</f>
        <v>9.2</v>
      </c>
      <c r="B728" s="53" t="str">
        <f>'Q100b-totais'!$C$65</f>
        <v>Estacionamento</v>
      </c>
      <c r="C728" s="57" t="s">
        <v>743</v>
      </c>
      <c r="D728" s="325" t="s">
        <v>4487</v>
      </c>
      <c r="E728" s="1512" t="s">
        <v>1306</v>
      </c>
      <c r="F728" s="15" t="s">
        <v>762</v>
      </c>
      <c r="G728" s="425" t="s">
        <v>4493</v>
      </c>
      <c r="H728" s="168" t="s">
        <v>432</v>
      </c>
      <c r="I728" s="57">
        <v>1</v>
      </c>
      <c r="J728" s="107" t="s">
        <v>432</v>
      </c>
      <c r="K728" s="137" t="s">
        <v>432</v>
      </c>
      <c r="L728" s="137" t="s">
        <v>432</v>
      </c>
      <c r="M728" s="137" t="s">
        <v>432</v>
      </c>
      <c r="N728" s="137" t="s">
        <v>432</v>
      </c>
      <c r="O728" s="137" t="s">
        <v>432</v>
      </c>
      <c r="P728" s="137" t="s">
        <v>432</v>
      </c>
      <c r="Q728" s="137" t="s">
        <v>432</v>
      </c>
      <c r="R728" s="137" t="s">
        <v>432</v>
      </c>
      <c r="S728" s="109" t="s">
        <v>2209</v>
      </c>
      <c r="T728" s="137" t="s">
        <v>432</v>
      </c>
      <c r="U728" s="137" t="s">
        <v>432</v>
      </c>
      <c r="V728" s="109" t="s">
        <v>2209</v>
      </c>
      <c r="W728" s="23" t="s">
        <v>432</v>
      </c>
      <c r="X728" s="23">
        <f t="shared" ref="X728:AK728" si="157">X726+X727</f>
        <v>70</v>
      </c>
      <c r="Y728" s="23">
        <f t="shared" si="157"/>
        <v>189</v>
      </c>
      <c r="Z728" s="23">
        <f t="shared" si="157"/>
        <v>230</v>
      </c>
      <c r="AA728" s="23">
        <f t="shared" si="157"/>
        <v>246</v>
      </c>
      <c r="AB728" s="23">
        <f t="shared" si="157"/>
        <v>244</v>
      </c>
      <c r="AC728" s="23">
        <f t="shared" si="157"/>
        <v>244</v>
      </c>
      <c r="AD728" s="23">
        <f t="shared" si="157"/>
        <v>231</v>
      </c>
      <c r="AE728" s="23">
        <f t="shared" si="157"/>
        <v>237</v>
      </c>
      <c r="AF728" s="23">
        <f t="shared" si="157"/>
        <v>286</v>
      </c>
      <c r="AG728" s="23">
        <f t="shared" si="157"/>
        <v>308</v>
      </c>
      <c r="AH728" s="23">
        <f t="shared" si="157"/>
        <v>341</v>
      </c>
      <c r="AI728" s="23">
        <f t="shared" si="157"/>
        <v>366</v>
      </c>
      <c r="AJ728" s="23">
        <f t="shared" si="157"/>
        <v>429</v>
      </c>
      <c r="AK728" s="23">
        <f t="shared" si="157"/>
        <v>541</v>
      </c>
      <c r="AL728" s="600" t="s">
        <v>432</v>
      </c>
      <c r="AM728" s="137" t="s">
        <v>432</v>
      </c>
      <c r="AN728" s="137" t="s">
        <v>432</v>
      </c>
      <c r="AO728" s="137" t="s">
        <v>432</v>
      </c>
      <c r="AP728" s="137" t="s">
        <v>432</v>
      </c>
      <c r="AQ728" s="137" t="s">
        <v>432</v>
      </c>
      <c r="AR728" s="137" t="s">
        <v>432</v>
      </c>
      <c r="AS728" s="137" t="s">
        <v>432</v>
      </c>
      <c r="AT728" s="137" t="s">
        <v>432</v>
      </c>
      <c r="AU728" s="137" t="s">
        <v>432</v>
      </c>
      <c r="AV728" s="137" t="s">
        <v>432</v>
      </c>
      <c r="AW728" s="137" t="s">
        <v>432</v>
      </c>
      <c r="AX728" s="137" t="s">
        <v>432</v>
      </c>
      <c r="AY728" s="137" t="s">
        <v>432</v>
      </c>
      <c r="AZ728" s="137" t="s">
        <v>432</v>
      </c>
      <c r="BA728" s="137" t="s">
        <v>432</v>
      </c>
      <c r="BB728" s="239" t="str">
        <f t="shared" si="154"/>
        <v>Estacionamentoacessibilidade</v>
      </c>
      <c r="BC728" s="239" t="str">
        <f t="shared" si="155"/>
        <v>Estacionamentoacessibilidadex</v>
      </c>
      <c r="BD728" s="239" t="str">
        <f t="shared" si="156"/>
        <v>Estacionamentox</v>
      </c>
    </row>
    <row r="729" spans="1:56" s="105" customFormat="1" ht="50.25" customHeight="1" x14ac:dyDescent="0.25">
      <c r="A729" s="262" t="s">
        <v>432</v>
      </c>
      <c r="B729" s="252" t="s">
        <v>742</v>
      </c>
      <c r="C729" s="57" t="s">
        <v>743</v>
      </c>
      <c r="D729" s="325" t="s">
        <v>4662</v>
      </c>
      <c r="E729" s="1509" t="s">
        <v>1767</v>
      </c>
      <c r="F729" s="188" t="s">
        <v>4661</v>
      </c>
      <c r="G729" s="230" t="s">
        <v>3507</v>
      </c>
      <c r="H729" s="167" t="s">
        <v>2408</v>
      </c>
      <c r="I729" s="57" t="s">
        <v>432</v>
      </c>
      <c r="J729" s="107" t="s">
        <v>432</v>
      </c>
      <c r="K729" s="107" t="s">
        <v>432</v>
      </c>
      <c r="L729" s="107" t="s">
        <v>432</v>
      </c>
      <c r="M729" s="107" t="s">
        <v>432</v>
      </c>
      <c r="N729" s="107" t="s">
        <v>432</v>
      </c>
      <c r="O729" s="107" t="s">
        <v>432</v>
      </c>
      <c r="P729" s="107" t="s">
        <v>432</v>
      </c>
      <c r="Q729" s="107" t="s">
        <v>432</v>
      </c>
      <c r="R729" s="107" t="s">
        <v>432</v>
      </c>
      <c r="S729" s="109" t="s">
        <v>2209</v>
      </c>
      <c r="T729" s="107" t="s">
        <v>432</v>
      </c>
      <c r="U729" s="107" t="s">
        <v>432</v>
      </c>
      <c r="V729" s="109" t="s">
        <v>2209</v>
      </c>
      <c r="W729" s="107" t="s">
        <v>432</v>
      </c>
      <c r="X729" s="107" t="s">
        <v>432</v>
      </c>
      <c r="Y729" s="107" t="s">
        <v>432</v>
      </c>
      <c r="Z729" s="107" t="s">
        <v>432</v>
      </c>
      <c r="AA729" s="107" t="s">
        <v>432</v>
      </c>
      <c r="AB729" s="107" t="s">
        <v>432</v>
      </c>
      <c r="AC729" s="107" t="s">
        <v>432</v>
      </c>
      <c r="AD729" s="107" t="s">
        <v>432</v>
      </c>
      <c r="AE729" s="107" t="s">
        <v>432</v>
      </c>
      <c r="AF729" s="107" t="s">
        <v>432</v>
      </c>
      <c r="AG729" s="107" t="s">
        <v>432</v>
      </c>
      <c r="AH729" s="107" t="s">
        <v>432</v>
      </c>
      <c r="AI729" s="107" t="s">
        <v>432</v>
      </c>
      <c r="AJ729" s="107" t="s">
        <v>432</v>
      </c>
      <c r="AK729" s="107" t="s">
        <v>432</v>
      </c>
      <c r="AL729" s="600" t="s">
        <v>432</v>
      </c>
      <c r="AM729" s="107" t="s">
        <v>432</v>
      </c>
      <c r="AN729" s="107" t="s">
        <v>432</v>
      </c>
      <c r="AO729" s="107" t="s">
        <v>432</v>
      </c>
      <c r="AP729" s="107" t="s">
        <v>432</v>
      </c>
      <c r="AQ729" s="107" t="s">
        <v>432</v>
      </c>
      <c r="AR729" s="107" t="s">
        <v>432</v>
      </c>
      <c r="AS729" s="107" t="s">
        <v>432</v>
      </c>
      <c r="AT729" s="107" t="s">
        <v>432</v>
      </c>
      <c r="AU729" s="107" t="s">
        <v>432</v>
      </c>
      <c r="AV729" s="107" t="s">
        <v>432</v>
      </c>
      <c r="AW729" s="107" t="s">
        <v>432</v>
      </c>
      <c r="AX729" s="107" t="s">
        <v>432</v>
      </c>
      <c r="AY729" s="107" t="s">
        <v>432</v>
      </c>
      <c r="AZ729" s="107" t="s">
        <v>432</v>
      </c>
      <c r="BA729" s="107" t="s">
        <v>432</v>
      </c>
      <c r="BB729" s="239" t="str">
        <f t="shared" si="154"/>
        <v>geralacessibilidade</v>
      </c>
      <c r="BC729" s="239" t="str">
        <f t="shared" si="155"/>
        <v>geralacessibilidadesigla/verbete</v>
      </c>
      <c r="BD729" s="239" t="str">
        <f t="shared" si="156"/>
        <v>geralsigla/verbete</v>
      </c>
    </row>
    <row r="730" spans="1:56" s="105" customFormat="1" ht="51" x14ac:dyDescent="0.25">
      <c r="A730" s="262" t="str">
        <f>'Q100b-totais'!B62</f>
        <v>8.10</v>
      </c>
      <c r="B730" s="252" t="str">
        <f>'Q100b-totais'!C62</f>
        <v>Sistema de transporte coletivo com um todo</v>
      </c>
      <c r="C730" s="57" t="s">
        <v>743</v>
      </c>
      <c r="D730" s="325" t="s">
        <v>5042</v>
      </c>
      <c r="E730" s="1509" t="s">
        <v>1767</v>
      </c>
      <c r="F730" s="188" t="s">
        <v>5043</v>
      </c>
      <c r="G730" s="230" t="s">
        <v>3507</v>
      </c>
      <c r="H730" s="167" t="s">
        <v>2408</v>
      </c>
      <c r="I730" s="57" t="s">
        <v>432</v>
      </c>
      <c r="J730" s="107" t="s">
        <v>432</v>
      </c>
      <c r="K730" s="107" t="s">
        <v>432</v>
      </c>
      <c r="L730" s="107" t="s">
        <v>432</v>
      </c>
      <c r="M730" s="107" t="s">
        <v>432</v>
      </c>
      <c r="N730" s="107" t="s">
        <v>432</v>
      </c>
      <c r="O730" s="107" t="s">
        <v>432</v>
      </c>
      <c r="P730" s="107" t="s">
        <v>432</v>
      </c>
      <c r="Q730" s="107" t="s">
        <v>432</v>
      </c>
      <c r="R730" s="107" t="s">
        <v>432</v>
      </c>
      <c r="S730" s="109" t="s">
        <v>2209</v>
      </c>
      <c r="T730" s="107" t="s">
        <v>432</v>
      </c>
      <c r="U730" s="107" t="s">
        <v>432</v>
      </c>
      <c r="V730" s="109" t="s">
        <v>2209</v>
      </c>
      <c r="W730" s="107" t="s">
        <v>432</v>
      </c>
      <c r="X730" s="107" t="s">
        <v>432</v>
      </c>
      <c r="Y730" s="107" t="s">
        <v>432</v>
      </c>
      <c r="Z730" s="107" t="s">
        <v>432</v>
      </c>
      <c r="AA730" s="107" t="s">
        <v>432</v>
      </c>
      <c r="AB730" s="107" t="s">
        <v>432</v>
      </c>
      <c r="AC730" s="107" t="s">
        <v>432</v>
      </c>
      <c r="AD730" s="107" t="s">
        <v>432</v>
      </c>
      <c r="AE730" s="107" t="s">
        <v>432</v>
      </c>
      <c r="AF730" s="107" t="s">
        <v>432</v>
      </c>
      <c r="AG730" s="107" t="s">
        <v>432</v>
      </c>
      <c r="AH730" s="107" t="s">
        <v>432</v>
      </c>
      <c r="AI730" s="107" t="s">
        <v>432</v>
      </c>
      <c r="AJ730" s="107" t="s">
        <v>432</v>
      </c>
      <c r="AK730" s="107" t="s">
        <v>432</v>
      </c>
      <c r="AL730" s="600" t="s">
        <v>432</v>
      </c>
      <c r="AM730" s="107" t="s">
        <v>432</v>
      </c>
      <c r="AN730" s="107" t="s">
        <v>432</v>
      </c>
      <c r="AO730" s="107" t="s">
        <v>432</v>
      </c>
      <c r="AP730" s="107" t="s">
        <v>432</v>
      </c>
      <c r="AQ730" s="107" t="s">
        <v>432</v>
      </c>
      <c r="AR730" s="107" t="s">
        <v>432</v>
      </c>
      <c r="AS730" s="107" t="s">
        <v>432</v>
      </c>
      <c r="AT730" s="107" t="s">
        <v>432</v>
      </c>
      <c r="AU730" s="107" t="s">
        <v>432</v>
      </c>
      <c r="AV730" s="107" t="s">
        <v>432</v>
      </c>
      <c r="AW730" s="107" t="s">
        <v>432</v>
      </c>
      <c r="AX730" s="107" t="s">
        <v>432</v>
      </c>
      <c r="AY730" s="107" t="s">
        <v>432</v>
      </c>
      <c r="AZ730" s="107" t="s">
        <v>432</v>
      </c>
      <c r="BA730" s="107" t="s">
        <v>432</v>
      </c>
      <c r="BB730" s="239" t="str">
        <f t="shared" si="154"/>
        <v>Sistema de transporte coletivo com um todoacessibilidade</v>
      </c>
      <c r="BC730" s="239" t="str">
        <f t="shared" si="155"/>
        <v>Sistema de transporte coletivo com um todoacessibilidadesigla/verbete</v>
      </c>
      <c r="BD730" s="239" t="str">
        <f t="shared" si="156"/>
        <v>Sistema de transporte coletivo com um todosigla/verbete</v>
      </c>
    </row>
    <row r="731" spans="1:56" s="1" customFormat="1" ht="25.5" customHeight="1" x14ac:dyDescent="0.25">
      <c r="A731" s="262" t="s">
        <v>432</v>
      </c>
      <c r="B731" s="252" t="s">
        <v>742</v>
      </c>
      <c r="C731" s="167" t="s">
        <v>432</v>
      </c>
      <c r="D731" s="324" t="s">
        <v>166</v>
      </c>
      <c r="E731" s="1496" t="s">
        <v>432</v>
      </c>
      <c r="F731" s="11" t="s">
        <v>167</v>
      </c>
      <c r="G731" s="167" t="s">
        <v>3879</v>
      </c>
      <c r="H731" s="167" t="s">
        <v>432</v>
      </c>
      <c r="I731" s="167" t="s">
        <v>432</v>
      </c>
      <c r="J731" s="107" t="s">
        <v>432</v>
      </c>
      <c r="K731" s="107" t="s">
        <v>432</v>
      </c>
      <c r="L731" s="107" t="s">
        <v>432</v>
      </c>
      <c r="M731" s="107" t="s">
        <v>432</v>
      </c>
      <c r="N731" s="107" t="s">
        <v>432</v>
      </c>
      <c r="O731" s="107" t="s">
        <v>432</v>
      </c>
      <c r="P731" s="107" t="s">
        <v>432</v>
      </c>
      <c r="Q731" s="107" t="s">
        <v>432</v>
      </c>
      <c r="R731" s="107" t="s">
        <v>432</v>
      </c>
      <c r="S731" s="109" t="s">
        <v>2209</v>
      </c>
      <c r="T731" s="107" t="s">
        <v>432</v>
      </c>
      <c r="U731" s="107" t="s">
        <v>432</v>
      </c>
      <c r="V731" s="109" t="s">
        <v>2209</v>
      </c>
      <c r="W731" s="107" t="s">
        <v>432</v>
      </c>
      <c r="X731" s="107" t="s">
        <v>432</v>
      </c>
      <c r="Y731" s="107" t="s">
        <v>432</v>
      </c>
      <c r="Z731" s="107" t="s">
        <v>432</v>
      </c>
      <c r="AA731" s="107" t="s">
        <v>432</v>
      </c>
      <c r="AB731" s="107" t="s">
        <v>432</v>
      </c>
      <c r="AC731" s="107" t="s">
        <v>432</v>
      </c>
      <c r="AD731" s="107" t="s">
        <v>432</v>
      </c>
      <c r="AE731" s="107" t="s">
        <v>432</v>
      </c>
      <c r="AF731" s="107" t="s">
        <v>432</v>
      </c>
      <c r="AG731" s="107" t="s">
        <v>432</v>
      </c>
      <c r="AH731" s="107" t="s">
        <v>432</v>
      </c>
      <c r="AI731" s="107" t="s">
        <v>432</v>
      </c>
      <c r="AJ731" s="107" t="s">
        <v>432</v>
      </c>
      <c r="AK731" s="137" t="s">
        <v>432</v>
      </c>
      <c r="AL731" s="600" t="s">
        <v>432</v>
      </c>
      <c r="AM731" s="137" t="s">
        <v>432</v>
      </c>
      <c r="AN731" s="137" t="s">
        <v>432</v>
      </c>
      <c r="AO731" s="137" t="s">
        <v>432</v>
      </c>
      <c r="AP731" s="137" t="s">
        <v>432</v>
      </c>
      <c r="AQ731" s="137" t="s">
        <v>432</v>
      </c>
      <c r="AR731" s="137" t="s">
        <v>432</v>
      </c>
      <c r="AS731" s="137" t="s">
        <v>432</v>
      </c>
      <c r="AT731" s="137" t="s">
        <v>432</v>
      </c>
      <c r="AU731" s="137" t="s">
        <v>432</v>
      </c>
      <c r="AV731" s="137" t="s">
        <v>432</v>
      </c>
      <c r="AW731" s="137" t="s">
        <v>432</v>
      </c>
      <c r="AX731" s="137" t="s">
        <v>432</v>
      </c>
      <c r="AY731" s="137" t="s">
        <v>432</v>
      </c>
      <c r="AZ731" s="137" t="s">
        <v>432</v>
      </c>
      <c r="BA731" s="137" t="s">
        <v>432</v>
      </c>
      <c r="BB731" s="239" t="str">
        <f t="shared" si="154"/>
        <v>geralx</v>
      </c>
      <c r="BC731" s="239" t="str">
        <f t="shared" si="155"/>
        <v>geralxx</v>
      </c>
      <c r="BD731" s="239" t="str">
        <f t="shared" si="156"/>
        <v>geralx</v>
      </c>
    </row>
    <row r="732" spans="1:56" s="1" customFormat="1" ht="45" customHeight="1" x14ac:dyDescent="0.25">
      <c r="A732" s="262" t="str">
        <f>'Q100b-totais'!B44</f>
        <v>5.2</v>
      </c>
      <c r="B732" s="53" t="str">
        <f>'Q100b-totais'!C44</f>
        <v>Poluição do ar</v>
      </c>
      <c r="C732" s="57" t="s">
        <v>935</v>
      </c>
      <c r="D732" s="325" t="s">
        <v>1954</v>
      </c>
      <c r="E732" s="1512" t="s">
        <v>1306</v>
      </c>
      <c r="F732" s="188" t="s">
        <v>1955</v>
      </c>
      <c r="G732" s="173" t="s">
        <v>933</v>
      </c>
      <c r="H732" s="173" t="s">
        <v>765</v>
      </c>
      <c r="I732" s="167" t="s">
        <v>432</v>
      </c>
      <c r="J732" s="109" t="s">
        <v>432</v>
      </c>
      <c r="K732" s="109" t="s">
        <v>432</v>
      </c>
      <c r="L732" s="109" t="s">
        <v>432</v>
      </c>
      <c r="M732" s="109" t="s">
        <v>432</v>
      </c>
      <c r="N732" s="109" t="s">
        <v>432</v>
      </c>
      <c r="O732" s="109" t="s">
        <v>432</v>
      </c>
      <c r="P732" s="109" t="s">
        <v>432</v>
      </c>
      <c r="Q732" s="109" t="s">
        <v>432</v>
      </c>
      <c r="R732" s="109" t="s">
        <v>432</v>
      </c>
      <c r="S732" s="109" t="s">
        <v>2209</v>
      </c>
      <c r="T732" s="109" t="s">
        <v>432</v>
      </c>
      <c r="U732" s="109" t="s">
        <v>432</v>
      </c>
      <c r="V732" s="109" t="s">
        <v>2209</v>
      </c>
      <c r="W732" s="109" t="s">
        <v>432</v>
      </c>
      <c r="X732" s="109" t="s">
        <v>432</v>
      </c>
      <c r="Y732" s="109" t="s">
        <v>432</v>
      </c>
      <c r="Z732" s="109" t="s">
        <v>432</v>
      </c>
      <c r="AA732" s="109" t="s">
        <v>432</v>
      </c>
      <c r="AB732" s="109" t="s">
        <v>432</v>
      </c>
      <c r="AC732" s="109" t="s">
        <v>432</v>
      </c>
      <c r="AD732" s="109" t="s">
        <v>432</v>
      </c>
      <c r="AE732" s="109" t="s">
        <v>432</v>
      </c>
      <c r="AF732" s="109" t="s">
        <v>432</v>
      </c>
      <c r="AG732" s="109" t="s">
        <v>432</v>
      </c>
      <c r="AH732" s="109" t="s">
        <v>432</v>
      </c>
      <c r="AI732" s="109" t="s">
        <v>432</v>
      </c>
      <c r="AJ732" s="109" t="s">
        <v>432</v>
      </c>
      <c r="AK732" s="109" t="s">
        <v>432</v>
      </c>
      <c r="AL732" s="600" t="s">
        <v>432</v>
      </c>
      <c r="AM732" s="109" t="s">
        <v>432</v>
      </c>
      <c r="AN732" s="109" t="s">
        <v>432</v>
      </c>
      <c r="AO732" s="109" t="s">
        <v>432</v>
      </c>
      <c r="AP732" s="109" t="s">
        <v>432</v>
      </c>
      <c r="AQ732" s="109" t="s">
        <v>432</v>
      </c>
      <c r="AR732" s="109" t="s">
        <v>432</v>
      </c>
      <c r="AS732" s="109" t="s">
        <v>432</v>
      </c>
      <c r="AT732" s="109" t="s">
        <v>432</v>
      </c>
      <c r="AU732" s="109" t="s">
        <v>432</v>
      </c>
      <c r="AV732" s="109" t="s">
        <v>432</v>
      </c>
      <c r="AW732" s="137" t="s">
        <v>432</v>
      </c>
      <c r="AX732" s="109" t="s">
        <v>432</v>
      </c>
      <c r="AY732" s="109" t="s">
        <v>432</v>
      </c>
      <c r="AZ732" s="109" t="s">
        <v>432</v>
      </c>
      <c r="BA732" s="109" t="s">
        <v>432</v>
      </c>
      <c r="BB732" s="239" t="str">
        <f t="shared" si="154"/>
        <v>Poluição do arCMMCE</v>
      </c>
      <c r="BC732" s="239" t="str">
        <f t="shared" si="155"/>
        <v>Poluição do arCMMCEmeta/RPI</v>
      </c>
      <c r="BD732" s="239" t="str">
        <f t="shared" si="156"/>
        <v>Poluição do armeta/RPI</v>
      </c>
    </row>
    <row r="733" spans="1:56" s="1" customFormat="1" ht="63.75" customHeight="1" x14ac:dyDescent="0.25">
      <c r="A733" s="275" t="str">
        <f>'Q100b-totais'!$B$56</f>
        <v>8.4</v>
      </c>
      <c r="B733" s="54" t="s">
        <v>641</v>
      </c>
      <c r="C733" s="229" t="s">
        <v>432</v>
      </c>
      <c r="D733" s="324" t="s">
        <v>168</v>
      </c>
      <c r="E733" s="1402" t="s">
        <v>1306</v>
      </c>
      <c r="F733" s="14" t="s">
        <v>2706</v>
      </c>
      <c r="G733" s="110" t="s">
        <v>77</v>
      </c>
      <c r="H733" s="173" t="s">
        <v>432</v>
      </c>
      <c r="I733" s="57">
        <v>1</v>
      </c>
      <c r="J733" s="93" t="s">
        <v>432</v>
      </c>
      <c r="K733" s="84" t="s">
        <v>432</v>
      </c>
      <c r="L733" s="84" t="s">
        <v>432</v>
      </c>
      <c r="M733" s="84" t="s">
        <v>432</v>
      </c>
      <c r="N733" s="84" t="s">
        <v>432</v>
      </c>
      <c r="O733" s="84" t="s">
        <v>432</v>
      </c>
      <c r="P733" s="84" t="s">
        <v>432</v>
      </c>
      <c r="Q733" s="84" t="s">
        <v>432</v>
      </c>
      <c r="R733" s="84" t="s">
        <v>432</v>
      </c>
      <c r="S733" s="109" t="s">
        <v>2209</v>
      </c>
      <c r="T733" s="84" t="s">
        <v>432</v>
      </c>
      <c r="U733" s="84" t="s">
        <v>432</v>
      </c>
      <c r="V733" s="109" t="s">
        <v>2209</v>
      </c>
      <c r="W733" s="84" t="s">
        <v>432</v>
      </c>
      <c r="X733" s="84" t="s">
        <v>432</v>
      </c>
      <c r="Y733" s="84" t="s">
        <v>432</v>
      </c>
      <c r="Z733" s="84" t="s">
        <v>432</v>
      </c>
      <c r="AA733" s="84" t="s">
        <v>432</v>
      </c>
      <c r="AB733" s="86">
        <v>33</v>
      </c>
      <c r="AC733" s="86">
        <v>33</v>
      </c>
      <c r="AD733" s="86">
        <v>33</v>
      </c>
      <c r="AE733" s="86">
        <v>33</v>
      </c>
      <c r="AF733" s="86">
        <v>35</v>
      </c>
      <c r="AG733" s="86">
        <v>35</v>
      </c>
      <c r="AH733" s="86">
        <v>36</v>
      </c>
      <c r="AI733" s="84">
        <f>'[1]2013-2ºsemestre'!$G$7</f>
        <v>36</v>
      </c>
      <c r="AJ733" s="84">
        <f>'[1]2014_2ºsemestre'!$G$37</f>
        <v>36</v>
      </c>
      <c r="AK733" s="84">
        <v>36</v>
      </c>
      <c r="AL733" s="600" t="s">
        <v>432</v>
      </c>
      <c r="AM733" s="137" t="s">
        <v>432</v>
      </c>
      <c r="AN733" s="137" t="s">
        <v>432</v>
      </c>
      <c r="AO733" s="137" t="s">
        <v>432</v>
      </c>
      <c r="AP733" s="137" t="s">
        <v>432</v>
      </c>
      <c r="AQ733" s="137" t="s">
        <v>432</v>
      </c>
      <c r="AR733" s="137" t="s">
        <v>432</v>
      </c>
      <c r="AS733" s="137" t="s">
        <v>432</v>
      </c>
      <c r="AT733" s="137" t="s">
        <v>432</v>
      </c>
      <c r="AU733" s="137" t="s">
        <v>432</v>
      </c>
      <c r="AV733" s="137" t="s">
        <v>432</v>
      </c>
      <c r="AW733" s="137" t="s">
        <v>432</v>
      </c>
      <c r="AX733" s="137" t="s">
        <v>432</v>
      </c>
      <c r="AY733" s="137" t="s">
        <v>432</v>
      </c>
      <c r="AZ733" s="137" t="s">
        <v>432</v>
      </c>
      <c r="BA733" s="137" t="s">
        <v>432</v>
      </c>
      <c r="BB733" s="239" t="str">
        <f t="shared" si="154"/>
        <v>Táxix</v>
      </c>
      <c r="BC733" s="239" t="str">
        <f t="shared" si="155"/>
        <v>Táxixx</v>
      </c>
      <c r="BD733" s="239" t="str">
        <f t="shared" si="156"/>
        <v>Táxix</v>
      </c>
    </row>
    <row r="734" spans="1:56" s="1" customFormat="1" ht="44.25" customHeight="1" x14ac:dyDescent="0.25">
      <c r="A734" s="275" t="str">
        <f>'Q100b-totais'!$B$57</f>
        <v>8.5</v>
      </c>
      <c r="B734" s="54" t="str">
        <f>'Q100b-totais'!$C$57</f>
        <v>Transporte convencional</v>
      </c>
      <c r="C734" s="230" t="s">
        <v>432</v>
      </c>
      <c r="D734" s="901" t="s">
        <v>949</v>
      </c>
      <c r="E734" s="1402" t="s">
        <v>1306</v>
      </c>
      <c r="F734" s="102" t="s">
        <v>2266</v>
      </c>
      <c r="G734" s="110" t="s">
        <v>77</v>
      </c>
      <c r="H734" s="173" t="s">
        <v>432</v>
      </c>
      <c r="I734" s="167">
        <v>1</v>
      </c>
      <c r="J734" s="107" t="s">
        <v>432</v>
      </c>
      <c r="K734" s="107" t="s">
        <v>432</v>
      </c>
      <c r="L734" s="107" t="s">
        <v>432</v>
      </c>
      <c r="M734" s="84">
        <v>54</v>
      </c>
      <c r="N734" s="84">
        <v>54</v>
      </c>
      <c r="O734" s="622" t="s">
        <v>2148</v>
      </c>
      <c r="P734" s="622" t="s">
        <v>2148</v>
      </c>
      <c r="Q734" s="622" t="s">
        <v>2148</v>
      </c>
      <c r="R734" s="622" t="s">
        <v>2148</v>
      </c>
      <c r="S734" s="109" t="s">
        <v>2209</v>
      </c>
      <c r="T734" s="622" t="s">
        <v>2148</v>
      </c>
      <c r="U734" s="622" t="s">
        <v>2148</v>
      </c>
      <c r="V734" s="109" t="s">
        <v>2209</v>
      </c>
      <c r="W734" s="622" t="s">
        <v>2148</v>
      </c>
      <c r="X734" s="622" t="s">
        <v>2148</v>
      </c>
      <c r="Y734" s="622" t="s">
        <v>2148</v>
      </c>
      <c r="Z734" s="622" t="s">
        <v>2148</v>
      </c>
      <c r="AA734" s="622" t="s">
        <v>2148</v>
      </c>
      <c r="AB734" s="622" t="s">
        <v>2148</v>
      </c>
      <c r="AC734" s="622" t="s">
        <v>2148</v>
      </c>
      <c r="AD734" s="622" t="s">
        <v>2148</v>
      </c>
      <c r="AE734" s="622" t="s">
        <v>2148</v>
      </c>
      <c r="AF734" s="622" t="s">
        <v>2148</v>
      </c>
      <c r="AG734" s="84">
        <v>40</v>
      </c>
      <c r="AH734" s="84">
        <v>40</v>
      </c>
      <c r="AI734" s="622" t="s">
        <v>2213</v>
      </c>
      <c r="AJ734" s="622" t="s">
        <v>2213</v>
      </c>
      <c r="AK734" s="622" t="s">
        <v>2213</v>
      </c>
      <c r="AL734" s="600" t="s">
        <v>432</v>
      </c>
      <c r="AM734" s="137" t="s">
        <v>432</v>
      </c>
      <c r="AN734" s="137" t="s">
        <v>432</v>
      </c>
      <c r="AO734" s="137" t="s">
        <v>432</v>
      </c>
      <c r="AP734" s="137" t="s">
        <v>432</v>
      </c>
      <c r="AQ734" s="137" t="s">
        <v>432</v>
      </c>
      <c r="AR734" s="137" t="s">
        <v>432</v>
      </c>
      <c r="AS734" s="137" t="s">
        <v>432</v>
      </c>
      <c r="AT734" s="137" t="s">
        <v>432</v>
      </c>
      <c r="AU734" s="137" t="s">
        <v>432</v>
      </c>
      <c r="AV734" s="137" t="s">
        <v>432</v>
      </c>
      <c r="AW734" s="137" t="s">
        <v>432</v>
      </c>
      <c r="AX734" s="137" t="s">
        <v>432</v>
      </c>
      <c r="AY734" s="137" t="s">
        <v>432</v>
      </c>
      <c r="AZ734" s="137" t="s">
        <v>432</v>
      </c>
      <c r="BA734" s="137" t="s">
        <v>432</v>
      </c>
      <c r="BB734" s="239" t="str">
        <f t="shared" si="154"/>
        <v>Transporte convencionalx</v>
      </c>
      <c r="BC734" s="239" t="str">
        <f t="shared" si="155"/>
        <v>Transporte convencionalxx</v>
      </c>
      <c r="BD734" s="239" t="str">
        <f t="shared" si="156"/>
        <v>Transporte convencionalx</v>
      </c>
    </row>
    <row r="735" spans="1:56" s="1" customFormat="1" ht="44.25" customHeight="1" x14ac:dyDescent="0.25">
      <c r="A735" s="262" t="s">
        <v>432</v>
      </c>
      <c r="B735" s="252" t="s">
        <v>742</v>
      </c>
      <c r="C735" s="167" t="s">
        <v>743</v>
      </c>
      <c r="D735" s="901" t="s">
        <v>2047</v>
      </c>
      <c r="E735" s="1445" t="s">
        <v>432</v>
      </c>
      <c r="F735" s="102" t="s">
        <v>2635</v>
      </c>
      <c r="G735" s="167" t="s">
        <v>3879</v>
      </c>
      <c r="H735" s="167" t="s">
        <v>432</v>
      </c>
      <c r="I735" s="167" t="s">
        <v>432</v>
      </c>
      <c r="J735" s="109" t="s">
        <v>432</v>
      </c>
      <c r="K735" s="109" t="s">
        <v>432</v>
      </c>
      <c r="L735" s="109" t="s">
        <v>432</v>
      </c>
      <c r="M735" s="109" t="s">
        <v>432</v>
      </c>
      <c r="N735" s="109" t="s">
        <v>432</v>
      </c>
      <c r="O735" s="109" t="s">
        <v>432</v>
      </c>
      <c r="P735" s="109" t="s">
        <v>432</v>
      </c>
      <c r="Q735" s="109" t="s">
        <v>432</v>
      </c>
      <c r="R735" s="109" t="s">
        <v>432</v>
      </c>
      <c r="S735" s="109" t="s">
        <v>2209</v>
      </c>
      <c r="T735" s="109" t="s">
        <v>432</v>
      </c>
      <c r="U735" s="109" t="s">
        <v>432</v>
      </c>
      <c r="V735" s="109" t="s">
        <v>2209</v>
      </c>
      <c r="W735" s="109" t="s">
        <v>432</v>
      </c>
      <c r="X735" s="109" t="s">
        <v>432</v>
      </c>
      <c r="Y735" s="109" t="s">
        <v>432</v>
      </c>
      <c r="Z735" s="109" t="s">
        <v>432</v>
      </c>
      <c r="AA735" s="109" t="s">
        <v>432</v>
      </c>
      <c r="AB735" s="109" t="s">
        <v>432</v>
      </c>
      <c r="AC735" s="109" t="s">
        <v>432</v>
      </c>
      <c r="AD735" s="109" t="s">
        <v>432</v>
      </c>
      <c r="AE735" s="109" t="s">
        <v>432</v>
      </c>
      <c r="AF735" s="109" t="s">
        <v>432</v>
      </c>
      <c r="AG735" s="109" t="s">
        <v>432</v>
      </c>
      <c r="AH735" s="109" t="s">
        <v>432</v>
      </c>
      <c r="AI735" s="109" t="s">
        <v>432</v>
      </c>
      <c r="AJ735" s="109" t="s">
        <v>432</v>
      </c>
      <c r="AK735" s="109" t="s">
        <v>432</v>
      </c>
      <c r="AL735" s="600" t="s">
        <v>432</v>
      </c>
      <c r="AM735" s="137" t="s">
        <v>432</v>
      </c>
      <c r="AN735" s="137" t="s">
        <v>432</v>
      </c>
      <c r="AO735" s="137" t="s">
        <v>432</v>
      </c>
      <c r="AP735" s="137" t="s">
        <v>432</v>
      </c>
      <c r="AQ735" s="137" t="s">
        <v>432</v>
      </c>
      <c r="AR735" s="137" t="s">
        <v>432</v>
      </c>
      <c r="AS735" s="137" t="s">
        <v>432</v>
      </c>
      <c r="AT735" s="137" t="s">
        <v>432</v>
      </c>
      <c r="AU735" s="137" t="s">
        <v>432</v>
      </c>
      <c r="AV735" s="137" t="s">
        <v>432</v>
      </c>
      <c r="AW735" s="137" t="s">
        <v>432</v>
      </c>
      <c r="AX735" s="137" t="s">
        <v>432</v>
      </c>
      <c r="AY735" s="137" t="s">
        <v>432</v>
      </c>
      <c r="AZ735" s="137" t="s">
        <v>432</v>
      </c>
      <c r="BA735" s="137" t="s">
        <v>432</v>
      </c>
      <c r="BB735" s="239" t="str">
        <f t="shared" si="154"/>
        <v>geralacessibilidade</v>
      </c>
      <c r="BC735" s="239" t="str">
        <f t="shared" si="155"/>
        <v>geralacessibilidadex</v>
      </c>
      <c r="BD735" s="239" t="str">
        <f t="shared" si="156"/>
        <v>geralx</v>
      </c>
    </row>
    <row r="736" spans="1:56" s="105" customFormat="1" ht="50.25" customHeight="1" x14ac:dyDescent="0.25">
      <c r="A736" s="262" t="str">
        <f>'Q100b-totais'!B68</f>
        <v>9.5</v>
      </c>
      <c r="B736" s="252" t="str">
        <f>'Q100b-totais'!C68</f>
        <v>Sinalização semafórica</v>
      </c>
      <c r="C736" s="57" t="s">
        <v>743</v>
      </c>
      <c r="D736" s="325" t="s">
        <v>6176</v>
      </c>
      <c r="E736" s="509" t="s">
        <v>1767</v>
      </c>
      <c r="F736" s="1172" t="s">
        <v>6177</v>
      </c>
      <c r="G736" s="230" t="s">
        <v>3507</v>
      </c>
      <c r="H736" s="167" t="s">
        <v>2408</v>
      </c>
      <c r="I736" s="57" t="s">
        <v>432</v>
      </c>
      <c r="J736" s="107" t="s">
        <v>432</v>
      </c>
      <c r="K736" s="107" t="s">
        <v>432</v>
      </c>
      <c r="L736" s="107" t="s">
        <v>432</v>
      </c>
      <c r="M736" s="107" t="s">
        <v>432</v>
      </c>
      <c r="N736" s="107" t="s">
        <v>432</v>
      </c>
      <c r="O736" s="107" t="s">
        <v>432</v>
      </c>
      <c r="P736" s="107" t="s">
        <v>432</v>
      </c>
      <c r="Q736" s="107" t="s">
        <v>432</v>
      </c>
      <c r="R736" s="107" t="s">
        <v>432</v>
      </c>
      <c r="S736" s="109" t="s">
        <v>2209</v>
      </c>
      <c r="T736" s="107" t="s">
        <v>432</v>
      </c>
      <c r="U736" s="107" t="s">
        <v>432</v>
      </c>
      <c r="V736" s="109" t="s">
        <v>2209</v>
      </c>
      <c r="W736" s="107" t="s">
        <v>432</v>
      </c>
      <c r="X736" s="107" t="s">
        <v>432</v>
      </c>
      <c r="Y736" s="107" t="s">
        <v>432</v>
      </c>
      <c r="Z736" s="107" t="s">
        <v>432</v>
      </c>
      <c r="AA736" s="107" t="s">
        <v>432</v>
      </c>
      <c r="AB736" s="107" t="s">
        <v>432</v>
      </c>
      <c r="AC736" s="107" t="s">
        <v>432</v>
      </c>
      <c r="AD736" s="107" t="s">
        <v>432</v>
      </c>
      <c r="AE736" s="107" t="s">
        <v>432</v>
      </c>
      <c r="AF736" s="107" t="s">
        <v>432</v>
      </c>
      <c r="AG736" s="107" t="s">
        <v>432</v>
      </c>
      <c r="AH736" s="107" t="s">
        <v>432</v>
      </c>
      <c r="AI736" s="107" t="s">
        <v>432</v>
      </c>
      <c r="AJ736" s="107" t="s">
        <v>432</v>
      </c>
      <c r="AK736" s="107" t="s">
        <v>432</v>
      </c>
      <c r="AL736" s="600" t="s">
        <v>432</v>
      </c>
      <c r="AM736" s="107" t="s">
        <v>432</v>
      </c>
      <c r="AN736" s="107" t="s">
        <v>432</v>
      </c>
      <c r="AO736" s="107" t="s">
        <v>432</v>
      </c>
      <c r="AP736" s="107" t="s">
        <v>432</v>
      </c>
      <c r="AQ736" s="107" t="s">
        <v>432</v>
      </c>
      <c r="AR736" s="107" t="s">
        <v>432</v>
      </c>
      <c r="AS736" s="107" t="s">
        <v>432</v>
      </c>
      <c r="AT736" s="107" t="s">
        <v>432</v>
      </c>
      <c r="AU736" s="107" t="s">
        <v>432</v>
      </c>
      <c r="AV736" s="107" t="s">
        <v>432</v>
      </c>
      <c r="AW736" s="107" t="s">
        <v>432</v>
      </c>
      <c r="AX736" s="107" t="s">
        <v>432</v>
      </c>
      <c r="AY736" s="107" t="s">
        <v>432</v>
      </c>
      <c r="AZ736" s="107" t="s">
        <v>432</v>
      </c>
      <c r="BA736" s="107" t="s">
        <v>432</v>
      </c>
      <c r="BB736" s="239" t="str">
        <f t="shared" si="154"/>
        <v>Sinalização semafóricaacessibilidade</v>
      </c>
      <c r="BC736" s="239" t="str">
        <f t="shared" si="155"/>
        <v>Sinalização semafóricaacessibilidadesigla/verbete</v>
      </c>
      <c r="BD736" s="239" t="str">
        <f t="shared" si="156"/>
        <v>Sinalização semafóricasigla/verbete</v>
      </c>
    </row>
    <row r="737" spans="1:56" s="1" customFormat="1" ht="44.25" customHeight="1" x14ac:dyDescent="0.25">
      <c r="A737" s="262" t="s">
        <v>432</v>
      </c>
      <c r="B737" s="252" t="s">
        <v>742</v>
      </c>
      <c r="C737" s="167" t="s">
        <v>432</v>
      </c>
      <c r="D737" s="901" t="s">
        <v>2106</v>
      </c>
      <c r="E737" s="1402" t="s">
        <v>432</v>
      </c>
      <c r="F737" s="102" t="s">
        <v>2624</v>
      </c>
      <c r="G737" s="167" t="s">
        <v>3879</v>
      </c>
      <c r="H737" s="167" t="s">
        <v>432</v>
      </c>
      <c r="I737" s="167" t="s">
        <v>432</v>
      </c>
      <c r="J737" s="109" t="s">
        <v>432</v>
      </c>
      <c r="K737" s="109" t="s">
        <v>432</v>
      </c>
      <c r="L737" s="109" t="s">
        <v>432</v>
      </c>
      <c r="M737" s="109" t="s">
        <v>432</v>
      </c>
      <c r="N737" s="109" t="s">
        <v>432</v>
      </c>
      <c r="O737" s="109" t="s">
        <v>432</v>
      </c>
      <c r="P737" s="109" t="s">
        <v>432</v>
      </c>
      <c r="Q737" s="109" t="s">
        <v>432</v>
      </c>
      <c r="R737" s="109" t="s">
        <v>432</v>
      </c>
      <c r="S737" s="109" t="s">
        <v>2209</v>
      </c>
      <c r="T737" s="109" t="s">
        <v>432</v>
      </c>
      <c r="U737" s="109" t="s">
        <v>432</v>
      </c>
      <c r="V737" s="109" t="s">
        <v>2209</v>
      </c>
      <c r="W737" s="109" t="s">
        <v>432</v>
      </c>
      <c r="X737" s="109" t="s">
        <v>432</v>
      </c>
      <c r="Y737" s="109" t="s">
        <v>432</v>
      </c>
      <c r="Z737" s="109" t="s">
        <v>432</v>
      </c>
      <c r="AA737" s="109" t="s">
        <v>432</v>
      </c>
      <c r="AB737" s="109" t="s">
        <v>432</v>
      </c>
      <c r="AC737" s="109" t="s">
        <v>432</v>
      </c>
      <c r="AD737" s="109" t="s">
        <v>432</v>
      </c>
      <c r="AE737" s="109" t="s">
        <v>432</v>
      </c>
      <c r="AF737" s="109" t="s">
        <v>432</v>
      </c>
      <c r="AG737" s="109" t="s">
        <v>432</v>
      </c>
      <c r="AH737" s="109" t="s">
        <v>432</v>
      </c>
      <c r="AI737" s="109" t="s">
        <v>432</v>
      </c>
      <c r="AJ737" s="109" t="s">
        <v>432</v>
      </c>
      <c r="AK737" s="109" t="s">
        <v>432</v>
      </c>
      <c r="AL737" s="600" t="s">
        <v>432</v>
      </c>
      <c r="AM737" s="137" t="s">
        <v>432</v>
      </c>
      <c r="AN737" s="137" t="s">
        <v>432</v>
      </c>
      <c r="AO737" s="137" t="s">
        <v>432</v>
      </c>
      <c r="AP737" s="137" t="s">
        <v>432</v>
      </c>
      <c r="AQ737" s="137" t="s">
        <v>432</v>
      </c>
      <c r="AR737" s="137" t="s">
        <v>432</v>
      </c>
      <c r="AS737" s="137" t="s">
        <v>432</v>
      </c>
      <c r="AT737" s="137" t="s">
        <v>432</v>
      </c>
      <c r="AU737" s="137" t="s">
        <v>432</v>
      </c>
      <c r="AV737" s="137" t="s">
        <v>432</v>
      </c>
      <c r="AW737" s="137" t="s">
        <v>432</v>
      </c>
      <c r="AX737" s="137" t="s">
        <v>432</v>
      </c>
      <c r="AY737" s="137" t="s">
        <v>432</v>
      </c>
      <c r="AZ737" s="137" t="s">
        <v>432</v>
      </c>
      <c r="BA737" s="137" t="s">
        <v>432</v>
      </c>
      <c r="BB737" s="239" t="str">
        <f t="shared" si="154"/>
        <v>geralx</v>
      </c>
      <c r="BC737" s="239" t="str">
        <f t="shared" si="155"/>
        <v>geralxx</v>
      </c>
      <c r="BD737" s="239" t="str">
        <f t="shared" si="156"/>
        <v>geralx</v>
      </c>
    </row>
    <row r="738" spans="1:56" s="3" customFormat="1" ht="47.25" customHeight="1" x14ac:dyDescent="0.25">
      <c r="A738" s="275" t="str">
        <f>'Q100b-totais'!$B$58</f>
        <v>8.6</v>
      </c>
      <c r="B738" s="54" t="str">
        <f>'Q100b-totais'!$C$58</f>
        <v>Transporte escolar</v>
      </c>
      <c r="C738" s="230" t="s">
        <v>432</v>
      </c>
      <c r="D738" s="972" t="s">
        <v>707</v>
      </c>
      <c r="E738" s="1402" t="s">
        <v>1306</v>
      </c>
      <c r="F738" s="56" t="s">
        <v>2650</v>
      </c>
      <c r="G738" s="110" t="s">
        <v>77</v>
      </c>
      <c r="H738" s="171" t="s">
        <v>432</v>
      </c>
      <c r="I738" s="57">
        <v>1</v>
      </c>
      <c r="J738" s="107" t="s">
        <v>432</v>
      </c>
      <c r="K738" s="107" t="s">
        <v>432</v>
      </c>
      <c r="L738" s="93" t="s">
        <v>432</v>
      </c>
      <c r="M738" s="93" t="s">
        <v>432</v>
      </c>
      <c r="N738" s="93" t="s">
        <v>432</v>
      </c>
      <c r="O738" s="93" t="s">
        <v>432</v>
      </c>
      <c r="P738" s="93" t="s">
        <v>432</v>
      </c>
      <c r="Q738" s="93" t="s">
        <v>432</v>
      </c>
      <c r="R738" s="93" t="s">
        <v>432</v>
      </c>
      <c r="S738" s="109" t="s">
        <v>2209</v>
      </c>
      <c r="T738" s="93" t="s">
        <v>432</v>
      </c>
      <c r="U738" s="93" t="s">
        <v>432</v>
      </c>
      <c r="V738" s="109" t="s">
        <v>2209</v>
      </c>
      <c r="W738" s="93" t="s">
        <v>432</v>
      </c>
      <c r="X738" s="93" t="s">
        <v>432</v>
      </c>
      <c r="Y738" s="93" t="s">
        <v>432</v>
      </c>
      <c r="Z738" s="93" t="s">
        <v>432</v>
      </c>
      <c r="AA738" s="93" t="s">
        <v>432</v>
      </c>
      <c r="AB738" s="86">
        <v>371</v>
      </c>
      <c r="AC738" s="86">
        <v>380</v>
      </c>
      <c r="AD738" s="86">
        <v>327</v>
      </c>
      <c r="AE738" s="86">
        <v>327</v>
      </c>
      <c r="AF738" s="86">
        <v>361</v>
      </c>
      <c r="AG738" s="87">
        <v>476</v>
      </c>
      <c r="AH738" s="87">
        <v>518</v>
      </c>
      <c r="AI738" s="87">
        <v>486</v>
      </c>
      <c r="AJ738" s="87">
        <v>306</v>
      </c>
      <c r="AK738" s="87">
        <v>282</v>
      </c>
      <c r="AL738" s="600" t="s">
        <v>432</v>
      </c>
      <c r="AM738" s="137" t="s">
        <v>432</v>
      </c>
      <c r="AN738" s="137" t="s">
        <v>432</v>
      </c>
      <c r="AO738" s="137" t="s">
        <v>432</v>
      </c>
      <c r="AP738" s="137" t="s">
        <v>432</v>
      </c>
      <c r="AQ738" s="137" t="s">
        <v>432</v>
      </c>
      <c r="AR738" s="137" t="s">
        <v>432</v>
      </c>
      <c r="AS738" s="137" t="s">
        <v>432</v>
      </c>
      <c r="AT738" s="137" t="s">
        <v>432</v>
      </c>
      <c r="AU738" s="137" t="s">
        <v>432</v>
      </c>
      <c r="AV738" s="137" t="s">
        <v>432</v>
      </c>
      <c r="AW738" s="137" t="s">
        <v>432</v>
      </c>
      <c r="AX738" s="137" t="s">
        <v>432</v>
      </c>
      <c r="AY738" s="137" t="s">
        <v>432</v>
      </c>
      <c r="AZ738" s="137" t="s">
        <v>432</v>
      </c>
      <c r="BA738" s="137" t="s">
        <v>432</v>
      </c>
      <c r="BB738" s="239" t="str">
        <f t="shared" si="154"/>
        <v>Transporte escolarx</v>
      </c>
      <c r="BC738" s="239" t="str">
        <f t="shared" si="155"/>
        <v>Transporte escolarxx</v>
      </c>
      <c r="BD738" s="239" t="str">
        <f t="shared" si="156"/>
        <v>Transporte escolarx</v>
      </c>
    </row>
    <row r="739" spans="1:56" s="3" customFormat="1" ht="47.25" customHeight="1" x14ac:dyDescent="0.25">
      <c r="A739" s="275" t="str">
        <f>'Q100b-totais'!$B$58</f>
        <v>8.6</v>
      </c>
      <c r="B739" s="54" t="str">
        <f>'Q100b-totais'!$C$58</f>
        <v>Transporte escolar</v>
      </c>
      <c r="C739" s="230" t="s">
        <v>432</v>
      </c>
      <c r="D739" s="972" t="s">
        <v>709</v>
      </c>
      <c r="E739" s="1402" t="s">
        <v>1306</v>
      </c>
      <c r="F739" s="56" t="s">
        <v>2651</v>
      </c>
      <c r="G739" s="110" t="s">
        <v>77</v>
      </c>
      <c r="H739" s="171" t="s">
        <v>432</v>
      </c>
      <c r="I739" s="57">
        <v>1</v>
      </c>
      <c r="J739" s="107" t="s">
        <v>432</v>
      </c>
      <c r="K739" s="107" t="s">
        <v>432</v>
      </c>
      <c r="L739" s="93" t="s">
        <v>432</v>
      </c>
      <c r="M739" s="93" t="s">
        <v>432</v>
      </c>
      <c r="N739" s="93" t="s">
        <v>432</v>
      </c>
      <c r="O739" s="93" t="s">
        <v>432</v>
      </c>
      <c r="P739" s="93" t="s">
        <v>432</v>
      </c>
      <c r="Q739" s="93" t="s">
        <v>432</v>
      </c>
      <c r="R739" s="93" t="s">
        <v>432</v>
      </c>
      <c r="S739" s="109" t="s">
        <v>2209</v>
      </c>
      <c r="T739" s="93" t="s">
        <v>432</v>
      </c>
      <c r="U739" s="93" t="s">
        <v>432</v>
      </c>
      <c r="V739" s="109" t="s">
        <v>2209</v>
      </c>
      <c r="W739" s="93" t="s">
        <v>432</v>
      </c>
      <c r="X739" s="93" t="s">
        <v>432</v>
      </c>
      <c r="Y739" s="93" t="s">
        <v>432</v>
      </c>
      <c r="Z739" s="93" t="s">
        <v>432</v>
      </c>
      <c r="AA739" s="93" t="s">
        <v>432</v>
      </c>
      <c r="AB739" s="86">
        <v>865</v>
      </c>
      <c r="AC739" s="86">
        <v>851</v>
      </c>
      <c r="AD739" s="86">
        <v>831</v>
      </c>
      <c r="AE739" s="86">
        <v>885</v>
      </c>
      <c r="AF739" s="86">
        <v>903</v>
      </c>
      <c r="AG739" s="87">
        <v>875</v>
      </c>
      <c r="AH739" s="87">
        <v>931</v>
      </c>
      <c r="AI739" s="87">
        <v>925</v>
      </c>
      <c r="AJ739" s="87">
        <v>798</v>
      </c>
      <c r="AK739" s="87">
        <v>782</v>
      </c>
      <c r="AL739" s="600" t="s">
        <v>432</v>
      </c>
      <c r="AM739" s="137" t="s">
        <v>432</v>
      </c>
      <c r="AN739" s="137" t="s">
        <v>432</v>
      </c>
      <c r="AO739" s="137" t="s">
        <v>432</v>
      </c>
      <c r="AP739" s="137" t="s">
        <v>432</v>
      </c>
      <c r="AQ739" s="137" t="s">
        <v>432</v>
      </c>
      <c r="AR739" s="137" t="s">
        <v>432</v>
      </c>
      <c r="AS739" s="137" t="s">
        <v>432</v>
      </c>
      <c r="AT739" s="137" t="s">
        <v>432</v>
      </c>
      <c r="AU739" s="137" t="s">
        <v>432</v>
      </c>
      <c r="AV739" s="137" t="s">
        <v>432</v>
      </c>
      <c r="AW739" s="137" t="s">
        <v>432</v>
      </c>
      <c r="AX739" s="137" t="s">
        <v>432</v>
      </c>
      <c r="AY739" s="137" t="s">
        <v>432</v>
      </c>
      <c r="AZ739" s="137" t="s">
        <v>432</v>
      </c>
      <c r="BA739" s="137" t="s">
        <v>432</v>
      </c>
      <c r="BB739" s="239" t="str">
        <f t="shared" si="154"/>
        <v>Transporte escolarx</v>
      </c>
      <c r="BC739" s="239" t="str">
        <f t="shared" si="155"/>
        <v>Transporte escolarxx</v>
      </c>
      <c r="BD739" s="239" t="str">
        <f t="shared" si="156"/>
        <v>Transporte escolarx</v>
      </c>
    </row>
    <row r="740" spans="1:56" s="3" customFormat="1" ht="145.5" customHeight="1" x14ac:dyDescent="0.25">
      <c r="A740" s="275" t="str">
        <f>'Q100b-totais'!$B$58</f>
        <v>8.6</v>
      </c>
      <c r="B740" s="54" t="str">
        <f>'Q100b-totais'!$C$58</f>
        <v>Transporte escolar</v>
      </c>
      <c r="C740" s="230" t="s">
        <v>432</v>
      </c>
      <c r="D740" s="972" t="s">
        <v>708</v>
      </c>
      <c r="E740" s="1402" t="s">
        <v>1306</v>
      </c>
      <c r="F740" s="56" t="s">
        <v>2652</v>
      </c>
      <c r="G740" s="110" t="s">
        <v>77</v>
      </c>
      <c r="H740" s="171" t="s">
        <v>432</v>
      </c>
      <c r="I740" s="57">
        <v>1</v>
      </c>
      <c r="J740" s="107" t="s">
        <v>432</v>
      </c>
      <c r="K740" s="107" t="s">
        <v>432</v>
      </c>
      <c r="L740" s="93" t="s">
        <v>432</v>
      </c>
      <c r="M740" s="93" t="s">
        <v>432</v>
      </c>
      <c r="N740" s="93" t="s">
        <v>432</v>
      </c>
      <c r="O740" s="93" t="s">
        <v>432</v>
      </c>
      <c r="P740" s="93" t="s">
        <v>432</v>
      </c>
      <c r="Q740" s="93" t="s">
        <v>432</v>
      </c>
      <c r="R740" s="93" t="s">
        <v>432</v>
      </c>
      <c r="S740" s="109" t="s">
        <v>2209</v>
      </c>
      <c r="T740" s="93" t="s">
        <v>432</v>
      </c>
      <c r="U740" s="93" t="s">
        <v>432</v>
      </c>
      <c r="V740" s="109" t="s">
        <v>2209</v>
      </c>
      <c r="W740" s="93" t="s">
        <v>432</v>
      </c>
      <c r="X740" s="93" t="s">
        <v>432</v>
      </c>
      <c r="Y740" s="93" t="s">
        <v>432</v>
      </c>
      <c r="Z740" s="93" t="s">
        <v>432</v>
      </c>
      <c r="AA740" s="93" t="s">
        <v>432</v>
      </c>
      <c r="AB740" s="86">
        <v>1051</v>
      </c>
      <c r="AC740" s="86">
        <v>1057</v>
      </c>
      <c r="AD740" s="86">
        <v>1141</v>
      </c>
      <c r="AE740" s="86">
        <v>1119</v>
      </c>
      <c r="AF740" s="86">
        <v>1110</v>
      </c>
      <c r="AG740" s="87">
        <v>1893</v>
      </c>
      <c r="AH740" s="87">
        <v>1875</v>
      </c>
      <c r="AI740" s="87">
        <v>2009</v>
      </c>
      <c r="AJ740" s="87">
        <v>2007</v>
      </c>
      <c r="AK740" s="87">
        <v>2060</v>
      </c>
      <c r="AL740" s="600" t="s">
        <v>432</v>
      </c>
      <c r="AM740" s="137" t="s">
        <v>432</v>
      </c>
      <c r="AN740" s="137" t="s">
        <v>432</v>
      </c>
      <c r="AO740" s="137" t="s">
        <v>432</v>
      </c>
      <c r="AP740" s="137" t="s">
        <v>432</v>
      </c>
      <c r="AQ740" s="137" t="s">
        <v>432</v>
      </c>
      <c r="AR740" s="137" t="s">
        <v>432</v>
      </c>
      <c r="AS740" s="137" t="s">
        <v>432</v>
      </c>
      <c r="AT740" s="137" t="s">
        <v>432</v>
      </c>
      <c r="AU740" s="137" t="s">
        <v>432</v>
      </c>
      <c r="AV740" s="137" t="s">
        <v>432</v>
      </c>
      <c r="AW740" s="137" t="s">
        <v>432</v>
      </c>
      <c r="AX740" s="137" t="s">
        <v>432</v>
      </c>
      <c r="AY740" s="137" t="s">
        <v>432</v>
      </c>
      <c r="AZ740" s="137" t="s">
        <v>432</v>
      </c>
      <c r="BA740" s="137" t="s">
        <v>432</v>
      </c>
      <c r="BB740" s="239" t="str">
        <f t="shared" si="154"/>
        <v>Transporte escolarx</v>
      </c>
      <c r="BC740" s="239" t="str">
        <f t="shared" si="155"/>
        <v>Transporte escolarxx</v>
      </c>
      <c r="BD740" s="239" t="str">
        <f t="shared" si="156"/>
        <v>Transporte escolarx</v>
      </c>
    </row>
    <row r="741" spans="1:56" s="1" customFormat="1" ht="25.5" customHeight="1" x14ac:dyDescent="0.25">
      <c r="A741" s="262" t="s">
        <v>432</v>
      </c>
      <c r="B741" s="252" t="s">
        <v>742</v>
      </c>
      <c r="C741" s="167" t="s">
        <v>432</v>
      </c>
      <c r="D741" s="324" t="s">
        <v>169</v>
      </c>
      <c r="E741" s="1496" t="s">
        <v>432</v>
      </c>
      <c r="F741" s="11" t="s">
        <v>910</v>
      </c>
      <c r="G741" s="167" t="s">
        <v>3879</v>
      </c>
      <c r="H741" s="167" t="s">
        <v>432</v>
      </c>
      <c r="I741" s="167" t="s">
        <v>432</v>
      </c>
      <c r="J741" s="107" t="s">
        <v>432</v>
      </c>
      <c r="K741" s="107" t="s">
        <v>432</v>
      </c>
      <c r="L741" s="107" t="s">
        <v>432</v>
      </c>
      <c r="M741" s="107" t="s">
        <v>432</v>
      </c>
      <c r="N741" s="107" t="s">
        <v>432</v>
      </c>
      <c r="O741" s="107" t="s">
        <v>432</v>
      </c>
      <c r="P741" s="107" t="s">
        <v>432</v>
      </c>
      <c r="Q741" s="107" t="s">
        <v>432</v>
      </c>
      <c r="R741" s="107" t="s">
        <v>432</v>
      </c>
      <c r="S741" s="109" t="s">
        <v>2209</v>
      </c>
      <c r="T741" s="107" t="s">
        <v>432</v>
      </c>
      <c r="U741" s="154" t="s">
        <v>432</v>
      </c>
      <c r="V741" s="109" t="s">
        <v>2209</v>
      </c>
      <c r="W741" s="178" t="s">
        <v>432</v>
      </c>
      <c r="X741" s="178" t="s">
        <v>432</v>
      </c>
      <c r="Y741" s="178" t="s">
        <v>432</v>
      </c>
      <c r="Z741" s="178" t="s">
        <v>432</v>
      </c>
      <c r="AA741" s="178" t="s">
        <v>432</v>
      </c>
      <c r="AB741" s="178" t="s">
        <v>432</v>
      </c>
      <c r="AC741" s="178" t="s">
        <v>432</v>
      </c>
      <c r="AD741" s="178" t="s">
        <v>432</v>
      </c>
      <c r="AE741" s="178" t="s">
        <v>432</v>
      </c>
      <c r="AF741" s="178" t="s">
        <v>432</v>
      </c>
      <c r="AG741" s="178" t="s">
        <v>432</v>
      </c>
      <c r="AH741" s="178" t="s">
        <v>432</v>
      </c>
      <c r="AI741" s="178" t="s">
        <v>432</v>
      </c>
      <c r="AJ741" s="178" t="s">
        <v>432</v>
      </c>
      <c r="AK741" s="137" t="s">
        <v>432</v>
      </c>
      <c r="AL741" s="600" t="s">
        <v>432</v>
      </c>
      <c r="AM741" s="137" t="s">
        <v>432</v>
      </c>
      <c r="AN741" s="137" t="s">
        <v>432</v>
      </c>
      <c r="AO741" s="137" t="s">
        <v>432</v>
      </c>
      <c r="AP741" s="137" t="s">
        <v>432</v>
      </c>
      <c r="AQ741" s="137" t="s">
        <v>432</v>
      </c>
      <c r="AR741" s="137" t="s">
        <v>432</v>
      </c>
      <c r="AS741" s="137" t="s">
        <v>432</v>
      </c>
      <c r="AT741" s="137" t="s">
        <v>432</v>
      </c>
      <c r="AU741" s="137" t="s">
        <v>432</v>
      </c>
      <c r="AV741" s="137" t="s">
        <v>432</v>
      </c>
      <c r="AW741" s="137" t="s">
        <v>432</v>
      </c>
      <c r="AX741" s="137" t="s">
        <v>432</v>
      </c>
      <c r="AY741" s="137" t="s">
        <v>432</v>
      </c>
      <c r="AZ741" s="137" t="s">
        <v>432</v>
      </c>
      <c r="BA741" s="137" t="s">
        <v>432</v>
      </c>
      <c r="BB741" s="239" t="str">
        <f t="shared" si="154"/>
        <v>geralx</v>
      </c>
      <c r="BC741" s="239" t="str">
        <f t="shared" si="155"/>
        <v>geralxx</v>
      </c>
      <c r="BD741" s="239" t="str">
        <f t="shared" si="156"/>
        <v>geralx</v>
      </c>
    </row>
    <row r="742" spans="1:56" s="1" customFormat="1" ht="36" customHeight="1" x14ac:dyDescent="0.25">
      <c r="A742" s="262" t="s">
        <v>432</v>
      </c>
      <c r="B742" s="252" t="s">
        <v>742</v>
      </c>
      <c r="C742" s="167" t="s">
        <v>432</v>
      </c>
      <c r="D742" s="324" t="s">
        <v>170</v>
      </c>
      <c r="E742" s="1496" t="s">
        <v>432</v>
      </c>
      <c r="F742" s="11" t="s">
        <v>911</v>
      </c>
      <c r="G742" s="167" t="s">
        <v>3879</v>
      </c>
      <c r="H742" s="167" t="s">
        <v>432</v>
      </c>
      <c r="I742" s="167" t="s">
        <v>432</v>
      </c>
      <c r="J742" s="107" t="s">
        <v>432</v>
      </c>
      <c r="K742" s="107" t="s">
        <v>432</v>
      </c>
      <c r="L742" s="107" t="s">
        <v>432</v>
      </c>
      <c r="M742" s="107" t="s">
        <v>432</v>
      </c>
      <c r="N742" s="107" t="s">
        <v>432</v>
      </c>
      <c r="O742" s="107" t="s">
        <v>432</v>
      </c>
      <c r="P742" s="107" t="s">
        <v>432</v>
      </c>
      <c r="Q742" s="107" t="s">
        <v>432</v>
      </c>
      <c r="R742" s="107" t="s">
        <v>432</v>
      </c>
      <c r="S742" s="109" t="s">
        <v>2209</v>
      </c>
      <c r="T742" s="107" t="s">
        <v>432</v>
      </c>
      <c r="U742" s="154" t="s">
        <v>432</v>
      </c>
      <c r="V742" s="109" t="s">
        <v>2209</v>
      </c>
      <c r="W742" s="178" t="s">
        <v>432</v>
      </c>
      <c r="X742" s="107" t="s">
        <v>432</v>
      </c>
      <c r="Y742" s="107" t="s">
        <v>432</v>
      </c>
      <c r="Z742" s="107" t="s">
        <v>432</v>
      </c>
      <c r="AA742" s="107" t="s">
        <v>432</v>
      </c>
      <c r="AB742" s="107" t="s">
        <v>432</v>
      </c>
      <c r="AC742" s="107" t="s">
        <v>432</v>
      </c>
      <c r="AD742" s="107" t="s">
        <v>432</v>
      </c>
      <c r="AE742" s="107" t="s">
        <v>432</v>
      </c>
      <c r="AF742" s="107" t="s">
        <v>432</v>
      </c>
      <c r="AG742" s="107" t="s">
        <v>432</v>
      </c>
      <c r="AH742" s="107" t="s">
        <v>432</v>
      </c>
      <c r="AI742" s="107" t="s">
        <v>432</v>
      </c>
      <c r="AJ742" s="107" t="s">
        <v>432</v>
      </c>
      <c r="AK742" s="137" t="s">
        <v>432</v>
      </c>
      <c r="AL742" s="600" t="s">
        <v>432</v>
      </c>
      <c r="AM742" s="137" t="s">
        <v>432</v>
      </c>
      <c r="AN742" s="137" t="s">
        <v>432</v>
      </c>
      <c r="AO742" s="137" t="s">
        <v>432</v>
      </c>
      <c r="AP742" s="137" t="s">
        <v>432</v>
      </c>
      <c r="AQ742" s="137" t="s">
        <v>432</v>
      </c>
      <c r="AR742" s="137" t="s">
        <v>432</v>
      </c>
      <c r="AS742" s="137" t="s">
        <v>432</v>
      </c>
      <c r="AT742" s="137" t="s">
        <v>432</v>
      </c>
      <c r="AU742" s="137" t="s">
        <v>432</v>
      </c>
      <c r="AV742" s="137" t="s">
        <v>432</v>
      </c>
      <c r="AW742" s="137" t="s">
        <v>432</v>
      </c>
      <c r="AX742" s="137" t="s">
        <v>432</v>
      </c>
      <c r="AY742" s="137" t="s">
        <v>432</v>
      </c>
      <c r="AZ742" s="137" t="s">
        <v>432</v>
      </c>
      <c r="BA742" s="137" t="s">
        <v>432</v>
      </c>
      <c r="BB742" s="239" t="str">
        <f t="shared" si="154"/>
        <v>geralx</v>
      </c>
      <c r="BC742" s="239" t="str">
        <f t="shared" si="155"/>
        <v>geralxx</v>
      </c>
      <c r="BD742" s="239" t="str">
        <f t="shared" si="156"/>
        <v>geralx</v>
      </c>
    </row>
    <row r="743" spans="1:56" s="1" customFormat="1" ht="36" customHeight="1" x14ac:dyDescent="0.25">
      <c r="A743" s="262" t="s">
        <v>432</v>
      </c>
      <c r="B743" s="252" t="s">
        <v>742</v>
      </c>
      <c r="C743" s="167" t="s">
        <v>432</v>
      </c>
      <c r="D743" s="324" t="s">
        <v>171</v>
      </c>
      <c r="E743" s="1496" t="s">
        <v>432</v>
      </c>
      <c r="F743" s="11" t="s">
        <v>912</v>
      </c>
      <c r="G743" s="167" t="s">
        <v>3879</v>
      </c>
      <c r="H743" s="167" t="s">
        <v>432</v>
      </c>
      <c r="I743" s="167" t="s">
        <v>432</v>
      </c>
      <c r="J743" s="107" t="s">
        <v>432</v>
      </c>
      <c r="K743" s="107" t="s">
        <v>432</v>
      </c>
      <c r="L743" s="107" t="s">
        <v>432</v>
      </c>
      <c r="M743" s="107" t="s">
        <v>432</v>
      </c>
      <c r="N743" s="107" t="s">
        <v>432</v>
      </c>
      <c r="O743" s="107" t="s">
        <v>432</v>
      </c>
      <c r="P743" s="107" t="s">
        <v>432</v>
      </c>
      <c r="Q743" s="107" t="s">
        <v>432</v>
      </c>
      <c r="R743" s="107" t="s">
        <v>432</v>
      </c>
      <c r="S743" s="109" t="s">
        <v>2209</v>
      </c>
      <c r="T743" s="107" t="s">
        <v>432</v>
      </c>
      <c r="U743" s="154" t="s">
        <v>432</v>
      </c>
      <c r="V743" s="109" t="s">
        <v>2209</v>
      </c>
      <c r="W743" s="178" t="s">
        <v>432</v>
      </c>
      <c r="X743" s="107" t="s">
        <v>432</v>
      </c>
      <c r="Y743" s="107" t="s">
        <v>432</v>
      </c>
      <c r="Z743" s="107" t="s">
        <v>432</v>
      </c>
      <c r="AA743" s="107" t="s">
        <v>432</v>
      </c>
      <c r="AB743" s="107" t="s">
        <v>432</v>
      </c>
      <c r="AC743" s="107" t="s">
        <v>432</v>
      </c>
      <c r="AD743" s="107" t="s">
        <v>432</v>
      </c>
      <c r="AE743" s="107" t="s">
        <v>432</v>
      </c>
      <c r="AF743" s="107" t="s">
        <v>432</v>
      </c>
      <c r="AG743" s="107" t="s">
        <v>432</v>
      </c>
      <c r="AH743" s="107" t="s">
        <v>432</v>
      </c>
      <c r="AI743" s="107" t="s">
        <v>432</v>
      </c>
      <c r="AJ743" s="107" t="s">
        <v>432</v>
      </c>
      <c r="AK743" s="137" t="s">
        <v>432</v>
      </c>
      <c r="AL743" s="600" t="s">
        <v>432</v>
      </c>
      <c r="AM743" s="137" t="s">
        <v>432</v>
      </c>
      <c r="AN743" s="137" t="s">
        <v>432</v>
      </c>
      <c r="AO743" s="137" t="s">
        <v>432</v>
      </c>
      <c r="AP743" s="137" t="s">
        <v>432</v>
      </c>
      <c r="AQ743" s="137" t="s">
        <v>432</v>
      </c>
      <c r="AR743" s="137" t="s">
        <v>432</v>
      </c>
      <c r="AS743" s="137" t="s">
        <v>432</v>
      </c>
      <c r="AT743" s="137" t="s">
        <v>432</v>
      </c>
      <c r="AU743" s="137" t="s">
        <v>432</v>
      </c>
      <c r="AV743" s="137" t="s">
        <v>432</v>
      </c>
      <c r="AW743" s="137" t="s">
        <v>432</v>
      </c>
      <c r="AX743" s="137" t="s">
        <v>432</v>
      </c>
      <c r="AY743" s="137" t="s">
        <v>432</v>
      </c>
      <c r="AZ743" s="137" t="s">
        <v>432</v>
      </c>
      <c r="BA743" s="137" t="s">
        <v>432</v>
      </c>
      <c r="BB743" s="239" t="str">
        <f t="shared" si="154"/>
        <v>geralx</v>
      </c>
      <c r="BC743" s="239" t="str">
        <f t="shared" si="155"/>
        <v>geralxx</v>
      </c>
      <c r="BD743" s="239" t="str">
        <f t="shared" si="156"/>
        <v>geralx</v>
      </c>
    </row>
    <row r="744" spans="1:56" s="1" customFormat="1" ht="36" customHeight="1" x14ac:dyDescent="0.25">
      <c r="A744" s="262" t="s">
        <v>432</v>
      </c>
      <c r="B744" s="252" t="s">
        <v>742</v>
      </c>
      <c r="C744" s="167" t="s">
        <v>432</v>
      </c>
      <c r="D744" s="324" t="s">
        <v>172</v>
      </c>
      <c r="E744" s="1496" t="s">
        <v>432</v>
      </c>
      <c r="F744" s="11" t="s">
        <v>913</v>
      </c>
      <c r="G744" s="167" t="s">
        <v>3879</v>
      </c>
      <c r="H744" s="167" t="s">
        <v>432</v>
      </c>
      <c r="I744" s="167" t="s">
        <v>432</v>
      </c>
      <c r="J744" s="107" t="s">
        <v>432</v>
      </c>
      <c r="K744" s="107" t="s">
        <v>432</v>
      </c>
      <c r="L744" s="107" t="s">
        <v>432</v>
      </c>
      <c r="M744" s="107" t="s">
        <v>432</v>
      </c>
      <c r="N744" s="107" t="s">
        <v>432</v>
      </c>
      <c r="O744" s="107" t="s">
        <v>432</v>
      </c>
      <c r="P744" s="107" t="s">
        <v>432</v>
      </c>
      <c r="Q744" s="107" t="s">
        <v>432</v>
      </c>
      <c r="R744" s="107" t="s">
        <v>432</v>
      </c>
      <c r="S744" s="109" t="s">
        <v>2209</v>
      </c>
      <c r="T744" s="107" t="s">
        <v>432</v>
      </c>
      <c r="U744" s="154" t="s">
        <v>432</v>
      </c>
      <c r="V744" s="109" t="s">
        <v>2209</v>
      </c>
      <c r="W744" s="178" t="s">
        <v>432</v>
      </c>
      <c r="X744" s="107" t="s">
        <v>432</v>
      </c>
      <c r="Y744" s="107" t="s">
        <v>432</v>
      </c>
      <c r="Z744" s="107" t="s">
        <v>432</v>
      </c>
      <c r="AA744" s="107" t="s">
        <v>432</v>
      </c>
      <c r="AB744" s="107" t="s">
        <v>432</v>
      </c>
      <c r="AC744" s="107" t="s">
        <v>432</v>
      </c>
      <c r="AD744" s="107" t="s">
        <v>432</v>
      </c>
      <c r="AE744" s="107" t="s">
        <v>432</v>
      </c>
      <c r="AF744" s="107" t="s">
        <v>432</v>
      </c>
      <c r="AG744" s="107" t="s">
        <v>432</v>
      </c>
      <c r="AH744" s="107" t="s">
        <v>432</v>
      </c>
      <c r="AI744" s="107" t="s">
        <v>432</v>
      </c>
      <c r="AJ744" s="107" t="s">
        <v>432</v>
      </c>
      <c r="AK744" s="137" t="s">
        <v>432</v>
      </c>
      <c r="AL744" s="600" t="s">
        <v>432</v>
      </c>
      <c r="AM744" s="137" t="s">
        <v>432</v>
      </c>
      <c r="AN744" s="137" t="s">
        <v>432</v>
      </c>
      <c r="AO744" s="137" t="s">
        <v>432</v>
      </c>
      <c r="AP744" s="137" t="s">
        <v>432</v>
      </c>
      <c r="AQ744" s="137" t="s">
        <v>432</v>
      </c>
      <c r="AR744" s="137" t="s">
        <v>432</v>
      </c>
      <c r="AS744" s="137" t="s">
        <v>432</v>
      </c>
      <c r="AT744" s="137" t="s">
        <v>432</v>
      </c>
      <c r="AU744" s="137" t="s">
        <v>432</v>
      </c>
      <c r="AV744" s="137" t="s">
        <v>432</v>
      </c>
      <c r="AW744" s="137" t="s">
        <v>432</v>
      </c>
      <c r="AX744" s="137" t="s">
        <v>432</v>
      </c>
      <c r="AY744" s="137" t="s">
        <v>432</v>
      </c>
      <c r="AZ744" s="137" t="s">
        <v>432</v>
      </c>
      <c r="BA744" s="137" t="s">
        <v>432</v>
      </c>
      <c r="BB744" s="239" t="str">
        <f t="shared" si="154"/>
        <v>geralx</v>
      </c>
      <c r="BC744" s="239" t="str">
        <f t="shared" si="155"/>
        <v>geralxx</v>
      </c>
      <c r="BD744" s="239" t="str">
        <f t="shared" si="156"/>
        <v>geralx</v>
      </c>
    </row>
    <row r="745" spans="1:56" s="1" customFormat="1" ht="25.5" x14ac:dyDescent="0.25">
      <c r="A745" s="262" t="str">
        <f>'Q100b-totais'!B21</f>
        <v>2.6</v>
      </c>
      <c r="B745" s="252" t="str">
        <f>'Q100b-totais'!C21</f>
        <v>Cidades da RMBH</v>
      </c>
      <c r="C745" s="167" t="s">
        <v>432</v>
      </c>
      <c r="D745" s="323" t="s">
        <v>1743</v>
      </c>
      <c r="E745" s="1491" t="s">
        <v>1743</v>
      </c>
      <c r="F745" s="468" t="str">
        <f>pend!C189</f>
        <v>município da RMBH (faltando completar)</v>
      </c>
      <c r="G745" s="230" t="s">
        <v>3507</v>
      </c>
      <c r="H745" s="167" t="s">
        <v>2408</v>
      </c>
      <c r="I745" s="167" t="s">
        <v>432</v>
      </c>
      <c r="J745" s="107" t="s">
        <v>432</v>
      </c>
      <c r="K745" s="107" t="s">
        <v>432</v>
      </c>
      <c r="L745" s="107" t="s">
        <v>432</v>
      </c>
      <c r="M745" s="107" t="s">
        <v>432</v>
      </c>
      <c r="N745" s="107" t="s">
        <v>432</v>
      </c>
      <c r="O745" s="107" t="s">
        <v>432</v>
      </c>
      <c r="P745" s="107" t="s">
        <v>432</v>
      </c>
      <c r="Q745" s="107" t="s">
        <v>432</v>
      </c>
      <c r="R745" s="107" t="s">
        <v>432</v>
      </c>
      <c r="S745" s="109" t="s">
        <v>2209</v>
      </c>
      <c r="T745" s="107" t="s">
        <v>432</v>
      </c>
      <c r="U745" s="107" t="s">
        <v>432</v>
      </c>
      <c r="V745" s="109" t="s">
        <v>2209</v>
      </c>
      <c r="W745" s="107" t="s">
        <v>432</v>
      </c>
      <c r="X745" s="107" t="s">
        <v>432</v>
      </c>
      <c r="Y745" s="107" t="s">
        <v>432</v>
      </c>
      <c r="Z745" s="107" t="s">
        <v>432</v>
      </c>
      <c r="AA745" s="107" t="s">
        <v>432</v>
      </c>
      <c r="AB745" s="107" t="s">
        <v>432</v>
      </c>
      <c r="AC745" s="107" t="s">
        <v>432</v>
      </c>
      <c r="AD745" s="107" t="s">
        <v>432</v>
      </c>
      <c r="AE745" s="107" t="s">
        <v>432</v>
      </c>
      <c r="AF745" s="107" t="s">
        <v>432</v>
      </c>
      <c r="AG745" s="107" t="s">
        <v>432</v>
      </c>
      <c r="AH745" s="107" t="s">
        <v>432</v>
      </c>
      <c r="AI745" s="107" t="s">
        <v>432</v>
      </c>
      <c r="AJ745" s="107" t="s">
        <v>432</v>
      </c>
      <c r="AK745" s="137" t="s">
        <v>432</v>
      </c>
      <c r="AL745" s="600" t="s">
        <v>432</v>
      </c>
      <c r="AM745" s="137" t="s">
        <v>432</v>
      </c>
      <c r="AN745" s="137" t="s">
        <v>432</v>
      </c>
      <c r="AO745" s="137" t="s">
        <v>432</v>
      </c>
      <c r="AP745" s="137" t="s">
        <v>432</v>
      </c>
      <c r="AQ745" s="137" t="s">
        <v>432</v>
      </c>
      <c r="AR745" s="137" t="s">
        <v>432</v>
      </c>
      <c r="AS745" s="137" t="s">
        <v>432</v>
      </c>
      <c r="AT745" s="137" t="s">
        <v>432</v>
      </c>
      <c r="AU745" s="137" t="s">
        <v>432</v>
      </c>
      <c r="AV745" s="137" t="s">
        <v>432</v>
      </c>
      <c r="AW745" s="137" t="s">
        <v>432</v>
      </c>
      <c r="AX745" s="137" t="s">
        <v>432</v>
      </c>
      <c r="AY745" s="137" t="s">
        <v>432</v>
      </c>
      <c r="AZ745" s="137" t="s">
        <v>432</v>
      </c>
      <c r="BA745" s="137" t="s">
        <v>432</v>
      </c>
      <c r="BB745" s="239" t="str">
        <f t="shared" si="154"/>
        <v>Cidades da RMBHx</v>
      </c>
      <c r="BC745" s="239" t="str">
        <f t="shared" si="155"/>
        <v>Cidades da RMBHxsigla/verbete</v>
      </c>
      <c r="BD745" s="239" t="str">
        <f t="shared" si="156"/>
        <v>Cidades da RMBHsigla/verbete</v>
      </c>
    </row>
    <row r="746" spans="1:56" s="1" customFormat="1" ht="25.5" x14ac:dyDescent="0.25">
      <c r="A746" s="262" t="s">
        <v>432</v>
      </c>
      <c r="B746" s="252" t="s">
        <v>742</v>
      </c>
      <c r="C746" s="167" t="s">
        <v>432</v>
      </c>
      <c r="D746" s="324" t="s">
        <v>173</v>
      </c>
      <c r="E746" s="1496" t="s">
        <v>432</v>
      </c>
      <c r="F746" s="11" t="s">
        <v>748</v>
      </c>
      <c r="G746" s="167" t="s">
        <v>3879</v>
      </c>
      <c r="H746" s="167" t="s">
        <v>432</v>
      </c>
      <c r="I746" s="167" t="s">
        <v>432</v>
      </c>
      <c r="J746" s="107" t="s">
        <v>432</v>
      </c>
      <c r="K746" s="107" t="s">
        <v>432</v>
      </c>
      <c r="L746" s="107" t="s">
        <v>432</v>
      </c>
      <c r="M746" s="107" t="s">
        <v>432</v>
      </c>
      <c r="N746" s="107" t="s">
        <v>432</v>
      </c>
      <c r="O746" s="107" t="s">
        <v>432</v>
      </c>
      <c r="P746" s="107" t="s">
        <v>432</v>
      </c>
      <c r="Q746" s="107" t="s">
        <v>432</v>
      </c>
      <c r="R746" s="107" t="s">
        <v>432</v>
      </c>
      <c r="S746" s="109" t="s">
        <v>2209</v>
      </c>
      <c r="T746" s="107" t="s">
        <v>432</v>
      </c>
      <c r="U746" s="107" t="s">
        <v>432</v>
      </c>
      <c r="V746" s="109" t="s">
        <v>2209</v>
      </c>
      <c r="W746" s="107" t="s">
        <v>432</v>
      </c>
      <c r="X746" s="107" t="s">
        <v>432</v>
      </c>
      <c r="Y746" s="107" t="s">
        <v>432</v>
      </c>
      <c r="Z746" s="107" t="s">
        <v>432</v>
      </c>
      <c r="AA746" s="107" t="s">
        <v>432</v>
      </c>
      <c r="AB746" s="107" t="s">
        <v>432</v>
      </c>
      <c r="AC746" s="107" t="s">
        <v>432</v>
      </c>
      <c r="AD746" s="107" t="s">
        <v>432</v>
      </c>
      <c r="AE746" s="107" t="s">
        <v>432</v>
      </c>
      <c r="AF746" s="107" t="s">
        <v>432</v>
      </c>
      <c r="AG746" s="107" t="s">
        <v>432</v>
      </c>
      <c r="AH746" s="107" t="s">
        <v>432</v>
      </c>
      <c r="AI746" s="107" t="s">
        <v>432</v>
      </c>
      <c r="AJ746" s="107" t="s">
        <v>432</v>
      </c>
      <c r="AK746" s="137" t="s">
        <v>432</v>
      </c>
      <c r="AL746" s="600" t="s">
        <v>432</v>
      </c>
      <c r="AM746" s="137" t="s">
        <v>432</v>
      </c>
      <c r="AN746" s="137" t="s">
        <v>432</v>
      </c>
      <c r="AO746" s="137" t="s">
        <v>432</v>
      </c>
      <c r="AP746" s="137" t="s">
        <v>432</v>
      </c>
      <c r="AQ746" s="137" t="s">
        <v>432</v>
      </c>
      <c r="AR746" s="137" t="s">
        <v>432</v>
      </c>
      <c r="AS746" s="137" t="s">
        <v>432</v>
      </c>
      <c r="AT746" s="137" t="s">
        <v>432</v>
      </c>
      <c r="AU746" s="137" t="s">
        <v>432</v>
      </c>
      <c r="AV746" s="137" t="s">
        <v>432</v>
      </c>
      <c r="AW746" s="137" t="s">
        <v>432</v>
      </c>
      <c r="AX746" s="137" t="s">
        <v>432</v>
      </c>
      <c r="AY746" s="137" t="s">
        <v>432</v>
      </c>
      <c r="AZ746" s="137" t="s">
        <v>432</v>
      </c>
      <c r="BA746" s="137" t="s">
        <v>432</v>
      </c>
      <c r="BB746" s="239" t="str">
        <f t="shared" si="154"/>
        <v>geralx</v>
      </c>
      <c r="BC746" s="239" t="str">
        <f t="shared" si="155"/>
        <v>geralxx</v>
      </c>
      <c r="BD746" s="239" t="str">
        <f t="shared" si="156"/>
        <v>geralx</v>
      </c>
    </row>
    <row r="747" spans="1:56" s="1" customFormat="1" ht="89.25" x14ac:dyDescent="0.25">
      <c r="A747" s="262" t="s">
        <v>432</v>
      </c>
      <c r="B747" s="252" t="s">
        <v>742</v>
      </c>
      <c r="C747" s="167" t="s">
        <v>432</v>
      </c>
      <c r="D747" s="325" t="s">
        <v>5263</v>
      </c>
      <c r="E747" s="1445" t="s">
        <v>432</v>
      </c>
      <c r="F747" s="619" t="s">
        <v>5273</v>
      </c>
      <c r="G747" s="230" t="s">
        <v>3507</v>
      </c>
      <c r="H747" s="167" t="s">
        <v>2408</v>
      </c>
      <c r="I747" s="167" t="s">
        <v>432</v>
      </c>
      <c r="J747" s="107" t="s">
        <v>432</v>
      </c>
      <c r="K747" s="107" t="s">
        <v>432</v>
      </c>
      <c r="L747" s="107" t="s">
        <v>432</v>
      </c>
      <c r="M747" s="107" t="s">
        <v>432</v>
      </c>
      <c r="N747" s="107" t="s">
        <v>432</v>
      </c>
      <c r="O747" s="107" t="s">
        <v>432</v>
      </c>
      <c r="P747" s="107" t="s">
        <v>432</v>
      </c>
      <c r="Q747" s="107" t="s">
        <v>432</v>
      </c>
      <c r="R747" s="107" t="s">
        <v>432</v>
      </c>
      <c r="S747" s="109" t="s">
        <v>2209</v>
      </c>
      <c r="T747" s="107" t="s">
        <v>432</v>
      </c>
      <c r="U747" s="107" t="s">
        <v>432</v>
      </c>
      <c r="V747" s="109" t="s">
        <v>2209</v>
      </c>
      <c r="W747" s="107" t="s">
        <v>432</v>
      </c>
      <c r="X747" s="107" t="s">
        <v>432</v>
      </c>
      <c r="Y747" s="107" t="s">
        <v>432</v>
      </c>
      <c r="Z747" s="107" t="s">
        <v>432</v>
      </c>
      <c r="AA747" s="107" t="s">
        <v>432</v>
      </c>
      <c r="AB747" s="107" t="s">
        <v>432</v>
      </c>
      <c r="AC747" s="107" t="s">
        <v>432</v>
      </c>
      <c r="AD747" s="107" t="s">
        <v>432</v>
      </c>
      <c r="AE747" s="107" t="s">
        <v>432</v>
      </c>
      <c r="AF747" s="107" t="s">
        <v>432</v>
      </c>
      <c r="AG747" s="107" t="s">
        <v>432</v>
      </c>
      <c r="AH747" s="107" t="s">
        <v>432</v>
      </c>
      <c r="AI747" s="107" t="s">
        <v>432</v>
      </c>
      <c r="AJ747" s="107" t="s">
        <v>432</v>
      </c>
      <c r="AK747" s="137" t="s">
        <v>432</v>
      </c>
      <c r="AL747" s="600" t="s">
        <v>432</v>
      </c>
      <c r="AM747" s="137" t="s">
        <v>432</v>
      </c>
      <c r="AN747" s="137" t="s">
        <v>432</v>
      </c>
      <c r="AO747" s="137" t="s">
        <v>432</v>
      </c>
      <c r="AP747" s="137" t="s">
        <v>432</v>
      </c>
      <c r="AQ747" s="137" t="s">
        <v>432</v>
      </c>
      <c r="AR747" s="137" t="s">
        <v>432</v>
      </c>
      <c r="AS747" s="137" t="s">
        <v>432</v>
      </c>
      <c r="AT747" s="137" t="s">
        <v>432</v>
      </c>
      <c r="AU747" s="137" t="s">
        <v>432</v>
      </c>
      <c r="AV747" s="137" t="s">
        <v>432</v>
      </c>
      <c r="AW747" s="137" t="s">
        <v>432</v>
      </c>
      <c r="AX747" s="137" t="s">
        <v>432</v>
      </c>
      <c r="AY747" s="137" t="s">
        <v>432</v>
      </c>
      <c r="AZ747" s="137" t="s">
        <v>432</v>
      </c>
      <c r="BA747" s="137" t="s">
        <v>432</v>
      </c>
      <c r="BB747" s="239" t="str">
        <f t="shared" si="154"/>
        <v>geralx</v>
      </c>
      <c r="BC747" s="239" t="str">
        <f t="shared" si="155"/>
        <v>geralxsigla/verbete</v>
      </c>
      <c r="BD747" s="239" t="str">
        <f t="shared" si="156"/>
        <v>geralsigla/verbete</v>
      </c>
    </row>
    <row r="748" spans="1:56" s="1" customFormat="1" ht="65.25" customHeight="1" x14ac:dyDescent="0.25">
      <c r="A748" s="262" t="s">
        <v>432</v>
      </c>
      <c r="B748" s="252" t="s">
        <v>742</v>
      </c>
      <c r="C748" s="167" t="s">
        <v>743</v>
      </c>
      <c r="D748" s="324" t="s">
        <v>2725</v>
      </c>
      <c r="E748" s="1496" t="s">
        <v>1306</v>
      </c>
      <c r="F748" s="11" t="s">
        <v>2726</v>
      </c>
      <c r="G748" s="230" t="s">
        <v>3507</v>
      </c>
      <c r="H748" s="167" t="s">
        <v>2408</v>
      </c>
      <c r="I748" s="167" t="s">
        <v>432</v>
      </c>
      <c r="J748" s="107" t="s">
        <v>432</v>
      </c>
      <c r="K748" s="107" t="s">
        <v>432</v>
      </c>
      <c r="L748" s="107" t="s">
        <v>432</v>
      </c>
      <c r="M748" s="107" t="s">
        <v>432</v>
      </c>
      <c r="N748" s="107" t="s">
        <v>432</v>
      </c>
      <c r="O748" s="107" t="s">
        <v>432</v>
      </c>
      <c r="P748" s="107" t="s">
        <v>432</v>
      </c>
      <c r="Q748" s="107" t="s">
        <v>432</v>
      </c>
      <c r="R748" s="107" t="s">
        <v>432</v>
      </c>
      <c r="S748" s="109" t="s">
        <v>2209</v>
      </c>
      <c r="T748" s="107" t="s">
        <v>432</v>
      </c>
      <c r="U748" s="107" t="s">
        <v>432</v>
      </c>
      <c r="V748" s="109" t="s">
        <v>2209</v>
      </c>
      <c r="W748" s="107" t="s">
        <v>432</v>
      </c>
      <c r="X748" s="107" t="s">
        <v>432</v>
      </c>
      <c r="Y748" s="107" t="s">
        <v>432</v>
      </c>
      <c r="Z748" s="107" t="s">
        <v>432</v>
      </c>
      <c r="AA748" s="107" t="s">
        <v>432</v>
      </c>
      <c r="AB748" s="107" t="s">
        <v>432</v>
      </c>
      <c r="AC748" s="107" t="s">
        <v>432</v>
      </c>
      <c r="AD748" s="107" t="s">
        <v>432</v>
      </c>
      <c r="AE748" s="107" t="s">
        <v>432</v>
      </c>
      <c r="AF748" s="107" t="s">
        <v>432</v>
      </c>
      <c r="AG748" s="107" t="s">
        <v>432</v>
      </c>
      <c r="AH748" s="107" t="s">
        <v>432</v>
      </c>
      <c r="AI748" s="107" t="s">
        <v>432</v>
      </c>
      <c r="AJ748" s="107" t="s">
        <v>432</v>
      </c>
      <c r="AK748" s="137" t="s">
        <v>432</v>
      </c>
      <c r="AL748" s="600" t="s">
        <v>432</v>
      </c>
      <c r="AM748" s="137" t="s">
        <v>432</v>
      </c>
      <c r="AN748" s="137" t="s">
        <v>432</v>
      </c>
      <c r="AO748" s="137" t="s">
        <v>432</v>
      </c>
      <c r="AP748" s="137" t="s">
        <v>432</v>
      </c>
      <c r="AQ748" s="137" t="s">
        <v>432</v>
      </c>
      <c r="AR748" s="137" t="s">
        <v>432</v>
      </c>
      <c r="AS748" s="137" t="s">
        <v>432</v>
      </c>
      <c r="AT748" s="137" t="s">
        <v>432</v>
      </c>
      <c r="AU748" s="137" t="s">
        <v>432</v>
      </c>
      <c r="AV748" s="137" t="s">
        <v>432</v>
      </c>
      <c r="AW748" s="137" t="s">
        <v>432</v>
      </c>
      <c r="AX748" s="137" t="s">
        <v>432</v>
      </c>
      <c r="AY748" s="137" t="s">
        <v>432</v>
      </c>
      <c r="AZ748" s="137" t="s">
        <v>432</v>
      </c>
      <c r="BA748" s="137" t="s">
        <v>432</v>
      </c>
      <c r="BB748" s="239" t="str">
        <f t="shared" si="154"/>
        <v>geralacessibilidade</v>
      </c>
      <c r="BC748" s="239" t="str">
        <f t="shared" si="155"/>
        <v>geralacessibilidadesigla/verbete</v>
      </c>
      <c r="BD748" s="239" t="str">
        <f t="shared" si="156"/>
        <v>geralsigla/verbete</v>
      </c>
    </row>
    <row r="749" spans="1:56" s="1" customFormat="1" ht="108.75" customHeight="1" x14ac:dyDescent="0.25">
      <c r="A749" s="262" t="str">
        <f>'Q100b-totais'!B65</f>
        <v>9.2</v>
      </c>
      <c r="B749" s="252" t="str">
        <f>'Q100b-totais'!C65</f>
        <v>Estacionamento</v>
      </c>
      <c r="C749" s="167" t="s">
        <v>743</v>
      </c>
      <c r="D749" s="324" t="s">
        <v>4503</v>
      </c>
      <c r="E749" s="1496" t="s">
        <v>1767</v>
      </c>
      <c r="F749" s="1205" t="s">
        <v>4672</v>
      </c>
      <c r="G749" s="230" t="s">
        <v>3507</v>
      </c>
      <c r="H749" s="167" t="s">
        <v>2408</v>
      </c>
      <c r="I749" s="167" t="s">
        <v>432</v>
      </c>
      <c r="J749" s="107" t="s">
        <v>432</v>
      </c>
      <c r="K749" s="107" t="s">
        <v>432</v>
      </c>
      <c r="L749" s="107" t="s">
        <v>432</v>
      </c>
      <c r="M749" s="107" t="s">
        <v>432</v>
      </c>
      <c r="N749" s="107" t="s">
        <v>432</v>
      </c>
      <c r="O749" s="107" t="s">
        <v>432</v>
      </c>
      <c r="P749" s="107" t="s">
        <v>432</v>
      </c>
      <c r="Q749" s="107" t="s">
        <v>432</v>
      </c>
      <c r="R749" s="107" t="s">
        <v>432</v>
      </c>
      <c r="S749" s="109" t="s">
        <v>2209</v>
      </c>
      <c r="T749" s="107" t="s">
        <v>432</v>
      </c>
      <c r="U749" s="107" t="s">
        <v>432</v>
      </c>
      <c r="V749" s="109" t="s">
        <v>2209</v>
      </c>
      <c r="W749" s="107" t="s">
        <v>432</v>
      </c>
      <c r="X749" s="107" t="s">
        <v>432</v>
      </c>
      <c r="Y749" s="107" t="s">
        <v>432</v>
      </c>
      <c r="Z749" s="107" t="s">
        <v>432</v>
      </c>
      <c r="AA749" s="107" t="s">
        <v>432</v>
      </c>
      <c r="AB749" s="107" t="s">
        <v>432</v>
      </c>
      <c r="AC749" s="107" t="s">
        <v>432</v>
      </c>
      <c r="AD749" s="107" t="s">
        <v>432</v>
      </c>
      <c r="AE749" s="107" t="s">
        <v>432</v>
      </c>
      <c r="AF749" s="107" t="s">
        <v>432</v>
      </c>
      <c r="AG749" s="107" t="s">
        <v>432</v>
      </c>
      <c r="AH749" s="107" t="s">
        <v>432</v>
      </c>
      <c r="AI749" s="107" t="s">
        <v>432</v>
      </c>
      <c r="AJ749" s="107" t="s">
        <v>432</v>
      </c>
      <c r="AK749" s="137" t="s">
        <v>432</v>
      </c>
      <c r="AL749" s="600" t="s">
        <v>432</v>
      </c>
      <c r="AM749" s="137" t="s">
        <v>432</v>
      </c>
      <c r="AN749" s="137" t="s">
        <v>432</v>
      </c>
      <c r="AO749" s="137" t="s">
        <v>432</v>
      </c>
      <c r="AP749" s="137" t="s">
        <v>432</v>
      </c>
      <c r="AQ749" s="137" t="s">
        <v>432</v>
      </c>
      <c r="AR749" s="137" t="s">
        <v>432</v>
      </c>
      <c r="AS749" s="137" t="s">
        <v>432</v>
      </c>
      <c r="AT749" s="137" t="s">
        <v>432</v>
      </c>
      <c r="AU749" s="137" t="s">
        <v>432</v>
      </c>
      <c r="AV749" s="137" t="s">
        <v>432</v>
      </c>
      <c r="AW749" s="137" t="s">
        <v>432</v>
      </c>
      <c r="AX749" s="137" t="s">
        <v>432</v>
      </c>
      <c r="AY749" s="137" t="s">
        <v>432</v>
      </c>
      <c r="AZ749" s="137" t="s">
        <v>432</v>
      </c>
      <c r="BA749" s="137" t="s">
        <v>432</v>
      </c>
      <c r="BB749" s="239" t="str">
        <f t="shared" si="154"/>
        <v>Estacionamentoacessibilidade</v>
      </c>
      <c r="BC749" s="239" t="str">
        <f t="shared" si="155"/>
        <v>Estacionamentoacessibilidadesigla/verbete</v>
      </c>
      <c r="BD749" s="239" t="str">
        <f t="shared" si="156"/>
        <v>Estacionamentosigla/verbete</v>
      </c>
    </row>
    <row r="750" spans="1:56" s="1" customFormat="1" ht="47.25" x14ac:dyDescent="0.25">
      <c r="A750" s="262" t="str">
        <f>'Q100b-totais'!B65</f>
        <v>9.2</v>
      </c>
      <c r="B750" s="252" t="str">
        <f>'Q100b-totais'!C65</f>
        <v>Estacionamento</v>
      </c>
      <c r="C750" s="167" t="s">
        <v>743</v>
      </c>
      <c r="D750" s="324" t="s">
        <v>4503</v>
      </c>
      <c r="E750" s="1496" t="s">
        <v>1306</v>
      </c>
      <c r="F750" s="1205" t="s">
        <v>4527</v>
      </c>
      <c r="G750" s="230" t="s">
        <v>3507</v>
      </c>
      <c r="H750" s="167" t="s">
        <v>2408</v>
      </c>
      <c r="I750" s="167" t="s">
        <v>432</v>
      </c>
      <c r="J750" s="107" t="s">
        <v>432</v>
      </c>
      <c r="K750" s="107" t="s">
        <v>432</v>
      </c>
      <c r="L750" s="107" t="s">
        <v>432</v>
      </c>
      <c r="M750" s="107" t="s">
        <v>432</v>
      </c>
      <c r="N750" s="107" t="s">
        <v>432</v>
      </c>
      <c r="O750" s="107" t="s">
        <v>432</v>
      </c>
      <c r="P750" s="107" t="s">
        <v>432</v>
      </c>
      <c r="Q750" s="107" t="s">
        <v>432</v>
      </c>
      <c r="R750" s="107" t="s">
        <v>432</v>
      </c>
      <c r="S750" s="109" t="s">
        <v>2209</v>
      </c>
      <c r="T750" s="107" t="s">
        <v>432</v>
      </c>
      <c r="U750" s="107" t="s">
        <v>432</v>
      </c>
      <c r="V750" s="109" t="s">
        <v>2209</v>
      </c>
      <c r="W750" s="107" t="s">
        <v>432</v>
      </c>
      <c r="X750" s="107" t="s">
        <v>432</v>
      </c>
      <c r="Y750" s="107" t="s">
        <v>432</v>
      </c>
      <c r="Z750" s="107" t="s">
        <v>432</v>
      </c>
      <c r="AA750" s="107" t="s">
        <v>432</v>
      </c>
      <c r="AB750" s="107" t="s">
        <v>432</v>
      </c>
      <c r="AC750" s="107" t="s">
        <v>432</v>
      </c>
      <c r="AD750" s="107" t="s">
        <v>432</v>
      </c>
      <c r="AE750" s="107" t="s">
        <v>432</v>
      </c>
      <c r="AF750" s="107" t="s">
        <v>432</v>
      </c>
      <c r="AG750" s="107" t="s">
        <v>432</v>
      </c>
      <c r="AH750" s="107" t="s">
        <v>432</v>
      </c>
      <c r="AI750" s="107" t="s">
        <v>432</v>
      </c>
      <c r="AJ750" s="107" t="s">
        <v>432</v>
      </c>
      <c r="AK750" s="137" t="s">
        <v>432</v>
      </c>
      <c r="AL750" s="600" t="s">
        <v>432</v>
      </c>
      <c r="AM750" s="137" t="s">
        <v>432</v>
      </c>
      <c r="AN750" s="137" t="s">
        <v>432</v>
      </c>
      <c r="AO750" s="137" t="s">
        <v>432</v>
      </c>
      <c r="AP750" s="137" t="s">
        <v>432</v>
      </c>
      <c r="AQ750" s="137" t="s">
        <v>432</v>
      </c>
      <c r="AR750" s="137" t="s">
        <v>432</v>
      </c>
      <c r="AS750" s="137" t="s">
        <v>432</v>
      </c>
      <c r="AT750" s="137" t="s">
        <v>432</v>
      </c>
      <c r="AU750" s="137" t="s">
        <v>432</v>
      </c>
      <c r="AV750" s="137" t="s">
        <v>432</v>
      </c>
      <c r="AW750" s="137" t="s">
        <v>432</v>
      </c>
      <c r="AX750" s="137" t="s">
        <v>432</v>
      </c>
      <c r="AY750" s="137" t="s">
        <v>432</v>
      </c>
      <c r="AZ750" s="137" t="s">
        <v>432</v>
      </c>
      <c r="BA750" s="137" t="s">
        <v>432</v>
      </c>
      <c r="BB750" s="239" t="str">
        <f t="shared" si="154"/>
        <v>Estacionamentoacessibilidade</v>
      </c>
      <c r="BC750" s="239" t="str">
        <f t="shared" si="155"/>
        <v>Estacionamentoacessibilidadesigla/verbete</v>
      </c>
      <c r="BD750" s="239" t="str">
        <f t="shared" si="156"/>
        <v>Estacionamentosigla/verbete</v>
      </c>
    </row>
    <row r="751" spans="1:56" s="1" customFormat="1" ht="352.5" customHeight="1" x14ac:dyDescent="0.25">
      <c r="A751" s="262" t="str">
        <f>'Q100b-totais'!B65</f>
        <v>9.2</v>
      </c>
      <c r="B751" s="252" t="str">
        <f>'Q100b-totais'!C65</f>
        <v>Estacionamento</v>
      </c>
      <c r="C751" s="167" t="s">
        <v>743</v>
      </c>
      <c r="D751" s="324" t="s">
        <v>4504</v>
      </c>
      <c r="E751" s="1496" t="s">
        <v>1767</v>
      </c>
      <c r="F751" s="1205" t="s">
        <v>4673</v>
      </c>
      <c r="G751" s="230" t="s">
        <v>3507</v>
      </c>
      <c r="H751" s="167" t="s">
        <v>2408</v>
      </c>
      <c r="I751" s="167" t="s">
        <v>432</v>
      </c>
      <c r="J751" s="107" t="s">
        <v>432</v>
      </c>
      <c r="K751" s="107" t="s">
        <v>432</v>
      </c>
      <c r="L751" s="107" t="s">
        <v>432</v>
      </c>
      <c r="M751" s="107" t="s">
        <v>432</v>
      </c>
      <c r="N751" s="107" t="s">
        <v>432</v>
      </c>
      <c r="O751" s="107" t="s">
        <v>432</v>
      </c>
      <c r="P751" s="107" t="s">
        <v>432</v>
      </c>
      <c r="Q751" s="107" t="s">
        <v>432</v>
      </c>
      <c r="R751" s="107" t="s">
        <v>432</v>
      </c>
      <c r="S751" s="109" t="s">
        <v>2209</v>
      </c>
      <c r="T751" s="107" t="s">
        <v>432</v>
      </c>
      <c r="U751" s="107" t="s">
        <v>432</v>
      </c>
      <c r="V751" s="109" t="s">
        <v>2209</v>
      </c>
      <c r="W751" s="107" t="s">
        <v>432</v>
      </c>
      <c r="X751" s="107" t="s">
        <v>432</v>
      </c>
      <c r="Y751" s="107" t="s">
        <v>432</v>
      </c>
      <c r="Z751" s="107" t="s">
        <v>432</v>
      </c>
      <c r="AA751" s="107" t="s">
        <v>432</v>
      </c>
      <c r="AB751" s="107" t="s">
        <v>432</v>
      </c>
      <c r="AC751" s="107" t="s">
        <v>432</v>
      </c>
      <c r="AD751" s="107" t="s">
        <v>432</v>
      </c>
      <c r="AE751" s="107" t="s">
        <v>432</v>
      </c>
      <c r="AF751" s="107" t="s">
        <v>432</v>
      </c>
      <c r="AG751" s="107" t="s">
        <v>432</v>
      </c>
      <c r="AH751" s="107" t="s">
        <v>432</v>
      </c>
      <c r="AI751" s="107" t="s">
        <v>432</v>
      </c>
      <c r="AJ751" s="107" t="s">
        <v>432</v>
      </c>
      <c r="AK751" s="137" t="s">
        <v>432</v>
      </c>
      <c r="AL751" s="600" t="s">
        <v>432</v>
      </c>
      <c r="AM751" s="137" t="s">
        <v>432</v>
      </c>
      <c r="AN751" s="137" t="s">
        <v>432</v>
      </c>
      <c r="AO751" s="137" t="s">
        <v>432</v>
      </c>
      <c r="AP751" s="137" t="s">
        <v>432</v>
      </c>
      <c r="AQ751" s="137" t="s">
        <v>432</v>
      </c>
      <c r="AR751" s="137" t="s">
        <v>432</v>
      </c>
      <c r="AS751" s="137" t="s">
        <v>432</v>
      </c>
      <c r="AT751" s="137" t="s">
        <v>432</v>
      </c>
      <c r="AU751" s="137" t="s">
        <v>432</v>
      </c>
      <c r="AV751" s="137" t="s">
        <v>432</v>
      </c>
      <c r="AW751" s="137" t="s">
        <v>432</v>
      </c>
      <c r="AX751" s="137" t="s">
        <v>432</v>
      </c>
      <c r="AY751" s="137" t="s">
        <v>432</v>
      </c>
      <c r="AZ751" s="137" t="s">
        <v>432</v>
      </c>
      <c r="BA751" s="137" t="s">
        <v>432</v>
      </c>
      <c r="BB751" s="239" t="str">
        <f t="shared" si="154"/>
        <v>Estacionamentoacessibilidade</v>
      </c>
      <c r="BC751" s="239" t="str">
        <f t="shared" si="155"/>
        <v>Estacionamentoacessibilidadesigla/verbete</v>
      </c>
      <c r="BD751" s="239" t="str">
        <f t="shared" si="156"/>
        <v>Estacionamentosigla/verbete</v>
      </c>
    </row>
    <row r="752" spans="1:56" s="1" customFormat="1" ht="47.25" x14ac:dyDescent="0.25">
      <c r="A752" s="262" t="str">
        <f>'Q100b-totais'!B65</f>
        <v>9.2</v>
      </c>
      <c r="B752" s="252" t="str">
        <f>'Q100b-totais'!C65</f>
        <v>Estacionamento</v>
      </c>
      <c r="C752" s="167" t="s">
        <v>743</v>
      </c>
      <c r="D752" s="324" t="s">
        <v>4504</v>
      </c>
      <c r="E752" s="1496" t="s">
        <v>1306</v>
      </c>
      <c r="F752" s="1205" t="s">
        <v>4528</v>
      </c>
      <c r="G752" s="230" t="s">
        <v>3507</v>
      </c>
      <c r="H752" s="167" t="s">
        <v>2408</v>
      </c>
      <c r="I752" s="167" t="s">
        <v>432</v>
      </c>
      <c r="J752" s="107" t="s">
        <v>432</v>
      </c>
      <c r="K752" s="107" t="s">
        <v>432</v>
      </c>
      <c r="L752" s="107" t="s">
        <v>432</v>
      </c>
      <c r="M752" s="107" t="s">
        <v>432</v>
      </c>
      <c r="N752" s="107" t="s">
        <v>432</v>
      </c>
      <c r="O752" s="107" t="s">
        <v>432</v>
      </c>
      <c r="P752" s="107" t="s">
        <v>432</v>
      </c>
      <c r="Q752" s="107" t="s">
        <v>432</v>
      </c>
      <c r="R752" s="107" t="s">
        <v>432</v>
      </c>
      <c r="S752" s="109" t="s">
        <v>2209</v>
      </c>
      <c r="T752" s="107" t="s">
        <v>432</v>
      </c>
      <c r="U752" s="107" t="s">
        <v>432</v>
      </c>
      <c r="V752" s="109" t="s">
        <v>2209</v>
      </c>
      <c r="W752" s="107" t="s">
        <v>432</v>
      </c>
      <c r="X752" s="107" t="s">
        <v>432</v>
      </c>
      <c r="Y752" s="107" t="s">
        <v>432</v>
      </c>
      <c r="Z752" s="107" t="s">
        <v>432</v>
      </c>
      <c r="AA752" s="107" t="s">
        <v>432</v>
      </c>
      <c r="AB752" s="107" t="s">
        <v>432</v>
      </c>
      <c r="AC752" s="107" t="s">
        <v>432</v>
      </c>
      <c r="AD752" s="107" t="s">
        <v>432</v>
      </c>
      <c r="AE752" s="107" t="s">
        <v>432</v>
      </c>
      <c r="AF752" s="107" t="s">
        <v>432</v>
      </c>
      <c r="AG752" s="107" t="s">
        <v>432</v>
      </c>
      <c r="AH752" s="107" t="s">
        <v>432</v>
      </c>
      <c r="AI752" s="107" t="s">
        <v>432</v>
      </c>
      <c r="AJ752" s="107" t="s">
        <v>432</v>
      </c>
      <c r="AK752" s="137" t="s">
        <v>432</v>
      </c>
      <c r="AL752" s="600" t="s">
        <v>432</v>
      </c>
      <c r="AM752" s="137" t="s">
        <v>432</v>
      </c>
      <c r="AN752" s="137" t="s">
        <v>432</v>
      </c>
      <c r="AO752" s="137" t="s">
        <v>432</v>
      </c>
      <c r="AP752" s="137" t="s">
        <v>432</v>
      </c>
      <c r="AQ752" s="137" t="s">
        <v>432</v>
      </c>
      <c r="AR752" s="137" t="s">
        <v>432</v>
      </c>
      <c r="AS752" s="137" t="s">
        <v>432</v>
      </c>
      <c r="AT752" s="137" t="s">
        <v>432</v>
      </c>
      <c r="AU752" s="137" t="s">
        <v>432</v>
      </c>
      <c r="AV752" s="137" t="s">
        <v>432</v>
      </c>
      <c r="AW752" s="137" t="s">
        <v>432</v>
      </c>
      <c r="AX752" s="137" t="s">
        <v>432</v>
      </c>
      <c r="AY752" s="137" t="s">
        <v>432</v>
      </c>
      <c r="AZ752" s="137" t="s">
        <v>432</v>
      </c>
      <c r="BA752" s="137" t="s">
        <v>432</v>
      </c>
      <c r="BB752" s="239" t="str">
        <f t="shared" si="154"/>
        <v>Estacionamentoacessibilidade</v>
      </c>
      <c r="BC752" s="239" t="str">
        <f t="shared" si="155"/>
        <v>Estacionamentoacessibilidadesigla/verbete</v>
      </c>
      <c r="BD752" s="239" t="str">
        <f t="shared" si="156"/>
        <v>Estacionamentosigla/verbete</v>
      </c>
    </row>
    <row r="753" spans="1:56" s="1" customFormat="1" ht="89.25" x14ac:dyDescent="0.25">
      <c r="A753" s="262" t="str">
        <f>'Q100b-totais'!B65</f>
        <v>9.2</v>
      </c>
      <c r="B753" s="252" t="str">
        <f>'Q100b-totais'!C65</f>
        <v>Estacionamento</v>
      </c>
      <c r="C753" s="167" t="s">
        <v>743</v>
      </c>
      <c r="D753" s="325" t="s">
        <v>6209</v>
      </c>
      <c r="E753" s="254" t="s">
        <v>6172</v>
      </c>
      <c r="F753" s="252" t="s">
        <v>6214</v>
      </c>
      <c r="G753" s="230" t="s">
        <v>3507</v>
      </c>
      <c r="H753" s="167" t="s">
        <v>2408</v>
      </c>
      <c r="I753" s="167" t="s">
        <v>432</v>
      </c>
      <c r="J753" s="107" t="s">
        <v>432</v>
      </c>
      <c r="K753" s="107" t="s">
        <v>432</v>
      </c>
      <c r="L753" s="107" t="s">
        <v>432</v>
      </c>
      <c r="M753" s="107" t="s">
        <v>432</v>
      </c>
      <c r="N753" s="107" t="s">
        <v>432</v>
      </c>
      <c r="O753" s="107" t="s">
        <v>432</v>
      </c>
      <c r="P753" s="107" t="s">
        <v>432</v>
      </c>
      <c r="Q753" s="107" t="s">
        <v>432</v>
      </c>
      <c r="R753" s="107" t="s">
        <v>432</v>
      </c>
      <c r="S753" s="109" t="s">
        <v>2209</v>
      </c>
      <c r="T753" s="107" t="s">
        <v>432</v>
      </c>
      <c r="U753" s="107" t="s">
        <v>432</v>
      </c>
      <c r="V753" s="109" t="s">
        <v>2209</v>
      </c>
      <c r="W753" s="107" t="s">
        <v>432</v>
      </c>
      <c r="X753" s="107" t="s">
        <v>432</v>
      </c>
      <c r="Y753" s="107" t="s">
        <v>432</v>
      </c>
      <c r="Z753" s="107" t="s">
        <v>432</v>
      </c>
      <c r="AA753" s="107" t="s">
        <v>432</v>
      </c>
      <c r="AB753" s="107" t="s">
        <v>432</v>
      </c>
      <c r="AC753" s="107" t="s">
        <v>432</v>
      </c>
      <c r="AD753" s="107" t="s">
        <v>432</v>
      </c>
      <c r="AE753" s="107" t="s">
        <v>432</v>
      </c>
      <c r="AF753" s="107" t="s">
        <v>432</v>
      </c>
      <c r="AG753" s="107" t="s">
        <v>432</v>
      </c>
      <c r="AH753" s="107" t="s">
        <v>432</v>
      </c>
      <c r="AI753" s="107" t="s">
        <v>432</v>
      </c>
      <c r="AJ753" s="107" t="s">
        <v>432</v>
      </c>
      <c r="AK753" s="137" t="s">
        <v>432</v>
      </c>
      <c r="AL753" s="600" t="s">
        <v>432</v>
      </c>
      <c r="AM753" s="137" t="s">
        <v>432</v>
      </c>
      <c r="AN753" s="137" t="s">
        <v>432</v>
      </c>
      <c r="AO753" s="137" t="s">
        <v>432</v>
      </c>
      <c r="AP753" s="137" t="s">
        <v>432</v>
      </c>
      <c r="AQ753" s="137" t="s">
        <v>432</v>
      </c>
      <c r="AR753" s="137" t="s">
        <v>432</v>
      </c>
      <c r="AS753" s="137" t="s">
        <v>432</v>
      </c>
      <c r="AT753" s="137" t="s">
        <v>432</v>
      </c>
      <c r="AU753" s="137" t="s">
        <v>432</v>
      </c>
      <c r="AV753" s="137" t="s">
        <v>432</v>
      </c>
      <c r="AW753" s="137" t="s">
        <v>432</v>
      </c>
      <c r="AX753" s="137" t="s">
        <v>432</v>
      </c>
      <c r="AY753" s="137" t="s">
        <v>432</v>
      </c>
      <c r="AZ753" s="137" t="s">
        <v>432</v>
      </c>
      <c r="BA753" s="137" t="s">
        <v>432</v>
      </c>
      <c r="BB753" s="239" t="str">
        <f t="shared" si="154"/>
        <v>Estacionamentoacessibilidade</v>
      </c>
      <c r="BC753" s="239" t="str">
        <f t="shared" si="155"/>
        <v>Estacionamentoacessibilidadesigla/verbete</v>
      </c>
      <c r="BD753" s="239" t="str">
        <f t="shared" si="156"/>
        <v>Estacionamentosigla/verbete</v>
      </c>
    </row>
    <row r="754" spans="1:56" s="1" customFormat="1" ht="55.5" customHeight="1" x14ac:dyDescent="0.25">
      <c r="A754" s="262" t="s">
        <v>432</v>
      </c>
      <c r="B754" s="252" t="s">
        <v>742</v>
      </c>
      <c r="C754" s="167" t="s">
        <v>432</v>
      </c>
      <c r="D754" s="324" t="s">
        <v>5359</v>
      </c>
      <c r="E754" s="1496" t="s">
        <v>1767</v>
      </c>
      <c r="F754" s="1205" t="s">
        <v>5363</v>
      </c>
      <c r="G754" s="230" t="s">
        <v>3507</v>
      </c>
      <c r="H754" s="167" t="s">
        <v>2408</v>
      </c>
      <c r="I754" s="167" t="s">
        <v>432</v>
      </c>
      <c r="J754" s="107" t="s">
        <v>432</v>
      </c>
      <c r="K754" s="107" t="s">
        <v>432</v>
      </c>
      <c r="L754" s="107" t="s">
        <v>432</v>
      </c>
      <c r="M754" s="107" t="s">
        <v>432</v>
      </c>
      <c r="N754" s="107" t="s">
        <v>432</v>
      </c>
      <c r="O754" s="107" t="s">
        <v>432</v>
      </c>
      <c r="P754" s="107" t="s">
        <v>432</v>
      </c>
      <c r="Q754" s="107" t="s">
        <v>432</v>
      </c>
      <c r="R754" s="107" t="s">
        <v>432</v>
      </c>
      <c r="S754" s="109" t="s">
        <v>2209</v>
      </c>
      <c r="T754" s="107" t="s">
        <v>432</v>
      </c>
      <c r="U754" s="107" t="s">
        <v>432</v>
      </c>
      <c r="V754" s="109" t="s">
        <v>2209</v>
      </c>
      <c r="W754" s="107" t="s">
        <v>432</v>
      </c>
      <c r="X754" s="107" t="s">
        <v>432</v>
      </c>
      <c r="Y754" s="107" t="s">
        <v>432</v>
      </c>
      <c r="Z754" s="107" t="s">
        <v>432</v>
      </c>
      <c r="AA754" s="107" t="s">
        <v>432</v>
      </c>
      <c r="AB754" s="107" t="s">
        <v>432</v>
      </c>
      <c r="AC754" s="107" t="s">
        <v>432</v>
      </c>
      <c r="AD754" s="107" t="s">
        <v>432</v>
      </c>
      <c r="AE754" s="107" t="s">
        <v>432</v>
      </c>
      <c r="AF754" s="107" t="s">
        <v>432</v>
      </c>
      <c r="AG754" s="107" t="s">
        <v>432</v>
      </c>
      <c r="AH754" s="107" t="s">
        <v>432</v>
      </c>
      <c r="AI754" s="107" t="s">
        <v>432</v>
      </c>
      <c r="AJ754" s="107" t="s">
        <v>432</v>
      </c>
      <c r="AK754" s="137" t="s">
        <v>432</v>
      </c>
      <c r="AL754" s="600" t="s">
        <v>432</v>
      </c>
      <c r="AM754" s="137" t="s">
        <v>432</v>
      </c>
      <c r="AN754" s="137" t="s">
        <v>432</v>
      </c>
      <c r="AO754" s="137" t="s">
        <v>432</v>
      </c>
      <c r="AP754" s="137" t="s">
        <v>432</v>
      </c>
      <c r="AQ754" s="137" t="s">
        <v>432</v>
      </c>
      <c r="AR754" s="137" t="s">
        <v>432</v>
      </c>
      <c r="AS754" s="137" t="s">
        <v>432</v>
      </c>
      <c r="AT754" s="137" t="s">
        <v>432</v>
      </c>
      <c r="AU754" s="137" t="s">
        <v>432</v>
      </c>
      <c r="AV754" s="137" t="s">
        <v>432</v>
      </c>
      <c r="AW754" s="137" t="s">
        <v>432</v>
      </c>
      <c r="AX754" s="137" t="s">
        <v>432</v>
      </c>
      <c r="AY754" s="137" t="s">
        <v>432</v>
      </c>
      <c r="AZ754" s="137" t="s">
        <v>432</v>
      </c>
      <c r="BA754" s="137" t="s">
        <v>432</v>
      </c>
      <c r="BB754" s="239" t="str">
        <f t="shared" si="154"/>
        <v>geralx</v>
      </c>
      <c r="BC754" s="239" t="str">
        <f t="shared" si="155"/>
        <v>geralxsigla/verbete</v>
      </c>
      <c r="BD754" s="239" t="str">
        <f t="shared" si="156"/>
        <v>geralsigla/verbete</v>
      </c>
    </row>
    <row r="755" spans="1:56" s="1" customFormat="1" ht="25.5" x14ac:dyDescent="0.25">
      <c r="A755" s="262" t="s">
        <v>432</v>
      </c>
      <c r="B755" s="252" t="s">
        <v>742</v>
      </c>
      <c r="C755" s="167" t="s">
        <v>743</v>
      </c>
      <c r="D755" s="324" t="s">
        <v>5360</v>
      </c>
      <c r="E755" s="1496" t="s">
        <v>1767</v>
      </c>
      <c r="F755" s="1205" t="s">
        <v>5361</v>
      </c>
      <c r="G755" s="230" t="s">
        <v>3507</v>
      </c>
      <c r="H755" s="167" t="s">
        <v>2408</v>
      </c>
      <c r="I755" s="167" t="s">
        <v>432</v>
      </c>
      <c r="J755" s="107" t="s">
        <v>432</v>
      </c>
      <c r="K755" s="107" t="s">
        <v>432</v>
      </c>
      <c r="L755" s="107" t="s">
        <v>432</v>
      </c>
      <c r="M755" s="107" t="s">
        <v>432</v>
      </c>
      <c r="N755" s="107" t="s">
        <v>432</v>
      </c>
      <c r="O755" s="107" t="s">
        <v>432</v>
      </c>
      <c r="P755" s="107" t="s">
        <v>432</v>
      </c>
      <c r="Q755" s="107" t="s">
        <v>432</v>
      </c>
      <c r="R755" s="107" t="s">
        <v>432</v>
      </c>
      <c r="S755" s="109" t="s">
        <v>2209</v>
      </c>
      <c r="T755" s="107" t="s">
        <v>432</v>
      </c>
      <c r="U755" s="107" t="s">
        <v>432</v>
      </c>
      <c r="V755" s="109" t="s">
        <v>2209</v>
      </c>
      <c r="W755" s="107" t="s">
        <v>432</v>
      </c>
      <c r="X755" s="107" t="s">
        <v>432</v>
      </c>
      <c r="Y755" s="107" t="s">
        <v>432</v>
      </c>
      <c r="Z755" s="107" t="s">
        <v>432</v>
      </c>
      <c r="AA755" s="107" t="s">
        <v>432</v>
      </c>
      <c r="AB755" s="107" t="s">
        <v>432</v>
      </c>
      <c r="AC755" s="107" t="s">
        <v>432</v>
      </c>
      <c r="AD755" s="107" t="s">
        <v>432</v>
      </c>
      <c r="AE755" s="107" t="s">
        <v>432</v>
      </c>
      <c r="AF755" s="107" t="s">
        <v>432</v>
      </c>
      <c r="AG755" s="107" t="s">
        <v>432</v>
      </c>
      <c r="AH755" s="107" t="s">
        <v>432</v>
      </c>
      <c r="AI755" s="107" t="s">
        <v>432</v>
      </c>
      <c r="AJ755" s="107" t="s">
        <v>432</v>
      </c>
      <c r="AK755" s="137" t="s">
        <v>432</v>
      </c>
      <c r="AL755" s="600" t="s">
        <v>432</v>
      </c>
      <c r="AM755" s="137" t="s">
        <v>432</v>
      </c>
      <c r="AN755" s="137" t="s">
        <v>432</v>
      </c>
      <c r="AO755" s="137" t="s">
        <v>432</v>
      </c>
      <c r="AP755" s="137" t="s">
        <v>432</v>
      </c>
      <c r="AQ755" s="137" t="s">
        <v>432</v>
      </c>
      <c r="AR755" s="137" t="s">
        <v>432</v>
      </c>
      <c r="AS755" s="137" t="s">
        <v>432</v>
      </c>
      <c r="AT755" s="137" t="s">
        <v>432</v>
      </c>
      <c r="AU755" s="137" t="s">
        <v>432</v>
      </c>
      <c r="AV755" s="137" t="s">
        <v>432</v>
      </c>
      <c r="AW755" s="137" t="s">
        <v>432</v>
      </c>
      <c r="AX755" s="137" t="s">
        <v>432</v>
      </c>
      <c r="AY755" s="137" t="s">
        <v>432</v>
      </c>
      <c r="AZ755" s="137" t="s">
        <v>432</v>
      </c>
      <c r="BA755" s="137" t="s">
        <v>432</v>
      </c>
      <c r="BB755" s="239" t="str">
        <f t="shared" si="154"/>
        <v>geralacessibilidade</v>
      </c>
      <c r="BC755" s="239" t="str">
        <f t="shared" si="155"/>
        <v>geralacessibilidadesigla/verbete</v>
      </c>
      <c r="BD755" s="239" t="str">
        <f t="shared" si="156"/>
        <v>geralsigla/verbete</v>
      </c>
    </row>
    <row r="756" spans="1:56" s="3" customFormat="1" ht="63.75" x14ac:dyDescent="0.25">
      <c r="A756" s="262" t="str">
        <f>'Q100b-totais'!B22</f>
        <v>2.7</v>
      </c>
      <c r="B756" s="252" t="str">
        <f>'Q100b-totais'!C22</f>
        <v>Outras cidades/regiões</v>
      </c>
      <c r="C756" s="167" t="s">
        <v>743</v>
      </c>
      <c r="D756" s="325" t="s">
        <v>3025</v>
      </c>
      <c r="E756" s="1445" t="s">
        <v>3025</v>
      </c>
      <c r="F756" s="252" t="s">
        <v>4236</v>
      </c>
      <c r="G756" s="230" t="s">
        <v>3507</v>
      </c>
      <c r="H756" s="167" t="s">
        <v>2408</v>
      </c>
      <c r="I756" s="167" t="s">
        <v>432</v>
      </c>
      <c r="J756" s="107" t="s">
        <v>432</v>
      </c>
      <c r="K756" s="107" t="s">
        <v>432</v>
      </c>
      <c r="L756" s="107" t="s">
        <v>432</v>
      </c>
      <c r="M756" s="107" t="s">
        <v>432</v>
      </c>
      <c r="N756" s="107" t="s">
        <v>432</v>
      </c>
      <c r="O756" s="107" t="s">
        <v>432</v>
      </c>
      <c r="P756" s="107" t="s">
        <v>432</v>
      </c>
      <c r="Q756" s="107" t="s">
        <v>432</v>
      </c>
      <c r="R756" s="107" t="s">
        <v>432</v>
      </c>
      <c r="S756" s="109" t="s">
        <v>2209</v>
      </c>
      <c r="T756" s="107" t="s">
        <v>432</v>
      </c>
      <c r="U756" s="107" t="s">
        <v>432</v>
      </c>
      <c r="V756" s="109" t="s">
        <v>2209</v>
      </c>
      <c r="W756" s="107" t="s">
        <v>432</v>
      </c>
      <c r="X756" s="107" t="s">
        <v>432</v>
      </c>
      <c r="Y756" s="107" t="s">
        <v>432</v>
      </c>
      <c r="Z756" s="107" t="s">
        <v>432</v>
      </c>
      <c r="AA756" s="107" t="s">
        <v>432</v>
      </c>
      <c r="AB756" s="107" t="s">
        <v>432</v>
      </c>
      <c r="AC756" s="107" t="s">
        <v>432</v>
      </c>
      <c r="AD756" s="107" t="s">
        <v>432</v>
      </c>
      <c r="AE756" s="107" t="s">
        <v>432</v>
      </c>
      <c r="AF756" s="107" t="s">
        <v>432</v>
      </c>
      <c r="AG756" s="107" t="s">
        <v>432</v>
      </c>
      <c r="AH756" s="107" t="s">
        <v>432</v>
      </c>
      <c r="AI756" s="107" t="s">
        <v>432</v>
      </c>
      <c r="AJ756" s="107" t="s">
        <v>432</v>
      </c>
      <c r="AK756" s="107" t="s">
        <v>432</v>
      </c>
      <c r="AL756" s="600" t="s">
        <v>432</v>
      </c>
      <c r="AM756" s="137" t="s">
        <v>432</v>
      </c>
      <c r="AN756" s="137" t="s">
        <v>432</v>
      </c>
      <c r="AO756" s="137" t="s">
        <v>432</v>
      </c>
      <c r="AP756" s="137" t="s">
        <v>432</v>
      </c>
      <c r="AQ756" s="137" t="s">
        <v>432</v>
      </c>
      <c r="AR756" s="137" t="s">
        <v>432</v>
      </c>
      <c r="AS756" s="137" t="s">
        <v>432</v>
      </c>
      <c r="AT756" s="137" t="s">
        <v>432</v>
      </c>
      <c r="AU756" s="137" t="s">
        <v>432</v>
      </c>
      <c r="AV756" s="137" t="s">
        <v>432</v>
      </c>
      <c r="AW756" s="137" t="s">
        <v>432</v>
      </c>
      <c r="AX756" s="137" t="s">
        <v>432</v>
      </c>
      <c r="AY756" s="137" t="s">
        <v>432</v>
      </c>
      <c r="AZ756" s="137" t="s">
        <v>432</v>
      </c>
      <c r="BA756" s="137" t="s">
        <v>432</v>
      </c>
      <c r="BB756" s="239" t="str">
        <f t="shared" si="154"/>
        <v>Outras cidades/regiõesacessibilidade</v>
      </c>
      <c r="BC756" s="239" t="str">
        <f t="shared" si="155"/>
        <v>Outras cidades/regiõesacessibilidadesigla/verbete</v>
      </c>
      <c r="BD756" s="239" t="str">
        <f t="shared" si="156"/>
        <v>Outras cidades/regiõessigla/verbete</v>
      </c>
    </row>
    <row r="757" spans="1:56" s="1" customFormat="1" ht="25.5" customHeight="1" x14ac:dyDescent="0.25">
      <c r="A757" s="262" t="s">
        <v>432</v>
      </c>
      <c r="B757" s="252" t="s">
        <v>742</v>
      </c>
      <c r="C757" s="167" t="s">
        <v>432</v>
      </c>
      <c r="D757" s="324" t="s">
        <v>174</v>
      </c>
      <c r="E757" s="1496" t="s">
        <v>432</v>
      </c>
      <c r="F757" s="11" t="s">
        <v>175</v>
      </c>
      <c r="G757" s="167" t="s">
        <v>3879</v>
      </c>
      <c r="H757" s="167" t="s">
        <v>432</v>
      </c>
      <c r="I757" s="167" t="s">
        <v>432</v>
      </c>
      <c r="J757" s="107" t="s">
        <v>432</v>
      </c>
      <c r="K757" s="107" t="s">
        <v>432</v>
      </c>
      <c r="L757" s="107" t="s">
        <v>432</v>
      </c>
      <c r="M757" s="107" t="s">
        <v>432</v>
      </c>
      <c r="N757" s="107" t="s">
        <v>432</v>
      </c>
      <c r="O757" s="107" t="s">
        <v>432</v>
      </c>
      <c r="P757" s="107" t="s">
        <v>432</v>
      </c>
      <c r="Q757" s="107" t="s">
        <v>432</v>
      </c>
      <c r="R757" s="107" t="s">
        <v>432</v>
      </c>
      <c r="S757" s="109" t="s">
        <v>2209</v>
      </c>
      <c r="T757" s="107" t="s">
        <v>432</v>
      </c>
      <c r="U757" s="107" t="s">
        <v>432</v>
      </c>
      <c r="V757" s="109" t="s">
        <v>2209</v>
      </c>
      <c r="W757" s="107" t="s">
        <v>432</v>
      </c>
      <c r="X757" s="107" t="s">
        <v>432</v>
      </c>
      <c r="Y757" s="107" t="s">
        <v>432</v>
      </c>
      <c r="Z757" s="107" t="s">
        <v>432</v>
      </c>
      <c r="AA757" s="107" t="s">
        <v>432</v>
      </c>
      <c r="AB757" s="179">
        <v>2007</v>
      </c>
      <c r="AC757" s="107" t="s">
        <v>432</v>
      </c>
      <c r="AD757" s="107" t="s">
        <v>432</v>
      </c>
      <c r="AE757" s="107" t="s">
        <v>432</v>
      </c>
      <c r="AF757" s="107" t="s">
        <v>432</v>
      </c>
      <c r="AG757" s="107" t="s">
        <v>432</v>
      </c>
      <c r="AH757" s="107" t="s">
        <v>432</v>
      </c>
      <c r="AI757" s="107" t="s">
        <v>432</v>
      </c>
      <c r="AJ757" s="107" t="s">
        <v>432</v>
      </c>
      <c r="AK757" s="137" t="s">
        <v>432</v>
      </c>
      <c r="AL757" s="600" t="s">
        <v>432</v>
      </c>
      <c r="AM757" s="137" t="s">
        <v>432</v>
      </c>
      <c r="AN757" s="137" t="s">
        <v>432</v>
      </c>
      <c r="AO757" s="137" t="s">
        <v>432</v>
      </c>
      <c r="AP757" s="137" t="s">
        <v>432</v>
      </c>
      <c r="AQ757" s="137" t="s">
        <v>432</v>
      </c>
      <c r="AR757" s="137" t="s">
        <v>432</v>
      </c>
      <c r="AS757" s="137" t="s">
        <v>432</v>
      </c>
      <c r="AT757" s="137" t="s">
        <v>432</v>
      </c>
      <c r="AU757" s="137" t="s">
        <v>432</v>
      </c>
      <c r="AV757" s="137" t="s">
        <v>432</v>
      </c>
      <c r="AW757" s="137" t="s">
        <v>432</v>
      </c>
      <c r="AX757" s="137" t="s">
        <v>432</v>
      </c>
      <c r="AY757" s="137" t="s">
        <v>432</v>
      </c>
      <c r="AZ757" s="137" t="s">
        <v>432</v>
      </c>
      <c r="BA757" s="137" t="s">
        <v>432</v>
      </c>
      <c r="BB757" s="239" t="str">
        <f t="shared" si="154"/>
        <v>geralx</v>
      </c>
      <c r="BC757" s="239" t="str">
        <f t="shared" si="155"/>
        <v>geralxx</v>
      </c>
      <c r="BD757" s="239" t="str">
        <f t="shared" si="156"/>
        <v>geralx</v>
      </c>
    </row>
    <row r="758" spans="1:56" s="1" customFormat="1" ht="183" customHeight="1" x14ac:dyDescent="0.25">
      <c r="A758" s="262" t="s">
        <v>432</v>
      </c>
      <c r="B758" s="252" t="s">
        <v>742</v>
      </c>
      <c r="C758" s="167" t="s">
        <v>743</v>
      </c>
      <c r="D758" s="324" t="s">
        <v>5299</v>
      </c>
      <c r="E758" s="1445" t="s">
        <v>3010</v>
      </c>
      <c r="F758" s="1205" t="s">
        <v>5303</v>
      </c>
      <c r="G758" s="230" t="s">
        <v>3507</v>
      </c>
      <c r="H758" s="167" t="s">
        <v>2408</v>
      </c>
      <c r="I758" s="167" t="s">
        <v>432</v>
      </c>
      <c r="J758" s="107" t="s">
        <v>432</v>
      </c>
      <c r="K758" s="107" t="s">
        <v>432</v>
      </c>
      <c r="L758" s="107" t="s">
        <v>432</v>
      </c>
      <c r="M758" s="107" t="s">
        <v>432</v>
      </c>
      <c r="N758" s="107" t="s">
        <v>432</v>
      </c>
      <c r="O758" s="107" t="s">
        <v>432</v>
      </c>
      <c r="P758" s="107" t="s">
        <v>432</v>
      </c>
      <c r="Q758" s="107" t="s">
        <v>432</v>
      </c>
      <c r="R758" s="107" t="s">
        <v>432</v>
      </c>
      <c r="S758" s="109" t="s">
        <v>2209</v>
      </c>
      <c r="T758" s="107" t="s">
        <v>432</v>
      </c>
      <c r="U758" s="107" t="s">
        <v>432</v>
      </c>
      <c r="V758" s="109" t="s">
        <v>2209</v>
      </c>
      <c r="W758" s="107" t="s">
        <v>432</v>
      </c>
      <c r="X758" s="107" t="s">
        <v>432</v>
      </c>
      <c r="Y758" s="107" t="s">
        <v>432</v>
      </c>
      <c r="Z758" s="107" t="s">
        <v>432</v>
      </c>
      <c r="AA758" s="107" t="s">
        <v>432</v>
      </c>
      <c r="AB758" s="179">
        <v>2007</v>
      </c>
      <c r="AC758" s="107" t="s">
        <v>432</v>
      </c>
      <c r="AD758" s="107" t="s">
        <v>432</v>
      </c>
      <c r="AE758" s="107" t="s">
        <v>432</v>
      </c>
      <c r="AF758" s="107" t="s">
        <v>432</v>
      </c>
      <c r="AG758" s="107" t="s">
        <v>432</v>
      </c>
      <c r="AH758" s="107" t="s">
        <v>432</v>
      </c>
      <c r="AI758" s="107" t="s">
        <v>432</v>
      </c>
      <c r="AJ758" s="107" t="s">
        <v>432</v>
      </c>
      <c r="AK758" s="137" t="s">
        <v>432</v>
      </c>
      <c r="AL758" s="600" t="s">
        <v>432</v>
      </c>
      <c r="AM758" s="137" t="s">
        <v>432</v>
      </c>
      <c r="AN758" s="137" t="s">
        <v>432</v>
      </c>
      <c r="AO758" s="137" t="s">
        <v>432</v>
      </c>
      <c r="AP758" s="137" t="s">
        <v>432</v>
      </c>
      <c r="AQ758" s="137" t="s">
        <v>432</v>
      </c>
      <c r="AR758" s="137" t="s">
        <v>432</v>
      </c>
      <c r="AS758" s="137" t="s">
        <v>432</v>
      </c>
      <c r="AT758" s="137" t="s">
        <v>432</v>
      </c>
      <c r="AU758" s="137" t="s">
        <v>432</v>
      </c>
      <c r="AV758" s="137" t="s">
        <v>432</v>
      </c>
      <c r="AW758" s="137" t="s">
        <v>432</v>
      </c>
      <c r="AX758" s="137" t="s">
        <v>432</v>
      </c>
      <c r="AY758" s="137" t="s">
        <v>432</v>
      </c>
      <c r="AZ758" s="137" t="s">
        <v>432</v>
      </c>
      <c r="BA758" s="137" t="s">
        <v>432</v>
      </c>
      <c r="BB758" s="239" t="str">
        <f t="shared" si="154"/>
        <v>geralacessibilidade</v>
      </c>
      <c r="BC758" s="239" t="str">
        <f t="shared" si="155"/>
        <v>geralacessibilidadesigla/verbete</v>
      </c>
      <c r="BD758" s="239" t="str">
        <f t="shared" si="156"/>
        <v>geralsigla/verbete</v>
      </c>
    </row>
    <row r="759" spans="1:56" s="1" customFormat="1" ht="47.25" x14ac:dyDescent="0.25">
      <c r="A759" s="262" t="s">
        <v>432</v>
      </c>
      <c r="B759" s="252" t="s">
        <v>742</v>
      </c>
      <c r="C759" s="167" t="s">
        <v>743</v>
      </c>
      <c r="D759" s="324" t="s">
        <v>5300</v>
      </c>
      <c r="E759" s="1445" t="s">
        <v>3010</v>
      </c>
      <c r="F759" s="1205" t="s">
        <v>5304</v>
      </c>
      <c r="G759" s="230" t="s">
        <v>3507</v>
      </c>
      <c r="H759" s="167" t="s">
        <v>2408</v>
      </c>
      <c r="I759" s="167" t="s">
        <v>432</v>
      </c>
      <c r="J759" s="107" t="s">
        <v>432</v>
      </c>
      <c r="K759" s="107" t="s">
        <v>432</v>
      </c>
      <c r="L759" s="107" t="s">
        <v>432</v>
      </c>
      <c r="M759" s="107" t="s">
        <v>432</v>
      </c>
      <c r="N759" s="107" t="s">
        <v>432</v>
      </c>
      <c r="O759" s="107" t="s">
        <v>432</v>
      </c>
      <c r="P759" s="107" t="s">
        <v>432</v>
      </c>
      <c r="Q759" s="107" t="s">
        <v>432</v>
      </c>
      <c r="R759" s="107" t="s">
        <v>432</v>
      </c>
      <c r="S759" s="109" t="s">
        <v>2209</v>
      </c>
      <c r="T759" s="107" t="s">
        <v>432</v>
      </c>
      <c r="U759" s="107" t="s">
        <v>432</v>
      </c>
      <c r="V759" s="109" t="s">
        <v>2209</v>
      </c>
      <c r="W759" s="107" t="s">
        <v>432</v>
      </c>
      <c r="X759" s="107" t="s">
        <v>432</v>
      </c>
      <c r="Y759" s="107" t="s">
        <v>432</v>
      </c>
      <c r="Z759" s="107" t="s">
        <v>432</v>
      </c>
      <c r="AA759" s="107" t="s">
        <v>432</v>
      </c>
      <c r="AB759" s="179">
        <v>2008</v>
      </c>
      <c r="AC759" s="107" t="s">
        <v>432</v>
      </c>
      <c r="AD759" s="107" t="s">
        <v>432</v>
      </c>
      <c r="AE759" s="107" t="s">
        <v>432</v>
      </c>
      <c r="AF759" s="107" t="s">
        <v>432</v>
      </c>
      <c r="AG759" s="107" t="s">
        <v>432</v>
      </c>
      <c r="AH759" s="107" t="s">
        <v>432</v>
      </c>
      <c r="AI759" s="107" t="s">
        <v>432</v>
      </c>
      <c r="AJ759" s="107" t="s">
        <v>432</v>
      </c>
      <c r="AK759" s="137" t="s">
        <v>432</v>
      </c>
      <c r="AL759" s="600" t="s">
        <v>432</v>
      </c>
      <c r="AM759" s="137" t="s">
        <v>432</v>
      </c>
      <c r="AN759" s="137" t="s">
        <v>432</v>
      </c>
      <c r="AO759" s="137" t="s">
        <v>432</v>
      </c>
      <c r="AP759" s="137" t="s">
        <v>432</v>
      </c>
      <c r="AQ759" s="137" t="s">
        <v>432</v>
      </c>
      <c r="AR759" s="137" t="s">
        <v>432</v>
      </c>
      <c r="AS759" s="137" t="s">
        <v>432</v>
      </c>
      <c r="AT759" s="137" t="s">
        <v>432</v>
      </c>
      <c r="AU759" s="137" t="s">
        <v>432</v>
      </c>
      <c r="AV759" s="137" t="s">
        <v>432</v>
      </c>
      <c r="AW759" s="137" t="s">
        <v>432</v>
      </c>
      <c r="AX759" s="137" t="s">
        <v>432</v>
      </c>
      <c r="AY759" s="137" t="s">
        <v>432</v>
      </c>
      <c r="AZ759" s="137" t="s">
        <v>432</v>
      </c>
      <c r="BA759" s="137" t="s">
        <v>432</v>
      </c>
      <c r="BB759" s="239" t="str">
        <f t="shared" si="154"/>
        <v>geralacessibilidade</v>
      </c>
      <c r="BC759" s="239" t="str">
        <f t="shared" si="155"/>
        <v>geralacessibilidadesigla/verbete</v>
      </c>
      <c r="BD759" s="239" t="str">
        <f t="shared" si="156"/>
        <v>geralsigla/verbete</v>
      </c>
    </row>
    <row r="760" spans="1:56" s="1" customFormat="1" ht="98.25" customHeight="1" x14ac:dyDescent="0.25">
      <c r="A760" s="262" t="s">
        <v>432</v>
      </c>
      <c r="B760" s="252" t="s">
        <v>742</v>
      </c>
      <c r="C760" s="167" t="s">
        <v>743</v>
      </c>
      <c r="D760" s="324" t="s">
        <v>3062</v>
      </c>
      <c r="E760" s="1445" t="s">
        <v>3010</v>
      </c>
      <c r="F760" s="11" t="s">
        <v>3063</v>
      </c>
      <c r="G760" s="230" t="s">
        <v>3507</v>
      </c>
      <c r="H760" s="167" t="s">
        <v>2408</v>
      </c>
      <c r="I760" s="167" t="s">
        <v>432</v>
      </c>
      <c r="J760" s="107" t="s">
        <v>432</v>
      </c>
      <c r="K760" s="107" t="s">
        <v>432</v>
      </c>
      <c r="L760" s="107" t="s">
        <v>432</v>
      </c>
      <c r="M760" s="107" t="s">
        <v>432</v>
      </c>
      <c r="N760" s="107" t="s">
        <v>432</v>
      </c>
      <c r="O760" s="107" t="s">
        <v>432</v>
      </c>
      <c r="P760" s="107" t="s">
        <v>432</v>
      </c>
      <c r="Q760" s="107" t="s">
        <v>432</v>
      </c>
      <c r="R760" s="107" t="s">
        <v>432</v>
      </c>
      <c r="S760" s="109" t="s">
        <v>2209</v>
      </c>
      <c r="T760" s="107" t="s">
        <v>432</v>
      </c>
      <c r="U760" s="107" t="s">
        <v>432</v>
      </c>
      <c r="V760" s="109" t="s">
        <v>2209</v>
      </c>
      <c r="W760" s="107" t="s">
        <v>432</v>
      </c>
      <c r="X760" s="107" t="s">
        <v>432</v>
      </c>
      <c r="Y760" s="107" t="s">
        <v>432</v>
      </c>
      <c r="Z760" s="107" t="s">
        <v>432</v>
      </c>
      <c r="AA760" s="107" t="s">
        <v>432</v>
      </c>
      <c r="AB760" s="179">
        <v>2008</v>
      </c>
      <c r="AC760" s="107" t="s">
        <v>432</v>
      </c>
      <c r="AD760" s="107" t="s">
        <v>432</v>
      </c>
      <c r="AE760" s="107" t="s">
        <v>432</v>
      </c>
      <c r="AF760" s="107" t="s">
        <v>432</v>
      </c>
      <c r="AG760" s="107" t="s">
        <v>432</v>
      </c>
      <c r="AH760" s="107" t="s">
        <v>432</v>
      </c>
      <c r="AI760" s="107" t="s">
        <v>432</v>
      </c>
      <c r="AJ760" s="107" t="s">
        <v>432</v>
      </c>
      <c r="AK760" s="137" t="s">
        <v>432</v>
      </c>
      <c r="AL760" s="600" t="s">
        <v>432</v>
      </c>
      <c r="AM760" s="137" t="s">
        <v>432</v>
      </c>
      <c r="AN760" s="137" t="s">
        <v>432</v>
      </c>
      <c r="AO760" s="137" t="s">
        <v>432</v>
      </c>
      <c r="AP760" s="137" t="s">
        <v>432</v>
      </c>
      <c r="AQ760" s="137" t="s">
        <v>432</v>
      </c>
      <c r="AR760" s="137" t="s">
        <v>432</v>
      </c>
      <c r="AS760" s="137" t="s">
        <v>432</v>
      </c>
      <c r="AT760" s="137" t="s">
        <v>432</v>
      </c>
      <c r="AU760" s="137" t="s">
        <v>432</v>
      </c>
      <c r="AV760" s="137" t="s">
        <v>432</v>
      </c>
      <c r="AW760" s="137" t="s">
        <v>432</v>
      </c>
      <c r="AX760" s="137" t="s">
        <v>432</v>
      </c>
      <c r="AY760" s="137" t="s">
        <v>432</v>
      </c>
      <c r="AZ760" s="137" t="s">
        <v>432</v>
      </c>
      <c r="BA760" s="137" t="s">
        <v>432</v>
      </c>
      <c r="BB760" s="239" t="str">
        <f t="shared" si="154"/>
        <v>geralacessibilidade</v>
      </c>
      <c r="BC760" s="239" t="str">
        <f t="shared" si="155"/>
        <v>geralacessibilidadesigla/verbete</v>
      </c>
      <c r="BD760" s="239" t="str">
        <f t="shared" si="156"/>
        <v>geralsigla/verbete</v>
      </c>
    </row>
    <row r="761" spans="1:56" s="1" customFormat="1" ht="45" x14ac:dyDescent="0.25">
      <c r="A761" s="262" t="s">
        <v>432</v>
      </c>
      <c r="B761" s="252" t="s">
        <v>742</v>
      </c>
      <c r="C761" s="167" t="s">
        <v>432</v>
      </c>
      <c r="D761" s="939" t="s">
        <v>3250</v>
      </c>
      <c r="E761" s="1445" t="s">
        <v>3010</v>
      </c>
      <c r="F761" s="538" t="s">
        <v>3485</v>
      </c>
      <c r="G761" s="230" t="s">
        <v>3507</v>
      </c>
      <c r="H761" s="167" t="s">
        <v>2408</v>
      </c>
      <c r="I761" s="167" t="s">
        <v>432</v>
      </c>
      <c r="J761" s="107" t="s">
        <v>432</v>
      </c>
      <c r="K761" s="107" t="s">
        <v>432</v>
      </c>
      <c r="L761" s="107" t="s">
        <v>432</v>
      </c>
      <c r="M761" s="107" t="s">
        <v>432</v>
      </c>
      <c r="N761" s="107" t="s">
        <v>432</v>
      </c>
      <c r="O761" s="107" t="s">
        <v>432</v>
      </c>
      <c r="P761" s="107" t="s">
        <v>432</v>
      </c>
      <c r="Q761" s="107" t="s">
        <v>432</v>
      </c>
      <c r="R761" s="107" t="s">
        <v>432</v>
      </c>
      <c r="S761" s="109" t="s">
        <v>2209</v>
      </c>
      <c r="T761" s="107" t="s">
        <v>432</v>
      </c>
      <c r="U761" s="107" t="s">
        <v>432</v>
      </c>
      <c r="V761" s="109" t="s">
        <v>2209</v>
      </c>
      <c r="W761" s="107" t="s">
        <v>432</v>
      </c>
      <c r="X761" s="107" t="s">
        <v>432</v>
      </c>
      <c r="Y761" s="107" t="s">
        <v>432</v>
      </c>
      <c r="Z761" s="107" t="s">
        <v>432</v>
      </c>
      <c r="AA761" s="107" t="s">
        <v>432</v>
      </c>
      <c r="AB761" s="179">
        <v>2009</v>
      </c>
      <c r="AC761" s="107" t="s">
        <v>432</v>
      </c>
      <c r="AD761" s="107" t="s">
        <v>432</v>
      </c>
      <c r="AE761" s="107" t="s">
        <v>432</v>
      </c>
      <c r="AF761" s="107" t="s">
        <v>432</v>
      </c>
      <c r="AG761" s="107" t="s">
        <v>432</v>
      </c>
      <c r="AH761" s="107" t="s">
        <v>432</v>
      </c>
      <c r="AI761" s="107" t="s">
        <v>432</v>
      </c>
      <c r="AJ761" s="107" t="s">
        <v>432</v>
      </c>
      <c r="AK761" s="137" t="s">
        <v>432</v>
      </c>
      <c r="AL761" s="600" t="s">
        <v>432</v>
      </c>
      <c r="AM761" s="137" t="s">
        <v>432</v>
      </c>
      <c r="AN761" s="137" t="s">
        <v>432</v>
      </c>
      <c r="AO761" s="137" t="s">
        <v>432</v>
      </c>
      <c r="AP761" s="137" t="s">
        <v>432</v>
      </c>
      <c r="AQ761" s="137" t="s">
        <v>432</v>
      </c>
      <c r="AR761" s="137" t="s">
        <v>432</v>
      </c>
      <c r="AS761" s="137" t="s">
        <v>432</v>
      </c>
      <c r="AT761" s="137" t="s">
        <v>432</v>
      </c>
      <c r="AU761" s="137" t="s">
        <v>432</v>
      </c>
      <c r="AV761" s="137" t="s">
        <v>432</v>
      </c>
      <c r="AW761" s="137" t="s">
        <v>432</v>
      </c>
      <c r="AX761" s="137" t="s">
        <v>432</v>
      </c>
      <c r="AY761" s="137" t="s">
        <v>432</v>
      </c>
      <c r="AZ761" s="137" t="s">
        <v>432</v>
      </c>
      <c r="BA761" s="137" t="s">
        <v>432</v>
      </c>
      <c r="BB761" s="239" t="str">
        <f t="shared" si="154"/>
        <v>geralx</v>
      </c>
      <c r="BC761" s="239" t="str">
        <f t="shared" si="155"/>
        <v>geralxsigla/verbete</v>
      </c>
      <c r="BD761" s="239" t="str">
        <f t="shared" si="156"/>
        <v>geralsigla/verbete</v>
      </c>
    </row>
    <row r="762" spans="1:56" s="373" customFormat="1" x14ac:dyDescent="0.25">
      <c r="A762" s="383"/>
      <c r="B762" s="384"/>
      <c r="C762" s="384"/>
      <c r="D762" s="717"/>
      <c r="E762" s="1518"/>
      <c r="F762" s="384"/>
      <c r="G762" s="384"/>
      <c r="H762" s="384"/>
      <c r="I762" s="384"/>
      <c r="J762" s="384"/>
      <c r="K762" s="384"/>
      <c r="L762" s="384"/>
      <c r="M762" s="384"/>
      <c r="N762" s="384"/>
      <c r="O762" s="384"/>
      <c r="P762" s="384"/>
      <c r="Q762" s="384"/>
      <c r="R762" s="384"/>
      <c r="S762" s="384"/>
      <c r="T762" s="384"/>
      <c r="U762" s="384"/>
      <c r="V762" s="384"/>
      <c r="W762" s="384"/>
      <c r="X762" s="384"/>
      <c r="Y762" s="384"/>
      <c r="Z762" s="384"/>
      <c r="AA762" s="384"/>
      <c r="AB762" s="384"/>
      <c r="AC762" s="384"/>
      <c r="AD762" s="384"/>
      <c r="AE762" s="384"/>
      <c r="AF762" s="384"/>
      <c r="AG762" s="384"/>
      <c r="AH762" s="384"/>
      <c r="AI762" s="384"/>
      <c r="AJ762" s="384"/>
      <c r="AK762" s="384"/>
      <c r="AL762" s="384"/>
      <c r="AM762" s="384"/>
      <c r="AN762" s="384"/>
      <c r="AO762" s="384"/>
      <c r="AP762" s="384"/>
      <c r="AQ762" s="384"/>
      <c r="AR762" s="384"/>
      <c r="AS762" s="384"/>
      <c r="AT762" s="384"/>
      <c r="AU762" s="384"/>
      <c r="AV762" s="384"/>
      <c r="AW762" s="384"/>
      <c r="AX762" s="384"/>
      <c r="AY762" s="384"/>
      <c r="AZ762" s="384"/>
      <c r="BA762" s="384"/>
      <c r="BB762" s="384"/>
      <c r="BC762" s="388"/>
      <c r="BD762" s="388"/>
    </row>
    <row r="763" spans="1:56" s="3" customFormat="1" ht="158.25" customHeight="1" x14ac:dyDescent="0.25">
      <c r="A763" s="275" t="str">
        <f>'Q100b-totais'!$B$18</f>
        <v>2.3</v>
      </c>
      <c r="B763" s="1205" t="str">
        <f>'Q100b-totais'!$C$18</f>
        <v>Rede viária</v>
      </c>
      <c r="C763" s="167" t="s">
        <v>432</v>
      </c>
      <c r="D763" s="939" t="s">
        <v>1783</v>
      </c>
      <c r="E763" s="509" t="s">
        <v>1306</v>
      </c>
      <c r="F763" s="5" t="s">
        <v>1184</v>
      </c>
      <c r="G763" s="58" t="s">
        <v>1570</v>
      </c>
      <c r="H763" s="173" t="s">
        <v>432</v>
      </c>
      <c r="I763" s="57">
        <v>1</v>
      </c>
      <c r="J763" s="107" t="s">
        <v>432</v>
      </c>
      <c r="K763" s="58" t="s">
        <v>432</v>
      </c>
      <c r="L763" s="58" t="s">
        <v>432</v>
      </c>
      <c r="M763" s="58" t="s">
        <v>432</v>
      </c>
      <c r="N763" s="58" t="s">
        <v>432</v>
      </c>
      <c r="O763" s="58" t="s">
        <v>432</v>
      </c>
      <c r="P763" s="58" t="s">
        <v>432</v>
      </c>
      <c r="Q763" s="58" t="s">
        <v>432</v>
      </c>
      <c r="R763" s="58" t="s">
        <v>432</v>
      </c>
      <c r="S763" s="109" t="s">
        <v>2209</v>
      </c>
      <c r="T763" s="58" t="s">
        <v>432</v>
      </c>
      <c r="U763" s="58" t="s">
        <v>432</v>
      </c>
      <c r="V763" s="109" t="s">
        <v>2209</v>
      </c>
      <c r="W763" s="58" t="s">
        <v>432</v>
      </c>
      <c r="X763" s="58" t="s">
        <v>432</v>
      </c>
      <c r="Y763" s="58" t="s">
        <v>432</v>
      </c>
      <c r="Z763" s="58" t="s">
        <v>432</v>
      </c>
      <c r="AA763" s="58" t="s">
        <v>432</v>
      </c>
      <c r="AB763" s="58" t="s">
        <v>432</v>
      </c>
      <c r="AC763" s="58" t="s">
        <v>432</v>
      </c>
      <c r="AD763" s="58" t="s">
        <v>432</v>
      </c>
      <c r="AE763" s="58" t="s">
        <v>432</v>
      </c>
      <c r="AF763" s="22">
        <f>AF768+AF770+AF771+AF772</f>
        <v>4529.05</v>
      </c>
      <c r="AG763" s="58" t="s">
        <v>432</v>
      </c>
      <c r="AH763" s="58" t="s">
        <v>432</v>
      </c>
      <c r="AI763" s="58" t="s">
        <v>432</v>
      </c>
      <c r="AJ763" s="58" t="s">
        <v>432</v>
      </c>
      <c r="AK763" s="137" t="s">
        <v>432</v>
      </c>
      <c r="AL763" s="600" t="s">
        <v>432</v>
      </c>
      <c r="AM763" s="137" t="s">
        <v>432</v>
      </c>
      <c r="AN763" s="137" t="s">
        <v>432</v>
      </c>
      <c r="AO763" s="137" t="s">
        <v>432</v>
      </c>
      <c r="AP763" s="137" t="s">
        <v>432</v>
      </c>
      <c r="AQ763" s="137" t="s">
        <v>432</v>
      </c>
      <c r="AR763" s="137" t="s">
        <v>432</v>
      </c>
      <c r="AS763" s="137" t="s">
        <v>432</v>
      </c>
      <c r="AT763" s="137" t="s">
        <v>432</v>
      </c>
      <c r="AU763" s="137" t="s">
        <v>432</v>
      </c>
      <c r="AV763" s="137" t="s">
        <v>432</v>
      </c>
      <c r="AW763" s="137" t="s">
        <v>432</v>
      </c>
      <c r="AX763" s="137" t="s">
        <v>432</v>
      </c>
      <c r="AY763" s="137" t="s">
        <v>432</v>
      </c>
      <c r="AZ763" s="137" t="s">
        <v>432</v>
      </c>
      <c r="BA763" s="137" t="s">
        <v>432</v>
      </c>
      <c r="BB763" s="239" t="str">
        <f t="shared" ref="BB763:BB774" si="158">B763&amp;C763</f>
        <v>Rede viáriax</v>
      </c>
      <c r="BC763" s="239" t="str">
        <f t="shared" ref="BC763:BC774" si="159">B763&amp;C763&amp;H763</f>
        <v>Rede viáriaxx</v>
      </c>
      <c r="BD763" s="239" t="str">
        <f t="shared" ref="BD763:BD774" si="160">B763&amp;H763</f>
        <v>Rede viáriax</v>
      </c>
    </row>
    <row r="764" spans="1:56" s="3" customFormat="1" ht="112.5" customHeight="1" x14ac:dyDescent="0.25">
      <c r="A764" s="275" t="str">
        <f>'Q100b-totais'!$B$18</f>
        <v>2.3</v>
      </c>
      <c r="B764" s="1205" t="str">
        <f>'Q100b-totais'!$C$18</f>
        <v>Rede viária</v>
      </c>
      <c r="C764" s="167" t="s">
        <v>432</v>
      </c>
      <c r="D764" s="939" t="s">
        <v>1783</v>
      </c>
      <c r="E764" s="509" t="s">
        <v>1771</v>
      </c>
      <c r="F764" s="5" t="s">
        <v>4172</v>
      </c>
      <c r="G764" s="93" t="s">
        <v>77</v>
      </c>
      <c r="H764" s="169" t="s">
        <v>819</v>
      </c>
      <c r="I764" s="167" t="s">
        <v>432</v>
      </c>
      <c r="J764" s="156" t="s">
        <v>432</v>
      </c>
      <c r="K764" s="156" t="s">
        <v>432</v>
      </c>
      <c r="L764" s="156" t="s">
        <v>432</v>
      </c>
      <c r="M764" s="156" t="s">
        <v>432</v>
      </c>
      <c r="N764" s="156" t="s">
        <v>432</v>
      </c>
      <c r="O764" s="156" t="s">
        <v>432</v>
      </c>
      <c r="P764" s="156" t="s">
        <v>432</v>
      </c>
      <c r="Q764" s="156" t="s">
        <v>432</v>
      </c>
      <c r="R764" s="156" t="s">
        <v>432</v>
      </c>
      <c r="S764" s="109" t="s">
        <v>2209</v>
      </c>
      <c r="T764" s="156" t="s">
        <v>432</v>
      </c>
      <c r="U764" s="156" t="s">
        <v>432</v>
      </c>
      <c r="V764" s="109" t="s">
        <v>2209</v>
      </c>
      <c r="W764" s="156" t="s">
        <v>432</v>
      </c>
      <c r="X764" s="156" t="s">
        <v>432</v>
      </c>
      <c r="Y764" s="156" t="s">
        <v>432</v>
      </c>
      <c r="Z764" s="156" t="s">
        <v>432</v>
      </c>
      <c r="AA764" s="156" t="s">
        <v>432</v>
      </c>
      <c r="AB764" s="156" t="s">
        <v>432</v>
      </c>
      <c r="AC764" s="156" t="s">
        <v>432</v>
      </c>
      <c r="AD764" s="156" t="s">
        <v>432</v>
      </c>
      <c r="AE764" s="156" t="s">
        <v>432</v>
      </c>
      <c r="AF764" s="156" t="s">
        <v>432</v>
      </c>
      <c r="AG764" s="156" t="s">
        <v>432</v>
      </c>
      <c r="AH764" s="156" t="s">
        <v>432</v>
      </c>
      <c r="AI764" s="156" t="s">
        <v>432</v>
      </c>
      <c r="AJ764" s="156" t="s">
        <v>432</v>
      </c>
      <c r="AK764" s="318">
        <v>1094</v>
      </c>
      <c r="AL764" s="600" t="s">
        <v>432</v>
      </c>
      <c r="AM764" s="137" t="s">
        <v>432</v>
      </c>
      <c r="AN764" s="137" t="s">
        <v>432</v>
      </c>
      <c r="AO764" s="137" t="s">
        <v>432</v>
      </c>
      <c r="AP764" s="137" t="s">
        <v>432</v>
      </c>
      <c r="AQ764" s="137" t="s">
        <v>432</v>
      </c>
      <c r="AR764" s="137" t="s">
        <v>432</v>
      </c>
      <c r="AS764" s="137" t="s">
        <v>432</v>
      </c>
      <c r="AT764" s="137" t="s">
        <v>432</v>
      </c>
      <c r="AU764" s="137" t="s">
        <v>432</v>
      </c>
      <c r="AV764" s="137" t="s">
        <v>432</v>
      </c>
      <c r="AW764" s="137" t="s">
        <v>432</v>
      </c>
      <c r="AX764" s="137" t="s">
        <v>432</v>
      </c>
      <c r="AY764" s="137" t="s">
        <v>432</v>
      </c>
      <c r="AZ764" s="137" t="s">
        <v>432</v>
      </c>
      <c r="BA764" s="137" t="s">
        <v>432</v>
      </c>
      <c r="BB764" s="239" t="str">
        <f t="shared" si="158"/>
        <v>Rede viáriax</v>
      </c>
      <c r="BC764" s="239" t="str">
        <f t="shared" si="159"/>
        <v>Rede viáriaxbenchmarking</v>
      </c>
      <c r="BD764" s="239" t="str">
        <f t="shared" si="160"/>
        <v>Rede viáriabenchmarking</v>
      </c>
    </row>
    <row r="765" spans="1:56" s="3" customFormat="1" ht="58.5" customHeight="1" x14ac:dyDescent="0.25">
      <c r="A765" s="275" t="str">
        <f>'Q100b-totais'!$B$18</f>
        <v>2.3</v>
      </c>
      <c r="B765" s="1205" t="str">
        <f>'Q100b-totais'!$C$18</f>
        <v>Rede viária</v>
      </c>
      <c r="C765" s="167" t="s">
        <v>743</v>
      </c>
      <c r="D765" s="324" t="s">
        <v>1781</v>
      </c>
      <c r="E765" s="254" t="s">
        <v>1306</v>
      </c>
      <c r="F765" s="11" t="s">
        <v>3235</v>
      </c>
      <c r="G765" s="811" t="s">
        <v>2836</v>
      </c>
      <c r="H765" s="813" t="s">
        <v>432</v>
      </c>
      <c r="I765" s="169">
        <v>1</v>
      </c>
      <c r="J765" s="156" t="s">
        <v>432</v>
      </c>
      <c r="K765" s="156" t="s">
        <v>432</v>
      </c>
      <c r="L765" s="156" t="s">
        <v>432</v>
      </c>
      <c r="M765" s="156" t="s">
        <v>432</v>
      </c>
      <c r="N765" s="156" t="s">
        <v>432</v>
      </c>
      <c r="O765" s="156" t="s">
        <v>432</v>
      </c>
      <c r="P765" s="156" t="s">
        <v>432</v>
      </c>
      <c r="Q765" s="156" t="s">
        <v>432</v>
      </c>
      <c r="R765" s="156" t="s">
        <v>432</v>
      </c>
      <c r="S765" s="109" t="s">
        <v>2209</v>
      </c>
      <c r="T765" s="156" t="s">
        <v>432</v>
      </c>
      <c r="U765" s="156" t="s">
        <v>432</v>
      </c>
      <c r="V765" s="109" t="s">
        <v>2209</v>
      </c>
      <c r="W765" s="156" t="s">
        <v>432</v>
      </c>
      <c r="X765" s="156" t="s">
        <v>432</v>
      </c>
      <c r="Y765" s="156" t="s">
        <v>432</v>
      </c>
      <c r="Z765" s="156" t="s">
        <v>432</v>
      </c>
      <c r="AA765" s="156" t="s">
        <v>432</v>
      </c>
      <c r="AB765" s="156" t="s">
        <v>432</v>
      </c>
      <c r="AC765" s="156" t="s">
        <v>432</v>
      </c>
      <c r="AD765" s="156" t="s">
        <v>432</v>
      </c>
      <c r="AE765" s="156" t="s">
        <v>432</v>
      </c>
      <c r="AF765" s="156" t="s">
        <v>432</v>
      </c>
      <c r="AG765" s="156" t="s">
        <v>432</v>
      </c>
      <c r="AH765" s="156" t="s">
        <v>432</v>
      </c>
      <c r="AI765" s="156" t="s">
        <v>432</v>
      </c>
      <c r="AJ765" s="156" t="s">
        <v>432</v>
      </c>
      <c r="AK765" s="156" t="s">
        <v>432</v>
      </c>
      <c r="AL765" s="600" t="s">
        <v>432</v>
      </c>
      <c r="AM765" s="137" t="s">
        <v>432</v>
      </c>
      <c r="AN765" s="137" t="s">
        <v>432</v>
      </c>
      <c r="AO765" s="137" t="s">
        <v>432</v>
      </c>
      <c r="AP765" s="137" t="s">
        <v>432</v>
      </c>
      <c r="AQ765" s="137" t="s">
        <v>432</v>
      </c>
      <c r="AR765" s="137" t="s">
        <v>432</v>
      </c>
      <c r="AS765" s="137" t="s">
        <v>432</v>
      </c>
      <c r="AT765" s="137" t="s">
        <v>432</v>
      </c>
      <c r="AU765" s="137" t="s">
        <v>432</v>
      </c>
      <c r="AV765" s="137" t="s">
        <v>432</v>
      </c>
      <c r="AW765" s="137" t="s">
        <v>432</v>
      </c>
      <c r="AX765" s="137" t="s">
        <v>432</v>
      </c>
      <c r="AY765" s="137" t="s">
        <v>432</v>
      </c>
      <c r="AZ765" s="137" t="s">
        <v>432</v>
      </c>
      <c r="BA765" s="137" t="s">
        <v>432</v>
      </c>
      <c r="BB765" s="239" t="str">
        <f t="shared" si="158"/>
        <v>Rede viáriaacessibilidade</v>
      </c>
      <c r="BC765" s="239" t="str">
        <f t="shared" si="159"/>
        <v>Rede viáriaacessibilidadex</v>
      </c>
      <c r="BD765" s="239" t="str">
        <f t="shared" si="160"/>
        <v>Rede viáriax</v>
      </c>
    </row>
    <row r="766" spans="1:56" s="3" customFormat="1" ht="31.5" customHeight="1" x14ac:dyDescent="0.25">
      <c r="A766" s="275" t="s">
        <v>608</v>
      </c>
      <c r="B766" s="1205" t="s">
        <v>997</v>
      </c>
      <c r="C766" s="167" t="s">
        <v>743</v>
      </c>
      <c r="D766" s="324" t="s">
        <v>2837</v>
      </c>
      <c r="E766" s="254" t="s">
        <v>1771</v>
      </c>
      <c r="F766" s="11" t="s">
        <v>4171</v>
      </c>
      <c r="G766" s="93" t="s">
        <v>77</v>
      </c>
      <c r="H766" s="169" t="s">
        <v>819</v>
      </c>
      <c r="I766" s="167" t="s">
        <v>432</v>
      </c>
      <c r="J766" s="156" t="s">
        <v>432</v>
      </c>
      <c r="K766" s="156" t="s">
        <v>432</v>
      </c>
      <c r="L766" s="156" t="s">
        <v>432</v>
      </c>
      <c r="M766" s="156" t="s">
        <v>432</v>
      </c>
      <c r="N766" s="156" t="s">
        <v>432</v>
      </c>
      <c r="O766" s="156" t="s">
        <v>432</v>
      </c>
      <c r="P766" s="156" t="s">
        <v>432</v>
      </c>
      <c r="Q766" s="156" t="s">
        <v>432</v>
      </c>
      <c r="R766" s="156" t="s">
        <v>432</v>
      </c>
      <c r="S766" s="109" t="s">
        <v>2209</v>
      </c>
      <c r="T766" s="156" t="s">
        <v>432</v>
      </c>
      <c r="U766" s="156" t="s">
        <v>432</v>
      </c>
      <c r="V766" s="109" t="s">
        <v>2209</v>
      </c>
      <c r="W766" s="156" t="s">
        <v>432</v>
      </c>
      <c r="X766" s="156" t="s">
        <v>432</v>
      </c>
      <c r="Y766" s="156" t="s">
        <v>432</v>
      </c>
      <c r="Z766" s="156" t="s">
        <v>432</v>
      </c>
      <c r="AA766" s="156" t="s">
        <v>432</v>
      </c>
      <c r="AB766" s="156" t="s">
        <v>432</v>
      </c>
      <c r="AC766" s="156" t="s">
        <v>432</v>
      </c>
      <c r="AD766" s="156" t="s">
        <v>432</v>
      </c>
      <c r="AE766" s="156" t="s">
        <v>432</v>
      </c>
      <c r="AF766" s="156" t="s">
        <v>432</v>
      </c>
      <c r="AG766" s="156" t="s">
        <v>432</v>
      </c>
      <c r="AH766" s="156" t="s">
        <v>432</v>
      </c>
      <c r="AI766" s="156" t="s">
        <v>432</v>
      </c>
      <c r="AJ766" s="156" t="s">
        <v>432</v>
      </c>
      <c r="AK766" s="498">
        <v>691</v>
      </c>
      <c r="AL766" s="600" t="s">
        <v>432</v>
      </c>
      <c r="AM766" s="137" t="s">
        <v>432</v>
      </c>
      <c r="AN766" s="137" t="s">
        <v>432</v>
      </c>
      <c r="AO766" s="137" t="s">
        <v>432</v>
      </c>
      <c r="AP766" s="137" t="s">
        <v>432</v>
      </c>
      <c r="AQ766" s="137" t="s">
        <v>432</v>
      </c>
      <c r="AR766" s="137" t="s">
        <v>432</v>
      </c>
      <c r="AS766" s="137" t="s">
        <v>432</v>
      </c>
      <c r="AT766" s="137" t="s">
        <v>432</v>
      </c>
      <c r="AU766" s="137" t="s">
        <v>432</v>
      </c>
      <c r="AV766" s="137" t="s">
        <v>432</v>
      </c>
      <c r="AW766" s="137" t="s">
        <v>432</v>
      </c>
      <c r="AX766" s="137" t="s">
        <v>432</v>
      </c>
      <c r="AY766" s="137" t="s">
        <v>432</v>
      </c>
      <c r="AZ766" s="137" t="s">
        <v>432</v>
      </c>
      <c r="BA766" s="137" t="s">
        <v>432</v>
      </c>
      <c r="BB766" s="239" t="str">
        <f t="shared" si="158"/>
        <v>Sistema de bicicletaacessibilidade</v>
      </c>
      <c r="BC766" s="239" t="str">
        <f t="shared" si="159"/>
        <v>Sistema de bicicletaacessibilidadebenchmarking</v>
      </c>
      <c r="BD766" s="239" t="str">
        <f t="shared" si="160"/>
        <v>Sistema de bicicletabenchmarking</v>
      </c>
    </row>
    <row r="767" spans="1:56" s="3" customFormat="1" ht="31.5" customHeight="1" x14ac:dyDescent="0.25">
      <c r="A767" s="275" t="s">
        <v>608</v>
      </c>
      <c r="B767" s="1205" t="s">
        <v>997</v>
      </c>
      <c r="C767" s="167" t="s">
        <v>743</v>
      </c>
      <c r="D767" s="325" t="s">
        <v>4170</v>
      </c>
      <c r="E767" s="254" t="s">
        <v>1771</v>
      </c>
      <c r="F767" s="11" t="s">
        <v>2841</v>
      </c>
      <c r="G767" s="58" t="s">
        <v>1782</v>
      </c>
      <c r="H767" s="169" t="s">
        <v>819</v>
      </c>
      <c r="I767" s="167" t="s">
        <v>432</v>
      </c>
      <c r="J767" s="156" t="s">
        <v>432</v>
      </c>
      <c r="K767" s="156" t="s">
        <v>432</v>
      </c>
      <c r="L767" s="156" t="s">
        <v>432</v>
      </c>
      <c r="M767" s="156" t="s">
        <v>432</v>
      </c>
      <c r="N767" s="156" t="s">
        <v>432</v>
      </c>
      <c r="O767" s="156" t="s">
        <v>432</v>
      </c>
      <c r="P767" s="156" t="s">
        <v>432</v>
      </c>
      <c r="Q767" s="156" t="s">
        <v>432</v>
      </c>
      <c r="R767" s="156" t="s">
        <v>432</v>
      </c>
      <c r="S767" s="109" t="s">
        <v>2209</v>
      </c>
      <c r="T767" s="156" t="s">
        <v>432</v>
      </c>
      <c r="U767" s="156" t="s">
        <v>432</v>
      </c>
      <c r="V767" s="109" t="s">
        <v>2209</v>
      </c>
      <c r="W767" s="156" t="s">
        <v>432</v>
      </c>
      <c r="X767" s="156" t="s">
        <v>432</v>
      </c>
      <c r="Y767" s="156" t="s">
        <v>432</v>
      </c>
      <c r="Z767" s="156" t="s">
        <v>432</v>
      </c>
      <c r="AA767" s="156" t="s">
        <v>432</v>
      </c>
      <c r="AB767" s="156" t="s">
        <v>432</v>
      </c>
      <c r="AC767" s="156" t="s">
        <v>432</v>
      </c>
      <c r="AD767" s="156" t="s">
        <v>432</v>
      </c>
      <c r="AE767" s="156" t="s">
        <v>432</v>
      </c>
      <c r="AF767" s="156" t="s">
        <v>432</v>
      </c>
      <c r="AG767" s="156" t="s">
        <v>432</v>
      </c>
      <c r="AH767" s="156" t="s">
        <v>432</v>
      </c>
      <c r="AI767" s="156" t="s">
        <v>432</v>
      </c>
      <c r="AJ767" s="156" t="s">
        <v>432</v>
      </c>
      <c r="AK767" s="499">
        <f>AK766/AK764</f>
        <v>0.63162705667276053</v>
      </c>
      <c r="AL767" s="600" t="s">
        <v>432</v>
      </c>
      <c r="AM767" s="137" t="s">
        <v>432</v>
      </c>
      <c r="AN767" s="137" t="s">
        <v>432</v>
      </c>
      <c r="AO767" s="137" t="s">
        <v>432</v>
      </c>
      <c r="AP767" s="137" t="s">
        <v>432</v>
      </c>
      <c r="AQ767" s="137" t="s">
        <v>432</v>
      </c>
      <c r="AR767" s="137" t="s">
        <v>432</v>
      </c>
      <c r="AS767" s="137" t="s">
        <v>432</v>
      </c>
      <c r="AT767" s="137" t="s">
        <v>432</v>
      </c>
      <c r="AU767" s="137" t="s">
        <v>432</v>
      </c>
      <c r="AV767" s="137" t="s">
        <v>432</v>
      </c>
      <c r="AW767" s="137" t="s">
        <v>432</v>
      </c>
      <c r="AX767" s="137" t="s">
        <v>432</v>
      </c>
      <c r="AY767" s="137" t="s">
        <v>432</v>
      </c>
      <c r="AZ767" s="137" t="s">
        <v>432</v>
      </c>
      <c r="BA767" s="137" t="s">
        <v>432</v>
      </c>
      <c r="BB767" s="239" t="str">
        <f t="shared" si="158"/>
        <v>Sistema de bicicletaacessibilidade</v>
      </c>
      <c r="BC767" s="239" t="str">
        <f t="shared" si="159"/>
        <v>Sistema de bicicletaacessibilidadebenchmarking</v>
      </c>
      <c r="BD767" s="239" t="str">
        <f t="shared" si="160"/>
        <v>Sistema de bicicletabenchmarking</v>
      </c>
    </row>
    <row r="768" spans="1:56" s="1" customFormat="1" ht="78.75" customHeight="1" x14ac:dyDescent="0.25">
      <c r="A768" s="275" t="str">
        <f>'Q100b-totais'!$B$18</f>
        <v>2.3</v>
      </c>
      <c r="B768" s="1205" t="str">
        <f>'Q100b-totais'!$C$18</f>
        <v>Rede viária</v>
      </c>
      <c r="C768" s="167" t="s">
        <v>432</v>
      </c>
      <c r="D768" s="362" t="s">
        <v>176</v>
      </c>
      <c r="E768" s="1502" t="s">
        <v>1306</v>
      </c>
      <c r="F768" s="286" t="s">
        <v>1572</v>
      </c>
      <c r="G768" s="93" t="s">
        <v>679</v>
      </c>
      <c r="H768" s="167" t="s">
        <v>432</v>
      </c>
      <c r="I768" s="57">
        <v>1</v>
      </c>
      <c r="J768" s="107" t="s">
        <v>432</v>
      </c>
      <c r="K768" s="93" t="s">
        <v>432</v>
      </c>
      <c r="L768" s="93" t="s">
        <v>432</v>
      </c>
      <c r="M768" s="93" t="s">
        <v>432</v>
      </c>
      <c r="N768" s="93" t="s">
        <v>432</v>
      </c>
      <c r="O768" s="93" t="s">
        <v>432</v>
      </c>
      <c r="P768" s="93" t="s">
        <v>432</v>
      </c>
      <c r="Q768" s="93" t="s">
        <v>432</v>
      </c>
      <c r="R768" s="93" t="s">
        <v>432</v>
      </c>
      <c r="S768" s="109" t="s">
        <v>2209</v>
      </c>
      <c r="T768" s="93" t="s">
        <v>432</v>
      </c>
      <c r="U768" s="93" t="s">
        <v>432</v>
      </c>
      <c r="V768" s="109" t="s">
        <v>2209</v>
      </c>
      <c r="W768" s="93" t="s">
        <v>432</v>
      </c>
      <c r="X768" s="93" t="s">
        <v>432</v>
      </c>
      <c r="Y768" s="93" t="s">
        <v>432</v>
      </c>
      <c r="Z768" s="93" t="s">
        <v>432</v>
      </c>
      <c r="AA768" s="93" t="s">
        <v>432</v>
      </c>
      <c r="AB768" s="93" t="s">
        <v>432</v>
      </c>
      <c r="AC768" s="93" t="s">
        <v>432</v>
      </c>
      <c r="AD768" s="93" t="s">
        <v>432</v>
      </c>
      <c r="AE768" s="93" t="s">
        <v>432</v>
      </c>
      <c r="AF768" s="84">
        <v>493.68</v>
      </c>
      <c r="AG768" s="93" t="s">
        <v>432</v>
      </c>
      <c r="AH768" s="93" t="s">
        <v>432</v>
      </c>
      <c r="AI768" s="93" t="s">
        <v>432</v>
      </c>
      <c r="AJ768" s="93" t="s">
        <v>432</v>
      </c>
      <c r="AK768" s="137" t="s">
        <v>432</v>
      </c>
      <c r="AL768" s="600" t="s">
        <v>432</v>
      </c>
      <c r="AM768" s="137" t="s">
        <v>432</v>
      </c>
      <c r="AN768" s="137" t="s">
        <v>432</v>
      </c>
      <c r="AO768" s="137" t="s">
        <v>432</v>
      </c>
      <c r="AP768" s="137" t="s">
        <v>432</v>
      </c>
      <c r="AQ768" s="137" t="s">
        <v>432</v>
      </c>
      <c r="AR768" s="137" t="s">
        <v>432</v>
      </c>
      <c r="AS768" s="137" t="s">
        <v>432</v>
      </c>
      <c r="AT768" s="137" t="s">
        <v>432</v>
      </c>
      <c r="AU768" s="137" t="s">
        <v>432</v>
      </c>
      <c r="AV768" s="137" t="s">
        <v>432</v>
      </c>
      <c r="AW768" s="137" t="s">
        <v>432</v>
      </c>
      <c r="AX768" s="137" t="s">
        <v>432</v>
      </c>
      <c r="AY768" s="137" t="s">
        <v>432</v>
      </c>
      <c r="AZ768" s="137" t="s">
        <v>432</v>
      </c>
      <c r="BA768" s="137" t="s">
        <v>432</v>
      </c>
      <c r="BB768" s="239" t="str">
        <f t="shared" si="158"/>
        <v>Rede viáriax</v>
      </c>
      <c r="BC768" s="239" t="str">
        <f t="shared" si="159"/>
        <v>Rede viáriaxx</v>
      </c>
      <c r="BD768" s="239" t="str">
        <f t="shared" si="160"/>
        <v>Rede viáriax</v>
      </c>
    </row>
    <row r="769" spans="1:56" s="1" customFormat="1" ht="25.5" x14ac:dyDescent="0.25">
      <c r="A769" s="413" t="str">
        <f>'Q100b-totais'!B54</f>
        <v>8.2</v>
      </c>
      <c r="B769" s="1205" t="str">
        <f>'Q100b-totais'!C54</f>
        <v>BRT</v>
      </c>
      <c r="C769" s="167" t="s">
        <v>432</v>
      </c>
      <c r="D769" s="324" t="s">
        <v>3836</v>
      </c>
      <c r="E769" s="254" t="s">
        <v>432</v>
      </c>
      <c r="F769" s="1205" t="s">
        <v>5711</v>
      </c>
      <c r="G769" s="57" t="s">
        <v>3507</v>
      </c>
      <c r="H769" s="167" t="s">
        <v>2408</v>
      </c>
      <c r="I769" s="167" t="s">
        <v>432</v>
      </c>
      <c r="J769" s="109" t="s">
        <v>432</v>
      </c>
      <c r="K769" s="109" t="s">
        <v>432</v>
      </c>
      <c r="L769" s="109" t="s">
        <v>432</v>
      </c>
      <c r="M769" s="109" t="s">
        <v>432</v>
      </c>
      <c r="N769" s="109" t="s">
        <v>432</v>
      </c>
      <c r="O769" s="109" t="s">
        <v>432</v>
      </c>
      <c r="P769" s="109" t="s">
        <v>432</v>
      </c>
      <c r="Q769" s="109" t="s">
        <v>432</v>
      </c>
      <c r="R769" s="109" t="s">
        <v>432</v>
      </c>
      <c r="S769" s="109" t="s">
        <v>2209</v>
      </c>
      <c r="T769" s="109" t="s">
        <v>432</v>
      </c>
      <c r="U769" s="109" t="s">
        <v>432</v>
      </c>
      <c r="V769" s="109" t="s">
        <v>2209</v>
      </c>
      <c r="W769" s="109" t="s">
        <v>432</v>
      </c>
      <c r="X769" s="109" t="s">
        <v>432</v>
      </c>
      <c r="Y769" s="109" t="s">
        <v>432</v>
      </c>
      <c r="Z769" s="109" t="s">
        <v>432</v>
      </c>
      <c r="AA769" s="109" t="s">
        <v>432</v>
      </c>
      <c r="AB769" s="109" t="s">
        <v>432</v>
      </c>
      <c r="AC769" s="109" t="s">
        <v>432</v>
      </c>
      <c r="AD769" s="109" t="s">
        <v>432</v>
      </c>
      <c r="AE769" s="109" t="s">
        <v>432</v>
      </c>
      <c r="AF769" s="109" t="s">
        <v>432</v>
      </c>
      <c r="AG769" s="109" t="s">
        <v>432</v>
      </c>
      <c r="AH769" s="109" t="s">
        <v>432</v>
      </c>
      <c r="AI769" s="109" t="s">
        <v>432</v>
      </c>
      <c r="AJ769" s="136" t="s">
        <v>432</v>
      </c>
      <c r="AK769" s="136" t="s">
        <v>432</v>
      </c>
      <c r="AL769" s="600" t="s">
        <v>432</v>
      </c>
      <c r="AM769" s="109" t="s">
        <v>432</v>
      </c>
      <c r="AN769" s="109" t="s">
        <v>432</v>
      </c>
      <c r="AO769" s="109" t="s">
        <v>432</v>
      </c>
      <c r="AP769" s="109" t="s">
        <v>432</v>
      </c>
      <c r="AQ769" s="109" t="s">
        <v>432</v>
      </c>
      <c r="AR769" s="109" t="s">
        <v>432</v>
      </c>
      <c r="AS769" s="109" t="s">
        <v>432</v>
      </c>
      <c r="AT769" s="109" t="s">
        <v>432</v>
      </c>
      <c r="AU769" s="109" t="s">
        <v>432</v>
      </c>
      <c r="AV769" s="109" t="s">
        <v>432</v>
      </c>
      <c r="AW769" s="137" t="s">
        <v>432</v>
      </c>
      <c r="AX769" s="109" t="s">
        <v>432</v>
      </c>
      <c r="AY769" s="109" t="s">
        <v>432</v>
      </c>
      <c r="AZ769" s="109" t="s">
        <v>432</v>
      </c>
      <c r="BA769" s="109" t="s">
        <v>432</v>
      </c>
      <c r="BB769" s="239" t="str">
        <f t="shared" si="158"/>
        <v>BRTx</v>
      </c>
      <c r="BC769" s="239" t="str">
        <f t="shared" si="159"/>
        <v>BRTxsigla/verbete</v>
      </c>
      <c r="BD769" s="239" t="str">
        <f t="shared" si="160"/>
        <v>BRTsigla/verbete</v>
      </c>
    </row>
    <row r="770" spans="1:56" s="1" customFormat="1" ht="63.75" customHeight="1" x14ac:dyDescent="0.25">
      <c r="A770" s="275" t="str">
        <f>'Q100b-totais'!$B$18</f>
        <v>2.3</v>
      </c>
      <c r="B770" s="1205" t="str">
        <f>'Q100b-totais'!$C$18</f>
        <v>Rede viária</v>
      </c>
      <c r="C770" s="167" t="s">
        <v>432</v>
      </c>
      <c r="D770" s="362" t="s">
        <v>177</v>
      </c>
      <c r="E770" s="1502" t="s">
        <v>1306</v>
      </c>
      <c r="F770" s="286" t="s">
        <v>1573</v>
      </c>
      <c r="G770" s="93" t="s">
        <v>680</v>
      </c>
      <c r="H770" s="167" t="s">
        <v>432</v>
      </c>
      <c r="I770" s="57">
        <v>1</v>
      </c>
      <c r="J770" s="107" t="s">
        <v>432</v>
      </c>
      <c r="K770" s="93" t="s">
        <v>432</v>
      </c>
      <c r="L770" s="93" t="s">
        <v>432</v>
      </c>
      <c r="M770" s="93" t="s">
        <v>432</v>
      </c>
      <c r="N770" s="93" t="s">
        <v>432</v>
      </c>
      <c r="O770" s="93" t="s">
        <v>432</v>
      </c>
      <c r="P770" s="93" t="s">
        <v>432</v>
      </c>
      <c r="Q770" s="93" t="s">
        <v>432</v>
      </c>
      <c r="R770" s="93" t="s">
        <v>432</v>
      </c>
      <c r="S770" s="109" t="s">
        <v>2209</v>
      </c>
      <c r="T770" s="93" t="s">
        <v>432</v>
      </c>
      <c r="U770" s="93" t="s">
        <v>432</v>
      </c>
      <c r="V770" s="109" t="s">
        <v>2209</v>
      </c>
      <c r="W770" s="93" t="s">
        <v>432</v>
      </c>
      <c r="X770" s="93" t="s">
        <v>432</v>
      </c>
      <c r="Y770" s="93" t="s">
        <v>432</v>
      </c>
      <c r="Z770" s="93" t="s">
        <v>432</v>
      </c>
      <c r="AA770" s="93" t="s">
        <v>432</v>
      </c>
      <c r="AB770" s="93" t="s">
        <v>432</v>
      </c>
      <c r="AC770" s="93" t="s">
        <v>432</v>
      </c>
      <c r="AD770" s="93" t="s">
        <v>432</v>
      </c>
      <c r="AE770" s="93" t="s">
        <v>432</v>
      </c>
      <c r="AF770" s="101">
        <v>1083.55</v>
      </c>
      <c r="AG770" s="93" t="s">
        <v>432</v>
      </c>
      <c r="AH770" s="93" t="s">
        <v>432</v>
      </c>
      <c r="AI770" s="93" t="s">
        <v>432</v>
      </c>
      <c r="AJ770" s="93" t="s">
        <v>432</v>
      </c>
      <c r="AK770" s="137" t="s">
        <v>432</v>
      </c>
      <c r="AL770" s="600" t="s">
        <v>432</v>
      </c>
      <c r="AM770" s="137" t="s">
        <v>432</v>
      </c>
      <c r="AN770" s="137" t="s">
        <v>432</v>
      </c>
      <c r="AO770" s="137" t="s">
        <v>432</v>
      </c>
      <c r="AP770" s="137" t="s">
        <v>432</v>
      </c>
      <c r="AQ770" s="137" t="s">
        <v>432</v>
      </c>
      <c r="AR770" s="137" t="s">
        <v>432</v>
      </c>
      <c r="AS770" s="137" t="s">
        <v>432</v>
      </c>
      <c r="AT770" s="137" t="s">
        <v>432</v>
      </c>
      <c r="AU770" s="137" t="s">
        <v>432</v>
      </c>
      <c r="AV770" s="137" t="s">
        <v>432</v>
      </c>
      <c r="AW770" s="137" t="s">
        <v>432</v>
      </c>
      <c r="AX770" s="137" t="s">
        <v>432</v>
      </c>
      <c r="AY770" s="137" t="s">
        <v>432</v>
      </c>
      <c r="AZ770" s="137" t="s">
        <v>432</v>
      </c>
      <c r="BA770" s="137" t="s">
        <v>432</v>
      </c>
      <c r="BB770" s="239" t="str">
        <f t="shared" si="158"/>
        <v>Rede viáriax</v>
      </c>
      <c r="BC770" s="239" t="str">
        <f t="shared" si="159"/>
        <v>Rede viáriaxx</v>
      </c>
      <c r="BD770" s="239" t="str">
        <f t="shared" si="160"/>
        <v>Rede viáriax</v>
      </c>
    </row>
    <row r="771" spans="1:56" s="1" customFormat="1" ht="63" customHeight="1" x14ac:dyDescent="0.25">
      <c r="A771" s="275" t="str">
        <f>'Q100b-totais'!$B$18</f>
        <v>2.3</v>
      </c>
      <c r="B771" s="1205" t="str">
        <f>'Q100b-totais'!$C$18</f>
        <v>Rede viária</v>
      </c>
      <c r="C771" s="167" t="s">
        <v>432</v>
      </c>
      <c r="D771" s="362" t="s">
        <v>178</v>
      </c>
      <c r="E771" s="1502" t="s">
        <v>1306</v>
      </c>
      <c r="F771" s="286" t="s">
        <v>1574</v>
      </c>
      <c r="G771" s="110" t="s">
        <v>77</v>
      </c>
      <c r="H771" s="167" t="s">
        <v>432</v>
      </c>
      <c r="I771" s="57">
        <v>1</v>
      </c>
      <c r="J771" s="107" t="s">
        <v>432</v>
      </c>
      <c r="K771" s="93" t="s">
        <v>432</v>
      </c>
      <c r="L771" s="93" t="s">
        <v>432</v>
      </c>
      <c r="M771" s="93" t="s">
        <v>432</v>
      </c>
      <c r="N771" s="93" t="s">
        <v>432</v>
      </c>
      <c r="O771" s="93" t="s">
        <v>432</v>
      </c>
      <c r="P771" s="93" t="s">
        <v>432</v>
      </c>
      <c r="Q771" s="93" t="s">
        <v>432</v>
      </c>
      <c r="R771" s="93" t="s">
        <v>432</v>
      </c>
      <c r="S771" s="109" t="s">
        <v>2209</v>
      </c>
      <c r="T771" s="93" t="s">
        <v>432</v>
      </c>
      <c r="U771" s="93" t="s">
        <v>432</v>
      </c>
      <c r="V771" s="109" t="s">
        <v>2209</v>
      </c>
      <c r="W771" s="93" t="s">
        <v>432</v>
      </c>
      <c r="X771" s="93" t="s">
        <v>432</v>
      </c>
      <c r="Y771" s="93" t="s">
        <v>432</v>
      </c>
      <c r="Z771" s="93" t="s">
        <v>432</v>
      </c>
      <c r="AA771" s="93" t="s">
        <v>432</v>
      </c>
      <c r="AB771" s="93" t="s">
        <v>432</v>
      </c>
      <c r="AC771" s="93" t="s">
        <v>432</v>
      </c>
      <c r="AD771" s="93" t="s">
        <v>432</v>
      </c>
      <c r="AE771" s="93" t="s">
        <v>432</v>
      </c>
      <c r="AF771" s="101">
        <v>47.24</v>
      </c>
      <c r="AG771" s="93" t="s">
        <v>432</v>
      </c>
      <c r="AH771" s="93" t="s">
        <v>432</v>
      </c>
      <c r="AI771" s="93" t="s">
        <v>432</v>
      </c>
      <c r="AJ771" s="93" t="s">
        <v>432</v>
      </c>
      <c r="AK771" s="137" t="s">
        <v>432</v>
      </c>
      <c r="AL771" s="600" t="s">
        <v>432</v>
      </c>
      <c r="AM771" s="137" t="s">
        <v>432</v>
      </c>
      <c r="AN771" s="137" t="s">
        <v>432</v>
      </c>
      <c r="AO771" s="137" t="s">
        <v>432</v>
      </c>
      <c r="AP771" s="137" t="s">
        <v>432</v>
      </c>
      <c r="AQ771" s="137" t="s">
        <v>432</v>
      </c>
      <c r="AR771" s="137" t="s">
        <v>432</v>
      </c>
      <c r="AS771" s="137" t="s">
        <v>432</v>
      </c>
      <c r="AT771" s="137" t="s">
        <v>432</v>
      </c>
      <c r="AU771" s="137" t="s">
        <v>432</v>
      </c>
      <c r="AV771" s="137" t="s">
        <v>432</v>
      </c>
      <c r="AW771" s="137" t="s">
        <v>432</v>
      </c>
      <c r="AX771" s="137" t="s">
        <v>432</v>
      </c>
      <c r="AY771" s="137" t="s">
        <v>432</v>
      </c>
      <c r="AZ771" s="137" t="s">
        <v>432</v>
      </c>
      <c r="BA771" s="137" t="s">
        <v>432</v>
      </c>
      <c r="BB771" s="239" t="str">
        <f t="shared" si="158"/>
        <v>Rede viáriax</v>
      </c>
      <c r="BC771" s="239" t="str">
        <f t="shared" si="159"/>
        <v>Rede viáriaxx</v>
      </c>
      <c r="BD771" s="239" t="str">
        <f t="shared" si="160"/>
        <v>Rede viáriax</v>
      </c>
    </row>
    <row r="772" spans="1:56" s="1" customFormat="1" ht="78.75" customHeight="1" x14ac:dyDescent="0.25">
      <c r="A772" s="275" t="str">
        <f>'Q100b-totais'!$B$18</f>
        <v>2.3</v>
      </c>
      <c r="B772" s="1205" t="str">
        <f>'Q100b-totais'!$C$18</f>
        <v>Rede viária</v>
      </c>
      <c r="C772" s="167" t="s">
        <v>432</v>
      </c>
      <c r="D772" s="362" t="s">
        <v>179</v>
      </c>
      <c r="E772" s="1502" t="s">
        <v>1306</v>
      </c>
      <c r="F772" s="286" t="s">
        <v>1575</v>
      </c>
      <c r="G772" s="110" t="s">
        <v>77</v>
      </c>
      <c r="H772" s="167" t="s">
        <v>432</v>
      </c>
      <c r="I772" s="57">
        <v>1</v>
      </c>
      <c r="J772" s="107" t="s">
        <v>432</v>
      </c>
      <c r="K772" s="93" t="s">
        <v>432</v>
      </c>
      <c r="L772" s="93" t="s">
        <v>432</v>
      </c>
      <c r="M772" s="93" t="s">
        <v>432</v>
      </c>
      <c r="N772" s="93" t="s">
        <v>432</v>
      </c>
      <c r="O772" s="93" t="s">
        <v>432</v>
      </c>
      <c r="P772" s="93" t="s">
        <v>432</v>
      </c>
      <c r="Q772" s="93" t="s">
        <v>432</v>
      </c>
      <c r="R772" s="93" t="s">
        <v>432</v>
      </c>
      <c r="S772" s="109" t="s">
        <v>2209</v>
      </c>
      <c r="T772" s="93" t="s">
        <v>432</v>
      </c>
      <c r="U772" s="93" t="s">
        <v>432</v>
      </c>
      <c r="V772" s="109" t="s">
        <v>2209</v>
      </c>
      <c r="W772" s="93" t="s">
        <v>432</v>
      </c>
      <c r="X772" s="93" t="s">
        <v>432</v>
      </c>
      <c r="Y772" s="93" t="s">
        <v>432</v>
      </c>
      <c r="Z772" s="93" t="s">
        <v>432</v>
      </c>
      <c r="AA772" s="93" t="s">
        <v>432</v>
      </c>
      <c r="AB772" s="93" t="s">
        <v>432</v>
      </c>
      <c r="AC772" s="93" t="s">
        <v>432</v>
      </c>
      <c r="AD772" s="93" t="s">
        <v>432</v>
      </c>
      <c r="AE772" s="93" t="s">
        <v>432</v>
      </c>
      <c r="AF772" s="101">
        <v>2904.58</v>
      </c>
      <c r="AG772" s="93" t="s">
        <v>432</v>
      </c>
      <c r="AH772" s="93" t="s">
        <v>432</v>
      </c>
      <c r="AI772" s="93" t="s">
        <v>432</v>
      </c>
      <c r="AJ772" s="93" t="s">
        <v>432</v>
      </c>
      <c r="AK772" s="137" t="s">
        <v>432</v>
      </c>
      <c r="AL772" s="600" t="s">
        <v>432</v>
      </c>
      <c r="AM772" s="137" t="s">
        <v>432</v>
      </c>
      <c r="AN772" s="137" t="s">
        <v>432</v>
      </c>
      <c r="AO772" s="137" t="s">
        <v>432</v>
      </c>
      <c r="AP772" s="137" t="s">
        <v>432</v>
      </c>
      <c r="AQ772" s="137" t="s">
        <v>432</v>
      </c>
      <c r="AR772" s="137" t="s">
        <v>432</v>
      </c>
      <c r="AS772" s="137" t="s">
        <v>432</v>
      </c>
      <c r="AT772" s="137" t="s">
        <v>432</v>
      </c>
      <c r="AU772" s="137" t="s">
        <v>432</v>
      </c>
      <c r="AV772" s="137" t="s">
        <v>432</v>
      </c>
      <c r="AW772" s="137" t="s">
        <v>432</v>
      </c>
      <c r="AX772" s="137" t="s">
        <v>432</v>
      </c>
      <c r="AY772" s="137" t="s">
        <v>432</v>
      </c>
      <c r="AZ772" s="137" t="s">
        <v>432</v>
      </c>
      <c r="BA772" s="137" t="s">
        <v>432</v>
      </c>
      <c r="BB772" s="239" t="str">
        <f t="shared" si="158"/>
        <v>Rede viáriax</v>
      </c>
      <c r="BC772" s="239" t="str">
        <f t="shared" si="159"/>
        <v>Rede viáriaxx</v>
      </c>
      <c r="BD772" s="239" t="str">
        <f t="shared" si="160"/>
        <v>Rede viáriax</v>
      </c>
    </row>
    <row r="773" spans="1:56" s="1" customFormat="1" ht="78.75" customHeight="1" x14ac:dyDescent="0.25">
      <c r="A773" s="275" t="str">
        <f>'Q100b-totais'!$B$18</f>
        <v>2.3</v>
      </c>
      <c r="B773" s="1205" t="str">
        <f>'Q100b-totais'!$C$18</f>
        <v>Rede viária</v>
      </c>
      <c r="C773" s="167" t="s">
        <v>432</v>
      </c>
      <c r="D773" s="939" t="s">
        <v>180</v>
      </c>
      <c r="E773" s="509" t="s">
        <v>1306</v>
      </c>
      <c r="F773" s="5" t="s">
        <v>1185</v>
      </c>
      <c r="G773" s="58" t="s">
        <v>181</v>
      </c>
      <c r="H773" s="167" t="s">
        <v>432</v>
      </c>
      <c r="I773" s="57">
        <v>1</v>
      </c>
      <c r="J773" s="107" t="s">
        <v>432</v>
      </c>
      <c r="K773" s="58" t="s">
        <v>432</v>
      </c>
      <c r="L773" s="58" t="s">
        <v>432</v>
      </c>
      <c r="M773" s="58" t="s">
        <v>432</v>
      </c>
      <c r="N773" s="58" t="s">
        <v>432</v>
      </c>
      <c r="O773" s="58" t="s">
        <v>432</v>
      </c>
      <c r="P773" s="58" t="s">
        <v>432</v>
      </c>
      <c r="Q773" s="58" t="s">
        <v>432</v>
      </c>
      <c r="R773" s="58" t="s">
        <v>432</v>
      </c>
      <c r="S773" s="109" t="s">
        <v>2209</v>
      </c>
      <c r="T773" s="58" t="s">
        <v>432</v>
      </c>
      <c r="U773" s="58" t="s">
        <v>432</v>
      </c>
      <c r="V773" s="109" t="s">
        <v>2209</v>
      </c>
      <c r="W773" s="58" t="s">
        <v>432</v>
      </c>
      <c r="X773" s="58" t="s">
        <v>432</v>
      </c>
      <c r="Y773" s="58" t="s">
        <v>432</v>
      </c>
      <c r="Z773" s="58" t="s">
        <v>432</v>
      </c>
      <c r="AA773" s="58" t="s">
        <v>432</v>
      </c>
      <c r="AB773" s="58" t="s">
        <v>432</v>
      </c>
      <c r="AC773" s="58" t="s">
        <v>432</v>
      </c>
      <c r="AD773" s="58" t="s">
        <v>432</v>
      </c>
      <c r="AE773" s="58" t="s">
        <v>432</v>
      </c>
      <c r="AF773" s="64">
        <f>(AF763/AF1855)*1000</f>
        <v>1.9068471857157714</v>
      </c>
      <c r="AG773" s="58" t="s">
        <v>432</v>
      </c>
      <c r="AH773" s="58" t="s">
        <v>432</v>
      </c>
      <c r="AI773" s="58" t="s">
        <v>432</v>
      </c>
      <c r="AJ773" s="58" t="s">
        <v>432</v>
      </c>
      <c r="AK773" s="137" t="s">
        <v>432</v>
      </c>
      <c r="AL773" s="600" t="s">
        <v>432</v>
      </c>
      <c r="AM773" s="137" t="s">
        <v>432</v>
      </c>
      <c r="AN773" s="137" t="s">
        <v>432</v>
      </c>
      <c r="AO773" s="137" t="s">
        <v>432</v>
      </c>
      <c r="AP773" s="137" t="s">
        <v>432</v>
      </c>
      <c r="AQ773" s="137" t="s">
        <v>432</v>
      </c>
      <c r="AR773" s="137" t="s">
        <v>432</v>
      </c>
      <c r="AS773" s="137" t="s">
        <v>432</v>
      </c>
      <c r="AT773" s="137" t="s">
        <v>432</v>
      </c>
      <c r="AU773" s="137" t="s">
        <v>432</v>
      </c>
      <c r="AV773" s="137" t="s">
        <v>432</v>
      </c>
      <c r="AW773" s="137" t="s">
        <v>432</v>
      </c>
      <c r="AX773" s="137" t="s">
        <v>432</v>
      </c>
      <c r="AY773" s="137" t="s">
        <v>432</v>
      </c>
      <c r="AZ773" s="137" t="s">
        <v>432</v>
      </c>
      <c r="BA773" s="137" t="s">
        <v>432</v>
      </c>
      <c r="BB773" s="239" t="str">
        <f t="shared" si="158"/>
        <v>Rede viáriax</v>
      </c>
      <c r="BC773" s="239" t="str">
        <f t="shared" si="159"/>
        <v>Rede viáriaxx</v>
      </c>
      <c r="BD773" s="239" t="str">
        <f t="shared" si="160"/>
        <v>Rede viáriax</v>
      </c>
    </row>
    <row r="774" spans="1:56" s="1" customFormat="1" ht="63" customHeight="1" x14ac:dyDescent="0.25">
      <c r="A774" s="275" t="str">
        <f>'Q100b-totais'!$B$18</f>
        <v>2.3</v>
      </c>
      <c r="B774" s="1205" t="str">
        <f>'Q100b-totais'!$C$18</f>
        <v>Rede viária</v>
      </c>
      <c r="C774" s="167" t="s">
        <v>432</v>
      </c>
      <c r="D774" s="939" t="s">
        <v>182</v>
      </c>
      <c r="E774" s="509" t="s">
        <v>1306</v>
      </c>
      <c r="F774" s="5" t="s">
        <v>1186</v>
      </c>
      <c r="G774" s="58" t="s">
        <v>183</v>
      </c>
      <c r="H774" s="167" t="s">
        <v>432</v>
      </c>
      <c r="I774" s="57">
        <v>1</v>
      </c>
      <c r="J774" s="107" t="s">
        <v>432</v>
      </c>
      <c r="K774" s="58" t="s">
        <v>432</v>
      </c>
      <c r="L774" s="58" t="s">
        <v>432</v>
      </c>
      <c r="M774" s="58" t="s">
        <v>432</v>
      </c>
      <c r="N774" s="58" t="s">
        <v>432</v>
      </c>
      <c r="O774" s="58" t="s">
        <v>432</v>
      </c>
      <c r="P774" s="58" t="s">
        <v>432</v>
      </c>
      <c r="Q774" s="58" t="s">
        <v>432</v>
      </c>
      <c r="R774" s="58" t="s">
        <v>432</v>
      </c>
      <c r="S774" s="109" t="s">
        <v>2209</v>
      </c>
      <c r="T774" s="58" t="s">
        <v>432</v>
      </c>
      <c r="U774" s="58" t="s">
        <v>432</v>
      </c>
      <c r="V774" s="109" t="s">
        <v>2209</v>
      </c>
      <c r="W774" s="58" t="s">
        <v>432</v>
      </c>
      <c r="X774" s="58" t="s">
        <v>432</v>
      </c>
      <c r="Y774" s="58" t="s">
        <v>432</v>
      </c>
      <c r="Z774" s="58" t="s">
        <v>432</v>
      </c>
      <c r="AA774" s="58" t="s">
        <v>432</v>
      </c>
      <c r="AB774" s="58" t="s">
        <v>432</v>
      </c>
      <c r="AC774" s="58" t="s">
        <v>432</v>
      </c>
      <c r="AD774" s="58" t="s">
        <v>432</v>
      </c>
      <c r="AE774" s="58" t="s">
        <v>432</v>
      </c>
      <c r="AF774" s="64">
        <f>(AF763/AF814)*1000</f>
        <v>3.3992153895920163</v>
      </c>
      <c r="AG774" s="58" t="s">
        <v>432</v>
      </c>
      <c r="AH774" s="58" t="s">
        <v>432</v>
      </c>
      <c r="AI774" s="58" t="s">
        <v>432</v>
      </c>
      <c r="AJ774" s="58" t="s">
        <v>432</v>
      </c>
      <c r="AK774" s="137" t="s">
        <v>432</v>
      </c>
      <c r="AL774" s="600" t="s">
        <v>432</v>
      </c>
      <c r="AM774" s="137" t="s">
        <v>432</v>
      </c>
      <c r="AN774" s="137" t="s">
        <v>432</v>
      </c>
      <c r="AO774" s="137" t="s">
        <v>432</v>
      </c>
      <c r="AP774" s="137" t="s">
        <v>432</v>
      </c>
      <c r="AQ774" s="137" t="s">
        <v>432</v>
      </c>
      <c r="AR774" s="137" t="s">
        <v>432</v>
      </c>
      <c r="AS774" s="137" t="s">
        <v>432</v>
      </c>
      <c r="AT774" s="137" t="s">
        <v>432</v>
      </c>
      <c r="AU774" s="137" t="s">
        <v>432</v>
      </c>
      <c r="AV774" s="137" t="s">
        <v>432</v>
      </c>
      <c r="AW774" s="137" t="s">
        <v>432</v>
      </c>
      <c r="AX774" s="137" t="s">
        <v>432</v>
      </c>
      <c r="AY774" s="137" t="s">
        <v>432</v>
      </c>
      <c r="AZ774" s="137" t="s">
        <v>432</v>
      </c>
      <c r="BA774" s="137" t="s">
        <v>432</v>
      </c>
      <c r="BB774" s="239" t="str">
        <f t="shared" si="158"/>
        <v>Rede viáriax</v>
      </c>
      <c r="BC774" s="239" t="str">
        <f t="shared" si="159"/>
        <v>Rede viáriaxx</v>
      </c>
      <c r="BD774" s="239" t="str">
        <f t="shared" si="160"/>
        <v>Rede viáriax</v>
      </c>
    </row>
    <row r="775" spans="1:56" s="373" customFormat="1" x14ac:dyDescent="0.25">
      <c r="A775" s="383"/>
      <c r="B775" s="384"/>
      <c r="C775" s="384"/>
      <c r="D775" s="717"/>
      <c r="E775" s="1518"/>
      <c r="F775" s="384"/>
      <c r="G775" s="384"/>
      <c r="H775" s="384"/>
      <c r="I775" s="384"/>
      <c r="J775" s="384"/>
      <c r="K775" s="384"/>
      <c r="L775" s="384"/>
      <c r="M775" s="384"/>
      <c r="N775" s="384"/>
      <c r="O775" s="384"/>
      <c r="P775" s="384"/>
      <c r="Q775" s="384"/>
      <c r="R775" s="384"/>
      <c r="S775" s="384"/>
      <c r="T775" s="384"/>
      <c r="U775" s="384"/>
      <c r="V775" s="384"/>
      <c r="W775" s="384"/>
      <c r="X775" s="384"/>
      <c r="Y775" s="384"/>
      <c r="Z775" s="384"/>
      <c r="AA775" s="384"/>
      <c r="AB775" s="384"/>
      <c r="AC775" s="384"/>
      <c r="AD775" s="384"/>
      <c r="AE775" s="384"/>
      <c r="AF775" s="384"/>
      <c r="AG775" s="384"/>
      <c r="AH775" s="384"/>
      <c r="AI775" s="384"/>
      <c r="AJ775" s="384"/>
      <c r="AK775" s="384"/>
      <c r="AL775" s="384"/>
      <c r="AM775" s="384"/>
      <c r="AN775" s="384"/>
      <c r="AO775" s="384"/>
      <c r="AP775" s="384"/>
      <c r="AQ775" s="384"/>
      <c r="AR775" s="384"/>
      <c r="AS775" s="384"/>
      <c r="AT775" s="384"/>
      <c r="AU775" s="384"/>
      <c r="AV775" s="384"/>
      <c r="AW775" s="384"/>
      <c r="AX775" s="384"/>
      <c r="AY775" s="384"/>
      <c r="AZ775" s="384"/>
      <c r="BA775" s="384"/>
      <c r="BB775" s="384"/>
      <c r="BC775" s="388"/>
      <c r="BD775" s="388"/>
    </row>
    <row r="776" spans="1:56" s="373" customFormat="1" ht="50.25" customHeight="1" x14ac:dyDescent="0.25">
      <c r="A776" s="275" t="str">
        <f>'Q100b-totais'!$B$50</f>
        <v>6.2</v>
      </c>
      <c r="B776" s="1205" t="str">
        <f>'Q100b-totais'!$C$50</f>
        <v>Sistema de bicicleta</v>
      </c>
      <c r="C776" s="167" t="s">
        <v>432</v>
      </c>
      <c r="D776" s="324" t="s">
        <v>1585</v>
      </c>
      <c r="E776" s="254" t="s">
        <v>432</v>
      </c>
      <c r="F776" s="1205" t="s">
        <v>4786</v>
      </c>
      <c r="G776" s="57" t="s">
        <v>3507</v>
      </c>
      <c r="H776" s="167" t="s">
        <v>2408</v>
      </c>
      <c r="I776" s="167" t="s">
        <v>432</v>
      </c>
      <c r="J776" s="109" t="s">
        <v>432</v>
      </c>
      <c r="K776" s="109" t="s">
        <v>432</v>
      </c>
      <c r="L776" s="109" t="s">
        <v>432</v>
      </c>
      <c r="M776" s="109" t="s">
        <v>432</v>
      </c>
      <c r="N776" s="109" t="s">
        <v>432</v>
      </c>
      <c r="O776" s="109" t="s">
        <v>432</v>
      </c>
      <c r="P776" s="109" t="s">
        <v>432</v>
      </c>
      <c r="Q776" s="109" t="s">
        <v>432</v>
      </c>
      <c r="R776" s="109" t="s">
        <v>432</v>
      </c>
      <c r="S776" s="109" t="s">
        <v>2209</v>
      </c>
      <c r="T776" s="109" t="s">
        <v>432</v>
      </c>
      <c r="U776" s="109" t="s">
        <v>432</v>
      </c>
      <c r="V776" s="109" t="s">
        <v>2209</v>
      </c>
      <c r="W776" s="109" t="s">
        <v>432</v>
      </c>
      <c r="X776" s="109" t="s">
        <v>432</v>
      </c>
      <c r="Y776" s="109" t="s">
        <v>432</v>
      </c>
      <c r="Z776" s="109" t="s">
        <v>432</v>
      </c>
      <c r="AA776" s="109" t="s">
        <v>432</v>
      </c>
      <c r="AB776" s="109" t="s">
        <v>432</v>
      </c>
      <c r="AC776" s="109" t="s">
        <v>432</v>
      </c>
      <c r="AD776" s="109" t="s">
        <v>432</v>
      </c>
      <c r="AE776" s="109" t="s">
        <v>432</v>
      </c>
      <c r="AF776" s="109" t="s">
        <v>432</v>
      </c>
      <c r="AG776" s="109" t="s">
        <v>432</v>
      </c>
      <c r="AH776" s="109" t="s">
        <v>432</v>
      </c>
      <c r="AI776" s="109" t="s">
        <v>432</v>
      </c>
      <c r="AJ776" s="136" t="s">
        <v>432</v>
      </c>
      <c r="AK776" s="136" t="s">
        <v>432</v>
      </c>
      <c r="AL776" s="600" t="s">
        <v>432</v>
      </c>
      <c r="AM776" s="109" t="s">
        <v>432</v>
      </c>
      <c r="AN776" s="109" t="s">
        <v>432</v>
      </c>
      <c r="AO776" s="109" t="s">
        <v>432</v>
      </c>
      <c r="AP776" s="109" t="s">
        <v>432</v>
      </c>
      <c r="AQ776" s="109" t="s">
        <v>432</v>
      </c>
      <c r="AR776" s="109" t="s">
        <v>432</v>
      </c>
      <c r="AS776" s="109" t="s">
        <v>432</v>
      </c>
      <c r="AT776" s="109" t="s">
        <v>432</v>
      </c>
      <c r="AU776" s="109" t="s">
        <v>432</v>
      </c>
      <c r="AV776" s="109" t="s">
        <v>432</v>
      </c>
      <c r="AW776" s="137" t="s">
        <v>432</v>
      </c>
      <c r="AX776" s="109" t="s">
        <v>432</v>
      </c>
      <c r="AY776" s="109" t="s">
        <v>432</v>
      </c>
      <c r="AZ776" s="109" t="s">
        <v>432</v>
      </c>
      <c r="BA776" s="109" t="s">
        <v>432</v>
      </c>
      <c r="BB776" s="239" t="str">
        <f t="shared" ref="BB776:BB786" si="161">B776&amp;C776</f>
        <v>Sistema de bicicletax</v>
      </c>
      <c r="BC776" s="239" t="str">
        <f t="shared" ref="BC776:BC786" si="162">B776&amp;C776&amp;H776</f>
        <v>Sistema de bicicletaxsigla/verbete</v>
      </c>
      <c r="BD776" s="239" t="str">
        <f t="shared" ref="BD776:BD786" si="163">B776&amp;H776</f>
        <v>Sistema de bicicletasigla/verbete</v>
      </c>
    </row>
    <row r="777" spans="1:56" s="1" customFormat="1" ht="57.75" customHeight="1" x14ac:dyDescent="0.25">
      <c r="A777" s="275" t="str">
        <f>'Q100b-totais'!$B$50</f>
        <v>6.2</v>
      </c>
      <c r="B777" s="1205" t="str">
        <f>'Q100b-totais'!$C$50</f>
        <v>Sistema de bicicleta</v>
      </c>
      <c r="C777" s="167" t="s">
        <v>935</v>
      </c>
      <c r="D777" s="362" t="s">
        <v>1585</v>
      </c>
      <c r="E777" s="1502" t="s">
        <v>1306</v>
      </c>
      <c r="F777" s="744" t="s">
        <v>4781</v>
      </c>
      <c r="G777" s="111" t="s">
        <v>5417</v>
      </c>
      <c r="H777" s="167" t="s">
        <v>432</v>
      </c>
      <c r="I777" s="57">
        <v>1</v>
      </c>
      <c r="J777" s="107" t="s">
        <v>432</v>
      </c>
      <c r="K777" s="107" t="s">
        <v>432</v>
      </c>
      <c r="L777" s="107" t="s">
        <v>432</v>
      </c>
      <c r="M777" s="107" t="s">
        <v>432</v>
      </c>
      <c r="N777" s="107" t="s">
        <v>432</v>
      </c>
      <c r="O777" s="107" t="s">
        <v>432</v>
      </c>
      <c r="P777" s="107" t="s">
        <v>432</v>
      </c>
      <c r="Q777" s="107" t="s">
        <v>432</v>
      </c>
      <c r="R777" s="107" t="s">
        <v>432</v>
      </c>
      <c r="S777" s="109" t="s">
        <v>2209</v>
      </c>
      <c r="T777" s="107" t="s">
        <v>432</v>
      </c>
      <c r="U777" s="107" t="s">
        <v>432</v>
      </c>
      <c r="V777" s="109" t="s">
        <v>2209</v>
      </c>
      <c r="W777" s="107" t="s">
        <v>432</v>
      </c>
      <c r="X777" s="107" t="s">
        <v>432</v>
      </c>
      <c r="Y777" s="58">
        <f>Y784</f>
        <v>11.55</v>
      </c>
      <c r="Z777" s="44">
        <f t="shared" ref="Z777:AK777" si="164">Y777+Z784</f>
        <v>11.55</v>
      </c>
      <c r="AA777" s="44">
        <f t="shared" si="164"/>
        <v>11.55</v>
      </c>
      <c r="AB777" s="44">
        <f t="shared" si="164"/>
        <v>11.55</v>
      </c>
      <c r="AC777" s="44">
        <f t="shared" si="164"/>
        <v>15.05</v>
      </c>
      <c r="AD777" s="44">
        <f t="shared" si="164"/>
        <v>23.810000000000002</v>
      </c>
      <c r="AE777" s="44">
        <f t="shared" si="164"/>
        <v>23.810000000000002</v>
      </c>
      <c r="AF777" s="44">
        <f t="shared" si="164"/>
        <v>23.810000000000002</v>
      </c>
      <c r="AG777" s="44">
        <f t="shared" si="164"/>
        <v>31.910000000000004</v>
      </c>
      <c r="AH777" s="44">
        <f t="shared" si="164"/>
        <v>43.400000000000006</v>
      </c>
      <c r="AI777" s="44">
        <f t="shared" si="164"/>
        <v>59.230000000000004</v>
      </c>
      <c r="AJ777" s="44">
        <f t="shared" si="164"/>
        <v>70.42</v>
      </c>
      <c r="AK777" s="44">
        <f t="shared" si="164"/>
        <v>83.28</v>
      </c>
      <c r="AL777" s="600" t="s">
        <v>432</v>
      </c>
      <c r="AM777" s="137" t="s">
        <v>432</v>
      </c>
      <c r="AN777" s="137" t="s">
        <v>432</v>
      </c>
      <c r="AO777" s="137" t="s">
        <v>432</v>
      </c>
      <c r="AP777" s="137" t="s">
        <v>432</v>
      </c>
      <c r="AQ777" s="137" t="s">
        <v>432</v>
      </c>
      <c r="AR777" s="137" t="s">
        <v>432</v>
      </c>
      <c r="AS777" s="137" t="s">
        <v>432</v>
      </c>
      <c r="AT777" s="137" t="s">
        <v>432</v>
      </c>
      <c r="AU777" s="137" t="s">
        <v>432</v>
      </c>
      <c r="AV777" s="137" t="s">
        <v>432</v>
      </c>
      <c r="AW777" s="137" t="s">
        <v>432</v>
      </c>
      <c r="AX777" s="137" t="s">
        <v>432</v>
      </c>
      <c r="AY777" s="137" t="s">
        <v>432</v>
      </c>
      <c r="AZ777" s="137" t="s">
        <v>432</v>
      </c>
      <c r="BA777" s="137" t="s">
        <v>432</v>
      </c>
      <c r="BB777" s="239" t="str">
        <f t="shared" si="161"/>
        <v>Sistema de bicicletaCMMCE</v>
      </c>
      <c r="BC777" s="239" t="str">
        <f t="shared" si="162"/>
        <v>Sistema de bicicletaCMMCEx</v>
      </c>
      <c r="BD777" s="239" t="str">
        <f t="shared" si="163"/>
        <v>Sistema de bicicletax</v>
      </c>
    </row>
    <row r="778" spans="1:56" s="1" customFormat="1" ht="57.75" customHeight="1" x14ac:dyDescent="0.25">
      <c r="A778" s="275" t="str">
        <f>'Q100b-totais'!B50</f>
        <v>6.2</v>
      </c>
      <c r="B778" s="1172" t="str">
        <f>'Q100b-totais'!C50</f>
        <v>Sistema de bicicleta</v>
      </c>
      <c r="C778" s="167" t="s">
        <v>432</v>
      </c>
      <c r="D778" s="362" t="s">
        <v>1784</v>
      </c>
      <c r="E778" s="1502" t="s">
        <v>1306</v>
      </c>
      <c r="F778" s="1415" t="s">
        <v>5395</v>
      </c>
      <c r="G778" s="1420" t="s">
        <v>5394</v>
      </c>
      <c r="H778" s="167" t="s">
        <v>765</v>
      </c>
      <c r="I778" s="57" t="s">
        <v>432</v>
      </c>
      <c r="J778" s="922" t="s">
        <v>432</v>
      </c>
      <c r="K778" s="922" t="s">
        <v>432</v>
      </c>
      <c r="L778" s="922" t="s">
        <v>432</v>
      </c>
      <c r="M778" s="922" t="s">
        <v>432</v>
      </c>
      <c r="N778" s="922" t="s">
        <v>432</v>
      </c>
      <c r="O778" s="922" t="s">
        <v>432</v>
      </c>
      <c r="P778" s="922" t="s">
        <v>432</v>
      </c>
      <c r="Q778" s="922" t="s">
        <v>432</v>
      </c>
      <c r="R778" s="922" t="s">
        <v>432</v>
      </c>
      <c r="S778" s="109" t="s">
        <v>2209</v>
      </c>
      <c r="T778" s="107" t="s">
        <v>432</v>
      </c>
      <c r="U778" s="107" t="s">
        <v>432</v>
      </c>
      <c r="V778" s="109" t="s">
        <v>2209</v>
      </c>
      <c r="W778" s="922" t="s">
        <v>432</v>
      </c>
      <c r="X778" s="922" t="s">
        <v>432</v>
      </c>
      <c r="Y778" s="922" t="s">
        <v>432</v>
      </c>
      <c r="Z778" s="922" t="s">
        <v>432</v>
      </c>
      <c r="AA778" s="922" t="s">
        <v>432</v>
      </c>
      <c r="AB778" s="922" t="s">
        <v>432</v>
      </c>
      <c r="AC778" s="922" t="s">
        <v>432</v>
      </c>
      <c r="AD778" s="922" t="s">
        <v>432</v>
      </c>
      <c r="AE778" s="922" t="s">
        <v>432</v>
      </c>
      <c r="AF778" s="922" t="s">
        <v>432</v>
      </c>
      <c r="AG778" s="922" t="s">
        <v>432</v>
      </c>
      <c r="AH778" s="922" t="s">
        <v>432</v>
      </c>
      <c r="AI778" s="922" t="s">
        <v>432</v>
      </c>
      <c r="AJ778" s="922" t="s">
        <v>432</v>
      </c>
      <c r="AK778" s="922" t="s">
        <v>432</v>
      </c>
      <c r="AL778" s="600" t="s">
        <v>432</v>
      </c>
      <c r="AM778" s="137" t="s">
        <v>432</v>
      </c>
      <c r="AN778" s="137" t="s">
        <v>432</v>
      </c>
      <c r="AO778" s="137" t="s">
        <v>432</v>
      </c>
      <c r="AP778" s="137" t="s">
        <v>432</v>
      </c>
      <c r="AQ778" s="137" t="s">
        <v>432</v>
      </c>
      <c r="AR778" s="137" t="s">
        <v>432</v>
      </c>
      <c r="AS778" s="137" t="s">
        <v>432</v>
      </c>
      <c r="AT778" s="137" t="s">
        <v>432</v>
      </c>
      <c r="AU778" s="137" t="s">
        <v>432</v>
      </c>
      <c r="AV778" s="137" t="s">
        <v>432</v>
      </c>
      <c r="AW778" s="137" t="s">
        <v>432</v>
      </c>
      <c r="AX778" s="137" t="s">
        <v>432</v>
      </c>
      <c r="AY778" s="137" t="s">
        <v>432</v>
      </c>
      <c r="AZ778" s="137" t="s">
        <v>432</v>
      </c>
      <c r="BA778" s="137" t="s">
        <v>432</v>
      </c>
      <c r="BB778" s="239" t="str">
        <f t="shared" si="161"/>
        <v>Sistema de bicicletax</v>
      </c>
      <c r="BC778" s="239" t="str">
        <f t="shared" si="162"/>
        <v>Sistema de bicicletaxmeta/RPI</v>
      </c>
      <c r="BD778" s="239" t="str">
        <f t="shared" si="163"/>
        <v>Sistema de bicicletameta/RPI</v>
      </c>
    </row>
    <row r="779" spans="1:56" s="1" customFormat="1" ht="39.75" customHeight="1" x14ac:dyDescent="0.25">
      <c r="A779" s="275" t="str">
        <f>'Q100b-totais'!B50</f>
        <v>6.2</v>
      </c>
      <c r="B779" s="1172" t="str">
        <f>'Q100b-totais'!C50</f>
        <v>Sistema de bicicleta</v>
      </c>
      <c r="C779" s="167" t="s">
        <v>432</v>
      </c>
      <c r="D779" s="325" t="s">
        <v>1585</v>
      </c>
      <c r="E779" s="1499" t="s">
        <v>1700</v>
      </c>
      <c r="F779" s="252" t="s">
        <v>4782</v>
      </c>
      <c r="G779" s="110" t="s">
        <v>77</v>
      </c>
      <c r="H779" s="167" t="s">
        <v>819</v>
      </c>
      <c r="I779" s="167" t="s">
        <v>432</v>
      </c>
      <c r="J779" s="107" t="s">
        <v>432</v>
      </c>
      <c r="K779" s="107" t="s">
        <v>432</v>
      </c>
      <c r="L779" s="107" t="s">
        <v>432</v>
      </c>
      <c r="M779" s="107" t="s">
        <v>432</v>
      </c>
      <c r="N779" s="107" t="s">
        <v>432</v>
      </c>
      <c r="O779" s="107" t="s">
        <v>432</v>
      </c>
      <c r="P779" s="107" t="s">
        <v>432</v>
      </c>
      <c r="Q779" s="107" t="s">
        <v>432</v>
      </c>
      <c r="R779" s="107" t="s">
        <v>432</v>
      </c>
      <c r="S779" s="109" t="s">
        <v>2209</v>
      </c>
      <c r="T779" s="107" t="s">
        <v>432</v>
      </c>
      <c r="U779" s="107" t="s">
        <v>432</v>
      </c>
      <c r="V779" s="109" t="s">
        <v>2209</v>
      </c>
      <c r="W779" s="107" t="s">
        <v>432</v>
      </c>
      <c r="X779" s="107" t="s">
        <v>432</v>
      </c>
      <c r="Y779" s="107" t="s">
        <v>432</v>
      </c>
      <c r="Z779" s="107" t="s">
        <v>432</v>
      </c>
      <c r="AA779" s="107" t="s">
        <v>432</v>
      </c>
      <c r="AB779" s="107" t="s">
        <v>432</v>
      </c>
      <c r="AC779" s="107" t="s">
        <v>432</v>
      </c>
      <c r="AD779" s="107" t="s">
        <v>432</v>
      </c>
      <c r="AE779" s="922" t="s">
        <v>432</v>
      </c>
      <c r="AF779" s="922" t="s">
        <v>432</v>
      </c>
      <c r="AG779" s="922" t="s">
        <v>432</v>
      </c>
      <c r="AH779" s="922" t="s">
        <v>432</v>
      </c>
      <c r="AI779" s="922" t="s">
        <v>432</v>
      </c>
      <c r="AJ779" s="922" t="s">
        <v>432</v>
      </c>
      <c r="AK779" s="88">
        <v>440</v>
      </c>
      <c r="AL779" s="600" t="s">
        <v>432</v>
      </c>
      <c r="AM779" s="137" t="s">
        <v>432</v>
      </c>
      <c r="AN779" s="137" t="s">
        <v>432</v>
      </c>
      <c r="AO779" s="137" t="s">
        <v>432</v>
      </c>
      <c r="AP779" s="137" t="s">
        <v>432</v>
      </c>
      <c r="AQ779" s="137" t="s">
        <v>432</v>
      </c>
      <c r="AR779" s="137" t="s">
        <v>432</v>
      </c>
      <c r="AS779" s="137" t="s">
        <v>432</v>
      </c>
      <c r="AT779" s="137" t="s">
        <v>432</v>
      </c>
      <c r="AU779" s="137" t="s">
        <v>432</v>
      </c>
      <c r="AV779" s="137" t="s">
        <v>432</v>
      </c>
      <c r="AW779" s="137" t="s">
        <v>432</v>
      </c>
      <c r="AX779" s="137" t="s">
        <v>432</v>
      </c>
      <c r="AY779" s="137" t="s">
        <v>432</v>
      </c>
      <c r="AZ779" s="137" t="s">
        <v>432</v>
      </c>
      <c r="BA779" s="137" t="s">
        <v>432</v>
      </c>
      <c r="BB779" s="239" t="str">
        <f t="shared" si="161"/>
        <v>Sistema de bicicletax</v>
      </c>
      <c r="BC779" s="239" t="str">
        <f t="shared" si="162"/>
        <v>Sistema de bicicletaxbenchmarking</v>
      </c>
      <c r="BD779" s="239" t="str">
        <f t="shared" si="163"/>
        <v>Sistema de bicicletabenchmarking</v>
      </c>
    </row>
    <row r="780" spans="1:56" s="1" customFormat="1" ht="39.75" customHeight="1" x14ac:dyDescent="0.25">
      <c r="A780" s="275" t="str">
        <f>'Q100b-totais'!B50</f>
        <v>6.2</v>
      </c>
      <c r="B780" s="1172" t="str">
        <f>'Q100b-totais'!C50</f>
        <v>Sistema de bicicleta</v>
      </c>
      <c r="C780" s="167" t="s">
        <v>432</v>
      </c>
      <c r="D780" s="325" t="s">
        <v>1585</v>
      </c>
      <c r="E780" s="1499" t="s">
        <v>1266</v>
      </c>
      <c r="F780" s="252" t="s">
        <v>4783</v>
      </c>
      <c r="G780" s="110" t="s">
        <v>77</v>
      </c>
      <c r="H780" s="167" t="s">
        <v>819</v>
      </c>
      <c r="I780" s="167" t="s">
        <v>432</v>
      </c>
      <c r="J780" s="107" t="s">
        <v>432</v>
      </c>
      <c r="K780" s="107" t="s">
        <v>432</v>
      </c>
      <c r="L780" s="107" t="s">
        <v>432</v>
      </c>
      <c r="M780" s="107" t="s">
        <v>432</v>
      </c>
      <c r="N780" s="107" t="s">
        <v>432</v>
      </c>
      <c r="O780" s="107" t="s">
        <v>432</v>
      </c>
      <c r="P780" s="107" t="s">
        <v>432</v>
      </c>
      <c r="Q780" s="107" t="s">
        <v>432</v>
      </c>
      <c r="R780" s="107" t="s">
        <v>432</v>
      </c>
      <c r="S780" s="109" t="s">
        <v>2209</v>
      </c>
      <c r="T780" s="107" t="s">
        <v>432</v>
      </c>
      <c r="U780" s="107" t="s">
        <v>432</v>
      </c>
      <c r="V780" s="109" t="s">
        <v>2209</v>
      </c>
      <c r="W780" s="107" t="s">
        <v>432</v>
      </c>
      <c r="X780" s="107" t="s">
        <v>432</v>
      </c>
      <c r="Y780" s="107" t="s">
        <v>432</v>
      </c>
      <c r="Z780" s="107" t="s">
        <v>432</v>
      </c>
      <c r="AA780" s="107" t="s">
        <v>432</v>
      </c>
      <c r="AB780" s="107" t="s">
        <v>432</v>
      </c>
      <c r="AC780" s="107" t="s">
        <v>432</v>
      </c>
      <c r="AD780" s="107" t="s">
        <v>432</v>
      </c>
      <c r="AE780" s="922" t="s">
        <v>432</v>
      </c>
      <c r="AF780" s="922" t="s">
        <v>432</v>
      </c>
      <c r="AG780" s="922" t="s">
        <v>432</v>
      </c>
      <c r="AH780" s="922" t="s">
        <v>432</v>
      </c>
      <c r="AI780" s="922" t="s">
        <v>432</v>
      </c>
      <c r="AJ780" s="922" t="s">
        <v>432</v>
      </c>
      <c r="AK780" s="88">
        <v>181</v>
      </c>
      <c r="AL780" s="600" t="s">
        <v>432</v>
      </c>
      <c r="AM780" s="137" t="s">
        <v>432</v>
      </c>
      <c r="AN780" s="137" t="s">
        <v>432</v>
      </c>
      <c r="AO780" s="137" t="s">
        <v>432</v>
      </c>
      <c r="AP780" s="137" t="s">
        <v>432</v>
      </c>
      <c r="AQ780" s="137" t="s">
        <v>432</v>
      </c>
      <c r="AR780" s="137" t="s">
        <v>432</v>
      </c>
      <c r="AS780" s="137" t="s">
        <v>432</v>
      </c>
      <c r="AT780" s="137" t="s">
        <v>432</v>
      </c>
      <c r="AU780" s="137" t="s">
        <v>432</v>
      </c>
      <c r="AV780" s="137" t="s">
        <v>432</v>
      </c>
      <c r="AW780" s="137" t="s">
        <v>432</v>
      </c>
      <c r="AX780" s="137" t="s">
        <v>432</v>
      </c>
      <c r="AY780" s="137" t="s">
        <v>432</v>
      </c>
      <c r="AZ780" s="137" t="s">
        <v>432</v>
      </c>
      <c r="BA780" s="137" t="s">
        <v>432</v>
      </c>
      <c r="BB780" s="239" t="str">
        <f t="shared" si="161"/>
        <v>Sistema de bicicletax</v>
      </c>
      <c r="BC780" s="239" t="str">
        <f t="shared" si="162"/>
        <v>Sistema de bicicletaxbenchmarking</v>
      </c>
      <c r="BD780" s="239" t="str">
        <f t="shared" si="163"/>
        <v>Sistema de bicicletabenchmarking</v>
      </c>
    </row>
    <row r="781" spans="1:56" s="1" customFormat="1" ht="39.75" customHeight="1" x14ac:dyDescent="0.25">
      <c r="A781" s="275" t="str">
        <f>'Q100b-totais'!B50</f>
        <v>6.2</v>
      </c>
      <c r="B781" s="1172" t="str">
        <f>'Q100b-totais'!C50</f>
        <v>Sistema de bicicleta</v>
      </c>
      <c r="C781" s="167" t="s">
        <v>432</v>
      </c>
      <c r="D781" s="325" t="s">
        <v>1585</v>
      </c>
      <c r="E781" s="1499" t="s">
        <v>1703</v>
      </c>
      <c r="F781" s="252" t="s">
        <v>4784</v>
      </c>
      <c r="G781" s="110" t="s">
        <v>77</v>
      </c>
      <c r="H781" s="167" t="s">
        <v>819</v>
      </c>
      <c r="I781" s="167" t="s">
        <v>432</v>
      </c>
      <c r="J781" s="107" t="s">
        <v>432</v>
      </c>
      <c r="K781" s="107" t="s">
        <v>432</v>
      </c>
      <c r="L781" s="107" t="s">
        <v>432</v>
      </c>
      <c r="M781" s="107" t="s">
        <v>432</v>
      </c>
      <c r="N781" s="107" t="s">
        <v>432</v>
      </c>
      <c r="O781" s="107" t="s">
        <v>432</v>
      </c>
      <c r="P781" s="107" t="s">
        <v>432</v>
      </c>
      <c r="Q781" s="107" t="s">
        <v>432</v>
      </c>
      <c r="R781" s="107" t="s">
        <v>432</v>
      </c>
      <c r="S781" s="109" t="s">
        <v>2209</v>
      </c>
      <c r="T781" s="107" t="s">
        <v>432</v>
      </c>
      <c r="U781" s="107" t="s">
        <v>432</v>
      </c>
      <c r="V781" s="109" t="s">
        <v>2209</v>
      </c>
      <c r="W781" s="107" t="s">
        <v>432</v>
      </c>
      <c r="X781" s="107" t="s">
        <v>432</v>
      </c>
      <c r="Y781" s="107" t="s">
        <v>432</v>
      </c>
      <c r="Z781" s="107" t="s">
        <v>432</v>
      </c>
      <c r="AA781" s="107" t="s">
        <v>432</v>
      </c>
      <c r="AB781" s="107" t="s">
        <v>432</v>
      </c>
      <c r="AC781" s="107" t="s">
        <v>432</v>
      </c>
      <c r="AD781" s="107" t="s">
        <v>432</v>
      </c>
      <c r="AE781" s="922" t="s">
        <v>432</v>
      </c>
      <c r="AF781" s="922" t="s">
        <v>432</v>
      </c>
      <c r="AG781" s="922" t="s">
        <v>432</v>
      </c>
      <c r="AH781" s="922" t="s">
        <v>432</v>
      </c>
      <c r="AI781" s="922" t="s">
        <v>432</v>
      </c>
      <c r="AJ781" s="922" t="s">
        <v>432</v>
      </c>
      <c r="AK781" s="88">
        <v>21</v>
      </c>
      <c r="AL781" s="600" t="s">
        <v>432</v>
      </c>
      <c r="AM781" s="137" t="s">
        <v>432</v>
      </c>
      <c r="AN781" s="137" t="s">
        <v>432</v>
      </c>
      <c r="AO781" s="137" t="s">
        <v>432</v>
      </c>
      <c r="AP781" s="137" t="s">
        <v>432</v>
      </c>
      <c r="AQ781" s="137" t="s">
        <v>432</v>
      </c>
      <c r="AR781" s="137" t="s">
        <v>432</v>
      </c>
      <c r="AS781" s="137" t="s">
        <v>432</v>
      </c>
      <c r="AT781" s="137" t="s">
        <v>432</v>
      </c>
      <c r="AU781" s="137" t="s">
        <v>432</v>
      </c>
      <c r="AV781" s="137" t="s">
        <v>432</v>
      </c>
      <c r="AW781" s="137" t="s">
        <v>432</v>
      </c>
      <c r="AX781" s="137" t="s">
        <v>432</v>
      </c>
      <c r="AY781" s="137" t="s">
        <v>432</v>
      </c>
      <c r="AZ781" s="137" t="s">
        <v>432</v>
      </c>
      <c r="BA781" s="137" t="s">
        <v>432</v>
      </c>
      <c r="BB781" s="239" t="str">
        <f t="shared" si="161"/>
        <v>Sistema de bicicletax</v>
      </c>
      <c r="BC781" s="239" t="str">
        <f t="shared" si="162"/>
        <v>Sistema de bicicletaxbenchmarking</v>
      </c>
      <c r="BD781" s="239" t="str">
        <f t="shared" si="163"/>
        <v>Sistema de bicicletabenchmarking</v>
      </c>
    </row>
    <row r="782" spans="1:56" s="1" customFormat="1" ht="56.25" customHeight="1" x14ac:dyDescent="0.25">
      <c r="A782" s="275" t="str">
        <f>'Q100b-totais'!B50</f>
        <v>6.2</v>
      </c>
      <c r="B782" s="1205" t="str">
        <f>'Q100b-totais'!C50</f>
        <v>Sistema de bicicleta</v>
      </c>
      <c r="C782" s="167" t="s">
        <v>432</v>
      </c>
      <c r="D782" s="362" t="s">
        <v>1585</v>
      </c>
      <c r="E782" s="1502" t="s">
        <v>2388</v>
      </c>
      <c r="F782" s="744" t="s">
        <v>4785</v>
      </c>
      <c r="G782" s="1353" t="s">
        <v>77</v>
      </c>
      <c r="H782" s="167" t="s">
        <v>819</v>
      </c>
      <c r="I782" s="167" t="s">
        <v>432</v>
      </c>
      <c r="J782" s="107" t="s">
        <v>432</v>
      </c>
      <c r="K782" s="107" t="s">
        <v>432</v>
      </c>
      <c r="L782" s="107" t="s">
        <v>432</v>
      </c>
      <c r="M782" s="107" t="s">
        <v>432</v>
      </c>
      <c r="N782" s="107" t="s">
        <v>432</v>
      </c>
      <c r="O782" s="107" t="s">
        <v>432</v>
      </c>
      <c r="P782" s="107" t="s">
        <v>432</v>
      </c>
      <c r="Q782" s="107" t="s">
        <v>432</v>
      </c>
      <c r="R782" s="107" t="s">
        <v>432</v>
      </c>
      <c r="S782" s="109" t="s">
        <v>2209</v>
      </c>
      <c r="T782" s="107" t="s">
        <v>432</v>
      </c>
      <c r="U782" s="107" t="s">
        <v>432</v>
      </c>
      <c r="V782" s="109" t="s">
        <v>2209</v>
      </c>
      <c r="W782" s="107" t="s">
        <v>432</v>
      </c>
      <c r="X782" s="107" t="s">
        <v>432</v>
      </c>
      <c r="Y782" s="107" t="s">
        <v>432</v>
      </c>
      <c r="Z782" s="107" t="s">
        <v>432</v>
      </c>
      <c r="AA782" s="107" t="s">
        <v>432</v>
      </c>
      <c r="AB782" s="107" t="s">
        <v>432</v>
      </c>
      <c r="AC782" s="107" t="s">
        <v>432</v>
      </c>
      <c r="AD782" s="107" t="s">
        <v>432</v>
      </c>
      <c r="AE782" s="107" t="s">
        <v>432</v>
      </c>
      <c r="AF782" s="107" t="s">
        <v>432</v>
      </c>
      <c r="AG782" s="107" t="s">
        <v>432</v>
      </c>
      <c r="AH782" s="107" t="s">
        <v>432</v>
      </c>
      <c r="AI782" s="107" t="s">
        <v>432</v>
      </c>
      <c r="AJ782" s="107" t="s">
        <v>432</v>
      </c>
      <c r="AK782" s="107" t="s">
        <v>432</v>
      </c>
      <c r="AL782" s="600" t="s">
        <v>432</v>
      </c>
      <c r="AM782" s="137" t="s">
        <v>432</v>
      </c>
      <c r="AN782" s="137" t="s">
        <v>432</v>
      </c>
      <c r="AO782" s="137" t="s">
        <v>432</v>
      </c>
      <c r="AP782" s="137" t="s">
        <v>432</v>
      </c>
      <c r="AQ782" s="137" t="s">
        <v>432</v>
      </c>
      <c r="AR782" s="137" t="s">
        <v>432</v>
      </c>
      <c r="AS782" s="137" t="s">
        <v>432</v>
      </c>
      <c r="AT782" s="137" t="s">
        <v>432</v>
      </c>
      <c r="AU782" s="137" t="s">
        <v>432</v>
      </c>
      <c r="AV782" s="137" t="s">
        <v>432</v>
      </c>
      <c r="AW782" s="137" t="s">
        <v>432</v>
      </c>
      <c r="AX782" s="137" t="s">
        <v>432</v>
      </c>
      <c r="AY782" s="137" t="s">
        <v>432</v>
      </c>
      <c r="AZ782" s="137" t="s">
        <v>432</v>
      </c>
      <c r="BA782" s="137" t="s">
        <v>432</v>
      </c>
      <c r="BB782" s="239" t="str">
        <f t="shared" si="161"/>
        <v>Sistema de bicicletax</v>
      </c>
      <c r="BC782" s="239" t="str">
        <f t="shared" si="162"/>
        <v>Sistema de bicicletaxbenchmarking</v>
      </c>
      <c r="BD782" s="239" t="str">
        <f t="shared" si="163"/>
        <v>Sistema de bicicletabenchmarking</v>
      </c>
    </row>
    <row r="783" spans="1:56" s="1" customFormat="1" ht="45.75" customHeight="1" x14ac:dyDescent="0.25">
      <c r="A783" s="275" t="str">
        <f>'Q100b-totais'!B50</f>
        <v>6.2</v>
      </c>
      <c r="B783" s="1205" t="str">
        <f>'Q100b-totais'!C50</f>
        <v>Sistema de bicicleta</v>
      </c>
      <c r="C783" s="167" t="s">
        <v>432</v>
      </c>
      <c r="D783" s="324" t="s">
        <v>2390</v>
      </c>
      <c r="E783" s="509" t="s">
        <v>1306</v>
      </c>
      <c r="F783" s="11" t="s">
        <v>4787</v>
      </c>
      <c r="G783" s="58" t="s">
        <v>2389</v>
      </c>
      <c r="H783" s="167" t="s">
        <v>432</v>
      </c>
      <c r="I783" s="57">
        <v>1</v>
      </c>
      <c r="J783" s="107" t="s">
        <v>432</v>
      </c>
      <c r="K783" s="107" t="s">
        <v>432</v>
      </c>
      <c r="L783" s="107" t="s">
        <v>432</v>
      </c>
      <c r="M783" s="107" t="s">
        <v>432</v>
      </c>
      <c r="N783" s="107" t="s">
        <v>432</v>
      </c>
      <c r="O783" s="107" t="s">
        <v>432</v>
      </c>
      <c r="P783" s="107" t="s">
        <v>432</v>
      </c>
      <c r="Q783" s="107" t="s">
        <v>432</v>
      </c>
      <c r="R783" s="107" t="s">
        <v>432</v>
      </c>
      <c r="S783" s="109" t="s">
        <v>2209</v>
      </c>
      <c r="T783" s="107" t="s">
        <v>432</v>
      </c>
      <c r="U783" s="107" t="s">
        <v>432</v>
      </c>
      <c r="V783" s="109" t="s">
        <v>2209</v>
      </c>
      <c r="W783" s="107" t="s">
        <v>432</v>
      </c>
      <c r="X783" s="107" t="s">
        <v>432</v>
      </c>
      <c r="Y783" s="58" t="s">
        <v>432</v>
      </c>
      <c r="Z783" s="58" t="s">
        <v>432</v>
      </c>
      <c r="AA783" s="58" t="s">
        <v>432</v>
      </c>
      <c r="AB783" s="58" t="s">
        <v>432</v>
      </c>
      <c r="AC783" s="58" t="s">
        <v>432</v>
      </c>
      <c r="AD783" s="58" t="s">
        <v>432</v>
      </c>
      <c r="AE783" s="47" t="s">
        <v>432</v>
      </c>
      <c r="AF783" s="47">
        <f>AF777/AF763</f>
        <v>5.2571731378545173E-3</v>
      </c>
      <c r="AG783" s="47">
        <f>AG777/AF763</f>
        <v>7.0456276702619757E-3</v>
      </c>
      <c r="AH783" s="47">
        <f>AH777/AF763</f>
        <v>9.5825835440103337E-3</v>
      </c>
      <c r="AI783" s="47">
        <f>AI777/AF763</f>
        <v>1.3077797772159725E-2</v>
      </c>
      <c r="AJ783" s="47">
        <f>AJ777/AF763</f>
        <v>1.5548514589152251E-2</v>
      </c>
      <c r="AK783" s="47">
        <f>AK777/AF763</f>
        <v>1.8387962155418908E-2</v>
      </c>
      <c r="AL783" s="600" t="s">
        <v>432</v>
      </c>
      <c r="AM783" s="137" t="s">
        <v>432</v>
      </c>
      <c r="AN783" s="137" t="s">
        <v>432</v>
      </c>
      <c r="AO783" s="137" t="s">
        <v>432</v>
      </c>
      <c r="AP783" s="137" t="s">
        <v>432</v>
      </c>
      <c r="AQ783" s="137" t="s">
        <v>432</v>
      </c>
      <c r="AR783" s="137" t="s">
        <v>432</v>
      </c>
      <c r="AS783" s="137" t="s">
        <v>432</v>
      </c>
      <c r="AT783" s="137" t="s">
        <v>432</v>
      </c>
      <c r="AU783" s="137" t="s">
        <v>432</v>
      </c>
      <c r="AV783" s="137" t="s">
        <v>432</v>
      </c>
      <c r="AW783" s="137" t="s">
        <v>432</v>
      </c>
      <c r="AX783" s="137" t="s">
        <v>432</v>
      </c>
      <c r="AY783" s="137" t="s">
        <v>432</v>
      </c>
      <c r="AZ783" s="137" t="s">
        <v>432</v>
      </c>
      <c r="BA783" s="137" t="s">
        <v>432</v>
      </c>
      <c r="BB783" s="239" t="str">
        <f t="shared" si="161"/>
        <v>Sistema de bicicletax</v>
      </c>
      <c r="BC783" s="239" t="str">
        <f t="shared" si="162"/>
        <v>Sistema de bicicletaxx</v>
      </c>
      <c r="BD783" s="239" t="str">
        <f t="shared" si="163"/>
        <v>Sistema de bicicletax</v>
      </c>
    </row>
    <row r="784" spans="1:56" s="1" customFormat="1" ht="65.25" customHeight="1" x14ac:dyDescent="0.25">
      <c r="A784" s="275" t="str">
        <f>'Q100b-totais'!$B$50</f>
        <v>6.2</v>
      </c>
      <c r="B784" s="1205" t="str">
        <f>'Q100b-totais'!$C$50</f>
        <v>Sistema de bicicleta</v>
      </c>
      <c r="C784" s="167" t="s">
        <v>935</v>
      </c>
      <c r="D784" s="362" t="s">
        <v>5412</v>
      </c>
      <c r="E784" s="1502" t="s">
        <v>5131</v>
      </c>
      <c r="F784" s="744" t="s">
        <v>5416</v>
      </c>
      <c r="G784" s="110" t="s">
        <v>77</v>
      </c>
      <c r="H784" s="167" t="s">
        <v>432</v>
      </c>
      <c r="I784" s="57">
        <v>1</v>
      </c>
      <c r="J784" s="107" t="s">
        <v>432</v>
      </c>
      <c r="K784" s="107" t="s">
        <v>432</v>
      </c>
      <c r="L784" s="107" t="s">
        <v>432</v>
      </c>
      <c r="M784" s="107" t="s">
        <v>432</v>
      </c>
      <c r="N784" s="107" t="s">
        <v>432</v>
      </c>
      <c r="O784" s="107" t="s">
        <v>432</v>
      </c>
      <c r="P784" s="107" t="s">
        <v>432</v>
      </c>
      <c r="Q784" s="107" t="s">
        <v>432</v>
      </c>
      <c r="R784" s="107" t="s">
        <v>432</v>
      </c>
      <c r="S784" s="109" t="s">
        <v>2209</v>
      </c>
      <c r="T784" s="107" t="s">
        <v>432</v>
      </c>
      <c r="U784" s="107" t="s">
        <v>432</v>
      </c>
      <c r="V784" s="109" t="s">
        <v>2209</v>
      </c>
      <c r="W784" s="107" t="s">
        <v>432</v>
      </c>
      <c r="X784" s="107" t="s">
        <v>432</v>
      </c>
      <c r="Y784" s="85">
        <v>11.55</v>
      </c>
      <c r="Z784" s="85">
        <v>0</v>
      </c>
      <c r="AA784" s="85">
        <v>0</v>
      </c>
      <c r="AB784" s="85">
        <v>0</v>
      </c>
      <c r="AC784" s="85">
        <f>0.46+3.04</f>
        <v>3.5</v>
      </c>
      <c r="AD784" s="85">
        <f>1.93+2.2+4.63</f>
        <v>8.76</v>
      </c>
      <c r="AE784" s="85">
        <v>0</v>
      </c>
      <c r="AF784" s="85">
        <v>0</v>
      </c>
      <c r="AG784" s="85">
        <v>8.1</v>
      </c>
      <c r="AH784" s="85">
        <v>11.49</v>
      </c>
      <c r="AI784" s="85">
        <v>15.83</v>
      </c>
      <c r="AJ784" s="85">
        <v>11.19</v>
      </c>
      <c r="AK784" s="85">
        <v>12.86</v>
      </c>
      <c r="AL784" s="600" t="s">
        <v>432</v>
      </c>
      <c r="AM784" s="137" t="s">
        <v>432</v>
      </c>
      <c r="AN784" s="137" t="s">
        <v>432</v>
      </c>
      <c r="AO784" s="137" t="s">
        <v>432</v>
      </c>
      <c r="AP784" s="137" t="s">
        <v>432</v>
      </c>
      <c r="AQ784" s="137" t="s">
        <v>432</v>
      </c>
      <c r="AR784" s="137" t="s">
        <v>432</v>
      </c>
      <c r="AS784" s="137" t="s">
        <v>432</v>
      </c>
      <c r="AT784" s="137" t="s">
        <v>432</v>
      </c>
      <c r="AU784" s="137" t="s">
        <v>432</v>
      </c>
      <c r="AV784" s="137" t="s">
        <v>432</v>
      </c>
      <c r="AW784" s="137" t="s">
        <v>432</v>
      </c>
      <c r="AX784" s="137" t="s">
        <v>432</v>
      </c>
      <c r="AY784" s="137" t="s">
        <v>432</v>
      </c>
      <c r="AZ784" s="137" t="s">
        <v>432</v>
      </c>
      <c r="BA784" s="137" t="s">
        <v>432</v>
      </c>
      <c r="BB784" s="239" t="str">
        <f t="shared" si="161"/>
        <v>Sistema de bicicletaCMMCE</v>
      </c>
      <c r="BC784" s="239" t="str">
        <f t="shared" si="162"/>
        <v>Sistema de bicicletaCMMCEx</v>
      </c>
      <c r="BD784" s="239" t="str">
        <f t="shared" si="163"/>
        <v>Sistema de bicicletax</v>
      </c>
    </row>
    <row r="785" spans="1:56" s="1" customFormat="1" ht="122.25" customHeight="1" x14ac:dyDescent="0.25">
      <c r="A785" s="275" t="str">
        <f>'Q100b-totais'!$B$50</f>
        <v>6.2</v>
      </c>
      <c r="B785" s="1205" t="str">
        <f>'Q100b-totais'!$C$50</f>
        <v>Sistema de bicicleta</v>
      </c>
      <c r="C785" s="167" t="s">
        <v>432</v>
      </c>
      <c r="D785" s="324" t="s">
        <v>5414</v>
      </c>
      <c r="E785" s="254" t="s">
        <v>4747</v>
      </c>
      <c r="F785" s="11" t="s">
        <v>5418</v>
      </c>
      <c r="G785" s="110" t="s">
        <v>933</v>
      </c>
      <c r="H785" s="173" t="s">
        <v>765</v>
      </c>
      <c r="I785" s="167" t="s">
        <v>432</v>
      </c>
      <c r="J785" s="137" t="s">
        <v>432</v>
      </c>
      <c r="K785" s="137" t="s">
        <v>432</v>
      </c>
      <c r="L785" s="137" t="s">
        <v>432</v>
      </c>
      <c r="M785" s="137" t="s">
        <v>432</v>
      </c>
      <c r="N785" s="137" t="s">
        <v>432</v>
      </c>
      <c r="O785" s="137" t="s">
        <v>432</v>
      </c>
      <c r="P785" s="137" t="s">
        <v>432</v>
      </c>
      <c r="Q785" s="137" t="s">
        <v>432</v>
      </c>
      <c r="R785" s="137" t="s">
        <v>432</v>
      </c>
      <c r="S785" s="109" t="s">
        <v>2209</v>
      </c>
      <c r="T785" s="137" t="s">
        <v>432</v>
      </c>
      <c r="U785" s="137" t="s">
        <v>432</v>
      </c>
      <c r="V785" s="109" t="s">
        <v>2209</v>
      </c>
      <c r="W785" s="137" t="s">
        <v>432</v>
      </c>
      <c r="X785" s="137" t="s">
        <v>432</v>
      </c>
      <c r="Y785" s="137" t="s">
        <v>432</v>
      </c>
      <c r="Z785" s="137" t="s">
        <v>432</v>
      </c>
      <c r="AA785" s="137" t="s">
        <v>432</v>
      </c>
      <c r="AB785" s="137" t="s">
        <v>432</v>
      </c>
      <c r="AC785" s="137" t="s">
        <v>432</v>
      </c>
      <c r="AD785" s="137" t="s">
        <v>432</v>
      </c>
      <c r="AE785" s="137" t="s">
        <v>432</v>
      </c>
      <c r="AF785" s="137" t="s">
        <v>432</v>
      </c>
      <c r="AG785" s="83">
        <v>56</v>
      </c>
      <c r="AH785" s="83">
        <v>110</v>
      </c>
      <c r="AI785" s="83">
        <v>75</v>
      </c>
      <c r="AJ785" s="83">
        <v>21</v>
      </c>
      <c r="AK785" s="83">
        <v>59</v>
      </c>
      <c r="AL785" s="600" t="s">
        <v>432</v>
      </c>
      <c r="AM785" s="83">
        <v>60</v>
      </c>
      <c r="AN785" s="83">
        <v>0</v>
      </c>
      <c r="AO785" s="137" t="s">
        <v>432</v>
      </c>
      <c r="AP785" s="137" t="s">
        <v>432</v>
      </c>
      <c r="AQ785" s="137" t="s">
        <v>432</v>
      </c>
      <c r="AR785" s="137" t="s">
        <v>432</v>
      </c>
      <c r="AS785" s="137" t="s">
        <v>432</v>
      </c>
      <c r="AT785" s="137" t="s">
        <v>432</v>
      </c>
      <c r="AU785" s="137" t="s">
        <v>432</v>
      </c>
      <c r="AV785" s="137" t="s">
        <v>432</v>
      </c>
      <c r="AW785" s="137" t="s">
        <v>432</v>
      </c>
      <c r="AX785" s="137" t="s">
        <v>432</v>
      </c>
      <c r="AY785" s="137" t="s">
        <v>432</v>
      </c>
      <c r="AZ785" s="137" t="s">
        <v>432</v>
      </c>
      <c r="BA785" s="137" t="s">
        <v>432</v>
      </c>
      <c r="BB785" s="239" t="str">
        <f t="shared" si="161"/>
        <v>Sistema de bicicletax</v>
      </c>
      <c r="BC785" s="239" t="str">
        <f t="shared" si="162"/>
        <v>Sistema de bicicletaxmeta/RPI</v>
      </c>
      <c r="BD785" s="239" t="str">
        <f t="shared" si="163"/>
        <v>Sistema de bicicletameta/RPI</v>
      </c>
    </row>
    <row r="786" spans="1:56" s="1" customFormat="1" ht="78" customHeight="1" x14ac:dyDescent="0.25">
      <c r="A786" s="275" t="str">
        <f>'Q100b-totais'!$B$50</f>
        <v>6.2</v>
      </c>
      <c r="B786" s="1205" t="str">
        <f>'Q100b-totais'!$C$50</f>
        <v>Sistema de bicicleta</v>
      </c>
      <c r="C786" s="167" t="s">
        <v>432</v>
      </c>
      <c r="D786" s="324" t="s">
        <v>5413</v>
      </c>
      <c r="E786" s="509" t="s">
        <v>4747</v>
      </c>
      <c r="F786" s="11" t="s">
        <v>5415</v>
      </c>
      <c r="G786" s="110" t="s">
        <v>77</v>
      </c>
      <c r="H786" s="167" t="s">
        <v>432</v>
      </c>
      <c r="I786" s="57">
        <v>1</v>
      </c>
      <c r="J786" s="109" t="s">
        <v>432</v>
      </c>
      <c r="K786" s="109" t="s">
        <v>432</v>
      </c>
      <c r="L786" s="109" t="s">
        <v>432</v>
      </c>
      <c r="M786" s="109" t="s">
        <v>432</v>
      </c>
      <c r="N786" s="109" t="s">
        <v>432</v>
      </c>
      <c r="O786" s="109" t="s">
        <v>432</v>
      </c>
      <c r="P786" s="109" t="s">
        <v>432</v>
      </c>
      <c r="Q786" s="109" t="s">
        <v>432</v>
      </c>
      <c r="R786" s="109" t="s">
        <v>432</v>
      </c>
      <c r="S786" s="109" t="s">
        <v>2209</v>
      </c>
      <c r="T786" s="109" t="s">
        <v>432</v>
      </c>
      <c r="U786" s="109" t="s">
        <v>432</v>
      </c>
      <c r="V786" s="109" t="s">
        <v>2209</v>
      </c>
      <c r="W786" s="109" t="s">
        <v>432</v>
      </c>
      <c r="X786" s="109" t="s">
        <v>432</v>
      </c>
      <c r="Y786" s="109" t="s">
        <v>432</v>
      </c>
      <c r="Z786" s="109" t="s">
        <v>432</v>
      </c>
      <c r="AA786" s="109" t="s">
        <v>432</v>
      </c>
      <c r="AB786" s="109" t="s">
        <v>432</v>
      </c>
      <c r="AC786" s="109" t="s">
        <v>432</v>
      </c>
      <c r="AD786" s="109" t="s">
        <v>432</v>
      </c>
      <c r="AE786" s="109" t="s">
        <v>432</v>
      </c>
      <c r="AF786" s="109" t="s">
        <v>432</v>
      </c>
      <c r="AG786" s="185">
        <v>0</v>
      </c>
      <c r="AH786" s="110">
        <v>13.89</v>
      </c>
      <c r="AI786" s="185">
        <v>15.8</v>
      </c>
      <c r="AJ786" s="85">
        <v>11.19</v>
      </c>
      <c r="AK786" s="300">
        <v>12.86</v>
      </c>
      <c r="AL786" s="600" t="s">
        <v>432</v>
      </c>
      <c r="AM786" s="137" t="s">
        <v>432</v>
      </c>
      <c r="AN786" s="137" t="s">
        <v>432</v>
      </c>
      <c r="AO786" s="137" t="s">
        <v>432</v>
      </c>
      <c r="AP786" s="137" t="s">
        <v>432</v>
      </c>
      <c r="AQ786" s="137" t="s">
        <v>432</v>
      </c>
      <c r="AR786" s="137" t="s">
        <v>432</v>
      </c>
      <c r="AS786" s="137" t="s">
        <v>432</v>
      </c>
      <c r="AT786" s="137" t="s">
        <v>432</v>
      </c>
      <c r="AU786" s="137" t="s">
        <v>432</v>
      </c>
      <c r="AV786" s="137" t="s">
        <v>432</v>
      </c>
      <c r="AW786" s="137" t="s">
        <v>432</v>
      </c>
      <c r="AX786" s="137" t="s">
        <v>432</v>
      </c>
      <c r="AY786" s="137" t="s">
        <v>432</v>
      </c>
      <c r="AZ786" s="137" t="s">
        <v>432</v>
      </c>
      <c r="BA786" s="137" t="s">
        <v>432</v>
      </c>
      <c r="BB786" s="239" t="str">
        <f t="shared" si="161"/>
        <v>Sistema de bicicletax</v>
      </c>
      <c r="BC786" s="239" t="str">
        <f t="shared" si="162"/>
        <v>Sistema de bicicletaxx</v>
      </c>
      <c r="BD786" s="239" t="str">
        <f t="shared" si="163"/>
        <v>Sistema de bicicletax</v>
      </c>
    </row>
    <row r="787" spans="1:56" s="1" customFormat="1" ht="82.5" customHeight="1" x14ac:dyDescent="0.25">
      <c r="A787" s="275" t="str">
        <f>'Q100b-totais'!$B$50</f>
        <v>6.2</v>
      </c>
      <c r="B787" s="1205" t="str">
        <f>'Q100b-totais'!$C$50</f>
        <v>Sistema de bicicleta</v>
      </c>
      <c r="C787" s="167" t="s">
        <v>432</v>
      </c>
      <c r="D787" s="324" t="s">
        <v>4788</v>
      </c>
      <c r="E787" s="509" t="s">
        <v>4747</v>
      </c>
      <c r="F787" s="1205" t="s">
        <v>5419</v>
      </c>
      <c r="G787" s="111" t="s">
        <v>5420</v>
      </c>
      <c r="H787" s="167" t="s">
        <v>432</v>
      </c>
      <c r="I787" s="57">
        <v>1</v>
      </c>
      <c r="J787" s="109" t="s">
        <v>432</v>
      </c>
      <c r="K787" s="109" t="s">
        <v>432</v>
      </c>
      <c r="L787" s="109" t="s">
        <v>432</v>
      </c>
      <c r="M787" s="109" t="s">
        <v>432</v>
      </c>
      <c r="N787" s="109" t="s">
        <v>432</v>
      </c>
      <c r="O787" s="109" t="s">
        <v>432</v>
      </c>
      <c r="P787" s="109" t="s">
        <v>432</v>
      </c>
      <c r="Q787" s="109" t="s">
        <v>432</v>
      </c>
      <c r="R787" s="109" t="s">
        <v>432</v>
      </c>
      <c r="S787" s="109" t="s">
        <v>2209</v>
      </c>
      <c r="T787" s="109" t="s">
        <v>432</v>
      </c>
      <c r="U787" s="109" t="s">
        <v>432</v>
      </c>
      <c r="V787" s="109" t="s">
        <v>2209</v>
      </c>
      <c r="W787" s="109" t="s">
        <v>432</v>
      </c>
      <c r="X787" s="109" t="s">
        <v>432</v>
      </c>
      <c r="Y787" s="109" t="s">
        <v>432</v>
      </c>
      <c r="Z787" s="109" t="s">
        <v>432</v>
      </c>
      <c r="AA787" s="109" t="s">
        <v>432</v>
      </c>
      <c r="AB787" s="109" t="s">
        <v>432</v>
      </c>
      <c r="AC787" s="109" t="s">
        <v>432</v>
      </c>
      <c r="AD787" s="109" t="s">
        <v>432</v>
      </c>
      <c r="AE787" s="109" t="s">
        <v>432</v>
      </c>
      <c r="AF787" s="109" t="s">
        <v>432</v>
      </c>
      <c r="AG787" s="111" t="s">
        <v>432</v>
      </c>
      <c r="AH787" s="112">
        <f>(AH784-AH786)/AH784</f>
        <v>-0.20887728459530028</v>
      </c>
      <c r="AI787" s="112">
        <f>(AI784-AI786)/AI784</f>
        <v>1.8951358180669211E-3</v>
      </c>
      <c r="AJ787" s="112">
        <f>(AJ784-AJ786)/AJ784</f>
        <v>0</v>
      </c>
      <c r="AK787" s="112">
        <f>(AK784-AK786)/AK784</f>
        <v>0</v>
      </c>
      <c r="AL787" s="600"/>
      <c r="AM787" s="137"/>
      <c r="AN787" s="137"/>
      <c r="AO787" s="137"/>
      <c r="AP787" s="137"/>
      <c r="AQ787" s="137"/>
      <c r="AR787" s="137"/>
      <c r="AS787" s="137"/>
      <c r="AT787" s="137"/>
      <c r="AU787" s="137"/>
      <c r="AV787" s="137"/>
      <c r="AW787" s="137"/>
      <c r="AX787" s="137"/>
      <c r="AY787" s="137"/>
      <c r="AZ787" s="137"/>
      <c r="BA787" s="137"/>
      <c r="BB787" s="239"/>
      <c r="BC787" s="239"/>
      <c r="BD787" s="239"/>
    </row>
    <row r="788" spans="1:56" s="1" customFormat="1" ht="36" customHeight="1" x14ac:dyDescent="0.25">
      <c r="A788" s="275" t="str">
        <f>'Q100b-totais'!$B$50</f>
        <v>6.2</v>
      </c>
      <c r="B788" s="1205" t="str">
        <f>'Q100b-totais'!$C$50</f>
        <v>Sistema de bicicleta</v>
      </c>
      <c r="C788" s="167" t="s">
        <v>432</v>
      </c>
      <c r="D788" s="324" t="s">
        <v>2992</v>
      </c>
      <c r="E788" s="509" t="s">
        <v>1306</v>
      </c>
      <c r="F788" s="11" t="s">
        <v>1187</v>
      </c>
      <c r="G788" s="111" t="s">
        <v>989</v>
      </c>
      <c r="H788" s="167" t="s">
        <v>432</v>
      </c>
      <c r="I788" s="57">
        <v>1</v>
      </c>
      <c r="J788" s="107" t="s">
        <v>432</v>
      </c>
      <c r="K788" s="58" t="s">
        <v>432</v>
      </c>
      <c r="L788" s="58" t="s">
        <v>432</v>
      </c>
      <c r="M788" s="58" t="s">
        <v>432</v>
      </c>
      <c r="N788" s="58" t="s">
        <v>432</v>
      </c>
      <c r="O788" s="58" t="s">
        <v>432</v>
      </c>
      <c r="P788" s="58" t="s">
        <v>432</v>
      </c>
      <c r="Q788" s="58" t="s">
        <v>432</v>
      </c>
      <c r="R788" s="58" t="s">
        <v>432</v>
      </c>
      <c r="S788" s="109" t="s">
        <v>2209</v>
      </c>
      <c r="T788" s="58" t="s">
        <v>432</v>
      </c>
      <c r="U788" s="58" t="s">
        <v>432</v>
      </c>
      <c r="V788" s="109" t="s">
        <v>2209</v>
      </c>
      <c r="W788" s="58" t="s">
        <v>432</v>
      </c>
      <c r="X788" s="58" t="s">
        <v>432</v>
      </c>
      <c r="Y788" s="58" t="s">
        <v>432</v>
      </c>
      <c r="Z788" s="58" t="s">
        <v>432</v>
      </c>
      <c r="AA788" s="58" t="s">
        <v>432</v>
      </c>
      <c r="AB788" s="58" t="s">
        <v>432</v>
      </c>
      <c r="AC788" s="58" t="s">
        <v>432</v>
      </c>
      <c r="AD788" s="58" t="s">
        <v>432</v>
      </c>
      <c r="AE788" s="44">
        <f t="shared" ref="AE788:AK788" si="165">(AE777/AE1855)*100000</f>
        <v>0.97079976205008778</v>
      </c>
      <c r="AF788" s="44">
        <f t="shared" si="165"/>
        <v>1.0024625802738438</v>
      </c>
      <c r="AG788" s="44">
        <f t="shared" si="165"/>
        <v>1.3375865595814962</v>
      </c>
      <c r="AH788" s="44">
        <f t="shared" si="165"/>
        <v>1.811514806211743</v>
      </c>
      <c r="AI788" s="44">
        <f t="shared" si="165"/>
        <v>2.3891108498224201</v>
      </c>
      <c r="AJ788" s="44">
        <f t="shared" si="165"/>
        <v>2.8268534215082521</v>
      </c>
      <c r="AK788" s="44">
        <f t="shared" si="165"/>
        <v>3.3277963299137641</v>
      </c>
      <c r="AL788" s="600" t="s">
        <v>432</v>
      </c>
      <c r="AM788" s="137" t="s">
        <v>432</v>
      </c>
      <c r="AN788" s="137" t="s">
        <v>432</v>
      </c>
      <c r="AO788" s="137" t="s">
        <v>432</v>
      </c>
      <c r="AP788" s="137" t="s">
        <v>432</v>
      </c>
      <c r="AQ788" s="137" t="s">
        <v>432</v>
      </c>
      <c r="AR788" s="137" t="s">
        <v>432</v>
      </c>
      <c r="AS788" s="137" t="s">
        <v>432</v>
      </c>
      <c r="AT788" s="137" t="s">
        <v>432</v>
      </c>
      <c r="AU788" s="137" t="s">
        <v>432</v>
      </c>
      <c r="AV788" s="137" t="s">
        <v>432</v>
      </c>
      <c r="AW788" s="137" t="s">
        <v>432</v>
      </c>
      <c r="AX788" s="137" t="s">
        <v>432</v>
      </c>
      <c r="AY788" s="137" t="s">
        <v>432</v>
      </c>
      <c r="AZ788" s="137" t="s">
        <v>432</v>
      </c>
      <c r="BA788" s="137" t="s">
        <v>432</v>
      </c>
      <c r="BB788" s="239" t="str">
        <f>B788&amp;C788</f>
        <v>Sistema de bicicletax</v>
      </c>
      <c r="BC788" s="239" t="str">
        <f>B788&amp;C788&amp;H788</f>
        <v>Sistema de bicicletaxx</v>
      </c>
      <c r="BD788" s="239" t="str">
        <f>B788&amp;H788</f>
        <v>Sistema de bicicletax</v>
      </c>
    </row>
    <row r="790" spans="1:56" s="1" customFormat="1" ht="84" customHeight="1" x14ac:dyDescent="0.25">
      <c r="A790" s="275" t="str">
        <f>'Q100b-totais'!$B$50</f>
        <v>6.2</v>
      </c>
      <c r="B790" s="1205" t="str">
        <f>'Q100b-totais'!$C$50</f>
        <v>Sistema de bicicleta</v>
      </c>
      <c r="C790" s="167" t="s">
        <v>432</v>
      </c>
      <c r="D790" s="324" t="s">
        <v>4789</v>
      </c>
      <c r="E790" s="1505" t="s">
        <v>432</v>
      </c>
      <c r="F790" s="1205" t="s">
        <v>4791</v>
      </c>
      <c r="G790" s="57" t="s">
        <v>4610</v>
      </c>
      <c r="H790" s="167" t="s">
        <v>2408</v>
      </c>
      <c r="I790" s="167" t="s">
        <v>432</v>
      </c>
      <c r="J790" s="137" t="s">
        <v>432</v>
      </c>
      <c r="K790" s="137" t="s">
        <v>432</v>
      </c>
      <c r="L790" s="137" t="s">
        <v>432</v>
      </c>
      <c r="M790" s="137" t="s">
        <v>432</v>
      </c>
      <c r="N790" s="137" t="s">
        <v>432</v>
      </c>
      <c r="O790" s="137" t="s">
        <v>432</v>
      </c>
      <c r="P790" s="137" t="s">
        <v>432</v>
      </c>
      <c r="Q790" s="137" t="s">
        <v>432</v>
      </c>
      <c r="R790" s="137" t="s">
        <v>432</v>
      </c>
      <c r="S790" s="109" t="s">
        <v>2209</v>
      </c>
      <c r="T790" s="137" t="s">
        <v>432</v>
      </c>
      <c r="U790" s="137" t="s">
        <v>432</v>
      </c>
      <c r="V790" s="109" t="s">
        <v>2209</v>
      </c>
      <c r="W790" s="137" t="s">
        <v>432</v>
      </c>
      <c r="X790" s="137" t="s">
        <v>432</v>
      </c>
      <c r="Y790" s="137" t="s">
        <v>432</v>
      </c>
      <c r="Z790" s="137" t="s">
        <v>432</v>
      </c>
      <c r="AA790" s="137" t="s">
        <v>432</v>
      </c>
      <c r="AB790" s="137" t="s">
        <v>432</v>
      </c>
      <c r="AC790" s="137" t="s">
        <v>432</v>
      </c>
      <c r="AD790" s="137" t="s">
        <v>432</v>
      </c>
      <c r="AE790" s="137" t="s">
        <v>432</v>
      </c>
      <c r="AF790" s="137" t="s">
        <v>432</v>
      </c>
      <c r="AG790" s="137" t="s">
        <v>432</v>
      </c>
      <c r="AH790" s="137" t="s">
        <v>432</v>
      </c>
      <c r="AI790" s="137" t="s">
        <v>432</v>
      </c>
      <c r="AJ790" s="137" t="s">
        <v>432</v>
      </c>
      <c r="AK790" s="137" t="s">
        <v>432</v>
      </c>
      <c r="AL790" s="600" t="s">
        <v>432</v>
      </c>
      <c r="AM790" s="137" t="s">
        <v>432</v>
      </c>
      <c r="AN790" s="137" t="s">
        <v>432</v>
      </c>
      <c r="AO790" s="137" t="s">
        <v>432</v>
      </c>
      <c r="AP790" s="137" t="s">
        <v>432</v>
      </c>
      <c r="AQ790" s="137" t="s">
        <v>432</v>
      </c>
      <c r="AR790" s="137" t="s">
        <v>432</v>
      </c>
      <c r="AS790" s="137" t="s">
        <v>432</v>
      </c>
      <c r="AT790" s="137" t="s">
        <v>432</v>
      </c>
      <c r="AU790" s="137" t="s">
        <v>432</v>
      </c>
      <c r="AV790" s="137" t="s">
        <v>432</v>
      </c>
      <c r="AW790" s="137" t="s">
        <v>432</v>
      </c>
      <c r="AX790" s="137" t="s">
        <v>432</v>
      </c>
      <c r="AY790" s="137" t="s">
        <v>432</v>
      </c>
      <c r="AZ790" s="137" t="s">
        <v>432</v>
      </c>
      <c r="BA790" s="137" t="s">
        <v>432</v>
      </c>
      <c r="BB790" s="239" t="str">
        <f>B790&amp;C790</f>
        <v>Sistema de bicicletax</v>
      </c>
      <c r="BC790" s="239" t="str">
        <f>B790&amp;C790&amp;H790</f>
        <v>Sistema de bicicletaxsigla/verbete</v>
      </c>
      <c r="BD790" s="239" t="str">
        <f>B790&amp;H790</f>
        <v>Sistema de bicicletasigla/verbete</v>
      </c>
    </row>
    <row r="791" spans="1:56" s="1" customFormat="1" ht="78.75" customHeight="1" x14ac:dyDescent="0.25">
      <c r="A791" s="275" t="str">
        <f>'Q100b-totais'!$B$50</f>
        <v>6.2</v>
      </c>
      <c r="B791" s="1205" t="str">
        <f>'Q100b-totais'!$C$50</f>
        <v>Sistema de bicicleta</v>
      </c>
      <c r="C791" s="167" t="s">
        <v>432</v>
      </c>
      <c r="D791" s="324" t="s">
        <v>4789</v>
      </c>
      <c r="E791" s="509" t="s">
        <v>1306</v>
      </c>
      <c r="F791" s="11" t="s">
        <v>4793</v>
      </c>
      <c r="G791" s="58" t="s">
        <v>4792</v>
      </c>
      <c r="H791" s="173" t="s">
        <v>765</v>
      </c>
      <c r="I791" s="167" t="s">
        <v>432</v>
      </c>
      <c r="J791" s="137" t="s">
        <v>432</v>
      </c>
      <c r="K791" s="137" t="s">
        <v>432</v>
      </c>
      <c r="L791" s="137" t="s">
        <v>432</v>
      </c>
      <c r="M791" s="137" t="s">
        <v>432</v>
      </c>
      <c r="N791" s="137" t="s">
        <v>432</v>
      </c>
      <c r="O791" s="137" t="s">
        <v>432</v>
      </c>
      <c r="P791" s="137" t="s">
        <v>432</v>
      </c>
      <c r="Q791" s="137" t="s">
        <v>432</v>
      </c>
      <c r="R791" s="137" t="s">
        <v>432</v>
      </c>
      <c r="S791" s="109" t="s">
        <v>2209</v>
      </c>
      <c r="T791" s="137" t="s">
        <v>432</v>
      </c>
      <c r="U791" s="137" t="s">
        <v>432</v>
      </c>
      <c r="V791" s="109" t="s">
        <v>2209</v>
      </c>
      <c r="W791" s="137" t="s">
        <v>432</v>
      </c>
      <c r="X791" s="137" t="s">
        <v>432</v>
      </c>
      <c r="Y791" s="137" t="s">
        <v>432</v>
      </c>
      <c r="Z791" s="137" t="s">
        <v>432</v>
      </c>
      <c r="AA791" s="137" t="s">
        <v>432</v>
      </c>
      <c r="AB791" s="137" t="s">
        <v>432</v>
      </c>
      <c r="AC791" s="137" t="s">
        <v>432</v>
      </c>
      <c r="AD791" s="137" t="s">
        <v>432</v>
      </c>
      <c r="AE791" s="137" t="s">
        <v>432</v>
      </c>
      <c r="AF791" s="137" t="s">
        <v>432</v>
      </c>
      <c r="AG791" s="47">
        <f>AG786/AG785</f>
        <v>0</v>
      </c>
      <c r="AH791" s="47">
        <f>AH786/AH785</f>
        <v>0.12627272727272729</v>
      </c>
      <c r="AI791" s="47">
        <f>AI786/AI785</f>
        <v>0.21066666666666667</v>
      </c>
      <c r="AJ791" s="47">
        <f>AJ786/AJ785</f>
        <v>0.53285714285714281</v>
      </c>
      <c r="AK791" s="47">
        <f>AK786/AK785</f>
        <v>0.21796610169491523</v>
      </c>
      <c r="AL791" s="600" t="s">
        <v>432</v>
      </c>
      <c r="AM791" s="137" t="s">
        <v>432</v>
      </c>
      <c r="AN791" s="137" t="s">
        <v>432</v>
      </c>
      <c r="AO791" s="137" t="s">
        <v>432</v>
      </c>
      <c r="AP791" s="137" t="s">
        <v>432</v>
      </c>
      <c r="AQ791" s="137" t="s">
        <v>432</v>
      </c>
      <c r="AR791" s="137" t="s">
        <v>432</v>
      </c>
      <c r="AS791" s="137" t="s">
        <v>432</v>
      </c>
      <c r="AT791" s="137" t="s">
        <v>432</v>
      </c>
      <c r="AU791" s="137" t="s">
        <v>432</v>
      </c>
      <c r="AV791" s="137" t="s">
        <v>432</v>
      </c>
      <c r="AW791" s="137" t="s">
        <v>432</v>
      </c>
      <c r="AX791" s="137" t="s">
        <v>432</v>
      </c>
      <c r="AY791" s="137" t="s">
        <v>432</v>
      </c>
      <c r="AZ791" s="137" t="s">
        <v>432</v>
      </c>
      <c r="BA791" s="137" t="s">
        <v>432</v>
      </c>
      <c r="BB791" s="239" t="str">
        <f>B791&amp;C791</f>
        <v>Sistema de bicicletax</v>
      </c>
      <c r="BC791" s="239" t="str">
        <f>B791&amp;C791&amp;H791</f>
        <v>Sistema de bicicletaxmeta/RPI</v>
      </c>
      <c r="BD791" s="239" t="str">
        <f>B791&amp;H791</f>
        <v>Sistema de bicicletameta/RPI</v>
      </c>
    </row>
    <row r="792" spans="1:56" s="1" customFormat="1" ht="25.5" x14ac:dyDescent="0.25">
      <c r="A792" s="275" t="str">
        <f>'Q100b-totais'!$B$18</f>
        <v>2.3</v>
      </c>
      <c r="B792" s="1205" t="str">
        <f>'Q100b-totais'!$C$18</f>
        <v>Rede viária</v>
      </c>
      <c r="C792" s="167" t="s">
        <v>432</v>
      </c>
      <c r="D792" s="324" t="s">
        <v>3836</v>
      </c>
      <c r="E792" s="509" t="s">
        <v>1306</v>
      </c>
      <c r="F792" s="1177" t="s">
        <v>3837</v>
      </c>
      <c r="G792" s="1176" t="s">
        <v>77</v>
      </c>
      <c r="H792" s="173" t="s">
        <v>432</v>
      </c>
      <c r="I792" s="167">
        <v>1</v>
      </c>
      <c r="J792" s="83">
        <v>0</v>
      </c>
      <c r="K792" s="83">
        <v>0</v>
      </c>
      <c r="L792" s="83">
        <v>0</v>
      </c>
      <c r="M792" s="83">
        <v>0</v>
      </c>
      <c r="N792" s="83">
        <v>0</v>
      </c>
      <c r="O792" s="83">
        <v>0</v>
      </c>
      <c r="P792" s="83">
        <v>0</v>
      </c>
      <c r="Q792" s="83">
        <v>0</v>
      </c>
      <c r="R792" s="83">
        <v>0</v>
      </c>
      <c r="S792" s="109" t="s">
        <v>2209</v>
      </c>
      <c r="T792" s="83">
        <v>0</v>
      </c>
      <c r="U792" s="83">
        <v>0</v>
      </c>
      <c r="V792" s="109" t="s">
        <v>2209</v>
      </c>
      <c r="W792" s="83">
        <v>0</v>
      </c>
      <c r="X792" s="83">
        <v>0</v>
      </c>
      <c r="Y792" s="83">
        <v>0</v>
      </c>
      <c r="Z792" s="83">
        <v>0</v>
      </c>
      <c r="AA792" s="83">
        <v>0</v>
      </c>
      <c r="AB792" s="83">
        <v>0</v>
      </c>
      <c r="AC792" s="83">
        <v>0</v>
      </c>
      <c r="AD792" s="83">
        <v>0</v>
      </c>
      <c r="AE792" s="83">
        <v>0</v>
      </c>
      <c r="AF792" s="83">
        <v>0</v>
      </c>
      <c r="AG792" s="83">
        <v>0</v>
      </c>
      <c r="AH792" s="83">
        <v>0</v>
      </c>
      <c r="AI792" s="83">
        <v>0</v>
      </c>
      <c r="AJ792" s="1203" t="s">
        <v>1370</v>
      </c>
      <c r="AK792" s="1203" t="s">
        <v>1370</v>
      </c>
      <c r="AL792" s="600" t="s">
        <v>432</v>
      </c>
      <c r="AM792" s="137" t="s">
        <v>432</v>
      </c>
      <c r="AN792" s="137" t="s">
        <v>432</v>
      </c>
      <c r="AO792" s="137" t="s">
        <v>432</v>
      </c>
      <c r="AP792" s="137" t="s">
        <v>432</v>
      </c>
      <c r="AQ792" s="137" t="s">
        <v>432</v>
      </c>
      <c r="AR792" s="137" t="s">
        <v>432</v>
      </c>
      <c r="AS792" s="137" t="s">
        <v>432</v>
      </c>
      <c r="AT792" s="137" t="s">
        <v>432</v>
      </c>
      <c r="AU792" s="137" t="s">
        <v>432</v>
      </c>
      <c r="AV792" s="137" t="s">
        <v>432</v>
      </c>
      <c r="AW792" s="137" t="s">
        <v>432</v>
      </c>
      <c r="AX792" s="137"/>
      <c r="AY792" s="137"/>
      <c r="AZ792" s="137"/>
      <c r="BA792" s="137"/>
      <c r="BB792" s="239"/>
      <c r="BC792" s="239" t="str">
        <f>B792&amp;C792&amp;H792</f>
        <v>Rede viáriaxx</v>
      </c>
      <c r="BD792" s="239" t="str">
        <f>B792&amp;H792</f>
        <v>Rede viáriax</v>
      </c>
    </row>
    <row r="793" spans="1:56" s="1" customFormat="1" ht="53.25" customHeight="1" x14ac:dyDescent="0.25">
      <c r="A793" s="275" t="str">
        <f>'Q100b-totais'!$B$18</f>
        <v>2.3</v>
      </c>
      <c r="B793" s="1205" t="str">
        <f>'Q100b-totais'!$C$18</f>
        <v>Rede viária</v>
      </c>
      <c r="C793" s="167" t="s">
        <v>432</v>
      </c>
      <c r="D793" s="324" t="s">
        <v>3835</v>
      </c>
      <c r="E793" s="509" t="s">
        <v>1306</v>
      </c>
      <c r="F793" s="1177" t="s">
        <v>4956</v>
      </c>
      <c r="G793" s="1176" t="s">
        <v>77</v>
      </c>
      <c r="H793" s="173" t="s">
        <v>432</v>
      </c>
      <c r="I793" s="167">
        <v>1</v>
      </c>
      <c r="J793" s="83">
        <v>12.5</v>
      </c>
      <c r="K793" s="83">
        <v>12.5</v>
      </c>
      <c r="L793" s="622" t="s">
        <v>2148</v>
      </c>
      <c r="M793" s="622" t="s">
        <v>2148</v>
      </c>
      <c r="N793" s="622" t="s">
        <v>2148</v>
      </c>
      <c r="O793" s="622" t="s">
        <v>2148</v>
      </c>
      <c r="P793" s="622" t="s">
        <v>2148</v>
      </c>
      <c r="Q793" s="622" t="s">
        <v>2148</v>
      </c>
      <c r="R793" s="622" t="s">
        <v>2148</v>
      </c>
      <c r="S793" s="109" t="s">
        <v>2209</v>
      </c>
      <c r="T793" s="622" t="s">
        <v>2148</v>
      </c>
      <c r="U793" s="622" t="s">
        <v>2148</v>
      </c>
      <c r="V793" s="109" t="s">
        <v>2209</v>
      </c>
      <c r="W793" s="622" t="s">
        <v>2148</v>
      </c>
      <c r="X793" s="622" t="s">
        <v>2148</v>
      </c>
      <c r="Y793" s="622" t="s">
        <v>2148</v>
      </c>
      <c r="Z793" s="622" t="s">
        <v>2148</v>
      </c>
      <c r="AA793" s="622" t="s">
        <v>2148</v>
      </c>
      <c r="AB793" s="622" t="s">
        <v>2148</v>
      </c>
      <c r="AC793" s="622" t="s">
        <v>2148</v>
      </c>
      <c r="AD793" s="83">
        <v>28.1</v>
      </c>
      <c r="AE793" s="83">
        <v>28.1</v>
      </c>
      <c r="AF793" s="83">
        <v>28.1</v>
      </c>
      <c r="AG793" s="83">
        <v>28.1</v>
      </c>
      <c r="AH793" s="83">
        <v>28.1</v>
      </c>
      <c r="AI793" s="83">
        <v>28.1</v>
      </c>
      <c r="AJ793" s="83">
        <v>28.1</v>
      </c>
      <c r="AK793" s="83">
        <v>28.1</v>
      </c>
      <c r="AL793" s="600" t="s">
        <v>432</v>
      </c>
      <c r="AM793" s="137" t="s">
        <v>432</v>
      </c>
      <c r="AN793" s="137" t="s">
        <v>432</v>
      </c>
      <c r="AO793" s="137" t="s">
        <v>432</v>
      </c>
      <c r="AP793" s="137" t="s">
        <v>432</v>
      </c>
      <c r="AQ793" s="137" t="s">
        <v>432</v>
      </c>
      <c r="AR793" s="137" t="s">
        <v>432</v>
      </c>
      <c r="AS793" s="137" t="s">
        <v>432</v>
      </c>
      <c r="AT793" s="137" t="s">
        <v>432</v>
      </c>
      <c r="AU793" s="137" t="s">
        <v>432</v>
      </c>
      <c r="AV793" s="137" t="s">
        <v>432</v>
      </c>
      <c r="AW793" s="137" t="s">
        <v>432</v>
      </c>
      <c r="AX793" s="137"/>
      <c r="AY793" s="137"/>
      <c r="AZ793" s="137"/>
      <c r="BA793" s="137"/>
      <c r="BB793" s="239"/>
      <c r="BC793" s="239" t="str">
        <f>B793&amp;C793&amp;H793</f>
        <v>Rede viáriaxx</v>
      </c>
      <c r="BD793" s="239" t="str">
        <f>B793&amp;H793</f>
        <v>Rede viáriax</v>
      </c>
    </row>
    <row r="794" spans="1:56" s="1" customFormat="1" ht="68.25" customHeight="1" x14ac:dyDescent="0.25">
      <c r="A794" s="275" t="str">
        <f>'Q100b-totais'!$B$18</f>
        <v>2.3</v>
      </c>
      <c r="B794" s="1205" t="str">
        <f>'Q100b-totais'!$C$18</f>
        <v>Rede viária</v>
      </c>
      <c r="C794" s="167" t="s">
        <v>432</v>
      </c>
      <c r="D794" s="324" t="s">
        <v>3829</v>
      </c>
      <c r="E794" s="509" t="s">
        <v>1306</v>
      </c>
      <c r="F794" s="1172" t="s">
        <v>3841</v>
      </c>
      <c r="G794" s="58" t="s">
        <v>3839</v>
      </c>
      <c r="H794" s="173" t="s">
        <v>432</v>
      </c>
      <c r="I794" s="167">
        <v>1</v>
      </c>
      <c r="J794" s="64">
        <f t="shared" ref="J794:R794" si="166">J792+J793</f>
        <v>12.5</v>
      </c>
      <c r="K794" s="64">
        <f t="shared" si="166"/>
        <v>12.5</v>
      </c>
      <c r="L794" s="64" t="e">
        <f t="shared" si="166"/>
        <v>#VALUE!</v>
      </c>
      <c r="M794" s="64" t="e">
        <f t="shared" si="166"/>
        <v>#VALUE!</v>
      </c>
      <c r="N794" s="64" t="e">
        <f t="shared" si="166"/>
        <v>#VALUE!</v>
      </c>
      <c r="O794" s="64" t="e">
        <f t="shared" si="166"/>
        <v>#VALUE!</v>
      </c>
      <c r="P794" s="64" t="e">
        <f t="shared" si="166"/>
        <v>#VALUE!</v>
      </c>
      <c r="Q794" s="64" t="e">
        <f t="shared" si="166"/>
        <v>#VALUE!</v>
      </c>
      <c r="R794" s="64" t="e">
        <f t="shared" si="166"/>
        <v>#VALUE!</v>
      </c>
      <c r="S794" s="109" t="s">
        <v>2209</v>
      </c>
      <c r="T794" s="64" t="e">
        <f>T792+T793</f>
        <v>#VALUE!</v>
      </c>
      <c r="U794" s="64" t="e">
        <f>U792+U793</f>
        <v>#VALUE!</v>
      </c>
      <c r="V794" s="109" t="s">
        <v>2209</v>
      </c>
      <c r="W794" s="64" t="e">
        <f t="shared" ref="W794:AK794" si="167">W792+W793</f>
        <v>#VALUE!</v>
      </c>
      <c r="X794" s="64" t="e">
        <f t="shared" si="167"/>
        <v>#VALUE!</v>
      </c>
      <c r="Y794" s="64" t="e">
        <f t="shared" si="167"/>
        <v>#VALUE!</v>
      </c>
      <c r="Z794" s="64" t="e">
        <f t="shared" si="167"/>
        <v>#VALUE!</v>
      </c>
      <c r="AA794" s="64" t="e">
        <f t="shared" si="167"/>
        <v>#VALUE!</v>
      </c>
      <c r="AB794" s="64" t="e">
        <f t="shared" si="167"/>
        <v>#VALUE!</v>
      </c>
      <c r="AC794" s="64" t="e">
        <f t="shared" si="167"/>
        <v>#VALUE!</v>
      </c>
      <c r="AD794" s="64">
        <f t="shared" si="167"/>
        <v>28.1</v>
      </c>
      <c r="AE794" s="64">
        <f t="shared" si="167"/>
        <v>28.1</v>
      </c>
      <c r="AF794" s="64">
        <f t="shared" si="167"/>
        <v>28.1</v>
      </c>
      <c r="AG794" s="64">
        <f t="shared" si="167"/>
        <v>28.1</v>
      </c>
      <c r="AH794" s="64">
        <f t="shared" si="167"/>
        <v>28.1</v>
      </c>
      <c r="AI794" s="64">
        <f t="shared" si="167"/>
        <v>28.1</v>
      </c>
      <c r="AJ794" s="64" t="e">
        <f t="shared" si="167"/>
        <v>#VALUE!</v>
      </c>
      <c r="AK794" s="64" t="e">
        <f t="shared" si="167"/>
        <v>#VALUE!</v>
      </c>
      <c r="AL794" s="600" t="s">
        <v>432</v>
      </c>
      <c r="AM794" s="137" t="s">
        <v>432</v>
      </c>
      <c r="AN794" s="137" t="s">
        <v>432</v>
      </c>
      <c r="AO794" s="137" t="s">
        <v>432</v>
      </c>
      <c r="AP794" s="137" t="s">
        <v>432</v>
      </c>
      <c r="AQ794" s="137" t="s">
        <v>432</v>
      </c>
      <c r="AR794" s="137" t="s">
        <v>432</v>
      </c>
      <c r="AS794" s="137" t="s">
        <v>432</v>
      </c>
      <c r="AT794" s="137" t="s">
        <v>432</v>
      </c>
      <c r="AU794" s="137" t="s">
        <v>432</v>
      </c>
      <c r="AV794" s="137" t="s">
        <v>432</v>
      </c>
      <c r="AW794" s="137" t="s">
        <v>432</v>
      </c>
      <c r="AX794" s="137" t="s">
        <v>432</v>
      </c>
      <c r="AY794" s="137" t="s">
        <v>432</v>
      </c>
      <c r="AZ794" s="137" t="s">
        <v>432</v>
      </c>
      <c r="BA794" s="137" t="s">
        <v>432</v>
      </c>
      <c r="BB794" s="239" t="str">
        <f>B794&amp;C794</f>
        <v>Rede viáriax</v>
      </c>
      <c r="BC794" s="239" t="str">
        <f>B794&amp;C794&amp;H794</f>
        <v>Rede viáriaxx</v>
      </c>
      <c r="BD794" s="239" t="str">
        <f>B794&amp;H794</f>
        <v>Rede viáriax</v>
      </c>
    </row>
    <row r="795" spans="1:56" s="1" customFormat="1" ht="93.75" customHeight="1" x14ac:dyDescent="0.25">
      <c r="A795" s="275" t="str">
        <f>'Q100b-totais'!$B$18</f>
        <v>2.3</v>
      </c>
      <c r="B795" s="1205" t="str">
        <f>'Q100b-totais'!$C$18</f>
        <v>Rede viária</v>
      </c>
      <c r="C795" s="167" t="s">
        <v>432</v>
      </c>
      <c r="D795" s="324" t="s">
        <v>3853</v>
      </c>
      <c r="E795" s="509" t="s">
        <v>1306</v>
      </c>
      <c r="F795" s="1172" t="s">
        <v>6066</v>
      </c>
      <c r="G795" s="58" t="s">
        <v>3854</v>
      </c>
      <c r="H795" s="173"/>
      <c r="I795" s="167"/>
      <c r="J795" s="107" t="s">
        <v>432</v>
      </c>
      <c r="K795" s="64">
        <f t="shared" ref="K795:R795" si="168">(K794/K1855)*100000</f>
        <v>0.61876256397386142</v>
      </c>
      <c r="L795" s="64" t="e">
        <f t="shared" si="168"/>
        <v>#VALUE!</v>
      </c>
      <c r="M795" s="64" t="e">
        <f t="shared" si="168"/>
        <v>#VALUE!</v>
      </c>
      <c r="N795" s="64" t="e">
        <f t="shared" si="168"/>
        <v>#VALUE!</v>
      </c>
      <c r="O795" s="64" t="e">
        <f t="shared" si="168"/>
        <v>#VALUE!</v>
      </c>
      <c r="P795" s="64" t="e">
        <f t="shared" si="168"/>
        <v>#VALUE!</v>
      </c>
      <c r="Q795" s="64" t="e">
        <f t="shared" si="168"/>
        <v>#VALUE!</v>
      </c>
      <c r="R795" s="64" t="e">
        <f t="shared" si="168"/>
        <v>#VALUE!</v>
      </c>
      <c r="S795" s="109" t="s">
        <v>2209</v>
      </c>
      <c r="T795" s="64" t="e">
        <f>(T794/T1855)*100000</f>
        <v>#VALUE!</v>
      </c>
      <c r="U795" s="64" t="e">
        <f>(U794/U1855)*100000</f>
        <v>#VALUE!</v>
      </c>
      <c r="V795" s="109" t="s">
        <v>2209</v>
      </c>
      <c r="W795" s="64" t="e">
        <f t="shared" ref="W795:AK795" si="169">(W794/W1855)*100000</f>
        <v>#VALUE!</v>
      </c>
      <c r="X795" s="64" t="e">
        <f t="shared" si="169"/>
        <v>#VALUE!</v>
      </c>
      <c r="Y795" s="64" t="e">
        <f t="shared" si="169"/>
        <v>#VALUE!</v>
      </c>
      <c r="Z795" s="64" t="e">
        <f t="shared" si="169"/>
        <v>#VALUE!</v>
      </c>
      <c r="AA795" s="64" t="e">
        <f t="shared" si="169"/>
        <v>#VALUE!</v>
      </c>
      <c r="AB795" s="64" t="e">
        <f t="shared" si="169"/>
        <v>#VALUE!</v>
      </c>
      <c r="AC795" s="64" t="e">
        <f t="shared" si="169"/>
        <v>#VALUE!</v>
      </c>
      <c r="AD795" s="64">
        <f t="shared" si="169"/>
        <v>1.1541737963938847</v>
      </c>
      <c r="AE795" s="64">
        <f t="shared" si="169"/>
        <v>1.145714964872216</v>
      </c>
      <c r="AF795" s="64">
        <f t="shared" si="169"/>
        <v>1.1830826755856785</v>
      </c>
      <c r="AG795" s="64">
        <f t="shared" si="169"/>
        <v>1.1778809879110008</v>
      </c>
      <c r="AH795" s="64">
        <f t="shared" si="169"/>
        <v>1.1728932270633634</v>
      </c>
      <c r="AI795" s="64">
        <f t="shared" si="169"/>
        <v>1.133446140131859</v>
      </c>
      <c r="AJ795" s="64" t="e">
        <f t="shared" si="169"/>
        <v>#VALUE!</v>
      </c>
      <c r="AK795" s="64" t="e">
        <f t="shared" si="169"/>
        <v>#VALUE!</v>
      </c>
      <c r="AL795" s="600" t="s">
        <v>432</v>
      </c>
      <c r="AM795" s="137"/>
      <c r="AN795" s="137"/>
      <c r="AO795" s="137"/>
      <c r="AP795" s="137"/>
      <c r="AQ795" s="137"/>
      <c r="AR795" s="137"/>
      <c r="AS795" s="137"/>
      <c r="AT795" s="137"/>
      <c r="AU795" s="137"/>
      <c r="AV795" s="137"/>
      <c r="AW795" s="137"/>
      <c r="AX795" s="137"/>
      <c r="AY795" s="137"/>
      <c r="AZ795" s="137"/>
      <c r="BA795" s="137"/>
      <c r="BB795" s="239"/>
      <c r="BC795" s="239"/>
      <c r="BD795" s="239"/>
    </row>
    <row r="796" spans="1:56" s="1" customFormat="1" ht="51" x14ac:dyDescent="0.25">
      <c r="A796" s="275" t="str">
        <f>'Q100b-totais'!$B$18</f>
        <v>2.3</v>
      </c>
      <c r="B796" s="1205" t="str">
        <f>'Q100b-totais'!$C$18</f>
        <v>Rede viária</v>
      </c>
      <c r="C796" s="167" t="s">
        <v>432</v>
      </c>
      <c r="D796" s="939" t="s">
        <v>1580</v>
      </c>
      <c r="E796" s="509" t="s">
        <v>1306</v>
      </c>
      <c r="F796" s="5" t="s">
        <v>184</v>
      </c>
      <c r="G796" s="58" t="s">
        <v>1581</v>
      </c>
      <c r="H796" s="167" t="s">
        <v>432</v>
      </c>
      <c r="I796" s="57">
        <v>1</v>
      </c>
      <c r="J796" s="107" t="s">
        <v>432</v>
      </c>
      <c r="K796" s="58" t="s">
        <v>432</v>
      </c>
      <c r="L796" s="58" t="s">
        <v>432</v>
      </c>
      <c r="M796" s="58" t="s">
        <v>432</v>
      </c>
      <c r="N796" s="58" t="s">
        <v>432</v>
      </c>
      <c r="O796" s="58" t="s">
        <v>432</v>
      </c>
      <c r="P796" s="58" t="s">
        <v>432</v>
      </c>
      <c r="Q796" s="58" t="s">
        <v>432</v>
      </c>
      <c r="R796" s="58" t="s">
        <v>432</v>
      </c>
      <c r="S796" s="109" t="s">
        <v>2209</v>
      </c>
      <c r="T796" s="58" t="s">
        <v>432</v>
      </c>
      <c r="U796" s="58" t="s">
        <v>432</v>
      </c>
      <c r="V796" s="109" t="s">
        <v>2209</v>
      </c>
      <c r="W796" s="58" t="s">
        <v>432</v>
      </c>
      <c r="X796" s="58" t="s">
        <v>432</v>
      </c>
      <c r="Y796" s="58" t="s">
        <v>432</v>
      </c>
      <c r="Z796" s="58" t="s">
        <v>432</v>
      </c>
      <c r="AA796" s="58" t="s">
        <v>432</v>
      </c>
      <c r="AB796" s="58" t="s">
        <v>432</v>
      </c>
      <c r="AC796" s="58" t="s">
        <v>432</v>
      </c>
      <c r="AD796" s="58" t="s">
        <v>432</v>
      </c>
      <c r="AE796" s="58" t="s">
        <v>432</v>
      </c>
      <c r="AF796" s="22">
        <f>AF798+AF800+AF802+AF804</f>
        <v>1414.1299999999999</v>
      </c>
      <c r="AG796" s="58" t="s">
        <v>432</v>
      </c>
      <c r="AH796" s="58" t="s">
        <v>432</v>
      </c>
      <c r="AI796" s="58" t="s">
        <v>432</v>
      </c>
      <c r="AJ796" s="58" t="s">
        <v>432</v>
      </c>
      <c r="AK796" s="137" t="s">
        <v>432</v>
      </c>
      <c r="AL796" s="600" t="s">
        <v>432</v>
      </c>
      <c r="AM796" s="137" t="s">
        <v>432</v>
      </c>
      <c r="AN796" s="137" t="s">
        <v>432</v>
      </c>
      <c r="AO796" s="137" t="s">
        <v>432</v>
      </c>
      <c r="AP796" s="137" t="s">
        <v>432</v>
      </c>
      <c r="AQ796" s="137" t="s">
        <v>432</v>
      </c>
      <c r="AR796" s="137" t="s">
        <v>432</v>
      </c>
      <c r="AS796" s="137" t="s">
        <v>432</v>
      </c>
      <c r="AT796" s="137" t="s">
        <v>432</v>
      </c>
      <c r="AU796" s="137" t="s">
        <v>432</v>
      </c>
      <c r="AV796" s="137" t="s">
        <v>432</v>
      </c>
      <c r="AW796" s="137" t="s">
        <v>432</v>
      </c>
      <c r="AX796" s="137" t="s">
        <v>432</v>
      </c>
      <c r="AY796" s="137" t="s">
        <v>432</v>
      </c>
      <c r="AZ796" s="137" t="s">
        <v>432</v>
      </c>
      <c r="BA796" s="137" t="s">
        <v>432</v>
      </c>
      <c r="BB796" s="239" t="str">
        <f t="shared" ref="BB796:BB805" si="170">B796&amp;C796</f>
        <v>Rede viáriax</v>
      </c>
      <c r="BC796" s="239" t="str">
        <f t="shared" ref="BC796:BC805" si="171">B796&amp;C796&amp;H796</f>
        <v>Rede viáriaxx</v>
      </c>
      <c r="BD796" s="239" t="str">
        <f t="shared" ref="BD796:BD805" si="172">B796&amp;H796</f>
        <v>Rede viáriax</v>
      </c>
    </row>
    <row r="797" spans="1:56" s="1" customFormat="1" ht="78.75" customHeight="1" x14ac:dyDescent="0.25">
      <c r="A797" s="275" t="str">
        <f>'Q100b-totais'!$B$18</f>
        <v>2.3</v>
      </c>
      <c r="B797" s="1205" t="str">
        <f>'Q100b-totais'!$C$18</f>
        <v>Rede viária</v>
      </c>
      <c r="C797" s="167" t="s">
        <v>432</v>
      </c>
      <c r="D797" s="324" t="s">
        <v>3132</v>
      </c>
      <c r="E797" s="509" t="s">
        <v>1306</v>
      </c>
      <c r="F797" s="11" t="s">
        <v>1188</v>
      </c>
      <c r="G797" s="58" t="s">
        <v>185</v>
      </c>
      <c r="H797" s="167" t="s">
        <v>432</v>
      </c>
      <c r="I797" s="57">
        <v>1</v>
      </c>
      <c r="J797" s="107" t="s">
        <v>432</v>
      </c>
      <c r="K797" s="58" t="s">
        <v>432</v>
      </c>
      <c r="L797" s="58" t="s">
        <v>432</v>
      </c>
      <c r="M797" s="58" t="s">
        <v>432</v>
      </c>
      <c r="N797" s="58" t="s">
        <v>432</v>
      </c>
      <c r="O797" s="58" t="s">
        <v>432</v>
      </c>
      <c r="P797" s="58" t="s">
        <v>432</v>
      </c>
      <c r="Q797" s="58" t="s">
        <v>432</v>
      </c>
      <c r="R797" s="58" t="s">
        <v>432</v>
      </c>
      <c r="S797" s="109" t="s">
        <v>2209</v>
      </c>
      <c r="T797" s="58" t="s">
        <v>432</v>
      </c>
      <c r="U797" s="58" t="s">
        <v>432</v>
      </c>
      <c r="V797" s="109" t="s">
        <v>2209</v>
      </c>
      <c r="W797" s="58" t="s">
        <v>432</v>
      </c>
      <c r="X797" s="58" t="s">
        <v>432</v>
      </c>
      <c r="Y797" s="58" t="s">
        <v>432</v>
      </c>
      <c r="Z797" s="58" t="s">
        <v>432</v>
      </c>
      <c r="AA797" s="58" t="s">
        <v>432</v>
      </c>
      <c r="AB797" s="58" t="s">
        <v>432</v>
      </c>
      <c r="AC797" s="58" t="s">
        <v>432</v>
      </c>
      <c r="AD797" s="58" t="s">
        <v>432</v>
      </c>
      <c r="AE797" s="58" t="s">
        <v>432</v>
      </c>
      <c r="AF797" s="21">
        <f>AF796/AF763</f>
        <v>0.31223545776708134</v>
      </c>
      <c r="AG797" s="58" t="s">
        <v>432</v>
      </c>
      <c r="AH797" s="58" t="s">
        <v>432</v>
      </c>
      <c r="AI797" s="58" t="s">
        <v>432</v>
      </c>
      <c r="AJ797" s="58" t="s">
        <v>432</v>
      </c>
      <c r="AK797" s="137" t="s">
        <v>432</v>
      </c>
      <c r="AL797" s="600" t="s">
        <v>432</v>
      </c>
      <c r="AM797" s="137" t="s">
        <v>432</v>
      </c>
      <c r="AN797" s="137" t="s">
        <v>432</v>
      </c>
      <c r="AO797" s="137" t="s">
        <v>432</v>
      </c>
      <c r="AP797" s="137" t="s">
        <v>432</v>
      </c>
      <c r="AQ797" s="137" t="s">
        <v>432</v>
      </c>
      <c r="AR797" s="137" t="s">
        <v>432</v>
      </c>
      <c r="AS797" s="137" t="s">
        <v>432</v>
      </c>
      <c r="AT797" s="137" t="s">
        <v>432</v>
      </c>
      <c r="AU797" s="137" t="s">
        <v>432</v>
      </c>
      <c r="AV797" s="137" t="s">
        <v>432</v>
      </c>
      <c r="AW797" s="137" t="s">
        <v>432</v>
      </c>
      <c r="AX797" s="137" t="s">
        <v>432</v>
      </c>
      <c r="AY797" s="137" t="s">
        <v>432</v>
      </c>
      <c r="AZ797" s="137" t="s">
        <v>432</v>
      </c>
      <c r="BA797" s="137" t="s">
        <v>432</v>
      </c>
      <c r="BB797" s="239" t="str">
        <f t="shared" si="170"/>
        <v>Rede viáriax</v>
      </c>
      <c r="BC797" s="239" t="str">
        <f t="shared" si="171"/>
        <v>Rede viáriaxx</v>
      </c>
      <c r="BD797" s="239" t="str">
        <f t="shared" si="172"/>
        <v>Rede viáriax</v>
      </c>
    </row>
    <row r="798" spans="1:56" s="1" customFormat="1" ht="76.5" customHeight="1" x14ac:dyDescent="0.25">
      <c r="A798" s="275" t="str">
        <f>'Q100b-totais'!$B$18</f>
        <v>2.3</v>
      </c>
      <c r="B798" s="1205" t="str">
        <f>'Q100b-totais'!$C$18</f>
        <v>Rede viária</v>
      </c>
      <c r="C798" s="167" t="s">
        <v>432</v>
      </c>
      <c r="D798" s="324" t="s">
        <v>1582</v>
      </c>
      <c r="E798" s="509" t="s">
        <v>1306</v>
      </c>
      <c r="F798" s="11" t="s">
        <v>1576</v>
      </c>
      <c r="G798" s="93" t="s">
        <v>681</v>
      </c>
      <c r="H798" s="167" t="s">
        <v>432</v>
      </c>
      <c r="I798" s="57">
        <v>1</v>
      </c>
      <c r="J798" s="107" t="s">
        <v>432</v>
      </c>
      <c r="K798" s="93" t="s">
        <v>432</v>
      </c>
      <c r="L798" s="93" t="s">
        <v>432</v>
      </c>
      <c r="M798" s="93" t="s">
        <v>432</v>
      </c>
      <c r="N798" s="93" t="s">
        <v>432</v>
      </c>
      <c r="O798" s="93" t="s">
        <v>432</v>
      </c>
      <c r="P798" s="93" t="s">
        <v>432</v>
      </c>
      <c r="Q798" s="93" t="s">
        <v>432</v>
      </c>
      <c r="R798" s="93" t="s">
        <v>432</v>
      </c>
      <c r="S798" s="109" t="s">
        <v>2209</v>
      </c>
      <c r="T798" s="93" t="s">
        <v>432</v>
      </c>
      <c r="U798" s="93" t="s">
        <v>432</v>
      </c>
      <c r="V798" s="109" t="s">
        <v>2209</v>
      </c>
      <c r="W798" s="93" t="s">
        <v>432</v>
      </c>
      <c r="X798" s="93" t="s">
        <v>432</v>
      </c>
      <c r="Y798" s="93" t="s">
        <v>432</v>
      </c>
      <c r="Z798" s="93" t="s">
        <v>432</v>
      </c>
      <c r="AA798" s="93" t="s">
        <v>432</v>
      </c>
      <c r="AB798" s="93" t="s">
        <v>432</v>
      </c>
      <c r="AC798" s="93" t="s">
        <v>432</v>
      </c>
      <c r="AD798" s="93" t="s">
        <v>432</v>
      </c>
      <c r="AE798" s="93" t="s">
        <v>432</v>
      </c>
      <c r="AF798" s="84">
        <v>364.05</v>
      </c>
      <c r="AG798" s="93" t="s">
        <v>432</v>
      </c>
      <c r="AH798" s="93" t="s">
        <v>432</v>
      </c>
      <c r="AI798" s="93" t="s">
        <v>432</v>
      </c>
      <c r="AJ798" s="93" t="s">
        <v>432</v>
      </c>
      <c r="AK798" s="137" t="s">
        <v>432</v>
      </c>
      <c r="AL798" s="600" t="s">
        <v>432</v>
      </c>
      <c r="AM798" s="137" t="s">
        <v>432</v>
      </c>
      <c r="AN798" s="137" t="s">
        <v>432</v>
      </c>
      <c r="AO798" s="137" t="s">
        <v>432</v>
      </c>
      <c r="AP798" s="137" t="s">
        <v>432</v>
      </c>
      <c r="AQ798" s="137" t="s">
        <v>432</v>
      </c>
      <c r="AR798" s="137" t="s">
        <v>432</v>
      </c>
      <c r="AS798" s="137" t="s">
        <v>432</v>
      </c>
      <c r="AT798" s="137" t="s">
        <v>432</v>
      </c>
      <c r="AU798" s="137" t="s">
        <v>432</v>
      </c>
      <c r="AV798" s="137" t="s">
        <v>432</v>
      </c>
      <c r="AW798" s="137" t="s">
        <v>432</v>
      </c>
      <c r="AX798" s="137" t="s">
        <v>432</v>
      </c>
      <c r="AY798" s="137" t="s">
        <v>432</v>
      </c>
      <c r="AZ798" s="137" t="s">
        <v>432</v>
      </c>
      <c r="BA798" s="137" t="s">
        <v>432</v>
      </c>
      <c r="BB798" s="239" t="str">
        <f t="shared" si="170"/>
        <v>Rede viáriax</v>
      </c>
      <c r="BC798" s="239" t="str">
        <f t="shared" si="171"/>
        <v>Rede viáriaxx</v>
      </c>
      <c r="BD798" s="239" t="str">
        <f t="shared" si="172"/>
        <v>Rede viáriax</v>
      </c>
    </row>
    <row r="799" spans="1:56" s="1" customFormat="1" ht="76.5" customHeight="1" x14ac:dyDescent="0.25">
      <c r="A799" s="275" t="str">
        <f>'Q100b-totais'!$B$18</f>
        <v>2.3</v>
      </c>
      <c r="B799" s="1205" t="str">
        <f>'Q100b-totais'!$C$18</f>
        <v>Rede viária</v>
      </c>
      <c r="C799" s="167" t="s">
        <v>432</v>
      </c>
      <c r="D799" s="324" t="s">
        <v>3133</v>
      </c>
      <c r="E799" s="509" t="s">
        <v>1306</v>
      </c>
      <c r="F799" s="11" t="s">
        <v>1189</v>
      </c>
      <c r="G799" s="58" t="s">
        <v>1031</v>
      </c>
      <c r="H799" s="167" t="s">
        <v>432</v>
      </c>
      <c r="I799" s="57">
        <v>1</v>
      </c>
      <c r="J799" s="107" t="s">
        <v>432</v>
      </c>
      <c r="K799" s="58" t="s">
        <v>432</v>
      </c>
      <c r="L799" s="58" t="s">
        <v>432</v>
      </c>
      <c r="M799" s="58" t="s">
        <v>432</v>
      </c>
      <c r="N799" s="58" t="s">
        <v>432</v>
      </c>
      <c r="O799" s="58" t="s">
        <v>432</v>
      </c>
      <c r="P799" s="58" t="s">
        <v>432</v>
      </c>
      <c r="Q799" s="58" t="s">
        <v>432</v>
      </c>
      <c r="R799" s="58" t="s">
        <v>432</v>
      </c>
      <c r="S799" s="109" t="s">
        <v>2209</v>
      </c>
      <c r="T799" s="58" t="s">
        <v>432</v>
      </c>
      <c r="U799" s="58" t="s">
        <v>432</v>
      </c>
      <c r="V799" s="109" t="s">
        <v>2209</v>
      </c>
      <c r="W799" s="58" t="s">
        <v>432</v>
      </c>
      <c r="X799" s="58" t="s">
        <v>432</v>
      </c>
      <c r="Y799" s="58" t="s">
        <v>432</v>
      </c>
      <c r="Z799" s="58" t="s">
        <v>432</v>
      </c>
      <c r="AA799" s="58" t="s">
        <v>432</v>
      </c>
      <c r="AB799" s="58" t="s">
        <v>432</v>
      </c>
      <c r="AC799" s="58" t="s">
        <v>432</v>
      </c>
      <c r="AD799" s="58" t="s">
        <v>432</v>
      </c>
      <c r="AE799" s="58" t="s">
        <v>432</v>
      </c>
      <c r="AF799" s="21">
        <f>AF798/AF768</f>
        <v>0.73742100145843459</v>
      </c>
      <c r="AG799" s="58" t="s">
        <v>432</v>
      </c>
      <c r="AH799" s="58" t="s">
        <v>432</v>
      </c>
      <c r="AI799" s="58" t="s">
        <v>432</v>
      </c>
      <c r="AJ799" s="58" t="s">
        <v>432</v>
      </c>
      <c r="AK799" s="137" t="s">
        <v>432</v>
      </c>
      <c r="AL799" s="600" t="s">
        <v>432</v>
      </c>
      <c r="AM799" s="137" t="s">
        <v>432</v>
      </c>
      <c r="AN799" s="137" t="s">
        <v>432</v>
      </c>
      <c r="AO799" s="137" t="s">
        <v>432</v>
      </c>
      <c r="AP799" s="137" t="s">
        <v>432</v>
      </c>
      <c r="AQ799" s="137" t="s">
        <v>432</v>
      </c>
      <c r="AR799" s="137" t="s">
        <v>432</v>
      </c>
      <c r="AS799" s="137" t="s">
        <v>432</v>
      </c>
      <c r="AT799" s="137" t="s">
        <v>432</v>
      </c>
      <c r="AU799" s="137" t="s">
        <v>432</v>
      </c>
      <c r="AV799" s="137" t="s">
        <v>432</v>
      </c>
      <c r="AW799" s="137" t="s">
        <v>432</v>
      </c>
      <c r="AX799" s="137" t="s">
        <v>432</v>
      </c>
      <c r="AY799" s="137" t="s">
        <v>432</v>
      </c>
      <c r="AZ799" s="137" t="s">
        <v>432</v>
      </c>
      <c r="BA799" s="137" t="s">
        <v>432</v>
      </c>
      <c r="BB799" s="239" t="str">
        <f t="shared" si="170"/>
        <v>Rede viáriax</v>
      </c>
      <c r="BC799" s="239" t="str">
        <f t="shared" si="171"/>
        <v>Rede viáriaxx</v>
      </c>
      <c r="BD799" s="239" t="str">
        <f t="shared" si="172"/>
        <v>Rede viáriax</v>
      </c>
    </row>
    <row r="800" spans="1:56" s="1" customFormat="1" ht="76.5" customHeight="1" x14ac:dyDescent="0.25">
      <c r="A800" s="275" t="str">
        <f>'Q100b-totais'!$B$18</f>
        <v>2.3</v>
      </c>
      <c r="B800" s="1205" t="str">
        <f>'Q100b-totais'!$C$18</f>
        <v>Rede viária</v>
      </c>
      <c r="C800" s="167" t="s">
        <v>432</v>
      </c>
      <c r="D800" s="939" t="s">
        <v>1583</v>
      </c>
      <c r="E800" s="509" t="s">
        <v>1306</v>
      </c>
      <c r="F800" s="5" t="s">
        <v>1577</v>
      </c>
      <c r="G800" s="93" t="s">
        <v>682</v>
      </c>
      <c r="H800" s="167" t="s">
        <v>432</v>
      </c>
      <c r="I800" s="57">
        <v>1</v>
      </c>
      <c r="J800" s="107" t="s">
        <v>432</v>
      </c>
      <c r="K800" s="93" t="s">
        <v>432</v>
      </c>
      <c r="L800" s="93" t="s">
        <v>432</v>
      </c>
      <c r="M800" s="93" t="s">
        <v>432</v>
      </c>
      <c r="N800" s="93" t="s">
        <v>432</v>
      </c>
      <c r="O800" s="93" t="s">
        <v>432</v>
      </c>
      <c r="P800" s="93" t="s">
        <v>432</v>
      </c>
      <c r="Q800" s="93" t="s">
        <v>432</v>
      </c>
      <c r="R800" s="93" t="s">
        <v>432</v>
      </c>
      <c r="S800" s="109" t="s">
        <v>2209</v>
      </c>
      <c r="T800" s="93" t="s">
        <v>432</v>
      </c>
      <c r="U800" s="93" t="s">
        <v>432</v>
      </c>
      <c r="V800" s="109" t="s">
        <v>2209</v>
      </c>
      <c r="W800" s="93" t="s">
        <v>432</v>
      </c>
      <c r="X800" s="93" t="s">
        <v>432</v>
      </c>
      <c r="Y800" s="93" t="s">
        <v>432</v>
      </c>
      <c r="Z800" s="93" t="s">
        <v>432</v>
      </c>
      <c r="AA800" s="93" t="s">
        <v>432</v>
      </c>
      <c r="AB800" s="93" t="s">
        <v>432</v>
      </c>
      <c r="AC800" s="93" t="s">
        <v>432</v>
      </c>
      <c r="AD800" s="93" t="s">
        <v>432</v>
      </c>
      <c r="AE800" s="93" t="s">
        <v>432</v>
      </c>
      <c r="AF800" s="84">
        <v>538.73</v>
      </c>
      <c r="AG800" s="93" t="s">
        <v>432</v>
      </c>
      <c r="AH800" s="93" t="s">
        <v>432</v>
      </c>
      <c r="AI800" s="93" t="s">
        <v>432</v>
      </c>
      <c r="AJ800" s="93" t="s">
        <v>432</v>
      </c>
      <c r="AK800" s="137" t="s">
        <v>432</v>
      </c>
      <c r="AL800" s="600" t="s">
        <v>432</v>
      </c>
      <c r="AM800" s="137" t="s">
        <v>432</v>
      </c>
      <c r="AN800" s="137" t="s">
        <v>432</v>
      </c>
      <c r="AO800" s="137" t="s">
        <v>432</v>
      </c>
      <c r="AP800" s="137" t="s">
        <v>432</v>
      </c>
      <c r="AQ800" s="137" t="s">
        <v>432</v>
      </c>
      <c r="AR800" s="137" t="s">
        <v>432</v>
      </c>
      <c r="AS800" s="137" t="s">
        <v>432</v>
      </c>
      <c r="AT800" s="137" t="s">
        <v>432</v>
      </c>
      <c r="AU800" s="137" t="s">
        <v>432</v>
      </c>
      <c r="AV800" s="137" t="s">
        <v>432</v>
      </c>
      <c r="AW800" s="137" t="s">
        <v>432</v>
      </c>
      <c r="AX800" s="137" t="s">
        <v>432</v>
      </c>
      <c r="AY800" s="137" t="s">
        <v>432</v>
      </c>
      <c r="AZ800" s="137" t="s">
        <v>432</v>
      </c>
      <c r="BA800" s="137" t="s">
        <v>432</v>
      </c>
      <c r="BB800" s="239" t="str">
        <f t="shared" si="170"/>
        <v>Rede viáriax</v>
      </c>
      <c r="BC800" s="239" t="str">
        <f t="shared" si="171"/>
        <v>Rede viáriaxx</v>
      </c>
      <c r="BD800" s="239" t="str">
        <f t="shared" si="172"/>
        <v>Rede viáriax</v>
      </c>
    </row>
    <row r="801" spans="1:56" s="1" customFormat="1" ht="76.5" customHeight="1" x14ac:dyDescent="0.25">
      <c r="A801" s="275" t="str">
        <f>'Q100b-totais'!$B$18</f>
        <v>2.3</v>
      </c>
      <c r="B801" s="1205" t="str">
        <f>'Q100b-totais'!$C$18</f>
        <v>Rede viária</v>
      </c>
      <c r="C801" s="167" t="s">
        <v>432</v>
      </c>
      <c r="D801" s="324" t="s">
        <v>3134</v>
      </c>
      <c r="E801" s="509" t="s">
        <v>1306</v>
      </c>
      <c r="F801" s="11" t="s">
        <v>1032</v>
      </c>
      <c r="G801" s="58" t="s">
        <v>1033</v>
      </c>
      <c r="H801" s="167" t="s">
        <v>432</v>
      </c>
      <c r="I801" s="57">
        <v>1</v>
      </c>
      <c r="J801" s="107" t="s">
        <v>432</v>
      </c>
      <c r="K801" s="58" t="s">
        <v>432</v>
      </c>
      <c r="L801" s="58" t="s">
        <v>432</v>
      </c>
      <c r="M801" s="58" t="s">
        <v>432</v>
      </c>
      <c r="N801" s="58" t="s">
        <v>432</v>
      </c>
      <c r="O801" s="58" t="s">
        <v>432</v>
      </c>
      <c r="P801" s="58" t="s">
        <v>432</v>
      </c>
      <c r="Q801" s="58" t="s">
        <v>432</v>
      </c>
      <c r="R801" s="58" t="s">
        <v>432</v>
      </c>
      <c r="S801" s="109" t="s">
        <v>2209</v>
      </c>
      <c r="T801" s="58" t="s">
        <v>432</v>
      </c>
      <c r="U801" s="58" t="s">
        <v>432</v>
      </c>
      <c r="V801" s="109" t="s">
        <v>2209</v>
      </c>
      <c r="W801" s="58" t="s">
        <v>432</v>
      </c>
      <c r="X801" s="58" t="s">
        <v>432</v>
      </c>
      <c r="Y801" s="58" t="s">
        <v>432</v>
      </c>
      <c r="Z801" s="58" t="s">
        <v>432</v>
      </c>
      <c r="AA801" s="58" t="s">
        <v>432</v>
      </c>
      <c r="AB801" s="58" t="s">
        <v>432</v>
      </c>
      <c r="AC801" s="58" t="s">
        <v>432</v>
      </c>
      <c r="AD801" s="58" t="s">
        <v>432</v>
      </c>
      <c r="AE801" s="58" t="s">
        <v>432</v>
      </c>
      <c r="AF801" s="21">
        <f>AF800/AF770</f>
        <v>0.49718979281066866</v>
      </c>
      <c r="AG801" s="58" t="s">
        <v>432</v>
      </c>
      <c r="AH801" s="58" t="s">
        <v>432</v>
      </c>
      <c r="AI801" s="58" t="s">
        <v>432</v>
      </c>
      <c r="AJ801" s="58" t="s">
        <v>432</v>
      </c>
      <c r="AK801" s="137" t="s">
        <v>432</v>
      </c>
      <c r="AL801" s="600" t="s">
        <v>432</v>
      </c>
      <c r="AM801" s="137" t="s">
        <v>432</v>
      </c>
      <c r="AN801" s="137" t="s">
        <v>432</v>
      </c>
      <c r="AO801" s="137" t="s">
        <v>432</v>
      </c>
      <c r="AP801" s="137" t="s">
        <v>432</v>
      </c>
      <c r="AQ801" s="137" t="s">
        <v>432</v>
      </c>
      <c r="AR801" s="137" t="s">
        <v>432</v>
      </c>
      <c r="AS801" s="137" t="s">
        <v>432</v>
      </c>
      <c r="AT801" s="137" t="s">
        <v>432</v>
      </c>
      <c r="AU801" s="137" t="s">
        <v>432</v>
      </c>
      <c r="AV801" s="137" t="s">
        <v>432</v>
      </c>
      <c r="AW801" s="137" t="s">
        <v>432</v>
      </c>
      <c r="AX801" s="137" t="s">
        <v>432</v>
      </c>
      <c r="AY801" s="137" t="s">
        <v>432</v>
      </c>
      <c r="AZ801" s="137" t="s">
        <v>432</v>
      </c>
      <c r="BA801" s="137" t="s">
        <v>432</v>
      </c>
      <c r="BB801" s="239" t="str">
        <f t="shared" si="170"/>
        <v>Rede viáriax</v>
      </c>
      <c r="BC801" s="239" t="str">
        <f t="shared" si="171"/>
        <v>Rede viáriaxx</v>
      </c>
      <c r="BD801" s="239" t="str">
        <f t="shared" si="172"/>
        <v>Rede viáriax</v>
      </c>
    </row>
    <row r="802" spans="1:56" s="1" customFormat="1" ht="94.5" customHeight="1" x14ac:dyDescent="0.25">
      <c r="A802" s="275" t="str">
        <f>'Q100b-totais'!$B$18</f>
        <v>2.3</v>
      </c>
      <c r="B802" s="1205" t="str">
        <f>'Q100b-totais'!$C$18</f>
        <v>Rede viária</v>
      </c>
      <c r="C802" s="167" t="s">
        <v>432</v>
      </c>
      <c r="D802" s="324" t="s">
        <v>1785</v>
      </c>
      <c r="E802" s="509" t="s">
        <v>1306</v>
      </c>
      <c r="F802" s="11" t="s">
        <v>1578</v>
      </c>
      <c r="G802" s="110" t="s">
        <v>77</v>
      </c>
      <c r="H802" s="167" t="s">
        <v>432</v>
      </c>
      <c r="I802" s="57">
        <v>1</v>
      </c>
      <c r="J802" s="107" t="s">
        <v>432</v>
      </c>
      <c r="K802" s="93" t="s">
        <v>432</v>
      </c>
      <c r="L802" s="93" t="s">
        <v>432</v>
      </c>
      <c r="M802" s="93" t="s">
        <v>432</v>
      </c>
      <c r="N802" s="93" t="s">
        <v>432</v>
      </c>
      <c r="O802" s="93" t="s">
        <v>432</v>
      </c>
      <c r="P802" s="93" t="s">
        <v>432</v>
      </c>
      <c r="Q802" s="93" t="s">
        <v>432</v>
      </c>
      <c r="R802" s="93" t="s">
        <v>432</v>
      </c>
      <c r="S802" s="109" t="s">
        <v>2209</v>
      </c>
      <c r="T802" s="93" t="s">
        <v>432</v>
      </c>
      <c r="U802" s="93" t="s">
        <v>432</v>
      </c>
      <c r="V802" s="109" t="s">
        <v>2209</v>
      </c>
      <c r="W802" s="93" t="s">
        <v>432</v>
      </c>
      <c r="X802" s="93" t="s">
        <v>432</v>
      </c>
      <c r="Y802" s="93" t="s">
        <v>432</v>
      </c>
      <c r="Z802" s="93" t="s">
        <v>432</v>
      </c>
      <c r="AA802" s="93" t="s">
        <v>432</v>
      </c>
      <c r="AB802" s="93" t="s">
        <v>432</v>
      </c>
      <c r="AC802" s="93" t="s">
        <v>432</v>
      </c>
      <c r="AD802" s="93" t="s">
        <v>432</v>
      </c>
      <c r="AE802" s="93" t="s">
        <v>432</v>
      </c>
      <c r="AF802" s="84">
        <v>41.28</v>
      </c>
      <c r="AG802" s="93" t="s">
        <v>432</v>
      </c>
      <c r="AH802" s="93" t="s">
        <v>432</v>
      </c>
      <c r="AI802" s="93" t="s">
        <v>432</v>
      </c>
      <c r="AJ802" s="93" t="s">
        <v>432</v>
      </c>
      <c r="AK802" s="137" t="s">
        <v>432</v>
      </c>
      <c r="AL802" s="600" t="s">
        <v>432</v>
      </c>
      <c r="AM802" s="137" t="s">
        <v>432</v>
      </c>
      <c r="AN802" s="137" t="s">
        <v>432</v>
      </c>
      <c r="AO802" s="137" t="s">
        <v>432</v>
      </c>
      <c r="AP802" s="137" t="s">
        <v>432</v>
      </c>
      <c r="AQ802" s="137" t="s">
        <v>432</v>
      </c>
      <c r="AR802" s="137" t="s">
        <v>432</v>
      </c>
      <c r="AS802" s="137" t="s">
        <v>432</v>
      </c>
      <c r="AT802" s="137" t="s">
        <v>432</v>
      </c>
      <c r="AU802" s="137" t="s">
        <v>432</v>
      </c>
      <c r="AV802" s="137" t="s">
        <v>432</v>
      </c>
      <c r="AW802" s="137" t="s">
        <v>432</v>
      </c>
      <c r="AX802" s="137" t="s">
        <v>432</v>
      </c>
      <c r="AY802" s="137" t="s">
        <v>432</v>
      </c>
      <c r="AZ802" s="137" t="s">
        <v>432</v>
      </c>
      <c r="BA802" s="137" t="s">
        <v>432</v>
      </c>
      <c r="BB802" s="239" t="str">
        <f t="shared" si="170"/>
        <v>Rede viáriax</v>
      </c>
      <c r="BC802" s="239" t="str">
        <f t="shared" si="171"/>
        <v>Rede viáriaxx</v>
      </c>
      <c r="BD802" s="239" t="str">
        <f t="shared" si="172"/>
        <v>Rede viáriax</v>
      </c>
    </row>
    <row r="803" spans="1:56" s="1" customFormat="1" ht="117.75" customHeight="1" x14ac:dyDescent="0.25">
      <c r="A803" s="275" t="str">
        <f>'Q100b-totais'!$B$18</f>
        <v>2.3</v>
      </c>
      <c r="B803" s="1205" t="str">
        <f>'Q100b-totais'!$C$18</f>
        <v>Rede viária</v>
      </c>
      <c r="C803" s="167" t="s">
        <v>432</v>
      </c>
      <c r="D803" s="324" t="s">
        <v>3135</v>
      </c>
      <c r="E803" s="509" t="s">
        <v>1306</v>
      </c>
      <c r="F803" s="11" t="s">
        <v>1190</v>
      </c>
      <c r="G803" s="58" t="s">
        <v>1034</v>
      </c>
      <c r="H803" s="167" t="s">
        <v>432</v>
      </c>
      <c r="I803" s="57">
        <v>1</v>
      </c>
      <c r="J803" s="107" t="s">
        <v>432</v>
      </c>
      <c r="K803" s="58" t="s">
        <v>432</v>
      </c>
      <c r="L803" s="58" t="s">
        <v>432</v>
      </c>
      <c r="M803" s="58" t="s">
        <v>432</v>
      </c>
      <c r="N803" s="58" t="s">
        <v>432</v>
      </c>
      <c r="O803" s="58" t="s">
        <v>432</v>
      </c>
      <c r="P803" s="58" t="s">
        <v>432</v>
      </c>
      <c r="Q803" s="58" t="s">
        <v>432</v>
      </c>
      <c r="R803" s="58" t="s">
        <v>432</v>
      </c>
      <c r="S803" s="109" t="s">
        <v>2209</v>
      </c>
      <c r="T803" s="58" t="s">
        <v>432</v>
      </c>
      <c r="U803" s="58" t="s">
        <v>432</v>
      </c>
      <c r="V803" s="109" t="s">
        <v>2209</v>
      </c>
      <c r="W803" s="58" t="s">
        <v>432</v>
      </c>
      <c r="X803" s="58" t="s">
        <v>432</v>
      </c>
      <c r="Y803" s="58" t="s">
        <v>432</v>
      </c>
      <c r="Z803" s="58" t="s">
        <v>432</v>
      </c>
      <c r="AA803" s="58" t="s">
        <v>432</v>
      </c>
      <c r="AB803" s="58" t="s">
        <v>432</v>
      </c>
      <c r="AC803" s="58" t="s">
        <v>432</v>
      </c>
      <c r="AD803" s="58" t="s">
        <v>432</v>
      </c>
      <c r="AE803" s="58" t="s">
        <v>432</v>
      </c>
      <c r="AF803" s="21">
        <f>AF802/AF771</f>
        <v>0.8738357324301439</v>
      </c>
      <c r="AG803" s="58" t="s">
        <v>432</v>
      </c>
      <c r="AH803" s="58" t="s">
        <v>432</v>
      </c>
      <c r="AI803" s="58" t="s">
        <v>432</v>
      </c>
      <c r="AJ803" s="58" t="s">
        <v>432</v>
      </c>
      <c r="AK803" s="137" t="s">
        <v>432</v>
      </c>
      <c r="AL803" s="600" t="s">
        <v>432</v>
      </c>
      <c r="AM803" s="137" t="s">
        <v>432</v>
      </c>
      <c r="AN803" s="137" t="s">
        <v>432</v>
      </c>
      <c r="AO803" s="137" t="s">
        <v>432</v>
      </c>
      <c r="AP803" s="137" t="s">
        <v>432</v>
      </c>
      <c r="AQ803" s="137" t="s">
        <v>432</v>
      </c>
      <c r="AR803" s="137" t="s">
        <v>432</v>
      </c>
      <c r="AS803" s="137" t="s">
        <v>432</v>
      </c>
      <c r="AT803" s="137" t="s">
        <v>432</v>
      </c>
      <c r="AU803" s="137" t="s">
        <v>432</v>
      </c>
      <c r="AV803" s="137" t="s">
        <v>432</v>
      </c>
      <c r="AW803" s="137" t="s">
        <v>432</v>
      </c>
      <c r="AX803" s="137" t="s">
        <v>432</v>
      </c>
      <c r="AY803" s="137" t="s">
        <v>432</v>
      </c>
      <c r="AZ803" s="137" t="s">
        <v>432</v>
      </c>
      <c r="BA803" s="137" t="s">
        <v>432</v>
      </c>
      <c r="BB803" s="239" t="str">
        <f t="shared" si="170"/>
        <v>Rede viáriax</v>
      </c>
      <c r="BC803" s="239" t="str">
        <f t="shared" si="171"/>
        <v>Rede viáriaxx</v>
      </c>
      <c r="BD803" s="239" t="str">
        <f t="shared" si="172"/>
        <v>Rede viáriax</v>
      </c>
    </row>
    <row r="804" spans="1:56" s="1" customFormat="1" ht="94.5" customHeight="1" x14ac:dyDescent="0.25">
      <c r="A804" s="275" t="str">
        <f>'Q100b-totais'!$B$18</f>
        <v>2.3</v>
      </c>
      <c r="B804" s="1205" t="str">
        <f>'Q100b-totais'!$C$18</f>
        <v>Rede viária</v>
      </c>
      <c r="C804" s="167" t="s">
        <v>432</v>
      </c>
      <c r="D804" s="324" t="s">
        <v>1584</v>
      </c>
      <c r="E804" s="509" t="s">
        <v>1306</v>
      </c>
      <c r="F804" s="11" t="s">
        <v>1579</v>
      </c>
      <c r="G804" s="110" t="s">
        <v>77</v>
      </c>
      <c r="H804" s="167" t="s">
        <v>432</v>
      </c>
      <c r="I804" s="57">
        <v>1</v>
      </c>
      <c r="J804" s="107" t="s">
        <v>432</v>
      </c>
      <c r="K804" s="93" t="s">
        <v>432</v>
      </c>
      <c r="L804" s="93" t="s">
        <v>432</v>
      </c>
      <c r="M804" s="93" t="s">
        <v>432</v>
      </c>
      <c r="N804" s="93" t="s">
        <v>432</v>
      </c>
      <c r="O804" s="93" t="s">
        <v>432</v>
      </c>
      <c r="P804" s="93" t="s">
        <v>432</v>
      </c>
      <c r="Q804" s="93" t="s">
        <v>432</v>
      </c>
      <c r="R804" s="93" t="s">
        <v>432</v>
      </c>
      <c r="S804" s="109" t="s">
        <v>2209</v>
      </c>
      <c r="T804" s="93" t="s">
        <v>432</v>
      </c>
      <c r="U804" s="93" t="s">
        <v>432</v>
      </c>
      <c r="V804" s="109" t="s">
        <v>2209</v>
      </c>
      <c r="W804" s="93" t="s">
        <v>432</v>
      </c>
      <c r="X804" s="93" t="s">
        <v>432</v>
      </c>
      <c r="Y804" s="93" t="s">
        <v>432</v>
      </c>
      <c r="Z804" s="93" t="s">
        <v>432</v>
      </c>
      <c r="AA804" s="93" t="s">
        <v>432</v>
      </c>
      <c r="AB804" s="93" t="s">
        <v>432</v>
      </c>
      <c r="AC804" s="93" t="s">
        <v>432</v>
      </c>
      <c r="AD804" s="93" t="s">
        <v>432</v>
      </c>
      <c r="AE804" s="93" t="s">
        <v>432</v>
      </c>
      <c r="AF804" s="84">
        <v>470.07</v>
      </c>
      <c r="AG804" s="93" t="s">
        <v>432</v>
      </c>
      <c r="AH804" s="93" t="s">
        <v>432</v>
      </c>
      <c r="AI804" s="93" t="s">
        <v>432</v>
      </c>
      <c r="AJ804" s="93" t="s">
        <v>432</v>
      </c>
      <c r="AK804" s="137" t="s">
        <v>432</v>
      </c>
      <c r="AL804" s="600" t="s">
        <v>432</v>
      </c>
      <c r="AM804" s="137" t="s">
        <v>432</v>
      </c>
      <c r="AN804" s="137" t="s">
        <v>432</v>
      </c>
      <c r="AO804" s="137" t="s">
        <v>432</v>
      </c>
      <c r="AP804" s="137" t="s">
        <v>432</v>
      </c>
      <c r="AQ804" s="137" t="s">
        <v>432</v>
      </c>
      <c r="AR804" s="137" t="s">
        <v>432</v>
      </c>
      <c r="AS804" s="137" t="s">
        <v>432</v>
      </c>
      <c r="AT804" s="137" t="s">
        <v>432</v>
      </c>
      <c r="AU804" s="137" t="s">
        <v>432</v>
      </c>
      <c r="AV804" s="137" t="s">
        <v>432</v>
      </c>
      <c r="AW804" s="137" t="s">
        <v>432</v>
      </c>
      <c r="AX804" s="137" t="s">
        <v>432</v>
      </c>
      <c r="AY804" s="137" t="s">
        <v>432</v>
      </c>
      <c r="AZ804" s="137" t="s">
        <v>432</v>
      </c>
      <c r="BA804" s="137" t="s">
        <v>432</v>
      </c>
      <c r="BB804" s="239" t="str">
        <f t="shared" si="170"/>
        <v>Rede viáriax</v>
      </c>
      <c r="BC804" s="239" t="str">
        <f t="shared" si="171"/>
        <v>Rede viáriaxx</v>
      </c>
      <c r="BD804" s="239" t="str">
        <f t="shared" si="172"/>
        <v>Rede viáriax</v>
      </c>
    </row>
    <row r="805" spans="1:56" s="1" customFormat="1" ht="82.5" customHeight="1" x14ac:dyDescent="0.25">
      <c r="A805" s="275" t="str">
        <f>'Q100b-totais'!$B$18</f>
        <v>2.3</v>
      </c>
      <c r="B805" s="1205" t="str">
        <f>'Q100b-totais'!$C$18</f>
        <v>Rede viária</v>
      </c>
      <c r="C805" s="167" t="s">
        <v>432</v>
      </c>
      <c r="D805" s="324" t="s">
        <v>3136</v>
      </c>
      <c r="E805" s="509" t="s">
        <v>1306</v>
      </c>
      <c r="F805" s="11" t="s">
        <v>1190</v>
      </c>
      <c r="G805" s="58" t="s">
        <v>1035</v>
      </c>
      <c r="H805" s="167" t="s">
        <v>432</v>
      </c>
      <c r="I805" s="57">
        <v>1</v>
      </c>
      <c r="J805" s="107" t="s">
        <v>432</v>
      </c>
      <c r="K805" s="58" t="s">
        <v>432</v>
      </c>
      <c r="L805" s="58" t="s">
        <v>432</v>
      </c>
      <c r="M805" s="58" t="s">
        <v>432</v>
      </c>
      <c r="N805" s="58" t="s">
        <v>432</v>
      </c>
      <c r="O805" s="58" t="s">
        <v>432</v>
      </c>
      <c r="P805" s="58" t="s">
        <v>432</v>
      </c>
      <c r="Q805" s="58" t="s">
        <v>432</v>
      </c>
      <c r="R805" s="58" t="s">
        <v>432</v>
      </c>
      <c r="S805" s="109" t="s">
        <v>2209</v>
      </c>
      <c r="T805" s="58" t="s">
        <v>432</v>
      </c>
      <c r="U805" s="58" t="s">
        <v>432</v>
      </c>
      <c r="V805" s="109" t="s">
        <v>2209</v>
      </c>
      <c r="W805" s="58" t="s">
        <v>432</v>
      </c>
      <c r="X805" s="58" t="s">
        <v>432</v>
      </c>
      <c r="Y805" s="58" t="s">
        <v>432</v>
      </c>
      <c r="Z805" s="58" t="s">
        <v>432</v>
      </c>
      <c r="AA805" s="58" t="s">
        <v>432</v>
      </c>
      <c r="AB805" s="58" t="s">
        <v>432</v>
      </c>
      <c r="AC805" s="58" t="s">
        <v>432</v>
      </c>
      <c r="AD805" s="58" t="s">
        <v>432</v>
      </c>
      <c r="AE805" s="58" t="s">
        <v>432</v>
      </c>
      <c r="AF805" s="21">
        <f>AF804/AF772</f>
        <v>0.16183751179172204</v>
      </c>
      <c r="AG805" s="58" t="s">
        <v>432</v>
      </c>
      <c r="AH805" s="58" t="s">
        <v>432</v>
      </c>
      <c r="AI805" s="58" t="s">
        <v>432</v>
      </c>
      <c r="AJ805" s="58" t="s">
        <v>432</v>
      </c>
      <c r="AK805" s="137" t="s">
        <v>432</v>
      </c>
      <c r="AL805" s="600" t="s">
        <v>432</v>
      </c>
      <c r="AM805" s="137" t="s">
        <v>432</v>
      </c>
      <c r="AN805" s="137" t="s">
        <v>432</v>
      </c>
      <c r="AO805" s="137" t="s">
        <v>432</v>
      </c>
      <c r="AP805" s="137" t="s">
        <v>432</v>
      </c>
      <c r="AQ805" s="137" t="s">
        <v>432</v>
      </c>
      <c r="AR805" s="137" t="s">
        <v>432</v>
      </c>
      <c r="AS805" s="137" t="s">
        <v>432</v>
      </c>
      <c r="AT805" s="137" t="s">
        <v>432</v>
      </c>
      <c r="AU805" s="137" t="s">
        <v>432</v>
      </c>
      <c r="AV805" s="137" t="s">
        <v>432</v>
      </c>
      <c r="AW805" s="137" t="s">
        <v>432</v>
      </c>
      <c r="AX805" s="137" t="s">
        <v>432</v>
      </c>
      <c r="AY805" s="137" t="s">
        <v>432</v>
      </c>
      <c r="AZ805" s="137" t="s">
        <v>432</v>
      </c>
      <c r="BA805" s="137" t="s">
        <v>432</v>
      </c>
      <c r="BB805" s="239" t="str">
        <f t="shared" si="170"/>
        <v>Rede viáriax</v>
      </c>
      <c r="BC805" s="239" t="str">
        <f t="shared" si="171"/>
        <v>Rede viáriaxx</v>
      </c>
      <c r="BD805" s="239" t="str">
        <f t="shared" si="172"/>
        <v>Rede viáriax</v>
      </c>
    </row>
    <row r="806" spans="1:56" s="373" customFormat="1" x14ac:dyDescent="0.25">
      <c r="A806" s="383"/>
      <c r="B806" s="384"/>
      <c r="C806" s="384"/>
      <c r="D806" s="719"/>
      <c r="E806" s="1519"/>
      <c r="F806" s="385"/>
      <c r="G806" s="385"/>
      <c r="H806" s="384"/>
      <c r="I806" s="385"/>
      <c r="J806" s="385"/>
      <c r="K806" s="385"/>
      <c r="L806" s="385"/>
      <c r="M806" s="385"/>
      <c r="N806" s="385"/>
      <c r="O806" s="385"/>
      <c r="P806" s="385"/>
      <c r="Q806" s="385"/>
      <c r="R806" s="385"/>
      <c r="S806" s="385"/>
      <c r="T806" s="385"/>
      <c r="U806" s="385"/>
      <c r="V806" s="385"/>
      <c r="W806" s="385"/>
      <c r="X806" s="385"/>
      <c r="Y806" s="385"/>
      <c r="Z806" s="385"/>
      <c r="AA806" s="385"/>
      <c r="AB806" s="385"/>
      <c r="AC806" s="385"/>
      <c r="AD806" s="385"/>
      <c r="AE806" s="385"/>
      <c r="AF806" s="385"/>
      <c r="AG806" s="385"/>
      <c r="AH806" s="385"/>
      <c r="AI806" s="385"/>
      <c r="AJ806" s="385"/>
      <c r="AK806" s="397"/>
      <c r="AL806" s="763" t="s">
        <v>432</v>
      </c>
      <c r="AM806" s="387"/>
      <c r="AN806" s="387"/>
      <c r="AO806" s="387"/>
      <c r="AP806" s="387"/>
      <c r="AQ806" s="387"/>
      <c r="AR806" s="387"/>
      <c r="AS806" s="387"/>
      <c r="AT806" s="387"/>
      <c r="AU806" s="387"/>
      <c r="AV806" s="387"/>
      <c r="AW806" s="387"/>
      <c r="AX806" s="387"/>
      <c r="AY806" s="387"/>
      <c r="AZ806" s="387"/>
      <c r="BA806" s="387"/>
      <c r="BB806" s="388"/>
      <c r="BC806" s="388"/>
      <c r="BD806" s="388"/>
    </row>
    <row r="807" spans="1:56" s="373" customFormat="1" x14ac:dyDescent="0.25">
      <c r="A807" s="262"/>
      <c r="B807" s="252"/>
      <c r="C807" s="167"/>
      <c r="D807" s="325"/>
      <c r="E807" s="1445"/>
      <c r="F807" s="252"/>
      <c r="G807" s="385"/>
      <c r="H807" s="384"/>
      <c r="I807" s="385"/>
      <c r="J807" s="385"/>
      <c r="K807" s="385"/>
      <c r="L807" s="385"/>
      <c r="M807" s="385"/>
      <c r="N807" s="385"/>
      <c r="O807" s="385"/>
      <c r="P807" s="385"/>
      <c r="Q807" s="385"/>
      <c r="R807" s="385"/>
      <c r="S807" s="385"/>
      <c r="T807" s="385"/>
      <c r="U807" s="385"/>
      <c r="V807" s="385"/>
      <c r="W807" s="385"/>
      <c r="X807" s="385"/>
      <c r="Y807" s="385"/>
      <c r="Z807" s="385"/>
      <c r="AA807" s="385"/>
      <c r="AB807" s="385"/>
      <c r="AC807" s="385"/>
      <c r="AD807" s="385"/>
      <c r="AE807" s="385"/>
      <c r="AF807" s="385"/>
      <c r="AG807" s="385"/>
      <c r="AH807" s="385"/>
      <c r="AI807" s="385"/>
      <c r="AJ807" s="385"/>
      <c r="AK807" s="397"/>
      <c r="AL807" s="763"/>
      <c r="AM807" s="387"/>
      <c r="AN807" s="387"/>
      <c r="AO807" s="387"/>
      <c r="AP807" s="387"/>
      <c r="AQ807" s="387"/>
      <c r="AR807" s="387"/>
      <c r="AS807" s="387"/>
      <c r="AT807" s="387"/>
      <c r="AU807" s="387"/>
      <c r="AV807" s="387"/>
      <c r="AW807" s="387"/>
      <c r="AX807" s="387"/>
      <c r="AY807" s="387"/>
      <c r="AZ807" s="387"/>
      <c r="BA807" s="387"/>
      <c r="BB807" s="388"/>
      <c r="BC807" s="388"/>
      <c r="BD807" s="388"/>
    </row>
    <row r="808" spans="1:56" s="1" customFormat="1" ht="94.5" customHeight="1" x14ac:dyDescent="0.25">
      <c r="A808" s="262" t="s">
        <v>432</v>
      </c>
      <c r="B808" s="252" t="s">
        <v>742</v>
      </c>
      <c r="C808" s="167" t="s">
        <v>432</v>
      </c>
      <c r="D808" s="325" t="s">
        <v>453</v>
      </c>
      <c r="E808" s="1445" t="s">
        <v>432</v>
      </c>
      <c r="F808" s="252" t="s">
        <v>479</v>
      </c>
      <c r="G808" s="167" t="s">
        <v>3879</v>
      </c>
      <c r="H808" s="167" t="s">
        <v>432</v>
      </c>
      <c r="I808" s="167" t="s">
        <v>432</v>
      </c>
      <c r="J808" s="107" t="s">
        <v>432</v>
      </c>
      <c r="K808" s="107" t="s">
        <v>432</v>
      </c>
      <c r="L808" s="107" t="s">
        <v>432</v>
      </c>
      <c r="M808" s="107" t="s">
        <v>432</v>
      </c>
      <c r="N808" s="107" t="s">
        <v>432</v>
      </c>
      <c r="O808" s="107" t="s">
        <v>432</v>
      </c>
      <c r="P808" s="107" t="s">
        <v>432</v>
      </c>
      <c r="Q808" s="107" t="s">
        <v>432</v>
      </c>
      <c r="R808" s="107" t="s">
        <v>432</v>
      </c>
      <c r="S808" s="109" t="s">
        <v>2209</v>
      </c>
      <c r="T808" s="107" t="s">
        <v>432</v>
      </c>
      <c r="U808" s="107" t="s">
        <v>432</v>
      </c>
      <c r="V808" s="109" t="s">
        <v>2209</v>
      </c>
      <c r="W808" s="107" t="s">
        <v>432</v>
      </c>
      <c r="X808" s="107" t="s">
        <v>432</v>
      </c>
      <c r="Y808" s="107" t="s">
        <v>432</v>
      </c>
      <c r="Z808" s="107" t="s">
        <v>432</v>
      </c>
      <c r="AA808" s="107" t="s">
        <v>432</v>
      </c>
      <c r="AB808" s="107" t="s">
        <v>432</v>
      </c>
      <c r="AC808" s="107" t="s">
        <v>432</v>
      </c>
      <c r="AD808" s="107" t="s">
        <v>432</v>
      </c>
      <c r="AE808" s="107" t="s">
        <v>432</v>
      </c>
      <c r="AF808" s="107" t="s">
        <v>432</v>
      </c>
      <c r="AG808" s="107" t="s">
        <v>432</v>
      </c>
      <c r="AH808" s="107" t="s">
        <v>432</v>
      </c>
      <c r="AI808" s="107" t="s">
        <v>432</v>
      </c>
      <c r="AJ808" s="107" t="s">
        <v>432</v>
      </c>
      <c r="AK808" s="137" t="s">
        <v>432</v>
      </c>
      <c r="AL808" s="600" t="s">
        <v>432</v>
      </c>
      <c r="AM808" s="137" t="s">
        <v>432</v>
      </c>
      <c r="AN808" s="137" t="s">
        <v>432</v>
      </c>
      <c r="AO808" s="137" t="s">
        <v>432</v>
      </c>
      <c r="AP808" s="137" t="s">
        <v>432</v>
      </c>
      <c r="AQ808" s="137" t="s">
        <v>432</v>
      </c>
      <c r="AR808" s="137" t="s">
        <v>432</v>
      </c>
      <c r="AS808" s="137" t="s">
        <v>432</v>
      </c>
      <c r="AT808" s="137" t="s">
        <v>432</v>
      </c>
      <c r="AU808" s="137" t="s">
        <v>432</v>
      </c>
      <c r="AV808" s="137" t="s">
        <v>432</v>
      </c>
      <c r="AW808" s="137" t="s">
        <v>432</v>
      </c>
      <c r="AX808" s="137" t="s">
        <v>432</v>
      </c>
      <c r="AY808" s="137" t="s">
        <v>432</v>
      </c>
      <c r="AZ808" s="137" t="s">
        <v>432</v>
      </c>
      <c r="BA808" s="137" t="s">
        <v>432</v>
      </c>
      <c r="BB808" s="239" t="str">
        <f>B808&amp;C808</f>
        <v>geralx</v>
      </c>
      <c r="BC808" s="239" t="str">
        <f>B808&amp;C808&amp;H808</f>
        <v>geralxx</v>
      </c>
      <c r="BD808" s="239" t="str">
        <f>B808&amp;H808</f>
        <v>geralx</v>
      </c>
    </row>
    <row r="809" spans="1:56" s="1" customFormat="1" ht="31.5" customHeight="1" x14ac:dyDescent="0.25">
      <c r="A809" s="275" t="str">
        <f>'Q100b-totais'!$B$18</f>
        <v>2.3</v>
      </c>
      <c r="B809" s="1205" t="str">
        <f>'Q100b-totais'!$C$18</f>
        <v>Rede viária</v>
      </c>
      <c r="C809" s="167" t="s">
        <v>432</v>
      </c>
      <c r="D809" s="939" t="s">
        <v>3828</v>
      </c>
      <c r="E809" s="509" t="s">
        <v>1306</v>
      </c>
      <c r="F809" s="5" t="s">
        <v>3827</v>
      </c>
      <c r="G809" s="57" t="s">
        <v>1921</v>
      </c>
      <c r="H809" s="173" t="s">
        <v>2408</v>
      </c>
      <c r="I809" s="57" t="s">
        <v>432</v>
      </c>
      <c r="J809" s="107" t="s">
        <v>432</v>
      </c>
      <c r="K809" s="107" t="s">
        <v>432</v>
      </c>
      <c r="L809" s="107" t="s">
        <v>432</v>
      </c>
      <c r="M809" s="107" t="s">
        <v>432</v>
      </c>
      <c r="N809" s="107" t="s">
        <v>432</v>
      </c>
      <c r="O809" s="107" t="s">
        <v>432</v>
      </c>
      <c r="P809" s="107" t="s">
        <v>432</v>
      </c>
      <c r="Q809" s="107" t="s">
        <v>432</v>
      </c>
      <c r="R809" s="107" t="s">
        <v>432</v>
      </c>
      <c r="S809" s="109" t="s">
        <v>2209</v>
      </c>
      <c r="T809" s="107" t="s">
        <v>432</v>
      </c>
      <c r="U809" s="107" t="s">
        <v>432</v>
      </c>
      <c r="V809" s="109" t="s">
        <v>2209</v>
      </c>
      <c r="W809" s="107" t="s">
        <v>432</v>
      </c>
      <c r="X809" s="107" t="s">
        <v>432</v>
      </c>
      <c r="Y809" s="107" t="s">
        <v>432</v>
      </c>
      <c r="Z809" s="107" t="s">
        <v>432</v>
      </c>
      <c r="AA809" s="107" t="s">
        <v>432</v>
      </c>
      <c r="AB809" s="107" t="s">
        <v>432</v>
      </c>
      <c r="AC809" s="107" t="s">
        <v>432</v>
      </c>
      <c r="AD809" s="107" t="s">
        <v>432</v>
      </c>
      <c r="AE809" s="107" t="s">
        <v>432</v>
      </c>
      <c r="AF809" s="107" t="s">
        <v>432</v>
      </c>
      <c r="AG809" s="107" t="s">
        <v>432</v>
      </c>
      <c r="AH809" s="107" t="s">
        <v>432</v>
      </c>
      <c r="AI809" s="107" t="s">
        <v>432</v>
      </c>
      <c r="AJ809" s="107" t="s">
        <v>432</v>
      </c>
      <c r="AK809" s="137" t="s">
        <v>432</v>
      </c>
      <c r="AL809" s="600" t="s">
        <v>432</v>
      </c>
      <c r="AM809" s="137" t="s">
        <v>432</v>
      </c>
      <c r="AN809" s="137" t="s">
        <v>432</v>
      </c>
      <c r="AO809" s="137" t="s">
        <v>432</v>
      </c>
      <c r="AP809" s="137" t="s">
        <v>432</v>
      </c>
      <c r="AQ809" s="137" t="s">
        <v>432</v>
      </c>
      <c r="AR809" s="137" t="s">
        <v>432</v>
      </c>
      <c r="AS809" s="137" t="s">
        <v>432</v>
      </c>
      <c r="AT809" s="137" t="s">
        <v>432</v>
      </c>
      <c r="AU809" s="137" t="s">
        <v>432</v>
      </c>
      <c r="AV809" s="137" t="s">
        <v>432</v>
      </c>
      <c r="AW809" s="137" t="s">
        <v>432</v>
      </c>
      <c r="AX809" s="137" t="s">
        <v>432</v>
      </c>
      <c r="AY809" s="137" t="s">
        <v>432</v>
      </c>
      <c r="AZ809" s="137" t="s">
        <v>432</v>
      </c>
      <c r="BA809" s="137" t="s">
        <v>432</v>
      </c>
      <c r="BB809" s="239" t="str">
        <f>B809&amp;C809</f>
        <v>Rede viáriax</v>
      </c>
      <c r="BC809" s="239" t="str">
        <f>B809&amp;C809&amp;H809</f>
        <v>Rede viáriaxsigla/verbete</v>
      </c>
      <c r="BD809" s="239" t="str">
        <f>B809&amp;H809</f>
        <v>Rede viáriasigla/verbete</v>
      </c>
    </row>
    <row r="810" spans="1:56" s="1" customFormat="1" ht="78.75" customHeight="1" x14ac:dyDescent="0.25">
      <c r="A810" s="275" t="str">
        <f>'Q100b-totais'!$B$18</f>
        <v>2.3</v>
      </c>
      <c r="B810" s="1205" t="str">
        <f>'Q100b-totais'!$C$18</f>
        <v>Rede viária</v>
      </c>
      <c r="C810" s="57" t="s">
        <v>432</v>
      </c>
      <c r="D810" s="939" t="s">
        <v>3826</v>
      </c>
      <c r="E810" s="509" t="s">
        <v>1306</v>
      </c>
      <c r="F810" s="5" t="s">
        <v>3832</v>
      </c>
      <c r="G810" s="57" t="s">
        <v>3833</v>
      </c>
      <c r="H810" s="173" t="s">
        <v>2408</v>
      </c>
      <c r="I810" s="57" t="s">
        <v>432</v>
      </c>
      <c r="J810" s="107" t="s">
        <v>432</v>
      </c>
      <c r="K810" s="107" t="s">
        <v>432</v>
      </c>
      <c r="L810" s="107" t="s">
        <v>432</v>
      </c>
      <c r="M810" s="107" t="s">
        <v>432</v>
      </c>
      <c r="N810" s="107" t="s">
        <v>432</v>
      </c>
      <c r="O810" s="107" t="s">
        <v>432</v>
      </c>
      <c r="P810" s="107" t="s">
        <v>432</v>
      </c>
      <c r="Q810" s="107" t="s">
        <v>432</v>
      </c>
      <c r="R810" s="107" t="s">
        <v>432</v>
      </c>
      <c r="S810" s="109" t="s">
        <v>2209</v>
      </c>
      <c r="T810" s="107" t="s">
        <v>432</v>
      </c>
      <c r="U810" s="107" t="s">
        <v>432</v>
      </c>
      <c r="V810" s="109" t="s">
        <v>2209</v>
      </c>
      <c r="W810" s="107" t="s">
        <v>432</v>
      </c>
      <c r="X810" s="107" t="s">
        <v>432</v>
      </c>
      <c r="Y810" s="107" t="s">
        <v>432</v>
      </c>
      <c r="Z810" s="107" t="s">
        <v>432</v>
      </c>
      <c r="AA810" s="107" t="s">
        <v>432</v>
      </c>
      <c r="AB810" s="107" t="s">
        <v>432</v>
      </c>
      <c r="AC810" s="107" t="s">
        <v>432</v>
      </c>
      <c r="AD810" s="107" t="s">
        <v>432</v>
      </c>
      <c r="AE810" s="107" t="s">
        <v>432</v>
      </c>
      <c r="AF810" s="107" t="s">
        <v>432</v>
      </c>
      <c r="AG810" s="107" t="s">
        <v>432</v>
      </c>
      <c r="AH810" s="107" t="s">
        <v>432</v>
      </c>
      <c r="AI810" s="107" t="s">
        <v>432</v>
      </c>
      <c r="AJ810" s="107" t="s">
        <v>432</v>
      </c>
      <c r="AK810" s="137" t="s">
        <v>432</v>
      </c>
      <c r="AL810" s="600" t="s">
        <v>432</v>
      </c>
      <c r="AM810" s="137" t="s">
        <v>432</v>
      </c>
      <c r="AN810" s="137" t="s">
        <v>432</v>
      </c>
      <c r="AO810" s="137" t="s">
        <v>432</v>
      </c>
      <c r="AP810" s="137" t="s">
        <v>432</v>
      </c>
      <c r="AQ810" s="137" t="s">
        <v>432</v>
      </c>
      <c r="AR810" s="137" t="s">
        <v>432</v>
      </c>
      <c r="AS810" s="137" t="s">
        <v>432</v>
      </c>
      <c r="AT810" s="137" t="s">
        <v>432</v>
      </c>
      <c r="AU810" s="137" t="s">
        <v>432</v>
      </c>
      <c r="AV810" s="137" t="s">
        <v>432</v>
      </c>
      <c r="AW810" s="137" t="s">
        <v>432</v>
      </c>
      <c r="AX810" s="137" t="s">
        <v>432</v>
      </c>
      <c r="AY810" s="137" t="s">
        <v>432</v>
      </c>
      <c r="AZ810" s="137" t="s">
        <v>432</v>
      </c>
      <c r="BA810" s="137" t="s">
        <v>432</v>
      </c>
      <c r="BB810" s="239" t="str">
        <f>B810&amp;C810</f>
        <v>Rede viáriax</v>
      </c>
      <c r="BC810" s="239" t="str">
        <f>B810&amp;C810&amp;H810</f>
        <v>Rede viáriaxsigla/verbete</v>
      </c>
      <c r="BD810" s="239" t="str">
        <f>B810&amp;H810</f>
        <v>Rede viáriasigla/verbete</v>
      </c>
    </row>
    <row r="811" spans="1:56" s="1" customFormat="1" ht="84" customHeight="1" x14ac:dyDescent="0.25">
      <c r="A811" s="275" t="str">
        <f>'Q100b-totais'!B54</f>
        <v>8.2</v>
      </c>
      <c r="B811" s="1205" t="str">
        <f>'Q100b-totais'!C54</f>
        <v>BRT</v>
      </c>
      <c r="C811" s="167" t="s">
        <v>432</v>
      </c>
      <c r="D811" s="324" t="s">
        <v>5739</v>
      </c>
      <c r="E811" s="509" t="s">
        <v>1306</v>
      </c>
      <c r="F811" s="1205" t="s">
        <v>5744</v>
      </c>
      <c r="G811" s="57" t="s">
        <v>3507</v>
      </c>
      <c r="H811" s="167" t="s">
        <v>2408</v>
      </c>
      <c r="I811" s="167" t="s">
        <v>432</v>
      </c>
      <c r="J811" s="137" t="s">
        <v>432</v>
      </c>
      <c r="K811" s="137" t="s">
        <v>432</v>
      </c>
      <c r="L811" s="137" t="s">
        <v>432</v>
      </c>
      <c r="M811" s="137" t="s">
        <v>432</v>
      </c>
      <c r="N811" s="137" t="s">
        <v>432</v>
      </c>
      <c r="O811" s="137" t="s">
        <v>432</v>
      </c>
      <c r="P811" s="137" t="s">
        <v>432</v>
      </c>
      <c r="Q811" s="137" t="s">
        <v>432</v>
      </c>
      <c r="R811" s="137" t="s">
        <v>432</v>
      </c>
      <c r="S811" s="109" t="s">
        <v>2209</v>
      </c>
      <c r="T811" s="137" t="s">
        <v>432</v>
      </c>
      <c r="U811" s="137" t="s">
        <v>432</v>
      </c>
      <c r="V811" s="109" t="s">
        <v>2209</v>
      </c>
      <c r="W811" s="137" t="s">
        <v>432</v>
      </c>
      <c r="X811" s="137" t="s">
        <v>432</v>
      </c>
      <c r="Y811" s="137" t="s">
        <v>432</v>
      </c>
      <c r="Z811" s="137" t="s">
        <v>432</v>
      </c>
      <c r="AA811" s="137" t="s">
        <v>432</v>
      </c>
      <c r="AB811" s="137" t="s">
        <v>432</v>
      </c>
      <c r="AC811" s="137" t="s">
        <v>432</v>
      </c>
      <c r="AD811" s="137" t="s">
        <v>432</v>
      </c>
      <c r="AE811" s="137" t="s">
        <v>432</v>
      </c>
      <c r="AF811" s="137" t="s">
        <v>432</v>
      </c>
      <c r="AG811" s="137" t="s">
        <v>432</v>
      </c>
      <c r="AH811" s="137" t="s">
        <v>432</v>
      </c>
      <c r="AI811" s="137" t="s">
        <v>432</v>
      </c>
      <c r="AJ811" s="137" t="s">
        <v>432</v>
      </c>
      <c r="AK811" s="137" t="s">
        <v>432</v>
      </c>
      <c r="AL811" s="600" t="s">
        <v>432</v>
      </c>
      <c r="AM811" s="137" t="s">
        <v>432</v>
      </c>
      <c r="AN811" s="137" t="s">
        <v>432</v>
      </c>
      <c r="AO811" s="137" t="s">
        <v>432</v>
      </c>
      <c r="AP811" s="137" t="s">
        <v>432</v>
      </c>
      <c r="AQ811" s="137" t="s">
        <v>432</v>
      </c>
      <c r="AR811" s="137" t="s">
        <v>432</v>
      </c>
      <c r="AS811" s="137" t="s">
        <v>432</v>
      </c>
      <c r="AT811" s="137" t="s">
        <v>432</v>
      </c>
      <c r="AU811" s="137" t="s">
        <v>432</v>
      </c>
      <c r="AV811" s="137" t="s">
        <v>432</v>
      </c>
      <c r="AW811" s="137" t="s">
        <v>432</v>
      </c>
      <c r="AX811" s="137" t="s">
        <v>432</v>
      </c>
      <c r="AY811" s="137" t="s">
        <v>432</v>
      </c>
      <c r="AZ811" s="137" t="s">
        <v>432</v>
      </c>
      <c r="BA811" s="137" t="s">
        <v>432</v>
      </c>
      <c r="BB811" s="239" t="str">
        <f>B811&amp;C811</f>
        <v>BRTx</v>
      </c>
      <c r="BC811" s="239" t="str">
        <f>B811&amp;C811&amp;H811</f>
        <v>BRTxsigla/verbete</v>
      </c>
      <c r="BD811" s="239" t="str">
        <f>B811&amp;H811</f>
        <v>BRTsigla/verbete</v>
      </c>
    </row>
    <row r="812" spans="1:56" s="1" customFormat="1" ht="84" customHeight="1" x14ac:dyDescent="0.25">
      <c r="A812" s="275" t="str">
        <f>'Q100b-totais'!B54</f>
        <v>8.2</v>
      </c>
      <c r="B812" s="1205" t="str">
        <f>'Q100b-totais'!C54</f>
        <v>BRT</v>
      </c>
      <c r="C812" s="167" t="s">
        <v>432</v>
      </c>
      <c r="D812" s="324" t="s">
        <v>5740</v>
      </c>
      <c r="E812" s="509" t="s">
        <v>1306</v>
      </c>
      <c r="F812" s="1205" t="s">
        <v>5745</v>
      </c>
      <c r="G812" s="57" t="s">
        <v>3507</v>
      </c>
      <c r="H812" s="167" t="s">
        <v>2408</v>
      </c>
      <c r="I812" s="167" t="s">
        <v>432</v>
      </c>
      <c r="J812" s="137" t="s">
        <v>432</v>
      </c>
      <c r="K812" s="137" t="s">
        <v>432</v>
      </c>
      <c r="L812" s="137" t="s">
        <v>432</v>
      </c>
      <c r="M812" s="137" t="s">
        <v>432</v>
      </c>
      <c r="N812" s="137" t="s">
        <v>432</v>
      </c>
      <c r="O812" s="137" t="s">
        <v>432</v>
      </c>
      <c r="P812" s="137" t="s">
        <v>432</v>
      </c>
      <c r="Q812" s="137" t="s">
        <v>432</v>
      </c>
      <c r="R812" s="137" t="s">
        <v>432</v>
      </c>
      <c r="S812" s="109" t="s">
        <v>2209</v>
      </c>
      <c r="T812" s="137" t="s">
        <v>432</v>
      </c>
      <c r="U812" s="137" t="s">
        <v>432</v>
      </c>
      <c r="V812" s="109" t="s">
        <v>2209</v>
      </c>
      <c r="W812" s="137" t="s">
        <v>432</v>
      </c>
      <c r="X812" s="137" t="s">
        <v>432</v>
      </c>
      <c r="Y812" s="137" t="s">
        <v>432</v>
      </c>
      <c r="Z812" s="137" t="s">
        <v>432</v>
      </c>
      <c r="AA812" s="137" t="s">
        <v>432</v>
      </c>
      <c r="AB812" s="137" t="s">
        <v>432</v>
      </c>
      <c r="AC812" s="137" t="s">
        <v>432</v>
      </c>
      <c r="AD812" s="137" t="s">
        <v>432</v>
      </c>
      <c r="AE812" s="137" t="s">
        <v>432</v>
      </c>
      <c r="AF812" s="137" t="s">
        <v>432</v>
      </c>
      <c r="AG812" s="137" t="s">
        <v>432</v>
      </c>
      <c r="AH812" s="137" t="s">
        <v>432</v>
      </c>
      <c r="AI812" s="137" t="s">
        <v>432</v>
      </c>
      <c r="AJ812" s="137" t="s">
        <v>432</v>
      </c>
      <c r="AK812" s="137" t="s">
        <v>432</v>
      </c>
      <c r="AL812" s="600" t="s">
        <v>432</v>
      </c>
      <c r="AM812" s="137" t="s">
        <v>432</v>
      </c>
      <c r="AN812" s="137" t="s">
        <v>432</v>
      </c>
      <c r="AO812" s="137" t="s">
        <v>432</v>
      </c>
      <c r="AP812" s="137" t="s">
        <v>432</v>
      </c>
      <c r="AQ812" s="137" t="s">
        <v>432</v>
      </c>
      <c r="AR812" s="137" t="s">
        <v>432</v>
      </c>
      <c r="AS812" s="137" t="s">
        <v>432</v>
      </c>
      <c r="AT812" s="137" t="s">
        <v>432</v>
      </c>
      <c r="AU812" s="137" t="s">
        <v>432</v>
      </c>
      <c r="AV812" s="137" t="s">
        <v>432</v>
      </c>
      <c r="AW812" s="137" t="s">
        <v>432</v>
      </c>
      <c r="AX812" s="137" t="s">
        <v>432</v>
      </c>
      <c r="AY812" s="137" t="s">
        <v>432</v>
      </c>
      <c r="AZ812" s="137" t="s">
        <v>432</v>
      </c>
      <c r="BA812" s="137" t="s">
        <v>432</v>
      </c>
      <c r="BB812" s="239" t="str">
        <f>B812&amp;C812</f>
        <v>BRTx</v>
      </c>
      <c r="BC812" s="239" t="str">
        <f>B812&amp;C812&amp;H812</f>
        <v>BRTxsigla/verbete</v>
      </c>
      <c r="BD812" s="239" t="str">
        <f>B812&amp;H812</f>
        <v>BRTsigla/verbete</v>
      </c>
    </row>
    <row r="813" spans="1:56" s="373" customFormat="1" x14ac:dyDescent="0.25">
      <c r="A813" s="383"/>
      <c r="B813" s="384"/>
      <c r="C813" s="384"/>
      <c r="D813" s="719"/>
      <c r="E813" s="1519"/>
      <c r="F813" s="385"/>
      <c r="G813" s="385"/>
      <c r="H813" s="384"/>
      <c r="I813" s="385"/>
      <c r="J813" s="385"/>
      <c r="K813" s="385"/>
      <c r="L813" s="385"/>
      <c r="M813" s="385"/>
      <c r="N813" s="385"/>
      <c r="O813" s="385"/>
      <c r="P813" s="385"/>
      <c r="Q813" s="385"/>
      <c r="R813" s="385"/>
      <c r="S813" s="385"/>
      <c r="T813" s="385"/>
      <c r="U813" s="385"/>
      <c r="V813" s="385"/>
      <c r="W813" s="385"/>
      <c r="X813" s="385"/>
      <c r="Y813" s="385"/>
      <c r="Z813" s="385"/>
      <c r="AA813" s="385"/>
      <c r="AB813" s="385"/>
      <c r="AC813" s="385"/>
      <c r="AD813" s="385"/>
      <c r="AE813" s="385"/>
      <c r="AF813" s="385"/>
      <c r="AG813" s="385"/>
      <c r="AH813" s="385"/>
      <c r="AI813" s="385"/>
      <c r="AJ813" s="385"/>
      <c r="AK813" s="397"/>
      <c r="AL813" s="763" t="s">
        <v>432</v>
      </c>
      <c r="AM813" s="387"/>
      <c r="AN813" s="387"/>
      <c r="AO813" s="387"/>
      <c r="AP813" s="387"/>
      <c r="AQ813" s="387"/>
      <c r="AR813" s="387"/>
      <c r="AS813" s="387"/>
      <c r="AT813" s="387"/>
      <c r="AU813" s="387"/>
      <c r="AV813" s="387"/>
      <c r="AW813" s="387"/>
      <c r="AX813" s="387"/>
      <c r="AY813" s="387"/>
      <c r="AZ813" s="387"/>
      <c r="BA813" s="387"/>
      <c r="BB813" s="388"/>
      <c r="BC813" s="388"/>
      <c r="BD813" s="388"/>
    </row>
    <row r="814" spans="1:56" s="1" customFormat="1" ht="72" customHeight="1" x14ac:dyDescent="0.25">
      <c r="A814" s="275" t="str">
        <f>'Q100b-totais'!$B$17</f>
        <v>2.2</v>
      </c>
      <c r="B814" s="1205" t="str">
        <f>'Q100b-totais'!$C$17</f>
        <v>Frota e condutores de veículos automotores</v>
      </c>
      <c r="C814" s="167" t="s">
        <v>432</v>
      </c>
      <c r="D814" s="977" t="s">
        <v>187</v>
      </c>
      <c r="E814" s="509" t="s">
        <v>1306</v>
      </c>
      <c r="F814" s="14" t="s">
        <v>3667</v>
      </c>
      <c r="G814" s="408" t="s">
        <v>1589</v>
      </c>
      <c r="H814" s="167" t="s">
        <v>432</v>
      </c>
      <c r="I814" s="57">
        <v>1</v>
      </c>
      <c r="J814" s="107" t="s">
        <v>432</v>
      </c>
      <c r="K814" s="87">
        <v>479805</v>
      </c>
      <c r="L814" s="87">
        <v>490167</v>
      </c>
      <c r="M814" s="87">
        <v>508935</v>
      </c>
      <c r="N814" s="87">
        <v>536874</v>
      </c>
      <c r="O814" s="87">
        <v>568811</v>
      </c>
      <c r="P814" s="87">
        <v>598796</v>
      </c>
      <c r="Q814" s="87">
        <v>611958</v>
      </c>
      <c r="R814" s="87">
        <v>623909</v>
      </c>
      <c r="S814" s="109" t="s">
        <v>2209</v>
      </c>
      <c r="T814" s="20">
        <f>T818+T828+T826+T830+T848+T851</f>
        <v>655227</v>
      </c>
      <c r="U814" s="20">
        <f>U818+U828+U829+U826+U830+U848+U851</f>
        <v>679727</v>
      </c>
      <c r="V814" s="109" t="s">
        <v>2209</v>
      </c>
      <c r="W814" s="20">
        <f>W818+W828+W829+W826+W830+W848+W851</f>
        <v>717875</v>
      </c>
      <c r="X814" s="20">
        <f>X818+X828+X829+X826+X830+X848+X851</f>
        <v>751461</v>
      </c>
      <c r="Y814" s="20">
        <f>Y818+Y828+Y829+Y826+Y830+Y848+Y851</f>
        <v>790551</v>
      </c>
      <c r="Z814" s="20">
        <f>Z818+Z828+Z829+Z826+Z830+Z847+Z848+Z849+Z851</f>
        <v>821753</v>
      </c>
      <c r="AA814" s="20">
        <f>AA818+AA828+AA829+AA826+AA830+AA847+AA848+AA849+AA851</f>
        <v>862917</v>
      </c>
      <c r="AB814" s="20">
        <f>AB818+AB828+AB829+AB826+AB830+AB847+AB848+AB849+AB851</f>
        <v>931287</v>
      </c>
      <c r="AC814" s="20">
        <f>AC818+AC828+AC829+AC826+AC830+AC847+AC848+AC849+AC851</f>
        <v>1020465</v>
      </c>
      <c r="AD814" s="20">
        <f t="shared" ref="AD814:AK814" si="173">AD818+AD827+AD828+AD829+AD826+AD830+AD839+AD840+AD841+AD842+AD847+AD848+AD849+AD850+AD851+AD857+AD858+AD859+AD860+AD1113+AD1114+AD1115+AD1116</f>
        <v>1107259</v>
      </c>
      <c r="AE814" s="20">
        <f t="shared" si="173"/>
        <v>1220125</v>
      </c>
      <c r="AF814" s="20">
        <f t="shared" si="173"/>
        <v>1332381</v>
      </c>
      <c r="AG814" s="20">
        <f t="shared" si="173"/>
        <v>1429865</v>
      </c>
      <c r="AH814" s="20">
        <f t="shared" si="173"/>
        <v>1507335</v>
      </c>
      <c r="AI814" s="20">
        <f t="shared" si="173"/>
        <v>1580625</v>
      </c>
      <c r="AJ814" s="20">
        <f t="shared" si="173"/>
        <v>1632215</v>
      </c>
      <c r="AK814" s="20">
        <f t="shared" si="173"/>
        <v>1693713</v>
      </c>
      <c r="AL814" s="600" t="s">
        <v>432</v>
      </c>
      <c r="AM814" s="137" t="s">
        <v>432</v>
      </c>
      <c r="AN814" s="137" t="s">
        <v>432</v>
      </c>
      <c r="AO814" s="137" t="s">
        <v>432</v>
      </c>
      <c r="AP814" s="137" t="s">
        <v>432</v>
      </c>
      <c r="AQ814" s="137" t="s">
        <v>432</v>
      </c>
      <c r="AR814" s="137" t="s">
        <v>432</v>
      </c>
      <c r="AS814" s="137" t="s">
        <v>432</v>
      </c>
      <c r="AT814" s="137" t="s">
        <v>432</v>
      </c>
      <c r="AU814" s="137" t="s">
        <v>432</v>
      </c>
      <c r="AV814" s="137" t="s">
        <v>432</v>
      </c>
      <c r="AW814" s="137" t="s">
        <v>432</v>
      </c>
      <c r="AX814" s="137" t="s">
        <v>432</v>
      </c>
      <c r="AY814" s="137" t="s">
        <v>432</v>
      </c>
      <c r="AZ814" s="137" t="s">
        <v>432</v>
      </c>
      <c r="BA814" s="137" t="s">
        <v>432</v>
      </c>
      <c r="BB814" s="239" t="str">
        <f t="shared" ref="BB814:BB830" si="174">B814&amp;C814</f>
        <v>Frota e condutores de veículos automotoresx</v>
      </c>
      <c r="BC814" s="239" t="str">
        <f t="shared" ref="BC814:BC830" si="175">B814&amp;C814&amp;H814</f>
        <v>Frota e condutores de veículos automotoresxx</v>
      </c>
      <c r="BD814" s="239" t="str">
        <f t="shared" ref="BD814:BD830" si="176">B814&amp;H814</f>
        <v>Frota e condutores de veículos automotoresx</v>
      </c>
    </row>
    <row r="815" spans="1:56" s="1" customFormat="1" ht="72" customHeight="1" x14ac:dyDescent="0.25">
      <c r="A815" s="275" t="str">
        <f>'Q100b-totais'!B17</f>
        <v>2.2</v>
      </c>
      <c r="B815" s="54" t="str">
        <f>'Q100b-totais'!C17</f>
        <v>Frota e condutores de veículos automotores</v>
      </c>
      <c r="C815" s="229" t="s">
        <v>432</v>
      </c>
      <c r="D815" s="977" t="s">
        <v>3669</v>
      </c>
      <c r="E815" s="509" t="s">
        <v>1306</v>
      </c>
      <c r="F815" s="14" t="s">
        <v>3668</v>
      </c>
      <c r="G815" s="408" t="s">
        <v>3674</v>
      </c>
      <c r="H815" s="171" t="s">
        <v>432</v>
      </c>
      <c r="I815" s="57">
        <v>1</v>
      </c>
      <c r="J815" s="107" t="s">
        <v>432</v>
      </c>
      <c r="K815" s="107" t="s">
        <v>432</v>
      </c>
      <c r="L815" s="47">
        <f t="shared" ref="L815:R815" si="177">(L814-K814)/L814</f>
        <v>2.1139734009021416E-2</v>
      </c>
      <c r="M815" s="47">
        <f t="shared" si="177"/>
        <v>3.6877007869374284E-2</v>
      </c>
      <c r="N815" s="47">
        <f t="shared" si="177"/>
        <v>5.2040143497356924E-2</v>
      </c>
      <c r="O815" s="47">
        <f t="shared" si="177"/>
        <v>5.6146945118853188E-2</v>
      </c>
      <c r="P815" s="47">
        <f t="shared" si="177"/>
        <v>5.0075484806177732E-2</v>
      </c>
      <c r="Q815" s="47">
        <f t="shared" si="177"/>
        <v>2.1508011987750795E-2</v>
      </c>
      <c r="R815" s="47">
        <f t="shared" si="177"/>
        <v>1.9155037032644182E-2</v>
      </c>
      <c r="S815" s="109" t="s">
        <v>2209</v>
      </c>
      <c r="T815" s="47">
        <f>(T814-R814)/T814</f>
        <v>4.7797175635314174E-2</v>
      </c>
      <c r="U815" s="47">
        <f>(U814-T814)/U814</f>
        <v>3.6043882323344517E-2</v>
      </c>
      <c r="V815" s="109" t="s">
        <v>2209</v>
      </c>
      <c r="W815" s="47">
        <f>(W814-U814)/W814</f>
        <v>5.3140170642521328E-2</v>
      </c>
      <c r="X815" s="47">
        <f t="shared" ref="X815:AK815" si="178">(X814-W814)/X814</f>
        <v>4.4694268897520963E-2</v>
      </c>
      <c r="Y815" s="47">
        <f t="shared" si="178"/>
        <v>4.9446525271614354E-2</v>
      </c>
      <c r="Z815" s="47">
        <f t="shared" si="178"/>
        <v>3.7970046960583044E-2</v>
      </c>
      <c r="AA815" s="47">
        <f t="shared" si="178"/>
        <v>4.7703313296643825E-2</v>
      </c>
      <c r="AB815" s="47">
        <f t="shared" si="178"/>
        <v>7.3414532791717266E-2</v>
      </c>
      <c r="AC815" s="47">
        <f t="shared" si="178"/>
        <v>8.7389572400817281E-2</v>
      </c>
      <c r="AD815" s="47">
        <f t="shared" si="178"/>
        <v>7.8386357663383185E-2</v>
      </c>
      <c r="AE815" s="47">
        <f t="shared" si="178"/>
        <v>9.2503636922446467E-2</v>
      </c>
      <c r="AF815" s="47">
        <f t="shared" si="178"/>
        <v>8.4252177117506183E-2</v>
      </c>
      <c r="AG815" s="47">
        <f t="shared" si="178"/>
        <v>6.8177065667038503E-2</v>
      </c>
      <c r="AH815" s="47">
        <f t="shared" si="178"/>
        <v>5.1395343437258476E-2</v>
      </c>
      <c r="AI815" s="47">
        <f t="shared" si="178"/>
        <v>4.6367734282325032E-2</v>
      </c>
      <c r="AJ815" s="47">
        <f t="shared" si="178"/>
        <v>3.1607355648612466E-2</v>
      </c>
      <c r="AK815" s="47">
        <f t="shared" si="178"/>
        <v>3.6309575471168962E-2</v>
      </c>
      <c r="AL815" s="600" t="s">
        <v>432</v>
      </c>
      <c r="AM815" s="137" t="s">
        <v>432</v>
      </c>
      <c r="AN815" s="137" t="s">
        <v>432</v>
      </c>
      <c r="AO815" s="137" t="s">
        <v>432</v>
      </c>
      <c r="AP815" s="137" t="s">
        <v>432</v>
      </c>
      <c r="AQ815" s="137" t="s">
        <v>432</v>
      </c>
      <c r="AR815" s="137" t="s">
        <v>432</v>
      </c>
      <c r="AS815" s="137" t="s">
        <v>432</v>
      </c>
      <c r="AT815" s="137" t="s">
        <v>432</v>
      </c>
      <c r="AU815" s="137" t="s">
        <v>432</v>
      </c>
      <c r="AV815" s="137" t="s">
        <v>432</v>
      </c>
      <c r="AW815" s="137" t="s">
        <v>432</v>
      </c>
      <c r="AX815" s="137" t="s">
        <v>432</v>
      </c>
      <c r="AY815" s="137" t="s">
        <v>432</v>
      </c>
      <c r="AZ815" s="137" t="s">
        <v>432</v>
      </c>
      <c r="BA815" s="137" t="s">
        <v>432</v>
      </c>
      <c r="BB815" s="239" t="str">
        <f t="shared" si="174"/>
        <v>Frota e condutores de veículos automotoresx</v>
      </c>
      <c r="BC815" s="239" t="str">
        <f t="shared" si="175"/>
        <v>Frota e condutores de veículos automotoresxx</v>
      </c>
      <c r="BD815" s="239" t="str">
        <f t="shared" si="176"/>
        <v>Frota e condutores de veículos automotoresx</v>
      </c>
    </row>
    <row r="816" spans="1:56" s="1" customFormat="1" ht="59.25" customHeight="1" x14ac:dyDescent="0.25">
      <c r="A816" s="275" t="str">
        <f>'Q100b-totais'!$B$17</f>
        <v>2.2</v>
      </c>
      <c r="B816" s="54" t="str">
        <f>'Q100b-totais'!$C$17</f>
        <v>Frota e condutores de veículos automotores</v>
      </c>
      <c r="C816" s="229" t="s">
        <v>432</v>
      </c>
      <c r="D816" s="977" t="s">
        <v>187</v>
      </c>
      <c r="E816" s="1402" t="s">
        <v>1705</v>
      </c>
      <c r="F816" s="14" t="s">
        <v>1956</v>
      </c>
      <c r="G816" s="110" t="s">
        <v>77</v>
      </c>
      <c r="H816" s="169" t="s">
        <v>819</v>
      </c>
      <c r="I816" s="167" t="s">
        <v>432</v>
      </c>
      <c r="J816" s="107" t="s">
        <v>432</v>
      </c>
      <c r="K816" s="107" t="s">
        <v>432</v>
      </c>
      <c r="L816" s="107" t="s">
        <v>432</v>
      </c>
      <c r="M816" s="107" t="s">
        <v>432</v>
      </c>
      <c r="N816" s="107" t="s">
        <v>432</v>
      </c>
      <c r="O816" s="107" t="s">
        <v>432</v>
      </c>
      <c r="P816" s="107" t="s">
        <v>432</v>
      </c>
      <c r="Q816" s="107" t="s">
        <v>432</v>
      </c>
      <c r="R816" s="107" t="s">
        <v>432</v>
      </c>
      <c r="S816" s="109" t="s">
        <v>2209</v>
      </c>
      <c r="T816" s="107" t="s">
        <v>432</v>
      </c>
      <c r="U816" s="107" t="s">
        <v>432</v>
      </c>
      <c r="V816" s="109" t="s">
        <v>2209</v>
      </c>
      <c r="W816" s="107" t="s">
        <v>432</v>
      </c>
      <c r="X816" s="93" t="s">
        <v>432</v>
      </c>
      <c r="Y816" s="93" t="s">
        <v>432</v>
      </c>
      <c r="Z816" s="93" t="s">
        <v>432</v>
      </c>
      <c r="AA816" s="93" t="s">
        <v>432</v>
      </c>
      <c r="AB816" s="93" t="s">
        <v>432</v>
      </c>
      <c r="AC816" s="93" t="s">
        <v>432</v>
      </c>
      <c r="AD816" s="86">
        <v>6354539</v>
      </c>
      <c r="AE816" s="86">
        <v>6672401</v>
      </c>
      <c r="AF816" s="86">
        <v>6902101</v>
      </c>
      <c r="AG816" s="87">
        <v>7186724</v>
      </c>
      <c r="AH816" s="87">
        <v>7363210</v>
      </c>
      <c r="AI816" s="87">
        <v>7577216</v>
      </c>
      <c r="AJ816" s="87">
        <v>7887789</v>
      </c>
      <c r="AK816" s="938" t="s">
        <v>1370</v>
      </c>
      <c r="AL816" s="600" t="s">
        <v>432</v>
      </c>
      <c r="AM816" s="137" t="s">
        <v>432</v>
      </c>
      <c r="AN816" s="137" t="s">
        <v>432</v>
      </c>
      <c r="AO816" s="137" t="s">
        <v>432</v>
      </c>
      <c r="AP816" s="137" t="s">
        <v>432</v>
      </c>
      <c r="AQ816" s="137" t="s">
        <v>432</v>
      </c>
      <c r="AR816" s="137" t="s">
        <v>432</v>
      </c>
      <c r="AS816" s="137" t="s">
        <v>432</v>
      </c>
      <c r="AT816" s="137" t="s">
        <v>432</v>
      </c>
      <c r="AU816" s="137" t="s">
        <v>432</v>
      </c>
      <c r="AV816" s="137" t="s">
        <v>432</v>
      </c>
      <c r="AW816" s="137" t="s">
        <v>432</v>
      </c>
      <c r="AX816" s="137" t="s">
        <v>432</v>
      </c>
      <c r="AY816" s="137" t="s">
        <v>432</v>
      </c>
      <c r="AZ816" s="137" t="s">
        <v>432</v>
      </c>
      <c r="BA816" s="137" t="s">
        <v>432</v>
      </c>
      <c r="BB816" s="239" t="str">
        <f t="shared" si="174"/>
        <v>Frota e condutores de veículos automotoresx</v>
      </c>
      <c r="BC816" s="239" t="str">
        <f t="shared" si="175"/>
        <v>Frota e condutores de veículos automotoresxbenchmarking</v>
      </c>
      <c r="BD816" s="239" t="str">
        <f t="shared" si="176"/>
        <v>Frota e condutores de veículos automotoresbenchmarking</v>
      </c>
    </row>
    <row r="817" spans="1:56" s="1" customFormat="1" ht="88.5" customHeight="1" x14ac:dyDescent="0.25">
      <c r="A817" s="275" t="str">
        <f>'Q100b-totais'!$B$17</f>
        <v>2.2</v>
      </c>
      <c r="B817" s="1205" t="str">
        <f>'Q100b-totais'!$C$17</f>
        <v>Frota e condutores de veículos automotores</v>
      </c>
      <c r="C817" s="167" t="s">
        <v>935</v>
      </c>
      <c r="D817" s="324" t="s">
        <v>188</v>
      </c>
      <c r="E817" s="509" t="s">
        <v>1306</v>
      </c>
      <c r="F817" s="464" t="s">
        <v>3555</v>
      </c>
      <c r="G817" s="58" t="s">
        <v>438</v>
      </c>
      <c r="H817" s="167" t="s">
        <v>432</v>
      </c>
      <c r="I817" s="172">
        <v>1</v>
      </c>
      <c r="J817" s="107" t="s">
        <v>432</v>
      </c>
      <c r="K817" s="64">
        <f t="shared" ref="K817:R817" si="179">K814/K1855</f>
        <v>0.23750829760598288</v>
      </c>
      <c r="L817" s="64">
        <f t="shared" si="179"/>
        <v>0.24167086570537441</v>
      </c>
      <c r="M817" s="64">
        <f t="shared" si="179"/>
        <v>0.24992449744764542</v>
      </c>
      <c r="N817" s="64">
        <f t="shared" si="179"/>
        <v>0.26259427732942042</v>
      </c>
      <c r="O817" s="64">
        <f t="shared" si="179"/>
        <v>0.27710678440554243</v>
      </c>
      <c r="P817" s="64">
        <f t="shared" si="179"/>
        <v>0.28630690315991603</v>
      </c>
      <c r="Q817" s="64">
        <f t="shared" si="179"/>
        <v>0.2914343841883138</v>
      </c>
      <c r="R817" s="64">
        <f t="shared" si="179"/>
        <v>0.29594210831637979</v>
      </c>
      <c r="S817" s="109" t="s">
        <v>2209</v>
      </c>
      <c r="T817" s="64">
        <f>T814/T1855</f>
        <v>0.30955908545878713</v>
      </c>
      <c r="U817" s="64">
        <f>U814/U1855</f>
        <v>0.30364936569867851</v>
      </c>
      <c r="V817" s="109" t="s">
        <v>2209</v>
      </c>
      <c r="W817" s="64">
        <f t="shared" ref="W817:AK817" si="180">W814/W1855</f>
        <v>0.31783689825721556</v>
      </c>
      <c r="X817" s="64">
        <f t="shared" si="180"/>
        <v>0.32894354396734821</v>
      </c>
      <c r="Y817" s="64">
        <f t="shared" si="180"/>
        <v>0.34285145536583206</v>
      </c>
      <c r="Z817" s="64">
        <f t="shared" si="180"/>
        <v>0.34959822408579388</v>
      </c>
      <c r="AA817" s="64">
        <f t="shared" si="180"/>
        <v>0.36328314940793466</v>
      </c>
      <c r="AB817" s="64">
        <f t="shared" si="180"/>
        <v>0.38804918497283242</v>
      </c>
      <c r="AC817" s="64">
        <f t="shared" si="180"/>
        <v>0.42291406696486483</v>
      </c>
      <c r="AD817" s="64">
        <f t="shared" si="180"/>
        <v>0.45479335360188478</v>
      </c>
      <c r="AE817" s="64">
        <f t="shared" si="180"/>
        <v>0.49747881548566286</v>
      </c>
      <c r="AF817" s="64">
        <f t="shared" si="180"/>
        <v>0.56096686063328183</v>
      </c>
      <c r="AG817" s="64">
        <f t="shared" si="180"/>
        <v>0.59936327358696195</v>
      </c>
      <c r="AH817" s="64">
        <f t="shared" si="180"/>
        <v>0.62916121438275974</v>
      </c>
      <c r="AI817" s="64">
        <f t="shared" si="180"/>
        <v>0.63756345382417068</v>
      </c>
      <c r="AJ817" s="64">
        <f t="shared" si="180"/>
        <v>0.65521621093256055</v>
      </c>
      <c r="AK817" s="64">
        <f t="shared" si="180"/>
        <v>0.67679297614399991</v>
      </c>
      <c r="AL817" s="600" t="s">
        <v>432</v>
      </c>
      <c r="AM817" s="137" t="s">
        <v>432</v>
      </c>
      <c r="AN817" s="137" t="s">
        <v>432</v>
      </c>
      <c r="AO817" s="137" t="s">
        <v>432</v>
      </c>
      <c r="AP817" s="137" t="s">
        <v>432</v>
      </c>
      <c r="AQ817" s="137" t="s">
        <v>432</v>
      </c>
      <c r="AR817" s="137" t="s">
        <v>432</v>
      </c>
      <c r="AS817" s="137" t="s">
        <v>432</v>
      </c>
      <c r="AT817" s="137" t="s">
        <v>432</v>
      </c>
      <c r="AU817" s="137" t="s">
        <v>432</v>
      </c>
      <c r="AV817" s="137" t="s">
        <v>432</v>
      </c>
      <c r="AW817" s="137" t="s">
        <v>432</v>
      </c>
      <c r="AX817" s="137" t="s">
        <v>432</v>
      </c>
      <c r="AY817" s="137" t="s">
        <v>432</v>
      </c>
      <c r="AZ817" s="137" t="s">
        <v>432</v>
      </c>
      <c r="BA817" s="137" t="s">
        <v>432</v>
      </c>
      <c r="BB817" s="239" t="str">
        <f t="shared" si="174"/>
        <v>Frota e condutores de veículos automotoresCMMCE</v>
      </c>
      <c r="BC817" s="239" t="str">
        <f t="shared" si="175"/>
        <v>Frota e condutores de veículos automotoresCMMCEx</v>
      </c>
      <c r="BD817" s="239" t="str">
        <f t="shared" si="176"/>
        <v>Frota e condutores de veículos automotoresx</v>
      </c>
    </row>
    <row r="818" spans="1:56" s="1" customFormat="1" ht="51" customHeight="1" x14ac:dyDescent="0.25">
      <c r="A818" s="275" t="str">
        <f>'Q100b-totais'!$B$17</f>
        <v>2.2</v>
      </c>
      <c r="B818" s="1205" t="str">
        <f>'Q100b-totais'!$C$17</f>
        <v>Frota e condutores de veículos automotores</v>
      </c>
      <c r="C818" s="167" t="s">
        <v>432</v>
      </c>
      <c r="D818" s="977" t="s">
        <v>3656</v>
      </c>
      <c r="E818" s="1402" t="s">
        <v>1306</v>
      </c>
      <c r="F818" s="14" t="s">
        <v>3654</v>
      </c>
      <c r="G818" s="110" t="s">
        <v>77</v>
      </c>
      <c r="H818" s="167" t="s">
        <v>432</v>
      </c>
      <c r="I818" s="57">
        <v>1</v>
      </c>
      <c r="J818" s="107" t="s">
        <v>432</v>
      </c>
      <c r="K818" s="107" t="s">
        <v>432</v>
      </c>
      <c r="L818" s="107" t="s">
        <v>432</v>
      </c>
      <c r="M818" s="107" t="s">
        <v>432</v>
      </c>
      <c r="N818" s="107" t="s">
        <v>432</v>
      </c>
      <c r="O818" s="107" t="s">
        <v>432</v>
      </c>
      <c r="P818" s="107" t="s">
        <v>432</v>
      </c>
      <c r="Q818" s="107" t="s">
        <v>432</v>
      </c>
      <c r="R818" s="107" t="s">
        <v>432</v>
      </c>
      <c r="S818" s="109" t="s">
        <v>2209</v>
      </c>
      <c r="T818" s="87">
        <v>491332</v>
      </c>
      <c r="U818" s="87">
        <v>508731</v>
      </c>
      <c r="V818" s="109" t="s">
        <v>2209</v>
      </c>
      <c r="W818" s="87">
        <v>532747</v>
      </c>
      <c r="X818" s="87">
        <v>552626</v>
      </c>
      <c r="Y818" s="87">
        <v>580706</v>
      </c>
      <c r="Z818" s="87">
        <v>601962</v>
      </c>
      <c r="AA818" s="87">
        <v>628303</v>
      </c>
      <c r="AB818" s="87">
        <v>673301</v>
      </c>
      <c r="AC818" s="86">
        <v>730468</v>
      </c>
      <c r="AD818" s="87">
        <v>785904</v>
      </c>
      <c r="AE818" s="87">
        <v>863760</v>
      </c>
      <c r="AF818" s="87">
        <v>937819</v>
      </c>
      <c r="AG818" s="87">
        <v>997805</v>
      </c>
      <c r="AH818" s="87">
        <v>1045151</v>
      </c>
      <c r="AI818" s="87">
        <v>1089663</v>
      </c>
      <c r="AJ818" s="87">
        <v>1117120</v>
      </c>
      <c r="AK818" s="87">
        <v>1158596</v>
      </c>
      <c r="AL818" s="600" t="s">
        <v>432</v>
      </c>
      <c r="AM818" s="137" t="s">
        <v>432</v>
      </c>
      <c r="AN818" s="137" t="s">
        <v>432</v>
      </c>
      <c r="AO818" s="137" t="s">
        <v>432</v>
      </c>
      <c r="AP818" s="137" t="s">
        <v>432</v>
      </c>
      <c r="AQ818" s="137" t="s">
        <v>432</v>
      </c>
      <c r="AR818" s="137" t="s">
        <v>432</v>
      </c>
      <c r="AS818" s="137" t="s">
        <v>432</v>
      </c>
      <c r="AT818" s="137" t="s">
        <v>432</v>
      </c>
      <c r="AU818" s="137" t="s">
        <v>432</v>
      </c>
      <c r="AV818" s="137" t="s">
        <v>432</v>
      </c>
      <c r="AW818" s="137" t="s">
        <v>432</v>
      </c>
      <c r="AX818" s="137" t="s">
        <v>432</v>
      </c>
      <c r="AY818" s="137" t="s">
        <v>432</v>
      </c>
      <c r="AZ818" s="137" t="s">
        <v>432</v>
      </c>
      <c r="BA818" s="137" t="s">
        <v>432</v>
      </c>
      <c r="BB818" s="239" t="str">
        <f t="shared" si="174"/>
        <v>Frota e condutores de veículos automotoresx</v>
      </c>
      <c r="BC818" s="239" t="str">
        <f t="shared" si="175"/>
        <v>Frota e condutores de veículos automotoresxx</v>
      </c>
      <c r="BD818" s="239" t="str">
        <f t="shared" si="176"/>
        <v>Frota e condutores de veículos automotoresx</v>
      </c>
    </row>
    <row r="819" spans="1:56" s="1" customFormat="1" ht="51" customHeight="1" x14ac:dyDescent="0.25">
      <c r="A819" s="275" t="str">
        <f>'Q100b-totais'!$B$17</f>
        <v>2.2</v>
      </c>
      <c r="B819" s="54" t="str">
        <f>'Q100b-totais'!$C$17</f>
        <v>Frota e condutores de veículos automotores</v>
      </c>
      <c r="C819" s="229" t="s">
        <v>432</v>
      </c>
      <c r="D819" s="977" t="s">
        <v>3657</v>
      </c>
      <c r="E819" s="1402" t="s">
        <v>1306</v>
      </c>
      <c r="F819" s="25" t="s">
        <v>495</v>
      </c>
      <c r="G819" s="408" t="s">
        <v>439</v>
      </c>
      <c r="H819" s="167" t="s">
        <v>432</v>
      </c>
      <c r="I819" s="172">
        <v>1</v>
      </c>
      <c r="J819" s="107" t="s">
        <v>432</v>
      </c>
      <c r="K819" s="107" t="s">
        <v>432</v>
      </c>
      <c r="L819" s="107" t="s">
        <v>432</v>
      </c>
      <c r="M819" s="107" t="s">
        <v>432</v>
      </c>
      <c r="N819" s="107" t="s">
        <v>432</v>
      </c>
      <c r="O819" s="107" t="s">
        <v>432</v>
      </c>
      <c r="P819" s="107" t="s">
        <v>432</v>
      </c>
      <c r="Q819" s="107" t="s">
        <v>432</v>
      </c>
      <c r="R819" s="107" t="s">
        <v>432</v>
      </c>
      <c r="S819" s="109" t="s">
        <v>2209</v>
      </c>
      <c r="T819" s="21">
        <f>T818/T814</f>
        <v>0.74986531385306165</v>
      </c>
      <c r="U819" s="21">
        <f>U818/U814</f>
        <v>0.74843429788724003</v>
      </c>
      <c r="V819" s="109" t="s">
        <v>2209</v>
      </c>
      <c r="W819" s="21">
        <f t="shared" ref="W819:AK819" si="181">W818/W814</f>
        <v>0.74211666376458296</v>
      </c>
      <c r="X819" s="21">
        <f t="shared" si="181"/>
        <v>0.73540210336930323</v>
      </c>
      <c r="Y819" s="21">
        <f t="shared" si="181"/>
        <v>0.73455855472954934</v>
      </c>
      <c r="Z819" s="21">
        <f t="shared" si="181"/>
        <v>0.732533985272947</v>
      </c>
      <c r="AA819" s="21">
        <f t="shared" si="181"/>
        <v>0.72811521849725991</v>
      </c>
      <c r="AB819" s="21">
        <f t="shared" si="181"/>
        <v>0.72297906016083124</v>
      </c>
      <c r="AC819" s="21">
        <f t="shared" si="181"/>
        <v>0.71581876889457252</v>
      </c>
      <c r="AD819" s="21">
        <f t="shared" si="181"/>
        <v>0.70977431657814471</v>
      </c>
      <c r="AE819" s="21">
        <f t="shared" si="181"/>
        <v>0.70792746644810978</v>
      </c>
      <c r="AF819" s="21">
        <f t="shared" si="181"/>
        <v>0.70386698699546146</v>
      </c>
      <c r="AG819" s="21">
        <f t="shared" si="181"/>
        <v>0.69783161347399925</v>
      </c>
      <c r="AH819" s="21">
        <f t="shared" si="181"/>
        <v>0.69337672116682758</v>
      </c>
      <c r="AI819" s="21">
        <f t="shared" si="181"/>
        <v>0.68938742586002377</v>
      </c>
      <c r="AJ819" s="21">
        <f t="shared" si="181"/>
        <v>0.68441963834421327</v>
      </c>
      <c r="AK819" s="21">
        <f t="shared" si="181"/>
        <v>0.68405686205396077</v>
      </c>
      <c r="AL819" s="600" t="s">
        <v>432</v>
      </c>
      <c r="AM819" s="137" t="s">
        <v>432</v>
      </c>
      <c r="AN819" s="137" t="s">
        <v>432</v>
      </c>
      <c r="AO819" s="137" t="s">
        <v>432</v>
      </c>
      <c r="AP819" s="137" t="s">
        <v>432</v>
      </c>
      <c r="AQ819" s="137" t="s">
        <v>432</v>
      </c>
      <c r="AR819" s="137" t="s">
        <v>432</v>
      </c>
      <c r="AS819" s="137" t="s">
        <v>432</v>
      </c>
      <c r="AT819" s="137" t="s">
        <v>432</v>
      </c>
      <c r="AU819" s="137" t="s">
        <v>432</v>
      </c>
      <c r="AV819" s="137" t="s">
        <v>432</v>
      </c>
      <c r="AW819" s="137" t="s">
        <v>432</v>
      </c>
      <c r="AX819" s="137" t="s">
        <v>432</v>
      </c>
      <c r="AY819" s="137" t="s">
        <v>432</v>
      </c>
      <c r="AZ819" s="137" t="s">
        <v>432</v>
      </c>
      <c r="BA819" s="137" t="s">
        <v>432</v>
      </c>
      <c r="BB819" s="239" t="str">
        <f t="shared" si="174"/>
        <v>Frota e condutores de veículos automotoresx</v>
      </c>
      <c r="BC819" s="239" t="str">
        <f t="shared" si="175"/>
        <v>Frota e condutores de veículos automotoresxx</v>
      </c>
      <c r="BD819" s="239" t="str">
        <f t="shared" si="176"/>
        <v>Frota e condutores de veículos automotoresx</v>
      </c>
    </row>
    <row r="820" spans="1:56" s="1" customFormat="1" ht="58.5" customHeight="1" x14ac:dyDescent="0.25">
      <c r="A820" s="275" t="str">
        <f>'Q100b-totais'!$B$17</f>
        <v>2.2</v>
      </c>
      <c r="B820" s="54" t="str">
        <f>'Q100b-totais'!$C$17</f>
        <v>Frota e condutores de veículos automotores</v>
      </c>
      <c r="C820" s="229" t="s">
        <v>432</v>
      </c>
      <c r="D820" s="977" t="s">
        <v>3658</v>
      </c>
      <c r="E820" s="1402" t="s">
        <v>1306</v>
      </c>
      <c r="F820" s="25" t="s">
        <v>3672</v>
      </c>
      <c r="G820" s="408" t="s">
        <v>440</v>
      </c>
      <c r="H820" s="167" t="s">
        <v>432</v>
      </c>
      <c r="I820" s="172">
        <v>1</v>
      </c>
      <c r="J820" s="107" t="s">
        <v>432</v>
      </c>
      <c r="K820" s="107" t="s">
        <v>432</v>
      </c>
      <c r="L820" s="107" t="s">
        <v>432</v>
      </c>
      <c r="M820" s="107" t="s">
        <v>432</v>
      </c>
      <c r="N820" s="107" t="s">
        <v>432</v>
      </c>
      <c r="O820" s="107" t="s">
        <v>432</v>
      </c>
      <c r="P820" s="107" t="s">
        <v>432</v>
      </c>
      <c r="Q820" s="107" t="s">
        <v>432</v>
      </c>
      <c r="R820" s="107" t="s">
        <v>432</v>
      </c>
      <c r="S820" s="109" t="s">
        <v>2209</v>
      </c>
      <c r="T820" s="64">
        <f>T818/T1855</f>
        <v>0.23212762077362015</v>
      </c>
      <c r="U820" s="64">
        <f>U818/U1855</f>
        <v>0.22726159982059624</v>
      </c>
      <c r="V820" s="109" t="s">
        <v>2209</v>
      </c>
      <c r="W820" s="64">
        <f t="shared" ref="W820:AK820" si="182">W818/W1855</f>
        <v>0.23587205855592799</v>
      </c>
      <c r="X820" s="64">
        <f t="shared" si="182"/>
        <v>0.24190577412334074</v>
      </c>
      <c r="Y820" s="64">
        <f t="shared" si="182"/>
        <v>0.2518444695404482</v>
      </c>
      <c r="Z820" s="64">
        <f t="shared" si="182"/>
        <v>0.25609258033391136</v>
      </c>
      <c r="AA820" s="64">
        <f t="shared" si="182"/>
        <v>0.26451198970753104</v>
      </c>
      <c r="AB820" s="64">
        <f t="shared" si="182"/>
        <v>0.28055143504783492</v>
      </c>
      <c r="AC820" s="64">
        <f t="shared" si="182"/>
        <v>0.30272982676298638</v>
      </c>
      <c r="AD820" s="64">
        <f t="shared" si="182"/>
        <v>0.3228006417370603</v>
      </c>
      <c r="AE820" s="64">
        <f t="shared" si="182"/>
        <v>0.35217891745837204</v>
      </c>
      <c r="AF820" s="64">
        <f t="shared" si="182"/>
        <v>0.39484605399825107</v>
      </c>
      <c r="AG820" s="64">
        <f t="shared" si="182"/>
        <v>0.41825464026424775</v>
      </c>
      <c r="AH820" s="64">
        <f t="shared" si="182"/>
        <v>0.43624573991405741</v>
      </c>
      <c r="AI820" s="64">
        <f t="shared" si="182"/>
        <v>0.43952822825427107</v>
      </c>
      <c r="AJ820" s="64">
        <f t="shared" si="182"/>
        <v>0.44844284212372881</v>
      </c>
      <c r="AK820" s="64">
        <f t="shared" si="182"/>
        <v>0.46296487952122567</v>
      </c>
      <c r="AL820" s="600" t="s">
        <v>432</v>
      </c>
      <c r="AM820" s="137" t="s">
        <v>432</v>
      </c>
      <c r="AN820" s="137" t="s">
        <v>432</v>
      </c>
      <c r="AO820" s="137" t="s">
        <v>432</v>
      </c>
      <c r="AP820" s="137" t="s">
        <v>432</v>
      </c>
      <c r="AQ820" s="137" t="s">
        <v>432</v>
      </c>
      <c r="AR820" s="137" t="s">
        <v>432</v>
      </c>
      <c r="AS820" s="137" t="s">
        <v>432</v>
      </c>
      <c r="AT820" s="137" t="s">
        <v>432</v>
      </c>
      <c r="AU820" s="137" t="s">
        <v>432</v>
      </c>
      <c r="AV820" s="137" t="s">
        <v>432</v>
      </c>
      <c r="AW820" s="137" t="s">
        <v>432</v>
      </c>
      <c r="AX820" s="137" t="s">
        <v>432</v>
      </c>
      <c r="AY820" s="137" t="s">
        <v>432</v>
      </c>
      <c r="AZ820" s="137" t="s">
        <v>432</v>
      </c>
      <c r="BA820" s="137" t="s">
        <v>432</v>
      </c>
      <c r="BB820" s="239" t="str">
        <f t="shared" si="174"/>
        <v>Frota e condutores de veículos automotoresx</v>
      </c>
      <c r="BC820" s="239" t="str">
        <f t="shared" si="175"/>
        <v>Frota e condutores de veículos automotoresxx</v>
      </c>
      <c r="BD820" s="239" t="str">
        <f t="shared" si="176"/>
        <v>Frota e condutores de veículos automotoresx</v>
      </c>
    </row>
    <row r="821" spans="1:56" s="1" customFormat="1" ht="72.75" customHeight="1" x14ac:dyDescent="0.25">
      <c r="A821" s="275" t="str">
        <f>'Q100b-totais'!$B$17</f>
        <v>2.2</v>
      </c>
      <c r="B821" s="54" t="str">
        <f>'Q100b-totais'!$C$17</f>
        <v>Frota e condutores de veículos automotores</v>
      </c>
      <c r="C821" s="229" t="s">
        <v>432</v>
      </c>
      <c r="D821" s="977" t="s">
        <v>2595</v>
      </c>
      <c r="E821" s="1402" t="s">
        <v>1306</v>
      </c>
      <c r="F821" s="14" t="s">
        <v>4282</v>
      </c>
      <c r="G821" s="408" t="s">
        <v>436</v>
      </c>
      <c r="H821" s="167" t="s">
        <v>432</v>
      </c>
      <c r="I821" s="57">
        <v>1</v>
      </c>
      <c r="J821" s="107" t="s">
        <v>432</v>
      </c>
      <c r="K821" s="107" t="s">
        <v>432</v>
      </c>
      <c r="L821" s="107" t="s">
        <v>432</v>
      </c>
      <c r="M821" s="107" t="s">
        <v>432</v>
      </c>
      <c r="N821" s="107" t="s">
        <v>432</v>
      </c>
      <c r="O821" s="107" t="s">
        <v>432</v>
      </c>
      <c r="P821" s="107" t="s">
        <v>432</v>
      </c>
      <c r="Q821" s="107" t="s">
        <v>432</v>
      </c>
      <c r="R821" s="107" t="s">
        <v>432</v>
      </c>
      <c r="S821" s="109" t="s">
        <v>2209</v>
      </c>
      <c r="T821" s="20">
        <f>T818+T828</f>
        <v>559064</v>
      </c>
      <c r="U821" s="20">
        <f>U818+U828+U829</f>
        <v>581894</v>
      </c>
      <c r="V821" s="109" t="s">
        <v>2209</v>
      </c>
      <c r="W821" s="20">
        <f t="shared" ref="W821:AK821" si="183">W818+W828+W829</f>
        <v>610878</v>
      </c>
      <c r="X821" s="20">
        <f t="shared" si="183"/>
        <v>634086</v>
      </c>
      <c r="Y821" s="20">
        <f t="shared" si="183"/>
        <v>665448</v>
      </c>
      <c r="Z821" s="20">
        <f t="shared" si="183"/>
        <v>689318</v>
      </c>
      <c r="AA821" s="20">
        <f t="shared" si="183"/>
        <v>721460</v>
      </c>
      <c r="AB821" s="20">
        <f t="shared" si="183"/>
        <v>772753</v>
      </c>
      <c r="AC821" s="20">
        <f t="shared" si="183"/>
        <v>837714</v>
      </c>
      <c r="AD821" s="20">
        <f t="shared" si="183"/>
        <v>901203</v>
      </c>
      <c r="AE821" s="20">
        <f t="shared" si="183"/>
        <v>989801</v>
      </c>
      <c r="AF821" s="20">
        <f t="shared" si="183"/>
        <v>1080762</v>
      </c>
      <c r="AG821" s="20">
        <f t="shared" si="183"/>
        <v>1156219</v>
      </c>
      <c r="AH821" s="20">
        <f t="shared" si="183"/>
        <v>1219375</v>
      </c>
      <c r="AI821" s="20">
        <f t="shared" si="183"/>
        <v>1278743</v>
      </c>
      <c r="AJ821" s="20">
        <f t="shared" si="183"/>
        <v>1320212</v>
      </c>
      <c r="AK821" s="20">
        <f t="shared" si="183"/>
        <v>1372910</v>
      </c>
      <c r="AL821" s="600" t="s">
        <v>432</v>
      </c>
      <c r="AM821" s="137" t="s">
        <v>432</v>
      </c>
      <c r="AN821" s="137" t="s">
        <v>432</v>
      </c>
      <c r="AO821" s="137" t="s">
        <v>432</v>
      </c>
      <c r="AP821" s="137" t="s">
        <v>432</v>
      </c>
      <c r="AQ821" s="137" t="s">
        <v>432</v>
      </c>
      <c r="AR821" s="137" t="s">
        <v>432</v>
      </c>
      <c r="AS821" s="137" t="s">
        <v>432</v>
      </c>
      <c r="AT821" s="137" t="s">
        <v>432</v>
      </c>
      <c r="AU821" s="137" t="s">
        <v>432</v>
      </c>
      <c r="AV821" s="137" t="s">
        <v>432</v>
      </c>
      <c r="AW821" s="137" t="s">
        <v>432</v>
      </c>
      <c r="AX821" s="137" t="s">
        <v>432</v>
      </c>
      <c r="AY821" s="137" t="s">
        <v>432</v>
      </c>
      <c r="AZ821" s="137" t="s">
        <v>432</v>
      </c>
      <c r="BA821" s="137" t="s">
        <v>432</v>
      </c>
      <c r="BB821" s="239" t="str">
        <f t="shared" si="174"/>
        <v>Frota e condutores de veículos automotoresx</v>
      </c>
      <c r="BC821" s="239" t="str">
        <f t="shared" si="175"/>
        <v>Frota e condutores de veículos automotoresxx</v>
      </c>
      <c r="BD821" s="239" t="str">
        <f t="shared" si="176"/>
        <v>Frota e condutores de veículos automotoresx</v>
      </c>
    </row>
    <row r="822" spans="1:56" s="1" customFormat="1" ht="57" customHeight="1" x14ac:dyDescent="0.25">
      <c r="A822" s="275" t="str">
        <f>'Q100b-totais'!$B$17</f>
        <v>2.2</v>
      </c>
      <c r="B822" s="54" t="str">
        <f>'Q100b-totais'!$C$17</f>
        <v>Frota e condutores de veículos automotores</v>
      </c>
      <c r="C822" s="229" t="s">
        <v>432</v>
      </c>
      <c r="D822" s="977" t="s">
        <v>3670</v>
      </c>
      <c r="E822" s="1402" t="s">
        <v>1306</v>
      </c>
      <c r="F822" s="14" t="s">
        <v>3671</v>
      </c>
      <c r="G822" s="408" t="s">
        <v>3673</v>
      </c>
      <c r="H822" s="167" t="s">
        <v>432</v>
      </c>
      <c r="I822" s="57">
        <v>1</v>
      </c>
      <c r="J822" s="107" t="s">
        <v>432</v>
      </c>
      <c r="K822" s="107" t="s">
        <v>432</v>
      </c>
      <c r="L822" s="107" t="s">
        <v>432</v>
      </c>
      <c r="M822" s="107" t="s">
        <v>432</v>
      </c>
      <c r="N822" s="107" t="s">
        <v>432</v>
      </c>
      <c r="O822" s="107" t="s">
        <v>432</v>
      </c>
      <c r="P822" s="107" t="s">
        <v>432</v>
      </c>
      <c r="Q822" s="107" t="s">
        <v>432</v>
      </c>
      <c r="R822" s="107" t="s">
        <v>432</v>
      </c>
      <c r="S822" s="109" t="s">
        <v>2209</v>
      </c>
      <c r="T822" s="107" t="s">
        <v>432</v>
      </c>
      <c r="U822" s="47">
        <f>(U821-T821)/U821</f>
        <v>3.9233949825913314E-2</v>
      </c>
      <c r="V822" s="109" t="s">
        <v>2209</v>
      </c>
      <c r="W822" s="47">
        <f>(W821-U821)/W821</f>
        <v>4.7446462305075647E-2</v>
      </c>
      <c r="X822" s="47">
        <f t="shared" ref="X822:AK822" si="184">(X821-W821)/X821</f>
        <v>3.6600713467889213E-2</v>
      </c>
      <c r="Y822" s="47">
        <f t="shared" si="184"/>
        <v>4.7129152090020561E-2</v>
      </c>
      <c r="Z822" s="47">
        <f t="shared" si="184"/>
        <v>3.4628429839348454E-2</v>
      </c>
      <c r="AA822" s="47">
        <f t="shared" si="184"/>
        <v>4.4551326476866354E-2</v>
      </c>
      <c r="AB822" s="47">
        <f t="shared" si="184"/>
        <v>6.6376966508056259E-2</v>
      </c>
      <c r="AC822" s="47">
        <f t="shared" si="184"/>
        <v>7.7545558508034962E-2</v>
      </c>
      <c r="AD822" s="47">
        <f t="shared" si="184"/>
        <v>7.0449166281070966E-2</v>
      </c>
      <c r="AE822" s="47">
        <f t="shared" si="184"/>
        <v>8.9510921892380385E-2</v>
      </c>
      <c r="AF822" s="47">
        <f t="shared" si="184"/>
        <v>8.4163765935515861E-2</v>
      </c>
      <c r="AG822" s="47">
        <f t="shared" si="184"/>
        <v>6.5261857831431583E-2</v>
      </c>
      <c r="AH822" s="47">
        <f t="shared" si="184"/>
        <v>5.1793746796514606E-2</v>
      </c>
      <c r="AI822" s="47">
        <f t="shared" si="184"/>
        <v>4.6426842610282126E-2</v>
      </c>
      <c r="AJ822" s="47">
        <f t="shared" si="184"/>
        <v>3.1410864315731112E-2</v>
      </c>
      <c r="AK822" s="47">
        <f t="shared" si="184"/>
        <v>3.838416210822268E-2</v>
      </c>
      <c r="AL822" s="600" t="s">
        <v>432</v>
      </c>
      <c r="AM822" s="137" t="s">
        <v>432</v>
      </c>
      <c r="AN822" s="137" t="s">
        <v>432</v>
      </c>
      <c r="AO822" s="137" t="s">
        <v>432</v>
      </c>
      <c r="AP822" s="137" t="s">
        <v>432</v>
      </c>
      <c r="AQ822" s="137" t="s">
        <v>432</v>
      </c>
      <c r="AR822" s="137" t="s">
        <v>432</v>
      </c>
      <c r="AS822" s="137" t="s">
        <v>432</v>
      </c>
      <c r="AT822" s="137" t="s">
        <v>432</v>
      </c>
      <c r="AU822" s="137" t="s">
        <v>432</v>
      </c>
      <c r="AV822" s="137" t="s">
        <v>432</v>
      </c>
      <c r="AW822" s="137" t="s">
        <v>432</v>
      </c>
      <c r="AX822" s="137" t="s">
        <v>432</v>
      </c>
      <c r="AY822" s="137" t="s">
        <v>432</v>
      </c>
      <c r="AZ822" s="137" t="s">
        <v>432</v>
      </c>
      <c r="BA822" s="137" t="s">
        <v>432</v>
      </c>
      <c r="BB822" s="239" t="str">
        <f t="shared" si="174"/>
        <v>Frota e condutores de veículos automotoresx</v>
      </c>
      <c r="BC822" s="239" t="str">
        <f t="shared" si="175"/>
        <v>Frota e condutores de veículos automotoresxx</v>
      </c>
      <c r="BD822" s="239" t="str">
        <f t="shared" si="176"/>
        <v>Frota e condutores de veículos automotoresx</v>
      </c>
    </row>
    <row r="823" spans="1:56" s="1" customFormat="1" ht="51" customHeight="1" x14ac:dyDescent="0.25">
      <c r="A823" s="275" t="str">
        <f>'Q100b-totais'!$B$17</f>
        <v>2.2</v>
      </c>
      <c r="B823" s="54" t="str">
        <f>'Q100b-totais'!$C$17</f>
        <v>Frota e condutores de veículos automotores</v>
      </c>
      <c r="C823" s="229" t="s">
        <v>432</v>
      </c>
      <c r="D823" s="977" t="s">
        <v>2596</v>
      </c>
      <c r="E823" s="1402" t="s">
        <v>1306</v>
      </c>
      <c r="F823" s="25" t="s">
        <v>496</v>
      </c>
      <c r="G823" s="408" t="s">
        <v>441</v>
      </c>
      <c r="H823" s="167" t="s">
        <v>432</v>
      </c>
      <c r="I823" s="172">
        <v>1</v>
      </c>
      <c r="J823" s="107" t="s">
        <v>432</v>
      </c>
      <c r="K823" s="20" t="s">
        <v>432</v>
      </c>
      <c r="L823" s="20" t="s">
        <v>432</v>
      </c>
      <c r="M823" s="20" t="s">
        <v>432</v>
      </c>
      <c r="N823" s="20" t="s">
        <v>432</v>
      </c>
      <c r="O823" s="20" t="s">
        <v>432</v>
      </c>
      <c r="P823" s="20" t="s">
        <v>432</v>
      </c>
      <c r="Q823" s="20" t="s">
        <v>432</v>
      </c>
      <c r="R823" s="20" t="s">
        <v>432</v>
      </c>
      <c r="S823" s="109" t="s">
        <v>2209</v>
      </c>
      <c r="T823" s="21">
        <f>T821/T814</f>
        <v>0.85323712240185468</v>
      </c>
      <c r="U823" s="21">
        <f>U821/U814</f>
        <v>0.85607015757796878</v>
      </c>
      <c r="V823" s="109" t="s">
        <v>2209</v>
      </c>
      <c r="W823" s="21">
        <f t="shared" ref="W823:AK823" si="185">W821/W814</f>
        <v>0.85095316036914503</v>
      </c>
      <c r="X823" s="21">
        <f t="shared" si="185"/>
        <v>0.84380426928343588</v>
      </c>
      <c r="Y823" s="21">
        <f t="shared" si="185"/>
        <v>0.84175214502290174</v>
      </c>
      <c r="Z823" s="21">
        <f t="shared" si="185"/>
        <v>0.83883843442007511</v>
      </c>
      <c r="AA823" s="21">
        <f t="shared" si="185"/>
        <v>0.83607114009806272</v>
      </c>
      <c r="AB823" s="21">
        <f t="shared" si="185"/>
        <v>0.82976891119493779</v>
      </c>
      <c r="AC823" s="21">
        <f t="shared" si="185"/>
        <v>0.82091399509047347</v>
      </c>
      <c r="AD823" s="21">
        <f t="shared" si="185"/>
        <v>0.81390442525190587</v>
      </c>
      <c r="AE823" s="21">
        <f t="shared" si="185"/>
        <v>0.81122917733838751</v>
      </c>
      <c r="AF823" s="21">
        <f t="shared" si="185"/>
        <v>0.81115086450497265</v>
      </c>
      <c r="AG823" s="21">
        <f t="shared" si="185"/>
        <v>0.80862109359974543</v>
      </c>
      <c r="AH823" s="21">
        <f t="shared" si="185"/>
        <v>0.80896084811936297</v>
      </c>
      <c r="AI823" s="21">
        <f t="shared" si="185"/>
        <v>0.80901099248714903</v>
      </c>
      <c r="AJ823" s="21">
        <f t="shared" si="185"/>
        <v>0.80884687372680686</v>
      </c>
      <c r="AK823" s="21">
        <f t="shared" si="185"/>
        <v>0.81059187713620906</v>
      </c>
      <c r="AL823" s="600" t="s">
        <v>432</v>
      </c>
      <c r="AM823" s="137" t="s">
        <v>432</v>
      </c>
      <c r="AN823" s="137" t="s">
        <v>432</v>
      </c>
      <c r="AO823" s="137" t="s">
        <v>432</v>
      </c>
      <c r="AP823" s="137" t="s">
        <v>432</v>
      </c>
      <c r="AQ823" s="137" t="s">
        <v>432</v>
      </c>
      <c r="AR823" s="137" t="s">
        <v>432</v>
      </c>
      <c r="AS823" s="137" t="s">
        <v>432</v>
      </c>
      <c r="AT823" s="137" t="s">
        <v>432</v>
      </c>
      <c r="AU823" s="137" t="s">
        <v>432</v>
      </c>
      <c r="AV823" s="137" t="s">
        <v>432</v>
      </c>
      <c r="AW823" s="137" t="s">
        <v>432</v>
      </c>
      <c r="AX823" s="137" t="s">
        <v>432</v>
      </c>
      <c r="AY823" s="137" t="s">
        <v>432</v>
      </c>
      <c r="AZ823" s="137" t="s">
        <v>432</v>
      </c>
      <c r="BA823" s="137" t="s">
        <v>432</v>
      </c>
      <c r="BB823" s="239" t="str">
        <f t="shared" si="174"/>
        <v>Frota e condutores de veículos automotoresx</v>
      </c>
      <c r="BC823" s="239" t="str">
        <f t="shared" si="175"/>
        <v>Frota e condutores de veículos automotoresxx</v>
      </c>
      <c r="BD823" s="239" t="str">
        <f t="shared" si="176"/>
        <v>Frota e condutores de veículos automotoresx</v>
      </c>
    </row>
    <row r="824" spans="1:56" s="1" customFormat="1" ht="74.25" customHeight="1" x14ac:dyDescent="0.25">
      <c r="A824" s="275" t="str">
        <f>'Q100b-totais'!$B$17</f>
        <v>2.2</v>
      </c>
      <c r="B824" s="54" t="str">
        <f>'Q100b-totais'!$C$17</f>
        <v>Frota e condutores de veículos automotores</v>
      </c>
      <c r="C824" s="229" t="s">
        <v>432</v>
      </c>
      <c r="D824" s="948" t="s">
        <v>2597</v>
      </c>
      <c r="E824" s="1402" t="s">
        <v>1306</v>
      </c>
      <c r="F824" s="25" t="s">
        <v>6067</v>
      </c>
      <c r="G824" s="412" t="s">
        <v>442</v>
      </c>
      <c r="H824" s="167" t="s">
        <v>432</v>
      </c>
      <c r="I824" s="172">
        <v>1</v>
      </c>
      <c r="J824" s="107" t="s">
        <v>432</v>
      </c>
      <c r="K824" s="20" t="s">
        <v>432</v>
      </c>
      <c r="L824" s="20" t="s">
        <v>432</v>
      </c>
      <c r="M824" s="20" t="s">
        <v>432</v>
      </c>
      <c r="N824" s="20" t="s">
        <v>432</v>
      </c>
      <c r="O824" s="20" t="s">
        <v>432</v>
      </c>
      <c r="P824" s="20" t="s">
        <v>432</v>
      </c>
      <c r="Q824" s="20" t="s">
        <v>432</v>
      </c>
      <c r="R824" s="20" t="s">
        <v>432</v>
      </c>
      <c r="S824" s="109" t="s">
        <v>2209</v>
      </c>
      <c r="T824" s="64">
        <f>T821/T1855</f>
        <v>0.26412730329020534</v>
      </c>
      <c r="U824" s="64">
        <f>U821/U1855</f>
        <v>0.25994516034211801</v>
      </c>
      <c r="V824" s="109" t="s">
        <v>2209</v>
      </c>
      <c r="W824" s="64">
        <f t="shared" ref="W824:AK824" si="186">W821/W1855</f>
        <v>0.270464313053904</v>
      </c>
      <c r="X824" s="64">
        <f t="shared" si="186"/>
        <v>0.27756396675287198</v>
      </c>
      <c r="Y824" s="64">
        <f t="shared" si="186"/>
        <v>0.28859594797841281</v>
      </c>
      <c r="Z824" s="64">
        <f t="shared" si="186"/>
        <v>0.29325642696816595</v>
      </c>
      <c r="AA824" s="64">
        <f t="shared" si="186"/>
        <v>0.30373055690390677</v>
      </c>
      <c r="AB824" s="64">
        <f t="shared" si="186"/>
        <v>0.32199114970499015</v>
      </c>
      <c r="AC824" s="64">
        <f t="shared" si="186"/>
        <v>0.34717607629208719</v>
      </c>
      <c r="AD824" s="64">
        <f t="shared" si="186"/>
        <v>0.3701583230717288</v>
      </c>
      <c r="AE824" s="64">
        <f t="shared" si="186"/>
        <v>0.40356933022970976</v>
      </c>
      <c r="AF824" s="64">
        <f t="shared" si="186"/>
        <v>0.45502875396132708</v>
      </c>
      <c r="AG824" s="64">
        <f t="shared" si="186"/>
        <v>0.48465778575141261</v>
      </c>
      <c r="AH824" s="64">
        <f t="shared" si="186"/>
        <v>0.5089667895908857</v>
      </c>
      <c r="AI824" s="64">
        <f t="shared" si="186"/>
        <v>0.51579584255182698</v>
      </c>
      <c r="AJ824" s="64">
        <f t="shared" si="186"/>
        <v>0.52996958382792558</v>
      </c>
      <c r="AK824" s="64">
        <f t="shared" si="186"/>
        <v>0.5486028889651664</v>
      </c>
      <c r="AL824" s="600" t="s">
        <v>432</v>
      </c>
      <c r="AM824" s="137" t="s">
        <v>432</v>
      </c>
      <c r="AN824" s="137" t="s">
        <v>432</v>
      </c>
      <c r="AO824" s="137" t="s">
        <v>432</v>
      </c>
      <c r="AP824" s="137" t="s">
        <v>432</v>
      </c>
      <c r="AQ824" s="137" t="s">
        <v>432</v>
      </c>
      <c r="AR824" s="137" t="s">
        <v>432</v>
      </c>
      <c r="AS824" s="137" t="s">
        <v>432</v>
      </c>
      <c r="AT824" s="137" t="s">
        <v>432</v>
      </c>
      <c r="AU824" s="137" t="s">
        <v>432</v>
      </c>
      <c r="AV824" s="137" t="s">
        <v>432</v>
      </c>
      <c r="AW824" s="137" t="s">
        <v>432</v>
      </c>
      <c r="AX824" s="137" t="s">
        <v>432</v>
      </c>
      <c r="AY824" s="137" t="s">
        <v>432</v>
      </c>
      <c r="AZ824" s="137" t="s">
        <v>432</v>
      </c>
      <c r="BA824" s="137" t="s">
        <v>432</v>
      </c>
      <c r="BB824" s="239" t="str">
        <f t="shared" si="174"/>
        <v>Frota e condutores de veículos automotoresx</v>
      </c>
      <c r="BC824" s="239" t="str">
        <f t="shared" si="175"/>
        <v>Frota e condutores de veículos automotoresxx</v>
      </c>
      <c r="BD824" s="239" t="str">
        <f t="shared" si="176"/>
        <v>Frota e condutores de veículos automotoresx</v>
      </c>
    </row>
    <row r="825" spans="1:56" ht="102" customHeight="1" x14ac:dyDescent="0.25">
      <c r="A825" s="275" t="str">
        <f>'Q100b-totais'!$B$65</f>
        <v>9.2</v>
      </c>
      <c r="B825" s="53" t="str">
        <f>'Q100b-totais'!$C$65</f>
        <v>Estacionamento</v>
      </c>
      <c r="C825" s="229" t="s">
        <v>432</v>
      </c>
      <c r="D825" s="325" t="s">
        <v>2048</v>
      </c>
      <c r="E825" s="1402" t="s">
        <v>1306</v>
      </c>
      <c r="F825" s="15" t="s">
        <v>422</v>
      </c>
      <c r="G825" s="412" t="s">
        <v>3655</v>
      </c>
      <c r="H825" s="168" t="s">
        <v>432</v>
      </c>
      <c r="I825" s="167">
        <v>1</v>
      </c>
      <c r="J825" s="107" t="s">
        <v>432</v>
      </c>
      <c r="K825" s="23" t="s">
        <v>432</v>
      </c>
      <c r="L825" s="23" t="s">
        <v>432</v>
      </c>
      <c r="M825" s="23" t="s">
        <v>432</v>
      </c>
      <c r="N825" s="23" t="s">
        <v>432</v>
      </c>
      <c r="O825" s="23" t="s">
        <v>432</v>
      </c>
      <c r="P825" s="23" t="s">
        <v>432</v>
      </c>
      <c r="Q825" s="23" t="s">
        <v>432</v>
      </c>
      <c r="R825" s="23" t="s">
        <v>432</v>
      </c>
      <c r="S825" s="109" t="s">
        <v>2209</v>
      </c>
      <c r="T825" s="23" t="s">
        <v>432</v>
      </c>
      <c r="U825" s="23" t="s">
        <v>432</v>
      </c>
      <c r="V825" s="109" t="s">
        <v>2209</v>
      </c>
      <c r="W825" s="64">
        <f t="shared" ref="W825:AK825" si="187">W821/W2289</f>
        <v>9.383398359497404</v>
      </c>
      <c r="X825" s="64">
        <f t="shared" si="187"/>
        <v>9.8173964203876878</v>
      </c>
      <c r="Y825" s="64">
        <f t="shared" si="187"/>
        <v>10.12411568713962</v>
      </c>
      <c r="Z825" s="64">
        <f t="shared" si="187"/>
        <v>10.39413130673422</v>
      </c>
      <c r="AA825" s="64">
        <f t="shared" si="187"/>
        <v>12.627065247829739</v>
      </c>
      <c r="AB825" s="64">
        <f t="shared" si="187"/>
        <v>12.768555849306015</v>
      </c>
      <c r="AC825" s="64">
        <f t="shared" si="187"/>
        <v>13.318399338622235</v>
      </c>
      <c r="AD825" s="64">
        <f t="shared" si="187"/>
        <v>12.603532669501007</v>
      </c>
      <c r="AE825" s="64">
        <f t="shared" si="187"/>
        <v>13.374785487467063</v>
      </c>
      <c r="AF825" s="64">
        <f t="shared" si="187"/>
        <v>12.810853099107428</v>
      </c>
      <c r="AG825" s="64">
        <f t="shared" si="187"/>
        <v>12.712828068477938</v>
      </c>
      <c r="AH825" s="64">
        <f t="shared" si="187"/>
        <v>13.407091808686092</v>
      </c>
      <c r="AI825" s="64">
        <f t="shared" si="187"/>
        <v>13.423150403090359</v>
      </c>
      <c r="AJ825" s="64">
        <f t="shared" si="187"/>
        <v>13.490272214501758</v>
      </c>
      <c r="AK825" s="64">
        <f t="shared" si="187"/>
        <v>14.082283674557912</v>
      </c>
      <c r="AL825" s="600" t="s">
        <v>432</v>
      </c>
      <c r="AM825" s="137" t="s">
        <v>432</v>
      </c>
      <c r="AN825" s="137" t="s">
        <v>432</v>
      </c>
      <c r="AO825" s="137" t="s">
        <v>432</v>
      </c>
      <c r="AP825" s="137" t="s">
        <v>432</v>
      </c>
      <c r="AQ825" s="137" t="s">
        <v>432</v>
      </c>
      <c r="AR825" s="137" t="s">
        <v>432</v>
      </c>
      <c r="AS825" s="137" t="s">
        <v>432</v>
      </c>
      <c r="AT825" s="137" t="s">
        <v>432</v>
      </c>
      <c r="AU825" s="137" t="s">
        <v>432</v>
      </c>
      <c r="AV825" s="137" t="s">
        <v>432</v>
      </c>
      <c r="AW825" s="137" t="s">
        <v>432</v>
      </c>
      <c r="AX825" s="137" t="s">
        <v>432</v>
      </c>
      <c r="AY825" s="137" t="s">
        <v>432</v>
      </c>
      <c r="AZ825" s="137" t="s">
        <v>432</v>
      </c>
      <c r="BA825" s="137" t="s">
        <v>432</v>
      </c>
      <c r="BB825" s="239" t="str">
        <f t="shared" si="174"/>
        <v>Estacionamentox</v>
      </c>
      <c r="BC825" s="239" t="str">
        <f t="shared" si="175"/>
        <v>Estacionamentoxx</v>
      </c>
      <c r="BD825" s="239" t="str">
        <f t="shared" si="176"/>
        <v>Estacionamentox</v>
      </c>
    </row>
    <row r="826" spans="1:56" s="1" customFormat="1" ht="51" customHeight="1" x14ac:dyDescent="0.25">
      <c r="A826" s="275" t="str">
        <f>'Q100b-totais'!$B$17</f>
        <v>2.2</v>
      </c>
      <c r="B826" s="54" t="str">
        <f>'Q100b-totais'!$C$17</f>
        <v>Frota e condutores de veículos automotores</v>
      </c>
      <c r="C826" s="229" t="s">
        <v>432</v>
      </c>
      <c r="D826" s="977" t="s">
        <v>3715</v>
      </c>
      <c r="E826" s="1402" t="s">
        <v>1306</v>
      </c>
      <c r="F826" s="14" t="s">
        <v>3645</v>
      </c>
      <c r="G826" s="110" t="s">
        <v>77</v>
      </c>
      <c r="H826" s="167" t="s">
        <v>432</v>
      </c>
      <c r="I826" s="57">
        <v>1</v>
      </c>
      <c r="J826" s="107" t="s">
        <v>432</v>
      </c>
      <c r="K826" s="137" t="s">
        <v>432</v>
      </c>
      <c r="L826" s="137" t="s">
        <v>432</v>
      </c>
      <c r="M826" s="137" t="s">
        <v>432</v>
      </c>
      <c r="N826" s="137" t="s">
        <v>432</v>
      </c>
      <c r="O826" s="137" t="s">
        <v>432</v>
      </c>
      <c r="P826" s="137" t="s">
        <v>432</v>
      </c>
      <c r="Q826" s="137" t="s">
        <v>432</v>
      </c>
      <c r="R826" s="137" t="s">
        <v>432</v>
      </c>
      <c r="S826" s="109" t="s">
        <v>2209</v>
      </c>
      <c r="T826" s="87">
        <v>23347</v>
      </c>
      <c r="U826" s="87">
        <v>23493</v>
      </c>
      <c r="V826" s="109" t="s">
        <v>2209</v>
      </c>
      <c r="W826" s="87">
        <v>24019</v>
      </c>
      <c r="X826" s="87">
        <v>24429</v>
      </c>
      <c r="Y826" s="87">
        <v>24068</v>
      </c>
      <c r="Z826" s="87">
        <v>23970</v>
      </c>
      <c r="AA826" s="87">
        <v>23998</v>
      </c>
      <c r="AB826" s="87">
        <v>25055</v>
      </c>
      <c r="AC826" s="87">
        <v>26527</v>
      </c>
      <c r="AD826" s="87">
        <v>27277</v>
      </c>
      <c r="AE826" s="87">
        <v>29056</v>
      </c>
      <c r="AF826" s="87">
        <v>31203</v>
      </c>
      <c r="AG826" s="87">
        <v>33119</v>
      </c>
      <c r="AH826" s="87">
        <v>33839</v>
      </c>
      <c r="AI826" s="87">
        <v>35299</v>
      </c>
      <c r="AJ826" s="87">
        <v>35737</v>
      </c>
      <c r="AK826" s="87">
        <v>35270</v>
      </c>
      <c r="AL826" s="600" t="s">
        <v>432</v>
      </c>
      <c r="AM826" s="137" t="s">
        <v>432</v>
      </c>
      <c r="AN826" s="137" t="s">
        <v>432</v>
      </c>
      <c r="AO826" s="137" t="s">
        <v>432</v>
      </c>
      <c r="AP826" s="137" t="s">
        <v>432</v>
      </c>
      <c r="AQ826" s="137" t="s">
        <v>432</v>
      </c>
      <c r="AR826" s="137" t="s">
        <v>432</v>
      </c>
      <c r="AS826" s="137" t="s">
        <v>432</v>
      </c>
      <c r="AT826" s="137" t="s">
        <v>432</v>
      </c>
      <c r="AU826" s="137" t="s">
        <v>432</v>
      </c>
      <c r="AV826" s="137" t="s">
        <v>432</v>
      </c>
      <c r="AW826" s="137" t="s">
        <v>432</v>
      </c>
      <c r="AX826" s="137" t="s">
        <v>432</v>
      </c>
      <c r="AY826" s="137" t="s">
        <v>432</v>
      </c>
      <c r="AZ826" s="137" t="s">
        <v>432</v>
      </c>
      <c r="BA826" s="137" t="s">
        <v>432</v>
      </c>
      <c r="BB826" s="239" t="str">
        <f t="shared" si="174"/>
        <v>Frota e condutores de veículos automotoresx</v>
      </c>
      <c r="BC826" s="239" t="str">
        <f t="shared" si="175"/>
        <v>Frota e condutores de veículos automotoresxx</v>
      </c>
      <c r="BD826" s="239" t="str">
        <f t="shared" si="176"/>
        <v>Frota e condutores de veículos automotoresx</v>
      </c>
    </row>
    <row r="827" spans="1:56" ht="51" customHeight="1" x14ac:dyDescent="0.25">
      <c r="A827" s="275" t="str">
        <f>'Q100b-totais'!$B$17</f>
        <v>2.2</v>
      </c>
      <c r="B827" s="1205" t="str">
        <f>'Q100b-totais'!$C$17</f>
        <v>Frota e condutores de veículos automotores</v>
      </c>
      <c r="C827" s="167" t="s">
        <v>432</v>
      </c>
      <c r="D827" s="977" t="s">
        <v>474</v>
      </c>
      <c r="E827" s="1402" t="s">
        <v>1306</v>
      </c>
      <c r="F827" s="188" t="s">
        <v>3642</v>
      </c>
      <c r="G827" s="110" t="s">
        <v>77</v>
      </c>
      <c r="H827" s="167" t="s">
        <v>432</v>
      </c>
      <c r="I827" s="57">
        <v>1</v>
      </c>
      <c r="J827" s="107" t="s">
        <v>432</v>
      </c>
      <c r="K827" s="137" t="s">
        <v>432</v>
      </c>
      <c r="L827" s="137" t="s">
        <v>432</v>
      </c>
      <c r="M827" s="137" t="s">
        <v>432</v>
      </c>
      <c r="N827" s="137" t="s">
        <v>432</v>
      </c>
      <c r="O827" s="137" t="s">
        <v>432</v>
      </c>
      <c r="P827" s="137" t="s">
        <v>432</v>
      </c>
      <c r="Q827" s="137" t="s">
        <v>432</v>
      </c>
      <c r="R827" s="137" t="s">
        <v>432</v>
      </c>
      <c r="S827" s="109" t="s">
        <v>2209</v>
      </c>
      <c r="T827" s="108" t="s">
        <v>432</v>
      </c>
      <c r="U827" s="108" t="s">
        <v>432</v>
      </c>
      <c r="V827" s="109" t="s">
        <v>2209</v>
      </c>
      <c r="W827" s="137" t="s">
        <v>432</v>
      </c>
      <c r="X827" s="137" t="s">
        <v>432</v>
      </c>
      <c r="Y827" s="137" t="s">
        <v>432</v>
      </c>
      <c r="Z827" s="137" t="s">
        <v>432</v>
      </c>
      <c r="AA827" s="137" t="s">
        <v>432</v>
      </c>
      <c r="AB827" s="137" t="s">
        <v>432</v>
      </c>
      <c r="AC827" s="137" t="s">
        <v>432</v>
      </c>
      <c r="AD827" s="87">
        <v>2844</v>
      </c>
      <c r="AE827" s="87">
        <v>3119</v>
      </c>
      <c r="AF827" s="87">
        <v>3421</v>
      </c>
      <c r="AG827" s="87">
        <v>3644</v>
      </c>
      <c r="AH827" s="87">
        <v>3825</v>
      </c>
      <c r="AI827" s="87">
        <v>4101</v>
      </c>
      <c r="AJ827" s="87">
        <v>4182</v>
      </c>
      <c r="AK827" s="87">
        <v>4417</v>
      </c>
      <c r="AL827" s="600" t="s">
        <v>432</v>
      </c>
      <c r="AM827" s="137" t="s">
        <v>432</v>
      </c>
      <c r="AN827" s="137" t="s">
        <v>432</v>
      </c>
      <c r="AO827" s="137" t="s">
        <v>432</v>
      </c>
      <c r="AP827" s="137" t="s">
        <v>432</v>
      </c>
      <c r="AQ827" s="137" t="s">
        <v>432</v>
      </c>
      <c r="AR827" s="137" t="s">
        <v>432</v>
      </c>
      <c r="AS827" s="137" t="s">
        <v>432</v>
      </c>
      <c r="AT827" s="137" t="s">
        <v>432</v>
      </c>
      <c r="AU827" s="137" t="s">
        <v>432</v>
      </c>
      <c r="AV827" s="137" t="s">
        <v>432</v>
      </c>
      <c r="AW827" s="137" t="s">
        <v>432</v>
      </c>
      <c r="AX827" s="137" t="s">
        <v>432</v>
      </c>
      <c r="AY827" s="137" t="s">
        <v>432</v>
      </c>
      <c r="AZ827" s="137" t="s">
        <v>432</v>
      </c>
      <c r="BA827" s="137" t="s">
        <v>432</v>
      </c>
      <c r="BB827" s="239" t="str">
        <f t="shared" si="174"/>
        <v>Frota e condutores de veículos automotoresx</v>
      </c>
      <c r="BC827" s="239" t="str">
        <f t="shared" si="175"/>
        <v>Frota e condutores de veículos automotoresxx</v>
      </c>
      <c r="BD827" s="239" t="str">
        <f t="shared" si="176"/>
        <v>Frota e condutores de veículos automotoresx</v>
      </c>
    </row>
    <row r="828" spans="1:56" s="1" customFormat="1" ht="51" customHeight="1" x14ac:dyDescent="0.25">
      <c r="A828" s="275" t="str">
        <f>'Q100b-totais'!$B$17</f>
        <v>2.2</v>
      </c>
      <c r="B828" s="54" t="str">
        <f>'Q100b-totais'!$C$17</f>
        <v>Frota e condutores de veículos automotores</v>
      </c>
      <c r="C828" s="229" t="s">
        <v>432</v>
      </c>
      <c r="D828" s="977" t="s">
        <v>2598</v>
      </c>
      <c r="E828" s="1402" t="s">
        <v>1306</v>
      </c>
      <c r="F828" s="14" t="s">
        <v>3643</v>
      </c>
      <c r="G828" s="110" t="s">
        <v>77</v>
      </c>
      <c r="H828" s="167" t="s">
        <v>432</v>
      </c>
      <c r="I828" s="57">
        <v>1</v>
      </c>
      <c r="J828" s="107" t="s">
        <v>432</v>
      </c>
      <c r="K828" s="137" t="s">
        <v>432</v>
      </c>
      <c r="L828" s="137" t="s">
        <v>432</v>
      </c>
      <c r="M828" s="137" t="s">
        <v>432</v>
      </c>
      <c r="N828" s="137" t="s">
        <v>432</v>
      </c>
      <c r="O828" s="137" t="s">
        <v>432</v>
      </c>
      <c r="P828" s="137" t="s">
        <v>432</v>
      </c>
      <c r="Q828" s="137" t="s">
        <v>432</v>
      </c>
      <c r="R828" s="137" t="s">
        <v>432</v>
      </c>
      <c r="S828" s="109" t="s">
        <v>2209</v>
      </c>
      <c r="T828" s="87">
        <v>67732</v>
      </c>
      <c r="U828" s="87">
        <v>68406</v>
      </c>
      <c r="V828" s="109" t="s">
        <v>2209</v>
      </c>
      <c r="W828" s="87">
        <v>29126</v>
      </c>
      <c r="X828" s="87">
        <v>29433</v>
      </c>
      <c r="Y828" s="87">
        <v>30307</v>
      </c>
      <c r="Z828" s="87">
        <v>31411</v>
      </c>
      <c r="AA828" s="87">
        <v>33369</v>
      </c>
      <c r="AB828" s="87">
        <v>35347</v>
      </c>
      <c r="AC828" s="87">
        <v>37390</v>
      </c>
      <c r="AD828" s="87">
        <v>39024</v>
      </c>
      <c r="AE828" s="87">
        <v>42997</v>
      </c>
      <c r="AF828" s="87">
        <v>48037</v>
      </c>
      <c r="AG828" s="87">
        <v>53693</v>
      </c>
      <c r="AH828" s="87">
        <v>60775</v>
      </c>
      <c r="AI828" s="87">
        <v>67698</v>
      </c>
      <c r="AJ828" s="87">
        <v>74222</v>
      </c>
      <c r="AK828" s="87">
        <v>80083</v>
      </c>
      <c r="AL828" s="600" t="s">
        <v>432</v>
      </c>
      <c r="AM828" s="137" t="s">
        <v>432</v>
      </c>
      <c r="AN828" s="137" t="s">
        <v>432</v>
      </c>
      <c r="AO828" s="137" t="s">
        <v>432</v>
      </c>
      <c r="AP828" s="137" t="s">
        <v>432</v>
      </c>
      <c r="AQ828" s="137" t="s">
        <v>432</v>
      </c>
      <c r="AR828" s="137" t="s">
        <v>432</v>
      </c>
      <c r="AS828" s="137" t="s">
        <v>432</v>
      </c>
      <c r="AT828" s="137" t="s">
        <v>432</v>
      </c>
      <c r="AU828" s="137" t="s">
        <v>432</v>
      </c>
      <c r="AV828" s="137" t="s">
        <v>432</v>
      </c>
      <c r="AW828" s="137" t="s">
        <v>432</v>
      </c>
      <c r="AX828" s="137" t="s">
        <v>432</v>
      </c>
      <c r="AY828" s="137" t="s">
        <v>432</v>
      </c>
      <c r="AZ828" s="137" t="s">
        <v>432</v>
      </c>
      <c r="BA828" s="137" t="s">
        <v>432</v>
      </c>
      <c r="BB828" s="239" t="str">
        <f t="shared" si="174"/>
        <v>Frota e condutores de veículos automotoresx</v>
      </c>
      <c r="BC828" s="239" t="str">
        <f t="shared" si="175"/>
        <v>Frota e condutores de veículos automotoresxx</v>
      </c>
      <c r="BD828" s="239" t="str">
        <f t="shared" si="176"/>
        <v>Frota e condutores de veículos automotoresx</v>
      </c>
    </row>
    <row r="829" spans="1:56" s="1" customFormat="1" ht="51" customHeight="1" x14ac:dyDescent="0.25">
      <c r="A829" s="275" t="str">
        <f>'Q100b-totais'!$B$17</f>
        <v>2.2</v>
      </c>
      <c r="B829" s="54" t="str">
        <f>'Q100b-totais'!$C$17</f>
        <v>Frota e condutores de veículos automotores</v>
      </c>
      <c r="C829" s="229" t="s">
        <v>432</v>
      </c>
      <c r="D829" s="977" t="s">
        <v>2599</v>
      </c>
      <c r="E829" s="1402" t="s">
        <v>1306</v>
      </c>
      <c r="F829" s="14" t="s">
        <v>3644</v>
      </c>
      <c r="G829" s="110" t="s">
        <v>77</v>
      </c>
      <c r="H829" s="167" t="s">
        <v>432</v>
      </c>
      <c r="I829" s="57">
        <v>1</v>
      </c>
      <c r="J829" s="107" t="s">
        <v>432</v>
      </c>
      <c r="K829" s="137" t="s">
        <v>432</v>
      </c>
      <c r="L829" s="137" t="s">
        <v>432</v>
      </c>
      <c r="M829" s="137" t="s">
        <v>432</v>
      </c>
      <c r="N829" s="137" t="s">
        <v>432</v>
      </c>
      <c r="O829" s="137" t="s">
        <v>432</v>
      </c>
      <c r="P829" s="137" t="s">
        <v>432</v>
      </c>
      <c r="Q829" s="137" t="s">
        <v>432</v>
      </c>
      <c r="R829" s="137" t="s">
        <v>432</v>
      </c>
      <c r="S829" s="109" t="s">
        <v>2209</v>
      </c>
      <c r="T829" s="87" t="s">
        <v>432</v>
      </c>
      <c r="U829" s="87">
        <v>4757</v>
      </c>
      <c r="V829" s="109" t="s">
        <v>2209</v>
      </c>
      <c r="W829" s="87">
        <v>49005</v>
      </c>
      <c r="X829" s="87">
        <v>52027</v>
      </c>
      <c r="Y829" s="87">
        <v>54435</v>
      </c>
      <c r="Z829" s="87">
        <v>55945</v>
      </c>
      <c r="AA829" s="87">
        <v>59788</v>
      </c>
      <c r="AB829" s="87">
        <v>64105</v>
      </c>
      <c r="AC829" s="87">
        <v>69856</v>
      </c>
      <c r="AD829" s="87">
        <v>76275</v>
      </c>
      <c r="AE829" s="87">
        <v>83044</v>
      </c>
      <c r="AF829" s="87">
        <v>94906</v>
      </c>
      <c r="AG829" s="87">
        <v>104721</v>
      </c>
      <c r="AH829" s="87">
        <v>113449</v>
      </c>
      <c r="AI829" s="87">
        <v>121382</v>
      </c>
      <c r="AJ829" s="87">
        <v>128870</v>
      </c>
      <c r="AK829" s="87">
        <v>134231</v>
      </c>
      <c r="AL829" s="600" t="s">
        <v>432</v>
      </c>
      <c r="AM829" s="137" t="s">
        <v>432</v>
      </c>
      <c r="AN829" s="137" t="s">
        <v>432</v>
      </c>
      <c r="AO829" s="137" t="s">
        <v>432</v>
      </c>
      <c r="AP829" s="137" t="s">
        <v>432</v>
      </c>
      <c r="AQ829" s="137" t="s">
        <v>432</v>
      </c>
      <c r="AR829" s="137" t="s">
        <v>432</v>
      </c>
      <c r="AS829" s="137" t="s">
        <v>432</v>
      </c>
      <c r="AT829" s="137" t="s">
        <v>432</v>
      </c>
      <c r="AU829" s="137" t="s">
        <v>432</v>
      </c>
      <c r="AV829" s="137" t="s">
        <v>432</v>
      </c>
      <c r="AW829" s="137" t="s">
        <v>432</v>
      </c>
      <c r="AX829" s="137" t="s">
        <v>432</v>
      </c>
      <c r="AY829" s="137" t="s">
        <v>432</v>
      </c>
      <c r="AZ829" s="137" t="s">
        <v>432</v>
      </c>
      <c r="BA829" s="137" t="s">
        <v>432</v>
      </c>
      <c r="BB829" s="239" t="str">
        <f t="shared" si="174"/>
        <v>Frota e condutores de veículos automotoresx</v>
      </c>
      <c r="BC829" s="239" t="str">
        <f t="shared" si="175"/>
        <v>Frota e condutores de veículos automotoresxx</v>
      </c>
      <c r="BD829" s="239" t="str">
        <f t="shared" si="176"/>
        <v>Frota e condutores de veículos automotoresx</v>
      </c>
    </row>
    <row r="830" spans="1:56" s="1" customFormat="1" ht="51" customHeight="1" x14ac:dyDescent="0.25">
      <c r="A830" s="275" t="str">
        <f>'Q100b-totais'!$B$17</f>
        <v>2.2</v>
      </c>
      <c r="B830" s="1205" t="str">
        <f>'Q100b-totais'!$C$17</f>
        <v>Frota e condutores de veículos automotores</v>
      </c>
      <c r="C830" s="167" t="s">
        <v>432</v>
      </c>
      <c r="D830" s="324" t="s">
        <v>472</v>
      </c>
      <c r="E830" s="1402" t="s">
        <v>1306</v>
      </c>
      <c r="F830" s="15" t="s">
        <v>3646</v>
      </c>
      <c r="G830" s="110" t="s">
        <v>77</v>
      </c>
      <c r="H830" s="167" t="s">
        <v>432</v>
      </c>
      <c r="I830" s="57">
        <v>1</v>
      </c>
      <c r="J830" s="107" t="s">
        <v>432</v>
      </c>
      <c r="K830" s="137" t="s">
        <v>432</v>
      </c>
      <c r="L830" s="137" t="s">
        <v>432</v>
      </c>
      <c r="M830" s="137" t="s">
        <v>432</v>
      </c>
      <c r="N830" s="137" t="s">
        <v>432</v>
      </c>
      <c r="O830" s="137" t="s">
        <v>432</v>
      </c>
      <c r="P830" s="137" t="s">
        <v>432</v>
      </c>
      <c r="Q830" s="137" t="s">
        <v>432</v>
      </c>
      <c r="R830" s="137" t="s">
        <v>432</v>
      </c>
      <c r="S830" s="109" t="s">
        <v>2209</v>
      </c>
      <c r="T830" s="87">
        <v>22319</v>
      </c>
      <c r="U830" s="87">
        <v>20055</v>
      </c>
      <c r="V830" s="109" t="s">
        <v>2209</v>
      </c>
      <c r="W830" s="87">
        <v>22160</v>
      </c>
      <c r="X830" s="87">
        <v>24031</v>
      </c>
      <c r="Y830" s="87">
        <v>25311</v>
      </c>
      <c r="Z830" s="87">
        <v>21465</v>
      </c>
      <c r="AA830" s="87">
        <v>22259</v>
      </c>
      <c r="AB830" s="87">
        <v>24285</v>
      </c>
      <c r="AC830" s="87">
        <v>26677</v>
      </c>
      <c r="AD830" s="87">
        <v>0</v>
      </c>
      <c r="AE830" s="87">
        <v>0</v>
      </c>
      <c r="AF830" s="87">
        <v>0</v>
      </c>
      <c r="AG830" s="87">
        <v>0</v>
      </c>
      <c r="AH830" s="87">
        <v>0</v>
      </c>
      <c r="AI830" s="87">
        <v>0</v>
      </c>
      <c r="AJ830" s="87">
        <v>1</v>
      </c>
      <c r="AK830" s="87">
        <v>0</v>
      </c>
      <c r="AL830" s="600" t="s">
        <v>432</v>
      </c>
      <c r="AM830" s="137" t="s">
        <v>432</v>
      </c>
      <c r="AN830" s="137" t="s">
        <v>432</v>
      </c>
      <c r="AO830" s="137" t="s">
        <v>432</v>
      </c>
      <c r="AP830" s="137" t="s">
        <v>432</v>
      </c>
      <c r="AQ830" s="137" t="s">
        <v>432</v>
      </c>
      <c r="AR830" s="137" t="s">
        <v>432</v>
      </c>
      <c r="AS830" s="137" t="s">
        <v>432</v>
      </c>
      <c r="AT830" s="137" t="s">
        <v>432</v>
      </c>
      <c r="AU830" s="137" t="s">
        <v>432</v>
      </c>
      <c r="AV830" s="137" t="s">
        <v>432</v>
      </c>
      <c r="AW830" s="137" t="s">
        <v>432</v>
      </c>
      <c r="AX830" s="137" t="s">
        <v>432</v>
      </c>
      <c r="AY830" s="137" t="s">
        <v>432</v>
      </c>
      <c r="AZ830" s="137" t="s">
        <v>432</v>
      </c>
      <c r="BA830" s="137" t="s">
        <v>432</v>
      </c>
      <c r="BB830" s="239" t="str">
        <f t="shared" si="174"/>
        <v>Frota e condutores de veículos automotoresx</v>
      </c>
      <c r="BC830" s="239" t="str">
        <f t="shared" si="175"/>
        <v>Frota e condutores de veículos automotoresxx</v>
      </c>
      <c r="BD830" s="239" t="str">
        <f t="shared" si="176"/>
        <v>Frota e condutores de veículos automotoresx</v>
      </c>
    </row>
    <row r="831" spans="1:56" s="373" customFormat="1" x14ac:dyDescent="0.25">
      <c r="A831" s="383"/>
      <c r="B831" s="384"/>
      <c r="C831" s="384"/>
      <c r="D831" s="719"/>
      <c r="E831" s="1519"/>
      <c r="F831" s="385"/>
      <c r="G831" s="385"/>
      <c r="H831" s="384"/>
      <c r="I831" s="385"/>
      <c r="J831" s="385"/>
      <c r="K831" s="385"/>
      <c r="L831" s="385"/>
      <c r="M831" s="385"/>
      <c r="N831" s="385"/>
      <c r="O831" s="385"/>
      <c r="P831" s="385"/>
      <c r="Q831" s="385"/>
      <c r="R831" s="385"/>
      <c r="S831" s="385"/>
      <c r="T831" s="385"/>
      <c r="U831" s="385"/>
      <c r="V831" s="385"/>
      <c r="W831" s="385"/>
      <c r="X831" s="385"/>
      <c r="Y831" s="385"/>
      <c r="Z831" s="385"/>
      <c r="AA831" s="385"/>
      <c r="AB831" s="385"/>
      <c r="AC831" s="385"/>
      <c r="AD831" s="385"/>
      <c r="AE831" s="385"/>
      <c r="AF831" s="385"/>
      <c r="AG831" s="385"/>
      <c r="AH831" s="385"/>
      <c r="AI831" s="385"/>
      <c r="AJ831" s="385"/>
      <c r="AK831" s="397"/>
      <c r="AL831" s="763" t="s">
        <v>432</v>
      </c>
      <c r="AM831" s="387"/>
      <c r="AN831" s="387"/>
      <c r="AO831" s="387"/>
      <c r="AP831" s="387"/>
      <c r="AQ831" s="387"/>
      <c r="AR831" s="387"/>
      <c r="AS831" s="387"/>
      <c r="AT831" s="387"/>
      <c r="AU831" s="387"/>
      <c r="AV831" s="387"/>
      <c r="AW831" s="387"/>
      <c r="AX831" s="387"/>
      <c r="AY831" s="387"/>
      <c r="AZ831" s="387"/>
      <c r="BA831" s="387"/>
      <c r="BB831" s="388"/>
      <c r="BC831" s="388"/>
      <c r="BD831" s="388"/>
    </row>
    <row r="832" spans="1:56" s="1" customFormat="1" ht="41.25" customHeight="1" x14ac:dyDescent="0.25">
      <c r="A832" s="275" t="str">
        <f>'Q100b-totais'!$B$58</f>
        <v>8.6</v>
      </c>
      <c r="B832" s="1205" t="s">
        <v>691</v>
      </c>
      <c r="C832" s="167" t="s">
        <v>432</v>
      </c>
      <c r="D832" s="362" t="s">
        <v>699</v>
      </c>
      <c r="E832" s="1507" t="s">
        <v>1306</v>
      </c>
      <c r="F832" s="338" t="s">
        <v>1667</v>
      </c>
      <c r="G832" s="408" t="s">
        <v>703</v>
      </c>
      <c r="H832" s="171" t="s">
        <v>432</v>
      </c>
      <c r="I832" s="57">
        <v>1</v>
      </c>
      <c r="J832" s="107" t="s">
        <v>432</v>
      </c>
      <c r="K832" s="107" t="s">
        <v>432</v>
      </c>
      <c r="L832" s="58" t="s">
        <v>432</v>
      </c>
      <c r="M832" s="58" t="s">
        <v>432</v>
      </c>
      <c r="N832" s="58" t="s">
        <v>432</v>
      </c>
      <c r="O832" s="58" t="s">
        <v>432</v>
      </c>
      <c r="P832" s="58" t="s">
        <v>432</v>
      </c>
      <c r="Q832" s="58" t="s">
        <v>432</v>
      </c>
      <c r="R832" s="58" t="s">
        <v>432</v>
      </c>
      <c r="S832" s="109" t="s">
        <v>2209</v>
      </c>
      <c r="T832" s="58" t="s">
        <v>432</v>
      </c>
      <c r="U832" s="58" t="s">
        <v>432</v>
      </c>
      <c r="V832" s="109" t="s">
        <v>2209</v>
      </c>
      <c r="W832" s="58" t="s">
        <v>432</v>
      </c>
      <c r="X832" s="58" t="s">
        <v>432</v>
      </c>
      <c r="Y832" s="58" t="s">
        <v>432</v>
      </c>
      <c r="Z832" s="58" t="s">
        <v>432</v>
      </c>
      <c r="AA832" s="58" t="s">
        <v>432</v>
      </c>
      <c r="AB832" s="20">
        <f t="shared" ref="AB832:AK832" si="188">AB835+AB836+AB837</f>
        <v>1104</v>
      </c>
      <c r="AC832" s="20">
        <f t="shared" si="188"/>
        <v>1106</v>
      </c>
      <c r="AD832" s="20">
        <f t="shared" si="188"/>
        <v>1195</v>
      </c>
      <c r="AE832" s="20">
        <f t="shared" si="188"/>
        <v>1194</v>
      </c>
      <c r="AF832" s="20">
        <f t="shared" si="188"/>
        <v>1206</v>
      </c>
      <c r="AG832" s="20">
        <f t="shared" si="188"/>
        <v>1776</v>
      </c>
      <c r="AH832" s="20">
        <f t="shared" si="188"/>
        <v>1793</v>
      </c>
      <c r="AI832" s="20">
        <f t="shared" si="188"/>
        <v>2049</v>
      </c>
      <c r="AJ832" s="20">
        <f t="shared" si="188"/>
        <v>1903</v>
      </c>
      <c r="AK832" s="20">
        <f t="shared" si="188"/>
        <v>1871</v>
      </c>
      <c r="AL832" s="600" t="s">
        <v>432</v>
      </c>
      <c r="AM832" s="137" t="s">
        <v>432</v>
      </c>
      <c r="AN832" s="137" t="s">
        <v>432</v>
      </c>
      <c r="AO832" s="137" t="s">
        <v>432</v>
      </c>
      <c r="AP832" s="137" t="s">
        <v>432</v>
      </c>
      <c r="AQ832" s="137" t="s">
        <v>432</v>
      </c>
      <c r="AR832" s="137" t="s">
        <v>432</v>
      </c>
      <c r="AS832" s="137" t="s">
        <v>432</v>
      </c>
      <c r="AT832" s="137" t="s">
        <v>432</v>
      </c>
      <c r="AU832" s="137" t="s">
        <v>432</v>
      </c>
      <c r="AV832" s="137" t="s">
        <v>432</v>
      </c>
      <c r="AW832" s="137" t="s">
        <v>432</v>
      </c>
      <c r="AX832" s="137" t="s">
        <v>432</v>
      </c>
      <c r="AY832" s="137" t="s">
        <v>432</v>
      </c>
      <c r="AZ832" s="137" t="s">
        <v>432</v>
      </c>
      <c r="BA832" s="137" t="s">
        <v>432</v>
      </c>
      <c r="BB832" s="239" t="str">
        <f t="shared" ref="BB832:BB837" si="189">B832&amp;C832</f>
        <v>Transporte escolarx</v>
      </c>
      <c r="BC832" s="239" t="str">
        <f t="shared" ref="BC832:BC837" si="190">B832&amp;C832&amp;H832</f>
        <v>Transporte escolarxx</v>
      </c>
      <c r="BD832" s="239" t="str">
        <f t="shared" ref="BD832:BD837" si="191">B832&amp;H832</f>
        <v>Transporte escolarx</v>
      </c>
    </row>
    <row r="833" spans="1:56" s="1" customFormat="1" ht="65.25" customHeight="1" x14ac:dyDescent="0.25">
      <c r="A833" s="275" t="str">
        <f>'Q100b-totais'!$B$58</f>
        <v>8.6</v>
      </c>
      <c r="B833" s="54" t="s">
        <v>691</v>
      </c>
      <c r="C833" s="229" t="s">
        <v>743</v>
      </c>
      <c r="D833" s="977" t="s">
        <v>704</v>
      </c>
      <c r="E833" s="1402" t="s">
        <v>1306</v>
      </c>
      <c r="F833" s="15" t="s">
        <v>1364</v>
      </c>
      <c r="G833" s="252" t="s">
        <v>650</v>
      </c>
      <c r="H833" s="444" t="s">
        <v>678</v>
      </c>
      <c r="I833" s="57">
        <v>1</v>
      </c>
      <c r="J833" s="107" t="s">
        <v>432</v>
      </c>
      <c r="K833" s="107" t="s">
        <v>432</v>
      </c>
      <c r="L833" s="189" t="s">
        <v>432</v>
      </c>
      <c r="M833" s="189" t="s">
        <v>432</v>
      </c>
      <c r="N833" s="189" t="s">
        <v>432</v>
      </c>
      <c r="O833" s="189" t="s">
        <v>432</v>
      </c>
      <c r="P833" s="189" t="s">
        <v>432</v>
      </c>
      <c r="Q833" s="189" t="s">
        <v>432</v>
      </c>
      <c r="R833" s="189" t="s">
        <v>432</v>
      </c>
      <c r="S833" s="109" t="s">
        <v>2209</v>
      </c>
      <c r="T833" s="189" t="s">
        <v>432</v>
      </c>
      <c r="U833" s="189" t="s">
        <v>432</v>
      </c>
      <c r="V833" s="109" t="s">
        <v>2209</v>
      </c>
      <c r="W833" s="189" t="s">
        <v>432</v>
      </c>
      <c r="X833" s="189" t="s">
        <v>432</v>
      </c>
      <c r="Y833" s="189" t="s">
        <v>432</v>
      </c>
      <c r="Z833" s="189" t="s">
        <v>432</v>
      </c>
      <c r="AA833" s="189" t="s">
        <v>432</v>
      </c>
      <c r="AB833" s="888" t="s">
        <v>432</v>
      </c>
      <c r="AC833" s="888" t="s">
        <v>432</v>
      </c>
      <c r="AD833" s="888" t="s">
        <v>432</v>
      </c>
      <c r="AE833" s="888" t="s">
        <v>432</v>
      </c>
      <c r="AF833" s="888" t="s">
        <v>432</v>
      </c>
      <c r="AG833" s="888" t="s">
        <v>432</v>
      </c>
      <c r="AH833" s="888" t="s">
        <v>432</v>
      </c>
      <c r="AI833" s="888" t="s">
        <v>432</v>
      </c>
      <c r="AJ833" s="888" t="s">
        <v>432</v>
      </c>
      <c r="AK833" s="888" t="s">
        <v>432</v>
      </c>
      <c r="AL833" s="600" t="s">
        <v>432</v>
      </c>
      <c r="AM833" s="137" t="s">
        <v>432</v>
      </c>
      <c r="AN833" s="137" t="s">
        <v>432</v>
      </c>
      <c r="AO833" s="137" t="s">
        <v>432</v>
      </c>
      <c r="AP833" s="137" t="s">
        <v>432</v>
      </c>
      <c r="AQ833" s="137" t="s">
        <v>432</v>
      </c>
      <c r="AR833" s="137" t="s">
        <v>432</v>
      </c>
      <c r="AS833" s="137" t="s">
        <v>432</v>
      </c>
      <c r="AT833" s="137" t="s">
        <v>432</v>
      </c>
      <c r="AU833" s="137" t="s">
        <v>432</v>
      </c>
      <c r="AV833" s="137" t="s">
        <v>432</v>
      </c>
      <c r="AW833" s="137" t="s">
        <v>432</v>
      </c>
      <c r="AX833" s="137" t="s">
        <v>432</v>
      </c>
      <c r="AY833" s="137" t="s">
        <v>432</v>
      </c>
      <c r="AZ833" s="137" t="s">
        <v>432</v>
      </c>
      <c r="BA833" s="137" t="s">
        <v>432</v>
      </c>
      <c r="BB833" s="239" t="str">
        <f t="shared" si="189"/>
        <v>Transporte escolaracessibilidade</v>
      </c>
      <c r="BC833" s="239" t="str">
        <f t="shared" si="190"/>
        <v>Transporte escolaracessibilidadeainda não incorporado ao SisMob-BH</v>
      </c>
      <c r="BD833" s="239" t="str">
        <f t="shared" si="191"/>
        <v>Transporte escolarainda não incorporado ao SisMob-BH</v>
      </c>
    </row>
    <row r="834" spans="1:56" s="1" customFormat="1" ht="101.25" customHeight="1" x14ac:dyDescent="0.25">
      <c r="A834" s="275" t="str">
        <f>'Q100b-totais'!$B$58</f>
        <v>8.6</v>
      </c>
      <c r="B834" s="54" t="s">
        <v>691</v>
      </c>
      <c r="C834" s="229" t="s">
        <v>743</v>
      </c>
      <c r="D834" s="977" t="s">
        <v>3137</v>
      </c>
      <c r="E834" s="1402" t="s">
        <v>1306</v>
      </c>
      <c r="F834" s="15" t="s">
        <v>705</v>
      </c>
      <c r="G834" s="14" t="s">
        <v>755</v>
      </c>
      <c r="H834" s="444" t="s">
        <v>678</v>
      </c>
      <c r="I834" s="57">
        <v>1</v>
      </c>
      <c r="J834" s="107" t="s">
        <v>432</v>
      </c>
      <c r="K834" s="107" t="s">
        <v>432</v>
      </c>
      <c r="L834" s="58" t="s">
        <v>432</v>
      </c>
      <c r="M834" s="58" t="s">
        <v>432</v>
      </c>
      <c r="N834" s="58" t="s">
        <v>432</v>
      </c>
      <c r="O834" s="58" t="s">
        <v>432</v>
      </c>
      <c r="P834" s="58" t="s">
        <v>432</v>
      </c>
      <c r="Q834" s="58" t="s">
        <v>432</v>
      </c>
      <c r="R834" s="58" t="s">
        <v>432</v>
      </c>
      <c r="S834" s="109" t="s">
        <v>2209</v>
      </c>
      <c r="T834" s="58" t="s">
        <v>432</v>
      </c>
      <c r="U834" s="58" t="s">
        <v>432</v>
      </c>
      <c r="V834" s="109" t="s">
        <v>2209</v>
      </c>
      <c r="W834" s="58" t="s">
        <v>432</v>
      </c>
      <c r="X834" s="58" t="s">
        <v>432</v>
      </c>
      <c r="Y834" s="58" t="s">
        <v>432</v>
      </c>
      <c r="Z834" s="58" t="s">
        <v>432</v>
      </c>
      <c r="AA834" s="58" t="s">
        <v>432</v>
      </c>
      <c r="AB834" s="23" t="s">
        <v>432</v>
      </c>
      <c r="AC834" s="23" t="s">
        <v>432</v>
      </c>
      <c r="AD834" s="23" t="s">
        <v>432</v>
      </c>
      <c r="AE834" s="23" t="s">
        <v>432</v>
      </c>
      <c r="AF834" s="23" t="s">
        <v>432</v>
      </c>
      <c r="AG834" s="23" t="s">
        <v>432</v>
      </c>
      <c r="AH834" s="23" t="s">
        <v>432</v>
      </c>
      <c r="AI834" s="23" t="s">
        <v>432</v>
      </c>
      <c r="AJ834" s="23" t="s">
        <v>432</v>
      </c>
      <c r="AK834" s="23" t="s">
        <v>432</v>
      </c>
      <c r="AL834" s="600" t="s">
        <v>432</v>
      </c>
      <c r="AM834" s="137" t="s">
        <v>432</v>
      </c>
      <c r="AN834" s="137" t="s">
        <v>432</v>
      </c>
      <c r="AO834" s="137" t="s">
        <v>432</v>
      </c>
      <c r="AP834" s="137" t="s">
        <v>432</v>
      </c>
      <c r="AQ834" s="137" t="s">
        <v>432</v>
      </c>
      <c r="AR834" s="137" t="s">
        <v>432</v>
      </c>
      <c r="AS834" s="137" t="s">
        <v>432</v>
      </c>
      <c r="AT834" s="137" t="s">
        <v>432</v>
      </c>
      <c r="AU834" s="137" t="s">
        <v>432</v>
      </c>
      <c r="AV834" s="137" t="s">
        <v>432</v>
      </c>
      <c r="AW834" s="137" t="s">
        <v>432</v>
      </c>
      <c r="AX834" s="137" t="s">
        <v>432</v>
      </c>
      <c r="AY834" s="137" t="s">
        <v>432</v>
      </c>
      <c r="AZ834" s="137" t="s">
        <v>432</v>
      </c>
      <c r="BA834" s="137" t="s">
        <v>432</v>
      </c>
      <c r="BB834" s="239" t="str">
        <f t="shared" si="189"/>
        <v>Transporte escolaracessibilidade</v>
      </c>
      <c r="BC834" s="239" t="str">
        <f t="shared" si="190"/>
        <v>Transporte escolaracessibilidadeainda não incorporado ao SisMob-BH</v>
      </c>
      <c r="BD834" s="239" t="str">
        <f t="shared" si="191"/>
        <v>Transporte escolarainda não incorporado ao SisMob-BH</v>
      </c>
    </row>
    <row r="835" spans="1:56" s="1" customFormat="1" ht="38.25" x14ac:dyDescent="0.25">
      <c r="A835" s="275" t="str">
        <f>'Q100b-totais'!$B$58</f>
        <v>8.6</v>
      </c>
      <c r="B835" s="54" t="s">
        <v>691</v>
      </c>
      <c r="C835" s="230" t="s">
        <v>432</v>
      </c>
      <c r="D835" s="978" t="s">
        <v>700</v>
      </c>
      <c r="E835" s="1507" t="s">
        <v>1306</v>
      </c>
      <c r="F835" s="338" t="s">
        <v>2653</v>
      </c>
      <c r="G835" s="110" t="s">
        <v>77</v>
      </c>
      <c r="H835" s="171" t="s">
        <v>432</v>
      </c>
      <c r="I835" s="57">
        <v>1</v>
      </c>
      <c r="J835" s="107" t="s">
        <v>432</v>
      </c>
      <c r="K835" s="107" t="s">
        <v>432</v>
      </c>
      <c r="L835" s="93" t="s">
        <v>432</v>
      </c>
      <c r="M835" s="93" t="s">
        <v>432</v>
      </c>
      <c r="N835" s="93" t="s">
        <v>432</v>
      </c>
      <c r="O835" s="93" t="s">
        <v>432</v>
      </c>
      <c r="P835" s="93" t="s">
        <v>432</v>
      </c>
      <c r="Q835" s="93" t="s">
        <v>432</v>
      </c>
      <c r="R835" s="93" t="s">
        <v>432</v>
      </c>
      <c r="S835" s="109" t="s">
        <v>2209</v>
      </c>
      <c r="T835" s="93" t="s">
        <v>432</v>
      </c>
      <c r="U835" s="93" t="s">
        <v>432</v>
      </c>
      <c r="V835" s="109" t="s">
        <v>2209</v>
      </c>
      <c r="W835" s="93" t="s">
        <v>432</v>
      </c>
      <c r="X835" s="93" t="s">
        <v>432</v>
      </c>
      <c r="Y835" s="93" t="s">
        <v>432</v>
      </c>
      <c r="Z835" s="93" t="s">
        <v>432</v>
      </c>
      <c r="AA835" s="93" t="s">
        <v>432</v>
      </c>
      <c r="AB835" s="86">
        <v>49</v>
      </c>
      <c r="AC835" s="86">
        <v>47</v>
      </c>
      <c r="AD835" s="86">
        <v>34</v>
      </c>
      <c r="AE835" s="86">
        <v>28</v>
      </c>
      <c r="AF835" s="86">
        <v>30</v>
      </c>
      <c r="AG835" s="87">
        <v>29</v>
      </c>
      <c r="AH835" s="87">
        <v>26</v>
      </c>
      <c r="AI835" s="87">
        <v>21</v>
      </c>
      <c r="AJ835" s="87">
        <v>18</v>
      </c>
      <c r="AK835" s="84">
        <v>16</v>
      </c>
      <c r="AL835" s="600" t="s">
        <v>432</v>
      </c>
      <c r="AM835" s="137" t="s">
        <v>432</v>
      </c>
      <c r="AN835" s="137" t="s">
        <v>432</v>
      </c>
      <c r="AO835" s="137" t="s">
        <v>432</v>
      </c>
      <c r="AP835" s="137" t="s">
        <v>432</v>
      </c>
      <c r="AQ835" s="137" t="s">
        <v>432</v>
      </c>
      <c r="AR835" s="137" t="s">
        <v>432</v>
      </c>
      <c r="AS835" s="137" t="s">
        <v>432</v>
      </c>
      <c r="AT835" s="137" t="s">
        <v>432</v>
      </c>
      <c r="AU835" s="137" t="s">
        <v>432</v>
      </c>
      <c r="AV835" s="137" t="s">
        <v>432</v>
      </c>
      <c r="AW835" s="137" t="s">
        <v>432</v>
      </c>
      <c r="AX835" s="137" t="s">
        <v>432</v>
      </c>
      <c r="AY835" s="137" t="s">
        <v>432</v>
      </c>
      <c r="AZ835" s="137" t="s">
        <v>432</v>
      </c>
      <c r="BA835" s="137" t="s">
        <v>432</v>
      </c>
      <c r="BB835" s="239" t="str">
        <f t="shared" si="189"/>
        <v>Transporte escolarx</v>
      </c>
      <c r="BC835" s="239" t="str">
        <f t="shared" si="190"/>
        <v>Transporte escolarxx</v>
      </c>
      <c r="BD835" s="239" t="str">
        <f t="shared" si="191"/>
        <v>Transporte escolarx</v>
      </c>
    </row>
    <row r="836" spans="1:56" s="1" customFormat="1" ht="38.25" x14ac:dyDescent="0.25">
      <c r="A836" s="275" t="str">
        <f>'Q100b-totais'!$B$58</f>
        <v>8.6</v>
      </c>
      <c r="B836" s="54" t="s">
        <v>691</v>
      </c>
      <c r="C836" s="230" t="s">
        <v>432</v>
      </c>
      <c r="D836" s="978" t="s">
        <v>701</v>
      </c>
      <c r="E836" s="1507" t="s">
        <v>1306</v>
      </c>
      <c r="F836" s="338" t="s">
        <v>2654</v>
      </c>
      <c r="G836" s="110" t="s">
        <v>77</v>
      </c>
      <c r="H836" s="171" t="s">
        <v>432</v>
      </c>
      <c r="I836" s="57">
        <v>1</v>
      </c>
      <c r="J836" s="107" t="s">
        <v>432</v>
      </c>
      <c r="K836" s="107" t="s">
        <v>432</v>
      </c>
      <c r="L836" s="93" t="s">
        <v>432</v>
      </c>
      <c r="M836" s="93" t="s">
        <v>432</v>
      </c>
      <c r="N836" s="93" t="s">
        <v>432</v>
      </c>
      <c r="O836" s="93" t="s">
        <v>432</v>
      </c>
      <c r="P836" s="93" t="s">
        <v>432</v>
      </c>
      <c r="Q836" s="93" t="s">
        <v>432</v>
      </c>
      <c r="R836" s="93" t="s">
        <v>432</v>
      </c>
      <c r="S836" s="109" t="s">
        <v>2209</v>
      </c>
      <c r="T836" s="93" t="s">
        <v>432</v>
      </c>
      <c r="U836" s="93" t="s">
        <v>432</v>
      </c>
      <c r="V836" s="109" t="s">
        <v>2209</v>
      </c>
      <c r="W836" s="93" t="s">
        <v>432</v>
      </c>
      <c r="X836" s="93" t="s">
        <v>432</v>
      </c>
      <c r="Y836" s="93" t="s">
        <v>432</v>
      </c>
      <c r="Z836" s="93" t="s">
        <v>432</v>
      </c>
      <c r="AA836" s="93" t="s">
        <v>432</v>
      </c>
      <c r="AB836" s="86">
        <v>779</v>
      </c>
      <c r="AC836" s="86">
        <v>788</v>
      </c>
      <c r="AD836" s="86">
        <v>872</v>
      </c>
      <c r="AE836" s="86">
        <v>882</v>
      </c>
      <c r="AF836" s="86">
        <v>875</v>
      </c>
      <c r="AG836" s="87">
        <v>1407</v>
      </c>
      <c r="AH836" s="87">
        <v>1409</v>
      </c>
      <c r="AI836" s="87">
        <v>1639</v>
      </c>
      <c r="AJ836" s="87">
        <v>1607</v>
      </c>
      <c r="AK836" s="84">
        <v>1572</v>
      </c>
      <c r="AL836" s="600" t="s">
        <v>432</v>
      </c>
      <c r="AM836" s="137" t="s">
        <v>432</v>
      </c>
      <c r="AN836" s="137" t="s">
        <v>432</v>
      </c>
      <c r="AO836" s="137" t="s">
        <v>432</v>
      </c>
      <c r="AP836" s="137" t="s">
        <v>432</v>
      </c>
      <c r="AQ836" s="137" t="s">
        <v>432</v>
      </c>
      <c r="AR836" s="137" t="s">
        <v>432</v>
      </c>
      <c r="AS836" s="137" t="s">
        <v>432</v>
      </c>
      <c r="AT836" s="137" t="s">
        <v>432</v>
      </c>
      <c r="AU836" s="137" t="s">
        <v>432</v>
      </c>
      <c r="AV836" s="137" t="s">
        <v>432</v>
      </c>
      <c r="AW836" s="137" t="s">
        <v>432</v>
      </c>
      <c r="AX836" s="137" t="s">
        <v>432</v>
      </c>
      <c r="AY836" s="137" t="s">
        <v>432</v>
      </c>
      <c r="AZ836" s="137" t="s">
        <v>432</v>
      </c>
      <c r="BA836" s="137" t="s">
        <v>432</v>
      </c>
      <c r="BB836" s="239" t="str">
        <f t="shared" si="189"/>
        <v>Transporte escolarx</v>
      </c>
      <c r="BC836" s="239" t="str">
        <f t="shared" si="190"/>
        <v>Transporte escolarxx</v>
      </c>
      <c r="BD836" s="239" t="str">
        <f t="shared" si="191"/>
        <v>Transporte escolarx</v>
      </c>
    </row>
    <row r="837" spans="1:56" s="1" customFormat="1" ht="38.25" x14ac:dyDescent="0.25">
      <c r="A837" s="275" t="str">
        <f>'Q100b-totais'!$B$58</f>
        <v>8.6</v>
      </c>
      <c r="B837" s="54" t="s">
        <v>691</v>
      </c>
      <c r="C837" s="230" t="s">
        <v>432</v>
      </c>
      <c r="D837" s="978" t="s">
        <v>702</v>
      </c>
      <c r="E837" s="1507" t="s">
        <v>1306</v>
      </c>
      <c r="F837" s="338" t="s">
        <v>2655</v>
      </c>
      <c r="G837" s="110" t="s">
        <v>77</v>
      </c>
      <c r="H837" s="171" t="s">
        <v>432</v>
      </c>
      <c r="I837" s="57">
        <v>1</v>
      </c>
      <c r="J837" s="107" t="s">
        <v>432</v>
      </c>
      <c r="K837" s="107" t="s">
        <v>432</v>
      </c>
      <c r="L837" s="93" t="s">
        <v>432</v>
      </c>
      <c r="M837" s="93" t="s">
        <v>432</v>
      </c>
      <c r="N837" s="93" t="s">
        <v>432</v>
      </c>
      <c r="O837" s="93" t="s">
        <v>432</v>
      </c>
      <c r="P837" s="93" t="s">
        <v>432</v>
      </c>
      <c r="Q837" s="93" t="s">
        <v>432</v>
      </c>
      <c r="R837" s="93" t="s">
        <v>432</v>
      </c>
      <c r="S837" s="109" t="s">
        <v>2209</v>
      </c>
      <c r="T837" s="93" t="s">
        <v>432</v>
      </c>
      <c r="U837" s="93" t="s">
        <v>432</v>
      </c>
      <c r="V837" s="109" t="s">
        <v>2209</v>
      </c>
      <c r="W837" s="93" t="s">
        <v>432</v>
      </c>
      <c r="X837" s="93" t="s">
        <v>432</v>
      </c>
      <c r="Y837" s="93" t="s">
        <v>432</v>
      </c>
      <c r="Z837" s="93" t="s">
        <v>432</v>
      </c>
      <c r="AA837" s="93" t="s">
        <v>432</v>
      </c>
      <c r="AB837" s="86">
        <v>276</v>
      </c>
      <c r="AC837" s="86">
        <v>271</v>
      </c>
      <c r="AD837" s="86">
        <v>289</v>
      </c>
      <c r="AE837" s="86">
        <v>284</v>
      </c>
      <c r="AF837" s="86">
        <v>301</v>
      </c>
      <c r="AG837" s="86">
        <v>340</v>
      </c>
      <c r="AH837" s="86">
        <v>358</v>
      </c>
      <c r="AI837" s="86">
        <v>389</v>
      </c>
      <c r="AJ837" s="86">
        <v>278</v>
      </c>
      <c r="AK837" s="84">
        <v>283</v>
      </c>
      <c r="AL837" s="600" t="s">
        <v>432</v>
      </c>
      <c r="AM837" s="137" t="s">
        <v>432</v>
      </c>
      <c r="AN837" s="137" t="s">
        <v>432</v>
      </c>
      <c r="AO837" s="137" t="s">
        <v>432</v>
      </c>
      <c r="AP837" s="137" t="s">
        <v>432</v>
      </c>
      <c r="AQ837" s="137" t="s">
        <v>432</v>
      </c>
      <c r="AR837" s="137" t="s">
        <v>432</v>
      </c>
      <c r="AS837" s="137" t="s">
        <v>432</v>
      </c>
      <c r="AT837" s="137" t="s">
        <v>432</v>
      </c>
      <c r="AU837" s="137" t="s">
        <v>432</v>
      </c>
      <c r="AV837" s="137" t="s">
        <v>432</v>
      </c>
      <c r="AW837" s="137" t="s">
        <v>432</v>
      </c>
      <c r="AX837" s="137" t="s">
        <v>432</v>
      </c>
      <c r="AY837" s="137" t="s">
        <v>432</v>
      </c>
      <c r="AZ837" s="137" t="s">
        <v>432</v>
      </c>
      <c r="BA837" s="137" t="s">
        <v>432</v>
      </c>
      <c r="BB837" s="239" t="str">
        <f t="shared" si="189"/>
        <v>Transporte escolarx</v>
      </c>
      <c r="BC837" s="239" t="str">
        <f t="shared" si="190"/>
        <v>Transporte escolarxx</v>
      </c>
      <c r="BD837" s="239" t="str">
        <f t="shared" si="191"/>
        <v>Transporte escolarx</v>
      </c>
    </row>
    <row r="838" spans="1:56" s="373" customFormat="1" x14ac:dyDescent="0.25">
      <c r="A838" s="383"/>
      <c r="B838" s="384"/>
      <c r="C838" s="384"/>
      <c r="D838" s="719"/>
      <c r="E838" s="1519"/>
      <c r="F838" s="385"/>
      <c r="G838" s="385"/>
      <c r="H838" s="384"/>
      <c r="I838" s="385"/>
      <c r="J838" s="385"/>
      <c r="K838" s="385"/>
      <c r="L838" s="385"/>
      <c r="M838" s="385"/>
      <c r="N838" s="385"/>
      <c r="O838" s="385"/>
      <c r="P838" s="385"/>
      <c r="Q838" s="385"/>
      <c r="R838" s="385"/>
      <c r="S838" s="385"/>
      <c r="T838" s="385"/>
      <c r="U838" s="385"/>
      <c r="V838" s="385"/>
      <c r="W838" s="385"/>
      <c r="X838" s="385"/>
      <c r="Y838" s="385"/>
      <c r="Z838" s="385"/>
      <c r="AA838" s="385"/>
      <c r="AB838" s="385"/>
      <c r="AC838" s="385"/>
      <c r="AD838" s="385"/>
      <c r="AE838" s="385"/>
      <c r="AF838" s="385"/>
      <c r="AG838" s="385"/>
      <c r="AH838" s="385"/>
      <c r="AI838" s="385"/>
      <c r="AJ838" s="385"/>
      <c r="AK838" s="397"/>
      <c r="AL838" s="763" t="s">
        <v>432</v>
      </c>
      <c r="AM838" s="387"/>
      <c r="AN838" s="387"/>
      <c r="AO838" s="387"/>
      <c r="AP838" s="387"/>
      <c r="AQ838" s="387"/>
      <c r="AR838" s="387"/>
      <c r="AS838" s="387"/>
      <c r="AT838" s="387"/>
      <c r="AU838" s="387"/>
      <c r="AV838" s="387"/>
      <c r="AW838" s="387"/>
      <c r="AX838" s="387"/>
      <c r="AY838" s="387"/>
      <c r="AZ838" s="387"/>
      <c r="BA838" s="387"/>
      <c r="BB838" s="388"/>
      <c r="BC838" s="388"/>
      <c r="BD838" s="388"/>
    </row>
    <row r="839" spans="1:56" s="1" customFormat="1" ht="51" customHeight="1" x14ac:dyDescent="0.25">
      <c r="A839" s="275" t="str">
        <f>'Q100b-totais'!$B$17</f>
        <v>2.2</v>
      </c>
      <c r="B839" s="1205" t="str">
        <f>'Q100b-totais'!$C$17</f>
        <v>Frota e condutores de veículos automotores</v>
      </c>
      <c r="C839" s="57" t="s">
        <v>432</v>
      </c>
      <c r="D839" s="325" t="s">
        <v>464</v>
      </c>
      <c r="E839" s="1402" t="s">
        <v>1306</v>
      </c>
      <c r="F839" s="15" t="s">
        <v>3638</v>
      </c>
      <c r="G839" s="110" t="s">
        <v>77</v>
      </c>
      <c r="H839" s="167" t="s">
        <v>432</v>
      </c>
      <c r="I839" s="167">
        <v>1</v>
      </c>
      <c r="J839" s="93" t="s">
        <v>432</v>
      </c>
      <c r="K839" s="84" t="s">
        <v>432</v>
      </c>
      <c r="L839" s="84" t="s">
        <v>432</v>
      </c>
      <c r="M839" s="84" t="s">
        <v>432</v>
      </c>
      <c r="N839" s="84" t="s">
        <v>432</v>
      </c>
      <c r="O839" s="84" t="s">
        <v>432</v>
      </c>
      <c r="P839" s="84" t="s">
        <v>432</v>
      </c>
      <c r="Q839" s="84" t="s">
        <v>432</v>
      </c>
      <c r="R839" s="84" t="s">
        <v>432</v>
      </c>
      <c r="S839" s="109" t="s">
        <v>2209</v>
      </c>
      <c r="T839" s="87" t="s">
        <v>432</v>
      </c>
      <c r="U839" s="87" t="s">
        <v>432</v>
      </c>
      <c r="V839" s="109" t="s">
        <v>2209</v>
      </c>
      <c r="W839" s="93" t="s">
        <v>432</v>
      </c>
      <c r="X839" s="93" t="s">
        <v>432</v>
      </c>
      <c r="Y839" s="93" t="s">
        <v>432</v>
      </c>
      <c r="Z839" s="93" t="s">
        <v>432</v>
      </c>
      <c r="AA839" s="93" t="s">
        <v>432</v>
      </c>
      <c r="AB839" s="93" t="s">
        <v>432</v>
      </c>
      <c r="AC839" s="93" t="s">
        <v>432</v>
      </c>
      <c r="AD839" s="84">
        <v>276</v>
      </c>
      <c r="AE839" s="84">
        <v>283</v>
      </c>
      <c r="AF839" s="84">
        <v>295</v>
      </c>
      <c r="AG839" s="84">
        <v>323</v>
      </c>
      <c r="AH839" s="84">
        <v>335</v>
      </c>
      <c r="AI839" s="84">
        <v>342</v>
      </c>
      <c r="AJ839" s="84">
        <v>349</v>
      </c>
      <c r="AK839" s="84">
        <v>319</v>
      </c>
      <c r="AL839" s="600" t="s">
        <v>432</v>
      </c>
      <c r="AM839" s="137" t="s">
        <v>432</v>
      </c>
      <c r="AN839" s="137" t="s">
        <v>432</v>
      </c>
      <c r="AO839" s="137" t="s">
        <v>432</v>
      </c>
      <c r="AP839" s="137" t="s">
        <v>432</v>
      </c>
      <c r="AQ839" s="137" t="s">
        <v>432</v>
      </c>
      <c r="AR839" s="137" t="s">
        <v>432</v>
      </c>
      <c r="AS839" s="137" t="s">
        <v>432</v>
      </c>
      <c r="AT839" s="137" t="s">
        <v>432</v>
      </c>
      <c r="AU839" s="137" t="s">
        <v>432</v>
      </c>
      <c r="AV839" s="137" t="s">
        <v>432</v>
      </c>
      <c r="AW839" s="137" t="s">
        <v>432</v>
      </c>
      <c r="AX839" s="137" t="s">
        <v>432</v>
      </c>
      <c r="AY839" s="137" t="s">
        <v>432</v>
      </c>
      <c r="AZ839" s="137" t="s">
        <v>432</v>
      </c>
      <c r="BA839" s="137" t="s">
        <v>432</v>
      </c>
      <c r="BB839" s="239" t="str">
        <f t="shared" ref="BB839:BB851" si="192">B839&amp;C839</f>
        <v>Frota e condutores de veículos automotoresx</v>
      </c>
      <c r="BC839" s="239" t="str">
        <f t="shared" ref="BC839:BC851" si="193">B839&amp;C839&amp;H839</f>
        <v>Frota e condutores de veículos automotoresxx</v>
      </c>
      <c r="BD839" s="239" t="str">
        <f t="shared" ref="BD839:BD851" si="194">B839&amp;H839</f>
        <v>Frota e condutores de veículos automotoresx</v>
      </c>
    </row>
    <row r="840" spans="1:56" s="1" customFormat="1" ht="51" customHeight="1" x14ac:dyDescent="0.25">
      <c r="A840" s="275" t="str">
        <f>'Q100b-totais'!$B$17</f>
        <v>2.2</v>
      </c>
      <c r="B840" s="54" t="str">
        <f>'Q100b-totais'!$C$17</f>
        <v>Frota e condutores de veículos automotores</v>
      </c>
      <c r="C840" s="230" t="s">
        <v>432</v>
      </c>
      <c r="D840" s="948" t="s">
        <v>465</v>
      </c>
      <c r="E840" s="1402" t="s">
        <v>1306</v>
      </c>
      <c r="F840" s="15" t="s">
        <v>3639</v>
      </c>
      <c r="G840" s="110" t="s">
        <v>77</v>
      </c>
      <c r="H840" s="167" t="s">
        <v>432</v>
      </c>
      <c r="I840" s="167">
        <v>1</v>
      </c>
      <c r="J840" s="93" t="s">
        <v>432</v>
      </c>
      <c r="K840" s="84" t="s">
        <v>432</v>
      </c>
      <c r="L840" s="84" t="s">
        <v>432</v>
      </c>
      <c r="M840" s="84" t="s">
        <v>432</v>
      </c>
      <c r="N840" s="84" t="s">
        <v>432</v>
      </c>
      <c r="O840" s="84" t="s">
        <v>432</v>
      </c>
      <c r="P840" s="84" t="s">
        <v>432</v>
      </c>
      <c r="Q840" s="84" t="s">
        <v>432</v>
      </c>
      <c r="R840" s="84" t="s">
        <v>432</v>
      </c>
      <c r="S840" s="109" t="s">
        <v>2209</v>
      </c>
      <c r="T840" s="87" t="s">
        <v>432</v>
      </c>
      <c r="U840" s="87" t="s">
        <v>432</v>
      </c>
      <c r="V840" s="109" t="s">
        <v>2209</v>
      </c>
      <c r="W840" s="93" t="s">
        <v>432</v>
      </c>
      <c r="X840" s="93" t="s">
        <v>432</v>
      </c>
      <c r="Y840" s="93" t="s">
        <v>432</v>
      </c>
      <c r="Z840" s="93" t="s">
        <v>432</v>
      </c>
      <c r="AA840" s="93" t="s">
        <v>432</v>
      </c>
      <c r="AB840" s="93" t="s">
        <v>432</v>
      </c>
      <c r="AC840" s="93" t="s">
        <v>432</v>
      </c>
      <c r="AD840" s="84">
        <v>1</v>
      </c>
      <c r="AE840" s="84">
        <v>3</v>
      </c>
      <c r="AF840" s="84">
        <v>3</v>
      </c>
      <c r="AG840" s="84">
        <v>2</v>
      </c>
      <c r="AH840" s="84">
        <v>2</v>
      </c>
      <c r="AI840" s="84">
        <v>2</v>
      </c>
      <c r="AJ840" s="84">
        <v>2</v>
      </c>
      <c r="AK840" s="84">
        <v>2</v>
      </c>
      <c r="AL840" s="600" t="s">
        <v>432</v>
      </c>
      <c r="AM840" s="137" t="s">
        <v>432</v>
      </c>
      <c r="AN840" s="137" t="s">
        <v>432</v>
      </c>
      <c r="AO840" s="137" t="s">
        <v>432</v>
      </c>
      <c r="AP840" s="137" t="s">
        <v>432</v>
      </c>
      <c r="AQ840" s="137" t="s">
        <v>432</v>
      </c>
      <c r="AR840" s="137" t="s">
        <v>432</v>
      </c>
      <c r="AS840" s="137" t="s">
        <v>432</v>
      </c>
      <c r="AT840" s="137" t="s">
        <v>432</v>
      </c>
      <c r="AU840" s="137" t="s">
        <v>432</v>
      </c>
      <c r="AV840" s="137" t="s">
        <v>432</v>
      </c>
      <c r="AW840" s="137" t="s">
        <v>432</v>
      </c>
      <c r="AX840" s="137" t="s">
        <v>432</v>
      </c>
      <c r="AY840" s="137" t="s">
        <v>432</v>
      </c>
      <c r="AZ840" s="137" t="s">
        <v>432</v>
      </c>
      <c r="BA840" s="137" t="s">
        <v>432</v>
      </c>
      <c r="BB840" s="239" t="str">
        <f t="shared" si="192"/>
        <v>Frota e condutores de veículos automotoresx</v>
      </c>
      <c r="BC840" s="239" t="str">
        <f t="shared" si="193"/>
        <v>Frota e condutores de veículos automotoresxx</v>
      </c>
      <c r="BD840" s="239" t="str">
        <f t="shared" si="194"/>
        <v>Frota e condutores de veículos automotoresx</v>
      </c>
    </row>
    <row r="841" spans="1:56" s="1" customFormat="1" ht="51" customHeight="1" x14ac:dyDescent="0.25">
      <c r="A841" s="275" t="str">
        <f>'Q100b-totais'!$B$17</f>
        <v>2.2</v>
      </c>
      <c r="B841" s="54" t="str">
        <f>'Q100b-totais'!$C$17</f>
        <v>Frota e condutores de veículos automotores</v>
      </c>
      <c r="C841" s="230" t="s">
        <v>432</v>
      </c>
      <c r="D841" s="948" t="s">
        <v>493</v>
      </c>
      <c r="E841" s="1402" t="s">
        <v>1306</v>
      </c>
      <c r="F841" s="15" t="s">
        <v>3640</v>
      </c>
      <c r="G841" s="110" t="s">
        <v>77</v>
      </c>
      <c r="H841" s="167" t="s">
        <v>432</v>
      </c>
      <c r="I841" s="167">
        <v>1</v>
      </c>
      <c r="J841" s="93" t="s">
        <v>432</v>
      </c>
      <c r="K841" s="84" t="s">
        <v>432</v>
      </c>
      <c r="L841" s="84" t="s">
        <v>432</v>
      </c>
      <c r="M841" s="84" t="s">
        <v>432</v>
      </c>
      <c r="N841" s="84" t="s">
        <v>432</v>
      </c>
      <c r="O841" s="84" t="s">
        <v>432</v>
      </c>
      <c r="P841" s="84" t="s">
        <v>432</v>
      </c>
      <c r="Q841" s="84" t="s">
        <v>432</v>
      </c>
      <c r="R841" s="84" t="s">
        <v>432</v>
      </c>
      <c r="S841" s="109" t="s">
        <v>2209</v>
      </c>
      <c r="T841" s="87" t="s">
        <v>432</v>
      </c>
      <c r="U841" s="87" t="s">
        <v>432</v>
      </c>
      <c r="V841" s="109" t="s">
        <v>2209</v>
      </c>
      <c r="W841" s="93" t="s">
        <v>432</v>
      </c>
      <c r="X841" s="93" t="s">
        <v>432</v>
      </c>
      <c r="Y841" s="93" t="s">
        <v>432</v>
      </c>
      <c r="Z841" s="93" t="s">
        <v>432</v>
      </c>
      <c r="AA841" s="93" t="s">
        <v>432</v>
      </c>
      <c r="AB841" s="93" t="s">
        <v>432</v>
      </c>
      <c r="AC841" s="93" t="s">
        <v>432</v>
      </c>
      <c r="AD841" s="87">
        <v>4253</v>
      </c>
      <c r="AE841" s="87">
        <v>4400</v>
      </c>
      <c r="AF841" s="87">
        <v>4730</v>
      </c>
      <c r="AG841" s="87">
        <v>5402</v>
      </c>
      <c r="AH841" s="87">
        <v>5586</v>
      </c>
      <c r="AI841" s="87">
        <v>5877</v>
      </c>
      <c r="AJ841" s="87">
        <v>6084</v>
      </c>
      <c r="AK841" s="87">
        <v>6192</v>
      </c>
      <c r="AL841" s="600" t="s">
        <v>432</v>
      </c>
      <c r="AM841" s="137" t="s">
        <v>432</v>
      </c>
      <c r="AN841" s="137" t="s">
        <v>432</v>
      </c>
      <c r="AO841" s="137" t="s">
        <v>432</v>
      </c>
      <c r="AP841" s="137" t="s">
        <v>432</v>
      </c>
      <c r="AQ841" s="137" t="s">
        <v>432</v>
      </c>
      <c r="AR841" s="137" t="s">
        <v>432</v>
      </c>
      <c r="AS841" s="137" t="s">
        <v>432</v>
      </c>
      <c r="AT841" s="137" t="s">
        <v>432</v>
      </c>
      <c r="AU841" s="137" t="s">
        <v>432</v>
      </c>
      <c r="AV841" s="137" t="s">
        <v>432</v>
      </c>
      <c r="AW841" s="137" t="s">
        <v>432</v>
      </c>
      <c r="AX841" s="137" t="s">
        <v>432</v>
      </c>
      <c r="AY841" s="137" t="s">
        <v>432</v>
      </c>
      <c r="AZ841" s="137" t="s">
        <v>432</v>
      </c>
      <c r="BA841" s="137" t="s">
        <v>432</v>
      </c>
      <c r="BB841" s="239" t="str">
        <f t="shared" si="192"/>
        <v>Frota e condutores de veículos automotoresx</v>
      </c>
      <c r="BC841" s="239" t="str">
        <f t="shared" si="193"/>
        <v>Frota e condutores de veículos automotoresxx</v>
      </c>
      <c r="BD841" s="239" t="str">
        <f t="shared" si="194"/>
        <v>Frota e condutores de veículos automotoresx</v>
      </c>
    </row>
    <row r="842" spans="1:56" s="1" customFormat="1" ht="51" customHeight="1" x14ac:dyDescent="0.25">
      <c r="A842" s="275" t="str">
        <f>'Q100b-totais'!$B$17</f>
        <v>2.2</v>
      </c>
      <c r="B842" s="54" t="str">
        <f>'Q100b-totais'!$C$17</f>
        <v>Frota e condutores de veículos automotores</v>
      </c>
      <c r="C842" s="230" t="s">
        <v>432</v>
      </c>
      <c r="D842" s="948" t="s">
        <v>466</v>
      </c>
      <c r="E842" s="1402" t="s">
        <v>1306</v>
      </c>
      <c r="F842" s="15" t="s">
        <v>3641</v>
      </c>
      <c r="G842" s="110" t="s">
        <v>77</v>
      </c>
      <c r="H842" s="167" t="s">
        <v>432</v>
      </c>
      <c r="I842" s="167">
        <v>1</v>
      </c>
      <c r="J842" s="107" t="s">
        <v>432</v>
      </c>
      <c r="K842" s="137" t="s">
        <v>432</v>
      </c>
      <c r="L842" s="137" t="s">
        <v>432</v>
      </c>
      <c r="M842" s="137" t="s">
        <v>432</v>
      </c>
      <c r="N842" s="137" t="s">
        <v>432</v>
      </c>
      <c r="O842" s="137" t="s">
        <v>432</v>
      </c>
      <c r="P842" s="137" t="s">
        <v>432</v>
      </c>
      <c r="Q842" s="137" t="s">
        <v>432</v>
      </c>
      <c r="R842" s="137" t="s">
        <v>432</v>
      </c>
      <c r="S842" s="109" t="s">
        <v>2209</v>
      </c>
      <c r="T842" s="108" t="s">
        <v>432</v>
      </c>
      <c r="U842" s="108" t="s">
        <v>432</v>
      </c>
      <c r="V842" s="109" t="s">
        <v>2209</v>
      </c>
      <c r="W842" s="93" t="s">
        <v>432</v>
      </c>
      <c r="X842" s="93" t="s">
        <v>432</v>
      </c>
      <c r="Y842" s="93" t="s">
        <v>432</v>
      </c>
      <c r="Z842" s="93" t="s">
        <v>432</v>
      </c>
      <c r="AA842" s="93" t="s">
        <v>432</v>
      </c>
      <c r="AB842" s="93" t="s">
        <v>432</v>
      </c>
      <c r="AC842" s="93" t="s">
        <v>432</v>
      </c>
      <c r="AD842" s="84">
        <v>7</v>
      </c>
      <c r="AE842" s="84">
        <v>15</v>
      </c>
      <c r="AF842" s="84">
        <v>29</v>
      </c>
      <c r="AG842" s="84">
        <v>41</v>
      </c>
      <c r="AH842" s="84">
        <v>61</v>
      </c>
      <c r="AI842" s="84">
        <v>72</v>
      </c>
      <c r="AJ842" s="84">
        <v>0</v>
      </c>
      <c r="AK842" s="84">
        <v>120</v>
      </c>
      <c r="AL842" s="600" t="s">
        <v>432</v>
      </c>
      <c r="AM842" s="137" t="s">
        <v>432</v>
      </c>
      <c r="AN842" s="137" t="s">
        <v>432</v>
      </c>
      <c r="AO842" s="137" t="s">
        <v>432</v>
      </c>
      <c r="AP842" s="137" t="s">
        <v>432</v>
      </c>
      <c r="AQ842" s="137" t="s">
        <v>432</v>
      </c>
      <c r="AR842" s="137" t="s">
        <v>432</v>
      </c>
      <c r="AS842" s="137" t="s">
        <v>432</v>
      </c>
      <c r="AT842" s="137" t="s">
        <v>432</v>
      </c>
      <c r="AU842" s="137" t="s">
        <v>432</v>
      </c>
      <c r="AV842" s="137" t="s">
        <v>432</v>
      </c>
      <c r="AW842" s="137" t="s">
        <v>432</v>
      </c>
      <c r="AX842" s="137" t="s">
        <v>432</v>
      </c>
      <c r="AY842" s="137" t="s">
        <v>432</v>
      </c>
      <c r="AZ842" s="137" t="s">
        <v>432</v>
      </c>
      <c r="BA842" s="137" t="s">
        <v>432</v>
      </c>
      <c r="BB842" s="239" t="str">
        <f t="shared" si="192"/>
        <v>Frota e condutores de veículos automotoresx</v>
      </c>
      <c r="BC842" s="239" t="str">
        <f t="shared" si="193"/>
        <v>Frota e condutores de veículos automotoresxx</v>
      </c>
      <c r="BD842" s="239" t="str">
        <f t="shared" si="194"/>
        <v>Frota e condutores de veículos automotoresx</v>
      </c>
    </row>
    <row r="843" spans="1:56" s="1" customFormat="1" ht="110.25" customHeight="1" x14ac:dyDescent="0.25">
      <c r="A843" s="275" t="str">
        <f>'Q100b-totais'!$B$17</f>
        <v>2.2</v>
      </c>
      <c r="B843" s="54" t="str">
        <f>'Q100b-totais'!$C$17</f>
        <v>Frota e condutores de veículos automotores</v>
      </c>
      <c r="C843" s="230" t="s">
        <v>432</v>
      </c>
      <c r="D843" s="977" t="s">
        <v>2600</v>
      </c>
      <c r="E843" s="1402" t="s">
        <v>1306</v>
      </c>
      <c r="F843" s="14" t="s">
        <v>4283</v>
      </c>
      <c r="G843" s="408" t="s">
        <v>437</v>
      </c>
      <c r="H843" s="167" t="s">
        <v>432</v>
      </c>
      <c r="I843" s="57">
        <v>1</v>
      </c>
      <c r="J843" s="107" t="s">
        <v>432</v>
      </c>
      <c r="K843" s="137" t="s">
        <v>432</v>
      </c>
      <c r="L843" s="137" t="s">
        <v>432</v>
      </c>
      <c r="M843" s="137" t="s">
        <v>432</v>
      </c>
      <c r="N843" s="137" t="s">
        <v>432</v>
      </c>
      <c r="O843" s="137" t="s">
        <v>432</v>
      </c>
      <c r="P843" s="137" t="s">
        <v>432</v>
      </c>
      <c r="Q843" s="137" t="s">
        <v>432</v>
      </c>
      <c r="R843" s="137" t="s">
        <v>432</v>
      </c>
      <c r="S843" s="109" t="s">
        <v>2209</v>
      </c>
      <c r="T843" s="20">
        <f>T848</f>
        <v>44634</v>
      </c>
      <c r="U843" s="20">
        <f>U848</f>
        <v>48415</v>
      </c>
      <c r="V843" s="109" t="s">
        <v>2209</v>
      </c>
      <c r="W843" s="20">
        <f>W848</f>
        <v>54690</v>
      </c>
      <c r="X843" s="20">
        <f>X848</f>
        <v>62860</v>
      </c>
      <c r="Y843" s="20">
        <f>Y848</f>
        <v>69774</v>
      </c>
      <c r="Z843" s="20">
        <f t="shared" ref="Z843:AK843" si="195">Z847+Z848+Z849</f>
        <v>80858</v>
      </c>
      <c r="AA843" s="20">
        <f t="shared" si="195"/>
        <v>89066</v>
      </c>
      <c r="AB843" s="20">
        <f t="shared" si="195"/>
        <v>102583</v>
      </c>
      <c r="AC843" s="20">
        <f t="shared" si="195"/>
        <v>122743</v>
      </c>
      <c r="AD843" s="20">
        <f t="shared" si="195"/>
        <v>142201</v>
      </c>
      <c r="AE843" s="20">
        <f t="shared" si="195"/>
        <v>160544</v>
      </c>
      <c r="AF843" s="20">
        <f t="shared" si="195"/>
        <v>175941</v>
      </c>
      <c r="AG843" s="20">
        <f t="shared" si="195"/>
        <v>191213</v>
      </c>
      <c r="AH843" s="20">
        <f t="shared" si="195"/>
        <v>201415</v>
      </c>
      <c r="AI843" s="20">
        <f t="shared" si="195"/>
        <v>210332</v>
      </c>
      <c r="AJ843" s="20">
        <f t="shared" si="195"/>
        <v>217139</v>
      </c>
      <c r="AK843" s="20">
        <f t="shared" si="195"/>
        <v>223763</v>
      </c>
      <c r="AL843" s="600" t="s">
        <v>432</v>
      </c>
      <c r="AM843" s="137" t="s">
        <v>432</v>
      </c>
      <c r="AN843" s="137" t="s">
        <v>432</v>
      </c>
      <c r="AO843" s="137" t="s">
        <v>432</v>
      </c>
      <c r="AP843" s="137" t="s">
        <v>432</v>
      </c>
      <c r="AQ843" s="137" t="s">
        <v>432</v>
      </c>
      <c r="AR843" s="137" t="s">
        <v>432</v>
      </c>
      <c r="AS843" s="137" t="s">
        <v>432</v>
      </c>
      <c r="AT843" s="137" t="s">
        <v>432</v>
      </c>
      <c r="AU843" s="137" t="s">
        <v>432</v>
      </c>
      <c r="AV843" s="137" t="s">
        <v>432</v>
      </c>
      <c r="AW843" s="137" t="s">
        <v>432</v>
      </c>
      <c r="AX843" s="137" t="s">
        <v>432</v>
      </c>
      <c r="AY843" s="137" t="s">
        <v>432</v>
      </c>
      <c r="AZ843" s="137" t="s">
        <v>432</v>
      </c>
      <c r="BA843" s="137" t="s">
        <v>432</v>
      </c>
      <c r="BB843" s="239" t="str">
        <f t="shared" si="192"/>
        <v>Frota e condutores de veículos automotoresx</v>
      </c>
      <c r="BC843" s="239" t="str">
        <f t="shared" si="193"/>
        <v>Frota e condutores de veículos automotoresxx</v>
      </c>
      <c r="BD843" s="239" t="str">
        <f t="shared" si="194"/>
        <v>Frota e condutores de veículos automotoresx</v>
      </c>
    </row>
    <row r="844" spans="1:56" s="1" customFormat="1" ht="73.5" customHeight="1" x14ac:dyDescent="0.25">
      <c r="A844" s="275" t="str">
        <f>'Q100b-totais'!B17</f>
        <v>2.2</v>
      </c>
      <c r="B844" s="54" t="str">
        <f>'Q100b-totais'!C17</f>
        <v>Frota e condutores de veículos automotores</v>
      </c>
      <c r="C844" s="230" t="s">
        <v>432</v>
      </c>
      <c r="D844" s="977" t="s">
        <v>3676</v>
      </c>
      <c r="E844" s="1402" t="s">
        <v>1306</v>
      </c>
      <c r="F844" s="14" t="s">
        <v>3675</v>
      </c>
      <c r="G844" s="408" t="s">
        <v>3677</v>
      </c>
      <c r="H844" s="167" t="s">
        <v>432</v>
      </c>
      <c r="I844" s="57">
        <v>1</v>
      </c>
      <c r="J844" s="107" t="s">
        <v>432</v>
      </c>
      <c r="K844" s="107" t="s">
        <v>432</v>
      </c>
      <c r="L844" s="107" t="s">
        <v>432</v>
      </c>
      <c r="M844" s="107" t="s">
        <v>432</v>
      </c>
      <c r="N844" s="107" t="s">
        <v>432</v>
      </c>
      <c r="O844" s="107" t="s">
        <v>432</v>
      </c>
      <c r="P844" s="107" t="s">
        <v>432</v>
      </c>
      <c r="Q844" s="107" t="s">
        <v>432</v>
      </c>
      <c r="R844" s="107" t="s">
        <v>432</v>
      </c>
      <c r="S844" s="109" t="s">
        <v>2209</v>
      </c>
      <c r="T844" s="107" t="s">
        <v>432</v>
      </c>
      <c r="U844" s="414">
        <f>(U843-T843)/U843</f>
        <v>7.8095631519157285E-2</v>
      </c>
      <c r="V844" s="109" t="s">
        <v>2209</v>
      </c>
      <c r="W844" s="414">
        <f>(W843-U843)/W843</f>
        <v>0.11473761199488024</v>
      </c>
      <c r="X844" s="414">
        <f t="shared" ref="X844:AK844" si="196">(X843-W843)/X843</f>
        <v>0.12997136493795736</v>
      </c>
      <c r="Y844" s="414">
        <f t="shared" si="196"/>
        <v>9.9091352079571191E-2</v>
      </c>
      <c r="Z844" s="414">
        <f t="shared" si="196"/>
        <v>0.13707981894184867</v>
      </c>
      <c r="AA844" s="414">
        <f t="shared" si="196"/>
        <v>9.2156378416006102E-2</v>
      </c>
      <c r="AB844" s="414">
        <f t="shared" si="196"/>
        <v>0.13176647202752892</v>
      </c>
      <c r="AC844" s="414">
        <f t="shared" si="196"/>
        <v>0.16424561889476386</v>
      </c>
      <c r="AD844" s="414">
        <f t="shared" si="196"/>
        <v>0.13683448077017743</v>
      </c>
      <c r="AE844" s="414">
        <f t="shared" si="196"/>
        <v>0.11425528204106039</v>
      </c>
      <c r="AF844" s="414">
        <f t="shared" si="196"/>
        <v>8.7512291052114055E-2</v>
      </c>
      <c r="AG844" s="414">
        <f t="shared" si="196"/>
        <v>7.9869046560641796E-2</v>
      </c>
      <c r="AH844" s="414">
        <f t="shared" si="196"/>
        <v>5.0651639649479926E-2</v>
      </c>
      <c r="AI844" s="414">
        <f t="shared" si="196"/>
        <v>4.2394880474678126E-2</v>
      </c>
      <c r="AJ844" s="414">
        <f t="shared" si="196"/>
        <v>3.1348583165622022E-2</v>
      </c>
      <c r="AK844" s="414">
        <f t="shared" si="196"/>
        <v>2.9602749337468662E-2</v>
      </c>
      <c r="AL844" s="600" t="s">
        <v>432</v>
      </c>
      <c r="AM844" s="137" t="s">
        <v>432</v>
      </c>
      <c r="AN844" s="137" t="s">
        <v>432</v>
      </c>
      <c r="AO844" s="137" t="s">
        <v>432</v>
      </c>
      <c r="AP844" s="137" t="s">
        <v>432</v>
      </c>
      <c r="AQ844" s="137" t="s">
        <v>432</v>
      </c>
      <c r="AR844" s="137" t="s">
        <v>432</v>
      </c>
      <c r="AS844" s="137" t="s">
        <v>432</v>
      </c>
      <c r="AT844" s="137" t="s">
        <v>432</v>
      </c>
      <c r="AU844" s="137" t="s">
        <v>432</v>
      </c>
      <c r="AV844" s="137" t="s">
        <v>432</v>
      </c>
      <c r="AW844" s="137" t="s">
        <v>432</v>
      </c>
      <c r="AX844" s="137" t="s">
        <v>432</v>
      </c>
      <c r="AY844" s="137" t="s">
        <v>432</v>
      </c>
      <c r="AZ844" s="137" t="s">
        <v>432</v>
      </c>
      <c r="BA844" s="137" t="s">
        <v>432</v>
      </c>
      <c r="BB844" s="239" t="str">
        <f t="shared" si="192"/>
        <v>Frota e condutores de veículos automotoresx</v>
      </c>
      <c r="BC844" s="239" t="str">
        <f t="shared" si="193"/>
        <v>Frota e condutores de veículos automotoresxx</v>
      </c>
      <c r="BD844" s="239" t="str">
        <f t="shared" si="194"/>
        <v>Frota e condutores de veículos automotoresx</v>
      </c>
    </row>
    <row r="845" spans="1:56" s="1" customFormat="1" ht="51" customHeight="1" x14ac:dyDescent="0.25">
      <c r="A845" s="275" t="str">
        <f>'Q100b-totais'!$B$17</f>
        <v>2.2</v>
      </c>
      <c r="B845" s="54" t="str">
        <f>'Q100b-totais'!$C$17</f>
        <v>Frota e condutores de veículos automotores</v>
      </c>
      <c r="C845" s="230" t="s">
        <v>432</v>
      </c>
      <c r="D845" s="977" t="s">
        <v>2601</v>
      </c>
      <c r="E845" s="1402" t="s">
        <v>1306</v>
      </c>
      <c r="F845" s="25" t="s">
        <v>497</v>
      </c>
      <c r="G845" s="408" t="s">
        <v>443</v>
      </c>
      <c r="H845" s="167" t="s">
        <v>432</v>
      </c>
      <c r="I845" s="172">
        <v>1</v>
      </c>
      <c r="J845" s="107" t="s">
        <v>432</v>
      </c>
      <c r="K845" s="137" t="s">
        <v>432</v>
      </c>
      <c r="L845" s="137" t="s">
        <v>432</v>
      </c>
      <c r="M845" s="137" t="s">
        <v>432</v>
      </c>
      <c r="N845" s="137" t="s">
        <v>432</v>
      </c>
      <c r="O845" s="137" t="s">
        <v>432</v>
      </c>
      <c r="P845" s="137" t="s">
        <v>432</v>
      </c>
      <c r="Q845" s="137" t="s">
        <v>432</v>
      </c>
      <c r="R845" s="137" t="s">
        <v>432</v>
      </c>
      <c r="S845" s="109" t="s">
        <v>2209</v>
      </c>
      <c r="T845" s="107" t="s">
        <v>432</v>
      </c>
      <c r="U845" s="107" t="s">
        <v>432</v>
      </c>
      <c r="V845" s="109" t="s">
        <v>2209</v>
      </c>
      <c r="W845" s="21" t="s">
        <v>432</v>
      </c>
      <c r="X845" s="21" t="s">
        <v>432</v>
      </c>
      <c r="Y845" s="21" t="s">
        <v>432</v>
      </c>
      <c r="Z845" s="21">
        <f t="shared" ref="Z845:AK845" si="197">Z843/Z814</f>
        <v>9.8396963564477399E-2</v>
      </c>
      <c r="AA845" s="21">
        <f t="shared" si="197"/>
        <v>0.10321502531529683</v>
      </c>
      <c r="AB845" s="21">
        <f t="shared" si="197"/>
        <v>0.11015186510710447</v>
      </c>
      <c r="AC845" s="21">
        <f t="shared" si="197"/>
        <v>0.12028144032377397</v>
      </c>
      <c r="AD845" s="21">
        <f t="shared" si="197"/>
        <v>0.12842614058680038</v>
      </c>
      <c r="AE845" s="21">
        <f t="shared" si="197"/>
        <v>0.13157996106956255</v>
      </c>
      <c r="AF845" s="21">
        <f t="shared" si="197"/>
        <v>0.13205006676018347</v>
      </c>
      <c r="AG845" s="21">
        <f t="shared" si="197"/>
        <v>0.1337280092875901</v>
      </c>
      <c r="AH845" s="21">
        <f t="shared" si="197"/>
        <v>0.13362324897915859</v>
      </c>
      <c r="AI845" s="21">
        <f t="shared" si="197"/>
        <v>0.13306888098062475</v>
      </c>
      <c r="AJ845" s="21">
        <f t="shared" si="197"/>
        <v>0.13303333200589385</v>
      </c>
      <c r="AK845" s="21">
        <f t="shared" si="197"/>
        <v>0.13211388234016033</v>
      </c>
      <c r="AL845" s="600" t="s">
        <v>432</v>
      </c>
      <c r="AM845" s="137" t="s">
        <v>432</v>
      </c>
      <c r="AN845" s="137" t="s">
        <v>432</v>
      </c>
      <c r="AO845" s="137" t="s">
        <v>432</v>
      </c>
      <c r="AP845" s="137" t="s">
        <v>432</v>
      </c>
      <c r="AQ845" s="137" t="s">
        <v>432</v>
      </c>
      <c r="AR845" s="137" t="s">
        <v>432</v>
      </c>
      <c r="AS845" s="137" t="s">
        <v>432</v>
      </c>
      <c r="AT845" s="137" t="s">
        <v>432</v>
      </c>
      <c r="AU845" s="137" t="s">
        <v>432</v>
      </c>
      <c r="AV845" s="137" t="s">
        <v>432</v>
      </c>
      <c r="AW845" s="137" t="s">
        <v>432</v>
      </c>
      <c r="AX845" s="137" t="s">
        <v>432</v>
      </c>
      <c r="AY845" s="137" t="s">
        <v>432</v>
      </c>
      <c r="AZ845" s="137" t="s">
        <v>432</v>
      </c>
      <c r="BA845" s="137" t="s">
        <v>432</v>
      </c>
      <c r="BB845" s="239" t="str">
        <f t="shared" si="192"/>
        <v>Frota e condutores de veículos automotoresx</v>
      </c>
      <c r="BC845" s="239" t="str">
        <f t="shared" si="193"/>
        <v>Frota e condutores de veículos automotoresxx</v>
      </c>
      <c r="BD845" s="239" t="str">
        <f t="shared" si="194"/>
        <v>Frota e condutores de veículos automotoresx</v>
      </c>
    </row>
    <row r="846" spans="1:56" s="1" customFormat="1" ht="68.25" customHeight="1" x14ac:dyDescent="0.25">
      <c r="A846" s="275" t="str">
        <f>'Q100b-totais'!$B$17</f>
        <v>2.2</v>
      </c>
      <c r="B846" s="54" t="str">
        <f>'Q100b-totais'!$C$17</f>
        <v>Frota e condutores de veículos automotores</v>
      </c>
      <c r="C846" s="230" t="s">
        <v>432</v>
      </c>
      <c r="D846" s="948" t="s">
        <v>2602</v>
      </c>
      <c r="E846" s="1402" t="s">
        <v>1306</v>
      </c>
      <c r="F846" s="25" t="s">
        <v>6068</v>
      </c>
      <c r="G846" s="412" t="s">
        <v>444</v>
      </c>
      <c r="H846" s="167" t="s">
        <v>432</v>
      </c>
      <c r="I846" s="172">
        <v>1</v>
      </c>
      <c r="J846" s="107" t="s">
        <v>432</v>
      </c>
      <c r="K846" s="137" t="s">
        <v>432</v>
      </c>
      <c r="L846" s="137" t="s">
        <v>432</v>
      </c>
      <c r="M846" s="137" t="s">
        <v>432</v>
      </c>
      <c r="N846" s="137" t="s">
        <v>432</v>
      </c>
      <c r="O846" s="137" t="s">
        <v>432</v>
      </c>
      <c r="P846" s="137" t="s">
        <v>432</v>
      </c>
      <c r="Q846" s="137" t="s">
        <v>432</v>
      </c>
      <c r="R846" s="137" t="s">
        <v>432</v>
      </c>
      <c r="S846" s="109" t="s">
        <v>2209</v>
      </c>
      <c r="T846" s="107" t="s">
        <v>432</v>
      </c>
      <c r="U846" s="107" t="s">
        <v>432</v>
      </c>
      <c r="V846" s="109" t="s">
        <v>2209</v>
      </c>
      <c r="W846" s="21" t="s">
        <v>432</v>
      </c>
      <c r="X846" s="21" t="s">
        <v>432</v>
      </c>
      <c r="Y846" s="21" t="s">
        <v>432</v>
      </c>
      <c r="Z846" s="64">
        <f t="shared" ref="Z846:AK846" si="198">Z843/Z1855</f>
        <v>3.4399403717575869E-2</v>
      </c>
      <c r="AA846" s="64">
        <f t="shared" si="198"/>
        <v>3.749627946276074E-2</v>
      </c>
      <c r="AB846" s="64">
        <f t="shared" si="198"/>
        <v>4.2744341478049265E-2</v>
      </c>
      <c r="AC846" s="64">
        <f t="shared" si="198"/>
        <v>5.0868713107718934E-2</v>
      </c>
      <c r="AD846" s="64">
        <f t="shared" si="198"/>
        <v>5.8407355167618073E-2</v>
      </c>
      <c r="AE846" s="64">
        <f t="shared" si="198"/>
        <v>6.5458243174535607E-2</v>
      </c>
      <c r="AF846" s="64">
        <f t="shared" si="198"/>
        <v>7.4075711396875396E-2</v>
      </c>
      <c r="AG846" s="64">
        <f t="shared" si="198"/>
        <v>8.0151657416877645E-2</v>
      </c>
      <c r="AH846" s="64">
        <f t="shared" si="198"/>
        <v>8.4070565597497274E-2</v>
      </c>
      <c r="AI846" s="64">
        <f t="shared" si="198"/>
        <v>8.483985535452461E-2</v>
      </c>
      <c r="AJ846" s="64">
        <f t="shared" si="198"/>
        <v>8.7165595724635087E-2</v>
      </c>
      <c r="AK846" s="64">
        <f t="shared" si="198"/>
        <v>8.9413747618935349E-2</v>
      </c>
      <c r="AL846" s="600" t="s">
        <v>432</v>
      </c>
      <c r="AM846" s="137" t="s">
        <v>432</v>
      </c>
      <c r="AN846" s="137" t="s">
        <v>432</v>
      </c>
      <c r="AO846" s="137" t="s">
        <v>432</v>
      </c>
      <c r="AP846" s="137" t="s">
        <v>432</v>
      </c>
      <c r="AQ846" s="137" t="s">
        <v>432</v>
      </c>
      <c r="AR846" s="137" t="s">
        <v>432</v>
      </c>
      <c r="AS846" s="137" t="s">
        <v>432</v>
      </c>
      <c r="AT846" s="137" t="s">
        <v>432</v>
      </c>
      <c r="AU846" s="137" t="s">
        <v>432</v>
      </c>
      <c r="AV846" s="137" t="s">
        <v>432</v>
      </c>
      <c r="AW846" s="137" t="s">
        <v>432</v>
      </c>
      <c r="AX846" s="137" t="s">
        <v>432</v>
      </c>
      <c r="AY846" s="137" t="s">
        <v>432</v>
      </c>
      <c r="AZ846" s="137" t="s">
        <v>432</v>
      </c>
      <c r="BA846" s="137" t="s">
        <v>432</v>
      </c>
      <c r="BB846" s="239" t="str">
        <f t="shared" si="192"/>
        <v>Frota e condutores de veículos automotoresx</v>
      </c>
      <c r="BC846" s="239" t="str">
        <f t="shared" si="193"/>
        <v>Frota e condutores de veículos automotoresxx</v>
      </c>
      <c r="BD846" s="239" t="str">
        <f t="shared" si="194"/>
        <v>Frota e condutores de veículos automotoresx</v>
      </c>
    </row>
    <row r="847" spans="1:56" s="1" customFormat="1" ht="51" customHeight="1" x14ac:dyDescent="0.25">
      <c r="A847" s="275" t="str">
        <f>'Q100b-totais'!$B$17</f>
        <v>2.2</v>
      </c>
      <c r="B847" s="54" t="str">
        <f>'Q100b-totais'!$C$17</f>
        <v>Frota e condutores de veículos automotores</v>
      </c>
      <c r="C847" s="230" t="s">
        <v>432</v>
      </c>
      <c r="D847" s="979" t="s">
        <v>2603</v>
      </c>
      <c r="E847" s="1402" t="s">
        <v>1306</v>
      </c>
      <c r="F847" s="14" t="s">
        <v>3637</v>
      </c>
      <c r="G847" s="110" t="s">
        <v>77</v>
      </c>
      <c r="H847" s="167" t="s">
        <v>432</v>
      </c>
      <c r="I847" s="57">
        <v>1</v>
      </c>
      <c r="J847" s="107" t="s">
        <v>432</v>
      </c>
      <c r="K847" s="137" t="s">
        <v>432</v>
      </c>
      <c r="L847" s="137" t="s">
        <v>432</v>
      </c>
      <c r="M847" s="137" t="s">
        <v>432</v>
      </c>
      <c r="N847" s="137" t="s">
        <v>432</v>
      </c>
      <c r="O847" s="137" t="s">
        <v>432</v>
      </c>
      <c r="P847" s="137" t="s">
        <v>432</v>
      </c>
      <c r="Q847" s="137" t="s">
        <v>432</v>
      </c>
      <c r="R847" s="137" t="s">
        <v>432</v>
      </c>
      <c r="S847" s="109" t="s">
        <v>2209</v>
      </c>
      <c r="T847" s="137" t="s">
        <v>432</v>
      </c>
      <c r="U847" s="137" t="s">
        <v>432</v>
      </c>
      <c r="V847" s="109" t="s">
        <v>2209</v>
      </c>
      <c r="W847" s="84" t="s">
        <v>432</v>
      </c>
      <c r="X847" s="84" t="s">
        <v>432</v>
      </c>
      <c r="Y847" s="84" t="s">
        <v>432</v>
      </c>
      <c r="Z847" s="84">
        <v>5072</v>
      </c>
      <c r="AA847" s="87">
        <v>5978</v>
      </c>
      <c r="AB847" s="87">
        <v>7069</v>
      </c>
      <c r="AC847" s="87">
        <v>8530</v>
      </c>
      <c r="AD847" s="87">
        <v>10163</v>
      </c>
      <c r="AE847" s="87">
        <v>11189</v>
      </c>
      <c r="AF847" s="87">
        <v>12104</v>
      </c>
      <c r="AG847" s="87">
        <v>12994</v>
      </c>
      <c r="AH847" s="87">
        <v>13755</v>
      </c>
      <c r="AI847" s="87">
        <v>14706</v>
      </c>
      <c r="AJ847" s="87">
        <v>15636</v>
      </c>
      <c r="AK847" s="87">
        <v>16650</v>
      </c>
      <c r="AL847" s="600" t="s">
        <v>432</v>
      </c>
      <c r="AM847" s="137" t="s">
        <v>432</v>
      </c>
      <c r="AN847" s="137" t="s">
        <v>432</v>
      </c>
      <c r="AO847" s="137" t="s">
        <v>432</v>
      </c>
      <c r="AP847" s="137" t="s">
        <v>432</v>
      </c>
      <c r="AQ847" s="137" t="s">
        <v>432</v>
      </c>
      <c r="AR847" s="137" t="s">
        <v>432</v>
      </c>
      <c r="AS847" s="137" t="s">
        <v>432</v>
      </c>
      <c r="AT847" s="137" t="s">
        <v>432</v>
      </c>
      <c r="AU847" s="137" t="s">
        <v>432</v>
      </c>
      <c r="AV847" s="137" t="s">
        <v>432</v>
      </c>
      <c r="AW847" s="137" t="s">
        <v>432</v>
      </c>
      <c r="AX847" s="137" t="s">
        <v>432</v>
      </c>
      <c r="AY847" s="137" t="s">
        <v>432</v>
      </c>
      <c r="AZ847" s="137" t="s">
        <v>432</v>
      </c>
      <c r="BA847" s="137" t="s">
        <v>432</v>
      </c>
      <c r="BB847" s="239" t="str">
        <f t="shared" si="192"/>
        <v>Frota e condutores de veículos automotoresx</v>
      </c>
      <c r="BC847" s="239" t="str">
        <f t="shared" si="193"/>
        <v>Frota e condutores de veículos automotoresxx</v>
      </c>
      <c r="BD847" s="239" t="str">
        <f t="shared" si="194"/>
        <v>Frota e condutores de veículos automotoresx</v>
      </c>
    </row>
    <row r="848" spans="1:56" s="1" customFormat="1" ht="51" customHeight="1" x14ac:dyDescent="0.25">
      <c r="A848" s="275" t="str">
        <f>'Q100b-totais'!$B$17</f>
        <v>2.2</v>
      </c>
      <c r="B848" s="54" t="str">
        <f>'Q100b-totais'!$C$17</f>
        <v>Frota e condutores de veículos automotores</v>
      </c>
      <c r="C848" s="230" t="s">
        <v>432</v>
      </c>
      <c r="D848" s="979" t="s">
        <v>2604</v>
      </c>
      <c r="E848" s="1402" t="s">
        <v>1306</v>
      </c>
      <c r="F848" s="14" t="s">
        <v>3636</v>
      </c>
      <c r="G848" s="110" t="s">
        <v>77</v>
      </c>
      <c r="H848" s="167" t="s">
        <v>432</v>
      </c>
      <c r="I848" s="57">
        <v>1</v>
      </c>
      <c r="J848" s="107" t="s">
        <v>432</v>
      </c>
      <c r="K848" s="137" t="s">
        <v>432</v>
      </c>
      <c r="L848" s="137" t="s">
        <v>432</v>
      </c>
      <c r="M848" s="137" t="s">
        <v>432</v>
      </c>
      <c r="N848" s="137" t="s">
        <v>432</v>
      </c>
      <c r="O848" s="137" t="s">
        <v>432</v>
      </c>
      <c r="P848" s="137" t="s">
        <v>432</v>
      </c>
      <c r="Q848" s="137" t="s">
        <v>432</v>
      </c>
      <c r="R848" s="137" t="s">
        <v>432</v>
      </c>
      <c r="S848" s="109" t="s">
        <v>2209</v>
      </c>
      <c r="T848" s="87">
        <v>44634</v>
      </c>
      <c r="U848" s="87">
        <v>48415</v>
      </c>
      <c r="V848" s="109" t="s">
        <v>2209</v>
      </c>
      <c r="W848" s="87">
        <v>54690</v>
      </c>
      <c r="X848" s="87">
        <v>62860</v>
      </c>
      <c r="Y848" s="87">
        <v>69774</v>
      </c>
      <c r="Z848" s="87">
        <v>75495</v>
      </c>
      <c r="AA848" s="87">
        <v>82799</v>
      </c>
      <c r="AB848" s="87">
        <v>95224</v>
      </c>
      <c r="AC848" s="87">
        <v>113928</v>
      </c>
      <c r="AD848" s="87">
        <v>131800</v>
      </c>
      <c r="AE848" s="87">
        <v>149046</v>
      </c>
      <c r="AF848" s="87">
        <v>163489</v>
      </c>
      <c r="AG848" s="87">
        <v>177782</v>
      </c>
      <c r="AH848" s="87">
        <v>187141</v>
      </c>
      <c r="AI848" s="87">
        <v>195076</v>
      </c>
      <c r="AJ848" s="87">
        <v>200916</v>
      </c>
      <c r="AK848" s="87">
        <v>206396</v>
      </c>
      <c r="AL848" s="600" t="s">
        <v>432</v>
      </c>
      <c r="AM848" s="137" t="s">
        <v>432</v>
      </c>
      <c r="AN848" s="137" t="s">
        <v>432</v>
      </c>
      <c r="AO848" s="137" t="s">
        <v>432</v>
      </c>
      <c r="AP848" s="137" t="s">
        <v>432</v>
      </c>
      <c r="AQ848" s="137" t="s">
        <v>432</v>
      </c>
      <c r="AR848" s="137" t="s">
        <v>432</v>
      </c>
      <c r="AS848" s="137" t="s">
        <v>432</v>
      </c>
      <c r="AT848" s="137" t="s">
        <v>432</v>
      </c>
      <c r="AU848" s="137" t="s">
        <v>432</v>
      </c>
      <c r="AV848" s="137" t="s">
        <v>432</v>
      </c>
      <c r="AW848" s="137" t="s">
        <v>432</v>
      </c>
      <c r="AX848" s="137" t="s">
        <v>432</v>
      </c>
      <c r="AY848" s="137" t="s">
        <v>432</v>
      </c>
      <c r="AZ848" s="137" t="s">
        <v>432</v>
      </c>
      <c r="BA848" s="137" t="s">
        <v>432</v>
      </c>
      <c r="BB848" s="239" t="str">
        <f t="shared" si="192"/>
        <v>Frota e condutores de veículos automotoresx</v>
      </c>
      <c r="BC848" s="239" t="str">
        <f t="shared" si="193"/>
        <v>Frota e condutores de veículos automotoresxx</v>
      </c>
      <c r="BD848" s="239" t="str">
        <f t="shared" si="194"/>
        <v>Frota e condutores de veículos automotoresx</v>
      </c>
    </row>
    <row r="849" spans="1:56" s="1" customFormat="1" ht="51" customHeight="1" x14ac:dyDescent="0.25">
      <c r="A849" s="275" t="str">
        <f>'Q100b-totais'!$B$17</f>
        <v>2.2</v>
      </c>
      <c r="B849" s="54" t="str">
        <f>'Q100b-totais'!$C$17</f>
        <v>Frota e condutores de veículos automotores</v>
      </c>
      <c r="C849" s="230" t="s">
        <v>432</v>
      </c>
      <c r="D849" s="979" t="s">
        <v>2605</v>
      </c>
      <c r="E849" s="1402" t="s">
        <v>1306</v>
      </c>
      <c r="F849" s="14" t="s">
        <v>3635</v>
      </c>
      <c r="G849" s="110" t="s">
        <v>77</v>
      </c>
      <c r="H849" s="167" t="s">
        <v>432</v>
      </c>
      <c r="I849" s="57">
        <v>1</v>
      </c>
      <c r="J849" s="107" t="s">
        <v>432</v>
      </c>
      <c r="K849" s="107" t="s">
        <v>432</v>
      </c>
      <c r="L849" s="107" t="s">
        <v>432</v>
      </c>
      <c r="M849" s="107" t="s">
        <v>432</v>
      </c>
      <c r="N849" s="107" t="s">
        <v>432</v>
      </c>
      <c r="O849" s="107" t="s">
        <v>432</v>
      </c>
      <c r="P849" s="107" t="s">
        <v>432</v>
      </c>
      <c r="Q849" s="107" t="s">
        <v>432</v>
      </c>
      <c r="R849" s="107" t="s">
        <v>432</v>
      </c>
      <c r="S849" s="109" t="s">
        <v>2209</v>
      </c>
      <c r="T849" s="108" t="s">
        <v>432</v>
      </c>
      <c r="U849" s="108" t="s">
        <v>432</v>
      </c>
      <c r="V849" s="109" t="s">
        <v>2209</v>
      </c>
      <c r="W849" s="107" t="s">
        <v>432</v>
      </c>
      <c r="X849" s="107" t="s">
        <v>432</v>
      </c>
      <c r="Y849" s="107" t="s">
        <v>432</v>
      </c>
      <c r="Z849" s="84">
        <v>291</v>
      </c>
      <c r="AA849" s="84">
        <v>289</v>
      </c>
      <c r="AB849" s="84">
        <v>290</v>
      </c>
      <c r="AC849" s="84">
        <v>285</v>
      </c>
      <c r="AD849" s="84">
        <v>238</v>
      </c>
      <c r="AE849" s="84">
        <v>309</v>
      </c>
      <c r="AF849" s="84">
        <v>348</v>
      </c>
      <c r="AG849" s="84">
        <v>437</v>
      </c>
      <c r="AH849" s="84">
        <v>519</v>
      </c>
      <c r="AI849" s="84">
        <v>550</v>
      </c>
      <c r="AJ849" s="84">
        <v>587</v>
      </c>
      <c r="AK849" s="84">
        <v>717</v>
      </c>
      <c r="AL849" s="600" t="s">
        <v>432</v>
      </c>
      <c r="AM849" s="137" t="s">
        <v>432</v>
      </c>
      <c r="AN849" s="137" t="s">
        <v>432</v>
      </c>
      <c r="AO849" s="137" t="s">
        <v>432</v>
      </c>
      <c r="AP849" s="137" t="s">
        <v>432</v>
      </c>
      <c r="AQ849" s="137" t="s">
        <v>432</v>
      </c>
      <c r="AR849" s="137" t="s">
        <v>432</v>
      </c>
      <c r="AS849" s="137" t="s">
        <v>432</v>
      </c>
      <c r="AT849" s="137" t="s">
        <v>432</v>
      </c>
      <c r="AU849" s="137" t="s">
        <v>432</v>
      </c>
      <c r="AV849" s="137" t="s">
        <v>432</v>
      </c>
      <c r="AW849" s="137" t="s">
        <v>432</v>
      </c>
      <c r="AX849" s="137" t="s">
        <v>432</v>
      </c>
      <c r="AY849" s="137" t="s">
        <v>432</v>
      </c>
      <c r="AZ849" s="137" t="s">
        <v>432</v>
      </c>
      <c r="BA849" s="137" t="s">
        <v>432</v>
      </c>
      <c r="BB849" s="239" t="str">
        <f t="shared" si="192"/>
        <v>Frota e condutores de veículos automotoresx</v>
      </c>
      <c r="BC849" s="239" t="str">
        <f t="shared" si="193"/>
        <v>Frota e condutores de veículos automotoresxx</v>
      </c>
      <c r="BD849" s="239" t="str">
        <f t="shared" si="194"/>
        <v>Frota e condutores de veículos automotoresx</v>
      </c>
    </row>
    <row r="850" spans="1:56" s="1" customFormat="1" ht="51" customHeight="1" x14ac:dyDescent="0.25">
      <c r="A850" s="275" t="str">
        <f>'Q100b-totais'!$B$17</f>
        <v>2.2</v>
      </c>
      <c r="B850" s="54" t="str">
        <f>'Q100b-totais'!$C$17</f>
        <v>Frota e condutores de veículos automotores</v>
      </c>
      <c r="C850" s="230" t="s">
        <v>432</v>
      </c>
      <c r="D850" s="979" t="s">
        <v>494</v>
      </c>
      <c r="E850" s="1402" t="s">
        <v>1306</v>
      </c>
      <c r="F850" s="15" t="s">
        <v>3634</v>
      </c>
      <c r="G850" s="110" t="s">
        <v>77</v>
      </c>
      <c r="H850" s="167" t="s">
        <v>432</v>
      </c>
      <c r="I850" s="57">
        <v>1</v>
      </c>
      <c r="J850" s="107" t="s">
        <v>432</v>
      </c>
      <c r="K850" s="137" t="s">
        <v>432</v>
      </c>
      <c r="L850" s="137" t="s">
        <v>432</v>
      </c>
      <c r="M850" s="137" t="s">
        <v>432</v>
      </c>
      <c r="N850" s="137" t="s">
        <v>432</v>
      </c>
      <c r="O850" s="137" t="s">
        <v>432</v>
      </c>
      <c r="P850" s="137" t="s">
        <v>432</v>
      </c>
      <c r="Q850" s="137" t="s">
        <v>432</v>
      </c>
      <c r="R850" s="137" t="s">
        <v>432</v>
      </c>
      <c r="S850" s="109" t="s">
        <v>2209</v>
      </c>
      <c r="T850" s="108" t="s">
        <v>432</v>
      </c>
      <c r="U850" s="108" t="s">
        <v>432</v>
      </c>
      <c r="V850" s="109" t="s">
        <v>2209</v>
      </c>
      <c r="W850" s="107" t="s">
        <v>432</v>
      </c>
      <c r="X850" s="107" t="s">
        <v>432</v>
      </c>
      <c r="Y850" s="107" t="s">
        <v>432</v>
      </c>
      <c r="Z850" s="107" t="s">
        <v>432</v>
      </c>
      <c r="AA850" s="107" t="s">
        <v>432</v>
      </c>
      <c r="AB850" s="107" t="s">
        <v>432</v>
      </c>
      <c r="AC850" s="107" t="s">
        <v>432</v>
      </c>
      <c r="AD850" s="84">
        <v>0</v>
      </c>
      <c r="AE850" s="84">
        <v>242</v>
      </c>
      <c r="AF850" s="84">
        <v>241</v>
      </c>
      <c r="AG850" s="84">
        <v>241</v>
      </c>
      <c r="AH850" s="84">
        <v>241</v>
      </c>
      <c r="AI850" s="84">
        <v>241</v>
      </c>
      <c r="AJ850" s="84">
        <v>241</v>
      </c>
      <c r="AK850" s="84">
        <v>241</v>
      </c>
      <c r="AL850" s="600" t="s">
        <v>432</v>
      </c>
      <c r="AM850" s="137" t="s">
        <v>432</v>
      </c>
      <c r="AN850" s="137" t="s">
        <v>432</v>
      </c>
      <c r="AO850" s="137" t="s">
        <v>432</v>
      </c>
      <c r="AP850" s="137" t="s">
        <v>432</v>
      </c>
      <c r="AQ850" s="137" t="s">
        <v>432</v>
      </c>
      <c r="AR850" s="137" t="s">
        <v>432</v>
      </c>
      <c r="AS850" s="137" t="s">
        <v>432</v>
      </c>
      <c r="AT850" s="137" t="s">
        <v>432</v>
      </c>
      <c r="AU850" s="137" t="s">
        <v>432</v>
      </c>
      <c r="AV850" s="137" t="s">
        <v>432</v>
      </c>
      <c r="AW850" s="137" t="s">
        <v>432</v>
      </c>
      <c r="AX850" s="137" t="s">
        <v>432</v>
      </c>
      <c r="AY850" s="137" t="s">
        <v>432</v>
      </c>
      <c r="AZ850" s="137" t="s">
        <v>432</v>
      </c>
      <c r="BA850" s="137" t="s">
        <v>432</v>
      </c>
      <c r="BB850" s="239" t="str">
        <f t="shared" si="192"/>
        <v>Frota e condutores de veículos automotoresx</v>
      </c>
      <c r="BC850" s="239" t="str">
        <f t="shared" si="193"/>
        <v>Frota e condutores de veículos automotoresxx</v>
      </c>
      <c r="BD850" s="239" t="str">
        <f t="shared" si="194"/>
        <v>Frota e condutores de veículos automotoresx</v>
      </c>
    </row>
    <row r="851" spans="1:56" s="1" customFormat="1" ht="51" customHeight="1" x14ac:dyDescent="0.25">
      <c r="A851" s="275" t="str">
        <f>'Q100b-totais'!$B$17</f>
        <v>2.2</v>
      </c>
      <c r="B851" s="54" t="str">
        <f>'Q100b-totais'!$C$17</f>
        <v>Frota e condutores de veículos automotores</v>
      </c>
      <c r="C851" s="230" t="s">
        <v>432</v>
      </c>
      <c r="D851" s="979" t="s">
        <v>920</v>
      </c>
      <c r="E851" s="1402" t="s">
        <v>1306</v>
      </c>
      <c r="F851" s="14" t="s">
        <v>3633</v>
      </c>
      <c r="G851" s="110" t="s">
        <v>77</v>
      </c>
      <c r="H851" s="167" t="s">
        <v>432</v>
      </c>
      <c r="I851" s="57">
        <v>1</v>
      </c>
      <c r="J851" s="107" t="s">
        <v>432</v>
      </c>
      <c r="K851" s="137" t="s">
        <v>432</v>
      </c>
      <c r="L851" s="137" t="s">
        <v>432</v>
      </c>
      <c r="M851" s="137" t="s">
        <v>432</v>
      </c>
      <c r="N851" s="137" t="s">
        <v>432</v>
      </c>
      <c r="O851" s="137" t="s">
        <v>432</v>
      </c>
      <c r="P851" s="137" t="s">
        <v>432</v>
      </c>
      <c r="Q851" s="137" t="s">
        <v>432</v>
      </c>
      <c r="R851" s="137" t="s">
        <v>432</v>
      </c>
      <c r="S851" s="109" t="s">
        <v>2209</v>
      </c>
      <c r="T851" s="87">
        <v>5863</v>
      </c>
      <c r="U851" s="87">
        <v>5870</v>
      </c>
      <c r="V851" s="109" t="s">
        <v>2209</v>
      </c>
      <c r="W851" s="87">
        <v>6128</v>
      </c>
      <c r="X851" s="87">
        <v>6055</v>
      </c>
      <c r="Y851" s="87">
        <v>5950</v>
      </c>
      <c r="Z851" s="87">
        <v>6142</v>
      </c>
      <c r="AA851" s="87">
        <v>6134</v>
      </c>
      <c r="AB851" s="87">
        <v>6611</v>
      </c>
      <c r="AC851" s="87">
        <v>6804</v>
      </c>
      <c r="AD851" s="87">
        <v>7028</v>
      </c>
      <c r="AE851" s="87">
        <v>7222</v>
      </c>
      <c r="AF851" s="87">
        <v>7415</v>
      </c>
      <c r="AG851" s="87">
        <v>7852</v>
      </c>
      <c r="AH851" s="87">
        <v>8086</v>
      </c>
      <c r="AI851" s="87">
        <v>8220</v>
      </c>
      <c r="AJ851" s="87">
        <v>8271</v>
      </c>
      <c r="AK851" s="87">
        <v>7996</v>
      </c>
      <c r="AL851" s="600" t="s">
        <v>432</v>
      </c>
      <c r="AM851" s="137" t="s">
        <v>432</v>
      </c>
      <c r="AN851" s="137" t="s">
        <v>432</v>
      </c>
      <c r="AO851" s="137" t="s">
        <v>432</v>
      </c>
      <c r="AP851" s="137" t="s">
        <v>432</v>
      </c>
      <c r="AQ851" s="137" t="s">
        <v>432</v>
      </c>
      <c r="AR851" s="137" t="s">
        <v>432</v>
      </c>
      <c r="AS851" s="137" t="s">
        <v>432</v>
      </c>
      <c r="AT851" s="137" t="s">
        <v>432</v>
      </c>
      <c r="AU851" s="137" t="s">
        <v>432</v>
      </c>
      <c r="AV851" s="137" t="s">
        <v>432</v>
      </c>
      <c r="AW851" s="137" t="s">
        <v>432</v>
      </c>
      <c r="AX851" s="137" t="s">
        <v>432</v>
      </c>
      <c r="AY851" s="137" t="s">
        <v>432</v>
      </c>
      <c r="AZ851" s="137" t="s">
        <v>432</v>
      </c>
      <c r="BA851" s="137" t="s">
        <v>432</v>
      </c>
      <c r="BB851" s="239" t="str">
        <f t="shared" si="192"/>
        <v>Frota e condutores de veículos automotoresx</v>
      </c>
      <c r="BC851" s="239" t="str">
        <f t="shared" si="193"/>
        <v>Frota e condutores de veículos automotoresxx</v>
      </c>
      <c r="BD851" s="239" t="str">
        <f t="shared" si="194"/>
        <v>Frota e condutores de veículos automotoresx</v>
      </c>
    </row>
    <row r="852" spans="1:56" s="373" customFormat="1" x14ac:dyDescent="0.25">
      <c r="A852" s="383"/>
      <c r="B852" s="384"/>
      <c r="C852" s="384"/>
      <c r="D852" s="719"/>
      <c r="E852" s="1519"/>
      <c r="F852" s="385"/>
      <c r="G852" s="385"/>
      <c r="H852" s="384"/>
      <c r="I852" s="385"/>
      <c r="J852" s="385"/>
      <c r="K852" s="385"/>
      <c r="L852" s="385"/>
      <c r="M852" s="385"/>
      <c r="N852" s="385"/>
      <c r="O852" s="385"/>
      <c r="P852" s="385"/>
      <c r="Q852" s="385"/>
      <c r="R852" s="385"/>
      <c r="S852" s="385"/>
      <c r="T852" s="385"/>
      <c r="U852" s="385"/>
      <c r="V852" s="385"/>
      <c r="W852" s="385"/>
      <c r="X852" s="385"/>
      <c r="Y852" s="385"/>
      <c r="Z852" s="385"/>
      <c r="AA852" s="385"/>
      <c r="AB852" s="385"/>
      <c r="AC852" s="385"/>
      <c r="AD852" s="385"/>
      <c r="AE852" s="385"/>
      <c r="AF852" s="385"/>
      <c r="AG852" s="385"/>
      <c r="AH852" s="385"/>
      <c r="AI852" s="385"/>
      <c r="AJ852" s="385"/>
      <c r="AK852" s="397"/>
      <c r="AL852" s="763" t="s">
        <v>432</v>
      </c>
      <c r="AM852" s="387"/>
      <c r="AN852" s="387"/>
      <c r="AO852" s="387"/>
      <c r="AP852" s="387"/>
      <c r="AQ852" s="387"/>
      <c r="AR852" s="387"/>
      <c r="AS852" s="387"/>
      <c r="AT852" s="387"/>
      <c r="AU852" s="387"/>
      <c r="AV852" s="387"/>
      <c r="AW852" s="387"/>
      <c r="AX852" s="387"/>
      <c r="AY852" s="387"/>
      <c r="AZ852" s="387"/>
      <c r="BA852" s="387"/>
      <c r="BB852" s="388"/>
      <c r="BC852" s="388"/>
      <c r="BD852" s="388"/>
    </row>
    <row r="853" spans="1:56" s="373" customFormat="1" ht="51" x14ac:dyDescent="0.25">
      <c r="A853" s="413" t="str">
        <f>'Q100b-totais'!B17</f>
        <v>2.2</v>
      </c>
      <c r="B853" s="1205" t="str">
        <f>'Q100b-totais'!C17</f>
        <v>Frota e condutores de veículos automotores</v>
      </c>
      <c r="C853" s="57" t="s">
        <v>432</v>
      </c>
      <c r="D853" s="324" t="s">
        <v>3400</v>
      </c>
      <c r="E853" s="1402" t="s">
        <v>1306</v>
      </c>
      <c r="F853" s="11" t="s">
        <v>3407</v>
      </c>
      <c r="G853" s="111" t="s">
        <v>3401</v>
      </c>
      <c r="H853" s="167" t="s">
        <v>432</v>
      </c>
      <c r="I853" s="57">
        <v>1</v>
      </c>
      <c r="J853" s="107" t="s">
        <v>432</v>
      </c>
      <c r="K853" s="107" t="s">
        <v>432</v>
      </c>
      <c r="L853" s="189" t="s">
        <v>432</v>
      </c>
      <c r="M853" s="189" t="s">
        <v>432</v>
      </c>
      <c r="N853" s="189" t="s">
        <v>432</v>
      </c>
      <c r="O853" s="189" t="s">
        <v>432</v>
      </c>
      <c r="P853" s="189" t="s">
        <v>432</v>
      </c>
      <c r="Q853" s="189" t="s">
        <v>432</v>
      </c>
      <c r="R853" s="189" t="s">
        <v>432</v>
      </c>
      <c r="S853" s="109" t="s">
        <v>2209</v>
      </c>
      <c r="T853" s="189" t="s">
        <v>432</v>
      </c>
      <c r="U853" s="189" t="s">
        <v>432</v>
      </c>
      <c r="V853" s="109" t="s">
        <v>2209</v>
      </c>
      <c r="W853" s="189" t="s">
        <v>432</v>
      </c>
      <c r="X853" s="189" t="s">
        <v>432</v>
      </c>
      <c r="Y853" s="189" t="s">
        <v>432</v>
      </c>
      <c r="Z853" s="189" t="s">
        <v>432</v>
      </c>
      <c r="AA853" s="189" t="s">
        <v>432</v>
      </c>
      <c r="AB853" s="888" t="s">
        <v>432</v>
      </c>
      <c r="AC853" s="888" t="s">
        <v>432</v>
      </c>
      <c r="AD853" s="888" t="s">
        <v>432</v>
      </c>
      <c r="AE853" s="888" t="s">
        <v>432</v>
      </c>
      <c r="AF853" s="888" t="s">
        <v>432</v>
      </c>
      <c r="AG853" s="888" t="s">
        <v>432</v>
      </c>
      <c r="AH853" s="888" t="s">
        <v>432</v>
      </c>
      <c r="AI853" s="888" t="s">
        <v>432</v>
      </c>
      <c r="AJ853" s="888" t="s">
        <v>432</v>
      </c>
      <c r="AK853" s="1059">
        <f>AK854+AK855</f>
        <v>1357</v>
      </c>
      <c r="AL853" s="600" t="s">
        <v>432</v>
      </c>
      <c r="AM853" s="137" t="s">
        <v>432</v>
      </c>
      <c r="AN853" s="137" t="s">
        <v>432</v>
      </c>
      <c r="AO853" s="137" t="s">
        <v>432</v>
      </c>
      <c r="AP853" s="137" t="s">
        <v>432</v>
      </c>
      <c r="AQ853" s="137" t="s">
        <v>432</v>
      </c>
      <c r="AR853" s="137" t="s">
        <v>432</v>
      </c>
      <c r="AS853" s="137" t="s">
        <v>432</v>
      </c>
      <c r="AT853" s="137" t="s">
        <v>432</v>
      </c>
      <c r="AU853" s="137" t="s">
        <v>432</v>
      </c>
      <c r="AV853" s="137" t="s">
        <v>432</v>
      </c>
      <c r="AW853" s="137" t="s">
        <v>432</v>
      </c>
      <c r="AX853" s="137" t="s">
        <v>432</v>
      </c>
      <c r="AY853" s="137" t="s">
        <v>432</v>
      </c>
      <c r="AZ853" s="137" t="s">
        <v>432</v>
      </c>
      <c r="BA853" s="137" t="s">
        <v>432</v>
      </c>
      <c r="BB853" s="239" t="str">
        <f>B853&amp;C853</f>
        <v>Frota e condutores de veículos automotoresx</v>
      </c>
      <c r="BC853" s="239" t="str">
        <f>B853&amp;C853&amp;H853</f>
        <v>Frota e condutores de veículos automotoresxx</v>
      </c>
      <c r="BD853" s="239" t="str">
        <f>B853&amp;H853</f>
        <v>Frota e condutores de veículos automotoresx</v>
      </c>
    </row>
    <row r="854" spans="1:56" s="373" customFormat="1" ht="51" x14ac:dyDescent="0.25">
      <c r="A854" s="413" t="str">
        <f>'Q100b-totais'!B17</f>
        <v>2.2</v>
      </c>
      <c r="B854" s="1205" t="str">
        <f>'Q100b-totais'!C17</f>
        <v>Frota e condutores de veículos automotores</v>
      </c>
      <c r="C854" s="57" t="s">
        <v>432</v>
      </c>
      <c r="D854" s="324" t="s">
        <v>3404</v>
      </c>
      <c r="E854" s="1402" t="s">
        <v>1306</v>
      </c>
      <c r="F854" s="11" t="s">
        <v>3430</v>
      </c>
      <c r="G854" s="110" t="s">
        <v>77</v>
      </c>
      <c r="H854" s="167" t="s">
        <v>432</v>
      </c>
      <c r="I854" s="57">
        <v>1</v>
      </c>
      <c r="J854" s="107" t="s">
        <v>432</v>
      </c>
      <c r="K854" s="107" t="s">
        <v>432</v>
      </c>
      <c r="L854" s="189" t="s">
        <v>432</v>
      </c>
      <c r="M854" s="189" t="s">
        <v>432</v>
      </c>
      <c r="N854" s="189" t="s">
        <v>432</v>
      </c>
      <c r="O854" s="189" t="s">
        <v>432</v>
      </c>
      <c r="P854" s="189" t="s">
        <v>432</v>
      </c>
      <c r="Q854" s="189" t="s">
        <v>432</v>
      </c>
      <c r="R854" s="189" t="s">
        <v>432</v>
      </c>
      <c r="S854" s="109" t="s">
        <v>2209</v>
      </c>
      <c r="T854" s="189" t="s">
        <v>432</v>
      </c>
      <c r="U854" s="189" t="s">
        <v>432</v>
      </c>
      <c r="V854" s="109" t="s">
        <v>2209</v>
      </c>
      <c r="W854" s="189" t="s">
        <v>432</v>
      </c>
      <c r="X854" s="189" t="s">
        <v>432</v>
      </c>
      <c r="Y854" s="189" t="s">
        <v>432</v>
      </c>
      <c r="Z854" s="189" t="s">
        <v>432</v>
      </c>
      <c r="AA854" s="189" t="s">
        <v>432</v>
      </c>
      <c r="AB854" s="888" t="s">
        <v>432</v>
      </c>
      <c r="AC854" s="888" t="s">
        <v>432</v>
      </c>
      <c r="AD854" s="888" t="s">
        <v>432</v>
      </c>
      <c r="AE854" s="888" t="s">
        <v>432</v>
      </c>
      <c r="AF854" s="888" t="s">
        <v>432</v>
      </c>
      <c r="AG854" s="888" t="s">
        <v>432</v>
      </c>
      <c r="AH854" s="888" t="s">
        <v>432</v>
      </c>
      <c r="AI854" s="888" t="s">
        <v>432</v>
      </c>
      <c r="AJ854" s="888" t="s">
        <v>432</v>
      </c>
      <c r="AK854" s="1060">
        <v>34</v>
      </c>
      <c r="AL854" s="600" t="s">
        <v>432</v>
      </c>
      <c r="AM854" s="137" t="s">
        <v>432</v>
      </c>
      <c r="AN854" s="137" t="s">
        <v>432</v>
      </c>
      <c r="AO854" s="137" t="s">
        <v>432</v>
      </c>
      <c r="AP854" s="137" t="s">
        <v>432</v>
      </c>
      <c r="AQ854" s="137" t="s">
        <v>432</v>
      </c>
      <c r="AR854" s="137" t="s">
        <v>432</v>
      </c>
      <c r="AS854" s="137" t="s">
        <v>432</v>
      </c>
      <c r="AT854" s="137" t="s">
        <v>432</v>
      </c>
      <c r="AU854" s="137" t="s">
        <v>432</v>
      </c>
      <c r="AV854" s="137" t="s">
        <v>432</v>
      </c>
      <c r="AW854" s="137" t="s">
        <v>432</v>
      </c>
      <c r="AX854" s="137" t="s">
        <v>432</v>
      </c>
      <c r="AY854" s="137" t="s">
        <v>432</v>
      </c>
      <c r="AZ854" s="137" t="s">
        <v>432</v>
      </c>
      <c r="BA854" s="137" t="s">
        <v>432</v>
      </c>
      <c r="BB854" s="239" t="str">
        <f>B854&amp;C854</f>
        <v>Frota e condutores de veículos automotoresx</v>
      </c>
      <c r="BC854" s="239" t="str">
        <f>B854&amp;C854&amp;H854</f>
        <v>Frota e condutores de veículos automotoresxx</v>
      </c>
      <c r="BD854" s="239" t="str">
        <f>B854&amp;H854</f>
        <v>Frota e condutores de veículos automotoresx</v>
      </c>
    </row>
    <row r="855" spans="1:56" s="373" customFormat="1" ht="57.75" customHeight="1" x14ac:dyDescent="0.25">
      <c r="A855" s="413" t="str">
        <f>'Q100b-totais'!B17</f>
        <v>2.2</v>
      </c>
      <c r="B855" s="1205" t="str">
        <f>'Q100b-totais'!C17</f>
        <v>Frota e condutores de veículos automotores</v>
      </c>
      <c r="C855" s="57" t="s">
        <v>432</v>
      </c>
      <c r="D855" s="324" t="s">
        <v>3405</v>
      </c>
      <c r="E855" s="1402" t="s">
        <v>1306</v>
      </c>
      <c r="F855" s="11" t="s">
        <v>3429</v>
      </c>
      <c r="G855" s="110" t="s">
        <v>77</v>
      </c>
      <c r="H855" s="167" t="s">
        <v>432</v>
      </c>
      <c r="I855" s="57">
        <v>1</v>
      </c>
      <c r="J855" s="107" t="s">
        <v>432</v>
      </c>
      <c r="K855" s="107" t="s">
        <v>432</v>
      </c>
      <c r="L855" s="189" t="s">
        <v>432</v>
      </c>
      <c r="M855" s="189" t="s">
        <v>432</v>
      </c>
      <c r="N855" s="189" t="s">
        <v>432</v>
      </c>
      <c r="O855" s="189" t="s">
        <v>432</v>
      </c>
      <c r="P855" s="189" t="s">
        <v>432</v>
      </c>
      <c r="Q855" s="189" t="s">
        <v>432</v>
      </c>
      <c r="R855" s="189" t="s">
        <v>432</v>
      </c>
      <c r="S855" s="109" t="s">
        <v>2209</v>
      </c>
      <c r="T855" s="189" t="s">
        <v>432</v>
      </c>
      <c r="U855" s="189" t="s">
        <v>432</v>
      </c>
      <c r="V855" s="109" t="s">
        <v>2209</v>
      </c>
      <c r="W855" s="189" t="s">
        <v>432</v>
      </c>
      <c r="X855" s="189" t="s">
        <v>432</v>
      </c>
      <c r="Y855" s="189" t="s">
        <v>432</v>
      </c>
      <c r="Z855" s="189" t="s">
        <v>432</v>
      </c>
      <c r="AA855" s="189" t="s">
        <v>432</v>
      </c>
      <c r="AB855" s="888" t="s">
        <v>432</v>
      </c>
      <c r="AC855" s="888" t="s">
        <v>432</v>
      </c>
      <c r="AD855" s="888" t="s">
        <v>432</v>
      </c>
      <c r="AE855" s="888" t="s">
        <v>432</v>
      </c>
      <c r="AF855" s="888" t="s">
        <v>432</v>
      </c>
      <c r="AG855" s="888" t="s">
        <v>432</v>
      </c>
      <c r="AH855" s="888" t="s">
        <v>432</v>
      </c>
      <c r="AI855" s="888" t="s">
        <v>432</v>
      </c>
      <c r="AJ855" s="888" t="s">
        <v>432</v>
      </c>
      <c r="AK855" s="1061">
        <f>402+76+845</f>
        <v>1323</v>
      </c>
      <c r="AL855" s="600" t="s">
        <v>432</v>
      </c>
      <c r="AM855" s="137" t="s">
        <v>432</v>
      </c>
      <c r="AN855" s="137" t="s">
        <v>432</v>
      </c>
      <c r="AO855" s="137" t="s">
        <v>432</v>
      </c>
      <c r="AP855" s="137" t="s">
        <v>432</v>
      </c>
      <c r="AQ855" s="137" t="s">
        <v>432</v>
      </c>
      <c r="AR855" s="137" t="s">
        <v>432</v>
      </c>
      <c r="AS855" s="137" t="s">
        <v>432</v>
      </c>
      <c r="AT855" s="137" t="s">
        <v>432</v>
      </c>
      <c r="AU855" s="137" t="s">
        <v>432</v>
      </c>
      <c r="AV855" s="137" t="s">
        <v>432</v>
      </c>
      <c r="AW855" s="137" t="s">
        <v>432</v>
      </c>
      <c r="AX855" s="137" t="s">
        <v>432</v>
      </c>
      <c r="AY855" s="137" t="s">
        <v>432</v>
      </c>
      <c r="AZ855" s="137" t="s">
        <v>432</v>
      </c>
      <c r="BA855" s="137" t="s">
        <v>432</v>
      </c>
      <c r="BB855" s="239" t="str">
        <f>B855&amp;C855</f>
        <v>Frota e condutores de veículos automotoresx</v>
      </c>
      <c r="BC855" s="239" t="str">
        <f>B855&amp;C855&amp;H855</f>
        <v>Frota e condutores de veículos automotoresxx</v>
      </c>
      <c r="BD855" s="239" t="str">
        <f>B855&amp;H855</f>
        <v>Frota e condutores de veículos automotoresx</v>
      </c>
    </row>
    <row r="856" spans="1:56" s="373" customFormat="1" x14ac:dyDescent="0.25">
      <c r="A856" s="383"/>
      <c r="B856" s="384"/>
      <c r="C856" s="384"/>
      <c r="D856" s="719"/>
      <c r="E856" s="1519"/>
      <c r="F856" s="385"/>
      <c r="G856" s="385"/>
      <c r="H856" s="384"/>
      <c r="I856" s="385"/>
      <c r="J856" s="385"/>
      <c r="K856" s="385"/>
      <c r="L856" s="385"/>
      <c r="M856" s="385"/>
      <c r="N856" s="385"/>
      <c r="O856" s="385"/>
      <c r="P856" s="385"/>
      <c r="Q856" s="385"/>
      <c r="R856" s="385"/>
      <c r="S856" s="385"/>
      <c r="T856" s="385"/>
      <c r="U856" s="385"/>
      <c r="V856" s="385"/>
      <c r="W856" s="385"/>
      <c r="X856" s="385"/>
      <c r="Y856" s="385"/>
      <c r="Z856" s="385"/>
      <c r="AA856" s="385"/>
      <c r="AB856" s="385"/>
      <c r="AC856" s="385"/>
      <c r="AD856" s="385"/>
      <c r="AE856" s="385"/>
      <c r="AF856" s="385"/>
      <c r="AG856" s="385"/>
      <c r="AH856" s="385"/>
      <c r="AI856" s="385"/>
      <c r="AJ856" s="385"/>
      <c r="AK856" s="397"/>
      <c r="AL856" s="763" t="s">
        <v>432</v>
      </c>
      <c r="AM856" s="387"/>
      <c r="AN856" s="387"/>
      <c r="AO856" s="387"/>
      <c r="AP856" s="387"/>
      <c r="AQ856" s="387"/>
      <c r="AR856" s="387"/>
      <c r="AS856" s="387"/>
      <c r="AT856" s="387"/>
      <c r="AU856" s="387"/>
      <c r="AV856" s="387"/>
      <c r="AW856" s="387"/>
      <c r="AX856" s="387"/>
      <c r="AY856" s="387"/>
      <c r="AZ856" s="387"/>
      <c r="BA856" s="387"/>
      <c r="BB856" s="388"/>
      <c r="BC856" s="388"/>
      <c r="BD856" s="388"/>
    </row>
    <row r="857" spans="1:56" s="1" customFormat="1" ht="51" x14ac:dyDescent="0.25">
      <c r="A857" s="275" t="str">
        <f>'Q100b-totais'!$B$17</f>
        <v>2.2</v>
      </c>
      <c r="B857" s="1205" t="str">
        <f>'Q100b-totais'!$C$17</f>
        <v>Frota e condutores de veículos automotores</v>
      </c>
      <c r="C857" s="57" t="s">
        <v>432</v>
      </c>
      <c r="D857" s="979" t="s">
        <v>467</v>
      </c>
      <c r="E857" s="1402" t="s">
        <v>1306</v>
      </c>
      <c r="F857" s="15" t="s">
        <v>3632</v>
      </c>
      <c r="G857" s="110" t="s">
        <v>77</v>
      </c>
      <c r="H857" s="167" t="s">
        <v>432</v>
      </c>
      <c r="I857" s="57">
        <v>1</v>
      </c>
      <c r="J857" s="107" t="s">
        <v>432</v>
      </c>
      <c r="K857" s="137" t="s">
        <v>432</v>
      </c>
      <c r="L857" s="137" t="s">
        <v>432</v>
      </c>
      <c r="M857" s="137" t="s">
        <v>432</v>
      </c>
      <c r="N857" s="137" t="s">
        <v>432</v>
      </c>
      <c r="O857" s="137" t="s">
        <v>432</v>
      </c>
      <c r="P857" s="137" t="s">
        <v>432</v>
      </c>
      <c r="Q857" s="137" t="s">
        <v>432</v>
      </c>
      <c r="R857" s="137" t="s">
        <v>432</v>
      </c>
      <c r="S857" s="109" t="s">
        <v>2209</v>
      </c>
      <c r="T857" s="107" t="s">
        <v>432</v>
      </c>
      <c r="U857" s="107" t="s">
        <v>432</v>
      </c>
      <c r="V857" s="109" t="s">
        <v>2209</v>
      </c>
      <c r="W857" s="107" t="s">
        <v>432</v>
      </c>
      <c r="X857" s="107" t="s">
        <v>432</v>
      </c>
      <c r="Y857" s="107" t="s">
        <v>432</v>
      </c>
      <c r="Z857" s="107" t="s">
        <v>432</v>
      </c>
      <c r="AA857" s="107" t="s">
        <v>432</v>
      </c>
      <c r="AB857" s="107" t="s">
        <v>432</v>
      </c>
      <c r="AC857" s="107" t="s">
        <v>432</v>
      </c>
      <c r="AD857" s="84">
        <v>2</v>
      </c>
      <c r="AE857" s="84">
        <v>3</v>
      </c>
      <c r="AF857" s="84">
        <v>3</v>
      </c>
      <c r="AG857" s="84">
        <v>3</v>
      </c>
      <c r="AH857" s="84">
        <v>3</v>
      </c>
      <c r="AI857" s="84">
        <v>3</v>
      </c>
      <c r="AJ857" s="84">
        <v>3</v>
      </c>
      <c r="AK857" s="84">
        <v>4</v>
      </c>
      <c r="AL857" s="600" t="s">
        <v>432</v>
      </c>
      <c r="AM857" s="137" t="s">
        <v>432</v>
      </c>
      <c r="AN857" s="137" t="s">
        <v>432</v>
      </c>
      <c r="AO857" s="137" t="s">
        <v>432</v>
      </c>
      <c r="AP857" s="137" t="s">
        <v>432</v>
      </c>
      <c r="AQ857" s="137" t="s">
        <v>432</v>
      </c>
      <c r="AR857" s="137" t="s">
        <v>432</v>
      </c>
      <c r="AS857" s="137" t="s">
        <v>432</v>
      </c>
      <c r="AT857" s="137" t="s">
        <v>432</v>
      </c>
      <c r="AU857" s="137" t="s">
        <v>432</v>
      </c>
      <c r="AV857" s="137" t="s">
        <v>432</v>
      </c>
      <c r="AW857" s="137" t="s">
        <v>432</v>
      </c>
      <c r="AX857" s="137" t="s">
        <v>432</v>
      </c>
      <c r="AY857" s="137" t="s">
        <v>432</v>
      </c>
      <c r="AZ857" s="137" t="s">
        <v>432</v>
      </c>
      <c r="BA857" s="137" t="s">
        <v>432</v>
      </c>
      <c r="BB857" s="239" t="str">
        <f>B857&amp;C857</f>
        <v>Frota e condutores de veículos automotoresx</v>
      </c>
      <c r="BC857" s="239" t="str">
        <f>B857&amp;C857&amp;H857</f>
        <v>Frota e condutores de veículos automotoresxx</v>
      </c>
      <c r="BD857" s="239" t="str">
        <f>B857&amp;H857</f>
        <v>Frota e condutores de veículos automotoresx</v>
      </c>
    </row>
    <row r="858" spans="1:56" s="1" customFormat="1" ht="51" x14ac:dyDescent="0.25">
      <c r="A858" s="275" t="str">
        <f>'Q100b-totais'!$B$17</f>
        <v>2.2</v>
      </c>
      <c r="B858" s="54" t="str">
        <f>'Q100b-totais'!$C$17</f>
        <v>Frota e condutores de veículos automotores</v>
      </c>
      <c r="C858" s="230" t="s">
        <v>432</v>
      </c>
      <c r="D858" s="979" t="s">
        <v>468</v>
      </c>
      <c r="E858" s="1402" t="s">
        <v>1306</v>
      </c>
      <c r="F858" s="15" t="s">
        <v>3631</v>
      </c>
      <c r="G858" s="110" t="s">
        <v>77</v>
      </c>
      <c r="H858" s="167" t="s">
        <v>432</v>
      </c>
      <c r="I858" s="57">
        <v>1</v>
      </c>
      <c r="J858" s="107" t="s">
        <v>432</v>
      </c>
      <c r="K858" s="137" t="s">
        <v>432</v>
      </c>
      <c r="L858" s="137" t="s">
        <v>432</v>
      </c>
      <c r="M858" s="137" t="s">
        <v>432</v>
      </c>
      <c r="N858" s="137" t="s">
        <v>432</v>
      </c>
      <c r="O858" s="137" t="s">
        <v>432</v>
      </c>
      <c r="P858" s="137" t="s">
        <v>432</v>
      </c>
      <c r="Q858" s="137" t="s">
        <v>432</v>
      </c>
      <c r="R858" s="137" t="s">
        <v>432</v>
      </c>
      <c r="S858" s="109" t="s">
        <v>2209</v>
      </c>
      <c r="T858" s="108" t="s">
        <v>432</v>
      </c>
      <c r="U858" s="108" t="s">
        <v>432</v>
      </c>
      <c r="V858" s="109" t="s">
        <v>2209</v>
      </c>
      <c r="W858" s="108" t="s">
        <v>432</v>
      </c>
      <c r="X858" s="108" t="s">
        <v>432</v>
      </c>
      <c r="Y858" s="108" t="s">
        <v>432</v>
      </c>
      <c r="Z858" s="108" t="s">
        <v>432</v>
      </c>
      <c r="AA858" s="108" t="s">
        <v>432</v>
      </c>
      <c r="AB858" s="108" t="s">
        <v>432</v>
      </c>
      <c r="AC858" s="107" t="s">
        <v>432</v>
      </c>
      <c r="AD858" s="87">
        <v>13666</v>
      </c>
      <c r="AE858" s="87">
        <v>14943</v>
      </c>
      <c r="AF858" s="87">
        <v>15741</v>
      </c>
      <c r="AG858" s="87">
        <v>16587</v>
      </c>
      <c r="AH858" s="87">
        <v>17145</v>
      </c>
      <c r="AI858" s="87">
        <v>17588</v>
      </c>
      <c r="AJ858" s="87">
        <v>17999</v>
      </c>
      <c r="AK858" s="87">
        <v>18406</v>
      </c>
      <c r="AL858" s="600" t="s">
        <v>432</v>
      </c>
      <c r="AM858" s="137" t="s">
        <v>432</v>
      </c>
      <c r="AN858" s="137" t="s">
        <v>432</v>
      </c>
      <c r="AO858" s="137" t="s">
        <v>432</v>
      </c>
      <c r="AP858" s="137" t="s">
        <v>432</v>
      </c>
      <c r="AQ858" s="137" t="s">
        <v>432</v>
      </c>
      <c r="AR858" s="137" t="s">
        <v>432</v>
      </c>
      <c r="AS858" s="137" t="s">
        <v>432</v>
      </c>
      <c r="AT858" s="137" t="s">
        <v>432</v>
      </c>
      <c r="AU858" s="137" t="s">
        <v>432</v>
      </c>
      <c r="AV858" s="137" t="s">
        <v>432</v>
      </c>
      <c r="AW858" s="137" t="s">
        <v>432</v>
      </c>
      <c r="AX858" s="137" t="s">
        <v>432</v>
      </c>
      <c r="AY858" s="137" t="s">
        <v>432</v>
      </c>
      <c r="AZ858" s="137" t="s">
        <v>432</v>
      </c>
      <c r="BA858" s="137" t="s">
        <v>432</v>
      </c>
      <c r="BB858" s="239" t="str">
        <f>B858&amp;C858</f>
        <v>Frota e condutores de veículos automotoresx</v>
      </c>
      <c r="BC858" s="239" t="str">
        <f>B858&amp;C858&amp;H858</f>
        <v>Frota e condutores de veículos automotoresxx</v>
      </c>
      <c r="BD858" s="239" t="str">
        <f>B858&amp;H858</f>
        <v>Frota e condutores de veículos automotoresx</v>
      </c>
    </row>
    <row r="859" spans="1:56" s="1" customFormat="1" ht="57.75" customHeight="1" x14ac:dyDescent="0.25">
      <c r="A859" s="275" t="str">
        <f>'Q100b-totais'!$B$17</f>
        <v>2.2</v>
      </c>
      <c r="B859" s="54" t="str">
        <f>'Q100b-totais'!$C$17</f>
        <v>Frota e condutores de veículos automotores</v>
      </c>
      <c r="C859" s="230" t="s">
        <v>432</v>
      </c>
      <c r="D859" s="979" t="s">
        <v>469</v>
      </c>
      <c r="E859" s="1402" t="s">
        <v>1306</v>
      </c>
      <c r="F859" s="15" t="s">
        <v>3647</v>
      </c>
      <c r="G859" s="110" t="s">
        <v>77</v>
      </c>
      <c r="H859" s="167" t="s">
        <v>432</v>
      </c>
      <c r="I859" s="57">
        <v>1</v>
      </c>
      <c r="J859" s="107" t="s">
        <v>432</v>
      </c>
      <c r="K859" s="137" t="s">
        <v>432</v>
      </c>
      <c r="L859" s="137" t="s">
        <v>432</v>
      </c>
      <c r="M859" s="137" t="s">
        <v>432</v>
      </c>
      <c r="N859" s="137" t="s">
        <v>432</v>
      </c>
      <c r="O859" s="137" t="s">
        <v>432</v>
      </c>
      <c r="P859" s="137" t="s">
        <v>432</v>
      </c>
      <c r="Q859" s="137" t="s">
        <v>432</v>
      </c>
      <c r="R859" s="137" t="s">
        <v>432</v>
      </c>
      <c r="S859" s="109" t="s">
        <v>2209</v>
      </c>
      <c r="T859" s="108" t="s">
        <v>432</v>
      </c>
      <c r="U859" s="108" t="s">
        <v>432</v>
      </c>
      <c r="V859" s="109" t="s">
        <v>2209</v>
      </c>
      <c r="W859" s="108" t="s">
        <v>432</v>
      </c>
      <c r="X859" s="108" t="s">
        <v>432</v>
      </c>
      <c r="Y859" s="108" t="s">
        <v>432</v>
      </c>
      <c r="Z859" s="108" t="s">
        <v>432</v>
      </c>
      <c r="AA859" s="108" t="s">
        <v>432</v>
      </c>
      <c r="AB859" s="108" t="s">
        <v>432</v>
      </c>
      <c r="AC859" s="107" t="s">
        <v>432</v>
      </c>
      <c r="AD859" s="84">
        <v>18</v>
      </c>
      <c r="AE859" s="84">
        <v>18</v>
      </c>
      <c r="AF859" s="84">
        <v>17</v>
      </c>
      <c r="AG859" s="84">
        <v>17</v>
      </c>
      <c r="AH859" s="84">
        <v>16</v>
      </c>
      <c r="AI859" s="84">
        <v>16</v>
      </c>
      <c r="AJ859" s="84">
        <v>16</v>
      </c>
      <c r="AK859" s="84">
        <v>16</v>
      </c>
      <c r="AL859" s="600" t="s">
        <v>432</v>
      </c>
      <c r="AM859" s="137" t="s">
        <v>432</v>
      </c>
      <c r="AN859" s="137" t="s">
        <v>432</v>
      </c>
      <c r="AO859" s="137" t="s">
        <v>432</v>
      </c>
      <c r="AP859" s="137" t="s">
        <v>432</v>
      </c>
      <c r="AQ859" s="137" t="s">
        <v>432</v>
      </c>
      <c r="AR859" s="137" t="s">
        <v>432</v>
      </c>
      <c r="AS859" s="137" t="s">
        <v>432</v>
      </c>
      <c r="AT859" s="137" t="s">
        <v>432</v>
      </c>
      <c r="AU859" s="137" t="s">
        <v>432</v>
      </c>
      <c r="AV859" s="137" t="s">
        <v>432</v>
      </c>
      <c r="AW859" s="137" t="s">
        <v>432</v>
      </c>
      <c r="AX859" s="137" t="s">
        <v>432</v>
      </c>
      <c r="AY859" s="137" t="s">
        <v>432</v>
      </c>
      <c r="AZ859" s="137" t="s">
        <v>432</v>
      </c>
      <c r="BA859" s="137" t="s">
        <v>432</v>
      </c>
      <c r="BB859" s="239" t="str">
        <f>B859&amp;C859</f>
        <v>Frota e condutores de veículos automotoresx</v>
      </c>
      <c r="BC859" s="239" t="str">
        <f>B859&amp;C859&amp;H859</f>
        <v>Frota e condutores de veículos automotoresxx</v>
      </c>
      <c r="BD859" s="239" t="str">
        <f>B859&amp;H859</f>
        <v>Frota e condutores de veículos automotoresx</v>
      </c>
    </row>
    <row r="860" spans="1:56" s="1" customFormat="1" ht="58.5" customHeight="1" x14ac:dyDescent="0.25">
      <c r="A860" s="275" t="str">
        <f>'Q100b-totais'!$B$17</f>
        <v>2.2</v>
      </c>
      <c r="B860" s="54" t="str">
        <f>'Q100b-totais'!$C$17</f>
        <v>Frota e condutores de veículos automotores</v>
      </c>
      <c r="C860" s="230" t="s">
        <v>432</v>
      </c>
      <c r="D860" s="979" t="s">
        <v>3652</v>
      </c>
      <c r="E860" s="1402" t="s">
        <v>1306</v>
      </c>
      <c r="F860" s="15" t="s">
        <v>3648</v>
      </c>
      <c r="G860" s="110" t="s">
        <v>77</v>
      </c>
      <c r="H860" s="167" t="s">
        <v>432</v>
      </c>
      <c r="I860" s="57">
        <v>1</v>
      </c>
      <c r="J860" s="107" t="s">
        <v>432</v>
      </c>
      <c r="K860" s="137" t="s">
        <v>432</v>
      </c>
      <c r="L860" s="137" t="s">
        <v>432</v>
      </c>
      <c r="M860" s="137" t="s">
        <v>432</v>
      </c>
      <c r="N860" s="137" t="s">
        <v>432</v>
      </c>
      <c r="O860" s="137" t="s">
        <v>432</v>
      </c>
      <c r="P860" s="137" t="s">
        <v>432</v>
      </c>
      <c r="Q860" s="137" t="s">
        <v>432</v>
      </c>
      <c r="R860" s="137" t="s">
        <v>432</v>
      </c>
      <c r="S860" s="109" t="s">
        <v>2209</v>
      </c>
      <c r="T860" s="108" t="s">
        <v>432</v>
      </c>
      <c r="U860" s="108" t="s">
        <v>432</v>
      </c>
      <c r="V860" s="109" t="s">
        <v>2209</v>
      </c>
      <c r="W860" s="108" t="s">
        <v>432</v>
      </c>
      <c r="X860" s="108" t="s">
        <v>432</v>
      </c>
      <c r="Y860" s="108" t="s">
        <v>432</v>
      </c>
      <c r="Z860" s="108" t="s">
        <v>432</v>
      </c>
      <c r="AA860" s="108" t="s">
        <v>432</v>
      </c>
      <c r="AB860" s="108" t="s">
        <v>432</v>
      </c>
      <c r="AC860" s="107" t="s">
        <v>432</v>
      </c>
      <c r="AD860" s="87">
        <v>3558</v>
      </c>
      <c r="AE860" s="87">
        <v>3842</v>
      </c>
      <c r="AF860" s="87">
        <v>4125</v>
      </c>
      <c r="AG860" s="87">
        <v>4421</v>
      </c>
      <c r="AH860" s="87">
        <v>4525</v>
      </c>
      <c r="AI860" s="87">
        <v>4501</v>
      </c>
      <c r="AJ860" s="87">
        <v>4502</v>
      </c>
      <c r="AK860" s="87">
        <v>4409</v>
      </c>
      <c r="AL860" s="600" t="s">
        <v>432</v>
      </c>
      <c r="AM860" s="137" t="s">
        <v>432</v>
      </c>
      <c r="AN860" s="137" t="s">
        <v>432</v>
      </c>
      <c r="AO860" s="137" t="s">
        <v>432</v>
      </c>
      <c r="AP860" s="137" t="s">
        <v>432</v>
      </c>
      <c r="AQ860" s="137" t="s">
        <v>432</v>
      </c>
      <c r="AR860" s="137" t="s">
        <v>432</v>
      </c>
      <c r="AS860" s="137" t="s">
        <v>432</v>
      </c>
      <c r="AT860" s="137" t="s">
        <v>432</v>
      </c>
      <c r="AU860" s="137" t="s">
        <v>432</v>
      </c>
      <c r="AV860" s="137" t="s">
        <v>432</v>
      </c>
      <c r="AW860" s="137" t="s">
        <v>432</v>
      </c>
      <c r="AX860" s="137" t="s">
        <v>432</v>
      </c>
      <c r="AY860" s="137" t="s">
        <v>432</v>
      </c>
      <c r="AZ860" s="137" t="s">
        <v>432</v>
      </c>
      <c r="BA860" s="137" t="s">
        <v>432</v>
      </c>
      <c r="BB860" s="239" t="str">
        <f>B860&amp;C860</f>
        <v>Frota e condutores de veículos automotoresx</v>
      </c>
      <c r="BC860" s="239" t="str">
        <f>B860&amp;C860&amp;H860</f>
        <v>Frota e condutores de veículos automotoresxx</v>
      </c>
      <c r="BD860" s="239" t="str">
        <f>B860&amp;H860</f>
        <v>Frota e condutores de veículos automotoresx</v>
      </c>
    </row>
    <row r="861" spans="1:56" s="373" customFormat="1" x14ac:dyDescent="0.25">
      <c r="A861" s="383"/>
      <c r="B861" s="384"/>
      <c r="C861" s="384"/>
      <c r="D861" s="719"/>
      <c r="E861" s="1519"/>
      <c r="F861" s="385"/>
      <c r="G861" s="385"/>
      <c r="H861" s="384"/>
      <c r="I861" s="385"/>
      <c r="J861" s="385"/>
      <c r="K861" s="385"/>
      <c r="L861" s="385"/>
      <c r="M861" s="385"/>
      <c r="N861" s="385"/>
      <c r="O861" s="385"/>
      <c r="P861" s="385"/>
      <c r="Q861" s="385"/>
      <c r="R861" s="385"/>
      <c r="S861" s="385"/>
      <c r="T861" s="385"/>
      <c r="U861" s="385"/>
      <c r="V861" s="385"/>
      <c r="W861" s="385"/>
      <c r="X861" s="385"/>
      <c r="Y861" s="385"/>
      <c r="Z861" s="385"/>
      <c r="AA861" s="385"/>
      <c r="AB861" s="385"/>
      <c r="AC861" s="385"/>
      <c r="AD861" s="385"/>
      <c r="AE861" s="385"/>
      <c r="AF861" s="385"/>
      <c r="AG861" s="385"/>
      <c r="AH861" s="385"/>
      <c r="AI861" s="385"/>
      <c r="AJ861" s="385"/>
      <c r="AK861" s="397"/>
      <c r="AL861" s="763" t="s">
        <v>432</v>
      </c>
      <c r="AM861" s="387"/>
      <c r="AN861" s="387"/>
      <c r="AO861" s="387"/>
      <c r="AP861" s="387"/>
      <c r="AQ861" s="387"/>
      <c r="AR861" s="387"/>
      <c r="AS861" s="387"/>
      <c r="AT861" s="387"/>
      <c r="AU861" s="387"/>
      <c r="AV861" s="387"/>
      <c r="AW861" s="387"/>
      <c r="AX861" s="387"/>
      <c r="AY861" s="387"/>
      <c r="AZ861" s="387"/>
      <c r="BA861" s="387"/>
      <c r="BB861" s="388"/>
      <c r="BC861" s="388"/>
      <c r="BD861" s="388"/>
    </row>
    <row r="862" spans="1:56" s="1" customFormat="1" ht="57.75" customHeight="1" x14ac:dyDescent="0.25">
      <c r="A862" s="275" t="str">
        <f>'Q100b-totais'!B62</f>
        <v>8.10</v>
      </c>
      <c r="B862" s="1205" t="str">
        <f>'Q100b-totais'!C62</f>
        <v>Sistema de transporte coletivo com um todo</v>
      </c>
      <c r="C862" s="57" t="s">
        <v>432</v>
      </c>
      <c r="D862" s="714" t="str">
        <f>'Q100e-FrotaOnibus'!BL18</f>
        <v>F tc</v>
      </c>
      <c r="E862" s="254" t="str">
        <f>'Q100e-FrotaOnibus'!BM18</f>
        <v>Belo Horizonte</v>
      </c>
      <c r="F862" s="252" t="str">
        <f>'Q100e-FrotaOnibus'!BN18</f>
        <v>frota total em n.º de ônibus de todo o sistema de transporte coletivo de Belo Horizonte, incluindo o transporte convencional (operado por empresas concessionárias, inclui as linhas de BRT e as linhas de vilas e favelas) e o transporte suplementar</v>
      </c>
      <c r="G862" s="368" t="str">
        <f>'Q100e-FrotaOnibus'!BO18</f>
        <v>F tcc + F tcs</v>
      </c>
      <c r="H862" s="57" t="s">
        <v>432</v>
      </c>
      <c r="I862" s="167">
        <v>1</v>
      </c>
      <c r="J862" s="109" t="s">
        <v>2467</v>
      </c>
      <c r="K862" s="109" t="s">
        <v>2467</v>
      </c>
      <c r="L862" s="109" t="s">
        <v>2467</v>
      </c>
      <c r="M862" s="356">
        <f t="shared" ref="M862:R862" si="199">M865</f>
        <v>2491</v>
      </c>
      <c r="N862" s="356">
        <f t="shared" si="199"/>
        <v>2574</v>
      </c>
      <c r="O862" s="356">
        <f t="shared" si="199"/>
        <v>2670</v>
      </c>
      <c r="P862" s="356" t="str">
        <f t="shared" si="199"/>
        <v>ainda não encontrado</v>
      </c>
      <c r="Q862" s="356" t="str">
        <f t="shared" si="199"/>
        <v>ainda não encontrado</v>
      </c>
      <c r="R862" s="356" t="str">
        <f t="shared" si="199"/>
        <v>ainda não encontrado</v>
      </c>
      <c r="S862" s="109" t="s">
        <v>2209</v>
      </c>
      <c r="T862" s="356">
        <f>T865</f>
        <v>2927</v>
      </c>
      <c r="U862" s="356">
        <f>U865</f>
        <v>2986</v>
      </c>
      <c r="V862" s="109" t="s">
        <v>2209</v>
      </c>
      <c r="W862" s="356">
        <f t="shared" ref="W862:AK862" si="200">W865+W867</f>
        <v>3185</v>
      </c>
      <c r="X862" s="356">
        <f t="shared" si="200"/>
        <v>3122</v>
      </c>
      <c r="Y862" s="356">
        <f t="shared" si="200"/>
        <v>3150</v>
      </c>
      <c r="Z862" s="356">
        <f t="shared" si="200"/>
        <v>3106</v>
      </c>
      <c r="AA862" s="356">
        <f t="shared" si="200"/>
        <v>3103</v>
      </c>
      <c r="AB862" s="356">
        <f t="shared" si="200"/>
        <v>3110</v>
      </c>
      <c r="AC862" s="356">
        <f t="shared" si="200"/>
        <v>3112</v>
      </c>
      <c r="AD862" s="356">
        <f t="shared" si="200"/>
        <v>3138</v>
      </c>
      <c r="AE862" s="356">
        <f t="shared" si="200"/>
        <v>3142</v>
      </c>
      <c r="AF862" s="356">
        <f t="shared" si="200"/>
        <v>3117</v>
      </c>
      <c r="AG862" s="356">
        <f t="shared" si="200"/>
        <v>3295</v>
      </c>
      <c r="AH862" s="356">
        <f t="shared" si="200"/>
        <v>3323</v>
      </c>
      <c r="AI862" s="356">
        <f t="shared" si="200"/>
        <v>3323</v>
      </c>
      <c r="AJ862" s="356">
        <f t="shared" si="200"/>
        <v>3300</v>
      </c>
      <c r="AK862" s="356">
        <f t="shared" si="200"/>
        <v>3234</v>
      </c>
      <c r="AL862" s="600" t="s">
        <v>432</v>
      </c>
      <c r="AM862" s="137" t="s">
        <v>432</v>
      </c>
      <c r="AN862" s="137" t="s">
        <v>432</v>
      </c>
      <c r="AO862" s="137" t="s">
        <v>432</v>
      </c>
      <c r="AP862" s="137" t="s">
        <v>432</v>
      </c>
      <c r="AQ862" s="137" t="s">
        <v>432</v>
      </c>
      <c r="AR862" s="137" t="s">
        <v>432</v>
      </c>
      <c r="AS862" s="137" t="s">
        <v>432</v>
      </c>
      <c r="AT862" s="137" t="s">
        <v>432</v>
      </c>
      <c r="AU862" s="137" t="s">
        <v>432</v>
      </c>
      <c r="AV862" s="137" t="s">
        <v>432</v>
      </c>
      <c r="AW862" s="137" t="s">
        <v>432</v>
      </c>
      <c r="AX862" s="137" t="s">
        <v>432</v>
      </c>
      <c r="AY862" s="137" t="s">
        <v>432</v>
      </c>
      <c r="AZ862" s="137" t="s">
        <v>432</v>
      </c>
      <c r="BA862" s="137" t="s">
        <v>432</v>
      </c>
      <c r="BB862" s="239" t="str">
        <f t="shared" ref="BB862:BB868" si="201">B862&amp;C862</f>
        <v>Sistema de transporte coletivo com um todox</v>
      </c>
      <c r="BC862" s="239" t="str">
        <f t="shared" ref="BC862:BC868" si="202">B862&amp;C862&amp;H862</f>
        <v>Sistema de transporte coletivo com um todoxx</v>
      </c>
      <c r="BD862" s="239" t="str">
        <f t="shared" ref="BD862:BD868" si="203">B862&amp;H862</f>
        <v>Sistema de transporte coletivo com um todox</v>
      </c>
    </row>
    <row r="863" spans="1:56" s="1" customFormat="1" ht="114" customHeight="1" x14ac:dyDescent="0.25">
      <c r="A863" s="275" t="str">
        <f>'Q100b-totais'!B62</f>
        <v>8.10</v>
      </c>
      <c r="B863" s="1205" t="str">
        <f>'Q100b-totais'!C62</f>
        <v>Sistema de transporte coletivo com um todo</v>
      </c>
      <c r="C863" s="57" t="s">
        <v>432</v>
      </c>
      <c r="D863" s="714" t="s">
        <v>3408</v>
      </c>
      <c r="E863" s="254" t="s">
        <v>1306</v>
      </c>
      <c r="F863" s="252" t="s">
        <v>4940</v>
      </c>
      <c r="G863" s="116" t="s">
        <v>77</v>
      </c>
      <c r="H863" s="173" t="s">
        <v>432</v>
      </c>
      <c r="I863" s="167">
        <v>1</v>
      </c>
      <c r="J863" s="109" t="s">
        <v>432</v>
      </c>
      <c r="K863" s="109" t="s">
        <v>432</v>
      </c>
      <c r="L863" s="109" t="s">
        <v>432</v>
      </c>
      <c r="M863" s="109" t="s">
        <v>432</v>
      </c>
      <c r="N863" s="109" t="s">
        <v>432</v>
      </c>
      <c r="O863" s="109" t="s">
        <v>432</v>
      </c>
      <c r="P863" s="109" t="s">
        <v>432</v>
      </c>
      <c r="Q863" s="109" t="s">
        <v>432</v>
      </c>
      <c r="R863" s="109" t="s">
        <v>432</v>
      </c>
      <c r="S863" s="109" t="s">
        <v>2209</v>
      </c>
      <c r="T863" s="109" t="s">
        <v>432</v>
      </c>
      <c r="U863" s="109" t="s">
        <v>432</v>
      </c>
      <c r="V863" s="109" t="s">
        <v>2209</v>
      </c>
      <c r="W863" s="109" t="s">
        <v>432</v>
      </c>
      <c r="X863" s="109" t="s">
        <v>432</v>
      </c>
      <c r="Y863" s="109" t="s">
        <v>432</v>
      </c>
      <c r="Z863" s="109" t="s">
        <v>432</v>
      </c>
      <c r="AA863" s="109" t="s">
        <v>432</v>
      </c>
      <c r="AB863" s="109" t="s">
        <v>432</v>
      </c>
      <c r="AC863" s="109" t="s">
        <v>432</v>
      </c>
      <c r="AD863" s="109" t="s">
        <v>432</v>
      </c>
      <c r="AE863" s="109" t="s">
        <v>432</v>
      </c>
      <c r="AF863" s="109" t="s">
        <v>432</v>
      </c>
      <c r="AG863" s="109" t="s">
        <v>432</v>
      </c>
      <c r="AH863" s="109" t="s">
        <v>432</v>
      </c>
      <c r="AI863" s="109" t="s">
        <v>432</v>
      </c>
      <c r="AJ863" s="109" t="s">
        <v>432</v>
      </c>
      <c r="AK863" s="192">
        <v>0</v>
      </c>
      <c r="AL863" s="600" t="s">
        <v>432</v>
      </c>
      <c r="AM863" s="137" t="s">
        <v>432</v>
      </c>
      <c r="AN863" s="137" t="s">
        <v>432</v>
      </c>
      <c r="AO863" s="137" t="s">
        <v>432</v>
      </c>
      <c r="AP863" s="137" t="s">
        <v>432</v>
      </c>
      <c r="AQ863" s="137" t="s">
        <v>432</v>
      </c>
      <c r="AR863" s="137" t="s">
        <v>432</v>
      </c>
      <c r="AS863" s="137" t="s">
        <v>432</v>
      </c>
      <c r="AT863" s="137" t="s">
        <v>432</v>
      </c>
      <c r="AU863" s="137" t="s">
        <v>432</v>
      </c>
      <c r="AV863" s="137" t="s">
        <v>432</v>
      </c>
      <c r="AW863" s="137" t="s">
        <v>432</v>
      </c>
      <c r="AX863" s="137" t="s">
        <v>432</v>
      </c>
      <c r="AY863" s="137" t="s">
        <v>432</v>
      </c>
      <c r="AZ863" s="137" t="s">
        <v>432</v>
      </c>
      <c r="BA863" s="137" t="s">
        <v>432</v>
      </c>
      <c r="BB863" s="239" t="str">
        <f t="shared" si="201"/>
        <v>Sistema de transporte coletivo com um todox</v>
      </c>
      <c r="BC863" s="239" t="str">
        <f t="shared" si="202"/>
        <v>Sistema de transporte coletivo com um todoxx</v>
      </c>
      <c r="BD863" s="239" t="str">
        <f t="shared" si="203"/>
        <v>Sistema de transporte coletivo com um todox</v>
      </c>
    </row>
    <row r="864" spans="1:56" s="1" customFormat="1" ht="108" customHeight="1" x14ac:dyDescent="0.25">
      <c r="A864" s="275" t="str">
        <f>'Q100b-totais'!B62</f>
        <v>8.10</v>
      </c>
      <c r="B864" s="1205" t="str">
        <f>'Q100b-totais'!C62</f>
        <v>Sistema de transporte coletivo com um todo</v>
      </c>
      <c r="C864" s="57" t="s">
        <v>432</v>
      </c>
      <c r="D864" s="714" t="s">
        <v>3409</v>
      </c>
      <c r="E864" s="254" t="s">
        <v>1306</v>
      </c>
      <c r="F864" s="252" t="s">
        <v>3410</v>
      </c>
      <c r="G864" s="173" t="s">
        <v>933</v>
      </c>
      <c r="H864" s="173" t="s">
        <v>765</v>
      </c>
      <c r="I864" s="167" t="s">
        <v>432</v>
      </c>
      <c r="J864" s="109" t="s">
        <v>432</v>
      </c>
      <c r="K864" s="109"/>
      <c r="L864" s="109"/>
      <c r="M864" s="356"/>
      <c r="N864" s="356"/>
      <c r="O864" s="356"/>
      <c r="P864" s="356"/>
      <c r="Q864" s="356"/>
      <c r="R864" s="356"/>
      <c r="S864" s="109" t="s">
        <v>2209</v>
      </c>
      <c r="T864" s="109" t="s">
        <v>432</v>
      </c>
      <c r="U864" s="109" t="s">
        <v>432</v>
      </c>
      <c r="V864" s="109" t="s">
        <v>2209</v>
      </c>
      <c r="W864" s="109" t="s">
        <v>432</v>
      </c>
      <c r="X864" s="109" t="s">
        <v>432</v>
      </c>
      <c r="Y864" s="109" t="s">
        <v>432</v>
      </c>
      <c r="Z864" s="109" t="s">
        <v>432</v>
      </c>
      <c r="AA864" s="109" t="s">
        <v>432</v>
      </c>
      <c r="AB864" s="109" t="s">
        <v>432</v>
      </c>
      <c r="AC864" s="109" t="s">
        <v>432</v>
      </c>
      <c r="AD864" s="109" t="s">
        <v>432</v>
      </c>
      <c r="AE864" s="109" t="s">
        <v>432</v>
      </c>
      <c r="AF864" s="109" t="s">
        <v>432</v>
      </c>
      <c r="AG864" s="109" t="s">
        <v>432</v>
      </c>
      <c r="AH864" s="109" t="s">
        <v>432</v>
      </c>
      <c r="AI864" s="109" t="s">
        <v>432</v>
      </c>
      <c r="AJ864" s="109" t="s">
        <v>432</v>
      </c>
      <c r="AK864" s="192">
        <v>1</v>
      </c>
      <c r="AL864" s="600" t="s">
        <v>432</v>
      </c>
      <c r="AM864" s="137" t="s">
        <v>432</v>
      </c>
      <c r="AN864" s="137" t="s">
        <v>432</v>
      </c>
      <c r="AO864" s="137" t="s">
        <v>432</v>
      </c>
      <c r="AP864" s="137" t="s">
        <v>432</v>
      </c>
      <c r="AQ864" s="137" t="s">
        <v>432</v>
      </c>
      <c r="AR864" s="137" t="s">
        <v>432</v>
      </c>
      <c r="AS864" s="137" t="s">
        <v>432</v>
      </c>
      <c r="AT864" s="137" t="s">
        <v>432</v>
      </c>
      <c r="AU864" s="137" t="s">
        <v>432</v>
      </c>
      <c r="AV864" s="137" t="s">
        <v>432</v>
      </c>
      <c r="AW864" s="137" t="s">
        <v>432</v>
      </c>
      <c r="AX864" s="137" t="s">
        <v>432</v>
      </c>
      <c r="AY864" s="137" t="s">
        <v>432</v>
      </c>
      <c r="AZ864" s="137" t="s">
        <v>432</v>
      </c>
      <c r="BA864" s="137" t="s">
        <v>432</v>
      </c>
      <c r="BB864" s="239" t="str">
        <f t="shared" si="201"/>
        <v>Sistema de transporte coletivo com um todox</v>
      </c>
      <c r="BC864" s="239" t="str">
        <f t="shared" si="202"/>
        <v>Sistema de transporte coletivo com um todoxmeta/RPI</v>
      </c>
      <c r="BD864" s="239" t="str">
        <f t="shared" si="203"/>
        <v>Sistema de transporte coletivo com um todometa/RPI</v>
      </c>
    </row>
    <row r="865" spans="1:67" s="1" customFormat="1" ht="136.5" customHeight="1" x14ac:dyDescent="0.25">
      <c r="A865" s="275" t="str">
        <f>'Q100b-totais'!$B$57</f>
        <v>8.5</v>
      </c>
      <c r="B865" s="1205" t="str">
        <f>'Q100b-totais'!$C$57</f>
        <v>Transporte convencional</v>
      </c>
      <c r="C865" s="57" t="s">
        <v>432</v>
      </c>
      <c r="D865" s="715" t="str">
        <f>'Q100e-FrotaOnibus'!BD18</f>
        <v>F tcc
(n.º)</v>
      </c>
      <c r="E865" s="1502" t="str">
        <f>'Q100e-FrotaOnibus'!BE18</f>
        <v>Belo Horizonte</v>
      </c>
      <c r="F865" s="355" t="str">
        <f>'Q100e-FrotaOnibus'!BF18</f>
        <v>frota total em n.º de ônibus do transporte coletivo convencional de Belo Horizonte gerenciado pela BHTrans (operado por empresas concessionárias, inclui as linhas de BRT e as linhas de vilas e favelas)
obs.1: "Em julho de 1993, quando a Prefeitura municipalizou o transporte coletivo ed Belo Horizonte, tínhamos 2.460 veículos compondo a frota [...]" conforme BHTRANS(1996a, p.3)
obs.2: mês de dezembro tomado como representativo do ano, com resultados de 1993 e 1994 conforme BHTRANS(1995a, p.3); de 1995 conforme BHTRANS(1996a, p.2); de 1999 conforme BHTRANS(2000a, p.35); de 2000 relativo a outubro conforme BHTRANS(2016e); de 2001 conforme BHTRANS(2005a); de 2002-2004 conforme BHTRANS(2007a); BHTRANS(2005 a 2007) conforme BHTRANS(2011b); de 2008 conforme BHTRANS(2011b); de 2009 a 2016 conforme fórmula
obs.: resultado de 2016 (fórmula) confere com BHTRANS(2017c2)</v>
      </c>
      <c r="G865" s="111" t="str">
        <f>'Q100e-FrotaOnibus'!BG18</f>
        <v>∑ (n.º de veículos por categoria na escala "acessibilidade em ônibus urbano")</v>
      </c>
      <c r="H865" s="57" t="s">
        <v>432</v>
      </c>
      <c r="I865" s="167">
        <v>1</v>
      </c>
      <c r="J865" s="109" t="s">
        <v>2467</v>
      </c>
      <c r="K865" s="109" t="s">
        <v>2467</v>
      </c>
      <c r="L865" s="109" t="s">
        <v>2467</v>
      </c>
      <c r="M865" s="92">
        <v>2491</v>
      </c>
      <c r="N865" s="92">
        <v>2574</v>
      </c>
      <c r="O865" s="92">
        <v>2670</v>
      </c>
      <c r="P865" s="623" t="s">
        <v>2148</v>
      </c>
      <c r="Q865" s="623" t="s">
        <v>2148</v>
      </c>
      <c r="R865" s="623" t="s">
        <v>2148</v>
      </c>
      <c r="S865" s="109" t="s">
        <v>2209</v>
      </c>
      <c r="T865" s="92">
        <v>2927</v>
      </c>
      <c r="U865" s="92">
        <v>2986</v>
      </c>
      <c r="V865" s="109" t="s">
        <v>2209</v>
      </c>
      <c r="W865" s="86">
        <v>2912</v>
      </c>
      <c r="X865" s="86">
        <v>2849</v>
      </c>
      <c r="Y865" s="86">
        <v>2863</v>
      </c>
      <c r="Z865" s="86">
        <v>2819</v>
      </c>
      <c r="AA865" s="86">
        <v>2819</v>
      </c>
      <c r="AB865" s="86">
        <v>2821</v>
      </c>
      <c r="AC865" s="86">
        <v>2823</v>
      </c>
      <c r="AD865" s="87">
        <v>2849</v>
      </c>
      <c r="AE865" s="20">
        <f>AE1043+AE922+AE937+AE994</f>
        <v>2854</v>
      </c>
      <c r="AF865" s="20">
        <f>AF1043+AF922+AF937+AF994</f>
        <v>2832</v>
      </c>
      <c r="AG865" s="20">
        <f>AG1043+AG922+AG937+AG994</f>
        <v>3010</v>
      </c>
      <c r="AH865" s="20">
        <f>AH1043+AH922+AH937+AH994</f>
        <v>3038</v>
      </c>
      <c r="AI865" s="20">
        <f>AI1043+AI922+AI937+AI994</f>
        <v>3041</v>
      </c>
      <c r="AJ865" s="20">
        <f>AJ1043+AJ922+AJ937+AJ897+AJ994+AJ971</f>
        <v>3023</v>
      </c>
      <c r="AK865" s="20">
        <f>AK1043+AK922+AK937+AK897+AK994+AK971</f>
        <v>2960</v>
      </c>
      <c r="AL865" s="600" t="s">
        <v>432</v>
      </c>
      <c r="AM865" s="20">
        <f>AM1043+AM922+AM937+AM897+AM994+AM971</f>
        <v>2951</v>
      </c>
      <c r="AN865" s="137" t="s">
        <v>432</v>
      </c>
      <c r="AO865" s="137" t="s">
        <v>432</v>
      </c>
      <c r="AP865" s="137" t="s">
        <v>432</v>
      </c>
      <c r="AQ865" s="137" t="s">
        <v>432</v>
      </c>
      <c r="AR865" s="137" t="s">
        <v>432</v>
      </c>
      <c r="AS865" s="137" t="s">
        <v>432</v>
      </c>
      <c r="AT865" s="137" t="s">
        <v>432</v>
      </c>
      <c r="AU865" s="137" t="s">
        <v>432</v>
      </c>
      <c r="AV865" s="137" t="s">
        <v>432</v>
      </c>
      <c r="AW865" s="137" t="s">
        <v>432</v>
      </c>
      <c r="AX865" s="137" t="s">
        <v>432</v>
      </c>
      <c r="AY865" s="137" t="s">
        <v>432</v>
      </c>
      <c r="AZ865" s="137" t="s">
        <v>432</v>
      </c>
      <c r="BA865" s="137" t="s">
        <v>432</v>
      </c>
      <c r="BB865" s="239" t="str">
        <f t="shared" si="201"/>
        <v>Transporte convencionalx</v>
      </c>
      <c r="BC865" s="239" t="str">
        <f t="shared" si="202"/>
        <v>Transporte convencionalxx</v>
      </c>
      <c r="BD865" s="239" t="str">
        <f t="shared" si="203"/>
        <v>Transporte convencionalx</v>
      </c>
    </row>
    <row r="866" spans="1:67" s="1" customFormat="1" ht="126" customHeight="1" x14ac:dyDescent="0.25">
      <c r="A866" s="275" t="str">
        <f>'Q100b-totais'!$B$57</f>
        <v>8.5</v>
      </c>
      <c r="B866" s="1205" t="str">
        <f>'Q100b-totais'!$C$57</f>
        <v>Transporte convencional</v>
      </c>
      <c r="C866" s="57" t="s">
        <v>432</v>
      </c>
      <c r="D866" s="714" t="str">
        <f>'Q100e-FrotaOnibus'!BD19</f>
        <v>F tcc
(%)</v>
      </c>
      <c r="E866" s="254" t="str">
        <f>'Q100e-FrotaOnibus'!BE19</f>
        <v>Belo Horizonte</v>
      </c>
      <c r="F866" s="252" t="str">
        <f>'Q100e-FrotaOnibus'!BF19</f>
        <v>percentual da frota do transporte coletivo convencional de Belo Horizonte em relação à frota total gerenciada pela BHTrans</v>
      </c>
      <c r="G866" s="111" t="str">
        <f>'Q100e-FrotaOnibus'!BG19</f>
        <v>(n.º F tcc / n.º F tc) x 100</v>
      </c>
      <c r="H866" s="57" t="s">
        <v>432</v>
      </c>
      <c r="I866" s="167">
        <v>2</v>
      </c>
      <c r="J866" s="109" t="s">
        <v>2467</v>
      </c>
      <c r="K866" s="109" t="s">
        <v>2467</v>
      </c>
      <c r="L866" s="109" t="s">
        <v>2467</v>
      </c>
      <c r="M866" s="112">
        <f t="shared" ref="M866:R866" si="204">M865/M862</f>
        <v>1</v>
      </c>
      <c r="N866" s="112">
        <f t="shared" si="204"/>
        <v>1</v>
      </c>
      <c r="O866" s="112">
        <f t="shared" si="204"/>
        <v>1</v>
      </c>
      <c r="P866" s="112" t="e">
        <f t="shared" si="204"/>
        <v>#VALUE!</v>
      </c>
      <c r="Q866" s="112" t="e">
        <f t="shared" si="204"/>
        <v>#VALUE!</v>
      </c>
      <c r="R866" s="112" t="e">
        <f t="shared" si="204"/>
        <v>#VALUE!</v>
      </c>
      <c r="S866" s="109" t="s">
        <v>2209</v>
      </c>
      <c r="T866" s="112">
        <f>T865/T862</f>
        <v>1</v>
      </c>
      <c r="U866" s="112">
        <f>U865/U862</f>
        <v>1</v>
      </c>
      <c r="V866" s="109" t="s">
        <v>2209</v>
      </c>
      <c r="W866" s="112">
        <f t="shared" ref="W866:AK866" si="205">W865/W862</f>
        <v>0.91428571428571426</v>
      </c>
      <c r="X866" s="112">
        <f t="shared" si="205"/>
        <v>0.91255605381165916</v>
      </c>
      <c r="Y866" s="112">
        <f t="shared" si="205"/>
        <v>0.90888888888888886</v>
      </c>
      <c r="Z866" s="112">
        <f t="shared" si="205"/>
        <v>0.90759819703799094</v>
      </c>
      <c r="AA866" s="112">
        <f t="shared" si="205"/>
        <v>0.90847566870770224</v>
      </c>
      <c r="AB866" s="112">
        <f t="shared" si="205"/>
        <v>0.90707395498392285</v>
      </c>
      <c r="AC866" s="112">
        <f t="shared" si="205"/>
        <v>0.90713367609254503</v>
      </c>
      <c r="AD866" s="112">
        <f t="shared" si="205"/>
        <v>0.90790312300828557</v>
      </c>
      <c r="AE866" s="112">
        <f t="shared" si="205"/>
        <v>0.90833863781031188</v>
      </c>
      <c r="AF866" s="112">
        <f t="shared" si="205"/>
        <v>0.90856592877767084</v>
      </c>
      <c r="AG866" s="112">
        <f t="shared" si="205"/>
        <v>0.91350531107738997</v>
      </c>
      <c r="AH866" s="112">
        <f t="shared" si="205"/>
        <v>0.91423412578994889</v>
      </c>
      <c r="AI866" s="112">
        <f t="shared" si="205"/>
        <v>0.91513692446584416</v>
      </c>
      <c r="AJ866" s="112">
        <f t="shared" si="205"/>
        <v>0.91606060606060602</v>
      </c>
      <c r="AK866" s="112">
        <f t="shared" si="205"/>
        <v>0.91527520098948667</v>
      </c>
      <c r="AL866" s="600" t="s">
        <v>432</v>
      </c>
      <c r="AM866" s="112" t="e">
        <f>AM865/AM862</f>
        <v>#VALUE!</v>
      </c>
      <c r="AN866" s="137" t="s">
        <v>432</v>
      </c>
      <c r="AO866" s="137" t="s">
        <v>432</v>
      </c>
      <c r="AP866" s="137" t="s">
        <v>432</v>
      </c>
      <c r="AQ866" s="137" t="s">
        <v>432</v>
      </c>
      <c r="AR866" s="137" t="s">
        <v>432</v>
      </c>
      <c r="AS866" s="137" t="s">
        <v>432</v>
      </c>
      <c r="AT866" s="137" t="s">
        <v>432</v>
      </c>
      <c r="AU866" s="137" t="s">
        <v>432</v>
      </c>
      <c r="AV866" s="137" t="s">
        <v>432</v>
      </c>
      <c r="AW866" s="137" t="s">
        <v>432</v>
      </c>
      <c r="AX866" s="137" t="s">
        <v>432</v>
      </c>
      <c r="AY866" s="137" t="s">
        <v>432</v>
      </c>
      <c r="AZ866" s="137" t="s">
        <v>432</v>
      </c>
      <c r="BA866" s="137" t="s">
        <v>432</v>
      </c>
      <c r="BB866" s="239" t="str">
        <f t="shared" si="201"/>
        <v>Transporte convencionalx</v>
      </c>
      <c r="BC866" s="239" t="str">
        <f t="shared" si="202"/>
        <v>Transporte convencionalxx</v>
      </c>
      <c r="BD866" s="239" t="str">
        <f t="shared" si="203"/>
        <v>Transporte convencionalx</v>
      </c>
    </row>
    <row r="867" spans="1:67" s="1" customFormat="1" ht="111.75" customHeight="1" x14ac:dyDescent="0.25">
      <c r="A867" s="275" t="str">
        <f>'Q100b-totais'!$B$59</f>
        <v>8.7</v>
      </c>
      <c r="B867" s="252" t="str">
        <f>'Q100b-totais'!$C$59</f>
        <v>Transporte de baixa capacidade</v>
      </c>
      <c r="C867" s="167" t="s">
        <v>432</v>
      </c>
      <c r="D867" s="716" t="str">
        <f>'Q100e-FrotaOnibus'!BH18</f>
        <v>F tcs
(n.º)</v>
      </c>
      <c r="E867" s="254" t="str">
        <f>'Q100e-FrotaOnibus'!BI18</f>
        <v>Belo Horizonte</v>
      </c>
      <c r="F867" s="252" t="str">
        <f>'Q100e-FrotaOnibus'!BJ18</f>
        <v>frota total em n.º de ônibus do transporte coletivo suplementar de Belo Horizonte 
obs.1: resultado de dezembro tomado como representativo do ano com resultados de 2001 conforme BHTRANS(2005a); de 2002-2004 conforme BHTRANS(2006a); de 2005 conforme BHTRANS(2011b); de 2006-2012 conforme BHTRANS(2013h); de 2013 conforme BHTRANS(2014b); de 2014 com fórmula confirmado em BHTRANS(2015u); de 2015 com fórmula confirmado e, BHTRANS(2016p1)
obs.2: há divergência na frota de 2008, qual seja, 288 conforme BHTRANS(2011b) e 289 conforme BHTRANS(2013h), aqui assumindo-se esta última
obs.2: consulte definição de "transporte suplementar"</v>
      </c>
      <c r="G867" s="58" t="str">
        <f>'Q100e-FrotaOnibus'!BK18</f>
        <v>registro na fonte
ou
∑ (n.º de veículos por categoria na escala "acessibilidade em ônibus urbano")</v>
      </c>
      <c r="H867" s="167" t="s">
        <v>432</v>
      </c>
      <c r="I867" s="167">
        <v>1</v>
      </c>
      <c r="J867" s="107" t="s">
        <v>2055</v>
      </c>
      <c r="K867" s="107" t="s">
        <v>2055</v>
      </c>
      <c r="L867" s="107" t="s">
        <v>2055</v>
      </c>
      <c r="M867" s="107" t="s">
        <v>2055</v>
      </c>
      <c r="N867" s="107" t="s">
        <v>2055</v>
      </c>
      <c r="O867" s="107" t="s">
        <v>2055</v>
      </c>
      <c r="P867" s="107" t="s">
        <v>2055</v>
      </c>
      <c r="Q867" s="107" t="s">
        <v>2055</v>
      </c>
      <c r="R867" s="107" t="s">
        <v>2055</v>
      </c>
      <c r="S867" s="109" t="s">
        <v>2209</v>
      </c>
      <c r="T867" s="107" t="s">
        <v>2055</v>
      </c>
      <c r="U867" s="107" t="s">
        <v>2055</v>
      </c>
      <c r="V867" s="109" t="s">
        <v>2209</v>
      </c>
      <c r="W867" s="110">
        <v>273</v>
      </c>
      <c r="X867" s="110">
        <v>273</v>
      </c>
      <c r="Y867" s="110">
        <v>287</v>
      </c>
      <c r="Z867" s="110">
        <v>287</v>
      </c>
      <c r="AA867" s="110">
        <v>284</v>
      </c>
      <c r="AB867" s="88">
        <v>289</v>
      </c>
      <c r="AC867" s="88">
        <v>289</v>
      </c>
      <c r="AD867" s="88">
        <v>289</v>
      </c>
      <c r="AE867" s="88">
        <v>288</v>
      </c>
      <c r="AF867" s="88">
        <v>285</v>
      </c>
      <c r="AG867" s="88">
        <v>285</v>
      </c>
      <c r="AH867" s="88">
        <v>285</v>
      </c>
      <c r="AI867" s="88">
        <v>282</v>
      </c>
      <c r="AJ867" s="72">
        <f>AJ923+AJ938+AJ1049</f>
        <v>277</v>
      </c>
      <c r="AK867" s="72">
        <f>AK923+AK938+AK1049</f>
        <v>274</v>
      </c>
      <c r="AL867" s="600" t="s">
        <v>432</v>
      </c>
      <c r="AM867" s="137" t="s">
        <v>432</v>
      </c>
      <c r="AN867" s="137" t="s">
        <v>432</v>
      </c>
      <c r="AO867" s="137" t="s">
        <v>432</v>
      </c>
      <c r="AP867" s="137" t="s">
        <v>432</v>
      </c>
      <c r="AQ867" s="137" t="s">
        <v>432</v>
      </c>
      <c r="AR867" s="137" t="s">
        <v>432</v>
      </c>
      <c r="AS867" s="137" t="s">
        <v>432</v>
      </c>
      <c r="AT867" s="137" t="s">
        <v>432</v>
      </c>
      <c r="AU867" s="137" t="s">
        <v>432</v>
      </c>
      <c r="AV867" s="137" t="s">
        <v>432</v>
      </c>
      <c r="AW867" s="137" t="s">
        <v>432</v>
      </c>
      <c r="AX867" s="137" t="s">
        <v>432</v>
      </c>
      <c r="AY867" s="137" t="s">
        <v>432</v>
      </c>
      <c r="AZ867" s="137" t="s">
        <v>432</v>
      </c>
      <c r="BA867" s="137" t="s">
        <v>432</v>
      </c>
      <c r="BB867" s="239" t="str">
        <f t="shared" si="201"/>
        <v>Transporte de baixa capacidadex</v>
      </c>
      <c r="BC867" s="239" t="str">
        <f t="shared" si="202"/>
        <v>Transporte de baixa capacidadexx</v>
      </c>
      <c r="BD867" s="239" t="str">
        <f t="shared" si="203"/>
        <v>Transporte de baixa capacidadex</v>
      </c>
      <c r="BM867" s="19"/>
      <c r="BN867" s="19"/>
      <c r="BO867" s="19"/>
    </row>
    <row r="868" spans="1:67" s="1" customFormat="1" ht="111.75" customHeight="1" x14ac:dyDescent="0.25">
      <c r="A868" s="275" t="str">
        <f>'Q100b-totais'!$B$59</f>
        <v>8.7</v>
      </c>
      <c r="B868" s="252" t="str">
        <f>'Q100b-totais'!$C$59</f>
        <v>Transporte de baixa capacidade</v>
      </c>
      <c r="C868" s="167" t="s">
        <v>432</v>
      </c>
      <c r="D868" s="716" t="str">
        <f>'Q100e-FrotaOnibus'!BH19</f>
        <v>F tcs
(%)</v>
      </c>
      <c r="E868" s="254" t="str">
        <f>'Q100e-FrotaOnibus'!BI19</f>
        <v>Belo Horizonte</v>
      </c>
      <c r="F868" s="252" t="str">
        <f>'Q100e-FrotaOnibus'!BJ19</f>
        <v>percentual da frota do transporte coletivo suplementar de Belo Horizonte em relação à frota total gerenciada pela BHTrans</v>
      </c>
      <c r="G868" s="58" t="str">
        <f>'Q100e-FrotaOnibus'!BK19</f>
        <v>(n.º F tcs / n.º F tc) x 100</v>
      </c>
      <c r="H868" s="167" t="s">
        <v>432</v>
      </c>
      <c r="I868" s="167">
        <v>1</v>
      </c>
      <c r="J868" s="107" t="s">
        <v>2055</v>
      </c>
      <c r="K868" s="107" t="s">
        <v>2055</v>
      </c>
      <c r="L868" s="107" t="s">
        <v>2055</v>
      </c>
      <c r="M868" s="107" t="s">
        <v>2055</v>
      </c>
      <c r="N868" s="107" t="s">
        <v>2055</v>
      </c>
      <c r="O868" s="107" t="s">
        <v>2055</v>
      </c>
      <c r="P868" s="107" t="s">
        <v>2055</v>
      </c>
      <c r="Q868" s="107" t="s">
        <v>2055</v>
      </c>
      <c r="R868" s="107" t="s">
        <v>2055</v>
      </c>
      <c r="S868" s="109" t="s">
        <v>2209</v>
      </c>
      <c r="T868" s="107" t="s">
        <v>2055</v>
      </c>
      <c r="U868" s="107" t="s">
        <v>2055</v>
      </c>
      <c r="V868" s="109" t="s">
        <v>2209</v>
      </c>
      <c r="W868" s="112">
        <f t="shared" ref="W868:AK868" si="206">W867/W862</f>
        <v>8.5714285714285715E-2</v>
      </c>
      <c r="X868" s="112">
        <f t="shared" si="206"/>
        <v>8.744394618834081E-2</v>
      </c>
      <c r="Y868" s="112">
        <f t="shared" si="206"/>
        <v>9.1111111111111115E-2</v>
      </c>
      <c r="Z868" s="112">
        <f t="shared" si="206"/>
        <v>9.2401802962009019E-2</v>
      </c>
      <c r="AA868" s="112">
        <f t="shared" si="206"/>
        <v>9.152433129229777E-2</v>
      </c>
      <c r="AB868" s="112">
        <f t="shared" si="206"/>
        <v>9.2926045016077166E-2</v>
      </c>
      <c r="AC868" s="112">
        <f t="shared" si="206"/>
        <v>9.2866323907455015E-2</v>
      </c>
      <c r="AD868" s="112">
        <f t="shared" si="206"/>
        <v>9.2096876991714469E-2</v>
      </c>
      <c r="AE868" s="112">
        <f t="shared" si="206"/>
        <v>9.1661362189688095E-2</v>
      </c>
      <c r="AF868" s="112">
        <f t="shared" si="206"/>
        <v>9.1434071222329161E-2</v>
      </c>
      <c r="AG868" s="112">
        <f t="shared" si="206"/>
        <v>8.6494688922610016E-2</v>
      </c>
      <c r="AH868" s="112">
        <f t="shared" si="206"/>
        <v>8.5765874210051163E-2</v>
      </c>
      <c r="AI868" s="112">
        <f t="shared" si="206"/>
        <v>8.4863075534155882E-2</v>
      </c>
      <c r="AJ868" s="112">
        <f t="shared" si="206"/>
        <v>8.3939393939393939E-2</v>
      </c>
      <c r="AK868" s="112">
        <f t="shared" si="206"/>
        <v>8.4724799010513302E-2</v>
      </c>
      <c r="AL868" s="600" t="s">
        <v>432</v>
      </c>
      <c r="AM868" s="137" t="s">
        <v>432</v>
      </c>
      <c r="AN868" s="137" t="s">
        <v>432</v>
      </c>
      <c r="AO868" s="137" t="s">
        <v>432</v>
      </c>
      <c r="AP868" s="137" t="s">
        <v>432</v>
      </c>
      <c r="AQ868" s="137" t="s">
        <v>432</v>
      </c>
      <c r="AR868" s="137" t="s">
        <v>432</v>
      </c>
      <c r="AS868" s="137" t="s">
        <v>432</v>
      </c>
      <c r="AT868" s="137" t="s">
        <v>432</v>
      </c>
      <c r="AU868" s="137" t="s">
        <v>432</v>
      </c>
      <c r="AV868" s="137" t="s">
        <v>432</v>
      </c>
      <c r="AW868" s="137" t="s">
        <v>432</v>
      </c>
      <c r="AX868" s="137" t="s">
        <v>432</v>
      </c>
      <c r="AY868" s="137" t="s">
        <v>432</v>
      </c>
      <c r="AZ868" s="137" t="s">
        <v>432</v>
      </c>
      <c r="BA868" s="137" t="s">
        <v>432</v>
      </c>
      <c r="BB868" s="239" t="str">
        <f t="shared" si="201"/>
        <v>Transporte de baixa capacidadex</v>
      </c>
      <c r="BC868" s="239" t="str">
        <f t="shared" si="202"/>
        <v>Transporte de baixa capacidadexx</v>
      </c>
      <c r="BD868" s="239" t="str">
        <f t="shared" si="203"/>
        <v>Transporte de baixa capacidadex</v>
      </c>
      <c r="BM868" s="1260"/>
      <c r="BN868" s="1260"/>
      <c r="BO868" s="1260"/>
    </row>
    <row r="869" spans="1:67" s="373" customFormat="1" x14ac:dyDescent="0.25">
      <c r="A869" s="383"/>
      <c r="B869" s="384"/>
      <c r="C869" s="384"/>
      <c r="D869" s="719"/>
      <c r="E869" s="1519"/>
      <c r="F869" s="385"/>
      <c r="G869" s="385"/>
      <c r="H869" s="384"/>
      <c r="I869" s="385"/>
      <c r="J869" s="385"/>
      <c r="K869" s="385"/>
      <c r="L869" s="385"/>
      <c r="M869" s="385"/>
      <c r="N869" s="385"/>
      <c r="O869" s="385"/>
      <c r="P869" s="385"/>
      <c r="Q869" s="385"/>
      <c r="R869" s="385"/>
      <c r="S869" s="385"/>
      <c r="T869" s="385"/>
      <c r="U869" s="385"/>
      <c r="V869" s="385"/>
      <c r="W869" s="385"/>
      <c r="X869" s="385"/>
      <c r="Y869" s="385"/>
      <c r="Z869" s="385"/>
      <c r="AA869" s="385"/>
      <c r="AB869" s="385"/>
      <c r="AC869" s="385"/>
      <c r="AD869" s="385"/>
      <c r="AE869" s="385"/>
      <c r="AF869" s="385"/>
      <c r="AG869" s="385"/>
      <c r="AH869" s="385"/>
      <c r="AI869" s="385"/>
      <c r="AJ869" s="385"/>
      <c r="AK869" s="397"/>
      <c r="AL869" s="763" t="s">
        <v>432</v>
      </c>
      <c r="AM869" s="387"/>
      <c r="AN869" s="387"/>
      <c r="AO869" s="387"/>
      <c r="AP869" s="387"/>
      <c r="AQ869" s="387"/>
      <c r="AR869" s="387"/>
      <c r="AS869" s="387"/>
      <c r="AT869" s="387"/>
      <c r="AU869" s="387"/>
      <c r="AV869" s="387"/>
      <c r="AW869" s="387"/>
      <c r="AX869" s="387"/>
      <c r="AY869" s="387"/>
      <c r="AZ869" s="387"/>
      <c r="BA869" s="387"/>
      <c r="BB869" s="388"/>
      <c r="BC869" s="388"/>
      <c r="BD869" s="388"/>
    </row>
    <row r="870" spans="1:67" s="373" customFormat="1" ht="141" customHeight="1" x14ac:dyDescent="0.25">
      <c r="A870" s="413" t="str">
        <f>'Q100b-totais'!B62</f>
        <v>8.10</v>
      </c>
      <c r="B870" s="1205" t="str">
        <f>'Q100b-totais'!C62</f>
        <v>Sistema de transporte coletivo com um todo</v>
      </c>
      <c r="C870" s="57" t="s">
        <v>743</v>
      </c>
      <c r="D870" s="983" t="s">
        <v>2585</v>
      </c>
      <c r="E870" s="254" t="s">
        <v>1306</v>
      </c>
      <c r="F870" s="14" t="s">
        <v>5074</v>
      </c>
      <c r="G870" s="57" t="s">
        <v>3507</v>
      </c>
      <c r="H870" s="167" t="s">
        <v>2408</v>
      </c>
      <c r="I870" s="167" t="s">
        <v>432</v>
      </c>
      <c r="J870" s="109" t="s">
        <v>432</v>
      </c>
      <c r="K870" s="109" t="s">
        <v>432</v>
      </c>
      <c r="L870" s="109" t="s">
        <v>432</v>
      </c>
      <c r="M870" s="109" t="s">
        <v>432</v>
      </c>
      <c r="N870" s="109" t="s">
        <v>432</v>
      </c>
      <c r="O870" s="109" t="s">
        <v>432</v>
      </c>
      <c r="P870" s="109" t="s">
        <v>432</v>
      </c>
      <c r="Q870" s="109" t="s">
        <v>432</v>
      </c>
      <c r="R870" s="109" t="s">
        <v>432</v>
      </c>
      <c r="S870" s="109" t="s">
        <v>2209</v>
      </c>
      <c r="T870" s="109" t="s">
        <v>432</v>
      </c>
      <c r="U870" s="109" t="s">
        <v>432</v>
      </c>
      <c r="V870" s="109" t="s">
        <v>2209</v>
      </c>
      <c r="W870" s="137" t="s">
        <v>432</v>
      </c>
      <c r="X870" s="137" t="s">
        <v>432</v>
      </c>
      <c r="Y870" s="137" t="s">
        <v>432</v>
      </c>
      <c r="Z870" s="137" t="s">
        <v>432</v>
      </c>
      <c r="AA870" s="137" t="s">
        <v>432</v>
      </c>
      <c r="AB870" s="137" t="s">
        <v>432</v>
      </c>
      <c r="AC870" s="137" t="s">
        <v>432</v>
      </c>
      <c r="AD870" s="137" t="s">
        <v>432</v>
      </c>
      <c r="AE870" s="137" t="s">
        <v>432</v>
      </c>
      <c r="AF870" s="137" t="s">
        <v>432</v>
      </c>
      <c r="AG870" s="137" t="s">
        <v>432</v>
      </c>
      <c r="AH870" s="137" t="s">
        <v>432</v>
      </c>
      <c r="AI870" s="137" t="s">
        <v>432</v>
      </c>
      <c r="AJ870" s="137" t="s">
        <v>432</v>
      </c>
      <c r="AK870" s="137" t="s">
        <v>432</v>
      </c>
      <c r="AL870" s="600" t="s">
        <v>432</v>
      </c>
      <c r="AM870" s="137" t="s">
        <v>432</v>
      </c>
      <c r="AN870" s="137" t="s">
        <v>432</v>
      </c>
      <c r="AO870" s="137" t="s">
        <v>432</v>
      </c>
      <c r="AP870" s="137" t="s">
        <v>432</v>
      </c>
      <c r="AQ870" s="137" t="s">
        <v>432</v>
      </c>
      <c r="AR870" s="137" t="s">
        <v>432</v>
      </c>
      <c r="AS870" s="137" t="s">
        <v>432</v>
      </c>
      <c r="AT870" s="137" t="s">
        <v>432</v>
      </c>
      <c r="AU870" s="137" t="s">
        <v>432</v>
      </c>
      <c r="AV870" s="137" t="s">
        <v>432</v>
      </c>
      <c r="AW870" s="137" t="s">
        <v>432</v>
      </c>
      <c r="AX870" s="137" t="s">
        <v>432</v>
      </c>
      <c r="AY870" s="137" t="s">
        <v>432</v>
      </c>
      <c r="AZ870" s="137" t="s">
        <v>432</v>
      </c>
      <c r="BA870" s="137" t="s">
        <v>432</v>
      </c>
      <c r="BB870" s="239" t="str">
        <f>B870&amp;C870</f>
        <v>Sistema de transporte coletivo com um todoacessibilidade</v>
      </c>
      <c r="BC870" s="239" t="str">
        <f>B870&amp;C870&amp;H870</f>
        <v>Sistema de transporte coletivo com um todoacessibilidadesigla/verbete</v>
      </c>
      <c r="BD870" s="239" t="str">
        <f>B870&amp;H870</f>
        <v>Sistema de transporte coletivo com um todosigla/verbete</v>
      </c>
    </row>
    <row r="871" spans="1:67" s="373" customFormat="1" ht="237.75" customHeight="1" x14ac:dyDescent="0.25">
      <c r="A871" s="413" t="str">
        <f>'Q100b-totais'!B62</f>
        <v>8.10</v>
      </c>
      <c r="B871" s="1205" t="str">
        <f>'Q100b-totais'!C62</f>
        <v>Sistema de transporte coletivo com um todo</v>
      </c>
      <c r="C871" s="57" t="s">
        <v>743</v>
      </c>
      <c r="D871" s="983" t="s">
        <v>6305</v>
      </c>
      <c r="E871" s="254" t="s">
        <v>1306</v>
      </c>
      <c r="F871" s="1584" t="s">
        <v>6308</v>
      </c>
      <c r="G871" s="230" t="s">
        <v>3507</v>
      </c>
      <c r="H871" s="167" t="s">
        <v>2408</v>
      </c>
      <c r="I871" s="167" t="s">
        <v>432</v>
      </c>
      <c r="J871" s="109" t="s">
        <v>432</v>
      </c>
      <c r="K871" s="109" t="s">
        <v>432</v>
      </c>
      <c r="L871" s="109" t="s">
        <v>432</v>
      </c>
      <c r="M871" s="109" t="s">
        <v>432</v>
      </c>
      <c r="N871" s="109" t="s">
        <v>432</v>
      </c>
      <c r="O871" s="109" t="s">
        <v>432</v>
      </c>
      <c r="P871" s="109" t="s">
        <v>432</v>
      </c>
      <c r="Q871" s="109" t="s">
        <v>432</v>
      </c>
      <c r="R871" s="109" t="s">
        <v>432</v>
      </c>
      <c r="S871" s="109" t="s">
        <v>2209</v>
      </c>
      <c r="T871" s="109" t="s">
        <v>432</v>
      </c>
      <c r="U871" s="109" t="s">
        <v>432</v>
      </c>
      <c r="V871" s="109" t="s">
        <v>2209</v>
      </c>
      <c r="W871" s="137" t="s">
        <v>432</v>
      </c>
      <c r="X871" s="137" t="s">
        <v>432</v>
      </c>
      <c r="Y871" s="137" t="s">
        <v>432</v>
      </c>
      <c r="Z871" s="137" t="s">
        <v>432</v>
      </c>
      <c r="AA871" s="137" t="s">
        <v>432</v>
      </c>
      <c r="AB871" s="137" t="s">
        <v>432</v>
      </c>
      <c r="AC871" s="137" t="s">
        <v>432</v>
      </c>
      <c r="AD871" s="137" t="s">
        <v>432</v>
      </c>
      <c r="AE871" s="137" t="s">
        <v>432</v>
      </c>
      <c r="AF871" s="137" t="s">
        <v>432</v>
      </c>
      <c r="AG871" s="137" t="s">
        <v>432</v>
      </c>
      <c r="AH871" s="137" t="s">
        <v>432</v>
      </c>
      <c r="AI871" s="137" t="s">
        <v>432</v>
      </c>
      <c r="AJ871" s="137" t="s">
        <v>432</v>
      </c>
      <c r="AK871" s="137" t="s">
        <v>432</v>
      </c>
      <c r="AL871" s="600" t="s">
        <v>432</v>
      </c>
      <c r="AM871" s="137" t="s">
        <v>432</v>
      </c>
      <c r="AN871" s="137" t="s">
        <v>432</v>
      </c>
      <c r="AO871" s="137" t="s">
        <v>432</v>
      </c>
      <c r="AP871" s="137" t="s">
        <v>432</v>
      </c>
      <c r="AQ871" s="137" t="s">
        <v>432</v>
      </c>
      <c r="AR871" s="137" t="s">
        <v>432</v>
      </c>
      <c r="AS871" s="137" t="s">
        <v>432</v>
      </c>
      <c r="AT871" s="137" t="s">
        <v>432</v>
      </c>
      <c r="AU871" s="137" t="s">
        <v>432</v>
      </c>
      <c r="AV871" s="137" t="s">
        <v>432</v>
      </c>
      <c r="AW871" s="137" t="s">
        <v>432</v>
      </c>
      <c r="AX871" s="137" t="s">
        <v>432</v>
      </c>
      <c r="AY871" s="137" t="s">
        <v>432</v>
      </c>
      <c r="AZ871" s="137" t="s">
        <v>432</v>
      </c>
      <c r="BA871" s="137" t="s">
        <v>432</v>
      </c>
      <c r="BB871" s="239" t="str">
        <f>B871&amp;C871</f>
        <v>Sistema de transporte coletivo com um todoacessibilidade</v>
      </c>
      <c r="BC871" s="239" t="str">
        <f>B871&amp;C871&amp;H871</f>
        <v>Sistema de transporte coletivo com um todoacessibilidadesigla/verbete</v>
      </c>
      <c r="BD871" s="239" t="str">
        <f>B871&amp;H871</f>
        <v>Sistema de transporte coletivo com um todosigla/verbete</v>
      </c>
    </row>
    <row r="872" spans="1:67" s="373" customFormat="1" ht="289.5" customHeight="1" x14ac:dyDescent="0.25">
      <c r="A872" s="413" t="str">
        <f>'Q100b-totais'!B63</f>
        <v>9) Trânsito e sistema viário</v>
      </c>
      <c r="B872" s="1205">
        <f>'Q100b-totais'!C63</f>
        <v>0</v>
      </c>
      <c r="C872" s="57" t="s">
        <v>743</v>
      </c>
      <c r="D872" s="983" t="s">
        <v>6306</v>
      </c>
      <c r="E872" s="254" t="s">
        <v>1306</v>
      </c>
      <c r="F872" s="1584" t="s">
        <v>6307</v>
      </c>
      <c r="G872" s="230" t="s">
        <v>3507</v>
      </c>
      <c r="H872" s="167" t="s">
        <v>2408</v>
      </c>
      <c r="I872" s="167" t="s">
        <v>432</v>
      </c>
      <c r="J872" s="109" t="s">
        <v>432</v>
      </c>
      <c r="K872" s="109" t="s">
        <v>432</v>
      </c>
      <c r="L872" s="109" t="s">
        <v>432</v>
      </c>
      <c r="M872" s="109" t="s">
        <v>432</v>
      </c>
      <c r="N872" s="109" t="s">
        <v>432</v>
      </c>
      <c r="O872" s="109" t="s">
        <v>432</v>
      </c>
      <c r="P872" s="109" t="s">
        <v>432</v>
      </c>
      <c r="Q872" s="109" t="s">
        <v>432</v>
      </c>
      <c r="R872" s="109" t="s">
        <v>432</v>
      </c>
      <c r="S872" s="109" t="s">
        <v>2209</v>
      </c>
      <c r="T872" s="109" t="s">
        <v>432</v>
      </c>
      <c r="U872" s="109" t="s">
        <v>432</v>
      </c>
      <c r="V872" s="109" t="s">
        <v>2209</v>
      </c>
      <c r="W872" s="137" t="s">
        <v>432</v>
      </c>
      <c r="X872" s="137" t="s">
        <v>432</v>
      </c>
      <c r="Y872" s="137" t="s">
        <v>432</v>
      </c>
      <c r="Z872" s="137" t="s">
        <v>432</v>
      </c>
      <c r="AA872" s="137" t="s">
        <v>432</v>
      </c>
      <c r="AB872" s="137" t="s">
        <v>432</v>
      </c>
      <c r="AC872" s="137" t="s">
        <v>432</v>
      </c>
      <c r="AD872" s="137" t="s">
        <v>432</v>
      </c>
      <c r="AE872" s="137" t="s">
        <v>432</v>
      </c>
      <c r="AF872" s="137" t="s">
        <v>432</v>
      </c>
      <c r="AG872" s="137" t="s">
        <v>432</v>
      </c>
      <c r="AH872" s="137" t="s">
        <v>432</v>
      </c>
      <c r="AI872" s="137" t="s">
        <v>432</v>
      </c>
      <c r="AJ872" s="137" t="s">
        <v>432</v>
      </c>
      <c r="AK872" s="137" t="s">
        <v>432</v>
      </c>
      <c r="AL872" s="600" t="s">
        <v>432</v>
      </c>
      <c r="AM872" s="137" t="s">
        <v>432</v>
      </c>
      <c r="AN872" s="137" t="s">
        <v>432</v>
      </c>
      <c r="AO872" s="137" t="s">
        <v>432</v>
      </c>
      <c r="AP872" s="137" t="s">
        <v>432</v>
      </c>
      <c r="AQ872" s="137" t="s">
        <v>432</v>
      </c>
      <c r="AR872" s="137" t="s">
        <v>432</v>
      </c>
      <c r="AS872" s="137" t="s">
        <v>432</v>
      </c>
      <c r="AT872" s="137" t="s">
        <v>432</v>
      </c>
      <c r="AU872" s="137" t="s">
        <v>432</v>
      </c>
      <c r="AV872" s="137" t="s">
        <v>432</v>
      </c>
      <c r="AW872" s="137" t="s">
        <v>432</v>
      </c>
      <c r="AX872" s="137" t="s">
        <v>432</v>
      </c>
      <c r="AY872" s="137" t="s">
        <v>432</v>
      </c>
      <c r="AZ872" s="137" t="s">
        <v>432</v>
      </c>
      <c r="BA872" s="137" t="s">
        <v>432</v>
      </c>
      <c r="BB872" s="239" t="str">
        <f>B872&amp;C872</f>
        <v>0acessibilidade</v>
      </c>
      <c r="BC872" s="239" t="str">
        <f>B872&amp;C872&amp;H872</f>
        <v>0acessibilidadesigla/verbete</v>
      </c>
      <c r="BD872" s="239" t="str">
        <f>B872&amp;H872</f>
        <v>0sigla/verbete</v>
      </c>
    </row>
    <row r="873" spans="1:67" s="373" customFormat="1" ht="266.25" customHeight="1" x14ac:dyDescent="0.25">
      <c r="A873" s="413" t="str">
        <f>'Q100b-totais'!B62</f>
        <v>8.10</v>
      </c>
      <c r="B873" s="1205" t="str">
        <f>'Q100b-totais'!C62</f>
        <v>Sistema de transporte coletivo com um todo</v>
      </c>
      <c r="C873" s="57" t="s">
        <v>743</v>
      </c>
      <c r="D873" s="983" t="s">
        <v>5097</v>
      </c>
      <c r="E873" s="254" t="s">
        <v>1306</v>
      </c>
      <c r="F873" s="14" t="s">
        <v>5075</v>
      </c>
      <c r="G873" s="230" t="s">
        <v>3507</v>
      </c>
      <c r="H873" s="167" t="s">
        <v>2408</v>
      </c>
      <c r="I873" s="167" t="s">
        <v>432</v>
      </c>
      <c r="J873" s="109" t="s">
        <v>432</v>
      </c>
      <c r="K873" s="109" t="s">
        <v>432</v>
      </c>
      <c r="L873" s="109" t="s">
        <v>432</v>
      </c>
      <c r="M873" s="109" t="s">
        <v>432</v>
      </c>
      <c r="N873" s="109" t="s">
        <v>432</v>
      </c>
      <c r="O873" s="109" t="s">
        <v>432</v>
      </c>
      <c r="P873" s="109" t="s">
        <v>432</v>
      </c>
      <c r="Q873" s="109" t="s">
        <v>432</v>
      </c>
      <c r="R873" s="109" t="s">
        <v>432</v>
      </c>
      <c r="S873" s="109" t="s">
        <v>2209</v>
      </c>
      <c r="T873" s="109" t="s">
        <v>432</v>
      </c>
      <c r="U873" s="109" t="s">
        <v>432</v>
      </c>
      <c r="V873" s="109" t="s">
        <v>2209</v>
      </c>
      <c r="W873" s="137" t="s">
        <v>432</v>
      </c>
      <c r="X873" s="137" t="s">
        <v>432</v>
      </c>
      <c r="Y873" s="137" t="s">
        <v>432</v>
      </c>
      <c r="Z873" s="137" t="s">
        <v>432</v>
      </c>
      <c r="AA873" s="137" t="s">
        <v>432</v>
      </c>
      <c r="AB873" s="137" t="s">
        <v>432</v>
      </c>
      <c r="AC873" s="137" t="s">
        <v>432</v>
      </c>
      <c r="AD873" s="137" t="s">
        <v>432</v>
      </c>
      <c r="AE873" s="137" t="s">
        <v>432</v>
      </c>
      <c r="AF873" s="137" t="s">
        <v>432</v>
      </c>
      <c r="AG873" s="137" t="s">
        <v>432</v>
      </c>
      <c r="AH873" s="137" t="s">
        <v>432</v>
      </c>
      <c r="AI873" s="137" t="s">
        <v>432</v>
      </c>
      <c r="AJ873" s="137" t="s">
        <v>432</v>
      </c>
      <c r="AK873" s="137" t="s">
        <v>432</v>
      </c>
      <c r="AL873" s="600" t="s">
        <v>432</v>
      </c>
      <c r="AM873" s="137" t="s">
        <v>432</v>
      </c>
      <c r="AN873" s="137" t="s">
        <v>432</v>
      </c>
      <c r="AO873" s="137" t="s">
        <v>432</v>
      </c>
      <c r="AP873" s="137" t="s">
        <v>432</v>
      </c>
      <c r="AQ873" s="137" t="s">
        <v>432</v>
      </c>
      <c r="AR873" s="137" t="s">
        <v>432</v>
      </c>
      <c r="AS873" s="137" t="s">
        <v>432</v>
      </c>
      <c r="AT873" s="137" t="s">
        <v>432</v>
      </c>
      <c r="AU873" s="137" t="s">
        <v>432</v>
      </c>
      <c r="AV873" s="137" t="s">
        <v>432</v>
      </c>
      <c r="AW873" s="137" t="s">
        <v>432</v>
      </c>
      <c r="AX873" s="137" t="s">
        <v>432</v>
      </c>
      <c r="AY873" s="137" t="s">
        <v>432</v>
      </c>
      <c r="AZ873" s="137" t="s">
        <v>432</v>
      </c>
      <c r="BA873" s="137" t="s">
        <v>432</v>
      </c>
      <c r="BB873" s="239" t="str">
        <f>B873&amp;C873</f>
        <v>Sistema de transporte coletivo com um todoacessibilidade</v>
      </c>
      <c r="BC873" s="239" t="str">
        <f>B873&amp;C873&amp;H873</f>
        <v>Sistema de transporte coletivo com um todoacessibilidadesigla/verbete</v>
      </c>
      <c r="BD873" s="239" t="str">
        <f>B873&amp;H873</f>
        <v>Sistema de transporte coletivo com um todosigla/verbete</v>
      </c>
    </row>
    <row r="874" spans="1:67" s="373" customFormat="1" ht="270" customHeight="1" x14ac:dyDescent="0.25">
      <c r="A874" s="413"/>
      <c r="B874" s="1205"/>
      <c r="C874" s="57"/>
      <c r="D874" s="983" t="s">
        <v>5098</v>
      </c>
      <c r="E874" s="254" t="s">
        <v>1306</v>
      </c>
      <c r="F874" s="14" t="s">
        <v>5119</v>
      </c>
      <c r="G874" s="230" t="s">
        <v>3507</v>
      </c>
      <c r="H874" s="167"/>
      <c r="I874" s="167"/>
      <c r="J874" s="109"/>
      <c r="K874" s="109"/>
      <c r="L874" s="109"/>
      <c r="M874" s="109"/>
      <c r="N874" s="109"/>
      <c r="O874" s="109"/>
      <c r="P874" s="109"/>
      <c r="Q874" s="109"/>
      <c r="R874" s="109"/>
      <c r="S874" s="109"/>
      <c r="T874" s="109"/>
      <c r="U874" s="109"/>
      <c r="V874" s="109"/>
      <c r="W874" s="137"/>
      <c r="X874" s="137"/>
      <c r="Y874" s="137"/>
      <c r="Z874" s="137"/>
      <c r="AA874" s="137"/>
      <c r="AB874" s="137"/>
      <c r="AC874" s="137"/>
      <c r="AD874" s="137"/>
      <c r="AE874" s="137"/>
      <c r="AF874" s="137"/>
      <c r="AG874" s="137"/>
      <c r="AH874" s="137"/>
      <c r="AI874" s="137"/>
      <c r="AJ874" s="137"/>
      <c r="AK874" s="137"/>
      <c r="AL874" s="600"/>
      <c r="AM874" s="137"/>
      <c r="AN874" s="137"/>
      <c r="AO874" s="137"/>
      <c r="AP874" s="137"/>
      <c r="AQ874" s="137"/>
      <c r="AR874" s="137"/>
      <c r="AS874" s="137"/>
      <c r="AT874" s="137"/>
      <c r="AU874" s="137"/>
      <c r="AV874" s="137"/>
      <c r="AW874" s="137"/>
      <c r="AX874" s="137"/>
      <c r="AY874" s="137"/>
      <c r="AZ874" s="137"/>
      <c r="BA874" s="137"/>
      <c r="BB874" s="239"/>
      <c r="BC874" s="239"/>
      <c r="BD874" s="239"/>
    </row>
    <row r="875" spans="1:67" s="373" customFormat="1" ht="293.25" customHeight="1" x14ac:dyDescent="0.25">
      <c r="A875" s="413" t="str">
        <f>'Q100b-totais'!B62</f>
        <v>8.10</v>
      </c>
      <c r="B875" s="1205" t="str">
        <f>'Q100b-totais'!C62</f>
        <v>Sistema de transporte coletivo com um todo</v>
      </c>
      <c r="C875" s="57" t="s">
        <v>743</v>
      </c>
      <c r="D875" s="324" t="s">
        <v>5096</v>
      </c>
      <c r="E875" s="254" t="s">
        <v>1306</v>
      </c>
      <c r="F875" s="14" t="s">
        <v>6304</v>
      </c>
      <c r="G875" s="230" t="s">
        <v>3507</v>
      </c>
      <c r="H875" s="167" t="s">
        <v>2408</v>
      </c>
      <c r="I875" s="167" t="s">
        <v>432</v>
      </c>
      <c r="J875" s="109" t="s">
        <v>432</v>
      </c>
      <c r="K875" s="109" t="s">
        <v>432</v>
      </c>
      <c r="L875" s="109" t="s">
        <v>432</v>
      </c>
      <c r="M875" s="109" t="s">
        <v>432</v>
      </c>
      <c r="N875" s="109" t="s">
        <v>432</v>
      </c>
      <c r="O875" s="109" t="s">
        <v>432</v>
      </c>
      <c r="P875" s="109" t="s">
        <v>432</v>
      </c>
      <c r="Q875" s="109" t="s">
        <v>432</v>
      </c>
      <c r="R875" s="109" t="s">
        <v>432</v>
      </c>
      <c r="S875" s="109" t="s">
        <v>2209</v>
      </c>
      <c r="T875" s="109" t="s">
        <v>432</v>
      </c>
      <c r="U875" s="109" t="s">
        <v>432</v>
      </c>
      <c r="V875" s="109" t="s">
        <v>2209</v>
      </c>
      <c r="W875" s="137" t="s">
        <v>432</v>
      </c>
      <c r="X875" s="137" t="s">
        <v>432</v>
      </c>
      <c r="Y875" s="137" t="s">
        <v>432</v>
      </c>
      <c r="Z875" s="137" t="s">
        <v>432</v>
      </c>
      <c r="AA875" s="137" t="s">
        <v>432</v>
      </c>
      <c r="AB875" s="137" t="s">
        <v>432</v>
      </c>
      <c r="AC875" s="137" t="s">
        <v>432</v>
      </c>
      <c r="AD875" s="137" t="s">
        <v>432</v>
      </c>
      <c r="AE875" s="137" t="s">
        <v>432</v>
      </c>
      <c r="AF875" s="137" t="s">
        <v>432</v>
      </c>
      <c r="AG875" s="137" t="s">
        <v>432</v>
      </c>
      <c r="AH875" s="137" t="s">
        <v>432</v>
      </c>
      <c r="AI875" s="137" t="s">
        <v>432</v>
      </c>
      <c r="AJ875" s="137" t="s">
        <v>432</v>
      </c>
      <c r="AK875" s="137" t="s">
        <v>432</v>
      </c>
      <c r="AL875" s="600" t="s">
        <v>432</v>
      </c>
      <c r="AM875" s="137" t="s">
        <v>432</v>
      </c>
      <c r="AN875" s="137" t="s">
        <v>432</v>
      </c>
      <c r="AO875" s="137" t="s">
        <v>432</v>
      </c>
      <c r="AP875" s="137" t="s">
        <v>432</v>
      </c>
      <c r="AQ875" s="137" t="s">
        <v>432</v>
      </c>
      <c r="AR875" s="137" t="s">
        <v>432</v>
      </c>
      <c r="AS875" s="137" t="s">
        <v>432</v>
      </c>
      <c r="AT875" s="137" t="s">
        <v>432</v>
      </c>
      <c r="AU875" s="137" t="s">
        <v>432</v>
      </c>
      <c r="AV875" s="137" t="s">
        <v>432</v>
      </c>
      <c r="AW875" s="137" t="s">
        <v>432</v>
      </c>
      <c r="AX875" s="137" t="s">
        <v>432</v>
      </c>
      <c r="AY875" s="137" t="s">
        <v>432</v>
      </c>
      <c r="AZ875" s="137" t="s">
        <v>432</v>
      </c>
      <c r="BA875" s="137" t="s">
        <v>432</v>
      </c>
      <c r="BB875" s="239" t="str">
        <f>B875&amp;C875</f>
        <v>Sistema de transporte coletivo com um todoacessibilidade</v>
      </c>
      <c r="BC875" s="239" t="str">
        <f>B875&amp;C875&amp;H875</f>
        <v>Sistema de transporte coletivo com um todoacessibilidadesigla/verbete</v>
      </c>
      <c r="BD875" s="239" t="str">
        <f>B875&amp;H875</f>
        <v>Sistema de transporte coletivo com um todosigla/verbete</v>
      </c>
    </row>
    <row r="876" spans="1:67" s="373" customFormat="1" x14ac:dyDescent="0.25">
      <c r="A876" s="383"/>
      <c r="B876" s="384"/>
      <c r="C876" s="384"/>
      <c r="D876" s="719"/>
      <c r="E876" s="1519"/>
      <c r="F876" s="385"/>
      <c r="G876" s="385"/>
      <c r="H876" s="384"/>
      <c r="I876" s="385"/>
      <c r="J876" s="385"/>
      <c r="K876" s="385"/>
      <c r="L876" s="385"/>
      <c r="M876" s="385"/>
      <c r="N876" s="385"/>
      <c r="O876" s="385"/>
      <c r="P876" s="385"/>
      <c r="Q876" s="385"/>
      <c r="R876" s="385"/>
      <c r="S876" s="385"/>
      <c r="T876" s="385"/>
      <c r="U876" s="385"/>
      <c r="V876" s="385"/>
      <c r="W876" s="385"/>
      <c r="X876" s="385"/>
      <c r="Y876" s="385"/>
      <c r="Z876" s="385"/>
      <c r="AA876" s="385"/>
      <c r="AB876" s="385"/>
      <c r="AC876" s="385"/>
      <c r="AD876" s="385"/>
      <c r="AE876" s="385"/>
      <c r="AF876" s="385"/>
      <c r="AG876" s="385"/>
      <c r="AH876" s="385"/>
      <c r="AI876" s="385"/>
      <c r="AJ876" s="385"/>
      <c r="AK876" s="397"/>
      <c r="AL876" s="763" t="s">
        <v>432</v>
      </c>
      <c r="AM876" s="387"/>
      <c r="AN876" s="387"/>
      <c r="AO876" s="387"/>
      <c r="AP876" s="387"/>
      <c r="AQ876" s="387"/>
      <c r="AR876" s="387"/>
      <c r="AS876" s="387"/>
      <c r="AT876" s="387"/>
      <c r="AU876" s="387"/>
      <c r="AV876" s="387"/>
      <c r="AW876" s="387"/>
      <c r="AX876" s="387"/>
      <c r="AY876" s="387"/>
      <c r="AZ876" s="387"/>
      <c r="BA876" s="387"/>
      <c r="BB876" s="388"/>
      <c r="BC876" s="388"/>
      <c r="BD876" s="388"/>
    </row>
    <row r="877" spans="1:67" s="373" customFormat="1" ht="103.5" customHeight="1" x14ac:dyDescent="0.25">
      <c r="A877" s="275" t="str">
        <f>'Q100b-totais'!B62</f>
        <v>8.10</v>
      </c>
      <c r="B877" s="1205" t="str">
        <f>'Q100b-totais'!C62</f>
        <v>Sistema de transporte coletivo com um todo</v>
      </c>
      <c r="C877" s="57" t="s">
        <v>432</v>
      </c>
      <c r="D877" s="324" t="str">
        <f>'Q100e-FrotaOnibus'!D18</f>
        <v>F tc</v>
      </c>
      <c r="E877" s="254" t="str">
        <f>'Q100e-FrotaOnibus'!E18</f>
        <v>x</v>
      </c>
      <c r="F877" s="252" t="str">
        <f>'Q100e-FrotaOnibus'!F18</f>
        <v>frota total em n.º de ônibus do transporte público coletivo de uma cidade/região
obs.: indicador (sem sigla própria) usado pelo Programa de Cidades Sustentáveis para compor o "percentual da frota de ônibus com acessibilidade para pessoas com deficiência" conforme  (PROGRAMA,2015b)
obs.3: Da lista de 58 cidades do Programa Cidades Sustentáveis o SisMob-BH já incorporou os resultados de São Paulo (maior cidade do Brasil), de Joinville (aproximação institucional para comparação de resultados entre cidades com apoio da WRI) e de Porto Alegre (benchmarking SisMob-BH), sendo que os resultados de outros locais serão incorporados à medida em que isto for sendo considerado apropriado</v>
      </c>
      <c r="G877" s="57" t="s">
        <v>3507</v>
      </c>
      <c r="H877" s="167" t="s">
        <v>2408</v>
      </c>
      <c r="I877" s="167" t="s">
        <v>432</v>
      </c>
      <c r="J877" s="107" t="s">
        <v>432</v>
      </c>
      <c r="K877" s="107" t="s">
        <v>432</v>
      </c>
      <c r="L877" s="107" t="s">
        <v>432</v>
      </c>
      <c r="M877" s="107" t="s">
        <v>432</v>
      </c>
      <c r="N877" s="107" t="s">
        <v>432</v>
      </c>
      <c r="O877" s="107" t="s">
        <v>432</v>
      </c>
      <c r="P877" s="107" t="s">
        <v>432</v>
      </c>
      <c r="Q877" s="107" t="s">
        <v>432</v>
      </c>
      <c r="R877" s="107" t="s">
        <v>432</v>
      </c>
      <c r="S877" s="109" t="s">
        <v>2209</v>
      </c>
      <c r="T877" s="108" t="s">
        <v>432</v>
      </c>
      <c r="U877" s="108" t="s">
        <v>432</v>
      </c>
      <c r="V877" s="109" t="s">
        <v>2209</v>
      </c>
      <c r="W877" s="108" t="s">
        <v>432</v>
      </c>
      <c r="X877" s="108" t="s">
        <v>432</v>
      </c>
      <c r="Y877" s="108" t="s">
        <v>432</v>
      </c>
      <c r="Z877" s="108" t="s">
        <v>432</v>
      </c>
      <c r="AA877" s="108" t="s">
        <v>432</v>
      </c>
      <c r="AB877" s="108" t="s">
        <v>432</v>
      </c>
      <c r="AC877" s="108" t="s">
        <v>432</v>
      </c>
      <c r="AD877" s="108" t="s">
        <v>432</v>
      </c>
      <c r="AE877" s="108" t="s">
        <v>432</v>
      </c>
      <c r="AF877" s="108" t="s">
        <v>432</v>
      </c>
      <c r="AG877" s="108" t="s">
        <v>432</v>
      </c>
      <c r="AH877" s="108" t="s">
        <v>432</v>
      </c>
      <c r="AI877" s="108" t="s">
        <v>432</v>
      </c>
      <c r="AJ877" s="108" t="s">
        <v>432</v>
      </c>
      <c r="AK877" s="108" t="s">
        <v>432</v>
      </c>
      <c r="AL877" s="600" t="s">
        <v>432</v>
      </c>
      <c r="AM877" s="137" t="s">
        <v>432</v>
      </c>
      <c r="AN877" s="137" t="s">
        <v>432</v>
      </c>
      <c r="AO877" s="137" t="s">
        <v>432</v>
      </c>
      <c r="AP877" s="137" t="s">
        <v>432</v>
      </c>
      <c r="AQ877" s="137" t="s">
        <v>432</v>
      </c>
      <c r="AR877" s="137" t="s">
        <v>432</v>
      </c>
      <c r="AS877" s="137" t="s">
        <v>432</v>
      </c>
      <c r="AT877" s="137" t="s">
        <v>432</v>
      </c>
      <c r="AU877" s="137" t="s">
        <v>432</v>
      </c>
      <c r="AV877" s="137" t="s">
        <v>432</v>
      </c>
      <c r="AW877" s="137" t="s">
        <v>432</v>
      </c>
      <c r="AX877" s="137" t="s">
        <v>432</v>
      </c>
      <c r="AY877" s="137" t="s">
        <v>432</v>
      </c>
      <c r="AZ877" s="137" t="s">
        <v>432</v>
      </c>
      <c r="BA877" s="137" t="s">
        <v>432</v>
      </c>
      <c r="BB877" s="239" t="str">
        <f t="shared" ref="BB877:BB885" si="207">B877&amp;C877</f>
        <v>Sistema de transporte coletivo com um todox</v>
      </c>
      <c r="BC877" s="239" t="str">
        <f t="shared" ref="BC877:BC885" si="208">B877&amp;C877&amp;H877</f>
        <v>Sistema de transporte coletivo com um todoxsigla/verbete</v>
      </c>
      <c r="BD877" s="239" t="str">
        <f t="shared" ref="BD877:BD885" si="209">B877&amp;H877</f>
        <v>Sistema de transporte coletivo com um todosigla/verbete</v>
      </c>
    </row>
    <row r="878" spans="1:67" s="1" customFormat="1" ht="51" x14ac:dyDescent="0.25">
      <c r="A878" s="275" t="str">
        <f>'Q100b-totais'!B62</f>
        <v>8.10</v>
      </c>
      <c r="B878" s="1205" t="str">
        <f>'Q100b-totais'!C62</f>
        <v>Sistema de transporte coletivo com um todo</v>
      </c>
      <c r="C878" s="57" t="s">
        <v>432</v>
      </c>
      <c r="D878" s="714" t="str">
        <f>'Q100e-FrotaOnibus'!O18</f>
        <v>F tc</v>
      </c>
      <c r="E878" s="1498" t="str">
        <f>'Q100e-FrotaOnibus'!P18</f>
        <v>Contagem</v>
      </c>
      <c r="F878" s="252" t="str">
        <f>'Q100e-FrotaOnibus'!Q18</f>
        <v>frota total em n.º de ônibus do transporte coletivo de Contagem</v>
      </c>
      <c r="G878" s="368" t="str">
        <f>'Q100e-FrotaOnibus'!R18</f>
        <v>F tc sfc + F tc eh</v>
      </c>
      <c r="H878" s="57" t="s">
        <v>1298</v>
      </c>
      <c r="I878" s="167">
        <v>1</v>
      </c>
      <c r="J878" s="109" t="s">
        <v>2082</v>
      </c>
      <c r="K878" s="109" t="s">
        <v>2082</v>
      </c>
      <c r="L878" s="109" t="s">
        <v>2082</v>
      </c>
      <c r="M878" s="109" t="s">
        <v>2082</v>
      </c>
      <c r="N878" s="109" t="s">
        <v>2082</v>
      </c>
      <c r="O878" s="109" t="s">
        <v>2082</v>
      </c>
      <c r="P878" s="109" t="s">
        <v>2082</v>
      </c>
      <c r="Q878" s="109" t="s">
        <v>2082</v>
      </c>
      <c r="R878" s="109" t="s">
        <v>2082</v>
      </c>
      <c r="S878" s="109" t="s">
        <v>2209</v>
      </c>
      <c r="T878" s="109" t="s">
        <v>2082</v>
      </c>
      <c r="U878" s="109" t="s">
        <v>2082</v>
      </c>
      <c r="V878" s="109" t="s">
        <v>2209</v>
      </c>
      <c r="W878" s="109" t="s">
        <v>2082</v>
      </c>
      <c r="X878" s="109" t="s">
        <v>2082</v>
      </c>
      <c r="Y878" s="109" t="s">
        <v>2082</v>
      </c>
      <c r="Z878" s="109" t="s">
        <v>2082</v>
      </c>
      <c r="AA878" s="109" t="s">
        <v>2082</v>
      </c>
      <c r="AB878" s="109" t="s">
        <v>2082</v>
      </c>
      <c r="AC878" s="109" t="s">
        <v>2082</v>
      </c>
      <c r="AD878" s="109" t="s">
        <v>2082</v>
      </c>
      <c r="AE878" s="109" t="s">
        <v>2082</v>
      </c>
      <c r="AF878" s="109" t="s">
        <v>2082</v>
      </c>
      <c r="AG878" s="109" t="s">
        <v>2082</v>
      </c>
      <c r="AH878" s="109" t="s">
        <v>2082</v>
      </c>
      <c r="AI878" s="109" t="s">
        <v>2082</v>
      </c>
      <c r="AJ878" s="111">
        <f>AJ1050+AJ908</f>
        <v>334</v>
      </c>
      <c r="AK878" s="109" t="s">
        <v>2082</v>
      </c>
      <c r="AL878" s="600" t="s">
        <v>432</v>
      </c>
      <c r="AM878" s="137" t="s">
        <v>432</v>
      </c>
      <c r="AN878" s="137" t="s">
        <v>432</v>
      </c>
      <c r="AO878" s="137" t="s">
        <v>432</v>
      </c>
      <c r="AP878" s="137" t="s">
        <v>432</v>
      </c>
      <c r="AQ878" s="137" t="s">
        <v>432</v>
      </c>
      <c r="AR878" s="137" t="s">
        <v>432</v>
      </c>
      <c r="AS878" s="137" t="s">
        <v>432</v>
      </c>
      <c r="AT878" s="137" t="s">
        <v>432</v>
      </c>
      <c r="AU878" s="137" t="s">
        <v>432</v>
      </c>
      <c r="AV878" s="137" t="s">
        <v>432</v>
      </c>
      <c r="AW878" s="137" t="s">
        <v>432</v>
      </c>
      <c r="AX878" s="137" t="s">
        <v>432</v>
      </c>
      <c r="AY878" s="137" t="s">
        <v>432</v>
      </c>
      <c r="AZ878" s="137" t="s">
        <v>432</v>
      </c>
      <c r="BA878" s="137" t="s">
        <v>432</v>
      </c>
      <c r="BB878" s="239" t="str">
        <f t="shared" si="207"/>
        <v>Sistema de transporte coletivo com um todox</v>
      </c>
      <c r="BC878" s="239" t="str">
        <f t="shared" si="208"/>
        <v>Sistema de transporte coletivo com um todoxRMBH</v>
      </c>
      <c r="BD878" s="239" t="str">
        <f t="shared" si="209"/>
        <v>Sistema de transporte coletivo com um todoRMBH</v>
      </c>
    </row>
    <row r="879" spans="1:67" s="201" customFormat="1" ht="131.25" customHeight="1" x14ac:dyDescent="0.25">
      <c r="A879" s="275" t="str">
        <f>'Q100b-totais'!B62</f>
        <v>8.10</v>
      </c>
      <c r="B879" s="1205" t="str">
        <f>'Q100b-totais'!C62</f>
        <v>Sistema de transporte coletivo com um todo</v>
      </c>
      <c r="C879" s="57" t="s">
        <v>432</v>
      </c>
      <c r="D879" s="714" t="str">
        <f>'Q100e-FrotaOnibus'!S18</f>
        <v>F tc</v>
      </c>
      <c r="E879" s="1498" t="str">
        <f>'Q100e-FrotaOnibus'!T18</f>
        <v>Curitiba</v>
      </c>
      <c r="F879" s="252" t="str">
        <f>'Q100e-FrotaOnibus'!U18</f>
        <v>frota total em n.º de ônibus do transporte coletivo urbano da RIT de Curitiba
obs.1: em 2015 a RIT de Curitiba é composta por dez tipos de linhas (espresso ligeirão, expresso, ligeirinho, interbairros, alimentador, troncal, circular centro, convencional, turismo e Sites) conforme URBS(2015b)
obs.2: resultado de 2015 conforme URBS(2016c), destacando-se que a frota do Sites que não é computada pelo SisMob-BH como parcela do indicador "F tc"
obs.3: frota de 1.368 veículos apresentada em URBS(2016c) "se refere a frota operante do ano de 2015, com um percentual de acessibilidade de 92,66% desse número, ou seja, 7,34% dessa frota operante (100 veículos) ainda não estava equipada com plataforma elevatória" conforme URBS(2016d1); por esse motivo, o SisMob-BH acrescentou 100 veículos ao indicador "F tc" de Curitiba, todos do tip "F tc nac"</v>
      </c>
      <c r="G879" s="111" t="s">
        <v>2313</v>
      </c>
      <c r="H879" s="57" t="s">
        <v>819</v>
      </c>
      <c r="I879" s="167" t="s">
        <v>432</v>
      </c>
      <c r="J879" s="109" t="s">
        <v>432</v>
      </c>
      <c r="K879" s="109" t="s">
        <v>432</v>
      </c>
      <c r="L879" s="109" t="s">
        <v>432</v>
      </c>
      <c r="M879" s="109" t="s">
        <v>432</v>
      </c>
      <c r="N879" s="109" t="s">
        <v>432</v>
      </c>
      <c r="O879" s="109" t="s">
        <v>432</v>
      </c>
      <c r="P879" s="109" t="s">
        <v>432</v>
      </c>
      <c r="Q879" s="109" t="s">
        <v>432</v>
      </c>
      <c r="R879" s="109" t="s">
        <v>432</v>
      </c>
      <c r="S879" s="109" t="s">
        <v>2209</v>
      </c>
      <c r="T879" s="109" t="s">
        <v>432</v>
      </c>
      <c r="U879" s="109" t="s">
        <v>432</v>
      </c>
      <c r="V879" s="109" t="s">
        <v>2209</v>
      </c>
      <c r="W879" s="109" t="s">
        <v>432</v>
      </c>
      <c r="X879" s="109" t="s">
        <v>432</v>
      </c>
      <c r="Y879" s="109" t="s">
        <v>432</v>
      </c>
      <c r="Z879" s="109" t="s">
        <v>432</v>
      </c>
      <c r="AA879" s="109" t="s">
        <v>432</v>
      </c>
      <c r="AB879" s="109" t="s">
        <v>432</v>
      </c>
      <c r="AC879" s="109" t="s">
        <v>432</v>
      </c>
      <c r="AD879" s="109" t="s">
        <v>432</v>
      </c>
      <c r="AE879" s="109" t="s">
        <v>432</v>
      </c>
      <c r="AF879" s="109" t="s">
        <v>432</v>
      </c>
      <c r="AG879" s="109" t="s">
        <v>432</v>
      </c>
      <c r="AH879" s="109" t="s">
        <v>432</v>
      </c>
      <c r="AI879" s="109" t="s">
        <v>432</v>
      </c>
      <c r="AJ879" s="109" t="s">
        <v>432</v>
      </c>
      <c r="AK879" s="356">
        <f>AK1000+AK925+AK940+AK976+AK1051</f>
        <v>1368</v>
      </c>
      <c r="AL879" s="600" t="s">
        <v>432</v>
      </c>
      <c r="AM879" s="137" t="s">
        <v>432</v>
      </c>
      <c r="AN879" s="137" t="s">
        <v>432</v>
      </c>
      <c r="AO879" s="137" t="s">
        <v>432</v>
      </c>
      <c r="AP879" s="137" t="s">
        <v>432</v>
      </c>
      <c r="AQ879" s="137" t="s">
        <v>432</v>
      </c>
      <c r="AR879" s="137" t="s">
        <v>432</v>
      </c>
      <c r="AS879" s="137" t="s">
        <v>432</v>
      </c>
      <c r="AT879" s="137" t="s">
        <v>432</v>
      </c>
      <c r="AU879" s="137" t="s">
        <v>432</v>
      </c>
      <c r="AV879" s="137" t="s">
        <v>432</v>
      </c>
      <c r="AW879" s="137" t="s">
        <v>432</v>
      </c>
      <c r="AX879" s="137" t="s">
        <v>432</v>
      </c>
      <c r="AY879" s="137" t="s">
        <v>432</v>
      </c>
      <c r="AZ879" s="137" t="s">
        <v>432</v>
      </c>
      <c r="BA879" s="137" t="s">
        <v>432</v>
      </c>
      <c r="BB879" s="239" t="str">
        <f t="shared" si="207"/>
        <v>Sistema de transporte coletivo com um todox</v>
      </c>
      <c r="BC879" s="239" t="str">
        <f t="shared" si="208"/>
        <v>Sistema de transporte coletivo com um todoxbenchmarking</v>
      </c>
      <c r="BD879" s="239" t="str">
        <f t="shared" si="209"/>
        <v>Sistema de transporte coletivo com um todobenchmarking</v>
      </c>
    </row>
    <row r="880" spans="1:67" s="201" customFormat="1" ht="72" customHeight="1" x14ac:dyDescent="0.25">
      <c r="A880" s="275" t="str">
        <f>'Q100b-totais'!B62</f>
        <v>8.10</v>
      </c>
      <c r="B880" s="1205" t="str">
        <f>'Q100b-totais'!C62</f>
        <v>Sistema de transporte coletivo com um todo</v>
      </c>
      <c r="C880" s="57" t="s">
        <v>432</v>
      </c>
      <c r="D880" s="714" t="str">
        <f>'Q100e-FrotaOnibus'!W18</f>
        <v>F tc</v>
      </c>
      <c r="E880" s="1498" t="str">
        <f>'Q100e-FrotaOnibus'!X18</f>
        <v>Joinville</v>
      </c>
      <c r="F880" s="252" t="str">
        <f>'Q100e-FrotaOnibus'!Y18</f>
        <v>frota total em n.º de ônibus do transporte coletivo de Joinville
obs.1: esse indicador é denominado "número total de ônibus coletivos no município" pelo Programa Cidades Sustentáveis conforme PROGRAMA(2016a)
obs.2: os resultados de 2012 a 2015 estão conforme PROGRAMA(2016a) e o de 2014 está confirmado em JOINVILLE(2016a)</v>
      </c>
      <c r="G880" s="110" t="str">
        <f>'Q100e-FrotaOnibus'!Z18</f>
        <v>registro na fonte</v>
      </c>
      <c r="H880" s="57" t="s">
        <v>819</v>
      </c>
      <c r="I880" s="167" t="s">
        <v>432</v>
      </c>
      <c r="J880" s="109" t="s">
        <v>432</v>
      </c>
      <c r="K880" s="109" t="s">
        <v>432</v>
      </c>
      <c r="L880" s="109" t="s">
        <v>432</v>
      </c>
      <c r="M880" s="109" t="s">
        <v>432</v>
      </c>
      <c r="N880" s="109" t="s">
        <v>432</v>
      </c>
      <c r="O880" s="109" t="s">
        <v>432</v>
      </c>
      <c r="P880" s="109" t="s">
        <v>432</v>
      </c>
      <c r="Q880" s="109" t="s">
        <v>432</v>
      </c>
      <c r="R880" s="109" t="s">
        <v>432</v>
      </c>
      <c r="S880" s="109" t="s">
        <v>2209</v>
      </c>
      <c r="T880" s="109" t="s">
        <v>432</v>
      </c>
      <c r="U880" s="109" t="s">
        <v>432</v>
      </c>
      <c r="V880" s="109" t="s">
        <v>2209</v>
      </c>
      <c r="W880" s="109" t="s">
        <v>432</v>
      </c>
      <c r="X880" s="109" t="s">
        <v>432</v>
      </c>
      <c r="Y880" s="109" t="s">
        <v>432</v>
      </c>
      <c r="Z880" s="109" t="s">
        <v>432</v>
      </c>
      <c r="AA880" s="109" t="s">
        <v>432</v>
      </c>
      <c r="AB880" s="109" t="s">
        <v>432</v>
      </c>
      <c r="AC880" s="109" t="s">
        <v>432</v>
      </c>
      <c r="AD880" s="109" t="s">
        <v>432</v>
      </c>
      <c r="AE880" s="109" t="s">
        <v>432</v>
      </c>
      <c r="AF880" s="109" t="s">
        <v>432</v>
      </c>
      <c r="AG880" s="109" t="s">
        <v>432</v>
      </c>
      <c r="AH880" s="92">
        <v>354</v>
      </c>
      <c r="AI880" s="92">
        <v>362</v>
      </c>
      <c r="AJ880" s="92">
        <v>364</v>
      </c>
      <c r="AK880" s="92">
        <v>361</v>
      </c>
      <c r="AL880" s="600" t="s">
        <v>432</v>
      </c>
      <c r="AM880" s="137" t="s">
        <v>432</v>
      </c>
      <c r="AN880" s="137" t="s">
        <v>432</v>
      </c>
      <c r="AO880" s="137" t="s">
        <v>432</v>
      </c>
      <c r="AP880" s="137" t="s">
        <v>432</v>
      </c>
      <c r="AQ880" s="137" t="s">
        <v>432</v>
      </c>
      <c r="AR880" s="137" t="s">
        <v>432</v>
      </c>
      <c r="AS880" s="137" t="s">
        <v>432</v>
      </c>
      <c r="AT880" s="137" t="s">
        <v>432</v>
      </c>
      <c r="AU880" s="137" t="s">
        <v>432</v>
      </c>
      <c r="AV880" s="137" t="s">
        <v>432</v>
      </c>
      <c r="AW880" s="137" t="s">
        <v>432</v>
      </c>
      <c r="AX880" s="137" t="s">
        <v>432</v>
      </c>
      <c r="AY880" s="137" t="s">
        <v>432</v>
      </c>
      <c r="AZ880" s="137" t="s">
        <v>432</v>
      </c>
      <c r="BA880" s="137" t="s">
        <v>432</v>
      </c>
      <c r="BB880" s="239" t="str">
        <f t="shared" si="207"/>
        <v>Sistema de transporte coletivo com um todox</v>
      </c>
      <c r="BC880" s="239" t="str">
        <f t="shared" si="208"/>
        <v>Sistema de transporte coletivo com um todoxbenchmarking</v>
      </c>
      <c r="BD880" s="239" t="str">
        <f t="shared" si="209"/>
        <v>Sistema de transporte coletivo com um todobenchmarking</v>
      </c>
    </row>
    <row r="881" spans="1:56" s="201" customFormat="1" ht="72" customHeight="1" x14ac:dyDescent="0.25">
      <c r="A881" s="275" t="str">
        <f>'Q100b-totais'!B62</f>
        <v>8.10</v>
      </c>
      <c r="B881" s="1205" t="str">
        <f>'Q100b-totais'!C62</f>
        <v>Sistema de transporte coletivo com um todo</v>
      </c>
      <c r="C881" s="57" t="s">
        <v>432</v>
      </c>
      <c r="D881" s="325" t="str">
        <f>'Q100e-FrotaOnibus'!AA18</f>
        <v>F tc</v>
      </c>
      <c r="E881" s="1445" t="str">
        <f>'Q100e-FrotaOnibus'!AB18</f>
        <v>Porto Alegre</v>
      </c>
      <c r="F881" s="252" t="str">
        <f>'Q100e-FrotaOnibus'!AC18</f>
        <v>frota total em n.º de ônibus do transporte coletivo de Porto Alegre do serviço gerenciado pela Empresa Pública de Transporte e Circulação
obs.: resultados de 2001 a 2015 conforme PROGRAMA(2016b)</v>
      </c>
      <c r="G881" s="860" t="str">
        <f>'Q100e-FrotaOnibus'!AD18</f>
        <v>registro na fonte</v>
      </c>
      <c r="H881" s="57" t="s">
        <v>819</v>
      </c>
      <c r="I881" s="167" t="s">
        <v>432</v>
      </c>
      <c r="J881" s="109" t="s">
        <v>432</v>
      </c>
      <c r="K881" s="109" t="s">
        <v>432</v>
      </c>
      <c r="L881" s="109" t="s">
        <v>432</v>
      </c>
      <c r="M881" s="109" t="s">
        <v>432</v>
      </c>
      <c r="N881" s="109" t="s">
        <v>432</v>
      </c>
      <c r="O881" s="109" t="s">
        <v>432</v>
      </c>
      <c r="P881" s="109" t="s">
        <v>432</v>
      </c>
      <c r="Q881" s="109" t="s">
        <v>432</v>
      </c>
      <c r="R881" s="109" t="s">
        <v>432</v>
      </c>
      <c r="S881" s="109" t="s">
        <v>2209</v>
      </c>
      <c r="T881" s="109" t="s">
        <v>432</v>
      </c>
      <c r="U881" s="109" t="s">
        <v>432</v>
      </c>
      <c r="V881" s="109" t="s">
        <v>2209</v>
      </c>
      <c r="W881" s="92">
        <v>1592</v>
      </c>
      <c r="X881" s="92">
        <v>1594</v>
      </c>
      <c r="Y881" s="92">
        <v>1594</v>
      </c>
      <c r="Z881" s="92">
        <v>1594</v>
      </c>
      <c r="AA881" s="92">
        <v>1593</v>
      </c>
      <c r="AB881" s="92">
        <v>1594</v>
      </c>
      <c r="AC881" s="92">
        <v>1572</v>
      </c>
      <c r="AD881" s="92">
        <v>1572</v>
      </c>
      <c r="AE881" s="92">
        <v>1592</v>
      </c>
      <c r="AF881" s="92">
        <v>1650</v>
      </c>
      <c r="AG881" s="92">
        <v>1659</v>
      </c>
      <c r="AH881" s="92">
        <v>1701</v>
      </c>
      <c r="AI881" s="92">
        <v>1704</v>
      </c>
      <c r="AJ881" s="92">
        <v>1697</v>
      </c>
      <c r="AK881" s="92">
        <v>1703</v>
      </c>
      <c r="AL881" s="600" t="s">
        <v>432</v>
      </c>
      <c r="AM881" s="137" t="s">
        <v>432</v>
      </c>
      <c r="AN881" s="137" t="s">
        <v>432</v>
      </c>
      <c r="AO881" s="137" t="s">
        <v>432</v>
      </c>
      <c r="AP881" s="137" t="s">
        <v>432</v>
      </c>
      <c r="AQ881" s="137" t="s">
        <v>432</v>
      </c>
      <c r="AR881" s="137" t="s">
        <v>432</v>
      </c>
      <c r="AS881" s="137" t="s">
        <v>432</v>
      </c>
      <c r="AT881" s="137" t="s">
        <v>432</v>
      </c>
      <c r="AU881" s="137" t="s">
        <v>432</v>
      </c>
      <c r="AV881" s="137" t="s">
        <v>432</v>
      </c>
      <c r="AW881" s="137" t="s">
        <v>432</v>
      </c>
      <c r="AX881" s="137" t="s">
        <v>432</v>
      </c>
      <c r="AY881" s="137" t="s">
        <v>432</v>
      </c>
      <c r="AZ881" s="137" t="s">
        <v>432</v>
      </c>
      <c r="BA881" s="137" t="s">
        <v>432</v>
      </c>
      <c r="BB881" s="239" t="str">
        <f t="shared" si="207"/>
        <v>Sistema de transporte coletivo com um todox</v>
      </c>
      <c r="BC881" s="239" t="str">
        <f t="shared" si="208"/>
        <v>Sistema de transporte coletivo com um todoxbenchmarking</v>
      </c>
      <c r="BD881" s="239" t="str">
        <f t="shared" si="209"/>
        <v>Sistema de transporte coletivo com um todobenchmarking</v>
      </c>
    </row>
    <row r="882" spans="1:56" s="201" customFormat="1" ht="72" customHeight="1" x14ac:dyDescent="0.25">
      <c r="A882" s="275" t="str">
        <f>'Q100b-totais'!B62</f>
        <v>8.10</v>
      </c>
      <c r="B882" s="1205" t="str">
        <f>'Q100b-totais'!C62</f>
        <v>Sistema de transporte coletivo com um todo</v>
      </c>
      <c r="C882" s="57" t="s">
        <v>432</v>
      </c>
      <c r="D882" s="325" t="str">
        <f>'Q100e-FrotaOnibus'!AE18</f>
        <v>F tc</v>
      </c>
      <c r="E882" s="1445" t="str">
        <f>'Q100e-FrotaOnibus'!AF18</f>
        <v>RMBH metropolitano</v>
      </c>
      <c r="F882" s="252" t="str">
        <f>'Q100e-FrotaOnibus'!AG18</f>
        <v>frota total em n.º de ônibus do transporte coletivo na RMBH do serviço gerenciado pela Setop-MG 
obs.3: resultado de outubro/2015 conforme MG(2016a)</v>
      </c>
      <c r="G882" s="111" t="str">
        <f>'Q100e-FrotaOnibus'!AH18</f>
        <v>∑ (n.º de veículos por categoria na escala "acessibilidade em ônibus urbano")</v>
      </c>
      <c r="H882" s="596" t="s">
        <v>1298</v>
      </c>
      <c r="I882" s="167">
        <v>1</v>
      </c>
      <c r="J882" s="111" t="s">
        <v>2082</v>
      </c>
      <c r="K882" s="111" t="s">
        <v>2082</v>
      </c>
      <c r="L882" s="111" t="s">
        <v>2082</v>
      </c>
      <c r="M882" s="111" t="s">
        <v>2082</v>
      </c>
      <c r="N882" s="111" t="s">
        <v>2082</v>
      </c>
      <c r="O882" s="111" t="s">
        <v>2082</v>
      </c>
      <c r="P882" s="111" t="s">
        <v>2082</v>
      </c>
      <c r="Q882" s="111" t="s">
        <v>2082</v>
      </c>
      <c r="R882" s="111" t="s">
        <v>2082</v>
      </c>
      <c r="S882" s="109" t="s">
        <v>2209</v>
      </c>
      <c r="T882" s="111" t="s">
        <v>2082</v>
      </c>
      <c r="U882" s="111" t="s">
        <v>2082</v>
      </c>
      <c r="V882" s="109" t="s">
        <v>2209</v>
      </c>
      <c r="W882" s="111" t="s">
        <v>2082</v>
      </c>
      <c r="X882" s="111" t="s">
        <v>2082</v>
      </c>
      <c r="Y882" s="111" t="s">
        <v>2082</v>
      </c>
      <c r="Z882" s="111" t="s">
        <v>2082</v>
      </c>
      <c r="AA882" s="111" t="s">
        <v>2082</v>
      </c>
      <c r="AB882" s="111" t="s">
        <v>2082</v>
      </c>
      <c r="AC882" s="111" t="s">
        <v>2082</v>
      </c>
      <c r="AD882" s="111" t="s">
        <v>2082</v>
      </c>
      <c r="AE882" s="111" t="s">
        <v>2082</v>
      </c>
      <c r="AF882" s="111" t="s">
        <v>2082</v>
      </c>
      <c r="AG882" s="111" t="s">
        <v>2082</v>
      </c>
      <c r="AH882" s="111" t="s">
        <v>2082</v>
      </c>
      <c r="AI882" s="111" t="s">
        <v>2082</v>
      </c>
      <c r="AJ882" s="111" t="s">
        <v>2082</v>
      </c>
      <c r="AK882" s="356">
        <f>AK1053+AK928+AK942+AK891+AK894+AK980</f>
        <v>2919</v>
      </c>
      <c r="AL882" s="600" t="s">
        <v>432</v>
      </c>
      <c r="AM882" s="137" t="s">
        <v>432</v>
      </c>
      <c r="AN882" s="137" t="s">
        <v>432</v>
      </c>
      <c r="AO882" s="137" t="s">
        <v>432</v>
      </c>
      <c r="AP882" s="137" t="s">
        <v>432</v>
      </c>
      <c r="AQ882" s="137" t="s">
        <v>432</v>
      </c>
      <c r="AR882" s="137" t="s">
        <v>432</v>
      </c>
      <c r="AS882" s="137" t="s">
        <v>432</v>
      </c>
      <c r="AT882" s="137" t="s">
        <v>432</v>
      </c>
      <c r="AU882" s="137" t="s">
        <v>432</v>
      </c>
      <c r="AV882" s="137" t="s">
        <v>432</v>
      </c>
      <c r="AW882" s="137" t="s">
        <v>432</v>
      </c>
      <c r="AX882" s="137" t="s">
        <v>432</v>
      </c>
      <c r="AY882" s="137" t="s">
        <v>432</v>
      </c>
      <c r="AZ882" s="137" t="s">
        <v>432</v>
      </c>
      <c r="BA882" s="137" t="s">
        <v>432</v>
      </c>
      <c r="BB882" s="239" t="str">
        <f t="shared" si="207"/>
        <v>Sistema de transporte coletivo com um todox</v>
      </c>
      <c r="BC882" s="239" t="str">
        <f t="shared" si="208"/>
        <v>Sistema de transporte coletivo com um todoxRMBH</v>
      </c>
      <c r="BD882" s="239" t="str">
        <f t="shared" si="209"/>
        <v>Sistema de transporte coletivo com um todoRMBH</v>
      </c>
    </row>
    <row r="883" spans="1:56" s="1" customFormat="1" ht="112.5" customHeight="1" x14ac:dyDescent="0.25">
      <c r="A883" s="275" t="str">
        <f>'Q100b-totais'!B62</f>
        <v>8.10</v>
      </c>
      <c r="B883" s="1205" t="str">
        <f>'Q100b-totais'!C62</f>
        <v>Sistema de transporte coletivo com um todo</v>
      </c>
      <c r="C883" s="57" t="s">
        <v>432</v>
      </c>
      <c r="D883" s="714" t="str">
        <f>'Q100e-FrotaOnibus'!AQ18</f>
        <v>F tc</v>
      </c>
      <c r="E883" s="1498" t="str">
        <f>'Q100e-FrotaOnibus'!AR18</f>
        <v>São Paulo</v>
      </c>
      <c r="F883" s="252" t="str">
        <f>'Q100e-FrotaOnibus'!AS18</f>
        <v>frota total em n.º de ônibus do transporte coletivo do município de São Paulo gerenciado pela SPTrans
obs.1: este indicador é denominado "frota de ônibus cadastrada" pelo Observatório de Indicadores da Cidade de São Paulo (ObservaSampa) conforme SP(2015a)
obs.2: resultados de 2009 a 2011 conforme PROGRAMA(2015a); de 2012 a 2014 estão conforme SP(2015a)
obs.3: os resultados de 2012 das duas fontes consultadas são diferentes, aqui optando-se pelo informado no ObservaSampa conforme SP(2015a)
obs.4: resultado de 2015 por fórmula</v>
      </c>
      <c r="G883" s="111" t="str">
        <f>'Q100e-FrotaOnibus'!AT18</f>
        <v>registro na fonte
ou
F tce + F tcl</v>
      </c>
      <c r="H883" s="57" t="s">
        <v>819</v>
      </c>
      <c r="I883" s="167" t="s">
        <v>432</v>
      </c>
      <c r="J883" s="109" t="s">
        <v>2082</v>
      </c>
      <c r="K883" s="109" t="s">
        <v>2082</v>
      </c>
      <c r="L883" s="109" t="s">
        <v>2082</v>
      </c>
      <c r="M883" s="109" t="s">
        <v>2082</v>
      </c>
      <c r="N883" s="109" t="s">
        <v>2082</v>
      </c>
      <c r="O883" s="109" t="s">
        <v>2082</v>
      </c>
      <c r="P883" s="109" t="s">
        <v>2082</v>
      </c>
      <c r="Q883" s="109" t="s">
        <v>2082</v>
      </c>
      <c r="R883" s="109" t="s">
        <v>2082</v>
      </c>
      <c r="S883" s="109" t="s">
        <v>2209</v>
      </c>
      <c r="T883" s="109" t="s">
        <v>2082</v>
      </c>
      <c r="U883" s="109" t="s">
        <v>2082</v>
      </c>
      <c r="V883" s="109" t="s">
        <v>2209</v>
      </c>
      <c r="W883" s="109" t="s">
        <v>2082</v>
      </c>
      <c r="X883" s="109" t="s">
        <v>2082</v>
      </c>
      <c r="Y883" s="109" t="s">
        <v>2082</v>
      </c>
      <c r="Z883" s="109" t="s">
        <v>2082</v>
      </c>
      <c r="AA883" s="109" t="s">
        <v>2082</v>
      </c>
      <c r="AB883" s="109" t="s">
        <v>2082</v>
      </c>
      <c r="AC883" s="109" t="s">
        <v>2082</v>
      </c>
      <c r="AD883" s="109" t="s">
        <v>2082</v>
      </c>
      <c r="AE883" s="92">
        <v>14932</v>
      </c>
      <c r="AF883" s="92">
        <v>15003</v>
      </c>
      <c r="AG883" s="92">
        <v>14908</v>
      </c>
      <c r="AH883" s="92">
        <v>14960</v>
      </c>
      <c r="AI883" s="92">
        <v>14757</v>
      </c>
      <c r="AJ883" s="92">
        <v>14757</v>
      </c>
      <c r="AK883" s="20">
        <f>AK884+AK885</f>
        <v>14726</v>
      </c>
      <c r="AL883" s="600" t="s">
        <v>432</v>
      </c>
      <c r="AM883" s="137" t="s">
        <v>432</v>
      </c>
      <c r="AN883" s="137" t="s">
        <v>432</v>
      </c>
      <c r="AO883" s="137" t="s">
        <v>432</v>
      </c>
      <c r="AP883" s="137" t="s">
        <v>432</v>
      </c>
      <c r="AQ883" s="137" t="s">
        <v>432</v>
      </c>
      <c r="AR883" s="137" t="s">
        <v>432</v>
      </c>
      <c r="AS883" s="137" t="s">
        <v>432</v>
      </c>
      <c r="AT883" s="137" t="s">
        <v>432</v>
      </c>
      <c r="AU883" s="137" t="s">
        <v>432</v>
      </c>
      <c r="AV883" s="137" t="s">
        <v>432</v>
      </c>
      <c r="AW883" s="137" t="s">
        <v>432</v>
      </c>
      <c r="AX883" s="137" t="s">
        <v>432</v>
      </c>
      <c r="AY883" s="137" t="s">
        <v>432</v>
      </c>
      <c r="AZ883" s="137" t="s">
        <v>432</v>
      </c>
      <c r="BA883" s="137" t="s">
        <v>432</v>
      </c>
      <c r="BB883" s="239" t="str">
        <f t="shared" si="207"/>
        <v>Sistema de transporte coletivo com um todox</v>
      </c>
      <c r="BC883" s="239" t="str">
        <f t="shared" si="208"/>
        <v>Sistema de transporte coletivo com um todoxbenchmarking</v>
      </c>
      <c r="BD883" s="239" t="str">
        <f t="shared" si="209"/>
        <v>Sistema de transporte coletivo com um todobenchmarking</v>
      </c>
    </row>
    <row r="884" spans="1:56" s="1" customFormat="1" ht="112.5" customHeight="1" x14ac:dyDescent="0.25">
      <c r="A884" s="275" t="str">
        <f>'Q100b-totais'!B62</f>
        <v>8.10</v>
      </c>
      <c r="B884" s="1205" t="str">
        <f>'Q100b-totais'!C62</f>
        <v>Sistema de transporte coletivo com um todo</v>
      </c>
      <c r="C884" s="57" t="s">
        <v>432</v>
      </c>
      <c r="D884" s="714" t="str">
        <f>'Q100e-FrotaOnibus'!AI18</f>
        <v>F tce
(n.º)</v>
      </c>
      <c r="E884" s="1445" t="str">
        <f>'Q100e-FrotaOnibus'!AJ18</f>
        <v>São Paulo</v>
      </c>
      <c r="F884" s="252" t="str">
        <f>'Q100e-FrotaOnibus'!AK18</f>
        <v>frota total em n.º de ônibus do transporte coletivo estrutural da cidade de São Paulo gerenciado pela SPTrans
obs.1: resultado de 2015 conforme SP(2016g1), que indica que o serviço é composto por ônibus de três tipos (sem elevador, com elevador e piso baixo (dianteiro, central ou total)</v>
      </c>
      <c r="G884" s="111" t="str">
        <f>'Q100e-FrotaOnibus'!AL18</f>
        <v>soma das categorias com resultado</v>
      </c>
      <c r="H884" s="57" t="s">
        <v>819</v>
      </c>
      <c r="I884" s="167" t="s">
        <v>432</v>
      </c>
      <c r="J884" s="109" t="s">
        <v>2082</v>
      </c>
      <c r="K884" s="109" t="s">
        <v>2082</v>
      </c>
      <c r="L884" s="109" t="s">
        <v>2082</v>
      </c>
      <c r="M884" s="109" t="s">
        <v>2082</v>
      </c>
      <c r="N884" s="109" t="s">
        <v>2082</v>
      </c>
      <c r="O884" s="109" t="s">
        <v>2082</v>
      </c>
      <c r="P884" s="109" t="s">
        <v>2082</v>
      </c>
      <c r="Q884" s="109" t="s">
        <v>2082</v>
      </c>
      <c r="R884" s="109" t="s">
        <v>2082</v>
      </c>
      <c r="S884" s="109" t="s">
        <v>2209</v>
      </c>
      <c r="T884" s="109" t="s">
        <v>2082</v>
      </c>
      <c r="U884" s="109" t="s">
        <v>2082</v>
      </c>
      <c r="V884" s="109" t="s">
        <v>2209</v>
      </c>
      <c r="W884" s="109" t="s">
        <v>2082</v>
      </c>
      <c r="X884" s="109" t="s">
        <v>2082</v>
      </c>
      <c r="Y884" s="109" t="s">
        <v>2082</v>
      </c>
      <c r="Z884" s="109" t="s">
        <v>2082</v>
      </c>
      <c r="AA884" s="109" t="s">
        <v>2082</v>
      </c>
      <c r="AB884" s="109" t="s">
        <v>2082</v>
      </c>
      <c r="AC884" s="109" t="s">
        <v>2082</v>
      </c>
      <c r="AD884" s="109" t="s">
        <v>2082</v>
      </c>
      <c r="AE884" s="109" t="s">
        <v>2082</v>
      </c>
      <c r="AF884" s="109" t="s">
        <v>2082</v>
      </c>
      <c r="AG884" s="109" t="s">
        <v>2082</v>
      </c>
      <c r="AH884" s="109" t="s">
        <v>2082</v>
      </c>
      <c r="AI884" s="109" t="s">
        <v>2082</v>
      </c>
      <c r="AJ884" s="109" t="s">
        <v>2082</v>
      </c>
      <c r="AK884" s="20">
        <f>AK917+AK982+AK1055</f>
        <v>8818</v>
      </c>
      <c r="AL884" s="600" t="s">
        <v>432</v>
      </c>
      <c r="AM884" s="137" t="s">
        <v>432</v>
      </c>
      <c r="AN884" s="137" t="s">
        <v>432</v>
      </c>
      <c r="AO884" s="137" t="s">
        <v>432</v>
      </c>
      <c r="AP884" s="137" t="s">
        <v>432</v>
      </c>
      <c r="AQ884" s="137" t="s">
        <v>432</v>
      </c>
      <c r="AR884" s="137" t="s">
        <v>432</v>
      </c>
      <c r="AS884" s="137" t="s">
        <v>432</v>
      </c>
      <c r="AT884" s="137" t="s">
        <v>432</v>
      </c>
      <c r="AU884" s="137" t="s">
        <v>432</v>
      </c>
      <c r="AV884" s="137" t="s">
        <v>432</v>
      </c>
      <c r="AW884" s="137" t="s">
        <v>432</v>
      </c>
      <c r="AX884" s="137" t="s">
        <v>432</v>
      </c>
      <c r="AY884" s="137" t="s">
        <v>432</v>
      </c>
      <c r="AZ884" s="137" t="s">
        <v>432</v>
      </c>
      <c r="BA884" s="137" t="s">
        <v>432</v>
      </c>
      <c r="BB884" s="239" t="str">
        <f t="shared" si="207"/>
        <v>Sistema de transporte coletivo com um todox</v>
      </c>
      <c r="BC884" s="239" t="str">
        <f t="shared" si="208"/>
        <v>Sistema de transporte coletivo com um todoxbenchmarking</v>
      </c>
      <c r="BD884" s="239" t="str">
        <f t="shared" si="209"/>
        <v>Sistema de transporte coletivo com um todobenchmarking</v>
      </c>
    </row>
    <row r="885" spans="1:56" s="1" customFormat="1" ht="112.5" customHeight="1" x14ac:dyDescent="0.25">
      <c r="A885" s="275" t="str">
        <f>'Q100b-totais'!B62</f>
        <v>8.10</v>
      </c>
      <c r="B885" s="1205" t="str">
        <f>'Q100b-totais'!C62</f>
        <v>Sistema de transporte coletivo com um todo</v>
      </c>
      <c r="C885" s="57" t="s">
        <v>432</v>
      </c>
      <c r="D885" s="714" t="str">
        <f>'Q100e-FrotaOnibus'!AM18</f>
        <v>F tcl
(n.º)</v>
      </c>
      <c r="E885" s="1445" t="str">
        <f>'Q100e-FrotaOnibus'!AN18</f>
        <v>São Paulo</v>
      </c>
      <c r="F885" s="252" t="str">
        <f>'Q100e-FrotaOnibus'!AO18</f>
        <v>frota total em n.º de ônibus do transporte coletivo local de São Paulo gerenciado pela SPTrans
obs.1: resultado de 2015 conforme SP(2016g1), que indica que o serviço é composto por ônibus de dois s tipos (sem elevador e com elevador), não havendo ônibus de piso baixo como no serviço estrutural</v>
      </c>
      <c r="G885" s="111" t="str">
        <f>'Q100e-FrotaOnibus'!AP18</f>
        <v>soma das categorias com resultado</v>
      </c>
      <c r="H885" s="57" t="s">
        <v>819</v>
      </c>
      <c r="I885" s="167" t="s">
        <v>432</v>
      </c>
      <c r="J885" s="109" t="s">
        <v>2082</v>
      </c>
      <c r="K885" s="109" t="s">
        <v>2082</v>
      </c>
      <c r="L885" s="109" t="s">
        <v>2082</v>
      </c>
      <c r="M885" s="109" t="s">
        <v>2082</v>
      </c>
      <c r="N885" s="109" t="s">
        <v>2082</v>
      </c>
      <c r="O885" s="109" t="s">
        <v>2082</v>
      </c>
      <c r="P885" s="109" t="s">
        <v>2082</v>
      </c>
      <c r="Q885" s="109" t="s">
        <v>2082</v>
      </c>
      <c r="R885" s="109" t="s">
        <v>2082</v>
      </c>
      <c r="S885" s="109" t="s">
        <v>2209</v>
      </c>
      <c r="T885" s="109" t="s">
        <v>2082</v>
      </c>
      <c r="U885" s="109" t="s">
        <v>2082</v>
      </c>
      <c r="V885" s="109" t="s">
        <v>2209</v>
      </c>
      <c r="W885" s="109" t="s">
        <v>2082</v>
      </c>
      <c r="X885" s="109" t="s">
        <v>2082</v>
      </c>
      <c r="Y885" s="109" t="s">
        <v>2082</v>
      </c>
      <c r="Z885" s="109" t="s">
        <v>2082</v>
      </c>
      <c r="AA885" s="109" t="s">
        <v>2082</v>
      </c>
      <c r="AB885" s="109" t="s">
        <v>2082</v>
      </c>
      <c r="AC885" s="109" t="s">
        <v>2082</v>
      </c>
      <c r="AD885" s="109" t="s">
        <v>2082</v>
      </c>
      <c r="AE885" s="109" t="s">
        <v>2082</v>
      </c>
      <c r="AF885" s="109" t="s">
        <v>2082</v>
      </c>
      <c r="AG885" s="109" t="s">
        <v>2082</v>
      </c>
      <c r="AH885" s="109" t="s">
        <v>2082</v>
      </c>
      <c r="AI885" s="109" t="s">
        <v>2082</v>
      </c>
      <c r="AJ885" s="109" t="s">
        <v>2082</v>
      </c>
      <c r="AK885" s="20">
        <f>AK918+AK983+AK1056</f>
        <v>5908</v>
      </c>
      <c r="AL885" s="600" t="s">
        <v>432</v>
      </c>
      <c r="AM885" s="137" t="s">
        <v>432</v>
      </c>
      <c r="AN885" s="137" t="s">
        <v>432</v>
      </c>
      <c r="AO885" s="137" t="s">
        <v>432</v>
      </c>
      <c r="AP885" s="137" t="s">
        <v>432</v>
      </c>
      <c r="AQ885" s="137" t="s">
        <v>432</v>
      </c>
      <c r="AR885" s="137" t="s">
        <v>432</v>
      </c>
      <c r="AS885" s="137" t="s">
        <v>432</v>
      </c>
      <c r="AT885" s="137" t="s">
        <v>432</v>
      </c>
      <c r="AU885" s="137" t="s">
        <v>432</v>
      </c>
      <c r="AV885" s="137" t="s">
        <v>432</v>
      </c>
      <c r="AW885" s="137" t="s">
        <v>432</v>
      </c>
      <c r="AX885" s="137" t="s">
        <v>432</v>
      </c>
      <c r="AY885" s="137" t="s">
        <v>432</v>
      </c>
      <c r="AZ885" s="137" t="s">
        <v>432</v>
      </c>
      <c r="BA885" s="137" t="s">
        <v>432</v>
      </c>
      <c r="BB885" s="239" t="str">
        <f t="shared" si="207"/>
        <v>Sistema de transporte coletivo com um todox</v>
      </c>
      <c r="BC885" s="239" t="str">
        <f t="shared" si="208"/>
        <v>Sistema de transporte coletivo com um todoxbenchmarking</v>
      </c>
      <c r="BD885" s="239" t="str">
        <f t="shared" si="209"/>
        <v>Sistema de transporte coletivo com um todobenchmarking</v>
      </c>
    </row>
    <row r="886" spans="1:56" s="373" customFormat="1" ht="17.25" customHeight="1" x14ac:dyDescent="0.25">
      <c r="A886" s="383"/>
      <c r="B886" s="384"/>
      <c r="C886" s="384"/>
      <c r="D886" s="717"/>
      <c r="E886" s="1518"/>
      <c r="F886" s="384"/>
      <c r="G886" s="384"/>
      <c r="H886" s="385"/>
      <c r="I886" s="385"/>
      <c r="J886" s="384"/>
      <c r="K886" s="384"/>
      <c r="L886" s="384"/>
      <c r="M886" s="384"/>
      <c r="N886" s="384"/>
      <c r="O886" s="384"/>
      <c r="P886" s="384"/>
      <c r="Q886" s="384"/>
      <c r="R886" s="384"/>
      <c r="S886" s="109" t="s">
        <v>2209</v>
      </c>
      <c r="T886" s="384"/>
      <c r="U886" s="384"/>
      <c r="V886" s="109" t="s">
        <v>2209</v>
      </c>
      <c r="W886" s="384"/>
      <c r="X886" s="386"/>
      <c r="Y886" s="386"/>
      <c r="Z886" s="386"/>
      <c r="AA886" s="386"/>
      <c r="AB886" s="386"/>
      <c r="AC886" s="386"/>
      <c r="AD886" s="386"/>
      <c r="AE886" s="386"/>
      <c r="AF886" s="386"/>
      <c r="AG886" s="386"/>
      <c r="AH886" s="386"/>
      <c r="AI886" s="386"/>
      <c r="AJ886" s="386"/>
      <c r="AK886" s="387"/>
      <c r="AL886" s="600" t="s">
        <v>432</v>
      </c>
      <c r="AM886" s="387"/>
      <c r="AN886" s="387"/>
      <c r="AO886" s="387"/>
      <c r="AP886" s="387"/>
      <c r="AQ886" s="387"/>
      <c r="AR886" s="387"/>
      <c r="AS886" s="387"/>
      <c r="AT886" s="387"/>
      <c r="AU886" s="387"/>
      <c r="AV886" s="387"/>
      <c r="AW886" s="387"/>
      <c r="AX886" s="387"/>
      <c r="AY886" s="387"/>
      <c r="AZ886" s="387"/>
      <c r="BA886" s="387"/>
      <c r="BB886" s="388"/>
      <c r="BC886" s="388"/>
      <c r="BD886" s="388"/>
    </row>
    <row r="887" spans="1:56" s="373" customFormat="1" ht="115.5" customHeight="1" x14ac:dyDescent="0.25">
      <c r="A887" s="413" t="str">
        <f>'Q100b-totais'!B62</f>
        <v>8.10</v>
      </c>
      <c r="B887" s="1205" t="str">
        <f>'Q100b-totais'!C62</f>
        <v>Sistema de transporte coletivo com um todo</v>
      </c>
      <c r="C887" s="173" t="s">
        <v>743</v>
      </c>
      <c r="D887" s="362" t="str">
        <f>'Q100e-FrotaOnibus'!D9</f>
        <v>F tc BRTmisto eh ec</v>
      </c>
      <c r="E887" s="1502" t="str">
        <f>'Q100e-FrotaOnibus'!E9</f>
        <v>x</v>
      </c>
      <c r="F887" s="626" t="str">
        <f>'Q100e-FrotaOnibus'!F9</f>
        <v>frota em n.º de ônibus do transporte público coletivo de uma cidade/região com operação diferente em cada um dos lados: do lado esquerdo operação em corredor de BRT com plataforma elevada e embarque/desembarque em nível com o apoio ou não de plataforma manual em uma das portas; do lado direito operação em vias comuns fora do corredor de BRT, equipados com elevador hidráulico em uma das portas que permite embarque/desembarque exclusivo de cadeirante [esta categoria de BRT misto também recebe veículos de piso alto que, em determinadas viagens, operam fora de estações com plataforma elevada com, para permitir o desembarque, a utilização de escadas implantadas na calçada] 
obs.1: os veículos desta categoria recebem peso 4, numa escala de 1 a 10, na classificação definida pelo SisMob-BH para classificar a acessibilidade - acesse "acessibilidade em ônibus urbano (escala)"
obs.2: acesse informações quantitativas relativas ao indicador "IAED" das cidades/regiões já incorporadas ao SisMob-BH</v>
      </c>
      <c r="G887" s="57" t="s">
        <v>3507</v>
      </c>
      <c r="H887" s="167" t="s">
        <v>2408</v>
      </c>
      <c r="I887" s="167" t="s">
        <v>432</v>
      </c>
      <c r="J887" s="107" t="s">
        <v>432</v>
      </c>
      <c r="K887" s="107" t="s">
        <v>432</v>
      </c>
      <c r="L887" s="107" t="s">
        <v>432</v>
      </c>
      <c r="M887" s="107" t="s">
        <v>432</v>
      </c>
      <c r="N887" s="107" t="s">
        <v>432</v>
      </c>
      <c r="O887" s="107" t="s">
        <v>432</v>
      </c>
      <c r="P887" s="107" t="s">
        <v>432</v>
      </c>
      <c r="Q887" s="107" t="s">
        <v>432</v>
      </c>
      <c r="R887" s="107" t="s">
        <v>432</v>
      </c>
      <c r="S887" s="109" t="s">
        <v>2209</v>
      </c>
      <c r="T887" s="108" t="s">
        <v>432</v>
      </c>
      <c r="U887" s="108" t="s">
        <v>432</v>
      </c>
      <c r="V887" s="109" t="s">
        <v>2209</v>
      </c>
      <c r="W887" s="108" t="s">
        <v>432</v>
      </c>
      <c r="X887" s="108" t="s">
        <v>432</v>
      </c>
      <c r="Y887" s="108" t="s">
        <v>432</v>
      </c>
      <c r="Z887" s="108" t="s">
        <v>432</v>
      </c>
      <c r="AA887" s="108" t="s">
        <v>432</v>
      </c>
      <c r="AB887" s="108" t="s">
        <v>432</v>
      </c>
      <c r="AC887" s="108" t="s">
        <v>432</v>
      </c>
      <c r="AD887" s="108" t="s">
        <v>432</v>
      </c>
      <c r="AE887" s="108" t="s">
        <v>432</v>
      </c>
      <c r="AF887" s="108" t="s">
        <v>432</v>
      </c>
      <c r="AG887" s="108" t="s">
        <v>432</v>
      </c>
      <c r="AH887" s="108" t="s">
        <v>432</v>
      </c>
      <c r="AI887" s="108" t="s">
        <v>432</v>
      </c>
      <c r="AJ887" s="108" t="s">
        <v>432</v>
      </c>
      <c r="AK887" s="108" t="s">
        <v>432</v>
      </c>
      <c r="AL887" s="600" t="s">
        <v>432</v>
      </c>
      <c r="AM887" s="137" t="s">
        <v>432</v>
      </c>
      <c r="AN887" s="137" t="s">
        <v>432</v>
      </c>
      <c r="AO887" s="137" t="s">
        <v>432</v>
      </c>
      <c r="AP887" s="137" t="s">
        <v>432</v>
      </c>
      <c r="AQ887" s="137" t="s">
        <v>432</v>
      </c>
      <c r="AR887" s="137" t="s">
        <v>432</v>
      </c>
      <c r="AS887" s="137" t="s">
        <v>432</v>
      </c>
      <c r="AT887" s="137" t="s">
        <v>432</v>
      </c>
      <c r="AU887" s="137" t="s">
        <v>432</v>
      </c>
      <c r="AV887" s="137" t="s">
        <v>432</v>
      </c>
      <c r="AW887" s="137" t="s">
        <v>432</v>
      </c>
      <c r="AX887" s="137" t="s">
        <v>432</v>
      </c>
      <c r="AY887" s="137" t="s">
        <v>432</v>
      </c>
      <c r="AZ887" s="137" t="s">
        <v>432</v>
      </c>
      <c r="BA887" s="137" t="s">
        <v>432</v>
      </c>
      <c r="BB887" s="239" t="str">
        <f>B887&amp;C887</f>
        <v>Sistema de transporte coletivo com um todoacessibilidade</v>
      </c>
      <c r="BC887" s="239" t="str">
        <f>B887&amp;C887&amp;H887</f>
        <v>Sistema de transporte coletivo com um todoacessibilidadesigla/verbete</v>
      </c>
      <c r="BD887" s="239" t="str">
        <f>B887&amp;H887</f>
        <v>Sistema de transporte coletivo com um todosigla/verbete</v>
      </c>
    </row>
    <row r="888" spans="1:56" s="373" customFormat="1" ht="104.25" customHeight="1" x14ac:dyDescent="0.25">
      <c r="A888" s="275" t="str">
        <f>'Q100b-totais'!B62</f>
        <v>8.10</v>
      </c>
      <c r="B888" s="1205" t="str">
        <f>'Q100b-totais'!C62</f>
        <v>Sistema de transporte coletivo com um todo</v>
      </c>
      <c r="C888" s="173" t="s">
        <v>743</v>
      </c>
      <c r="D888" s="324" t="str">
        <f>'Q100e-FrotaOnibus'!BQ9</f>
        <v>F tc BRTmisto eh ec</v>
      </c>
      <c r="E888" s="254" t="str">
        <f>'Q100e-FrotaOnibus'!BR9</f>
        <v>Bogotá</v>
      </c>
      <c r="F888" s="14" t="str">
        <f>'Q100e-FrotaOnibus'!BS9</f>
        <v>frota em n.º de ônibus do transporte coletivo de Bogotá (Colômbia), especificamente do sub-sistema BRT que operam em parte do itinerário no corredor de BRT (com embarque/desembarque em nível sem a utilização de rampas manuais e nem automáticas) e que em parte do itinerário operam fora do corredor com os passageiros podendo utilizar elevador hidráulico instalado no veículo para embarque/desembarque (sem informações sobre a exclusividade ou não de uso por cadeirantes)
obs.1: esta categoria recebe peso 4, numa escala de 1 a 10, na classificação definida pelo SisMob-BH para classificar a acessibilidade - acesse "acessibilidade em ônibus urbano (escala)"</v>
      </c>
      <c r="G888" s="11" t="str">
        <f>'Q100e-FrotaOnibus'!BT9</f>
        <v>ainda não encontrados resultados</v>
      </c>
      <c r="H888" s="221" t="s">
        <v>432</v>
      </c>
      <c r="I888" s="167">
        <v>1</v>
      </c>
      <c r="J888" s="107" t="s">
        <v>432</v>
      </c>
      <c r="K888" s="107" t="s">
        <v>432</v>
      </c>
      <c r="L888" s="107" t="s">
        <v>432</v>
      </c>
      <c r="M888" s="107" t="s">
        <v>432</v>
      </c>
      <c r="N888" s="107" t="s">
        <v>432</v>
      </c>
      <c r="O888" s="107" t="s">
        <v>432</v>
      </c>
      <c r="P888" s="107" t="s">
        <v>432</v>
      </c>
      <c r="Q888" s="107" t="s">
        <v>432</v>
      </c>
      <c r="R888" s="107" t="s">
        <v>432</v>
      </c>
      <c r="S888" s="109" t="s">
        <v>2209</v>
      </c>
      <c r="T888" s="109" t="s">
        <v>432</v>
      </c>
      <c r="U888" s="109" t="s">
        <v>432</v>
      </c>
      <c r="V888" s="109" t="s">
        <v>2209</v>
      </c>
      <c r="W888" s="109" t="s">
        <v>432</v>
      </c>
      <c r="X888" s="109" t="s">
        <v>432</v>
      </c>
      <c r="Y888" s="109" t="s">
        <v>432</v>
      </c>
      <c r="Z888" s="109" t="s">
        <v>432</v>
      </c>
      <c r="AA888" s="109" t="s">
        <v>432</v>
      </c>
      <c r="AB888" s="109" t="s">
        <v>432</v>
      </c>
      <c r="AC888" s="109" t="s">
        <v>432</v>
      </c>
      <c r="AD888" s="109" t="s">
        <v>432</v>
      </c>
      <c r="AE888" s="109" t="s">
        <v>432</v>
      </c>
      <c r="AF888" s="109" t="s">
        <v>432</v>
      </c>
      <c r="AG888" s="109" t="s">
        <v>432</v>
      </c>
      <c r="AH888" s="109" t="s">
        <v>432</v>
      </c>
      <c r="AI888" s="109" t="s">
        <v>432</v>
      </c>
      <c r="AJ888" s="109" t="s">
        <v>432</v>
      </c>
      <c r="AK888" s="137" t="s">
        <v>2082</v>
      </c>
      <c r="AL888" s="600" t="s">
        <v>432</v>
      </c>
      <c r="AM888" s="137" t="s">
        <v>432</v>
      </c>
      <c r="AN888" s="137" t="s">
        <v>432</v>
      </c>
      <c r="AO888" s="137" t="s">
        <v>432</v>
      </c>
      <c r="AP888" s="137" t="s">
        <v>432</v>
      </c>
      <c r="AQ888" s="137" t="s">
        <v>432</v>
      </c>
      <c r="AR888" s="137" t="s">
        <v>432</v>
      </c>
      <c r="AS888" s="137" t="s">
        <v>432</v>
      </c>
      <c r="AT888" s="137" t="s">
        <v>432</v>
      </c>
      <c r="AU888" s="137" t="s">
        <v>432</v>
      </c>
      <c r="AV888" s="137" t="s">
        <v>432</v>
      </c>
      <c r="AW888" s="137" t="s">
        <v>432</v>
      </c>
      <c r="AX888" s="137" t="s">
        <v>432</v>
      </c>
      <c r="AY888" s="137" t="s">
        <v>432</v>
      </c>
      <c r="AZ888" s="137" t="s">
        <v>432</v>
      </c>
      <c r="BA888" s="137" t="s">
        <v>432</v>
      </c>
      <c r="BB888" s="239" t="str">
        <f>B888&amp;C888</f>
        <v>Sistema de transporte coletivo com um todoacessibilidade</v>
      </c>
      <c r="BC888" s="239" t="str">
        <f>B888&amp;C888&amp;H888</f>
        <v>Sistema de transporte coletivo com um todoacessibilidadex</v>
      </c>
      <c r="BD888" s="239" t="str">
        <f>B888&amp;H888</f>
        <v>Sistema de transporte coletivo com um todox</v>
      </c>
    </row>
    <row r="889" spans="1:56" s="373" customFormat="1" ht="65.25" customHeight="1" x14ac:dyDescent="0.25">
      <c r="A889" s="275" t="str">
        <f>'Q100b-totais'!B62</f>
        <v>8.10</v>
      </c>
      <c r="B889" s="1205" t="str">
        <f>'Q100b-totais'!C62</f>
        <v>Sistema de transporte coletivo com um todo</v>
      </c>
      <c r="C889" s="173" t="s">
        <v>743</v>
      </c>
      <c r="D889" s="324" t="str">
        <f>'Q100e-FrotaOnibus'!CC9</f>
        <v>F tc BRTmisto eh ec</v>
      </c>
      <c r="E889" s="254" t="str">
        <f>'Q100e-FrotaOnibus'!CD9</f>
        <v>Quito</v>
      </c>
      <c r="F889" s="14" t="str">
        <f>'Q100e-FrotaOnibus'!CE9</f>
        <v>frota em n.º de veículos que operam em corredor de BRT com plataforma elevada e embarque/desembarque em nível com o apoio de plataforma automática, mas que em determinadas viagens a operação acontece fora das estações para permitir o desembarque por meio de escadas implantadas na calçada
obs.1: esta categoria recebe peso 4 (escala de 1 a 10 estabelecida pelo SisMob-BH para classificar e comparar resultados) - acesse "acessibilidade em ônibus urbano (escala)"
obs.2: informações sobre as escadas a partir de fotografia e entrevistas conforme OLIVEIRA(2016c)</v>
      </c>
      <c r="G889" s="11" t="s">
        <v>2230</v>
      </c>
      <c r="H889" s="221" t="s">
        <v>432</v>
      </c>
      <c r="I889" s="167">
        <v>1</v>
      </c>
      <c r="J889" s="107" t="s">
        <v>432</v>
      </c>
      <c r="K889" s="107" t="s">
        <v>432</v>
      </c>
      <c r="L889" s="107" t="s">
        <v>432</v>
      </c>
      <c r="M889" s="107" t="s">
        <v>432</v>
      </c>
      <c r="N889" s="107" t="s">
        <v>432</v>
      </c>
      <c r="O889" s="107" t="s">
        <v>432</v>
      </c>
      <c r="P889" s="107" t="s">
        <v>432</v>
      </c>
      <c r="Q889" s="107" t="s">
        <v>432</v>
      </c>
      <c r="R889" s="107" t="s">
        <v>432</v>
      </c>
      <c r="S889" s="109" t="s">
        <v>2209</v>
      </c>
      <c r="T889" s="109" t="s">
        <v>432</v>
      </c>
      <c r="U889" s="109" t="s">
        <v>432</v>
      </c>
      <c r="V889" s="109" t="s">
        <v>2209</v>
      </c>
      <c r="W889" s="109" t="s">
        <v>432</v>
      </c>
      <c r="X889" s="109" t="s">
        <v>432</v>
      </c>
      <c r="Y889" s="109" t="s">
        <v>432</v>
      </c>
      <c r="Z889" s="109" t="s">
        <v>432</v>
      </c>
      <c r="AA889" s="109" t="s">
        <v>432</v>
      </c>
      <c r="AB889" s="109" t="s">
        <v>432</v>
      </c>
      <c r="AC889" s="109" t="s">
        <v>432</v>
      </c>
      <c r="AD889" s="109" t="s">
        <v>432</v>
      </c>
      <c r="AE889" s="109" t="s">
        <v>432</v>
      </c>
      <c r="AF889" s="109" t="s">
        <v>432</v>
      </c>
      <c r="AG889" s="109" t="s">
        <v>432</v>
      </c>
      <c r="AH889" s="109" t="s">
        <v>432</v>
      </c>
      <c r="AI889" s="109" t="s">
        <v>432</v>
      </c>
      <c r="AJ889" s="109" t="s">
        <v>432</v>
      </c>
      <c r="AK889" s="137" t="s">
        <v>2082</v>
      </c>
      <c r="AL889" s="600" t="s">
        <v>432</v>
      </c>
      <c r="AM889" s="137" t="s">
        <v>432</v>
      </c>
      <c r="AN889" s="137" t="s">
        <v>432</v>
      </c>
      <c r="AO889" s="137" t="s">
        <v>432</v>
      </c>
      <c r="AP889" s="137" t="s">
        <v>432</v>
      </c>
      <c r="AQ889" s="137" t="s">
        <v>432</v>
      </c>
      <c r="AR889" s="137" t="s">
        <v>432</v>
      </c>
      <c r="AS889" s="137" t="s">
        <v>432</v>
      </c>
      <c r="AT889" s="137" t="s">
        <v>432</v>
      </c>
      <c r="AU889" s="137" t="s">
        <v>432</v>
      </c>
      <c r="AV889" s="137" t="s">
        <v>432</v>
      </c>
      <c r="AW889" s="137" t="s">
        <v>432</v>
      </c>
      <c r="AX889" s="137" t="s">
        <v>432</v>
      </c>
      <c r="AY889" s="137" t="s">
        <v>432</v>
      </c>
      <c r="AZ889" s="137" t="s">
        <v>432</v>
      </c>
      <c r="BA889" s="137" t="s">
        <v>432</v>
      </c>
      <c r="BB889" s="239" t="str">
        <f>B889&amp;C889</f>
        <v>Sistema de transporte coletivo com um todoacessibilidade</v>
      </c>
      <c r="BC889" s="239" t="str">
        <f>B889&amp;C889&amp;H889</f>
        <v>Sistema de transporte coletivo com um todoacessibilidadex</v>
      </c>
      <c r="BD889" s="239" t="str">
        <f>B889&amp;H889</f>
        <v>Sistema de transporte coletivo com um todox</v>
      </c>
    </row>
    <row r="890" spans="1:56" s="373" customFormat="1" ht="90" customHeight="1" x14ac:dyDescent="0.25">
      <c r="A890" s="275" t="str">
        <f>'Q100b-totais'!B62</f>
        <v>8.10</v>
      </c>
      <c r="B890" s="1205" t="str">
        <f>'Q100b-totais'!C62</f>
        <v>Sistema de transporte coletivo com um todo</v>
      </c>
      <c r="C890" s="173" t="s">
        <v>743</v>
      </c>
      <c r="D890" s="939" t="s">
        <v>2232</v>
      </c>
      <c r="E890" s="254" t="s">
        <v>3442</v>
      </c>
      <c r="F890" s="1151" t="s">
        <v>5386</v>
      </c>
      <c r="G890" s="57" t="s">
        <v>5166</v>
      </c>
      <c r="H890" s="167" t="s">
        <v>2408</v>
      </c>
      <c r="I890" s="167" t="s">
        <v>432</v>
      </c>
      <c r="J890" s="107" t="s">
        <v>432</v>
      </c>
      <c r="K890" s="107" t="s">
        <v>432</v>
      </c>
      <c r="L890" s="107" t="s">
        <v>432</v>
      </c>
      <c r="M890" s="107" t="s">
        <v>432</v>
      </c>
      <c r="N890" s="107" t="s">
        <v>432</v>
      </c>
      <c r="O890" s="107" t="s">
        <v>432</v>
      </c>
      <c r="P890" s="107" t="s">
        <v>432</v>
      </c>
      <c r="Q890" s="107" t="s">
        <v>432</v>
      </c>
      <c r="R890" s="107" t="s">
        <v>432</v>
      </c>
      <c r="S890" s="109" t="s">
        <v>2209</v>
      </c>
      <c r="T890" s="108" t="s">
        <v>432</v>
      </c>
      <c r="U890" s="108" t="s">
        <v>432</v>
      </c>
      <c r="V890" s="109" t="s">
        <v>2209</v>
      </c>
      <c r="W890" s="108" t="s">
        <v>432</v>
      </c>
      <c r="X890" s="108" t="s">
        <v>432</v>
      </c>
      <c r="Y890" s="108" t="s">
        <v>432</v>
      </c>
      <c r="Z890" s="108" t="s">
        <v>432</v>
      </c>
      <c r="AA890" s="108" t="s">
        <v>432</v>
      </c>
      <c r="AB890" s="108" t="s">
        <v>432</v>
      </c>
      <c r="AC890" s="108" t="s">
        <v>432</v>
      </c>
      <c r="AD890" s="108" t="s">
        <v>432</v>
      </c>
      <c r="AE890" s="108" t="s">
        <v>432</v>
      </c>
      <c r="AF890" s="108" t="s">
        <v>432</v>
      </c>
      <c r="AG890" s="108" t="s">
        <v>432</v>
      </c>
      <c r="AH890" s="108" t="s">
        <v>432</v>
      </c>
      <c r="AI890" s="108" t="s">
        <v>432</v>
      </c>
      <c r="AJ890" s="108" t="s">
        <v>432</v>
      </c>
      <c r="AK890" s="108" t="s">
        <v>432</v>
      </c>
      <c r="AL890" s="600" t="s">
        <v>432</v>
      </c>
      <c r="AM890" s="137" t="s">
        <v>432</v>
      </c>
      <c r="AN890" s="137" t="s">
        <v>432</v>
      </c>
      <c r="AO890" s="137" t="s">
        <v>432</v>
      </c>
      <c r="AP890" s="137" t="s">
        <v>432</v>
      </c>
      <c r="AQ890" s="137" t="s">
        <v>432</v>
      </c>
      <c r="AR890" s="137" t="s">
        <v>432</v>
      </c>
      <c r="AS890" s="137" t="s">
        <v>432</v>
      </c>
      <c r="AT890" s="137" t="s">
        <v>432</v>
      </c>
      <c r="AU890" s="137" t="s">
        <v>432</v>
      </c>
      <c r="AV890" s="137" t="s">
        <v>432</v>
      </c>
      <c r="AW890" s="137" t="s">
        <v>432</v>
      </c>
      <c r="AX890" s="137" t="s">
        <v>432</v>
      </c>
      <c r="AY890" s="137" t="s">
        <v>432</v>
      </c>
      <c r="AZ890" s="137" t="s">
        <v>432</v>
      </c>
      <c r="BA890" s="137" t="s">
        <v>432</v>
      </c>
      <c r="BB890" s="239" t="str">
        <f>B890&amp;C890</f>
        <v>Sistema de transporte coletivo com um todoacessibilidade</v>
      </c>
      <c r="BC890" s="239" t="str">
        <f>B890&amp;C890&amp;H890</f>
        <v>Sistema de transporte coletivo com um todoacessibilidadesigla/verbete</v>
      </c>
      <c r="BD890" s="239" t="str">
        <f>B890&amp;H890</f>
        <v>Sistema de transporte coletivo com um todosigla/verbete</v>
      </c>
    </row>
    <row r="891" spans="1:56" s="373" customFormat="1" ht="120.75" customHeight="1" x14ac:dyDescent="0.25">
      <c r="A891" s="275" t="str">
        <f>'Q100b-totais'!B62</f>
        <v>8.10</v>
      </c>
      <c r="B891" s="1205" t="str">
        <f>'Q100b-totais'!C62</f>
        <v>Sistema de transporte coletivo com um todo</v>
      </c>
      <c r="C891" s="173" t="s">
        <v>743</v>
      </c>
      <c r="D891" s="324" t="str">
        <f>'Q100e-FrotaOnibus'!AE9</f>
        <v>F tc BRTmisto eh ec</v>
      </c>
      <c r="E891" s="254" t="str">
        <f>'Q100e-FrotaOnibus'!AF9</f>
        <v>RMBH metropolitano</v>
      </c>
      <c r="F891" s="252" t="str">
        <f>'Q100e-FrotaOnibus'!AG9</f>
        <v>frota em n.º de ônibus do transporte coletivo na RMBH do serviço gerenciado pela Setop-MG, especificamente do sub-sistema BRT, equipados com elevador hidráulico para embarque/desembarque exclusivo de cadeirantes, que operam em parte do itinerário no corredor de BRT (com embarque/desembarque em nível) e em parte do itinerário operam fora do corredor
obs.1: esta categoria recebe peso 4, numa escala de 1 a 10, na classificação definida pelo SisMob-BH para classificar a acessibilidade - acesse "acessibilidade em ônibus urbano (escala)"
obs.2: no serviço da RMBH gerenciado pelo Setop-MG "O uso do elevador é exclusivo para cadeirantes" conforme MG(2016a)
obs.3: serviço inaugurado em 2014 e resultado de outubro/2015 conforme MG(2016a)</v>
      </c>
      <c r="G891" s="773" t="str">
        <f>'Q100e-FrotaOnibus'!AH9</f>
        <v>registro na fonte</v>
      </c>
      <c r="H891" s="221" t="s">
        <v>1298</v>
      </c>
      <c r="I891" s="167">
        <v>1</v>
      </c>
      <c r="J891" s="107" t="s">
        <v>2288</v>
      </c>
      <c r="K891" s="107" t="s">
        <v>2288</v>
      </c>
      <c r="L891" s="107" t="s">
        <v>2288</v>
      </c>
      <c r="M891" s="107" t="s">
        <v>2288</v>
      </c>
      <c r="N891" s="107" t="s">
        <v>2288</v>
      </c>
      <c r="O891" s="107" t="s">
        <v>2288</v>
      </c>
      <c r="P891" s="107" t="s">
        <v>2288</v>
      </c>
      <c r="Q891" s="107" t="s">
        <v>2288</v>
      </c>
      <c r="R891" s="107" t="s">
        <v>2288</v>
      </c>
      <c r="S891" s="109" t="s">
        <v>2209</v>
      </c>
      <c r="T891" s="107" t="s">
        <v>2288</v>
      </c>
      <c r="U891" s="107" t="s">
        <v>2288</v>
      </c>
      <c r="V891" s="109" t="s">
        <v>2209</v>
      </c>
      <c r="W891" s="107" t="s">
        <v>2288</v>
      </c>
      <c r="X891" s="107" t="s">
        <v>2288</v>
      </c>
      <c r="Y891" s="107" t="s">
        <v>2288</v>
      </c>
      <c r="Z891" s="107" t="s">
        <v>2288</v>
      </c>
      <c r="AA891" s="107" t="s">
        <v>2288</v>
      </c>
      <c r="AB891" s="107" t="s">
        <v>2288</v>
      </c>
      <c r="AC891" s="107" t="s">
        <v>2288</v>
      </c>
      <c r="AD891" s="107" t="s">
        <v>2288</v>
      </c>
      <c r="AE891" s="107" t="s">
        <v>2288</v>
      </c>
      <c r="AF891" s="107" t="s">
        <v>2288</v>
      </c>
      <c r="AG891" s="107" t="s">
        <v>2288</v>
      </c>
      <c r="AH891" s="107" t="s">
        <v>2288</v>
      </c>
      <c r="AI891" s="107" t="s">
        <v>2288</v>
      </c>
      <c r="AJ891" s="107" t="s">
        <v>2288</v>
      </c>
      <c r="AK891" s="84">
        <v>126</v>
      </c>
      <c r="AL891" s="600" t="s">
        <v>432</v>
      </c>
      <c r="AM891" s="137" t="s">
        <v>432</v>
      </c>
      <c r="AN891" s="137" t="s">
        <v>432</v>
      </c>
      <c r="AO891" s="137" t="s">
        <v>432</v>
      </c>
      <c r="AP891" s="137" t="s">
        <v>432</v>
      </c>
      <c r="AQ891" s="137" t="s">
        <v>432</v>
      </c>
      <c r="AR891" s="137" t="s">
        <v>432</v>
      </c>
      <c r="AS891" s="137" t="s">
        <v>432</v>
      </c>
      <c r="AT891" s="137" t="s">
        <v>432</v>
      </c>
      <c r="AU891" s="137" t="s">
        <v>432</v>
      </c>
      <c r="AV891" s="137" t="s">
        <v>432</v>
      </c>
      <c r="AW891" s="137" t="s">
        <v>432</v>
      </c>
      <c r="AX891" s="137" t="s">
        <v>432</v>
      </c>
      <c r="AY891" s="137" t="s">
        <v>432</v>
      </c>
      <c r="AZ891" s="137" t="s">
        <v>432</v>
      </c>
      <c r="BA891" s="137" t="s">
        <v>432</v>
      </c>
      <c r="BB891" s="239" t="str">
        <f>B891&amp;C891</f>
        <v>Sistema de transporte coletivo com um todoacessibilidade</v>
      </c>
      <c r="BC891" s="239" t="str">
        <f>B891&amp;C891&amp;H891</f>
        <v>Sistema de transporte coletivo com um todoacessibilidadeRMBH</v>
      </c>
      <c r="BD891" s="239" t="str">
        <f>B891&amp;H891</f>
        <v>Sistema de transporte coletivo com um todoRMBH</v>
      </c>
    </row>
    <row r="892" spans="1:56" s="373" customFormat="1" x14ac:dyDescent="0.25">
      <c r="A892" s="383"/>
      <c r="B892" s="384"/>
      <c r="C892" s="384"/>
      <c r="D892" s="719"/>
      <c r="E892" s="1519"/>
      <c r="F892" s="385"/>
      <c r="G892" s="385"/>
      <c r="H892" s="384"/>
      <c r="I892" s="385"/>
      <c r="J892" s="385"/>
      <c r="K892" s="385"/>
      <c r="L892" s="385"/>
      <c r="M892" s="385"/>
      <c r="N892" s="385"/>
      <c r="O892" s="385"/>
      <c r="P892" s="385"/>
      <c r="Q892" s="385"/>
      <c r="R892" s="385"/>
      <c r="S892" s="385"/>
      <c r="T892" s="385"/>
      <c r="U892" s="385"/>
      <c r="V892" s="385"/>
      <c r="W892" s="385"/>
      <c r="X892" s="385"/>
      <c r="Y892" s="385"/>
      <c r="Z892" s="385"/>
      <c r="AA892" s="385"/>
      <c r="AB892" s="385"/>
      <c r="AC892" s="385"/>
      <c r="AD892" s="385"/>
      <c r="AE892" s="385"/>
      <c r="AF892" s="385"/>
      <c r="AG892" s="385"/>
      <c r="AH892" s="385"/>
      <c r="AI892" s="385"/>
      <c r="AJ892" s="385"/>
      <c r="AK892" s="397"/>
      <c r="AL892" s="763" t="s">
        <v>432</v>
      </c>
      <c r="AM892" s="387"/>
      <c r="AN892" s="387"/>
      <c r="AO892" s="387"/>
      <c r="AP892" s="387"/>
      <c r="AQ892" s="387"/>
      <c r="AR892" s="387"/>
      <c r="AS892" s="387"/>
      <c r="AT892" s="387"/>
      <c r="AU892" s="387"/>
      <c r="AV892" s="387"/>
      <c r="AW892" s="387"/>
      <c r="AX892" s="387"/>
      <c r="AY892" s="387"/>
      <c r="AZ892" s="387"/>
      <c r="BA892" s="387"/>
      <c r="BB892" s="388"/>
      <c r="BC892" s="388"/>
      <c r="BD892" s="388"/>
    </row>
    <row r="893" spans="1:56" s="373" customFormat="1" ht="116.25" customHeight="1" x14ac:dyDescent="0.25">
      <c r="A893" s="275" t="str">
        <f>'Q100b-totais'!B62</f>
        <v>8.10</v>
      </c>
      <c r="B893" s="1205" t="str">
        <f>'Q100b-totais'!C62</f>
        <v>Sistema de transporte coletivo com um todo</v>
      </c>
      <c r="C893" s="57" t="s">
        <v>743</v>
      </c>
      <c r="D893" s="377" t="str">
        <f>'Q100e-FrotaOnibus'!D10</f>
        <v>F tc BRTmisto eh ecp</v>
      </c>
      <c r="E893" s="1501" t="str">
        <f>'Q100e-FrotaOnibus'!E10</f>
        <v>x</v>
      </c>
      <c r="F893" s="355" t="str">
        <f>'Q100e-FrotaOnibus'!F10</f>
        <v>frota em n.º de ônibus do transporte público coletivo de uma cidade/região com operação diferente em cada um dos lados: do lado esquerdo operação em corredor de BRT com plataforma elevada e embarque/desembarque em nível com o apoio de plataforma manual em uma das portas; do lado direito operação em vias comuns fora do corredor de BRT, equipados com elevador hidráulico em uma das portas que permite embarque/desembarque não exclusivo de usuários cadeirantes (pessoas em pé podem utilizar o equipamento caso se sintam seguras)
obs.1: os veículos desta categoria recebem peso 5, numa escala de 1 a 10, na classificação definida pelo SisMob-BH para classificar a acessibilidade - acesse "acessibilidade em ônibus urbano (escala)"
obs.2: acesse informações quantitativas relativas ao indicador "IAED" das cidades/regiões já incorporadas ao SisMob-BH</v>
      </c>
      <c r="G893" s="57" t="s">
        <v>3507</v>
      </c>
      <c r="H893" s="167" t="s">
        <v>2408</v>
      </c>
      <c r="I893" s="167" t="s">
        <v>432</v>
      </c>
      <c r="J893" s="107" t="s">
        <v>432</v>
      </c>
      <c r="K893" s="107" t="s">
        <v>432</v>
      </c>
      <c r="L893" s="107" t="s">
        <v>432</v>
      </c>
      <c r="M893" s="107" t="s">
        <v>432</v>
      </c>
      <c r="N893" s="107" t="s">
        <v>432</v>
      </c>
      <c r="O893" s="107" t="s">
        <v>432</v>
      </c>
      <c r="P893" s="107" t="s">
        <v>432</v>
      </c>
      <c r="Q893" s="107" t="s">
        <v>432</v>
      </c>
      <c r="R893" s="107" t="s">
        <v>432</v>
      </c>
      <c r="S893" s="109" t="s">
        <v>2209</v>
      </c>
      <c r="T893" s="107" t="s">
        <v>432</v>
      </c>
      <c r="U893" s="107" t="s">
        <v>432</v>
      </c>
      <c r="V893" s="109" t="s">
        <v>2209</v>
      </c>
      <c r="W893" s="108" t="s">
        <v>432</v>
      </c>
      <c r="X893" s="108" t="s">
        <v>432</v>
      </c>
      <c r="Y893" s="108" t="s">
        <v>432</v>
      </c>
      <c r="Z893" s="108" t="s">
        <v>432</v>
      </c>
      <c r="AA893" s="108" t="s">
        <v>432</v>
      </c>
      <c r="AB893" s="108" t="s">
        <v>432</v>
      </c>
      <c r="AC893" s="108" t="s">
        <v>432</v>
      </c>
      <c r="AD893" s="108" t="s">
        <v>432</v>
      </c>
      <c r="AE893" s="108" t="s">
        <v>432</v>
      </c>
      <c r="AF893" s="108" t="s">
        <v>432</v>
      </c>
      <c r="AG893" s="108" t="s">
        <v>432</v>
      </c>
      <c r="AH893" s="108" t="s">
        <v>432</v>
      </c>
      <c r="AI893" s="108" t="s">
        <v>432</v>
      </c>
      <c r="AJ893" s="108" t="s">
        <v>432</v>
      </c>
      <c r="AK893" s="108" t="s">
        <v>432</v>
      </c>
      <c r="AL893" s="600" t="s">
        <v>432</v>
      </c>
      <c r="AM893" s="137" t="s">
        <v>432</v>
      </c>
      <c r="AN893" s="137" t="s">
        <v>432</v>
      </c>
      <c r="AO893" s="137" t="s">
        <v>432</v>
      </c>
      <c r="AP893" s="137" t="s">
        <v>432</v>
      </c>
      <c r="AQ893" s="137" t="s">
        <v>432</v>
      </c>
      <c r="AR893" s="137" t="s">
        <v>432</v>
      </c>
      <c r="AS893" s="137" t="s">
        <v>432</v>
      </c>
      <c r="AT893" s="137" t="s">
        <v>432</v>
      </c>
      <c r="AU893" s="137" t="s">
        <v>432</v>
      </c>
      <c r="AV893" s="137" t="s">
        <v>432</v>
      </c>
      <c r="AW893" s="137" t="s">
        <v>432</v>
      </c>
      <c r="AX893" s="137" t="s">
        <v>432</v>
      </c>
      <c r="AY893" s="137" t="s">
        <v>432</v>
      </c>
      <c r="AZ893" s="137" t="s">
        <v>432</v>
      </c>
      <c r="BA893" s="137" t="s">
        <v>432</v>
      </c>
      <c r="BB893" s="239" t="str">
        <f>B893&amp;C893</f>
        <v>Sistema de transporte coletivo com um todoacessibilidade</v>
      </c>
      <c r="BC893" s="239" t="str">
        <f>B893&amp;C893&amp;H893</f>
        <v>Sistema de transporte coletivo com um todoacessibilidadesigla/verbete</v>
      </c>
      <c r="BD893" s="239" t="str">
        <f>B893&amp;H893</f>
        <v>Sistema de transporte coletivo com um todosigla/verbete</v>
      </c>
    </row>
    <row r="894" spans="1:56" s="1" customFormat="1" ht="160.5" customHeight="1" x14ac:dyDescent="0.25">
      <c r="A894" s="275" t="str">
        <f>'Q100b-totais'!B62</f>
        <v>8.10</v>
      </c>
      <c r="B894" s="1205" t="str">
        <f>'Q100b-totais'!C62</f>
        <v>Sistema de transporte coletivo com um todo</v>
      </c>
      <c r="C894" s="57" t="s">
        <v>743</v>
      </c>
      <c r="D894" s="324" t="str">
        <f>'Q100e-FrotaOnibus'!AE10</f>
        <v>F tc BRTmisto eh ecp</v>
      </c>
      <c r="E894" s="254" t="str">
        <f>'Q100e-FrotaOnibus'!AF10</f>
        <v>RMBH metropolitano</v>
      </c>
      <c r="F894" s="252" t="str">
        <f>'Q100e-FrotaOnibus'!AG10</f>
        <v>frota em n.º de ônibus do transporte coletivo na RMBH do serviço gerenciado pela Setop-MG, especificamente do sub-sistema BRT, equipados com elevador hidráulico, com chassis fabricados a partir de 2009 (inclusive), que operam em parte do itinerário no corredor de BRT (com embarque/desembarque em nível) e em parte do itinerário operam fora do corredor (usuários em pé podem utilizar o elevador para embarque/desembarque caso se sintam seguros)
obs.1: esta categoria recebe peso 5, numa escala de 1 a 10, na classificação definida pelo SisMob-BH para classificar a acessibilidade - acesse "acessibilidade em ônibus urbano (escala)"
obs.2: a despeito dos veículos serem dos mesmos tipos, diferente do BRT gerenciado pela BHTrans no serviço da RMBH gerenciado pelo Setop-MG "O uso do elevador é exclusivo para cadeirantes" conforme MG(2016a)
obs.3: serviço inaugurado em 2014 e resultado (zero) de outubro/2015 conforme MG(2016a)</v>
      </c>
      <c r="G894" s="873" t="str">
        <f>'Q100e-FrotaOnibus'!AH10</f>
        <v>registro na fonte</v>
      </c>
      <c r="H894" s="57" t="s">
        <v>1298</v>
      </c>
      <c r="I894" s="167">
        <v>1</v>
      </c>
      <c r="J894" s="107" t="s">
        <v>2288</v>
      </c>
      <c r="K894" s="107" t="s">
        <v>2288</v>
      </c>
      <c r="L894" s="107" t="s">
        <v>2288</v>
      </c>
      <c r="M894" s="107" t="s">
        <v>2288</v>
      </c>
      <c r="N894" s="107" t="s">
        <v>2288</v>
      </c>
      <c r="O894" s="107" t="s">
        <v>2288</v>
      </c>
      <c r="P894" s="107" t="s">
        <v>2288</v>
      </c>
      <c r="Q894" s="107" t="s">
        <v>2288</v>
      </c>
      <c r="R894" s="107" t="s">
        <v>2288</v>
      </c>
      <c r="S894" s="109" t="s">
        <v>2209</v>
      </c>
      <c r="T894" s="107" t="s">
        <v>2288</v>
      </c>
      <c r="U894" s="107" t="s">
        <v>2288</v>
      </c>
      <c r="V894" s="109" t="s">
        <v>2209</v>
      </c>
      <c r="W894" s="107" t="s">
        <v>2288</v>
      </c>
      <c r="X894" s="107" t="s">
        <v>2288</v>
      </c>
      <c r="Y894" s="107" t="s">
        <v>2288</v>
      </c>
      <c r="Z894" s="107" t="s">
        <v>2288</v>
      </c>
      <c r="AA894" s="107" t="s">
        <v>2288</v>
      </c>
      <c r="AB894" s="107" t="s">
        <v>2288</v>
      </c>
      <c r="AC894" s="107" t="s">
        <v>2288</v>
      </c>
      <c r="AD894" s="107" t="s">
        <v>2288</v>
      </c>
      <c r="AE894" s="107" t="s">
        <v>2288</v>
      </c>
      <c r="AF894" s="107" t="s">
        <v>2288</v>
      </c>
      <c r="AG894" s="107" t="s">
        <v>2288</v>
      </c>
      <c r="AH894" s="107" t="s">
        <v>2288</v>
      </c>
      <c r="AI894" s="107" t="s">
        <v>2288</v>
      </c>
      <c r="AJ894" s="107" t="s">
        <v>2288</v>
      </c>
      <c r="AK894" s="84">
        <v>0</v>
      </c>
      <c r="AL894" s="600" t="s">
        <v>432</v>
      </c>
      <c r="AM894" s="137" t="s">
        <v>432</v>
      </c>
      <c r="AN894" s="137" t="s">
        <v>432</v>
      </c>
      <c r="AO894" s="137" t="s">
        <v>432</v>
      </c>
      <c r="AP894" s="137" t="s">
        <v>432</v>
      </c>
      <c r="AQ894" s="137" t="s">
        <v>432</v>
      </c>
      <c r="AR894" s="137" t="s">
        <v>432</v>
      </c>
      <c r="AS894" s="137" t="s">
        <v>432</v>
      </c>
      <c r="AT894" s="137" t="s">
        <v>432</v>
      </c>
      <c r="AU894" s="137" t="s">
        <v>432</v>
      </c>
      <c r="AV894" s="137" t="s">
        <v>432</v>
      </c>
      <c r="AW894" s="137" t="s">
        <v>432</v>
      </c>
      <c r="AX894" s="137" t="s">
        <v>432</v>
      </c>
      <c r="AY894" s="137" t="s">
        <v>432</v>
      </c>
      <c r="AZ894" s="137" t="s">
        <v>432</v>
      </c>
      <c r="BA894" s="137" t="s">
        <v>432</v>
      </c>
      <c r="BB894" s="239" t="str">
        <f>B894&amp;C894</f>
        <v>Sistema de transporte coletivo com um todoacessibilidade</v>
      </c>
      <c r="BC894" s="239" t="str">
        <f>B894&amp;C894&amp;H894</f>
        <v>Sistema de transporte coletivo com um todoacessibilidadeRMBH</v>
      </c>
      <c r="BD894" s="239" t="str">
        <f>B894&amp;H894</f>
        <v>Sistema de transporte coletivo com um todoRMBH</v>
      </c>
    </row>
    <row r="895" spans="1:56" s="373" customFormat="1" ht="116.25" customHeight="1" x14ac:dyDescent="0.25">
      <c r="A895" s="275" t="str">
        <f>'Q100b-totais'!B57</f>
        <v>8.5</v>
      </c>
      <c r="B895" s="1205" t="str">
        <f>'Q100b-totais'!C57</f>
        <v>Transporte convencional</v>
      </c>
      <c r="C895" s="57" t="s">
        <v>743</v>
      </c>
      <c r="D895" s="939" t="s">
        <v>2287</v>
      </c>
      <c r="E895" s="254" t="s">
        <v>1306</v>
      </c>
      <c r="F895" s="1151" t="s">
        <v>5384</v>
      </c>
      <c r="G895" s="57" t="s">
        <v>5166</v>
      </c>
      <c r="H895" s="167" t="s">
        <v>2408</v>
      </c>
      <c r="I895" s="167" t="s">
        <v>432</v>
      </c>
      <c r="J895" s="107" t="s">
        <v>432</v>
      </c>
      <c r="K895" s="107" t="s">
        <v>432</v>
      </c>
      <c r="L895" s="107" t="s">
        <v>432</v>
      </c>
      <c r="M895" s="107" t="s">
        <v>432</v>
      </c>
      <c r="N895" s="107" t="s">
        <v>432</v>
      </c>
      <c r="O895" s="107" t="s">
        <v>432</v>
      </c>
      <c r="P895" s="107" t="s">
        <v>432</v>
      </c>
      <c r="Q895" s="107" t="s">
        <v>432</v>
      </c>
      <c r="R895" s="107" t="s">
        <v>432</v>
      </c>
      <c r="S895" s="109" t="s">
        <v>2209</v>
      </c>
      <c r="T895" s="107" t="s">
        <v>432</v>
      </c>
      <c r="U895" s="107" t="s">
        <v>432</v>
      </c>
      <c r="V895" s="109" t="s">
        <v>2209</v>
      </c>
      <c r="W895" s="108" t="s">
        <v>432</v>
      </c>
      <c r="X895" s="108" t="s">
        <v>432</v>
      </c>
      <c r="Y895" s="108" t="s">
        <v>432</v>
      </c>
      <c r="Z895" s="108" t="s">
        <v>432</v>
      </c>
      <c r="AA895" s="108" t="s">
        <v>432</v>
      </c>
      <c r="AB895" s="108" t="s">
        <v>432</v>
      </c>
      <c r="AC895" s="108" t="s">
        <v>432</v>
      </c>
      <c r="AD895" s="108" t="s">
        <v>432</v>
      </c>
      <c r="AE895" s="108" t="s">
        <v>432</v>
      </c>
      <c r="AF895" s="108" t="s">
        <v>432</v>
      </c>
      <c r="AG895" s="108" t="s">
        <v>432</v>
      </c>
      <c r="AH895" s="108" t="s">
        <v>432</v>
      </c>
      <c r="AI895" s="108" t="s">
        <v>432</v>
      </c>
      <c r="AJ895" s="108" t="s">
        <v>432</v>
      </c>
      <c r="AK895" s="108" t="s">
        <v>432</v>
      </c>
      <c r="AL895" s="600" t="s">
        <v>432</v>
      </c>
      <c r="AM895" s="137" t="s">
        <v>432</v>
      </c>
      <c r="AN895" s="137" t="s">
        <v>432</v>
      </c>
      <c r="AO895" s="137" t="s">
        <v>432</v>
      </c>
      <c r="AP895" s="137" t="s">
        <v>432</v>
      </c>
      <c r="AQ895" s="137" t="s">
        <v>432</v>
      </c>
      <c r="AR895" s="137" t="s">
        <v>432</v>
      </c>
      <c r="AS895" s="137" t="s">
        <v>432</v>
      </c>
      <c r="AT895" s="137" t="s">
        <v>432</v>
      </c>
      <c r="AU895" s="137" t="s">
        <v>432</v>
      </c>
      <c r="AV895" s="137" t="s">
        <v>432</v>
      </c>
      <c r="AW895" s="137" t="s">
        <v>432</v>
      </c>
      <c r="AX895" s="137" t="s">
        <v>432</v>
      </c>
      <c r="AY895" s="137" t="s">
        <v>432</v>
      </c>
      <c r="AZ895" s="137" t="s">
        <v>432</v>
      </c>
      <c r="BA895" s="137" t="s">
        <v>432</v>
      </c>
      <c r="BB895" s="239" t="str">
        <f>B895&amp;C895</f>
        <v>Transporte convencionalacessibilidade</v>
      </c>
      <c r="BC895" s="239" t="str">
        <f>B895&amp;C895&amp;H895</f>
        <v>Transporte convencionalacessibilidadesigla/verbete</v>
      </c>
      <c r="BD895" s="239" t="str">
        <f>B895&amp;H895</f>
        <v>Transporte convencionalsigla/verbete</v>
      </c>
    </row>
    <row r="896" spans="1:56" s="373" customFormat="1" ht="116.25" customHeight="1" x14ac:dyDescent="0.25">
      <c r="A896" s="275" t="str">
        <f>'Q100b-totais'!B57</f>
        <v>8.5</v>
      </c>
      <c r="B896" s="1205" t="str">
        <f>'Q100b-totais'!C57</f>
        <v>Transporte convencional</v>
      </c>
      <c r="C896" s="57" t="s">
        <v>743</v>
      </c>
      <c r="D896" s="939" t="s">
        <v>2287</v>
      </c>
      <c r="E896" s="254" t="s">
        <v>1306</v>
      </c>
      <c r="F896" s="1151" t="s">
        <v>5385</v>
      </c>
      <c r="G896" s="57" t="s">
        <v>5166</v>
      </c>
      <c r="H896" s="167" t="s">
        <v>2408</v>
      </c>
      <c r="I896" s="167" t="s">
        <v>432</v>
      </c>
      <c r="J896" s="107" t="s">
        <v>432</v>
      </c>
      <c r="K896" s="107" t="s">
        <v>432</v>
      </c>
      <c r="L896" s="107" t="s">
        <v>432</v>
      </c>
      <c r="M896" s="107" t="s">
        <v>432</v>
      </c>
      <c r="N896" s="107" t="s">
        <v>432</v>
      </c>
      <c r="O896" s="107" t="s">
        <v>432</v>
      </c>
      <c r="P896" s="107" t="s">
        <v>432</v>
      </c>
      <c r="Q896" s="107" t="s">
        <v>432</v>
      </c>
      <c r="R896" s="107" t="s">
        <v>432</v>
      </c>
      <c r="S896" s="109" t="s">
        <v>2209</v>
      </c>
      <c r="T896" s="107" t="s">
        <v>432</v>
      </c>
      <c r="U896" s="107" t="s">
        <v>432</v>
      </c>
      <c r="V896" s="109" t="s">
        <v>2209</v>
      </c>
      <c r="W896" s="108" t="s">
        <v>432</v>
      </c>
      <c r="X896" s="108" t="s">
        <v>432</v>
      </c>
      <c r="Y896" s="108" t="s">
        <v>432</v>
      </c>
      <c r="Z896" s="108" t="s">
        <v>432</v>
      </c>
      <c r="AA896" s="108" t="s">
        <v>432</v>
      </c>
      <c r="AB896" s="108" t="s">
        <v>432</v>
      </c>
      <c r="AC896" s="108" t="s">
        <v>432</v>
      </c>
      <c r="AD896" s="108" t="s">
        <v>432</v>
      </c>
      <c r="AE896" s="108" t="s">
        <v>432</v>
      </c>
      <c r="AF896" s="108" t="s">
        <v>432</v>
      </c>
      <c r="AG896" s="108" t="s">
        <v>432</v>
      </c>
      <c r="AH896" s="108" t="s">
        <v>432</v>
      </c>
      <c r="AI896" s="108" t="s">
        <v>432</v>
      </c>
      <c r="AJ896" s="108" t="s">
        <v>432</v>
      </c>
      <c r="AK896" s="108" t="s">
        <v>432</v>
      </c>
      <c r="AL896" s="600" t="s">
        <v>432</v>
      </c>
      <c r="AM896" s="137" t="s">
        <v>432</v>
      </c>
      <c r="AN896" s="137" t="s">
        <v>432</v>
      </c>
      <c r="AO896" s="137" t="s">
        <v>432</v>
      </c>
      <c r="AP896" s="137" t="s">
        <v>432</v>
      </c>
      <c r="AQ896" s="137" t="s">
        <v>432</v>
      </c>
      <c r="AR896" s="137" t="s">
        <v>432</v>
      </c>
      <c r="AS896" s="137" t="s">
        <v>432</v>
      </c>
      <c r="AT896" s="137" t="s">
        <v>432</v>
      </c>
      <c r="AU896" s="137" t="s">
        <v>432</v>
      </c>
      <c r="AV896" s="137" t="s">
        <v>432</v>
      </c>
      <c r="AW896" s="137" t="s">
        <v>432</v>
      </c>
      <c r="AX896" s="137" t="s">
        <v>432</v>
      </c>
      <c r="AY896" s="137" t="s">
        <v>432</v>
      </c>
      <c r="AZ896" s="137" t="s">
        <v>432</v>
      </c>
      <c r="BA896" s="137" t="s">
        <v>432</v>
      </c>
      <c r="BB896" s="239" t="str">
        <f>B896&amp;C896</f>
        <v>Transporte convencionalacessibilidade</v>
      </c>
      <c r="BC896" s="239" t="str">
        <f>B896&amp;C896&amp;H896</f>
        <v>Transporte convencionalacessibilidadesigla/verbete</v>
      </c>
      <c r="BD896" s="239" t="str">
        <f>B896&amp;H896</f>
        <v>Transporte convencionalsigla/verbete</v>
      </c>
    </row>
    <row r="897" spans="1:67" s="1" customFormat="1" ht="171" customHeight="1" x14ac:dyDescent="0.25">
      <c r="A897" s="275" t="str">
        <f>'Q100b-totais'!$B$57</f>
        <v>8.5</v>
      </c>
      <c r="B897" s="1205" t="str">
        <f>'Q100b-totais'!$C$57</f>
        <v>Transporte convencional</v>
      </c>
      <c r="C897" s="57" t="s">
        <v>743</v>
      </c>
      <c r="D897" s="715" t="str">
        <f>'Q100e-FrotaOnibus'!BD10</f>
        <v>F tcc BRTmisto eh ecp</v>
      </c>
      <c r="E897" s="1502" t="str">
        <f>'Q100e-FrotaOnibus'!BE10</f>
        <v>Belo Horizonte</v>
      </c>
      <c r="F897" s="355" t="str">
        <f>'Q100e-FrotaOnibus'!BF10</f>
        <v>frota em n.º de ônibus do transporte coletivo convencional de Belo Horizonte gerenciado pela BHTrans, especificamente do sub-sistema BRT, equipados com elevador hidráulico, com chassis fabricados a partir de 2009 (inclusive), que operam em parte do itinerário no corredor de BRT (com embarque/desembarque em nível) e em parte do itinerário operam fora do corredor (usuários em pé podem utilizar o elevador para embarque/desembarque caso se sintam seguros)
obs.1: esta categoria recebe peso 5, numa escala de 1 a 10, na classificação definida pelo SisMob-BH para classificar a acessibilidade - acesse "acessibilidade em ônibus urbano (escala)"
obs.2: em Belo Horizonte o uso de elevador hidráulico para embarque/desembarque não exclusivo de cadeirantes está definida em portaria (BH,2011a)
obs.3: em Belo Horizonte todos os ônibus do BRT misto são desta categoria (elevadores fabricados a partir de 2009/inclusive) pois o BRT foi inaugurado em 2014
obs.4: mês de dezembro tomado como referência anual, com resultados de 2009 a 2014 conforme BHTRANS(2015c) e de 2015 conforme BHTRANS(2016c)</v>
      </c>
      <c r="G897" s="110" t="str">
        <f>'Q100e-FrotaOnibus'!BG10</f>
        <v>registro na fonte</v>
      </c>
      <c r="H897" s="173" t="s">
        <v>432</v>
      </c>
      <c r="I897" s="167">
        <v>1</v>
      </c>
      <c r="J897" s="109" t="s">
        <v>2467</v>
      </c>
      <c r="K897" s="109" t="s">
        <v>2467</v>
      </c>
      <c r="L897" s="109" t="s">
        <v>2467</v>
      </c>
      <c r="M897" s="873">
        <v>0</v>
      </c>
      <c r="N897" s="873">
        <v>0</v>
      </c>
      <c r="O897" s="873">
        <v>0</v>
      </c>
      <c r="P897" s="873">
        <v>0</v>
      </c>
      <c r="Q897" s="873">
        <v>0</v>
      </c>
      <c r="R897" s="873">
        <v>0</v>
      </c>
      <c r="S897" s="109" t="s">
        <v>2209</v>
      </c>
      <c r="T897" s="873">
        <v>0</v>
      </c>
      <c r="U897" s="873">
        <v>0</v>
      </c>
      <c r="V897" s="109" t="s">
        <v>2209</v>
      </c>
      <c r="W897" s="873">
        <v>0</v>
      </c>
      <c r="X897" s="873">
        <v>0</v>
      </c>
      <c r="Y897" s="873">
        <v>0</v>
      </c>
      <c r="Z897" s="873">
        <v>0</v>
      </c>
      <c r="AA897" s="873">
        <v>0</v>
      </c>
      <c r="AB897" s="873">
        <v>0</v>
      </c>
      <c r="AC897" s="873">
        <v>0</v>
      </c>
      <c r="AD897" s="873">
        <v>0</v>
      </c>
      <c r="AE897" s="873">
        <v>0</v>
      </c>
      <c r="AF897" s="873">
        <v>0</v>
      </c>
      <c r="AG897" s="873">
        <v>0</v>
      </c>
      <c r="AH897" s="873">
        <v>0</v>
      </c>
      <c r="AI897" s="873">
        <v>0</v>
      </c>
      <c r="AJ897" s="93">
        <v>318</v>
      </c>
      <c r="AK897" s="84">
        <v>318</v>
      </c>
      <c r="AL897" s="600" t="s">
        <v>432</v>
      </c>
      <c r="AM897" s="84">
        <v>317</v>
      </c>
      <c r="AN897" s="137" t="s">
        <v>432</v>
      </c>
      <c r="AO897" s="137" t="s">
        <v>432</v>
      </c>
      <c r="AP897" s="137" t="s">
        <v>432</v>
      </c>
      <c r="AQ897" s="137" t="s">
        <v>432</v>
      </c>
      <c r="AR897" s="137" t="s">
        <v>432</v>
      </c>
      <c r="AS897" s="137" t="s">
        <v>432</v>
      </c>
      <c r="AT897" s="137" t="s">
        <v>432</v>
      </c>
      <c r="AU897" s="137" t="s">
        <v>432</v>
      </c>
      <c r="AV897" s="137" t="s">
        <v>432</v>
      </c>
      <c r="AW897" s="137" t="s">
        <v>432</v>
      </c>
      <c r="AX897" s="137" t="s">
        <v>432</v>
      </c>
      <c r="AY897" s="137" t="s">
        <v>432</v>
      </c>
      <c r="AZ897" s="137" t="s">
        <v>432</v>
      </c>
      <c r="BA897" s="137" t="s">
        <v>432</v>
      </c>
      <c r="BB897" s="239" t="str">
        <f>B897&amp;C897</f>
        <v>Transporte convencionalacessibilidade</v>
      </c>
      <c r="BC897" s="239" t="str">
        <f>B897&amp;C897&amp;H897</f>
        <v>Transporte convencionalacessibilidadex</v>
      </c>
      <c r="BD897" s="239" t="str">
        <f>B897&amp;H897</f>
        <v>Transporte convencionalx</v>
      </c>
    </row>
    <row r="898" spans="1:67" s="373" customFormat="1" ht="17.25" customHeight="1" x14ac:dyDescent="0.25">
      <c r="A898" s="383"/>
      <c r="B898" s="384"/>
      <c r="C898" s="384"/>
      <c r="D898" s="717"/>
      <c r="E898" s="1518"/>
      <c r="F898" s="384"/>
      <c r="G898" s="384"/>
      <c r="H898" s="385"/>
      <c r="I898" s="385"/>
      <c r="J898" s="384"/>
      <c r="K898" s="384"/>
      <c r="L898" s="384"/>
      <c r="M898" s="384"/>
      <c r="N898" s="384"/>
      <c r="O898" s="384"/>
      <c r="P898" s="384"/>
      <c r="Q898" s="384"/>
      <c r="R898" s="384"/>
      <c r="S898" s="109" t="s">
        <v>2209</v>
      </c>
      <c r="T898" s="384"/>
      <c r="U898" s="384"/>
      <c r="V898" s="109" t="s">
        <v>2209</v>
      </c>
      <c r="W898" s="386"/>
      <c r="X898" s="386"/>
      <c r="Y898" s="386"/>
      <c r="Z898" s="386"/>
      <c r="AA898" s="386"/>
      <c r="AB898" s="386"/>
      <c r="AC898" s="386"/>
      <c r="AD898" s="386"/>
      <c r="AE898" s="386"/>
      <c r="AF898" s="386"/>
      <c r="AG898" s="386"/>
      <c r="AH898" s="386"/>
      <c r="AI898" s="386"/>
      <c r="AJ898" s="386"/>
      <c r="AK898" s="386"/>
      <c r="AL898" s="600" t="s">
        <v>432</v>
      </c>
      <c r="AM898" s="386"/>
      <c r="AN898" s="387"/>
      <c r="AO898" s="387"/>
      <c r="AP898" s="387"/>
      <c r="AQ898" s="387"/>
      <c r="AR898" s="387"/>
      <c r="AS898" s="387"/>
      <c r="AT898" s="387"/>
      <c r="AU898" s="387"/>
      <c r="AV898" s="387"/>
      <c r="AW898" s="137" t="s">
        <v>432</v>
      </c>
      <c r="AX898" s="387"/>
      <c r="AY898" s="387"/>
      <c r="AZ898" s="387"/>
      <c r="BA898" s="387"/>
      <c r="BB898" s="388"/>
      <c r="BC898" s="388"/>
      <c r="BD898" s="388"/>
    </row>
    <row r="899" spans="1:67" s="373" customFormat="1" ht="132.75" customHeight="1" x14ac:dyDescent="0.25">
      <c r="A899" s="413" t="str">
        <f>'Q100b-totais'!B62</f>
        <v>8.10</v>
      </c>
      <c r="B899" s="1205" t="str">
        <f>'Q100b-totais'!C62</f>
        <v>Sistema de transporte coletivo com um todo</v>
      </c>
      <c r="C899" s="57" t="s">
        <v>743</v>
      </c>
      <c r="D899" s="324" t="str">
        <f>'Q100e-FrotaOnibus'!D8</f>
        <v>F tc eh</v>
      </c>
      <c r="E899" s="254" t="str">
        <f>'Q100e-FrotaOnibus'!E8</f>
        <v>x</v>
      </c>
      <c r="F899" s="252" t="str">
        <f>'Q100e-FrotaOnibus'!F8</f>
        <v>frota em n.º de ônibus do transporte público coletivo de uma cidade/região equipados com  elevador hidráulico (plataforma elevatória veicular) de uso exclusivo ou não para cadeirantes e que não estão aptos a operar em parte do percurso em plataforma elevada, calculado como "F tc eh ec + F tc eh ecp"
obs.1: "Ao contrário do que estabelece a norma, que considera uma exceção, os operadores, na prática, estão comprando majoritariamente, quando não exclusivamente, veículos com piso alto equipados com elevador. Esse fato pode ser observado em várias capitais brasileiras. [...]" conforme IPEA(2010, p.421)
obs.2: acesse verbetes de "F tc eh" de Belo Horizonte, Brasília, Rio de Janeiro, Recife, São Paulo</v>
      </c>
      <c r="G899" s="57" t="s">
        <v>3507</v>
      </c>
      <c r="H899" s="167" t="s">
        <v>2408</v>
      </c>
      <c r="I899" s="167" t="s">
        <v>432</v>
      </c>
      <c r="J899" s="109" t="s">
        <v>432</v>
      </c>
      <c r="K899" s="109" t="s">
        <v>432</v>
      </c>
      <c r="L899" s="109" t="s">
        <v>432</v>
      </c>
      <c r="M899" s="109" t="s">
        <v>432</v>
      </c>
      <c r="N899" s="109" t="s">
        <v>432</v>
      </c>
      <c r="O899" s="109" t="s">
        <v>432</v>
      </c>
      <c r="P899" s="109" t="s">
        <v>432</v>
      </c>
      <c r="Q899" s="109" t="s">
        <v>432</v>
      </c>
      <c r="R899" s="109" t="s">
        <v>432</v>
      </c>
      <c r="S899" s="109" t="s">
        <v>2209</v>
      </c>
      <c r="T899" s="109" t="s">
        <v>432</v>
      </c>
      <c r="U899" s="109" t="s">
        <v>432</v>
      </c>
      <c r="V899" s="109" t="s">
        <v>2209</v>
      </c>
      <c r="W899" s="109" t="s">
        <v>432</v>
      </c>
      <c r="X899" s="109" t="s">
        <v>432</v>
      </c>
      <c r="Y899" s="109" t="s">
        <v>432</v>
      </c>
      <c r="Z899" s="109" t="s">
        <v>432</v>
      </c>
      <c r="AA899" s="109" t="s">
        <v>432</v>
      </c>
      <c r="AB899" s="109" t="s">
        <v>432</v>
      </c>
      <c r="AC899" s="109" t="s">
        <v>432</v>
      </c>
      <c r="AD899" s="109" t="s">
        <v>432</v>
      </c>
      <c r="AE899" s="109" t="s">
        <v>432</v>
      </c>
      <c r="AF899" s="109" t="s">
        <v>432</v>
      </c>
      <c r="AG899" s="109" t="s">
        <v>432</v>
      </c>
      <c r="AH899" s="109" t="s">
        <v>432</v>
      </c>
      <c r="AI899" s="109" t="s">
        <v>432</v>
      </c>
      <c r="AJ899" s="109" t="s">
        <v>432</v>
      </c>
      <c r="AK899" s="109" t="s">
        <v>432</v>
      </c>
      <c r="AL899" s="600" t="s">
        <v>432</v>
      </c>
      <c r="AM899" s="137" t="s">
        <v>432</v>
      </c>
      <c r="AN899" s="137" t="s">
        <v>432</v>
      </c>
      <c r="AO899" s="137" t="s">
        <v>432</v>
      </c>
      <c r="AP899" s="137" t="s">
        <v>432</v>
      </c>
      <c r="AQ899" s="137" t="s">
        <v>432</v>
      </c>
      <c r="AR899" s="137" t="s">
        <v>432</v>
      </c>
      <c r="AS899" s="137" t="s">
        <v>432</v>
      </c>
      <c r="AT899" s="137" t="s">
        <v>432</v>
      </c>
      <c r="AU899" s="137" t="s">
        <v>432</v>
      </c>
      <c r="AV899" s="137" t="s">
        <v>432</v>
      </c>
      <c r="AW899" s="137" t="s">
        <v>432</v>
      </c>
      <c r="AX899" s="137" t="s">
        <v>432</v>
      </c>
      <c r="AY899" s="137" t="s">
        <v>432</v>
      </c>
      <c r="AZ899" s="137" t="s">
        <v>432</v>
      </c>
      <c r="BA899" s="137" t="s">
        <v>432</v>
      </c>
      <c r="BB899" s="239" t="str">
        <f t="shared" ref="BB899:BB918" si="210">B899&amp;C899</f>
        <v>Sistema de transporte coletivo com um todoacessibilidade</v>
      </c>
      <c r="BC899" s="239" t="str">
        <f t="shared" ref="BC899:BC918" si="211">B899&amp;C899&amp;H899</f>
        <v>Sistema de transporte coletivo com um todoacessibilidadesigla/verbete</v>
      </c>
      <c r="BD899" s="239" t="str">
        <f t="shared" ref="BD899:BD918" si="212">B899&amp;H899</f>
        <v>Sistema de transporte coletivo com um todosigla/verbete</v>
      </c>
    </row>
    <row r="900" spans="1:67" s="373" customFormat="1" ht="51" x14ac:dyDescent="0.25">
      <c r="A900" s="413" t="str">
        <f>'Q100b-totais'!B62</f>
        <v>8.10</v>
      </c>
      <c r="B900" s="1205" t="str">
        <f>'Q100b-totais'!C62</f>
        <v>Sistema de transporte coletivo com um todo</v>
      </c>
      <c r="C900" s="57" t="s">
        <v>743</v>
      </c>
      <c r="D900" s="324" t="str">
        <f>'Q100e-FrotaOnibus'!D29</f>
        <v>F tc eh
(%)</v>
      </c>
      <c r="E900" s="1445" t="str">
        <f>'Q100e-FrotaOnibus'!E29</f>
        <v>x</v>
      </c>
      <c r="F900" s="252" t="str">
        <f>'Q100e-FrotaOnibus'!F29</f>
        <v>percentual da frota de ônibus do transporte público coletivo de uma cidade/região equipados com  elevador hidráulico de uso exclusivo ou não para cadeirantes e que não estão aptos a operar em parte do percurso em plataforma elevada</v>
      </c>
      <c r="G900" s="230" t="s">
        <v>3507</v>
      </c>
      <c r="H900" s="167" t="s">
        <v>2408</v>
      </c>
      <c r="I900" s="167" t="s">
        <v>432</v>
      </c>
      <c r="J900" s="109" t="s">
        <v>432</v>
      </c>
      <c r="K900" s="109" t="s">
        <v>432</v>
      </c>
      <c r="L900" s="109" t="s">
        <v>432</v>
      </c>
      <c r="M900" s="109" t="s">
        <v>432</v>
      </c>
      <c r="N900" s="109" t="s">
        <v>432</v>
      </c>
      <c r="O900" s="109" t="s">
        <v>432</v>
      </c>
      <c r="P900" s="109" t="s">
        <v>432</v>
      </c>
      <c r="Q900" s="109" t="s">
        <v>432</v>
      </c>
      <c r="R900" s="109" t="s">
        <v>432</v>
      </c>
      <c r="S900" s="109" t="s">
        <v>2209</v>
      </c>
      <c r="T900" s="109" t="s">
        <v>432</v>
      </c>
      <c r="U900" s="109" t="s">
        <v>432</v>
      </c>
      <c r="V900" s="109" t="s">
        <v>2209</v>
      </c>
      <c r="W900" s="109" t="s">
        <v>432</v>
      </c>
      <c r="X900" s="109" t="s">
        <v>432</v>
      </c>
      <c r="Y900" s="109" t="s">
        <v>432</v>
      </c>
      <c r="Z900" s="109" t="s">
        <v>432</v>
      </c>
      <c r="AA900" s="109" t="s">
        <v>432</v>
      </c>
      <c r="AB900" s="109" t="s">
        <v>432</v>
      </c>
      <c r="AC900" s="109" t="s">
        <v>432</v>
      </c>
      <c r="AD900" s="109" t="s">
        <v>432</v>
      </c>
      <c r="AE900" s="109" t="s">
        <v>432</v>
      </c>
      <c r="AF900" s="109" t="s">
        <v>432</v>
      </c>
      <c r="AG900" s="109" t="s">
        <v>432</v>
      </c>
      <c r="AH900" s="109" t="s">
        <v>432</v>
      </c>
      <c r="AI900" s="109" t="s">
        <v>432</v>
      </c>
      <c r="AJ900" s="109" t="s">
        <v>432</v>
      </c>
      <c r="AK900" s="109" t="s">
        <v>432</v>
      </c>
      <c r="AL900" s="600" t="s">
        <v>432</v>
      </c>
      <c r="AM900" s="137" t="s">
        <v>432</v>
      </c>
      <c r="AN900" s="137" t="s">
        <v>432</v>
      </c>
      <c r="AO900" s="137" t="s">
        <v>432</v>
      </c>
      <c r="AP900" s="137" t="s">
        <v>432</v>
      </c>
      <c r="AQ900" s="137" t="s">
        <v>432</v>
      </c>
      <c r="AR900" s="137" t="s">
        <v>432</v>
      </c>
      <c r="AS900" s="137" t="s">
        <v>432</v>
      </c>
      <c r="AT900" s="137" t="s">
        <v>432</v>
      </c>
      <c r="AU900" s="137" t="s">
        <v>432</v>
      </c>
      <c r="AV900" s="137" t="s">
        <v>432</v>
      </c>
      <c r="AW900" s="137" t="s">
        <v>432</v>
      </c>
      <c r="AX900" s="137" t="s">
        <v>432</v>
      </c>
      <c r="AY900" s="137" t="s">
        <v>432</v>
      </c>
      <c r="AZ900" s="137" t="s">
        <v>432</v>
      </c>
      <c r="BA900" s="137" t="s">
        <v>432</v>
      </c>
      <c r="BB900" s="239" t="str">
        <f t="shared" si="210"/>
        <v>Sistema de transporte coletivo com um todoacessibilidade</v>
      </c>
      <c r="BC900" s="239" t="str">
        <f t="shared" si="211"/>
        <v>Sistema de transporte coletivo com um todoacessibilidadesigla/verbete</v>
      </c>
      <c r="BD900" s="239" t="str">
        <f t="shared" si="212"/>
        <v>Sistema de transporte coletivo com um todosigla/verbete</v>
      </c>
    </row>
    <row r="901" spans="1:67" s="373" customFormat="1" ht="108.75" customHeight="1" x14ac:dyDescent="0.25">
      <c r="A901" s="413" t="str">
        <f>'Q100b-totais'!B62</f>
        <v>8.10</v>
      </c>
      <c r="B901" s="1205" t="str">
        <f>'Q100b-totais'!C62</f>
        <v>Sistema de transporte coletivo com um todo</v>
      </c>
      <c r="C901" s="57" t="s">
        <v>743</v>
      </c>
      <c r="D901" s="324" t="str">
        <f>'Q100e-FrotaOnibus'!D30</f>
        <v>F tc eh
(meta em %)</v>
      </c>
      <c r="E901" s="1445" t="str">
        <f>'Q100e-FrotaOnibus'!E30</f>
        <v>x</v>
      </c>
      <c r="F901" s="252" t="str">
        <f>'Q100e-FrotaOnibus'!F30</f>
        <v>meta de percentual da frota de ônibus do transporte público coletivo de uma cidade/região a serem equipados com  elevador hidráulico de uso exclusivo ou não para cadeirantes e que não estão aptos a operar em parte do percurso em plataforma elevada
obs.: Em Campo Grande (MS) considerou-se equivocadamente que "A adequação de veículos para usuários de cadeiras de rodas (mediante a instalação de elevadores no ônibus) é uma medida cara, que se levada às últimas conseqüências implicará em aumento dos custos da passagem e exclusão de usuários de baixa renda do sistema. Contudo, certamente uma parcela dos veículos – de 20 a 25%¨- necessita ser adaptada." conforme CAMPO GRANDE(2015b, p.40)</v>
      </c>
      <c r="G901" s="230" t="s">
        <v>3507</v>
      </c>
      <c r="H901" s="167" t="s">
        <v>2408</v>
      </c>
      <c r="I901" s="167" t="s">
        <v>432</v>
      </c>
      <c r="J901" s="109" t="s">
        <v>432</v>
      </c>
      <c r="K901" s="109" t="s">
        <v>432</v>
      </c>
      <c r="L901" s="109" t="s">
        <v>432</v>
      </c>
      <c r="M901" s="109" t="s">
        <v>432</v>
      </c>
      <c r="N901" s="109" t="s">
        <v>432</v>
      </c>
      <c r="O901" s="109" t="s">
        <v>432</v>
      </c>
      <c r="P901" s="109" t="s">
        <v>432</v>
      </c>
      <c r="Q901" s="109" t="s">
        <v>432</v>
      </c>
      <c r="R901" s="109" t="s">
        <v>432</v>
      </c>
      <c r="S901" s="109" t="s">
        <v>2209</v>
      </c>
      <c r="T901" s="109" t="s">
        <v>432</v>
      </c>
      <c r="U901" s="109" t="s">
        <v>432</v>
      </c>
      <c r="V901" s="109" t="s">
        <v>2209</v>
      </c>
      <c r="W901" s="109" t="s">
        <v>432</v>
      </c>
      <c r="X901" s="109" t="s">
        <v>432</v>
      </c>
      <c r="Y901" s="109" t="s">
        <v>432</v>
      </c>
      <c r="Z901" s="109" t="s">
        <v>432</v>
      </c>
      <c r="AA901" s="109" t="s">
        <v>432</v>
      </c>
      <c r="AB901" s="109" t="s">
        <v>432</v>
      </c>
      <c r="AC901" s="109" t="s">
        <v>432</v>
      </c>
      <c r="AD901" s="109" t="s">
        <v>432</v>
      </c>
      <c r="AE901" s="109" t="s">
        <v>432</v>
      </c>
      <c r="AF901" s="109" t="s">
        <v>432</v>
      </c>
      <c r="AG901" s="109" t="s">
        <v>432</v>
      </c>
      <c r="AH901" s="109" t="s">
        <v>432</v>
      </c>
      <c r="AI901" s="109" t="s">
        <v>432</v>
      </c>
      <c r="AJ901" s="109" t="s">
        <v>432</v>
      </c>
      <c r="AK901" s="109" t="s">
        <v>432</v>
      </c>
      <c r="AL901" s="600" t="s">
        <v>432</v>
      </c>
      <c r="AM901" s="137" t="s">
        <v>432</v>
      </c>
      <c r="AN901" s="137" t="s">
        <v>432</v>
      </c>
      <c r="AO901" s="137" t="s">
        <v>432</v>
      </c>
      <c r="AP901" s="137" t="s">
        <v>432</v>
      </c>
      <c r="AQ901" s="137" t="s">
        <v>432</v>
      </c>
      <c r="AR901" s="137" t="s">
        <v>432</v>
      </c>
      <c r="AS901" s="137" t="s">
        <v>432</v>
      </c>
      <c r="AT901" s="137" t="s">
        <v>432</v>
      </c>
      <c r="AU901" s="137" t="s">
        <v>432</v>
      </c>
      <c r="AV901" s="137" t="s">
        <v>432</v>
      </c>
      <c r="AW901" s="137" t="s">
        <v>432</v>
      </c>
      <c r="AX901" s="137" t="s">
        <v>432</v>
      </c>
      <c r="AY901" s="137" t="s">
        <v>432</v>
      </c>
      <c r="AZ901" s="137" t="s">
        <v>432</v>
      </c>
      <c r="BA901" s="137" t="s">
        <v>432</v>
      </c>
      <c r="BB901" s="239" t="str">
        <f t="shared" si="210"/>
        <v>Sistema de transporte coletivo com um todoacessibilidade</v>
      </c>
      <c r="BC901" s="239" t="str">
        <f t="shared" si="211"/>
        <v>Sistema de transporte coletivo com um todoacessibilidadesigla/verbete</v>
      </c>
      <c r="BD901" s="239" t="str">
        <f t="shared" si="212"/>
        <v>Sistema de transporte coletivo com um todosigla/verbete</v>
      </c>
    </row>
    <row r="902" spans="1:67" s="373" customFormat="1" ht="72.75" customHeight="1" x14ac:dyDescent="0.25">
      <c r="A902" s="275" t="s">
        <v>982</v>
      </c>
      <c r="B902" s="1205" t="s">
        <v>983</v>
      </c>
      <c r="C902" s="57" t="s">
        <v>743</v>
      </c>
      <c r="D902" s="714" t="str">
        <f>'Q100e-FrotaOnibus'!BL8</f>
        <v>F tc eh</v>
      </c>
      <c r="E902" s="254" t="str">
        <f>'Q100e-FrotaOnibus'!BM8</f>
        <v>Belo Horizonte</v>
      </c>
      <c r="F902" s="252" t="str">
        <f>'Q100e-FrotaOnibus'!BN8</f>
        <v>frota em n.º de ônibus do transporte coletivo (convencional e suplementar) de Belo Horizonte equipados com elevador hidráulico (plataforma elevatória veicular) de uso exclusivo ou não para cadeirantes e que não operam em plataforma elevada
obs.: "Ao contrário do que estabelece a norma, que considera uma exceção, os operadores, na prática, estão comprando majoritariamente, quando não exclusivamente, veículos com piso alto equipados com elevador. Esse fato pode ser observado em várias capitais brasileiras. [...] Belo Horizonte, segundo dados da BHTRANS, de janeiro de 2009 a julho de 2010, substituiu 672 veículos por veículos de piso alto com elevador. [...]" conforem IPEA(2010, p.421)</v>
      </c>
      <c r="G902" s="368" t="str">
        <f>'Q100e-FrotaOnibus'!BO8</f>
        <v>F tcc eh + F tcs eh
ou
F tc eh ec + F tc eh ecp</v>
      </c>
      <c r="H902" s="173" t="s">
        <v>432</v>
      </c>
      <c r="I902" s="167">
        <v>1</v>
      </c>
      <c r="J902" s="109" t="s">
        <v>2467</v>
      </c>
      <c r="K902" s="109" t="s">
        <v>2467</v>
      </c>
      <c r="L902" s="109" t="s">
        <v>2467</v>
      </c>
      <c r="M902" s="356">
        <f t="shared" ref="M902:R902" si="213">M904</f>
        <v>0</v>
      </c>
      <c r="N902" s="356">
        <f t="shared" si="213"/>
        <v>0</v>
      </c>
      <c r="O902" s="356">
        <f t="shared" si="213"/>
        <v>0</v>
      </c>
      <c r="P902" s="356">
        <f t="shared" si="213"/>
        <v>0</v>
      </c>
      <c r="Q902" s="356">
        <f t="shared" si="213"/>
        <v>0</v>
      </c>
      <c r="R902" s="356" t="str">
        <f t="shared" si="213"/>
        <v>ainda não encontrado</v>
      </c>
      <c r="S902" s="109" t="s">
        <v>2209</v>
      </c>
      <c r="T902" s="356" t="str">
        <f>T904</f>
        <v>ainda não encontrado</v>
      </c>
      <c r="U902" s="356" t="str">
        <f>U904</f>
        <v>ainda não encontrado</v>
      </c>
      <c r="V902" s="109" t="s">
        <v>2209</v>
      </c>
      <c r="W902" s="356" t="str">
        <f t="shared" ref="W902:AK902" si="214">W904</f>
        <v>ainda não encontrado</v>
      </c>
      <c r="X902" s="356" t="str">
        <f t="shared" si="214"/>
        <v>ainda não encontrado</v>
      </c>
      <c r="Y902" s="356">
        <f t="shared" si="214"/>
        <v>21</v>
      </c>
      <c r="Z902" s="356" t="str">
        <f t="shared" si="214"/>
        <v>ainda não encontrado</v>
      </c>
      <c r="AA902" s="356" t="str">
        <f t="shared" si="214"/>
        <v>ainda não encontrado</v>
      </c>
      <c r="AB902" s="356" t="str">
        <f t="shared" si="214"/>
        <v>ainda não encontrado</v>
      </c>
      <c r="AC902" s="356" t="str">
        <f t="shared" si="214"/>
        <v>ainda não encontrado</v>
      </c>
      <c r="AD902" s="356" t="str">
        <f t="shared" si="214"/>
        <v>ainda não encontrado</v>
      </c>
      <c r="AE902" s="356">
        <f t="shared" si="214"/>
        <v>1373</v>
      </c>
      <c r="AF902" s="356">
        <f t="shared" si="214"/>
        <v>1725</v>
      </c>
      <c r="AG902" s="356">
        <f t="shared" si="214"/>
        <v>2216</v>
      </c>
      <c r="AH902" s="356">
        <f t="shared" si="214"/>
        <v>2341</v>
      </c>
      <c r="AI902" s="356">
        <f t="shared" si="214"/>
        <v>2456</v>
      </c>
      <c r="AJ902" s="356">
        <f t="shared" si="214"/>
        <v>2293</v>
      </c>
      <c r="AK902" s="356">
        <f t="shared" si="214"/>
        <v>2288</v>
      </c>
      <c r="AL902" s="600" t="s">
        <v>432</v>
      </c>
      <c r="AM902" s="137" t="s">
        <v>432</v>
      </c>
      <c r="AN902" s="137" t="s">
        <v>432</v>
      </c>
      <c r="AO902" s="137" t="s">
        <v>432</v>
      </c>
      <c r="AP902" s="137" t="s">
        <v>432</v>
      </c>
      <c r="AQ902" s="137" t="s">
        <v>432</v>
      </c>
      <c r="AR902" s="137" t="s">
        <v>432</v>
      </c>
      <c r="AS902" s="137" t="s">
        <v>432</v>
      </c>
      <c r="AT902" s="137" t="s">
        <v>432</v>
      </c>
      <c r="AU902" s="137" t="s">
        <v>432</v>
      </c>
      <c r="AV902" s="137" t="s">
        <v>432</v>
      </c>
      <c r="AW902" s="137" t="s">
        <v>432</v>
      </c>
      <c r="AX902" s="137" t="s">
        <v>432</v>
      </c>
      <c r="AY902" s="137" t="s">
        <v>432</v>
      </c>
      <c r="AZ902" s="137" t="s">
        <v>432</v>
      </c>
      <c r="BA902" s="137" t="s">
        <v>432</v>
      </c>
      <c r="BB902" s="239" t="str">
        <f t="shared" si="210"/>
        <v>Sistema de transporte coletivo com um todoacessibilidade</v>
      </c>
      <c r="BC902" s="239" t="str">
        <f t="shared" si="211"/>
        <v>Sistema de transporte coletivo com um todoacessibilidadex</v>
      </c>
      <c r="BD902" s="239" t="str">
        <f t="shared" si="212"/>
        <v>Sistema de transporte coletivo com um todox</v>
      </c>
    </row>
    <row r="903" spans="1:67" s="373" customFormat="1" ht="72.75" customHeight="1" x14ac:dyDescent="0.25">
      <c r="A903" s="275" t="str">
        <f>'Q100b-totais'!B62</f>
        <v>8.10</v>
      </c>
      <c r="B903" s="54" t="str">
        <f>'Q100b-totais'!C62</f>
        <v>Sistema de transporte coletivo com um todo</v>
      </c>
      <c r="C903" s="57" t="s">
        <v>743</v>
      </c>
      <c r="D903" s="324" t="str">
        <f>'Q100e-FrotaOnibus'!BL29</f>
        <v>F tc eh
(%)</v>
      </c>
      <c r="E903" s="254" t="str">
        <f>'Q100e-FrotaOnibus'!BM29</f>
        <v>Belo Horizonte</v>
      </c>
      <c r="F903" s="252" t="str">
        <f>'Q100e-FrotaOnibus'!BN29</f>
        <v>percentual da frota de ônibus do transporte coletivo (convencional e suplementar) de Belo Horizonte equipados com  elevador hidráulico de uso exclusivo ou não para cadeirantes e que não estão aptos a operar em parte do percurso em plataforma elevada</v>
      </c>
      <c r="G903" s="111" t="str">
        <f>'Q100e-FrotaOnibus'!BO29</f>
        <v>(n.º F tc eh / n.º F tc) x 100</v>
      </c>
      <c r="H903" s="221" t="s">
        <v>432</v>
      </c>
      <c r="I903" s="167">
        <v>1</v>
      </c>
      <c r="J903" s="109" t="s">
        <v>2467</v>
      </c>
      <c r="K903" s="109" t="s">
        <v>2467</v>
      </c>
      <c r="L903" s="109" t="s">
        <v>2467</v>
      </c>
      <c r="M903" s="112">
        <f t="shared" ref="M903:R903" si="215">M902/M862</f>
        <v>0</v>
      </c>
      <c r="N903" s="112">
        <f t="shared" si="215"/>
        <v>0</v>
      </c>
      <c r="O903" s="112">
        <f t="shared" si="215"/>
        <v>0</v>
      </c>
      <c r="P903" s="112" t="e">
        <f t="shared" si="215"/>
        <v>#VALUE!</v>
      </c>
      <c r="Q903" s="112" t="e">
        <f t="shared" si="215"/>
        <v>#VALUE!</v>
      </c>
      <c r="R903" s="112" t="e">
        <f t="shared" si="215"/>
        <v>#VALUE!</v>
      </c>
      <c r="S903" s="109" t="s">
        <v>2209</v>
      </c>
      <c r="T903" s="112" t="e">
        <f>T902/T862</f>
        <v>#VALUE!</v>
      </c>
      <c r="U903" s="112" t="e">
        <f>U902/U862</f>
        <v>#VALUE!</v>
      </c>
      <c r="V903" s="109" t="s">
        <v>2209</v>
      </c>
      <c r="W903" s="112" t="e">
        <f t="shared" ref="W903:AK903" si="216">W902/W862</f>
        <v>#VALUE!</v>
      </c>
      <c r="X903" s="112" t="e">
        <f t="shared" si="216"/>
        <v>#VALUE!</v>
      </c>
      <c r="Y903" s="112">
        <f t="shared" si="216"/>
        <v>6.6666666666666671E-3</v>
      </c>
      <c r="Z903" s="112" t="e">
        <f t="shared" si="216"/>
        <v>#VALUE!</v>
      </c>
      <c r="AA903" s="112" t="e">
        <f t="shared" si="216"/>
        <v>#VALUE!</v>
      </c>
      <c r="AB903" s="112" t="e">
        <f t="shared" si="216"/>
        <v>#VALUE!</v>
      </c>
      <c r="AC903" s="112" t="e">
        <f t="shared" si="216"/>
        <v>#VALUE!</v>
      </c>
      <c r="AD903" s="112" t="e">
        <f t="shared" si="216"/>
        <v>#VALUE!</v>
      </c>
      <c r="AE903" s="112">
        <f t="shared" si="216"/>
        <v>0.43698281349458945</v>
      </c>
      <c r="AF903" s="112">
        <f t="shared" si="216"/>
        <v>0.55341674687199227</v>
      </c>
      <c r="AG903" s="112">
        <f t="shared" si="216"/>
        <v>0.67253414264036415</v>
      </c>
      <c r="AH903" s="112">
        <f t="shared" si="216"/>
        <v>0.70448390009027984</v>
      </c>
      <c r="AI903" s="112">
        <f t="shared" si="216"/>
        <v>0.73909118266626539</v>
      </c>
      <c r="AJ903" s="112">
        <f t="shared" si="216"/>
        <v>0.69484848484848483</v>
      </c>
      <c r="AK903" s="112">
        <f t="shared" si="216"/>
        <v>0.70748299319727892</v>
      </c>
      <c r="AL903" s="600" t="s">
        <v>432</v>
      </c>
      <c r="AM903" s="137" t="s">
        <v>432</v>
      </c>
      <c r="AN903" s="137" t="s">
        <v>432</v>
      </c>
      <c r="AO903" s="137" t="s">
        <v>432</v>
      </c>
      <c r="AP903" s="137" t="s">
        <v>432</v>
      </c>
      <c r="AQ903" s="137" t="s">
        <v>432</v>
      </c>
      <c r="AR903" s="137" t="s">
        <v>432</v>
      </c>
      <c r="AS903" s="137" t="s">
        <v>432</v>
      </c>
      <c r="AT903" s="137" t="s">
        <v>432</v>
      </c>
      <c r="AU903" s="137" t="s">
        <v>432</v>
      </c>
      <c r="AV903" s="137" t="s">
        <v>432</v>
      </c>
      <c r="AW903" s="137" t="s">
        <v>432</v>
      </c>
      <c r="AX903" s="137" t="s">
        <v>432</v>
      </c>
      <c r="AY903" s="137" t="s">
        <v>432</v>
      </c>
      <c r="AZ903" s="137" t="s">
        <v>432</v>
      </c>
      <c r="BA903" s="137" t="s">
        <v>432</v>
      </c>
      <c r="BB903" s="239" t="str">
        <f t="shared" si="210"/>
        <v>Sistema de transporte coletivo com um todoacessibilidade</v>
      </c>
      <c r="BC903" s="239" t="str">
        <f t="shared" si="211"/>
        <v>Sistema de transporte coletivo com um todoacessibilidadex</v>
      </c>
      <c r="BD903" s="239" t="str">
        <f t="shared" si="212"/>
        <v>Sistema de transporte coletivo com um todox</v>
      </c>
    </row>
    <row r="904" spans="1:67" s="1" customFormat="1" ht="55.5" customHeight="1" x14ac:dyDescent="0.25">
      <c r="A904" s="275" t="str">
        <f>'Q100b-totais'!$B$57</f>
        <v>8.5</v>
      </c>
      <c r="B904" s="54" t="str">
        <f>'Q100b-totais'!$C$57</f>
        <v>Transporte convencional</v>
      </c>
      <c r="C904" s="230" t="s">
        <v>743</v>
      </c>
      <c r="D904" s="715" t="str">
        <f>'Q100e-FrotaOnibus'!BD8</f>
        <v>F tcc eh
(n.º)</v>
      </c>
      <c r="E904" s="1502" t="str">
        <f>'Q100e-FrotaOnibus'!BE8</f>
        <v>Belo Horizonte</v>
      </c>
      <c r="F904" s="355" t="str">
        <f>'Q100e-FrotaOnibus'!BF8</f>
        <v>frota em n.º de ônibus do transporte coletivo convencional de Belo Horizonte gerenciado pela BHTrans equipados com  elevador hidráulico (plataforma elevatória veicular) de uso exclusivo ou não para cadeirantes e que não operam em plataforma elevada
obs.: resultado de 2016 (fórmula) confere com BHTRANS(2017c2)</v>
      </c>
      <c r="G904" s="368" t="str">
        <f>'Q100e-FrotaOnibus'!BG8</f>
        <v>F tcc eh ec + F tcc eh ecp</v>
      </c>
      <c r="H904" s="173" t="s">
        <v>432</v>
      </c>
      <c r="I904" s="167">
        <v>1</v>
      </c>
      <c r="J904" s="109" t="s">
        <v>2467</v>
      </c>
      <c r="K904" s="109" t="s">
        <v>2467</v>
      </c>
      <c r="L904" s="109" t="s">
        <v>2467</v>
      </c>
      <c r="M904" s="251">
        <f t="shared" ref="M904:R904" si="217">M922</f>
        <v>0</v>
      </c>
      <c r="N904" s="251">
        <f t="shared" si="217"/>
        <v>0</v>
      </c>
      <c r="O904" s="251">
        <f t="shared" si="217"/>
        <v>0</v>
      </c>
      <c r="P904" s="251">
        <f t="shared" si="217"/>
        <v>0</v>
      </c>
      <c r="Q904" s="251">
        <f t="shared" si="217"/>
        <v>0</v>
      </c>
      <c r="R904" s="251" t="str">
        <f t="shared" si="217"/>
        <v>ainda não encontrado</v>
      </c>
      <c r="S904" s="109" t="s">
        <v>2209</v>
      </c>
      <c r="T904" s="251" t="str">
        <f>T922</f>
        <v>ainda não encontrado</v>
      </c>
      <c r="U904" s="251" t="str">
        <f>U922</f>
        <v>ainda não encontrado</v>
      </c>
      <c r="V904" s="109" t="s">
        <v>2209</v>
      </c>
      <c r="W904" s="251" t="str">
        <f t="shared" ref="W904:AD904" si="218">W922</f>
        <v>ainda não encontrado</v>
      </c>
      <c r="X904" s="251" t="str">
        <f t="shared" si="218"/>
        <v>ainda não encontrado</v>
      </c>
      <c r="Y904" s="251">
        <f t="shared" si="218"/>
        <v>21</v>
      </c>
      <c r="Z904" s="251" t="str">
        <f t="shared" si="218"/>
        <v>ainda não encontrado</v>
      </c>
      <c r="AA904" s="251" t="str">
        <f t="shared" si="218"/>
        <v>ainda não encontrado</v>
      </c>
      <c r="AB904" s="251" t="str">
        <f t="shared" si="218"/>
        <v>ainda não encontrado</v>
      </c>
      <c r="AC904" s="251" t="str">
        <f t="shared" si="218"/>
        <v>ainda não encontrado</v>
      </c>
      <c r="AD904" s="251" t="str">
        <f t="shared" si="218"/>
        <v>ainda não encontrado</v>
      </c>
      <c r="AE904" s="20">
        <f t="shared" ref="AE904:AK904" si="219">AE922+AE937</f>
        <v>1373</v>
      </c>
      <c r="AF904" s="20">
        <f t="shared" si="219"/>
        <v>1725</v>
      </c>
      <c r="AG904" s="20">
        <f t="shared" si="219"/>
        <v>2216</v>
      </c>
      <c r="AH904" s="20">
        <f t="shared" si="219"/>
        <v>2341</v>
      </c>
      <c r="AI904" s="20">
        <f t="shared" si="219"/>
        <v>2456</v>
      </c>
      <c r="AJ904" s="20">
        <f t="shared" si="219"/>
        <v>2293</v>
      </c>
      <c r="AK904" s="20">
        <f t="shared" si="219"/>
        <v>2288</v>
      </c>
      <c r="AL904" s="600" t="s">
        <v>432</v>
      </c>
      <c r="AM904" s="20">
        <f>AM922+AM937</f>
        <v>2425</v>
      </c>
      <c r="AN904" s="137" t="s">
        <v>432</v>
      </c>
      <c r="AO904" s="137" t="s">
        <v>432</v>
      </c>
      <c r="AP904" s="137" t="s">
        <v>432</v>
      </c>
      <c r="AQ904" s="137" t="s">
        <v>432</v>
      </c>
      <c r="AR904" s="137" t="s">
        <v>432</v>
      </c>
      <c r="AS904" s="137" t="s">
        <v>432</v>
      </c>
      <c r="AT904" s="137" t="s">
        <v>432</v>
      </c>
      <c r="AU904" s="137" t="s">
        <v>432</v>
      </c>
      <c r="AV904" s="137" t="s">
        <v>432</v>
      </c>
      <c r="AW904" s="137" t="s">
        <v>432</v>
      </c>
      <c r="AX904" s="137" t="s">
        <v>432</v>
      </c>
      <c r="AY904" s="137" t="s">
        <v>432</v>
      </c>
      <c r="AZ904" s="137" t="s">
        <v>432</v>
      </c>
      <c r="BA904" s="137" t="s">
        <v>432</v>
      </c>
      <c r="BB904" s="239" t="str">
        <f t="shared" si="210"/>
        <v>Transporte convencionalacessibilidade</v>
      </c>
      <c r="BC904" s="239" t="str">
        <f t="shared" si="211"/>
        <v>Transporte convencionalacessibilidadex</v>
      </c>
      <c r="BD904" s="239" t="str">
        <f t="shared" si="212"/>
        <v>Transporte convencionalx</v>
      </c>
    </row>
    <row r="905" spans="1:67" s="1" customFormat="1" ht="60" customHeight="1" x14ac:dyDescent="0.25">
      <c r="A905" s="275" t="str">
        <f>'Q100b-totais'!B57</f>
        <v>8.5</v>
      </c>
      <c r="B905" s="54" t="str">
        <f>'Q100b-totais'!C57</f>
        <v>Transporte convencional</v>
      </c>
      <c r="C905" s="230" t="s">
        <v>743</v>
      </c>
      <c r="D905" s="362" t="str">
        <f>'Q100e-FrotaOnibus'!BD29</f>
        <v>F tcc eh
(%)</v>
      </c>
      <c r="E905" s="1502" t="str">
        <f>'Q100e-FrotaOnibus'!BE29</f>
        <v>Belo Horizonte</v>
      </c>
      <c r="F905" s="355" t="str">
        <f>'Q100e-FrotaOnibus'!BF29</f>
        <v>percentual da frota de ônibus do transporte coletivo convencional de Belo Horizonte gerenciado pela BHTrans equipados com  elevador hidráulico de uso exclusivo ou não para cadeirantes e que não estão aptos a operar em parte do percurso em plataforma elevada</v>
      </c>
      <c r="G905" s="111" t="str">
        <f>'Q100e-FrotaOnibus'!BG29</f>
        <v>(n.º F tcc eh / n.º F tcc) x 100</v>
      </c>
      <c r="H905" s="221" t="s">
        <v>432</v>
      </c>
      <c r="I905" s="167">
        <v>1</v>
      </c>
      <c r="J905" s="109" t="s">
        <v>2467</v>
      </c>
      <c r="K905" s="109" t="s">
        <v>2467</v>
      </c>
      <c r="L905" s="109" t="s">
        <v>2467</v>
      </c>
      <c r="M905" s="47">
        <f t="shared" ref="M905:R905" si="220">M904/M865</f>
        <v>0</v>
      </c>
      <c r="N905" s="47">
        <f t="shared" si="220"/>
        <v>0</v>
      </c>
      <c r="O905" s="47">
        <f t="shared" si="220"/>
        <v>0</v>
      </c>
      <c r="P905" s="47" t="e">
        <f t="shared" si="220"/>
        <v>#VALUE!</v>
      </c>
      <c r="Q905" s="47" t="e">
        <f t="shared" si="220"/>
        <v>#VALUE!</v>
      </c>
      <c r="R905" s="47" t="e">
        <f t="shared" si="220"/>
        <v>#VALUE!</v>
      </c>
      <c r="S905" s="109" t="s">
        <v>2209</v>
      </c>
      <c r="T905" s="47" t="e">
        <f>T904/T865</f>
        <v>#VALUE!</v>
      </c>
      <c r="U905" s="47" t="e">
        <f>U904/U865</f>
        <v>#VALUE!</v>
      </c>
      <c r="V905" s="109" t="s">
        <v>2209</v>
      </c>
      <c r="W905" s="47" t="e">
        <f t="shared" ref="W905:AK905" si="221">W904/W865</f>
        <v>#VALUE!</v>
      </c>
      <c r="X905" s="47" t="e">
        <f t="shared" si="221"/>
        <v>#VALUE!</v>
      </c>
      <c r="Y905" s="47">
        <f t="shared" si="221"/>
        <v>7.3349633251833741E-3</v>
      </c>
      <c r="Z905" s="47" t="e">
        <f t="shared" si="221"/>
        <v>#VALUE!</v>
      </c>
      <c r="AA905" s="47" t="e">
        <f t="shared" si="221"/>
        <v>#VALUE!</v>
      </c>
      <c r="AB905" s="47" t="e">
        <f t="shared" si="221"/>
        <v>#VALUE!</v>
      </c>
      <c r="AC905" s="47" t="e">
        <f t="shared" si="221"/>
        <v>#VALUE!</v>
      </c>
      <c r="AD905" s="47" t="e">
        <f t="shared" si="221"/>
        <v>#VALUE!</v>
      </c>
      <c r="AE905" s="47">
        <f t="shared" si="221"/>
        <v>0.48107918710581637</v>
      </c>
      <c r="AF905" s="47">
        <f t="shared" si="221"/>
        <v>0.60911016949152541</v>
      </c>
      <c r="AG905" s="47">
        <f t="shared" si="221"/>
        <v>0.73621262458471759</v>
      </c>
      <c r="AH905" s="47">
        <f t="shared" si="221"/>
        <v>0.77057274522712316</v>
      </c>
      <c r="AI905" s="47">
        <f t="shared" si="221"/>
        <v>0.80762906938507073</v>
      </c>
      <c r="AJ905" s="47">
        <f t="shared" si="221"/>
        <v>0.75851802844856098</v>
      </c>
      <c r="AK905" s="47">
        <f t="shared" si="221"/>
        <v>0.77297297297297296</v>
      </c>
      <c r="AL905" s="600" t="s">
        <v>432</v>
      </c>
      <c r="AM905" s="47">
        <f>AM904/AM865</f>
        <v>0.82175533717383942</v>
      </c>
      <c r="AN905" s="137" t="s">
        <v>432</v>
      </c>
      <c r="AO905" s="137" t="s">
        <v>432</v>
      </c>
      <c r="AP905" s="137" t="s">
        <v>432</v>
      </c>
      <c r="AQ905" s="137" t="s">
        <v>432</v>
      </c>
      <c r="AR905" s="137" t="s">
        <v>432</v>
      </c>
      <c r="AS905" s="137" t="s">
        <v>432</v>
      </c>
      <c r="AT905" s="137" t="s">
        <v>432</v>
      </c>
      <c r="AU905" s="137" t="s">
        <v>432</v>
      </c>
      <c r="AV905" s="137" t="s">
        <v>432</v>
      </c>
      <c r="AW905" s="137" t="s">
        <v>432</v>
      </c>
      <c r="AX905" s="137" t="s">
        <v>432</v>
      </c>
      <c r="AY905" s="137" t="s">
        <v>432</v>
      </c>
      <c r="AZ905" s="137" t="s">
        <v>432</v>
      </c>
      <c r="BA905" s="137" t="s">
        <v>432</v>
      </c>
      <c r="BB905" s="239" t="str">
        <f t="shared" si="210"/>
        <v>Transporte convencionalacessibilidade</v>
      </c>
      <c r="BC905" s="239" t="str">
        <f t="shared" si="211"/>
        <v>Transporte convencionalacessibilidadex</v>
      </c>
      <c r="BD905" s="239" t="str">
        <f t="shared" si="212"/>
        <v>Transporte convencionalx</v>
      </c>
    </row>
    <row r="906" spans="1:67" s="1" customFormat="1" ht="81" customHeight="1" x14ac:dyDescent="0.25">
      <c r="A906" s="275" t="str">
        <f>'Q100b-totais'!$B$59</f>
        <v>8.7</v>
      </c>
      <c r="B906" s="53" t="str">
        <f>'Q100b-totais'!$C$59</f>
        <v>Transporte de baixa capacidade</v>
      </c>
      <c r="C906" s="229" t="s">
        <v>743</v>
      </c>
      <c r="D906" s="716" t="str">
        <f>'Q100e-FrotaOnibus'!BH8</f>
        <v>F tcs eh</v>
      </c>
      <c r="E906" s="254" t="str">
        <f>'Q100e-FrotaOnibus'!BI8</f>
        <v>Belo Horizonte</v>
      </c>
      <c r="F906" s="252" t="str">
        <f>'Q100e-FrotaOnibus'!BJ8</f>
        <v>frota em n.º de ônibus do transporte coletivo suplementar de Belo Horizonte equipados com  elevador hidráulico (plataforma elevatória veicular) de uso exclusivo ou não para cadeirantes e que não operam em plataforma elevada
obs.: a despeito da não existência de veículos com embarque em nível no transporte suplementar de Belo Horizonte, em 28/03/2016 o gestor do serviço atesta que "Todos os veículos do Transporte Suplementar são acessíveis a pessoas com mobilidade reduzida e possuem capacidade para transportar até 34 passageiros (sentados e em pé)" conforme BHTRANS(2016d)</v>
      </c>
      <c r="G906" s="58" t="str">
        <f>'Q100e-FrotaOnibus'!BK8</f>
        <v>F tcs eh ec + F tcs eh ecp</v>
      </c>
      <c r="H906" s="173" t="s">
        <v>432</v>
      </c>
      <c r="I906" s="167">
        <v>1</v>
      </c>
      <c r="J906" s="109" t="s">
        <v>2467</v>
      </c>
      <c r="K906" s="109" t="s">
        <v>2467</v>
      </c>
      <c r="L906" s="109" t="s">
        <v>2467</v>
      </c>
      <c r="M906" s="107" t="s">
        <v>2055</v>
      </c>
      <c r="N906" s="107" t="s">
        <v>2055</v>
      </c>
      <c r="O906" s="107" t="s">
        <v>2055</v>
      </c>
      <c r="P906" s="107" t="s">
        <v>2055</v>
      </c>
      <c r="Q906" s="107" t="s">
        <v>2055</v>
      </c>
      <c r="R906" s="107" t="s">
        <v>2055</v>
      </c>
      <c r="S906" s="109" t="s">
        <v>2209</v>
      </c>
      <c r="T906" s="107" t="s">
        <v>2055</v>
      </c>
      <c r="U906" s="107" t="s">
        <v>2055</v>
      </c>
      <c r="V906" s="109" t="s">
        <v>2209</v>
      </c>
      <c r="W906" s="111">
        <f t="shared" ref="W906:AK906" si="222">W923+W938</f>
        <v>0</v>
      </c>
      <c r="X906" s="111">
        <f t="shared" si="222"/>
        <v>0</v>
      </c>
      <c r="Y906" s="111">
        <f t="shared" si="222"/>
        <v>0</v>
      </c>
      <c r="Z906" s="111" t="e">
        <f t="shared" si="222"/>
        <v>#VALUE!</v>
      </c>
      <c r="AA906" s="111" t="e">
        <f t="shared" si="222"/>
        <v>#VALUE!</v>
      </c>
      <c r="AB906" s="111" t="e">
        <f t="shared" si="222"/>
        <v>#VALUE!</v>
      </c>
      <c r="AC906" s="111" t="e">
        <f t="shared" si="222"/>
        <v>#VALUE!</v>
      </c>
      <c r="AD906" s="111" t="e">
        <f t="shared" si="222"/>
        <v>#VALUE!</v>
      </c>
      <c r="AE906" s="111" t="e">
        <f t="shared" si="222"/>
        <v>#VALUE!</v>
      </c>
      <c r="AF906" s="111" t="e">
        <f t="shared" si="222"/>
        <v>#VALUE!</v>
      </c>
      <c r="AG906" s="111" t="e">
        <f t="shared" si="222"/>
        <v>#VALUE!</v>
      </c>
      <c r="AH906" s="111" t="e">
        <f t="shared" si="222"/>
        <v>#VALUE!</v>
      </c>
      <c r="AI906" s="111" t="e">
        <f t="shared" si="222"/>
        <v>#VALUE!</v>
      </c>
      <c r="AJ906" s="111">
        <f t="shared" si="222"/>
        <v>270</v>
      </c>
      <c r="AK906" s="111">
        <f t="shared" si="222"/>
        <v>269</v>
      </c>
      <c r="AL906" s="600" t="s">
        <v>432</v>
      </c>
      <c r="AM906" s="137" t="s">
        <v>432</v>
      </c>
      <c r="AN906" s="137" t="s">
        <v>432</v>
      </c>
      <c r="AO906" s="137" t="s">
        <v>432</v>
      </c>
      <c r="AP906" s="137" t="s">
        <v>432</v>
      </c>
      <c r="AQ906" s="137" t="s">
        <v>432</v>
      </c>
      <c r="AR906" s="137" t="s">
        <v>432</v>
      </c>
      <c r="AS906" s="137" t="s">
        <v>432</v>
      </c>
      <c r="AT906" s="137" t="s">
        <v>432</v>
      </c>
      <c r="AU906" s="137" t="s">
        <v>432</v>
      </c>
      <c r="AV906" s="137" t="s">
        <v>432</v>
      </c>
      <c r="AW906" s="137" t="s">
        <v>432</v>
      </c>
      <c r="AX906" s="137" t="s">
        <v>432</v>
      </c>
      <c r="AY906" s="137" t="s">
        <v>432</v>
      </c>
      <c r="AZ906" s="137" t="s">
        <v>432</v>
      </c>
      <c r="BA906" s="137" t="s">
        <v>432</v>
      </c>
      <c r="BB906" s="239" t="str">
        <f t="shared" si="210"/>
        <v>Transporte de baixa capacidadeacessibilidade</v>
      </c>
      <c r="BC906" s="239" t="str">
        <f t="shared" si="211"/>
        <v>Transporte de baixa capacidadeacessibilidadex</v>
      </c>
      <c r="BD906" s="239" t="str">
        <f t="shared" si="212"/>
        <v>Transporte de baixa capacidadex</v>
      </c>
      <c r="BM906" s="19"/>
      <c r="BN906" s="19"/>
      <c r="BO906" s="19"/>
    </row>
    <row r="907" spans="1:67" s="1" customFormat="1" ht="81" customHeight="1" x14ac:dyDescent="0.25">
      <c r="A907" s="275" t="str">
        <f>'Q100b-totais'!B59</f>
        <v>8.7</v>
      </c>
      <c r="B907" s="53" t="str">
        <f>'Q100b-totais'!C59</f>
        <v>Transporte de baixa capacidade</v>
      </c>
      <c r="C907" s="229" t="s">
        <v>743</v>
      </c>
      <c r="D907" s="324" t="str">
        <f>'Q100e-FrotaOnibus'!BH29</f>
        <v>F tcs eh
(%)</v>
      </c>
      <c r="E907" s="254" t="str">
        <f>'Q100e-FrotaOnibus'!BI29</f>
        <v>Belo Horizonte</v>
      </c>
      <c r="F907" s="252" t="str">
        <f>'Q100e-FrotaOnibus'!BJ29</f>
        <v>percentual da frota de ônibus do transporte coletivo suplementar de Belo Horizonte equipados com  elevador hidráulico de uso exclusivo ou não para cadeirantes e que não estão aptos a operar em parte do percurso em plataforma elevada</v>
      </c>
      <c r="G907" s="111" t="str">
        <f>'Q100e-FrotaOnibus'!BK29</f>
        <v>(n.º F tcs eh / n.º F tcs) x 100</v>
      </c>
      <c r="H907" s="221" t="s">
        <v>432</v>
      </c>
      <c r="I907" s="167">
        <v>1</v>
      </c>
      <c r="J907" s="109" t="s">
        <v>2467</v>
      </c>
      <c r="K907" s="109" t="s">
        <v>2467</v>
      </c>
      <c r="L907" s="109" t="s">
        <v>2467</v>
      </c>
      <c r="M907" s="107" t="s">
        <v>2055</v>
      </c>
      <c r="N907" s="107" t="s">
        <v>2055</v>
      </c>
      <c r="O907" s="107" t="s">
        <v>2055</v>
      </c>
      <c r="P907" s="107" t="s">
        <v>2055</v>
      </c>
      <c r="Q907" s="107" t="s">
        <v>2055</v>
      </c>
      <c r="R907" s="107" t="s">
        <v>2055</v>
      </c>
      <c r="S907" s="109" t="s">
        <v>2209</v>
      </c>
      <c r="T907" s="107" t="s">
        <v>2055</v>
      </c>
      <c r="U907" s="107" t="s">
        <v>2055</v>
      </c>
      <c r="V907" s="109" t="s">
        <v>2209</v>
      </c>
      <c r="W907" s="112">
        <f t="shared" ref="W907:AK907" si="223">W906/W867</f>
        <v>0</v>
      </c>
      <c r="X907" s="112">
        <f t="shared" si="223"/>
        <v>0</v>
      </c>
      <c r="Y907" s="112">
        <f t="shared" si="223"/>
        <v>0</v>
      </c>
      <c r="Z907" s="112" t="e">
        <f t="shared" si="223"/>
        <v>#VALUE!</v>
      </c>
      <c r="AA907" s="112" t="e">
        <f t="shared" si="223"/>
        <v>#VALUE!</v>
      </c>
      <c r="AB907" s="112" t="e">
        <f t="shared" si="223"/>
        <v>#VALUE!</v>
      </c>
      <c r="AC907" s="112" t="e">
        <f t="shared" si="223"/>
        <v>#VALUE!</v>
      </c>
      <c r="AD907" s="112" t="e">
        <f t="shared" si="223"/>
        <v>#VALUE!</v>
      </c>
      <c r="AE907" s="112" t="e">
        <f t="shared" si="223"/>
        <v>#VALUE!</v>
      </c>
      <c r="AF907" s="112" t="e">
        <f t="shared" si="223"/>
        <v>#VALUE!</v>
      </c>
      <c r="AG907" s="112" t="e">
        <f t="shared" si="223"/>
        <v>#VALUE!</v>
      </c>
      <c r="AH907" s="112" t="e">
        <f t="shared" si="223"/>
        <v>#VALUE!</v>
      </c>
      <c r="AI907" s="112" t="e">
        <f t="shared" si="223"/>
        <v>#VALUE!</v>
      </c>
      <c r="AJ907" s="112">
        <f t="shared" si="223"/>
        <v>0.97472924187725629</v>
      </c>
      <c r="AK907" s="112">
        <f t="shared" si="223"/>
        <v>0.98175182481751821</v>
      </c>
      <c r="AL907" s="600" t="s">
        <v>432</v>
      </c>
      <c r="AM907" s="137" t="s">
        <v>432</v>
      </c>
      <c r="AN907" s="137" t="s">
        <v>432</v>
      </c>
      <c r="AO907" s="137" t="s">
        <v>432</v>
      </c>
      <c r="AP907" s="137" t="s">
        <v>432</v>
      </c>
      <c r="AQ907" s="137" t="s">
        <v>432</v>
      </c>
      <c r="AR907" s="137" t="s">
        <v>432</v>
      </c>
      <c r="AS907" s="137" t="s">
        <v>432</v>
      </c>
      <c r="AT907" s="137" t="s">
        <v>432</v>
      </c>
      <c r="AU907" s="137" t="s">
        <v>432</v>
      </c>
      <c r="AV907" s="137" t="s">
        <v>432</v>
      </c>
      <c r="AW907" s="137" t="s">
        <v>432</v>
      </c>
      <c r="AX907" s="137" t="s">
        <v>432</v>
      </c>
      <c r="AY907" s="137" t="s">
        <v>432</v>
      </c>
      <c r="AZ907" s="137" t="s">
        <v>432</v>
      </c>
      <c r="BA907" s="137" t="s">
        <v>432</v>
      </c>
      <c r="BB907" s="239" t="str">
        <f t="shared" si="210"/>
        <v>Transporte de baixa capacidadeacessibilidade</v>
      </c>
      <c r="BC907" s="239" t="str">
        <f t="shared" si="211"/>
        <v>Transporte de baixa capacidadeacessibilidadex</v>
      </c>
      <c r="BD907" s="239" t="str">
        <f t="shared" si="212"/>
        <v>Transporte de baixa capacidadex</v>
      </c>
      <c r="BM907" s="812"/>
      <c r="BN907" s="812"/>
      <c r="BO907" s="812"/>
    </row>
    <row r="908" spans="1:67" s="1" customFormat="1" ht="101.25" customHeight="1" x14ac:dyDescent="0.25">
      <c r="A908" s="275" t="str">
        <f>'Q100b-totais'!B62</f>
        <v>8.10</v>
      </c>
      <c r="B908" s="54" t="str">
        <f>'Q100b-totais'!C62</f>
        <v>Sistema de transporte coletivo com um todo</v>
      </c>
      <c r="C908" s="230" t="s">
        <v>743</v>
      </c>
      <c r="D908" s="714" t="str">
        <f>'Q100e-FrotaOnibus'!O8</f>
        <v>F tc eh</v>
      </c>
      <c r="E908" s="1498" t="str">
        <f>'Q100e-FrotaOnibus'!P8</f>
        <v>Contagem</v>
      </c>
      <c r="F908" s="252" t="str">
        <f>'Q100e-FrotaOnibus'!Q8</f>
        <v>frota em n.º de ônibus do transporte coletivo de Contagem equipados com  elevador hidráulico (plataforma elevatória veicular) de uso exclusivo ou não para cadeirantes e que não operam em plataforma elevada</v>
      </c>
      <c r="G908" s="368" t="str">
        <f>'Q100e-FrotaOnibus'!R8</f>
        <v>F tc eh ec + F tc eh ecp</v>
      </c>
      <c r="H908" s="173" t="s">
        <v>1298</v>
      </c>
      <c r="I908" s="167">
        <v>1</v>
      </c>
      <c r="J908" s="109" t="s">
        <v>432</v>
      </c>
      <c r="K908" s="109" t="s">
        <v>432</v>
      </c>
      <c r="L908" s="109" t="s">
        <v>432</v>
      </c>
      <c r="M908" s="109" t="s">
        <v>432</v>
      </c>
      <c r="N908" s="109" t="s">
        <v>432</v>
      </c>
      <c r="O908" s="109" t="s">
        <v>432</v>
      </c>
      <c r="P908" s="109" t="s">
        <v>432</v>
      </c>
      <c r="Q908" s="109" t="s">
        <v>432</v>
      </c>
      <c r="R908" s="109" t="s">
        <v>432</v>
      </c>
      <c r="S908" s="109" t="s">
        <v>2209</v>
      </c>
      <c r="T908" s="109" t="s">
        <v>432</v>
      </c>
      <c r="U908" s="109" t="s">
        <v>432</v>
      </c>
      <c r="V908" s="109" t="s">
        <v>2209</v>
      </c>
      <c r="W908" s="109" t="s">
        <v>432</v>
      </c>
      <c r="X908" s="109" t="s">
        <v>432</v>
      </c>
      <c r="Y908" s="109" t="s">
        <v>432</v>
      </c>
      <c r="Z908" s="109" t="s">
        <v>432</v>
      </c>
      <c r="AA908" s="109" t="s">
        <v>432</v>
      </c>
      <c r="AB908" s="109" t="s">
        <v>432</v>
      </c>
      <c r="AC908" s="109" t="s">
        <v>432</v>
      </c>
      <c r="AD908" s="109" t="s">
        <v>432</v>
      </c>
      <c r="AE908" s="109" t="s">
        <v>432</v>
      </c>
      <c r="AF908" s="109" t="s">
        <v>432</v>
      </c>
      <c r="AG908" s="109" t="s">
        <v>432</v>
      </c>
      <c r="AH908" s="109" t="s">
        <v>432</v>
      </c>
      <c r="AI908" s="109" t="s">
        <v>432</v>
      </c>
      <c r="AJ908" s="23">
        <f>AJ924+AJ939</f>
        <v>302</v>
      </c>
      <c r="AK908" s="109" t="s">
        <v>432</v>
      </c>
      <c r="AL908" s="600" t="s">
        <v>432</v>
      </c>
      <c r="AM908" s="137" t="s">
        <v>432</v>
      </c>
      <c r="AN908" s="137" t="s">
        <v>432</v>
      </c>
      <c r="AO908" s="137" t="s">
        <v>432</v>
      </c>
      <c r="AP908" s="137" t="s">
        <v>432</v>
      </c>
      <c r="AQ908" s="137" t="s">
        <v>432</v>
      </c>
      <c r="AR908" s="137" t="s">
        <v>432</v>
      </c>
      <c r="AS908" s="137" t="s">
        <v>432</v>
      </c>
      <c r="AT908" s="137" t="s">
        <v>432</v>
      </c>
      <c r="AU908" s="137" t="s">
        <v>432</v>
      </c>
      <c r="AV908" s="137" t="s">
        <v>432</v>
      </c>
      <c r="AW908" s="137" t="s">
        <v>432</v>
      </c>
      <c r="AX908" s="137" t="s">
        <v>432</v>
      </c>
      <c r="AY908" s="137" t="s">
        <v>432</v>
      </c>
      <c r="AZ908" s="137" t="s">
        <v>432</v>
      </c>
      <c r="BA908" s="137" t="s">
        <v>432</v>
      </c>
      <c r="BB908" s="239" t="str">
        <f t="shared" si="210"/>
        <v>Sistema de transporte coletivo com um todoacessibilidade</v>
      </c>
      <c r="BC908" s="239" t="str">
        <f t="shared" si="211"/>
        <v>Sistema de transporte coletivo com um todoacessibilidadeRMBH</v>
      </c>
      <c r="BD908" s="239" t="str">
        <f t="shared" si="212"/>
        <v>Sistema de transporte coletivo com um todoRMBH</v>
      </c>
    </row>
    <row r="909" spans="1:67" s="1" customFormat="1" ht="60" customHeight="1" x14ac:dyDescent="0.25">
      <c r="A909" s="275" t="str">
        <f>'Q100b-totais'!B62</f>
        <v>8.10</v>
      </c>
      <c r="B909" s="54" t="str">
        <f>'Q100b-totais'!C62</f>
        <v>Sistema de transporte coletivo com um todo</v>
      </c>
      <c r="C909" s="230" t="s">
        <v>743</v>
      </c>
      <c r="D909" s="324" t="str">
        <f>'Q100e-FrotaOnibus'!O29</f>
        <v>F tc eh
(%)</v>
      </c>
      <c r="E909" s="254" t="str">
        <f>'Q100e-FrotaOnibus'!P29</f>
        <v>Contagem</v>
      </c>
      <c r="F909" s="252" t="str">
        <f>'Q100e-FrotaOnibus'!Q29</f>
        <v>percentual da frota de ônibus do transporte coletivo de Contagem equipados com  elevador hidráulico de uso exclusivo ou não para cadeirantes e que não estão aptos a operar em parte do percurso em plataforma elevada</v>
      </c>
      <c r="G909" s="111" t="str">
        <f>'Q100e-FrotaOnibus'!R29</f>
        <v>(n.º F tc eh / n.º F tc) x 100</v>
      </c>
      <c r="H909" s="221" t="s">
        <v>819</v>
      </c>
      <c r="I909" s="167" t="s">
        <v>432</v>
      </c>
      <c r="J909" s="109" t="s">
        <v>432</v>
      </c>
      <c r="K909" s="109" t="s">
        <v>432</v>
      </c>
      <c r="L909" s="109" t="s">
        <v>432</v>
      </c>
      <c r="M909" s="109" t="s">
        <v>432</v>
      </c>
      <c r="N909" s="109" t="s">
        <v>432</v>
      </c>
      <c r="O909" s="109" t="s">
        <v>432</v>
      </c>
      <c r="P909" s="109" t="s">
        <v>432</v>
      </c>
      <c r="Q909" s="109" t="s">
        <v>432</v>
      </c>
      <c r="R909" s="109" t="s">
        <v>432</v>
      </c>
      <c r="S909" s="109" t="s">
        <v>2209</v>
      </c>
      <c r="T909" s="109" t="s">
        <v>432</v>
      </c>
      <c r="U909" s="109" t="s">
        <v>432</v>
      </c>
      <c r="V909" s="109" t="s">
        <v>2209</v>
      </c>
      <c r="W909" s="109" t="s">
        <v>432</v>
      </c>
      <c r="X909" s="109" t="s">
        <v>432</v>
      </c>
      <c r="Y909" s="109" t="s">
        <v>432</v>
      </c>
      <c r="Z909" s="109" t="s">
        <v>432</v>
      </c>
      <c r="AA909" s="109" t="s">
        <v>432</v>
      </c>
      <c r="AB909" s="109" t="s">
        <v>432</v>
      </c>
      <c r="AC909" s="109" t="s">
        <v>432</v>
      </c>
      <c r="AD909" s="109" t="s">
        <v>432</v>
      </c>
      <c r="AE909" s="109" t="s">
        <v>432</v>
      </c>
      <c r="AF909" s="109" t="s">
        <v>432</v>
      </c>
      <c r="AG909" s="109" t="s">
        <v>432</v>
      </c>
      <c r="AH909" s="109" t="s">
        <v>432</v>
      </c>
      <c r="AI909" s="109" t="s">
        <v>432</v>
      </c>
      <c r="AJ909" s="112">
        <f>AJ908/AJ878</f>
        <v>0.90419161676646709</v>
      </c>
      <c r="AK909" s="109" t="s">
        <v>432</v>
      </c>
      <c r="AL909" s="600" t="s">
        <v>432</v>
      </c>
      <c r="AM909" s="137" t="s">
        <v>432</v>
      </c>
      <c r="AN909" s="137" t="s">
        <v>432</v>
      </c>
      <c r="AO909" s="137" t="s">
        <v>432</v>
      </c>
      <c r="AP909" s="137" t="s">
        <v>432</v>
      </c>
      <c r="AQ909" s="137" t="s">
        <v>432</v>
      </c>
      <c r="AR909" s="137" t="s">
        <v>432</v>
      </c>
      <c r="AS909" s="137" t="s">
        <v>432</v>
      </c>
      <c r="AT909" s="137" t="s">
        <v>432</v>
      </c>
      <c r="AU909" s="137" t="s">
        <v>432</v>
      </c>
      <c r="AV909" s="137" t="s">
        <v>432</v>
      </c>
      <c r="AW909" s="137" t="s">
        <v>432</v>
      </c>
      <c r="AX909" s="137" t="s">
        <v>432</v>
      </c>
      <c r="AY909" s="137" t="s">
        <v>432</v>
      </c>
      <c r="AZ909" s="137" t="s">
        <v>432</v>
      </c>
      <c r="BA909" s="137" t="s">
        <v>432</v>
      </c>
      <c r="BB909" s="239" t="str">
        <f t="shared" si="210"/>
        <v>Sistema de transporte coletivo com um todoacessibilidade</v>
      </c>
      <c r="BC909" s="239" t="str">
        <f t="shared" si="211"/>
        <v>Sistema de transporte coletivo com um todoacessibilidadebenchmarking</v>
      </c>
      <c r="BD909" s="239" t="str">
        <f t="shared" si="212"/>
        <v>Sistema de transporte coletivo com um todobenchmarking</v>
      </c>
    </row>
    <row r="910" spans="1:67" s="1" customFormat="1" ht="59.25" customHeight="1" x14ac:dyDescent="0.25">
      <c r="A910" s="275" t="str">
        <f>'Q100b-totais'!B62</f>
        <v>8.10</v>
      </c>
      <c r="B910" s="54" t="str">
        <f>'Q100b-totais'!C62</f>
        <v>Sistema de transporte coletivo com um todo</v>
      </c>
      <c r="C910" s="230" t="s">
        <v>743</v>
      </c>
      <c r="D910" s="324" t="str">
        <f>'Q100e-FrotaOnibus'!S8</f>
        <v>F tc eh</v>
      </c>
      <c r="E910" s="254" t="str">
        <f>'Q100e-FrotaOnibus'!T8</f>
        <v>Curitiba</v>
      </c>
      <c r="F910" s="252" t="str">
        <f>'Q100e-FrotaOnibus'!U8</f>
        <v>frota em n.º de ônibus do transporte coletivo de Curitiba equipados com  elevador hidráulico (plataforma elevatória veicular) de uso exclusivo ou não para cadeirantes e que não operam em plataforma elevada</v>
      </c>
      <c r="G910" s="368" t="str">
        <f>'Q100e-FrotaOnibus'!V8</f>
        <v>F tc eh ec + F tc eh ecp</v>
      </c>
      <c r="H910" s="57" t="s">
        <v>819</v>
      </c>
      <c r="I910" s="167" t="s">
        <v>432</v>
      </c>
      <c r="J910" s="109" t="s">
        <v>432</v>
      </c>
      <c r="K910" s="109" t="s">
        <v>432</v>
      </c>
      <c r="L910" s="109" t="s">
        <v>432</v>
      </c>
      <c r="M910" s="109" t="s">
        <v>432</v>
      </c>
      <c r="N910" s="109" t="s">
        <v>432</v>
      </c>
      <c r="O910" s="109" t="s">
        <v>432</v>
      </c>
      <c r="P910" s="109" t="s">
        <v>432</v>
      </c>
      <c r="Q910" s="109" t="s">
        <v>432</v>
      </c>
      <c r="R910" s="109" t="s">
        <v>432</v>
      </c>
      <c r="S910" s="109" t="s">
        <v>2209</v>
      </c>
      <c r="T910" s="109" t="s">
        <v>432</v>
      </c>
      <c r="U910" s="109" t="s">
        <v>432</v>
      </c>
      <c r="V910" s="109" t="s">
        <v>2209</v>
      </c>
      <c r="W910" s="109" t="s">
        <v>432</v>
      </c>
      <c r="X910" s="109" t="s">
        <v>432</v>
      </c>
      <c r="Y910" s="109" t="s">
        <v>432</v>
      </c>
      <c r="Z910" s="109" t="s">
        <v>432</v>
      </c>
      <c r="AA910" s="109" t="s">
        <v>432</v>
      </c>
      <c r="AB910" s="109" t="s">
        <v>432</v>
      </c>
      <c r="AC910" s="109" t="s">
        <v>432</v>
      </c>
      <c r="AD910" s="109" t="s">
        <v>432</v>
      </c>
      <c r="AE910" s="109" t="s">
        <v>432</v>
      </c>
      <c r="AF910" s="109" t="s">
        <v>432</v>
      </c>
      <c r="AG910" s="109" t="s">
        <v>432</v>
      </c>
      <c r="AH910" s="109" t="s">
        <v>432</v>
      </c>
      <c r="AI910" s="109" t="s">
        <v>432</v>
      </c>
      <c r="AJ910" s="109" t="s">
        <v>432</v>
      </c>
      <c r="AK910" s="23">
        <f>AK925+AK940</f>
        <v>824</v>
      </c>
      <c r="AL910" s="600" t="s">
        <v>432</v>
      </c>
      <c r="AM910" s="137" t="s">
        <v>432</v>
      </c>
      <c r="AN910" s="137" t="s">
        <v>432</v>
      </c>
      <c r="AO910" s="137" t="s">
        <v>432</v>
      </c>
      <c r="AP910" s="137" t="s">
        <v>432</v>
      </c>
      <c r="AQ910" s="137" t="s">
        <v>432</v>
      </c>
      <c r="AR910" s="137" t="s">
        <v>432</v>
      </c>
      <c r="AS910" s="137" t="s">
        <v>432</v>
      </c>
      <c r="AT910" s="137" t="s">
        <v>432</v>
      </c>
      <c r="AU910" s="137" t="s">
        <v>432</v>
      </c>
      <c r="AV910" s="137" t="s">
        <v>432</v>
      </c>
      <c r="AW910" s="137" t="s">
        <v>432</v>
      </c>
      <c r="AX910" s="137" t="s">
        <v>432</v>
      </c>
      <c r="AY910" s="137" t="s">
        <v>432</v>
      </c>
      <c r="AZ910" s="137" t="s">
        <v>432</v>
      </c>
      <c r="BA910" s="137" t="s">
        <v>432</v>
      </c>
      <c r="BB910" s="239" t="str">
        <f t="shared" si="210"/>
        <v>Sistema de transporte coletivo com um todoacessibilidade</v>
      </c>
      <c r="BC910" s="239" t="str">
        <f t="shared" si="211"/>
        <v>Sistema de transporte coletivo com um todoacessibilidadebenchmarking</v>
      </c>
      <c r="BD910" s="239" t="str">
        <f t="shared" si="212"/>
        <v>Sistema de transporte coletivo com um todobenchmarking</v>
      </c>
    </row>
    <row r="911" spans="1:67" s="1" customFormat="1" ht="59.25" customHeight="1" x14ac:dyDescent="0.25">
      <c r="A911" s="275" t="str">
        <f>'Q100b-totais'!B62</f>
        <v>8.10</v>
      </c>
      <c r="B911" s="54" t="str">
        <f>'Q100b-totais'!C62</f>
        <v>Sistema de transporte coletivo com um todo</v>
      </c>
      <c r="C911" s="230" t="s">
        <v>743</v>
      </c>
      <c r="D911" s="324" t="str">
        <f>'Q100e-FrotaOnibus'!S29</f>
        <v>F tc eh
(%)</v>
      </c>
      <c r="E911" s="254" t="str">
        <f>'Q100e-FrotaOnibus'!T29</f>
        <v>Curitiba</v>
      </c>
      <c r="F911" s="252" t="str">
        <f>'Q100e-FrotaOnibus'!U29</f>
        <v>percentual da frota de ônibus do transporte coletivo de Curitiba de equipados com  elevador hidráulico de uso exclusivo ou não para cadeirantes e que não estão aptos a operar em parte do percurso em plataforma elevada</v>
      </c>
      <c r="G911" s="111" t="str">
        <f>'Q100e-FrotaOnibus'!V29</f>
        <v>(n.º F tc eh / n.º F tc) x 100</v>
      </c>
      <c r="H911" s="57" t="s">
        <v>819</v>
      </c>
      <c r="I911" s="167" t="s">
        <v>432</v>
      </c>
      <c r="J911" s="109" t="s">
        <v>432</v>
      </c>
      <c r="K911" s="109" t="s">
        <v>432</v>
      </c>
      <c r="L911" s="109" t="s">
        <v>432</v>
      </c>
      <c r="M911" s="109" t="s">
        <v>432</v>
      </c>
      <c r="N911" s="109" t="s">
        <v>432</v>
      </c>
      <c r="O911" s="109" t="s">
        <v>432</v>
      </c>
      <c r="P911" s="109" t="s">
        <v>432</v>
      </c>
      <c r="Q911" s="109" t="s">
        <v>432</v>
      </c>
      <c r="R911" s="109" t="s">
        <v>432</v>
      </c>
      <c r="S911" s="109" t="s">
        <v>2209</v>
      </c>
      <c r="T911" s="109" t="s">
        <v>432</v>
      </c>
      <c r="U911" s="109" t="s">
        <v>432</v>
      </c>
      <c r="V911" s="109" t="s">
        <v>2209</v>
      </c>
      <c r="W911" s="109" t="s">
        <v>432</v>
      </c>
      <c r="X911" s="109" t="s">
        <v>432</v>
      </c>
      <c r="Y911" s="109" t="s">
        <v>432</v>
      </c>
      <c r="Z911" s="109" t="s">
        <v>432</v>
      </c>
      <c r="AA911" s="109" t="s">
        <v>432</v>
      </c>
      <c r="AB911" s="109" t="s">
        <v>432</v>
      </c>
      <c r="AC911" s="109" t="s">
        <v>432</v>
      </c>
      <c r="AD911" s="109" t="s">
        <v>432</v>
      </c>
      <c r="AE911" s="109" t="s">
        <v>432</v>
      </c>
      <c r="AF911" s="109" t="s">
        <v>432</v>
      </c>
      <c r="AG911" s="109" t="s">
        <v>432</v>
      </c>
      <c r="AH911" s="109" t="s">
        <v>432</v>
      </c>
      <c r="AI911" s="109" t="s">
        <v>432</v>
      </c>
      <c r="AJ911" s="109" t="s">
        <v>432</v>
      </c>
      <c r="AK911" s="47">
        <f>AK910/AK879</f>
        <v>0.60233918128654973</v>
      </c>
      <c r="AL911" s="600" t="s">
        <v>432</v>
      </c>
      <c r="AM911" s="137" t="s">
        <v>432</v>
      </c>
      <c r="AN911" s="137" t="s">
        <v>432</v>
      </c>
      <c r="AO911" s="137" t="s">
        <v>432</v>
      </c>
      <c r="AP911" s="137" t="s">
        <v>432</v>
      </c>
      <c r="AQ911" s="137" t="s">
        <v>432</v>
      </c>
      <c r="AR911" s="137" t="s">
        <v>432</v>
      </c>
      <c r="AS911" s="137" t="s">
        <v>432</v>
      </c>
      <c r="AT911" s="137" t="s">
        <v>432</v>
      </c>
      <c r="AU911" s="137" t="s">
        <v>432</v>
      </c>
      <c r="AV911" s="137" t="s">
        <v>432</v>
      </c>
      <c r="AW911" s="137" t="s">
        <v>432</v>
      </c>
      <c r="AX911" s="137" t="s">
        <v>432</v>
      </c>
      <c r="AY911" s="137" t="s">
        <v>432</v>
      </c>
      <c r="AZ911" s="137" t="s">
        <v>432</v>
      </c>
      <c r="BA911" s="137" t="s">
        <v>432</v>
      </c>
      <c r="BB911" s="239" t="str">
        <f t="shared" si="210"/>
        <v>Sistema de transporte coletivo com um todoacessibilidade</v>
      </c>
      <c r="BC911" s="239" t="str">
        <f t="shared" si="211"/>
        <v>Sistema de transporte coletivo com um todoacessibilidadebenchmarking</v>
      </c>
      <c r="BD911" s="239" t="str">
        <f t="shared" si="212"/>
        <v>Sistema de transporte coletivo com um todobenchmarking</v>
      </c>
    </row>
    <row r="912" spans="1:67" s="201" customFormat="1" ht="72" customHeight="1" x14ac:dyDescent="0.25">
      <c r="A912" s="275" t="str">
        <f>'Q100b-totais'!B62</f>
        <v>8.10</v>
      </c>
      <c r="B912" s="54" t="str">
        <f>'Q100b-totais'!C62</f>
        <v>Sistema de transporte coletivo com um todo</v>
      </c>
      <c r="C912" s="230" t="s">
        <v>743</v>
      </c>
      <c r="D912" s="714" t="str">
        <f>'Q100e-FrotaOnibus'!W8</f>
        <v>F tc eh</v>
      </c>
      <c r="E912" s="1498" t="str">
        <f>'Q100e-FrotaOnibus'!X8</f>
        <v>Joinville</v>
      </c>
      <c r="F912" s="252" t="str">
        <f>'Q100e-FrotaOnibus'!Y8</f>
        <v>frota em n.º de ônibus do transporte coletivo de Joinville equipados com  elevador hidráulico (plataforma elevatória veicular) de uso exclusivo ou não para cadeirantes e que não operam em plataforma elevada
obs.1: em Joinvile este resultado é idêntico a "F tc eh ec" pois o elevador hidráulico existente nos veículos é "utilizado apenas na presença de uma pessoa em cadeira de rodas" conforme JOINVILLE(2016a)</v>
      </c>
      <c r="G912" s="111" t="str">
        <f>'Q100e-FrotaOnibus'!Z8</f>
        <v>F tc eh ec + F tcs eh ecp</v>
      </c>
      <c r="H912" s="57" t="s">
        <v>819</v>
      </c>
      <c r="I912" s="167" t="s">
        <v>432</v>
      </c>
      <c r="J912" s="109" t="s">
        <v>432</v>
      </c>
      <c r="K912" s="109" t="s">
        <v>432</v>
      </c>
      <c r="L912" s="109" t="s">
        <v>432</v>
      </c>
      <c r="M912" s="109" t="s">
        <v>432</v>
      </c>
      <c r="N912" s="109" t="s">
        <v>432</v>
      </c>
      <c r="O912" s="109" t="s">
        <v>432</v>
      </c>
      <c r="P912" s="109" t="s">
        <v>432</v>
      </c>
      <c r="Q912" s="109" t="s">
        <v>432</v>
      </c>
      <c r="R912" s="109" t="s">
        <v>432</v>
      </c>
      <c r="S912" s="109" t="s">
        <v>2209</v>
      </c>
      <c r="T912" s="109" t="s">
        <v>432</v>
      </c>
      <c r="U912" s="109" t="s">
        <v>432</v>
      </c>
      <c r="V912" s="109" t="s">
        <v>2209</v>
      </c>
      <c r="W912" s="109" t="s">
        <v>432</v>
      </c>
      <c r="X912" s="109" t="s">
        <v>432</v>
      </c>
      <c r="Y912" s="109" t="s">
        <v>432</v>
      </c>
      <c r="Z912" s="109" t="s">
        <v>432</v>
      </c>
      <c r="AA912" s="109" t="s">
        <v>432</v>
      </c>
      <c r="AB912" s="109" t="s">
        <v>432</v>
      </c>
      <c r="AC912" s="109" t="s">
        <v>432</v>
      </c>
      <c r="AD912" s="109" t="s">
        <v>432</v>
      </c>
      <c r="AE912" s="109" t="s">
        <v>432</v>
      </c>
      <c r="AF912" s="109" t="s">
        <v>432</v>
      </c>
      <c r="AG912" s="109" t="s">
        <v>432</v>
      </c>
      <c r="AH912" s="539" t="str">
        <f>AH926</f>
        <v>não encontrado</v>
      </c>
      <c r="AI912" s="539" t="str">
        <f>AI926</f>
        <v>não encontrado</v>
      </c>
      <c r="AJ912" s="356">
        <f>AJ926</f>
        <v>241</v>
      </c>
      <c r="AK912" s="539" t="str">
        <f>AK926</f>
        <v>não encontrado</v>
      </c>
      <c r="AL912" s="600" t="s">
        <v>432</v>
      </c>
      <c r="AM912" s="137" t="s">
        <v>432</v>
      </c>
      <c r="AN912" s="137" t="s">
        <v>432</v>
      </c>
      <c r="AO912" s="137" t="s">
        <v>432</v>
      </c>
      <c r="AP912" s="137" t="s">
        <v>432</v>
      </c>
      <c r="AQ912" s="137" t="s">
        <v>432</v>
      </c>
      <c r="AR912" s="137" t="s">
        <v>432</v>
      </c>
      <c r="AS912" s="137" t="s">
        <v>432</v>
      </c>
      <c r="AT912" s="137" t="s">
        <v>432</v>
      </c>
      <c r="AU912" s="137" t="s">
        <v>432</v>
      </c>
      <c r="AV912" s="137" t="s">
        <v>432</v>
      </c>
      <c r="AW912" s="137" t="s">
        <v>432</v>
      </c>
      <c r="AX912" s="137" t="s">
        <v>432</v>
      </c>
      <c r="AY912" s="137" t="s">
        <v>432</v>
      </c>
      <c r="AZ912" s="137" t="s">
        <v>432</v>
      </c>
      <c r="BA912" s="137" t="s">
        <v>432</v>
      </c>
      <c r="BB912" s="239" t="str">
        <f t="shared" si="210"/>
        <v>Sistema de transporte coletivo com um todoacessibilidade</v>
      </c>
      <c r="BC912" s="239" t="str">
        <f t="shared" si="211"/>
        <v>Sistema de transporte coletivo com um todoacessibilidadebenchmarking</v>
      </c>
      <c r="BD912" s="239" t="str">
        <f t="shared" si="212"/>
        <v>Sistema de transporte coletivo com um todobenchmarking</v>
      </c>
    </row>
    <row r="913" spans="1:67" s="201" customFormat="1" ht="72" customHeight="1" x14ac:dyDescent="0.25">
      <c r="A913" s="275" t="str">
        <f>'Q100b-totais'!B62</f>
        <v>8.10</v>
      </c>
      <c r="B913" s="54" t="str">
        <f>'Q100b-totais'!C62</f>
        <v>Sistema de transporte coletivo com um todo</v>
      </c>
      <c r="C913" s="230" t="s">
        <v>743</v>
      </c>
      <c r="D913" s="324" t="str">
        <f>'Q100e-FrotaOnibus'!W29</f>
        <v>F tc eh
(%)</v>
      </c>
      <c r="E913" s="254" t="str">
        <f>'Q100e-FrotaOnibus'!X29</f>
        <v>Joinville</v>
      </c>
      <c r="F913" s="252" t="str">
        <f>'Q100e-FrotaOnibus'!Y29</f>
        <v>percentual da frota de ônibus do transporte coletivo de Joinville equipados com  elevador hidráulico de uso exclusivo ou não para cadeirantes e que não estão aptos a operar em parte do percurso em plataforma elevada</v>
      </c>
      <c r="G913" s="111" t="str">
        <f>'Q100e-FrotaOnibus'!Z29</f>
        <v>(n.º F tc eh / n.º F tc) x 100</v>
      </c>
      <c r="H913" s="57" t="s">
        <v>819</v>
      </c>
      <c r="I913" s="167" t="s">
        <v>432</v>
      </c>
      <c r="J913" s="109" t="s">
        <v>432</v>
      </c>
      <c r="K913" s="109" t="s">
        <v>432</v>
      </c>
      <c r="L913" s="109" t="s">
        <v>432</v>
      </c>
      <c r="M913" s="109" t="s">
        <v>432</v>
      </c>
      <c r="N913" s="109" t="s">
        <v>432</v>
      </c>
      <c r="O913" s="109" t="s">
        <v>432</v>
      </c>
      <c r="P913" s="109" t="s">
        <v>432</v>
      </c>
      <c r="Q913" s="109" t="s">
        <v>432</v>
      </c>
      <c r="R913" s="109" t="s">
        <v>432</v>
      </c>
      <c r="S913" s="109" t="s">
        <v>2209</v>
      </c>
      <c r="T913" s="109" t="s">
        <v>432</v>
      </c>
      <c r="U913" s="109" t="s">
        <v>432</v>
      </c>
      <c r="V913" s="109" t="s">
        <v>2209</v>
      </c>
      <c r="W913" s="109" t="s">
        <v>432</v>
      </c>
      <c r="X913" s="109" t="s">
        <v>432</v>
      </c>
      <c r="Y913" s="109" t="s">
        <v>432</v>
      </c>
      <c r="Z913" s="109" t="s">
        <v>432</v>
      </c>
      <c r="AA913" s="109" t="s">
        <v>432</v>
      </c>
      <c r="AB913" s="109" t="s">
        <v>432</v>
      </c>
      <c r="AC913" s="109" t="s">
        <v>432</v>
      </c>
      <c r="AD913" s="109" t="s">
        <v>432</v>
      </c>
      <c r="AE913" s="109" t="s">
        <v>432</v>
      </c>
      <c r="AF913" s="109" t="s">
        <v>432</v>
      </c>
      <c r="AG913" s="109" t="s">
        <v>432</v>
      </c>
      <c r="AH913" s="112" t="e">
        <f>AH912/AH880</f>
        <v>#VALUE!</v>
      </c>
      <c r="AI913" s="112" t="e">
        <f>AI912/AI880</f>
        <v>#VALUE!</v>
      </c>
      <c r="AJ913" s="112">
        <f>AJ912/AJ880</f>
        <v>0.66208791208791207</v>
      </c>
      <c r="AK913" s="112" t="e">
        <f>AK912/AK880</f>
        <v>#VALUE!</v>
      </c>
      <c r="AL913" s="600" t="s">
        <v>432</v>
      </c>
      <c r="AM913" s="137" t="s">
        <v>432</v>
      </c>
      <c r="AN913" s="137" t="s">
        <v>432</v>
      </c>
      <c r="AO913" s="137" t="s">
        <v>432</v>
      </c>
      <c r="AP913" s="137" t="s">
        <v>432</v>
      </c>
      <c r="AQ913" s="137" t="s">
        <v>432</v>
      </c>
      <c r="AR913" s="137" t="s">
        <v>432</v>
      </c>
      <c r="AS913" s="137" t="s">
        <v>432</v>
      </c>
      <c r="AT913" s="137" t="s">
        <v>432</v>
      </c>
      <c r="AU913" s="137" t="s">
        <v>432</v>
      </c>
      <c r="AV913" s="137" t="s">
        <v>432</v>
      </c>
      <c r="AW913" s="137" t="s">
        <v>432</v>
      </c>
      <c r="AX913" s="137" t="s">
        <v>432</v>
      </c>
      <c r="AY913" s="137" t="s">
        <v>432</v>
      </c>
      <c r="AZ913" s="137" t="s">
        <v>432</v>
      </c>
      <c r="BA913" s="137" t="s">
        <v>432</v>
      </c>
      <c r="BB913" s="239" t="str">
        <f t="shared" si="210"/>
        <v>Sistema de transporte coletivo com um todoacessibilidade</v>
      </c>
      <c r="BC913" s="239" t="str">
        <f t="shared" si="211"/>
        <v>Sistema de transporte coletivo com um todoacessibilidadebenchmarking</v>
      </c>
      <c r="BD913" s="239" t="str">
        <f t="shared" si="212"/>
        <v>Sistema de transporte coletivo com um todobenchmarking</v>
      </c>
    </row>
    <row r="914" spans="1:67" s="201" customFormat="1" ht="72" customHeight="1" x14ac:dyDescent="0.25">
      <c r="A914" s="275" t="str">
        <f>'Q100b-totais'!B62</f>
        <v>8.10</v>
      </c>
      <c r="B914" s="54" t="str">
        <f>'Q100b-totais'!C62</f>
        <v>Sistema de transporte coletivo com um todo</v>
      </c>
      <c r="C914" s="230" t="s">
        <v>743</v>
      </c>
      <c r="D914" s="325" t="str">
        <f>'Q100e-FrotaOnibus'!AE8</f>
        <v>F tc eh</v>
      </c>
      <c r="E914" s="1445" t="str">
        <f>'Q100e-FrotaOnibus'!AF8</f>
        <v>RMBH metropolitano</v>
      </c>
      <c r="F914" s="252" t="str">
        <f>'Q100e-FrotaOnibus'!AG8</f>
        <v>frota em n.º de ônibus do transporte coletivo na RMBH do serviço gerenciado pela Setop-MG equipados com  elevador hidráulico (plataforma elevatória veicular) de uso exclusivo ou não para cadeirantes e que não operam em plataforma elevada
obs.1: pelo menos até 2015 no transporet coletivo RMBH metropolitano este resultado é idêntico a "F tc eh ec" pois "O uso do elevador é exclusivo para cadeirantes" conforme MG(2016a)</v>
      </c>
      <c r="G914" s="111" t="str">
        <f>'Q100e-FrotaOnibus'!AH8</f>
        <v>F tc eh ec + F tcs eh ecp</v>
      </c>
      <c r="H914" s="173" t="s">
        <v>1298</v>
      </c>
      <c r="I914" s="167">
        <v>1</v>
      </c>
      <c r="J914" s="109" t="s">
        <v>2082</v>
      </c>
      <c r="K914" s="109" t="s">
        <v>2082</v>
      </c>
      <c r="L914" s="109" t="s">
        <v>2082</v>
      </c>
      <c r="M914" s="109" t="s">
        <v>2082</v>
      </c>
      <c r="N914" s="109" t="s">
        <v>2082</v>
      </c>
      <c r="O914" s="109" t="s">
        <v>2082</v>
      </c>
      <c r="P914" s="109" t="s">
        <v>2082</v>
      </c>
      <c r="Q914" s="109" t="s">
        <v>2082</v>
      </c>
      <c r="R914" s="109" t="s">
        <v>2082</v>
      </c>
      <c r="S914" s="109" t="s">
        <v>2209</v>
      </c>
      <c r="T914" s="109" t="s">
        <v>2082</v>
      </c>
      <c r="U914" s="109" t="s">
        <v>2082</v>
      </c>
      <c r="V914" s="109" t="s">
        <v>2209</v>
      </c>
      <c r="W914" s="109" t="s">
        <v>2082</v>
      </c>
      <c r="X914" s="109" t="s">
        <v>2082</v>
      </c>
      <c r="Y914" s="109" t="s">
        <v>2082</v>
      </c>
      <c r="Z914" s="109" t="s">
        <v>2082</v>
      </c>
      <c r="AA914" s="109" t="s">
        <v>2082</v>
      </c>
      <c r="AB914" s="109" t="s">
        <v>2082</v>
      </c>
      <c r="AC914" s="109" t="s">
        <v>2082</v>
      </c>
      <c r="AD914" s="109" t="s">
        <v>2082</v>
      </c>
      <c r="AE914" s="109" t="s">
        <v>2082</v>
      </c>
      <c r="AF914" s="109" t="s">
        <v>2082</v>
      </c>
      <c r="AG914" s="109" t="s">
        <v>2082</v>
      </c>
      <c r="AH914" s="109" t="s">
        <v>2082</v>
      </c>
      <c r="AI914" s="109" t="s">
        <v>2082</v>
      </c>
      <c r="AJ914" s="109" t="s">
        <v>2082</v>
      </c>
      <c r="AK914" s="356">
        <f>AK928+AK942</f>
        <v>1983</v>
      </c>
      <c r="AL914" s="600" t="s">
        <v>432</v>
      </c>
      <c r="AM914" s="137" t="s">
        <v>432</v>
      </c>
      <c r="AN914" s="137" t="s">
        <v>432</v>
      </c>
      <c r="AO914" s="137" t="s">
        <v>432</v>
      </c>
      <c r="AP914" s="137" t="s">
        <v>432</v>
      </c>
      <c r="AQ914" s="137" t="s">
        <v>432</v>
      </c>
      <c r="AR914" s="137" t="s">
        <v>432</v>
      </c>
      <c r="AS914" s="137" t="s">
        <v>432</v>
      </c>
      <c r="AT914" s="137" t="s">
        <v>432</v>
      </c>
      <c r="AU914" s="137" t="s">
        <v>432</v>
      </c>
      <c r="AV914" s="137" t="s">
        <v>432</v>
      </c>
      <c r="AW914" s="137" t="s">
        <v>432</v>
      </c>
      <c r="AX914" s="137" t="s">
        <v>432</v>
      </c>
      <c r="AY914" s="137" t="s">
        <v>432</v>
      </c>
      <c r="AZ914" s="137" t="s">
        <v>432</v>
      </c>
      <c r="BA914" s="137" t="s">
        <v>432</v>
      </c>
      <c r="BB914" s="239" t="str">
        <f t="shared" si="210"/>
        <v>Sistema de transporte coletivo com um todoacessibilidade</v>
      </c>
      <c r="BC914" s="239" t="str">
        <f t="shared" si="211"/>
        <v>Sistema de transporte coletivo com um todoacessibilidadeRMBH</v>
      </c>
      <c r="BD914" s="239" t="str">
        <f t="shared" si="212"/>
        <v>Sistema de transporte coletivo com um todoRMBH</v>
      </c>
    </row>
    <row r="915" spans="1:67" s="201" customFormat="1" ht="57" customHeight="1" x14ac:dyDescent="0.25">
      <c r="A915" s="275" t="str">
        <f>'Q100b-totais'!B62</f>
        <v>8.10</v>
      </c>
      <c r="B915" s="54" t="str">
        <f>'Q100b-totais'!C62</f>
        <v>Sistema de transporte coletivo com um todo</v>
      </c>
      <c r="C915" s="230" t="s">
        <v>743</v>
      </c>
      <c r="D915" s="324" t="str">
        <f>'Q100e-FrotaOnibus'!AE29</f>
        <v>F tc eh
(%)</v>
      </c>
      <c r="E915" s="254" t="str">
        <f>'Q100e-FrotaOnibus'!AF29</f>
        <v>RMBH metropolitano</v>
      </c>
      <c r="F915" s="252" t="str">
        <f>'Q100e-FrotaOnibus'!AG29</f>
        <v>percentual da frota de ônibus do transporte coletivo na RMBH do serviço gerenciado pela Setop-MG  equipados com  elevador hidráulico de uso exclusivo ou não para cadeirantes e que não estão aptos a operar em parte do percurso em plataforma elevada</v>
      </c>
      <c r="G915" s="111" t="str">
        <f>'Q100e-FrotaOnibus'!AH29</f>
        <v>(n.º F tc eh / n.º F tc) x 100</v>
      </c>
      <c r="H915" s="173" t="s">
        <v>1298</v>
      </c>
      <c r="I915" s="167">
        <v>1</v>
      </c>
      <c r="J915" s="109" t="s">
        <v>2082</v>
      </c>
      <c r="K915" s="109" t="s">
        <v>2082</v>
      </c>
      <c r="L915" s="109" t="s">
        <v>2082</v>
      </c>
      <c r="M915" s="109" t="s">
        <v>2082</v>
      </c>
      <c r="N915" s="109" t="s">
        <v>2082</v>
      </c>
      <c r="O915" s="109" t="s">
        <v>2082</v>
      </c>
      <c r="P915" s="109" t="s">
        <v>2082</v>
      </c>
      <c r="Q915" s="109" t="s">
        <v>2082</v>
      </c>
      <c r="R915" s="109" t="s">
        <v>2082</v>
      </c>
      <c r="S915" s="109" t="s">
        <v>2209</v>
      </c>
      <c r="T915" s="109" t="s">
        <v>2082</v>
      </c>
      <c r="U915" s="109" t="s">
        <v>2082</v>
      </c>
      <c r="V915" s="109" t="s">
        <v>2209</v>
      </c>
      <c r="W915" s="109" t="s">
        <v>2082</v>
      </c>
      <c r="X915" s="109" t="s">
        <v>2082</v>
      </c>
      <c r="Y915" s="109" t="s">
        <v>2082</v>
      </c>
      <c r="Z915" s="109" t="s">
        <v>2082</v>
      </c>
      <c r="AA915" s="109" t="s">
        <v>2082</v>
      </c>
      <c r="AB915" s="109" t="s">
        <v>2082</v>
      </c>
      <c r="AC915" s="109" t="s">
        <v>2082</v>
      </c>
      <c r="AD915" s="109" t="s">
        <v>2082</v>
      </c>
      <c r="AE915" s="109" t="s">
        <v>2082</v>
      </c>
      <c r="AF915" s="109" t="s">
        <v>2082</v>
      </c>
      <c r="AG915" s="109" t="s">
        <v>2082</v>
      </c>
      <c r="AH915" s="109" t="s">
        <v>2082</v>
      </c>
      <c r="AI915" s="109" t="s">
        <v>2082</v>
      </c>
      <c r="AJ915" s="109" t="s">
        <v>2082</v>
      </c>
      <c r="AK915" s="112">
        <f>AK914/AK882</f>
        <v>0.67934224049331959</v>
      </c>
      <c r="AL915" s="600" t="s">
        <v>432</v>
      </c>
      <c r="AM915" s="137" t="s">
        <v>432</v>
      </c>
      <c r="AN915" s="137" t="s">
        <v>432</v>
      </c>
      <c r="AO915" s="137" t="s">
        <v>432</v>
      </c>
      <c r="AP915" s="137" t="s">
        <v>432</v>
      </c>
      <c r="AQ915" s="137" t="s">
        <v>432</v>
      </c>
      <c r="AR915" s="137" t="s">
        <v>432</v>
      </c>
      <c r="AS915" s="137" t="s">
        <v>432</v>
      </c>
      <c r="AT915" s="137" t="s">
        <v>432</v>
      </c>
      <c r="AU915" s="137" t="s">
        <v>432</v>
      </c>
      <c r="AV915" s="137" t="s">
        <v>432</v>
      </c>
      <c r="AW915" s="137" t="s">
        <v>432</v>
      </c>
      <c r="AX915" s="137" t="s">
        <v>432</v>
      </c>
      <c r="AY915" s="137" t="s">
        <v>432</v>
      </c>
      <c r="AZ915" s="137" t="s">
        <v>432</v>
      </c>
      <c r="BA915" s="137" t="s">
        <v>432</v>
      </c>
      <c r="BB915" s="239" t="str">
        <f t="shared" si="210"/>
        <v>Sistema de transporte coletivo com um todoacessibilidade</v>
      </c>
      <c r="BC915" s="239" t="str">
        <f t="shared" si="211"/>
        <v>Sistema de transporte coletivo com um todoacessibilidadeRMBH</v>
      </c>
      <c r="BD915" s="239" t="str">
        <f t="shared" si="212"/>
        <v>Sistema de transporte coletivo com um todoRMBH</v>
      </c>
    </row>
    <row r="916" spans="1:67" ht="114.75" x14ac:dyDescent="0.25">
      <c r="A916" s="275" t="str">
        <f>'Q100b-totais'!B62</f>
        <v>8.10</v>
      </c>
      <c r="B916" s="54" t="str">
        <f>'Q100b-totais'!C62</f>
        <v>Sistema de transporte coletivo com um todo</v>
      </c>
      <c r="C916" s="230" t="s">
        <v>743</v>
      </c>
      <c r="D916" s="324" t="str">
        <f>'Q100e-FrotaOnibus'!AQ8</f>
        <v>F tc eh</v>
      </c>
      <c r="E916" s="254" t="str">
        <f>'Q100e-FrotaOnibus'!AR8</f>
        <v>São Paulo</v>
      </c>
      <c r="F916" s="252" t="str">
        <f>'Q100e-FrotaOnibus'!AS8</f>
        <v>frota em n.º de ônibus do transporte coletivo (estrutural e local) de São Paulo gerenciado pela SPTrans equipados com  elevador hidráulico (plataforma elevatória veicular) de uso exclusivo ou não para cadeirantes e que não estão aptos a operar em parte do percurso em plataforma elevada
obs.: "Ao contrário do que estabelece a norma, que considera uma exceção, os operadores, na prática, estão comprando majoritariamente, quando não exclusivamente, veículos com piso alto equipados com elevador. Esse fato pode ser observado em várias capitais brasileiras. [...] São Paulo é a única capital que pode ser considerada uma exceção nesse perfil de renovação de frota, visto que, antes mesmo de começarem a valer as exigências federais, o estado já dispunha de uma legislação municipal rígida e uma política de renovação da frota do sistema estrutural por veículos de piso baixo, inclusive com estímulo remuneratório para as empresas que adquirissem estes veículos." conforme IPEA(2010, p.421)</v>
      </c>
      <c r="G916" s="111" t="str">
        <f>'Q100e-FrotaOnibus'!AT8</f>
        <v>F tce eh + F tcl eh</v>
      </c>
      <c r="H916" s="57" t="s">
        <v>819</v>
      </c>
      <c r="I916" s="167" t="s">
        <v>432</v>
      </c>
      <c r="J916" s="109" t="s">
        <v>2082</v>
      </c>
      <c r="K916" s="109" t="s">
        <v>2082</v>
      </c>
      <c r="L916" s="109" t="s">
        <v>2082</v>
      </c>
      <c r="M916" s="109" t="s">
        <v>2082</v>
      </c>
      <c r="N916" s="109" t="s">
        <v>2082</v>
      </c>
      <c r="O916" s="109" t="s">
        <v>2082</v>
      </c>
      <c r="P916" s="109" t="s">
        <v>2082</v>
      </c>
      <c r="Q916" s="109" t="s">
        <v>2082</v>
      </c>
      <c r="R916" s="109" t="s">
        <v>2082</v>
      </c>
      <c r="S916" s="109" t="s">
        <v>2209</v>
      </c>
      <c r="T916" s="109" t="s">
        <v>2082</v>
      </c>
      <c r="U916" s="109" t="s">
        <v>2082</v>
      </c>
      <c r="V916" s="109" t="s">
        <v>2209</v>
      </c>
      <c r="W916" s="109" t="s">
        <v>2082</v>
      </c>
      <c r="X916" s="109" t="s">
        <v>2082</v>
      </c>
      <c r="Y916" s="109" t="s">
        <v>2082</v>
      </c>
      <c r="Z916" s="109" t="s">
        <v>2082</v>
      </c>
      <c r="AA916" s="109" t="s">
        <v>2082</v>
      </c>
      <c r="AB916" s="109" t="s">
        <v>2082</v>
      </c>
      <c r="AC916" s="109" t="s">
        <v>2082</v>
      </c>
      <c r="AD916" s="109" t="s">
        <v>2082</v>
      </c>
      <c r="AE916" s="109" t="s">
        <v>2082</v>
      </c>
      <c r="AF916" s="109" t="s">
        <v>2082</v>
      </c>
      <c r="AG916" s="109" t="s">
        <v>2082</v>
      </c>
      <c r="AH916" s="109" t="s">
        <v>2082</v>
      </c>
      <c r="AI916" s="109" t="s">
        <v>2082</v>
      </c>
      <c r="AJ916" s="109" t="s">
        <v>2082</v>
      </c>
      <c r="AK916" s="1209">
        <f>AK917+AK918</f>
        <v>7366</v>
      </c>
      <c r="AL916" s="1208" t="s">
        <v>432</v>
      </c>
      <c r="AM916" s="137" t="s">
        <v>432</v>
      </c>
      <c r="AN916" s="137" t="s">
        <v>432</v>
      </c>
      <c r="AO916" s="137" t="s">
        <v>432</v>
      </c>
      <c r="AP916" s="137" t="s">
        <v>432</v>
      </c>
      <c r="AQ916" s="137" t="s">
        <v>432</v>
      </c>
      <c r="AR916" s="137" t="s">
        <v>432</v>
      </c>
      <c r="AS916" s="137" t="s">
        <v>432</v>
      </c>
      <c r="AT916" s="137" t="s">
        <v>432</v>
      </c>
      <c r="AU916" s="137" t="s">
        <v>432</v>
      </c>
      <c r="AV916" s="137" t="s">
        <v>432</v>
      </c>
      <c r="AW916" s="137" t="s">
        <v>432</v>
      </c>
      <c r="AX916" s="137" t="s">
        <v>432</v>
      </c>
      <c r="AY916" s="137" t="s">
        <v>432</v>
      </c>
      <c r="AZ916" s="137" t="s">
        <v>432</v>
      </c>
      <c r="BA916" s="137" t="s">
        <v>432</v>
      </c>
      <c r="BB916" s="239" t="str">
        <f t="shared" si="210"/>
        <v>Sistema de transporte coletivo com um todoacessibilidade</v>
      </c>
      <c r="BC916" s="239" t="str">
        <f t="shared" si="211"/>
        <v>Sistema de transporte coletivo com um todoacessibilidadebenchmarking</v>
      </c>
      <c r="BD916" s="239" t="str">
        <f t="shared" si="212"/>
        <v>Sistema de transporte coletivo com um todobenchmarking</v>
      </c>
    </row>
    <row r="917" spans="1:67" ht="51" x14ac:dyDescent="0.25">
      <c r="A917" s="275" t="str">
        <f>'Q100b-totais'!B62</f>
        <v>8.10</v>
      </c>
      <c r="B917" s="54" t="str">
        <f>'Q100b-totais'!C62</f>
        <v>Sistema de transporte coletivo com um todo</v>
      </c>
      <c r="C917" s="230" t="s">
        <v>743</v>
      </c>
      <c r="D917" s="324" t="str">
        <f>'Q100e-FrotaOnibus'!AI8</f>
        <v>F tce eh</v>
      </c>
      <c r="E917" s="254" t="str">
        <f>'Q100e-FrotaOnibus'!AJ8</f>
        <v>São Paulo</v>
      </c>
      <c r="F917" s="252" t="str">
        <f>'Q100e-FrotaOnibus'!AK8</f>
        <v>frota em n.º de ônibus do transporte coletivo estrutural de São Paulo gerenciado pela SPTrans equipados com  elevador hidráulico (plataforma elevatória veicular) de uso exclusivo ou não para cadeirantes e que não estão aptos a operar em parte do percurso em plataforma elevada</v>
      </c>
      <c r="G917" s="111" t="str">
        <f>'Q100e-FrotaOnibus'!AL8</f>
        <v>F tce eh ec + F tce eh ecp</v>
      </c>
      <c r="H917" s="57" t="s">
        <v>819</v>
      </c>
      <c r="I917" s="167" t="s">
        <v>432</v>
      </c>
      <c r="J917" s="109" t="s">
        <v>2082</v>
      </c>
      <c r="K917" s="109" t="s">
        <v>2082</v>
      </c>
      <c r="L917" s="109" t="s">
        <v>2082</v>
      </c>
      <c r="M917" s="109" t="s">
        <v>2082</v>
      </c>
      <c r="N917" s="109" t="s">
        <v>2082</v>
      </c>
      <c r="O917" s="109" t="s">
        <v>2082</v>
      </c>
      <c r="P917" s="109" t="s">
        <v>2082</v>
      </c>
      <c r="Q917" s="109" t="s">
        <v>2082</v>
      </c>
      <c r="R917" s="109" t="s">
        <v>2082</v>
      </c>
      <c r="S917" s="109" t="s">
        <v>2209</v>
      </c>
      <c r="T917" s="109" t="s">
        <v>2082</v>
      </c>
      <c r="U917" s="109" t="s">
        <v>2082</v>
      </c>
      <c r="V917" s="109" t="s">
        <v>2209</v>
      </c>
      <c r="W917" s="109" t="s">
        <v>2082</v>
      </c>
      <c r="X917" s="109" t="s">
        <v>2082</v>
      </c>
      <c r="Y917" s="109" t="s">
        <v>2082</v>
      </c>
      <c r="Z917" s="109" t="s">
        <v>2082</v>
      </c>
      <c r="AA917" s="109" t="s">
        <v>2082</v>
      </c>
      <c r="AB917" s="109" t="s">
        <v>2082</v>
      </c>
      <c r="AC917" s="109" t="s">
        <v>2082</v>
      </c>
      <c r="AD917" s="109" t="s">
        <v>2082</v>
      </c>
      <c r="AE917" s="109" t="s">
        <v>2082</v>
      </c>
      <c r="AF917" s="109" t="s">
        <v>2082</v>
      </c>
      <c r="AG917" s="109" t="s">
        <v>2082</v>
      </c>
      <c r="AH917" s="109" t="s">
        <v>2082</v>
      </c>
      <c r="AI917" s="109" t="s">
        <v>2082</v>
      </c>
      <c r="AJ917" s="109" t="s">
        <v>2082</v>
      </c>
      <c r="AK917" s="1209">
        <f>AK930+AK944</f>
        <v>1906</v>
      </c>
      <c r="AL917" s="1208" t="s">
        <v>432</v>
      </c>
      <c r="AM917" s="137" t="s">
        <v>432</v>
      </c>
      <c r="AN917" s="137" t="s">
        <v>432</v>
      </c>
      <c r="AO917" s="137" t="s">
        <v>432</v>
      </c>
      <c r="AP917" s="137" t="s">
        <v>432</v>
      </c>
      <c r="AQ917" s="137" t="s">
        <v>432</v>
      </c>
      <c r="AR917" s="137" t="s">
        <v>432</v>
      </c>
      <c r="AS917" s="137" t="s">
        <v>432</v>
      </c>
      <c r="AT917" s="137" t="s">
        <v>432</v>
      </c>
      <c r="AU917" s="137" t="s">
        <v>432</v>
      </c>
      <c r="AV917" s="137" t="s">
        <v>432</v>
      </c>
      <c r="AW917" s="137" t="s">
        <v>432</v>
      </c>
      <c r="AX917" s="137" t="s">
        <v>432</v>
      </c>
      <c r="AY917" s="137" t="s">
        <v>432</v>
      </c>
      <c r="AZ917" s="137" t="s">
        <v>432</v>
      </c>
      <c r="BA917" s="137" t="s">
        <v>432</v>
      </c>
      <c r="BB917" s="239" t="str">
        <f t="shared" si="210"/>
        <v>Sistema de transporte coletivo com um todoacessibilidade</v>
      </c>
      <c r="BC917" s="239" t="str">
        <f t="shared" si="211"/>
        <v>Sistema de transporte coletivo com um todoacessibilidadebenchmarking</v>
      </c>
      <c r="BD917" s="239" t="str">
        <f t="shared" si="212"/>
        <v>Sistema de transporte coletivo com um todobenchmarking</v>
      </c>
    </row>
    <row r="918" spans="1:67" ht="51" x14ac:dyDescent="0.25">
      <c r="A918" s="275" t="str">
        <f>'Q100b-totais'!B62</f>
        <v>8.10</v>
      </c>
      <c r="B918" s="54" t="str">
        <f>'Q100b-totais'!C62</f>
        <v>Sistema de transporte coletivo com um todo</v>
      </c>
      <c r="C918" s="230" t="s">
        <v>743</v>
      </c>
      <c r="D918" s="324" t="str">
        <f>'Q100e-FrotaOnibus'!AM8</f>
        <v>F tcl eh</v>
      </c>
      <c r="E918" s="254" t="str">
        <f>'Q100e-FrotaOnibus'!AN8</f>
        <v>São Paulo</v>
      </c>
      <c r="F918" s="252" t="str">
        <f>'Q100e-FrotaOnibus'!AO8</f>
        <v>frota em n.º de ônibus do transporte coletivo local de São Paulo gerenciado pela SPTrans equipados com  elevador hidráulico de uso exclusivo ou não para cadeirantes e que não estão aptos a operar em parte do percurso em plataforma elevada</v>
      </c>
      <c r="G918" s="111" t="str">
        <f>'Q100e-FrotaOnibus'!AP8</f>
        <v>F tce eh ec + F tce eh ecp</v>
      </c>
      <c r="H918" s="57" t="s">
        <v>819</v>
      </c>
      <c r="I918" s="167" t="s">
        <v>432</v>
      </c>
      <c r="J918" s="109" t="s">
        <v>2082</v>
      </c>
      <c r="K918" s="109" t="s">
        <v>2082</v>
      </c>
      <c r="L918" s="109" t="s">
        <v>2082</v>
      </c>
      <c r="M918" s="109" t="s">
        <v>2082</v>
      </c>
      <c r="N918" s="109" t="s">
        <v>2082</v>
      </c>
      <c r="O918" s="109" t="s">
        <v>2082</v>
      </c>
      <c r="P918" s="109" t="s">
        <v>2082</v>
      </c>
      <c r="Q918" s="109" t="s">
        <v>2082</v>
      </c>
      <c r="R918" s="109" t="s">
        <v>2082</v>
      </c>
      <c r="S918" s="109" t="s">
        <v>2209</v>
      </c>
      <c r="T918" s="109" t="s">
        <v>2082</v>
      </c>
      <c r="U918" s="109" t="s">
        <v>2082</v>
      </c>
      <c r="V918" s="109" t="s">
        <v>2209</v>
      </c>
      <c r="W918" s="109" t="s">
        <v>2082</v>
      </c>
      <c r="X918" s="109" t="s">
        <v>2082</v>
      </c>
      <c r="Y918" s="109" t="s">
        <v>2082</v>
      </c>
      <c r="Z918" s="109" t="s">
        <v>2082</v>
      </c>
      <c r="AA918" s="109" t="s">
        <v>2082</v>
      </c>
      <c r="AB918" s="109" t="s">
        <v>2082</v>
      </c>
      <c r="AC918" s="109" t="s">
        <v>2082</v>
      </c>
      <c r="AD918" s="109" t="s">
        <v>2082</v>
      </c>
      <c r="AE918" s="109" t="s">
        <v>2082</v>
      </c>
      <c r="AF918" s="109" t="s">
        <v>2082</v>
      </c>
      <c r="AG918" s="109" t="s">
        <v>2082</v>
      </c>
      <c r="AH918" s="109" t="s">
        <v>2082</v>
      </c>
      <c r="AI918" s="109" t="s">
        <v>2082</v>
      </c>
      <c r="AJ918" s="109" t="s">
        <v>2082</v>
      </c>
      <c r="AK918" s="1209">
        <f>AK931+AK945</f>
        <v>5460</v>
      </c>
      <c r="AL918" s="1208" t="s">
        <v>432</v>
      </c>
      <c r="AM918" s="137" t="s">
        <v>432</v>
      </c>
      <c r="AN918" s="137" t="s">
        <v>432</v>
      </c>
      <c r="AO918" s="137" t="s">
        <v>432</v>
      </c>
      <c r="AP918" s="137" t="s">
        <v>432</v>
      </c>
      <c r="AQ918" s="137" t="s">
        <v>432</v>
      </c>
      <c r="AR918" s="137" t="s">
        <v>432</v>
      </c>
      <c r="AS918" s="137" t="s">
        <v>432</v>
      </c>
      <c r="AT918" s="137" t="s">
        <v>432</v>
      </c>
      <c r="AU918" s="137" t="s">
        <v>432</v>
      </c>
      <c r="AV918" s="137" t="s">
        <v>432</v>
      </c>
      <c r="AW918" s="137" t="s">
        <v>432</v>
      </c>
      <c r="AX918" s="137" t="s">
        <v>432</v>
      </c>
      <c r="AY918" s="137" t="s">
        <v>432</v>
      </c>
      <c r="AZ918" s="137" t="s">
        <v>432</v>
      </c>
      <c r="BA918" s="137" t="s">
        <v>432</v>
      </c>
      <c r="BB918" s="239" t="str">
        <f t="shared" si="210"/>
        <v>Sistema de transporte coletivo com um todoacessibilidade</v>
      </c>
      <c r="BC918" s="239" t="str">
        <f t="shared" si="211"/>
        <v>Sistema de transporte coletivo com um todoacessibilidadebenchmarking</v>
      </c>
      <c r="BD918" s="239" t="str">
        <f t="shared" si="212"/>
        <v>Sistema de transporte coletivo com um todobenchmarking</v>
      </c>
    </row>
    <row r="919" spans="1:67" s="373" customFormat="1" ht="17.25" customHeight="1" x14ac:dyDescent="0.25">
      <c r="A919" s="383"/>
      <c r="B919" s="384"/>
      <c r="C919" s="384"/>
      <c r="D919" s="717"/>
      <c r="E919" s="1518"/>
      <c r="F919" s="384"/>
      <c r="G919" s="384"/>
      <c r="H919" s="385"/>
      <c r="I919" s="385"/>
      <c r="J919" s="384"/>
      <c r="K919" s="384"/>
      <c r="L919" s="384"/>
      <c r="M919" s="384"/>
      <c r="N919" s="384"/>
      <c r="O919" s="384"/>
      <c r="P919" s="384"/>
      <c r="Q919" s="384"/>
      <c r="R919" s="384"/>
      <c r="S919" s="109" t="s">
        <v>2209</v>
      </c>
      <c r="T919" s="384"/>
      <c r="U919" s="384"/>
      <c r="V919" s="109" t="s">
        <v>2209</v>
      </c>
      <c r="W919" s="384"/>
      <c r="X919" s="384"/>
      <c r="Y919" s="386"/>
      <c r="Z919" s="386"/>
      <c r="AA919" s="386"/>
      <c r="AB919" s="386"/>
      <c r="AC919" s="386"/>
      <c r="AD919" s="386"/>
      <c r="AE919" s="386"/>
      <c r="AF919" s="386"/>
      <c r="AG919" s="386"/>
      <c r="AH919" s="386"/>
      <c r="AI919" s="386"/>
      <c r="AJ919" s="386"/>
      <c r="AK919" s="386"/>
      <c r="AL919" s="386"/>
      <c r="AM919" s="386"/>
      <c r="AN919" s="387"/>
      <c r="AO919" s="387"/>
      <c r="AP919" s="387"/>
      <c r="AQ919" s="387"/>
      <c r="AR919" s="387"/>
      <c r="AS919" s="387"/>
      <c r="AT919" s="387"/>
      <c r="AU919" s="387"/>
      <c r="AV919" s="387"/>
      <c r="AW919" s="137" t="s">
        <v>432</v>
      </c>
      <c r="AX919" s="387"/>
      <c r="AY919" s="387"/>
      <c r="AZ919" s="387"/>
      <c r="BA919" s="387"/>
      <c r="BB919" s="388"/>
      <c r="BC919" s="388"/>
      <c r="BD919" s="388"/>
    </row>
    <row r="920" spans="1:67" s="373" customFormat="1" ht="100.5" customHeight="1" x14ac:dyDescent="0.25">
      <c r="A920" s="413" t="str">
        <f>'Q100b-totais'!B62</f>
        <v>8.10</v>
      </c>
      <c r="B920" s="1205" t="str">
        <f>'Q100b-totais'!C62</f>
        <v>Sistema de transporte coletivo com um todo</v>
      </c>
      <c r="C920" s="173" t="s">
        <v>743</v>
      </c>
      <c r="D920" s="377" t="str">
        <f>'Q100e-FrotaOnibus'!D6</f>
        <v>F tc eh ec</v>
      </c>
      <c r="E920" s="1501" t="str">
        <f>'Q100e-FrotaOnibus'!E6</f>
        <v>x</v>
      </c>
      <c r="F920" s="355" t="str">
        <f>'Q100e-FrotaOnibus'!F6</f>
        <v xml:space="preserve">frota em n.º de ônibus do transporte público coletivo de uma cidade/região equipados com elevador hidráulico acionado exclusivamente para embarque/desembarque de pessoas em cadeira de rodas e que não operam em plataforma elevada (o embarque/desembarque nunca acontece em nível)
obs.1: os veículos desta categoria recebem peso 2, numa escala de 1 a 10, na classificação definida pelo SisMob-BH para classificar a acessibilidade - acesse "acessibilidade em ônibus urbano (escala)"
obs.2: acesse informações quantitativas relativas ao indicador "IAED" das cidades/regiões já incorporadas ao SisMob-BH
</v>
      </c>
      <c r="G920" s="57" t="s">
        <v>3507</v>
      </c>
      <c r="H920" s="167" t="s">
        <v>2408</v>
      </c>
      <c r="I920" s="167" t="s">
        <v>432</v>
      </c>
      <c r="J920" s="107" t="s">
        <v>432</v>
      </c>
      <c r="K920" s="107" t="s">
        <v>432</v>
      </c>
      <c r="L920" s="107" t="s">
        <v>432</v>
      </c>
      <c r="M920" s="107" t="s">
        <v>432</v>
      </c>
      <c r="N920" s="107" t="s">
        <v>432</v>
      </c>
      <c r="O920" s="107" t="s">
        <v>432</v>
      </c>
      <c r="P920" s="107" t="s">
        <v>432</v>
      </c>
      <c r="Q920" s="107" t="s">
        <v>432</v>
      </c>
      <c r="R920" s="107" t="s">
        <v>432</v>
      </c>
      <c r="S920" s="109" t="s">
        <v>2209</v>
      </c>
      <c r="T920" s="108" t="s">
        <v>432</v>
      </c>
      <c r="U920" s="108" t="s">
        <v>432</v>
      </c>
      <c r="V920" s="109" t="s">
        <v>2209</v>
      </c>
      <c r="W920" s="108" t="s">
        <v>432</v>
      </c>
      <c r="X920" s="108" t="s">
        <v>432</v>
      </c>
      <c r="Y920" s="108" t="s">
        <v>432</v>
      </c>
      <c r="Z920" s="108" t="s">
        <v>432</v>
      </c>
      <c r="AA920" s="108" t="s">
        <v>432</v>
      </c>
      <c r="AB920" s="108" t="s">
        <v>432</v>
      </c>
      <c r="AC920" s="108" t="s">
        <v>432</v>
      </c>
      <c r="AD920" s="108" t="s">
        <v>432</v>
      </c>
      <c r="AE920" s="108" t="s">
        <v>432</v>
      </c>
      <c r="AF920" s="108" t="s">
        <v>432</v>
      </c>
      <c r="AG920" s="108" t="s">
        <v>432</v>
      </c>
      <c r="AH920" s="108" t="s">
        <v>432</v>
      </c>
      <c r="AI920" s="108" t="s">
        <v>432</v>
      </c>
      <c r="AJ920" s="108" t="s">
        <v>432</v>
      </c>
      <c r="AK920" s="108" t="s">
        <v>432</v>
      </c>
      <c r="AL920" s="600" t="s">
        <v>432</v>
      </c>
      <c r="AM920" s="137" t="s">
        <v>432</v>
      </c>
      <c r="AN920" s="137" t="s">
        <v>432</v>
      </c>
      <c r="AO920" s="137" t="s">
        <v>432</v>
      </c>
      <c r="AP920" s="137" t="s">
        <v>432</v>
      </c>
      <c r="AQ920" s="137" t="s">
        <v>432</v>
      </c>
      <c r="AR920" s="137" t="s">
        <v>432</v>
      </c>
      <c r="AS920" s="137" t="s">
        <v>432</v>
      </c>
      <c r="AT920" s="137" t="s">
        <v>432</v>
      </c>
      <c r="AU920" s="137" t="s">
        <v>432</v>
      </c>
      <c r="AV920" s="137" t="s">
        <v>432</v>
      </c>
      <c r="AW920" s="137" t="s">
        <v>432</v>
      </c>
      <c r="AX920" s="137" t="s">
        <v>432</v>
      </c>
      <c r="AY920" s="137" t="s">
        <v>432</v>
      </c>
      <c r="AZ920" s="137" t="s">
        <v>432</v>
      </c>
      <c r="BA920" s="137" t="s">
        <v>432</v>
      </c>
      <c r="BB920" s="239" t="str">
        <f t="shared" ref="BB920:BB931" si="224">B920&amp;C920</f>
        <v>Sistema de transporte coletivo com um todoacessibilidade</v>
      </c>
      <c r="BC920" s="239" t="str">
        <f t="shared" ref="BC920:BC931" si="225">B920&amp;C920&amp;H920</f>
        <v>Sistema de transporte coletivo com um todoacessibilidadesigla/verbete</v>
      </c>
      <c r="BD920" s="239" t="str">
        <f t="shared" ref="BD920:BD931" si="226">B920&amp;H920</f>
        <v>Sistema de transporte coletivo com um todosigla/verbete</v>
      </c>
    </row>
    <row r="921" spans="1:67" s="373" customFormat="1" ht="99.75" customHeight="1" x14ac:dyDescent="0.25">
      <c r="A921" s="275" t="str">
        <f>'Q100b-totais'!B62</f>
        <v>8.10</v>
      </c>
      <c r="B921" s="1205" t="str">
        <f>'Q100b-totais'!C62</f>
        <v>Sistema de transporte coletivo com um todo</v>
      </c>
      <c r="C921" s="173" t="s">
        <v>743</v>
      </c>
      <c r="D921" s="324" t="str">
        <f>'Q100e-FrotaOnibus'!BL6</f>
        <v>F tc eh ec</v>
      </c>
      <c r="E921" s="254" t="str">
        <f>'Q100e-FrotaOnibus'!BE5</f>
        <v>Belo Horizonte</v>
      </c>
      <c r="F921" s="252" t="str">
        <f>'Q100e-FrotaOnibus'!BN6</f>
        <v>frota em n.º de ônibus de todo o sistema de transporte coletivo de Belo Horizonte (transporte convencional e transporte suplementar) com elevador hidráulico acionado exclusivamente para embarque/desembarque de pessoas em cadeira de rodas, que tenham chassis fabricados até 2008 (inclusive) e que não operam em plataformas elevadas (o embarque/desembarque nunca acontece em nível) 
obs.2: esta categoria recebe peso 2, numa escala de 1 a 10, na classificação definida pelo SisMob-BH para classificar a acessibilidade - acesse "acessibilidade em ônibus urbano (escala)"</v>
      </c>
      <c r="G921" s="111" t="str">
        <f>'Q100e-FrotaOnibus'!BO6</f>
        <v>F tcc eh ec + F tcs eh ec</v>
      </c>
      <c r="H921" s="173" t="s">
        <v>432</v>
      </c>
      <c r="I921" s="167">
        <v>1</v>
      </c>
      <c r="J921" s="109" t="s">
        <v>2467</v>
      </c>
      <c r="K921" s="109" t="s">
        <v>2467</v>
      </c>
      <c r="L921" s="109" t="s">
        <v>2467</v>
      </c>
      <c r="M921" s="58" t="s">
        <v>2082</v>
      </c>
      <c r="N921" s="58" t="s">
        <v>2082</v>
      </c>
      <c r="O921" s="58" t="s">
        <v>2082</v>
      </c>
      <c r="P921" s="58" t="s">
        <v>2082</v>
      </c>
      <c r="Q921" s="58" t="s">
        <v>2082</v>
      </c>
      <c r="R921" s="58" t="s">
        <v>2082</v>
      </c>
      <c r="S921" s="109" t="s">
        <v>2209</v>
      </c>
      <c r="T921" s="58" t="s">
        <v>2082</v>
      </c>
      <c r="U921" s="58" t="s">
        <v>2082</v>
      </c>
      <c r="V921" s="109" t="s">
        <v>2209</v>
      </c>
      <c r="W921" s="58" t="s">
        <v>2082</v>
      </c>
      <c r="X921" s="58" t="s">
        <v>2082</v>
      </c>
      <c r="Y921" s="20">
        <f>Y922+Y923</f>
        <v>21</v>
      </c>
      <c r="Z921" s="58" t="s">
        <v>2082</v>
      </c>
      <c r="AA921" s="58" t="s">
        <v>2082</v>
      </c>
      <c r="AB921" s="58" t="s">
        <v>2082</v>
      </c>
      <c r="AC921" s="58" t="s">
        <v>2082</v>
      </c>
      <c r="AD921" s="58" t="s">
        <v>2082</v>
      </c>
      <c r="AE921" s="58" t="s">
        <v>2082</v>
      </c>
      <c r="AF921" s="58" t="s">
        <v>2082</v>
      </c>
      <c r="AG921" s="58" t="s">
        <v>2082</v>
      </c>
      <c r="AH921" s="58" t="s">
        <v>2082</v>
      </c>
      <c r="AI921" s="58" t="s">
        <v>2082</v>
      </c>
      <c r="AJ921" s="20">
        <f>AJ922+AJ923</f>
        <v>460</v>
      </c>
      <c r="AK921" s="20">
        <f>AK922+AK923</f>
        <v>382</v>
      </c>
      <c r="AL921" s="600" t="s">
        <v>432</v>
      </c>
      <c r="AM921" s="137" t="s">
        <v>432</v>
      </c>
      <c r="AN921" s="137" t="s">
        <v>432</v>
      </c>
      <c r="AO921" s="137" t="s">
        <v>432</v>
      </c>
      <c r="AP921" s="137" t="s">
        <v>432</v>
      </c>
      <c r="AQ921" s="137" t="s">
        <v>432</v>
      </c>
      <c r="AR921" s="137" t="s">
        <v>432</v>
      </c>
      <c r="AS921" s="137" t="s">
        <v>432</v>
      </c>
      <c r="AT921" s="137" t="s">
        <v>432</v>
      </c>
      <c r="AU921" s="137" t="s">
        <v>432</v>
      </c>
      <c r="AV921" s="137" t="s">
        <v>432</v>
      </c>
      <c r="AW921" s="137" t="s">
        <v>432</v>
      </c>
      <c r="AX921" s="137" t="s">
        <v>432</v>
      </c>
      <c r="AY921" s="137" t="s">
        <v>432</v>
      </c>
      <c r="AZ921" s="137" t="s">
        <v>432</v>
      </c>
      <c r="BA921" s="137" t="s">
        <v>432</v>
      </c>
      <c r="BB921" s="239" t="str">
        <f t="shared" si="224"/>
        <v>Sistema de transporte coletivo com um todoacessibilidade</v>
      </c>
      <c r="BC921" s="239" t="str">
        <f t="shared" si="225"/>
        <v>Sistema de transporte coletivo com um todoacessibilidadex</v>
      </c>
      <c r="BD921" s="239" t="str">
        <f t="shared" si="226"/>
        <v>Sistema de transporte coletivo com um todox</v>
      </c>
    </row>
    <row r="922" spans="1:67" s="1" customFormat="1" ht="153" customHeight="1" x14ac:dyDescent="0.25">
      <c r="A922" s="275" t="str">
        <f>'Q100b-totais'!$B$57</f>
        <v>8.5</v>
      </c>
      <c r="B922" s="1205" t="str">
        <f>'Q100b-totais'!$C$57</f>
        <v>Transporte convencional</v>
      </c>
      <c r="C922" s="57" t="s">
        <v>743</v>
      </c>
      <c r="D922" s="715" t="str">
        <f>'Q100e-FrotaOnibus'!BD6</f>
        <v>F tcc eh ec</v>
      </c>
      <c r="E922" s="1502" t="str">
        <f>'Q100e-FrotaOnibus'!BE6</f>
        <v>Belo Horizonte</v>
      </c>
      <c r="F922" s="648" t="str">
        <f>'Q100e-FrotaOnibus'!BF6</f>
        <v>frota em n.º de ônibus do transporte coletivo convencional de Belo Horizonte gerenciado pela BHTrans equipados com elevador hidráulico acionado exclusivamente para embarque/desembarque de pessoas em cadeira de rodas , que tenham chassis fabricados até 2008 (inclusive) e que não operam em plataforma elevada (o embarque/desembarque nunca acontece em nível)
obs.1: esta categoria recebe peso 2, numa escala de 1 a 10, na classificação definida pelo SisMob-BH para classificar a acessibilidade - acesse "acessibilidade em ônibus urbano (escala)"
obs.2: para 2003 foi desconsiderado resultado de 11 veículos conforme BH(2003a) e adotado resultado de 21 veículos conforme BHTRANS(2003c)
obs.3: não existem veículos desta categoria de 1993 a 1997 conforme "F tcc histórico"
obs.4: mês de dezembro tomado como referência anual, com resultados de 2009 a 2014 conforme BHTRANS(2015c) e de 2015 conforme BHTRANS(2016c)</v>
      </c>
      <c r="G922" s="110" t="str">
        <f>'Q100e-FrotaOnibus'!BG6</f>
        <v>registro na fonte</v>
      </c>
      <c r="H922" s="173" t="s">
        <v>432</v>
      </c>
      <c r="I922" s="167">
        <v>1</v>
      </c>
      <c r="J922" s="109" t="s">
        <v>2467</v>
      </c>
      <c r="K922" s="109" t="s">
        <v>2467</v>
      </c>
      <c r="L922" s="109" t="s">
        <v>2467</v>
      </c>
      <c r="M922" s="110">
        <v>0</v>
      </c>
      <c r="N922" s="110">
        <v>0</v>
      </c>
      <c r="O922" s="110">
        <v>0</v>
      </c>
      <c r="P922" s="110">
        <v>0</v>
      </c>
      <c r="Q922" s="110">
        <v>0</v>
      </c>
      <c r="R922" s="622" t="s">
        <v>2148</v>
      </c>
      <c r="S922" s="109" t="s">
        <v>2209</v>
      </c>
      <c r="T922" s="622" t="s">
        <v>2148</v>
      </c>
      <c r="U922" s="622" t="s">
        <v>2148</v>
      </c>
      <c r="V922" s="109" t="s">
        <v>2209</v>
      </c>
      <c r="W922" s="622" t="s">
        <v>2148</v>
      </c>
      <c r="X922" s="622" t="s">
        <v>2148</v>
      </c>
      <c r="Y922" s="110">
        <v>21</v>
      </c>
      <c r="Z922" s="622" t="s">
        <v>2148</v>
      </c>
      <c r="AA922" s="622" t="s">
        <v>2148</v>
      </c>
      <c r="AB922" s="622" t="s">
        <v>2148</v>
      </c>
      <c r="AC922" s="622" t="s">
        <v>2148</v>
      </c>
      <c r="AD922" s="622" t="s">
        <v>2148</v>
      </c>
      <c r="AE922" s="86">
        <v>1120</v>
      </c>
      <c r="AF922" s="86">
        <v>1017</v>
      </c>
      <c r="AG922" s="86">
        <v>913</v>
      </c>
      <c r="AH922" s="86">
        <v>834</v>
      </c>
      <c r="AI922" s="93">
        <v>741</v>
      </c>
      <c r="AJ922" s="84">
        <v>459</v>
      </c>
      <c r="AK922" s="84">
        <v>382</v>
      </c>
      <c r="AL922" s="600" t="s">
        <v>432</v>
      </c>
      <c r="AM922" s="84">
        <v>201</v>
      </c>
      <c r="AN922" s="137" t="s">
        <v>432</v>
      </c>
      <c r="AO922" s="137" t="s">
        <v>432</v>
      </c>
      <c r="AP922" s="137" t="s">
        <v>432</v>
      </c>
      <c r="AQ922" s="137" t="s">
        <v>432</v>
      </c>
      <c r="AR922" s="137" t="s">
        <v>432</v>
      </c>
      <c r="AS922" s="137" t="s">
        <v>432</v>
      </c>
      <c r="AT922" s="137" t="s">
        <v>432</v>
      </c>
      <c r="AU922" s="137" t="s">
        <v>432</v>
      </c>
      <c r="AV922" s="137" t="s">
        <v>432</v>
      </c>
      <c r="AW922" s="137" t="s">
        <v>432</v>
      </c>
      <c r="AX922" s="137" t="s">
        <v>432</v>
      </c>
      <c r="AY922" s="137" t="s">
        <v>432</v>
      </c>
      <c r="AZ922" s="137" t="s">
        <v>432</v>
      </c>
      <c r="BA922" s="137" t="s">
        <v>432</v>
      </c>
      <c r="BB922" s="239" t="str">
        <f t="shared" si="224"/>
        <v>Transporte convencionalacessibilidade</v>
      </c>
      <c r="BC922" s="239" t="str">
        <f t="shared" si="225"/>
        <v>Transporte convencionalacessibilidadex</v>
      </c>
      <c r="BD922" s="239" t="str">
        <f t="shared" si="226"/>
        <v>Transporte convencionalx</v>
      </c>
    </row>
    <row r="923" spans="1:67" s="1" customFormat="1" ht="178.5" x14ac:dyDescent="0.25">
      <c r="A923" s="275" t="str">
        <f>'Q100b-totais'!$B$59</f>
        <v>8.7</v>
      </c>
      <c r="B923" s="53" t="str">
        <f>'Q100b-totais'!$C$59</f>
        <v>Transporte de baixa capacidade</v>
      </c>
      <c r="C923" s="229" t="s">
        <v>743</v>
      </c>
      <c r="D923" s="716" t="str">
        <f>'Q100e-FrotaOnibus'!BH6</f>
        <v>F tcs eh ec</v>
      </c>
      <c r="E923" s="254" t="str">
        <f>'Q100e-FrotaOnibus'!BI6</f>
        <v>Belo Horizonte</v>
      </c>
      <c r="F923" s="252" t="str">
        <f>'Q100e-FrotaOnibus'!BJ6</f>
        <v xml:space="preserve">frota do transporte coletivo suplementar de Belo Horizonte em n.º de veículos com elevador hidráulico acionado exclusivamente para embarque/desembarque de pessoas em cadeira de rodas, que tenham chassis fabricados até 2008 (inclusive) e que não operam em plataformas elevadas (o embarque/desembarque nunca acontece em nível) 
obs.1: resultado de dezembro tomado como representativo do ano com resultado de 2014 conforme BHTRANS(2015c), 2015 conforme(BHTRANS,2016p1)
obs.2: em função dos resultados de "F tcc eh ec " para 2003, assume-se que F tcs ec" é zero de 2001 a 2003
obs.3: o edital de licitação do serviço em 2016 estabelece que "Todos os veículos com o chassi fabricado a partir de 31/01/2009, dotados de plataforma elevatória fa-bricada de acordo com a norma ABNT NBR 15646, devem ser identificados com o adesivo apresentado no Anexo - Manual de Identidade Visual do Veículo - MIVV, de forma a diferenciar os veículos cujo elevador permite a utilização por pessoas com deficiência ou mobilidade reduzida (em pé), dos veículos cujo elevador é acessível apenas para usuários de cadeira de rodas." conforme BHTRANS(2016h, p.64)
obs.4: esta categoria recebe peso 2, numa escala de 1 a 10, na classificação definida pelo SisMob-BH para classificar a acessibilidade - acesse "acessibilidade em ônibus urbano (escala)"
</v>
      </c>
      <c r="G923" s="110" t="str">
        <f>'Q100e-FrotaOnibus'!BK6</f>
        <v>registro na fonte</v>
      </c>
      <c r="H923" s="173" t="s">
        <v>432</v>
      </c>
      <c r="I923" s="167">
        <v>1</v>
      </c>
      <c r="J923" s="109" t="s">
        <v>2467</v>
      </c>
      <c r="K923" s="109" t="s">
        <v>2467</v>
      </c>
      <c r="L923" s="109" t="s">
        <v>2467</v>
      </c>
      <c r="M923" s="107" t="s">
        <v>2055</v>
      </c>
      <c r="N923" s="107" t="s">
        <v>2055</v>
      </c>
      <c r="O923" s="107" t="s">
        <v>2055</v>
      </c>
      <c r="P923" s="107" t="s">
        <v>2055</v>
      </c>
      <c r="Q923" s="107" t="s">
        <v>2055</v>
      </c>
      <c r="R923" s="107" t="s">
        <v>2055</v>
      </c>
      <c r="S923" s="109" t="s">
        <v>2209</v>
      </c>
      <c r="T923" s="107" t="s">
        <v>2055</v>
      </c>
      <c r="U923" s="107" t="s">
        <v>2055</v>
      </c>
      <c r="V923" s="109" t="s">
        <v>2209</v>
      </c>
      <c r="W923" s="110">
        <v>0</v>
      </c>
      <c r="X923" s="110">
        <v>0</v>
      </c>
      <c r="Y923" s="110">
        <v>0</v>
      </c>
      <c r="Z923" s="622" t="s">
        <v>2148</v>
      </c>
      <c r="AA923" s="622" t="s">
        <v>2148</v>
      </c>
      <c r="AB923" s="622" t="s">
        <v>2148</v>
      </c>
      <c r="AC923" s="622" t="s">
        <v>2148</v>
      </c>
      <c r="AD923" s="622" t="s">
        <v>2148</v>
      </c>
      <c r="AE923" s="622" t="s">
        <v>2148</v>
      </c>
      <c r="AF923" s="622" t="s">
        <v>2148</v>
      </c>
      <c r="AG923" s="622" t="s">
        <v>2148</v>
      </c>
      <c r="AH923" s="622" t="s">
        <v>2148</v>
      </c>
      <c r="AI923" s="622" t="s">
        <v>2148</v>
      </c>
      <c r="AJ923" s="84">
        <v>1</v>
      </c>
      <c r="AK923" s="84">
        <v>0</v>
      </c>
      <c r="AL923" s="600" t="s">
        <v>432</v>
      </c>
      <c r="AM923" s="137" t="s">
        <v>432</v>
      </c>
      <c r="AN923" s="137" t="s">
        <v>432</v>
      </c>
      <c r="AO923" s="137" t="s">
        <v>432</v>
      </c>
      <c r="AP923" s="137" t="s">
        <v>432</v>
      </c>
      <c r="AQ923" s="137" t="s">
        <v>432</v>
      </c>
      <c r="AR923" s="137" t="s">
        <v>432</v>
      </c>
      <c r="AS923" s="137" t="s">
        <v>432</v>
      </c>
      <c r="AT923" s="137" t="s">
        <v>432</v>
      </c>
      <c r="AU923" s="137" t="s">
        <v>432</v>
      </c>
      <c r="AV923" s="137" t="s">
        <v>432</v>
      </c>
      <c r="AW923" s="137" t="s">
        <v>432</v>
      </c>
      <c r="AX923" s="137" t="s">
        <v>432</v>
      </c>
      <c r="AY923" s="137" t="s">
        <v>432</v>
      </c>
      <c r="AZ923" s="137" t="s">
        <v>432</v>
      </c>
      <c r="BA923" s="137" t="s">
        <v>432</v>
      </c>
      <c r="BB923" s="239" t="str">
        <f t="shared" si="224"/>
        <v>Transporte de baixa capacidadeacessibilidade</v>
      </c>
      <c r="BC923" s="239" t="str">
        <f t="shared" si="225"/>
        <v>Transporte de baixa capacidadeacessibilidadex</v>
      </c>
      <c r="BD923" s="239" t="str">
        <f t="shared" si="226"/>
        <v>Transporte de baixa capacidadex</v>
      </c>
      <c r="BM923" s="19"/>
      <c r="BN923" s="19"/>
      <c r="BO923" s="19"/>
    </row>
    <row r="924" spans="1:67" s="1" customFormat="1" ht="100.5" customHeight="1" x14ac:dyDescent="0.25">
      <c r="A924" s="275" t="s">
        <v>982</v>
      </c>
      <c r="B924" s="54" t="s">
        <v>983</v>
      </c>
      <c r="C924" s="230" t="s">
        <v>743</v>
      </c>
      <c r="D924" s="714" t="str">
        <f>'Q100e-FrotaOnibus'!O6</f>
        <v>F tc eh ec</v>
      </c>
      <c r="E924" s="1498" t="str">
        <f>'Q100e-FrotaOnibus'!P6</f>
        <v>Contagem</v>
      </c>
      <c r="F924" s="252" t="str">
        <f>'Q100e-FrotaOnibus'!Q6</f>
        <v>frota em n.º de ônibus do transporte coletivo de Contagem equipados com elevador hidráulico acionado exclusivamente para embarque/desembarque de pessoas em cadeira de rodas e que não operam em plataforma elevada (o embarque/desembarque nunca acontece em nível 
obs.1: esta categoria recebe peso 2 (escala de 1 a 10 estabelecida pelo SisMob-BH para classificar e comparar resultados) - acesse "acessibilidade em ônibus urbano (escala)"
obs.2: não existem ônibuis desta categoria em Contagem conforme SINTRAN(2013)</v>
      </c>
      <c r="G924" s="110" t="str">
        <f>'Q100e-FrotaOnibus'!R6</f>
        <v>registro na fonte</v>
      </c>
      <c r="H924" s="173" t="s">
        <v>1298</v>
      </c>
      <c r="I924" s="167">
        <v>1</v>
      </c>
      <c r="J924" s="109" t="s">
        <v>432</v>
      </c>
      <c r="K924" s="109" t="s">
        <v>432</v>
      </c>
      <c r="L924" s="109" t="s">
        <v>432</v>
      </c>
      <c r="M924" s="109" t="s">
        <v>432</v>
      </c>
      <c r="N924" s="109" t="s">
        <v>432</v>
      </c>
      <c r="O924" s="109" t="s">
        <v>432</v>
      </c>
      <c r="P924" s="109" t="s">
        <v>432</v>
      </c>
      <c r="Q924" s="109" t="s">
        <v>432</v>
      </c>
      <c r="R924" s="109" t="s">
        <v>432</v>
      </c>
      <c r="S924" s="109" t="s">
        <v>2209</v>
      </c>
      <c r="T924" s="109" t="s">
        <v>432</v>
      </c>
      <c r="U924" s="109" t="s">
        <v>432</v>
      </c>
      <c r="V924" s="109" t="s">
        <v>2209</v>
      </c>
      <c r="W924" s="109" t="s">
        <v>432</v>
      </c>
      <c r="X924" s="109" t="s">
        <v>432</v>
      </c>
      <c r="Y924" s="109" t="s">
        <v>432</v>
      </c>
      <c r="Z924" s="109" t="s">
        <v>432</v>
      </c>
      <c r="AA924" s="109" t="s">
        <v>432</v>
      </c>
      <c r="AB924" s="109" t="s">
        <v>432</v>
      </c>
      <c r="AC924" s="109" t="s">
        <v>432</v>
      </c>
      <c r="AD924" s="109" t="s">
        <v>432</v>
      </c>
      <c r="AE924" s="109" t="s">
        <v>432</v>
      </c>
      <c r="AF924" s="109" t="s">
        <v>432</v>
      </c>
      <c r="AG924" s="109" t="s">
        <v>432</v>
      </c>
      <c r="AH924" s="109" t="s">
        <v>432</v>
      </c>
      <c r="AI924" s="109" t="s">
        <v>432</v>
      </c>
      <c r="AJ924" s="84">
        <v>0</v>
      </c>
      <c r="AK924" s="109" t="s">
        <v>432</v>
      </c>
      <c r="AL924" s="600" t="s">
        <v>432</v>
      </c>
      <c r="AM924" s="137" t="s">
        <v>432</v>
      </c>
      <c r="AN924" s="137" t="s">
        <v>432</v>
      </c>
      <c r="AO924" s="137" t="s">
        <v>432</v>
      </c>
      <c r="AP924" s="137" t="s">
        <v>432</v>
      </c>
      <c r="AQ924" s="137" t="s">
        <v>432</v>
      </c>
      <c r="AR924" s="137" t="s">
        <v>432</v>
      </c>
      <c r="AS924" s="137" t="s">
        <v>432</v>
      </c>
      <c r="AT924" s="137" t="s">
        <v>432</v>
      </c>
      <c r="AU924" s="137" t="s">
        <v>432</v>
      </c>
      <c r="AV924" s="137" t="s">
        <v>432</v>
      </c>
      <c r="AW924" s="137" t="s">
        <v>432</v>
      </c>
      <c r="AX924" s="137" t="s">
        <v>432</v>
      </c>
      <c r="AY924" s="137" t="s">
        <v>432</v>
      </c>
      <c r="AZ924" s="137" t="s">
        <v>432</v>
      </c>
      <c r="BA924" s="137" t="s">
        <v>432</v>
      </c>
      <c r="BB924" s="239" t="str">
        <f t="shared" si="224"/>
        <v>Sistema de transporte coletivo com um todoacessibilidade</v>
      </c>
      <c r="BC924" s="239" t="str">
        <f t="shared" si="225"/>
        <v>Sistema de transporte coletivo com um todoacessibilidadeRMBH</v>
      </c>
      <c r="BD924" s="239" t="str">
        <f t="shared" si="226"/>
        <v>Sistema de transporte coletivo com um todoRMBH</v>
      </c>
    </row>
    <row r="925" spans="1:67" s="1" customFormat="1" ht="111.75" customHeight="1" x14ac:dyDescent="0.25">
      <c r="A925" s="275" t="str">
        <f>'Q100b-totais'!B62</f>
        <v>8.10</v>
      </c>
      <c r="B925" s="54" t="str">
        <f>'Q100b-totais'!C62</f>
        <v>Sistema de transporte coletivo com um todo</v>
      </c>
      <c r="C925" s="230" t="s">
        <v>743</v>
      </c>
      <c r="D925" s="362" t="str">
        <f>'Q100e-FrotaOnibus'!S6</f>
        <v>F tc eh ec</v>
      </c>
      <c r="E925" s="1502" t="str">
        <f>'Q100e-FrotaOnibus'!T6</f>
        <v>Curitiba</v>
      </c>
      <c r="F925" s="355" t="str">
        <f>'Q100e-FrotaOnibus'!U6</f>
        <v>frota em n.º de veículos do transporte coletivo de Curitiba equipados com elevador hidráulico acionado exclusivamente para embarque/desembarque de pessoas em cadeira de rodas 
obs.1: esta categoria recebe peso 2 (escala de 1 a 10 estabelecida pelo SisMob-BH para classificar e comparar resultados - acesse "acessibilidade em ônibus urbano (escala)"
obs.2: não existem ônibus desta categoria em Curitiba pois "Todas as plataformas elevatórias aplicadas nos ônibus de Curitiba permitem o embarque em pé e os operadores estão orientados a auxiliar essas pessoas desde que o uso seja justificado, ou seja, desde que a pessoa realmente apresente uma mobilidade reduzida que dificulte o seu acesso pelos degraus do ônibus.." conforme BHTRANS(2016f)</v>
      </c>
      <c r="G925" s="553" t="str">
        <f>'Q100e-FrotaOnibus'!V6</f>
        <v>registro na fonte</v>
      </c>
      <c r="H925" s="57" t="s">
        <v>819</v>
      </c>
      <c r="I925" s="167" t="s">
        <v>432</v>
      </c>
      <c r="J925" s="107" t="s">
        <v>432</v>
      </c>
      <c r="K925" s="107" t="s">
        <v>432</v>
      </c>
      <c r="L925" s="107" t="s">
        <v>432</v>
      </c>
      <c r="M925" s="107" t="s">
        <v>432</v>
      </c>
      <c r="N925" s="107" t="s">
        <v>432</v>
      </c>
      <c r="O925" s="107" t="s">
        <v>432</v>
      </c>
      <c r="P925" s="107" t="s">
        <v>432</v>
      </c>
      <c r="Q925" s="107" t="s">
        <v>432</v>
      </c>
      <c r="R925" s="107" t="s">
        <v>432</v>
      </c>
      <c r="S925" s="109" t="s">
        <v>2209</v>
      </c>
      <c r="T925" s="109" t="s">
        <v>432</v>
      </c>
      <c r="U925" s="109" t="s">
        <v>432</v>
      </c>
      <c r="V925" s="109" t="s">
        <v>2209</v>
      </c>
      <c r="W925" s="109" t="s">
        <v>432</v>
      </c>
      <c r="X925" s="109" t="s">
        <v>432</v>
      </c>
      <c r="Y925" s="109" t="s">
        <v>432</v>
      </c>
      <c r="Z925" s="109" t="s">
        <v>432</v>
      </c>
      <c r="AA925" s="109" t="s">
        <v>432</v>
      </c>
      <c r="AB925" s="109" t="s">
        <v>432</v>
      </c>
      <c r="AC925" s="109" t="s">
        <v>432</v>
      </c>
      <c r="AD925" s="109" t="s">
        <v>432</v>
      </c>
      <c r="AE925" s="109" t="s">
        <v>432</v>
      </c>
      <c r="AF925" s="109" t="s">
        <v>432</v>
      </c>
      <c r="AG925" s="109" t="s">
        <v>432</v>
      </c>
      <c r="AH925" s="109" t="s">
        <v>432</v>
      </c>
      <c r="AI925" s="109" t="s">
        <v>432</v>
      </c>
      <c r="AJ925" s="109" t="s">
        <v>432</v>
      </c>
      <c r="AK925" s="110">
        <v>0</v>
      </c>
      <c r="AL925" s="600" t="s">
        <v>432</v>
      </c>
      <c r="AM925" s="137" t="s">
        <v>432</v>
      </c>
      <c r="AN925" s="137" t="s">
        <v>432</v>
      </c>
      <c r="AO925" s="137" t="s">
        <v>432</v>
      </c>
      <c r="AP925" s="137" t="s">
        <v>432</v>
      </c>
      <c r="AQ925" s="137" t="s">
        <v>432</v>
      </c>
      <c r="AR925" s="137" t="s">
        <v>432</v>
      </c>
      <c r="AS925" s="137" t="s">
        <v>432</v>
      </c>
      <c r="AT925" s="137" t="s">
        <v>432</v>
      </c>
      <c r="AU925" s="137" t="s">
        <v>432</v>
      </c>
      <c r="AV925" s="137" t="s">
        <v>432</v>
      </c>
      <c r="AW925" s="137" t="s">
        <v>432</v>
      </c>
      <c r="AX925" s="137" t="s">
        <v>432</v>
      </c>
      <c r="AY925" s="137" t="s">
        <v>432</v>
      </c>
      <c r="AZ925" s="137" t="s">
        <v>432</v>
      </c>
      <c r="BA925" s="137" t="s">
        <v>432</v>
      </c>
      <c r="BB925" s="239" t="str">
        <f t="shared" si="224"/>
        <v>Sistema de transporte coletivo com um todoacessibilidade</v>
      </c>
      <c r="BC925" s="239" t="str">
        <f t="shared" si="225"/>
        <v>Sistema de transporte coletivo com um todoacessibilidadebenchmarking</v>
      </c>
      <c r="BD925" s="239" t="str">
        <f t="shared" si="226"/>
        <v>Sistema de transporte coletivo com um todobenchmarking</v>
      </c>
    </row>
    <row r="926" spans="1:67" s="1" customFormat="1" ht="109.5" customHeight="1" x14ac:dyDescent="0.25">
      <c r="A926" s="275" t="str">
        <f>'Q100b-totais'!B62</f>
        <v>8.10</v>
      </c>
      <c r="B926" s="54" t="str">
        <f>'Q100b-totais'!C62</f>
        <v>Sistema de transporte coletivo com um todo</v>
      </c>
      <c r="C926" s="230" t="s">
        <v>743</v>
      </c>
      <c r="D926" s="715" t="str">
        <f>'Q100e-FrotaOnibus'!W6</f>
        <v>F tc eh ec</v>
      </c>
      <c r="E926" s="1520" t="str">
        <f>'Q100e-FrotaOnibus'!X6</f>
        <v>Joinville</v>
      </c>
      <c r="F926" s="355" t="str">
        <f>'Q100e-FrotaOnibus'!Y6</f>
        <v>frota em n.º de ônibus do transporte coletivo de Joinville equipados com elevador hidráulico que é "utilizado apenas na presença de uma pessoa em cadeira de rodas" e que não operam em plataforma elevada conforme JOINVILLE(2016a)
obs.1: esta categoria recebe peso 2 (escala de 1 a 10 estabelecida pelo SisMob-BH para classificar e comparar resultados) - acesse "acessibilidade em ônibus urbano (escala)"
obs.2: resultado de 2014 conforme JOINVILLE(2016a)</v>
      </c>
      <c r="G926" s="110" t="str">
        <f>'Q100e-FrotaOnibus'!Z6</f>
        <v>registro na fonte</v>
      </c>
      <c r="H926" s="57" t="s">
        <v>819</v>
      </c>
      <c r="I926" s="167" t="s">
        <v>432</v>
      </c>
      <c r="J926" s="107" t="s">
        <v>432</v>
      </c>
      <c r="K926" s="107" t="s">
        <v>432</v>
      </c>
      <c r="L926" s="107" t="s">
        <v>432</v>
      </c>
      <c r="M926" s="107" t="s">
        <v>432</v>
      </c>
      <c r="N926" s="107" t="s">
        <v>432</v>
      </c>
      <c r="O926" s="107" t="s">
        <v>432</v>
      </c>
      <c r="P926" s="107" t="s">
        <v>432</v>
      </c>
      <c r="Q926" s="107" t="s">
        <v>432</v>
      </c>
      <c r="R926" s="107" t="s">
        <v>432</v>
      </c>
      <c r="S926" s="109" t="s">
        <v>2209</v>
      </c>
      <c r="T926" s="107" t="s">
        <v>432</v>
      </c>
      <c r="U926" s="107" t="s">
        <v>432</v>
      </c>
      <c r="V926" s="109" t="s">
        <v>2209</v>
      </c>
      <c r="W926" s="107" t="s">
        <v>432</v>
      </c>
      <c r="X926" s="107" t="s">
        <v>432</v>
      </c>
      <c r="Y926" s="107" t="s">
        <v>432</v>
      </c>
      <c r="Z926" s="107" t="s">
        <v>432</v>
      </c>
      <c r="AA926" s="107" t="s">
        <v>432</v>
      </c>
      <c r="AB926" s="107" t="s">
        <v>432</v>
      </c>
      <c r="AC926" s="107" t="s">
        <v>432</v>
      </c>
      <c r="AD926" s="107" t="s">
        <v>432</v>
      </c>
      <c r="AE926" s="107" t="s">
        <v>432</v>
      </c>
      <c r="AF926" s="107" t="s">
        <v>432</v>
      </c>
      <c r="AG926" s="107" t="s">
        <v>432</v>
      </c>
      <c r="AH926" s="107" t="s">
        <v>2082</v>
      </c>
      <c r="AI926" s="107" t="s">
        <v>2082</v>
      </c>
      <c r="AJ926" s="92">
        <v>241</v>
      </c>
      <c r="AK926" s="107" t="s">
        <v>2082</v>
      </c>
      <c r="AL926" s="600" t="s">
        <v>432</v>
      </c>
      <c r="AM926" s="137" t="s">
        <v>432</v>
      </c>
      <c r="AN926" s="137" t="s">
        <v>432</v>
      </c>
      <c r="AO926" s="137" t="s">
        <v>432</v>
      </c>
      <c r="AP926" s="137" t="s">
        <v>432</v>
      </c>
      <c r="AQ926" s="137" t="s">
        <v>432</v>
      </c>
      <c r="AR926" s="137" t="s">
        <v>432</v>
      </c>
      <c r="AS926" s="137" t="s">
        <v>432</v>
      </c>
      <c r="AT926" s="137" t="s">
        <v>432</v>
      </c>
      <c r="AU926" s="137" t="s">
        <v>432</v>
      </c>
      <c r="AV926" s="137" t="s">
        <v>432</v>
      </c>
      <c r="AW926" s="137" t="s">
        <v>432</v>
      </c>
      <c r="AX926" s="137" t="s">
        <v>432</v>
      </c>
      <c r="AY926" s="137" t="s">
        <v>432</v>
      </c>
      <c r="AZ926" s="137" t="s">
        <v>432</v>
      </c>
      <c r="BA926" s="137" t="s">
        <v>432</v>
      </c>
      <c r="BB926" s="239" t="str">
        <f t="shared" si="224"/>
        <v>Sistema de transporte coletivo com um todoacessibilidade</v>
      </c>
      <c r="BC926" s="239" t="str">
        <f t="shared" si="225"/>
        <v>Sistema de transporte coletivo com um todoacessibilidadebenchmarking</v>
      </c>
      <c r="BD926" s="239" t="str">
        <f t="shared" si="226"/>
        <v>Sistema de transporte coletivo com um todobenchmarking</v>
      </c>
    </row>
    <row r="927" spans="1:67" s="1" customFormat="1" ht="63.75" x14ac:dyDescent="0.25">
      <c r="A927" s="275" t="str">
        <f>'Q100b-totais'!B62</f>
        <v>8.10</v>
      </c>
      <c r="B927" s="54" t="str">
        <f>'Q100b-totais'!C62</f>
        <v>Sistema de transporte coletivo com um todo</v>
      </c>
      <c r="C927" s="230" t="s">
        <v>743</v>
      </c>
      <c r="D927" s="1406" t="s">
        <v>2231</v>
      </c>
      <c r="E927" s="254" t="str">
        <f>'Q100e-FrotaOnibus'!AF5</f>
        <v>RMBH metropolitano</v>
      </c>
      <c r="F927" s="1151" t="s">
        <v>5390</v>
      </c>
      <c r="G927" s="167" t="s">
        <v>5166</v>
      </c>
      <c r="H927" s="57" t="s">
        <v>2408</v>
      </c>
      <c r="I927" s="167" t="s">
        <v>432</v>
      </c>
      <c r="J927" s="107" t="s">
        <v>432</v>
      </c>
      <c r="K927" s="107" t="s">
        <v>432</v>
      </c>
      <c r="L927" s="107" t="s">
        <v>432</v>
      </c>
      <c r="M927" s="107" t="s">
        <v>432</v>
      </c>
      <c r="N927" s="107" t="s">
        <v>432</v>
      </c>
      <c r="O927" s="107" t="s">
        <v>432</v>
      </c>
      <c r="P927" s="107" t="s">
        <v>432</v>
      </c>
      <c r="Q927" s="107" t="s">
        <v>432</v>
      </c>
      <c r="R927" s="107" t="s">
        <v>432</v>
      </c>
      <c r="S927" s="109" t="s">
        <v>2209</v>
      </c>
      <c r="T927" s="107" t="s">
        <v>432</v>
      </c>
      <c r="U927" s="107" t="s">
        <v>432</v>
      </c>
      <c r="V927" s="109" t="s">
        <v>2209</v>
      </c>
      <c r="W927" s="107" t="s">
        <v>432</v>
      </c>
      <c r="X927" s="107" t="s">
        <v>432</v>
      </c>
      <c r="Y927" s="107" t="s">
        <v>432</v>
      </c>
      <c r="Z927" s="107" t="s">
        <v>432</v>
      </c>
      <c r="AA927" s="107" t="s">
        <v>432</v>
      </c>
      <c r="AB927" s="107" t="s">
        <v>432</v>
      </c>
      <c r="AC927" s="107" t="s">
        <v>432</v>
      </c>
      <c r="AD927" s="107" t="s">
        <v>432</v>
      </c>
      <c r="AE927" s="107" t="s">
        <v>432</v>
      </c>
      <c r="AF927" s="107" t="s">
        <v>432</v>
      </c>
      <c r="AG927" s="107" t="s">
        <v>432</v>
      </c>
      <c r="AH927" s="107" t="s">
        <v>432</v>
      </c>
      <c r="AI927" s="107" t="s">
        <v>432</v>
      </c>
      <c r="AJ927" s="107" t="s">
        <v>432</v>
      </c>
      <c r="AK927" s="107" t="s">
        <v>432</v>
      </c>
      <c r="AL927" s="600" t="s">
        <v>432</v>
      </c>
      <c r="AM927" s="137" t="s">
        <v>432</v>
      </c>
      <c r="AN927" s="137" t="s">
        <v>432</v>
      </c>
      <c r="AO927" s="137" t="s">
        <v>432</v>
      </c>
      <c r="AP927" s="137" t="s">
        <v>432</v>
      </c>
      <c r="AQ927" s="137" t="s">
        <v>432</v>
      </c>
      <c r="AR927" s="137" t="s">
        <v>432</v>
      </c>
      <c r="AS927" s="137" t="s">
        <v>432</v>
      </c>
      <c r="AT927" s="137" t="s">
        <v>432</v>
      </c>
      <c r="AU927" s="137" t="s">
        <v>432</v>
      </c>
      <c r="AV927" s="137" t="s">
        <v>432</v>
      </c>
      <c r="AW927" s="137" t="s">
        <v>432</v>
      </c>
      <c r="AX927" s="137" t="s">
        <v>432</v>
      </c>
      <c r="AY927" s="137" t="s">
        <v>432</v>
      </c>
      <c r="AZ927" s="137" t="s">
        <v>432</v>
      </c>
      <c r="BA927" s="137" t="s">
        <v>432</v>
      </c>
      <c r="BB927" s="239" t="str">
        <f t="shared" si="224"/>
        <v>Sistema de transporte coletivo com um todoacessibilidade</v>
      </c>
      <c r="BC927" s="239" t="str">
        <f t="shared" si="225"/>
        <v>Sistema de transporte coletivo com um todoacessibilidadesigla/verbete</v>
      </c>
      <c r="BD927" s="239" t="str">
        <f t="shared" si="226"/>
        <v>Sistema de transporte coletivo com um todosigla/verbete</v>
      </c>
    </row>
    <row r="928" spans="1:67" s="1" customFormat="1" ht="63.75" x14ac:dyDescent="0.25">
      <c r="A928" s="275" t="str">
        <f>'Q100b-totais'!B62</f>
        <v>8.10</v>
      </c>
      <c r="B928" s="54" t="str">
        <f>'Q100b-totais'!C62</f>
        <v>Sistema de transporte coletivo com um todo</v>
      </c>
      <c r="C928" s="230" t="s">
        <v>743</v>
      </c>
      <c r="D928" s="325" t="str">
        <f>'Q100e-FrotaOnibus'!AE6</f>
        <v>F tc eh ec</v>
      </c>
      <c r="E928" s="254" t="str">
        <f>'Q100e-FrotaOnibus'!AF6</f>
        <v>RMBH metropolitano</v>
      </c>
      <c r="F928" s="252" t="str">
        <f>'Q100e-FrotaOnibus'!AG6</f>
        <v>frota em n.º de ônibus do transporte coletivo na RMBH do serviço gerenciado pela Setop-MG equipados com elevador hidráulico ["O uso do elevador é exclusivo para cadeirantes" conforme MG(2016a)] e que não operam em plataforma elevada 
obs.1: esta categoria recebe peso 2 (escala de 1 a 10 estabelecida pelo SisMob-BH para classificar e comparar resultados) - acesse "acessibilidade em ônibus urbano (escala)"
obs.2: resultado de outubro/2015 conforme MG(2016a)</v>
      </c>
      <c r="G928" s="773" t="str">
        <f>'Q100e-FrotaOnibus'!AH6</f>
        <v>registro na fonte</v>
      </c>
      <c r="H928" s="57" t="s">
        <v>1298</v>
      </c>
      <c r="I928" s="167">
        <v>1</v>
      </c>
      <c r="J928" s="107" t="s">
        <v>2082</v>
      </c>
      <c r="K928" s="107" t="s">
        <v>2082</v>
      </c>
      <c r="L928" s="107" t="s">
        <v>2082</v>
      </c>
      <c r="M928" s="107" t="s">
        <v>2082</v>
      </c>
      <c r="N928" s="107" t="s">
        <v>2082</v>
      </c>
      <c r="O928" s="107" t="s">
        <v>2082</v>
      </c>
      <c r="P928" s="107" t="s">
        <v>2082</v>
      </c>
      <c r="Q928" s="107" t="s">
        <v>2082</v>
      </c>
      <c r="R928" s="107" t="s">
        <v>2082</v>
      </c>
      <c r="S928" s="109" t="s">
        <v>2209</v>
      </c>
      <c r="T928" s="107" t="s">
        <v>2082</v>
      </c>
      <c r="U928" s="107" t="s">
        <v>2082</v>
      </c>
      <c r="V928" s="109" t="s">
        <v>2209</v>
      </c>
      <c r="W928" s="107" t="s">
        <v>2082</v>
      </c>
      <c r="X928" s="107" t="s">
        <v>2082</v>
      </c>
      <c r="Y928" s="107" t="s">
        <v>2082</v>
      </c>
      <c r="Z928" s="107" t="s">
        <v>2082</v>
      </c>
      <c r="AA928" s="107" t="s">
        <v>2082</v>
      </c>
      <c r="AB928" s="107" t="s">
        <v>2082</v>
      </c>
      <c r="AC928" s="107" t="s">
        <v>2082</v>
      </c>
      <c r="AD928" s="107" t="s">
        <v>2082</v>
      </c>
      <c r="AE928" s="107" t="s">
        <v>2082</v>
      </c>
      <c r="AF928" s="107" t="s">
        <v>2082</v>
      </c>
      <c r="AG928" s="107" t="s">
        <v>2082</v>
      </c>
      <c r="AH928" s="107" t="s">
        <v>2082</v>
      </c>
      <c r="AI928" s="107" t="s">
        <v>2082</v>
      </c>
      <c r="AJ928" s="107" t="s">
        <v>2082</v>
      </c>
      <c r="AK928" s="86">
        <v>1983</v>
      </c>
      <c r="AL928" s="600" t="s">
        <v>432</v>
      </c>
      <c r="AM928" s="137" t="s">
        <v>432</v>
      </c>
      <c r="AN928" s="137" t="s">
        <v>432</v>
      </c>
      <c r="AO928" s="137" t="s">
        <v>432</v>
      </c>
      <c r="AP928" s="137" t="s">
        <v>432</v>
      </c>
      <c r="AQ928" s="137" t="s">
        <v>432</v>
      </c>
      <c r="AR928" s="137" t="s">
        <v>432</v>
      </c>
      <c r="AS928" s="137" t="s">
        <v>432</v>
      </c>
      <c r="AT928" s="137" t="s">
        <v>432</v>
      </c>
      <c r="AU928" s="137" t="s">
        <v>432</v>
      </c>
      <c r="AV928" s="137" t="s">
        <v>432</v>
      </c>
      <c r="AW928" s="137" t="s">
        <v>432</v>
      </c>
      <c r="AX928" s="137" t="s">
        <v>432</v>
      </c>
      <c r="AY928" s="137" t="s">
        <v>432</v>
      </c>
      <c r="AZ928" s="137" t="s">
        <v>432</v>
      </c>
      <c r="BA928" s="137" t="s">
        <v>432</v>
      </c>
      <c r="BB928" s="239" t="str">
        <f t="shared" si="224"/>
        <v>Sistema de transporte coletivo com um todoacessibilidade</v>
      </c>
      <c r="BC928" s="239" t="str">
        <f t="shared" si="225"/>
        <v>Sistema de transporte coletivo com um todoacessibilidadeRMBH</v>
      </c>
      <c r="BD928" s="239" t="str">
        <f t="shared" si="226"/>
        <v>Sistema de transporte coletivo com um todoRMBH</v>
      </c>
    </row>
    <row r="929" spans="1:67" s="201" customFormat="1" ht="89.25" customHeight="1" x14ac:dyDescent="0.25">
      <c r="A929" s="275" t="str">
        <f>'Q100b-totais'!B62</f>
        <v>8.10</v>
      </c>
      <c r="B929" s="54" t="str">
        <f>'Q100b-totais'!C62</f>
        <v>Sistema de transporte coletivo com um todo</v>
      </c>
      <c r="C929" s="230" t="s">
        <v>743</v>
      </c>
      <c r="D929" s="324" t="str">
        <f>'Q100e-FrotaOnibus'!AQ6</f>
        <v>F tc eh ec</v>
      </c>
      <c r="E929" s="254" t="str">
        <f>'Q100e-FrotaOnibus'!AR6</f>
        <v>São Paulo</v>
      </c>
      <c r="F929" s="252" t="str">
        <f>'Q100e-FrotaOnibus'!AS6</f>
        <v>frota em n.º de ônibus do transporte coletivo (estrutural e local) de São Paulo gerenciado pela SPTrans equipados com elevador hidráulico acionado exclusivamente para embarque/desembarque de pessoas em cadeira de rodas e que não operam em plataforma elevada (o embarque/desembarque nunca acontece em nível)
obs.1: os veículos desta categoria recebem peso 2, numa escala de 1 a 10, na classificação definida pelo SisMob-BH para classificar a acessibilidade - acesse "acessibilidade em ônibus urbano (escala)"</v>
      </c>
      <c r="G929" s="58" t="str">
        <f>'Q100e-FrotaOnibus'!AT6</f>
        <v>F tce eh + F tcl eh</v>
      </c>
      <c r="H929" s="57" t="s">
        <v>819</v>
      </c>
      <c r="I929" s="167" t="s">
        <v>432</v>
      </c>
      <c r="J929" s="109" t="s">
        <v>2082</v>
      </c>
      <c r="K929" s="109" t="s">
        <v>2082</v>
      </c>
      <c r="L929" s="109" t="s">
        <v>2082</v>
      </c>
      <c r="M929" s="109" t="s">
        <v>2082</v>
      </c>
      <c r="N929" s="109" t="s">
        <v>2082</v>
      </c>
      <c r="O929" s="109" t="s">
        <v>2082</v>
      </c>
      <c r="P929" s="109" t="s">
        <v>2082</v>
      </c>
      <c r="Q929" s="109" t="s">
        <v>2082</v>
      </c>
      <c r="R929" s="109" t="s">
        <v>2082</v>
      </c>
      <c r="S929" s="109" t="s">
        <v>2209</v>
      </c>
      <c r="T929" s="109" t="s">
        <v>2082</v>
      </c>
      <c r="U929" s="109" t="s">
        <v>2082</v>
      </c>
      <c r="V929" s="109" t="s">
        <v>2209</v>
      </c>
      <c r="W929" s="109" t="s">
        <v>2082</v>
      </c>
      <c r="X929" s="109" t="s">
        <v>2082</v>
      </c>
      <c r="Y929" s="109" t="s">
        <v>2082</v>
      </c>
      <c r="Z929" s="109" t="s">
        <v>2082</v>
      </c>
      <c r="AA929" s="109" t="s">
        <v>2082</v>
      </c>
      <c r="AB929" s="109" t="s">
        <v>2082</v>
      </c>
      <c r="AC929" s="109" t="s">
        <v>2082</v>
      </c>
      <c r="AD929" s="109" t="s">
        <v>2082</v>
      </c>
      <c r="AE929" s="109" t="s">
        <v>2082</v>
      </c>
      <c r="AF929" s="109" t="s">
        <v>2082</v>
      </c>
      <c r="AG929" s="109" t="s">
        <v>2082</v>
      </c>
      <c r="AH929" s="109" t="s">
        <v>2082</v>
      </c>
      <c r="AI929" s="109" t="s">
        <v>2082</v>
      </c>
      <c r="AJ929" s="109" t="s">
        <v>2082</v>
      </c>
      <c r="AK929" s="356">
        <f>AK930+AK931</f>
        <v>7366</v>
      </c>
      <c r="AL929" s="600" t="s">
        <v>432</v>
      </c>
      <c r="AM929" s="137" t="s">
        <v>432</v>
      </c>
      <c r="AN929" s="137" t="s">
        <v>432</v>
      </c>
      <c r="AO929" s="137" t="s">
        <v>432</v>
      </c>
      <c r="AP929" s="137" t="s">
        <v>432</v>
      </c>
      <c r="AQ929" s="137" t="s">
        <v>432</v>
      </c>
      <c r="AR929" s="137" t="s">
        <v>432</v>
      </c>
      <c r="AS929" s="137" t="s">
        <v>432</v>
      </c>
      <c r="AT929" s="137" t="s">
        <v>432</v>
      </c>
      <c r="AU929" s="137" t="s">
        <v>432</v>
      </c>
      <c r="AV929" s="137" t="s">
        <v>432</v>
      </c>
      <c r="AW929" s="137" t="s">
        <v>432</v>
      </c>
      <c r="AX929" s="137" t="s">
        <v>432</v>
      </c>
      <c r="AY929" s="137" t="s">
        <v>432</v>
      </c>
      <c r="AZ929" s="137" t="s">
        <v>432</v>
      </c>
      <c r="BA929" s="137" t="s">
        <v>432</v>
      </c>
      <c r="BB929" s="239" t="str">
        <f t="shared" si="224"/>
        <v>Sistema de transporte coletivo com um todoacessibilidade</v>
      </c>
      <c r="BC929" s="239" t="str">
        <f t="shared" si="225"/>
        <v>Sistema de transporte coletivo com um todoacessibilidadebenchmarking</v>
      </c>
      <c r="BD929" s="239" t="str">
        <f t="shared" si="226"/>
        <v>Sistema de transporte coletivo com um todobenchmarking</v>
      </c>
    </row>
    <row r="930" spans="1:67" s="201" customFormat="1" ht="100.5" customHeight="1" x14ac:dyDescent="0.25">
      <c r="A930" s="275" t="str">
        <f>'Q100b-totais'!B62</f>
        <v>8.10</v>
      </c>
      <c r="B930" s="54" t="str">
        <f>'Q100b-totais'!C62</f>
        <v>Sistema de transporte coletivo com um todo</v>
      </c>
      <c r="C930" s="230" t="s">
        <v>743</v>
      </c>
      <c r="D930" s="324" t="str">
        <f>'Q100e-FrotaOnibus'!AI6</f>
        <v>F tce eh ec</v>
      </c>
      <c r="E930" s="254" t="str">
        <f>'Q100e-FrotaOnibus'!AJ6</f>
        <v>São Paulo</v>
      </c>
      <c r="F930" s="252" t="str">
        <f>'Q100e-FrotaOnibus'!AK6</f>
        <v>frota em n.º de ônibus do transporte coletivo estrutural de São Paulo gerenciado pela SPTrans equipados com elevador hidráulico acionado exclusivamente para embarque/desembarque de pessoas em cadeira de rodas e que não operam em plataforma elevada (o embarque/desembarque nunca acontece em nível)
obs.1: os veículos desta categoria recebem peso 2, numa escala de 1 a 10, na classificação definida pelo SisMob-BH para classificar a acessibilidade - acesse "acessibilidade em ônibus urbano (escala)"
obs.2: resultado de 2015 relativo a 15/07/2016 conforme SP(2016g1)
obs.3: estes ônibus foram todos considerados peso 2 na ausência de evidências de que poderia ser peso 3</v>
      </c>
      <c r="G930" s="1199" t="str">
        <f>'Q100e-FrotaOnibus'!AL6</f>
        <v>registro na fonte</v>
      </c>
      <c r="H930" s="57" t="s">
        <v>819</v>
      </c>
      <c r="I930" s="167" t="s">
        <v>432</v>
      </c>
      <c r="J930" s="109" t="s">
        <v>2082</v>
      </c>
      <c r="K930" s="109" t="s">
        <v>2082</v>
      </c>
      <c r="L930" s="109" t="s">
        <v>2082</v>
      </c>
      <c r="M930" s="109" t="s">
        <v>2082</v>
      </c>
      <c r="N930" s="109" t="s">
        <v>2082</v>
      </c>
      <c r="O930" s="109" t="s">
        <v>2082</v>
      </c>
      <c r="P930" s="109" t="s">
        <v>2082</v>
      </c>
      <c r="Q930" s="109" t="s">
        <v>2082</v>
      </c>
      <c r="R930" s="109" t="s">
        <v>2082</v>
      </c>
      <c r="S930" s="109" t="s">
        <v>2209</v>
      </c>
      <c r="T930" s="109" t="s">
        <v>2082</v>
      </c>
      <c r="U930" s="109" t="s">
        <v>2082</v>
      </c>
      <c r="V930" s="109" t="s">
        <v>2209</v>
      </c>
      <c r="W930" s="109" t="s">
        <v>2082</v>
      </c>
      <c r="X930" s="109" t="s">
        <v>2082</v>
      </c>
      <c r="Y930" s="109" t="s">
        <v>2082</v>
      </c>
      <c r="Z930" s="109" t="s">
        <v>2082</v>
      </c>
      <c r="AA930" s="109" t="s">
        <v>2082</v>
      </c>
      <c r="AB930" s="109" t="s">
        <v>2082</v>
      </c>
      <c r="AC930" s="109" t="s">
        <v>2082</v>
      </c>
      <c r="AD930" s="109" t="s">
        <v>2082</v>
      </c>
      <c r="AE930" s="109" t="s">
        <v>2082</v>
      </c>
      <c r="AF930" s="109" t="s">
        <v>2082</v>
      </c>
      <c r="AG930" s="109" t="s">
        <v>2082</v>
      </c>
      <c r="AH930" s="109" t="s">
        <v>2082</v>
      </c>
      <c r="AI930" s="109" t="s">
        <v>2082</v>
      </c>
      <c r="AJ930" s="109" t="s">
        <v>2082</v>
      </c>
      <c r="AK930" s="92">
        <v>1906</v>
      </c>
      <c r="AL930" s="600" t="s">
        <v>432</v>
      </c>
      <c r="AM930" s="137" t="s">
        <v>432</v>
      </c>
      <c r="AN930" s="137" t="s">
        <v>432</v>
      </c>
      <c r="AO930" s="137" t="s">
        <v>432</v>
      </c>
      <c r="AP930" s="137" t="s">
        <v>432</v>
      </c>
      <c r="AQ930" s="137" t="s">
        <v>432</v>
      </c>
      <c r="AR930" s="137" t="s">
        <v>432</v>
      </c>
      <c r="AS930" s="137" t="s">
        <v>432</v>
      </c>
      <c r="AT930" s="137" t="s">
        <v>432</v>
      </c>
      <c r="AU930" s="137" t="s">
        <v>432</v>
      </c>
      <c r="AV930" s="137" t="s">
        <v>432</v>
      </c>
      <c r="AW930" s="137" t="s">
        <v>432</v>
      </c>
      <c r="AX930" s="137" t="s">
        <v>432</v>
      </c>
      <c r="AY930" s="137" t="s">
        <v>432</v>
      </c>
      <c r="AZ930" s="137" t="s">
        <v>432</v>
      </c>
      <c r="BA930" s="137" t="s">
        <v>432</v>
      </c>
      <c r="BB930" s="239" t="str">
        <f t="shared" si="224"/>
        <v>Sistema de transporte coletivo com um todoacessibilidade</v>
      </c>
      <c r="BC930" s="239" t="str">
        <f t="shared" si="225"/>
        <v>Sistema de transporte coletivo com um todoacessibilidadebenchmarking</v>
      </c>
      <c r="BD930" s="239" t="str">
        <f t="shared" si="226"/>
        <v>Sistema de transporte coletivo com um todobenchmarking</v>
      </c>
    </row>
    <row r="931" spans="1:67" s="201" customFormat="1" ht="95.25" customHeight="1" x14ac:dyDescent="0.25">
      <c r="A931" s="275" t="str">
        <f>'Q100b-totais'!B62</f>
        <v>8.10</v>
      </c>
      <c r="B931" s="54" t="str">
        <f>'Q100b-totais'!C62</f>
        <v>Sistema de transporte coletivo com um todo</v>
      </c>
      <c r="C931" s="230" t="s">
        <v>743</v>
      </c>
      <c r="D931" s="324" t="str">
        <f>'Q100e-FrotaOnibus'!AM6</f>
        <v>F tcl eh ec</v>
      </c>
      <c r="E931" s="254" t="str">
        <f>'Q100e-FrotaOnibus'!AN6</f>
        <v>São Paulo</v>
      </c>
      <c r="F931" s="252" t="str">
        <f>'Q100e-FrotaOnibus'!AO6</f>
        <v>frota em n.º de ônibus do transporte coletivo local de São Paulo gerenciado pela SPTrans equipados com elevador hidráulico acionado exclusivamente para embarque/desembarque de pessoas em cadeira de rodas e que não operam em plataforma elevada (o embarque/desembarque nunca acontece em nível)
obs.1: os veículos desta categoria recebem peso 2, numa escala de 1 a 10, na classificação definida pelo SisMob-BH para classificar a acessibilidade - acesse "acessibilidade em ônibus urbano (escala)"
obs.2: resultado de 2015 relativo a 15/07/2016 conforme SP(2016g2)
obs.3: estes ônibus foram todos considerados peso 2 na ausência de evidências de que poderia ser peso 3</v>
      </c>
      <c r="G931" s="1199" t="str">
        <f>'Q100e-FrotaOnibus'!AP6</f>
        <v>registro na fonte</v>
      </c>
      <c r="H931" s="57" t="s">
        <v>819</v>
      </c>
      <c r="I931" s="167" t="s">
        <v>432</v>
      </c>
      <c r="J931" s="109" t="s">
        <v>2082</v>
      </c>
      <c r="K931" s="109" t="s">
        <v>2082</v>
      </c>
      <c r="L931" s="109" t="s">
        <v>2082</v>
      </c>
      <c r="M931" s="109" t="s">
        <v>2082</v>
      </c>
      <c r="N931" s="109" t="s">
        <v>2082</v>
      </c>
      <c r="O931" s="109" t="s">
        <v>2082</v>
      </c>
      <c r="P931" s="109" t="s">
        <v>2082</v>
      </c>
      <c r="Q931" s="109" t="s">
        <v>2082</v>
      </c>
      <c r="R931" s="109" t="s">
        <v>2082</v>
      </c>
      <c r="S931" s="109" t="s">
        <v>2209</v>
      </c>
      <c r="T931" s="109" t="s">
        <v>2082</v>
      </c>
      <c r="U931" s="109" t="s">
        <v>2082</v>
      </c>
      <c r="V931" s="109" t="s">
        <v>2209</v>
      </c>
      <c r="W931" s="109" t="s">
        <v>2082</v>
      </c>
      <c r="X931" s="109" t="s">
        <v>2082</v>
      </c>
      <c r="Y931" s="109" t="s">
        <v>2082</v>
      </c>
      <c r="Z931" s="109" t="s">
        <v>2082</v>
      </c>
      <c r="AA931" s="109" t="s">
        <v>2082</v>
      </c>
      <c r="AB931" s="109" t="s">
        <v>2082</v>
      </c>
      <c r="AC931" s="109" t="s">
        <v>2082</v>
      </c>
      <c r="AD931" s="109" t="s">
        <v>2082</v>
      </c>
      <c r="AE931" s="109" t="s">
        <v>2082</v>
      </c>
      <c r="AF931" s="109" t="s">
        <v>2082</v>
      </c>
      <c r="AG931" s="109" t="s">
        <v>2082</v>
      </c>
      <c r="AH931" s="109" t="s">
        <v>2082</v>
      </c>
      <c r="AI931" s="109" t="s">
        <v>2082</v>
      </c>
      <c r="AJ931" s="109" t="s">
        <v>2082</v>
      </c>
      <c r="AK931" s="92">
        <v>5460</v>
      </c>
      <c r="AL931" s="600" t="s">
        <v>432</v>
      </c>
      <c r="AM931" s="137" t="s">
        <v>432</v>
      </c>
      <c r="AN931" s="137" t="s">
        <v>432</v>
      </c>
      <c r="AO931" s="137" t="s">
        <v>432</v>
      </c>
      <c r="AP931" s="137" t="s">
        <v>432</v>
      </c>
      <c r="AQ931" s="137" t="s">
        <v>432</v>
      </c>
      <c r="AR931" s="137" t="s">
        <v>432</v>
      </c>
      <c r="AS931" s="137" t="s">
        <v>432</v>
      </c>
      <c r="AT931" s="137" t="s">
        <v>432</v>
      </c>
      <c r="AU931" s="137" t="s">
        <v>432</v>
      </c>
      <c r="AV931" s="137" t="s">
        <v>432</v>
      </c>
      <c r="AW931" s="137" t="s">
        <v>432</v>
      </c>
      <c r="AX931" s="137" t="s">
        <v>432</v>
      </c>
      <c r="AY931" s="137" t="s">
        <v>432</v>
      </c>
      <c r="AZ931" s="137" t="s">
        <v>432</v>
      </c>
      <c r="BA931" s="137" t="s">
        <v>432</v>
      </c>
      <c r="BB931" s="239" t="str">
        <f t="shared" si="224"/>
        <v>Sistema de transporte coletivo com um todoacessibilidade</v>
      </c>
      <c r="BC931" s="239" t="str">
        <f t="shared" si="225"/>
        <v>Sistema de transporte coletivo com um todoacessibilidadebenchmarking</v>
      </c>
      <c r="BD931" s="239" t="str">
        <f t="shared" si="226"/>
        <v>Sistema de transporte coletivo com um todobenchmarking</v>
      </c>
    </row>
    <row r="932" spans="1:67" s="373" customFormat="1" x14ac:dyDescent="0.25">
      <c r="A932" s="383"/>
      <c r="B932" s="384"/>
      <c r="C932" s="384"/>
      <c r="D932" s="719"/>
      <c r="E932" s="1519"/>
      <c r="F932" s="385"/>
      <c r="G932" s="385"/>
      <c r="H932" s="384"/>
      <c r="I932" s="385"/>
      <c r="J932" s="385"/>
      <c r="K932" s="385"/>
      <c r="L932" s="385"/>
      <c r="M932" s="385"/>
      <c r="N932" s="385"/>
      <c r="O932" s="385"/>
      <c r="P932" s="385"/>
      <c r="Q932" s="385"/>
      <c r="R932" s="385"/>
      <c r="S932" s="385"/>
      <c r="T932" s="385"/>
      <c r="U932" s="385"/>
      <c r="V932" s="385"/>
      <c r="W932" s="385"/>
      <c r="X932" s="385"/>
      <c r="Y932" s="385"/>
      <c r="Z932" s="385"/>
      <c r="AA932" s="385"/>
      <c r="AB932" s="385"/>
      <c r="AC932" s="385"/>
      <c r="AD932" s="385"/>
      <c r="AE932" s="385"/>
      <c r="AF932" s="385"/>
      <c r="AG932" s="385"/>
      <c r="AH932" s="385"/>
      <c r="AI932" s="385"/>
      <c r="AJ932" s="385"/>
      <c r="AK932" s="397"/>
      <c r="AL932" s="763" t="s">
        <v>432</v>
      </c>
      <c r="AM932" s="387"/>
      <c r="AN932" s="387"/>
      <c r="AO932" s="387"/>
      <c r="AP932" s="387"/>
      <c r="AQ932" s="387"/>
      <c r="AR932" s="387"/>
      <c r="AS932" s="387"/>
      <c r="AT932" s="387"/>
      <c r="AU932" s="387"/>
      <c r="AV932" s="387"/>
      <c r="AW932" s="387"/>
      <c r="AX932" s="387"/>
      <c r="AY932" s="387"/>
      <c r="AZ932" s="387"/>
      <c r="BA932" s="387"/>
      <c r="BB932" s="388"/>
      <c r="BC932" s="388"/>
      <c r="BD932" s="388"/>
    </row>
    <row r="933" spans="1:67" s="373" customFormat="1" ht="113.25" customHeight="1" x14ac:dyDescent="0.25">
      <c r="A933" s="413" t="str">
        <f>'Q100b-totais'!B62</f>
        <v>8.10</v>
      </c>
      <c r="B933" s="1205" t="str">
        <f>'Q100b-totais'!C62</f>
        <v>Sistema de transporte coletivo com um todo</v>
      </c>
      <c r="C933" s="173" t="s">
        <v>743</v>
      </c>
      <c r="D933" s="325" t="str">
        <f>'Q100e-FrotaOnibus'!D7</f>
        <v>F tc eh ecp</v>
      </c>
      <c r="E933" s="1445" t="str">
        <f>'Q100e-FrotaOnibus'!E7</f>
        <v>x</v>
      </c>
      <c r="F933" s="252" t="str">
        <f>'Q100e-FrotaOnibus'!F7</f>
        <v xml:space="preserve">frota em n.º de ônibus do transporte público coletivo de uma cidade/região equipados com elevador hidráulico que permitem embarque/desembarque não exclusivo de usuários cadeirantes (pessoas em pé podem utilizar o equipamento caso se sintam seguras e o operador permita) e que não operam em plataforma elevada 
obs.1: os veículos desta categoria recebem peso 3, numa escala de 1 a 10, na classificação definida pelo SisMob-BH para classificar a acessibilidade - acesse "acessibilidade em ônibus urbano (escala)"
obs.2: para informações e resultados de municípios/regiões já incorporados ao SisMob-BH acesse "F tc eh ecp" (Belo Horizonte, Curitiba, Joinville, RMBH metropolitano e São Paulo)
</v>
      </c>
      <c r="G933" s="57" t="s">
        <v>3507</v>
      </c>
      <c r="H933" s="167" t="s">
        <v>2408</v>
      </c>
      <c r="I933" s="167" t="s">
        <v>432</v>
      </c>
      <c r="J933" s="107" t="s">
        <v>432</v>
      </c>
      <c r="K933" s="107" t="s">
        <v>432</v>
      </c>
      <c r="L933" s="107" t="s">
        <v>432</v>
      </c>
      <c r="M933" s="107" t="s">
        <v>432</v>
      </c>
      <c r="N933" s="107" t="s">
        <v>432</v>
      </c>
      <c r="O933" s="107" t="s">
        <v>432</v>
      </c>
      <c r="P933" s="107" t="s">
        <v>432</v>
      </c>
      <c r="Q933" s="107" t="s">
        <v>432</v>
      </c>
      <c r="R933" s="107" t="s">
        <v>432</v>
      </c>
      <c r="S933" s="109" t="s">
        <v>2209</v>
      </c>
      <c r="T933" s="108" t="s">
        <v>432</v>
      </c>
      <c r="U933" s="108" t="s">
        <v>432</v>
      </c>
      <c r="V933" s="109" t="s">
        <v>2209</v>
      </c>
      <c r="W933" s="108" t="s">
        <v>432</v>
      </c>
      <c r="X933" s="108" t="s">
        <v>432</v>
      </c>
      <c r="Y933" s="108" t="s">
        <v>432</v>
      </c>
      <c r="Z933" s="108" t="s">
        <v>432</v>
      </c>
      <c r="AA933" s="108" t="s">
        <v>432</v>
      </c>
      <c r="AB933" s="108" t="s">
        <v>432</v>
      </c>
      <c r="AC933" s="108" t="s">
        <v>432</v>
      </c>
      <c r="AD933" s="108" t="s">
        <v>432</v>
      </c>
      <c r="AE933" s="108" t="s">
        <v>432</v>
      </c>
      <c r="AF933" s="108" t="s">
        <v>432</v>
      </c>
      <c r="AG933" s="108" t="s">
        <v>432</v>
      </c>
      <c r="AH933" s="108" t="s">
        <v>432</v>
      </c>
      <c r="AI933" s="108" t="s">
        <v>432</v>
      </c>
      <c r="AJ933" s="108" t="s">
        <v>432</v>
      </c>
      <c r="AK933" s="108" t="s">
        <v>432</v>
      </c>
      <c r="AL933" s="600" t="s">
        <v>432</v>
      </c>
      <c r="AM933" s="137" t="s">
        <v>432</v>
      </c>
      <c r="AN933" s="137" t="s">
        <v>432</v>
      </c>
      <c r="AO933" s="137" t="s">
        <v>432</v>
      </c>
      <c r="AP933" s="137" t="s">
        <v>432</v>
      </c>
      <c r="AQ933" s="137" t="s">
        <v>432</v>
      </c>
      <c r="AR933" s="137" t="s">
        <v>432</v>
      </c>
      <c r="AS933" s="137" t="s">
        <v>432</v>
      </c>
      <c r="AT933" s="137" t="s">
        <v>432</v>
      </c>
      <c r="AU933" s="137" t="s">
        <v>432</v>
      </c>
      <c r="AV933" s="137" t="s">
        <v>432</v>
      </c>
      <c r="AW933" s="137" t="s">
        <v>432</v>
      </c>
      <c r="AX933" s="137" t="s">
        <v>432</v>
      </c>
      <c r="AY933" s="137" t="s">
        <v>432</v>
      </c>
      <c r="AZ933" s="137" t="s">
        <v>432</v>
      </c>
      <c r="BA933" s="137" t="s">
        <v>432</v>
      </c>
      <c r="BB933" s="239" t="str">
        <f>B933&amp;C933</f>
        <v>Sistema de transporte coletivo com um todoacessibilidade</v>
      </c>
      <c r="BC933" s="239" t="str">
        <f t="shared" ref="BC933:BC945" si="227">B933&amp;C933&amp;H933</f>
        <v>Sistema de transporte coletivo com um todoacessibilidadesigla/verbete</v>
      </c>
      <c r="BD933" s="239" t="str">
        <f t="shared" ref="BD933:BD945" si="228">B933&amp;H933</f>
        <v>Sistema de transporte coletivo com um todosigla/verbete</v>
      </c>
    </row>
    <row r="934" spans="1:67" s="373" customFormat="1" ht="113.25" customHeight="1" x14ac:dyDescent="0.25">
      <c r="A934" s="413" t="str">
        <f>'Q100b-totais'!B62</f>
        <v>8.10</v>
      </c>
      <c r="B934" s="1205" t="str">
        <f>'Q100b-totais'!C62</f>
        <v>Sistema de transporte coletivo com um todo</v>
      </c>
      <c r="C934" s="173" t="s">
        <v>743</v>
      </c>
      <c r="D934" s="324" t="str">
        <f>'Q100e-FrotaOnibus'!BL7</f>
        <v>F tc eh ecp</v>
      </c>
      <c r="E934" s="254" t="str">
        <f>'Q100e-FrotaOnibus'!BM7</f>
        <v>Belo Horizonte</v>
      </c>
      <c r="F934" s="252" t="str">
        <f>'Q100e-FrotaOnibus'!BN7</f>
        <v>frota em n.º de ônibus de todo o sistema de transporte coletivo de Belo Horizonte (convencional e suplementar) que tenham chassis fabricado a partir de 2009 (inclusive) e que não operam em plataformas elevadas (o embarque/desembarque nunca acontece em nível e pessoas em pé podem utilizar o elevador para embarque/desembarque caso se sintam seguras e o operador permita)
obs.: esta categoria recebe peso 3, numa escala de 1 a 10, na classificação definida pelo SisMob-BH para classificar a acessibilidade - acesse "acessibilidade em ônibus urbano (escala)"</v>
      </c>
      <c r="G934" s="1318" t="str">
        <f>'Q100e-FrotaOnibus'!BO7</f>
        <v>F tcc eh ecp + F tcs eh ecp</v>
      </c>
      <c r="H934" s="168" t="s">
        <v>432</v>
      </c>
      <c r="I934" s="167">
        <v>1</v>
      </c>
      <c r="J934" s="107" t="s">
        <v>2055</v>
      </c>
      <c r="K934" s="107" t="s">
        <v>2055</v>
      </c>
      <c r="L934" s="107" t="s">
        <v>2055</v>
      </c>
      <c r="M934" s="107" t="s">
        <v>2055</v>
      </c>
      <c r="N934" s="107" t="s">
        <v>2055</v>
      </c>
      <c r="O934" s="107" t="s">
        <v>2055</v>
      </c>
      <c r="P934" s="107" t="s">
        <v>2055</v>
      </c>
      <c r="Q934" s="107" t="s">
        <v>2055</v>
      </c>
      <c r="R934" s="107" t="s">
        <v>2055</v>
      </c>
      <c r="S934" s="109" t="s">
        <v>2209</v>
      </c>
      <c r="T934" s="107" t="s">
        <v>2055</v>
      </c>
      <c r="U934" s="107" t="s">
        <v>2055</v>
      </c>
      <c r="V934" s="109" t="s">
        <v>2209</v>
      </c>
      <c r="W934" s="20">
        <f t="shared" ref="W934:AK934" si="229">W937+W938</f>
        <v>0</v>
      </c>
      <c r="X934" s="20">
        <f t="shared" si="229"/>
        <v>0</v>
      </c>
      <c r="Y934" s="20">
        <f t="shared" si="229"/>
        <v>0</v>
      </c>
      <c r="Z934" s="20">
        <f t="shared" si="229"/>
        <v>0</v>
      </c>
      <c r="AA934" s="20">
        <f t="shared" si="229"/>
        <v>0</v>
      </c>
      <c r="AB934" s="20">
        <f t="shared" si="229"/>
        <v>0</v>
      </c>
      <c r="AC934" s="20">
        <f t="shared" si="229"/>
        <v>0</v>
      </c>
      <c r="AD934" s="20">
        <f t="shared" si="229"/>
        <v>0</v>
      </c>
      <c r="AE934" s="20" t="e">
        <f t="shared" si="229"/>
        <v>#VALUE!</v>
      </c>
      <c r="AF934" s="20" t="e">
        <f t="shared" si="229"/>
        <v>#VALUE!</v>
      </c>
      <c r="AG934" s="20" t="e">
        <f t="shared" si="229"/>
        <v>#VALUE!</v>
      </c>
      <c r="AH934" s="20" t="e">
        <f t="shared" si="229"/>
        <v>#VALUE!</v>
      </c>
      <c r="AI934" s="20" t="e">
        <f t="shared" si="229"/>
        <v>#VALUE!</v>
      </c>
      <c r="AJ934" s="20">
        <f t="shared" si="229"/>
        <v>2103</v>
      </c>
      <c r="AK934" s="20">
        <f t="shared" si="229"/>
        <v>2175</v>
      </c>
      <c r="AL934" s="600"/>
      <c r="AM934" s="137"/>
      <c r="AN934" s="137"/>
      <c r="AO934" s="137"/>
      <c r="AP934" s="137"/>
      <c r="AQ934" s="137"/>
      <c r="AR934" s="137"/>
      <c r="AS934" s="137"/>
      <c r="AT934" s="137"/>
      <c r="AU934" s="137"/>
      <c r="AV934" s="137"/>
      <c r="AW934" s="137"/>
      <c r="AX934" s="137"/>
      <c r="AY934" s="137"/>
      <c r="AZ934" s="137"/>
      <c r="BA934" s="137"/>
      <c r="BB934" s="239"/>
      <c r="BC934" s="239" t="str">
        <f t="shared" si="227"/>
        <v>Sistema de transporte coletivo com um todoacessibilidadex</v>
      </c>
      <c r="BD934" s="239" t="str">
        <f t="shared" si="228"/>
        <v>Sistema de transporte coletivo com um todox</v>
      </c>
    </row>
    <row r="935" spans="1:67" s="373" customFormat="1" ht="113.25" customHeight="1" x14ac:dyDescent="0.25">
      <c r="A935" s="275" t="str">
        <f>'Q100b-totais'!$B$57</f>
        <v>8.5</v>
      </c>
      <c r="B935" s="1205" t="str">
        <f>'Q100b-totais'!$C$57</f>
        <v>Transporte convencional</v>
      </c>
      <c r="C935" s="57" t="s">
        <v>743</v>
      </c>
      <c r="D935" s="325" t="s">
        <v>2140</v>
      </c>
      <c r="E935" s="1521" t="s">
        <v>1306</v>
      </c>
      <c r="F935" s="1151" t="s">
        <v>5387</v>
      </c>
      <c r="G935" s="57" t="s">
        <v>5166</v>
      </c>
      <c r="H935" s="167" t="s">
        <v>2408</v>
      </c>
      <c r="I935" s="167" t="s">
        <v>432</v>
      </c>
      <c r="J935" s="107" t="s">
        <v>432</v>
      </c>
      <c r="K935" s="107" t="s">
        <v>432</v>
      </c>
      <c r="L935" s="107" t="s">
        <v>432</v>
      </c>
      <c r="M935" s="107" t="s">
        <v>432</v>
      </c>
      <c r="N935" s="107" t="s">
        <v>432</v>
      </c>
      <c r="O935" s="107" t="s">
        <v>432</v>
      </c>
      <c r="P935" s="107" t="s">
        <v>432</v>
      </c>
      <c r="Q935" s="107" t="s">
        <v>432</v>
      </c>
      <c r="R935" s="107" t="s">
        <v>432</v>
      </c>
      <c r="S935" s="109" t="s">
        <v>2209</v>
      </c>
      <c r="T935" s="108" t="s">
        <v>432</v>
      </c>
      <c r="U935" s="108" t="s">
        <v>432</v>
      </c>
      <c r="V935" s="109" t="s">
        <v>2209</v>
      </c>
      <c r="W935" s="108" t="s">
        <v>432</v>
      </c>
      <c r="X935" s="108" t="s">
        <v>432</v>
      </c>
      <c r="Y935" s="108" t="s">
        <v>432</v>
      </c>
      <c r="Z935" s="108" t="s">
        <v>432</v>
      </c>
      <c r="AA935" s="108" t="s">
        <v>432</v>
      </c>
      <c r="AB935" s="108" t="s">
        <v>432</v>
      </c>
      <c r="AC935" s="108" t="s">
        <v>432</v>
      </c>
      <c r="AD935" s="108" t="s">
        <v>432</v>
      </c>
      <c r="AE935" s="108" t="s">
        <v>432</v>
      </c>
      <c r="AF935" s="108" t="s">
        <v>432</v>
      </c>
      <c r="AG935" s="108" t="s">
        <v>432</v>
      </c>
      <c r="AH935" s="108" t="s">
        <v>432</v>
      </c>
      <c r="AI935" s="108" t="s">
        <v>432</v>
      </c>
      <c r="AJ935" s="108" t="s">
        <v>432</v>
      </c>
      <c r="AK935" s="108" t="s">
        <v>432</v>
      </c>
      <c r="AL935" s="600" t="s">
        <v>432</v>
      </c>
      <c r="AM935" s="137" t="s">
        <v>432</v>
      </c>
      <c r="AN935" s="137" t="s">
        <v>432</v>
      </c>
      <c r="AO935" s="137" t="s">
        <v>432</v>
      </c>
      <c r="AP935" s="137" t="s">
        <v>432</v>
      </c>
      <c r="AQ935" s="137" t="s">
        <v>432</v>
      </c>
      <c r="AR935" s="137" t="s">
        <v>432</v>
      </c>
      <c r="AS935" s="137" t="s">
        <v>432</v>
      </c>
      <c r="AT935" s="137" t="s">
        <v>432</v>
      </c>
      <c r="AU935" s="137" t="s">
        <v>432</v>
      </c>
      <c r="AV935" s="137" t="s">
        <v>432</v>
      </c>
      <c r="AW935" s="137" t="s">
        <v>432</v>
      </c>
      <c r="AX935" s="137" t="s">
        <v>432</v>
      </c>
      <c r="AY935" s="137" t="s">
        <v>432</v>
      </c>
      <c r="AZ935" s="137" t="s">
        <v>432</v>
      </c>
      <c r="BA935" s="137" t="s">
        <v>432</v>
      </c>
      <c r="BB935" s="239" t="str">
        <f t="shared" ref="BB935:BB945" si="230">B935&amp;C935</f>
        <v>Transporte convencionalacessibilidade</v>
      </c>
      <c r="BC935" s="239" t="str">
        <f t="shared" si="227"/>
        <v>Transporte convencionalacessibilidadesigla/verbete</v>
      </c>
      <c r="BD935" s="239" t="str">
        <f t="shared" si="228"/>
        <v>Transporte convencionalsigla/verbete</v>
      </c>
    </row>
    <row r="936" spans="1:67" s="373" customFormat="1" ht="113.25" customHeight="1" x14ac:dyDescent="0.25">
      <c r="A936" s="275" t="str">
        <f>'Q100b-totais'!$B$57</f>
        <v>8.5</v>
      </c>
      <c r="B936" s="1205" t="str">
        <f>'Q100b-totais'!$C$57</f>
        <v>Transporte convencional</v>
      </c>
      <c r="C936" s="57" t="s">
        <v>743</v>
      </c>
      <c r="D936" s="325" t="s">
        <v>2140</v>
      </c>
      <c r="E936" s="254" t="s">
        <v>1306</v>
      </c>
      <c r="F936" s="1151" t="s">
        <v>5389</v>
      </c>
      <c r="G936" s="57" t="s">
        <v>5166</v>
      </c>
      <c r="H936" s="167" t="s">
        <v>2408</v>
      </c>
      <c r="I936" s="167" t="s">
        <v>432</v>
      </c>
      <c r="J936" s="107" t="s">
        <v>432</v>
      </c>
      <c r="K936" s="107" t="s">
        <v>432</v>
      </c>
      <c r="L936" s="107" t="s">
        <v>432</v>
      </c>
      <c r="M936" s="107" t="s">
        <v>432</v>
      </c>
      <c r="N936" s="107" t="s">
        <v>432</v>
      </c>
      <c r="O936" s="107" t="s">
        <v>432</v>
      </c>
      <c r="P936" s="107" t="s">
        <v>432</v>
      </c>
      <c r="Q936" s="107" t="s">
        <v>432</v>
      </c>
      <c r="R936" s="107" t="s">
        <v>432</v>
      </c>
      <c r="S936" s="109" t="s">
        <v>2209</v>
      </c>
      <c r="T936" s="108" t="s">
        <v>432</v>
      </c>
      <c r="U936" s="108" t="s">
        <v>432</v>
      </c>
      <c r="V936" s="109" t="s">
        <v>2209</v>
      </c>
      <c r="W936" s="108" t="s">
        <v>432</v>
      </c>
      <c r="X936" s="108" t="s">
        <v>432</v>
      </c>
      <c r="Y936" s="108" t="s">
        <v>432</v>
      </c>
      <c r="Z936" s="108" t="s">
        <v>432</v>
      </c>
      <c r="AA936" s="108" t="s">
        <v>432</v>
      </c>
      <c r="AB936" s="108" t="s">
        <v>432</v>
      </c>
      <c r="AC936" s="108" t="s">
        <v>432</v>
      </c>
      <c r="AD936" s="108" t="s">
        <v>432</v>
      </c>
      <c r="AE936" s="108" t="s">
        <v>432</v>
      </c>
      <c r="AF936" s="108" t="s">
        <v>432</v>
      </c>
      <c r="AG936" s="108" t="s">
        <v>432</v>
      </c>
      <c r="AH936" s="108" t="s">
        <v>432</v>
      </c>
      <c r="AI936" s="108" t="s">
        <v>432</v>
      </c>
      <c r="AJ936" s="108" t="s">
        <v>432</v>
      </c>
      <c r="AK936" s="108" t="s">
        <v>432</v>
      </c>
      <c r="AL936" s="600" t="s">
        <v>432</v>
      </c>
      <c r="AM936" s="137" t="s">
        <v>432</v>
      </c>
      <c r="AN936" s="137" t="s">
        <v>432</v>
      </c>
      <c r="AO936" s="137" t="s">
        <v>432</v>
      </c>
      <c r="AP936" s="137" t="s">
        <v>432</v>
      </c>
      <c r="AQ936" s="137" t="s">
        <v>432</v>
      </c>
      <c r="AR936" s="137" t="s">
        <v>432</v>
      </c>
      <c r="AS936" s="137" t="s">
        <v>432</v>
      </c>
      <c r="AT936" s="137" t="s">
        <v>432</v>
      </c>
      <c r="AU936" s="137" t="s">
        <v>432</v>
      </c>
      <c r="AV936" s="137" t="s">
        <v>432</v>
      </c>
      <c r="AW936" s="137" t="s">
        <v>432</v>
      </c>
      <c r="AX936" s="137" t="s">
        <v>432</v>
      </c>
      <c r="AY936" s="137" t="s">
        <v>432</v>
      </c>
      <c r="AZ936" s="137" t="s">
        <v>432</v>
      </c>
      <c r="BA936" s="137" t="s">
        <v>432</v>
      </c>
      <c r="BB936" s="239" t="str">
        <f t="shared" si="230"/>
        <v>Transporte convencionalacessibilidade</v>
      </c>
      <c r="BC936" s="239" t="str">
        <f t="shared" si="227"/>
        <v>Transporte convencionalacessibilidadesigla/verbete</v>
      </c>
      <c r="BD936" s="239" t="str">
        <f t="shared" si="228"/>
        <v>Transporte convencionalsigla/verbete</v>
      </c>
    </row>
    <row r="937" spans="1:67" s="1" customFormat="1" ht="185.25" customHeight="1" x14ac:dyDescent="0.25">
      <c r="A937" s="275" t="str">
        <f>'Q100b-totais'!$B$57</f>
        <v>8.5</v>
      </c>
      <c r="B937" s="1205" t="str">
        <f>'Q100b-totais'!$C$57</f>
        <v>Transporte convencional</v>
      </c>
      <c r="C937" s="57" t="s">
        <v>743</v>
      </c>
      <c r="D937" s="715" t="str">
        <f>'Q100e-FrotaOnibus'!BD7</f>
        <v>F tcc eh ecp</v>
      </c>
      <c r="E937" s="1502" t="str">
        <f>'Q100e-FrotaOnibus'!BE7</f>
        <v>Belo Horizonte</v>
      </c>
      <c r="F937" s="355" t="str">
        <f>'Q100e-FrotaOnibus'!BF7</f>
        <v>frota em n.º de ônibus do transporte coletivo convencional de Belo Horizonte gerenciado pela BHTrans equipados com elevador hidráulico, que tenham chassis fabricado a partir de 2009 (inclusive) e que não operam em plataformas elevadas (o embarque/desembarque nunca acontece em nível e pessoas em pé podem utilizar o elevador para embarque/desembarque caso se sintam seguras e o operador permita)
obs.1: em Belo Horizonte o uso de elevador hidráulico para embarque/desembarque não exclusivo de cadeirantes está definido em portaria (BH,2011a)
obs.2: esta categoria recebe peso 3, numa escala de 1 a 10, na classificação definida pelo SisMob-BH para classificar a acessibilidade - acesse "acessibilidade em ônibus urbano (escala)"
obs.3: de 1993 a 1997 pode-se afirmar que esta quantidade é zero pois a BHTrans determinou em 1997 a retirada dos dividores de fluxo das portas traseiras conforme BHTRANS(1997a/b)  
obs.3: mês de dezembro tomado como referência anual, com resultados de 2009 a 2014 conforme BHTRANS(2015c) e de 2015 conforme BHTRANS(2016c)
obs.4: este tipo de veículo não existia antes de 2009 e, portanto, não há resultadospara esta categoria de 1993 a 2008</v>
      </c>
      <c r="G937" s="110" t="str">
        <f>'Q100e-FrotaOnibus'!BG7</f>
        <v>registro na fonte</v>
      </c>
      <c r="H937" s="173" t="s">
        <v>432</v>
      </c>
      <c r="I937" s="167">
        <v>1</v>
      </c>
      <c r="J937" s="109" t="s">
        <v>2467</v>
      </c>
      <c r="K937" s="109" t="s">
        <v>2467</v>
      </c>
      <c r="L937" s="109" t="s">
        <v>2467</v>
      </c>
      <c r="M937" s="775">
        <v>0</v>
      </c>
      <c r="N937" s="775">
        <v>0</v>
      </c>
      <c r="O937" s="775">
        <v>0</v>
      </c>
      <c r="P937" s="775">
        <v>0</v>
      </c>
      <c r="Q937" s="775">
        <v>0</v>
      </c>
      <c r="R937" s="775">
        <v>0</v>
      </c>
      <c r="S937" s="109" t="s">
        <v>2209</v>
      </c>
      <c r="T937" s="775">
        <v>0</v>
      </c>
      <c r="U937" s="775">
        <v>0</v>
      </c>
      <c r="V937" s="109" t="s">
        <v>2209</v>
      </c>
      <c r="W937" s="775">
        <v>0</v>
      </c>
      <c r="X937" s="775">
        <v>0</v>
      </c>
      <c r="Y937" s="775">
        <v>0</v>
      </c>
      <c r="Z937" s="775">
        <v>0</v>
      </c>
      <c r="AA937" s="775">
        <v>0</v>
      </c>
      <c r="AB937" s="775">
        <v>0</v>
      </c>
      <c r="AC937" s="775">
        <v>0</v>
      </c>
      <c r="AD937" s="775">
        <v>0</v>
      </c>
      <c r="AE937" s="87">
        <v>253</v>
      </c>
      <c r="AF937" s="87">
        <v>708</v>
      </c>
      <c r="AG937" s="87">
        <v>1303</v>
      </c>
      <c r="AH937" s="87">
        <v>1507</v>
      </c>
      <c r="AI937" s="84">
        <v>1715</v>
      </c>
      <c r="AJ937" s="87">
        <v>1834</v>
      </c>
      <c r="AK937" s="87">
        <v>1906</v>
      </c>
      <c r="AL937" s="600" t="s">
        <v>432</v>
      </c>
      <c r="AM937" s="87">
        <v>2224</v>
      </c>
      <c r="AN937" s="137" t="s">
        <v>432</v>
      </c>
      <c r="AO937" s="137" t="s">
        <v>432</v>
      </c>
      <c r="AP937" s="137" t="s">
        <v>432</v>
      </c>
      <c r="AQ937" s="137" t="s">
        <v>432</v>
      </c>
      <c r="AR937" s="137" t="s">
        <v>432</v>
      </c>
      <c r="AS937" s="137" t="s">
        <v>432</v>
      </c>
      <c r="AT937" s="137" t="s">
        <v>432</v>
      </c>
      <c r="AU937" s="137" t="s">
        <v>432</v>
      </c>
      <c r="AV937" s="137" t="s">
        <v>432</v>
      </c>
      <c r="AW937" s="137" t="s">
        <v>432</v>
      </c>
      <c r="AX937" s="137" t="s">
        <v>432</v>
      </c>
      <c r="AY937" s="137" t="s">
        <v>432</v>
      </c>
      <c r="AZ937" s="137" t="s">
        <v>432</v>
      </c>
      <c r="BA937" s="137" t="s">
        <v>432</v>
      </c>
      <c r="BB937" s="239" t="str">
        <f t="shared" si="230"/>
        <v>Transporte convencionalacessibilidade</v>
      </c>
      <c r="BC937" s="239" t="str">
        <f t="shared" si="227"/>
        <v>Transporte convencionalacessibilidadex</v>
      </c>
      <c r="BD937" s="239" t="str">
        <f t="shared" si="228"/>
        <v>Transporte convencionalx</v>
      </c>
    </row>
    <row r="938" spans="1:67" s="1" customFormat="1" ht="153" x14ac:dyDescent="0.25">
      <c r="A938" s="275" t="str">
        <f>'Q100b-totais'!$B$59</f>
        <v>8.7</v>
      </c>
      <c r="B938" s="53" t="str">
        <f>'Q100b-totais'!$C$59</f>
        <v>Transporte de baixa capacidade</v>
      </c>
      <c r="C938" s="229" t="s">
        <v>743</v>
      </c>
      <c r="D938" s="716" t="str">
        <f>'Q100e-FrotaOnibus'!BH7</f>
        <v>F tcs eh ecp</v>
      </c>
      <c r="E938" s="254" t="str">
        <f>'Q100e-FrotaOnibus'!BI7</f>
        <v>Belo Horizonte</v>
      </c>
      <c r="F938" s="252" t="str">
        <f>'Q100e-FrotaOnibus'!BJ7</f>
        <v>frota do transporte coletivo suplementar de Belo Horizonte em n.º de veículos com elevador, que tenham chassis fabricado a partir de 2009 (inclusive) e que não operam em plataformas elevadas (o embarque/desembarque nunca acontece em nível e pessoas em pé podem utilizar o elevador para embarque/desembarque caso se sintam seguras e o operador permita)
obs.1: esta categoria recebe peso 3, numa escala de 1 a 10, na classificação definida pelo SisMob-BH para classificar a acessibilidade - acesse "acessibilidade em ônibus urbano (escala)"
obs.2: o edital de licitação do serviço em 2016 estabelece que "Todos os veículos com o chassi fabricado a partir de 31/01/2009, dotados de plataforma elevatória fa-bricada de acordo com a norma ABNT NBR 15646, devem ser identificados com o adesivo apresentado no Anexo - Manual de Identidade Visual do Veículo - MIVV, de forma a diferenciar os veículos cujo elevador permite a utilização por pessoas com deficiência ou mobilidade reduzida (em pé), dos veículos cujo elevador é acessível apenas para usuários de cadeira de rodas." conforme BHTRANS(2016h, p.64)
obs.3: resultado de dezembro tomado como representativo do ano com resultado de 2014 conforme BHTRANS(2015c), 2015 conforme(BHTRANS,2016p1)</v>
      </c>
      <c r="G938" s="110" t="str">
        <f>'Q100e-FrotaOnibus'!BK7</f>
        <v>registro na fonte</v>
      </c>
      <c r="H938" s="173" t="s">
        <v>432</v>
      </c>
      <c r="I938" s="167">
        <v>1</v>
      </c>
      <c r="J938" s="109" t="s">
        <v>2467</v>
      </c>
      <c r="K938" s="109" t="s">
        <v>2467</v>
      </c>
      <c r="L938" s="109" t="s">
        <v>2467</v>
      </c>
      <c r="M938" s="107" t="s">
        <v>2055</v>
      </c>
      <c r="N938" s="107" t="s">
        <v>2055</v>
      </c>
      <c r="O938" s="107" t="s">
        <v>2055</v>
      </c>
      <c r="P938" s="107" t="s">
        <v>2055</v>
      </c>
      <c r="Q938" s="107" t="s">
        <v>2055</v>
      </c>
      <c r="R938" s="107" t="s">
        <v>2055</v>
      </c>
      <c r="S938" s="109" t="s">
        <v>2209</v>
      </c>
      <c r="T938" s="107" t="s">
        <v>2055</v>
      </c>
      <c r="U938" s="107" t="s">
        <v>2055</v>
      </c>
      <c r="V938" s="109" t="s">
        <v>2209</v>
      </c>
      <c r="W938" s="110">
        <v>0</v>
      </c>
      <c r="X938" s="110">
        <v>0</v>
      </c>
      <c r="Y938" s="110">
        <v>0</v>
      </c>
      <c r="Z938" s="110">
        <v>0</v>
      </c>
      <c r="AA938" s="110">
        <v>0</v>
      </c>
      <c r="AB938" s="110">
        <v>0</v>
      </c>
      <c r="AC938" s="110">
        <v>0</v>
      </c>
      <c r="AD938" s="110">
        <v>0</v>
      </c>
      <c r="AE938" s="622" t="s">
        <v>2148</v>
      </c>
      <c r="AF938" s="622" t="s">
        <v>2148</v>
      </c>
      <c r="AG938" s="622" t="s">
        <v>2148</v>
      </c>
      <c r="AH938" s="622" t="s">
        <v>2148</v>
      </c>
      <c r="AI938" s="622" t="s">
        <v>2148</v>
      </c>
      <c r="AJ938" s="84">
        <v>269</v>
      </c>
      <c r="AK938" s="84">
        <v>269</v>
      </c>
      <c r="AL938" s="600" t="s">
        <v>432</v>
      </c>
      <c r="AM938" s="137" t="s">
        <v>432</v>
      </c>
      <c r="AN938" s="137" t="s">
        <v>432</v>
      </c>
      <c r="AO938" s="137" t="s">
        <v>432</v>
      </c>
      <c r="AP938" s="137" t="s">
        <v>432</v>
      </c>
      <c r="AQ938" s="137" t="s">
        <v>432</v>
      </c>
      <c r="AR938" s="137" t="s">
        <v>432</v>
      </c>
      <c r="AS938" s="137" t="s">
        <v>432</v>
      </c>
      <c r="AT938" s="137" t="s">
        <v>432</v>
      </c>
      <c r="AU938" s="137" t="s">
        <v>432</v>
      </c>
      <c r="AV938" s="137" t="s">
        <v>432</v>
      </c>
      <c r="AW938" s="137" t="s">
        <v>432</v>
      </c>
      <c r="AX938" s="137" t="s">
        <v>432</v>
      </c>
      <c r="AY938" s="137" t="s">
        <v>432</v>
      </c>
      <c r="AZ938" s="137" t="s">
        <v>432</v>
      </c>
      <c r="BA938" s="137" t="s">
        <v>432</v>
      </c>
      <c r="BB938" s="239" t="str">
        <f t="shared" si="230"/>
        <v>Transporte de baixa capacidadeacessibilidade</v>
      </c>
      <c r="BC938" s="239" t="str">
        <f t="shared" si="227"/>
        <v>Transporte de baixa capacidadeacessibilidadex</v>
      </c>
      <c r="BD938" s="239" t="str">
        <f t="shared" si="228"/>
        <v>Transporte de baixa capacidadex</v>
      </c>
      <c r="BM938" s="19"/>
      <c r="BN938" s="19"/>
      <c r="BO938" s="19"/>
    </row>
    <row r="939" spans="1:67" s="1" customFormat="1" ht="98.25" customHeight="1" x14ac:dyDescent="0.25">
      <c r="A939" s="275" t="s">
        <v>982</v>
      </c>
      <c r="B939" s="54" t="s">
        <v>983</v>
      </c>
      <c r="C939" s="230" t="s">
        <v>743</v>
      </c>
      <c r="D939" s="714" t="str">
        <f>'Q100e-FrotaOnibus'!O7</f>
        <v>F tc eh ecp</v>
      </c>
      <c r="E939" s="1498" t="str">
        <f>'Q100e-FrotaOnibus'!P7</f>
        <v>Contagem</v>
      </c>
      <c r="F939" s="252" t="str">
        <f>'Q100e-FrotaOnibus'!Q7</f>
        <v>frota em n.º de ônibus do transporte coletivo de Contagem equipados com elevador hidráulico acionado para "usuários com deficiência ou mobilidade reduzida [...] sempre que necessário" e que não operam em plataforma elevada (o embarque/desembarque nunca acontece em nível e pessoas em pé podem utilizar o elevador para embarque/desembarque caso se sintam seguras e o operador permita)
obs.1: esta categoria recebe peso 3 (escala de 1 a 10 estabelecida pelo SisMob-BH para classificar e comparar resultados) - acesse "acessibilidade em ônibus urbano (escala)"
obs.2: o Sintram, representando os consórcios Norte e Sul,  "orientou as empresas que, quando os veículos possuirem elevadores, favoreçam o embarque/desembarque dos usuários usuários com deficiência ou mobilidade reduzida com a utilização desses elevadores, sempre que necessário" conforme SINTRAN(2013)
obs.3: o resultado de 2014 é relativo a outubro de 2014 conforme VERTRAN(2015a, p.61)</v>
      </c>
      <c r="G939" s="110" t="str">
        <f>'Q100e-FrotaOnibus'!R7</f>
        <v>registro na fonte</v>
      </c>
      <c r="H939" s="173" t="s">
        <v>1298</v>
      </c>
      <c r="I939" s="167">
        <v>1</v>
      </c>
      <c r="J939" s="107" t="s">
        <v>2467</v>
      </c>
      <c r="K939" s="107" t="s">
        <v>2467</v>
      </c>
      <c r="L939" s="107" t="s">
        <v>2467</v>
      </c>
      <c r="M939" s="109" t="s">
        <v>2082</v>
      </c>
      <c r="N939" s="109" t="s">
        <v>2082</v>
      </c>
      <c r="O939" s="109" t="s">
        <v>2082</v>
      </c>
      <c r="P939" s="109" t="s">
        <v>2082</v>
      </c>
      <c r="Q939" s="109" t="s">
        <v>2082</v>
      </c>
      <c r="R939" s="109" t="s">
        <v>2082</v>
      </c>
      <c r="S939" s="109" t="s">
        <v>2209</v>
      </c>
      <c r="T939" s="109" t="s">
        <v>2082</v>
      </c>
      <c r="U939" s="109" t="s">
        <v>2082</v>
      </c>
      <c r="V939" s="109" t="s">
        <v>2209</v>
      </c>
      <c r="W939" s="109" t="s">
        <v>2082</v>
      </c>
      <c r="X939" s="109" t="s">
        <v>2082</v>
      </c>
      <c r="Y939" s="109" t="s">
        <v>2082</v>
      </c>
      <c r="Z939" s="109" t="s">
        <v>2082</v>
      </c>
      <c r="AA939" s="109" t="s">
        <v>2082</v>
      </c>
      <c r="AB939" s="109" t="s">
        <v>2082</v>
      </c>
      <c r="AC939" s="109" t="s">
        <v>2082</v>
      </c>
      <c r="AD939" s="109" t="s">
        <v>2082</v>
      </c>
      <c r="AE939" s="109" t="s">
        <v>2082</v>
      </c>
      <c r="AF939" s="109" t="s">
        <v>2082</v>
      </c>
      <c r="AG939" s="109" t="s">
        <v>2082</v>
      </c>
      <c r="AH939" s="109" t="s">
        <v>2082</v>
      </c>
      <c r="AI939" s="109" t="s">
        <v>2082</v>
      </c>
      <c r="AJ939" s="84">
        <f>227+75</f>
        <v>302</v>
      </c>
      <c r="AK939" s="109" t="s">
        <v>2082</v>
      </c>
      <c r="AL939" s="600" t="s">
        <v>432</v>
      </c>
      <c r="AM939" s="137" t="s">
        <v>432</v>
      </c>
      <c r="AN939" s="137" t="s">
        <v>432</v>
      </c>
      <c r="AO939" s="137" t="s">
        <v>432</v>
      </c>
      <c r="AP939" s="137" t="s">
        <v>432</v>
      </c>
      <c r="AQ939" s="137" t="s">
        <v>432</v>
      </c>
      <c r="AR939" s="137" t="s">
        <v>432</v>
      </c>
      <c r="AS939" s="137" t="s">
        <v>432</v>
      </c>
      <c r="AT939" s="137" t="s">
        <v>432</v>
      </c>
      <c r="AU939" s="137" t="s">
        <v>432</v>
      </c>
      <c r="AV939" s="137" t="s">
        <v>432</v>
      </c>
      <c r="AW939" s="137" t="s">
        <v>432</v>
      </c>
      <c r="AX939" s="137" t="s">
        <v>432</v>
      </c>
      <c r="AY939" s="137" t="s">
        <v>432</v>
      </c>
      <c r="AZ939" s="137" t="s">
        <v>432</v>
      </c>
      <c r="BA939" s="137" t="s">
        <v>432</v>
      </c>
      <c r="BB939" s="239" t="str">
        <f t="shared" si="230"/>
        <v>Sistema de transporte coletivo com um todoacessibilidade</v>
      </c>
      <c r="BC939" s="239" t="str">
        <f t="shared" si="227"/>
        <v>Sistema de transporte coletivo com um todoacessibilidadeRMBH</v>
      </c>
      <c r="BD939" s="239" t="str">
        <f t="shared" si="228"/>
        <v>Sistema de transporte coletivo com um todoRMBH</v>
      </c>
    </row>
    <row r="940" spans="1:67" s="1" customFormat="1" ht="209.25" customHeight="1" x14ac:dyDescent="0.25">
      <c r="A940" s="275" t="str">
        <f>'Q100b-totais'!B62</f>
        <v>8.10</v>
      </c>
      <c r="B940" s="1205" t="str">
        <f>'Q100b-totais'!C62</f>
        <v>Sistema de transporte coletivo com um todo</v>
      </c>
      <c r="C940" s="230" t="s">
        <v>743</v>
      </c>
      <c r="D940" s="362" t="str">
        <f>'Q100e-FrotaOnibus'!S7</f>
        <v>F tc eh ecp</v>
      </c>
      <c r="E940" s="1502" t="str">
        <f>'Q100e-FrotaOnibus'!T7</f>
        <v>Curitiba</v>
      </c>
      <c r="F940" s="1263" t="str">
        <f>'Q100e-FrotaOnibus'!U7</f>
        <v>frota em n.º de ônibus do transporte coletivo de Curitiba equipados com elevador hidráulico que permitem embarque/desembarque não exclusivo de usuários cadeirantes (pessoas em pé podem utuilizar o equipamento caso se sintam seguras e o operador permita) e que não operam em plataforma elevada 
obs.1: esta categoria recebe peso 3 (escala de 1 a 10 estabelecida pelo SisMob-BH para classificar e comparar resultados) - acesse "acessibilidade em ônibus urbano (escala)"
obs.2: esta é a frota preponderante da RIT de Curitiba gerenciada pela URBS, compondo a totatidade de ônibus articulados 4 portas/padron 3 portas/híbridos que operam no "interbairros; de articulados 4 portas/padron 3 portasmicro especial 3 portas que operam no "alimentador"; de articulados 4 portas/padron 3 portas/micro especial 3 portas no "troncal"; de micro 2 portas/comum 3 portas no "circular Centro"; de híbrido 4 portas/micro especial 3 portas/micro 2 portas no "convencional" conforme BHTRANS(2016f)
obs.3: não mais existem ônibus não acessíveis na frota de 1.368 veículos apresentada em URBS(2016c), mas essa quantidade "se refere a frota operante do ano de 2015, com um percentual de acessibilidade de 92,66% desse número, ou seja, 7,34% dessa frota operante (100 veículos) ainda não estava equipada ccom plataforma elevatória" confrorme URBS(2016d1); por esse motivo, o SisMob-BH acrescentou 100 veículos no resultado do indicador "F tc nac" e diminuiu 100 veículos no resultado do indicador "F tc ecp" de Curitiba</v>
      </c>
      <c r="G940" s="93" t="str">
        <f>'Q100e-FrotaOnibus'!V7</f>
        <v>registro na fonte</v>
      </c>
      <c r="H940" s="57" t="s">
        <v>819</v>
      </c>
      <c r="I940" s="167" t="s">
        <v>432</v>
      </c>
      <c r="J940" s="107" t="s">
        <v>2467</v>
      </c>
      <c r="K940" s="107" t="s">
        <v>2467</v>
      </c>
      <c r="L940" s="107" t="s">
        <v>2467</v>
      </c>
      <c r="M940" s="109" t="s">
        <v>2082</v>
      </c>
      <c r="N940" s="109" t="s">
        <v>2082</v>
      </c>
      <c r="O940" s="109" t="s">
        <v>2082</v>
      </c>
      <c r="P940" s="109" t="s">
        <v>2082</v>
      </c>
      <c r="Q940" s="109" t="s">
        <v>2082</v>
      </c>
      <c r="R940" s="109" t="s">
        <v>2082</v>
      </c>
      <c r="S940" s="109" t="s">
        <v>2209</v>
      </c>
      <c r="T940" s="109" t="s">
        <v>2082</v>
      </c>
      <c r="U940" s="109" t="s">
        <v>2082</v>
      </c>
      <c r="V940" s="109" t="s">
        <v>2209</v>
      </c>
      <c r="W940" s="109" t="s">
        <v>2082</v>
      </c>
      <c r="X940" s="109" t="s">
        <v>2082</v>
      </c>
      <c r="Y940" s="109" t="s">
        <v>2082</v>
      </c>
      <c r="Z940" s="109" t="s">
        <v>2082</v>
      </c>
      <c r="AA940" s="109" t="s">
        <v>2082</v>
      </c>
      <c r="AB940" s="109" t="s">
        <v>2082</v>
      </c>
      <c r="AC940" s="109" t="s">
        <v>2082</v>
      </c>
      <c r="AD940" s="109" t="s">
        <v>2082</v>
      </c>
      <c r="AE940" s="109" t="s">
        <v>2082</v>
      </c>
      <c r="AF940" s="109" t="s">
        <v>2082</v>
      </c>
      <c r="AG940" s="109" t="s">
        <v>2082</v>
      </c>
      <c r="AH940" s="109" t="s">
        <v>2082</v>
      </c>
      <c r="AI940" s="109" t="s">
        <v>2082</v>
      </c>
      <c r="AJ940" s="109" t="s">
        <v>2082</v>
      </c>
      <c r="AK940" s="84">
        <f>101+2+10+83+355+29+5+79+4+9+106+20+116+5-100</f>
        <v>824</v>
      </c>
      <c r="AL940" s="600" t="s">
        <v>432</v>
      </c>
      <c r="AM940" s="137" t="s">
        <v>432</v>
      </c>
      <c r="AN940" s="137" t="s">
        <v>432</v>
      </c>
      <c r="AO940" s="137" t="s">
        <v>432</v>
      </c>
      <c r="AP940" s="137" t="s">
        <v>432</v>
      </c>
      <c r="AQ940" s="137" t="s">
        <v>432</v>
      </c>
      <c r="AR940" s="137" t="s">
        <v>432</v>
      </c>
      <c r="AS940" s="137" t="s">
        <v>432</v>
      </c>
      <c r="AT940" s="137" t="s">
        <v>432</v>
      </c>
      <c r="AU940" s="137" t="s">
        <v>432</v>
      </c>
      <c r="AV940" s="137" t="s">
        <v>432</v>
      </c>
      <c r="AW940" s="137" t="s">
        <v>432</v>
      </c>
      <c r="AX940" s="137" t="s">
        <v>432</v>
      </c>
      <c r="AY940" s="137" t="s">
        <v>432</v>
      </c>
      <c r="AZ940" s="137" t="s">
        <v>432</v>
      </c>
      <c r="BA940" s="137" t="s">
        <v>432</v>
      </c>
      <c r="BB940" s="239" t="str">
        <f t="shared" si="230"/>
        <v>Sistema de transporte coletivo com um todoacessibilidade</v>
      </c>
      <c r="BC940" s="239" t="str">
        <f t="shared" si="227"/>
        <v>Sistema de transporte coletivo com um todoacessibilidadebenchmarking</v>
      </c>
      <c r="BD940" s="239" t="str">
        <f t="shared" si="228"/>
        <v>Sistema de transporte coletivo com um todobenchmarking</v>
      </c>
    </row>
    <row r="941" spans="1:67" s="1" customFormat="1" ht="86.25" customHeight="1" x14ac:dyDescent="0.25">
      <c r="A941" s="275" t="str">
        <f>'Q100b-totais'!B62</f>
        <v>8.10</v>
      </c>
      <c r="B941" s="1205" t="str">
        <f>'Q100b-totais'!C62</f>
        <v>Sistema de transporte coletivo com um todo</v>
      </c>
      <c r="C941" s="230" t="s">
        <v>743</v>
      </c>
      <c r="D941" s="325" t="str">
        <f>'Q100e-FrotaOnibus'!W7</f>
        <v>F tc eh ecp</v>
      </c>
      <c r="E941" s="254" t="str">
        <f>'Q100e-FrotaOnibus'!X7</f>
        <v>Joinville</v>
      </c>
      <c r="F941" s="11" t="str">
        <f>'Q100e-FrotaOnibus'!Y7</f>
        <v>frota em n.º de ônibus do transporte coletivo de Joinville equipados com elevador hidráulico que permitem embarque/desembarque não exclusivo de usuários cadeirantes (pessoas em pé podem utilizar o equipamento caso se sintam seguras e o operador permita) e que não operam em plataforma elevada 
obs.1: esta categoria recebe peso 3 (escala de 1 a 10 estabelecida pelo SisMob-BH para classificar e comparar resultados) - acesse "acessibilidade em ônibus urbano (escala)"
obs.2: pelo menos até 2015 não há ônibus desta categoria em Joinville conforme JOINVILLE(2016a)</v>
      </c>
      <c r="G941" s="110" t="str">
        <f>'Q100e-FrotaOnibus'!Z7</f>
        <v>registro na fonte</v>
      </c>
      <c r="H941" s="57" t="s">
        <v>819</v>
      </c>
      <c r="I941" s="167" t="s">
        <v>432</v>
      </c>
      <c r="J941" s="84">
        <v>0</v>
      </c>
      <c r="K941" s="84">
        <v>0</v>
      </c>
      <c r="L941" s="84">
        <v>0</v>
      </c>
      <c r="M941" s="84">
        <v>0</v>
      </c>
      <c r="N941" s="84">
        <v>0</v>
      </c>
      <c r="O941" s="84">
        <v>0</v>
      </c>
      <c r="P941" s="84">
        <v>0</v>
      </c>
      <c r="Q941" s="84">
        <v>0</v>
      </c>
      <c r="R941" s="84">
        <v>0</v>
      </c>
      <c r="S941" s="109" t="s">
        <v>2209</v>
      </c>
      <c r="T941" s="84">
        <v>0</v>
      </c>
      <c r="U941" s="84">
        <v>0</v>
      </c>
      <c r="V941" s="109" t="s">
        <v>2209</v>
      </c>
      <c r="W941" s="84">
        <v>0</v>
      </c>
      <c r="X941" s="84">
        <v>0</v>
      </c>
      <c r="Y941" s="84">
        <v>0</v>
      </c>
      <c r="Z941" s="84">
        <v>0</v>
      </c>
      <c r="AA941" s="84">
        <v>0</v>
      </c>
      <c r="AB941" s="84">
        <v>0</v>
      </c>
      <c r="AC941" s="84">
        <v>0</v>
      </c>
      <c r="AD941" s="84">
        <v>0</v>
      </c>
      <c r="AE941" s="84">
        <v>0</v>
      </c>
      <c r="AF941" s="84">
        <v>0</v>
      </c>
      <c r="AG941" s="84">
        <v>0</v>
      </c>
      <c r="AH941" s="84">
        <v>0</v>
      </c>
      <c r="AI941" s="84">
        <v>0</v>
      </c>
      <c r="AJ941" s="84">
        <v>0</v>
      </c>
      <c r="AK941" s="84">
        <v>0</v>
      </c>
      <c r="AL941" s="600" t="s">
        <v>432</v>
      </c>
      <c r="AM941" s="137" t="s">
        <v>432</v>
      </c>
      <c r="AN941" s="137" t="s">
        <v>432</v>
      </c>
      <c r="AO941" s="137" t="s">
        <v>432</v>
      </c>
      <c r="AP941" s="137" t="s">
        <v>432</v>
      </c>
      <c r="AQ941" s="137" t="s">
        <v>432</v>
      </c>
      <c r="AR941" s="137" t="s">
        <v>432</v>
      </c>
      <c r="AS941" s="137" t="s">
        <v>432</v>
      </c>
      <c r="AT941" s="137" t="s">
        <v>432</v>
      </c>
      <c r="AU941" s="137" t="s">
        <v>432</v>
      </c>
      <c r="AV941" s="137" t="s">
        <v>432</v>
      </c>
      <c r="AW941" s="137" t="s">
        <v>432</v>
      </c>
      <c r="AX941" s="137" t="s">
        <v>432</v>
      </c>
      <c r="AY941" s="137" t="s">
        <v>432</v>
      </c>
      <c r="AZ941" s="137" t="s">
        <v>432</v>
      </c>
      <c r="BA941" s="137" t="s">
        <v>432</v>
      </c>
      <c r="BB941" s="239" t="str">
        <f t="shared" si="230"/>
        <v>Sistema de transporte coletivo com um todoacessibilidade</v>
      </c>
      <c r="BC941" s="239" t="str">
        <f t="shared" si="227"/>
        <v>Sistema de transporte coletivo com um todoacessibilidadebenchmarking</v>
      </c>
      <c r="BD941" s="239" t="str">
        <f t="shared" si="228"/>
        <v>Sistema de transporte coletivo com um todobenchmarking</v>
      </c>
    </row>
    <row r="942" spans="1:67" s="1" customFormat="1" ht="89.25" x14ac:dyDescent="0.25">
      <c r="A942" s="275" t="str">
        <f>'Q100b-totais'!B62</f>
        <v>8.10</v>
      </c>
      <c r="B942" s="1205" t="str">
        <f>'Q100b-totais'!C62</f>
        <v>Sistema de transporte coletivo com um todo</v>
      </c>
      <c r="C942" s="230" t="s">
        <v>743</v>
      </c>
      <c r="D942" s="325" t="str">
        <f>'Q100e-FrotaOnibus'!AE7</f>
        <v>F tc eh ecp</v>
      </c>
      <c r="E942" s="1445" t="str">
        <f>'Q100e-FrotaOnibus'!AF7</f>
        <v>RMBH metropolitano</v>
      </c>
      <c r="F942" s="11" t="str">
        <f>'Q100e-FrotaOnibus'!AG7</f>
        <v>frota em n.º de ônibus do transporte coletivo na RMBH do serviço gerenciado pela Setop-MG equipados com elevador hidráulico que permitem embarque/desembarque não exclusivo de usuários cadeirantes (pessoas em pé podem utilizar o equipamento caso se sintam seguras e o operador permita) e que não operam em plataforma elevada 
obs.1: esta categoria recebe peso 3 (escala de 1 a 10 estabelecida pelo SisMob-BH para classificar e comparar resultados) - acesse "acessibilidade em ônibus urbano (escala)"
obs.2: pelo menos até 2015 não há ônibus desta categoria no transporte coletivo RMBH metropolitano pois em todos os ônibus "O uso do elevador é exclusivo para cadeirantes" conforme MG(2016a)</v>
      </c>
      <c r="G942" s="110" t="str">
        <f>'Q100e-FrotaOnibus'!AH7</f>
        <v>registro na fonte</v>
      </c>
      <c r="H942" s="57" t="s">
        <v>1298</v>
      </c>
      <c r="I942" s="167">
        <v>1</v>
      </c>
      <c r="J942" s="109" t="s">
        <v>2082</v>
      </c>
      <c r="K942" s="109" t="s">
        <v>2082</v>
      </c>
      <c r="L942" s="109" t="s">
        <v>2082</v>
      </c>
      <c r="M942" s="109" t="s">
        <v>2082</v>
      </c>
      <c r="N942" s="109" t="s">
        <v>2082</v>
      </c>
      <c r="O942" s="109" t="s">
        <v>2082</v>
      </c>
      <c r="P942" s="109" t="s">
        <v>2082</v>
      </c>
      <c r="Q942" s="109" t="s">
        <v>2082</v>
      </c>
      <c r="R942" s="109" t="s">
        <v>2082</v>
      </c>
      <c r="S942" s="109" t="s">
        <v>2209</v>
      </c>
      <c r="T942" s="109" t="s">
        <v>2082</v>
      </c>
      <c r="U942" s="109" t="s">
        <v>2082</v>
      </c>
      <c r="V942" s="109" t="s">
        <v>2209</v>
      </c>
      <c r="W942" s="109" t="s">
        <v>2082</v>
      </c>
      <c r="X942" s="109" t="s">
        <v>2082</v>
      </c>
      <c r="Y942" s="109" t="s">
        <v>2082</v>
      </c>
      <c r="Z942" s="109" t="s">
        <v>2082</v>
      </c>
      <c r="AA942" s="109" t="s">
        <v>2082</v>
      </c>
      <c r="AB942" s="109" t="s">
        <v>2082</v>
      </c>
      <c r="AC942" s="109" t="s">
        <v>2082</v>
      </c>
      <c r="AD942" s="109" t="s">
        <v>2082</v>
      </c>
      <c r="AE942" s="109" t="s">
        <v>2082</v>
      </c>
      <c r="AF942" s="109" t="s">
        <v>2082</v>
      </c>
      <c r="AG942" s="109" t="s">
        <v>2082</v>
      </c>
      <c r="AH942" s="109" t="s">
        <v>2082</v>
      </c>
      <c r="AI942" s="109" t="s">
        <v>2082</v>
      </c>
      <c r="AJ942" s="109" t="s">
        <v>2082</v>
      </c>
      <c r="AK942" s="84">
        <v>0</v>
      </c>
      <c r="AL942" s="600" t="s">
        <v>432</v>
      </c>
      <c r="AM942" s="137" t="s">
        <v>432</v>
      </c>
      <c r="AN942" s="137" t="s">
        <v>432</v>
      </c>
      <c r="AO942" s="137" t="s">
        <v>432</v>
      </c>
      <c r="AP942" s="137" t="s">
        <v>432</v>
      </c>
      <c r="AQ942" s="137" t="s">
        <v>432</v>
      </c>
      <c r="AR942" s="137" t="s">
        <v>432</v>
      </c>
      <c r="AS942" s="137" t="s">
        <v>432</v>
      </c>
      <c r="AT942" s="137" t="s">
        <v>432</v>
      </c>
      <c r="AU942" s="137" t="s">
        <v>432</v>
      </c>
      <c r="AV942" s="137" t="s">
        <v>432</v>
      </c>
      <c r="AW942" s="137" t="s">
        <v>432</v>
      </c>
      <c r="AX942" s="137" t="s">
        <v>432</v>
      </c>
      <c r="AY942" s="137" t="s">
        <v>432</v>
      </c>
      <c r="AZ942" s="137" t="s">
        <v>432</v>
      </c>
      <c r="BA942" s="137" t="s">
        <v>432</v>
      </c>
      <c r="BB942" s="239" t="str">
        <f t="shared" si="230"/>
        <v>Sistema de transporte coletivo com um todoacessibilidade</v>
      </c>
      <c r="BC942" s="239" t="str">
        <f t="shared" si="227"/>
        <v>Sistema de transporte coletivo com um todoacessibilidadeRMBH</v>
      </c>
      <c r="BD942" s="239" t="str">
        <f t="shared" si="228"/>
        <v>Sistema de transporte coletivo com um todoRMBH</v>
      </c>
    </row>
    <row r="943" spans="1:67" s="1" customFormat="1" ht="114.75" customHeight="1" x14ac:dyDescent="0.25">
      <c r="A943" s="275" t="str">
        <f>'Q100b-totais'!B62</f>
        <v>8.10</v>
      </c>
      <c r="B943" s="1205" t="str">
        <f>'Q100b-totais'!C62</f>
        <v>Sistema de transporte coletivo com um todo</v>
      </c>
      <c r="C943" s="230" t="s">
        <v>743</v>
      </c>
      <c r="D943" s="324" t="str">
        <f>'Q100e-FrotaOnibus'!AQ7</f>
        <v>F tc eh ecp</v>
      </c>
      <c r="E943" s="254" t="str">
        <f>'Q100e-FrotaOnibus'!AR7</f>
        <v>São Paulo</v>
      </c>
      <c r="F943" s="252" t="str">
        <f>'Q100e-FrotaOnibus'!AS7</f>
        <v>frota em n.º de ônibus do transporte coletivo (estrutural e local) de São Paulo gerenciado pela SPTrans equipados com elevador hidráulico que permite embarque/desembarque não exclusivo de usuários cadeirantes (pessoas em pé podem utilizar o equipamento caso se sintam seguras e o operador permita) e que não operam em plataforma elevada 
obs.: os veículos desta categoria recebem peso 3, numa escala de 1 a 10, na classificação definida pelo SisMob-BH para classificar a acessibilidade - acesse "acessibilidade em ônibus urbano (escala)"</v>
      </c>
      <c r="G943" s="252" t="str">
        <f>'Q100e-FrotaOnibus'!AT7</f>
        <v>F tce eh ec + F tcl eh ecp</v>
      </c>
      <c r="H943" s="57" t="s">
        <v>819</v>
      </c>
      <c r="I943" s="167" t="s">
        <v>432</v>
      </c>
      <c r="J943" s="109" t="s">
        <v>2082</v>
      </c>
      <c r="K943" s="109" t="s">
        <v>2082</v>
      </c>
      <c r="L943" s="109" t="s">
        <v>2082</v>
      </c>
      <c r="M943" s="109" t="s">
        <v>2082</v>
      </c>
      <c r="N943" s="109" t="s">
        <v>2082</v>
      </c>
      <c r="O943" s="109" t="s">
        <v>2082</v>
      </c>
      <c r="P943" s="109" t="s">
        <v>2082</v>
      </c>
      <c r="Q943" s="109" t="s">
        <v>2082</v>
      </c>
      <c r="R943" s="109" t="s">
        <v>2082</v>
      </c>
      <c r="S943" s="109" t="s">
        <v>2209</v>
      </c>
      <c r="T943" s="109" t="s">
        <v>2082</v>
      </c>
      <c r="U943" s="109" t="s">
        <v>2082</v>
      </c>
      <c r="V943" s="109" t="s">
        <v>2209</v>
      </c>
      <c r="W943" s="109" t="s">
        <v>2082</v>
      </c>
      <c r="X943" s="109" t="s">
        <v>2082</v>
      </c>
      <c r="Y943" s="109" t="s">
        <v>2082</v>
      </c>
      <c r="Z943" s="109" t="s">
        <v>2082</v>
      </c>
      <c r="AA943" s="109" t="s">
        <v>2082</v>
      </c>
      <c r="AB943" s="109" t="s">
        <v>2082</v>
      </c>
      <c r="AC943" s="109" t="s">
        <v>2082</v>
      </c>
      <c r="AD943" s="109" t="s">
        <v>2082</v>
      </c>
      <c r="AE943" s="109" t="s">
        <v>2082</v>
      </c>
      <c r="AF943" s="109" t="s">
        <v>2082</v>
      </c>
      <c r="AG943" s="109" t="s">
        <v>2082</v>
      </c>
      <c r="AH943" s="109" t="s">
        <v>2082</v>
      </c>
      <c r="AI943" s="109" t="s">
        <v>2082</v>
      </c>
      <c r="AJ943" s="109" t="s">
        <v>2082</v>
      </c>
      <c r="AK943" s="23">
        <f>AK944+AK945</f>
        <v>0</v>
      </c>
      <c r="AL943" s="600"/>
      <c r="AM943" s="137" t="s">
        <v>432</v>
      </c>
      <c r="AN943" s="137" t="s">
        <v>432</v>
      </c>
      <c r="AO943" s="137" t="s">
        <v>432</v>
      </c>
      <c r="AP943" s="137" t="s">
        <v>432</v>
      </c>
      <c r="AQ943" s="137" t="s">
        <v>432</v>
      </c>
      <c r="AR943" s="137" t="s">
        <v>432</v>
      </c>
      <c r="AS943" s="137" t="s">
        <v>432</v>
      </c>
      <c r="AT943" s="137" t="s">
        <v>432</v>
      </c>
      <c r="AU943" s="137" t="s">
        <v>432</v>
      </c>
      <c r="AV943" s="137" t="s">
        <v>432</v>
      </c>
      <c r="AW943" s="137" t="s">
        <v>432</v>
      </c>
      <c r="AX943" s="137" t="s">
        <v>432</v>
      </c>
      <c r="AY943" s="137" t="s">
        <v>432</v>
      </c>
      <c r="AZ943" s="137" t="s">
        <v>432</v>
      </c>
      <c r="BA943" s="137" t="s">
        <v>432</v>
      </c>
      <c r="BB943" s="239" t="str">
        <f t="shared" si="230"/>
        <v>Sistema de transporte coletivo com um todoacessibilidade</v>
      </c>
      <c r="BC943" s="239" t="str">
        <f t="shared" si="227"/>
        <v>Sistema de transporte coletivo com um todoacessibilidadebenchmarking</v>
      </c>
      <c r="BD943" s="239" t="str">
        <f t="shared" si="228"/>
        <v>Sistema de transporte coletivo com um todobenchmarking</v>
      </c>
    </row>
    <row r="944" spans="1:67" s="1" customFormat="1" ht="115.5" customHeight="1" x14ac:dyDescent="0.25">
      <c r="A944" s="275" t="str">
        <f>'Q100b-totais'!B62</f>
        <v>8.10</v>
      </c>
      <c r="B944" s="1205" t="str">
        <f>'Q100b-totais'!C62</f>
        <v>Sistema de transporte coletivo com um todo</v>
      </c>
      <c r="C944" s="230" t="s">
        <v>743</v>
      </c>
      <c r="D944" s="324" t="str">
        <f>'Q100e-FrotaOnibus'!AI7</f>
        <v>F tce eh ecp</v>
      </c>
      <c r="E944" s="254" t="str">
        <f>'Q100e-FrotaOnibus'!AJ7</f>
        <v>São Paulo</v>
      </c>
      <c r="F944" s="252" t="str">
        <f>'Q100e-FrotaOnibus'!AK7</f>
        <v>frota em n.º de ônibus do transporte coletivo estrutural de São Paulo gerenciado pela SPTrans equipados com elevador hidráulico que permite embarque/desembarque não exclusivo de usuários cadeirantes (pessoas em pé podem utilizar o equipamento caso se sintam seguras e o operador permita) e que não operam em plataforma elevada 
obs.1: os veículos desta categoria recebem peso 3, numa escala de 1 a 10, na classificação definida pelo SisMob-BH para classificar a acessibilidade - acesse "acessibilidade em ônibus urbano (escala)"
obs.2: resultado de 2015 relativo a 15/07/2016 conforme SP(2016g1), com todos os ônibus com elevador considerados peso 2 na ausência de evidências de que poderiam ser peso 3</v>
      </c>
      <c r="G944" s="110" t="str">
        <f>'Q100e-FrotaOnibus'!AL7</f>
        <v>registro na fonte</v>
      </c>
      <c r="H944" s="57" t="s">
        <v>819</v>
      </c>
      <c r="I944" s="167" t="s">
        <v>432</v>
      </c>
      <c r="J944" s="109" t="s">
        <v>2082</v>
      </c>
      <c r="K944" s="109" t="s">
        <v>2082</v>
      </c>
      <c r="L944" s="109" t="s">
        <v>2082</v>
      </c>
      <c r="M944" s="109" t="s">
        <v>2082</v>
      </c>
      <c r="N944" s="109" t="s">
        <v>2082</v>
      </c>
      <c r="O944" s="109" t="s">
        <v>2082</v>
      </c>
      <c r="P944" s="109" t="s">
        <v>2082</v>
      </c>
      <c r="Q944" s="109" t="s">
        <v>2082</v>
      </c>
      <c r="R944" s="109" t="s">
        <v>2082</v>
      </c>
      <c r="S944" s="109" t="s">
        <v>2209</v>
      </c>
      <c r="T944" s="109" t="s">
        <v>2082</v>
      </c>
      <c r="U944" s="109" t="s">
        <v>2082</v>
      </c>
      <c r="V944" s="109" t="s">
        <v>2209</v>
      </c>
      <c r="W944" s="109" t="s">
        <v>2082</v>
      </c>
      <c r="X944" s="109" t="s">
        <v>2082</v>
      </c>
      <c r="Y944" s="109" t="s">
        <v>2082</v>
      </c>
      <c r="Z944" s="109" t="s">
        <v>2082</v>
      </c>
      <c r="AA944" s="109" t="s">
        <v>2082</v>
      </c>
      <c r="AB944" s="109" t="s">
        <v>2082</v>
      </c>
      <c r="AC944" s="109" t="s">
        <v>2082</v>
      </c>
      <c r="AD944" s="109" t="s">
        <v>2082</v>
      </c>
      <c r="AE944" s="109" t="s">
        <v>2082</v>
      </c>
      <c r="AF944" s="109" t="s">
        <v>2082</v>
      </c>
      <c r="AG944" s="109" t="s">
        <v>2082</v>
      </c>
      <c r="AH944" s="109" t="s">
        <v>2082</v>
      </c>
      <c r="AI944" s="109" t="s">
        <v>2082</v>
      </c>
      <c r="AJ944" s="109" t="s">
        <v>2082</v>
      </c>
      <c r="AK944" s="84">
        <v>0</v>
      </c>
      <c r="AL944" s="600"/>
      <c r="AM944" s="137" t="s">
        <v>432</v>
      </c>
      <c r="AN944" s="137" t="s">
        <v>432</v>
      </c>
      <c r="AO944" s="137" t="s">
        <v>432</v>
      </c>
      <c r="AP944" s="137" t="s">
        <v>432</v>
      </c>
      <c r="AQ944" s="137" t="s">
        <v>432</v>
      </c>
      <c r="AR944" s="137" t="s">
        <v>432</v>
      </c>
      <c r="AS944" s="137" t="s">
        <v>432</v>
      </c>
      <c r="AT944" s="137" t="s">
        <v>432</v>
      </c>
      <c r="AU944" s="137" t="s">
        <v>432</v>
      </c>
      <c r="AV944" s="137" t="s">
        <v>432</v>
      </c>
      <c r="AW944" s="137" t="s">
        <v>432</v>
      </c>
      <c r="AX944" s="137" t="s">
        <v>432</v>
      </c>
      <c r="AY944" s="137" t="s">
        <v>432</v>
      </c>
      <c r="AZ944" s="137" t="s">
        <v>432</v>
      </c>
      <c r="BA944" s="137" t="s">
        <v>432</v>
      </c>
      <c r="BB944" s="239" t="str">
        <f t="shared" si="230"/>
        <v>Sistema de transporte coletivo com um todoacessibilidade</v>
      </c>
      <c r="BC944" s="239" t="str">
        <f t="shared" si="227"/>
        <v>Sistema de transporte coletivo com um todoacessibilidadebenchmarking</v>
      </c>
      <c r="BD944" s="239" t="str">
        <f t="shared" si="228"/>
        <v>Sistema de transporte coletivo com um todobenchmarking</v>
      </c>
    </row>
    <row r="945" spans="1:67" s="1" customFormat="1" ht="117" customHeight="1" x14ac:dyDescent="0.25">
      <c r="A945" s="275" t="str">
        <f>'Q100b-totais'!B62</f>
        <v>8.10</v>
      </c>
      <c r="B945" s="1205" t="str">
        <f>'Q100b-totais'!C62</f>
        <v>Sistema de transporte coletivo com um todo</v>
      </c>
      <c r="C945" s="230" t="s">
        <v>743</v>
      </c>
      <c r="D945" s="324" t="str">
        <f>'Q100e-FrotaOnibus'!AM7</f>
        <v>F tcl eh ecp</v>
      </c>
      <c r="E945" s="254" t="str">
        <f>'Q100e-FrotaOnibus'!AN7</f>
        <v>São Paulo</v>
      </c>
      <c r="F945" s="252" t="str">
        <f>'Q100e-FrotaOnibus'!AO7</f>
        <v>frota em n.º de ônibus do transporte coletivo local de São Paulo gerenciado pela SPTrans equipados com elevador hidráulico que permite embarque/desembarque não exclusivo de usuários cadeirantes (pessoas em pé podem utilizar o equipamento caso se sintam seguras e o operador permita) e que não operam em plataforma elevada 
obs.1: os veículos desta categoria recebem peso 3, numa escala de 1 a 10, na classificação definida pelo SisMob-BH para classificar a acessibilidade - acesse "acessibilidade em ônibus urbano (escala)"
obs.2: resultado de 2015 relativo a 15/07/2016 conforme SP(2016g1), com todos os ônibus com elevador considerados peso 2 na ausência de evidências de que poderiam ser peso 3</v>
      </c>
      <c r="G945" s="110" t="str">
        <f>'Q100e-FrotaOnibus'!AP7</f>
        <v>registro na fonte</v>
      </c>
      <c r="H945" s="57" t="s">
        <v>819</v>
      </c>
      <c r="I945" s="167" t="s">
        <v>432</v>
      </c>
      <c r="J945" s="109" t="s">
        <v>2082</v>
      </c>
      <c r="K945" s="109" t="s">
        <v>2082</v>
      </c>
      <c r="L945" s="109" t="s">
        <v>2082</v>
      </c>
      <c r="M945" s="109" t="s">
        <v>2082</v>
      </c>
      <c r="N945" s="109" t="s">
        <v>2082</v>
      </c>
      <c r="O945" s="109" t="s">
        <v>2082</v>
      </c>
      <c r="P945" s="109" t="s">
        <v>2082</v>
      </c>
      <c r="Q945" s="109" t="s">
        <v>2082</v>
      </c>
      <c r="R945" s="109" t="s">
        <v>2082</v>
      </c>
      <c r="S945" s="109" t="s">
        <v>2209</v>
      </c>
      <c r="T945" s="109" t="s">
        <v>2082</v>
      </c>
      <c r="U945" s="109" t="s">
        <v>2082</v>
      </c>
      <c r="V945" s="109" t="s">
        <v>2209</v>
      </c>
      <c r="W945" s="109" t="s">
        <v>2082</v>
      </c>
      <c r="X945" s="109" t="s">
        <v>2082</v>
      </c>
      <c r="Y945" s="109" t="s">
        <v>2082</v>
      </c>
      <c r="Z945" s="109" t="s">
        <v>2082</v>
      </c>
      <c r="AA945" s="109" t="s">
        <v>2082</v>
      </c>
      <c r="AB945" s="109" t="s">
        <v>2082</v>
      </c>
      <c r="AC945" s="109" t="s">
        <v>2082</v>
      </c>
      <c r="AD945" s="109" t="s">
        <v>2082</v>
      </c>
      <c r="AE945" s="109" t="s">
        <v>2082</v>
      </c>
      <c r="AF945" s="109" t="s">
        <v>2082</v>
      </c>
      <c r="AG945" s="109" t="s">
        <v>2082</v>
      </c>
      <c r="AH945" s="109" t="s">
        <v>2082</v>
      </c>
      <c r="AI945" s="109" t="s">
        <v>2082</v>
      </c>
      <c r="AJ945" s="109" t="s">
        <v>2082</v>
      </c>
      <c r="AK945" s="84">
        <v>0</v>
      </c>
      <c r="AL945" s="600"/>
      <c r="AM945" s="137" t="s">
        <v>432</v>
      </c>
      <c r="AN945" s="137" t="s">
        <v>432</v>
      </c>
      <c r="AO945" s="137" t="s">
        <v>432</v>
      </c>
      <c r="AP945" s="137" t="s">
        <v>432</v>
      </c>
      <c r="AQ945" s="137" t="s">
        <v>432</v>
      </c>
      <c r="AR945" s="137" t="s">
        <v>432</v>
      </c>
      <c r="AS945" s="137" t="s">
        <v>432</v>
      </c>
      <c r="AT945" s="137" t="s">
        <v>432</v>
      </c>
      <c r="AU945" s="137" t="s">
        <v>432</v>
      </c>
      <c r="AV945" s="137" t="s">
        <v>432</v>
      </c>
      <c r="AW945" s="137" t="s">
        <v>432</v>
      </c>
      <c r="AX945" s="137" t="s">
        <v>432</v>
      </c>
      <c r="AY945" s="137" t="s">
        <v>432</v>
      </c>
      <c r="AZ945" s="137" t="s">
        <v>432</v>
      </c>
      <c r="BA945" s="137" t="s">
        <v>432</v>
      </c>
      <c r="BB945" s="239" t="str">
        <f t="shared" si="230"/>
        <v>Sistema de transporte coletivo com um todoacessibilidade</v>
      </c>
      <c r="BC945" s="239" t="str">
        <f t="shared" si="227"/>
        <v>Sistema de transporte coletivo com um todoacessibilidadebenchmarking</v>
      </c>
      <c r="BD945" s="239" t="str">
        <f t="shared" si="228"/>
        <v>Sistema de transporte coletivo com um todobenchmarking</v>
      </c>
    </row>
    <row r="946" spans="1:67" s="373" customFormat="1" x14ac:dyDescent="0.25">
      <c r="A946" s="383"/>
      <c r="B946" s="384"/>
      <c r="C946" s="384"/>
      <c r="D946" s="717"/>
      <c r="E946" s="1518"/>
      <c r="F946" s="384"/>
      <c r="G946" s="384"/>
      <c r="H946" s="385"/>
      <c r="I946" s="385"/>
      <c r="J946" s="384"/>
      <c r="K946" s="384"/>
      <c r="L946" s="384"/>
      <c r="M946" s="384"/>
      <c r="N946" s="384"/>
      <c r="O946" s="384"/>
      <c r="P946" s="384"/>
      <c r="Q946" s="384"/>
      <c r="R946" s="384"/>
      <c r="S946" s="384"/>
      <c r="T946" s="384"/>
      <c r="U946" s="384"/>
      <c r="V946" s="384"/>
      <c r="W946" s="384"/>
      <c r="X946" s="386"/>
      <c r="Y946" s="386"/>
      <c r="Z946" s="386"/>
      <c r="AA946" s="386"/>
      <c r="AB946" s="386"/>
      <c r="AC946" s="386"/>
      <c r="AD946" s="386"/>
      <c r="AE946" s="386"/>
      <c r="AF946" s="386"/>
      <c r="AG946" s="386"/>
      <c r="AH946" s="386"/>
      <c r="AI946" s="386"/>
      <c r="AJ946" s="386"/>
      <c r="AK946" s="386"/>
      <c r="AL946" s="386"/>
      <c r="AM946" s="386"/>
      <c r="AN946" s="387"/>
      <c r="AO946" s="387"/>
      <c r="AP946" s="387"/>
      <c r="AQ946" s="387"/>
      <c r="AR946" s="387"/>
      <c r="AS946" s="387"/>
      <c r="AT946" s="387"/>
      <c r="AU946" s="387"/>
      <c r="AV946" s="387"/>
      <c r="AW946" s="387"/>
      <c r="AX946" s="387"/>
      <c r="AY946" s="387"/>
      <c r="AZ946" s="387"/>
      <c r="BA946" s="387"/>
      <c r="BB946" s="388"/>
      <c r="BC946" s="388"/>
      <c r="BD946" s="388"/>
    </row>
    <row r="947" spans="1:67" s="373" customFormat="1" ht="102" customHeight="1" x14ac:dyDescent="0.25">
      <c r="A947" s="275" t="str">
        <f>'Q100b-totais'!B62</f>
        <v>8.10</v>
      </c>
      <c r="B947" s="1205" t="str">
        <f>'Q100b-totais'!C62</f>
        <v>Sistema de transporte coletivo com um todo</v>
      </c>
      <c r="C947" s="57" t="s">
        <v>743</v>
      </c>
      <c r="D947" s="324" t="str">
        <f>'Q100e-FrotaOnibus'!D33</f>
        <v>F tc en
(n.º)</v>
      </c>
      <c r="E947" s="1445" t="str">
        <f>'Q100e-FrotaOnibus'!E33</f>
        <v>x</v>
      </c>
      <c r="F947" s="252" t="str">
        <f>'Q100e-FrotaOnibus'!F33</f>
        <v>frota em n.º de ônibus do transporte público coletivo de uma cidade/região com embarque/desembarque exclusivamente em nível em todos os pontos de parada, seja com veículo de piso alto (com o uso de plataforma elevada) ou veículo de piso baixo, em ambos os casos com ou sem rampa para transpor a fronteira
obs.: este indicador é obtido com base nos resultados relativos aos veículos que se enquadrarem nas categorias de peso 6, 7, 8, 9 e 10 na escala "acessibilidade em ônibus urbano", ou seja, o resultado de cada cidade/região é a  ∑ n.º de veículos com embarque em nível
obs.2:  para resultados deste indicador acesse Belo Horizonte, Contagem, Curitiba, Joinvile, RMBH</v>
      </c>
      <c r="G947" s="230" t="s">
        <v>3507</v>
      </c>
      <c r="H947" s="167" t="s">
        <v>2408</v>
      </c>
      <c r="I947" s="167" t="s">
        <v>432</v>
      </c>
      <c r="J947" s="107" t="s">
        <v>432</v>
      </c>
      <c r="K947" s="107" t="s">
        <v>432</v>
      </c>
      <c r="L947" s="107" t="s">
        <v>432</v>
      </c>
      <c r="M947" s="107" t="s">
        <v>432</v>
      </c>
      <c r="N947" s="107" t="s">
        <v>432</v>
      </c>
      <c r="O947" s="107" t="s">
        <v>432</v>
      </c>
      <c r="P947" s="107" t="s">
        <v>432</v>
      </c>
      <c r="Q947" s="107" t="s">
        <v>432</v>
      </c>
      <c r="R947" s="107" t="s">
        <v>432</v>
      </c>
      <c r="S947" s="109" t="s">
        <v>2209</v>
      </c>
      <c r="T947" s="108" t="s">
        <v>432</v>
      </c>
      <c r="U947" s="108" t="s">
        <v>432</v>
      </c>
      <c r="V947" s="109" t="s">
        <v>2209</v>
      </c>
      <c r="W947" s="108" t="s">
        <v>432</v>
      </c>
      <c r="X947" s="108" t="s">
        <v>432</v>
      </c>
      <c r="Y947" s="108" t="s">
        <v>432</v>
      </c>
      <c r="Z947" s="108" t="s">
        <v>432</v>
      </c>
      <c r="AA947" s="108" t="s">
        <v>432</v>
      </c>
      <c r="AB947" s="108" t="s">
        <v>432</v>
      </c>
      <c r="AC947" s="108" t="s">
        <v>432</v>
      </c>
      <c r="AD947" s="108" t="s">
        <v>432</v>
      </c>
      <c r="AE947" s="108" t="s">
        <v>432</v>
      </c>
      <c r="AF947" s="108" t="s">
        <v>432</v>
      </c>
      <c r="AG947" s="108" t="s">
        <v>432</v>
      </c>
      <c r="AH947" s="108" t="s">
        <v>432</v>
      </c>
      <c r="AI947" s="108" t="s">
        <v>432</v>
      </c>
      <c r="AJ947" s="108" t="s">
        <v>432</v>
      </c>
      <c r="AK947" s="137" t="s">
        <v>432</v>
      </c>
      <c r="AL947" s="600" t="s">
        <v>432</v>
      </c>
      <c r="AM947" s="137" t="s">
        <v>432</v>
      </c>
      <c r="AN947" s="137" t="s">
        <v>432</v>
      </c>
      <c r="AO947" s="137" t="s">
        <v>432</v>
      </c>
      <c r="AP947" s="137" t="s">
        <v>432</v>
      </c>
      <c r="AQ947" s="137" t="s">
        <v>432</v>
      </c>
      <c r="AR947" s="137" t="s">
        <v>432</v>
      </c>
      <c r="AS947" s="137" t="s">
        <v>432</v>
      </c>
      <c r="AT947" s="137" t="s">
        <v>432</v>
      </c>
      <c r="AU947" s="137" t="s">
        <v>432</v>
      </c>
      <c r="AV947" s="137" t="s">
        <v>432</v>
      </c>
      <c r="AW947" s="137" t="s">
        <v>432</v>
      </c>
      <c r="AX947" s="137" t="s">
        <v>432</v>
      </c>
      <c r="AY947" s="137" t="s">
        <v>432</v>
      </c>
      <c r="AZ947" s="137" t="s">
        <v>432</v>
      </c>
      <c r="BA947" s="137" t="s">
        <v>432</v>
      </c>
      <c r="BB947" s="239" t="str">
        <f t="shared" ref="BB947:BB968" si="231">B947&amp;C947</f>
        <v>Sistema de transporte coletivo com um todoacessibilidade</v>
      </c>
      <c r="BC947" s="239" t="str">
        <f t="shared" ref="BC947:BC968" si="232">B947&amp;C947&amp;H947</f>
        <v>Sistema de transporte coletivo com um todoacessibilidadesigla/verbete</v>
      </c>
      <c r="BD947" s="239" t="str">
        <f t="shared" ref="BD947:BD968" si="233">B947&amp;H947</f>
        <v>Sistema de transporte coletivo com um todosigla/verbete</v>
      </c>
    </row>
    <row r="948" spans="1:67" s="373" customFormat="1" ht="135.75" customHeight="1" x14ac:dyDescent="0.25">
      <c r="A948" s="275" t="str">
        <f>'Q100b-totais'!B62</f>
        <v>8.10</v>
      </c>
      <c r="B948" s="1205" t="str">
        <f>'Q100b-totais'!C62</f>
        <v>Sistema de transporte coletivo com um todo</v>
      </c>
      <c r="C948" s="57" t="s">
        <v>743</v>
      </c>
      <c r="D948" s="324" t="str">
        <f>'Q100e-FrotaOnibus'!D34</f>
        <v>F tc en
(%)</v>
      </c>
      <c r="E948" s="1445" t="str">
        <f>'Q100e-FrotaOnibus'!E34</f>
        <v>x</v>
      </c>
      <c r="F948" s="252" t="str">
        <f>'Q100e-FrotaOnibus'!F34</f>
        <v>percentual da frota de ônibus do transporte público coletivo urbano de uma cidade/região com embarque/desembarque exclusivamente em nível em todos os pontos de parada, seja com veículo de piso alto (com o uso de plataforma elevada) ou veículo de piso baixo, em ambos os casos com ou sem rampa para transpor a fronteira
obs.1: o resultado de cada cidade/região é (∑ n.º de veículos com algum embarque em nível / n.º total de veículos) x 100
obs.2: Em Campo Grande (MS) considera-se que "Outra medida a ser implementada, nas linhas onde forem implementados os corredores de transporte, é o embarque em nível, na qual o passageiro de cadeira de rodas já é elevado ao nível do piso do ônibus antes do embarque – mediante elevadores e/ou rampas, conforme projeto a ser elaborado." conforme CAMPO GRANDE(2015b, p.40)</v>
      </c>
      <c r="G948" s="230" t="s">
        <v>3507</v>
      </c>
      <c r="H948" s="167" t="s">
        <v>2408</v>
      </c>
      <c r="I948" s="167" t="s">
        <v>432</v>
      </c>
      <c r="J948" s="107" t="s">
        <v>432</v>
      </c>
      <c r="K948" s="107" t="s">
        <v>432</v>
      </c>
      <c r="L948" s="107" t="s">
        <v>432</v>
      </c>
      <c r="M948" s="107" t="s">
        <v>432</v>
      </c>
      <c r="N948" s="107" t="s">
        <v>432</v>
      </c>
      <c r="O948" s="107" t="s">
        <v>432</v>
      </c>
      <c r="P948" s="107" t="s">
        <v>432</v>
      </c>
      <c r="Q948" s="107" t="s">
        <v>432</v>
      </c>
      <c r="R948" s="107" t="s">
        <v>432</v>
      </c>
      <c r="S948" s="109" t="s">
        <v>2209</v>
      </c>
      <c r="T948" s="108" t="s">
        <v>432</v>
      </c>
      <c r="U948" s="108" t="s">
        <v>432</v>
      </c>
      <c r="V948" s="109" t="s">
        <v>2209</v>
      </c>
      <c r="W948" s="108" t="s">
        <v>432</v>
      </c>
      <c r="X948" s="108" t="s">
        <v>432</v>
      </c>
      <c r="Y948" s="108" t="s">
        <v>432</v>
      </c>
      <c r="Z948" s="108" t="s">
        <v>432</v>
      </c>
      <c r="AA948" s="108" t="s">
        <v>432</v>
      </c>
      <c r="AB948" s="108" t="s">
        <v>432</v>
      </c>
      <c r="AC948" s="108" t="s">
        <v>432</v>
      </c>
      <c r="AD948" s="108" t="s">
        <v>432</v>
      </c>
      <c r="AE948" s="108" t="s">
        <v>432</v>
      </c>
      <c r="AF948" s="108" t="s">
        <v>432</v>
      </c>
      <c r="AG948" s="108" t="s">
        <v>432</v>
      </c>
      <c r="AH948" s="108" t="s">
        <v>432</v>
      </c>
      <c r="AI948" s="108" t="s">
        <v>432</v>
      </c>
      <c r="AJ948" s="108" t="s">
        <v>432</v>
      </c>
      <c r="AK948" s="137" t="s">
        <v>432</v>
      </c>
      <c r="AL948" s="600" t="s">
        <v>432</v>
      </c>
      <c r="AM948" s="137" t="s">
        <v>432</v>
      </c>
      <c r="AN948" s="137" t="s">
        <v>432</v>
      </c>
      <c r="AO948" s="137" t="s">
        <v>432</v>
      </c>
      <c r="AP948" s="137" t="s">
        <v>432</v>
      </c>
      <c r="AQ948" s="137" t="s">
        <v>432</v>
      </c>
      <c r="AR948" s="137" t="s">
        <v>432</v>
      </c>
      <c r="AS948" s="137" t="s">
        <v>432</v>
      </c>
      <c r="AT948" s="137" t="s">
        <v>432</v>
      </c>
      <c r="AU948" s="137" t="s">
        <v>432</v>
      </c>
      <c r="AV948" s="137" t="s">
        <v>432</v>
      </c>
      <c r="AW948" s="137" t="s">
        <v>432</v>
      </c>
      <c r="AX948" s="137" t="s">
        <v>432</v>
      </c>
      <c r="AY948" s="137" t="s">
        <v>432</v>
      </c>
      <c r="AZ948" s="137" t="s">
        <v>432</v>
      </c>
      <c r="BA948" s="137" t="s">
        <v>432</v>
      </c>
      <c r="BB948" s="239" t="str">
        <f t="shared" si="231"/>
        <v>Sistema de transporte coletivo com um todoacessibilidade</v>
      </c>
      <c r="BC948" s="239" t="str">
        <f t="shared" si="232"/>
        <v>Sistema de transporte coletivo com um todoacessibilidadesigla/verbete</v>
      </c>
      <c r="BD948" s="239" t="str">
        <f t="shared" si="233"/>
        <v>Sistema de transporte coletivo com um todosigla/verbete</v>
      </c>
    </row>
    <row r="949" spans="1:67" s="373" customFormat="1" ht="87.75" customHeight="1" x14ac:dyDescent="0.25">
      <c r="A949" s="275" t="s">
        <v>982</v>
      </c>
      <c r="B949" s="1205" t="s">
        <v>983</v>
      </c>
      <c r="C949" s="57" t="s">
        <v>743</v>
      </c>
      <c r="D949" s="716" t="str">
        <f>'Q100e-FrotaOnibus'!BL33</f>
        <v>F tc en
(n.º)</v>
      </c>
      <c r="E949" s="254" t="str">
        <f>'Q100e-FrotaOnibus'!BM33</f>
        <v>Belo Horizonte</v>
      </c>
      <c r="F949" s="252" t="str">
        <f>'Q100e-FrotaOnibus'!BN33</f>
        <v>frota em n.º de ônibus do transporte coletivo (convencional e suplementar) de Belo Horizonte com embarque/desembarque em nível em todos os pontos de parada, com veículo de piso alto (com uso de plataforma elevada) ou baixo, seja com uso ou não de rampa para transpor fronteira
obs.: como pelo menos até 2015 em Belo Horizonte apenas no transporte convencional há embarque em nível, este indicador é idêntico a "F tcc en (Belo Horizonte)"</v>
      </c>
      <c r="G949" s="111" t="str">
        <f>'Q100e-FrotaOnibus'!BO33</f>
        <v>registro na fonte
=
F tcc en (n.º convencional)</v>
      </c>
      <c r="H949" s="173" t="s">
        <v>432</v>
      </c>
      <c r="I949" s="167">
        <v>1</v>
      </c>
      <c r="J949" s="109" t="s">
        <v>2467</v>
      </c>
      <c r="K949" s="109" t="s">
        <v>2467</v>
      </c>
      <c r="L949" s="109" t="s">
        <v>2467</v>
      </c>
      <c r="M949" s="523">
        <f t="shared" ref="M949:R950" si="234">M951</f>
        <v>0</v>
      </c>
      <c r="N949" s="523">
        <f t="shared" si="234"/>
        <v>0</v>
      </c>
      <c r="O949" s="523">
        <f t="shared" si="234"/>
        <v>0</v>
      </c>
      <c r="P949" s="523">
        <f t="shared" si="234"/>
        <v>0</v>
      </c>
      <c r="Q949" s="523">
        <f t="shared" si="234"/>
        <v>0</v>
      </c>
      <c r="R949" s="523">
        <f t="shared" si="234"/>
        <v>0</v>
      </c>
      <c r="S949" s="109" t="s">
        <v>2209</v>
      </c>
      <c r="T949" s="523">
        <f>T951</f>
        <v>83</v>
      </c>
      <c r="U949" s="523" t="str">
        <f>U951</f>
        <v>ainda não encontrado</v>
      </c>
      <c r="V949" s="109" t="s">
        <v>2209</v>
      </c>
      <c r="W949" s="523">
        <f t="shared" ref="W949:AK949" si="235">W951</f>
        <v>153</v>
      </c>
      <c r="X949" s="523">
        <f t="shared" si="235"/>
        <v>152</v>
      </c>
      <c r="Y949" s="523">
        <f t="shared" si="235"/>
        <v>152</v>
      </c>
      <c r="Z949" s="523">
        <f t="shared" si="235"/>
        <v>152</v>
      </c>
      <c r="AA949" s="523">
        <f t="shared" si="235"/>
        <v>152</v>
      </c>
      <c r="AB949" s="523">
        <f t="shared" si="235"/>
        <v>152</v>
      </c>
      <c r="AC949" s="523">
        <f t="shared" si="235"/>
        <v>152</v>
      </c>
      <c r="AD949" s="523">
        <f t="shared" si="235"/>
        <v>152</v>
      </c>
      <c r="AE949" s="523">
        <f t="shared" si="235"/>
        <v>152</v>
      </c>
      <c r="AF949" s="523">
        <f t="shared" si="235"/>
        <v>83</v>
      </c>
      <c r="AG949" s="523">
        <f t="shared" si="235"/>
        <v>1</v>
      </c>
      <c r="AH949" s="523">
        <f t="shared" si="235"/>
        <v>0</v>
      </c>
      <c r="AI949" s="523">
        <f t="shared" si="235"/>
        <v>0</v>
      </c>
      <c r="AJ949" s="523">
        <f t="shared" si="235"/>
        <v>110</v>
      </c>
      <c r="AK949" s="523">
        <f t="shared" si="235"/>
        <v>110</v>
      </c>
      <c r="AL949" s="600" t="s">
        <v>432</v>
      </c>
      <c r="AM949" s="137" t="s">
        <v>432</v>
      </c>
      <c r="AN949" s="137" t="s">
        <v>432</v>
      </c>
      <c r="AO949" s="137" t="s">
        <v>432</v>
      </c>
      <c r="AP949" s="137" t="s">
        <v>432</v>
      </c>
      <c r="AQ949" s="137" t="s">
        <v>432</v>
      </c>
      <c r="AR949" s="137" t="s">
        <v>432</v>
      </c>
      <c r="AS949" s="137" t="s">
        <v>432</v>
      </c>
      <c r="AT949" s="137" t="s">
        <v>432</v>
      </c>
      <c r="AU949" s="137" t="s">
        <v>432</v>
      </c>
      <c r="AV949" s="137" t="s">
        <v>432</v>
      </c>
      <c r="AW949" s="137" t="s">
        <v>432</v>
      </c>
      <c r="AX949" s="137" t="s">
        <v>432</v>
      </c>
      <c r="AY949" s="137" t="s">
        <v>432</v>
      </c>
      <c r="AZ949" s="137" t="s">
        <v>432</v>
      </c>
      <c r="BA949" s="137" t="s">
        <v>432</v>
      </c>
      <c r="BB949" s="239" t="str">
        <f t="shared" si="231"/>
        <v>Sistema de transporte coletivo com um todoacessibilidade</v>
      </c>
      <c r="BC949" s="239" t="str">
        <f t="shared" si="232"/>
        <v>Sistema de transporte coletivo com um todoacessibilidadex</v>
      </c>
      <c r="BD949" s="239" t="str">
        <f t="shared" si="233"/>
        <v>Sistema de transporte coletivo com um todox</v>
      </c>
    </row>
    <row r="950" spans="1:67" s="373" customFormat="1" ht="94.5" customHeight="1" x14ac:dyDescent="0.25">
      <c r="A950" s="275" t="s">
        <v>982</v>
      </c>
      <c r="B950" s="1205" t="s">
        <v>983</v>
      </c>
      <c r="C950" s="57" t="s">
        <v>743</v>
      </c>
      <c r="D950" s="377" t="str">
        <f>'Q100e-FrotaOnibus'!BL34</f>
        <v>F tc en
(%)</v>
      </c>
      <c r="E950" s="1502" t="str">
        <f>'Q100e-FrotaOnibus'!BM34</f>
        <v>Belo Horizonte</v>
      </c>
      <c r="F950" s="355" t="str">
        <f>'Q100e-FrotaOnibus'!BN34</f>
        <v>percentual da frota de ônibus do transporte coletivo (convencional e suplementar) de Belo Horizonte com embarque/desembarque em nível em todos os pontos de parada
obs.: como pelo menos até 2015 em Belo Horizonte apenas no transporte coletivo convencional há embarque em nível, este indicador é idêntico a "% de frota com embarque exclusivo em nível (convencional BH)"</v>
      </c>
      <c r="G950" s="111" t="str">
        <f>'Q100e-FrotaOnibus'!BO34</f>
        <v>n.º F tc en (%) / n.º F tc</v>
      </c>
      <c r="H950" s="173" t="s">
        <v>432</v>
      </c>
      <c r="I950" s="167">
        <v>1</v>
      </c>
      <c r="J950" s="109" t="s">
        <v>2467</v>
      </c>
      <c r="K950" s="109" t="s">
        <v>2467</v>
      </c>
      <c r="L950" s="109" t="s">
        <v>2467</v>
      </c>
      <c r="M950" s="112">
        <f t="shared" si="234"/>
        <v>0</v>
      </c>
      <c r="N950" s="112">
        <f t="shared" si="234"/>
        <v>0</v>
      </c>
      <c r="O950" s="112">
        <f t="shared" si="234"/>
        <v>0</v>
      </c>
      <c r="P950" s="112">
        <f t="shared" si="234"/>
        <v>0</v>
      </c>
      <c r="Q950" s="112">
        <f t="shared" si="234"/>
        <v>0</v>
      </c>
      <c r="R950" s="112">
        <f t="shared" si="234"/>
        <v>0</v>
      </c>
      <c r="S950" s="109" t="s">
        <v>2209</v>
      </c>
      <c r="T950" s="112">
        <f>T952</f>
        <v>2.8356679193713701E-2</v>
      </c>
      <c r="U950" s="112" t="e">
        <f>U952</f>
        <v>#VALUE!</v>
      </c>
      <c r="V950" s="109" t="s">
        <v>2209</v>
      </c>
      <c r="W950" s="112">
        <f t="shared" ref="W950:AK950" si="236">W949/W862</f>
        <v>4.8037676609105177E-2</v>
      </c>
      <c r="X950" s="112">
        <f t="shared" si="236"/>
        <v>4.8686739269698909E-2</v>
      </c>
      <c r="Y950" s="112">
        <f t="shared" si="236"/>
        <v>4.8253968253968257E-2</v>
      </c>
      <c r="Z950" s="112">
        <f t="shared" si="236"/>
        <v>4.8937540244687702E-2</v>
      </c>
      <c r="AA950" s="112">
        <f t="shared" si="236"/>
        <v>4.8984853367708671E-2</v>
      </c>
      <c r="AB950" s="112">
        <f t="shared" si="236"/>
        <v>4.8874598070739551E-2</v>
      </c>
      <c r="AC950" s="112">
        <f t="shared" si="236"/>
        <v>4.8843187660668377E-2</v>
      </c>
      <c r="AD950" s="112">
        <f t="shared" si="236"/>
        <v>4.8438495857233907E-2</v>
      </c>
      <c r="AE950" s="112">
        <f t="shared" si="236"/>
        <v>4.8376830044557603E-2</v>
      </c>
      <c r="AF950" s="112">
        <f t="shared" si="236"/>
        <v>2.6628168110362529E-2</v>
      </c>
      <c r="AG950" s="112">
        <f t="shared" si="236"/>
        <v>3.0349013657056146E-4</v>
      </c>
      <c r="AH950" s="112">
        <f t="shared" si="236"/>
        <v>0</v>
      </c>
      <c r="AI950" s="112">
        <f t="shared" si="236"/>
        <v>0</v>
      </c>
      <c r="AJ950" s="112">
        <f t="shared" si="236"/>
        <v>3.3333333333333333E-2</v>
      </c>
      <c r="AK950" s="112">
        <f t="shared" si="236"/>
        <v>3.4013605442176874E-2</v>
      </c>
      <c r="AL950" s="600" t="s">
        <v>432</v>
      </c>
      <c r="AM950" s="137" t="s">
        <v>432</v>
      </c>
      <c r="AN950" s="137" t="s">
        <v>432</v>
      </c>
      <c r="AO950" s="137" t="s">
        <v>432</v>
      </c>
      <c r="AP950" s="137" t="s">
        <v>432</v>
      </c>
      <c r="AQ950" s="137" t="s">
        <v>432</v>
      </c>
      <c r="AR950" s="137" t="s">
        <v>432</v>
      </c>
      <c r="AS950" s="137" t="s">
        <v>432</v>
      </c>
      <c r="AT950" s="137" t="s">
        <v>432</v>
      </c>
      <c r="AU950" s="137" t="s">
        <v>432</v>
      </c>
      <c r="AV950" s="137" t="s">
        <v>432</v>
      </c>
      <c r="AW950" s="137" t="s">
        <v>432</v>
      </c>
      <c r="AX950" s="137" t="s">
        <v>432</v>
      </c>
      <c r="AY950" s="137" t="s">
        <v>432</v>
      </c>
      <c r="AZ950" s="137" t="s">
        <v>432</v>
      </c>
      <c r="BA950" s="137" t="s">
        <v>432</v>
      </c>
      <c r="BB950" s="239" t="str">
        <f t="shared" si="231"/>
        <v>Sistema de transporte coletivo com um todoacessibilidade</v>
      </c>
      <c r="BC950" s="239" t="str">
        <f t="shared" si="232"/>
        <v>Sistema de transporte coletivo com um todoacessibilidadex</v>
      </c>
      <c r="BD950" s="239" t="str">
        <f t="shared" si="233"/>
        <v>Sistema de transporte coletivo com um todox</v>
      </c>
    </row>
    <row r="951" spans="1:67" ht="129" customHeight="1" x14ac:dyDescent="0.25">
      <c r="A951" s="275" t="str">
        <f>'Q100b-totais'!$B$57</f>
        <v>8.5</v>
      </c>
      <c r="B951" s="1205" t="str">
        <f>'Q100b-totais'!$C$57</f>
        <v>Transporte convencional</v>
      </c>
      <c r="C951" s="57" t="s">
        <v>743</v>
      </c>
      <c r="D951" s="716" t="str">
        <f>'Q100e-FrotaOnibus'!BD33</f>
        <v xml:space="preserve">F tcc en
(n.º) </v>
      </c>
      <c r="E951" s="254" t="str">
        <f>'Q100e-FrotaOnibus'!BE33</f>
        <v>Belo Horizonte</v>
      </c>
      <c r="F951" s="252" t="str">
        <f>'Q100e-FrotaOnibus'!BF33</f>
        <v>frota em n.º de ônibus do transporte coletivo convencional de Belo Horizonte gerenciado pela BHTrans com embarque/desembarque em nível em todos os pontos de parada, com veículo de piso baixo (de qualquer tipo) ou de piso alto (com plataforma elevada), em ambos os casos com ou sem rampa para transpor a fronteira
 obs.1: em Belo Horizonte pelo menos até 2015 só há embarque em nível em todos os pontos de parada nos ônibus de piso baixo sem rampa (F tcc en s/rampa) e em ônibus de piso alto que operam no BRT puro (F tcc en c/rampa manual) 
obs.2: em 13/05/2016 a BHTrans, em seu processo de revisão do PlanMob, pressupôs indevidamente que todos os ônibus do BRT MOVE são considerados com embarque em nível, incluindo os que operam como BRT misto conforme BHTRANS(2016k)</v>
      </c>
      <c r="G951" s="111" t="str">
        <f>'Q100e-FrotaOnibus'!BG33</f>
        <v xml:space="preserve">F tcc en s/rampa + F tcc en c/rampa manual </v>
      </c>
      <c r="H951" s="173" t="s">
        <v>432</v>
      </c>
      <c r="I951" s="167">
        <v>1</v>
      </c>
      <c r="J951" s="109" t="s">
        <v>2467</v>
      </c>
      <c r="K951" s="109" t="s">
        <v>2467</v>
      </c>
      <c r="L951" s="109" t="s">
        <v>2467</v>
      </c>
      <c r="M951" s="84">
        <v>0</v>
      </c>
      <c r="N951" s="84">
        <v>0</v>
      </c>
      <c r="O951" s="84">
        <v>0</v>
      </c>
      <c r="P951" s="84">
        <v>0</v>
      </c>
      <c r="Q951" s="84">
        <v>0</v>
      </c>
      <c r="R951" s="92">
        <v>0</v>
      </c>
      <c r="S951" s="109" t="s">
        <v>2209</v>
      </c>
      <c r="T951" s="356">
        <f>T994</f>
        <v>83</v>
      </c>
      <c r="U951" s="356" t="str">
        <f>U994</f>
        <v>ainda não encontrado</v>
      </c>
      <c r="V951" s="109" t="s">
        <v>2209</v>
      </c>
      <c r="W951" s="356">
        <f t="shared" ref="W951:AI951" si="237">W994</f>
        <v>153</v>
      </c>
      <c r="X951" s="356">
        <f t="shared" si="237"/>
        <v>152</v>
      </c>
      <c r="Y951" s="356">
        <f t="shared" si="237"/>
        <v>152</v>
      </c>
      <c r="Z951" s="356">
        <f t="shared" si="237"/>
        <v>152</v>
      </c>
      <c r="AA951" s="356">
        <f t="shared" si="237"/>
        <v>152</v>
      </c>
      <c r="AB951" s="356">
        <f t="shared" si="237"/>
        <v>152</v>
      </c>
      <c r="AC951" s="356">
        <f t="shared" si="237"/>
        <v>152</v>
      </c>
      <c r="AD951" s="356">
        <f t="shared" si="237"/>
        <v>152</v>
      </c>
      <c r="AE951" s="356">
        <f t="shared" si="237"/>
        <v>152</v>
      </c>
      <c r="AF951" s="356">
        <f t="shared" si="237"/>
        <v>83</v>
      </c>
      <c r="AG951" s="356">
        <f t="shared" si="237"/>
        <v>1</v>
      </c>
      <c r="AH951" s="356">
        <f t="shared" si="237"/>
        <v>0</v>
      </c>
      <c r="AI951" s="356">
        <f t="shared" si="237"/>
        <v>0</v>
      </c>
      <c r="AJ951" s="356">
        <f>AJ994+AJ971</f>
        <v>110</v>
      </c>
      <c r="AK951" s="356">
        <f>AK994+AK971</f>
        <v>110</v>
      </c>
      <c r="AL951" s="600" t="s">
        <v>432</v>
      </c>
      <c r="AM951" s="356">
        <f>AM994+AM971</f>
        <v>110</v>
      </c>
      <c r="AN951" s="137" t="s">
        <v>432</v>
      </c>
      <c r="AO951" s="137" t="s">
        <v>432</v>
      </c>
      <c r="AP951" s="137" t="s">
        <v>432</v>
      </c>
      <c r="AQ951" s="137" t="s">
        <v>432</v>
      </c>
      <c r="AR951" s="137" t="s">
        <v>432</v>
      </c>
      <c r="AS951" s="137" t="s">
        <v>432</v>
      </c>
      <c r="AT951" s="137" t="s">
        <v>432</v>
      </c>
      <c r="AU951" s="137" t="s">
        <v>432</v>
      </c>
      <c r="AV951" s="137" t="s">
        <v>432</v>
      </c>
      <c r="AW951" s="137" t="s">
        <v>432</v>
      </c>
      <c r="AX951" s="137" t="s">
        <v>432</v>
      </c>
      <c r="AY951" s="137" t="s">
        <v>432</v>
      </c>
      <c r="AZ951" s="137" t="s">
        <v>432</v>
      </c>
      <c r="BA951" s="137" t="s">
        <v>432</v>
      </c>
      <c r="BB951" s="239" t="str">
        <f t="shared" si="231"/>
        <v>Transporte convencionalacessibilidade</v>
      </c>
      <c r="BC951" s="239" t="str">
        <f t="shared" si="232"/>
        <v>Transporte convencionalacessibilidadex</v>
      </c>
      <c r="BD951" s="239" t="str">
        <f t="shared" si="233"/>
        <v>Transporte convencionalx</v>
      </c>
    </row>
    <row r="952" spans="1:67" s="1" customFormat="1" ht="51" x14ac:dyDescent="0.25">
      <c r="A952" s="275" t="str">
        <f>'Q100b-totais'!$B$57</f>
        <v>8.5</v>
      </c>
      <c r="B952" s="54" t="str">
        <f>'Q100b-totais'!$C$57</f>
        <v>Transporte convencional</v>
      </c>
      <c r="C952" s="230" t="s">
        <v>743</v>
      </c>
      <c r="D952" s="377" t="str">
        <f>'Q100e-FrotaOnibus'!BD34</f>
        <v>F tcc en 
(%)</v>
      </c>
      <c r="E952" s="1502" t="str">
        <f>'Q100e-FrotaOnibus'!BE34</f>
        <v>Belo Horizonte</v>
      </c>
      <c r="F952" s="355" t="str">
        <f>'Q100e-FrotaOnibus'!BF34</f>
        <v>percentual da frota de ônibus do transporte coletivo convencional de Belo Horizonte gerenciado pela BHTrans com embarque/desembarque em nível em todos os pontos de parada, com veículo de piso baixo (de qualquer tipo) ou de piso alto (com plataforma elevada), em ambos os casos com ou sem rampa para transpor a fronteira</v>
      </c>
      <c r="G952" s="111" t="str">
        <f>'Q100e-FrotaOnibus'!BG34</f>
        <v>(F tcc en / F tcc) x 100</v>
      </c>
      <c r="H952" s="173" t="s">
        <v>432</v>
      </c>
      <c r="I952" s="167">
        <v>1</v>
      </c>
      <c r="J952" s="109" t="s">
        <v>2467</v>
      </c>
      <c r="K952" s="109" t="s">
        <v>2467</v>
      </c>
      <c r="L952" s="109" t="s">
        <v>2467</v>
      </c>
      <c r="M952" s="125">
        <v>0</v>
      </c>
      <c r="N952" s="125">
        <v>0</v>
      </c>
      <c r="O952" s="125">
        <v>0</v>
      </c>
      <c r="P952" s="125">
        <v>0</v>
      </c>
      <c r="Q952" s="125">
        <v>0</v>
      </c>
      <c r="R952" s="125">
        <v>0</v>
      </c>
      <c r="S952" s="109" t="s">
        <v>2209</v>
      </c>
      <c r="T952" s="112">
        <f>T951/T865</f>
        <v>2.8356679193713701E-2</v>
      </c>
      <c r="U952" s="112" t="e">
        <f>U951/U865</f>
        <v>#VALUE!</v>
      </c>
      <c r="V952" s="109" t="s">
        <v>2209</v>
      </c>
      <c r="W952" s="112">
        <f t="shared" ref="W952:AK952" si="238">W951/W865</f>
        <v>5.2541208791208792E-2</v>
      </c>
      <c r="X952" s="112">
        <f t="shared" si="238"/>
        <v>5.3352053352053355E-2</v>
      </c>
      <c r="Y952" s="112">
        <f t="shared" si="238"/>
        <v>5.3091163115612995E-2</v>
      </c>
      <c r="Z952" s="112">
        <f t="shared" si="238"/>
        <v>5.3919829726853497E-2</v>
      </c>
      <c r="AA952" s="112">
        <f t="shared" si="238"/>
        <v>5.3919829726853497E-2</v>
      </c>
      <c r="AB952" s="112">
        <f t="shared" si="238"/>
        <v>5.3881602268699043E-2</v>
      </c>
      <c r="AC952" s="112">
        <f t="shared" si="238"/>
        <v>5.3843428976266386E-2</v>
      </c>
      <c r="AD952" s="112">
        <f t="shared" si="238"/>
        <v>5.3352053352053355E-2</v>
      </c>
      <c r="AE952" s="112">
        <f t="shared" si="238"/>
        <v>5.3258584442887176E-2</v>
      </c>
      <c r="AF952" s="112">
        <f t="shared" si="238"/>
        <v>2.9307909604519775E-2</v>
      </c>
      <c r="AG952" s="112">
        <f t="shared" si="238"/>
        <v>3.3222591362126248E-4</v>
      </c>
      <c r="AH952" s="112">
        <f t="shared" si="238"/>
        <v>0</v>
      </c>
      <c r="AI952" s="112">
        <f t="shared" si="238"/>
        <v>0</v>
      </c>
      <c r="AJ952" s="112">
        <f t="shared" si="238"/>
        <v>3.6387694343367513E-2</v>
      </c>
      <c r="AK952" s="112">
        <f t="shared" si="238"/>
        <v>3.7162162162162164E-2</v>
      </c>
      <c r="AL952" s="600" t="s">
        <v>432</v>
      </c>
      <c r="AM952" s="112">
        <f>AM951/AM865</f>
        <v>3.7275499830565911E-2</v>
      </c>
      <c r="AN952" s="137" t="s">
        <v>432</v>
      </c>
      <c r="AO952" s="137" t="s">
        <v>432</v>
      </c>
      <c r="AP952" s="137" t="s">
        <v>432</v>
      </c>
      <c r="AQ952" s="137" t="s">
        <v>432</v>
      </c>
      <c r="AR952" s="137" t="s">
        <v>432</v>
      </c>
      <c r="AS952" s="137" t="s">
        <v>432</v>
      </c>
      <c r="AT952" s="137" t="s">
        <v>432</v>
      </c>
      <c r="AU952" s="137" t="s">
        <v>432</v>
      </c>
      <c r="AV952" s="137" t="s">
        <v>432</v>
      </c>
      <c r="AW952" s="137" t="s">
        <v>432</v>
      </c>
      <c r="AX952" s="137" t="s">
        <v>432</v>
      </c>
      <c r="AY952" s="137" t="s">
        <v>432</v>
      </c>
      <c r="AZ952" s="137" t="s">
        <v>432</v>
      </c>
      <c r="BA952" s="137" t="s">
        <v>432</v>
      </c>
      <c r="BB952" s="239" t="str">
        <f t="shared" si="231"/>
        <v>Transporte convencionalacessibilidade</v>
      </c>
      <c r="BC952" s="239" t="str">
        <f t="shared" si="232"/>
        <v>Transporte convencionalacessibilidadex</v>
      </c>
      <c r="BD952" s="239" t="str">
        <f t="shared" si="233"/>
        <v>Transporte convencionalx</v>
      </c>
    </row>
    <row r="953" spans="1:67" ht="72.75" customHeight="1" x14ac:dyDescent="0.25">
      <c r="A953" s="275" t="str">
        <f>'Q100b-totais'!B59</f>
        <v>8.7</v>
      </c>
      <c r="B953" s="54" t="str">
        <f>'Q100b-totais'!C59</f>
        <v>Transporte de baixa capacidade</v>
      </c>
      <c r="C953" s="230" t="s">
        <v>743</v>
      </c>
      <c r="D953" s="716" t="str">
        <f>'Q100e-FrotaOnibus'!BH33</f>
        <v xml:space="preserve">F tcs en
(n.º) </v>
      </c>
      <c r="E953" s="254" t="str">
        <f>'Q100e-FrotaOnibus'!BI33</f>
        <v>Belo Horizonte</v>
      </c>
      <c r="F953" s="252" t="str">
        <f>'Q100e-FrotaOnibus'!BJ33</f>
        <v>frota em n.º de ônibus do transporte coletivo suplementar de Belo Horizonte com embarque/desembarque em nível em todos os pontos de parada com ou sem rampa para transpor a fronteira 
obs.: em Belo Horizonte pelo menos até 2015 não existem veículos com embarque em nível no transporte suplentar e por isto este indicador é sempre "zero"</v>
      </c>
      <c r="G953" s="93" t="str">
        <f>'Q100e-FrotaOnibus'!BK33</f>
        <v>registro na fonte</v>
      </c>
      <c r="H953" s="167" t="s">
        <v>432</v>
      </c>
      <c r="I953" s="167">
        <v>1</v>
      </c>
      <c r="J953" s="109" t="s">
        <v>2467</v>
      </c>
      <c r="K953" s="109" t="s">
        <v>2467</v>
      </c>
      <c r="L953" s="109" t="s">
        <v>2467</v>
      </c>
      <c r="M953" s="107" t="s">
        <v>2055</v>
      </c>
      <c r="N953" s="107" t="s">
        <v>2055</v>
      </c>
      <c r="O953" s="107" t="s">
        <v>2055</v>
      </c>
      <c r="P953" s="107" t="s">
        <v>2055</v>
      </c>
      <c r="Q953" s="107" t="s">
        <v>2055</v>
      </c>
      <c r="R953" s="107" t="s">
        <v>2055</v>
      </c>
      <c r="S953" s="109" t="s">
        <v>2209</v>
      </c>
      <c r="T953" s="107" t="s">
        <v>2055</v>
      </c>
      <c r="U953" s="107" t="s">
        <v>2055</v>
      </c>
      <c r="V953" s="109" t="s">
        <v>2209</v>
      </c>
      <c r="W953" s="88">
        <v>0</v>
      </c>
      <c r="X953" s="88">
        <v>0</v>
      </c>
      <c r="Y953" s="88">
        <v>0</v>
      </c>
      <c r="Z953" s="88">
        <v>0</v>
      </c>
      <c r="AA953" s="88">
        <v>0</v>
      </c>
      <c r="AB953" s="88">
        <v>0</v>
      </c>
      <c r="AC953" s="88">
        <v>0</v>
      </c>
      <c r="AD953" s="88">
        <v>0</v>
      </c>
      <c r="AE953" s="88">
        <v>0</v>
      </c>
      <c r="AF953" s="88">
        <v>0</v>
      </c>
      <c r="AG953" s="88">
        <v>0</v>
      </c>
      <c r="AH953" s="88">
        <v>0</v>
      </c>
      <c r="AI953" s="88">
        <v>0</v>
      </c>
      <c r="AJ953" s="88">
        <v>0</v>
      </c>
      <c r="AK953" s="88">
        <v>0</v>
      </c>
      <c r="AL953" s="600" t="s">
        <v>432</v>
      </c>
      <c r="AM953" s="137" t="s">
        <v>432</v>
      </c>
      <c r="AN953" s="137" t="s">
        <v>432</v>
      </c>
      <c r="AO953" s="137" t="s">
        <v>432</v>
      </c>
      <c r="AP953" s="137" t="s">
        <v>432</v>
      </c>
      <c r="AQ953" s="137" t="s">
        <v>432</v>
      </c>
      <c r="AR953" s="137" t="s">
        <v>432</v>
      </c>
      <c r="AS953" s="137" t="s">
        <v>432</v>
      </c>
      <c r="AT953" s="137" t="s">
        <v>432</v>
      </c>
      <c r="AU953" s="137" t="s">
        <v>432</v>
      </c>
      <c r="AV953" s="137" t="s">
        <v>432</v>
      </c>
      <c r="AW953" s="137" t="s">
        <v>432</v>
      </c>
      <c r="AX953" s="137" t="s">
        <v>432</v>
      </c>
      <c r="AY953" s="137" t="s">
        <v>432</v>
      </c>
      <c r="AZ953" s="137" t="s">
        <v>432</v>
      </c>
      <c r="BA953" s="137" t="s">
        <v>432</v>
      </c>
      <c r="BB953" s="239" t="str">
        <f t="shared" si="231"/>
        <v>Transporte de baixa capacidadeacessibilidade</v>
      </c>
      <c r="BC953" s="239" t="str">
        <f t="shared" si="232"/>
        <v>Transporte de baixa capacidadeacessibilidadex</v>
      </c>
      <c r="BD953" s="239" t="str">
        <f t="shared" si="233"/>
        <v>Transporte de baixa capacidadex</v>
      </c>
    </row>
    <row r="954" spans="1:67" s="1" customFormat="1" ht="75.75" customHeight="1" x14ac:dyDescent="0.25">
      <c r="A954" s="275" t="str">
        <f>'Q100b-totais'!$B$59</f>
        <v>8.7</v>
      </c>
      <c r="B954" s="252" t="str">
        <f>'Q100b-totais'!$C$59</f>
        <v>Transporte de baixa capacidade</v>
      </c>
      <c r="C954" s="167" t="s">
        <v>743</v>
      </c>
      <c r="D954" s="377" t="str">
        <f>'Q100e-FrotaOnibus'!BH34</f>
        <v>F tcs en 
(%)</v>
      </c>
      <c r="E954" s="1502" t="str">
        <f>'Q100e-FrotaOnibus'!BI34</f>
        <v>Belo Horizonte</v>
      </c>
      <c r="F954" s="355" t="str">
        <f>'Q100e-FrotaOnibus'!BJ34</f>
        <v>percentual da frota de ônibus do transporte coletivo suplementar de Belo Horizonte com embarque/desembarque exclusivavamente em nível em todos os pontos de parada</v>
      </c>
      <c r="G954" s="58" t="str">
        <f>'Q100e-FrotaOnibus'!BK34</f>
        <v>(F tcs en / F tcs) x 100</v>
      </c>
      <c r="H954" s="167" t="s">
        <v>432</v>
      </c>
      <c r="I954" s="167">
        <v>1</v>
      </c>
      <c r="J954" s="109" t="s">
        <v>2467</v>
      </c>
      <c r="K954" s="109" t="s">
        <v>2467</v>
      </c>
      <c r="L954" s="109" t="s">
        <v>2467</v>
      </c>
      <c r="M954" s="107" t="s">
        <v>2055</v>
      </c>
      <c r="N954" s="107" t="s">
        <v>2055</v>
      </c>
      <c r="O954" s="107" t="s">
        <v>2055</v>
      </c>
      <c r="P954" s="107" t="s">
        <v>2055</v>
      </c>
      <c r="Q954" s="107" t="s">
        <v>2055</v>
      </c>
      <c r="R954" s="107" t="s">
        <v>2055</v>
      </c>
      <c r="S954" s="109" t="s">
        <v>2209</v>
      </c>
      <c r="T954" s="107" t="s">
        <v>2055</v>
      </c>
      <c r="U954" s="107" t="s">
        <v>2055</v>
      </c>
      <c r="V954" s="109" t="s">
        <v>2209</v>
      </c>
      <c r="W954" s="47">
        <f t="shared" ref="W954:AK954" si="239">W953/W867</f>
        <v>0</v>
      </c>
      <c r="X954" s="47">
        <f t="shared" si="239"/>
        <v>0</v>
      </c>
      <c r="Y954" s="47">
        <f t="shared" si="239"/>
        <v>0</v>
      </c>
      <c r="Z954" s="47">
        <f t="shared" si="239"/>
        <v>0</v>
      </c>
      <c r="AA954" s="47">
        <f t="shared" si="239"/>
        <v>0</v>
      </c>
      <c r="AB954" s="47">
        <f t="shared" si="239"/>
        <v>0</v>
      </c>
      <c r="AC954" s="47">
        <f t="shared" si="239"/>
        <v>0</v>
      </c>
      <c r="AD954" s="47">
        <f t="shared" si="239"/>
        <v>0</v>
      </c>
      <c r="AE954" s="47">
        <f t="shared" si="239"/>
        <v>0</v>
      </c>
      <c r="AF954" s="47">
        <f t="shared" si="239"/>
        <v>0</v>
      </c>
      <c r="AG954" s="47">
        <f t="shared" si="239"/>
        <v>0</v>
      </c>
      <c r="AH954" s="47">
        <f t="shared" si="239"/>
        <v>0</v>
      </c>
      <c r="AI954" s="47">
        <f t="shared" si="239"/>
        <v>0</v>
      </c>
      <c r="AJ954" s="47">
        <f t="shared" si="239"/>
        <v>0</v>
      </c>
      <c r="AK954" s="47">
        <f t="shared" si="239"/>
        <v>0</v>
      </c>
      <c r="AL954" s="600" t="s">
        <v>432</v>
      </c>
      <c r="AM954" s="125">
        <v>0</v>
      </c>
      <c r="AN954" s="137" t="s">
        <v>432</v>
      </c>
      <c r="AO954" s="137" t="s">
        <v>432</v>
      </c>
      <c r="AP954" s="137" t="s">
        <v>432</v>
      </c>
      <c r="AQ954" s="137" t="s">
        <v>432</v>
      </c>
      <c r="AR954" s="137" t="s">
        <v>432</v>
      </c>
      <c r="AS954" s="137" t="s">
        <v>432</v>
      </c>
      <c r="AT954" s="137" t="s">
        <v>432</v>
      </c>
      <c r="AU954" s="137" t="s">
        <v>432</v>
      </c>
      <c r="AV954" s="137" t="s">
        <v>432</v>
      </c>
      <c r="AW954" s="137" t="s">
        <v>432</v>
      </c>
      <c r="AX954" s="137" t="s">
        <v>432</v>
      </c>
      <c r="AY954" s="137" t="s">
        <v>432</v>
      </c>
      <c r="AZ954" s="137" t="s">
        <v>432</v>
      </c>
      <c r="BA954" s="137" t="s">
        <v>432</v>
      </c>
      <c r="BB954" s="239" t="str">
        <f t="shared" si="231"/>
        <v>Transporte de baixa capacidadeacessibilidade</v>
      </c>
      <c r="BC954" s="239" t="str">
        <f t="shared" si="232"/>
        <v>Transporte de baixa capacidadeacessibilidadex</v>
      </c>
      <c r="BD954" s="239" t="str">
        <f t="shared" si="233"/>
        <v>Transporte de baixa capacidadex</v>
      </c>
      <c r="BM954" s="364"/>
      <c r="BN954" s="364"/>
      <c r="BO954" s="364"/>
    </row>
    <row r="955" spans="1:67" s="1" customFormat="1" ht="74.25" customHeight="1" x14ac:dyDescent="0.25">
      <c r="A955" s="275" t="str">
        <f>'Q100b-totais'!B62</f>
        <v>8.10</v>
      </c>
      <c r="B955" s="54" t="str">
        <f>'Q100b-totais'!C62</f>
        <v>Sistema de transporte coletivo com um todo</v>
      </c>
      <c r="C955" s="229" t="s">
        <v>743</v>
      </c>
      <c r="D955" s="716" t="str">
        <f>'Q100e-FrotaOnibus'!O33</f>
        <v>F tc en
(n.º)</v>
      </c>
      <c r="E955" s="1498" t="str">
        <f>'Q100e-FrotaOnibus'!P33</f>
        <v>Contagem</v>
      </c>
      <c r="F955" s="252" t="str">
        <f>'Q100e-FrotaOnibus'!Q33</f>
        <v>frota em n.º de ônibus do transporte coletivo de Contagem com embarque/desembarque exclusivamente em nível em todos os pontos de parada
obs.: em Contagem, pelo menos até 2014 não existem veículos com embarque em nível e, por isto, este indicador é sempre "zero" (VERTRAN, 2015a)</v>
      </c>
      <c r="G955" s="93" t="str">
        <f>'Q100e-FrotaOnibus'!R33</f>
        <v>registro na fonte</v>
      </c>
      <c r="H955" s="167" t="s">
        <v>432</v>
      </c>
      <c r="I955" s="167">
        <v>1</v>
      </c>
      <c r="J955" s="88">
        <v>0</v>
      </c>
      <c r="K955" s="88">
        <v>0</v>
      </c>
      <c r="L955" s="88">
        <v>0</v>
      </c>
      <c r="M955" s="88">
        <v>0</v>
      </c>
      <c r="N955" s="88">
        <v>0</v>
      </c>
      <c r="O955" s="88">
        <v>0</v>
      </c>
      <c r="P955" s="88">
        <v>0</v>
      </c>
      <c r="Q955" s="88">
        <v>0</v>
      </c>
      <c r="R955" s="88">
        <v>0</v>
      </c>
      <c r="S955" s="109" t="s">
        <v>2209</v>
      </c>
      <c r="T955" s="88">
        <v>0</v>
      </c>
      <c r="U955" s="88">
        <v>0</v>
      </c>
      <c r="V955" s="109" t="s">
        <v>2209</v>
      </c>
      <c r="W955" s="88">
        <v>0</v>
      </c>
      <c r="X955" s="88">
        <v>0</v>
      </c>
      <c r="Y955" s="88">
        <v>0</v>
      </c>
      <c r="Z955" s="88">
        <v>0</v>
      </c>
      <c r="AA955" s="88">
        <v>0</v>
      </c>
      <c r="AB955" s="88">
        <v>0</v>
      </c>
      <c r="AC955" s="88">
        <v>0</v>
      </c>
      <c r="AD955" s="88">
        <v>0</v>
      </c>
      <c r="AE955" s="88">
        <v>0</v>
      </c>
      <c r="AF955" s="88">
        <v>0</v>
      </c>
      <c r="AG955" s="88">
        <v>0</v>
      </c>
      <c r="AH955" s="88">
        <v>0</v>
      </c>
      <c r="AI955" s="88">
        <v>0</v>
      </c>
      <c r="AJ955" s="88">
        <v>0</v>
      </c>
      <c r="AK955" s="88">
        <v>0</v>
      </c>
      <c r="AL955" s="600" t="s">
        <v>432</v>
      </c>
      <c r="AM955" s="137" t="s">
        <v>432</v>
      </c>
      <c r="AN955" s="137" t="s">
        <v>432</v>
      </c>
      <c r="AO955" s="137" t="s">
        <v>432</v>
      </c>
      <c r="AP955" s="137" t="s">
        <v>432</v>
      </c>
      <c r="AQ955" s="137" t="s">
        <v>432</v>
      </c>
      <c r="AR955" s="137" t="s">
        <v>432</v>
      </c>
      <c r="AS955" s="137" t="s">
        <v>432</v>
      </c>
      <c r="AT955" s="137" t="s">
        <v>432</v>
      </c>
      <c r="AU955" s="137" t="s">
        <v>432</v>
      </c>
      <c r="AV955" s="137" t="s">
        <v>432</v>
      </c>
      <c r="AW955" s="137" t="s">
        <v>432</v>
      </c>
      <c r="AX955" s="137" t="s">
        <v>432</v>
      </c>
      <c r="AY955" s="137" t="s">
        <v>432</v>
      </c>
      <c r="AZ955" s="137" t="s">
        <v>432</v>
      </c>
      <c r="BA955" s="137" t="s">
        <v>432</v>
      </c>
      <c r="BB955" s="239" t="str">
        <f t="shared" si="231"/>
        <v>Sistema de transporte coletivo com um todoacessibilidade</v>
      </c>
      <c r="BC955" s="239" t="str">
        <f t="shared" si="232"/>
        <v>Sistema de transporte coletivo com um todoacessibilidadex</v>
      </c>
      <c r="BD955" s="239" t="str">
        <f t="shared" si="233"/>
        <v>Sistema de transporte coletivo com um todox</v>
      </c>
      <c r="BM955" s="555"/>
      <c r="BN955" s="555"/>
      <c r="BO955" s="555"/>
    </row>
    <row r="956" spans="1:67" s="1" customFormat="1" ht="72" customHeight="1" x14ac:dyDescent="0.25">
      <c r="A956" s="275" t="str">
        <f>'Q100b-totais'!B62</f>
        <v>8.10</v>
      </c>
      <c r="B956" s="54" t="str">
        <f>'Q100b-totais'!C62</f>
        <v>Sistema de transporte coletivo com um todo</v>
      </c>
      <c r="C956" s="229" t="s">
        <v>743</v>
      </c>
      <c r="D956" s="377" t="str">
        <f>'Q100e-FrotaOnibus'!O34</f>
        <v>F tc en 
(%)</v>
      </c>
      <c r="E956" s="1520" t="str">
        <f>'Q100e-FrotaOnibus'!P34</f>
        <v>Contagem</v>
      </c>
      <c r="F956" s="355" t="str">
        <f>'Q100e-FrotaOnibus'!Q34</f>
        <v>percentual da frota de ônibus do transporte coletivo de Contagem com embarque/desembarque exclusivamente em nível em todos os pontos de parada</v>
      </c>
      <c r="G956" s="58" t="str">
        <f>'Q100e-FrotaOnibus'!R34</f>
        <v xml:space="preserve"> (F tc em / F tc) x 100</v>
      </c>
      <c r="H956" s="173" t="s">
        <v>1298</v>
      </c>
      <c r="I956" s="167">
        <v>1</v>
      </c>
      <c r="J956" s="112">
        <f t="shared" ref="J956:R956" si="240">J955/5494</f>
        <v>0</v>
      </c>
      <c r="K956" s="112">
        <f t="shared" si="240"/>
        <v>0</v>
      </c>
      <c r="L956" s="112">
        <f t="shared" si="240"/>
        <v>0</v>
      </c>
      <c r="M956" s="112">
        <f t="shared" si="240"/>
        <v>0</v>
      </c>
      <c r="N956" s="112">
        <f t="shared" si="240"/>
        <v>0</v>
      </c>
      <c r="O956" s="112">
        <f t="shared" si="240"/>
        <v>0</v>
      </c>
      <c r="P956" s="112">
        <f t="shared" si="240"/>
        <v>0</v>
      </c>
      <c r="Q956" s="112">
        <f t="shared" si="240"/>
        <v>0</v>
      </c>
      <c r="R956" s="112">
        <f t="shared" si="240"/>
        <v>0</v>
      </c>
      <c r="S956" s="109" t="s">
        <v>2209</v>
      </c>
      <c r="T956" s="112">
        <f>T955/5494</f>
        <v>0</v>
      </c>
      <c r="U956" s="112">
        <f>U955/5494</f>
        <v>0</v>
      </c>
      <c r="V956" s="109" t="s">
        <v>2209</v>
      </c>
      <c r="W956" s="112">
        <f t="shared" ref="W956:AK956" si="241">W955/5494</f>
        <v>0</v>
      </c>
      <c r="X956" s="112">
        <f t="shared" si="241"/>
        <v>0</v>
      </c>
      <c r="Y956" s="112">
        <f t="shared" si="241"/>
        <v>0</v>
      </c>
      <c r="Z956" s="112">
        <f t="shared" si="241"/>
        <v>0</v>
      </c>
      <c r="AA956" s="112">
        <f t="shared" si="241"/>
        <v>0</v>
      </c>
      <c r="AB956" s="112">
        <f t="shared" si="241"/>
        <v>0</v>
      </c>
      <c r="AC956" s="112">
        <f t="shared" si="241"/>
        <v>0</v>
      </c>
      <c r="AD956" s="112">
        <f t="shared" si="241"/>
        <v>0</v>
      </c>
      <c r="AE956" s="112">
        <f t="shared" si="241"/>
        <v>0</v>
      </c>
      <c r="AF956" s="112">
        <f t="shared" si="241"/>
        <v>0</v>
      </c>
      <c r="AG956" s="112">
        <f t="shared" si="241"/>
        <v>0</v>
      </c>
      <c r="AH956" s="112">
        <f t="shared" si="241"/>
        <v>0</v>
      </c>
      <c r="AI956" s="112">
        <f t="shared" si="241"/>
        <v>0</v>
      </c>
      <c r="AJ956" s="112">
        <f t="shared" si="241"/>
        <v>0</v>
      </c>
      <c r="AK956" s="112">
        <f t="shared" si="241"/>
        <v>0</v>
      </c>
      <c r="AL956" s="600" t="s">
        <v>432</v>
      </c>
      <c r="AM956" s="137" t="s">
        <v>432</v>
      </c>
      <c r="AN956" s="137" t="s">
        <v>432</v>
      </c>
      <c r="AO956" s="137" t="s">
        <v>432</v>
      </c>
      <c r="AP956" s="137" t="s">
        <v>432</v>
      </c>
      <c r="AQ956" s="137" t="s">
        <v>432</v>
      </c>
      <c r="AR956" s="137" t="s">
        <v>432</v>
      </c>
      <c r="AS956" s="137" t="s">
        <v>432</v>
      </c>
      <c r="AT956" s="137" t="s">
        <v>432</v>
      </c>
      <c r="AU956" s="137" t="s">
        <v>432</v>
      </c>
      <c r="AV956" s="137" t="s">
        <v>432</v>
      </c>
      <c r="AW956" s="137" t="s">
        <v>432</v>
      </c>
      <c r="AX956" s="137" t="s">
        <v>432</v>
      </c>
      <c r="AY956" s="137" t="s">
        <v>432</v>
      </c>
      <c r="AZ956" s="137" t="s">
        <v>432</v>
      </c>
      <c r="BA956" s="137" t="s">
        <v>432</v>
      </c>
      <c r="BB956" s="239" t="str">
        <f t="shared" si="231"/>
        <v>Sistema de transporte coletivo com um todoacessibilidade</v>
      </c>
      <c r="BC956" s="239" t="str">
        <f t="shared" si="232"/>
        <v>Sistema de transporte coletivo com um todoacessibilidadeRMBH</v>
      </c>
      <c r="BD956" s="239" t="str">
        <f t="shared" si="233"/>
        <v>Sistema de transporte coletivo com um todoRMBH</v>
      </c>
    </row>
    <row r="957" spans="1:67" s="1" customFormat="1" ht="72" customHeight="1" x14ac:dyDescent="0.25">
      <c r="A957" s="275" t="str">
        <f>'Q100b-totais'!B62</f>
        <v>8.10</v>
      </c>
      <c r="B957" s="54" t="str">
        <f>'Q100b-totais'!C62</f>
        <v>Sistema de transporte coletivo com um todo</v>
      </c>
      <c r="C957" s="171" t="s">
        <v>743</v>
      </c>
      <c r="D957" s="324" t="str">
        <f>'Q100e-FrotaOnibus'!S33</f>
        <v>F tc en
(n.º)</v>
      </c>
      <c r="E957" s="1522" t="str">
        <f>'Q100e-FrotaOnibus'!T33</f>
        <v>Curitiba</v>
      </c>
      <c r="F957" s="252" t="str">
        <f>'Q100e-FrotaOnibus'!U33</f>
        <v>frota em n.º de ônibus do transporte coletivo de Curitiba com embarque/desembarque exclusivamente em nível em todos os pontos de parada
obs.: em Curitiba, pelo menos no ano de 2014 não existem veículos os ônibus com embarque exclusivamente em nível são os do nível 8 e nível 10 conforme BHTRANS(2016f)</v>
      </c>
      <c r="G957" s="58" t="str">
        <f>'Q100e-FrotaOnibus'!V33</f>
        <v>F tc em c/rampa manual + 
F tc enu</v>
      </c>
      <c r="H957" s="57" t="s">
        <v>819</v>
      </c>
      <c r="I957" s="167" t="s">
        <v>432</v>
      </c>
      <c r="J957" s="112" t="s">
        <v>2082</v>
      </c>
      <c r="K957" s="112" t="s">
        <v>2082</v>
      </c>
      <c r="L957" s="112" t="s">
        <v>2082</v>
      </c>
      <c r="M957" s="112" t="s">
        <v>2082</v>
      </c>
      <c r="N957" s="112" t="s">
        <v>2082</v>
      </c>
      <c r="O957" s="112" t="s">
        <v>2082</v>
      </c>
      <c r="P957" s="112" t="s">
        <v>2082</v>
      </c>
      <c r="Q957" s="112" t="s">
        <v>2082</v>
      </c>
      <c r="R957" s="112" t="s">
        <v>2082</v>
      </c>
      <c r="S957" s="109" t="s">
        <v>2209</v>
      </c>
      <c r="T957" s="112" t="s">
        <v>2082</v>
      </c>
      <c r="U957" s="112" t="s">
        <v>2082</v>
      </c>
      <c r="V957" s="109" t="s">
        <v>2209</v>
      </c>
      <c r="W957" s="112" t="s">
        <v>2082</v>
      </c>
      <c r="X957" s="112" t="s">
        <v>2082</v>
      </c>
      <c r="Y957" s="112" t="s">
        <v>2082</v>
      </c>
      <c r="Z957" s="112" t="s">
        <v>2082</v>
      </c>
      <c r="AA957" s="112" t="s">
        <v>2082</v>
      </c>
      <c r="AB957" s="112" t="s">
        <v>2082</v>
      </c>
      <c r="AC957" s="112" t="s">
        <v>2082</v>
      </c>
      <c r="AD957" s="112" t="s">
        <v>2082</v>
      </c>
      <c r="AE957" s="112" t="s">
        <v>2082</v>
      </c>
      <c r="AF957" s="112" t="s">
        <v>2082</v>
      </c>
      <c r="AG957" s="112" t="s">
        <v>2082</v>
      </c>
      <c r="AH957" s="112" t="s">
        <v>2082</v>
      </c>
      <c r="AI957" s="112" t="s">
        <v>2082</v>
      </c>
      <c r="AJ957" s="112" t="s">
        <v>2082</v>
      </c>
      <c r="AK957" s="356">
        <f>AK976+AK1000</f>
        <v>444</v>
      </c>
      <c r="AL957" s="600" t="s">
        <v>432</v>
      </c>
      <c r="AM957" s="137" t="s">
        <v>432</v>
      </c>
      <c r="AN957" s="137" t="s">
        <v>432</v>
      </c>
      <c r="AO957" s="137" t="s">
        <v>432</v>
      </c>
      <c r="AP957" s="137" t="s">
        <v>432</v>
      </c>
      <c r="AQ957" s="137" t="s">
        <v>432</v>
      </c>
      <c r="AR957" s="137" t="s">
        <v>432</v>
      </c>
      <c r="AS957" s="137" t="s">
        <v>432</v>
      </c>
      <c r="AT957" s="137" t="s">
        <v>432</v>
      </c>
      <c r="AU957" s="137" t="s">
        <v>432</v>
      </c>
      <c r="AV957" s="137" t="s">
        <v>432</v>
      </c>
      <c r="AW957" s="137" t="s">
        <v>432</v>
      </c>
      <c r="AX957" s="137" t="s">
        <v>432</v>
      </c>
      <c r="AY957" s="137" t="s">
        <v>432</v>
      </c>
      <c r="AZ957" s="137" t="s">
        <v>432</v>
      </c>
      <c r="BA957" s="137" t="s">
        <v>432</v>
      </c>
      <c r="BB957" s="239" t="str">
        <f t="shared" si="231"/>
        <v>Sistema de transporte coletivo com um todoacessibilidade</v>
      </c>
      <c r="BC957" s="239" t="str">
        <f t="shared" si="232"/>
        <v>Sistema de transporte coletivo com um todoacessibilidadebenchmarking</v>
      </c>
      <c r="BD957" s="239" t="str">
        <f t="shared" si="233"/>
        <v>Sistema de transporte coletivo com um todobenchmarking</v>
      </c>
    </row>
    <row r="958" spans="1:67" s="1" customFormat="1" ht="72" customHeight="1" x14ac:dyDescent="0.25">
      <c r="A958" s="275" t="str">
        <f>'Q100b-totais'!B62</f>
        <v>8.10</v>
      </c>
      <c r="B958" s="54" t="str">
        <f>'Q100b-totais'!C62</f>
        <v>Sistema de transporte coletivo com um todo</v>
      </c>
      <c r="C958" s="171" t="s">
        <v>743</v>
      </c>
      <c r="D958" s="362" t="str">
        <f>'Q100e-FrotaOnibus'!S34</f>
        <v>F tc en
(%)</v>
      </c>
      <c r="E958" s="1523" t="str">
        <f>'Q100e-FrotaOnibus'!T34</f>
        <v>Curitiba</v>
      </c>
      <c r="F958" s="355" t="str">
        <f>'Q100e-FrotaOnibus'!U34</f>
        <v>percentual da frota de ônibus do transporte coletivo de Curitiba com embarque/desembarque exclusivamente em nível em todos os pontos de parada</v>
      </c>
      <c r="G958" s="58" t="str">
        <f>'Q100e-FrotaOnibus'!V34</f>
        <v xml:space="preserve"> (n.º F tc em / n.º F tc) x 100</v>
      </c>
      <c r="H958" s="57" t="s">
        <v>819</v>
      </c>
      <c r="I958" s="167" t="s">
        <v>432</v>
      </c>
      <c r="J958" s="112" t="s">
        <v>2082</v>
      </c>
      <c r="K958" s="112" t="s">
        <v>2082</v>
      </c>
      <c r="L958" s="112" t="s">
        <v>2082</v>
      </c>
      <c r="M958" s="112" t="s">
        <v>2082</v>
      </c>
      <c r="N958" s="112" t="s">
        <v>2082</v>
      </c>
      <c r="O958" s="112" t="s">
        <v>2082</v>
      </c>
      <c r="P958" s="112" t="s">
        <v>2082</v>
      </c>
      <c r="Q958" s="112" t="s">
        <v>2082</v>
      </c>
      <c r="R958" s="112" t="s">
        <v>2082</v>
      </c>
      <c r="S958" s="109" t="s">
        <v>2209</v>
      </c>
      <c r="T958" s="112" t="s">
        <v>2082</v>
      </c>
      <c r="U958" s="112" t="s">
        <v>2082</v>
      </c>
      <c r="V958" s="109" t="s">
        <v>2209</v>
      </c>
      <c r="W958" s="112" t="s">
        <v>2082</v>
      </c>
      <c r="X958" s="112" t="s">
        <v>2082</v>
      </c>
      <c r="Y958" s="112" t="s">
        <v>2082</v>
      </c>
      <c r="Z958" s="112" t="s">
        <v>2082</v>
      </c>
      <c r="AA958" s="112" t="s">
        <v>2082</v>
      </c>
      <c r="AB958" s="112" t="s">
        <v>2082</v>
      </c>
      <c r="AC958" s="112" t="s">
        <v>2082</v>
      </c>
      <c r="AD958" s="112" t="s">
        <v>2082</v>
      </c>
      <c r="AE958" s="112" t="s">
        <v>2082</v>
      </c>
      <c r="AF958" s="112" t="s">
        <v>2082</v>
      </c>
      <c r="AG958" s="112" t="s">
        <v>2082</v>
      </c>
      <c r="AH958" s="112" t="s">
        <v>2082</v>
      </c>
      <c r="AI958" s="112" t="s">
        <v>2082</v>
      </c>
      <c r="AJ958" s="112" t="s">
        <v>2082</v>
      </c>
      <c r="AK958" s="112">
        <f>AK957/AK879</f>
        <v>0.32456140350877194</v>
      </c>
      <c r="AL958" s="600" t="s">
        <v>432</v>
      </c>
      <c r="AM958" s="137" t="s">
        <v>432</v>
      </c>
      <c r="AN958" s="137" t="s">
        <v>432</v>
      </c>
      <c r="AO958" s="137" t="s">
        <v>432</v>
      </c>
      <c r="AP958" s="137" t="s">
        <v>432</v>
      </c>
      <c r="AQ958" s="137" t="s">
        <v>432</v>
      </c>
      <c r="AR958" s="137" t="s">
        <v>432</v>
      </c>
      <c r="AS958" s="137" t="s">
        <v>432</v>
      </c>
      <c r="AT958" s="137" t="s">
        <v>432</v>
      </c>
      <c r="AU958" s="137" t="s">
        <v>432</v>
      </c>
      <c r="AV958" s="137" t="s">
        <v>432</v>
      </c>
      <c r="AW958" s="137" t="s">
        <v>432</v>
      </c>
      <c r="AX958" s="137" t="s">
        <v>432</v>
      </c>
      <c r="AY958" s="137" t="s">
        <v>432</v>
      </c>
      <c r="AZ958" s="137" t="s">
        <v>432</v>
      </c>
      <c r="BA958" s="137" t="s">
        <v>432</v>
      </c>
      <c r="BB958" s="239" t="str">
        <f t="shared" si="231"/>
        <v>Sistema de transporte coletivo com um todoacessibilidade</v>
      </c>
      <c r="BC958" s="239" t="str">
        <f t="shared" si="232"/>
        <v>Sistema de transporte coletivo com um todoacessibilidadebenchmarking</v>
      </c>
      <c r="BD958" s="239" t="str">
        <f t="shared" si="233"/>
        <v>Sistema de transporte coletivo com um todobenchmarking</v>
      </c>
    </row>
    <row r="959" spans="1:67" s="1" customFormat="1" ht="61.5" customHeight="1" x14ac:dyDescent="0.25">
      <c r="A959" s="275" t="str">
        <f>'Q100b-totais'!B62</f>
        <v>8.10</v>
      </c>
      <c r="B959" s="54" t="str">
        <f>'Q100b-totais'!C62</f>
        <v>Sistema de transporte coletivo com um todo</v>
      </c>
      <c r="C959" s="229" t="s">
        <v>743</v>
      </c>
      <c r="D959" s="324" t="str">
        <f>'Q100e-FrotaOnibus'!W33</f>
        <v>F tc en
(n.º)</v>
      </c>
      <c r="E959" s="1498" t="str">
        <f>'Q100e-FrotaOnibus'!X33</f>
        <v>Joinville</v>
      </c>
      <c r="F959" s="252" t="str">
        <f>'Q100e-FrotaOnibus'!Y33</f>
        <v>frota em n.º de ônibus do transporte coletivo de Joinville com embarque/desembarque exclusivamente em nível em todos os pontos de parada
obs.: em Joinville, pelo menos em 2014, os ônibus com embarque em nível são os de piso baixo nas portas dianteira/central com rampa manual na porta central</v>
      </c>
      <c r="G959" s="58" t="str">
        <f>'Q100e-FrotaOnibus'!Z33</f>
        <v>F tc en c/rampa manual</v>
      </c>
      <c r="H959" s="57" t="s">
        <v>819</v>
      </c>
      <c r="I959" s="167" t="s">
        <v>432</v>
      </c>
      <c r="J959" s="112" t="s">
        <v>2082</v>
      </c>
      <c r="K959" s="112" t="s">
        <v>2082</v>
      </c>
      <c r="L959" s="112" t="s">
        <v>2082</v>
      </c>
      <c r="M959" s="112" t="s">
        <v>2082</v>
      </c>
      <c r="N959" s="112" t="s">
        <v>2082</v>
      </c>
      <c r="O959" s="112" t="s">
        <v>2082</v>
      </c>
      <c r="P959" s="112" t="s">
        <v>2082</v>
      </c>
      <c r="Q959" s="112" t="s">
        <v>2082</v>
      </c>
      <c r="R959" s="112" t="s">
        <v>2082</v>
      </c>
      <c r="S959" s="109" t="s">
        <v>2209</v>
      </c>
      <c r="T959" s="112" t="s">
        <v>2082</v>
      </c>
      <c r="U959" s="112" t="s">
        <v>2082</v>
      </c>
      <c r="V959" s="109" t="s">
        <v>2209</v>
      </c>
      <c r="W959" s="112" t="s">
        <v>2082</v>
      </c>
      <c r="X959" s="112" t="s">
        <v>2082</v>
      </c>
      <c r="Y959" s="112" t="s">
        <v>2082</v>
      </c>
      <c r="Z959" s="112" t="s">
        <v>2082</v>
      </c>
      <c r="AA959" s="112" t="s">
        <v>2082</v>
      </c>
      <c r="AB959" s="112" t="s">
        <v>2082</v>
      </c>
      <c r="AC959" s="112" t="s">
        <v>2082</v>
      </c>
      <c r="AD959" s="112" t="s">
        <v>2082</v>
      </c>
      <c r="AE959" s="112" t="s">
        <v>2082</v>
      </c>
      <c r="AF959" s="112" t="s">
        <v>2082</v>
      </c>
      <c r="AG959" s="112" t="s">
        <v>2082</v>
      </c>
      <c r="AH959" s="112" t="s">
        <v>2082</v>
      </c>
      <c r="AI959" s="112" t="s">
        <v>2082</v>
      </c>
      <c r="AJ959" s="523">
        <f>AJ978</f>
        <v>34</v>
      </c>
      <c r="AK959" s="112" t="s">
        <v>2082</v>
      </c>
      <c r="AL959" s="600" t="s">
        <v>432</v>
      </c>
      <c r="AM959" s="137" t="s">
        <v>432</v>
      </c>
      <c r="AN959" s="137" t="s">
        <v>432</v>
      </c>
      <c r="AO959" s="137" t="s">
        <v>432</v>
      </c>
      <c r="AP959" s="137" t="s">
        <v>432</v>
      </c>
      <c r="AQ959" s="137" t="s">
        <v>432</v>
      </c>
      <c r="AR959" s="137" t="s">
        <v>432</v>
      </c>
      <c r="AS959" s="137" t="s">
        <v>432</v>
      </c>
      <c r="AT959" s="137" t="s">
        <v>432</v>
      </c>
      <c r="AU959" s="137" t="s">
        <v>432</v>
      </c>
      <c r="AV959" s="137" t="s">
        <v>432</v>
      </c>
      <c r="AW959" s="137" t="s">
        <v>432</v>
      </c>
      <c r="AX959" s="137" t="s">
        <v>432</v>
      </c>
      <c r="AY959" s="137" t="s">
        <v>432</v>
      </c>
      <c r="AZ959" s="137" t="s">
        <v>432</v>
      </c>
      <c r="BA959" s="137" t="s">
        <v>432</v>
      </c>
      <c r="BB959" s="239" t="str">
        <f t="shared" si="231"/>
        <v>Sistema de transporte coletivo com um todoacessibilidade</v>
      </c>
      <c r="BC959" s="239" t="str">
        <f t="shared" si="232"/>
        <v>Sistema de transporte coletivo com um todoacessibilidadebenchmarking</v>
      </c>
      <c r="BD959" s="239" t="str">
        <f t="shared" si="233"/>
        <v>Sistema de transporte coletivo com um todobenchmarking</v>
      </c>
    </row>
    <row r="960" spans="1:67" s="1" customFormat="1" ht="54.75" customHeight="1" x14ac:dyDescent="0.25">
      <c r="A960" s="275" t="str">
        <f>'Q100b-totais'!B62</f>
        <v>8.10</v>
      </c>
      <c r="B960" s="54" t="str">
        <f>'Q100b-totais'!C62</f>
        <v>Sistema de transporte coletivo com um todo</v>
      </c>
      <c r="C960" s="229" t="s">
        <v>743</v>
      </c>
      <c r="D960" s="362" t="str">
        <f>'Q100e-FrotaOnibus'!W34</f>
        <v>F tc en
(%)</v>
      </c>
      <c r="E960" s="1520" t="str">
        <f>'Q100e-FrotaOnibus'!X34</f>
        <v>Joinville</v>
      </c>
      <c r="F960" s="355" t="str">
        <f>'Q100e-FrotaOnibus'!Y34</f>
        <v>percentual da frota de ônibus do transporte coletivo de Joinville com embarque/desembarque exclusivamente em nível em todos os pontos de parada</v>
      </c>
      <c r="G960" s="58" t="str">
        <f>'Q100e-FrotaOnibus'!Z34</f>
        <v>(n.º F tc en / n.º F tc) x  100</v>
      </c>
      <c r="H960" s="57" t="s">
        <v>819</v>
      </c>
      <c r="I960" s="167" t="s">
        <v>432</v>
      </c>
      <c r="J960" s="112" t="s">
        <v>2082</v>
      </c>
      <c r="K960" s="112" t="s">
        <v>2082</v>
      </c>
      <c r="L960" s="112" t="s">
        <v>2082</v>
      </c>
      <c r="M960" s="112" t="s">
        <v>2082</v>
      </c>
      <c r="N960" s="112" t="s">
        <v>2082</v>
      </c>
      <c r="O960" s="112" t="s">
        <v>2082</v>
      </c>
      <c r="P960" s="112" t="s">
        <v>2082</v>
      </c>
      <c r="Q960" s="112" t="s">
        <v>2082</v>
      </c>
      <c r="R960" s="112" t="s">
        <v>2082</v>
      </c>
      <c r="S960" s="109" t="s">
        <v>2209</v>
      </c>
      <c r="T960" s="112" t="s">
        <v>2082</v>
      </c>
      <c r="U960" s="112" t="s">
        <v>2082</v>
      </c>
      <c r="V960" s="109" t="s">
        <v>2209</v>
      </c>
      <c r="W960" s="112" t="s">
        <v>2082</v>
      </c>
      <c r="X960" s="112" t="s">
        <v>2082</v>
      </c>
      <c r="Y960" s="112" t="s">
        <v>2082</v>
      </c>
      <c r="Z960" s="112" t="s">
        <v>2082</v>
      </c>
      <c r="AA960" s="112" t="s">
        <v>2082</v>
      </c>
      <c r="AB960" s="112" t="s">
        <v>2082</v>
      </c>
      <c r="AC960" s="112" t="s">
        <v>2082</v>
      </c>
      <c r="AD960" s="112" t="s">
        <v>2082</v>
      </c>
      <c r="AE960" s="112" t="s">
        <v>2082</v>
      </c>
      <c r="AF960" s="112" t="s">
        <v>2082</v>
      </c>
      <c r="AG960" s="112" t="s">
        <v>2082</v>
      </c>
      <c r="AH960" s="112" t="s">
        <v>2082</v>
      </c>
      <c r="AI960" s="112" t="s">
        <v>2082</v>
      </c>
      <c r="AJ960" s="112">
        <f>AJ959/AJ880</f>
        <v>9.3406593406593408E-2</v>
      </c>
      <c r="AK960" s="112" t="s">
        <v>2082</v>
      </c>
      <c r="AL960" s="600" t="s">
        <v>432</v>
      </c>
      <c r="AM960" s="137" t="s">
        <v>432</v>
      </c>
      <c r="AN960" s="137" t="s">
        <v>432</v>
      </c>
      <c r="AO960" s="137" t="s">
        <v>432</v>
      </c>
      <c r="AP960" s="137" t="s">
        <v>432</v>
      </c>
      <c r="AQ960" s="137" t="s">
        <v>432</v>
      </c>
      <c r="AR960" s="137" t="s">
        <v>432</v>
      </c>
      <c r="AS960" s="137" t="s">
        <v>432</v>
      </c>
      <c r="AT960" s="137" t="s">
        <v>432</v>
      </c>
      <c r="AU960" s="137" t="s">
        <v>432</v>
      </c>
      <c r="AV960" s="137" t="s">
        <v>432</v>
      </c>
      <c r="AW960" s="137" t="s">
        <v>432</v>
      </c>
      <c r="AX960" s="137" t="s">
        <v>432</v>
      </c>
      <c r="AY960" s="137" t="s">
        <v>432</v>
      </c>
      <c r="AZ960" s="137" t="s">
        <v>432</v>
      </c>
      <c r="BA960" s="137" t="s">
        <v>432</v>
      </c>
      <c r="BB960" s="239" t="str">
        <f t="shared" si="231"/>
        <v>Sistema de transporte coletivo com um todoacessibilidade</v>
      </c>
      <c r="BC960" s="239" t="str">
        <f t="shared" si="232"/>
        <v>Sistema de transporte coletivo com um todoacessibilidadebenchmarking</v>
      </c>
      <c r="BD960" s="239" t="str">
        <f t="shared" si="233"/>
        <v>Sistema de transporte coletivo com um todobenchmarking</v>
      </c>
    </row>
    <row r="961" spans="1:56" s="1" customFormat="1" ht="84.75" customHeight="1" x14ac:dyDescent="0.25">
      <c r="A961" s="275" t="str">
        <f>'Q100b-totais'!B62</f>
        <v>8.10</v>
      </c>
      <c r="B961" s="54" t="str">
        <f>'Q100b-totais'!C62</f>
        <v>Sistema de transporte coletivo com um todo</v>
      </c>
      <c r="C961" s="229" t="s">
        <v>743</v>
      </c>
      <c r="D961" s="325" t="str">
        <f>'Q100e-FrotaOnibus'!AE33</f>
        <v>F tc en
(n.º)</v>
      </c>
      <c r="E961" s="1445" t="str">
        <f>'Q100e-FrotaOnibus'!AF33</f>
        <v>RMBH metropolitano</v>
      </c>
      <c r="F961" s="252" t="str">
        <f>'Q100e-FrotaOnibus'!AG33</f>
        <v>frota em n.º de ônibus do transporte coletivo na RMBH do serviço gerenciado pela Setop-MG  com embarque/desembarque exclusivamente em nível em todos os pontos de parada, com veículo de piso baixo ou veículo de piso alto (com o uso de plataforma elevada), em ambos os casos com ou sem rampa para transpor a fronteira
obs.: na frota RMBH do serviço gerenciado pelo Setop-MG , pelo menos até 2015, os ônibus com embarque em nível são apenas os que operam no BRT Move puro</v>
      </c>
      <c r="G961" s="111" t="str">
        <f>'Q100e-FrotaOnibus'!AH33</f>
        <v>F tc en c/rampa manual</v>
      </c>
      <c r="H961" s="596" t="s">
        <v>1298</v>
      </c>
      <c r="I961" s="167">
        <v>1</v>
      </c>
      <c r="J961" s="112" t="s">
        <v>2082</v>
      </c>
      <c r="K961" s="112" t="s">
        <v>2082</v>
      </c>
      <c r="L961" s="112" t="s">
        <v>2082</v>
      </c>
      <c r="M961" s="112" t="s">
        <v>2082</v>
      </c>
      <c r="N961" s="112" t="s">
        <v>2082</v>
      </c>
      <c r="O961" s="112" t="s">
        <v>2082</v>
      </c>
      <c r="P961" s="112" t="s">
        <v>2082</v>
      </c>
      <c r="Q961" s="112" t="s">
        <v>2082</v>
      </c>
      <c r="R961" s="112" t="s">
        <v>2082</v>
      </c>
      <c r="S961" s="109" t="s">
        <v>2209</v>
      </c>
      <c r="T961" s="112" t="s">
        <v>2082</v>
      </c>
      <c r="U961" s="112" t="s">
        <v>2082</v>
      </c>
      <c r="V961" s="109" t="s">
        <v>2209</v>
      </c>
      <c r="W961" s="112" t="s">
        <v>2082</v>
      </c>
      <c r="X961" s="112" t="s">
        <v>2082</v>
      </c>
      <c r="Y961" s="112" t="s">
        <v>2082</v>
      </c>
      <c r="Z961" s="112" t="s">
        <v>2082</v>
      </c>
      <c r="AA961" s="112" t="s">
        <v>2082</v>
      </c>
      <c r="AB961" s="112" t="s">
        <v>2082</v>
      </c>
      <c r="AC961" s="112" t="s">
        <v>2082</v>
      </c>
      <c r="AD961" s="112" t="s">
        <v>2082</v>
      </c>
      <c r="AE961" s="112" t="s">
        <v>2082</v>
      </c>
      <c r="AF961" s="112" t="s">
        <v>2082</v>
      </c>
      <c r="AG961" s="112" t="s">
        <v>2082</v>
      </c>
      <c r="AH961" s="112" t="s">
        <v>2082</v>
      </c>
      <c r="AI961" s="112" t="s">
        <v>2082</v>
      </c>
      <c r="AJ961" s="112" t="s">
        <v>2082</v>
      </c>
      <c r="AK961" s="356">
        <f>AK980</f>
        <v>103</v>
      </c>
      <c r="AL961" s="600" t="s">
        <v>432</v>
      </c>
      <c r="AM961" s="137" t="s">
        <v>432</v>
      </c>
      <c r="AN961" s="137" t="s">
        <v>432</v>
      </c>
      <c r="AO961" s="137" t="s">
        <v>432</v>
      </c>
      <c r="AP961" s="137" t="s">
        <v>432</v>
      </c>
      <c r="AQ961" s="137" t="s">
        <v>432</v>
      </c>
      <c r="AR961" s="137" t="s">
        <v>432</v>
      </c>
      <c r="AS961" s="137" t="s">
        <v>432</v>
      </c>
      <c r="AT961" s="137" t="s">
        <v>432</v>
      </c>
      <c r="AU961" s="137" t="s">
        <v>432</v>
      </c>
      <c r="AV961" s="137" t="s">
        <v>432</v>
      </c>
      <c r="AW961" s="137" t="s">
        <v>432</v>
      </c>
      <c r="AX961" s="137" t="s">
        <v>432</v>
      </c>
      <c r="AY961" s="137" t="s">
        <v>432</v>
      </c>
      <c r="AZ961" s="137" t="s">
        <v>432</v>
      </c>
      <c r="BA961" s="137" t="s">
        <v>432</v>
      </c>
      <c r="BB961" s="239" t="str">
        <f t="shared" si="231"/>
        <v>Sistema de transporte coletivo com um todoacessibilidade</v>
      </c>
      <c r="BC961" s="239" t="str">
        <f t="shared" si="232"/>
        <v>Sistema de transporte coletivo com um todoacessibilidadeRMBH</v>
      </c>
      <c r="BD961" s="239" t="str">
        <f t="shared" si="233"/>
        <v>Sistema de transporte coletivo com um todoRMBH</v>
      </c>
    </row>
    <row r="962" spans="1:56" s="1" customFormat="1" ht="51" x14ac:dyDescent="0.25">
      <c r="A962" s="275" t="str">
        <f>'Q100b-totais'!B62</f>
        <v>8.10</v>
      </c>
      <c r="B962" s="54" t="str">
        <f>'Q100b-totais'!C62</f>
        <v>Sistema de transporte coletivo com um todo</v>
      </c>
      <c r="C962" s="229" t="s">
        <v>743</v>
      </c>
      <c r="D962" s="377" t="str">
        <f>'Q100e-FrotaOnibus'!AE34</f>
        <v>F tc en
(%)</v>
      </c>
      <c r="E962" s="1501" t="str">
        <f>'Q100e-FrotaOnibus'!AF34</f>
        <v>RMBH metropolitano</v>
      </c>
      <c r="F962" s="355" t="str">
        <f>'Q100e-FrotaOnibus'!AG34</f>
        <v>percentual da frota de ônibus do transporte coletivo na RMBH do serviço gerenciado pela Setop-MG  com embarque/desembarque exclusivamente em nível em todos os pontos de parada</v>
      </c>
      <c r="G962" s="111" t="str">
        <f>'Q100e-FrotaOnibus'!AH34</f>
        <v>(n.º F tc en / n.º F tc) x  100</v>
      </c>
      <c r="H962" s="596" t="s">
        <v>1298</v>
      </c>
      <c r="I962" s="167">
        <v>1</v>
      </c>
      <c r="J962" s="112" t="s">
        <v>2082</v>
      </c>
      <c r="K962" s="112" t="s">
        <v>2082</v>
      </c>
      <c r="L962" s="112" t="s">
        <v>2082</v>
      </c>
      <c r="M962" s="112" t="s">
        <v>2082</v>
      </c>
      <c r="N962" s="112" t="s">
        <v>2082</v>
      </c>
      <c r="O962" s="112" t="s">
        <v>2082</v>
      </c>
      <c r="P962" s="112" t="s">
        <v>2082</v>
      </c>
      <c r="Q962" s="112" t="s">
        <v>2082</v>
      </c>
      <c r="R962" s="112" t="s">
        <v>2082</v>
      </c>
      <c r="S962" s="109" t="s">
        <v>2209</v>
      </c>
      <c r="T962" s="112" t="s">
        <v>2082</v>
      </c>
      <c r="U962" s="112" t="s">
        <v>2082</v>
      </c>
      <c r="V962" s="109" t="s">
        <v>2209</v>
      </c>
      <c r="W962" s="112" t="s">
        <v>2082</v>
      </c>
      <c r="X962" s="112" t="s">
        <v>2082</v>
      </c>
      <c r="Y962" s="112" t="s">
        <v>2082</v>
      </c>
      <c r="Z962" s="112" t="s">
        <v>2082</v>
      </c>
      <c r="AA962" s="112" t="s">
        <v>2082</v>
      </c>
      <c r="AB962" s="112" t="s">
        <v>2082</v>
      </c>
      <c r="AC962" s="112" t="s">
        <v>2082</v>
      </c>
      <c r="AD962" s="112" t="s">
        <v>2082</v>
      </c>
      <c r="AE962" s="112" t="s">
        <v>2082</v>
      </c>
      <c r="AF962" s="112" t="s">
        <v>2082</v>
      </c>
      <c r="AG962" s="112" t="s">
        <v>2082</v>
      </c>
      <c r="AH962" s="112" t="s">
        <v>2082</v>
      </c>
      <c r="AI962" s="112" t="s">
        <v>2082</v>
      </c>
      <c r="AJ962" s="112" t="s">
        <v>2082</v>
      </c>
      <c r="AK962" s="112">
        <f>AK961/AK882</f>
        <v>3.5286056868790681E-2</v>
      </c>
      <c r="AL962" s="600" t="s">
        <v>432</v>
      </c>
      <c r="AM962" s="137" t="s">
        <v>432</v>
      </c>
      <c r="AN962" s="137" t="s">
        <v>432</v>
      </c>
      <c r="AO962" s="137" t="s">
        <v>432</v>
      </c>
      <c r="AP962" s="137" t="s">
        <v>432</v>
      </c>
      <c r="AQ962" s="137" t="s">
        <v>432</v>
      </c>
      <c r="AR962" s="137" t="s">
        <v>432</v>
      </c>
      <c r="AS962" s="137" t="s">
        <v>432</v>
      </c>
      <c r="AT962" s="137" t="s">
        <v>432</v>
      </c>
      <c r="AU962" s="137" t="s">
        <v>432</v>
      </c>
      <c r="AV962" s="137" t="s">
        <v>432</v>
      </c>
      <c r="AW962" s="137" t="s">
        <v>432</v>
      </c>
      <c r="AX962" s="137" t="s">
        <v>432</v>
      </c>
      <c r="AY962" s="137" t="s">
        <v>432</v>
      </c>
      <c r="AZ962" s="137" t="s">
        <v>432</v>
      </c>
      <c r="BA962" s="137" t="s">
        <v>432</v>
      </c>
      <c r="BB962" s="239" t="str">
        <f t="shared" si="231"/>
        <v>Sistema de transporte coletivo com um todoacessibilidade</v>
      </c>
      <c r="BC962" s="239" t="str">
        <f t="shared" si="232"/>
        <v>Sistema de transporte coletivo com um todoacessibilidadeRMBH</v>
      </c>
      <c r="BD962" s="239" t="str">
        <f t="shared" si="233"/>
        <v>Sistema de transporte coletivo com um todoRMBH</v>
      </c>
    </row>
    <row r="963" spans="1:56" s="1" customFormat="1" ht="61.5" customHeight="1" x14ac:dyDescent="0.25">
      <c r="A963" s="275" t="str">
        <f>'Q100b-totais'!B62</f>
        <v>8.10</v>
      </c>
      <c r="B963" s="54" t="str">
        <f>'Q100b-totais'!C62</f>
        <v>Sistema de transporte coletivo com um todo</v>
      </c>
      <c r="C963" s="229" t="s">
        <v>743</v>
      </c>
      <c r="D963" s="324" t="str">
        <f>'Q100e-FrotaOnibus'!AQ33</f>
        <v>F tc en
(n.º)</v>
      </c>
      <c r="E963" s="254" t="str">
        <f>'Q100e-FrotaOnibus'!AR33</f>
        <v>São Paulo</v>
      </c>
      <c r="F963" s="252" t="str">
        <f>'Q100e-FrotaOnibus'!AS33</f>
        <v>frota em n.º de ônibus do transporte coletivo (estrututal e local) da cidade de São Paulo gerenciado pela SPTrans com embarque/desembarque exclusivamente em nível em todos os pontos de parada, com veículo de piso baixo ou veículo de piso alto (com o uso de plataforma elevada), em ambos os casos com ou sem rampa para transpor a fronteira</v>
      </c>
      <c r="G963" s="111" t="str">
        <f>'Q100e-FrotaOnibus'!AT33</f>
        <v xml:space="preserve">F tce en + F tcl en </v>
      </c>
      <c r="H963" s="57" t="s">
        <v>819</v>
      </c>
      <c r="I963" s="167" t="s">
        <v>432</v>
      </c>
      <c r="J963" s="846" t="s">
        <v>2082</v>
      </c>
      <c r="K963" s="846" t="s">
        <v>2082</v>
      </c>
      <c r="L963" s="846" t="s">
        <v>2082</v>
      </c>
      <c r="M963" s="846" t="s">
        <v>2082</v>
      </c>
      <c r="N963" s="846" t="s">
        <v>2082</v>
      </c>
      <c r="O963" s="846" t="s">
        <v>2082</v>
      </c>
      <c r="P963" s="846" t="s">
        <v>2082</v>
      </c>
      <c r="Q963" s="846" t="s">
        <v>2082</v>
      </c>
      <c r="R963" s="846" t="s">
        <v>2082</v>
      </c>
      <c r="S963" s="109" t="s">
        <v>2209</v>
      </c>
      <c r="T963" s="846" t="s">
        <v>2082</v>
      </c>
      <c r="U963" s="846" t="s">
        <v>2082</v>
      </c>
      <c r="V963" s="109" t="s">
        <v>2209</v>
      </c>
      <c r="W963" s="846" t="s">
        <v>2082</v>
      </c>
      <c r="X963" s="846" t="s">
        <v>2082</v>
      </c>
      <c r="Y963" s="846" t="s">
        <v>2082</v>
      </c>
      <c r="Z963" s="846" t="s">
        <v>2082</v>
      </c>
      <c r="AA963" s="846" t="s">
        <v>2082</v>
      </c>
      <c r="AB963" s="846" t="s">
        <v>2082</v>
      </c>
      <c r="AC963" s="846" t="s">
        <v>2082</v>
      </c>
      <c r="AD963" s="846" t="s">
        <v>2082</v>
      </c>
      <c r="AE963" s="846" t="s">
        <v>2082</v>
      </c>
      <c r="AF963" s="846" t="s">
        <v>2082</v>
      </c>
      <c r="AG963" s="846" t="s">
        <v>2082</v>
      </c>
      <c r="AH963" s="846" t="s">
        <v>2082</v>
      </c>
      <c r="AI963" s="846" t="s">
        <v>2082</v>
      </c>
      <c r="AJ963" s="846" t="s">
        <v>2082</v>
      </c>
      <c r="AK963" s="356">
        <f>AK965+AK967</f>
        <v>7359</v>
      </c>
      <c r="AL963" s="600"/>
      <c r="AM963" s="137" t="s">
        <v>432</v>
      </c>
      <c r="AN963" s="137" t="s">
        <v>432</v>
      </c>
      <c r="AO963" s="137" t="s">
        <v>432</v>
      </c>
      <c r="AP963" s="137" t="s">
        <v>432</v>
      </c>
      <c r="AQ963" s="137" t="s">
        <v>432</v>
      </c>
      <c r="AR963" s="137" t="s">
        <v>432</v>
      </c>
      <c r="AS963" s="137" t="s">
        <v>432</v>
      </c>
      <c r="AT963" s="137" t="s">
        <v>432</v>
      </c>
      <c r="AU963" s="137" t="s">
        <v>432</v>
      </c>
      <c r="AV963" s="137" t="s">
        <v>432</v>
      </c>
      <c r="AW963" s="137" t="s">
        <v>432</v>
      </c>
      <c r="AX963" s="137" t="s">
        <v>432</v>
      </c>
      <c r="AY963" s="137" t="s">
        <v>432</v>
      </c>
      <c r="AZ963" s="137" t="s">
        <v>432</v>
      </c>
      <c r="BA963" s="137" t="s">
        <v>432</v>
      </c>
      <c r="BB963" s="239" t="str">
        <f t="shared" si="231"/>
        <v>Sistema de transporte coletivo com um todoacessibilidade</v>
      </c>
      <c r="BC963" s="239" t="str">
        <f t="shared" si="232"/>
        <v>Sistema de transporte coletivo com um todoacessibilidadebenchmarking</v>
      </c>
      <c r="BD963" s="239" t="str">
        <f t="shared" si="233"/>
        <v>Sistema de transporte coletivo com um todobenchmarking</v>
      </c>
    </row>
    <row r="964" spans="1:56" s="1" customFormat="1" ht="51" x14ac:dyDescent="0.25">
      <c r="A964" s="275" t="str">
        <f>'Q100b-totais'!B62</f>
        <v>8.10</v>
      </c>
      <c r="B964" s="54" t="str">
        <f>'Q100b-totais'!C62</f>
        <v>Sistema de transporte coletivo com um todo</v>
      </c>
      <c r="C964" s="229" t="s">
        <v>743</v>
      </c>
      <c r="D964" s="324" t="str">
        <f>'Q100e-FrotaOnibus'!AQ34</f>
        <v>F tc en
(%)</v>
      </c>
      <c r="E964" s="254" t="str">
        <f>'Q100e-FrotaOnibus'!AR34</f>
        <v>São Paulo</v>
      </c>
      <c r="F964" s="252" t="str">
        <f>'Q100e-FrotaOnibus'!AS34</f>
        <v>percentual da frota de ônibus do transporte coletivo (estrutural e local) da cidade de São Paulo gerenciado pela SPTrans com embarque/desembarque exclusivamente em nível em todos os pontos de parada</v>
      </c>
      <c r="G964" s="111" t="str">
        <f>'Q100e-FrotaOnibus'!AT34</f>
        <v>(n.º F tc en / n.º F tc) x  100</v>
      </c>
      <c r="H964" s="57" t="s">
        <v>819</v>
      </c>
      <c r="I964" s="167" t="s">
        <v>432</v>
      </c>
      <c r="J964" s="846" t="s">
        <v>2082</v>
      </c>
      <c r="K964" s="846" t="s">
        <v>2082</v>
      </c>
      <c r="L964" s="846" t="s">
        <v>2082</v>
      </c>
      <c r="M964" s="846" t="s">
        <v>2082</v>
      </c>
      <c r="N964" s="846" t="s">
        <v>2082</v>
      </c>
      <c r="O964" s="846" t="s">
        <v>2082</v>
      </c>
      <c r="P964" s="846" t="s">
        <v>2082</v>
      </c>
      <c r="Q964" s="846" t="s">
        <v>2082</v>
      </c>
      <c r="R964" s="846" t="s">
        <v>2082</v>
      </c>
      <c r="S964" s="109" t="s">
        <v>2209</v>
      </c>
      <c r="T964" s="846" t="s">
        <v>2082</v>
      </c>
      <c r="U964" s="846" t="s">
        <v>2082</v>
      </c>
      <c r="V964" s="109" t="s">
        <v>2209</v>
      </c>
      <c r="W964" s="846" t="s">
        <v>2082</v>
      </c>
      <c r="X964" s="846" t="s">
        <v>2082</v>
      </c>
      <c r="Y964" s="846" t="s">
        <v>2082</v>
      </c>
      <c r="Z964" s="846" t="s">
        <v>2082</v>
      </c>
      <c r="AA964" s="846" t="s">
        <v>2082</v>
      </c>
      <c r="AB964" s="846" t="s">
        <v>2082</v>
      </c>
      <c r="AC964" s="846" t="s">
        <v>2082</v>
      </c>
      <c r="AD964" s="846" t="s">
        <v>2082</v>
      </c>
      <c r="AE964" s="846" t="s">
        <v>2082</v>
      </c>
      <c r="AF964" s="846" t="s">
        <v>2082</v>
      </c>
      <c r="AG964" s="846" t="s">
        <v>2082</v>
      </c>
      <c r="AH964" s="846" t="s">
        <v>2082</v>
      </c>
      <c r="AI964" s="846" t="s">
        <v>2082</v>
      </c>
      <c r="AJ964" s="846" t="s">
        <v>2082</v>
      </c>
      <c r="AK964" s="112">
        <f>AK963/AK883</f>
        <v>0.49972837158766809</v>
      </c>
      <c r="AL964" s="600"/>
      <c r="AM964" s="137" t="s">
        <v>432</v>
      </c>
      <c r="AN964" s="137" t="s">
        <v>432</v>
      </c>
      <c r="AO964" s="137" t="s">
        <v>432</v>
      </c>
      <c r="AP964" s="137" t="s">
        <v>432</v>
      </c>
      <c r="AQ964" s="137" t="s">
        <v>432</v>
      </c>
      <c r="AR964" s="137" t="s">
        <v>432</v>
      </c>
      <c r="AS964" s="137" t="s">
        <v>432</v>
      </c>
      <c r="AT964" s="137" t="s">
        <v>432</v>
      </c>
      <c r="AU964" s="137" t="s">
        <v>432</v>
      </c>
      <c r="AV964" s="137" t="s">
        <v>432</v>
      </c>
      <c r="AW964" s="137" t="s">
        <v>432</v>
      </c>
      <c r="AX964" s="137" t="s">
        <v>432</v>
      </c>
      <c r="AY964" s="137" t="s">
        <v>432</v>
      </c>
      <c r="AZ964" s="137" t="s">
        <v>432</v>
      </c>
      <c r="BA964" s="137" t="s">
        <v>432</v>
      </c>
      <c r="BB964" s="239" t="str">
        <f t="shared" si="231"/>
        <v>Sistema de transporte coletivo com um todoacessibilidade</v>
      </c>
      <c r="BC964" s="239" t="str">
        <f t="shared" si="232"/>
        <v>Sistema de transporte coletivo com um todoacessibilidadebenchmarking</v>
      </c>
      <c r="BD964" s="239" t="str">
        <f t="shared" si="233"/>
        <v>Sistema de transporte coletivo com um todobenchmarking</v>
      </c>
    </row>
    <row r="965" spans="1:56" s="1" customFormat="1" ht="87.75" customHeight="1" x14ac:dyDescent="0.25">
      <c r="A965" s="275" t="str">
        <f>'Q100b-totais'!B62</f>
        <v>8.10</v>
      </c>
      <c r="B965" s="54" t="str">
        <f>'Q100b-totais'!C62</f>
        <v>Sistema de transporte coletivo com um todo</v>
      </c>
      <c r="C965" s="229" t="s">
        <v>743</v>
      </c>
      <c r="D965" s="325" t="str">
        <f>'Q100e-FrotaOnibus'!AI33</f>
        <v>F tce en
(n.º)</v>
      </c>
      <c r="E965" s="1445" t="str">
        <f>'Q100e-FrotaOnibus'!AJ33</f>
        <v>São Paulo</v>
      </c>
      <c r="F965" s="252" t="str">
        <f>'Q100e-FrotaOnibus'!AK33</f>
        <v>frota em n.º de ônibus do transporte coletivo estrutural da cidade de São Paulo gerenciado pela SPTrans com embarque/desembarque exclusivamente em nível em todos os pontos de parada, com veículo de piso baixo ou veículo de piso alto (com o uso de plataforma elevada), em ambos os casos com ou sem rampa para transpor a fronteira
obs.: na fonte consultada SP(2016g1/g2) não é possível saber em quantos, dentre os ônibus de piso baixo existentes o embarque/desembarque acontece exclusivamente em nível (unicos com essa possibilidade) e por isto, o SisMob-BH assume a hipótese de que são 100% e adverte que seu resultado deve ser tomado como provisório até que seja obtida confirmação</v>
      </c>
      <c r="G965" s="111" t="str">
        <f>'Q100e-FrotaOnibus'!AL33</f>
        <v>registro na fonte 
=
F tc pb</v>
      </c>
      <c r="H965" s="57" t="s">
        <v>819</v>
      </c>
      <c r="I965" s="167" t="s">
        <v>432</v>
      </c>
      <c r="J965" s="846" t="s">
        <v>2082</v>
      </c>
      <c r="K965" s="846" t="s">
        <v>2082</v>
      </c>
      <c r="L965" s="846" t="s">
        <v>2082</v>
      </c>
      <c r="M965" s="846" t="s">
        <v>2082</v>
      </c>
      <c r="N965" s="846" t="s">
        <v>2082</v>
      </c>
      <c r="O965" s="846" t="s">
        <v>2082</v>
      </c>
      <c r="P965" s="846" t="s">
        <v>2082</v>
      </c>
      <c r="Q965" s="846" t="s">
        <v>2082</v>
      </c>
      <c r="R965" s="846" t="s">
        <v>2082</v>
      </c>
      <c r="S965" s="109" t="s">
        <v>2209</v>
      </c>
      <c r="T965" s="846" t="s">
        <v>2082</v>
      </c>
      <c r="U965" s="846" t="s">
        <v>2082</v>
      </c>
      <c r="V965" s="109" t="s">
        <v>2209</v>
      </c>
      <c r="W965" s="846" t="s">
        <v>2082</v>
      </c>
      <c r="X965" s="846" t="s">
        <v>2082</v>
      </c>
      <c r="Y965" s="846" t="s">
        <v>2082</v>
      </c>
      <c r="Z965" s="846" t="s">
        <v>2082</v>
      </c>
      <c r="AA965" s="846" t="s">
        <v>2082</v>
      </c>
      <c r="AB965" s="846" t="s">
        <v>2082</v>
      </c>
      <c r="AC965" s="846" t="s">
        <v>2082</v>
      </c>
      <c r="AD965" s="846" t="s">
        <v>2082</v>
      </c>
      <c r="AE965" s="846" t="s">
        <v>2082</v>
      </c>
      <c r="AF965" s="846" t="s">
        <v>2082</v>
      </c>
      <c r="AG965" s="846" t="s">
        <v>2082</v>
      </c>
      <c r="AH965" s="846" t="s">
        <v>2082</v>
      </c>
      <c r="AI965" s="846" t="s">
        <v>2082</v>
      </c>
      <c r="AJ965" s="846" t="s">
        <v>2082</v>
      </c>
      <c r="AK965" s="356">
        <f>AK1069</f>
        <v>7359</v>
      </c>
      <c r="AL965" s="600"/>
      <c r="AM965" s="137" t="s">
        <v>432</v>
      </c>
      <c r="AN965" s="137" t="s">
        <v>432</v>
      </c>
      <c r="AO965" s="137" t="s">
        <v>432</v>
      </c>
      <c r="AP965" s="137" t="s">
        <v>432</v>
      </c>
      <c r="AQ965" s="137" t="s">
        <v>432</v>
      </c>
      <c r="AR965" s="137" t="s">
        <v>432</v>
      </c>
      <c r="AS965" s="137" t="s">
        <v>432</v>
      </c>
      <c r="AT965" s="137" t="s">
        <v>432</v>
      </c>
      <c r="AU965" s="137" t="s">
        <v>432</v>
      </c>
      <c r="AV965" s="137" t="s">
        <v>432</v>
      </c>
      <c r="AW965" s="137" t="s">
        <v>432</v>
      </c>
      <c r="AX965" s="137" t="s">
        <v>432</v>
      </c>
      <c r="AY965" s="137" t="s">
        <v>432</v>
      </c>
      <c r="AZ965" s="137" t="s">
        <v>432</v>
      </c>
      <c r="BA965" s="137" t="s">
        <v>432</v>
      </c>
      <c r="BB965" s="239" t="str">
        <f t="shared" si="231"/>
        <v>Sistema de transporte coletivo com um todoacessibilidade</v>
      </c>
      <c r="BC965" s="239" t="str">
        <f t="shared" si="232"/>
        <v>Sistema de transporte coletivo com um todoacessibilidadebenchmarking</v>
      </c>
      <c r="BD965" s="239" t="str">
        <f t="shared" si="233"/>
        <v>Sistema de transporte coletivo com um todobenchmarking</v>
      </c>
    </row>
    <row r="966" spans="1:56" s="1" customFormat="1" ht="51" x14ac:dyDescent="0.25">
      <c r="A966" s="275" t="str">
        <f>'Q100b-totais'!B62</f>
        <v>8.10</v>
      </c>
      <c r="B966" s="54" t="str">
        <f>'Q100b-totais'!C62</f>
        <v>Sistema de transporte coletivo com um todo</v>
      </c>
      <c r="C966" s="229" t="s">
        <v>743</v>
      </c>
      <c r="D966" s="325" t="str">
        <f>'Q100e-FrotaOnibus'!AI34</f>
        <v>F tce en
(%)</v>
      </c>
      <c r="E966" s="1445" t="str">
        <f>'Q100e-FrotaOnibus'!AJ34</f>
        <v>São Paulo</v>
      </c>
      <c r="F966" s="252" t="str">
        <f>'Q100e-FrotaOnibus'!AK34</f>
        <v>percentual da frota de ônibus do transporte coletivo estrutural da cidade de São Paulo gerenciado pela SPTrans com embarque/desembarque exclusivamente em nível em todos os pontos de parada</v>
      </c>
      <c r="G966" s="111" t="str">
        <f>'Q100e-FrotaOnibus'!AL34</f>
        <v>(n.º F tce en / n.º F tce) x  100</v>
      </c>
      <c r="H966" s="57" t="s">
        <v>819</v>
      </c>
      <c r="I966" s="167" t="s">
        <v>432</v>
      </c>
      <c r="J966" s="846" t="s">
        <v>2082</v>
      </c>
      <c r="K966" s="846" t="s">
        <v>2082</v>
      </c>
      <c r="L966" s="846" t="s">
        <v>2082</v>
      </c>
      <c r="M966" s="846" t="s">
        <v>2082</v>
      </c>
      <c r="N966" s="846" t="s">
        <v>2082</v>
      </c>
      <c r="O966" s="846" t="s">
        <v>2082</v>
      </c>
      <c r="P966" s="846" t="s">
        <v>2082</v>
      </c>
      <c r="Q966" s="846" t="s">
        <v>2082</v>
      </c>
      <c r="R966" s="846" t="s">
        <v>2082</v>
      </c>
      <c r="S966" s="109" t="s">
        <v>2209</v>
      </c>
      <c r="T966" s="846" t="s">
        <v>2082</v>
      </c>
      <c r="U966" s="846" t="s">
        <v>2082</v>
      </c>
      <c r="V966" s="109" t="s">
        <v>2209</v>
      </c>
      <c r="W966" s="846" t="s">
        <v>2082</v>
      </c>
      <c r="X966" s="846" t="s">
        <v>2082</v>
      </c>
      <c r="Y966" s="846" t="s">
        <v>2082</v>
      </c>
      <c r="Z966" s="846" t="s">
        <v>2082</v>
      </c>
      <c r="AA966" s="846" t="s">
        <v>2082</v>
      </c>
      <c r="AB966" s="846" t="s">
        <v>2082</v>
      </c>
      <c r="AC966" s="846" t="s">
        <v>2082</v>
      </c>
      <c r="AD966" s="846" t="s">
        <v>2082</v>
      </c>
      <c r="AE966" s="846" t="s">
        <v>2082</v>
      </c>
      <c r="AF966" s="846" t="s">
        <v>2082</v>
      </c>
      <c r="AG966" s="846" t="s">
        <v>2082</v>
      </c>
      <c r="AH966" s="846" t="s">
        <v>2082</v>
      </c>
      <c r="AI966" s="846" t="s">
        <v>2082</v>
      </c>
      <c r="AJ966" s="846" t="s">
        <v>2082</v>
      </c>
      <c r="AK966" s="112">
        <f>AK965/AK884</f>
        <v>0.8345429802676344</v>
      </c>
      <c r="AL966" s="600"/>
      <c r="AM966" s="137" t="s">
        <v>432</v>
      </c>
      <c r="AN966" s="137" t="s">
        <v>432</v>
      </c>
      <c r="AO966" s="137" t="s">
        <v>432</v>
      </c>
      <c r="AP966" s="137" t="s">
        <v>432</v>
      </c>
      <c r="AQ966" s="137" t="s">
        <v>432</v>
      </c>
      <c r="AR966" s="137" t="s">
        <v>432</v>
      </c>
      <c r="AS966" s="137" t="s">
        <v>432</v>
      </c>
      <c r="AT966" s="137" t="s">
        <v>432</v>
      </c>
      <c r="AU966" s="137" t="s">
        <v>432</v>
      </c>
      <c r="AV966" s="137" t="s">
        <v>432</v>
      </c>
      <c r="AW966" s="137" t="s">
        <v>432</v>
      </c>
      <c r="AX966" s="137" t="s">
        <v>432</v>
      </c>
      <c r="AY966" s="137" t="s">
        <v>432</v>
      </c>
      <c r="AZ966" s="137" t="s">
        <v>432</v>
      </c>
      <c r="BA966" s="137" t="s">
        <v>432</v>
      </c>
      <c r="BB966" s="239" t="str">
        <f t="shared" si="231"/>
        <v>Sistema de transporte coletivo com um todoacessibilidade</v>
      </c>
      <c r="BC966" s="239" t="str">
        <f t="shared" si="232"/>
        <v>Sistema de transporte coletivo com um todoacessibilidadebenchmarking</v>
      </c>
      <c r="BD966" s="239" t="str">
        <f t="shared" si="233"/>
        <v>Sistema de transporte coletivo com um todobenchmarking</v>
      </c>
    </row>
    <row r="967" spans="1:56" s="1" customFormat="1" ht="79.5" customHeight="1" x14ac:dyDescent="0.25">
      <c r="A967" s="275" t="str">
        <f>'Q100b-totais'!B62</f>
        <v>8.10</v>
      </c>
      <c r="B967" s="54" t="str">
        <f>'Q100b-totais'!C62</f>
        <v>Sistema de transporte coletivo com um todo</v>
      </c>
      <c r="C967" s="229" t="s">
        <v>743</v>
      </c>
      <c r="D967" s="325" t="str">
        <f>'Q100e-FrotaOnibus'!AM33</f>
        <v>F tcl en
(n.º)</v>
      </c>
      <c r="E967" s="1445" t="str">
        <f>'Q100e-FrotaOnibus'!AN33</f>
        <v>São Paulo</v>
      </c>
      <c r="F967" s="252" t="str">
        <f>'Q100e-FrotaOnibus'!AO33</f>
        <v>frota em n.º de ônibus do transporte coletivo local da cidade de São Paulo gerenciado pela SPTrans com embarque/desembarque exclusivamente em nível em todos os pontos de parada, com veículo de piso baixo ou veículo de piso alto (com o uso de plataforma elevada), em ambos os casos com ou sem rampa para transpor a fronteira
obs.: em 2015 não há ônibus com embarque em nível neste subsistema conforme SP(2016g1/g2)</v>
      </c>
      <c r="G967" s="110" t="str">
        <f>'Q100e-FrotaOnibus'!AP33</f>
        <v>registro na fonte</v>
      </c>
      <c r="H967" s="57" t="s">
        <v>819</v>
      </c>
      <c r="I967" s="167" t="s">
        <v>432</v>
      </c>
      <c r="J967" s="846" t="s">
        <v>2082</v>
      </c>
      <c r="K967" s="846" t="s">
        <v>2082</v>
      </c>
      <c r="L967" s="846" t="s">
        <v>2082</v>
      </c>
      <c r="M967" s="846" t="s">
        <v>2082</v>
      </c>
      <c r="N967" s="846" t="s">
        <v>2082</v>
      </c>
      <c r="O967" s="846" t="s">
        <v>2082</v>
      </c>
      <c r="P967" s="846" t="s">
        <v>2082</v>
      </c>
      <c r="Q967" s="846" t="s">
        <v>2082</v>
      </c>
      <c r="R967" s="846" t="s">
        <v>2082</v>
      </c>
      <c r="S967" s="109" t="s">
        <v>2209</v>
      </c>
      <c r="T967" s="846" t="s">
        <v>2082</v>
      </c>
      <c r="U967" s="846" t="s">
        <v>2082</v>
      </c>
      <c r="V967" s="109" t="s">
        <v>2209</v>
      </c>
      <c r="W967" s="846" t="s">
        <v>2082</v>
      </c>
      <c r="X967" s="846" t="s">
        <v>2082</v>
      </c>
      <c r="Y967" s="846" t="s">
        <v>2082</v>
      </c>
      <c r="Z967" s="846" t="s">
        <v>2082</v>
      </c>
      <c r="AA967" s="846" t="s">
        <v>2082</v>
      </c>
      <c r="AB967" s="846" t="s">
        <v>2082</v>
      </c>
      <c r="AC967" s="846" t="s">
        <v>2082</v>
      </c>
      <c r="AD967" s="846" t="s">
        <v>2082</v>
      </c>
      <c r="AE967" s="846" t="s">
        <v>2082</v>
      </c>
      <c r="AF967" s="846" t="s">
        <v>2082</v>
      </c>
      <c r="AG967" s="846" t="s">
        <v>2082</v>
      </c>
      <c r="AH967" s="846" t="s">
        <v>2082</v>
      </c>
      <c r="AI967" s="846" t="s">
        <v>2082</v>
      </c>
      <c r="AJ967" s="846" t="s">
        <v>2082</v>
      </c>
      <c r="AK967" s="97">
        <v>0</v>
      </c>
      <c r="AL967" s="600"/>
      <c r="AM967" s="137" t="s">
        <v>432</v>
      </c>
      <c r="AN967" s="137" t="s">
        <v>432</v>
      </c>
      <c r="AO967" s="137" t="s">
        <v>432</v>
      </c>
      <c r="AP967" s="137" t="s">
        <v>432</v>
      </c>
      <c r="AQ967" s="137" t="s">
        <v>432</v>
      </c>
      <c r="AR967" s="137" t="s">
        <v>432</v>
      </c>
      <c r="AS967" s="137" t="s">
        <v>432</v>
      </c>
      <c r="AT967" s="137" t="s">
        <v>432</v>
      </c>
      <c r="AU967" s="137" t="s">
        <v>432</v>
      </c>
      <c r="AV967" s="137" t="s">
        <v>432</v>
      </c>
      <c r="AW967" s="137" t="s">
        <v>432</v>
      </c>
      <c r="AX967" s="137" t="s">
        <v>432</v>
      </c>
      <c r="AY967" s="137" t="s">
        <v>432</v>
      </c>
      <c r="AZ967" s="137" t="s">
        <v>432</v>
      </c>
      <c r="BA967" s="137" t="s">
        <v>432</v>
      </c>
      <c r="BB967" s="239" t="str">
        <f t="shared" si="231"/>
        <v>Sistema de transporte coletivo com um todoacessibilidade</v>
      </c>
      <c r="BC967" s="239" t="str">
        <f t="shared" si="232"/>
        <v>Sistema de transporte coletivo com um todoacessibilidadebenchmarking</v>
      </c>
      <c r="BD967" s="239" t="str">
        <f t="shared" si="233"/>
        <v>Sistema de transporte coletivo com um todobenchmarking</v>
      </c>
    </row>
    <row r="968" spans="1:56" s="1" customFormat="1" ht="51" x14ac:dyDescent="0.25">
      <c r="A968" s="275" t="str">
        <f>'Q100b-totais'!B62</f>
        <v>8.10</v>
      </c>
      <c r="B968" s="54" t="str">
        <f>'Q100b-totais'!C62</f>
        <v>Sistema de transporte coletivo com um todo</v>
      </c>
      <c r="C968" s="229" t="s">
        <v>743</v>
      </c>
      <c r="D968" s="377" t="str">
        <f>'Q100e-FrotaOnibus'!AM34</f>
        <v>F tcl en
(%)</v>
      </c>
      <c r="E968" s="1501" t="str">
        <f>'Q100e-FrotaOnibus'!AN34</f>
        <v>São Paulo</v>
      </c>
      <c r="F968" s="355" t="str">
        <f>'Q100e-FrotaOnibus'!AO34</f>
        <v>percentual da frota de ônibus do transporte coletivo local da cidade de São Paulo gerenciado pela SPTrans com embarque/desembarque exclusivamente em nível em todos os pontos de parada</v>
      </c>
      <c r="G968" s="111" t="str">
        <f>'Q100e-FrotaOnibus'!AP34</f>
        <v>(n.º F tcl en / n.º F tcl) x  100</v>
      </c>
      <c r="H968" s="57" t="s">
        <v>819</v>
      </c>
      <c r="I968" s="167" t="s">
        <v>432</v>
      </c>
      <c r="J968" s="846" t="s">
        <v>2082</v>
      </c>
      <c r="K968" s="846" t="s">
        <v>2082</v>
      </c>
      <c r="L968" s="846" t="s">
        <v>2082</v>
      </c>
      <c r="M968" s="846" t="s">
        <v>2082</v>
      </c>
      <c r="N968" s="846" t="s">
        <v>2082</v>
      </c>
      <c r="O968" s="846" t="s">
        <v>2082</v>
      </c>
      <c r="P968" s="846" t="s">
        <v>2082</v>
      </c>
      <c r="Q968" s="846" t="s">
        <v>2082</v>
      </c>
      <c r="R968" s="846" t="s">
        <v>2082</v>
      </c>
      <c r="S968" s="109" t="s">
        <v>2209</v>
      </c>
      <c r="T968" s="846" t="s">
        <v>2082</v>
      </c>
      <c r="U968" s="846" t="s">
        <v>2082</v>
      </c>
      <c r="V968" s="109" t="s">
        <v>2209</v>
      </c>
      <c r="W968" s="846" t="s">
        <v>2082</v>
      </c>
      <c r="X968" s="846" t="s">
        <v>2082</v>
      </c>
      <c r="Y968" s="846" t="s">
        <v>2082</v>
      </c>
      <c r="Z968" s="846" t="s">
        <v>2082</v>
      </c>
      <c r="AA968" s="846" t="s">
        <v>2082</v>
      </c>
      <c r="AB968" s="846" t="s">
        <v>2082</v>
      </c>
      <c r="AC968" s="846" t="s">
        <v>2082</v>
      </c>
      <c r="AD968" s="846" t="s">
        <v>2082</v>
      </c>
      <c r="AE968" s="846" t="s">
        <v>2082</v>
      </c>
      <c r="AF968" s="846" t="s">
        <v>2082</v>
      </c>
      <c r="AG968" s="846" t="s">
        <v>2082</v>
      </c>
      <c r="AH968" s="846" t="s">
        <v>2082</v>
      </c>
      <c r="AI968" s="846" t="s">
        <v>2082</v>
      </c>
      <c r="AJ968" s="846" t="s">
        <v>2082</v>
      </c>
      <c r="AK968" s="112">
        <f>AK967/AK883</f>
        <v>0</v>
      </c>
      <c r="AL968" s="600"/>
      <c r="AM968" s="137" t="s">
        <v>432</v>
      </c>
      <c r="AN968" s="137" t="s">
        <v>432</v>
      </c>
      <c r="AO968" s="137" t="s">
        <v>432</v>
      </c>
      <c r="AP968" s="137" t="s">
        <v>432</v>
      </c>
      <c r="AQ968" s="137" t="s">
        <v>432</v>
      </c>
      <c r="AR968" s="137" t="s">
        <v>432</v>
      </c>
      <c r="AS968" s="137" t="s">
        <v>432</v>
      </c>
      <c r="AT968" s="137" t="s">
        <v>432</v>
      </c>
      <c r="AU968" s="137" t="s">
        <v>432</v>
      </c>
      <c r="AV968" s="137" t="s">
        <v>432</v>
      </c>
      <c r="AW968" s="137" t="s">
        <v>432</v>
      </c>
      <c r="AX968" s="137" t="s">
        <v>432</v>
      </c>
      <c r="AY968" s="137" t="s">
        <v>432</v>
      </c>
      <c r="AZ968" s="137" t="s">
        <v>432</v>
      </c>
      <c r="BA968" s="137" t="s">
        <v>432</v>
      </c>
      <c r="BB968" s="239" t="str">
        <f t="shared" si="231"/>
        <v>Sistema de transporte coletivo com um todoacessibilidade</v>
      </c>
      <c r="BC968" s="239" t="str">
        <f t="shared" si="232"/>
        <v>Sistema de transporte coletivo com um todoacessibilidadebenchmarking</v>
      </c>
      <c r="BD968" s="239" t="str">
        <f t="shared" si="233"/>
        <v>Sistema de transporte coletivo com um todobenchmarking</v>
      </c>
    </row>
    <row r="969" spans="1:56" s="373" customFormat="1" x14ac:dyDescent="0.25">
      <c r="A969" s="383"/>
      <c r="B969" s="384"/>
      <c r="C969" s="384"/>
      <c r="D969" s="717"/>
      <c r="E969" s="1518"/>
      <c r="F969" s="384"/>
      <c r="G969" s="384"/>
      <c r="H969" s="385"/>
      <c r="I969" s="385"/>
      <c r="J969" s="384"/>
      <c r="K969" s="384"/>
      <c r="L969" s="384"/>
      <c r="M969" s="384"/>
      <c r="N969" s="384"/>
      <c r="O969" s="384"/>
      <c r="P969" s="384"/>
      <c r="Q969" s="384"/>
      <c r="R969" s="384"/>
      <c r="S969" s="384"/>
      <c r="T969" s="384"/>
      <c r="U969" s="384"/>
      <c r="V969" s="384"/>
      <c r="W969" s="384"/>
      <c r="X969" s="386"/>
      <c r="Y969" s="386"/>
      <c r="Z969" s="386"/>
      <c r="AA969" s="386"/>
      <c r="AB969" s="386"/>
      <c r="AC969" s="386"/>
      <c r="AD969" s="386"/>
      <c r="AE969" s="386"/>
      <c r="AF969" s="386"/>
      <c r="AG969" s="386"/>
      <c r="AH969" s="386"/>
      <c r="AI969" s="386"/>
      <c r="AJ969" s="386"/>
      <c r="AK969" s="387"/>
      <c r="AL969" s="387"/>
      <c r="AM969" s="387"/>
      <c r="AN969" s="387"/>
      <c r="AO969" s="387"/>
      <c r="AP969" s="387"/>
      <c r="AQ969" s="387"/>
      <c r="AR969" s="387"/>
      <c r="AS969" s="387"/>
      <c r="AT969" s="387"/>
      <c r="AU969" s="387"/>
      <c r="AV969" s="387"/>
      <c r="AW969" s="387"/>
      <c r="AX969" s="387"/>
      <c r="AY969" s="387"/>
      <c r="AZ969" s="387"/>
      <c r="BA969" s="387"/>
      <c r="BB969" s="388"/>
      <c r="BC969" s="388"/>
      <c r="BD969" s="388"/>
    </row>
    <row r="970" spans="1:56" s="373" customFormat="1" ht="100.5" customHeight="1" x14ac:dyDescent="0.25">
      <c r="A970" s="413" t="str">
        <f>'Q100b-totais'!B62</f>
        <v>8.10</v>
      </c>
      <c r="B970" s="1205" t="str">
        <f>'Q100b-totais'!C62</f>
        <v>Sistema de transporte coletivo com um todo</v>
      </c>
      <c r="C970" s="173" t="s">
        <v>743</v>
      </c>
      <c r="D970" s="377" t="str">
        <f>'Q100e-FrotaOnibus'!D13</f>
        <v>F tc en c/rampa manual</v>
      </c>
      <c r="E970" s="1501" t="str">
        <f>'Q100e-FrotaOnibus'!E13</f>
        <v>x</v>
      </c>
      <c r="F970" s="355" t="str">
        <f>'Q100e-FrotaOnibus'!F13</f>
        <v xml:space="preserve">frota em n.º de ônibus do transporte público coletivo de uma cidade/região de piso baixo (dianteiro, traseiro, central ou total) ou piso alto com rampa veicular não automática em pelo menos uma das portas (com embarque/desembarque sempre em nível, mas dependente da abertura manual da rampa)
obs.1: os veículos desta categoria recebem peso 8, numa escala de 1 a 10, na classificação definida pelo SisMob-BH para classificar a acessibilidade - acesse "acessibilidade em ônibus urbano (escala)"
obs.2: acesse informações quantitativas relativas ao indicador "IAED" das cidades/regiões já incorporadas ao SisMob-BH
</v>
      </c>
      <c r="G970" s="57" t="s">
        <v>3507</v>
      </c>
      <c r="H970" s="167" t="s">
        <v>765</v>
      </c>
      <c r="I970" s="167" t="s">
        <v>432</v>
      </c>
      <c r="J970" s="107" t="s">
        <v>432</v>
      </c>
      <c r="K970" s="107" t="s">
        <v>432</v>
      </c>
      <c r="L970" s="107" t="s">
        <v>432</v>
      </c>
      <c r="M970" s="107" t="s">
        <v>432</v>
      </c>
      <c r="N970" s="107" t="s">
        <v>432</v>
      </c>
      <c r="O970" s="107" t="s">
        <v>432</v>
      </c>
      <c r="P970" s="107" t="s">
        <v>432</v>
      </c>
      <c r="Q970" s="107" t="s">
        <v>432</v>
      </c>
      <c r="R970" s="107" t="s">
        <v>432</v>
      </c>
      <c r="S970" s="109" t="s">
        <v>2209</v>
      </c>
      <c r="T970" s="108" t="s">
        <v>432</v>
      </c>
      <c r="U970" s="108" t="s">
        <v>432</v>
      </c>
      <c r="V970" s="109" t="s">
        <v>2209</v>
      </c>
      <c r="W970" s="108" t="s">
        <v>432</v>
      </c>
      <c r="X970" s="108" t="s">
        <v>432</v>
      </c>
      <c r="Y970" s="108" t="s">
        <v>432</v>
      </c>
      <c r="Z970" s="108" t="s">
        <v>432</v>
      </c>
      <c r="AA970" s="108" t="s">
        <v>432</v>
      </c>
      <c r="AB970" s="108" t="s">
        <v>432</v>
      </c>
      <c r="AC970" s="108" t="s">
        <v>432</v>
      </c>
      <c r="AD970" s="108" t="s">
        <v>432</v>
      </c>
      <c r="AE970" s="108" t="s">
        <v>432</v>
      </c>
      <c r="AF970" s="108" t="s">
        <v>432</v>
      </c>
      <c r="AG970" s="108" t="s">
        <v>432</v>
      </c>
      <c r="AH970" s="108" t="s">
        <v>432</v>
      </c>
      <c r="AI970" s="108" t="s">
        <v>432</v>
      </c>
      <c r="AJ970" s="108" t="s">
        <v>432</v>
      </c>
      <c r="AK970" s="108" t="s">
        <v>432</v>
      </c>
      <c r="AL970" s="600" t="s">
        <v>432</v>
      </c>
      <c r="AM970" s="137" t="s">
        <v>432</v>
      </c>
      <c r="AN970" s="137" t="s">
        <v>432</v>
      </c>
      <c r="AO970" s="137" t="s">
        <v>432</v>
      </c>
      <c r="AP970" s="137" t="s">
        <v>432</v>
      </c>
      <c r="AQ970" s="137" t="s">
        <v>432</v>
      </c>
      <c r="AR970" s="137" t="s">
        <v>432</v>
      </c>
      <c r="AS970" s="137" t="s">
        <v>432</v>
      </c>
      <c r="AT970" s="137" t="s">
        <v>432</v>
      </c>
      <c r="AU970" s="137" t="s">
        <v>432</v>
      </c>
      <c r="AV970" s="137" t="s">
        <v>432</v>
      </c>
      <c r="AW970" s="137" t="s">
        <v>432</v>
      </c>
      <c r="AX970" s="137" t="s">
        <v>432</v>
      </c>
      <c r="AY970" s="137" t="s">
        <v>432</v>
      </c>
      <c r="AZ970" s="137" t="s">
        <v>432</v>
      </c>
      <c r="BA970" s="137" t="s">
        <v>432</v>
      </c>
      <c r="BB970" s="239" t="str">
        <f t="shared" ref="BB970:BB983" si="242">B970&amp;C970</f>
        <v>Sistema de transporte coletivo com um todoacessibilidade</v>
      </c>
      <c r="BC970" s="239" t="str">
        <f t="shared" ref="BC970:BC983" si="243">B970&amp;C970&amp;H970</f>
        <v>Sistema de transporte coletivo com um todoacessibilidademeta/RPI</v>
      </c>
      <c r="BD970" s="239" t="str">
        <f t="shared" ref="BD970:BD983" si="244">B970&amp;H970</f>
        <v>Sistema de transporte coletivo com um todometa/RPI</v>
      </c>
    </row>
    <row r="971" spans="1:56" s="1" customFormat="1" ht="123" customHeight="1" x14ac:dyDescent="0.25">
      <c r="A971" s="275" t="str">
        <f>'Q100b-totais'!$B$57</f>
        <v>8.5</v>
      </c>
      <c r="B971" s="1205" t="str">
        <f>'Q100b-totais'!$C$57</f>
        <v>Transporte convencional</v>
      </c>
      <c r="C971" s="57" t="s">
        <v>743</v>
      </c>
      <c r="D971" s="715" t="str">
        <f>'Q100e-FrotaOnibus'!BD13</f>
        <v>F tcc en c/rampa manual</v>
      </c>
      <c r="E971" s="1502" t="str">
        <f>'Q100e-FrotaOnibus'!BE13</f>
        <v>Belo Horizonte</v>
      </c>
      <c r="F971" s="355" t="str">
        <f>'Q100e-FrotaOnibus'!BF13</f>
        <v>frota em n.º de ônibus do transporte coletivo convencional de Belo Horizonte gerenciado pela BHTrans com piso-alto e com rampa veicular manual em uma das portas (com embarque/desembarque em nível apenas nessa porta com o usuário dependente da abertura manual da rampa)
obs.1: esta categoria recebe peso 8, numa escala de 1 a 10, na classificação definida pelo SisMob-BH para classificar a acessibilidade - acesse "acessibilidade em ônibus urbano (escala)"
obs.2: em Belo Horizonte pelo menos até 2015 os veículos de piso alto com rampa operam apenas no sub-sistema BRT
obs.3: mês de dezembro tomado como referência anual, com resultados de 2014 conforme BHTRANS(2015c) e de 2015 conforme BHTRANS(2016c)</v>
      </c>
      <c r="G971" s="110" t="str">
        <f>'Q100e-FrotaOnibus'!BG13</f>
        <v>registro na fonte</v>
      </c>
      <c r="H971" s="173" t="s">
        <v>432</v>
      </c>
      <c r="I971" s="167">
        <v>1</v>
      </c>
      <c r="J971" s="109" t="s">
        <v>2467</v>
      </c>
      <c r="K971" s="109" t="s">
        <v>2467</v>
      </c>
      <c r="L971" s="109" t="s">
        <v>2467</v>
      </c>
      <c r="M971" s="873">
        <v>0</v>
      </c>
      <c r="N971" s="873">
        <v>0</v>
      </c>
      <c r="O971" s="873">
        <v>0</v>
      </c>
      <c r="P971" s="873">
        <v>0</v>
      </c>
      <c r="Q971" s="873">
        <v>0</v>
      </c>
      <c r="R971" s="873">
        <v>0</v>
      </c>
      <c r="S971" s="109" t="s">
        <v>2209</v>
      </c>
      <c r="T971" s="873">
        <v>0</v>
      </c>
      <c r="U971" s="873">
        <v>0</v>
      </c>
      <c r="V971" s="109" t="s">
        <v>2209</v>
      </c>
      <c r="W971" s="873">
        <v>0</v>
      </c>
      <c r="X971" s="873">
        <v>0</v>
      </c>
      <c r="Y971" s="873">
        <v>0</v>
      </c>
      <c r="Z971" s="873">
        <v>0</v>
      </c>
      <c r="AA971" s="873">
        <v>0</v>
      </c>
      <c r="AB971" s="873">
        <v>0</v>
      </c>
      <c r="AC971" s="873">
        <v>0</v>
      </c>
      <c r="AD971" s="873">
        <v>0</v>
      </c>
      <c r="AE971" s="873">
        <v>0</v>
      </c>
      <c r="AF971" s="873">
        <v>0</v>
      </c>
      <c r="AG971" s="873">
        <v>0</v>
      </c>
      <c r="AH971" s="873">
        <v>0</v>
      </c>
      <c r="AI971" s="873">
        <v>0</v>
      </c>
      <c r="AJ971" s="84">
        <v>110</v>
      </c>
      <c r="AK971" s="84">
        <v>110</v>
      </c>
      <c r="AL971" s="600" t="s">
        <v>432</v>
      </c>
      <c r="AM971" s="84">
        <v>110</v>
      </c>
      <c r="AN971" s="137" t="s">
        <v>432</v>
      </c>
      <c r="AO971" s="137" t="s">
        <v>432</v>
      </c>
      <c r="AP971" s="137" t="s">
        <v>432</v>
      </c>
      <c r="AQ971" s="137" t="s">
        <v>432</v>
      </c>
      <c r="AR971" s="137" t="s">
        <v>432</v>
      </c>
      <c r="AS971" s="137" t="s">
        <v>432</v>
      </c>
      <c r="AT971" s="137" t="s">
        <v>432</v>
      </c>
      <c r="AU971" s="137" t="s">
        <v>432</v>
      </c>
      <c r="AV971" s="137" t="s">
        <v>432</v>
      </c>
      <c r="AW971" s="137" t="s">
        <v>432</v>
      </c>
      <c r="AX971" s="137" t="s">
        <v>432</v>
      </c>
      <c r="AY971" s="137" t="s">
        <v>432</v>
      </c>
      <c r="AZ971" s="137" t="s">
        <v>432</v>
      </c>
      <c r="BA971" s="137" t="s">
        <v>432</v>
      </c>
      <c r="BB971" s="239" t="str">
        <f t="shared" si="242"/>
        <v>Transporte convencionalacessibilidade</v>
      </c>
      <c r="BC971" s="239" t="str">
        <f t="shared" si="243"/>
        <v>Transporte convencionalacessibilidadex</v>
      </c>
      <c r="BD971" s="239" t="str">
        <f t="shared" si="244"/>
        <v>Transporte convencionalx</v>
      </c>
    </row>
    <row r="972" spans="1:56" s="1" customFormat="1" ht="51" x14ac:dyDescent="0.25">
      <c r="A972" s="275" t="str">
        <f>'Q100b-totais'!B62</f>
        <v>8.10</v>
      </c>
      <c r="B972" s="1205" t="str">
        <f>'Q100b-totais'!C62</f>
        <v>Sistema de transporte coletivo com um todo</v>
      </c>
      <c r="C972" s="57" t="s">
        <v>743</v>
      </c>
      <c r="D972" s="939" t="str">
        <f>'Q100e-FrotaOnibus'!$M$13</f>
        <v>F tc en c/rampa manual</v>
      </c>
      <c r="E972" s="254" t="s">
        <v>1306</v>
      </c>
      <c r="F972" s="1151" t="s">
        <v>5379</v>
      </c>
      <c r="G972" s="167" t="s">
        <v>5166</v>
      </c>
      <c r="H972" s="173" t="s">
        <v>2408</v>
      </c>
      <c r="I972" s="167" t="s">
        <v>432</v>
      </c>
      <c r="J972" s="107" t="s">
        <v>432</v>
      </c>
      <c r="K972" s="107" t="s">
        <v>432</v>
      </c>
      <c r="L972" s="107" t="s">
        <v>432</v>
      </c>
      <c r="M972" s="107" t="s">
        <v>432</v>
      </c>
      <c r="N972" s="107" t="s">
        <v>432</v>
      </c>
      <c r="O972" s="107" t="s">
        <v>432</v>
      </c>
      <c r="P972" s="107" t="s">
        <v>432</v>
      </c>
      <c r="Q972" s="107" t="s">
        <v>432</v>
      </c>
      <c r="R972" s="107" t="s">
        <v>432</v>
      </c>
      <c r="S972" s="109" t="s">
        <v>2209</v>
      </c>
      <c r="T972" s="107" t="s">
        <v>432</v>
      </c>
      <c r="U972" s="107" t="s">
        <v>432</v>
      </c>
      <c r="V972" s="109" t="s">
        <v>2209</v>
      </c>
      <c r="W972" s="107" t="s">
        <v>432</v>
      </c>
      <c r="X972" s="107" t="s">
        <v>432</v>
      </c>
      <c r="Y972" s="107" t="s">
        <v>432</v>
      </c>
      <c r="Z972" s="107" t="s">
        <v>432</v>
      </c>
      <c r="AA972" s="107" t="s">
        <v>432</v>
      </c>
      <c r="AB972" s="107" t="s">
        <v>432</v>
      </c>
      <c r="AC972" s="107" t="s">
        <v>432</v>
      </c>
      <c r="AD972" s="107" t="s">
        <v>432</v>
      </c>
      <c r="AE972" s="107" t="s">
        <v>432</v>
      </c>
      <c r="AF972" s="107" t="s">
        <v>432</v>
      </c>
      <c r="AG972" s="107" t="s">
        <v>432</v>
      </c>
      <c r="AH972" s="107" t="s">
        <v>432</v>
      </c>
      <c r="AI972" s="107" t="s">
        <v>432</v>
      </c>
      <c r="AJ972" s="107" t="s">
        <v>432</v>
      </c>
      <c r="AK972" s="107" t="s">
        <v>432</v>
      </c>
      <c r="AL972" s="600" t="s">
        <v>432</v>
      </c>
      <c r="AM972" s="137" t="s">
        <v>432</v>
      </c>
      <c r="AN972" s="137" t="s">
        <v>432</v>
      </c>
      <c r="AO972" s="137" t="s">
        <v>432</v>
      </c>
      <c r="AP972" s="137" t="s">
        <v>432</v>
      </c>
      <c r="AQ972" s="137" t="s">
        <v>432</v>
      </c>
      <c r="AR972" s="137" t="s">
        <v>432</v>
      </c>
      <c r="AS972" s="137" t="s">
        <v>432</v>
      </c>
      <c r="AT972" s="137" t="s">
        <v>432</v>
      </c>
      <c r="AU972" s="137" t="s">
        <v>432</v>
      </c>
      <c r="AV972" s="137" t="s">
        <v>432</v>
      </c>
      <c r="AW972" s="137" t="s">
        <v>432</v>
      </c>
      <c r="AX972" s="137" t="s">
        <v>432</v>
      </c>
      <c r="AY972" s="137" t="s">
        <v>432</v>
      </c>
      <c r="AZ972" s="137" t="s">
        <v>432</v>
      </c>
      <c r="BA972" s="137" t="s">
        <v>432</v>
      </c>
      <c r="BB972" s="239" t="str">
        <f t="shared" si="242"/>
        <v>Sistema de transporte coletivo com um todoacessibilidade</v>
      </c>
      <c r="BC972" s="239" t="str">
        <f t="shared" si="243"/>
        <v>Sistema de transporte coletivo com um todoacessibilidadesigla/verbete</v>
      </c>
      <c r="BD972" s="239" t="str">
        <f t="shared" si="244"/>
        <v>Sistema de transporte coletivo com um todosigla/verbete</v>
      </c>
    </row>
    <row r="973" spans="1:56" s="1" customFormat="1" ht="57.75" customHeight="1" x14ac:dyDescent="0.25">
      <c r="A973" s="275" t="str">
        <f>'Q100b-totais'!B62</f>
        <v>8.10</v>
      </c>
      <c r="B973" s="1205" t="str">
        <f>'Q100b-totais'!C62</f>
        <v>Sistema de transporte coletivo com um todo</v>
      </c>
      <c r="C973" s="57" t="s">
        <v>743</v>
      </c>
      <c r="D973" s="939" t="str">
        <f>'Q100e-FrotaOnibus'!$M$13</f>
        <v>F tc en c/rampa manual</v>
      </c>
      <c r="E973" s="254" t="s">
        <v>1306</v>
      </c>
      <c r="F973" s="1151" t="s">
        <v>5380</v>
      </c>
      <c r="G973" s="167" t="s">
        <v>5166</v>
      </c>
      <c r="H973" s="173" t="s">
        <v>2408</v>
      </c>
      <c r="I973" s="167" t="s">
        <v>432</v>
      </c>
      <c r="J973" s="107" t="s">
        <v>432</v>
      </c>
      <c r="K973" s="107" t="s">
        <v>432</v>
      </c>
      <c r="L973" s="107" t="s">
        <v>432</v>
      </c>
      <c r="M973" s="107" t="s">
        <v>432</v>
      </c>
      <c r="N973" s="107" t="s">
        <v>432</v>
      </c>
      <c r="O973" s="107" t="s">
        <v>432</v>
      </c>
      <c r="P973" s="107" t="s">
        <v>432</v>
      </c>
      <c r="Q973" s="107" t="s">
        <v>432</v>
      </c>
      <c r="R973" s="107" t="s">
        <v>432</v>
      </c>
      <c r="S973" s="109" t="s">
        <v>2209</v>
      </c>
      <c r="T973" s="107" t="s">
        <v>432</v>
      </c>
      <c r="U973" s="107" t="s">
        <v>432</v>
      </c>
      <c r="V973" s="109" t="s">
        <v>2209</v>
      </c>
      <c r="W973" s="107" t="s">
        <v>432</v>
      </c>
      <c r="X973" s="107" t="s">
        <v>432</v>
      </c>
      <c r="Y973" s="107" t="s">
        <v>432</v>
      </c>
      <c r="Z973" s="107" t="s">
        <v>432</v>
      </c>
      <c r="AA973" s="107" t="s">
        <v>432</v>
      </c>
      <c r="AB973" s="107" t="s">
        <v>432</v>
      </c>
      <c r="AC973" s="107" t="s">
        <v>432</v>
      </c>
      <c r="AD973" s="107" t="s">
        <v>432</v>
      </c>
      <c r="AE973" s="107" t="s">
        <v>432</v>
      </c>
      <c r="AF973" s="107" t="s">
        <v>432</v>
      </c>
      <c r="AG973" s="107" t="s">
        <v>432</v>
      </c>
      <c r="AH973" s="107" t="s">
        <v>432</v>
      </c>
      <c r="AI973" s="107" t="s">
        <v>432</v>
      </c>
      <c r="AJ973" s="107" t="s">
        <v>432</v>
      </c>
      <c r="AK973" s="107" t="s">
        <v>432</v>
      </c>
      <c r="AL973" s="600" t="s">
        <v>432</v>
      </c>
      <c r="AM973" s="137" t="s">
        <v>432</v>
      </c>
      <c r="AN973" s="137" t="s">
        <v>432</v>
      </c>
      <c r="AO973" s="137" t="s">
        <v>432</v>
      </c>
      <c r="AP973" s="137" t="s">
        <v>432</v>
      </c>
      <c r="AQ973" s="137" t="s">
        <v>432</v>
      </c>
      <c r="AR973" s="137" t="s">
        <v>432</v>
      </c>
      <c r="AS973" s="137" t="s">
        <v>432</v>
      </c>
      <c r="AT973" s="137" t="s">
        <v>432</v>
      </c>
      <c r="AU973" s="137" t="s">
        <v>432</v>
      </c>
      <c r="AV973" s="137" t="s">
        <v>432</v>
      </c>
      <c r="AW973" s="137" t="s">
        <v>432</v>
      </c>
      <c r="AX973" s="137" t="s">
        <v>432</v>
      </c>
      <c r="AY973" s="137" t="s">
        <v>432</v>
      </c>
      <c r="AZ973" s="137" t="s">
        <v>432</v>
      </c>
      <c r="BA973" s="137" t="s">
        <v>432</v>
      </c>
      <c r="BB973" s="239" t="str">
        <f t="shared" si="242"/>
        <v>Sistema de transporte coletivo com um todoacessibilidade</v>
      </c>
      <c r="BC973" s="239" t="str">
        <f t="shared" si="243"/>
        <v>Sistema de transporte coletivo com um todoacessibilidadesigla/verbete</v>
      </c>
      <c r="BD973" s="239" t="str">
        <f t="shared" si="244"/>
        <v>Sistema de transporte coletivo com um todosigla/verbete</v>
      </c>
    </row>
    <row r="974" spans="1:56" s="1" customFormat="1" ht="56.25" customHeight="1" x14ac:dyDescent="0.25">
      <c r="A974" s="275" t="str">
        <f>'Q100b-totais'!B62</f>
        <v>8.10</v>
      </c>
      <c r="B974" s="1205" t="str">
        <f>'Q100b-totais'!C62</f>
        <v>Sistema de transporte coletivo com um todo</v>
      </c>
      <c r="C974" s="57" t="s">
        <v>743</v>
      </c>
      <c r="D974" s="939" t="str">
        <f>'Q100e-FrotaOnibus'!$M$13</f>
        <v>F tc en c/rampa manual</v>
      </c>
      <c r="E974" s="254" t="s">
        <v>1306</v>
      </c>
      <c r="F974" s="1151" t="s">
        <v>5381</v>
      </c>
      <c r="G974" s="167" t="s">
        <v>5166</v>
      </c>
      <c r="H974" s="173" t="s">
        <v>2408</v>
      </c>
      <c r="I974" s="167" t="s">
        <v>432</v>
      </c>
      <c r="J974" s="107" t="s">
        <v>432</v>
      </c>
      <c r="K974" s="107" t="s">
        <v>432</v>
      </c>
      <c r="L974" s="107" t="s">
        <v>432</v>
      </c>
      <c r="M974" s="107" t="s">
        <v>432</v>
      </c>
      <c r="N974" s="107" t="s">
        <v>432</v>
      </c>
      <c r="O974" s="107" t="s">
        <v>432</v>
      </c>
      <c r="P974" s="107" t="s">
        <v>432</v>
      </c>
      <c r="Q974" s="107" t="s">
        <v>432</v>
      </c>
      <c r="R974" s="107" t="s">
        <v>432</v>
      </c>
      <c r="S974" s="109" t="s">
        <v>2209</v>
      </c>
      <c r="T974" s="107" t="s">
        <v>432</v>
      </c>
      <c r="U974" s="107" t="s">
        <v>432</v>
      </c>
      <c r="V974" s="109" t="s">
        <v>2209</v>
      </c>
      <c r="W974" s="107" t="s">
        <v>432</v>
      </c>
      <c r="X974" s="107" t="s">
        <v>432</v>
      </c>
      <c r="Y974" s="107" t="s">
        <v>432</v>
      </c>
      <c r="Z974" s="107" t="s">
        <v>432</v>
      </c>
      <c r="AA974" s="107" t="s">
        <v>432</v>
      </c>
      <c r="AB974" s="107" t="s">
        <v>432</v>
      </c>
      <c r="AC974" s="107" t="s">
        <v>432</v>
      </c>
      <c r="AD974" s="107" t="s">
        <v>432</v>
      </c>
      <c r="AE974" s="107" t="s">
        <v>432</v>
      </c>
      <c r="AF974" s="107" t="s">
        <v>432</v>
      </c>
      <c r="AG974" s="107" t="s">
        <v>432</v>
      </c>
      <c r="AH974" s="107" t="s">
        <v>432</v>
      </c>
      <c r="AI974" s="107" t="s">
        <v>432</v>
      </c>
      <c r="AJ974" s="107" t="s">
        <v>432</v>
      </c>
      <c r="AK974" s="107" t="s">
        <v>432</v>
      </c>
      <c r="AL974" s="600" t="s">
        <v>432</v>
      </c>
      <c r="AM974" s="137" t="s">
        <v>432</v>
      </c>
      <c r="AN974" s="137" t="s">
        <v>432</v>
      </c>
      <c r="AO974" s="137" t="s">
        <v>432</v>
      </c>
      <c r="AP974" s="137" t="s">
        <v>432</v>
      </c>
      <c r="AQ974" s="137" t="s">
        <v>432</v>
      </c>
      <c r="AR974" s="137" t="s">
        <v>432</v>
      </c>
      <c r="AS974" s="137" t="s">
        <v>432</v>
      </c>
      <c r="AT974" s="137" t="s">
        <v>432</v>
      </c>
      <c r="AU974" s="137" t="s">
        <v>432</v>
      </c>
      <c r="AV974" s="137" t="s">
        <v>432</v>
      </c>
      <c r="AW974" s="137" t="s">
        <v>432</v>
      </c>
      <c r="AX974" s="137" t="s">
        <v>432</v>
      </c>
      <c r="AY974" s="137" t="s">
        <v>432</v>
      </c>
      <c r="AZ974" s="137" t="s">
        <v>432</v>
      </c>
      <c r="BA974" s="137" t="s">
        <v>432</v>
      </c>
      <c r="BB974" s="239" t="str">
        <f t="shared" si="242"/>
        <v>Sistema de transporte coletivo com um todoacessibilidade</v>
      </c>
      <c r="BC974" s="239" t="str">
        <f t="shared" si="243"/>
        <v>Sistema de transporte coletivo com um todoacessibilidadesigla/verbete</v>
      </c>
      <c r="BD974" s="239" t="str">
        <f t="shared" si="244"/>
        <v>Sistema de transporte coletivo com um todosigla/verbete</v>
      </c>
    </row>
    <row r="975" spans="1:56" s="1" customFormat="1" ht="72.75" customHeight="1" x14ac:dyDescent="0.25">
      <c r="A975" s="275" t="str">
        <f>'Q100b-totais'!B62</f>
        <v>8.10</v>
      </c>
      <c r="B975" s="1205" t="str">
        <f>'Q100b-totais'!C62</f>
        <v>Sistema de transporte coletivo com um todo</v>
      </c>
      <c r="C975" s="57" t="s">
        <v>743</v>
      </c>
      <c r="D975" s="939" t="str">
        <f>'Q100e-FrotaOnibus'!$M$13</f>
        <v>F tc en c/rampa manual</v>
      </c>
      <c r="E975" s="254" t="s">
        <v>1306</v>
      </c>
      <c r="F975" s="1151" t="s">
        <v>5382</v>
      </c>
      <c r="G975" s="167" t="s">
        <v>5166</v>
      </c>
      <c r="H975" s="173" t="s">
        <v>2408</v>
      </c>
      <c r="I975" s="167" t="s">
        <v>432</v>
      </c>
      <c r="J975" s="107" t="s">
        <v>432</v>
      </c>
      <c r="K975" s="107" t="s">
        <v>432</v>
      </c>
      <c r="L975" s="107" t="s">
        <v>432</v>
      </c>
      <c r="M975" s="107" t="s">
        <v>432</v>
      </c>
      <c r="N975" s="107" t="s">
        <v>432</v>
      </c>
      <c r="O975" s="107" t="s">
        <v>432</v>
      </c>
      <c r="P975" s="107" t="s">
        <v>432</v>
      </c>
      <c r="Q975" s="107" t="s">
        <v>432</v>
      </c>
      <c r="R975" s="107" t="s">
        <v>432</v>
      </c>
      <c r="S975" s="109" t="s">
        <v>2209</v>
      </c>
      <c r="T975" s="107" t="s">
        <v>432</v>
      </c>
      <c r="U975" s="107" t="s">
        <v>432</v>
      </c>
      <c r="V975" s="109" t="s">
        <v>2209</v>
      </c>
      <c r="W975" s="107" t="s">
        <v>432</v>
      </c>
      <c r="X975" s="107" t="s">
        <v>432</v>
      </c>
      <c r="Y975" s="107" t="s">
        <v>432</v>
      </c>
      <c r="Z975" s="107" t="s">
        <v>432</v>
      </c>
      <c r="AA975" s="107" t="s">
        <v>432</v>
      </c>
      <c r="AB975" s="107" t="s">
        <v>432</v>
      </c>
      <c r="AC975" s="107" t="s">
        <v>432</v>
      </c>
      <c r="AD975" s="107" t="s">
        <v>432</v>
      </c>
      <c r="AE975" s="107" t="s">
        <v>432</v>
      </c>
      <c r="AF975" s="107" t="s">
        <v>432</v>
      </c>
      <c r="AG975" s="107" t="s">
        <v>432</v>
      </c>
      <c r="AH975" s="107" t="s">
        <v>432</v>
      </c>
      <c r="AI975" s="107" t="s">
        <v>432</v>
      </c>
      <c r="AJ975" s="107" t="s">
        <v>432</v>
      </c>
      <c r="AK975" s="107" t="s">
        <v>432</v>
      </c>
      <c r="AL975" s="600" t="s">
        <v>432</v>
      </c>
      <c r="AM975" s="137" t="s">
        <v>432</v>
      </c>
      <c r="AN975" s="137" t="s">
        <v>432</v>
      </c>
      <c r="AO975" s="137" t="s">
        <v>432</v>
      </c>
      <c r="AP975" s="137" t="s">
        <v>432</v>
      </c>
      <c r="AQ975" s="137" t="s">
        <v>432</v>
      </c>
      <c r="AR975" s="137" t="s">
        <v>432</v>
      </c>
      <c r="AS975" s="137" t="s">
        <v>432</v>
      </c>
      <c r="AT975" s="137" t="s">
        <v>432</v>
      </c>
      <c r="AU975" s="137" t="s">
        <v>432</v>
      </c>
      <c r="AV975" s="137" t="s">
        <v>432</v>
      </c>
      <c r="AW975" s="137" t="s">
        <v>432</v>
      </c>
      <c r="AX975" s="137" t="s">
        <v>432</v>
      </c>
      <c r="AY975" s="137" t="s">
        <v>432</v>
      </c>
      <c r="AZ975" s="137" t="s">
        <v>432</v>
      </c>
      <c r="BA975" s="137" t="s">
        <v>432</v>
      </c>
      <c r="BB975" s="239" t="str">
        <f t="shared" si="242"/>
        <v>Sistema de transporte coletivo com um todoacessibilidade</v>
      </c>
      <c r="BC975" s="239" t="str">
        <f t="shared" si="243"/>
        <v>Sistema de transporte coletivo com um todoacessibilidadesigla/verbete</v>
      </c>
      <c r="BD975" s="239" t="str">
        <f t="shared" si="244"/>
        <v>Sistema de transporte coletivo com um todosigla/verbete</v>
      </c>
    </row>
    <row r="976" spans="1:56" s="1" customFormat="1" ht="102" customHeight="1" x14ac:dyDescent="0.25">
      <c r="A976" s="275" t="str">
        <f>'Q100b-totais'!B62</f>
        <v>8.10</v>
      </c>
      <c r="B976" s="1205" t="str">
        <f>'Q100b-totais'!C62</f>
        <v>Sistema de transporte coletivo com um todo</v>
      </c>
      <c r="C976" s="57" t="s">
        <v>743</v>
      </c>
      <c r="D976" s="324" t="str">
        <f>'Q100e-FrotaOnibus'!S13</f>
        <v>F tc en c/rampa manual</v>
      </c>
      <c r="E976" s="254" t="str">
        <f>'Q100e-FrotaOnibus'!T13</f>
        <v>Curitiba</v>
      </c>
      <c r="F976" s="252" t="str">
        <f>'Q100e-FrotaOnibus'!U13</f>
        <v>frota em n.º de ônibus do transporte coletivo de Curitiba de dois andares, piso baixo no andar inferior, 2 portas com rampa veicular manual na segunda porta (na qual acontece o embarque/desembarque em nível)
obs.1: esta categoria recebe peso 8 (escala de 1 a 10 estabelecida pelo SisMob-BH para classificar e comparar resultados) - acesse "acessibilidade em ônibus urbano (escala)"
obs.2: este tipo de veículo chamado "double-deck" opera exclusivamente na "Linha Turismo - Com saída do centro, passa pelos principais parques e pontos turísticos da cidade (tarifa diferenciada)" da RIT de Curitiba conforme BHTRANS(2016f)</v>
      </c>
      <c r="G976" s="110" t="str">
        <f>'Q100e-FrotaOnibus'!V13</f>
        <v>registro na fonte</v>
      </c>
      <c r="H976" s="57" t="s">
        <v>819</v>
      </c>
      <c r="I976" s="167" t="s">
        <v>432</v>
      </c>
      <c r="J976" s="107" t="s">
        <v>432</v>
      </c>
      <c r="K976" s="107" t="s">
        <v>432</v>
      </c>
      <c r="L976" s="107" t="s">
        <v>432</v>
      </c>
      <c r="M976" s="107" t="s">
        <v>432</v>
      </c>
      <c r="N976" s="107" t="s">
        <v>432</v>
      </c>
      <c r="O976" s="107" t="s">
        <v>432</v>
      </c>
      <c r="P976" s="107" t="s">
        <v>432</v>
      </c>
      <c r="Q976" s="107" t="s">
        <v>432</v>
      </c>
      <c r="R976" s="107" t="s">
        <v>432</v>
      </c>
      <c r="S976" s="109" t="s">
        <v>2209</v>
      </c>
      <c r="T976" s="107" t="s">
        <v>432</v>
      </c>
      <c r="U976" s="107" t="s">
        <v>432</v>
      </c>
      <c r="V976" s="109" t="s">
        <v>2209</v>
      </c>
      <c r="W976" s="107" t="s">
        <v>432</v>
      </c>
      <c r="X976" s="107" t="s">
        <v>432</v>
      </c>
      <c r="Y976" s="107" t="s">
        <v>432</v>
      </c>
      <c r="Z976" s="107" t="s">
        <v>432</v>
      </c>
      <c r="AA976" s="107" t="s">
        <v>432</v>
      </c>
      <c r="AB976" s="107" t="s">
        <v>432</v>
      </c>
      <c r="AC976" s="107" t="s">
        <v>432</v>
      </c>
      <c r="AD976" s="107" t="s">
        <v>432</v>
      </c>
      <c r="AE976" s="107" t="s">
        <v>432</v>
      </c>
      <c r="AF976" s="107" t="s">
        <v>432</v>
      </c>
      <c r="AG976" s="107" t="s">
        <v>432</v>
      </c>
      <c r="AH976" s="107" t="s">
        <v>432</v>
      </c>
      <c r="AI976" s="107" t="s">
        <v>432</v>
      </c>
      <c r="AJ976" s="107" t="s">
        <v>432</v>
      </c>
      <c r="AK976" s="110">
        <v>6</v>
      </c>
      <c r="AL976" s="600" t="s">
        <v>432</v>
      </c>
      <c r="AM976" s="137" t="s">
        <v>432</v>
      </c>
      <c r="AN976" s="137" t="s">
        <v>432</v>
      </c>
      <c r="AO976" s="137" t="s">
        <v>432</v>
      </c>
      <c r="AP976" s="137" t="s">
        <v>432</v>
      </c>
      <c r="AQ976" s="137" t="s">
        <v>432</v>
      </c>
      <c r="AR976" s="137" t="s">
        <v>432</v>
      </c>
      <c r="AS976" s="137" t="s">
        <v>432</v>
      </c>
      <c r="AT976" s="137" t="s">
        <v>432</v>
      </c>
      <c r="AU976" s="137" t="s">
        <v>432</v>
      </c>
      <c r="AV976" s="137" t="s">
        <v>432</v>
      </c>
      <c r="AW976" s="137" t="s">
        <v>432</v>
      </c>
      <c r="AX976" s="137" t="s">
        <v>432</v>
      </c>
      <c r="AY976" s="137" t="s">
        <v>432</v>
      </c>
      <c r="AZ976" s="137" t="s">
        <v>432</v>
      </c>
      <c r="BA976" s="137" t="s">
        <v>432</v>
      </c>
      <c r="BB976" s="239" t="str">
        <f t="shared" si="242"/>
        <v>Sistema de transporte coletivo com um todoacessibilidade</v>
      </c>
      <c r="BC976" s="239" t="str">
        <f t="shared" si="243"/>
        <v>Sistema de transporte coletivo com um todoacessibilidadebenchmarking</v>
      </c>
      <c r="BD976" s="239" t="str">
        <f t="shared" si="244"/>
        <v>Sistema de transporte coletivo com um todobenchmarking</v>
      </c>
    </row>
    <row r="977" spans="1:56" s="1" customFormat="1" ht="140.25" customHeight="1" x14ac:dyDescent="0.25">
      <c r="A977" s="275" t="str">
        <f>'Q100b-totais'!B62</f>
        <v>8.10</v>
      </c>
      <c r="B977" s="1205" t="str">
        <f>'Q100b-totais'!C62</f>
        <v>Sistema de transporte coletivo com um todo</v>
      </c>
      <c r="C977" s="57" t="s">
        <v>743</v>
      </c>
      <c r="D977" s="324" t="str">
        <f>'Q100e-FrotaOnibus'!AY13</f>
        <v>F tc en c/rampa manual</v>
      </c>
      <c r="E977" s="254" t="str">
        <f>'Q100e-FrotaOnibus'!AZ13</f>
        <v>outras cidades/regiões do Brasil</v>
      </c>
      <c r="F977" s="252" t="str">
        <f>'Q100e-FrotaOnibus'!BA13</f>
        <v>veículos de piso-baixo (dianteiro, traseiro, central ou total) com rampa veicular manual (embarque/desembarque sempre em nível, mas dependente da abertura manual da rampa)
obs.1: esta categoria recebe peso 8, numa escala de 1 a 10, na classificação definida pelo SisMob-BH para classificar a acessibilidade - acesse "acessibilidade em ônibus urbano (escala)"
obs.2: RM Curitiba - em dezembro de 2015 foi noticiado que começaram a operar dois veículos de piso baixo na "linha B72 - Ctba/Colombo (Via Rodovia da Uva)" conforme ÔNIBUS DE CURITIBA(2015b); "Além de Colombo, os municípios de Itaperuçu e Rio Branco do Sul também contam com um veículo piso-baixo, o 26400 da Viação do Sul. O órgão responsável pelo transporte coletivo metropolitano é a COMEC." conforme ONIBUS DE CURITIBA(2016a)</v>
      </c>
      <c r="G977" s="57" t="str">
        <f>'Q100e-FrotaOnibus'!BB13</f>
        <v>sem resultados</v>
      </c>
      <c r="H977" s="57" t="s">
        <v>819</v>
      </c>
      <c r="I977" s="167" t="s">
        <v>432</v>
      </c>
      <c r="J977" s="107" t="s">
        <v>432</v>
      </c>
      <c r="K977" s="107" t="s">
        <v>432</v>
      </c>
      <c r="L977" s="107" t="s">
        <v>432</v>
      </c>
      <c r="M977" s="107" t="s">
        <v>432</v>
      </c>
      <c r="N977" s="107" t="s">
        <v>432</v>
      </c>
      <c r="O977" s="107" t="s">
        <v>432</v>
      </c>
      <c r="P977" s="107" t="s">
        <v>432</v>
      </c>
      <c r="Q977" s="107" t="s">
        <v>432</v>
      </c>
      <c r="R977" s="107" t="s">
        <v>432</v>
      </c>
      <c r="S977" s="109" t="s">
        <v>2209</v>
      </c>
      <c r="T977" s="107" t="s">
        <v>432</v>
      </c>
      <c r="U977" s="107" t="s">
        <v>432</v>
      </c>
      <c r="V977" s="109" t="s">
        <v>2209</v>
      </c>
      <c r="W977" s="107" t="s">
        <v>432</v>
      </c>
      <c r="X977" s="107" t="s">
        <v>432</v>
      </c>
      <c r="Y977" s="107" t="s">
        <v>432</v>
      </c>
      <c r="Z977" s="107" t="s">
        <v>432</v>
      </c>
      <c r="AA977" s="107" t="s">
        <v>432</v>
      </c>
      <c r="AB977" s="107" t="s">
        <v>432</v>
      </c>
      <c r="AC977" s="107" t="s">
        <v>432</v>
      </c>
      <c r="AD977" s="107" t="s">
        <v>432</v>
      </c>
      <c r="AE977" s="107" t="s">
        <v>432</v>
      </c>
      <c r="AF977" s="107" t="s">
        <v>432</v>
      </c>
      <c r="AG977" s="107" t="s">
        <v>432</v>
      </c>
      <c r="AH977" s="107" t="s">
        <v>432</v>
      </c>
      <c r="AI977" s="107" t="s">
        <v>432</v>
      </c>
      <c r="AJ977" s="107" t="s">
        <v>432</v>
      </c>
      <c r="AK977" s="107" t="s">
        <v>432</v>
      </c>
      <c r="AL977" s="600" t="s">
        <v>432</v>
      </c>
      <c r="AM977" s="137" t="s">
        <v>432</v>
      </c>
      <c r="AN977" s="137" t="s">
        <v>432</v>
      </c>
      <c r="AO977" s="137" t="s">
        <v>432</v>
      </c>
      <c r="AP977" s="137" t="s">
        <v>432</v>
      </c>
      <c r="AQ977" s="137" t="s">
        <v>432</v>
      </c>
      <c r="AR977" s="137" t="s">
        <v>432</v>
      </c>
      <c r="AS977" s="137" t="s">
        <v>432</v>
      </c>
      <c r="AT977" s="137" t="s">
        <v>432</v>
      </c>
      <c r="AU977" s="137" t="s">
        <v>432</v>
      </c>
      <c r="AV977" s="137" t="s">
        <v>432</v>
      </c>
      <c r="AW977" s="137" t="s">
        <v>432</v>
      </c>
      <c r="AX977" s="137" t="s">
        <v>432</v>
      </c>
      <c r="AY977" s="137" t="s">
        <v>432</v>
      </c>
      <c r="AZ977" s="137" t="s">
        <v>432</v>
      </c>
      <c r="BA977" s="137" t="s">
        <v>432</v>
      </c>
      <c r="BB977" s="239" t="str">
        <f t="shared" si="242"/>
        <v>Sistema de transporte coletivo com um todoacessibilidade</v>
      </c>
      <c r="BC977" s="239" t="str">
        <f t="shared" si="243"/>
        <v>Sistema de transporte coletivo com um todoacessibilidadebenchmarking</v>
      </c>
      <c r="BD977" s="239" t="str">
        <f t="shared" si="244"/>
        <v>Sistema de transporte coletivo com um todobenchmarking</v>
      </c>
    </row>
    <row r="978" spans="1:56" s="1" customFormat="1" ht="190.5" customHeight="1" x14ac:dyDescent="0.25">
      <c r="A978" s="275" t="str">
        <f>'Q100b-totais'!B62</f>
        <v>8.10</v>
      </c>
      <c r="B978" s="1205" t="str">
        <f>'Q100b-totais'!C62</f>
        <v>Sistema de transporte coletivo com um todo</v>
      </c>
      <c r="C978" s="57" t="s">
        <v>743</v>
      </c>
      <c r="D978" s="715" t="str">
        <f>'Q100e-FrotaOnibus'!W13</f>
        <v>F tc en c/rampa manual</v>
      </c>
      <c r="E978" s="1502" t="str">
        <f>'Q100e-FrotaOnibus'!X13</f>
        <v>Joinville</v>
      </c>
      <c r="F978" s="355" t="str">
        <f>'Q100e-FrotaOnibus'!Y13</f>
        <v>frota em n.º de ônibus do transporte coletivo de Joinville que operam em linhas trocais, com três portas do lado direito, sendo piso-alto na porta traseira e piso-baixo nas portas dianteira/central, com rampa veicular manual (com embarque/desembarque em nível) apenas na porta central (única porta por onde podem embarcar/desembarcar passageiros cadeirantes)
obs.1: esta categoria recebe peso 8 (escala de 1 a 10 estabelecida pelo SisMob-BH para classificar e comparar resultados) - acesse "acessibilidade em ônibus urbano (escala)"
obs.2: informações sobre os veículos e resultado de 2014 conforme JOINVILLE(2016a)
obs.3: "Frota de ônibus total de 364 veículos, sendo 34 de piso baixo e 241 com elevador, correspondendo à 79,4% de frota acessível que atendem cerca de 85% das viagens. [...] Os ônibus possuem sistema pneumático e as 3 portas de acesso estão na lateral esquerda (olhando para o veículo de frente), sendo que dentros das estações as 2 portas trasseiras são abertas para o embarque e desembarque e nos pontos de ônibus apenas a porta frontal funciona como embarque e as 2 trasseiras como desembarque. Como os ônibus possuem catraca de 4 braços, a pessoa em cadeira de rodas tem que entrar e sair pela porta do centro e esta possui rampa manual." conforme JOINVILLE(2016a)</v>
      </c>
      <c r="G978" s="110" t="str">
        <f>'Q100e-FrotaOnibus'!Z13</f>
        <v>registro na fonte</v>
      </c>
      <c r="H978" s="57" t="s">
        <v>819</v>
      </c>
      <c r="I978" s="167" t="s">
        <v>432</v>
      </c>
      <c r="J978" s="107" t="s">
        <v>432</v>
      </c>
      <c r="K978" s="107" t="s">
        <v>432</v>
      </c>
      <c r="L978" s="107" t="s">
        <v>432</v>
      </c>
      <c r="M978" s="107" t="s">
        <v>432</v>
      </c>
      <c r="N978" s="107" t="s">
        <v>432</v>
      </c>
      <c r="O978" s="107" t="s">
        <v>432</v>
      </c>
      <c r="P978" s="107" t="s">
        <v>432</v>
      </c>
      <c r="Q978" s="107" t="s">
        <v>432</v>
      </c>
      <c r="R978" s="107" t="s">
        <v>432</v>
      </c>
      <c r="S978" s="109" t="s">
        <v>2209</v>
      </c>
      <c r="T978" s="107" t="s">
        <v>432</v>
      </c>
      <c r="U978" s="107" t="s">
        <v>432</v>
      </c>
      <c r="V978" s="109" t="s">
        <v>2209</v>
      </c>
      <c r="W978" s="107" t="s">
        <v>432</v>
      </c>
      <c r="X978" s="107" t="s">
        <v>432</v>
      </c>
      <c r="Y978" s="107" t="s">
        <v>432</v>
      </c>
      <c r="Z978" s="107" t="s">
        <v>432</v>
      </c>
      <c r="AA978" s="107" t="s">
        <v>432</v>
      </c>
      <c r="AB978" s="107" t="s">
        <v>432</v>
      </c>
      <c r="AC978" s="107" t="s">
        <v>432</v>
      </c>
      <c r="AD978" s="107" t="s">
        <v>432</v>
      </c>
      <c r="AE978" s="107" t="s">
        <v>432</v>
      </c>
      <c r="AF978" s="107" t="s">
        <v>432</v>
      </c>
      <c r="AG978" s="107" t="s">
        <v>432</v>
      </c>
      <c r="AH978" s="107" t="s">
        <v>2082</v>
      </c>
      <c r="AI978" s="107" t="s">
        <v>2082</v>
      </c>
      <c r="AJ978" s="84">
        <v>34</v>
      </c>
      <c r="AK978" s="107" t="s">
        <v>2082</v>
      </c>
      <c r="AL978" s="600" t="s">
        <v>432</v>
      </c>
      <c r="AM978" s="137" t="s">
        <v>432</v>
      </c>
      <c r="AN978" s="137" t="s">
        <v>432</v>
      </c>
      <c r="AO978" s="137" t="s">
        <v>432</v>
      </c>
      <c r="AP978" s="137" t="s">
        <v>432</v>
      </c>
      <c r="AQ978" s="137" t="s">
        <v>432</v>
      </c>
      <c r="AR978" s="137" t="s">
        <v>432</v>
      </c>
      <c r="AS978" s="137" t="s">
        <v>432</v>
      </c>
      <c r="AT978" s="137" t="s">
        <v>432</v>
      </c>
      <c r="AU978" s="137" t="s">
        <v>432</v>
      </c>
      <c r="AV978" s="137" t="s">
        <v>432</v>
      </c>
      <c r="AW978" s="137" t="s">
        <v>432</v>
      </c>
      <c r="AX978" s="137" t="s">
        <v>432</v>
      </c>
      <c r="AY978" s="137" t="s">
        <v>432</v>
      </c>
      <c r="AZ978" s="137" t="s">
        <v>432</v>
      </c>
      <c r="BA978" s="137" t="s">
        <v>432</v>
      </c>
      <c r="BB978" s="239" t="str">
        <f t="shared" si="242"/>
        <v>Sistema de transporte coletivo com um todoacessibilidade</v>
      </c>
      <c r="BC978" s="239" t="str">
        <f t="shared" si="243"/>
        <v>Sistema de transporte coletivo com um todoacessibilidadebenchmarking</v>
      </c>
      <c r="BD978" s="239" t="str">
        <f t="shared" si="244"/>
        <v>Sistema de transporte coletivo com um todobenchmarking</v>
      </c>
    </row>
    <row r="979" spans="1:56" s="1" customFormat="1" ht="51" x14ac:dyDescent="0.25">
      <c r="A979" s="413" t="str">
        <f>'Q100b-totais'!B62</f>
        <v>8.10</v>
      </c>
      <c r="B979" s="1205" t="str">
        <f>'Q100b-totais'!C62</f>
        <v>Sistema de transporte coletivo com um todo</v>
      </c>
      <c r="C979" s="173" t="s">
        <v>743</v>
      </c>
      <c r="D979" s="324" t="str">
        <f>'Q100e-FrotaOnibus'!BY13</f>
        <v>F tc en c/rampa manual</v>
      </c>
      <c r="E979" s="254" t="str">
        <f>'Q100e-FrotaOnibus'!BZ13</f>
        <v>Outras cidades/regiões fora do Brasil</v>
      </c>
      <c r="F979" s="252" t="str">
        <f>'Q100e-FrotaOnibus'!CA13</f>
        <v>ônibus com embarque em nível em todas as portas com rampa veicular manual em uma porta
obs.1: esta categoria recebe peso 8 (escala de 1 a 10 estabelecida pelo SisMob-BH para classificar e comparar resultados) - acesse "acessibilidade em ônibus urbano (escala)"
obs.2: em Salzburgo/Áustria os ônibus são de três portas com rampa manual na porta central conforme JAN(2012); OLIVEIRA(2016c)</v>
      </c>
      <c r="G979" s="157" t="str">
        <f>'Q100e-FrotaOnibus'!CB13</f>
        <v>sem resultados</v>
      </c>
      <c r="H979" s="57" t="s">
        <v>819</v>
      </c>
      <c r="I979" s="167" t="s">
        <v>432</v>
      </c>
      <c r="J979" s="107" t="s">
        <v>432</v>
      </c>
      <c r="K979" s="107" t="s">
        <v>432</v>
      </c>
      <c r="L979" s="107" t="s">
        <v>432</v>
      </c>
      <c r="M979" s="107" t="s">
        <v>432</v>
      </c>
      <c r="N979" s="107" t="s">
        <v>432</v>
      </c>
      <c r="O979" s="107" t="s">
        <v>432</v>
      </c>
      <c r="P979" s="107" t="s">
        <v>432</v>
      </c>
      <c r="Q979" s="107" t="s">
        <v>432</v>
      </c>
      <c r="R979" s="107" t="s">
        <v>432</v>
      </c>
      <c r="S979" s="109" t="s">
        <v>2209</v>
      </c>
      <c r="T979" s="107" t="s">
        <v>432</v>
      </c>
      <c r="U979" s="107" t="s">
        <v>432</v>
      </c>
      <c r="V979" s="109" t="s">
        <v>2209</v>
      </c>
      <c r="W979" s="107" t="s">
        <v>432</v>
      </c>
      <c r="X979" s="107" t="s">
        <v>432</v>
      </c>
      <c r="Y979" s="107" t="s">
        <v>432</v>
      </c>
      <c r="Z979" s="107" t="s">
        <v>432</v>
      </c>
      <c r="AA979" s="107" t="s">
        <v>432</v>
      </c>
      <c r="AB979" s="107" t="s">
        <v>432</v>
      </c>
      <c r="AC979" s="107" t="s">
        <v>432</v>
      </c>
      <c r="AD979" s="107" t="s">
        <v>432</v>
      </c>
      <c r="AE979" s="107" t="s">
        <v>432</v>
      </c>
      <c r="AF979" s="107" t="s">
        <v>432</v>
      </c>
      <c r="AG979" s="107" t="s">
        <v>432</v>
      </c>
      <c r="AH979" s="107" t="s">
        <v>432</v>
      </c>
      <c r="AI979" s="107" t="s">
        <v>432</v>
      </c>
      <c r="AJ979" s="107" t="s">
        <v>432</v>
      </c>
      <c r="AK979" s="107" t="s">
        <v>432</v>
      </c>
      <c r="AL979" s="600" t="s">
        <v>432</v>
      </c>
      <c r="AM979" s="137" t="s">
        <v>432</v>
      </c>
      <c r="AN979" s="137" t="s">
        <v>432</v>
      </c>
      <c r="AO979" s="137" t="s">
        <v>432</v>
      </c>
      <c r="AP979" s="137" t="s">
        <v>432</v>
      </c>
      <c r="AQ979" s="137" t="s">
        <v>432</v>
      </c>
      <c r="AR979" s="137" t="s">
        <v>432</v>
      </c>
      <c r="AS979" s="137" t="s">
        <v>432</v>
      </c>
      <c r="AT979" s="137" t="s">
        <v>432</v>
      </c>
      <c r="AU979" s="137" t="s">
        <v>432</v>
      </c>
      <c r="AV979" s="137" t="s">
        <v>432</v>
      </c>
      <c r="AW979" s="137" t="s">
        <v>432</v>
      </c>
      <c r="AX979" s="137" t="s">
        <v>432</v>
      </c>
      <c r="AY979" s="137" t="s">
        <v>432</v>
      </c>
      <c r="AZ979" s="137" t="s">
        <v>432</v>
      </c>
      <c r="BA979" s="137" t="s">
        <v>432</v>
      </c>
      <c r="BB979" s="239" t="str">
        <f t="shared" si="242"/>
        <v>Sistema de transporte coletivo com um todoacessibilidade</v>
      </c>
      <c r="BC979" s="239" t="str">
        <f t="shared" si="243"/>
        <v>Sistema de transporte coletivo com um todoacessibilidadebenchmarking</v>
      </c>
      <c r="BD979" s="239" t="str">
        <f t="shared" si="244"/>
        <v>Sistema de transporte coletivo com um todobenchmarking</v>
      </c>
    </row>
    <row r="980" spans="1:56" s="1" customFormat="1" ht="102" x14ac:dyDescent="0.25">
      <c r="A980" s="413" t="str">
        <f>'Q100b-totais'!B62</f>
        <v>8.10</v>
      </c>
      <c r="B980" s="1205" t="str">
        <f>'Q100b-totais'!C62</f>
        <v>Sistema de transporte coletivo com um todo</v>
      </c>
      <c r="C980" s="173" t="s">
        <v>743</v>
      </c>
      <c r="D980" s="325" t="str">
        <f>'Q100e-FrotaOnibus'!AE13</f>
        <v>F tc en c/rampa manual</v>
      </c>
      <c r="E980" s="1445" t="str">
        <f>'Q100e-FrotaOnibus'!AF13</f>
        <v>RMBH metropolitano</v>
      </c>
      <c r="F980" s="252" t="str">
        <f>'Q100e-FrotaOnibus'!AG13</f>
        <v>frota em n.º de ônibus do transporte coletivo na RMBH do serviço gerenciado pela Setop-MG com piso-alto e com rampa veicular manual em uma das portas (com embarque/desembarque em nível apenas nessa porta com o usuário dependente da abertura manual da rampa)
obs.1: esta categoria recebe peso 8, numa escala de 1 a 10, na classificação definida pelo SisMob-BH para classificar a acessibilidade - acesse "acessibilidade em ônibus urbano (escala)"
obs.2: no serviço da RMBH gerenciado pelo Setop-MG pelo menos até 2015 os veículos de piso-alto com rampa operam apenas no sub-sistema BRT
obs.3: serviço inaugurado em 2014 e resultado de outubro/2015 conforme MG(2016a)</v>
      </c>
      <c r="G980" s="773" t="str">
        <f>'Q100e-FrotaOnibus'!AH13</f>
        <v>registro na fonte</v>
      </c>
      <c r="H980" s="57" t="s">
        <v>1298</v>
      </c>
      <c r="I980" s="167">
        <v>1</v>
      </c>
      <c r="J980" s="107" t="s">
        <v>2288</v>
      </c>
      <c r="K980" s="107" t="s">
        <v>2288</v>
      </c>
      <c r="L980" s="107" t="s">
        <v>2288</v>
      </c>
      <c r="M980" s="107" t="s">
        <v>2288</v>
      </c>
      <c r="N980" s="107" t="s">
        <v>2288</v>
      </c>
      <c r="O980" s="107" t="s">
        <v>2288</v>
      </c>
      <c r="P980" s="107" t="s">
        <v>2288</v>
      </c>
      <c r="Q980" s="107" t="s">
        <v>2288</v>
      </c>
      <c r="R980" s="107" t="s">
        <v>2288</v>
      </c>
      <c r="S980" s="109" t="s">
        <v>2209</v>
      </c>
      <c r="T980" s="107" t="s">
        <v>2288</v>
      </c>
      <c r="U980" s="107" t="s">
        <v>2288</v>
      </c>
      <c r="V980" s="109" t="s">
        <v>2209</v>
      </c>
      <c r="W980" s="107" t="s">
        <v>2288</v>
      </c>
      <c r="X980" s="107" t="s">
        <v>2288</v>
      </c>
      <c r="Y980" s="107" t="s">
        <v>2288</v>
      </c>
      <c r="Z980" s="107" t="s">
        <v>2288</v>
      </c>
      <c r="AA980" s="107" t="s">
        <v>2288</v>
      </c>
      <c r="AB980" s="107" t="s">
        <v>2288</v>
      </c>
      <c r="AC980" s="107" t="s">
        <v>2288</v>
      </c>
      <c r="AD980" s="107" t="s">
        <v>2288</v>
      </c>
      <c r="AE980" s="107" t="s">
        <v>2288</v>
      </c>
      <c r="AF980" s="107" t="s">
        <v>2288</v>
      </c>
      <c r="AG980" s="107" t="s">
        <v>2288</v>
      </c>
      <c r="AH980" s="107" t="s">
        <v>2288</v>
      </c>
      <c r="AI980" s="107" t="s">
        <v>2288</v>
      </c>
      <c r="AJ980" s="107" t="s">
        <v>2082</v>
      </c>
      <c r="AK980" s="773">
        <v>103</v>
      </c>
      <c r="AL980" s="600" t="s">
        <v>432</v>
      </c>
      <c r="AM980" s="137" t="s">
        <v>432</v>
      </c>
      <c r="AN980" s="137" t="s">
        <v>432</v>
      </c>
      <c r="AO980" s="137" t="s">
        <v>432</v>
      </c>
      <c r="AP980" s="137" t="s">
        <v>432</v>
      </c>
      <c r="AQ980" s="137" t="s">
        <v>432</v>
      </c>
      <c r="AR980" s="137" t="s">
        <v>432</v>
      </c>
      <c r="AS980" s="137" t="s">
        <v>432</v>
      </c>
      <c r="AT980" s="137" t="s">
        <v>432</v>
      </c>
      <c r="AU980" s="137" t="s">
        <v>432</v>
      </c>
      <c r="AV980" s="137" t="s">
        <v>432</v>
      </c>
      <c r="AW980" s="137" t="s">
        <v>432</v>
      </c>
      <c r="AX980" s="137" t="s">
        <v>432</v>
      </c>
      <c r="AY980" s="137" t="s">
        <v>432</v>
      </c>
      <c r="AZ980" s="137" t="s">
        <v>432</v>
      </c>
      <c r="BA980" s="137" t="s">
        <v>432</v>
      </c>
      <c r="BB980" s="239" t="str">
        <f t="shared" si="242"/>
        <v>Sistema de transporte coletivo com um todoacessibilidade</v>
      </c>
      <c r="BC980" s="239" t="str">
        <f t="shared" si="243"/>
        <v>Sistema de transporte coletivo com um todoacessibilidadeRMBH</v>
      </c>
      <c r="BD980" s="239" t="str">
        <f t="shared" si="244"/>
        <v>Sistema de transporte coletivo com um todoRMBH</v>
      </c>
    </row>
    <row r="981" spans="1:56" s="1" customFormat="1" ht="153.75" customHeight="1" x14ac:dyDescent="0.25">
      <c r="A981" s="413" t="str">
        <f>'Q100b-totais'!B62</f>
        <v>8.10</v>
      </c>
      <c r="B981" s="1205" t="str">
        <f>'Q100b-totais'!C62</f>
        <v>Sistema de transporte coletivo com um todo</v>
      </c>
      <c r="C981" s="57" t="s">
        <v>743</v>
      </c>
      <c r="D981" s="721" t="str">
        <f>'Q100e-FrotaOnibus'!AQ13</f>
        <v>F tc en c/rampa manual</v>
      </c>
      <c r="E981" s="254" t="str">
        <f>'Q100e-FrotaOnibus'!AR13</f>
        <v>São Paulo</v>
      </c>
      <c r="F981" s="252" t="str">
        <f>'Q100e-FrotaOnibus'!AS13</f>
        <v>frota em n.º de ônibus do transporte coletivo convencional de São Paulo com piso baixo e rampa veicular manual em uma das portas (com embarque/desembarque em nível apenas nessa porta com o usuário dependente da abertura manual da rampa)
obs.1: esta categoria recebe peso 8, numa escala de 1 a 10, na classificação definida pelo SisMob-BH para classificar a acessibilidade - acesse "acessibilidade em ônibus urbano (escala)"
obs.2: em São Paulo há: a) "trólebus (elétrico), com três portas à direita, de piso baixo total, com rampa manual na porta dianteira" conforme WRI(2012) citado por OLIVEIRA(2016e); b) ônibus de piso baixo com porta dos dois lados (uma porta à esquerda com rampa e três portas à direita, sendo piso baixo com rampa na porta dianteira, piso baixo sem rampa na porta central e piso alto com escada na porta traseira) conforme OLIVEIRA(2016f)
obs.3: resultados dos testes com esse tipo de ônibus em 2001 em UMA(2001) com citação de SP(1998a)</v>
      </c>
      <c r="G981" s="58" t="str">
        <f>'Q100e-FrotaOnibus'!AT13</f>
        <v>F tce en c/rampa manual + F tcl en c/rampa manual</v>
      </c>
      <c r="H981" s="57" t="s">
        <v>819</v>
      </c>
      <c r="I981" s="167" t="s">
        <v>432</v>
      </c>
      <c r="J981" s="107" t="s">
        <v>2082</v>
      </c>
      <c r="K981" s="107" t="s">
        <v>2082</v>
      </c>
      <c r="L981" s="107" t="s">
        <v>2082</v>
      </c>
      <c r="M981" s="107" t="s">
        <v>2082</v>
      </c>
      <c r="N981" s="107" t="s">
        <v>2082</v>
      </c>
      <c r="O981" s="107" t="s">
        <v>2082</v>
      </c>
      <c r="P981" s="107" t="s">
        <v>2082</v>
      </c>
      <c r="Q981" s="107" t="s">
        <v>2082</v>
      </c>
      <c r="R981" s="107" t="s">
        <v>2082</v>
      </c>
      <c r="S981" s="109" t="s">
        <v>2209</v>
      </c>
      <c r="T981" s="107" t="s">
        <v>2082</v>
      </c>
      <c r="U981" s="107" t="s">
        <v>2082</v>
      </c>
      <c r="V981" s="109" t="s">
        <v>2209</v>
      </c>
      <c r="W981" s="107" t="s">
        <v>2082</v>
      </c>
      <c r="X981" s="107" t="s">
        <v>2082</v>
      </c>
      <c r="Y981" s="107" t="s">
        <v>2082</v>
      </c>
      <c r="Z981" s="107" t="s">
        <v>2082</v>
      </c>
      <c r="AA981" s="107" t="s">
        <v>2082</v>
      </c>
      <c r="AB981" s="107" t="s">
        <v>2082</v>
      </c>
      <c r="AC981" s="107" t="s">
        <v>2082</v>
      </c>
      <c r="AD981" s="107" t="s">
        <v>2082</v>
      </c>
      <c r="AE981" s="107" t="s">
        <v>2082</v>
      </c>
      <c r="AF981" s="107" t="s">
        <v>2082</v>
      </c>
      <c r="AG981" s="107" t="s">
        <v>2082</v>
      </c>
      <c r="AH981" s="107" t="s">
        <v>2082</v>
      </c>
      <c r="AI981" s="107" t="s">
        <v>2082</v>
      </c>
      <c r="AJ981" s="107" t="s">
        <v>2082</v>
      </c>
      <c r="AK981" s="356">
        <f>AK982+AK983</f>
        <v>5453</v>
      </c>
      <c r="AL981" s="600" t="s">
        <v>432</v>
      </c>
      <c r="AM981" s="137" t="s">
        <v>432</v>
      </c>
      <c r="AN981" s="137" t="s">
        <v>432</v>
      </c>
      <c r="AO981" s="137" t="s">
        <v>432</v>
      </c>
      <c r="AP981" s="137" t="s">
        <v>432</v>
      </c>
      <c r="AQ981" s="137" t="s">
        <v>432</v>
      </c>
      <c r="AR981" s="137" t="s">
        <v>432</v>
      </c>
      <c r="AS981" s="137" t="s">
        <v>432</v>
      </c>
      <c r="AT981" s="137" t="s">
        <v>432</v>
      </c>
      <c r="AU981" s="137" t="s">
        <v>432</v>
      </c>
      <c r="AV981" s="137" t="s">
        <v>432</v>
      </c>
      <c r="AW981" s="137" t="s">
        <v>432</v>
      </c>
      <c r="AX981" s="137" t="s">
        <v>432</v>
      </c>
      <c r="AY981" s="137" t="s">
        <v>432</v>
      </c>
      <c r="AZ981" s="137" t="s">
        <v>432</v>
      </c>
      <c r="BA981" s="137" t="s">
        <v>432</v>
      </c>
      <c r="BB981" s="239" t="str">
        <f t="shared" si="242"/>
        <v>Sistema de transporte coletivo com um todoacessibilidade</v>
      </c>
      <c r="BC981" s="239" t="str">
        <f t="shared" si="243"/>
        <v>Sistema de transporte coletivo com um todoacessibilidadebenchmarking</v>
      </c>
      <c r="BD981" s="239" t="str">
        <f t="shared" si="244"/>
        <v>Sistema de transporte coletivo com um todobenchmarking</v>
      </c>
    </row>
    <row r="982" spans="1:56" ht="86.25" customHeight="1" x14ac:dyDescent="0.25">
      <c r="A982" s="413" t="str">
        <f>'Q100b-totais'!B62</f>
        <v>8.10</v>
      </c>
      <c r="B982" s="1205" t="str">
        <f>'Q100b-totais'!C62</f>
        <v>Sistema de transporte coletivo com um todo</v>
      </c>
      <c r="C982" s="57" t="s">
        <v>743</v>
      </c>
      <c r="D982" s="324" t="str">
        <f>'Q100e-FrotaOnibus'!AI13</f>
        <v>F tce en c/rampa manual</v>
      </c>
      <c r="E982" s="254" t="str">
        <f>'Q100e-FrotaOnibus'!AJ13</f>
        <v>São Paulo</v>
      </c>
      <c r="F982" s="252" t="str">
        <f>'Q100e-FrotaOnibus'!AK13</f>
        <v xml:space="preserve">frota em n.º de ônibus do transporte coletivo estrutural de São Paulo com piso baixo e rampa veicular manual em uma das portas (com embarque/desembarque em nível apenas nessa porta com o usuário dependente da abertura manual da rampa)
obs.1: esta categoria recebe peso 8, numa escala de 1 a 10, na classificação definida pelo SisMob-BH para classificar a acessibilidade - acesse "acessibilidade em ônibus urbano (escala)"
obs.2: resultado de 2015 relativo a 15/07/2016 conforme SP(2016g1) </v>
      </c>
      <c r="G982" s="1199" t="str">
        <f>'Q100e-FrotaOnibus'!AL13</f>
        <v>registro na fonte</v>
      </c>
      <c r="H982" s="57" t="s">
        <v>819</v>
      </c>
      <c r="I982" s="167" t="s">
        <v>432</v>
      </c>
      <c r="J982" s="107" t="s">
        <v>2082</v>
      </c>
      <c r="K982" s="107" t="s">
        <v>2082</v>
      </c>
      <c r="L982" s="107" t="s">
        <v>2082</v>
      </c>
      <c r="M982" s="107" t="s">
        <v>2082</v>
      </c>
      <c r="N982" s="107" t="s">
        <v>2082</v>
      </c>
      <c r="O982" s="107" t="s">
        <v>2082</v>
      </c>
      <c r="P982" s="107" t="s">
        <v>2082</v>
      </c>
      <c r="Q982" s="107" t="s">
        <v>2082</v>
      </c>
      <c r="R982" s="107" t="s">
        <v>2082</v>
      </c>
      <c r="S982" s="109" t="s">
        <v>2209</v>
      </c>
      <c r="T982" s="107" t="s">
        <v>2082</v>
      </c>
      <c r="U982" s="107" t="s">
        <v>2082</v>
      </c>
      <c r="V982" s="109" t="s">
        <v>2209</v>
      </c>
      <c r="W982" s="107" t="s">
        <v>2082</v>
      </c>
      <c r="X982" s="107" t="s">
        <v>2082</v>
      </c>
      <c r="Y982" s="107" t="s">
        <v>2082</v>
      </c>
      <c r="Z982" s="107" t="s">
        <v>2082</v>
      </c>
      <c r="AA982" s="107" t="s">
        <v>2082</v>
      </c>
      <c r="AB982" s="107" t="s">
        <v>2082</v>
      </c>
      <c r="AC982" s="107" t="s">
        <v>2082</v>
      </c>
      <c r="AD982" s="107" t="s">
        <v>2082</v>
      </c>
      <c r="AE982" s="107" t="s">
        <v>2082</v>
      </c>
      <c r="AF982" s="107" t="s">
        <v>2082</v>
      </c>
      <c r="AG982" s="107" t="s">
        <v>2082</v>
      </c>
      <c r="AH982" s="107" t="s">
        <v>2082</v>
      </c>
      <c r="AI982" s="107" t="s">
        <v>2082</v>
      </c>
      <c r="AJ982" s="107" t="s">
        <v>2082</v>
      </c>
      <c r="AK982" s="92">
        <v>5453</v>
      </c>
      <c r="AL982" s="600" t="s">
        <v>432</v>
      </c>
      <c r="AM982" s="137" t="s">
        <v>432</v>
      </c>
      <c r="AN982" s="137" t="s">
        <v>432</v>
      </c>
      <c r="AO982" s="137" t="s">
        <v>432</v>
      </c>
      <c r="AP982" s="137" t="s">
        <v>432</v>
      </c>
      <c r="AQ982" s="137" t="s">
        <v>432</v>
      </c>
      <c r="AR982" s="137" t="s">
        <v>432</v>
      </c>
      <c r="AS982" s="137" t="s">
        <v>432</v>
      </c>
      <c r="AT982" s="137" t="s">
        <v>432</v>
      </c>
      <c r="AU982" s="137" t="s">
        <v>432</v>
      </c>
      <c r="AV982" s="137" t="s">
        <v>432</v>
      </c>
      <c r="AW982" s="137" t="s">
        <v>432</v>
      </c>
      <c r="AX982" s="137" t="s">
        <v>432</v>
      </c>
      <c r="AY982" s="137" t="s">
        <v>432</v>
      </c>
      <c r="AZ982" s="137" t="s">
        <v>432</v>
      </c>
      <c r="BA982" s="137" t="s">
        <v>432</v>
      </c>
      <c r="BB982" s="239" t="str">
        <f t="shared" si="242"/>
        <v>Sistema de transporte coletivo com um todoacessibilidade</v>
      </c>
      <c r="BC982" s="239" t="str">
        <f t="shared" si="243"/>
        <v>Sistema de transporte coletivo com um todoacessibilidadebenchmarking</v>
      </c>
      <c r="BD982" s="239" t="str">
        <f t="shared" si="244"/>
        <v>Sistema de transporte coletivo com um todobenchmarking</v>
      </c>
    </row>
    <row r="983" spans="1:56" ht="83.25" customHeight="1" x14ac:dyDescent="0.25">
      <c r="A983" s="413" t="str">
        <f>'Q100b-totais'!B62</f>
        <v>8.10</v>
      </c>
      <c r="B983" s="1205" t="str">
        <f>'Q100b-totais'!C62</f>
        <v>Sistema de transporte coletivo com um todo</v>
      </c>
      <c r="C983" s="57" t="s">
        <v>743</v>
      </c>
      <c r="D983" s="324" t="str">
        <f>'Q100e-FrotaOnibus'!AM13</f>
        <v>F tcl en c/rampa manual</v>
      </c>
      <c r="E983" s="254" t="str">
        <f>'Q100e-FrotaOnibus'!AN13</f>
        <v>São Paulo</v>
      </c>
      <c r="F983" s="252" t="str">
        <f>'Q100e-FrotaOnibus'!AO13</f>
        <v xml:space="preserve">frota em n.º de ônibus do transporte coletivo local de São Paulo com piso baixo e rampa veicular manual em uma das portas (com embarque/desembarque em nível apenas nessa porta com o usuário dependente da abertura manual da rampa)
obs.1: esta categoria recebe peso 8, numa escala de 1 a 10, na classificação definida pelo SisMob-BH para classificar a acessibilidade - acesse "acessibilidade em ônibus urbano (escala)"
obs.2: resultado de 2015 relativo a 15/07/2016 conforme SP(2016g2) </v>
      </c>
      <c r="G983" s="1199" t="str">
        <f>'Q100e-FrotaOnibus'!AP13</f>
        <v>registro na fonte</v>
      </c>
      <c r="H983" s="57" t="s">
        <v>819</v>
      </c>
      <c r="I983" s="167" t="s">
        <v>432</v>
      </c>
      <c r="J983" s="107" t="s">
        <v>2082</v>
      </c>
      <c r="K983" s="107" t="s">
        <v>2082</v>
      </c>
      <c r="L983" s="107" t="s">
        <v>2082</v>
      </c>
      <c r="M983" s="107" t="s">
        <v>2082</v>
      </c>
      <c r="N983" s="107" t="s">
        <v>2082</v>
      </c>
      <c r="O983" s="107" t="s">
        <v>2082</v>
      </c>
      <c r="P983" s="107" t="s">
        <v>2082</v>
      </c>
      <c r="Q983" s="107" t="s">
        <v>2082</v>
      </c>
      <c r="R983" s="107" t="s">
        <v>2082</v>
      </c>
      <c r="S983" s="109" t="s">
        <v>2209</v>
      </c>
      <c r="T983" s="107" t="s">
        <v>2082</v>
      </c>
      <c r="U983" s="107" t="s">
        <v>2082</v>
      </c>
      <c r="V983" s="109" t="s">
        <v>2209</v>
      </c>
      <c r="W983" s="107" t="s">
        <v>2082</v>
      </c>
      <c r="X983" s="107" t="s">
        <v>2082</v>
      </c>
      <c r="Y983" s="107" t="s">
        <v>2082</v>
      </c>
      <c r="Z983" s="107" t="s">
        <v>2082</v>
      </c>
      <c r="AA983" s="107" t="s">
        <v>2082</v>
      </c>
      <c r="AB983" s="107" t="s">
        <v>2082</v>
      </c>
      <c r="AC983" s="107" t="s">
        <v>2082</v>
      </c>
      <c r="AD983" s="107" t="s">
        <v>2082</v>
      </c>
      <c r="AE983" s="107" t="s">
        <v>2082</v>
      </c>
      <c r="AF983" s="107" t="s">
        <v>2082</v>
      </c>
      <c r="AG983" s="107" t="s">
        <v>2082</v>
      </c>
      <c r="AH983" s="107" t="s">
        <v>2082</v>
      </c>
      <c r="AI983" s="107" t="s">
        <v>2082</v>
      </c>
      <c r="AJ983" s="107" t="s">
        <v>2082</v>
      </c>
      <c r="AK983" s="92">
        <v>0</v>
      </c>
      <c r="AL983" s="600" t="s">
        <v>432</v>
      </c>
      <c r="AM983" s="137" t="s">
        <v>432</v>
      </c>
      <c r="AN983" s="137" t="s">
        <v>432</v>
      </c>
      <c r="AO983" s="137" t="s">
        <v>432</v>
      </c>
      <c r="AP983" s="137" t="s">
        <v>432</v>
      </c>
      <c r="AQ983" s="137" t="s">
        <v>432</v>
      </c>
      <c r="AR983" s="137" t="s">
        <v>432</v>
      </c>
      <c r="AS983" s="137" t="s">
        <v>432</v>
      </c>
      <c r="AT983" s="137" t="s">
        <v>432</v>
      </c>
      <c r="AU983" s="137" t="s">
        <v>432</v>
      </c>
      <c r="AV983" s="137" t="s">
        <v>432</v>
      </c>
      <c r="AW983" s="137" t="s">
        <v>432</v>
      </c>
      <c r="AX983" s="137" t="s">
        <v>432</v>
      </c>
      <c r="AY983" s="137" t="s">
        <v>432</v>
      </c>
      <c r="AZ983" s="137" t="s">
        <v>432</v>
      </c>
      <c r="BA983" s="137" t="s">
        <v>432</v>
      </c>
      <c r="BB983" s="239" t="str">
        <f t="shared" si="242"/>
        <v>Sistema de transporte coletivo com um todoacessibilidade</v>
      </c>
      <c r="BC983" s="239" t="str">
        <f t="shared" si="243"/>
        <v>Sistema de transporte coletivo com um todoacessibilidadebenchmarking</v>
      </c>
      <c r="BD983" s="239" t="str">
        <f t="shared" si="244"/>
        <v>Sistema de transporte coletivo com um todobenchmarking</v>
      </c>
    </row>
    <row r="984" spans="1:56" s="373" customFormat="1" x14ac:dyDescent="0.25">
      <c r="A984" s="383"/>
      <c r="B984" s="384"/>
      <c r="C984" s="384"/>
      <c r="D984" s="717"/>
      <c r="E984" s="1518"/>
      <c r="F984" s="384"/>
      <c r="G984" s="384"/>
      <c r="H984" s="385"/>
      <c r="I984" s="385"/>
      <c r="J984" s="384"/>
      <c r="K984" s="384"/>
      <c r="L984" s="384"/>
      <c r="M984" s="384"/>
      <c r="N984" s="384"/>
      <c r="O984" s="384"/>
      <c r="P984" s="384"/>
      <c r="Q984" s="384"/>
      <c r="R984" s="384"/>
      <c r="S984" s="384"/>
      <c r="T984" s="384"/>
      <c r="U984" s="384"/>
      <c r="V984" s="384"/>
      <c r="W984" s="384"/>
      <c r="X984" s="386"/>
      <c r="Y984" s="386"/>
      <c r="Z984" s="386"/>
      <c r="AA984" s="386"/>
      <c r="AB984" s="386"/>
      <c r="AC984" s="386"/>
      <c r="AD984" s="386"/>
      <c r="AE984" s="386"/>
      <c r="AF984" s="386"/>
      <c r="AG984" s="386"/>
      <c r="AH984" s="386"/>
      <c r="AI984" s="386"/>
      <c r="AJ984" s="386"/>
      <c r="AK984" s="387"/>
      <c r="AL984" s="387"/>
      <c r="AM984" s="387"/>
      <c r="AN984" s="387"/>
      <c r="AO984" s="387"/>
      <c r="AP984" s="387"/>
      <c r="AQ984" s="387"/>
      <c r="AR984" s="387"/>
      <c r="AS984" s="387"/>
      <c r="AT984" s="387"/>
      <c r="AU984" s="387"/>
      <c r="AV984" s="387"/>
      <c r="AW984" s="387"/>
      <c r="AX984" s="387"/>
      <c r="AY984" s="387"/>
      <c r="AZ984" s="387"/>
      <c r="BA984" s="387"/>
      <c r="BB984" s="388"/>
      <c r="BC984" s="388"/>
      <c r="BD984" s="388"/>
    </row>
    <row r="985" spans="1:56" s="373" customFormat="1" ht="89.25" customHeight="1" x14ac:dyDescent="0.25">
      <c r="A985" s="413" t="str">
        <f>'Q100b-totais'!B62</f>
        <v>8.10</v>
      </c>
      <c r="B985" s="1205" t="str">
        <f>'Q100b-totais'!C62</f>
        <v>Sistema de transporte coletivo com um todo</v>
      </c>
      <c r="C985" s="173" t="s">
        <v>743</v>
      </c>
      <c r="D985" s="377" t="str">
        <f>'Q100e-FrotaOnibus'!D14</f>
        <v>F tc en c/uma rampa aut.</v>
      </c>
      <c r="E985" s="1501" t="str">
        <f>'Q100e-FrotaOnibus'!E14</f>
        <v>x</v>
      </c>
      <c r="F985" s="355" t="str">
        <f>'Q100e-FrotaOnibus'!F14</f>
        <v>frota em n.º de ônibus do transporte público coletivo de uma cidade/região de piso baixo (dianteiro, traseiro, central ou total) ou piso alto com rampa veicular automática em parte das portas (com embarque/desembarque sempre em nível e autonomia garantida desde que se utilize a porta certa)
obs.1: os veículos desta categoria recebem peso 9, numa escala de 1 a 10, na classificação definida pelo SisMob-BH para classificar a acessibilidade - acesse "acessibilidade em ônibus urbano (escala)"
obs.2: acesse informações quantitativas relativas ao indicador "IAED" das cidades/regiões já incorporadas ao SisMob-BH</v>
      </c>
      <c r="G985" s="57" t="s">
        <v>3507</v>
      </c>
      <c r="H985" s="167" t="s">
        <v>765</v>
      </c>
      <c r="I985" s="167" t="s">
        <v>432</v>
      </c>
      <c r="J985" s="107" t="s">
        <v>432</v>
      </c>
      <c r="K985" s="107" t="s">
        <v>432</v>
      </c>
      <c r="L985" s="107" t="s">
        <v>432</v>
      </c>
      <c r="M985" s="107" t="s">
        <v>432</v>
      </c>
      <c r="N985" s="107" t="s">
        <v>432</v>
      </c>
      <c r="O985" s="107" t="s">
        <v>432</v>
      </c>
      <c r="P985" s="107" t="s">
        <v>432</v>
      </c>
      <c r="Q985" s="107" t="s">
        <v>432</v>
      </c>
      <c r="R985" s="107" t="s">
        <v>432</v>
      </c>
      <c r="S985" s="109" t="s">
        <v>2209</v>
      </c>
      <c r="T985" s="108" t="s">
        <v>432</v>
      </c>
      <c r="U985" s="108" t="s">
        <v>432</v>
      </c>
      <c r="V985" s="109" t="s">
        <v>2209</v>
      </c>
      <c r="W985" s="108" t="s">
        <v>432</v>
      </c>
      <c r="X985" s="108" t="s">
        <v>432</v>
      </c>
      <c r="Y985" s="108" t="s">
        <v>432</v>
      </c>
      <c r="Z985" s="108" t="s">
        <v>432</v>
      </c>
      <c r="AA985" s="108" t="s">
        <v>432</v>
      </c>
      <c r="AB985" s="108" t="s">
        <v>432</v>
      </c>
      <c r="AC985" s="108" t="s">
        <v>432</v>
      </c>
      <c r="AD985" s="108" t="s">
        <v>432</v>
      </c>
      <c r="AE985" s="108" t="s">
        <v>432</v>
      </c>
      <c r="AF985" s="108" t="s">
        <v>432</v>
      </c>
      <c r="AG985" s="108" t="s">
        <v>432</v>
      </c>
      <c r="AH985" s="108" t="s">
        <v>432</v>
      </c>
      <c r="AI985" s="108" t="s">
        <v>432</v>
      </c>
      <c r="AJ985" s="108" t="s">
        <v>432</v>
      </c>
      <c r="AK985" s="108" t="s">
        <v>432</v>
      </c>
      <c r="AL985" s="600" t="s">
        <v>432</v>
      </c>
      <c r="AM985" s="137" t="s">
        <v>432</v>
      </c>
      <c r="AN985" s="137" t="s">
        <v>432</v>
      </c>
      <c r="AO985" s="137" t="s">
        <v>432</v>
      </c>
      <c r="AP985" s="137" t="s">
        <v>432</v>
      </c>
      <c r="AQ985" s="137" t="s">
        <v>432</v>
      </c>
      <c r="AR985" s="137" t="s">
        <v>432</v>
      </c>
      <c r="AS985" s="137" t="s">
        <v>432</v>
      </c>
      <c r="AT985" s="137" t="s">
        <v>432</v>
      </c>
      <c r="AU985" s="137" t="s">
        <v>432</v>
      </c>
      <c r="AV985" s="137" t="s">
        <v>432</v>
      </c>
      <c r="AW985" s="137" t="s">
        <v>432</v>
      </c>
      <c r="AX985" s="137" t="s">
        <v>432</v>
      </c>
      <c r="AY985" s="137" t="s">
        <v>432</v>
      </c>
      <c r="AZ985" s="137" t="s">
        <v>432</v>
      </c>
      <c r="BA985" s="137" t="s">
        <v>432</v>
      </c>
      <c r="BB985" s="239" t="str">
        <f>B985&amp;C985</f>
        <v>Sistema de transporte coletivo com um todoacessibilidade</v>
      </c>
      <c r="BC985" s="239" t="str">
        <f>B985&amp;C985&amp;H985</f>
        <v>Sistema de transporte coletivo com um todoacessibilidademeta/RPI</v>
      </c>
      <c r="BD985" s="239" t="str">
        <f>B985&amp;H985</f>
        <v>Sistema de transporte coletivo com um todometa/RPI</v>
      </c>
    </row>
    <row r="986" spans="1:56" s="373" customFormat="1" ht="129" customHeight="1" x14ac:dyDescent="0.25">
      <c r="A986" s="413" t="str">
        <f>'Q100b-totais'!B57</f>
        <v>8.5</v>
      </c>
      <c r="B986" s="1205" t="str">
        <f>'Q100b-totais'!C57</f>
        <v>Transporte convencional</v>
      </c>
      <c r="C986" s="173" t="s">
        <v>743</v>
      </c>
      <c r="D986" s="324" t="s">
        <v>2237</v>
      </c>
      <c r="E986" s="254" t="s">
        <v>6021</v>
      </c>
      <c r="F986" s="252" t="s">
        <v>6029</v>
      </c>
      <c r="G986" s="57" t="s">
        <v>5951</v>
      </c>
      <c r="H986" s="167" t="s">
        <v>2408</v>
      </c>
      <c r="I986" s="167" t="s">
        <v>432</v>
      </c>
      <c r="J986" s="107" t="s">
        <v>432</v>
      </c>
      <c r="K986" s="107" t="s">
        <v>432</v>
      </c>
      <c r="L986" s="107" t="s">
        <v>432</v>
      </c>
      <c r="M986" s="107" t="s">
        <v>432</v>
      </c>
      <c r="N986" s="107" t="s">
        <v>432</v>
      </c>
      <c r="O986" s="107" t="s">
        <v>432</v>
      </c>
      <c r="P986" s="107" t="s">
        <v>432</v>
      </c>
      <c r="Q986" s="107" t="s">
        <v>432</v>
      </c>
      <c r="R986" s="107" t="s">
        <v>432</v>
      </c>
      <c r="S986" s="109" t="s">
        <v>2209</v>
      </c>
      <c r="T986" s="108" t="s">
        <v>432</v>
      </c>
      <c r="U986" s="108" t="s">
        <v>432</v>
      </c>
      <c r="V986" s="109" t="s">
        <v>2209</v>
      </c>
      <c r="W986" s="108" t="s">
        <v>432</v>
      </c>
      <c r="X986" s="108" t="s">
        <v>432</v>
      </c>
      <c r="Y986" s="108" t="s">
        <v>432</v>
      </c>
      <c r="Z986" s="108" t="s">
        <v>432</v>
      </c>
      <c r="AA986" s="108" t="s">
        <v>432</v>
      </c>
      <c r="AB986" s="108" t="s">
        <v>432</v>
      </c>
      <c r="AC986" s="108" t="s">
        <v>432</v>
      </c>
      <c r="AD986" s="108" t="s">
        <v>432</v>
      </c>
      <c r="AE986" s="108" t="s">
        <v>432</v>
      </c>
      <c r="AF986" s="108" t="s">
        <v>432</v>
      </c>
      <c r="AG986" s="108" t="s">
        <v>432</v>
      </c>
      <c r="AH986" s="108" t="s">
        <v>432</v>
      </c>
      <c r="AI986" s="108" t="s">
        <v>432</v>
      </c>
      <c r="AJ986" s="108" t="s">
        <v>432</v>
      </c>
      <c r="AK986" s="108" t="s">
        <v>432</v>
      </c>
      <c r="AL986" s="600" t="s">
        <v>432</v>
      </c>
      <c r="AM986" s="137" t="s">
        <v>432</v>
      </c>
      <c r="AN986" s="137" t="s">
        <v>432</v>
      </c>
      <c r="AO986" s="137" t="s">
        <v>432</v>
      </c>
      <c r="AP986" s="137" t="s">
        <v>432</v>
      </c>
      <c r="AQ986" s="137" t="s">
        <v>432</v>
      </c>
      <c r="AR986" s="137" t="s">
        <v>432</v>
      </c>
      <c r="AS986" s="137" t="s">
        <v>432</v>
      </c>
      <c r="AT986" s="137" t="s">
        <v>432</v>
      </c>
      <c r="AU986" s="137" t="s">
        <v>432</v>
      </c>
      <c r="AV986" s="137" t="s">
        <v>432</v>
      </c>
      <c r="AW986" s="137" t="s">
        <v>432</v>
      </c>
      <c r="AX986" s="137" t="s">
        <v>432</v>
      </c>
      <c r="AY986" s="137" t="s">
        <v>432</v>
      </c>
      <c r="AZ986" s="137" t="s">
        <v>432</v>
      </c>
      <c r="BA986" s="137" t="s">
        <v>432</v>
      </c>
      <c r="BB986" s="239" t="str">
        <f>B986&amp;C986</f>
        <v>Transporte convencionalacessibilidade</v>
      </c>
      <c r="BC986" s="239" t="str">
        <f>B986&amp;C986&amp;H986</f>
        <v>Transporte convencionalacessibilidadesigla/verbete</v>
      </c>
      <c r="BD986" s="239" t="str">
        <f>B986&amp;H986</f>
        <v>Transporte convencionalsigla/verbete</v>
      </c>
    </row>
    <row r="987" spans="1:56" s="373" customFormat="1" ht="154.5" customHeight="1" x14ac:dyDescent="0.25">
      <c r="A987" s="413" t="str">
        <f>'Q100b-totais'!B57</f>
        <v>8.5</v>
      </c>
      <c r="B987" s="1205" t="str">
        <f>'Q100b-totais'!C57</f>
        <v>Transporte convencional</v>
      </c>
      <c r="C987" s="173" t="s">
        <v>743</v>
      </c>
      <c r="D987" s="324" t="s">
        <v>2237</v>
      </c>
      <c r="E987" s="254" t="s">
        <v>1770</v>
      </c>
      <c r="F987" s="252" t="s">
        <v>6030</v>
      </c>
      <c r="G987" s="57" t="s">
        <v>5951</v>
      </c>
      <c r="H987" s="167" t="s">
        <v>2408</v>
      </c>
      <c r="I987" s="167" t="s">
        <v>432</v>
      </c>
      <c r="J987" s="107" t="s">
        <v>432</v>
      </c>
      <c r="K987" s="107" t="s">
        <v>432</v>
      </c>
      <c r="L987" s="107" t="s">
        <v>432</v>
      </c>
      <c r="M987" s="107" t="s">
        <v>432</v>
      </c>
      <c r="N987" s="107" t="s">
        <v>432</v>
      </c>
      <c r="O987" s="107" t="s">
        <v>432</v>
      </c>
      <c r="P987" s="107" t="s">
        <v>432</v>
      </c>
      <c r="Q987" s="107" t="s">
        <v>432</v>
      </c>
      <c r="R987" s="107" t="s">
        <v>432</v>
      </c>
      <c r="S987" s="109" t="s">
        <v>2209</v>
      </c>
      <c r="T987" s="108" t="s">
        <v>432</v>
      </c>
      <c r="U987" s="108" t="s">
        <v>432</v>
      </c>
      <c r="V987" s="109" t="s">
        <v>2209</v>
      </c>
      <c r="W987" s="108" t="s">
        <v>432</v>
      </c>
      <c r="X987" s="108" t="s">
        <v>432</v>
      </c>
      <c r="Y987" s="108" t="s">
        <v>432</v>
      </c>
      <c r="Z987" s="108" t="s">
        <v>432</v>
      </c>
      <c r="AA987" s="108" t="s">
        <v>432</v>
      </c>
      <c r="AB987" s="108" t="s">
        <v>432</v>
      </c>
      <c r="AC987" s="108" t="s">
        <v>432</v>
      </c>
      <c r="AD987" s="108" t="s">
        <v>432</v>
      </c>
      <c r="AE987" s="108" t="s">
        <v>432</v>
      </c>
      <c r="AF987" s="108" t="s">
        <v>432</v>
      </c>
      <c r="AG987" s="108" t="s">
        <v>432</v>
      </c>
      <c r="AH987" s="108" t="s">
        <v>432</v>
      </c>
      <c r="AI987" s="108" t="s">
        <v>432</v>
      </c>
      <c r="AJ987" s="108" t="s">
        <v>432</v>
      </c>
      <c r="AK987" s="108" t="s">
        <v>432</v>
      </c>
      <c r="AL987" s="600" t="s">
        <v>432</v>
      </c>
      <c r="AM987" s="137" t="s">
        <v>432</v>
      </c>
      <c r="AN987" s="137" t="s">
        <v>432</v>
      </c>
      <c r="AO987" s="137" t="s">
        <v>432</v>
      </c>
      <c r="AP987" s="137" t="s">
        <v>432</v>
      </c>
      <c r="AQ987" s="137" t="s">
        <v>432</v>
      </c>
      <c r="AR987" s="137" t="s">
        <v>432</v>
      </c>
      <c r="AS987" s="137" t="s">
        <v>432</v>
      </c>
      <c r="AT987" s="137" t="s">
        <v>432</v>
      </c>
      <c r="AU987" s="137" t="s">
        <v>432</v>
      </c>
      <c r="AV987" s="137" t="s">
        <v>432</v>
      </c>
      <c r="AW987" s="137" t="s">
        <v>432</v>
      </c>
      <c r="AX987" s="137" t="s">
        <v>432</v>
      </c>
      <c r="AY987" s="137" t="s">
        <v>432</v>
      </c>
      <c r="AZ987" s="137" t="s">
        <v>432</v>
      </c>
      <c r="BA987" s="137" t="s">
        <v>432</v>
      </c>
      <c r="BB987" s="239" t="str">
        <f>B987&amp;C987</f>
        <v>Transporte convencionalacessibilidade</v>
      </c>
      <c r="BC987" s="239" t="str">
        <f>B987&amp;C987&amp;H987</f>
        <v>Transporte convencionalacessibilidadesigla/verbete</v>
      </c>
      <c r="BD987" s="239" t="str">
        <f>B987&amp;H987</f>
        <v>Transporte convencionalsigla/verbete</v>
      </c>
    </row>
    <row r="988" spans="1:56" s="373" customFormat="1" ht="88.5" customHeight="1" x14ac:dyDescent="0.25">
      <c r="A988" s="413" t="str">
        <f>'Q100b-totais'!B57</f>
        <v>8.5</v>
      </c>
      <c r="B988" s="1205" t="str">
        <f>'Q100b-totais'!C57</f>
        <v>Transporte convencional</v>
      </c>
      <c r="C988" s="173" t="s">
        <v>743</v>
      </c>
      <c r="D988" s="324" t="s">
        <v>2237</v>
      </c>
      <c r="E988" s="254" t="s">
        <v>5172</v>
      </c>
      <c r="F988" s="252" t="s">
        <v>6028</v>
      </c>
      <c r="G988" s="57" t="s">
        <v>5166</v>
      </c>
      <c r="H988" s="167" t="s">
        <v>2408</v>
      </c>
      <c r="I988" s="167" t="s">
        <v>432</v>
      </c>
      <c r="J988" s="107" t="s">
        <v>432</v>
      </c>
      <c r="K988" s="107" t="s">
        <v>432</v>
      </c>
      <c r="L988" s="107" t="s">
        <v>432</v>
      </c>
      <c r="M988" s="107" t="s">
        <v>432</v>
      </c>
      <c r="N988" s="107" t="s">
        <v>432</v>
      </c>
      <c r="O988" s="107" t="s">
        <v>432</v>
      </c>
      <c r="P988" s="107" t="s">
        <v>432</v>
      </c>
      <c r="Q988" s="107" t="s">
        <v>432</v>
      </c>
      <c r="R988" s="107" t="s">
        <v>432</v>
      </c>
      <c r="S988" s="109" t="s">
        <v>2209</v>
      </c>
      <c r="T988" s="108" t="s">
        <v>432</v>
      </c>
      <c r="U988" s="108" t="s">
        <v>432</v>
      </c>
      <c r="V988" s="109" t="s">
        <v>2209</v>
      </c>
      <c r="W988" s="108" t="s">
        <v>432</v>
      </c>
      <c r="X988" s="108" t="s">
        <v>432</v>
      </c>
      <c r="Y988" s="108" t="s">
        <v>432</v>
      </c>
      <c r="Z988" s="108" t="s">
        <v>432</v>
      </c>
      <c r="AA988" s="108" t="s">
        <v>432</v>
      </c>
      <c r="AB988" s="108" t="s">
        <v>432</v>
      </c>
      <c r="AC988" s="108" t="s">
        <v>432</v>
      </c>
      <c r="AD988" s="108" t="s">
        <v>432</v>
      </c>
      <c r="AE988" s="108" t="s">
        <v>432</v>
      </c>
      <c r="AF988" s="108" t="s">
        <v>432</v>
      </c>
      <c r="AG988" s="108" t="s">
        <v>432</v>
      </c>
      <c r="AH988" s="108" t="s">
        <v>432</v>
      </c>
      <c r="AI988" s="108" t="s">
        <v>432</v>
      </c>
      <c r="AJ988" s="108" t="s">
        <v>432</v>
      </c>
      <c r="AK988" s="108" t="s">
        <v>432</v>
      </c>
      <c r="AL988" s="600" t="s">
        <v>432</v>
      </c>
      <c r="AM988" s="137" t="s">
        <v>432</v>
      </c>
      <c r="AN988" s="137" t="s">
        <v>432</v>
      </c>
      <c r="AO988" s="137" t="s">
        <v>432</v>
      </c>
      <c r="AP988" s="137" t="s">
        <v>432</v>
      </c>
      <c r="AQ988" s="137" t="s">
        <v>432</v>
      </c>
      <c r="AR988" s="137" t="s">
        <v>432</v>
      </c>
      <c r="AS988" s="137" t="s">
        <v>432</v>
      </c>
      <c r="AT988" s="137" t="s">
        <v>432</v>
      </c>
      <c r="AU988" s="137" t="s">
        <v>432</v>
      </c>
      <c r="AV988" s="137" t="s">
        <v>432</v>
      </c>
      <c r="AW988" s="137" t="s">
        <v>432</v>
      </c>
      <c r="AX988" s="137" t="s">
        <v>432</v>
      </c>
      <c r="AY988" s="137" t="s">
        <v>432</v>
      </c>
      <c r="AZ988" s="137" t="s">
        <v>432</v>
      </c>
      <c r="BA988" s="137" t="s">
        <v>432</v>
      </c>
      <c r="BB988" s="239" t="str">
        <f>B988&amp;C988</f>
        <v>Transporte convencionalacessibilidade</v>
      </c>
      <c r="BC988" s="239" t="str">
        <f>B988&amp;C988&amp;H988</f>
        <v>Transporte convencionalacessibilidadesigla/verbete</v>
      </c>
      <c r="BD988" s="239" t="str">
        <f>B988&amp;H988</f>
        <v>Transporte convencionalsigla/verbete</v>
      </c>
    </row>
    <row r="989" spans="1:56" s="373" customFormat="1" ht="102" customHeight="1" x14ac:dyDescent="0.25">
      <c r="A989" s="275" t="str">
        <f>'Q100b-totais'!B62</f>
        <v>8.10</v>
      </c>
      <c r="B989" s="1205" t="str">
        <f>'Q100b-totais'!C62</f>
        <v>Sistema de transporte coletivo com um todo</v>
      </c>
      <c r="C989" s="57" t="s">
        <v>743</v>
      </c>
      <c r="D989" s="324" t="str">
        <f>'Q100e-FrotaOnibus'!BY14</f>
        <v>F tc en c/uma rampa aut.</v>
      </c>
      <c r="E989" s="1402" t="str">
        <f>'Q100e-FrotaOnibus'!BZ14</f>
        <v>Outras cidades/regiões fora do Brasil</v>
      </c>
      <c r="F989" s="14" t="str">
        <f>'Q100e-FrotaOnibus'!CA14</f>
        <v>ônibus de piso-baixo em todas as portas com rampa veicular automática na porta dianteira acionada pelo motorista quando necessário
obs.1: esta categoria recebe peso 9 (escala de 1 a 10 estabelecida pelo SisMob-BH para classificar e comparar resultados) - acesse "acessibilidade em ônibus urbano (escala)"
obs.2: "Barcelona (Spain), Parma (Italy) and Metz (France) will integrate, in the course of 2012, the first vehicles in their urban public transport-network" conforme VENTURA(2011)</v>
      </c>
      <c r="G989" s="57" t="str">
        <f>'Q100e-FrotaOnibus'!CB14</f>
        <v>sem resultados</v>
      </c>
      <c r="H989" s="57" t="s">
        <v>819</v>
      </c>
      <c r="I989" s="167" t="s">
        <v>432</v>
      </c>
      <c r="J989" s="107" t="s">
        <v>432</v>
      </c>
      <c r="K989" s="107" t="s">
        <v>432</v>
      </c>
      <c r="L989" s="107" t="s">
        <v>432</v>
      </c>
      <c r="M989" s="107" t="s">
        <v>432</v>
      </c>
      <c r="N989" s="107" t="s">
        <v>432</v>
      </c>
      <c r="O989" s="107" t="s">
        <v>432</v>
      </c>
      <c r="P989" s="107" t="s">
        <v>432</v>
      </c>
      <c r="Q989" s="107" t="s">
        <v>432</v>
      </c>
      <c r="R989" s="107" t="s">
        <v>432</v>
      </c>
      <c r="S989" s="109" t="s">
        <v>2209</v>
      </c>
      <c r="T989" s="107" t="s">
        <v>432</v>
      </c>
      <c r="U989" s="107" t="s">
        <v>432</v>
      </c>
      <c r="V989" s="109" t="s">
        <v>2209</v>
      </c>
      <c r="W989" s="107" t="s">
        <v>432</v>
      </c>
      <c r="X989" s="107" t="s">
        <v>432</v>
      </c>
      <c r="Y989" s="107" t="s">
        <v>432</v>
      </c>
      <c r="Z989" s="107" t="s">
        <v>432</v>
      </c>
      <c r="AA989" s="107" t="s">
        <v>432</v>
      </c>
      <c r="AB989" s="107" t="s">
        <v>432</v>
      </c>
      <c r="AC989" s="107" t="s">
        <v>432</v>
      </c>
      <c r="AD989" s="107" t="s">
        <v>432</v>
      </c>
      <c r="AE989" s="107" t="s">
        <v>432</v>
      </c>
      <c r="AF989" s="107" t="s">
        <v>432</v>
      </c>
      <c r="AG989" s="107" t="s">
        <v>432</v>
      </c>
      <c r="AH989" s="107" t="s">
        <v>432</v>
      </c>
      <c r="AI989" s="107" t="s">
        <v>432</v>
      </c>
      <c r="AJ989" s="107" t="s">
        <v>432</v>
      </c>
      <c r="AK989" s="107" t="s">
        <v>432</v>
      </c>
      <c r="AL989" s="600" t="s">
        <v>432</v>
      </c>
      <c r="AM989" s="137" t="s">
        <v>432</v>
      </c>
      <c r="AN989" s="137" t="s">
        <v>432</v>
      </c>
      <c r="AO989" s="137" t="s">
        <v>432</v>
      </c>
      <c r="AP989" s="137" t="s">
        <v>432</v>
      </c>
      <c r="AQ989" s="137" t="s">
        <v>432</v>
      </c>
      <c r="AR989" s="137" t="s">
        <v>432</v>
      </c>
      <c r="AS989" s="137" t="s">
        <v>432</v>
      </c>
      <c r="AT989" s="137" t="s">
        <v>432</v>
      </c>
      <c r="AU989" s="137" t="s">
        <v>432</v>
      </c>
      <c r="AV989" s="137" t="s">
        <v>432</v>
      </c>
      <c r="AW989" s="137" t="s">
        <v>432</v>
      </c>
      <c r="AX989" s="137" t="s">
        <v>432</v>
      </c>
      <c r="AY989" s="137" t="s">
        <v>432</v>
      </c>
      <c r="AZ989" s="137" t="s">
        <v>432</v>
      </c>
      <c r="BA989" s="137" t="s">
        <v>432</v>
      </c>
      <c r="BB989" s="239" t="str">
        <f>B989&amp;C989</f>
        <v>Sistema de transporte coletivo com um todoacessibilidade</v>
      </c>
      <c r="BC989" s="239" t="str">
        <f>B989&amp;C989&amp;H989</f>
        <v>Sistema de transporte coletivo com um todoacessibilidadebenchmarking</v>
      </c>
      <c r="BD989" s="239" t="str">
        <f>B989&amp;H989</f>
        <v>Sistema de transporte coletivo com um todobenchmarking</v>
      </c>
    </row>
    <row r="990" spans="1:56" s="373" customFormat="1" x14ac:dyDescent="0.25">
      <c r="A990" s="383"/>
      <c r="B990" s="384"/>
      <c r="C990" s="384"/>
      <c r="D990" s="717"/>
      <c r="E990" s="1518"/>
      <c r="F990" s="384"/>
      <c r="G990" s="384"/>
      <c r="H990" s="385"/>
      <c r="I990" s="385"/>
      <c r="J990" s="384"/>
      <c r="K990" s="384"/>
      <c r="L990" s="384"/>
      <c r="M990" s="384"/>
      <c r="N990" s="384"/>
      <c r="O990" s="384"/>
      <c r="P990" s="384"/>
      <c r="Q990" s="384"/>
      <c r="R990" s="384"/>
      <c r="S990" s="384"/>
      <c r="T990" s="384"/>
      <c r="U990" s="384"/>
      <c r="V990" s="384"/>
      <c r="W990" s="384"/>
      <c r="X990" s="386"/>
      <c r="Y990" s="386"/>
      <c r="Z990" s="386"/>
      <c r="AA990" s="386"/>
      <c r="AB990" s="386"/>
      <c r="AC990" s="386"/>
      <c r="AD990" s="386"/>
      <c r="AE990" s="386"/>
      <c r="AF990" s="386"/>
      <c r="AG990" s="386"/>
      <c r="AH990" s="386"/>
      <c r="AI990" s="386"/>
      <c r="AJ990" s="386"/>
      <c r="AK990" s="387"/>
      <c r="AL990" s="600" t="s">
        <v>432</v>
      </c>
      <c r="AM990" s="387"/>
      <c r="AN990" s="387"/>
      <c r="AO990" s="387"/>
      <c r="AP990" s="387"/>
      <c r="AQ990" s="387"/>
      <c r="AR990" s="387"/>
      <c r="AS990" s="387"/>
      <c r="AT990" s="387"/>
      <c r="AU990" s="387"/>
      <c r="AV990" s="387"/>
      <c r="AW990" s="387"/>
      <c r="AX990" s="387"/>
      <c r="AY990" s="387"/>
      <c r="AZ990" s="387"/>
      <c r="BA990" s="387"/>
      <c r="BB990" s="388"/>
      <c r="BC990" s="388"/>
      <c r="BD990" s="388"/>
    </row>
    <row r="991" spans="1:56" s="373" customFormat="1" ht="136.5" customHeight="1" x14ac:dyDescent="0.25">
      <c r="A991" s="413" t="str">
        <f>'Q100b-totais'!B62</f>
        <v>8.10</v>
      </c>
      <c r="B991" s="1205" t="str">
        <f>'Q100b-totais'!C62</f>
        <v>Sistema de transporte coletivo com um todo</v>
      </c>
      <c r="C991" s="173" t="s">
        <v>743</v>
      </c>
      <c r="D991" s="377" t="str">
        <f>'Q100e-FrotaOnibus'!D11</f>
        <v>F tc en s/rampa</v>
      </c>
      <c r="E991" s="1501" t="str">
        <f>'Q100e-FrotaOnibus'!E11</f>
        <v>x</v>
      </c>
      <c r="F991" s="355" t="str">
        <f>'Q100e-FrotaOnibus'!F11</f>
        <v>frota em n.º de ônibus do transporte público coletivo de uma cidade/região de piso alto operando com embarque/desembarque apenas em plataformas elevadas (BRT, por exemplo) ou veículos de piso baixo dianteiro, traseiro ou central, em ambos os casos sem rampa veicular (com embarque/desembarque podendo acontecer em nível em todas as portas ou em parte das portas, embora sem o apoio de uma rampa e dependente no motorista estacionar rente à plataforma ou rente à plataforma, sempre sem garantia de fronteira máxima conforme normas brasileiras vigentes
obs.1: os veículos desta categoria recebem peso 6, numa escala de 1 a 10, na classificação definida pelo SisMob-BH para classificar a acessibilidade - acesse "acessibilidade em ônibus urbano (escala)"
obs.2: acesse informações quantitativas relativas ao indicador "IAED" das cidades/regiões já incorporadas ao SisMob-BH</v>
      </c>
      <c r="G991" s="57" t="s">
        <v>3507</v>
      </c>
      <c r="H991" s="167" t="s">
        <v>765</v>
      </c>
      <c r="I991" s="167" t="s">
        <v>432</v>
      </c>
      <c r="J991" s="107" t="s">
        <v>432</v>
      </c>
      <c r="K991" s="107" t="s">
        <v>432</v>
      </c>
      <c r="L991" s="107" t="s">
        <v>432</v>
      </c>
      <c r="M991" s="107" t="s">
        <v>432</v>
      </c>
      <c r="N991" s="107" t="s">
        <v>432</v>
      </c>
      <c r="O991" s="107" t="s">
        <v>432</v>
      </c>
      <c r="P991" s="107" t="s">
        <v>432</v>
      </c>
      <c r="Q991" s="107" t="s">
        <v>432</v>
      </c>
      <c r="R991" s="107" t="s">
        <v>432</v>
      </c>
      <c r="S991" s="109" t="s">
        <v>2209</v>
      </c>
      <c r="T991" s="107" t="s">
        <v>432</v>
      </c>
      <c r="U991" s="107" t="s">
        <v>432</v>
      </c>
      <c r="V991" s="109" t="s">
        <v>2209</v>
      </c>
      <c r="W991" s="107" t="s">
        <v>432</v>
      </c>
      <c r="X991" s="107" t="s">
        <v>432</v>
      </c>
      <c r="Y991" s="107" t="s">
        <v>432</v>
      </c>
      <c r="Z991" s="107" t="s">
        <v>432</v>
      </c>
      <c r="AA991" s="107" t="s">
        <v>432</v>
      </c>
      <c r="AB991" s="107" t="s">
        <v>432</v>
      </c>
      <c r="AC991" s="107" t="s">
        <v>432</v>
      </c>
      <c r="AD991" s="107" t="s">
        <v>432</v>
      </c>
      <c r="AE991" s="107" t="s">
        <v>432</v>
      </c>
      <c r="AF991" s="107" t="s">
        <v>432</v>
      </c>
      <c r="AG991" s="107" t="s">
        <v>432</v>
      </c>
      <c r="AH991" s="107" t="s">
        <v>432</v>
      </c>
      <c r="AI991" s="107" t="s">
        <v>432</v>
      </c>
      <c r="AJ991" s="107" t="s">
        <v>432</v>
      </c>
      <c r="AK991" s="107" t="s">
        <v>432</v>
      </c>
      <c r="AL991" s="600" t="s">
        <v>432</v>
      </c>
      <c r="AM991" s="137" t="s">
        <v>432</v>
      </c>
      <c r="AN991" s="137" t="s">
        <v>432</v>
      </c>
      <c r="AO991" s="137" t="s">
        <v>432</v>
      </c>
      <c r="AP991" s="137" t="s">
        <v>432</v>
      </c>
      <c r="AQ991" s="137" t="s">
        <v>432</v>
      </c>
      <c r="AR991" s="137" t="s">
        <v>432</v>
      </c>
      <c r="AS991" s="137" t="s">
        <v>432</v>
      </c>
      <c r="AT991" s="137" t="s">
        <v>432</v>
      </c>
      <c r="AU991" s="137" t="s">
        <v>432</v>
      </c>
      <c r="AV991" s="137" t="s">
        <v>432</v>
      </c>
      <c r="AW991" s="137" t="s">
        <v>432</v>
      </c>
      <c r="AX991" s="137" t="s">
        <v>432</v>
      </c>
      <c r="AY991" s="137" t="s">
        <v>432</v>
      </c>
      <c r="AZ991" s="137" t="s">
        <v>432</v>
      </c>
      <c r="BA991" s="137" t="s">
        <v>432</v>
      </c>
      <c r="BB991" s="239" t="str">
        <f>B991&amp;C991</f>
        <v>Sistema de transporte coletivo com um todoacessibilidade</v>
      </c>
      <c r="BC991" s="239" t="str">
        <f>B991&amp;C991&amp;H991</f>
        <v>Sistema de transporte coletivo com um todoacessibilidademeta/RPI</v>
      </c>
      <c r="BD991" s="239" t="str">
        <f>B991&amp;H991</f>
        <v>Sistema de transporte coletivo com um todometa/RPI</v>
      </c>
    </row>
    <row r="992" spans="1:56" s="373" customFormat="1" ht="89.25" x14ac:dyDescent="0.25">
      <c r="A992" s="275" t="str">
        <f>'Q100b-totais'!B62</f>
        <v>8.10</v>
      </c>
      <c r="B992" s="1205" t="str">
        <f>'Q100b-totais'!C62</f>
        <v>Sistema de transporte coletivo com um todo</v>
      </c>
      <c r="C992" s="57" t="s">
        <v>743</v>
      </c>
      <c r="D992" s="324" t="str">
        <f>'Q100e-FrotaOnibus'!BU11</f>
        <v>F tc en s/rampa</v>
      </c>
      <c r="E992" s="254" t="str">
        <f>'Q100e-FrotaOnibus'!BV11</f>
        <v>Guatemala, 
Cidade da</v>
      </c>
      <c r="F992" s="14" t="str">
        <f>'Q100e-FrotaOnibus'!BW11</f>
        <v>frota em n.º de ônibus de piso-alto para operação em sistema BRT com embarque exclusivo em nível mas sem o apoio de rampa (nem manual e nem automática) ou de outro mecanismo que garanta a aproximação e portanto sempre dependente no motorista estacionar rente à plataforma e sem garantia de fronteira máxima conforme normas brasileiras vigentes
obs.1: esta categoria recebe peso 6 (escala de 1 a 10 estabelecida pelo SisMob-BH para classificar e comparar resultados) - acesse "acessibilidade em ônibus urbano (escala)"
obs.2: fotografias e informações ("The driver parks adjacent to the platform. Sylvia is still forced to make a large step in order to cross the gap between the bus and the platform" conforme NORSK(2016)</v>
      </c>
      <c r="G992" s="14" t="str">
        <f>'Q100e-FrotaOnibus'!BX11</f>
        <v>ainda não encontrados resultados</v>
      </c>
      <c r="H992" s="57" t="s">
        <v>819</v>
      </c>
      <c r="I992" s="167" t="s">
        <v>432</v>
      </c>
      <c r="J992" s="107" t="s">
        <v>432</v>
      </c>
      <c r="K992" s="107" t="s">
        <v>432</v>
      </c>
      <c r="L992" s="107" t="s">
        <v>432</v>
      </c>
      <c r="M992" s="107" t="s">
        <v>432</v>
      </c>
      <c r="N992" s="107" t="s">
        <v>432</v>
      </c>
      <c r="O992" s="107" t="s">
        <v>432</v>
      </c>
      <c r="P992" s="107" t="s">
        <v>432</v>
      </c>
      <c r="Q992" s="107" t="s">
        <v>432</v>
      </c>
      <c r="R992" s="107" t="s">
        <v>432</v>
      </c>
      <c r="S992" s="109" t="s">
        <v>2209</v>
      </c>
      <c r="T992" s="107" t="s">
        <v>432</v>
      </c>
      <c r="U992" s="107" t="s">
        <v>432</v>
      </c>
      <c r="V992" s="109" t="s">
        <v>2209</v>
      </c>
      <c r="W992" s="107" t="s">
        <v>432</v>
      </c>
      <c r="X992" s="107" t="s">
        <v>432</v>
      </c>
      <c r="Y992" s="107" t="s">
        <v>432</v>
      </c>
      <c r="Z992" s="107" t="s">
        <v>432</v>
      </c>
      <c r="AA992" s="107" t="s">
        <v>432</v>
      </c>
      <c r="AB992" s="107" t="s">
        <v>432</v>
      </c>
      <c r="AC992" s="107" t="s">
        <v>432</v>
      </c>
      <c r="AD992" s="107" t="s">
        <v>432</v>
      </c>
      <c r="AE992" s="107" t="s">
        <v>432</v>
      </c>
      <c r="AF992" s="107" t="s">
        <v>432</v>
      </c>
      <c r="AG992" s="107" t="s">
        <v>432</v>
      </c>
      <c r="AH992" s="107" t="s">
        <v>432</v>
      </c>
      <c r="AI992" s="107" t="s">
        <v>432</v>
      </c>
      <c r="AJ992" s="107" t="s">
        <v>432</v>
      </c>
      <c r="AK992" s="107" t="s">
        <v>2202</v>
      </c>
      <c r="AL992" s="600" t="s">
        <v>432</v>
      </c>
      <c r="AM992" s="137" t="s">
        <v>432</v>
      </c>
      <c r="AN992" s="137" t="s">
        <v>432</v>
      </c>
      <c r="AO992" s="137" t="s">
        <v>432</v>
      </c>
      <c r="AP992" s="137" t="s">
        <v>432</v>
      </c>
      <c r="AQ992" s="137" t="s">
        <v>432</v>
      </c>
      <c r="AR992" s="137" t="s">
        <v>432</v>
      </c>
      <c r="AS992" s="137" t="s">
        <v>432</v>
      </c>
      <c r="AT992" s="137" t="s">
        <v>432</v>
      </c>
      <c r="AU992" s="137" t="s">
        <v>432</v>
      </c>
      <c r="AV992" s="137" t="s">
        <v>432</v>
      </c>
      <c r="AW992" s="137" t="s">
        <v>432</v>
      </c>
      <c r="AX992" s="137" t="s">
        <v>432</v>
      </c>
      <c r="AY992" s="137" t="s">
        <v>432</v>
      </c>
      <c r="AZ992" s="137" t="s">
        <v>432</v>
      </c>
      <c r="BA992" s="137" t="s">
        <v>432</v>
      </c>
      <c r="BB992" s="239" t="str">
        <f>B992&amp;C992</f>
        <v>Sistema de transporte coletivo com um todoacessibilidade</v>
      </c>
      <c r="BC992" s="239" t="str">
        <f>B992&amp;C992&amp;H992</f>
        <v>Sistema de transporte coletivo com um todoacessibilidadebenchmarking</v>
      </c>
      <c r="BD992" s="239" t="str">
        <f>B992&amp;H992</f>
        <v>Sistema de transporte coletivo com um todobenchmarking</v>
      </c>
    </row>
    <row r="993" spans="1:56" ht="56.25" customHeight="1" x14ac:dyDescent="0.25">
      <c r="A993" s="413" t="str">
        <f>'Q100b-totais'!B62</f>
        <v>8.10</v>
      </c>
      <c r="B993" s="1205" t="str">
        <f>'Q100b-totais'!C62</f>
        <v>Sistema de transporte coletivo com um todo</v>
      </c>
      <c r="C993" s="173" t="s">
        <v>743</v>
      </c>
      <c r="D993" s="716" t="s">
        <v>2252</v>
      </c>
      <c r="E993" s="1445" t="s">
        <v>1306</v>
      </c>
      <c r="F993" s="1151" t="s">
        <v>5383</v>
      </c>
      <c r="G993" s="57" t="s">
        <v>5166</v>
      </c>
      <c r="H993" s="57" t="s">
        <v>2408</v>
      </c>
      <c r="I993" s="167" t="s">
        <v>432</v>
      </c>
      <c r="J993" s="107" t="s">
        <v>432</v>
      </c>
      <c r="K993" s="107" t="s">
        <v>432</v>
      </c>
      <c r="L993" s="107" t="s">
        <v>432</v>
      </c>
      <c r="M993" s="107" t="s">
        <v>432</v>
      </c>
      <c r="N993" s="107" t="s">
        <v>432</v>
      </c>
      <c r="O993" s="107" t="s">
        <v>432</v>
      </c>
      <c r="P993" s="107" t="s">
        <v>432</v>
      </c>
      <c r="Q993" s="107" t="s">
        <v>432</v>
      </c>
      <c r="R993" s="107" t="s">
        <v>432</v>
      </c>
      <c r="S993" s="109" t="s">
        <v>2209</v>
      </c>
      <c r="T993" s="107" t="s">
        <v>432</v>
      </c>
      <c r="U993" s="107" t="s">
        <v>432</v>
      </c>
      <c r="V993" s="109" t="s">
        <v>2209</v>
      </c>
      <c r="W993" s="107" t="s">
        <v>432</v>
      </c>
      <c r="X993" s="107" t="s">
        <v>432</v>
      </c>
      <c r="Y993" s="107" t="s">
        <v>432</v>
      </c>
      <c r="Z993" s="107" t="s">
        <v>432</v>
      </c>
      <c r="AA993" s="107" t="s">
        <v>432</v>
      </c>
      <c r="AB993" s="107" t="s">
        <v>432</v>
      </c>
      <c r="AC993" s="107" t="s">
        <v>432</v>
      </c>
      <c r="AD993" s="107" t="s">
        <v>432</v>
      </c>
      <c r="AE993" s="107" t="s">
        <v>432</v>
      </c>
      <c r="AF993" s="107" t="s">
        <v>432</v>
      </c>
      <c r="AG993" s="107" t="s">
        <v>432</v>
      </c>
      <c r="AH993" s="107" t="s">
        <v>432</v>
      </c>
      <c r="AI993" s="107" t="s">
        <v>432</v>
      </c>
      <c r="AJ993" s="107" t="s">
        <v>432</v>
      </c>
      <c r="AK993" s="107" t="s">
        <v>432</v>
      </c>
      <c r="AL993" s="600" t="s">
        <v>432</v>
      </c>
      <c r="AM993" s="137" t="s">
        <v>432</v>
      </c>
      <c r="AN993" s="137" t="s">
        <v>432</v>
      </c>
      <c r="AO993" s="137" t="s">
        <v>432</v>
      </c>
      <c r="AP993" s="137" t="s">
        <v>432</v>
      </c>
      <c r="AQ993" s="137" t="s">
        <v>432</v>
      </c>
      <c r="AR993" s="137" t="s">
        <v>432</v>
      </c>
      <c r="AS993" s="137" t="s">
        <v>432</v>
      </c>
      <c r="AT993" s="137" t="s">
        <v>432</v>
      </c>
      <c r="AU993" s="137" t="s">
        <v>432</v>
      </c>
      <c r="AV993" s="137" t="s">
        <v>432</v>
      </c>
      <c r="AW993" s="137" t="s">
        <v>432</v>
      </c>
      <c r="AX993" s="137" t="s">
        <v>432</v>
      </c>
      <c r="AY993" s="137" t="s">
        <v>432</v>
      </c>
      <c r="AZ993" s="137" t="s">
        <v>432</v>
      </c>
      <c r="BA993" s="137" t="s">
        <v>432</v>
      </c>
      <c r="BB993" s="239" t="str">
        <f>B993&amp;C993</f>
        <v>Sistema de transporte coletivo com um todoacessibilidade</v>
      </c>
      <c r="BC993" s="239" t="str">
        <f>B993&amp;C993&amp;H993</f>
        <v>Sistema de transporte coletivo com um todoacessibilidadesigla/verbete</v>
      </c>
      <c r="BD993" s="239" t="str">
        <f>B993&amp;H993</f>
        <v>Sistema de transporte coletivo com um todosigla/verbete</v>
      </c>
    </row>
    <row r="994" spans="1:56" s="1" customFormat="1" ht="241.5" customHeight="1" x14ac:dyDescent="0.25">
      <c r="A994" s="275" t="str">
        <f>'Q100b-totais'!$B$57</f>
        <v>8.5</v>
      </c>
      <c r="B994" s="1205" t="str">
        <f>'Q100b-totais'!$C$57</f>
        <v>Transporte convencional</v>
      </c>
      <c r="C994" s="57" t="s">
        <v>743</v>
      </c>
      <c r="D994" s="715" t="str">
        <f>'Q100e-FrotaOnibus'!BD11</f>
        <v>F tcc en s/rampa</v>
      </c>
      <c r="E994" s="1502" t="str">
        <f>'Q100e-FrotaOnibus'!BE11</f>
        <v>Belo Horizonte</v>
      </c>
      <c r="F994" s="355" t="str">
        <f>'Q100e-FrotaOnibus'!BF11</f>
        <v>frota em n.º de ônibus do transporte coletivo convencional de Belo Horizonte gerenciado pela BHTrans com piso-baixo dianteiro sem rampa veicular (com embarque/desembarque podendo acontecer em nível na porta central e na porta dianteira, mas sem o apoio de uma rampa e dependente no motorista estacionar rente ao meio-fio)
obs.1: esta categoria recebe peso 6, numa escala de 1 a 10, na classificação definida pelo SisMob-BH para classificar a acessibilidade - acesse "acessibilidade em ônibus urbano (escala)"
obs.2: em Belo Horizonte pelo menos até 2015 os veículos de piso baixo nunca tiveram rampa instalada em porta (todos "sem rampa")
obs.3: mês de dezembro tomado como referência anual, com resultado de 1999 conforme BHTRANS(2000b, p.19); de 2000(outubro)  a 2007 conforme BHTRANS(2016e); 2008 adotando resultado de 2007 e 2009; de 2009 a 2014 conforme BHTRANS(2015c) e de 2015 conforme BHTRANS(2016c)</v>
      </c>
      <c r="G994" s="110" t="str">
        <f>'Q100e-FrotaOnibus'!BG11</f>
        <v>registro na fonte</v>
      </c>
      <c r="H994" s="173" t="s">
        <v>432</v>
      </c>
      <c r="I994" s="167">
        <v>1</v>
      </c>
      <c r="J994" s="109" t="s">
        <v>2467</v>
      </c>
      <c r="K994" s="109" t="s">
        <v>2467</v>
      </c>
      <c r="L994" s="109" t="s">
        <v>2467</v>
      </c>
      <c r="M994" s="93">
        <v>0</v>
      </c>
      <c r="N994" s="93">
        <v>0</v>
      </c>
      <c r="O994" s="93">
        <v>0</v>
      </c>
      <c r="P994" s="93">
        <v>0</v>
      </c>
      <c r="Q994" s="93">
        <v>0</v>
      </c>
      <c r="R994" s="93">
        <v>0</v>
      </c>
      <c r="S994" s="109" t="s">
        <v>2209</v>
      </c>
      <c r="T994" s="84">
        <v>83</v>
      </c>
      <c r="U994" s="622" t="s">
        <v>2148</v>
      </c>
      <c r="V994" s="109" t="s">
        <v>2209</v>
      </c>
      <c r="W994" s="110">
        <v>153</v>
      </c>
      <c r="X994" s="110">
        <v>152</v>
      </c>
      <c r="Y994" s="110">
        <v>152</v>
      </c>
      <c r="Z994" s="110">
        <v>152</v>
      </c>
      <c r="AA994" s="110">
        <v>152</v>
      </c>
      <c r="AB994" s="110">
        <v>152</v>
      </c>
      <c r="AC994" s="110">
        <v>152</v>
      </c>
      <c r="AD994" s="110">
        <v>152</v>
      </c>
      <c r="AE994" s="87">
        <v>152</v>
      </c>
      <c r="AF994" s="87">
        <v>83</v>
      </c>
      <c r="AG994" s="87">
        <v>1</v>
      </c>
      <c r="AH994" s="87">
        <v>0</v>
      </c>
      <c r="AI994" s="84">
        <v>0</v>
      </c>
      <c r="AJ994" s="84">
        <v>0</v>
      </c>
      <c r="AK994" s="84">
        <v>0</v>
      </c>
      <c r="AL994" s="600" t="s">
        <v>432</v>
      </c>
      <c r="AM994" s="84">
        <v>0</v>
      </c>
      <c r="AN994" s="137" t="s">
        <v>432</v>
      </c>
      <c r="AO994" s="137" t="s">
        <v>432</v>
      </c>
      <c r="AP994" s="137" t="s">
        <v>432</v>
      </c>
      <c r="AQ994" s="137" t="s">
        <v>432</v>
      </c>
      <c r="AR994" s="137" t="s">
        <v>432</v>
      </c>
      <c r="AS994" s="137" t="s">
        <v>432</v>
      </c>
      <c r="AT994" s="137" t="s">
        <v>432</v>
      </c>
      <c r="AU994" s="137" t="s">
        <v>432</v>
      </c>
      <c r="AV994" s="137" t="s">
        <v>432</v>
      </c>
      <c r="AW994" s="137" t="s">
        <v>432</v>
      </c>
      <c r="AX994" s="137" t="s">
        <v>432</v>
      </c>
      <c r="AY994" s="137" t="s">
        <v>432</v>
      </c>
      <c r="AZ994" s="137" t="s">
        <v>432</v>
      </c>
      <c r="BA994" s="137" t="s">
        <v>432</v>
      </c>
      <c r="BB994" s="239" t="str">
        <f>B994&amp;C994</f>
        <v>Transporte convencionalacessibilidade</v>
      </c>
      <c r="BC994" s="239" t="str">
        <f>B994&amp;C994&amp;H994</f>
        <v>Transporte convencionalacessibilidadex</v>
      </c>
      <c r="BD994" s="239" t="str">
        <f>B994&amp;H994</f>
        <v>Transporte convencionalx</v>
      </c>
    </row>
    <row r="995" spans="1:56" s="373" customFormat="1" x14ac:dyDescent="0.25">
      <c r="A995" s="383"/>
      <c r="B995" s="384"/>
      <c r="C995" s="384"/>
      <c r="D995" s="719"/>
      <c r="E995" s="1519"/>
      <c r="F995" s="385"/>
      <c r="G995" s="385"/>
      <c r="H995" s="384"/>
      <c r="I995" s="385"/>
      <c r="J995" s="385"/>
      <c r="K995" s="385"/>
      <c r="L995" s="385"/>
      <c r="M995" s="385"/>
      <c r="N995" s="385"/>
      <c r="O995" s="385"/>
      <c r="P995" s="385"/>
      <c r="Q995" s="385"/>
      <c r="R995" s="385"/>
      <c r="S995" s="385"/>
      <c r="T995" s="385"/>
      <c r="U995" s="385"/>
      <c r="V995" s="385"/>
      <c r="W995" s="385"/>
      <c r="X995" s="385"/>
      <c r="Y995" s="385"/>
      <c r="Z995" s="385"/>
      <c r="AA995" s="385"/>
      <c r="AB995" s="385"/>
      <c r="AC995" s="385"/>
      <c r="AD995" s="385"/>
      <c r="AE995" s="385"/>
      <c r="AF995" s="385"/>
      <c r="AG995" s="385"/>
      <c r="AH995" s="385"/>
      <c r="AI995" s="385"/>
      <c r="AJ995" s="385"/>
      <c r="AK995" s="397"/>
      <c r="AL995" s="763" t="s">
        <v>432</v>
      </c>
      <c r="AM995" s="387"/>
      <c r="AN995" s="387"/>
      <c r="AO995" s="387"/>
      <c r="AP995" s="387"/>
      <c r="AQ995" s="387"/>
      <c r="AR995" s="387"/>
      <c r="AS995" s="387"/>
      <c r="AT995" s="387"/>
      <c r="AU995" s="387"/>
      <c r="AV995" s="387"/>
      <c r="AW995" s="387"/>
      <c r="AX995" s="387"/>
      <c r="AY995" s="387"/>
      <c r="AZ995" s="387"/>
      <c r="BA995" s="387"/>
      <c r="BB995" s="388"/>
      <c r="BC995" s="388"/>
      <c r="BD995" s="388"/>
    </row>
    <row r="996" spans="1:56" s="373" customFormat="1" ht="76.5" x14ac:dyDescent="0.25">
      <c r="A996" s="413" t="str">
        <f>'Q100b-totais'!B62</f>
        <v>8.10</v>
      </c>
      <c r="B996" s="1205" t="str">
        <f>'Q100b-totais'!C62</f>
        <v>Sistema de transporte coletivo com um todo</v>
      </c>
      <c r="C996" s="173" t="s">
        <v>743</v>
      </c>
      <c r="D996" s="377" t="str">
        <f>'Q100e-FrotaOnibus'!D12</f>
        <v>F tc ent s/rampa</v>
      </c>
      <c r="E996" s="1501" t="str">
        <f>'Q100e-FrotaOnibus'!E12</f>
        <v>x</v>
      </c>
      <c r="F996" s="355" t="str">
        <f>'Q100e-FrotaOnibus'!F12</f>
        <v>frota em n.º de ônibus do transporte público coletivo de uma cidade/região de piso-baixo total sem rampa veicular (com embarque/desembarque podendo acontecer sempre em nível e em qualquer porta, mas sem o apoio de uma rampa e dependente no motorista estacionar rente ao meio-fio)
obs.1: os veículos desta categoria recebem peso 7, numa escala de 1 a 10, na classificação definida pelo SisMob-BH para classificar a acessibilidade - acesse "acessibilidade em ônibus urbano (escala)"
obs.2: acesse informações quantitativas relativas ao indicador "IAED" das cidades/regiões já incorporadas ao SisMob-BH</v>
      </c>
      <c r="G996" s="57" t="s">
        <v>3507</v>
      </c>
      <c r="H996" s="167" t="s">
        <v>765</v>
      </c>
      <c r="I996" s="167" t="s">
        <v>432</v>
      </c>
      <c r="J996" s="107" t="s">
        <v>432</v>
      </c>
      <c r="K996" s="107" t="s">
        <v>432</v>
      </c>
      <c r="L996" s="107" t="s">
        <v>432</v>
      </c>
      <c r="M996" s="107" t="s">
        <v>432</v>
      </c>
      <c r="N996" s="107" t="s">
        <v>432</v>
      </c>
      <c r="O996" s="107" t="s">
        <v>432</v>
      </c>
      <c r="P996" s="107" t="s">
        <v>432</v>
      </c>
      <c r="Q996" s="107" t="s">
        <v>432</v>
      </c>
      <c r="R996" s="107" t="s">
        <v>432</v>
      </c>
      <c r="S996" s="109" t="s">
        <v>2209</v>
      </c>
      <c r="T996" s="108" t="s">
        <v>432</v>
      </c>
      <c r="U996" s="108" t="s">
        <v>432</v>
      </c>
      <c r="V996" s="109" t="s">
        <v>2209</v>
      </c>
      <c r="W996" s="108" t="s">
        <v>432</v>
      </c>
      <c r="X996" s="108" t="s">
        <v>432</v>
      </c>
      <c r="Y996" s="108" t="s">
        <v>432</v>
      </c>
      <c r="Z996" s="108" t="s">
        <v>432</v>
      </c>
      <c r="AA996" s="108" t="s">
        <v>432</v>
      </c>
      <c r="AB996" s="108" t="s">
        <v>432</v>
      </c>
      <c r="AC996" s="108" t="s">
        <v>432</v>
      </c>
      <c r="AD996" s="108" t="s">
        <v>432</v>
      </c>
      <c r="AE996" s="108" t="s">
        <v>432</v>
      </c>
      <c r="AF996" s="108" t="s">
        <v>432</v>
      </c>
      <c r="AG996" s="108" t="s">
        <v>432</v>
      </c>
      <c r="AH996" s="108" t="s">
        <v>432</v>
      </c>
      <c r="AI996" s="108" t="s">
        <v>432</v>
      </c>
      <c r="AJ996" s="108" t="s">
        <v>432</v>
      </c>
      <c r="AK996" s="108" t="s">
        <v>432</v>
      </c>
      <c r="AL996" s="600" t="s">
        <v>432</v>
      </c>
      <c r="AM996" s="137" t="s">
        <v>432</v>
      </c>
      <c r="AN996" s="137" t="s">
        <v>432</v>
      </c>
      <c r="AO996" s="137" t="s">
        <v>432</v>
      </c>
      <c r="AP996" s="137" t="s">
        <v>432</v>
      </c>
      <c r="AQ996" s="137" t="s">
        <v>432</v>
      </c>
      <c r="AR996" s="137" t="s">
        <v>432</v>
      </c>
      <c r="AS996" s="137" t="s">
        <v>432</v>
      </c>
      <c r="AT996" s="137" t="s">
        <v>432</v>
      </c>
      <c r="AU996" s="137" t="s">
        <v>432</v>
      </c>
      <c r="AV996" s="137" t="s">
        <v>432</v>
      </c>
      <c r="AW996" s="137" t="s">
        <v>432</v>
      </c>
      <c r="AX996" s="137" t="s">
        <v>432</v>
      </c>
      <c r="AY996" s="137" t="s">
        <v>432</v>
      </c>
      <c r="AZ996" s="137" t="s">
        <v>432</v>
      </c>
      <c r="BA996" s="137" t="s">
        <v>432</v>
      </c>
      <c r="BB996" s="239" t="str">
        <f>B996&amp;C996</f>
        <v>Sistema de transporte coletivo com um todoacessibilidade</v>
      </c>
      <c r="BC996" s="239" t="str">
        <f>B996&amp;C996&amp;H996</f>
        <v>Sistema de transporte coletivo com um todoacessibilidademeta/RPI</v>
      </c>
      <c r="BD996" s="239" t="str">
        <f>B996&amp;H996</f>
        <v>Sistema de transporte coletivo com um todometa/RPI</v>
      </c>
    </row>
    <row r="997" spans="1:56" s="373" customFormat="1" ht="51" x14ac:dyDescent="0.25">
      <c r="A997" s="413" t="str">
        <f>'Q100b-totais'!B62</f>
        <v>8.10</v>
      </c>
      <c r="B997" s="1205" t="str">
        <f>'Q100b-totais'!C62</f>
        <v>Sistema de transporte coletivo com um todo</v>
      </c>
      <c r="C997" s="173" t="s">
        <v>743</v>
      </c>
      <c r="D997" s="324" t="str">
        <f>'Q100e-FrotaOnibus'!BY12</f>
        <v>F tc ent s/rampa</v>
      </c>
      <c r="E997" s="254" t="str">
        <f>'Q100e-FrotaOnibus'!BZ12</f>
        <v>Outras cidades/regiões fora do Brasil</v>
      </c>
      <c r="F997" s="11" t="str">
        <f>'Q100e-FrotaOnibus'!CA12</f>
        <v>ônibus de piso-baixo total sem rampa veicular (com embarque/desembarque podendo acontecer sempre em nível e em qualquer porta, mas sem o apoio de uma rampa e dependente no motorista estacionar rente ao meio-fio)</v>
      </c>
      <c r="G997" s="57" t="str">
        <f>'Q100e-FrotaOnibus'!CB12</f>
        <v>sem resultados</v>
      </c>
      <c r="H997" s="57" t="s">
        <v>819</v>
      </c>
      <c r="I997" s="167" t="s">
        <v>432</v>
      </c>
      <c r="J997" s="107" t="s">
        <v>432</v>
      </c>
      <c r="K997" s="107" t="s">
        <v>432</v>
      </c>
      <c r="L997" s="107" t="s">
        <v>432</v>
      </c>
      <c r="M997" s="107" t="s">
        <v>432</v>
      </c>
      <c r="N997" s="107" t="s">
        <v>432</v>
      </c>
      <c r="O997" s="107" t="s">
        <v>432</v>
      </c>
      <c r="P997" s="107" t="s">
        <v>432</v>
      </c>
      <c r="Q997" s="107" t="s">
        <v>432</v>
      </c>
      <c r="R997" s="107" t="s">
        <v>432</v>
      </c>
      <c r="S997" s="109" t="s">
        <v>2209</v>
      </c>
      <c r="T997" s="107" t="s">
        <v>432</v>
      </c>
      <c r="U997" s="107" t="s">
        <v>432</v>
      </c>
      <c r="V997" s="109" t="s">
        <v>2209</v>
      </c>
      <c r="W997" s="107" t="s">
        <v>432</v>
      </c>
      <c r="X997" s="107" t="s">
        <v>432</v>
      </c>
      <c r="Y997" s="107" t="s">
        <v>432</v>
      </c>
      <c r="Z997" s="107" t="s">
        <v>432</v>
      </c>
      <c r="AA997" s="107" t="s">
        <v>432</v>
      </c>
      <c r="AB997" s="107" t="s">
        <v>432</v>
      </c>
      <c r="AC997" s="107" t="s">
        <v>432</v>
      </c>
      <c r="AD997" s="107" t="s">
        <v>432</v>
      </c>
      <c r="AE997" s="107" t="s">
        <v>432</v>
      </c>
      <c r="AF997" s="107" t="s">
        <v>432</v>
      </c>
      <c r="AG997" s="107" t="s">
        <v>432</v>
      </c>
      <c r="AH997" s="107" t="s">
        <v>432</v>
      </c>
      <c r="AI997" s="107" t="s">
        <v>432</v>
      </c>
      <c r="AJ997" s="107" t="s">
        <v>432</v>
      </c>
      <c r="AK997" s="107" t="s">
        <v>432</v>
      </c>
      <c r="AL997" s="600" t="s">
        <v>432</v>
      </c>
      <c r="AM997" s="137" t="s">
        <v>432</v>
      </c>
      <c r="AN997" s="137" t="s">
        <v>432</v>
      </c>
      <c r="AO997" s="137" t="s">
        <v>432</v>
      </c>
      <c r="AP997" s="137" t="s">
        <v>432</v>
      </c>
      <c r="AQ997" s="137" t="s">
        <v>432</v>
      </c>
      <c r="AR997" s="137" t="s">
        <v>432</v>
      </c>
      <c r="AS997" s="137" t="s">
        <v>432</v>
      </c>
      <c r="AT997" s="137" t="s">
        <v>432</v>
      </c>
      <c r="AU997" s="137" t="s">
        <v>432</v>
      </c>
      <c r="AV997" s="137" t="s">
        <v>432</v>
      </c>
      <c r="AW997" s="137" t="s">
        <v>432</v>
      </c>
      <c r="AX997" s="137" t="s">
        <v>432</v>
      </c>
      <c r="AY997" s="137" t="s">
        <v>432</v>
      </c>
      <c r="AZ997" s="137" t="s">
        <v>432</v>
      </c>
      <c r="BA997" s="137" t="s">
        <v>432</v>
      </c>
      <c r="BB997" s="239" t="str">
        <f>B997&amp;C997</f>
        <v>Sistema de transporte coletivo com um todoacessibilidade</v>
      </c>
      <c r="BC997" s="239" t="str">
        <f>B997&amp;C997&amp;H997</f>
        <v>Sistema de transporte coletivo com um todoacessibilidadebenchmarking</v>
      </c>
      <c r="BD997" s="239" t="str">
        <f>B997&amp;H997</f>
        <v>Sistema de transporte coletivo com um todobenchmarking</v>
      </c>
    </row>
    <row r="998" spans="1:56" s="373" customFormat="1" x14ac:dyDescent="0.25">
      <c r="A998" s="383"/>
      <c r="B998" s="384"/>
      <c r="C998" s="384"/>
      <c r="D998" s="719"/>
      <c r="E998" s="1519"/>
      <c r="F998" s="385"/>
      <c r="G998" s="385"/>
      <c r="H998" s="384"/>
      <c r="I998" s="385"/>
      <c r="J998" s="385"/>
      <c r="K998" s="385"/>
      <c r="L998" s="385"/>
      <c r="M998" s="385"/>
      <c r="N998" s="385"/>
      <c r="O998" s="385"/>
      <c r="P998" s="385"/>
      <c r="Q998" s="385"/>
      <c r="R998" s="385"/>
      <c r="S998" s="385"/>
      <c r="T998" s="385"/>
      <c r="U998" s="385"/>
      <c r="V998" s="385"/>
      <c r="W998" s="385"/>
      <c r="X998" s="385"/>
      <c r="Y998" s="385"/>
      <c r="Z998" s="385"/>
      <c r="AA998" s="385"/>
      <c r="AB998" s="385"/>
      <c r="AC998" s="385"/>
      <c r="AD998" s="385"/>
      <c r="AE998" s="385"/>
      <c r="AF998" s="385"/>
      <c r="AG998" s="385"/>
      <c r="AH998" s="385"/>
      <c r="AI998" s="385"/>
      <c r="AJ998" s="385"/>
      <c r="AK998" s="397"/>
      <c r="AL998" s="763" t="s">
        <v>432</v>
      </c>
      <c r="AM998" s="387"/>
      <c r="AN998" s="387"/>
      <c r="AO998" s="387"/>
      <c r="AP998" s="387"/>
      <c r="AQ998" s="387"/>
      <c r="AR998" s="387"/>
      <c r="AS998" s="387"/>
      <c r="AT998" s="387"/>
      <c r="AU998" s="387"/>
      <c r="AV998" s="387"/>
      <c r="AW998" s="387"/>
      <c r="AX998" s="387"/>
      <c r="AY998" s="387"/>
      <c r="AZ998" s="387"/>
      <c r="BA998" s="387"/>
      <c r="BB998" s="388"/>
      <c r="BC998" s="388"/>
      <c r="BD998" s="388"/>
    </row>
    <row r="999" spans="1:56" s="373" customFormat="1" ht="113.25" customHeight="1" x14ac:dyDescent="0.25">
      <c r="A999" s="413" t="str">
        <f>'Q100b-totais'!B62</f>
        <v>8.10</v>
      </c>
      <c r="B999" s="1205" t="str">
        <f>'Q100b-totais'!C62</f>
        <v>Sistema de transporte coletivo com um todo</v>
      </c>
      <c r="C999" s="173" t="s">
        <v>743</v>
      </c>
      <c r="D999" s="377" t="str">
        <f>'Q100e-FrotaOnibus'!D15</f>
        <v>F tc enu</v>
      </c>
      <c r="E999" s="1501" t="str">
        <f>'Q100e-FrotaOnibus'!E15</f>
        <v>x</v>
      </c>
      <c r="F999" s="355" t="str">
        <f>'Q100e-FrotaOnibus'!F15</f>
        <v>frota em n.º de ônibus com desenho universal no embarque/desembarque
obs.: trata-se da frota em n.º de ônibus do transporte público coletivo de uma cidade/região de piso baixo ou piso alto com embarque exclusivo em nível com fronteira máxima conforme normas brasileiras vigentes ou com rampa veicular automática em todas as portas, ou seja, com embarque/desembarque sempre em nível e autonomia garantida em todas as portas proporcionando acessibilidade universal
obs.1: os veículos desta categoria recebem peso 10, numa escala de 1 a 10, na classificação definida pelo SisMob-BH para classificar a acessibilidade - acesse "acessibilidade em ônibus urbano (escala)"
obs.2: acesse informações quantitativas e/ou qualitativas relativas ao indicador "IAED" das cidades/regiões já incorporadas ao SisMob-BH (Curitiba e Quito)</v>
      </c>
      <c r="G999" s="57" t="s">
        <v>3507</v>
      </c>
      <c r="H999" s="167" t="s">
        <v>2408</v>
      </c>
      <c r="I999" s="167" t="s">
        <v>432</v>
      </c>
      <c r="J999" s="107" t="s">
        <v>432</v>
      </c>
      <c r="K999" s="107" t="s">
        <v>432</v>
      </c>
      <c r="L999" s="107" t="s">
        <v>432</v>
      </c>
      <c r="M999" s="107" t="s">
        <v>432</v>
      </c>
      <c r="N999" s="107" t="s">
        <v>432</v>
      </c>
      <c r="O999" s="107" t="s">
        <v>432</v>
      </c>
      <c r="P999" s="107" t="s">
        <v>432</v>
      </c>
      <c r="Q999" s="107" t="s">
        <v>432</v>
      </c>
      <c r="R999" s="107" t="s">
        <v>432</v>
      </c>
      <c r="S999" s="109" t="s">
        <v>2209</v>
      </c>
      <c r="T999" s="107" t="s">
        <v>432</v>
      </c>
      <c r="U999" s="107" t="s">
        <v>432</v>
      </c>
      <c r="V999" s="109" t="s">
        <v>2209</v>
      </c>
      <c r="W999" s="107" t="s">
        <v>432</v>
      </c>
      <c r="X999" s="107" t="s">
        <v>432</v>
      </c>
      <c r="Y999" s="107" t="s">
        <v>432</v>
      </c>
      <c r="Z999" s="107" t="s">
        <v>432</v>
      </c>
      <c r="AA999" s="107" t="s">
        <v>432</v>
      </c>
      <c r="AB999" s="107" t="s">
        <v>432</v>
      </c>
      <c r="AC999" s="107" t="s">
        <v>432</v>
      </c>
      <c r="AD999" s="107" t="s">
        <v>432</v>
      </c>
      <c r="AE999" s="107" t="s">
        <v>432</v>
      </c>
      <c r="AF999" s="107" t="s">
        <v>432</v>
      </c>
      <c r="AG999" s="107" t="s">
        <v>432</v>
      </c>
      <c r="AH999" s="107" t="s">
        <v>432</v>
      </c>
      <c r="AI999" s="107" t="s">
        <v>432</v>
      </c>
      <c r="AJ999" s="107" t="s">
        <v>432</v>
      </c>
      <c r="AK999" s="107" t="s">
        <v>432</v>
      </c>
      <c r="AL999" s="600" t="s">
        <v>432</v>
      </c>
      <c r="AM999" s="137" t="s">
        <v>432</v>
      </c>
      <c r="AN999" s="137" t="s">
        <v>432</v>
      </c>
      <c r="AO999" s="137" t="s">
        <v>432</v>
      </c>
      <c r="AP999" s="137" t="s">
        <v>432</v>
      </c>
      <c r="AQ999" s="137" t="s">
        <v>432</v>
      </c>
      <c r="AR999" s="137" t="s">
        <v>432</v>
      </c>
      <c r="AS999" s="137" t="s">
        <v>432</v>
      </c>
      <c r="AT999" s="137" t="s">
        <v>432</v>
      </c>
      <c r="AU999" s="137" t="s">
        <v>432</v>
      </c>
      <c r="AV999" s="137" t="s">
        <v>432</v>
      </c>
      <c r="AW999" s="137" t="s">
        <v>432</v>
      </c>
      <c r="AX999" s="137" t="s">
        <v>432</v>
      </c>
      <c r="AY999" s="137" t="s">
        <v>432</v>
      </c>
      <c r="AZ999" s="137" t="s">
        <v>432</v>
      </c>
      <c r="BA999" s="137" t="s">
        <v>432</v>
      </c>
      <c r="BB999" s="239" t="str">
        <f t="shared" ref="BB999:BB1005" si="245">B999&amp;C999</f>
        <v>Sistema de transporte coletivo com um todoacessibilidade</v>
      </c>
      <c r="BC999" s="239" t="str">
        <f t="shared" ref="BC999:BC1005" si="246">B999&amp;C999&amp;H999</f>
        <v>Sistema de transporte coletivo com um todoacessibilidadesigla/verbete</v>
      </c>
      <c r="BD999" s="239" t="str">
        <f t="shared" ref="BD999:BD1005" si="247">B999&amp;H999</f>
        <v>Sistema de transporte coletivo com um todosigla/verbete</v>
      </c>
    </row>
    <row r="1000" spans="1:56" s="373" customFormat="1" ht="192.75" customHeight="1" x14ac:dyDescent="0.25">
      <c r="A1000" s="275" t="str">
        <f>'Q100b-totais'!B54</f>
        <v>8.2</v>
      </c>
      <c r="B1000" s="1205" t="str">
        <f>'Q100b-totais'!C54</f>
        <v>BRT</v>
      </c>
      <c r="C1000" s="173" t="s">
        <v>743</v>
      </c>
      <c r="D1000" s="324" t="str">
        <f>'Q100e-FrotaOnibus'!S15</f>
        <v>F tc enu</v>
      </c>
      <c r="E1000" s="254" t="str">
        <f>'Q100e-FrotaOnibus'!T15</f>
        <v>Curitiba</v>
      </c>
      <c r="F1000" s="252" t="str">
        <f>'Q100e-FrotaOnibus'!U15</f>
        <v>frota em n.º de ônibus com desenho universal no embarque/desembarque, ou seja, frota em n.º de ônibus de piso-alto para operação na RIT de Curitiba, na modalidade BRT com embarque exclusivo em nível com rampas veiculares automáticas em todas as portas, ou seja, com embarque/desembarque sempre em nível promovendo autonomia em todas as portas a todos os usuários, ou seja, com acessibilidade universal
obs.1: esta categoria recebe peso 10 (escala de 1 a 10 estabelecida pelo SisMob-BH para classificar e comparar resultados) - acesse "acessibilidade em ônibus urbano (escala)"
obs.2: "Cidades como Curitiba e Quito obtiveram muito sucesso com pontes de embarque. Uma ponte de embarque típica tem de 40 a 50 centímetros de largura, o que quer dizer que o veículo só precisa se alinhar dentro de 35 a 45 centímetros de distância da plataforma (Figura 8.23). Assim, há muito mais espaço para erro usando a ponte de embarque." conforme WRIGHT(2008, p.281)
obs.3: Enquadram-se nesta categoria toda a frota de ônibus biarticulados que operam no "expresso ligeirão", os biarticulados e os articulados que operam no "expresso" e os articulados e padron que operam no "ligeirinho" conforme BHTRANS(2016f)
obs.4: fotos que ilustram a Nota de acessibilidade n.º 2 em BLOG MEU TRANSPORTE(2010)</v>
      </c>
      <c r="G1000" s="93" t="str">
        <f>'Q100e-FrotaOnibus'!V15</f>
        <v>registro na fonte</v>
      </c>
      <c r="H1000" s="596" t="s">
        <v>819</v>
      </c>
      <c r="I1000" s="167" t="s">
        <v>432</v>
      </c>
      <c r="J1000" s="107" t="s">
        <v>432</v>
      </c>
      <c r="K1000" s="107" t="s">
        <v>432</v>
      </c>
      <c r="L1000" s="107" t="s">
        <v>432</v>
      </c>
      <c r="M1000" s="107" t="s">
        <v>432</v>
      </c>
      <c r="N1000" s="107" t="s">
        <v>432</v>
      </c>
      <c r="O1000" s="107" t="s">
        <v>432</v>
      </c>
      <c r="P1000" s="107" t="s">
        <v>432</v>
      </c>
      <c r="Q1000" s="107" t="s">
        <v>432</v>
      </c>
      <c r="R1000" s="107" t="s">
        <v>432</v>
      </c>
      <c r="S1000" s="109" t="s">
        <v>2209</v>
      </c>
      <c r="T1000" s="107" t="s">
        <v>432</v>
      </c>
      <c r="U1000" s="107" t="s">
        <v>432</v>
      </c>
      <c r="V1000" s="109" t="s">
        <v>2209</v>
      </c>
      <c r="W1000" s="107" t="s">
        <v>432</v>
      </c>
      <c r="X1000" s="107" t="s">
        <v>432</v>
      </c>
      <c r="Y1000" s="107" t="s">
        <v>432</v>
      </c>
      <c r="Z1000" s="107" t="s">
        <v>432</v>
      </c>
      <c r="AA1000" s="107" t="s">
        <v>432</v>
      </c>
      <c r="AB1000" s="107" t="s">
        <v>432</v>
      </c>
      <c r="AC1000" s="107" t="s">
        <v>432</v>
      </c>
      <c r="AD1000" s="107" t="s">
        <v>432</v>
      </c>
      <c r="AE1000" s="107" t="s">
        <v>432</v>
      </c>
      <c r="AF1000" s="107" t="s">
        <v>432</v>
      </c>
      <c r="AG1000" s="107" t="s">
        <v>432</v>
      </c>
      <c r="AH1000" s="107" t="s">
        <v>432</v>
      </c>
      <c r="AI1000" s="107" t="s">
        <v>432</v>
      </c>
      <c r="AJ1000" s="107" t="s">
        <v>432</v>
      </c>
      <c r="AK1000" s="93">
        <f>29+118+33+39+219</f>
        <v>438</v>
      </c>
      <c r="AL1000" s="600" t="s">
        <v>432</v>
      </c>
      <c r="AM1000" s="137" t="s">
        <v>432</v>
      </c>
      <c r="AN1000" s="137" t="s">
        <v>432</v>
      </c>
      <c r="AO1000" s="137" t="s">
        <v>432</v>
      </c>
      <c r="AP1000" s="137" t="s">
        <v>432</v>
      </c>
      <c r="AQ1000" s="137" t="s">
        <v>432</v>
      </c>
      <c r="AR1000" s="137" t="s">
        <v>432</v>
      </c>
      <c r="AS1000" s="137" t="s">
        <v>432</v>
      </c>
      <c r="AT1000" s="137" t="s">
        <v>432</v>
      </c>
      <c r="AU1000" s="137" t="s">
        <v>432</v>
      </c>
      <c r="AV1000" s="137" t="s">
        <v>432</v>
      </c>
      <c r="AW1000" s="137" t="s">
        <v>432</v>
      </c>
      <c r="AX1000" s="137" t="s">
        <v>432</v>
      </c>
      <c r="AY1000" s="137" t="s">
        <v>432</v>
      </c>
      <c r="AZ1000" s="137" t="s">
        <v>432</v>
      </c>
      <c r="BA1000" s="137" t="s">
        <v>432</v>
      </c>
      <c r="BB1000" s="239" t="str">
        <f t="shared" si="245"/>
        <v>BRTacessibilidade</v>
      </c>
      <c r="BC1000" s="239" t="str">
        <f t="shared" si="246"/>
        <v>BRTacessibilidadebenchmarking</v>
      </c>
      <c r="BD1000" s="239" t="str">
        <f t="shared" si="247"/>
        <v>BRTbenchmarking</v>
      </c>
    </row>
    <row r="1001" spans="1:56" s="373" customFormat="1" ht="59.25" customHeight="1" x14ac:dyDescent="0.25">
      <c r="A1001" s="275" t="str">
        <f>'Q100b-totais'!B54</f>
        <v>8.2</v>
      </c>
      <c r="B1001" s="1205" t="str">
        <f>'Q100b-totais'!C54</f>
        <v>BRT</v>
      </c>
      <c r="C1001" s="173" t="s">
        <v>743</v>
      </c>
      <c r="D1001" s="1417" t="s">
        <v>2238</v>
      </c>
      <c r="E1001" s="1499" t="s">
        <v>1266</v>
      </c>
      <c r="F1001" s="1151" t="s">
        <v>5377</v>
      </c>
      <c r="G1001" s="596" t="s">
        <v>5166</v>
      </c>
      <c r="H1001" s="596" t="s">
        <v>2408</v>
      </c>
      <c r="I1001" s="167" t="s">
        <v>432</v>
      </c>
      <c r="J1001" s="107" t="s">
        <v>432</v>
      </c>
      <c r="K1001" s="107" t="s">
        <v>432</v>
      </c>
      <c r="L1001" s="107" t="s">
        <v>432</v>
      </c>
      <c r="M1001" s="107" t="s">
        <v>432</v>
      </c>
      <c r="N1001" s="107" t="s">
        <v>432</v>
      </c>
      <c r="O1001" s="107" t="s">
        <v>432</v>
      </c>
      <c r="P1001" s="107" t="s">
        <v>432</v>
      </c>
      <c r="Q1001" s="107" t="s">
        <v>432</v>
      </c>
      <c r="R1001" s="107" t="s">
        <v>432</v>
      </c>
      <c r="S1001" s="109" t="s">
        <v>2209</v>
      </c>
      <c r="T1001" s="107" t="s">
        <v>432</v>
      </c>
      <c r="U1001" s="107" t="s">
        <v>432</v>
      </c>
      <c r="V1001" s="109" t="s">
        <v>2209</v>
      </c>
      <c r="W1001" s="107" t="s">
        <v>432</v>
      </c>
      <c r="X1001" s="107" t="s">
        <v>432</v>
      </c>
      <c r="Y1001" s="107" t="s">
        <v>432</v>
      </c>
      <c r="Z1001" s="107" t="s">
        <v>432</v>
      </c>
      <c r="AA1001" s="107" t="s">
        <v>432</v>
      </c>
      <c r="AB1001" s="107" t="s">
        <v>432</v>
      </c>
      <c r="AC1001" s="107" t="s">
        <v>432</v>
      </c>
      <c r="AD1001" s="107" t="s">
        <v>432</v>
      </c>
      <c r="AE1001" s="107" t="s">
        <v>432</v>
      </c>
      <c r="AF1001" s="107" t="s">
        <v>432</v>
      </c>
      <c r="AG1001" s="107" t="s">
        <v>432</v>
      </c>
      <c r="AH1001" s="107" t="s">
        <v>432</v>
      </c>
      <c r="AI1001" s="107" t="s">
        <v>432</v>
      </c>
      <c r="AJ1001" s="107" t="s">
        <v>432</v>
      </c>
      <c r="AK1001" s="107" t="s">
        <v>432</v>
      </c>
      <c r="AL1001" s="600" t="s">
        <v>432</v>
      </c>
      <c r="AM1001" s="137" t="s">
        <v>432</v>
      </c>
      <c r="AN1001" s="137" t="s">
        <v>432</v>
      </c>
      <c r="AO1001" s="137" t="s">
        <v>432</v>
      </c>
      <c r="AP1001" s="137" t="s">
        <v>432</v>
      </c>
      <c r="AQ1001" s="137" t="s">
        <v>432</v>
      </c>
      <c r="AR1001" s="137" t="s">
        <v>432</v>
      </c>
      <c r="AS1001" s="137" t="s">
        <v>432</v>
      </c>
      <c r="AT1001" s="137" t="s">
        <v>432</v>
      </c>
      <c r="AU1001" s="137" t="s">
        <v>432</v>
      </c>
      <c r="AV1001" s="137" t="s">
        <v>432</v>
      </c>
      <c r="AW1001" s="137" t="s">
        <v>432</v>
      </c>
      <c r="AX1001" s="137" t="s">
        <v>432</v>
      </c>
      <c r="AY1001" s="137" t="s">
        <v>432</v>
      </c>
      <c r="AZ1001" s="137" t="s">
        <v>432</v>
      </c>
      <c r="BA1001" s="137" t="s">
        <v>432</v>
      </c>
      <c r="BB1001" s="239" t="str">
        <f t="shared" si="245"/>
        <v>BRTacessibilidade</v>
      </c>
      <c r="BC1001" s="239" t="str">
        <f t="shared" si="246"/>
        <v>BRTacessibilidadesigla/verbete</v>
      </c>
      <c r="BD1001" s="239" t="str">
        <f t="shared" si="247"/>
        <v>BRTsigla/verbete</v>
      </c>
    </row>
    <row r="1002" spans="1:56" s="373" customFormat="1" ht="57" customHeight="1" x14ac:dyDescent="0.25">
      <c r="A1002" s="275" t="str">
        <f>'Q100b-totais'!B54</f>
        <v>8.2</v>
      </c>
      <c r="B1002" s="1205" t="str">
        <f>'Q100b-totais'!C54</f>
        <v>BRT</v>
      </c>
      <c r="C1002" s="173" t="s">
        <v>743</v>
      </c>
      <c r="D1002" s="1406" t="s">
        <v>2238</v>
      </c>
      <c r="E1002" s="509" t="s">
        <v>1266</v>
      </c>
      <c r="F1002" s="1151" t="s">
        <v>5378</v>
      </c>
      <c r="G1002" s="596" t="s">
        <v>5166</v>
      </c>
      <c r="H1002" s="596" t="s">
        <v>2408</v>
      </c>
      <c r="I1002" s="167" t="s">
        <v>432</v>
      </c>
      <c r="J1002" s="107" t="s">
        <v>432</v>
      </c>
      <c r="K1002" s="107" t="s">
        <v>432</v>
      </c>
      <c r="L1002" s="107" t="s">
        <v>432</v>
      </c>
      <c r="M1002" s="107" t="s">
        <v>432</v>
      </c>
      <c r="N1002" s="107" t="s">
        <v>432</v>
      </c>
      <c r="O1002" s="107" t="s">
        <v>432</v>
      </c>
      <c r="P1002" s="107" t="s">
        <v>432</v>
      </c>
      <c r="Q1002" s="107" t="s">
        <v>432</v>
      </c>
      <c r="R1002" s="107" t="s">
        <v>432</v>
      </c>
      <c r="S1002" s="109" t="s">
        <v>2209</v>
      </c>
      <c r="T1002" s="107" t="s">
        <v>432</v>
      </c>
      <c r="U1002" s="107" t="s">
        <v>432</v>
      </c>
      <c r="V1002" s="109" t="s">
        <v>2209</v>
      </c>
      <c r="W1002" s="107" t="s">
        <v>432</v>
      </c>
      <c r="X1002" s="107" t="s">
        <v>432</v>
      </c>
      <c r="Y1002" s="107" t="s">
        <v>432</v>
      </c>
      <c r="Z1002" s="107" t="s">
        <v>432</v>
      </c>
      <c r="AA1002" s="107" t="s">
        <v>432</v>
      </c>
      <c r="AB1002" s="107" t="s">
        <v>432</v>
      </c>
      <c r="AC1002" s="107" t="s">
        <v>432</v>
      </c>
      <c r="AD1002" s="107" t="s">
        <v>432</v>
      </c>
      <c r="AE1002" s="107" t="s">
        <v>432</v>
      </c>
      <c r="AF1002" s="107" t="s">
        <v>432</v>
      </c>
      <c r="AG1002" s="107" t="s">
        <v>432</v>
      </c>
      <c r="AH1002" s="107" t="s">
        <v>432</v>
      </c>
      <c r="AI1002" s="107" t="s">
        <v>432</v>
      </c>
      <c r="AJ1002" s="107" t="s">
        <v>432</v>
      </c>
      <c r="AK1002" s="107" t="s">
        <v>432</v>
      </c>
      <c r="AL1002" s="600" t="s">
        <v>432</v>
      </c>
      <c r="AM1002" s="137" t="s">
        <v>432</v>
      </c>
      <c r="AN1002" s="137" t="s">
        <v>432</v>
      </c>
      <c r="AO1002" s="137" t="s">
        <v>432</v>
      </c>
      <c r="AP1002" s="137" t="s">
        <v>432</v>
      </c>
      <c r="AQ1002" s="137" t="s">
        <v>432</v>
      </c>
      <c r="AR1002" s="137" t="s">
        <v>432</v>
      </c>
      <c r="AS1002" s="137" t="s">
        <v>432</v>
      </c>
      <c r="AT1002" s="137" t="s">
        <v>432</v>
      </c>
      <c r="AU1002" s="137" t="s">
        <v>432</v>
      </c>
      <c r="AV1002" s="137" t="s">
        <v>432</v>
      </c>
      <c r="AW1002" s="137" t="s">
        <v>432</v>
      </c>
      <c r="AX1002" s="137" t="s">
        <v>432</v>
      </c>
      <c r="AY1002" s="137" t="s">
        <v>432</v>
      </c>
      <c r="AZ1002" s="137" t="s">
        <v>432</v>
      </c>
      <c r="BA1002" s="137" t="s">
        <v>432</v>
      </c>
      <c r="BB1002" s="239" t="str">
        <f t="shared" si="245"/>
        <v>BRTacessibilidade</v>
      </c>
      <c r="BC1002" s="239" t="str">
        <f t="shared" si="246"/>
        <v>BRTacessibilidadesigla/verbete</v>
      </c>
      <c r="BD1002" s="239" t="str">
        <f t="shared" si="247"/>
        <v>BRTsigla/verbete</v>
      </c>
    </row>
    <row r="1003" spans="1:56" s="373" customFormat="1" ht="134.25" customHeight="1" x14ac:dyDescent="0.25">
      <c r="A1003" s="275" t="str">
        <f>'Q100b-totais'!B54</f>
        <v>8.2</v>
      </c>
      <c r="B1003" s="1205" t="str">
        <f>'Q100b-totais'!C54</f>
        <v>BRT</v>
      </c>
      <c r="C1003" s="173" t="s">
        <v>743</v>
      </c>
      <c r="D1003" s="324" t="str">
        <f>'Q100e-FrotaOnibus'!CC15</f>
        <v>F tc enu</v>
      </c>
      <c r="E1003" s="254" t="str">
        <f>'Q100e-FrotaOnibus'!CD15</f>
        <v>Quito</v>
      </c>
      <c r="F1003" s="252" t="str">
        <f>'Q100e-FrotaOnibus'!CE15</f>
        <v>frota em n.º de veículos com desenho universal no embarque/desembarque, de piso-alto para operação no sistema BRT com embarque exclusivo em nível com rampa veicular automática em todas as portas, ou seja, com embarque/desembarque sempre em nível e autonomia garantida em todas as portas proporcionando acessibilidade universal
obs.1: esta categoria recebe peso 10 (escala de 1 a 10 estabelecida pelo SisMob-BH para classificar e comparar resultados) - acesse "acessibilidade em ônibus urbano (escala)"
obs.2: "Cidades como Curitiba e Quito obtiveram muito sucesso com pontes de embarque. Uma ponte de embarque típica tem de 40 a 50 centímetros de largura, o que quer dizer que o veículo só precisa se alinhar dentro de 35 a 45 centímetros de distância da plataforma (Figura 8.23). Assim, há muito mais espaço para erro usando a ponte de embarque." conforme WRIGHT(2008, p.281)</v>
      </c>
      <c r="G1003" s="252" t="str">
        <f>'Q100e-FrotaOnibus'!CF15</f>
        <v>ainda não encontrados resultados</v>
      </c>
      <c r="H1003" s="596" t="s">
        <v>819</v>
      </c>
      <c r="I1003" s="167" t="s">
        <v>432</v>
      </c>
      <c r="J1003" s="107" t="s">
        <v>432</v>
      </c>
      <c r="K1003" s="107" t="s">
        <v>432</v>
      </c>
      <c r="L1003" s="107" t="s">
        <v>432</v>
      </c>
      <c r="M1003" s="107" t="s">
        <v>432</v>
      </c>
      <c r="N1003" s="107" t="s">
        <v>432</v>
      </c>
      <c r="O1003" s="107" t="s">
        <v>432</v>
      </c>
      <c r="P1003" s="107" t="s">
        <v>432</v>
      </c>
      <c r="Q1003" s="107" t="s">
        <v>432</v>
      </c>
      <c r="R1003" s="107" t="s">
        <v>432</v>
      </c>
      <c r="S1003" s="109" t="s">
        <v>2209</v>
      </c>
      <c r="T1003" s="107" t="s">
        <v>432</v>
      </c>
      <c r="U1003" s="107" t="s">
        <v>432</v>
      </c>
      <c r="V1003" s="109" t="s">
        <v>2209</v>
      </c>
      <c r="W1003" s="107" t="s">
        <v>432</v>
      </c>
      <c r="X1003" s="107" t="s">
        <v>432</v>
      </c>
      <c r="Y1003" s="107" t="s">
        <v>432</v>
      </c>
      <c r="Z1003" s="107" t="s">
        <v>432</v>
      </c>
      <c r="AA1003" s="107" t="s">
        <v>432</v>
      </c>
      <c r="AB1003" s="107" t="s">
        <v>432</v>
      </c>
      <c r="AC1003" s="107" t="s">
        <v>432</v>
      </c>
      <c r="AD1003" s="107" t="s">
        <v>432</v>
      </c>
      <c r="AE1003" s="107" t="s">
        <v>432</v>
      </c>
      <c r="AF1003" s="107" t="s">
        <v>432</v>
      </c>
      <c r="AG1003" s="107" t="s">
        <v>432</v>
      </c>
      <c r="AH1003" s="107" t="s">
        <v>432</v>
      </c>
      <c r="AI1003" s="107" t="s">
        <v>432</v>
      </c>
      <c r="AJ1003" s="107" t="s">
        <v>432</v>
      </c>
      <c r="AK1003" s="107" t="s">
        <v>2148</v>
      </c>
      <c r="AL1003" s="600" t="s">
        <v>432</v>
      </c>
      <c r="AM1003" s="137" t="s">
        <v>432</v>
      </c>
      <c r="AN1003" s="137" t="s">
        <v>432</v>
      </c>
      <c r="AO1003" s="137" t="s">
        <v>432</v>
      </c>
      <c r="AP1003" s="137" t="s">
        <v>432</v>
      </c>
      <c r="AQ1003" s="137" t="s">
        <v>432</v>
      </c>
      <c r="AR1003" s="137" t="s">
        <v>432</v>
      </c>
      <c r="AS1003" s="137" t="s">
        <v>432</v>
      </c>
      <c r="AT1003" s="137" t="s">
        <v>432</v>
      </c>
      <c r="AU1003" s="137" t="s">
        <v>432</v>
      </c>
      <c r="AV1003" s="137" t="s">
        <v>432</v>
      </c>
      <c r="AW1003" s="137" t="s">
        <v>432</v>
      </c>
      <c r="AX1003" s="137" t="s">
        <v>432</v>
      </c>
      <c r="AY1003" s="137" t="s">
        <v>432</v>
      </c>
      <c r="AZ1003" s="137" t="s">
        <v>432</v>
      </c>
      <c r="BA1003" s="137" t="s">
        <v>432</v>
      </c>
      <c r="BB1003" s="239" t="str">
        <f t="shared" si="245"/>
        <v>BRTacessibilidade</v>
      </c>
      <c r="BC1003" s="239" t="str">
        <f t="shared" si="246"/>
        <v>BRTacessibilidadebenchmarking</v>
      </c>
      <c r="BD1003" s="239" t="str">
        <f t="shared" si="247"/>
        <v>BRTbenchmarking</v>
      </c>
    </row>
    <row r="1004" spans="1:56" s="373" customFormat="1" ht="83.25" customHeight="1" x14ac:dyDescent="0.25">
      <c r="A1004" s="275" t="str">
        <f>'Q100b-totais'!B54</f>
        <v>8.2</v>
      </c>
      <c r="B1004" s="1205" t="str">
        <f>'Q100b-totais'!C54</f>
        <v>BRT</v>
      </c>
      <c r="C1004" s="173" t="s">
        <v>743</v>
      </c>
      <c r="D1004" s="324" t="s">
        <v>2238</v>
      </c>
      <c r="E1004" s="254" t="s">
        <v>1987</v>
      </c>
      <c r="F1004" s="252" t="s">
        <v>6009</v>
      </c>
      <c r="G1004" s="57" t="s">
        <v>5166</v>
      </c>
      <c r="H1004" s="57" t="s">
        <v>2408</v>
      </c>
      <c r="I1004" s="167" t="s">
        <v>432</v>
      </c>
      <c r="J1004" s="107" t="s">
        <v>432</v>
      </c>
      <c r="K1004" s="107" t="s">
        <v>432</v>
      </c>
      <c r="L1004" s="107" t="s">
        <v>432</v>
      </c>
      <c r="M1004" s="107" t="s">
        <v>432</v>
      </c>
      <c r="N1004" s="107" t="s">
        <v>432</v>
      </c>
      <c r="O1004" s="107" t="s">
        <v>432</v>
      </c>
      <c r="P1004" s="107" t="s">
        <v>432</v>
      </c>
      <c r="Q1004" s="107" t="s">
        <v>432</v>
      </c>
      <c r="R1004" s="107" t="s">
        <v>432</v>
      </c>
      <c r="S1004" s="109" t="s">
        <v>2209</v>
      </c>
      <c r="T1004" s="107" t="s">
        <v>432</v>
      </c>
      <c r="U1004" s="107" t="s">
        <v>432</v>
      </c>
      <c r="V1004" s="109" t="s">
        <v>2209</v>
      </c>
      <c r="W1004" s="107" t="s">
        <v>432</v>
      </c>
      <c r="X1004" s="107" t="s">
        <v>432</v>
      </c>
      <c r="Y1004" s="107" t="s">
        <v>432</v>
      </c>
      <c r="Z1004" s="107" t="s">
        <v>432</v>
      </c>
      <c r="AA1004" s="107" t="s">
        <v>432</v>
      </c>
      <c r="AB1004" s="107" t="s">
        <v>432</v>
      </c>
      <c r="AC1004" s="107" t="s">
        <v>432</v>
      </c>
      <c r="AD1004" s="107" t="s">
        <v>432</v>
      </c>
      <c r="AE1004" s="107" t="s">
        <v>432</v>
      </c>
      <c r="AF1004" s="107" t="s">
        <v>432</v>
      </c>
      <c r="AG1004" s="107" t="s">
        <v>432</v>
      </c>
      <c r="AH1004" s="107" t="s">
        <v>432</v>
      </c>
      <c r="AI1004" s="107" t="s">
        <v>432</v>
      </c>
      <c r="AJ1004" s="107" t="s">
        <v>432</v>
      </c>
      <c r="AK1004" s="107" t="s">
        <v>2148</v>
      </c>
      <c r="AL1004" s="600" t="s">
        <v>432</v>
      </c>
      <c r="AM1004" s="137" t="s">
        <v>432</v>
      </c>
      <c r="AN1004" s="137" t="s">
        <v>432</v>
      </c>
      <c r="AO1004" s="137" t="s">
        <v>432</v>
      </c>
      <c r="AP1004" s="137" t="s">
        <v>432</v>
      </c>
      <c r="AQ1004" s="137" t="s">
        <v>432</v>
      </c>
      <c r="AR1004" s="137" t="s">
        <v>432</v>
      </c>
      <c r="AS1004" s="137" t="s">
        <v>432</v>
      </c>
      <c r="AT1004" s="137" t="s">
        <v>432</v>
      </c>
      <c r="AU1004" s="137" t="s">
        <v>432</v>
      </c>
      <c r="AV1004" s="137" t="s">
        <v>432</v>
      </c>
      <c r="AW1004" s="137" t="s">
        <v>432</v>
      </c>
      <c r="AX1004" s="137" t="s">
        <v>432</v>
      </c>
      <c r="AY1004" s="137" t="s">
        <v>432</v>
      </c>
      <c r="AZ1004" s="137" t="s">
        <v>432</v>
      </c>
      <c r="BA1004" s="137" t="s">
        <v>432</v>
      </c>
      <c r="BB1004" s="239" t="str">
        <f t="shared" si="245"/>
        <v>BRTacessibilidade</v>
      </c>
      <c r="BC1004" s="239" t="str">
        <f t="shared" si="246"/>
        <v>BRTacessibilidadesigla/verbete</v>
      </c>
      <c r="BD1004" s="239" t="str">
        <f t="shared" si="247"/>
        <v>BRTsigla/verbete</v>
      </c>
    </row>
    <row r="1005" spans="1:56" s="373" customFormat="1" ht="57.75" customHeight="1" x14ac:dyDescent="0.25">
      <c r="A1005" s="275" t="str">
        <f>'Q100b-totais'!B54</f>
        <v>8.2</v>
      </c>
      <c r="B1005" s="1205" t="str">
        <f>'Q100b-totais'!C54</f>
        <v>BRT</v>
      </c>
      <c r="C1005" s="173" t="s">
        <v>743</v>
      </c>
      <c r="D1005" s="324" t="s">
        <v>2238</v>
      </c>
      <c r="E1005" s="254" t="s">
        <v>1987</v>
      </c>
      <c r="F1005" s="252" t="s">
        <v>6014</v>
      </c>
      <c r="G1005" s="57" t="s">
        <v>5166</v>
      </c>
      <c r="H1005" s="57" t="s">
        <v>2408</v>
      </c>
      <c r="I1005" s="167" t="s">
        <v>432</v>
      </c>
      <c r="J1005" s="107" t="s">
        <v>432</v>
      </c>
      <c r="K1005" s="107" t="s">
        <v>432</v>
      </c>
      <c r="L1005" s="107" t="s">
        <v>432</v>
      </c>
      <c r="M1005" s="107" t="s">
        <v>432</v>
      </c>
      <c r="N1005" s="107" t="s">
        <v>432</v>
      </c>
      <c r="O1005" s="107" t="s">
        <v>432</v>
      </c>
      <c r="P1005" s="107" t="s">
        <v>432</v>
      </c>
      <c r="Q1005" s="107" t="s">
        <v>432</v>
      </c>
      <c r="R1005" s="107" t="s">
        <v>432</v>
      </c>
      <c r="S1005" s="109" t="s">
        <v>2209</v>
      </c>
      <c r="T1005" s="107" t="s">
        <v>432</v>
      </c>
      <c r="U1005" s="107" t="s">
        <v>432</v>
      </c>
      <c r="V1005" s="109" t="s">
        <v>2209</v>
      </c>
      <c r="W1005" s="107" t="s">
        <v>432</v>
      </c>
      <c r="X1005" s="107" t="s">
        <v>432</v>
      </c>
      <c r="Y1005" s="107" t="s">
        <v>432</v>
      </c>
      <c r="Z1005" s="107" t="s">
        <v>432</v>
      </c>
      <c r="AA1005" s="107" t="s">
        <v>432</v>
      </c>
      <c r="AB1005" s="107" t="s">
        <v>432</v>
      </c>
      <c r="AC1005" s="107" t="s">
        <v>432</v>
      </c>
      <c r="AD1005" s="107" t="s">
        <v>432</v>
      </c>
      <c r="AE1005" s="107" t="s">
        <v>432</v>
      </c>
      <c r="AF1005" s="107" t="s">
        <v>432</v>
      </c>
      <c r="AG1005" s="107" t="s">
        <v>432</v>
      </c>
      <c r="AH1005" s="107" t="s">
        <v>432</v>
      </c>
      <c r="AI1005" s="107" t="s">
        <v>432</v>
      </c>
      <c r="AJ1005" s="107" t="s">
        <v>432</v>
      </c>
      <c r="AK1005" s="107" t="s">
        <v>2148</v>
      </c>
      <c r="AL1005" s="600" t="s">
        <v>432</v>
      </c>
      <c r="AM1005" s="137" t="s">
        <v>432</v>
      </c>
      <c r="AN1005" s="137" t="s">
        <v>432</v>
      </c>
      <c r="AO1005" s="137" t="s">
        <v>432</v>
      </c>
      <c r="AP1005" s="137" t="s">
        <v>432</v>
      </c>
      <c r="AQ1005" s="137" t="s">
        <v>432</v>
      </c>
      <c r="AR1005" s="137" t="s">
        <v>432</v>
      </c>
      <c r="AS1005" s="137" t="s">
        <v>432</v>
      </c>
      <c r="AT1005" s="137" t="s">
        <v>432</v>
      </c>
      <c r="AU1005" s="137" t="s">
        <v>432</v>
      </c>
      <c r="AV1005" s="137" t="s">
        <v>432</v>
      </c>
      <c r="AW1005" s="137" t="s">
        <v>432</v>
      </c>
      <c r="AX1005" s="137" t="s">
        <v>432</v>
      </c>
      <c r="AY1005" s="137" t="s">
        <v>432</v>
      </c>
      <c r="AZ1005" s="137" t="s">
        <v>432</v>
      </c>
      <c r="BA1005" s="137" t="s">
        <v>432</v>
      </c>
      <c r="BB1005" s="239" t="str">
        <f t="shared" si="245"/>
        <v>BRTacessibilidade</v>
      </c>
      <c r="BC1005" s="239" t="str">
        <f t="shared" si="246"/>
        <v>BRTacessibilidadesigla/verbete</v>
      </c>
      <c r="BD1005" s="239" t="str">
        <f t="shared" si="247"/>
        <v>BRTsigla/verbete</v>
      </c>
    </row>
    <row r="1006" spans="1:56" s="373" customFormat="1" x14ac:dyDescent="0.25">
      <c r="A1006" s="383"/>
      <c r="B1006" s="384"/>
      <c r="C1006" s="384"/>
      <c r="D1006" s="719"/>
      <c r="E1006" s="1519"/>
      <c r="F1006" s="385"/>
      <c r="G1006" s="385"/>
      <c r="H1006" s="384"/>
      <c r="I1006" s="385"/>
      <c r="J1006" s="385"/>
      <c r="K1006" s="385"/>
      <c r="L1006" s="385"/>
      <c r="M1006" s="385"/>
      <c r="N1006" s="385"/>
      <c r="O1006" s="385"/>
      <c r="P1006" s="385"/>
      <c r="Q1006" s="385"/>
      <c r="R1006" s="385"/>
      <c r="S1006" s="385"/>
      <c r="T1006" s="385"/>
      <c r="U1006" s="385"/>
      <c r="V1006" s="385"/>
      <c r="W1006" s="385"/>
      <c r="X1006" s="385"/>
      <c r="Y1006" s="385"/>
      <c r="Z1006" s="385"/>
      <c r="AA1006" s="385"/>
      <c r="AB1006" s="385"/>
      <c r="AC1006" s="385"/>
      <c r="AD1006" s="385"/>
      <c r="AE1006" s="385"/>
      <c r="AF1006" s="385"/>
      <c r="AG1006" s="385"/>
      <c r="AH1006" s="385"/>
      <c r="AI1006" s="385"/>
      <c r="AJ1006" s="385"/>
      <c r="AK1006" s="397"/>
      <c r="AL1006" s="763" t="s">
        <v>432</v>
      </c>
      <c r="AM1006" s="387"/>
      <c r="AN1006" s="387"/>
      <c r="AO1006" s="387"/>
      <c r="AP1006" s="387"/>
      <c r="AQ1006" s="387"/>
      <c r="AR1006" s="387"/>
      <c r="AS1006" s="387"/>
      <c r="AT1006" s="387"/>
      <c r="AU1006" s="387"/>
      <c r="AV1006" s="387"/>
      <c r="AW1006" s="387"/>
      <c r="AX1006" s="387"/>
      <c r="AY1006" s="387"/>
      <c r="AZ1006" s="387"/>
      <c r="BA1006" s="387"/>
      <c r="BB1006" s="388"/>
      <c r="BC1006" s="388"/>
      <c r="BD1006" s="388"/>
    </row>
    <row r="1007" spans="1:56" s="373" customFormat="1" ht="162" customHeight="1" x14ac:dyDescent="0.25">
      <c r="A1007" s="275" t="str">
        <f>'Q100b-totais'!B62</f>
        <v>8.10</v>
      </c>
      <c r="B1007" s="1205" t="str">
        <f>'Q100b-totais'!C62</f>
        <v>Sistema de transporte coletivo com um todo</v>
      </c>
      <c r="C1007" s="173" t="s">
        <v>743</v>
      </c>
      <c r="D1007" s="324" t="str">
        <f>'Q100e-FrotaOnibus'!D23</f>
        <v>F tc fc
(n.º)</v>
      </c>
      <c r="E1007" s="1522" t="str">
        <f>'Q100e-FrotaOnibus'!E23</f>
        <v>x</v>
      </c>
      <c r="F1007" s="252" t="str">
        <f>'Q100e-FrotaOnibus'!F23</f>
        <v>frota em n.º de ônibus do transporte público coletivo de uma cidade/região com alguma facilidade para o embarque/desembarque de pessoas com mobilidade física reduzida mesmo que essa facilidade não permita classificar a viagem ofertada como acessível
obs.1: o resultado de cada cidade/região é a ∑ n.º de veículos com alguma facilidade
obs.2: o SisMob-BH considera um ônibus como "acessível" apenas se o embarque/desembarque for em nível com base no desenho universal e, no caso de utilização de elevador hidráulico, se a região/município atestar, de forma inquestionável, a impossibilidade de se adotar qualquer das alternativas principais previstas na NBR 14022 (ABNT, 1997a; 2006a; 2009a; 2011a; 2015a), quais sejam: ônibus de piso baixo e ônibus de piso alto com acesso realizado por plataforma de embarque/desembarque
obs.3: o SisMob-BH considera um ônibus “com alguma facilidade” se o embarque/desembarque se dá em nível com base no desenho universal ou por meio de qualquer tipo de rampa ou elevador hidráulico instalado no veículo, ou seja, apenas os ônibus mais antigos são "sem facilidade" e sua participação deve cair ano a ano</v>
      </c>
      <c r="G1007" s="57" t="s">
        <v>3507</v>
      </c>
      <c r="H1007" s="167" t="s">
        <v>2408</v>
      </c>
      <c r="I1007" s="167" t="s">
        <v>432</v>
      </c>
      <c r="J1007" s="107" t="s">
        <v>432</v>
      </c>
      <c r="K1007" s="107" t="s">
        <v>432</v>
      </c>
      <c r="L1007" s="107" t="s">
        <v>432</v>
      </c>
      <c r="M1007" s="107" t="s">
        <v>432</v>
      </c>
      <c r="N1007" s="107" t="s">
        <v>432</v>
      </c>
      <c r="O1007" s="107" t="s">
        <v>432</v>
      </c>
      <c r="P1007" s="107" t="s">
        <v>432</v>
      </c>
      <c r="Q1007" s="107" t="s">
        <v>432</v>
      </c>
      <c r="R1007" s="107" t="s">
        <v>432</v>
      </c>
      <c r="S1007" s="109" t="s">
        <v>2209</v>
      </c>
      <c r="T1007" s="108" t="s">
        <v>432</v>
      </c>
      <c r="U1007" s="108" t="s">
        <v>432</v>
      </c>
      <c r="V1007" s="109" t="s">
        <v>2209</v>
      </c>
      <c r="W1007" s="108" t="s">
        <v>432</v>
      </c>
      <c r="X1007" s="108" t="s">
        <v>432</v>
      </c>
      <c r="Y1007" s="108" t="s">
        <v>432</v>
      </c>
      <c r="Z1007" s="108" t="s">
        <v>432</v>
      </c>
      <c r="AA1007" s="108" t="s">
        <v>432</v>
      </c>
      <c r="AB1007" s="108" t="s">
        <v>432</v>
      </c>
      <c r="AC1007" s="108" t="s">
        <v>432</v>
      </c>
      <c r="AD1007" s="108" t="s">
        <v>432</v>
      </c>
      <c r="AE1007" s="108" t="s">
        <v>432</v>
      </c>
      <c r="AF1007" s="108" t="s">
        <v>432</v>
      </c>
      <c r="AG1007" s="108" t="s">
        <v>432</v>
      </c>
      <c r="AH1007" s="108" t="s">
        <v>432</v>
      </c>
      <c r="AI1007" s="108" t="s">
        <v>432</v>
      </c>
      <c r="AJ1007" s="108" t="s">
        <v>432</v>
      </c>
      <c r="AK1007" s="137" t="s">
        <v>432</v>
      </c>
      <c r="AL1007" s="600" t="s">
        <v>432</v>
      </c>
      <c r="AM1007" s="137" t="s">
        <v>432</v>
      </c>
      <c r="AN1007" s="137" t="s">
        <v>432</v>
      </c>
      <c r="AO1007" s="137" t="s">
        <v>432</v>
      </c>
      <c r="AP1007" s="137" t="s">
        <v>432</v>
      </c>
      <c r="AQ1007" s="137" t="s">
        <v>432</v>
      </c>
      <c r="AR1007" s="137" t="s">
        <v>432</v>
      </c>
      <c r="AS1007" s="137" t="s">
        <v>432</v>
      </c>
      <c r="AT1007" s="137" t="s">
        <v>432</v>
      </c>
      <c r="AU1007" s="137" t="s">
        <v>432</v>
      </c>
      <c r="AV1007" s="137" t="s">
        <v>432</v>
      </c>
      <c r="AW1007" s="137" t="s">
        <v>432</v>
      </c>
      <c r="AX1007" s="137" t="s">
        <v>432</v>
      </c>
      <c r="AY1007" s="137" t="s">
        <v>432</v>
      </c>
      <c r="AZ1007" s="137" t="s">
        <v>432</v>
      </c>
      <c r="BA1007" s="137" t="s">
        <v>432</v>
      </c>
      <c r="BB1007" s="239" t="str">
        <f t="shared" ref="BB1007:BB1033" si="248">B1007&amp;C1007</f>
        <v>Sistema de transporte coletivo com um todoacessibilidade</v>
      </c>
      <c r="BC1007" s="239" t="str">
        <f t="shared" ref="BC1007:BC1033" si="249">B1007&amp;C1007&amp;H1007</f>
        <v>Sistema de transporte coletivo com um todoacessibilidadesigla/verbete</v>
      </c>
      <c r="BD1007" s="239" t="str">
        <f t="shared" ref="BD1007:BD1033" si="250">B1007&amp;H1007</f>
        <v>Sistema de transporte coletivo com um todosigla/verbete</v>
      </c>
    </row>
    <row r="1008" spans="1:56" s="373" customFormat="1" ht="154.5" customHeight="1" x14ac:dyDescent="0.25">
      <c r="A1008" s="275" t="str">
        <f>'Q100b-totais'!B62</f>
        <v>8.10</v>
      </c>
      <c r="B1008" s="1205" t="str">
        <f>'Q100b-totais'!C62</f>
        <v>Sistema de transporte coletivo com um todo</v>
      </c>
      <c r="C1008" s="173" t="s">
        <v>743</v>
      </c>
      <c r="D1008" s="324" t="str">
        <f>'Q100e-FrotaOnibus'!D24</f>
        <v>F tc fc
(%)</v>
      </c>
      <c r="E1008" s="1445" t="str">
        <f>'Q100e-FrotaOnibus'!E24</f>
        <v>x</v>
      </c>
      <c r="F1008" s="252" t="str">
        <f>'Q100e-FrotaOnibus'!F24</f>
        <v>percentual da frota de ônibus do transporte público coletivo de uma cidade/região com alguma facilidade no embarque/desembarque de pessoas com mobilidade física reduzida mesmo que essa facilidade não permita classificar a viagem ofertada como acessível
obs.1: o resultado de cada município/região é (∑ n.º de veículos com alguma facilidade / n.º de veículos) x 100
obs.2: o SisMob-BH considera um ônibus “com alguma facilidade” se o embarque/desembarque se dá em nível com base no desenho universal ou por meio de qualquer tipo de rampa ou elevador hidráulico instalado no veículo
obs.3: por sua similaridade conceitual (a despeito da diferença semântica), o resultado de cada cidade/região calculado no SisMob-BH para este indicador deve ser cotejado com o (sem sigla) disponibilizado pelo Programa Cidades Sustentáveis para o indicador "Frota de ônibus com acessibilidade para pessoas com deficiência" conforme  (PROGRAMA,2015b)</v>
      </c>
      <c r="G1008" s="230" t="s">
        <v>3507</v>
      </c>
      <c r="H1008" s="167" t="s">
        <v>2408</v>
      </c>
      <c r="I1008" s="167" t="s">
        <v>432</v>
      </c>
      <c r="J1008" s="107" t="s">
        <v>432</v>
      </c>
      <c r="K1008" s="107" t="s">
        <v>432</v>
      </c>
      <c r="L1008" s="107" t="s">
        <v>432</v>
      </c>
      <c r="M1008" s="107" t="s">
        <v>432</v>
      </c>
      <c r="N1008" s="107" t="s">
        <v>432</v>
      </c>
      <c r="O1008" s="107" t="s">
        <v>432</v>
      </c>
      <c r="P1008" s="107" t="s">
        <v>432</v>
      </c>
      <c r="Q1008" s="107" t="s">
        <v>432</v>
      </c>
      <c r="R1008" s="107" t="s">
        <v>432</v>
      </c>
      <c r="S1008" s="109" t="s">
        <v>2209</v>
      </c>
      <c r="T1008" s="108" t="s">
        <v>432</v>
      </c>
      <c r="U1008" s="108" t="s">
        <v>432</v>
      </c>
      <c r="V1008" s="109" t="s">
        <v>2209</v>
      </c>
      <c r="W1008" s="108" t="s">
        <v>432</v>
      </c>
      <c r="X1008" s="108" t="s">
        <v>432</v>
      </c>
      <c r="Y1008" s="108" t="s">
        <v>432</v>
      </c>
      <c r="Z1008" s="108" t="s">
        <v>432</v>
      </c>
      <c r="AA1008" s="108" t="s">
        <v>432</v>
      </c>
      <c r="AB1008" s="108" t="s">
        <v>432</v>
      </c>
      <c r="AC1008" s="108" t="s">
        <v>432</v>
      </c>
      <c r="AD1008" s="108" t="s">
        <v>432</v>
      </c>
      <c r="AE1008" s="108" t="s">
        <v>432</v>
      </c>
      <c r="AF1008" s="108" t="s">
        <v>432</v>
      </c>
      <c r="AG1008" s="108" t="s">
        <v>432</v>
      </c>
      <c r="AH1008" s="108" t="s">
        <v>432</v>
      </c>
      <c r="AI1008" s="108" t="s">
        <v>432</v>
      </c>
      <c r="AJ1008" s="108" t="s">
        <v>432</v>
      </c>
      <c r="AK1008" s="137" t="s">
        <v>432</v>
      </c>
      <c r="AL1008" s="600" t="s">
        <v>432</v>
      </c>
      <c r="AM1008" s="137" t="s">
        <v>432</v>
      </c>
      <c r="AN1008" s="137" t="s">
        <v>432</v>
      </c>
      <c r="AO1008" s="137" t="s">
        <v>432</v>
      </c>
      <c r="AP1008" s="137" t="s">
        <v>432</v>
      </c>
      <c r="AQ1008" s="137" t="s">
        <v>432</v>
      </c>
      <c r="AR1008" s="137" t="s">
        <v>432</v>
      </c>
      <c r="AS1008" s="137" t="s">
        <v>432</v>
      </c>
      <c r="AT1008" s="137" t="s">
        <v>432</v>
      </c>
      <c r="AU1008" s="137" t="s">
        <v>432</v>
      </c>
      <c r="AV1008" s="137" t="s">
        <v>432</v>
      </c>
      <c r="AW1008" s="137" t="s">
        <v>432</v>
      </c>
      <c r="AX1008" s="137" t="s">
        <v>432</v>
      </c>
      <c r="AY1008" s="137" t="s">
        <v>432</v>
      </c>
      <c r="AZ1008" s="137" t="s">
        <v>432</v>
      </c>
      <c r="BA1008" s="137" t="s">
        <v>432</v>
      </c>
      <c r="BB1008" s="239" t="str">
        <f t="shared" si="248"/>
        <v>Sistema de transporte coletivo com um todoacessibilidade</v>
      </c>
      <c r="BC1008" s="239" t="str">
        <f t="shared" si="249"/>
        <v>Sistema de transporte coletivo com um todoacessibilidadesigla/verbete</v>
      </c>
      <c r="BD1008" s="239" t="str">
        <f t="shared" si="250"/>
        <v>Sistema de transporte coletivo com um todosigla/verbete</v>
      </c>
    </row>
    <row r="1009" spans="1:67" s="373" customFormat="1" ht="65.25" customHeight="1" x14ac:dyDescent="0.25">
      <c r="A1009" s="275" t="str">
        <f>'Q100b-totais'!B62</f>
        <v>8.10</v>
      </c>
      <c r="B1009" s="1205" t="str">
        <f>'Q100b-totais'!C62</f>
        <v>Sistema de transporte coletivo com um todo</v>
      </c>
      <c r="C1009" s="173" t="s">
        <v>743</v>
      </c>
      <c r="D1009" s="325" t="s">
        <v>2116</v>
      </c>
      <c r="E1009" s="1445" t="s">
        <v>1767</v>
      </c>
      <c r="F1009" s="252" t="s">
        <v>3919</v>
      </c>
      <c r="G1009" s="230" t="s">
        <v>3507</v>
      </c>
      <c r="H1009" s="167" t="s">
        <v>2408</v>
      </c>
      <c r="I1009" s="167" t="s">
        <v>432</v>
      </c>
      <c r="J1009" s="107" t="s">
        <v>432</v>
      </c>
      <c r="K1009" s="107" t="s">
        <v>432</v>
      </c>
      <c r="L1009" s="107" t="s">
        <v>432</v>
      </c>
      <c r="M1009" s="107" t="s">
        <v>432</v>
      </c>
      <c r="N1009" s="107" t="s">
        <v>432</v>
      </c>
      <c r="O1009" s="107" t="s">
        <v>432</v>
      </c>
      <c r="P1009" s="107" t="s">
        <v>432</v>
      </c>
      <c r="Q1009" s="107" t="s">
        <v>432</v>
      </c>
      <c r="R1009" s="107" t="s">
        <v>432</v>
      </c>
      <c r="S1009" s="109" t="s">
        <v>2209</v>
      </c>
      <c r="T1009" s="108" t="s">
        <v>432</v>
      </c>
      <c r="U1009" s="108" t="s">
        <v>432</v>
      </c>
      <c r="V1009" s="109" t="s">
        <v>2209</v>
      </c>
      <c r="W1009" s="108" t="s">
        <v>432</v>
      </c>
      <c r="X1009" s="108" t="s">
        <v>432</v>
      </c>
      <c r="Y1009" s="108" t="s">
        <v>432</v>
      </c>
      <c r="Z1009" s="108" t="s">
        <v>432</v>
      </c>
      <c r="AA1009" s="108" t="s">
        <v>432</v>
      </c>
      <c r="AB1009" s="108" t="s">
        <v>432</v>
      </c>
      <c r="AC1009" s="108" t="s">
        <v>432</v>
      </c>
      <c r="AD1009" s="108" t="s">
        <v>432</v>
      </c>
      <c r="AE1009" s="108" t="s">
        <v>432</v>
      </c>
      <c r="AF1009" s="108" t="s">
        <v>432</v>
      </c>
      <c r="AG1009" s="108" t="s">
        <v>432</v>
      </c>
      <c r="AH1009" s="108" t="s">
        <v>432</v>
      </c>
      <c r="AI1009" s="108" t="s">
        <v>432</v>
      </c>
      <c r="AJ1009" s="108" t="s">
        <v>432</v>
      </c>
      <c r="AK1009" s="137" t="s">
        <v>432</v>
      </c>
      <c r="AL1009" s="600" t="s">
        <v>432</v>
      </c>
      <c r="AM1009" s="137" t="s">
        <v>432</v>
      </c>
      <c r="AN1009" s="137" t="s">
        <v>432</v>
      </c>
      <c r="AO1009" s="137" t="s">
        <v>432</v>
      </c>
      <c r="AP1009" s="137" t="s">
        <v>432</v>
      </c>
      <c r="AQ1009" s="137" t="s">
        <v>432</v>
      </c>
      <c r="AR1009" s="137" t="s">
        <v>432</v>
      </c>
      <c r="AS1009" s="137" t="s">
        <v>432</v>
      </c>
      <c r="AT1009" s="137" t="s">
        <v>432</v>
      </c>
      <c r="AU1009" s="137" t="s">
        <v>432</v>
      </c>
      <c r="AV1009" s="137" t="s">
        <v>432</v>
      </c>
      <c r="AW1009" s="137" t="s">
        <v>432</v>
      </c>
      <c r="AX1009" s="137" t="s">
        <v>432</v>
      </c>
      <c r="AY1009" s="137" t="s">
        <v>432</v>
      </c>
      <c r="AZ1009" s="137" t="s">
        <v>432</v>
      </c>
      <c r="BA1009" s="137" t="s">
        <v>432</v>
      </c>
      <c r="BB1009" s="239" t="str">
        <f t="shared" si="248"/>
        <v>Sistema de transporte coletivo com um todoacessibilidade</v>
      </c>
      <c r="BC1009" s="239" t="str">
        <f t="shared" si="249"/>
        <v>Sistema de transporte coletivo com um todoacessibilidadesigla/verbete</v>
      </c>
      <c r="BD1009" s="239" t="str">
        <f t="shared" si="250"/>
        <v>Sistema de transporte coletivo com um todosigla/verbete</v>
      </c>
    </row>
    <row r="1010" spans="1:67" s="1" customFormat="1" ht="93" customHeight="1" x14ac:dyDescent="0.25">
      <c r="A1010" s="413" t="str">
        <f>'Q100b-totais'!B62</f>
        <v>8.10</v>
      </c>
      <c r="B1010" s="1205" t="str">
        <f>'Q100b-totais'!C62</f>
        <v>Sistema de transporte coletivo com um todo</v>
      </c>
      <c r="C1010" s="230" t="s">
        <v>743</v>
      </c>
      <c r="D1010" s="325" t="s">
        <v>2113</v>
      </c>
      <c r="E1010" s="509" t="s">
        <v>1767</v>
      </c>
      <c r="F1010" s="5" t="s">
        <v>2562</v>
      </c>
      <c r="G1010" s="230" t="s">
        <v>3507</v>
      </c>
      <c r="H1010" s="173" t="s">
        <v>2408</v>
      </c>
      <c r="I1010" s="57" t="s">
        <v>432</v>
      </c>
      <c r="J1010" s="109" t="s">
        <v>432</v>
      </c>
      <c r="K1010" s="109" t="s">
        <v>432</v>
      </c>
      <c r="L1010" s="109" t="s">
        <v>432</v>
      </c>
      <c r="M1010" s="109" t="s">
        <v>432</v>
      </c>
      <c r="N1010" s="109" t="s">
        <v>432</v>
      </c>
      <c r="O1010" s="109" t="s">
        <v>432</v>
      </c>
      <c r="P1010" s="109" t="s">
        <v>432</v>
      </c>
      <c r="Q1010" s="109" t="s">
        <v>432</v>
      </c>
      <c r="R1010" s="109" t="s">
        <v>432</v>
      </c>
      <c r="S1010" s="109" t="s">
        <v>2209</v>
      </c>
      <c r="T1010" s="109" t="s">
        <v>432</v>
      </c>
      <c r="U1010" s="109" t="s">
        <v>432</v>
      </c>
      <c r="V1010" s="109" t="s">
        <v>2209</v>
      </c>
      <c r="W1010" s="109" t="s">
        <v>432</v>
      </c>
      <c r="X1010" s="109" t="s">
        <v>432</v>
      </c>
      <c r="Y1010" s="109" t="s">
        <v>432</v>
      </c>
      <c r="Z1010" s="109" t="s">
        <v>432</v>
      </c>
      <c r="AA1010" s="109" t="s">
        <v>432</v>
      </c>
      <c r="AB1010" s="109" t="s">
        <v>432</v>
      </c>
      <c r="AC1010" s="109" t="s">
        <v>432</v>
      </c>
      <c r="AD1010" s="109" t="s">
        <v>432</v>
      </c>
      <c r="AE1010" s="109" t="s">
        <v>432</v>
      </c>
      <c r="AF1010" s="109" t="s">
        <v>432</v>
      </c>
      <c r="AG1010" s="109" t="s">
        <v>432</v>
      </c>
      <c r="AH1010" s="109" t="s">
        <v>432</v>
      </c>
      <c r="AI1010" s="109" t="s">
        <v>432</v>
      </c>
      <c r="AJ1010" s="109" t="s">
        <v>432</v>
      </c>
      <c r="AK1010" s="109" t="s">
        <v>432</v>
      </c>
      <c r="AL1010" s="600" t="s">
        <v>432</v>
      </c>
      <c r="AM1010" s="137" t="s">
        <v>432</v>
      </c>
      <c r="AN1010" s="137" t="s">
        <v>432</v>
      </c>
      <c r="AO1010" s="137" t="s">
        <v>432</v>
      </c>
      <c r="AP1010" s="137" t="s">
        <v>432</v>
      </c>
      <c r="AQ1010" s="137" t="s">
        <v>432</v>
      </c>
      <c r="AR1010" s="137" t="s">
        <v>432</v>
      </c>
      <c r="AS1010" s="137" t="s">
        <v>432</v>
      </c>
      <c r="AT1010" s="137" t="s">
        <v>432</v>
      </c>
      <c r="AU1010" s="137" t="s">
        <v>432</v>
      </c>
      <c r="AV1010" s="137" t="s">
        <v>432</v>
      </c>
      <c r="AW1010" s="137" t="s">
        <v>432</v>
      </c>
      <c r="AX1010" s="137" t="s">
        <v>432</v>
      </c>
      <c r="AY1010" s="137" t="s">
        <v>432</v>
      </c>
      <c r="AZ1010" s="137" t="s">
        <v>432</v>
      </c>
      <c r="BA1010" s="137" t="s">
        <v>432</v>
      </c>
      <c r="BB1010" s="239" t="str">
        <f t="shared" si="248"/>
        <v>Sistema de transporte coletivo com um todoacessibilidade</v>
      </c>
      <c r="BC1010" s="239" t="str">
        <f t="shared" si="249"/>
        <v>Sistema de transporte coletivo com um todoacessibilidadesigla/verbete</v>
      </c>
      <c r="BD1010" s="239" t="str">
        <f t="shared" si="250"/>
        <v>Sistema de transporte coletivo com um todosigla/verbete</v>
      </c>
    </row>
    <row r="1011" spans="1:67" s="373" customFormat="1" ht="74.25" customHeight="1" x14ac:dyDescent="0.25">
      <c r="A1011" s="275" t="str">
        <f>'Q100b-totais'!B62</f>
        <v>8.10</v>
      </c>
      <c r="B1011" s="1205" t="str">
        <f>'Q100b-totais'!C62</f>
        <v>Sistema de transporte coletivo com um todo</v>
      </c>
      <c r="C1011" s="173" t="s">
        <v>743</v>
      </c>
      <c r="D1011" s="325" t="s">
        <v>2113</v>
      </c>
      <c r="E1011" s="1445" t="s">
        <v>1767</v>
      </c>
      <c r="F1011" s="252" t="s">
        <v>5170</v>
      </c>
      <c r="G1011" s="230" t="s">
        <v>3507</v>
      </c>
      <c r="H1011" s="167" t="s">
        <v>2408</v>
      </c>
      <c r="I1011" s="167" t="s">
        <v>432</v>
      </c>
      <c r="J1011" s="107" t="s">
        <v>432</v>
      </c>
      <c r="K1011" s="107" t="s">
        <v>432</v>
      </c>
      <c r="L1011" s="107" t="s">
        <v>432</v>
      </c>
      <c r="M1011" s="107" t="s">
        <v>432</v>
      </c>
      <c r="N1011" s="107" t="s">
        <v>432</v>
      </c>
      <c r="O1011" s="107" t="s">
        <v>432</v>
      </c>
      <c r="P1011" s="107" t="s">
        <v>432</v>
      </c>
      <c r="Q1011" s="107" t="s">
        <v>432</v>
      </c>
      <c r="R1011" s="107" t="s">
        <v>432</v>
      </c>
      <c r="S1011" s="109" t="s">
        <v>2209</v>
      </c>
      <c r="T1011" s="108" t="s">
        <v>432</v>
      </c>
      <c r="U1011" s="108" t="s">
        <v>432</v>
      </c>
      <c r="V1011" s="109" t="s">
        <v>2209</v>
      </c>
      <c r="W1011" s="108" t="s">
        <v>432</v>
      </c>
      <c r="X1011" s="108" t="s">
        <v>432</v>
      </c>
      <c r="Y1011" s="108" t="s">
        <v>432</v>
      </c>
      <c r="Z1011" s="108" t="s">
        <v>432</v>
      </c>
      <c r="AA1011" s="108" t="s">
        <v>432</v>
      </c>
      <c r="AB1011" s="108" t="s">
        <v>432</v>
      </c>
      <c r="AC1011" s="108" t="s">
        <v>432</v>
      </c>
      <c r="AD1011" s="108" t="s">
        <v>432</v>
      </c>
      <c r="AE1011" s="108" t="s">
        <v>432</v>
      </c>
      <c r="AF1011" s="108" t="s">
        <v>432</v>
      </c>
      <c r="AG1011" s="108" t="s">
        <v>432</v>
      </c>
      <c r="AH1011" s="108" t="s">
        <v>432</v>
      </c>
      <c r="AI1011" s="108" t="s">
        <v>432</v>
      </c>
      <c r="AJ1011" s="108" t="s">
        <v>432</v>
      </c>
      <c r="AK1011" s="137" t="s">
        <v>432</v>
      </c>
      <c r="AL1011" s="600" t="s">
        <v>432</v>
      </c>
      <c r="AM1011" s="137" t="s">
        <v>432</v>
      </c>
      <c r="AN1011" s="137" t="s">
        <v>432</v>
      </c>
      <c r="AO1011" s="137" t="s">
        <v>432</v>
      </c>
      <c r="AP1011" s="137" t="s">
        <v>432</v>
      </c>
      <c r="AQ1011" s="137" t="s">
        <v>432</v>
      </c>
      <c r="AR1011" s="137" t="s">
        <v>432</v>
      </c>
      <c r="AS1011" s="137" t="s">
        <v>432</v>
      </c>
      <c r="AT1011" s="137" t="s">
        <v>432</v>
      </c>
      <c r="AU1011" s="137" t="s">
        <v>432</v>
      </c>
      <c r="AV1011" s="137" t="s">
        <v>432</v>
      </c>
      <c r="AW1011" s="137" t="s">
        <v>432</v>
      </c>
      <c r="AX1011" s="137" t="s">
        <v>432</v>
      </c>
      <c r="AY1011" s="137" t="s">
        <v>432</v>
      </c>
      <c r="AZ1011" s="137" t="s">
        <v>432</v>
      </c>
      <c r="BA1011" s="137" t="s">
        <v>432</v>
      </c>
      <c r="BB1011" s="239" t="str">
        <f t="shared" si="248"/>
        <v>Sistema de transporte coletivo com um todoacessibilidade</v>
      </c>
      <c r="BC1011" s="239" t="str">
        <f t="shared" si="249"/>
        <v>Sistema de transporte coletivo com um todoacessibilidadesigla/verbete</v>
      </c>
      <c r="BD1011" s="239" t="str">
        <f t="shared" si="250"/>
        <v>Sistema de transporte coletivo com um todosigla/verbete</v>
      </c>
    </row>
    <row r="1012" spans="1:67" s="1" customFormat="1" ht="61.5" customHeight="1" x14ac:dyDescent="0.25">
      <c r="A1012" s="413" t="str">
        <f>'Q100b-totais'!B62</f>
        <v>8.10</v>
      </c>
      <c r="B1012" s="1205" t="str">
        <f>'Q100b-totais'!C62</f>
        <v>Sistema de transporte coletivo com um todo</v>
      </c>
      <c r="C1012" s="230" t="s">
        <v>743</v>
      </c>
      <c r="D1012" s="325" t="s">
        <v>2113</v>
      </c>
      <c r="E1012" s="1445" t="s">
        <v>1767</v>
      </c>
      <c r="F1012" s="1172" t="s">
        <v>5171</v>
      </c>
      <c r="G1012" s="230" t="s">
        <v>3507</v>
      </c>
      <c r="H1012" s="173" t="s">
        <v>2408</v>
      </c>
      <c r="I1012" s="57" t="s">
        <v>432</v>
      </c>
      <c r="J1012" s="109" t="s">
        <v>432</v>
      </c>
      <c r="K1012" s="109" t="s">
        <v>432</v>
      </c>
      <c r="L1012" s="109" t="s">
        <v>432</v>
      </c>
      <c r="M1012" s="109" t="s">
        <v>432</v>
      </c>
      <c r="N1012" s="109" t="s">
        <v>432</v>
      </c>
      <c r="O1012" s="109" t="s">
        <v>432</v>
      </c>
      <c r="P1012" s="109" t="s">
        <v>432</v>
      </c>
      <c r="Q1012" s="109" t="s">
        <v>432</v>
      </c>
      <c r="R1012" s="109" t="s">
        <v>432</v>
      </c>
      <c r="S1012" s="109" t="s">
        <v>2209</v>
      </c>
      <c r="T1012" s="109" t="s">
        <v>432</v>
      </c>
      <c r="U1012" s="109" t="s">
        <v>432</v>
      </c>
      <c r="V1012" s="109" t="s">
        <v>2209</v>
      </c>
      <c r="W1012" s="109" t="s">
        <v>432</v>
      </c>
      <c r="X1012" s="109" t="s">
        <v>432</v>
      </c>
      <c r="Y1012" s="109" t="s">
        <v>432</v>
      </c>
      <c r="Z1012" s="109" t="s">
        <v>432</v>
      </c>
      <c r="AA1012" s="109" t="s">
        <v>432</v>
      </c>
      <c r="AB1012" s="109" t="s">
        <v>432</v>
      </c>
      <c r="AC1012" s="109" t="s">
        <v>432</v>
      </c>
      <c r="AD1012" s="109" t="s">
        <v>432</v>
      </c>
      <c r="AE1012" s="109" t="s">
        <v>432</v>
      </c>
      <c r="AF1012" s="109" t="s">
        <v>432</v>
      </c>
      <c r="AG1012" s="109" t="s">
        <v>432</v>
      </c>
      <c r="AH1012" s="109" t="s">
        <v>432</v>
      </c>
      <c r="AI1012" s="109" t="s">
        <v>432</v>
      </c>
      <c r="AJ1012" s="109" t="s">
        <v>432</v>
      </c>
      <c r="AK1012" s="109" t="s">
        <v>432</v>
      </c>
      <c r="AL1012" s="600" t="s">
        <v>432</v>
      </c>
      <c r="AM1012" s="137" t="s">
        <v>432</v>
      </c>
      <c r="AN1012" s="137" t="s">
        <v>432</v>
      </c>
      <c r="AO1012" s="137" t="s">
        <v>432</v>
      </c>
      <c r="AP1012" s="137" t="s">
        <v>432</v>
      </c>
      <c r="AQ1012" s="137" t="s">
        <v>432</v>
      </c>
      <c r="AR1012" s="137" t="s">
        <v>432</v>
      </c>
      <c r="AS1012" s="137" t="s">
        <v>432</v>
      </c>
      <c r="AT1012" s="137" t="s">
        <v>432</v>
      </c>
      <c r="AU1012" s="137" t="s">
        <v>432</v>
      </c>
      <c r="AV1012" s="137" t="s">
        <v>432</v>
      </c>
      <c r="AW1012" s="137" t="s">
        <v>432</v>
      </c>
      <c r="AX1012" s="137" t="s">
        <v>432</v>
      </c>
      <c r="AY1012" s="137" t="s">
        <v>432</v>
      </c>
      <c r="AZ1012" s="137" t="s">
        <v>432</v>
      </c>
      <c r="BA1012" s="137" t="s">
        <v>432</v>
      </c>
      <c r="BB1012" s="239" t="str">
        <f t="shared" si="248"/>
        <v>Sistema de transporte coletivo com um todoacessibilidade</v>
      </c>
      <c r="BC1012" s="239" t="str">
        <f t="shared" si="249"/>
        <v>Sistema de transporte coletivo com um todoacessibilidadesigla/verbete</v>
      </c>
      <c r="BD1012" s="239" t="str">
        <f t="shared" si="250"/>
        <v>Sistema de transporte coletivo com um todosigla/verbete</v>
      </c>
    </row>
    <row r="1013" spans="1:67" s="1" customFormat="1" ht="60.75" customHeight="1" x14ac:dyDescent="0.25">
      <c r="A1013" s="413" t="str">
        <f>'Q100b-totais'!B62</f>
        <v>8.10</v>
      </c>
      <c r="B1013" s="1205" t="str">
        <f>'Q100b-totais'!C62</f>
        <v>Sistema de transporte coletivo com um todo</v>
      </c>
      <c r="C1013" s="230" t="s">
        <v>743</v>
      </c>
      <c r="D1013" s="325" t="s">
        <v>2113</v>
      </c>
      <c r="E1013" s="1445" t="s">
        <v>1767</v>
      </c>
      <c r="F1013" s="5" t="s">
        <v>3920</v>
      </c>
      <c r="G1013" s="230" t="s">
        <v>3507</v>
      </c>
      <c r="H1013" s="173" t="s">
        <v>2408</v>
      </c>
      <c r="I1013" s="57" t="s">
        <v>432</v>
      </c>
      <c r="J1013" s="109" t="s">
        <v>432</v>
      </c>
      <c r="K1013" s="109" t="s">
        <v>432</v>
      </c>
      <c r="L1013" s="109" t="s">
        <v>432</v>
      </c>
      <c r="M1013" s="109" t="s">
        <v>432</v>
      </c>
      <c r="N1013" s="109" t="s">
        <v>432</v>
      </c>
      <c r="O1013" s="109" t="s">
        <v>432</v>
      </c>
      <c r="P1013" s="109" t="s">
        <v>432</v>
      </c>
      <c r="Q1013" s="109" t="s">
        <v>432</v>
      </c>
      <c r="R1013" s="109" t="s">
        <v>432</v>
      </c>
      <c r="S1013" s="109" t="s">
        <v>2209</v>
      </c>
      <c r="T1013" s="109" t="s">
        <v>432</v>
      </c>
      <c r="U1013" s="109" t="s">
        <v>432</v>
      </c>
      <c r="V1013" s="109" t="s">
        <v>2209</v>
      </c>
      <c r="W1013" s="109" t="s">
        <v>432</v>
      </c>
      <c r="X1013" s="109" t="s">
        <v>432</v>
      </c>
      <c r="Y1013" s="109" t="s">
        <v>432</v>
      </c>
      <c r="Z1013" s="109" t="s">
        <v>432</v>
      </c>
      <c r="AA1013" s="109" t="s">
        <v>432</v>
      </c>
      <c r="AB1013" s="109" t="s">
        <v>432</v>
      </c>
      <c r="AC1013" s="109" t="s">
        <v>432</v>
      </c>
      <c r="AD1013" s="109" t="s">
        <v>432</v>
      </c>
      <c r="AE1013" s="109" t="s">
        <v>432</v>
      </c>
      <c r="AF1013" s="109" t="s">
        <v>432</v>
      </c>
      <c r="AG1013" s="109" t="s">
        <v>432</v>
      </c>
      <c r="AH1013" s="109" t="s">
        <v>432</v>
      </c>
      <c r="AI1013" s="109" t="s">
        <v>432</v>
      </c>
      <c r="AJ1013" s="109" t="s">
        <v>432</v>
      </c>
      <c r="AK1013" s="109" t="s">
        <v>432</v>
      </c>
      <c r="AL1013" s="600" t="s">
        <v>432</v>
      </c>
      <c r="AM1013" s="137" t="s">
        <v>432</v>
      </c>
      <c r="AN1013" s="137" t="s">
        <v>432</v>
      </c>
      <c r="AO1013" s="137" t="s">
        <v>432</v>
      </c>
      <c r="AP1013" s="137" t="s">
        <v>432</v>
      </c>
      <c r="AQ1013" s="137" t="s">
        <v>432</v>
      </c>
      <c r="AR1013" s="137" t="s">
        <v>432</v>
      </c>
      <c r="AS1013" s="137" t="s">
        <v>432</v>
      </c>
      <c r="AT1013" s="137" t="s">
        <v>432</v>
      </c>
      <c r="AU1013" s="137" t="s">
        <v>432</v>
      </c>
      <c r="AV1013" s="137" t="s">
        <v>432</v>
      </c>
      <c r="AW1013" s="137" t="s">
        <v>432</v>
      </c>
      <c r="AX1013" s="137" t="s">
        <v>432</v>
      </c>
      <c r="AY1013" s="137" t="s">
        <v>432</v>
      </c>
      <c r="AZ1013" s="137" t="s">
        <v>432</v>
      </c>
      <c r="BA1013" s="137" t="s">
        <v>432</v>
      </c>
      <c r="BB1013" s="239" t="str">
        <f t="shared" si="248"/>
        <v>Sistema de transporte coletivo com um todoacessibilidade</v>
      </c>
      <c r="BC1013" s="239" t="str">
        <f t="shared" si="249"/>
        <v>Sistema de transporte coletivo com um todoacessibilidadesigla/verbete</v>
      </c>
      <c r="BD1013" s="239" t="str">
        <f t="shared" si="250"/>
        <v>Sistema de transporte coletivo com um todosigla/verbete</v>
      </c>
    </row>
    <row r="1014" spans="1:67" s="1" customFormat="1" ht="94.5" customHeight="1" x14ac:dyDescent="0.25">
      <c r="A1014" s="275" t="s">
        <v>982</v>
      </c>
      <c r="B1014" s="1205" t="s">
        <v>983</v>
      </c>
      <c r="C1014" s="57" t="s">
        <v>743</v>
      </c>
      <c r="D1014" s="714" t="str">
        <f>'Q100e-FrotaOnibus'!BL23</f>
        <v>F tc fc
(n.º)</v>
      </c>
      <c r="E1014" s="254" t="str">
        <f>'Q100e-FrotaOnibus'!BM23</f>
        <v>Belo Horizonte</v>
      </c>
      <c r="F1014" s="252" t="str">
        <f>'Q100e-FrotaOnibus'!BN23</f>
        <v>frota em n.º de ônibus do transporte coletivo (convencional e suplementar) de Belo Horizonte com alguma facilidade para o embarque/desembarque de pessoas com mobilidade física reduzida mesmo que essa facilidade não permita classificar a viagem ofertada como acessível
obs.1: embora sem resultados apresentados, este indicador equivale ao proposto pelo ObsMob-BH em BHTRANS (2011, p.4; 2012, p.6),
obs.2: acesse as definições de "ônibus com alguma facilidade" e os resultados de "NVR tcc fc (%)"</v>
      </c>
      <c r="G1014" s="111" t="str">
        <f>'Q100e-FrotaOnibus'!BO23</f>
        <v>F tcc fc + F tcs fc</v>
      </c>
      <c r="H1014" s="173" t="s">
        <v>432</v>
      </c>
      <c r="I1014" s="167">
        <v>1</v>
      </c>
      <c r="J1014" s="109" t="s">
        <v>2467</v>
      </c>
      <c r="K1014" s="109" t="s">
        <v>2467</v>
      </c>
      <c r="L1014" s="109" t="s">
        <v>2467</v>
      </c>
      <c r="M1014" s="356" t="e">
        <f t="shared" ref="M1014:R1014" si="251">M1016+M906</f>
        <v>#VALUE!</v>
      </c>
      <c r="N1014" s="356" t="e">
        <f t="shared" si="251"/>
        <v>#VALUE!</v>
      </c>
      <c r="O1014" s="356" t="e">
        <f t="shared" si="251"/>
        <v>#VALUE!</v>
      </c>
      <c r="P1014" s="356" t="e">
        <f t="shared" si="251"/>
        <v>#VALUE!</v>
      </c>
      <c r="Q1014" s="356" t="e">
        <f t="shared" si="251"/>
        <v>#VALUE!</v>
      </c>
      <c r="R1014" s="356" t="e">
        <f t="shared" si="251"/>
        <v>#VALUE!</v>
      </c>
      <c r="S1014" s="109" t="s">
        <v>2209</v>
      </c>
      <c r="T1014" s="356" t="e">
        <f>T1016+T906</f>
        <v>#VALUE!</v>
      </c>
      <c r="U1014" s="356" t="e">
        <f>U1016+U906</f>
        <v>#VALUE!</v>
      </c>
      <c r="V1014" s="109" t="s">
        <v>2209</v>
      </c>
      <c r="W1014" s="356" t="e">
        <f t="shared" ref="W1014:AK1014" si="252">W1016+W906</f>
        <v>#VALUE!</v>
      </c>
      <c r="X1014" s="356" t="e">
        <f t="shared" si="252"/>
        <v>#VALUE!</v>
      </c>
      <c r="Y1014" s="356">
        <f t="shared" si="252"/>
        <v>173</v>
      </c>
      <c r="Z1014" s="356" t="e">
        <f t="shared" si="252"/>
        <v>#VALUE!</v>
      </c>
      <c r="AA1014" s="356" t="e">
        <f t="shared" si="252"/>
        <v>#VALUE!</v>
      </c>
      <c r="AB1014" s="356" t="e">
        <f t="shared" si="252"/>
        <v>#VALUE!</v>
      </c>
      <c r="AC1014" s="356" t="e">
        <f t="shared" si="252"/>
        <v>#VALUE!</v>
      </c>
      <c r="AD1014" s="356" t="e">
        <f t="shared" si="252"/>
        <v>#VALUE!</v>
      </c>
      <c r="AE1014" s="356" t="e">
        <f t="shared" si="252"/>
        <v>#VALUE!</v>
      </c>
      <c r="AF1014" s="356" t="e">
        <f t="shared" si="252"/>
        <v>#VALUE!</v>
      </c>
      <c r="AG1014" s="356" t="e">
        <f t="shared" si="252"/>
        <v>#VALUE!</v>
      </c>
      <c r="AH1014" s="356" t="e">
        <f t="shared" si="252"/>
        <v>#VALUE!</v>
      </c>
      <c r="AI1014" s="356" t="e">
        <f t="shared" si="252"/>
        <v>#VALUE!</v>
      </c>
      <c r="AJ1014" s="356">
        <f t="shared" si="252"/>
        <v>2991</v>
      </c>
      <c r="AK1014" s="356">
        <f t="shared" si="252"/>
        <v>2985</v>
      </c>
      <c r="AL1014" s="600" t="s">
        <v>432</v>
      </c>
      <c r="AM1014" s="137" t="s">
        <v>432</v>
      </c>
      <c r="AN1014" s="137" t="s">
        <v>432</v>
      </c>
      <c r="AO1014" s="137" t="s">
        <v>432</v>
      </c>
      <c r="AP1014" s="137" t="s">
        <v>432</v>
      </c>
      <c r="AQ1014" s="137" t="s">
        <v>432</v>
      </c>
      <c r="AR1014" s="137" t="s">
        <v>432</v>
      </c>
      <c r="AS1014" s="137" t="s">
        <v>432</v>
      </c>
      <c r="AT1014" s="137" t="s">
        <v>432</v>
      </c>
      <c r="AU1014" s="137" t="s">
        <v>432</v>
      </c>
      <c r="AV1014" s="137" t="s">
        <v>432</v>
      </c>
      <c r="AW1014" s="137" t="s">
        <v>432</v>
      </c>
      <c r="AX1014" s="137" t="s">
        <v>432</v>
      </c>
      <c r="AY1014" s="137" t="s">
        <v>432</v>
      </c>
      <c r="AZ1014" s="137" t="s">
        <v>432</v>
      </c>
      <c r="BA1014" s="137" t="s">
        <v>432</v>
      </c>
      <c r="BB1014" s="239" t="str">
        <f t="shared" si="248"/>
        <v>Sistema de transporte coletivo com um todoacessibilidade</v>
      </c>
      <c r="BC1014" s="239" t="str">
        <f t="shared" si="249"/>
        <v>Sistema de transporte coletivo com um todoacessibilidadex</v>
      </c>
      <c r="BD1014" s="239" t="str">
        <f t="shared" si="250"/>
        <v>Sistema de transporte coletivo com um todox</v>
      </c>
    </row>
    <row r="1015" spans="1:67" s="1" customFormat="1" ht="96" customHeight="1" x14ac:dyDescent="0.25">
      <c r="A1015" s="275" t="s">
        <v>982</v>
      </c>
      <c r="B1015" s="1205" t="s">
        <v>983</v>
      </c>
      <c r="C1015" s="57" t="s">
        <v>743</v>
      </c>
      <c r="D1015" s="715" t="str">
        <f>'Q100e-FrotaOnibus'!BL24</f>
        <v>F tc fc
(%)</v>
      </c>
      <c r="E1015" s="1502" t="str">
        <f>'Q100e-FrotaOnibus'!BM24</f>
        <v>Belo Horizonte</v>
      </c>
      <c r="F1015" s="355" t="str">
        <f>'Q100e-FrotaOnibus'!BN24</f>
        <v>percentual da frota de ônibus do transporte coletivo (convencional e suplementar) de Belo Horizonte com alguma facilidade no embarque/desembarque de pessoas com mobilidade física reduzida</v>
      </c>
      <c r="G1015" s="111" t="str">
        <f>'Q100e-FrotaOnibus'!BO24</f>
        <v>(F tc fc / F tc) x 100</v>
      </c>
      <c r="H1015" s="57" t="s">
        <v>432</v>
      </c>
      <c r="I1015" s="167">
        <v>1</v>
      </c>
      <c r="J1015" s="109" t="s">
        <v>2467</v>
      </c>
      <c r="K1015" s="109" t="s">
        <v>2467</v>
      </c>
      <c r="L1015" s="109" t="s">
        <v>2467</v>
      </c>
      <c r="M1015" s="112" t="e">
        <f t="shared" ref="M1015:R1015" si="253">M1014/M862</f>
        <v>#VALUE!</v>
      </c>
      <c r="N1015" s="112" t="e">
        <f t="shared" si="253"/>
        <v>#VALUE!</v>
      </c>
      <c r="O1015" s="112" t="e">
        <f t="shared" si="253"/>
        <v>#VALUE!</v>
      </c>
      <c r="P1015" s="112" t="e">
        <f t="shared" si="253"/>
        <v>#VALUE!</v>
      </c>
      <c r="Q1015" s="112" t="e">
        <f t="shared" si="253"/>
        <v>#VALUE!</v>
      </c>
      <c r="R1015" s="112" t="e">
        <f t="shared" si="253"/>
        <v>#VALUE!</v>
      </c>
      <c r="S1015" s="109" t="s">
        <v>2209</v>
      </c>
      <c r="T1015" s="112" t="e">
        <f>T1014/T862</f>
        <v>#VALUE!</v>
      </c>
      <c r="U1015" s="112" t="e">
        <f>U1014/U862</f>
        <v>#VALUE!</v>
      </c>
      <c r="V1015" s="109" t="s">
        <v>2209</v>
      </c>
      <c r="W1015" s="112" t="e">
        <f t="shared" ref="W1015:AK1015" si="254">W1014/W862</f>
        <v>#VALUE!</v>
      </c>
      <c r="X1015" s="112" t="e">
        <f t="shared" si="254"/>
        <v>#VALUE!</v>
      </c>
      <c r="Y1015" s="112">
        <f t="shared" si="254"/>
        <v>5.4920634920634918E-2</v>
      </c>
      <c r="Z1015" s="112" t="e">
        <f t="shared" si="254"/>
        <v>#VALUE!</v>
      </c>
      <c r="AA1015" s="112" t="e">
        <f t="shared" si="254"/>
        <v>#VALUE!</v>
      </c>
      <c r="AB1015" s="112" t="e">
        <f t="shared" si="254"/>
        <v>#VALUE!</v>
      </c>
      <c r="AC1015" s="112" t="e">
        <f t="shared" si="254"/>
        <v>#VALUE!</v>
      </c>
      <c r="AD1015" s="112" t="e">
        <f t="shared" si="254"/>
        <v>#VALUE!</v>
      </c>
      <c r="AE1015" s="112" t="e">
        <f t="shared" si="254"/>
        <v>#VALUE!</v>
      </c>
      <c r="AF1015" s="112" t="e">
        <f t="shared" si="254"/>
        <v>#VALUE!</v>
      </c>
      <c r="AG1015" s="112" t="e">
        <f t="shared" si="254"/>
        <v>#VALUE!</v>
      </c>
      <c r="AH1015" s="112" t="e">
        <f t="shared" si="254"/>
        <v>#VALUE!</v>
      </c>
      <c r="AI1015" s="112" t="e">
        <f t="shared" si="254"/>
        <v>#VALUE!</v>
      </c>
      <c r="AJ1015" s="112">
        <f t="shared" si="254"/>
        <v>0.90636363636363637</v>
      </c>
      <c r="AK1015" s="112">
        <f t="shared" si="254"/>
        <v>0.92300556586270877</v>
      </c>
      <c r="AL1015" s="600" t="s">
        <v>432</v>
      </c>
      <c r="AM1015" s="137" t="s">
        <v>432</v>
      </c>
      <c r="AN1015" s="137" t="s">
        <v>432</v>
      </c>
      <c r="AO1015" s="137" t="s">
        <v>432</v>
      </c>
      <c r="AP1015" s="137" t="s">
        <v>432</v>
      </c>
      <c r="AQ1015" s="137" t="s">
        <v>432</v>
      </c>
      <c r="AR1015" s="137" t="s">
        <v>432</v>
      </c>
      <c r="AS1015" s="137" t="s">
        <v>432</v>
      </c>
      <c r="AT1015" s="137" t="s">
        <v>432</v>
      </c>
      <c r="AU1015" s="137" t="s">
        <v>432</v>
      </c>
      <c r="AV1015" s="137" t="s">
        <v>432</v>
      </c>
      <c r="AW1015" s="137" t="s">
        <v>432</v>
      </c>
      <c r="AX1015" s="137" t="s">
        <v>432</v>
      </c>
      <c r="AY1015" s="137" t="s">
        <v>432</v>
      </c>
      <c r="AZ1015" s="137" t="s">
        <v>432</v>
      </c>
      <c r="BA1015" s="137" t="s">
        <v>432</v>
      </c>
      <c r="BB1015" s="239" t="str">
        <f t="shared" si="248"/>
        <v>Sistema de transporte coletivo com um todoacessibilidade</v>
      </c>
      <c r="BC1015" s="239" t="str">
        <f t="shared" si="249"/>
        <v>Sistema de transporte coletivo com um todoacessibilidadex</v>
      </c>
      <c r="BD1015" s="239" t="str">
        <f t="shared" si="250"/>
        <v>Sistema de transporte coletivo com um todox</v>
      </c>
    </row>
    <row r="1016" spans="1:67" ht="110.25" customHeight="1" x14ac:dyDescent="0.25">
      <c r="A1016" s="275" t="str">
        <f>'Q100b-totais'!$B$57</f>
        <v>8.5</v>
      </c>
      <c r="B1016" s="54" t="str">
        <f>'Q100b-totais'!$C$57</f>
        <v>Transporte convencional</v>
      </c>
      <c r="C1016" s="230" t="s">
        <v>743</v>
      </c>
      <c r="D1016" s="715" t="str">
        <f>'Q100e-FrotaOnibus'!BD23</f>
        <v>F tcc fc
(n.º)</v>
      </c>
      <c r="E1016" s="1502" t="str">
        <f>'Q100e-FrotaOnibus'!BE23</f>
        <v>Belo Horizonte</v>
      </c>
      <c r="F1016" s="355" t="str">
        <f>'Q100e-FrotaOnibus'!BF23</f>
        <v>frota em n.º de ônibus do transporte coletivo convencional de Belo Horizonte gerenciado pela BHTrans com alguma facilidade para o embarque/desembarque de pessoas com mobilidade física reduzida mesmo que essa facilidade não permita classificar a viagem ofertada como acessível
obs.1: acesse as definições de "acessível, ônibus" e "alguma facilidade"
obs.2: no transporte coletivo convencional de Belo Horizonte pelo menos até 2015 a frota com facilidade é composta pelos ônibus com elevador e os com embarque em nível, ou seja, apenas os considerados "sem faciidade" não são considerados e a tendência é que sua quantidade aumente ano a ano por força apenas das renovações</v>
      </c>
      <c r="G1016" s="524" t="str">
        <f>'Q100e-FrotaOnibus'!BG23</f>
        <v xml:space="preserve">até 2015:
F tcc - F tcc sfc </v>
      </c>
      <c r="H1016" s="173" t="s">
        <v>432</v>
      </c>
      <c r="I1016" s="167">
        <v>1</v>
      </c>
      <c r="J1016" s="109" t="s">
        <v>2467</v>
      </c>
      <c r="K1016" s="109" t="s">
        <v>2467</v>
      </c>
      <c r="L1016" s="109" t="s">
        <v>2467</v>
      </c>
      <c r="M1016" s="356">
        <f t="shared" ref="M1016:R1016" si="255">M865-M1043</f>
        <v>0</v>
      </c>
      <c r="N1016" s="356">
        <f t="shared" si="255"/>
        <v>0</v>
      </c>
      <c r="O1016" s="356">
        <f t="shared" si="255"/>
        <v>0</v>
      </c>
      <c r="P1016" s="356" t="e">
        <f t="shared" si="255"/>
        <v>#VALUE!</v>
      </c>
      <c r="Q1016" s="356" t="e">
        <f t="shared" si="255"/>
        <v>#VALUE!</v>
      </c>
      <c r="R1016" s="356" t="e">
        <f t="shared" si="255"/>
        <v>#VALUE!</v>
      </c>
      <c r="S1016" s="109" t="s">
        <v>2209</v>
      </c>
      <c r="T1016" s="356" t="e">
        <f>T865-T1043</f>
        <v>#VALUE!</v>
      </c>
      <c r="U1016" s="356" t="e">
        <f>U865-U1043</f>
        <v>#VALUE!</v>
      </c>
      <c r="V1016" s="109" t="s">
        <v>2209</v>
      </c>
      <c r="W1016" s="356" t="e">
        <f t="shared" ref="W1016:AK1016" si="256">W865-W1043</f>
        <v>#VALUE!</v>
      </c>
      <c r="X1016" s="356" t="e">
        <f t="shared" si="256"/>
        <v>#VALUE!</v>
      </c>
      <c r="Y1016" s="356">
        <f t="shared" si="256"/>
        <v>173</v>
      </c>
      <c r="Z1016" s="356" t="e">
        <f t="shared" si="256"/>
        <v>#VALUE!</v>
      </c>
      <c r="AA1016" s="356" t="e">
        <f t="shared" si="256"/>
        <v>#VALUE!</v>
      </c>
      <c r="AB1016" s="356" t="e">
        <f t="shared" si="256"/>
        <v>#VALUE!</v>
      </c>
      <c r="AC1016" s="356" t="e">
        <f t="shared" si="256"/>
        <v>#VALUE!</v>
      </c>
      <c r="AD1016" s="356" t="e">
        <f t="shared" si="256"/>
        <v>#VALUE!</v>
      </c>
      <c r="AE1016" s="356">
        <f t="shared" si="256"/>
        <v>1525</v>
      </c>
      <c r="AF1016" s="356">
        <f t="shared" si="256"/>
        <v>1808</v>
      </c>
      <c r="AG1016" s="356">
        <f t="shared" si="256"/>
        <v>2217</v>
      </c>
      <c r="AH1016" s="356">
        <f t="shared" si="256"/>
        <v>2341</v>
      </c>
      <c r="AI1016" s="356">
        <f t="shared" si="256"/>
        <v>2456</v>
      </c>
      <c r="AJ1016" s="356">
        <f t="shared" si="256"/>
        <v>2721</v>
      </c>
      <c r="AK1016" s="356">
        <f t="shared" si="256"/>
        <v>2716</v>
      </c>
      <c r="AL1016" s="600" t="s">
        <v>432</v>
      </c>
      <c r="AM1016" s="356">
        <f>AM865-AM1043</f>
        <v>2852</v>
      </c>
      <c r="AN1016" s="137" t="s">
        <v>432</v>
      </c>
      <c r="AO1016" s="137" t="s">
        <v>432</v>
      </c>
      <c r="AP1016" s="137" t="s">
        <v>432</v>
      </c>
      <c r="AQ1016" s="137" t="s">
        <v>432</v>
      </c>
      <c r="AR1016" s="137" t="s">
        <v>432</v>
      </c>
      <c r="AS1016" s="137" t="s">
        <v>432</v>
      </c>
      <c r="AT1016" s="137" t="s">
        <v>432</v>
      </c>
      <c r="AU1016" s="137" t="s">
        <v>432</v>
      </c>
      <c r="AV1016" s="137" t="s">
        <v>432</v>
      </c>
      <c r="AW1016" s="137" t="s">
        <v>432</v>
      </c>
      <c r="AX1016" s="137" t="s">
        <v>432</v>
      </c>
      <c r="AY1016" s="137" t="s">
        <v>432</v>
      </c>
      <c r="AZ1016" s="137" t="s">
        <v>432</v>
      </c>
      <c r="BA1016" s="137" t="s">
        <v>432</v>
      </c>
      <c r="BB1016" s="239" t="str">
        <f t="shared" si="248"/>
        <v>Transporte convencionalacessibilidade</v>
      </c>
      <c r="BC1016" s="239" t="str">
        <f t="shared" si="249"/>
        <v>Transporte convencionalacessibilidadex</v>
      </c>
      <c r="BD1016" s="239" t="str">
        <f t="shared" si="250"/>
        <v>Transporte convencionalx</v>
      </c>
    </row>
    <row r="1017" spans="1:67" s="1" customFormat="1" ht="158.25" customHeight="1" x14ac:dyDescent="0.25">
      <c r="A1017" s="275" t="str">
        <f>'Q100b-totais'!$B$57</f>
        <v>8.5</v>
      </c>
      <c r="B1017" s="1205" t="str">
        <f>'Q100b-totais'!$C$57</f>
        <v>Transporte convencional</v>
      </c>
      <c r="C1017" s="57" t="s">
        <v>743</v>
      </c>
      <c r="D1017" s="715" t="str">
        <f>'Q100e-FrotaOnibus'!BD24</f>
        <v>F tcc fc
(%)</v>
      </c>
      <c r="E1017" s="1502" t="str">
        <f>'Q100e-FrotaOnibus'!BE24</f>
        <v>Belo Horizonte</v>
      </c>
      <c r="F1017" s="355" t="str">
        <f>'Q100e-FrotaOnibus'!BF24</f>
        <v>percentual da frota de ônibus do transporte coletivo convencional de Belo Horizonte gerenciado pela BHTrans com alguma facilidade para o embarque/desembarque de pessoas com mobilidade física reduzida
obs.1: no transporte coletivo convencional de Belo Horizonte pelo menos até 2015 a frota com facilidade é composta pelos ônibus com elevador e os com embarque em nível, ou seja, apenas os considerados "sem faciidade" não são considerados e a tendência é que sua participação percentual aumente ano a ano por força apenas das renovações
obs.2: consulte também "NVR tcc fc (Belo Horizonte)" que, espera-se, apresenta resultados próximos (considerando-se que os veículos que oferecem “alguma facilidade” em uma frota urbana de ônibus são os de fabricação mais recente, o esperado é que eles façam mais viagens que os veículos mais antigos. Isto leva à hipótese de que os resultados do indicador “viagens acessíveis” devem ser superiores aos do indicador “frota com alguma facilidade”)</v>
      </c>
      <c r="G1017" s="111" t="str">
        <f>'Q100e-FrotaOnibus'!BG24</f>
        <v>até 2015:
(n.º F tcc fc / n.º F tcc) x 100</v>
      </c>
      <c r="H1017" s="57" t="s">
        <v>432</v>
      </c>
      <c r="I1017" s="167">
        <v>1</v>
      </c>
      <c r="J1017" s="109" t="s">
        <v>2467</v>
      </c>
      <c r="K1017" s="109" t="s">
        <v>2467</v>
      </c>
      <c r="L1017" s="109" t="s">
        <v>2467</v>
      </c>
      <c r="M1017" s="112">
        <f t="shared" ref="M1017:R1017" si="257">M1016/M865</f>
        <v>0</v>
      </c>
      <c r="N1017" s="112">
        <f t="shared" si="257"/>
        <v>0</v>
      </c>
      <c r="O1017" s="112">
        <f t="shared" si="257"/>
        <v>0</v>
      </c>
      <c r="P1017" s="112" t="e">
        <f t="shared" si="257"/>
        <v>#VALUE!</v>
      </c>
      <c r="Q1017" s="112" t="e">
        <f t="shared" si="257"/>
        <v>#VALUE!</v>
      </c>
      <c r="R1017" s="112" t="e">
        <f t="shared" si="257"/>
        <v>#VALUE!</v>
      </c>
      <c r="S1017" s="109" t="s">
        <v>2209</v>
      </c>
      <c r="T1017" s="112" t="e">
        <f>T1016/T865</f>
        <v>#VALUE!</v>
      </c>
      <c r="U1017" s="112" t="e">
        <f>U1016/U865</f>
        <v>#VALUE!</v>
      </c>
      <c r="V1017" s="109" t="s">
        <v>2209</v>
      </c>
      <c r="W1017" s="112" t="e">
        <f t="shared" ref="W1017:AK1017" si="258">W1016/W865</f>
        <v>#VALUE!</v>
      </c>
      <c r="X1017" s="112" t="e">
        <f t="shared" si="258"/>
        <v>#VALUE!</v>
      </c>
      <c r="Y1017" s="112">
        <f t="shared" si="258"/>
        <v>6.0426126440796368E-2</v>
      </c>
      <c r="Z1017" s="112" t="e">
        <f t="shared" si="258"/>
        <v>#VALUE!</v>
      </c>
      <c r="AA1017" s="112" t="e">
        <f t="shared" si="258"/>
        <v>#VALUE!</v>
      </c>
      <c r="AB1017" s="112" t="e">
        <f t="shared" si="258"/>
        <v>#VALUE!</v>
      </c>
      <c r="AC1017" s="112" t="e">
        <f t="shared" si="258"/>
        <v>#VALUE!</v>
      </c>
      <c r="AD1017" s="112" t="e">
        <f t="shared" si="258"/>
        <v>#VALUE!</v>
      </c>
      <c r="AE1017" s="112">
        <f t="shared" si="258"/>
        <v>0.53433777154870354</v>
      </c>
      <c r="AF1017" s="112">
        <f t="shared" si="258"/>
        <v>0.6384180790960452</v>
      </c>
      <c r="AG1017" s="112">
        <f t="shared" si="258"/>
        <v>0.73654485049833884</v>
      </c>
      <c r="AH1017" s="112">
        <f t="shared" si="258"/>
        <v>0.77057274522712316</v>
      </c>
      <c r="AI1017" s="112">
        <f t="shared" si="258"/>
        <v>0.80762906938507073</v>
      </c>
      <c r="AJ1017" s="112">
        <f t="shared" si="258"/>
        <v>0.90009923916639101</v>
      </c>
      <c r="AK1017" s="112">
        <f t="shared" si="258"/>
        <v>0.91756756756756752</v>
      </c>
      <c r="AL1017" s="600" t="s">
        <v>432</v>
      </c>
      <c r="AM1017" s="112">
        <f>AM1016/AM865</f>
        <v>0.96645205015249069</v>
      </c>
      <c r="AN1017" s="137" t="s">
        <v>432</v>
      </c>
      <c r="AO1017" s="137" t="s">
        <v>432</v>
      </c>
      <c r="AP1017" s="137" t="s">
        <v>432</v>
      </c>
      <c r="AQ1017" s="137" t="s">
        <v>432</v>
      </c>
      <c r="AR1017" s="137" t="s">
        <v>432</v>
      </c>
      <c r="AS1017" s="137" t="s">
        <v>432</v>
      </c>
      <c r="AT1017" s="137" t="s">
        <v>432</v>
      </c>
      <c r="AU1017" s="137" t="s">
        <v>432</v>
      </c>
      <c r="AV1017" s="137" t="s">
        <v>432</v>
      </c>
      <c r="AW1017" s="137" t="s">
        <v>432</v>
      </c>
      <c r="AX1017" s="137" t="s">
        <v>432</v>
      </c>
      <c r="AY1017" s="137" t="s">
        <v>432</v>
      </c>
      <c r="AZ1017" s="137" t="s">
        <v>432</v>
      </c>
      <c r="BA1017" s="137" t="s">
        <v>432</v>
      </c>
      <c r="BB1017" s="239" t="str">
        <f t="shared" si="248"/>
        <v>Transporte convencionalacessibilidade</v>
      </c>
      <c r="BC1017" s="239" t="str">
        <f t="shared" si="249"/>
        <v>Transporte convencionalacessibilidadex</v>
      </c>
      <c r="BD1017" s="239" t="str">
        <f t="shared" si="250"/>
        <v>Transporte convencionalx</v>
      </c>
    </row>
    <row r="1018" spans="1:67" s="1" customFormat="1" ht="153" x14ac:dyDescent="0.25">
      <c r="A1018" s="275" t="str">
        <f>'Q100b-totais'!B57</f>
        <v>8.5</v>
      </c>
      <c r="B1018" s="1205" t="str">
        <f>'Q100b-totais'!C57</f>
        <v>Transporte convencional</v>
      </c>
      <c r="C1018" s="57" t="s">
        <v>743</v>
      </c>
      <c r="D1018" s="324" t="str">
        <f>'Q100e-FrotaOnibus'!BD25</f>
        <v>F tc fc
(meta)</v>
      </c>
      <c r="E1018" s="254" t="str">
        <f>'Q100e-FrotaOnibus'!BE25</f>
        <v>Belo Horizonte</v>
      </c>
      <c r="F1018" s="252" t="str">
        <f>'Q100e-FrotaOnibus'!BF25</f>
        <v>meta a ser alcançada para o percentual da frota de ônibus do transporte coletivo convencional de Belo Horizonte gerenciado pela BHTrans com alguma facilidade para o embarque/desembarque de pessoas com mobilidade física reduzida
obs.1: o contratos da PBH com as empresas operadoras sempre estabeleceu idade máxima de dez anos para os ônibus do sistema, o que aponta para uma renovação anual de 10% da frota 
obs.2: em maio/1999 foi determinado que "A partir de 1º de março de 1999 os veículos Padron II, Padron III e Articulado que forem incorporados ao sistema de ônibus de Belo Horizonte deverão ser do tipo piso baixo (low floor) ou entrada baixa (low entry) [...]" e que "A partir de 1º de janeiro de 2000 os veículos Minibus, Microônibus, Padron I e Padron II A deverão atender às especificações" de piso baixo conforme BHTRANS(1999a), o que resulta e meta de 100% da frota com embarque em nível (portanto, com alguma faciliadde) até dezembro/1999 
obs.3: metas alteradas para entrada de "veículos acessíveis ou adaptados" conforme BH(2003b)
obs.4: em 13/05/2016 a BHTrans, em seu processo de revisão do PlanMob, propôs  "100% dos veículos com facilidade para o embarque e desembarque de pessoas com mobilidade física reduzida" a ser alvançado no ano 2020 onforme BHTRANS(2016k)</v>
      </c>
      <c r="G1018" s="110" t="str">
        <f>'Q100e-FrotaOnibus'!BG25</f>
        <v>meta BHTrans</v>
      </c>
      <c r="H1018" s="596" t="s">
        <v>432</v>
      </c>
      <c r="I1018" s="167">
        <v>1</v>
      </c>
      <c r="J1018" s="109" t="s">
        <v>2467</v>
      </c>
      <c r="K1018" s="109" t="s">
        <v>2467</v>
      </c>
      <c r="L1018" s="109" t="s">
        <v>2467</v>
      </c>
      <c r="M1018" s="846" t="s">
        <v>432</v>
      </c>
      <c r="N1018" s="846" t="s">
        <v>432</v>
      </c>
      <c r="O1018" s="846" t="s">
        <v>432</v>
      </c>
      <c r="P1018" s="846" t="s">
        <v>432</v>
      </c>
      <c r="Q1018" s="846" t="s">
        <v>432</v>
      </c>
      <c r="R1018" s="846" t="s">
        <v>432</v>
      </c>
      <c r="S1018" s="109" t="s">
        <v>2209</v>
      </c>
      <c r="T1018" s="846" t="s">
        <v>432</v>
      </c>
      <c r="U1018" s="95">
        <v>1</v>
      </c>
      <c r="V1018" s="109" t="s">
        <v>2209</v>
      </c>
      <c r="W1018" s="846" t="s">
        <v>432</v>
      </c>
      <c r="X1018" s="846" t="s">
        <v>432</v>
      </c>
      <c r="Y1018" s="846" t="s">
        <v>432</v>
      </c>
      <c r="Z1018" s="195" t="s">
        <v>2508</v>
      </c>
      <c r="AA1018" s="195" t="s">
        <v>2509</v>
      </c>
      <c r="AB1018" s="195" t="s">
        <v>2510</v>
      </c>
      <c r="AC1018" s="846" t="s">
        <v>432</v>
      </c>
      <c r="AD1018" s="846" t="s">
        <v>432</v>
      </c>
      <c r="AE1018" s="846" t="s">
        <v>432</v>
      </c>
      <c r="AF1018" s="846" t="s">
        <v>432</v>
      </c>
      <c r="AG1018" s="846" t="s">
        <v>432</v>
      </c>
      <c r="AH1018" s="846" t="s">
        <v>432</v>
      </c>
      <c r="AI1018" s="846" t="s">
        <v>432</v>
      </c>
      <c r="AJ1018" s="846" t="s">
        <v>432</v>
      </c>
      <c r="AK1018" s="846" t="s">
        <v>432</v>
      </c>
      <c r="AL1018" s="600" t="s">
        <v>432</v>
      </c>
      <c r="AM1018" s="137" t="s">
        <v>432</v>
      </c>
      <c r="AN1018" s="137" t="s">
        <v>432</v>
      </c>
      <c r="AO1018" s="137" t="s">
        <v>432</v>
      </c>
      <c r="AP1018" s="137" t="s">
        <v>432</v>
      </c>
      <c r="AQ1018" s="95">
        <v>1</v>
      </c>
      <c r="AR1018" s="137" t="s">
        <v>432</v>
      </c>
      <c r="AS1018" s="137" t="s">
        <v>432</v>
      </c>
      <c r="AT1018" s="137" t="s">
        <v>432</v>
      </c>
      <c r="AU1018" s="137" t="s">
        <v>432</v>
      </c>
      <c r="AV1018" s="95">
        <v>1</v>
      </c>
      <c r="AW1018" s="137" t="s">
        <v>432</v>
      </c>
      <c r="AX1018" s="137" t="s">
        <v>432</v>
      </c>
      <c r="AY1018" s="137" t="s">
        <v>432</v>
      </c>
      <c r="AZ1018" s="137" t="s">
        <v>432</v>
      </c>
      <c r="BA1018" s="95">
        <v>1</v>
      </c>
      <c r="BB1018" s="239" t="str">
        <f t="shared" si="248"/>
        <v>Transporte convencionalacessibilidade</v>
      </c>
      <c r="BC1018" s="239" t="str">
        <f t="shared" si="249"/>
        <v>Transporte convencionalacessibilidadex</v>
      </c>
      <c r="BD1018" s="239" t="str">
        <f t="shared" si="250"/>
        <v>Transporte convencionalx</v>
      </c>
    </row>
    <row r="1019" spans="1:67" s="1" customFormat="1" ht="105" customHeight="1" x14ac:dyDescent="0.25">
      <c r="A1019" s="275" t="str">
        <f>'Q100b-totais'!B57</f>
        <v>8.5</v>
      </c>
      <c r="B1019" s="1205" t="str">
        <f>'Q100b-totais'!C57</f>
        <v>Transporte convencional</v>
      </c>
      <c r="C1019" s="57" t="s">
        <v>743</v>
      </c>
      <c r="D1019" s="714" t="s">
        <v>4023</v>
      </c>
      <c r="E1019" s="254" t="s">
        <v>1306</v>
      </c>
      <c r="F1019" s="252" t="s">
        <v>4022</v>
      </c>
      <c r="G1019" s="111" t="s">
        <v>2378</v>
      </c>
      <c r="H1019" s="57" t="s">
        <v>432</v>
      </c>
      <c r="I1019" s="167">
        <v>1</v>
      </c>
      <c r="J1019" s="109" t="s">
        <v>2467</v>
      </c>
      <c r="K1019" s="109" t="s">
        <v>2467</v>
      </c>
      <c r="L1019" s="109" t="s">
        <v>2467</v>
      </c>
      <c r="M1019" s="523" t="e">
        <f t="shared" ref="M1019:R1019" si="259">(M1017-M1750)*100</f>
        <v>#VALUE!</v>
      </c>
      <c r="N1019" s="523" t="e">
        <f t="shared" si="259"/>
        <v>#VALUE!</v>
      </c>
      <c r="O1019" s="523" t="e">
        <f t="shared" si="259"/>
        <v>#VALUE!</v>
      </c>
      <c r="P1019" s="523" t="e">
        <f t="shared" si="259"/>
        <v>#VALUE!</v>
      </c>
      <c r="Q1019" s="523" t="e">
        <f t="shared" si="259"/>
        <v>#VALUE!</v>
      </c>
      <c r="R1019" s="523" t="e">
        <f t="shared" si="259"/>
        <v>#VALUE!</v>
      </c>
      <c r="S1019" s="109" t="s">
        <v>2209</v>
      </c>
      <c r="T1019" s="523" t="e">
        <f>(T1017-T1750)*100</f>
        <v>#VALUE!</v>
      </c>
      <c r="U1019" s="523" t="e">
        <f>(U1017-U1750)*100</f>
        <v>#VALUE!</v>
      </c>
      <c r="V1019" s="109" t="s">
        <v>2209</v>
      </c>
      <c r="W1019" s="112" t="e">
        <f t="shared" ref="W1019:AK1019" si="260">(W1017-W1750)</f>
        <v>#VALUE!</v>
      </c>
      <c r="X1019" s="112" t="e">
        <f t="shared" si="260"/>
        <v>#VALUE!</v>
      </c>
      <c r="Y1019" s="112" t="e">
        <f t="shared" si="260"/>
        <v>#VALUE!</v>
      </c>
      <c r="Z1019" s="112" t="e">
        <f t="shared" si="260"/>
        <v>#VALUE!</v>
      </c>
      <c r="AA1019" s="112" t="e">
        <f t="shared" si="260"/>
        <v>#VALUE!</v>
      </c>
      <c r="AB1019" s="112" t="e">
        <f t="shared" si="260"/>
        <v>#VALUE!</v>
      </c>
      <c r="AC1019" s="112" t="e">
        <f t="shared" si="260"/>
        <v>#VALUE!</v>
      </c>
      <c r="AD1019" s="112" t="e">
        <f t="shared" si="260"/>
        <v>#VALUE!</v>
      </c>
      <c r="AE1019" s="112" t="e">
        <f t="shared" si="260"/>
        <v>#VALUE!</v>
      </c>
      <c r="AF1019" s="507">
        <f t="shared" si="260"/>
        <v>0.34041807909604521</v>
      </c>
      <c r="AG1019" s="507">
        <f t="shared" si="260"/>
        <v>0.30154485049833885</v>
      </c>
      <c r="AH1019" s="507">
        <f t="shared" si="260"/>
        <v>0.23157274522712312</v>
      </c>
      <c r="AI1019" s="507">
        <f t="shared" si="260"/>
        <v>0.21362906938507076</v>
      </c>
      <c r="AJ1019" s="507">
        <f t="shared" si="260"/>
        <v>0.21809923916639096</v>
      </c>
      <c r="AK1019" s="507">
        <f t="shared" si="260"/>
        <v>0.16566756756756751</v>
      </c>
      <c r="AL1019" s="600" t="s">
        <v>432</v>
      </c>
      <c r="AM1019" s="422" t="s">
        <v>3856</v>
      </c>
      <c r="AN1019" s="137" t="s">
        <v>432</v>
      </c>
      <c r="AO1019" s="137" t="s">
        <v>432</v>
      </c>
      <c r="AP1019" s="137" t="s">
        <v>432</v>
      </c>
      <c r="AQ1019" s="137" t="s">
        <v>432</v>
      </c>
      <c r="AR1019" s="137" t="s">
        <v>432</v>
      </c>
      <c r="AS1019" s="137" t="s">
        <v>432</v>
      </c>
      <c r="AT1019" s="137" t="s">
        <v>432</v>
      </c>
      <c r="AU1019" s="137" t="s">
        <v>432</v>
      </c>
      <c r="AV1019" s="137" t="s">
        <v>432</v>
      </c>
      <c r="AW1019" s="137" t="s">
        <v>432</v>
      </c>
      <c r="AX1019" s="137" t="s">
        <v>432</v>
      </c>
      <c r="AY1019" s="137" t="s">
        <v>432</v>
      </c>
      <c r="AZ1019" s="137" t="s">
        <v>432</v>
      </c>
      <c r="BA1019" s="137" t="s">
        <v>432</v>
      </c>
      <c r="BB1019" s="239" t="str">
        <f t="shared" si="248"/>
        <v>Transporte convencionalacessibilidade</v>
      </c>
      <c r="BC1019" s="239" t="str">
        <f t="shared" si="249"/>
        <v>Transporte convencionalacessibilidadex</v>
      </c>
      <c r="BD1019" s="239" t="str">
        <f t="shared" si="250"/>
        <v>Transporte convencionalx</v>
      </c>
    </row>
    <row r="1020" spans="1:67" s="1" customFormat="1" ht="154.5" customHeight="1" x14ac:dyDescent="0.25">
      <c r="A1020" s="275" t="str">
        <f>'Q100b-totais'!B59</f>
        <v>8.7</v>
      </c>
      <c r="B1020" s="1205" t="str">
        <f>'Q100b-totais'!C59</f>
        <v>Transporte de baixa capacidade</v>
      </c>
      <c r="C1020" s="57" t="s">
        <v>743</v>
      </c>
      <c r="D1020" s="714" t="str">
        <f>'Q100e-FrotaOnibus'!BH23</f>
        <v>F tcs fc
(n.º)</v>
      </c>
      <c r="E1020" s="254" t="str">
        <f>'Q100e-FrotaOnibus'!BI23</f>
        <v>Belo Horizonte</v>
      </c>
      <c r="F1020" s="252" t="str">
        <f>'Q100e-FrotaOnibus'!BJ23</f>
        <v>frota em n.º de ônibus do transporte coletivo suplementar de Belo Horizonte com alguma facilidade para o embarque/desembarque de pessoas com mobilidade física reduzida mesmo que essa facilidade não permita classificar a viagem ofertada como acessível
obs.1: acesse as definições de "acessível, ônibus" e "alguma facilidade"
obs.2: em Belo Horizonte pelo menos até 2015 este indicador tem resultados idênticos ao da frota de ônibus com elevador pois, criado em 2001, o serviço suplementar nunca operou com embarque em nível, seja com ônibus de piso baixo, seja com plataforma elevada (esta frota com facilidade é, portanto, composta apenas por ônibus com elevador)
obs.3: licitação para todo o serviço lançada em 2016 conforme BHTRANS(2016h) quando se considerou que todos os veículos do serviço "são acessíveis à [sic] pessoas com mobilidade reduzida" conforme BHTRANS(2016i)</v>
      </c>
      <c r="G1020" s="111" t="str">
        <f>'Q100e-FrotaOnibus'!BK23</f>
        <v>até 2015:
F tcs eh</v>
      </c>
      <c r="H1020" s="57" t="s">
        <v>432</v>
      </c>
      <c r="I1020" s="167">
        <v>1</v>
      </c>
      <c r="J1020" s="107" t="s">
        <v>2055</v>
      </c>
      <c r="K1020" s="107" t="s">
        <v>2055</v>
      </c>
      <c r="L1020" s="107" t="s">
        <v>2055</v>
      </c>
      <c r="M1020" s="107" t="s">
        <v>2055</v>
      </c>
      <c r="N1020" s="107" t="s">
        <v>2055</v>
      </c>
      <c r="O1020" s="107" t="s">
        <v>2055</v>
      </c>
      <c r="P1020" s="107" t="s">
        <v>2055</v>
      </c>
      <c r="Q1020" s="107" t="s">
        <v>2055</v>
      </c>
      <c r="R1020" s="107" t="s">
        <v>2055</v>
      </c>
      <c r="S1020" s="109" t="s">
        <v>2209</v>
      </c>
      <c r="T1020" s="107" t="s">
        <v>2055</v>
      </c>
      <c r="U1020" s="107" t="s">
        <v>2055</v>
      </c>
      <c r="V1020" s="109" t="s">
        <v>2209</v>
      </c>
      <c r="W1020" s="622" t="s">
        <v>2148</v>
      </c>
      <c r="X1020" s="622" t="s">
        <v>2148</v>
      </c>
      <c r="Y1020" s="622" t="s">
        <v>2148</v>
      </c>
      <c r="Z1020" s="622" t="s">
        <v>2148</v>
      </c>
      <c r="AA1020" s="622" t="s">
        <v>2148</v>
      </c>
      <c r="AB1020" s="622" t="s">
        <v>2148</v>
      </c>
      <c r="AC1020" s="622" t="s">
        <v>2148</v>
      </c>
      <c r="AD1020" s="622" t="s">
        <v>2148</v>
      </c>
      <c r="AE1020" s="622" t="s">
        <v>2148</v>
      </c>
      <c r="AF1020" s="622" t="s">
        <v>2148</v>
      </c>
      <c r="AG1020" s="622" t="s">
        <v>2148</v>
      </c>
      <c r="AH1020" s="622" t="s">
        <v>2148</v>
      </c>
      <c r="AI1020" s="622" t="s">
        <v>2148</v>
      </c>
      <c r="AJ1020" s="523">
        <f>AJ906</f>
        <v>270</v>
      </c>
      <c r="AK1020" s="523">
        <f>AK906</f>
        <v>269</v>
      </c>
      <c r="AL1020" s="600" t="s">
        <v>432</v>
      </c>
      <c r="AM1020" s="137" t="s">
        <v>432</v>
      </c>
      <c r="AN1020" s="137" t="s">
        <v>432</v>
      </c>
      <c r="AO1020" s="137" t="s">
        <v>432</v>
      </c>
      <c r="AP1020" s="137" t="s">
        <v>432</v>
      </c>
      <c r="AQ1020" s="137" t="s">
        <v>432</v>
      </c>
      <c r="AR1020" s="137" t="s">
        <v>432</v>
      </c>
      <c r="AS1020" s="137" t="s">
        <v>432</v>
      </c>
      <c r="AT1020" s="137" t="s">
        <v>432</v>
      </c>
      <c r="AU1020" s="137" t="s">
        <v>432</v>
      </c>
      <c r="AV1020" s="137" t="s">
        <v>432</v>
      </c>
      <c r="AW1020" s="137" t="s">
        <v>432</v>
      </c>
      <c r="AX1020" s="137" t="s">
        <v>432</v>
      </c>
      <c r="AY1020" s="137" t="s">
        <v>432</v>
      </c>
      <c r="AZ1020" s="137" t="s">
        <v>432</v>
      </c>
      <c r="BA1020" s="137" t="s">
        <v>432</v>
      </c>
      <c r="BB1020" s="239" t="str">
        <f t="shared" si="248"/>
        <v>Transporte de baixa capacidadeacessibilidade</v>
      </c>
      <c r="BC1020" s="239" t="str">
        <f t="shared" si="249"/>
        <v>Transporte de baixa capacidadeacessibilidadex</v>
      </c>
      <c r="BD1020" s="239" t="str">
        <f t="shared" si="250"/>
        <v>Transporte de baixa capacidadex</v>
      </c>
    </row>
    <row r="1021" spans="1:67" s="1" customFormat="1" ht="114.75" customHeight="1" x14ac:dyDescent="0.25">
      <c r="A1021" s="275" t="str">
        <f>'Q100b-totais'!$B$59</f>
        <v>8.7</v>
      </c>
      <c r="B1021" s="252" t="str">
        <f>'Q100b-totais'!$C$59</f>
        <v>Transporte de baixa capacidade</v>
      </c>
      <c r="C1021" s="167" t="s">
        <v>743</v>
      </c>
      <c r="D1021" s="715" t="str">
        <f>'Q100e-FrotaOnibus'!BH24</f>
        <v>F tcs fc
(%)</v>
      </c>
      <c r="E1021" s="1502" t="str">
        <f>'Q100e-FrotaOnibus'!BI24</f>
        <v>Belo Horizonte</v>
      </c>
      <c r="F1021" s="355" t="str">
        <f>'Q100e-FrotaOnibus'!BJ24</f>
        <v xml:space="preserve">percentual da frota de ônibus do transporte coletivo suplementar de Belo Horizonte com alguma facilidade no embarque/desembarque de pessoas com mobilidade física reduzida
obs.: em Belo Horizonte pelo menos até 2015 este indicador tem resultados idênticos ao "% de supementar com elevador (Belo Horizonte)" pois, criado em 2001, o serviço nunca operou com embarque em nível (seja com ônibus de piso baixo, seja com plataforma elevada) </v>
      </c>
      <c r="G1021" s="111" t="str">
        <f>'Q100e-FrotaOnibus'!BK24</f>
        <v>(F tcs fc / F tcs) x 100</v>
      </c>
      <c r="H1021" s="167" t="s">
        <v>432</v>
      </c>
      <c r="I1021" s="167">
        <v>1</v>
      </c>
      <c r="J1021" s="107" t="s">
        <v>2055</v>
      </c>
      <c r="K1021" s="107" t="s">
        <v>2055</v>
      </c>
      <c r="L1021" s="107" t="s">
        <v>2055</v>
      </c>
      <c r="M1021" s="107" t="s">
        <v>2055</v>
      </c>
      <c r="N1021" s="107" t="s">
        <v>2055</v>
      </c>
      <c r="O1021" s="107" t="s">
        <v>2055</v>
      </c>
      <c r="P1021" s="107" t="s">
        <v>2055</v>
      </c>
      <c r="Q1021" s="107" t="s">
        <v>2055</v>
      </c>
      <c r="R1021" s="107" t="s">
        <v>2055</v>
      </c>
      <c r="S1021" s="109" t="s">
        <v>2209</v>
      </c>
      <c r="T1021" s="107" t="s">
        <v>2055</v>
      </c>
      <c r="U1021" s="107" t="s">
        <v>2055</v>
      </c>
      <c r="V1021" s="109" t="s">
        <v>2209</v>
      </c>
      <c r="W1021" s="622" t="s">
        <v>2148</v>
      </c>
      <c r="X1021" s="622" t="s">
        <v>2148</v>
      </c>
      <c r="Y1021" s="622" t="s">
        <v>2148</v>
      </c>
      <c r="Z1021" s="622" t="s">
        <v>2148</v>
      </c>
      <c r="AA1021" s="622" t="s">
        <v>2148</v>
      </c>
      <c r="AB1021" s="622" t="s">
        <v>2148</v>
      </c>
      <c r="AC1021" s="622" t="s">
        <v>2148</v>
      </c>
      <c r="AD1021" s="622" t="s">
        <v>2148</v>
      </c>
      <c r="AE1021" s="622" t="s">
        <v>2148</v>
      </c>
      <c r="AF1021" s="622" t="s">
        <v>2148</v>
      </c>
      <c r="AG1021" s="622" t="s">
        <v>2148</v>
      </c>
      <c r="AH1021" s="622" t="s">
        <v>2148</v>
      </c>
      <c r="AI1021" s="622" t="s">
        <v>2148</v>
      </c>
      <c r="AJ1021" s="599">
        <f>AJ906/AJ867</f>
        <v>0.97472924187725629</v>
      </c>
      <c r="AK1021" s="599">
        <f>AK906/AK867</f>
        <v>0.98175182481751821</v>
      </c>
      <c r="AL1021" s="600" t="s">
        <v>432</v>
      </c>
      <c r="AM1021" s="137" t="s">
        <v>432</v>
      </c>
      <c r="AN1021" s="137" t="s">
        <v>432</v>
      </c>
      <c r="AO1021" s="137" t="s">
        <v>432</v>
      </c>
      <c r="AP1021" s="137" t="s">
        <v>432</v>
      </c>
      <c r="AQ1021" s="137" t="s">
        <v>432</v>
      </c>
      <c r="AR1021" s="137" t="s">
        <v>432</v>
      </c>
      <c r="AS1021" s="137" t="s">
        <v>432</v>
      </c>
      <c r="AT1021" s="137" t="s">
        <v>432</v>
      </c>
      <c r="AU1021" s="137" t="s">
        <v>432</v>
      </c>
      <c r="AV1021" s="137" t="s">
        <v>432</v>
      </c>
      <c r="AW1021" s="137" t="s">
        <v>432</v>
      </c>
      <c r="AX1021" s="137" t="s">
        <v>432</v>
      </c>
      <c r="AY1021" s="137" t="s">
        <v>432</v>
      </c>
      <c r="AZ1021" s="137" t="s">
        <v>432</v>
      </c>
      <c r="BA1021" s="137" t="s">
        <v>432</v>
      </c>
      <c r="BB1021" s="239" t="str">
        <f t="shared" si="248"/>
        <v>Transporte de baixa capacidadeacessibilidade</v>
      </c>
      <c r="BC1021" s="239" t="str">
        <f t="shared" si="249"/>
        <v>Transporte de baixa capacidadeacessibilidadex</v>
      </c>
      <c r="BD1021" s="239" t="str">
        <f t="shared" si="250"/>
        <v>Transporte de baixa capacidadex</v>
      </c>
      <c r="BM1021" s="359"/>
      <c r="BN1021" s="359"/>
      <c r="BO1021" s="359"/>
    </row>
    <row r="1022" spans="1:67" s="1" customFormat="1" ht="114.75" customHeight="1" x14ac:dyDescent="0.25">
      <c r="A1022" s="390" t="str">
        <f>'Q100b-totais'!B62</f>
        <v>8.10</v>
      </c>
      <c r="B1022" s="181" t="str">
        <f>'Q100b-totais'!C62</f>
        <v>Sistema de transporte coletivo com um todo</v>
      </c>
      <c r="C1022" s="167" t="s">
        <v>743</v>
      </c>
      <c r="D1022" s="718" t="str">
        <f>'Q100e-FrotaOnibus'!O23</f>
        <v>F tc fc
(n.º)</v>
      </c>
      <c r="E1022" s="1524" t="str">
        <f>'Q100e-FrotaOnibus'!P23</f>
        <v>Contagem</v>
      </c>
      <c r="F1022" s="181" t="str">
        <f>'Q100e-FrotaOnibus'!Q23</f>
        <v>frota em n.º de ônibus do transporte coletivo de Contagem com alguma facilidade para o embarque/desembarque de pessoas com mobilidade física reduzida mesmo que essa facilidade não permita classificar a viagem ofertada como acessível
obs.1: acesse as definições de "acessível, ônibus" e "alguma facilidade"
obs.2: em Contagem, pelo menos até 2014 não existem veículos com embarque em nível e, por isto, este indicador tem resultados idênticos ao relativo à frota com elevador hidráulico "F tc eh (n.º) "</v>
      </c>
      <c r="G1022" s="392" t="str">
        <f>'Q100e-FrotaOnibus'!R23</f>
        <v>até 2014: 
F tc eh</v>
      </c>
      <c r="H1022" s="391" t="s">
        <v>1298</v>
      </c>
      <c r="I1022" s="393">
        <v>1</v>
      </c>
      <c r="J1022" s="107" t="s">
        <v>2055</v>
      </c>
      <c r="K1022" s="107" t="s">
        <v>2055</v>
      </c>
      <c r="L1022" s="107" t="s">
        <v>2055</v>
      </c>
      <c r="M1022" s="107" t="s">
        <v>2055</v>
      </c>
      <c r="N1022" s="107" t="s">
        <v>2055</v>
      </c>
      <c r="O1022" s="107" t="s">
        <v>2055</v>
      </c>
      <c r="P1022" s="107" t="s">
        <v>2055</v>
      </c>
      <c r="Q1022" s="107" t="s">
        <v>2055</v>
      </c>
      <c r="R1022" s="107" t="s">
        <v>2055</v>
      </c>
      <c r="S1022" s="109" t="s">
        <v>2209</v>
      </c>
      <c r="T1022" s="107" t="s">
        <v>2055</v>
      </c>
      <c r="U1022" s="107" t="s">
        <v>2055</v>
      </c>
      <c r="V1022" s="109" t="s">
        <v>2209</v>
      </c>
      <c r="W1022" s="107" t="s">
        <v>2204</v>
      </c>
      <c r="X1022" s="107" t="s">
        <v>2204</v>
      </c>
      <c r="Y1022" s="107" t="s">
        <v>2204</v>
      </c>
      <c r="Z1022" s="107" t="s">
        <v>2204</v>
      </c>
      <c r="AA1022" s="107" t="s">
        <v>2204</v>
      </c>
      <c r="AB1022" s="107" t="s">
        <v>2204</v>
      </c>
      <c r="AC1022" s="107" t="s">
        <v>2204</v>
      </c>
      <c r="AD1022" s="107" t="s">
        <v>2204</v>
      </c>
      <c r="AE1022" s="107" t="s">
        <v>2204</v>
      </c>
      <c r="AF1022" s="107" t="s">
        <v>2204</v>
      </c>
      <c r="AG1022" s="107" t="s">
        <v>2204</v>
      </c>
      <c r="AH1022" s="107" t="s">
        <v>2204</v>
      </c>
      <c r="AI1022" s="107" t="s">
        <v>2204</v>
      </c>
      <c r="AJ1022" s="613">
        <f>AJ908</f>
        <v>302</v>
      </c>
      <c r="AK1022" s="107" t="s">
        <v>2204</v>
      </c>
      <c r="AL1022" s="600" t="s">
        <v>432</v>
      </c>
      <c r="AM1022" s="137" t="s">
        <v>432</v>
      </c>
      <c r="AN1022" s="137" t="s">
        <v>432</v>
      </c>
      <c r="AO1022" s="137" t="s">
        <v>432</v>
      </c>
      <c r="AP1022" s="137" t="s">
        <v>432</v>
      </c>
      <c r="AQ1022" s="137" t="s">
        <v>432</v>
      </c>
      <c r="AR1022" s="137" t="s">
        <v>432</v>
      </c>
      <c r="AS1022" s="137" t="s">
        <v>432</v>
      </c>
      <c r="AT1022" s="137" t="s">
        <v>432</v>
      </c>
      <c r="AU1022" s="137" t="s">
        <v>432</v>
      </c>
      <c r="AV1022" s="137" t="s">
        <v>432</v>
      </c>
      <c r="AW1022" s="137" t="s">
        <v>432</v>
      </c>
      <c r="AX1022" s="137" t="s">
        <v>432</v>
      </c>
      <c r="AY1022" s="137" t="s">
        <v>432</v>
      </c>
      <c r="AZ1022" s="137" t="s">
        <v>432</v>
      </c>
      <c r="BA1022" s="137" t="s">
        <v>432</v>
      </c>
      <c r="BB1022" s="239" t="str">
        <f t="shared" si="248"/>
        <v>Sistema de transporte coletivo com um todoacessibilidade</v>
      </c>
      <c r="BC1022" s="239" t="str">
        <f t="shared" si="249"/>
        <v>Sistema de transporte coletivo com um todoacessibilidadeRMBH</v>
      </c>
      <c r="BD1022" s="239" t="str">
        <f t="shared" si="250"/>
        <v>Sistema de transporte coletivo com um todoRMBH</v>
      </c>
      <c r="BM1022" s="555"/>
      <c r="BN1022" s="555"/>
      <c r="BO1022" s="555"/>
    </row>
    <row r="1023" spans="1:67" ht="76.5" x14ac:dyDescent="0.25">
      <c r="A1023" s="390" t="str">
        <f>'Q100b-totais'!B62</f>
        <v>8.10</v>
      </c>
      <c r="B1023" s="70" t="str">
        <f>'Q100b-totais'!C62</f>
        <v>Sistema de transporte coletivo com um todo</v>
      </c>
      <c r="C1023" s="391" t="s">
        <v>743</v>
      </c>
      <c r="D1023" s="748" t="str">
        <f>'Q100e-FrotaOnibus'!O24</f>
        <v>F tc fc
(%)</v>
      </c>
      <c r="E1023" s="1525" t="str">
        <f>'Q100e-FrotaOnibus'!P24</f>
        <v>Contagem</v>
      </c>
      <c r="F1023" s="750" t="str">
        <f>'Q100e-FrotaOnibus'!Q24</f>
        <v>percentual da frota de ônibus do transporte coletivo de Contagem com alguma facilidade no embarque/desembarque de pessoas com mobilidade física reduzida
obs.1: segundo o PlanMob Contagem os veículos com elevador hidráulico instalado "são considerados acessíveis" (VERTRAN, 2005a, p.60)
obs.2: em Contagem, pelo menos até 2014 não existem veículos com embarque em nível e, por isto, este indicador tem resultados idênticos ao "% de frota com elevador (Contagem)"</v>
      </c>
      <c r="G1023" s="392" t="str">
        <f>'Q100e-FrotaOnibus'!R24</f>
        <v>até 2014:
(F tc eh / F tc) x 100</v>
      </c>
      <c r="H1023" s="391" t="s">
        <v>1298</v>
      </c>
      <c r="I1023" s="393">
        <v>1</v>
      </c>
      <c r="J1023" s="107" t="s">
        <v>2204</v>
      </c>
      <c r="K1023" s="107" t="s">
        <v>2204</v>
      </c>
      <c r="L1023" s="107" t="s">
        <v>2204</v>
      </c>
      <c r="M1023" s="107" t="s">
        <v>2204</v>
      </c>
      <c r="N1023" s="107" t="s">
        <v>2204</v>
      </c>
      <c r="O1023" s="107" t="s">
        <v>2204</v>
      </c>
      <c r="P1023" s="107" t="s">
        <v>2204</v>
      </c>
      <c r="Q1023" s="107" t="s">
        <v>2204</v>
      </c>
      <c r="R1023" s="107" t="s">
        <v>2204</v>
      </c>
      <c r="S1023" s="109" t="s">
        <v>2209</v>
      </c>
      <c r="T1023" s="107" t="s">
        <v>2204</v>
      </c>
      <c r="U1023" s="107" t="s">
        <v>2204</v>
      </c>
      <c r="V1023" s="109" t="s">
        <v>2209</v>
      </c>
      <c r="W1023" s="107" t="s">
        <v>2204</v>
      </c>
      <c r="X1023" s="107" t="s">
        <v>2204</v>
      </c>
      <c r="Y1023" s="107" t="s">
        <v>2204</v>
      </c>
      <c r="Z1023" s="107" t="s">
        <v>2204</v>
      </c>
      <c r="AA1023" s="107" t="s">
        <v>2204</v>
      </c>
      <c r="AB1023" s="107" t="s">
        <v>2204</v>
      </c>
      <c r="AC1023" s="107" t="s">
        <v>2204</v>
      </c>
      <c r="AD1023" s="107" t="s">
        <v>2204</v>
      </c>
      <c r="AE1023" s="107" t="s">
        <v>2204</v>
      </c>
      <c r="AF1023" s="107" t="s">
        <v>2204</v>
      </c>
      <c r="AG1023" s="107" t="s">
        <v>2204</v>
      </c>
      <c r="AH1023" s="107" t="s">
        <v>2204</v>
      </c>
      <c r="AI1023" s="107" t="s">
        <v>2204</v>
      </c>
      <c r="AJ1023" s="47">
        <f>AJ908/AJ878</f>
        <v>0.90419161676646709</v>
      </c>
      <c r="AK1023" s="107" t="s">
        <v>2204</v>
      </c>
      <c r="AL1023" s="600" t="s">
        <v>432</v>
      </c>
      <c r="AM1023" s="395" t="s">
        <v>432</v>
      </c>
      <c r="AN1023" s="395" t="s">
        <v>432</v>
      </c>
      <c r="AO1023" s="395" t="s">
        <v>432</v>
      </c>
      <c r="AP1023" s="395" t="s">
        <v>432</v>
      </c>
      <c r="AQ1023" s="395" t="s">
        <v>432</v>
      </c>
      <c r="AR1023" s="395" t="s">
        <v>432</v>
      </c>
      <c r="AS1023" s="395" t="s">
        <v>432</v>
      </c>
      <c r="AT1023" s="395" t="s">
        <v>432</v>
      </c>
      <c r="AU1023" s="395" t="s">
        <v>432</v>
      </c>
      <c r="AV1023" s="395" t="s">
        <v>432</v>
      </c>
      <c r="AW1023" s="395" t="s">
        <v>432</v>
      </c>
      <c r="AX1023" s="395" t="s">
        <v>432</v>
      </c>
      <c r="AY1023" s="395" t="s">
        <v>432</v>
      </c>
      <c r="AZ1023" s="395" t="s">
        <v>432</v>
      </c>
      <c r="BA1023" s="395" t="s">
        <v>432</v>
      </c>
      <c r="BB1023" s="396" t="str">
        <f t="shared" si="248"/>
        <v>Sistema de transporte coletivo com um todoacessibilidade</v>
      </c>
      <c r="BC1023" s="396" t="str">
        <f t="shared" si="249"/>
        <v>Sistema de transporte coletivo com um todoacessibilidadeRMBH</v>
      </c>
      <c r="BD1023" s="396" t="str">
        <f t="shared" si="250"/>
        <v>Sistema de transporte coletivo com um todoRMBH</v>
      </c>
    </row>
    <row r="1024" spans="1:67" s="105" customFormat="1" ht="60" customHeight="1" x14ac:dyDescent="0.25">
      <c r="A1024" s="275" t="str">
        <f>'Q100b-totais'!B62</f>
        <v>8.10</v>
      </c>
      <c r="B1024" s="1205" t="str">
        <f>'Q100b-totais'!C62</f>
        <v>Sistema de transporte coletivo com um todo</v>
      </c>
      <c r="C1024" s="57" t="s">
        <v>743</v>
      </c>
      <c r="D1024" s="714" t="str">
        <f>'Q100e-FrotaOnibus'!S23</f>
        <v>F tc fc
(n.º)</v>
      </c>
      <c r="E1024" s="1498" t="str">
        <f>'Q100e-FrotaOnibus'!T23</f>
        <v>Curitiba</v>
      </c>
      <c r="F1024" s="252" t="str">
        <f>'Q100e-FrotaOnibus'!U23</f>
        <v>frota em n.º de ônibus do transporte coletivo de Curitiba com alguma facilidade para o embarque/desembarque de pessoas com mobilidade física reduzida mesmo que essa facilidade não permita classificar a viagem ofertada como acessível
obs.: acesse as definições de "acessível, ônibus" e "alguma facilidade"</v>
      </c>
      <c r="G1024" s="111" t="str">
        <f>'Q100e-FrotaOnibus'!V23</f>
        <v>F tc - F nac</v>
      </c>
      <c r="H1024" s="57" t="s">
        <v>819</v>
      </c>
      <c r="I1024" s="167" t="s">
        <v>432</v>
      </c>
      <c r="J1024" s="109" t="s">
        <v>432</v>
      </c>
      <c r="K1024" s="109" t="s">
        <v>432</v>
      </c>
      <c r="L1024" s="109" t="s">
        <v>432</v>
      </c>
      <c r="M1024" s="109" t="s">
        <v>432</v>
      </c>
      <c r="N1024" s="109" t="s">
        <v>432</v>
      </c>
      <c r="O1024" s="109" t="s">
        <v>432</v>
      </c>
      <c r="P1024" s="109" t="s">
        <v>432</v>
      </c>
      <c r="Q1024" s="109" t="s">
        <v>432</v>
      </c>
      <c r="R1024" s="109" t="s">
        <v>432</v>
      </c>
      <c r="S1024" s="109" t="s">
        <v>2209</v>
      </c>
      <c r="T1024" s="109" t="s">
        <v>432</v>
      </c>
      <c r="U1024" s="109" t="s">
        <v>432</v>
      </c>
      <c r="V1024" s="109" t="s">
        <v>2209</v>
      </c>
      <c r="W1024" s="109" t="s">
        <v>432</v>
      </c>
      <c r="X1024" s="109" t="s">
        <v>432</v>
      </c>
      <c r="Y1024" s="109" t="s">
        <v>432</v>
      </c>
      <c r="Z1024" s="109" t="s">
        <v>432</v>
      </c>
      <c r="AA1024" s="109" t="s">
        <v>432</v>
      </c>
      <c r="AB1024" s="109" t="s">
        <v>432</v>
      </c>
      <c r="AC1024" s="109" t="s">
        <v>432</v>
      </c>
      <c r="AD1024" s="109" t="s">
        <v>432</v>
      </c>
      <c r="AE1024" s="109" t="s">
        <v>432</v>
      </c>
      <c r="AF1024" s="109" t="s">
        <v>432</v>
      </c>
      <c r="AG1024" s="109" t="s">
        <v>432</v>
      </c>
      <c r="AH1024" s="109" t="s">
        <v>432</v>
      </c>
      <c r="AI1024" s="109" t="s">
        <v>432</v>
      </c>
      <c r="AJ1024" s="109" t="s">
        <v>432</v>
      </c>
      <c r="AK1024" s="251">
        <f>AK879-AK1051</f>
        <v>1268</v>
      </c>
      <c r="AL1024" s="600" t="s">
        <v>432</v>
      </c>
      <c r="AM1024" s="137" t="s">
        <v>432</v>
      </c>
      <c r="AN1024" s="137" t="s">
        <v>432</v>
      </c>
      <c r="AO1024" s="137" t="s">
        <v>432</v>
      </c>
      <c r="AP1024" s="137" t="s">
        <v>432</v>
      </c>
      <c r="AQ1024" s="137" t="s">
        <v>432</v>
      </c>
      <c r="AR1024" s="137" t="s">
        <v>432</v>
      </c>
      <c r="AS1024" s="137" t="s">
        <v>432</v>
      </c>
      <c r="AT1024" s="137" t="s">
        <v>432</v>
      </c>
      <c r="AU1024" s="137" t="s">
        <v>432</v>
      </c>
      <c r="AV1024" s="137" t="s">
        <v>432</v>
      </c>
      <c r="AW1024" s="137" t="s">
        <v>432</v>
      </c>
      <c r="AX1024" s="137" t="s">
        <v>432</v>
      </c>
      <c r="AY1024" s="137" t="s">
        <v>432</v>
      </c>
      <c r="AZ1024" s="137" t="s">
        <v>432</v>
      </c>
      <c r="BA1024" s="137" t="s">
        <v>432</v>
      </c>
      <c r="BB1024" s="239" t="str">
        <f t="shared" si="248"/>
        <v>Sistema de transporte coletivo com um todoacessibilidade</v>
      </c>
      <c r="BC1024" s="239" t="str">
        <f t="shared" si="249"/>
        <v>Sistema de transporte coletivo com um todoacessibilidadebenchmarking</v>
      </c>
      <c r="BD1024" s="239" t="str">
        <f t="shared" si="250"/>
        <v>Sistema de transporte coletivo com um todobenchmarking</v>
      </c>
    </row>
    <row r="1025" spans="1:56" s="105" customFormat="1" ht="299.25" customHeight="1" x14ac:dyDescent="0.25">
      <c r="A1025" s="275" t="str">
        <f>'Q100b-totais'!B62</f>
        <v>8.10</v>
      </c>
      <c r="B1025" s="1205" t="str">
        <f>'Q100b-totais'!C62</f>
        <v>Sistema de transporte coletivo com um todo</v>
      </c>
      <c r="C1025" s="57" t="s">
        <v>743</v>
      </c>
      <c r="D1025" s="715" t="str">
        <f>'Q100e-FrotaOnibus'!S24</f>
        <v>F tc fc
(%)</v>
      </c>
      <c r="E1025" s="1520" t="str">
        <f>'Q100e-FrotaOnibus'!T24</f>
        <v>Curitiba</v>
      </c>
      <c r="F1025" s="355" t="str">
        <f>'Q100e-FrotaOnibus'!U24</f>
        <v>percentual da frota de ônibus do transporte coletivo de Curitiba com alguma facilidade no embarque/desembarque de pessoas com mobilidade física reduzida
obs.1: mesmo que essa facilidade não permita classificar a viagem ofertada como acessível, por meio de embarque em nível (desenho universal) ou de elevador hidráulico instalado no veículo (de uso exclusivo ou não para cadeirantes)
obs.2: o resultado 92,69% obtido com a fórmula "(n.º F tc fc / F tc) x 100" é diferente dos informados em URBS(2015c; 2016d1) de 92,66% e 93,73%
obs.3: na home page da URBS fica claro que em Curitiba o conceito de acessibilidade não é o mesmo adotado no SisMob-BH: "Como parte da política de melhoria da acessibilidade no sistema de transporte, até junho de 2015, 92,66% da frota operante de veículos do transporte coletivo possuía acessibilidade total, com elevadores nas linhas alimentadoras, interbairros, troncais e convencionais, assim como embarque em nível nos expressos e ligeirinhos. Desta forma, mais de 90% linhas da RIT - Rede Integrada de Transporte garantem a acessibilidade de cadeirantes e pessoas com mobilidade reduzida, com espaço e equipamentos para sua segurança no interior dos ônibus." conforme URBS(2015)
obs.4: "Como parte da política de melhoria da acessibilidade no sistema de transporte, até dezembro de 2015, 93,73% da frota operante de veículos do transporte coletivo possuía acessibilidade total, com elevadores nas linhas alimentadoras, interbairros, troncais e convencionais, assim como embarque em nível nos expressos e ligeirinhos. Desta forma, mais de 90% linhas da RIT - Rede Integrada de Transporte garantem a acessibilidade de cadeirantes e pessoas com mobilidade reduzida, com espaço e equipamentos para sua segurança no interior dos ônibus." conforme URBS(2015c)
obs.5: "Ainda em relação à acessibilidade, as estações tubo equipadas com elevadores ou rampas representam mais de 85% da quantidade total existente." conforme URBS(2015)</v>
      </c>
      <c r="G1025" s="110" t="str">
        <f>'Q100e-FrotaOnibus'!V24</f>
        <v>(n.º F tc fc / F tc) x 100</v>
      </c>
      <c r="H1025" s="57" t="s">
        <v>819</v>
      </c>
      <c r="I1025" s="167" t="s">
        <v>432</v>
      </c>
      <c r="J1025" s="109" t="s">
        <v>432</v>
      </c>
      <c r="K1025" s="109" t="s">
        <v>432</v>
      </c>
      <c r="L1025" s="109" t="s">
        <v>432</v>
      </c>
      <c r="M1025" s="109" t="s">
        <v>432</v>
      </c>
      <c r="N1025" s="109" t="s">
        <v>432</v>
      </c>
      <c r="O1025" s="109" t="s">
        <v>432</v>
      </c>
      <c r="P1025" s="109" t="s">
        <v>432</v>
      </c>
      <c r="Q1025" s="109" t="s">
        <v>432</v>
      </c>
      <c r="R1025" s="109" t="s">
        <v>432</v>
      </c>
      <c r="S1025" s="109" t="s">
        <v>2209</v>
      </c>
      <c r="T1025" s="109" t="s">
        <v>432</v>
      </c>
      <c r="U1025" s="109" t="s">
        <v>432</v>
      </c>
      <c r="V1025" s="109" t="s">
        <v>2209</v>
      </c>
      <c r="W1025" s="109" t="s">
        <v>432</v>
      </c>
      <c r="X1025" s="109" t="s">
        <v>432</v>
      </c>
      <c r="Y1025" s="109" t="s">
        <v>432</v>
      </c>
      <c r="Z1025" s="109" t="s">
        <v>432</v>
      </c>
      <c r="AA1025" s="109" t="s">
        <v>432</v>
      </c>
      <c r="AB1025" s="109" t="s">
        <v>432</v>
      </c>
      <c r="AC1025" s="109" t="s">
        <v>432</v>
      </c>
      <c r="AD1025" s="109" t="s">
        <v>432</v>
      </c>
      <c r="AE1025" s="109" t="s">
        <v>432</v>
      </c>
      <c r="AF1025" s="109" t="s">
        <v>432</v>
      </c>
      <c r="AG1025" s="109" t="s">
        <v>432</v>
      </c>
      <c r="AH1025" s="109" t="s">
        <v>432</v>
      </c>
      <c r="AI1025" s="109" t="s">
        <v>432</v>
      </c>
      <c r="AJ1025" s="109" t="s">
        <v>432</v>
      </c>
      <c r="AK1025" s="414">
        <f>AK1024/AK879</f>
        <v>0.92690058479532167</v>
      </c>
      <c r="AL1025" s="600" t="s">
        <v>432</v>
      </c>
      <c r="AM1025" s="137" t="s">
        <v>432</v>
      </c>
      <c r="AN1025" s="137" t="s">
        <v>432</v>
      </c>
      <c r="AO1025" s="137" t="s">
        <v>432</v>
      </c>
      <c r="AP1025" s="137" t="s">
        <v>432</v>
      </c>
      <c r="AQ1025" s="137" t="s">
        <v>432</v>
      </c>
      <c r="AR1025" s="137" t="s">
        <v>432</v>
      </c>
      <c r="AS1025" s="137" t="s">
        <v>432</v>
      </c>
      <c r="AT1025" s="137" t="s">
        <v>432</v>
      </c>
      <c r="AU1025" s="137" t="s">
        <v>432</v>
      </c>
      <c r="AV1025" s="137" t="s">
        <v>432</v>
      </c>
      <c r="AW1025" s="137" t="s">
        <v>432</v>
      </c>
      <c r="AX1025" s="137" t="s">
        <v>432</v>
      </c>
      <c r="AY1025" s="137" t="s">
        <v>432</v>
      </c>
      <c r="AZ1025" s="137" t="s">
        <v>432</v>
      </c>
      <c r="BA1025" s="137" t="s">
        <v>432</v>
      </c>
      <c r="BB1025" s="239" t="str">
        <f t="shared" si="248"/>
        <v>Sistema de transporte coletivo com um todoacessibilidade</v>
      </c>
      <c r="BC1025" s="239" t="str">
        <f t="shared" si="249"/>
        <v>Sistema de transporte coletivo com um todoacessibilidadebenchmarking</v>
      </c>
      <c r="BD1025" s="239" t="str">
        <f t="shared" si="250"/>
        <v>Sistema de transporte coletivo com um todobenchmarking</v>
      </c>
    </row>
    <row r="1026" spans="1:56" s="1" customFormat="1" ht="142.5" customHeight="1" x14ac:dyDescent="0.25">
      <c r="A1026" s="275" t="str">
        <f>'Q100b-totais'!B62</f>
        <v>8.10</v>
      </c>
      <c r="B1026" s="54" t="str">
        <f>'Q100b-totais'!C62</f>
        <v>Sistema de transporte coletivo com um todo</v>
      </c>
      <c r="C1026" s="230" t="s">
        <v>743</v>
      </c>
      <c r="D1026" s="714" t="str">
        <f>'Q100e-FrotaOnibus'!W23</f>
        <v>F tc fc
(n.º)</v>
      </c>
      <c r="E1026" s="1498" t="str">
        <f>'Q100e-FrotaOnibus'!X23</f>
        <v>Joinville</v>
      </c>
      <c r="F1026" s="252" t="str">
        <f>'Q100e-FrotaOnibus'!Y23</f>
        <v>frota em n.º de ônibus do transporte coletivo de Joinville com alguma facilidade para o embarque/desembarque de pessoas com mobilidade física reduzida mesmo que essa facilidade não permita classificar a viagem ofertada como acessível
obs.1: acesse as definições de "acessível, ônibus" e "alguma facilidade"
obs.2: esse indicador é denominado "número de ônibus com acessibilidade para pessoas com deficiência" pelo Programa Cidades Sustentáveis conforme PROGRAMA(2016a) que, no caso de Joinville, incluiu os veículos da "F tes"conforme JOINVELLE(2016a)
obs.3: os resultados de 2012a 2015 apresentados no SisMob-BH foram calculados conforme JOINVILLE(2016a) e não são os resultados apresentados em PROGRAMA(2016a), ou seja: 186 em vez de 200 para o ano 2012, 275 em vez de 289 para os anos 2013/2014 e 276 em vez de 290</v>
      </c>
      <c r="G1026" s="111" t="str">
        <f>'Q100e-FrotaOnibus'!Z23</f>
        <v>anos 2012/2013/20115 = (número de ônibus com acessibilidade para pessoas com deficiência) - (F tes)
ano 2014 = 
(F tc eh + F pb c/rampa)</v>
      </c>
      <c r="H1026" s="173" t="s">
        <v>819</v>
      </c>
      <c r="I1026" s="167" t="s">
        <v>432</v>
      </c>
      <c r="J1026" s="109" t="s">
        <v>432</v>
      </c>
      <c r="K1026" s="109" t="s">
        <v>432</v>
      </c>
      <c r="L1026" s="109" t="s">
        <v>432</v>
      </c>
      <c r="M1026" s="109" t="s">
        <v>432</v>
      </c>
      <c r="N1026" s="109" t="s">
        <v>432</v>
      </c>
      <c r="O1026" s="109" t="s">
        <v>432</v>
      </c>
      <c r="P1026" s="109" t="s">
        <v>432</v>
      </c>
      <c r="Q1026" s="109" t="s">
        <v>432</v>
      </c>
      <c r="R1026" s="109" t="s">
        <v>432</v>
      </c>
      <c r="S1026" s="109" t="s">
        <v>2209</v>
      </c>
      <c r="T1026" s="109" t="s">
        <v>432</v>
      </c>
      <c r="U1026" s="109" t="s">
        <v>432</v>
      </c>
      <c r="V1026" s="109" t="s">
        <v>2209</v>
      </c>
      <c r="W1026" s="109" t="s">
        <v>432</v>
      </c>
      <c r="X1026" s="109" t="s">
        <v>432</v>
      </c>
      <c r="Y1026" s="109" t="s">
        <v>432</v>
      </c>
      <c r="Z1026" s="109" t="s">
        <v>432</v>
      </c>
      <c r="AA1026" s="109" t="s">
        <v>432</v>
      </c>
      <c r="AB1026" s="109" t="s">
        <v>432</v>
      </c>
      <c r="AC1026" s="109" t="s">
        <v>432</v>
      </c>
      <c r="AD1026" s="109" t="s">
        <v>432</v>
      </c>
      <c r="AE1026" s="109" t="s">
        <v>432</v>
      </c>
      <c r="AF1026" s="109" t="s">
        <v>432</v>
      </c>
      <c r="AG1026" s="109" t="s">
        <v>432</v>
      </c>
      <c r="AH1026" s="356">
        <f>200-AH1111</f>
        <v>186</v>
      </c>
      <c r="AI1026" s="356">
        <f>AJ926+AJ978</f>
        <v>275</v>
      </c>
      <c r="AJ1026" s="356">
        <f>289-AJ1111</f>
        <v>275</v>
      </c>
      <c r="AK1026" s="356">
        <f>290-AK1111</f>
        <v>276</v>
      </c>
      <c r="AL1026" s="600" t="s">
        <v>432</v>
      </c>
      <c r="AM1026" s="137" t="s">
        <v>432</v>
      </c>
      <c r="AN1026" s="137" t="s">
        <v>432</v>
      </c>
      <c r="AO1026" s="137" t="s">
        <v>432</v>
      </c>
      <c r="AP1026" s="137" t="s">
        <v>432</v>
      </c>
      <c r="AQ1026" s="137" t="s">
        <v>432</v>
      </c>
      <c r="AR1026" s="137" t="s">
        <v>432</v>
      </c>
      <c r="AS1026" s="137" t="s">
        <v>432</v>
      </c>
      <c r="AT1026" s="137" t="s">
        <v>432</v>
      </c>
      <c r="AU1026" s="137" t="s">
        <v>432</v>
      </c>
      <c r="AV1026" s="137" t="s">
        <v>432</v>
      </c>
      <c r="AW1026" s="137" t="s">
        <v>432</v>
      </c>
      <c r="AX1026" s="137" t="s">
        <v>432</v>
      </c>
      <c r="AY1026" s="137" t="s">
        <v>432</v>
      </c>
      <c r="AZ1026" s="137" t="s">
        <v>432</v>
      </c>
      <c r="BA1026" s="137" t="s">
        <v>432</v>
      </c>
      <c r="BB1026" s="239" t="str">
        <f t="shared" si="248"/>
        <v>Sistema de transporte coletivo com um todoacessibilidade</v>
      </c>
      <c r="BC1026" s="239" t="str">
        <f t="shared" si="249"/>
        <v>Sistema de transporte coletivo com um todoacessibilidadebenchmarking</v>
      </c>
      <c r="BD1026" s="239" t="str">
        <f t="shared" si="250"/>
        <v>Sistema de transporte coletivo com um todobenchmarking</v>
      </c>
    </row>
    <row r="1027" spans="1:56" s="1" customFormat="1" ht="126" customHeight="1" x14ac:dyDescent="0.25">
      <c r="A1027" s="275" t="str">
        <f>'Q100b-totais'!B62</f>
        <v>8.10</v>
      </c>
      <c r="B1027" s="1205" t="str">
        <f>'Q100b-totais'!C62</f>
        <v>Sistema de transporte coletivo com um todo</v>
      </c>
      <c r="C1027" s="57" t="s">
        <v>743</v>
      </c>
      <c r="D1027" s="715" t="str">
        <f>'Q100e-FrotaOnibus'!W24</f>
        <v>F tc fc
(%)</v>
      </c>
      <c r="E1027" s="1520" t="str">
        <f>'Q100e-FrotaOnibus'!X24</f>
        <v>Joinville</v>
      </c>
      <c r="F1027" s="355" t="str">
        <f>'Q100e-FrotaOnibus'!Y24</f>
        <v>percentual da frota de ônibus do transporte coletivo de Joinville com alguma facilidade no embarque/desembarque para pessoas com mobilidade física reduzida
obs.1: esse indicador é denominado "percentual da frota de ônibus com acessibilidade para pessoas com deficiência" pelo Programa Cidades Sustentáveis conforme PROGRAMA(2016a) que, no caso de Joinville, incluiu os veículos da "F tes" conforme JOINVELLE(2016a)
obs.2: os resultados de 2012a 2015 apresentados no SisMob-BH foram calculados conforme JOINVILLE(2016a) e não são os resultados apresentados em PROGRAMA(2016a), ou seja: 52% para o ano 2012 em vez de 56%; 76% para os anos 2013 e 2014 em vez de 80% para o ano 2013; 79% para o ano 2014; 76% para o ano 2015 em vez de 80%</v>
      </c>
      <c r="G1027" s="111" t="str">
        <f>'Q100e-FrotaOnibus'!Z24</f>
        <v>(F tc fc / F tc) x 100</v>
      </c>
      <c r="H1027" s="57" t="s">
        <v>819</v>
      </c>
      <c r="I1027" s="167" t="s">
        <v>432</v>
      </c>
      <c r="J1027" s="109" t="s">
        <v>432</v>
      </c>
      <c r="K1027" s="109" t="s">
        <v>432</v>
      </c>
      <c r="L1027" s="109" t="s">
        <v>432</v>
      </c>
      <c r="M1027" s="109" t="s">
        <v>432</v>
      </c>
      <c r="N1027" s="109" t="s">
        <v>432</v>
      </c>
      <c r="O1027" s="109" t="s">
        <v>432</v>
      </c>
      <c r="P1027" s="109" t="s">
        <v>432</v>
      </c>
      <c r="Q1027" s="109" t="s">
        <v>432</v>
      </c>
      <c r="R1027" s="109" t="s">
        <v>432</v>
      </c>
      <c r="S1027" s="109" t="s">
        <v>2209</v>
      </c>
      <c r="T1027" s="109" t="s">
        <v>432</v>
      </c>
      <c r="U1027" s="109" t="s">
        <v>432</v>
      </c>
      <c r="V1027" s="109" t="s">
        <v>2209</v>
      </c>
      <c r="W1027" s="109" t="s">
        <v>432</v>
      </c>
      <c r="X1027" s="109" t="s">
        <v>432</v>
      </c>
      <c r="Y1027" s="109" t="s">
        <v>432</v>
      </c>
      <c r="Z1027" s="109" t="s">
        <v>432</v>
      </c>
      <c r="AA1027" s="109" t="s">
        <v>432</v>
      </c>
      <c r="AB1027" s="109" t="s">
        <v>432</v>
      </c>
      <c r="AC1027" s="109" t="s">
        <v>432</v>
      </c>
      <c r="AD1027" s="109" t="s">
        <v>432</v>
      </c>
      <c r="AE1027" s="109" t="s">
        <v>432</v>
      </c>
      <c r="AF1027" s="109" t="s">
        <v>432</v>
      </c>
      <c r="AG1027" s="109" t="s">
        <v>432</v>
      </c>
      <c r="AH1027" s="525">
        <f>AH1026/AH880</f>
        <v>0.52542372881355937</v>
      </c>
      <c r="AI1027" s="525">
        <f>AI1026/AI880</f>
        <v>0.75966850828729282</v>
      </c>
      <c r="AJ1027" s="525">
        <f>AJ1026/AJ880</f>
        <v>0.75549450549450547</v>
      </c>
      <c r="AK1027" s="525">
        <f>AK1026/AK880</f>
        <v>0.76454293628808867</v>
      </c>
      <c r="AL1027" s="600" t="s">
        <v>432</v>
      </c>
      <c r="AM1027" s="137" t="s">
        <v>432</v>
      </c>
      <c r="AN1027" s="137" t="s">
        <v>432</v>
      </c>
      <c r="AO1027" s="137" t="s">
        <v>432</v>
      </c>
      <c r="AP1027" s="137" t="s">
        <v>432</v>
      </c>
      <c r="AQ1027" s="137" t="s">
        <v>432</v>
      </c>
      <c r="AR1027" s="137" t="s">
        <v>432</v>
      </c>
      <c r="AS1027" s="137" t="s">
        <v>432</v>
      </c>
      <c r="AT1027" s="137" t="s">
        <v>432</v>
      </c>
      <c r="AU1027" s="137" t="s">
        <v>432</v>
      </c>
      <c r="AV1027" s="137" t="s">
        <v>432</v>
      </c>
      <c r="AW1027" s="137" t="s">
        <v>432</v>
      </c>
      <c r="AX1027" s="137" t="s">
        <v>432</v>
      </c>
      <c r="AY1027" s="137" t="s">
        <v>432</v>
      </c>
      <c r="AZ1027" s="137" t="s">
        <v>432</v>
      </c>
      <c r="BA1027" s="137" t="s">
        <v>432</v>
      </c>
      <c r="BB1027" s="239" t="str">
        <f t="shared" si="248"/>
        <v>Sistema de transporte coletivo com um todoacessibilidade</v>
      </c>
      <c r="BC1027" s="239" t="str">
        <f t="shared" si="249"/>
        <v>Sistema de transporte coletivo com um todoacessibilidadebenchmarking</v>
      </c>
      <c r="BD1027" s="239" t="str">
        <f t="shared" si="250"/>
        <v>Sistema de transporte coletivo com um todobenchmarking</v>
      </c>
    </row>
    <row r="1028" spans="1:56" s="1" customFormat="1" ht="76.5" x14ac:dyDescent="0.25">
      <c r="A1028" s="275" t="str">
        <f>'Q100b-totais'!B62</f>
        <v>8.10</v>
      </c>
      <c r="B1028" s="54" t="str">
        <f>'Q100b-totais'!C62</f>
        <v>Sistema de transporte coletivo com um todo</v>
      </c>
      <c r="C1028" s="57" t="s">
        <v>743</v>
      </c>
      <c r="D1028" s="325" t="str">
        <f>'Q100e-FrotaOnibus'!AA23</f>
        <v>F tc fc
(n.º)</v>
      </c>
      <c r="E1028" s="1445" t="str">
        <f>'Q100e-FrotaOnibus'!AB23</f>
        <v>Porto Alegre</v>
      </c>
      <c r="F1028" s="252" t="str">
        <f>'Q100e-FrotaOnibus'!AC23</f>
        <v>frota em n.º de ônibus do transporte coletivo de Porto Alegre com alguma facilidade para o embarque/desembarque de pessoas com mobilidade física reduzida mesmo que essa facilidade não permita classificar a viagem ofertada como acessível
obs.1: acesse as definições de "acessível, ônibus" e "alguma facilidade"
obs.2: esse indicador é denominado "número de ônibus com acessibilidade para pessoas com deficiência" pelo Programa Cidades Sustentáveis conforme PROGRAMA(2016b)
obs.3: resultados de 2001 a 2015 conforme PROGRAMA(2016b)</v>
      </c>
      <c r="G1028" s="110" t="str">
        <f>'Q100e-FrotaOnibus'!AD23</f>
        <v>registro na fonte</v>
      </c>
      <c r="H1028" s="57" t="s">
        <v>819</v>
      </c>
      <c r="I1028" s="167" t="s">
        <v>432</v>
      </c>
      <c r="J1028" s="109" t="s">
        <v>2082</v>
      </c>
      <c r="K1028" s="109" t="s">
        <v>2082</v>
      </c>
      <c r="L1028" s="109" t="s">
        <v>2082</v>
      </c>
      <c r="M1028" s="109" t="s">
        <v>2082</v>
      </c>
      <c r="N1028" s="109" t="s">
        <v>2082</v>
      </c>
      <c r="O1028" s="109" t="s">
        <v>2082</v>
      </c>
      <c r="P1028" s="109" t="s">
        <v>2082</v>
      </c>
      <c r="Q1028" s="109" t="s">
        <v>2082</v>
      </c>
      <c r="R1028" s="109" t="s">
        <v>2082</v>
      </c>
      <c r="S1028" s="109" t="s">
        <v>2209</v>
      </c>
      <c r="T1028" s="109" t="s">
        <v>2082</v>
      </c>
      <c r="U1028" s="109" t="s">
        <v>2082</v>
      </c>
      <c r="V1028" s="109" t="s">
        <v>2209</v>
      </c>
      <c r="W1028" s="110">
        <v>220</v>
      </c>
      <c r="X1028" s="110">
        <v>240</v>
      </c>
      <c r="Y1028" s="110">
        <v>309</v>
      </c>
      <c r="Z1028" s="110">
        <v>318</v>
      </c>
      <c r="AA1028" s="110">
        <v>326</v>
      </c>
      <c r="AB1028" s="110">
        <v>343</v>
      </c>
      <c r="AC1028" s="110">
        <v>373</v>
      </c>
      <c r="AD1028" s="110">
        <v>398</v>
      </c>
      <c r="AE1028" s="110">
        <v>502</v>
      </c>
      <c r="AF1028" s="110">
        <v>659</v>
      </c>
      <c r="AG1028" s="110">
        <v>841</v>
      </c>
      <c r="AH1028" s="92">
        <v>996</v>
      </c>
      <c r="AI1028" s="92">
        <v>998</v>
      </c>
      <c r="AJ1028" s="92">
        <v>996</v>
      </c>
      <c r="AK1028" s="92">
        <v>880</v>
      </c>
      <c r="AL1028" s="600" t="s">
        <v>432</v>
      </c>
      <c r="AM1028" s="137" t="s">
        <v>432</v>
      </c>
      <c r="AN1028" s="137" t="s">
        <v>432</v>
      </c>
      <c r="AO1028" s="137" t="s">
        <v>432</v>
      </c>
      <c r="AP1028" s="137" t="s">
        <v>432</v>
      </c>
      <c r="AQ1028" s="137" t="s">
        <v>432</v>
      </c>
      <c r="AR1028" s="137" t="s">
        <v>432</v>
      </c>
      <c r="AS1028" s="137" t="s">
        <v>432</v>
      </c>
      <c r="AT1028" s="137" t="s">
        <v>432</v>
      </c>
      <c r="AU1028" s="137" t="s">
        <v>432</v>
      </c>
      <c r="AV1028" s="137" t="s">
        <v>432</v>
      </c>
      <c r="AW1028" s="137" t="s">
        <v>432</v>
      </c>
      <c r="AX1028" s="137" t="s">
        <v>432</v>
      </c>
      <c r="AY1028" s="137" t="s">
        <v>432</v>
      </c>
      <c r="AZ1028" s="137" t="s">
        <v>432</v>
      </c>
      <c r="BA1028" s="137" t="s">
        <v>432</v>
      </c>
      <c r="BB1028" s="239" t="str">
        <f t="shared" si="248"/>
        <v>Sistema de transporte coletivo com um todoacessibilidade</v>
      </c>
      <c r="BC1028" s="239" t="str">
        <f t="shared" si="249"/>
        <v>Sistema de transporte coletivo com um todoacessibilidadebenchmarking</v>
      </c>
      <c r="BD1028" s="239" t="str">
        <f t="shared" si="250"/>
        <v>Sistema de transporte coletivo com um todobenchmarking</v>
      </c>
    </row>
    <row r="1029" spans="1:56" s="1" customFormat="1" ht="63.75" x14ac:dyDescent="0.25">
      <c r="A1029" s="275" t="str">
        <f>'Q100b-totais'!B62</f>
        <v>8.10</v>
      </c>
      <c r="B1029" s="54" t="str">
        <f>'Q100b-totais'!C62</f>
        <v>Sistema de transporte coletivo com um todo</v>
      </c>
      <c r="C1029" s="57" t="s">
        <v>743</v>
      </c>
      <c r="D1029" s="377" t="str">
        <f>'Q100e-FrotaOnibus'!AA24</f>
        <v>F tc fc
(%)</v>
      </c>
      <c r="E1029" s="1501" t="str">
        <f>'Q100e-FrotaOnibus'!AB24</f>
        <v>Porto Alegre</v>
      </c>
      <c r="F1029" s="355" t="str">
        <f>'Q100e-FrotaOnibus'!AC24</f>
        <v>percentual da frota de ônibus do transporte coletivo de Porto Alegre com alguma facilidade no embarque/desembarque para pessoas com mobilidade física reduzida
obs.1: esse indicador é denominado "percentual da frota de ônibus com acessibilidade para pessoas com deficiência" pelo Programa Cidades Sustentáveis conforme PROGRAMA(2016b)
obs.2: os resultados de 2001 a 2015 conforme fórmula e confirmados em PROGRAMA(2016b)</v>
      </c>
      <c r="G1029" s="111" t="str">
        <f>'Q100e-FrotaOnibus'!AD24</f>
        <v>(n.º F tc fc / F tc) x 100</v>
      </c>
      <c r="H1029" s="57" t="s">
        <v>819</v>
      </c>
      <c r="I1029" s="167" t="s">
        <v>432</v>
      </c>
      <c r="J1029" s="111" t="s">
        <v>2082</v>
      </c>
      <c r="K1029" s="111" t="s">
        <v>2082</v>
      </c>
      <c r="L1029" s="111" t="s">
        <v>2082</v>
      </c>
      <c r="M1029" s="111" t="s">
        <v>2082</v>
      </c>
      <c r="N1029" s="111" t="s">
        <v>2082</v>
      </c>
      <c r="O1029" s="111" t="s">
        <v>2082</v>
      </c>
      <c r="P1029" s="111" t="s">
        <v>2082</v>
      </c>
      <c r="Q1029" s="111" t="s">
        <v>2082</v>
      </c>
      <c r="R1029" s="111" t="s">
        <v>2082</v>
      </c>
      <c r="S1029" s="109" t="s">
        <v>2209</v>
      </c>
      <c r="T1029" s="111" t="s">
        <v>2082</v>
      </c>
      <c r="U1029" s="111" t="s">
        <v>2082</v>
      </c>
      <c r="V1029" s="109" t="s">
        <v>2209</v>
      </c>
      <c r="W1029" s="112">
        <f t="shared" ref="W1029:AK1029" si="261">W1028/W881</f>
        <v>0.13819095477386933</v>
      </c>
      <c r="X1029" s="112">
        <f t="shared" si="261"/>
        <v>0.15056461731493098</v>
      </c>
      <c r="Y1029" s="112">
        <f t="shared" si="261"/>
        <v>0.19385194479297366</v>
      </c>
      <c r="Z1029" s="112">
        <f t="shared" si="261"/>
        <v>0.19949811794228356</v>
      </c>
      <c r="AA1029" s="112">
        <f t="shared" si="261"/>
        <v>0.20464532328939108</v>
      </c>
      <c r="AB1029" s="112">
        <f t="shared" si="261"/>
        <v>0.21518193224592222</v>
      </c>
      <c r="AC1029" s="112">
        <f t="shared" si="261"/>
        <v>0.23727735368956743</v>
      </c>
      <c r="AD1029" s="112">
        <f t="shared" si="261"/>
        <v>0.25318066157760816</v>
      </c>
      <c r="AE1029" s="112">
        <f t="shared" si="261"/>
        <v>0.31532663316582915</v>
      </c>
      <c r="AF1029" s="112">
        <f t="shared" si="261"/>
        <v>0.39939393939393941</v>
      </c>
      <c r="AG1029" s="112">
        <f t="shared" si="261"/>
        <v>0.50693188667872213</v>
      </c>
      <c r="AH1029" s="112">
        <f t="shared" si="261"/>
        <v>0.58553791887125217</v>
      </c>
      <c r="AI1029" s="112">
        <f t="shared" si="261"/>
        <v>0.58568075117370888</v>
      </c>
      <c r="AJ1029" s="112">
        <f t="shared" si="261"/>
        <v>0.58691809074837953</v>
      </c>
      <c r="AK1029" s="112">
        <f t="shared" si="261"/>
        <v>0.51673517322372287</v>
      </c>
      <c r="AL1029" s="600" t="s">
        <v>432</v>
      </c>
      <c r="AM1029" s="137" t="s">
        <v>432</v>
      </c>
      <c r="AN1029" s="137" t="s">
        <v>432</v>
      </c>
      <c r="AO1029" s="137" t="s">
        <v>432</v>
      </c>
      <c r="AP1029" s="137" t="s">
        <v>432</v>
      </c>
      <c r="AQ1029" s="137" t="s">
        <v>432</v>
      </c>
      <c r="AR1029" s="137" t="s">
        <v>432</v>
      </c>
      <c r="AS1029" s="137" t="s">
        <v>432</v>
      </c>
      <c r="AT1029" s="137" t="s">
        <v>432</v>
      </c>
      <c r="AU1029" s="137" t="s">
        <v>432</v>
      </c>
      <c r="AV1029" s="137" t="s">
        <v>432</v>
      </c>
      <c r="AW1029" s="137" t="s">
        <v>432</v>
      </c>
      <c r="AX1029" s="137" t="s">
        <v>432</v>
      </c>
      <c r="AY1029" s="137" t="s">
        <v>432</v>
      </c>
      <c r="AZ1029" s="137" t="s">
        <v>432</v>
      </c>
      <c r="BA1029" s="137" t="s">
        <v>432</v>
      </c>
      <c r="BB1029" s="239" t="str">
        <f t="shared" si="248"/>
        <v>Sistema de transporte coletivo com um todoacessibilidade</v>
      </c>
      <c r="BC1029" s="239" t="str">
        <f t="shared" si="249"/>
        <v>Sistema de transporte coletivo com um todoacessibilidadebenchmarking</v>
      </c>
      <c r="BD1029" s="239" t="str">
        <f t="shared" si="250"/>
        <v>Sistema de transporte coletivo com um todobenchmarking</v>
      </c>
    </row>
    <row r="1030" spans="1:56" s="1" customFormat="1" ht="51" x14ac:dyDescent="0.25">
      <c r="A1030" s="275" t="str">
        <f>'Q100b-totais'!B62</f>
        <v>8.10</v>
      </c>
      <c r="B1030" s="54" t="str">
        <f>'Q100b-totais'!C62</f>
        <v>Sistema de transporte coletivo com um todo</v>
      </c>
      <c r="C1030" s="57" t="s">
        <v>743</v>
      </c>
      <c r="D1030" s="325" t="str">
        <f>'Q100e-FrotaOnibus'!AE23</f>
        <v>F tc fc
(n.º)</v>
      </c>
      <c r="E1030" s="1445" t="str">
        <f>'Q100e-FrotaOnibus'!AF23</f>
        <v>RMBH metropolitano</v>
      </c>
      <c r="F1030" s="252" t="str">
        <f>'Q100e-FrotaOnibus'!AG23</f>
        <v>frota em n.º de ônibus do transporte coletivo na RMBH do serviço gerenciado pela Setop-MG com alguma facilidade para o embarque/desembarque de pessoas com mobilidade física reduzida mesmo que essa facilidade não permita classificar a viagem ofertada como acessível
obs.1: acesse as definições de "acessível, ônibus" e "alguma facilidade"</v>
      </c>
      <c r="G1030" s="524" t="str">
        <f>'Q100e-FrotaOnibus'!AH23</f>
        <v>F tc - F tc sfc</v>
      </c>
      <c r="H1030" s="221" t="s">
        <v>1298</v>
      </c>
      <c r="I1030" s="167">
        <v>1</v>
      </c>
      <c r="J1030" s="111" t="s">
        <v>2082</v>
      </c>
      <c r="K1030" s="111" t="s">
        <v>2082</v>
      </c>
      <c r="L1030" s="111" t="s">
        <v>2082</v>
      </c>
      <c r="M1030" s="111" t="s">
        <v>2082</v>
      </c>
      <c r="N1030" s="111" t="s">
        <v>2082</v>
      </c>
      <c r="O1030" s="111" t="s">
        <v>2082</v>
      </c>
      <c r="P1030" s="111" t="s">
        <v>2082</v>
      </c>
      <c r="Q1030" s="111" t="s">
        <v>2082</v>
      </c>
      <c r="R1030" s="111" t="s">
        <v>2082</v>
      </c>
      <c r="S1030" s="109" t="s">
        <v>2209</v>
      </c>
      <c r="T1030" s="111" t="s">
        <v>2082</v>
      </c>
      <c r="U1030" s="111" t="s">
        <v>2082</v>
      </c>
      <c r="V1030" s="109" t="s">
        <v>2209</v>
      </c>
      <c r="W1030" s="111" t="s">
        <v>2082</v>
      </c>
      <c r="X1030" s="111" t="s">
        <v>2082</v>
      </c>
      <c r="Y1030" s="111" t="s">
        <v>2082</v>
      </c>
      <c r="Z1030" s="111" t="s">
        <v>2082</v>
      </c>
      <c r="AA1030" s="111" t="s">
        <v>2082</v>
      </c>
      <c r="AB1030" s="111" t="s">
        <v>2082</v>
      </c>
      <c r="AC1030" s="111" t="s">
        <v>2082</v>
      </c>
      <c r="AD1030" s="111" t="s">
        <v>2082</v>
      </c>
      <c r="AE1030" s="111" t="s">
        <v>2082</v>
      </c>
      <c r="AF1030" s="111" t="s">
        <v>2082</v>
      </c>
      <c r="AG1030" s="111" t="s">
        <v>2082</v>
      </c>
      <c r="AH1030" s="111" t="s">
        <v>2082</v>
      </c>
      <c r="AI1030" s="111" t="s">
        <v>2082</v>
      </c>
      <c r="AJ1030" s="111" t="s">
        <v>2082</v>
      </c>
      <c r="AK1030" s="356">
        <f>AK882-AK1053</f>
        <v>2212</v>
      </c>
      <c r="AL1030" s="600" t="s">
        <v>432</v>
      </c>
      <c r="AM1030" s="137" t="s">
        <v>432</v>
      </c>
      <c r="AN1030" s="137" t="s">
        <v>432</v>
      </c>
      <c r="AO1030" s="137" t="s">
        <v>432</v>
      </c>
      <c r="AP1030" s="137" t="s">
        <v>432</v>
      </c>
      <c r="AQ1030" s="137" t="s">
        <v>432</v>
      </c>
      <c r="AR1030" s="137" t="s">
        <v>432</v>
      </c>
      <c r="AS1030" s="137" t="s">
        <v>432</v>
      </c>
      <c r="AT1030" s="137" t="s">
        <v>432</v>
      </c>
      <c r="AU1030" s="137" t="s">
        <v>432</v>
      </c>
      <c r="AV1030" s="137" t="s">
        <v>432</v>
      </c>
      <c r="AW1030" s="137" t="s">
        <v>432</v>
      </c>
      <c r="AX1030" s="137" t="s">
        <v>432</v>
      </c>
      <c r="AY1030" s="137" t="s">
        <v>432</v>
      </c>
      <c r="AZ1030" s="137" t="s">
        <v>432</v>
      </c>
      <c r="BA1030" s="137" t="s">
        <v>432</v>
      </c>
      <c r="BB1030" s="239" t="str">
        <f t="shared" si="248"/>
        <v>Sistema de transporte coletivo com um todoacessibilidade</v>
      </c>
      <c r="BC1030" s="239" t="str">
        <f t="shared" si="249"/>
        <v>Sistema de transporte coletivo com um todoacessibilidadeRMBH</v>
      </c>
      <c r="BD1030" s="239" t="str">
        <f t="shared" si="250"/>
        <v>Sistema de transporte coletivo com um todoRMBH</v>
      </c>
    </row>
    <row r="1031" spans="1:56" s="1" customFormat="1" ht="51" x14ac:dyDescent="0.25">
      <c r="A1031" s="275" t="str">
        <f>'Q100b-totais'!B62</f>
        <v>8.10</v>
      </c>
      <c r="B1031" s="54" t="str">
        <f>'Q100b-totais'!C62</f>
        <v>Sistema de transporte coletivo com um todo</v>
      </c>
      <c r="C1031" s="57" t="s">
        <v>743</v>
      </c>
      <c r="D1031" s="377" t="str">
        <f>'Q100e-FrotaOnibus'!AE24</f>
        <v>F tc fc
(%)</v>
      </c>
      <c r="E1031" s="1501" t="str">
        <f>'Q100e-FrotaOnibus'!AF24</f>
        <v>RMBH metropolitano</v>
      </c>
      <c r="F1031" s="355" t="str">
        <f>'Q100e-FrotaOnibus'!AG24</f>
        <v>percentual da frota de ônibus do transporte coletivo na RMBH do serviço gerenciado pela Setop-MG com alguma facilidade no embarque/desembarque para pessoas com mobilidade física reduzida</v>
      </c>
      <c r="G1031" s="111" t="str">
        <f>'Q100e-FrotaOnibus'!AH24</f>
        <v>(F tc fc / F tc) x 100</v>
      </c>
      <c r="H1031" s="221" t="s">
        <v>1298</v>
      </c>
      <c r="I1031" s="167">
        <v>1</v>
      </c>
      <c r="J1031" s="111" t="s">
        <v>2082</v>
      </c>
      <c r="K1031" s="111" t="s">
        <v>2082</v>
      </c>
      <c r="L1031" s="111" t="s">
        <v>2082</v>
      </c>
      <c r="M1031" s="111" t="s">
        <v>2082</v>
      </c>
      <c r="N1031" s="111" t="s">
        <v>2082</v>
      </c>
      <c r="O1031" s="111" t="s">
        <v>2082</v>
      </c>
      <c r="P1031" s="111" t="s">
        <v>2082</v>
      </c>
      <c r="Q1031" s="111" t="s">
        <v>2082</v>
      </c>
      <c r="R1031" s="111" t="s">
        <v>2082</v>
      </c>
      <c r="S1031" s="109" t="s">
        <v>2209</v>
      </c>
      <c r="T1031" s="111" t="s">
        <v>2082</v>
      </c>
      <c r="U1031" s="111" t="s">
        <v>2082</v>
      </c>
      <c r="V1031" s="109" t="s">
        <v>2209</v>
      </c>
      <c r="W1031" s="111" t="s">
        <v>2082</v>
      </c>
      <c r="X1031" s="111" t="s">
        <v>2082</v>
      </c>
      <c r="Y1031" s="111" t="s">
        <v>2082</v>
      </c>
      <c r="Z1031" s="111" t="s">
        <v>2082</v>
      </c>
      <c r="AA1031" s="111" t="s">
        <v>2082</v>
      </c>
      <c r="AB1031" s="111" t="s">
        <v>2082</v>
      </c>
      <c r="AC1031" s="111" t="s">
        <v>2082</v>
      </c>
      <c r="AD1031" s="111" t="s">
        <v>2082</v>
      </c>
      <c r="AE1031" s="111" t="s">
        <v>2082</v>
      </c>
      <c r="AF1031" s="111" t="s">
        <v>2082</v>
      </c>
      <c r="AG1031" s="111" t="s">
        <v>2082</v>
      </c>
      <c r="AH1031" s="111" t="s">
        <v>2082</v>
      </c>
      <c r="AI1031" s="111" t="s">
        <v>2082</v>
      </c>
      <c r="AJ1031" s="111" t="s">
        <v>2082</v>
      </c>
      <c r="AK1031" s="112">
        <f>AK1030/AK882</f>
        <v>0.75779376498800954</v>
      </c>
      <c r="AL1031" s="600" t="s">
        <v>432</v>
      </c>
      <c r="AM1031" s="137" t="s">
        <v>432</v>
      </c>
      <c r="AN1031" s="137" t="s">
        <v>432</v>
      </c>
      <c r="AO1031" s="137" t="s">
        <v>432</v>
      </c>
      <c r="AP1031" s="137" t="s">
        <v>432</v>
      </c>
      <c r="AQ1031" s="137" t="s">
        <v>432</v>
      </c>
      <c r="AR1031" s="137" t="s">
        <v>432</v>
      </c>
      <c r="AS1031" s="137" t="s">
        <v>432</v>
      </c>
      <c r="AT1031" s="137" t="s">
        <v>432</v>
      </c>
      <c r="AU1031" s="137" t="s">
        <v>432</v>
      </c>
      <c r="AV1031" s="137" t="s">
        <v>432</v>
      </c>
      <c r="AW1031" s="137" t="s">
        <v>432</v>
      </c>
      <c r="AX1031" s="137" t="s">
        <v>432</v>
      </c>
      <c r="AY1031" s="137" t="s">
        <v>432</v>
      </c>
      <c r="AZ1031" s="137" t="s">
        <v>432</v>
      </c>
      <c r="BA1031" s="137" t="s">
        <v>432</v>
      </c>
      <c r="BB1031" s="239" t="str">
        <f t="shared" si="248"/>
        <v>Sistema de transporte coletivo com um todoacessibilidade</v>
      </c>
      <c r="BC1031" s="239" t="str">
        <f t="shared" si="249"/>
        <v>Sistema de transporte coletivo com um todoacessibilidadeRMBH</v>
      </c>
      <c r="BD1031" s="239" t="str">
        <f t="shared" si="250"/>
        <v>Sistema de transporte coletivo com um todoRMBH</v>
      </c>
    </row>
    <row r="1032" spans="1:56" s="1" customFormat="1" ht="189" customHeight="1" x14ac:dyDescent="0.25">
      <c r="A1032" s="275" t="str">
        <f>'Q100b-totais'!B62</f>
        <v>8.10</v>
      </c>
      <c r="B1032" s="54" t="str">
        <f>'Q100b-totais'!C62</f>
        <v>Sistema de transporte coletivo com um todo</v>
      </c>
      <c r="C1032" s="230" t="s">
        <v>743</v>
      </c>
      <c r="D1032" s="714" t="str">
        <f>'Q100e-FrotaOnibus'!AQ23</f>
        <v>F tc fc
(n.º)</v>
      </c>
      <c r="E1032" s="1498" t="str">
        <f>'Q100e-FrotaOnibus'!AR23</f>
        <v>São Paulo</v>
      </c>
      <c r="F1032" s="252" t="str">
        <f>'Q100e-FrotaOnibus'!AS23</f>
        <v>frota em n.º de ônibus do transporte coletivo da cidade de São Paulo com alguma facilidade para o embarque/desembarque de pessoas com mobilidade física reduzida mesmo que essa facilidade não permita classificar a viagem ofertada como acessível
obs.1: acesse as definições de "acessível, ônibus" e "alguma facilidade"
obs.2: esse indicador é denominado "frota de ônibus acessíveis" pelo Observatório de Indicadores da Cidade de São Paulo (ObservaSampa) conforme SP(2015a)
obs.3: os resultados de 2009 a 2011 estão conforme PROGRAMA(2015a) e os resultados de 2012 a 2014 estão conforme SP(2015a)
obs.4: os resultados de 2012 das duas fontes consultadas são diferentes, aqui optando-se pelo informado no ObservaSampa conforme SP(2015a)
obs.5: "Caberá à SPTrans, conjuntamente com as Empresas Montadoras e Encarroçadoras, buscar o desenvolvimento de novas tecnologias que visem proporcionar conforto, segurança e principalmente, facilidade de acessibilidade dos usuários aos veículos." conforme SP(2003a)
obs.6: resultado de 2015 conforme fórmula</v>
      </c>
      <c r="G1032" s="111" t="str">
        <f>'Q100e-FrotaOnibus'!AT23</f>
        <v>registro na fonte
ou
F tce fc + F tcl fc</v>
      </c>
      <c r="H1032" s="173" t="s">
        <v>819</v>
      </c>
      <c r="I1032" s="167" t="s">
        <v>432</v>
      </c>
      <c r="J1032" s="109" t="s">
        <v>432</v>
      </c>
      <c r="K1032" s="109" t="s">
        <v>432</v>
      </c>
      <c r="L1032" s="109" t="s">
        <v>432</v>
      </c>
      <c r="M1032" s="109" t="s">
        <v>432</v>
      </c>
      <c r="N1032" s="109" t="s">
        <v>432</v>
      </c>
      <c r="O1032" s="109" t="s">
        <v>432</v>
      </c>
      <c r="P1032" s="109" t="s">
        <v>432</v>
      </c>
      <c r="Q1032" s="109" t="s">
        <v>432</v>
      </c>
      <c r="R1032" s="109" t="s">
        <v>432</v>
      </c>
      <c r="S1032" s="109" t="s">
        <v>2209</v>
      </c>
      <c r="T1032" s="109" t="s">
        <v>432</v>
      </c>
      <c r="U1032" s="109" t="s">
        <v>432</v>
      </c>
      <c r="V1032" s="109" t="s">
        <v>2209</v>
      </c>
      <c r="W1032" s="109" t="s">
        <v>432</v>
      </c>
      <c r="X1032" s="109" t="s">
        <v>432</v>
      </c>
      <c r="Y1032" s="109" t="s">
        <v>432</v>
      </c>
      <c r="Z1032" s="109" t="s">
        <v>432</v>
      </c>
      <c r="AA1032" s="109" t="s">
        <v>432</v>
      </c>
      <c r="AB1032" s="109" t="s">
        <v>432</v>
      </c>
      <c r="AC1032" s="109" t="s">
        <v>432</v>
      </c>
      <c r="AD1032" s="109" t="s">
        <v>432</v>
      </c>
      <c r="AE1032" s="92">
        <v>3936</v>
      </c>
      <c r="AF1032" s="92">
        <v>5198</v>
      </c>
      <c r="AG1032" s="92">
        <v>7484</v>
      </c>
      <c r="AH1032" s="92">
        <v>8906</v>
      </c>
      <c r="AI1032" s="92">
        <v>9747</v>
      </c>
      <c r="AJ1032" s="92">
        <v>11652</v>
      </c>
      <c r="AK1032" s="20">
        <f>AK1033+AK1034</f>
        <v>12819</v>
      </c>
      <c r="AL1032" s="600" t="s">
        <v>432</v>
      </c>
      <c r="AM1032" s="137" t="s">
        <v>432</v>
      </c>
      <c r="AN1032" s="137" t="s">
        <v>432</v>
      </c>
      <c r="AO1032" s="137" t="s">
        <v>432</v>
      </c>
      <c r="AP1032" s="137" t="s">
        <v>432</v>
      </c>
      <c r="AQ1032" s="137" t="s">
        <v>432</v>
      </c>
      <c r="AR1032" s="137" t="s">
        <v>432</v>
      </c>
      <c r="AS1032" s="137" t="s">
        <v>432</v>
      </c>
      <c r="AT1032" s="137" t="s">
        <v>432</v>
      </c>
      <c r="AU1032" s="137" t="s">
        <v>432</v>
      </c>
      <c r="AV1032" s="137" t="s">
        <v>432</v>
      </c>
      <c r="AW1032" s="137" t="s">
        <v>432</v>
      </c>
      <c r="AX1032" s="137" t="s">
        <v>432</v>
      </c>
      <c r="AY1032" s="137" t="s">
        <v>432</v>
      </c>
      <c r="AZ1032" s="137" t="s">
        <v>432</v>
      </c>
      <c r="BA1032" s="137" t="s">
        <v>432</v>
      </c>
      <c r="BB1032" s="239" t="str">
        <f t="shared" si="248"/>
        <v>Sistema de transporte coletivo com um todoacessibilidade</v>
      </c>
      <c r="BC1032" s="239" t="str">
        <f t="shared" si="249"/>
        <v>Sistema de transporte coletivo com um todoacessibilidadebenchmarking</v>
      </c>
      <c r="BD1032" s="239" t="str">
        <f t="shared" si="250"/>
        <v>Sistema de transporte coletivo com um todobenchmarking</v>
      </c>
    </row>
    <row r="1033" spans="1:56" s="1" customFormat="1" ht="75" customHeight="1" x14ac:dyDescent="0.25">
      <c r="A1033" s="275" t="str">
        <f>'Q100b-totais'!B62</f>
        <v>8.10</v>
      </c>
      <c r="B1033" s="54" t="str">
        <f>'Q100b-totais'!C62</f>
        <v>Sistema de transporte coletivo com um todo</v>
      </c>
      <c r="C1033" s="230" t="s">
        <v>743</v>
      </c>
      <c r="D1033" s="325" t="str">
        <f>'Q100e-FrotaOnibus'!AI23</f>
        <v>F tce fc
(n.º)</v>
      </c>
      <c r="E1033" s="1445" t="str">
        <f>'Q100e-FrotaOnibus'!AJ23</f>
        <v>São Paulo</v>
      </c>
      <c r="F1033" s="252" t="str">
        <f>'Q100e-FrotaOnibus'!AK23</f>
        <v>frota em n.º de ônibus do transporte coletivo estrutural da cidade de São Paulo gerenciado pela SPTrans com alguma facilidade para o embarque/desembarque de pessoas com mobilidade física reduzida mesmo que essa facilidade não permita classificar a viagem ofertada como acessível
obs.1: acesse as definições de "acessível, ônibus" e "alguma facilidade"
obs.2: resultado de 2015 conforme fórmula</v>
      </c>
      <c r="G1033" s="111" t="str">
        <f>'Q100e-FrotaOnibus'!AL23</f>
        <v>F tce - F tce nac</v>
      </c>
      <c r="H1033" s="57" t="s">
        <v>819</v>
      </c>
      <c r="I1033" s="167" t="s">
        <v>432</v>
      </c>
      <c r="J1033" s="109" t="s">
        <v>2082</v>
      </c>
      <c r="K1033" s="109" t="s">
        <v>2082</v>
      </c>
      <c r="L1033" s="109" t="s">
        <v>2082</v>
      </c>
      <c r="M1033" s="109" t="s">
        <v>2082</v>
      </c>
      <c r="N1033" s="109" t="s">
        <v>2082</v>
      </c>
      <c r="O1033" s="109" t="s">
        <v>2082</v>
      </c>
      <c r="P1033" s="109" t="s">
        <v>2082</v>
      </c>
      <c r="Q1033" s="109" t="s">
        <v>2082</v>
      </c>
      <c r="R1033" s="109" t="s">
        <v>2082</v>
      </c>
      <c r="S1033" s="109" t="s">
        <v>2209</v>
      </c>
      <c r="T1033" s="109" t="s">
        <v>2082</v>
      </c>
      <c r="U1033" s="109" t="s">
        <v>2082</v>
      </c>
      <c r="V1033" s="109" t="s">
        <v>2209</v>
      </c>
      <c r="W1033" s="109" t="s">
        <v>2082</v>
      </c>
      <c r="X1033" s="109" t="s">
        <v>2082</v>
      </c>
      <c r="Y1033" s="109" t="s">
        <v>2082</v>
      </c>
      <c r="Z1033" s="109" t="s">
        <v>2082</v>
      </c>
      <c r="AA1033" s="109" t="s">
        <v>2082</v>
      </c>
      <c r="AB1033" s="109" t="s">
        <v>2082</v>
      </c>
      <c r="AC1033" s="109" t="s">
        <v>2082</v>
      </c>
      <c r="AD1033" s="109" t="s">
        <v>2082</v>
      </c>
      <c r="AE1033" s="20" t="e">
        <f t="shared" ref="AE1033:AK1034" si="262">AE884-AE1055</f>
        <v>#VALUE!</v>
      </c>
      <c r="AF1033" s="20" t="e">
        <f t="shared" si="262"/>
        <v>#VALUE!</v>
      </c>
      <c r="AG1033" s="20" t="e">
        <f t="shared" si="262"/>
        <v>#VALUE!</v>
      </c>
      <c r="AH1033" s="20" t="e">
        <f t="shared" si="262"/>
        <v>#VALUE!</v>
      </c>
      <c r="AI1033" s="20" t="e">
        <f t="shared" si="262"/>
        <v>#VALUE!</v>
      </c>
      <c r="AJ1033" s="20" t="e">
        <f t="shared" si="262"/>
        <v>#VALUE!</v>
      </c>
      <c r="AK1033" s="20">
        <f t="shared" si="262"/>
        <v>7359</v>
      </c>
      <c r="AL1033" s="600"/>
      <c r="AM1033" s="137" t="s">
        <v>432</v>
      </c>
      <c r="AN1033" s="137" t="s">
        <v>432</v>
      </c>
      <c r="AO1033" s="137" t="s">
        <v>432</v>
      </c>
      <c r="AP1033" s="137" t="s">
        <v>432</v>
      </c>
      <c r="AQ1033" s="137" t="s">
        <v>432</v>
      </c>
      <c r="AR1033" s="137" t="s">
        <v>432</v>
      </c>
      <c r="AS1033" s="137" t="s">
        <v>432</v>
      </c>
      <c r="AT1033" s="137" t="s">
        <v>432</v>
      </c>
      <c r="AU1033" s="137" t="s">
        <v>432</v>
      </c>
      <c r="AV1033" s="137" t="s">
        <v>432</v>
      </c>
      <c r="AW1033" s="137" t="s">
        <v>432</v>
      </c>
      <c r="AX1033" s="137" t="s">
        <v>432</v>
      </c>
      <c r="AY1033" s="137" t="s">
        <v>432</v>
      </c>
      <c r="AZ1033" s="137" t="s">
        <v>432</v>
      </c>
      <c r="BA1033" s="137" t="s">
        <v>432</v>
      </c>
      <c r="BB1033" s="239" t="str">
        <f t="shared" si="248"/>
        <v>Sistema de transporte coletivo com um todoacessibilidade</v>
      </c>
      <c r="BC1033" s="239" t="str">
        <f t="shared" si="249"/>
        <v>Sistema de transporte coletivo com um todoacessibilidadebenchmarking</v>
      </c>
      <c r="BD1033" s="239" t="str">
        <f t="shared" si="250"/>
        <v>Sistema de transporte coletivo com um todobenchmarking</v>
      </c>
    </row>
    <row r="1034" spans="1:56" s="1" customFormat="1" ht="70.5" customHeight="1" x14ac:dyDescent="0.25">
      <c r="A1034" s="275" t="str">
        <f>'Q100b-totais'!B62</f>
        <v>8.10</v>
      </c>
      <c r="B1034" s="54" t="str">
        <f>'Q100b-totais'!C62</f>
        <v>Sistema de transporte coletivo com um todo</v>
      </c>
      <c r="C1034" s="230" t="s">
        <v>743</v>
      </c>
      <c r="D1034" s="325" t="str">
        <f>'Q100e-FrotaOnibus'!AM23</f>
        <v>F tcl fc
(n.º)</v>
      </c>
      <c r="E1034" s="1445" t="str">
        <f>'Q100e-FrotaOnibus'!AN23</f>
        <v>São Paulo</v>
      </c>
      <c r="F1034" s="252" t="str">
        <f>'Q100e-FrotaOnibus'!AO23</f>
        <v>frota em n.º de ônibus do transporte coletivo local da cidade de São Paulo gerenciado pela SPTrans com alguma facilidade para o embarque/desembarque de pessoas com mobilidade física reduzida mesmo que essa facilidade não permita classificar a viagem ofertada como acessível
obs.1: acesse as definições de "acessível, ônibus" e "alguma facilidade"
obs.2: resultado de 2015 conforme fórmula</v>
      </c>
      <c r="G1034" s="111" t="str">
        <f>'Q100e-FrotaOnibus'!AP23</f>
        <v>F tcl - F tcl nac</v>
      </c>
      <c r="H1034" s="57" t="s">
        <v>819</v>
      </c>
      <c r="I1034" s="167" t="s">
        <v>432</v>
      </c>
      <c r="J1034" s="109" t="s">
        <v>2082</v>
      </c>
      <c r="K1034" s="109" t="s">
        <v>2082</v>
      </c>
      <c r="L1034" s="109" t="s">
        <v>2082</v>
      </c>
      <c r="M1034" s="109" t="s">
        <v>2082</v>
      </c>
      <c r="N1034" s="109" t="s">
        <v>2082</v>
      </c>
      <c r="O1034" s="109" t="s">
        <v>2082</v>
      </c>
      <c r="P1034" s="109" t="s">
        <v>2082</v>
      </c>
      <c r="Q1034" s="109" t="s">
        <v>2082</v>
      </c>
      <c r="R1034" s="109" t="s">
        <v>2082</v>
      </c>
      <c r="S1034" s="109" t="s">
        <v>2209</v>
      </c>
      <c r="T1034" s="109" t="s">
        <v>2082</v>
      </c>
      <c r="U1034" s="109" t="s">
        <v>2082</v>
      </c>
      <c r="V1034" s="109" t="s">
        <v>2209</v>
      </c>
      <c r="W1034" s="109" t="s">
        <v>2082</v>
      </c>
      <c r="X1034" s="109" t="s">
        <v>2082</v>
      </c>
      <c r="Y1034" s="109" t="s">
        <v>2082</v>
      </c>
      <c r="Z1034" s="109" t="s">
        <v>2082</v>
      </c>
      <c r="AA1034" s="109" t="s">
        <v>2082</v>
      </c>
      <c r="AB1034" s="109" t="s">
        <v>2082</v>
      </c>
      <c r="AC1034" s="109" t="s">
        <v>2082</v>
      </c>
      <c r="AD1034" s="109" t="s">
        <v>2082</v>
      </c>
      <c r="AE1034" s="20" t="e">
        <f t="shared" si="262"/>
        <v>#VALUE!</v>
      </c>
      <c r="AF1034" s="20" t="e">
        <f t="shared" si="262"/>
        <v>#VALUE!</v>
      </c>
      <c r="AG1034" s="20" t="e">
        <f t="shared" si="262"/>
        <v>#VALUE!</v>
      </c>
      <c r="AH1034" s="20" t="e">
        <f t="shared" si="262"/>
        <v>#VALUE!</v>
      </c>
      <c r="AI1034" s="20" t="e">
        <f t="shared" si="262"/>
        <v>#VALUE!</v>
      </c>
      <c r="AJ1034" s="20" t="e">
        <f t="shared" si="262"/>
        <v>#VALUE!</v>
      </c>
      <c r="AK1034" s="20">
        <f t="shared" si="262"/>
        <v>5460</v>
      </c>
      <c r="AL1034" s="600"/>
      <c r="AM1034" s="137"/>
      <c r="AN1034" s="137"/>
      <c r="AO1034" s="137"/>
      <c r="AP1034" s="137"/>
      <c r="AQ1034" s="137"/>
      <c r="AR1034" s="137"/>
      <c r="AS1034" s="137"/>
      <c r="AT1034" s="137"/>
      <c r="AU1034" s="137"/>
      <c r="AV1034" s="137"/>
      <c r="AW1034" s="137"/>
      <c r="AX1034" s="137"/>
      <c r="AY1034" s="137"/>
      <c r="AZ1034" s="137"/>
      <c r="BA1034" s="137"/>
      <c r="BB1034" s="239"/>
      <c r="BC1034" s="239"/>
      <c r="BD1034" s="239"/>
    </row>
    <row r="1035" spans="1:56" s="1" customFormat="1" ht="162.75" customHeight="1" x14ac:dyDescent="0.25">
      <c r="A1035" s="275" t="str">
        <f>'Q100b-totais'!B62</f>
        <v>8.10</v>
      </c>
      <c r="B1035" s="1205" t="str">
        <f>'Q100b-totais'!C62</f>
        <v>Sistema de transporte coletivo com um todo</v>
      </c>
      <c r="C1035" s="57" t="s">
        <v>743</v>
      </c>
      <c r="D1035" s="715" t="str">
        <f>'Q100e-FrotaOnibus'!AQ24</f>
        <v>F tc fc
(%)</v>
      </c>
      <c r="E1035" s="1520" t="str">
        <f>'Q100e-FrotaOnibus'!AR24</f>
        <v>São Paulo</v>
      </c>
      <c r="F1035" s="355" t="str">
        <f>'Q100e-FrotaOnibus'!AS24</f>
        <v>percentual da frota de ônibus do transporte coletivo da cidade de São Paulo com alguma facilidade no embarque/desembarque para pessoas com mobilidade física reduzida, mesmo que essa facilidade não permita classificar a viagem como acessível, por meio de embarque em nível (desenho universal), de elevador hidráulico instalado no veículo (de uso exclusivo ou não para cadeirantes) 
obs.1: esse indicador é denominado "frota de ônibus com acessibilidade para pessoas com mobilidade reduzida (%)" pelo Observatório de Indicadores da Cidade de São Paulo (ObservaSampa)
obs.2: na fonte consultada para 2014 (ObservaSampa), os resultados desse indicador tiveram arredondamentos abandonando os resultados a partir da terceira casa decimal (diferente do arredondamento-padrão que é adotado no SisMob-BH): por isso aqui encontra-se 78,96% em vez de 78,95% ou 78,9%
obs.3: os resultados de 2012 das duas fontes consultadas são diferentes, aqui optando-se pelo informado no ObservaSampa
obs.4: deve-se comparar o resultado de 2015 aqui calculado com o informado no Observa Sampa</v>
      </c>
      <c r="G1035" s="111" t="str">
        <f>'Q100e-FrotaOnibus'!AT24</f>
        <v>(F tc fc / F tc) x 100</v>
      </c>
      <c r="H1035" s="57" t="s">
        <v>819</v>
      </c>
      <c r="I1035" s="167" t="s">
        <v>432</v>
      </c>
      <c r="J1035" s="109" t="s">
        <v>432</v>
      </c>
      <c r="K1035" s="109" t="s">
        <v>432</v>
      </c>
      <c r="L1035" s="109" t="s">
        <v>432</v>
      </c>
      <c r="M1035" s="109" t="s">
        <v>432</v>
      </c>
      <c r="N1035" s="109" t="s">
        <v>432</v>
      </c>
      <c r="O1035" s="109" t="s">
        <v>432</v>
      </c>
      <c r="P1035" s="109" t="s">
        <v>432</v>
      </c>
      <c r="Q1035" s="109" t="s">
        <v>432</v>
      </c>
      <c r="R1035" s="109" t="s">
        <v>432</v>
      </c>
      <c r="S1035" s="109" t="s">
        <v>2209</v>
      </c>
      <c r="T1035" s="109" t="s">
        <v>432</v>
      </c>
      <c r="U1035" s="109" t="s">
        <v>432</v>
      </c>
      <c r="V1035" s="109" t="s">
        <v>2209</v>
      </c>
      <c r="W1035" s="109" t="s">
        <v>432</v>
      </c>
      <c r="X1035" s="109" t="s">
        <v>432</v>
      </c>
      <c r="Y1035" s="109" t="s">
        <v>432</v>
      </c>
      <c r="Z1035" s="109" t="s">
        <v>432</v>
      </c>
      <c r="AA1035" s="109" t="s">
        <v>432</v>
      </c>
      <c r="AB1035" s="109" t="s">
        <v>432</v>
      </c>
      <c r="AC1035" s="109" t="s">
        <v>432</v>
      </c>
      <c r="AD1035" s="109" t="s">
        <v>432</v>
      </c>
      <c r="AE1035" s="112">
        <f t="shared" ref="AE1035:AK1035" si="263">AE1032/AE883</f>
        <v>0.26359496383605679</v>
      </c>
      <c r="AF1035" s="112">
        <f t="shared" si="263"/>
        <v>0.34646404052522828</v>
      </c>
      <c r="AG1035" s="112">
        <f t="shared" si="263"/>
        <v>0.5020123423665146</v>
      </c>
      <c r="AH1035" s="112">
        <f t="shared" si="263"/>
        <v>0.59532085561497328</v>
      </c>
      <c r="AI1035" s="112">
        <f t="shared" si="263"/>
        <v>0.66050010164667616</v>
      </c>
      <c r="AJ1035" s="112">
        <f t="shared" si="263"/>
        <v>0.78959138036186216</v>
      </c>
      <c r="AK1035" s="112">
        <f t="shared" si="263"/>
        <v>0.87050115442075238</v>
      </c>
      <c r="AL1035" s="600" t="s">
        <v>432</v>
      </c>
      <c r="AM1035" s="137" t="s">
        <v>432</v>
      </c>
      <c r="AN1035" s="137" t="s">
        <v>432</v>
      </c>
      <c r="AO1035" s="137" t="s">
        <v>432</v>
      </c>
      <c r="AP1035" s="137" t="s">
        <v>432</v>
      </c>
      <c r="AQ1035" s="137" t="s">
        <v>432</v>
      </c>
      <c r="AR1035" s="137" t="s">
        <v>432</v>
      </c>
      <c r="AS1035" s="137" t="s">
        <v>432</v>
      </c>
      <c r="AT1035" s="137" t="s">
        <v>432</v>
      </c>
      <c r="AU1035" s="137" t="s">
        <v>432</v>
      </c>
      <c r="AV1035" s="137" t="s">
        <v>432</v>
      </c>
      <c r="AW1035" s="137" t="s">
        <v>432</v>
      </c>
      <c r="AX1035" s="137" t="s">
        <v>432</v>
      </c>
      <c r="AY1035" s="137" t="s">
        <v>432</v>
      </c>
      <c r="AZ1035" s="137" t="s">
        <v>432</v>
      </c>
      <c r="BA1035" s="137" t="s">
        <v>432</v>
      </c>
      <c r="BB1035" s="239" t="str">
        <f>B1035&amp;C1035</f>
        <v>Sistema de transporte coletivo com um todoacessibilidade</v>
      </c>
      <c r="BC1035" s="239" t="str">
        <f>B1035&amp;C1035&amp;H1035</f>
        <v>Sistema de transporte coletivo com um todoacessibilidadebenchmarking</v>
      </c>
      <c r="BD1035" s="239" t="str">
        <f>B1035&amp;H1035</f>
        <v>Sistema de transporte coletivo com um todobenchmarking</v>
      </c>
    </row>
    <row r="1036" spans="1:56" s="1" customFormat="1" ht="67.5" customHeight="1" x14ac:dyDescent="0.25">
      <c r="A1036" s="275" t="str">
        <f>'Q100b-totais'!B62</f>
        <v>8.10</v>
      </c>
      <c r="B1036" s="1205" t="str">
        <f>'Q100b-totais'!C62</f>
        <v>Sistema de transporte coletivo com um todo</v>
      </c>
      <c r="C1036" s="57" t="s">
        <v>743</v>
      </c>
      <c r="D1036" s="714" t="str">
        <f>'Q100e-FrotaOnibus'!AI24</f>
        <v>F tce fc
(%)</v>
      </c>
      <c r="E1036" s="1445" t="str">
        <f>'Q100e-FrotaOnibus'!AJ24</f>
        <v>São Paulo</v>
      </c>
      <c r="F1036" s="252" t="str">
        <f>'Q100e-FrotaOnibus'!AK24</f>
        <v>percentual da frota de ônibus do transporte coletivo estrutural da cidade de São Paulo gerenciado pela SPTrans com alguma facilidade no embarque/desembarque para pessoas com mobilidade física reduzida, mesmo que essa facilidade não permita classificar a viagem como acessível, por meio de embarque em nível (desenho universal), de elevador hidráulico instalado no veículo (de uso exclusivo ou não para cadeirantes)</v>
      </c>
      <c r="G1036" s="111" t="str">
        <f>'Q100e-FrotaOnibus'!AL24</f>
        <v>(F tce fc / F tce) x 100</v>
      </c>
      <c r="H1036" s="57" t="s">
        <v>819</v>
      </c>
      <c r="I1036" s="167" t="s">
        <v>432</v>
      </c>
      <c r="J1036" s="109" t="s">
        <v>432</v>
      </c>
      <c r="K1036" s="109" t="s">
        <v>432</v>
      </c>
      <c r="L1036" s="109" t="s">
        <v>432</v>
      </c>
      <c r="M1036" s="109" t="s">
        <v>432</v>
      </c>
      <c r="N1036" s="109" t="s">
        <v>432</v>
      </c>
      <c r="O1036" s="109" t="s">
        <v>432</v>
      </c>
      <c r="P1036" s="109" t="s">
        <v>432</v>
      </c>
      <c r="Q1036" s="109" t="s">
        <v>432</v>
      </c>
      <c r="R1036" s="109" t="s">
        <v>432</v>
      </c>
      <c r="S1036" s="109" t="s">
        <v>2209</v>
      </c>
      <c r="T1036" s="109" t="s">
        <v>432</v>
      </c>
      <c r="U1036" s="109" t="s">
        <v>432</v>
      </c>
      <c r="V1036" s="109" t="s">
        <v>2209</v>
      </c>
      <c r="W1036" s="109" t="s">
        <v>432</v>
      </c>
      <c r="X1036" s="109" t="s">
        <v>432</v>
      </c>
      <c r="Y1036" s="109" t="s">
        <v>432</v>
      </c>
      <c r="Z1036" s="109" t="s">
        <v>432</v>
      </c>
      <c r="AA1036" s="109" t="s">
        <v>432</v>
      </c>
      <c r="AB1036" s="109" t="s">
        <v>432</v>
      </c>
      <c r="AC1036" s="109" t="s">
        <v>432</v>
      </c>
      <c r="AD1036" s="109" t="s">
        <v>432</v>
      </c>
      <c r="AE1036" s="47" t="e">
        <f t="shared" ref="AE1036:AJ1036" si="264">AE1033/AE883</f>
        <v>#VALUE!</v>
      </c>
      <c r="AF1036" s="47" t="e">
        <f t="shared" si="264"/>
        <v>#VALUE!</v>
      </c>
      <c r="AG1036" s="47" t="e">
        <f t="shared" si="264"/>
        <v>#VALUE!</v>
      </c>
      <c r="AH1036" s="47" t="e">
        <f t="shared" si="264"/>
        <v>#VALUE!</v>
      </c>
      <c r="AI1036" s="47" t="e">
        <f t="shared" si="264"/>
        <v>#VALUE!</v>
      </c>
      <c r="AJ1036" s="47" t="e">
        <f t="shared" si="264"/>
        <v>#VALUE!</v>
      </c>
      <c r="AK1036" s="47">
        <f>AK1033/AK884</f>
        <v>0.8345429802676344</v>
      </c>
      <c r="AL1036" s="600"/>
      <c r="AM1036" s="137"/>
      <c r="AN1036" s="137"/>
      <c r="AO1036" s="137"/>
      <c r="AP1036" s="137"/>
      <c r="AQ1036" s="137"/>
      <c r="AR1036" s="137"/>
      <c r="AS1036" s="137"/>
      <c r="AT1036" s="137"/>
      <c r="AU1036" s="137"/>
      <c r="AV1036" s="137"/>
      <c r="AW1036" s="137"/>
      <c r="AX1036" s="137"/>
      <c r="AY1036" s="137"/>
      <c r="AZ1036" s="137"/>
      <c r="BA1036" s="137"/>
      <c r="BB1036" s="239"/>
      <c r="BC1036" s="239"/>
      <c r="BD1036" s="239"/>
    </row>
    <row r="1037" spans="1:56" s="1" customFormat="1" ht="67.5" customHeight="1" x14ac:dyDescent="0.25">
      <c r="A1037" s="275" t="str">
        <f>'Q100b-totais'!B62</f>
        <v>8.10</v>
      </c>
      <c r="B1037" s="1205" t="str">
        <f>'Q100b-totais'!C62</f>
        <v>Sistema de transporte coletivo com um todo</v>
      </c>
      <c r="C1037" s="57" t="s">
        <v>743</v>
      </c>
      <c r="D1037" s="714" t="str">
        <f>'Q100e-FrotaOnibus'!AM24</f>
        <v>F tcl fc
(%)</v>
      </c>
      <c r="E1037" s="1445" t="str">
        <f>'Q100e-FrotaOnibus'!AN24</f>
        <v>São Paulo</v>
      </c>
      <c r="F1037" s="252" t="str">
        <f>'Q100e-FrotaOnibus'!AO24</f>
        <v>percentual da frota de ônibus do transporte coletivo local da cidade de São Paulo gerenciado pela SPTrans com alguma facilidade no embarque/desembarque para pessoas com mobilidade física reduzida, mesmo que essa facilidade não permita classificar a viagem como acessível, por meio de embarque em nível (desenho universal), de elevador hidráulico instalado no veículo (de uso exclusivo ou não para cadeirantes)</v>
      </c>
      <c r="G1037" s="111" t="str">
        <f>'Q100e-FrotaOnibus'!AP24</f>
        <v>(F tcl fc / F tcl) x 100</v>
      </c>
      <c r="H1037" s="57" t="s">
        <v>819</v>
      </c>
      <c r="I1037" s="167" t="s">
        <v>432</v>
      </c>
      <c r="J1037" s="109" t="s">
        <v>432</v>
      </c>
      <c r="K1037" s="109" t="s">
        <v>432</v>
      </c>
      <c r="L1037" s="109" t="s">
        <v>432</v>
      </c>
      <c r="M1037" s="109" t="s">
        <v>432</v>
      </c>
      <c r="N1037" s="109" t="s">
        <v>432</v>
      </c>
      <c r="O1037" s="109" t="s">
        <v>432</v>
      </c>
      <c r="P1037" s="109" t="s">
        <v>432</v>
      </c>
      <c r="Q1037" s="109" t="s">
        <v>432</v>
      </c>
      <c r="R1037" s="109" t="s">
        <v>432</v>
      </c>
      <c r="S1037" s="109" t="s">
        <v>2209</v>
      </c>
      <c r="T1037" s="109" t="s">
        <v>432</v>
      </c>
      <c r="U1037" s="109" t="s">
        <v>432</v>
      </c>
      <c r="V1037" s="109" t="s">
        <v>2209</v>
      </c>
      <c r="W1037" s="109" t="s">
        <v>432</v>
      </c>
      <c r="X1037" s="109" t="s">
        <v>432</v>
      </c>
      <c r="Y1037" s="109" t="s">
        <v>432</v>
      </c>
      <c r="Z1037" s="109" t="s">
        <v>432</v>
      </c>
      <c r="AA1037" s="109" t="s">
        <v>432</v>
      </c>
      <c r="AB1037" s="109" t="s">
        <v>432</v>
      </c>
      <c r="AC1037" s="109" t="s">
        <v>432</v>
      </c>
      <c r="AD1037" s="109" t="s">
        <v>432</v>
      </c>
      <c r="AE1037" s="47" t="e">
        <f t="shared" ref="AE1037:AJ1037" si="265">AE1034/AE885</f>
        <v>#VALUE!</v>
      </c>
      <c r="AF1037" s="47" t="e">
        <f t="shared" si="265"/>
        <v>#VALUE!</v>
      </c>
      <c r="AG1037" s="47" t="e">
        <f t="shared" si="265"/>
        <v>#VALUE!</v>
      </c>
      <c r="AH1037" s="47" t="e">
        <f t="shared" si="265"/>
        <v>#VALUE!</v>
      </c>
      <c r="AI1037" s="47" t="e">
        <f t="shared" si="265"/>
        <v>#VALUE!</v>
      </c>
      <c r="AJ1037" s="47" t="e">
        <f t="shared" si="265"/>
        <v>#VALUE!</v>
      </c>
      <c r="AK1037" s="47">
        <f>AK1034/AK885</f>
        <v>0.92417061611374407</v>
      </c>
      <c r="AL1037" s="600"/>
      <c r="AM1037" s="137"/>
      <c r="AN1037" s="137"/>
      <c r="AO1037" s="137"/>
      <c r="AP1037" s="137"/>
      <c r="AQ1037" s="137"/>
      <c r="AR1037" s="137"/>
      <c r="AS1037" s="137"/>
      <c r="AT1037" s="137"/>
      <c r="AU1037" s="137"/>
      <c r="AV1037" s="137"/>
      <c r="AW1037" s="137"/>
      <c r="AX1037" s="137"/>
      <c r="AY1037" s="137"/>
      <c r="AZ1037" s="137"/>
      <c r="BA1037" s="137"/>
      <c r="BB1037" s="239"/>
      <c r="BC1037" s="239"/>
      <c r="BD1037" s="239"/>
    </row>
    <row r="1038" spans="1:56" s="105" customFormat="1" ht="236.25" customHeight="1" x14ac:dyDescent="0.25">
      <c r="A1038" s="275" t="str">
        <f>'Q100b-totais'!B62</f>
        <v>8.10</v>
      </c>
      <c r="B1038" s="1205" t="str">
        <f>'Q100b-totais'!C62</f>
        <v>Sistema de transporte coletivo com um todo</v>
      </c>
      <c r="C1038" s="57" t="s">
        <v>743</v>
      </c>
      <c r="D1038" s="714" t="str">
        <f>'Q100e-FrotaOnibus'!AY24</f>
        <v>F tc fc
(%)</v>
      </c>
      <c r="E1038" s="1498" t="str">
        <f>'Q100e-FrotaOnibus'!AZ24</f>
        <v>outras cidades/regiões do Brasil</v>
      </c>
      <c r="F1038" s="252" t="str">
        <f>'Q100e-FrotaOnibus'!BA24</f>
        <v>percentual da frota de ônibus do transporte coletivo de uma determinada cidade com alguma facilidade no embarque/desembarque de pessoas com mobilidade (física) reduzida mesmo que essa facilidade não permita classificar a viagem ofertada como acessível, por meio de embarque em nível (desenho universal) ou de elevador hidráulico instalado no veículo (de uso exclusivo ou não para cadeirantes)
obs.1: chamado de "Frota de ônibus com acessibilidade para pessoas com deficiência - Percentual da frota de ônibus com acessibilidade para pessoas com deficiência" este indicador é calculado como "Número de ônibus com acessibilidade para pessoas com deficiência / Número total de ônibus coletivos no município" pelo Programa Cidades Sustentáveis, que apresenta resultados de 58 cidades que vão de 1,40% em Santarém (2012) a 100% em Sorocaba (2012/2013/2014) conforme PROGRAMA(2015b) 
obs.2: os resultados desse indicador definido pelo Programa Cidades Sustentáveis são tratados no SisMob-BH como capazes de medir, tão somente, "ônibus com alguma facilidade"
 obs.3: Da lista de 58 cidades do Programa Cidades Sustentáveis o SisMob-BH já incorporou os resultados de São Paulo (maior cidade do Brasil), de Joinville (aproximação institucional para comparação de resultados entre cidades com apoio da WRI)  e de Porto Alegre (benchmarking SisMob-BH), sendo que os resultados de outros locais serão incorporados à medida em que isto for sendo considerado apropriado
obs.4: o SisMob-BH está estudando o indicador "Porcentagem de ônibus municipais acessíveis a pessoas com deficiência física" com resultados de nove capitas brasileiras (incluindo Belo Horizonte) proposto em MOBILIZE(2016)
obs.5: "Art.5º - Os veículos de transporte coletivo a serem produzidos após doze meses da publicação desta Lei serão planejados de forma a facilitar o acesso a seu interior das pessoas portadoras de deficiência. [...] §2º - Os proprietários de veículos de transporte coletivo em utilização terão o prazo de cento e oitenta dias, a contar da regulamentação desta Lei, para proceder às adaptações necessárias ao acesso facilitado das pessoas portadoras de deficiência." conforme BRASIL(2000b/art.5º)</v>
      </c>
      <c r="G1038" s="110" t="str">
        <f>'Q100e-FrotaOnibus'!BB24</f>
        <v xml:space="preserve">registro na fonte
</v>
      </c>
      <c r="H1038" s="57" t="s">
        <v>819</v>
      </c>
      <c r="I1038" s="167" t="s">
        <v>432</v>
      </c>
      <c r="J1038" s="109" t="s">
        <v>432</v>
      </c>
      <c r="K1038" s="109" t="s">
        <v>432</v>
      </c>
      <c r="L1038" s="109" t="s">
        <v>432</v>
      </c>
      <c r="M1038" s="109" t="s">
        <v>432</v>
      </c>
      <c r="N1038" s="109" t="s">
        <v>432</v>
      </c>
      <c r="O1038" s="109" t="s">
        <v>432</v>
      </c>
      <c r="P1038" s="109" t="s">
        <v>432</v>
      </c>
      <c r="Q1038" s="109" t="s">
        <v>432</v>
      </c>
      <c r="R1038" s="109" t="s">
        <v>432</v>
      </c>
      <c r="S1038" s="109" t="s">
        <v>2209</v>
      </c>
      <c r="T1038" s="109" t="s">
        <v>432</v>
      </c>
      <c r="U1038" s="109" t="s">
        <v>432</v>
      </c>
      <c r="V1038" s="109" t="s">
        <v>2209</v>
      </c>
      <c r="W1038" s="109" t="s">
        <v>432</v>
      </c>
      <c r="X1038" s="109" t="s">
        <v>432</v>
      </c>
      <c r="Y1038" s="109" t="s">
        <v>432</v>
      </c>
      <c r="Z1038" s="109" t="s">
        <v>432</v>
      </c>
      <c r="AA1038" s="109" t="s">
        <v>432</v>
      </c>
      <c r="AB1038" s="109" t="s">
        <v>432</v>
      </c>
      <c r="AC1038" s="109" t="s">
        <v>432</v>
      </c>
      <c r="AD1038" s="109" t="s">
        <v>432</v>
      </c>
      <c r="AE1038" s="109" t="s">
        <v>432</v>
      </c>
      <c r="AF1038" s="109" t="s">
        <v>432</v>
      </c>
      <c r="AG1038" s="109" t="s">
        <v>432</v>
      </c>
      <c r="AH1038" s="109" t="s">
        <v>432</v>
      </c>
      <c r="AI1038" s="109" t="s">
        <v>432</v>
      </c>
      <c r="AJ1038" s="109" t="s">
        <v>432</v>
      </c>
      <c r="AK1038" s="109" t="s">
        <v>432</v>
      </c>
      <c r="AL1038" s="600" t="s">
        <v>432</v>
      </c>
      <c r="AM1038" s="137" t="s">
        <v>432</v>
      </c>
      <c r="AN1038" s="137" t="s">
        <v>432</v>
      </c>
      <c r="AO1038" s="137" t="s">
        <v>432</v>
      </c>
      <c r="AP1038" s="137" t="s">
        <v>432</v>
      </c>
      <c r="AQ1038" s="137" t="s">
        <v>432</v>
      </c>
      <c r="AR1038" s="137" t="s">
        <v>432</v>
      </c>
      <c r="AS1038" s="137" t="s">
        <v>432</v>
      </c>
      <c r="AT1038" s="137" t="s">
        <v>432</v>
      </c>
      <c r="AU1038" s="137" t="s">
        <v>432</v>
      </c>
      <c r="AV1038" s="137" t="s">
        <v>432</v>
      </c>
      <c r="AW1038" s="137" t="s">
        <v>432</v>
      </c>
      <c r="AX1038" s="137" t="s">
        <v>432</v>
      </c>
      <c r="AY1038" s="137" t="s">
        <v>432</v>
      </c>
      <c r="AZ1038" s="137" t="s">
        <v>432</v>
      </c>
      <c r="BA1038" s="137" t="s">
        <v>432</v>
      </c>
      <c r="BB1038" s="239" t="str">
        <f>B1038&amp;C1038</f>
        <v>Sistema de transporte coletivo com um todoacessibilidade</v>
      </c>
      <c r="BC1038" s="239" t="str">
        <f>B1038&amp;C1038&amp;H1038</f>
        <v>Sistema de transporte coletivo com um todoacessibilidadebenchmarking</v>
      </c>
      <c r="BD1038" s="239" t="str">
        <f>B1038&amp;H1038</f>
        <v>Sistema de transporte coletivo com um todobenchmarking</v>
      </c>
    </row>
    <row r="1039" spans="1:56" s="1" customFormat="1" ht="252" customHeight="1" x14ac:dyDescent="0.25">
      <c r="A1039" s="275" t="str">
        <f>'Q100b-totais'!B62</f>
        <v>8.10</v>
      </c>
      <c r="B1039" s="1205" t="str">
        <f>'Q100b-totais'!C62</f>
        <v>Sistema de transporte coletivo com um todo</v>
      </c>
      <c r="C1039" s="57" t="s">
        <v>743</v>
      </c>
      <c r="D1039" s="714" t="str">
        <f>'Q100e-FrotaOnibus'!AU25</f>
        <v>F tc fc
(meta)</v>
      </c>
      <c r="E1039" s="1498" t="str">
        <f>'Q100e-FrotaOnibus'!AV25</f>
        <v>Vitória, Grande</v>
      </c>
      <c r="F1039" s="252" t="str">
        <f>'Q100e-FrotaOnibus'!AW25</f>
        <v xml:space="preserve">frota em n.º de ônibus do transporte coletivo da Grande Vitória com alguma facilidade para o embarque/desembarque de pessoas com mobilidade (física) reduzida, mesmo que essa facilidade não permita classificar a viagem ofertada como acessível, por meio de embarque em nível (desenho universal) ou de elevador hidráulico instalado no veículo (de uso exclusivo ou não para cadeirantes) 
obs.1: "Em 2008, cumprindo às legislações pertinentes à acessibilidade de pessoas com deficiência no Sistema de Transporte Público de Passageiros – STPP, a CETURB-GV criou o Projeto Rede de Transporte Acessível – RTA que assegura aos usuários com deficiência e mobilidade reduzida o tratamento de suas necessidades e solicitações com a implantação de linhas que possuem veículos sinalizados e equipados com elevadores hidráulicos. Em 2009, a CETURB-GV fixou como meta adaptar toda a frota do sistema TRANSCOL até 2014, em conformidade com a legislação, objetivando atendendo as sugestões e solicitações de mais acessibilidade desse segmento de clientes." e "A Rede de Transporte Acessível – RTA tem por objetivo atender a Lei Federal de acessibilidade 11.126/05. Consiste na implantação de uma Rede de Transporte Acessível, em linhas pré-definidas, equipadas com veículos sinalizados e dotados de elevadores hidráulicos para transporte de usuários com deficiência e mobilidade reduzida. Em 2009 foi iniciado o Programa de Treinamento dos Operadores no trato das pessoas com deficiência, permitindo a capacitação dos motoristas, cobradores e fiscais para realizar o transporte de pessoas com mobilidade reduzida." conforme CETURB-GV(2011, p.23;34)
obs.2: há que se buscar relatório mais recente da Ceturb-GV para avaliar como a legislação pós-2011 impactou a definição de indicador/meta. </v>
      </c>
      <c r="G1039" s="110" t="str">
        <f>'Q100e-FrotaOnibus'!AX25</f>
        <v>registro na fonte</v>
      </c>
      <c r="H1039" s="173" t="s">
        <v>819</v>
      </c>
      <c r="I1039" s="167" t="s">
        <v>432</v>
      </c>
      <c r="J1039" s="109" t="s">
        <v>432</v>
      </c>
      <c r="K1039" s="109" t="s">
        <v>432</v>
      </c>
      <c r="L1039" s="109" t="s">
        <v>432</v>
      </c>
      <c r="M1039" s="109" t="s">
        <v>432</v>
      </c>
      <c r="N1039" s="109" t="s">
        <v>432</v>
      </c>
      <c r="O1039" s="109" t="s">
        <v>432</v>
      </c>
      <c r="P1039" s="109" t="s">
        <v>432</v>
      </c>
      <c r="Q1039" s="109" t="s">
        <v>432</v>
      </c>
      <c r="R1039" s="109" t="s">
        <v>432</v>
      </c>
      <c r="S1039" s="109" t="s">
        <v>2209</v>
      </c>
      <c r="T1039" s="109" t="s">
        <v>432</v>
      </c>
      <c r="U1039" s="109" t="s">
        <v>432</v>
      </c>
      <c r="V1039" s="109" t="s">
        <v>2209</v>
      </c>
      <c r="W1039" s="109" t="s">
        <v>432</v>
      </c>
      <c r="X1039" s="109" t="s">
        <v>432</v>
      </c>
      <c r="Y1039" s="109" t="s">
        <v>432</v>
      </c>
      <c r="Z1039" s="109" t="s">
        <v>432</v>
      </c>
      <c r="AA1039" s="109" t="s">
        <v>432</v>
      </c>
      <c r="AB1039" s="109" t="s">
        <v>432</v>
      </c>
      <c r="AC1039" s="109" t="s">
        <v>432</v>
      </c>
      <c r="AD1039" s="109" t="s">
        <v>432</v>
      </c>
      <c r="AE1039" s="92">
        <v>3936</v>
      </c>
      <c r="AF1039" s="92">
        <v>5198</v>
      </c>
      <c r="AG1039" s="92">
        <v>7484</v>
      </c>
      <c r="AH1039" s="92">
        <v>8906</v>
      </c>
      <c r="AI1039" s="92">
        <v>9747</v>
      </c>
      <c r="AJ1039" s="92">
        <v>11652</v>
      </c>
      <c r="AK1039" s="137" t="s">
        <v>432</v>
      </c>
      <c r="AL1039" s="600" t="s">
        <v>432</v>
      </c>
      <c r="AM1039" s="137" t="s">
        <v>432</v>
      </c>
      <c r="AN1039" s="137" t="s">
        <v>432</v>
      </c>
      <c r="AO1039" s="137" t="s">
        <v>432</v>
      </c>
      <c r="AP1039" s="137" t="s">
        <v>432</v>
      </c>
      <c r="AQ1039" s="137" t="s">
        <v>432</v>
      </c>
      <c r="AR1039" s="137" t="s">
        <v>432</v>
      </c>
      <c r="AS1039" s="137" t="s">
        <v>432</v>
      </c>
      <c r="AT1039" s="137" t="s">
        <v>432</v>
      </c>
      <c r="AU1039" s="137" t="s">
        <v>432</v>
      </c>
      <c r="AV1039" s="137" t="s">
        <v>432</v>
      </c>
      <c r="AW1039" s="137" t="s">
        <v>432</v>
      </c>
      <c r="AX1039" s="137" t="s">
        <v>432</v>
      </c>
      <c r="AY1039" s="137" t="s">
        <v>432</v>
      </c>
      <c r="AZ1039" s="137" t="s">
        <v>432</v>
      </c>
      <c r="BA1039" s="137" t="s">
        <v>432</v>
      </c>
      <c r="BB1039" s="239" t="str">
        <f>B1039&amp;C1039</f>
        <v>Sistema de transporte coletivo com um todoacessibilidade</v>
      </c>
      <c r="BC1039" s="239" t="str">
        <f>B1039&amp;C1039&amp;H1039</f>
        <v>Sistema de transporte coletivo com um todoacessibilidadebenchmarking</v>
      </c>
      <c r="BD1039" s="239" t="str">
        <f>B1039&amp;H1039</f>
        <v>Sistema de transporte coletivo com um todobenchmarking</v>
      </c>
    </row>
    <row r="1040" spans="1:56" s="373" customFormat="1" x14ac:dyDescent="0.25">
      <c r="A1040" s="383"/>
      <c r="B1040" s="384"/>
      <c r="C1040" s="384"/>
      <c r="D1040" s="719"/>
      <c r="E1040" s="1519"/>
      <c r="F1040" s="385"/>
      <c r="G1040" s="385"/>
      <c r="H1040" s="384"/>
      <c r="I1040" s="385"/>
      <c r="J1040" s="385"/>
      <c r="K1040" s="385"/>
      <c r="L1040" s="385"/>
      <c r="M1040" s="385"/>
      <c r="N1040" s="385"/>
      <c r="O1040" s="385"/>
      <c r="P1040" s="385"/>
      <c r="Q1040" s="385"/>
      <c r="R1040" s="385"/>
      <c r="S1040" s="385"/>
      <c r="T1040" s="385"/>
      <c r="U1040" s="385"/>
      <c r="V1040" s="385"/>
      <c r="W1040" s="385"/>
      <c r="X1040" s="385"/>
      <c r="Y1040" s="385"/>
      <c r="Z1040" s="385"/>
      <c r="AA1040" s="385"/>
      <c r="AB1040" s="385"/>
      <c r="AC1040" s="385"/>
      <c r="AD1040" s="385"/>
      <c r="AE1040" s="385"/>
      <c r="AF1040" s="385"/>
      <c r="AG1040" s="385"/>
      <c r="AH1040" s="385"/>
      <c r="AI1040" s="385"/>
      <c r="AJ1040" s="385"/>
      <c r="AK1040" s="397"/>
      <c r="AL1040" s="600" t="s">
        <v>432</v>
      </c>
      <c r="AM1040" s="387"/>
      <c r="AN1040" s="387"/>
      <c r="AO1040" s="387"/>
      <c r="AP1040" s="387"/>
      <c r="AQ1040" s="387"/>
      <c r="AR1040" s="387"/>
      <c r="AS1040" s="387"/>
      <c r="AT1040" s="387"/>
      <c r="AU1040" s="387"/>
      <c r="AV1040" s="387"/>
      <c r="AW1040" s="387"/>
      <c r="AX1040" s="387"/>
      <c r="AY1040" s="387"/>
      <c r="AZ1040" s="387"/>
      <c r="BA1040" s="387"/>
      <c r="BB1040" s="388"/>
      <c r="BC1040" s="388"/>
      <c r="BD1040" s="388"/>
    </row>
    <row r="1041" spans="1:67" s="373" customFormat="1" ht="139.5" customHeight="1" x14ac:dyDescent="0.25">
      <c r="A1041" s="413" t="str">
        <f>'Q100b-totais'!B62</f>
        <v>8.10</v>
      </c>
      <c r="B1041" s="1205" t="str">
        <f>'Q100b-totais'!C62</f>
        <v>Sistema de transporte coletivo com um todo</v>
      </c>
      <c r="C1041" s="173" t="s">
        <v>743</v>
      </c>
      <c r="D1041" s="377" t="str">
        <f>'Q100e-FrotaOnibus'!D5</f>
        <v>F tc nac</v>
      </c>
      <c r="E1041" s="1501" t="str">
        <f>'Q100e-FrotaOnibus'!E5</f>
        <v>x</v>
      </c>
      <c r="F1041" s="355" t="str">
        <f>'Q100e-FrotaOnibus'!F5</f>
        <v xml:space="preserve">frota em n.º de ônibus do transporte público coletivo de uma cidade/região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os veículos desta categoria recebem peso 1, numa escala de 1 a 10, na classificação definida pelo SisMob-BH para classificar a acessibilidade - acesse "acessibilidade em ônibus urbano (escala)"
obs.2: acesse informações quantitativas relativas ao indicador "IAED" das cidades/regiões já incorporadas ao SisMob-BH
</v>
      </c>
      <c r="G1041" s="57" t="s">
        <v>3507</v>
      </c>
      <c r="H1041" s="167" t="s">
        <v>2408</v>
      </c>
      <c r="I1041" s="167" t="s">
        <v>432</v>
      </c>
      <c r="J1041" s="107" t="s">
        <v>432</v>
      </c>
      <c r="K1041" s="107" t="s">
        <v>432</v>
      </c>
      <c r="L1041" s="107" t="s">
        <v>432</v>
      </c>
      <c r="M1041" s="107" t="s">
        <v>432</v>
      </c>
      <c r="N1041" s="107" t="s">
        <v>432</v>
      </c>
      <c r="O1041" s="107" t="s">
        <v>432</v>
      </c>
      <c r="P1041" s="107" t="s">
        <v>432</v>
      </c>
      <c r="Q1041" s="107" t="s">
        <v>432</v>
      </c>
      <c r="R1041" s="107" t="s">
        <v>432</v>
      </c>
      <c r="S1041" s="109" t="s">
        <v>2209</v>
      </c>
      <c r="T1041" s="108" t="s">
        <v>432</v>
      </c>
      <c r="U1041" s="108" t="s">
        <v>432</v>
      </c>
      <c r="V1041" s="109" t="s">
        <v>2209</v>
      </c>
      <c r="W1041" s="108" t="s">
        <v>432</v>
      </c>
      <c r="X1041" s="108" t="s">
        <v>432</v>
      </c>
      <c r="Y1041" s="108" t="s">
        <v>432</v>
      </c>
      <c r="Z1041" s="108" t="s">
        <v>432</v>
      </c>
      <c r="AA1041" s="108" t="s">
        <v>432</v>
      </c>
      <c r="AB1041" s="108" t="s">
        <v>432</v>
      </c>
      <c r="AC1041" s="108" t="s">
        <v>432</v>
      </c>
      <c r="AD1041" s="108" t="s">
        <v>432</v>
      </c>
      <c r="AE1041" s="108" t="s">
        <v>432</v>
      </c>
      <c r="AF1041" s="108" t="s">
        <v>432</v>
      </c>
      <c r="AG1041" s="108" t="s">
        <v>432</v>
      </c>
      <c r="AH1041" s="108" t="s">
        <v>432</v>
      </c>
      <c r="AI1041" s="108" t="s">
        <v>432</v>
      </c>
      <c r="AJ1041" s="108" t="s">
        <v>432</v>
      </c>
      <c r="AK1041" s="108" t="s">
        <v>432</v>
      </c>
      <c r="AL1041" s="600" t="s">
        <v>432</v>
      </c>
      <c r="AM1041" s="137" t="s">
        <v>432</v>
      </c>
      <c r="AN1041" s="137" t="s">
        <v>432</v>
      </c>
      <c r="AO1041" s="137" t="s">
        <v>432</v>
      </c>
      <c r="AP1041" s="137" t="s">
        <v>432</v>
      </c>
      <c r="AQ1041" s="137" t="s">
        <v>432</v>
      </c>
      <c r="AR1041" s="137" t="s">
        <v>432</v>
      </c>
      <c r="AS1041" s="137" t="s">
        <v>432</v>
      </c>
      <c r="AT1041" s="137" t="s">
        <v>432</v>
      </c>
      <c r="AU1041" s="137" t="s">
        <v>432</v>
      </c>
      <c r="AV1041" s="137" t="s">
        <v>432</v>
      </c>
      <c r="AW1041" s="137" t="s">
        <v>432</v>
      </c>
      <c r="AX1041" s="137" t="s">
        <v>432</v>
      </c>
      <c r="AY1041" s="137" t="s">
        <v>432</v>
      </c>
      <c r="AZ1041" s="137" t="s">
        <v>432</v>
      </c>
      <c r="BA1041" s="137" t="s">
        <v>432</v>
      </c>
      <c r="BB1041" s="239" t="str">
        <f t="shared" ref="BB1041:BB1056" si="266">B1041&amp;C1041</f>
        <v>Sistema de transporte coletivo com um todoacessibilidade</v>
      </c>
      <c r="BC1041" s="239" t="str">
        <f t="shared" ref="BC1041:BC1056" si="267">B1041&amp;C1041&amp;H1041</f>
        <v>Sistema de transporte coletivo com um todoacessibilidadesigla/verbete</v>
      </c>
      <c r="BD1041" s="239" t="str">
        <f t="shared" ref="BD1041:BD1056" si="268">B1041&amp;H1041</f>
        <v>Sistema de transporte coletivo com um todosigla/verbete</v>
      </c>
    </row>
    <row r="1042" spans="1:67" s="1" customFormat="1" ht="132" customHeight="1" x14ac:dyDescent="0.25">
      <c r="A1042" s="275" t="str">
        <f>A862</f>
        <v>8.10</v>
      </c>
      <c r="B1042" s="1205" t="str">
        <f>B862</f>
        <v>Sistema de transporte coletivo com um todo</v>
      </c>
      <c r="C1042" s="57" t="s">
        <v>743</v>
      </c>
      <c r="D1042" s="714" t="str">
        <f>'Q100e-FrotaOnibus'!BL5</f>
        <v>F tc nac</v>
      </c>
      <c r="E1042" s="254" t="str">
        <f>'Q100e-FrotaOnibus'!BM5</f>
        <v>Belo Horizonte</v>
      </c>
      <c r="F1042" s="252" t="str">
        <f>'Q100e-FrotaOnibus'!BN5</f>
        <v xml:space="preserve">frota em n.º de ônibus de todo o sistema de transporte coletivo de Belo Horizonte (transporte convencional  e transporte suplementar)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mês de dezembro tomado como referência anual conforme BHTRANS(2015c)
obs.2: esta categoria recebe peso 1, numa escala de 1 a 10, na classificação definida pelo SisMob-BH para classificar a acessibilidade - acesse "acessibilidade em ônibus urbano (escala)"
obs.3: pelo menos até 2015 em Belo Horizonte este indicador é idêntico a "F tcc sfc" </v>
      </c>
      <c r="G1042" s="111" t="str">
        <f>'Q100e-FrotaOnibus'!BO5</f>
        <v>F tcc nac + F tcs nac</v>
      </c>
      <c r="H1042" s="173" t="s">
        <v>432</v>
      </c>
      <c r="I1042" s="167">
        <v>1</v>
      </c>
      <c r="J1042" s="109" t="s">
        <v>2467</v>
      </c>
      <c r="K1042" s="109" t="s">
        <v>2467</v>
      </c>
      <c r="L1042" s="109" t="s">
        <v>2467</v>
      </c>
      <c r="M1042" s="20">
        <f t="shared" ref="M1042:R1042" si="269">M1043</f>
        <v>2491</v>
      </c>
      <c r="N1042" s="20">
        <f t="shared" si="269"/>
        <v>2574</v>
      </c>
      <c r="O1042" s="20">
        <f t="shared" si="269"/>
        <v>2670</v>
      </c>
      <c r="P1042" s="20" t="e">
        <f t="shared" si="269"/>
        <v>#VALUE!</v>
      </c>
      <c r="Q1042" s="20" t="e">
        <f t="shared" si="269"/>
        <v>#VALUE!</v>
      </c>
      <c r="R1042" s="20" t="e">
        <f t="shared" si="269"/>
        <v>#VALUE!</v>
      </c>
      <c r="S1042" s="109" t="s">
        <v>2209</v>
      </c>
      <c r="T1042" s="20" t="e">
        <f>T1043</f>
        <v>#VALUE!</v>
      </c>
      <c r="U1042" s="20" t="e">
        <f>U1043</f>
        <v>#VALUE!</v>
      </c>
      <c r="V1042" s="109" t="s">
        <v>2209</v>
      </c>
      <c r="W1042" s="20" t="e">
        <f t="shared" ref="W1042:AK1042" si="270">W1043+W1049</f>
        <v>#VALUE!</v>
      </c>
      <c r="X1042" s="20" t="e">
        <f t="shared" si="270"/>
        <v>#VALUE!</v>
      </c>
      <c r="Y1042" s="20" t="e">
        <f t="shared" si="270"/>
        <v>#VALUE!</v>
      </c>
      <c r="Z1042" s="20" t="e">
        <f t="shared" si="270"/>
        <v>#VALUE!</v>
      </c>
      <c r="AA1042" s="20" t="e">
        <f t="shared" si="270"/>
        <v>#VALUE!</v>
      </c>
      <c r="AB1042" s="20" t="e">
        <f t="shared" si="270"/>
        <v>#VALUE!</v>
      </c>
      <c r="AC1042" s="20" t="e">
        <f t="shared" si="270"/>
        <v>#VALUE!</v>
      </c>
      <c r="AD1042" s="20" t="e">
        <f t="shared" si="270"/>
        <v>#VALUE!</v>
      </c>
      <c r="AE1042" s="20" t="e">
        <f t="shared" si="270"/>
        <v>#VALUE!</v>
      </c>
      <c r="AF1042" s="20" t="e">
        <f t="shared" si="270"/>
        <v>#VALUE!</v>
      </c>
      <c r="AG1042" s="20" t="e">
        <f t="shared" si="270"/>
        <v>#VALUE!</v>
      </c>
      <c r="AH1042" s="20" t="e">
        <f t="shared" si="270"/>
        <v>#VALUE!</v>
      </c>
      <c r="AI1042" s="20" t="e">
        <f t="shared" si="270"/>
        <v>#VALUE!</v>
      </c>
      <c r="AJ1042" s="20">
        <f t="shared" si="270"/>
        <v>309</v>
      </c>
      <c r="AK1042" s="20">
        <f t="shared" si="270"/>
        <v>249</v>
      </c>
      <c r="AL1042" s="600" t="s">
        <v>432</v>
      </c>
      <c r="AM1042" s="137" t="s">
        <v>432</v>
      </c>
      <c r="AN1042" s="137" t="s">
        <v>432</v>
      </c>
      <c r="AO1042" s="137" t="s">
        <v>432</v>
      </c>
      <c r="AP1042" s="137" t="s">
        <v>432</v>
      </c>
      <c r="AQ1042" s="137" t="s">
        <v>432</v>
      </c>
      <c r="AR1042" s="137" t="s">
        <v>432</v>
      </c>
      <c r="AS1042" s="137" t="s">
        <v>432</v>
      </c>
      <c r="AT1042" s="137" t="s">
        <v>432</v>
      </c>
      <c r="AU1042" s="137" t="s">
        <v>432</v>
      </c>
      <c r="AV1042" s="137" t="s">
        <v>432</v>
      </c>
      <c r="AW1042" s="137" t="s">
        <v>432</v>
      </c>
      <c r="AX1042" s="137" t="s">
        <v>432</v>
      </c>
      <c r="AY1042" s="137" t="s">
        <v>432</v>
      </c>
      <c r="AZ1042" s="137" t="s">
        <v>432</v>
      </c>
      <c r="BA1042" s="137" t="s">
        <v>432</v>
      </c>
      <c r="BB1042" s="239" t="str">
        <f t="shared" si="266"/>
        <v>Sistema de transporte coletivo com um todoacessibilidade</v>
      </c>
      <c r="BC1042" s="239" t="str">
        <f t="shared" si="267"/>
        <v>Sistema de transporte coletivo com um todoacessibilidadex</v>
      </c>
      <c r="BD1042" s="239" t="str">
        <f t="shared" si="268"/>
        <v>Sistema de transporte coletivo com um todox</v>
      </c>
    </row>
    <row r="1043" spans="1:67" s="1" customFormat="1" ht="205.5" customHeight="1" x14ac:dyDescent="0.25">
      <c r="A1043" s="275" t="str">
        <f>'Q100b-totais'!$B$57</f>
        <v>8.5</v>
      </c>
      <c r="B1043" s="54" t="str">
        <f>'Q100b-totais'!$C$57</f>
        <v>Transporte convencional</v>
      </c>
      <c r="C1043" s="230" t="s">
        <v>743</v>
      </c>
      <c r="D1043" s="715" t="str">
        <f>'Q100e-FrotaOnibus'!BD5</f>
        <v>F tcc nac</v>
      </c>
      <c r="E1043" s="1502" t="str">
        <f>'Q100e-FrotaOnibus'!BE5</f>
        <v>Belo Horizonte</v>
      </c>
      <c r="F1043" s="355" t="str">
        <f>'Q100e-FrotaOnibus'!BF5</f>
        <v>frota em n.º de ônibus do transporte coletivo convencional de Belo Horizonte gerenciado pela BHTrans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esta categoria recebe peso 1, numa escala de 1 a 10, na classificação definida pelo SisMob-BH para classificar a acessibilidade - acesse "acessibilidade em ônibus urbano (escala)"
obs.2: de 1993 a 1997 todos os veículos "F tcc" são desta categoria conforme "F tcc histórico"
obs.3: para períodos anteriores a 2008 utiliza-se a fórmula (F tc - ∑ (n.º de veículos das demais categorias da escala "acessibilidade em ônibus urbano"))
obs.4: mês de dezembro tomado como referência anual, com resultados de 2009 a 2014 conforme BHTRANS(2015c) e de 2015 conforme BHTRANS(2016c)
obs.5: resultados de 2015 por ano de fabricação (2005 a 2008) conforme BHTRANS(2016m)
obs.6: foi anunciado em maio/2016 que as empresas operadoras de Belo Horizonte substituirão todos os veículos sem facilidade (F tcc sfc) por veículos com elevador (F tcc eh) até dezembro/2016 conforme 340 ÔNIBUS(2016); BH TERÁ(2016)</v>
      </c>
      <c r="G1043" s="111" t="str">
        <f>'Q100e-FrotaOnibus'!BG5</f>
        <v>1993 a 1995: registro na fonte
1996 a 2008: fórmula
2009 a 2014: registro na fonte
2015: ∑F tcc sfc (2005 a 2008)</v>
      </c>
      <c r="H1043" s="173" t="s">
        <v>432</v>
      </c>
      <c r="I1043" s="167">
        <v>1</v>
      </c>
      <c r="J1043" s="107" t="s">
        <v>2467</v>
      </c>
      <c r="K1043" s="107" t="s">
        <v>2467</v>
      </c>
      <c r="L1043" s="107" t="s">
        <v>2467</v>
      </c>
      <c r="M1043" s="92">
        <f>M865</f>
        <v>2491</v>
      </c>
      <c r="N1043" s="92">
        <f>N865</f>
        <v>2574</v>
      </c>
      <c r="O1043" s="92">
        <f>O865</f>
        <v>2670</v>
      </c>
      <c r="P1043" s="356" t="e">
        <f>P865-P922-P937-P897-P994-P971</f>
        <v>#VALUE!</v>
      </c>
      <c r="Q1043" s="356" t="e">
        <f>Q865-Q922-Q937-Q897-Q994-Q971</f>
        <v>#VALUE!</v>
      </c>
      <c r="R1043" s="356" t="e">
        <f>R865-R922-R937-R897-R994-R971</f>
        <v>#VALUE!</v>
      </c>
      <c r="S1043" s="109" t="s">
        <v>2209</v>
      </c>
      <c r="T1043" s="356" t="e">
        <f>T865-T922-T937-T897-T994-T971</f>
        <v>#VALUE!</v>
      </c>
      <c r="U1043" s="356" t="e">
        <f>U865-U922-U937-U897-U994-U971</f>
        <v>#VALUE!</v>
      </c>
      <c r="V1043" s="109" t="s">
        <v>2209</v>
      </c>
      <c r="W1043" s="356" t="e">
        <f t="shared" ref="W1043:AD1043" si="271">W865-W922-W937-W897-W994-W971</f>
        <v>#VALUE!</v>
      </c>
      <c r="X1043" s="356" t="e">
        <f t="shared" si="271"/>
        <v>#VALUE!</v>
      </c>
      <c r="Y1043" s="356">
        <f t="shared" si="271"/>
        <v>2690</v>
      </c>
      <c r="Z1043" s="356" t="e">
        <f t="shared" si="271"/>
        <v>#VALUE!</v>
      </c>
      <c r="AA1043" s="356" t="e">
        <f t="shared" si="271"/>
        <v>#VALUE!</v>
      </c>
      <c r="AB1043" s="356" t="e">
        <f t="shared" si="271"/>
        <v>#VALUE!</v>
      </c>
      <c r="AC1043" s="356" t="e">
        <f t="shared" si="271"/>
        <v>#VALUE!</v>
      </c>
      <c r="AD1043" s="356" t="e">
        <f t="shared" si="271"/>
        <v>#VALUE!</v>
      </c>
      <c r="AE1043" s="87">
        <v>1329</v>
      </c>
      <c r="AF1043" s="87">
        <v>1024</v>
      </c>
      <c r="AG1043" s="87">
        <v>793</v>
      </c>
      <c r="AH1043" s="87">
        <v>697</v>
      </c>
      <c r="AI1043" s="84">
        <v>585</v>
      </c>
      <c r="AJ1043" s="84">
        <v>302</v>
      </c>
      <c r="AK1043" s="23">
        <f>AK1044+AK1045+AK1046+AK1047</f>
        <v>244</v>
      </c>
      <c r="AL1043" s="600" t="s">
        <v>432</v>
      </c>
      <c r="AM1043" s="84">
        <v>99</v>
      </c>
      <c r="AN1043" s="137" t="s">
        <v>432</v>
      </c>
      <c r="AO1043" s="137" t="s">
        <v>432</v>
      </c>
      <c r="AP1043" s="137" t="s">
        <v>432</v>
      </c>
      <c r="AQ1043" s="137" t="s">
        <v>432</v>
      </c>
      <c r="AR1043" s="137" t="s">
        <v>432</v>
      </c>
      <c r="AS1043" s="137" t="s">
        <v>432</v>
      </c>
      <c r="AT1043" s="137" t="s">
        <v>432</v>
      </c>
      <c r="AU1043" s="137" t="s">
        <v>432</v>
      </c>
      <c r="AV1043" s="137" t="s">
        <v>432</v>
      </c>
      <c r="AW1043" s="137" t="s">
        <v>432</v>
      </c>
      <c r="AX1043" s="137" t="s">
        <v>432</v>
      </c>
      <c r="AY1043" s="137" t="s">
        <v>432</v>
      </c>
      <c r="AZ1043" s="137" t="s">
        <v>432</v>
      </c>
      <c r="BA1043" s="137" t="s">
        <v>432</v>
      </c>
      <c r="BB1043" s="239" t="str">
        <f t="shared" si="266"/>
        <v>Transporte convencionalacessibilidade</v>
      </c>
      <c r="BC1043" s="239" t="str">
        <f t="shared" si="267"/>
        <v>Transporte convencionalacessibilidadex</v>
      </c>
      <c r="BD1043" s="239" t="str">
        <f t="shared" si="268"/>
        <v>Transporte convencionalx</v>
      </c>
    </row>
    <row r="1044" spans="1:67" s="1" customFormat="1" ht="51.75" customHeight="1" x14ac:dyDescent="0.25">
      <c r="A1044" s="275" t="str">
        <f>'Q100b-totais'!B57</f>
        <v>8.5</v>
      </c>
      <c r="B1044" s="54" t="str">
        <f>'Q100b-totais'!C57</f>
        <v>Transporte convencional</v>
      </c>
      <c r="C1044" s="230" t="s">
        <v>743</v>
      </c>
      <c r="D1044" s="714" t="s">
        <v>2642</v>
      </c>
      <c r="E1044" s="254" t="s">
        <v>1306</v>
      </c>
      <c r="F1044" s="252" t="s">
        <v>2540</v>
      </c>
      <c r="G1044" s="110" t="s">
        <v>77</v>
      </c>
      <c r="H1044" s="173" t="s">
        <v>432</v>
      </c>
      <c r="I1044" s="167">
        <v>1</v>
      </c>
      <c r="J1044" s="107" t="s">
        <v>2467</v>
      </c>
      <c r="K1044" s="107" t="s">
        <v>2467</v>
      </c>
      <c r="L1044" s="107" t="s">
        <v>2467</v>
      </c>
      <c r="M1044" s="539" t="s">
        <v>2176</v>
      </c>
      <c r="N1044" s="539" t="s">
        <v>2176</v>
      </c>
      <c r="O1044" s="539" t="s">
        <v>2176</v>
      </c>
      <c r="P1044" s="539" t="s">
        <v>2176</v>
      </c>
      <c r="Q1044" s="539" t="s">
        <v>2176</v>
      </c>
      <c r="R1044" s="539" t="s">
        <v>2176</v>
      </c>
      <c r="S1044" s="109" t="s">
        <v>2209</v>
      </c>
      <c r="T1044" s="539" t="s">
        <v>2176</v>
      </c>
      <c r="U1044" s="539" t="s">
        <v>2176</v>
      </c>
      <c r="V1044" s="109" t="s">
        <v>2209</v>
      </c>
      <c r="W1044" s="539" t="s">
        <v>2176</v>
      </c>
      <c r="X1044" s="539" t="s">
        <v>2176</v>
      </c>
      <c r="Y1044" s="539" t="s">
        <v>2176</v>
      </c>
      <c r="Z1044" s="539" t="s">
        <v>2176</v>
      </c>
      <c r="AA1044" s="539" t="s">
        <v>2544</v>
      </c>
      <c r="AB1044" s="539" t="s">
        <v>2544</v>
      </c>
      <c r="AC1044" s="539" t="s">
        <v>2544</v>
      </c>
      <c r="AD1044" s="539" t="s">
        <v>2544</v>
      </c>
      <c r="AE1044" s="539" t="s">
        <v>2544</v>
      </c>
      <c r="AF1044" s="539" t="s">
        <v>2544</v>
      </c>
      <c r="AG1044" s="539" t="s">
        <v>2544</v>
      </c>
      <c r="AH1044" s="539" t="s">
        <v>2544</v>
      </c>
      <c r="AI1044" s="539" t="s">
        <v>2544</v>
      </c>
      <c r="AJ1044" s="539" t="s">
        <v>2544</v>
      </c>
      <c r="AK1044" s="84">
        <v>16</v>
      </c>
      <c r="AL1044" s="600" t="s">
        <v>432</v>
      </c>
      <c r="AM1044" s="422" t="s">
        <v>3856</v>
      </c>
      <c r="AN1044" s="137" t="s">
        <v>432</v>
      </c>
      <c r="AO1044" s="137" t="s">
        <v>432</v>
      </c>
      <c r="AP1044" s="137" t="s">
        <v>432</v>
      </c>
      <c r="AQ1044" s="137" t="s">
        <v>432</v>
      </c>
      <c r="AR1044" s="137" t="s">
        <v>432</v>
      </c>
      <c r="AS1044" s="137" t="s">
        <v>432</v>
      </c>
      <c r="AT1044" s="137" t="s">
        <v>432</v>
      </c>
      <c r="AU1044" s="137" t="s">
        <v>432</v>
      </c>
      <c r="AV1044" s="137" t="s">
        <v>432</v>
      </c>
      <c r="AW1044" s="137" t="s">
        <v>432</v>
      </c>
      <c r="AX1044" s="137" t="s">
        <v>432</v>
      </c>
      <c r="AY1044" s="137" t="s">
        <v>432</v>
      </c>
      <c r="AZ1044" s="137" t="s">
        <v>432</v>
      </c>
      <c r="BA1044" s="137" t="s">
        <v>432</v>
      </c>
      <c r="BB1044" s="239" t="str">
        <f t="shared" si="266"/>
        <v>Transporte convencionalacessibilidade</v>
      </c>
      <c r="BC1044" s="239" t="str">
        <f t="shared" si="267"/>
        <v>Transporte convencionalacessibilidadex</v>
      </c>
      <c r="BD1044" s="239" t="str">
        <f t="shared" si="268"/>
        <v>Transporte convencionalx</v>
      </c>
    </row>
    <row r="1045" spans="1:67" s="1" customFormat="1" ht="51" x14ac:dyDescent="0.25">
      <c r="A1045" s="275" t="str">
        <f>'Q100b-totais'!B57</f>
        <v>8.5</v>
      </c>
      <c r="B1045" s="54" t="str">
        <f>'Q100b-totais'!C57</f>
        <v>Transporte convencional</v>
      </c>
      <c r="C1045" s="230" t="s">
        <v>743</v>
      </c>
      <c r="D1045" s="714" t="s">
        <v>2643</v>
      </c>
      <c r="E1045" s="254" t="s">
        <v>1306</v>
      </c>
      <c r="F1045" s="252" t="s">
        <v>2541</v>
      </c>
      <c r="G1045" s="110" t="s">
        <v>77</v>
      </c>
      <c r="H1045" s="173" t="s">
        <v>432</v>
      </c>
      <c r="I1045" s="167">
        <v>1</v>
      </c>
      <c r="J1045" s="107" t="s">
        <v>2467</v>
      </c>
      <c r="K1045" s="107" t="s">
        <v>2467</v>
      </c>
      <c r="L1045" s="107" t="s">
        <v>2467</v>
      </c>
      <c r="M1045" s="539" t="s">
        <v>2176</v>
      </c>
      <c r="N1045" s="539" t="s">
        <v>2176</v>
      </c>
      <c r="O1045" s="539" t="s">
        <v>2176</v>
      </c>
      <c r="P1045" s="539" t="s">
        <v>2176</v>
      </c>
      <c r="Q1045" s="539" t="s">
        <v>2176</v>
      </c>
      <c r="R1045" s="539" t="s">
        <v>2176</v>
      </c>
      <c r="S1045" s="109" t="s">
        <v>2209</v>
      </c>
      <c r="T1045" s="539" t="s">
        <v>2176</v>
      </c>
      <c r="U1045" s="539" t="s">
        <v>2176</v>
      </c>
      <c r="V1045" s="109" t="s">
        <v>2209</v>
      </c>
      <c r="W1045" s="539" t="s">
        <v>2176</v>
      </c>
      <c r="X1045" s="539" t="s">
        <v>2176</v>
      </c>
      <c r="Y1045" s="539" t="s">
        <v>2176</v>
      </c>
      <c r="Z1045" s="539" t="s">
        <v>2176</v>
      </c>
      <c r="AA1045" s="539" t="s">
        <v>2176</v>
      </c>
      <c r="AB1045" s="539" t="s">
        <v>2544</v>
      </c>
      <c r="AC1045" s="539" t="s">
        <v>2544</v>
      </c>
      <c r="AD1045" s="539" t="s">
        <v>2544</v>
      </c>
      <c r="AE1045" s="539" t="s">
        <v>2544</v>
      </c>
      <c r="AF1045" s="539" t="s">
        <v>2544</v>
      </c>
      <c r="AG1045" s="539" t="s">
        <v>2544</v>
      </c>
      <c r="AH1045" s="539" t="s">
        <v>2544</v>
      </c>
      <c r="AI1045" s="539" t="s">
        <v>2544</v>
      </c>
      <c r="AJ1045" s="539" t="s">
        <v>2544</v>
      </c>
      <c r="AK1045" s="84">
        <v>49</v>
      </c>
      <c r="AL1045" s="600" t="s">
        <v>432</v>
      </c>
      <c r="AM1045" s="422" t="s">
        <v>3856</v>
      </c>
      <c r="AN1045" s="137" t="s">
        <v>432</v>
      </c>
      <c r="AO1045" s="137" t="s">
        <v>432</v>
      </c>
      <c r="AP1045" s="137" t="s">
        <v>432</v>
      </c>
      <c r="AQ1045" s="137" t="s">
        <v>432</v>
      </c>
      <c r="AR1045" s="137" t="s">
        <v>432</v>
      </c>
      <c r="AS1045" s="137" t="s">
        <v>432</v>
      </c>
      <c r="AT1045" s="137" t="s">
        <v>432</v>
      </c>
      <c r="AU1045" s="137" t="s">
        <v>432</v>
      </c>
      <c r="AV1045" s="137" t="s">
        <v>432</v>
      </c>
      <c r="AW1045" s="137" t="s">
        <v>432</v>
      </c>
      <c r="AX1045" s="137" t="s">
        <v>432</v>
      </c>
      <c r="AY1045" s="137" t="s">
        <v>432</v>
      </c>
      <c r="AZ1045" s="137" t="s">
        <v>432</v>
      </c>
      <c r="BA1045" s="137" t="s">
        <v>432</v>
      </c>
      <c r="BB1045" s="239" t="str">
        <f t="shared" si="266"/>
        <v>Transporte convencionalacessibilidade</v>
      </c>
      <c r="BC1045" s="239" t="str">
        <f t="shared" si="267"/>
        <v>Transporte convencionalacessibilidadex</v>
      </c>
      <c r="BD1045" s="239" t="str">
        <f t="shared" si="268"/>
        <v>Transporte convencionalx</v>
      </c>
    </row>
    <row r="1046" spans="1:67" s="1" customFormat="1" ht="51" x14ac:dyDescent="0.25">
      <c r="A1046" s="275" t="str">
        <f>'Q100b-totais'!B57</f>
        <v>8.5</v>
      </c>
      <c r="B1046" s="54" t="str">
        <f>'Q100b-totais'!C57</f>
        <v>Transporte convencional</v>
      </c>
      <c r="C1046" s="230" t="s">
        <v>743</v>
      </c>
      <c r="D1046" s="714" t="s">
        <v>2644</v>
      </c>
      <c r="E1046" s="254" t="s">
        <v>1306</v>
      </c>
      <c r="F1046" s="252" t="s">
        <v>2542</v>
      </c>
      <c r="G1046" s="110" t="s">
        <v>77</v>
      </c>
      <c r="H1046" s="173" t="s">
        <v>432</v>
      </c>
      <c r="I1046" s="167">
        <v>1</v>
      </c>
      <c r="J1046" s="107" t="s">
        <v>2467</v>
      </c>
      <c r="K1046" s="107" t="s">
        <v>2467</v>
      </c>
      <c r="L1046" s="107" t="s">
        <v>2467</v>
      </c>
      <c r="M1046" s="539" t="s">
        <v>2176</v>
      </c>
      <c r="N1046" s="539" t="s">
        <v>2176</v>
      </c>
      <c r="O1046" s="539" t="s">
        <v>2176</v>
      </c>
      <c r="P1046" s="539" t="s">
        <v>2176</v>
      </c>
      <c r="Q1046" s="539" t="s">
        <v>2176</v>
      </c>
      <c r="R1046" s="539" t="s">
        <v>2176</v>
      </c>
      <c r="S1046" s="109" t="s">
        <v>2209</v>
      </c>
      <c r="T1046" s="539" t="s">
        <v>2176</v>
      </c>
      <c r="U1046" s="539" t="s">
        <v>2176</v>
      </c>
      <c r="V1046" s="109" t="s">
        <v>2209</v>
      </c>
      <c r="W1046" s="539" t="s">
        <v>2176</v>
      </c>
      <c r="X1046" s="539" t="s">
        <v>2176</v>
      </c>
      <c r="Y1046" s="539" t="s">
        <v>2176</v>
      </c>
      <c r="Z1046" s="539" t="s">
        <v>2176</v>
      </c>
      <c r="AA1046" s="539" t="s">
        <v>2176</v>
      </c>
      <c r="AB1046" s="539" t="s">
        <v>2176</v>
      </c>
      <c r="AC1046" s="539" t="s">
        <v>2544</v>
      </c>
      <c r="AD1046" s="539" t="s">
        <v>2544</v>
      </c>
      <c r="AE1046" s="539" t="s">
        <v>2544</v>
      </c>
      <c r="AF1046" s="539" t="s">
        <v>2544</v>
      </c>
      <c r="AG1046" s="539" t="s">
        <v>2544</v>
      </c>
      <c r="AH1046" s="539" t="s">
        <v>2544</v>
      </c>
      <c r="AI1046" s="539" t="s">
        <v>2544</v>
      </c>
      <c r="AJ1046" s="539" t="s">
        <v>2544</v>
      </c>
      <c r="AK1046" s="84">
        <v>138</v>
      </c>
      <c r="AL1046" s="600" t="s">
        <v>432</v>
      </c>
      <c r="AM1046" s="422" t="s">
        <v>3856</v>
      </c>
      <c r="AN1046" s="137" t="s">
        <v>432</v>
      </c>
      <c r="AO1046" s="137" t="s">
        <v>432</v>
      </c>
      <c r="AP1046" s="137" t="s">
        <v>432</v>
      </c>
      <c r="AQ1046" s="137" t="s">
        <v>432</v>
      </c>
      <c r="AR1046" s="137" t="s">
        <v>432</v>
      </c>
      <c r="AS1046" s="137" t="s">
        <v>432</v>
      </c>
      <c r="AT1046" s="137" t="s">
        <v>432</v>
      </c>
      <c r="AU1046" s="137" t="s">
        <v>432</v>
      </c>
      <c r="AV1046" s="137" t="s">
        <v>432</v>
      </c>
      <c r="AW1046" s="137" t="s">
        <v>432</v>
      </c>
      <c r="AX1046" s="137" t="s">
        <v>432</v>
      </c>
      <c r="AY1046" s="137" t="s">
        <v>432</v>
      </c>
      <c r="AZ1046" s="137" t="s">
        <v>432</v>
      </c>
      <c r="BA1046" s="137" t="s">
        <v>432</v>
      </c>
      <c r="BB1046" s="239" t="str">
        <f t="shared" si="266"/>
        <v>Transporte convencionalacessibilidade</v>
      </c>
      <c r="BC1046" s="239" t="str">
        <f t="shared" si="267"/>
        <v>Transporte convencionalacessibilidadex</v>
      </c>
      <c r="BD1046" s="239" t="str">
        <f t="shared" si="268"/>
        <v>Transporte convencionalx</v>
      </c>
    </row>
    <row r="1047" spans="1:67" s="1" customFormat="1" ht="51" x14ac:dyDescent="0.25">
      <c r="A1047" s="275" t="str">
        <f>'Q100b-totais'!B57</f>
        <v>8.5</v>
      </c>
      <c r="B1047" s="54" t="str">
        <f>'Q100b-totais'!C57</f>
        <v>Transporte convencional</v>
      </c>
      <c r="C1047" s="230" t="s">
        <v>743</v>
      </c>
      <c r="D1047" s="714" t="s">
        <v>2645</v>
      </c>
      <c r="E1047" s="254" t="s">
        <v>1306</v>
      </c>
      <c r="F1047" s="252" t="s">
        <v>2543</v>
      </c>
      <c r="G1047" s="110" t="s">
        <v>77</v>
      </c>
      <c r="H1047" s="173" t="s">
        <v>432</v>
      </c>
      <c r="I1047" s="167">
        <v>1</v>
      </c>
      <c r="J1047" s="107" t="s">
        <v>2467</v>
      </c>
      <c r="K1047" s="107" t="s">
        <v>2467</v>
      </c>
      <c r="L1047" s="107" t="s">
        <v>2467</v>
      </c>
      <c r="M1047" s="539" t="s">
        <v>2176</v>
      </c>
      <c r="N1047" s="539" t="s">
        <v>2176</v>
      </c>
      <c r="O1047" s="539" t="s">
        <v>2176</v>
      </c>
      <c r="P1047" s="539" t="s">
        <v>2176</v>
      </c>
      <c r="Q1047" s="539" t="s">
        <v>2176</v>
      </c>
      <c r="R1047" s="539" t="s">
        <v>2176</v>
      </c>
      <c r="S1047" s="109" t="s">
        <v>2209</v>
      </c>
      <c r="T1047" s="539" t="s">
        <v>2176</v>
      </c>
      <c r="U1047" s="539" t="s">
        <v>2176</v>
      </c>
      <c r="V1047" s="109" t="s">
        <v>2209</v>
      </c>
      <c r="W1047" s="539" t="s">
        <v>2176</v>
      </c>
      <c r="X1047" s="539" t="s">
        <v>2176</v>
      </c>
      <c r="Y1047" s="539" t="s">
        <v>2176</v>
      </c>
      <c r="Z1047" s="539" t="s">
        <v>2176</v>
      </c>
      <c r="AA1047" s="539" t="s">
        <v>2176</v>
      </c>
      <c r="AB1047" s="539" t="s">
        <v>2176</v>
      </c>
      <c r="AC1047" s="539" t="s">
        <v>2176</v>
      </c>
      <c r="AD1047" s="539" t="s">
        <v>2544</v>
      </c>
      <c r="AE1047" s="539" t="s">
        <v>2544</v>
      </c>
      <c r="AF1047" s="539" t="s">
        <v>2544</v>
      </c>
      <c r="AG1047" s="539" t="s">
        <v>2544</v>
      </c>
      <c r="AH1047" s="539" t="s">
        <v>2544</v>
      </c>
      <c r="AI1047" s="539" t="s">
        <v>2544</v>
      </c>
      <c r="AJ1047" s="539" t="s">
        <v>2544</v>
      </c>
      <c r="AK1047" s="84">
        <v>41</v>
      </c>
      <c r="AL1047" s="600" t="s">
        <v>432</v>
      </c>
      <c r="AM1047" s="422" t="s">
        <v>3856</v>
      </c>
      <c r="AN1047" s="137" t="s">
        <v>432</v>
      </c>
      <c r="AO1047" s="137" t="s">
        <v>432</v>
      </c>
      <c r="AP1047" s="137" t="s">
        <v>432</v>
      </c>
      <c r="AQ1047" s="137" t="s">
        <v>432</v>
      </c>
      <c r="AR1047" s="137" t="s">
        <v>432</v>
      </c>
      <c r="AS1047" s="137" t="s">
        <v>432</v>
      </c>
      <c r="AT1047" s="137" t="s">
        <v>432</v>
      </c>
      <c r="AU1047" s="137" t="s">
        <v>432</v>
      </c>
      <c r="AV1047" s="137" t="s">
        <v>432</v>
      </c>
      <c r="AW1047" s="137" t="s">
        <v>432</v>
      </c>
      <c r="AX1047" s="137" t="s">
        <v>432</v>
      </c>
      <c r="AY1047" s="137" t="s">
        <v>432</v>
      </c>
      <c r="AZ1047" s="137" t="s">
        <v>432</v>
      </c>
      <c r="BA1047" s="137" t="s">
        <v>432</v>
      </c>
      <c r="BB1047" s="239" t="str">
        <f t="shared" si="266"/>
        <v>Transporte convencionalacessibilidade</v>
      </c>
      <c r="BC1047" s="239" t="str">
        <f t="shared" si="267"/>
        <v>Transporte convencionalacessibilidadex</v>
      </c>
      <c r="BD1047" s="239" t="str">
        <f t="shared" si="268"/>
        <v>Transporte convencionalx</v>
      </c>
    </row>
    <row r="1048" spans="1:67" s="1" customFormat="1" ht="38.25" x14ac:dyDescent="0.25">
      <c r="A1048" s="275" t="str">
        <f>'Q100b-totais'!$B$59</f>
        <v>8.7</v>
      </c>
      <c r="B1048" s="53" t="str">
        <f>'Q100b-totais'!$C$59</f>
        <v>Transporte de baixa capacidade</v>
      </c>
      <c r="C1048" s="229" t="s">
        <v>743</v>
      </c>
      <c r="D1048" s="1406" t="s">
        <v>2641</v>
      </c>
      <c r="E1048" s="254" t="s">
        <v>1306</v>
      </c>
      <c r="F1048" s="1151" t="s">
        <v>5391</v>
      </c>
      <c r="G1048" s="167" t="s">
        <v>5166</v>
      </c>
      <c r="H1048" s="173" t="s">
        <v>2408</v>
      </c>
      <c r="I1048" s="167" t="s">
        <v>432</v>
      </c>
      <c r="J1048" s="109" t="s">
        <v>432</v>
      </c>
      <c r="K1048" s="109" t="s">
        <v>432</v>
      </c>
      <c r="L1048" s="109" t="s">
        <v>432</v>
      </c>
      <c r="M1048" s="109" t="s">
        <v>432</v>
      </c>
      <c r="N1048" s="109" t="s">
        <v>432</v>
      </c>
      <c r="O1048" s="109" t="s">
        <v>432</v>
      </c>
      <c r="P1048" s="109" t="s">
        <v>432</v>
      </c>
      <c r="Q1048" s="109" t="s">
        <v>432</v>
      </c>
      <c r="R1048" s="109" t="s">
        <v>432</v>
      </c>
      <c r="S1048" s="109" t="s">
        <v>2209</v>
      </c>
      <c r="T1048" s="109" t="s">
        <v>432</v>
      </c>
      <c r="U1048" s="109" t="s">
        <v>432</v>
      </c>
      <c r="V1048" s="109" t="s">
        <v>2209</v>
      </c>
      <c r="W1048" s="109" t="s">
        <v>432</v>
      </c>
      <c r="X1048" s="109" t="s">
        <v>432</v>
      </c>
      <c r="Y1048" s="109" t="s">
        <v>432</v>
      </c>
      <c r="Z1048" s="109" t="s">
        <v>432</v>
      </c>
      <c r="AA1048" s="109" t="s">
        <v>432</v>
      </c>
      <c r="AB1048" s="109" t="s">
        <v>432</v>
      </c>
      <c r="AC1048" s="109" t="s">
        <v>432</v>
      </c>
      <c r="AD1048" s="109" t="s">
        <v>432</v>
      </c>
      <c r="AE1048" s="109" t="s">
        <v>432</v>
      </c>
      <c r="AF1048" s="109" t="s">
        <v>432</v>
      </c>
      <c r="AG1048" s="109" t="s">
        <v>432</v>
      </c>
      <c r="AH1048" s="109" t="s">
        <v>432</v>
      </c>
      <c r="AI1048" s="109" t="s">
        <v>432</v>
      </c>
      <c r="AJ1048" s="109" t="s">
        <v>432</v>
      </c>
      <c r="AK1048" s="109" t="s">
        <v>432</v>
      </c>
      <c r="AL1048" s="600" t="s">
        <v>432</v>
      </c>
      <c r="AM1048" s="137" t="s">
        <v>432</v>
      </c>
      <c r="AN1048" s="137" t="s">
        <v>432</v>
      </c>
      <c r="AO1048" s="137" t="s">
        <v>432</v>
      </c>
      <c r="AP1048" s="137" t="s">
        <v>432</v>
      </c>
      <c r="AQ1048" s="137" t="s">
        <v>432</v>
      </c>
      <c r="AR1048" s="137" t="s">
        <v>432</v>
      </c>
      <c r="AS1048" s="137" t="s">
        <v>432</v>
      </c>
      <c r="AT1048" s="137" t="s">
        <v>432</v>
      </c>
      <c r="AU1048" s="137" t="s">
        <v>432</v>
      </c>
      <c r="AV1048" s="137" t="s">
        <v>432</v>
      </c>
      <c r="AW1048" s="137" t="s">
        <v>432</v>
      </c>
      <c r="AX1048" s="137" t="s">
        <v>432</v>
      </c>
      <c r="AY1048" s="137" t="s">
        <v>432</v>
      </c>
      <c r="AZ1048" s="137" t="s">
        <v>432</v>
      </c>
      <c r="BA1048" s="137" t="s">
        <v>432</v>
      </c>
      <c r="BB1048" s="239" t="str">
        <f t="shared" si="266"/>
        <v>Transporte de baixa capacidadeacessibilidade</v>
      </c>
      <c r="BC1048" s="239" t="str">
        <f t="shared" si="267"/>
        <v>Transporte de baixa capacidadeacessibilidadesigla/verbete</v>
      </c>
      <c r="BD1048" s="239" t="str">
        <f t="shared" si="268"/>
        <v>Transporte de baixa capacidadesigla/verbete</v>
      </c>
    </row>
    <row r="1049" spans="1:67" s="1" customFormat="1" ht="110.25" customHeight="1" x14ac:dyDescent="0.25">
      <c r="A1049" s="275" t="str">
        <f>'Q100b-totais'!$B$59</f>
        <v>8.7</v>
      </c>
      <c r="B1049" s="53" t="str">
        <f>'Q100b-totais'!$C$59</f>
        <v>Transporte de baixa capacidade</v>
      </c>
      <c r="C1049" s="229" t="s">
        <v>743</v>
      </c>
      <c r="D1049" s="716" t="str">
        <f>'Q100e-FrotaOnibus'!BH5</f>
        <v>F tcs nac</v>
      </c>
      <c r="E1049" s="254" t="str">
        <f>'Q100e-FrotaOnibus'!BI5</f>
        <v>Belo Horizonte</v>
      </c>
      <c r="F1049" s="252" t="str">
        <f>'Q100e-FrotaOnibus'!BJ5</f>
        <v>frota em n.º de ônibus do transporte coletivo suplementar de Belo Horizonte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resultado de dezembro tomado como representativo do ano com resultado de 2014 conforme BHTRANS(2015c), 2015 conforme(BHTRANS,2016p1)
obs.2: esta categoria recebe peso 1, numa escala de 1 a 10, na classificação definida pelo SisMob-BH para classificar a acessibilidade - acesse "acessibilidade em ônibus urbano (escala)"</v>
      </c>
      <c r="G1049" s="110" t="str">
        <f>'Q100e-FrotaOnibus'!BK5</f>
        <v>registro na fonte</v>
      </c>
      <c r="H1049" s="167" t="s">
        <v>432</v>
      </c>
      <c r="I1049" s="167">
        <v>1</v>
      </c>
      <c r="J1049" s="107" t="s">
        <v>2055</v>
      </c>
      <c r="K1049" s="107" t="s">
        <v>2055</v>
      </c>
      <c r="L1049" s="107" t="s">
        <v>2055</v>
      </c>
      <c r="M1049" s="107" t="s">
        <v>2055</v>
      </c>
      <c r="N1049" s="107" t="s">
        <v>2055</v>
      </c>
      <c r="O1049" s="107" t="s">
        <v>2055</v>
      </c>
      <c r="P1049" s="107" t="s">
        <v>2055</v>
      </c>
      <c r="Q1049" s="107" t="s">
        <v>2055</v>
      </c>
      <c r="R1049" s="107" t="s">
        <v>2055</v>
      </c>
      <c r="S1049" s="109" t="s">
        <v>2209</v>
      </c>
      <c r="T1049" s="107" t="s">
        <v>2055</v>
      </c>
      <c r="U1049" s="107" t="s">
        <v>2055</v>
      </c>
      <c r="V1049" s="109" t="s">
        <v>2209</v>
      </c>
      <c r="W1049" s="107" t="s">
        <v>2148</v>
      </c>
      <c r="X1049" s="107" t="s">
        <v>2148</v>
      </c>
      <c r="Y1049" s="107" t="s">
        <v>2148</v>
      </c>
      <c r="Z1049" s="107" t="s">
        <v>2148</v>
      </c>
      <c r="AA1049" s="107" t="s">
        <v>2148</v>
      </c>
      <c r="AB1049" s="107" t="s">
        <v>2148</v>
      </c>
      <c r="AC1049" s="107" t="s">
        <v>2148</v>
      </c>
      <c r="AD1049" s="107" t="s">
        <v>2148</v>
      </c>
      <c r="AE1049" s="107" t="s">
        <v>2148</v>
      </c>
      <c r="AF1049" s="107" t="s">
        <v>2148</v>
      </c>
      <c r="AG1049" s="107" t="s">
        <v>2148</v>
      </c>
      <c r="AH1049" s="107" t="s">
        <v>2148</v>
      </c>
      <c r="AI1049" s="107" t="s">
        <v>2148</v>
      </c>
      <c r="AJ1049" s="84">
        <v>7</v>
      </c>
      <c r="AK1049" s="84">
        <v>5</v>
      </c>
      <c r="AL1049" s="600" t="s">
        <v>432</v>
      </c>
      <c r="AM1049" s="137" t="s">
        <v>432</v>
      </c>
      <c r="AN1049" s="137" t="s">
        <v>432</v>
      </c>
      <c r="AO1049" s="137" t="s">
        <v>432</v>
      </c>
      <c r="AP1049" s="137" t="s">
        <v>432</v>
      </c>
      <c r="AQ1049" s="137" t="s">
        <v>432</v>
      </c>
      <c r="AR1049" s="137" t="s">
        <v>432</v>
      </c>
      <c r="AS1049" s="137" t="s">
        <v>432</v>
      </c>
      <c r="AT1049" s="137" t="s">
        <v>432</v>
      </c>
      <c r="AU1049" s="137" t="s">
        <v>432</v>
      </c>
      <c r="AV1049" s="137" t="s">
        <v>432</v>
      </c>
      <c r="AW1049" s="137" t="s">
        <v>432</v>
      </c>
      <c r="AX1049" s="137" t="s">
        <v>432</v>
      </c>
      <c r="AY1049" s="137" t="s">
        <v>432</v>
      </c>
      <c r="AZ1049" s="137" t="s">
        <v>432</v>
      </c>
      <c r="BA1049" s="137" t="s">
        <v>432</v>
      </c>
      <c r="BB1049" s="239" t="str">
        <f t="shared" si="266"/>
        <v>Transporte de baixa capacidadeacessibilidade</v>
      </c>
      <c r="BC1049" s="239" t="str">
        <f t="shared" si="267"/>
        <v>Transporte de baixa capacidadeacessibilidadex</v>
      </c>
      <c r="BD1049" s="239" t="str">
        <f t="shared" si="268"/>
        <v>Transporte de baixa capacidadex</v>
      </c>
      <c r="BM1049" s="19"/>
      <c r="BN1049" s="19"/>
      <c r="BO1049" s="19"/>
    </row>
    <row r="1050" spans="1:67" s="1" customFormat="1" ht="101.25" customHeight="1" x14ac:dyDescent="0.25">
      <c r="A1050" s="275" t="s">
        <v>982</v>
      </c>
      <c r="B1050" s="1205" t="s">
        <v>983</v>
      </c>
      <c r="C1050" s="57" t="s">
        <v>743</v>
      </c>
      <c r="D1050" s="714" t="str">
        <f>'Q100e-FrotaOnibus'!O5</f>
        <v>F tc nac</v>
      </c>
      <c r="E1050" s="1498" t="str">
        <f>'Q100e-FrotaOnibus'!P5</f>
        <v>Contagem</v>
      </c>
      <c r="F1050" s="252" t="str">
        <f>'Q100e-FrotaOnibus'!Q5</f>
        <v>frota em n.º de ônibus do transporte coletivo de Contagem considerada pelo SisMob-BH como não "acessível", pois não fornece qualquer facilidade para o embarque/desembarque de pessoas com mobilidade (física) reduzida, ou seja, com o embarque/desembarque acontecendo exclusivamente com escada (sem elevador hidráulico , sem operação em plataforma elevada e sem piso-baixo em qualquer porta) e, portanto, tecnicamente "não-acessível"
obs.1: o resultado 2014 é relativo a outubro de 2014  conforme VERTRAN(2015a, p.61)
obs.2: esta categoria recebe peso 1 (escala de 1 a 10 estabelecida pelo SisMob-BH para classificar e comparar resultados) - acesse "acessibilidade em ônibus urbano (escala)"</v>
      </c>
      <c r="G1050" s="110" t="str">
        <f>'Q100e-FrotaOnibus'!R5</f>
        <v>registro na fonte</v>
      </c>
      <c r="H1050" s="173" t="s">
        <v>1298</v>
      </c>
      <c r="I1050" s="167">
        <v>1</v>
      </c>
      <c r="J1050" s="109" t="s">
        <v>432</v>
      </c>
      <c r="K1050" s="109" t="s">
        <v>432</v>
      </c>
      <c r="L1050" s="109" t="s">
        <v>432</v>
      </c>
      <c r="M1050" s="109" t="s">
        <v>432</v>
      </c>
      <c r="N1050" s="109" t="s">
        <v>432</v>
      </c>
      <c r="O1050" s="109" t="s">
        <v>432</v>
      </c>
      <c r="P1050" s="109" t="s">
        <v>432</v>
      </c>
      <c r="Q1050" s="109" t="s">
        <v>432</v>
      </c>
      <c r="R1050" s="109" t="s">
        <v>432</v>
      </c>
      <c r="S1050" s="109" t="s">
        <v>2209</v>
      </c>
      <c r="T1050" s="109" t="s">
        <v>432</v>
      </c>
      <c r="U1050" s="109" t="s">
        <v>432</v>
      </c>
      <c r="V1050" s="109" t="s">
        <v>2209</v>
      </c>
      <c r="W1050" s="109" t="s">
        <v>432</v>
      </c>
      <c r="X1050" s="109" t="s">
        <v>432</v>
      </c>
      <c r="Y1050" s="109" t="s">
        <v>432</v>
      </c>
      <c r="Z1050" s="109" t="s">
        <v>432</v>
      </c>
      <c r="AA1050" s="109" t="s">
        <v>432</v>
      </c>
      <c r="AB1050" s="109" t="s">
        <v>432</v>
      </c>
      <c r="AC1050" s="109" t="s">
        <v>432</v>
      </c>
      <c r="AD1050" s="109" t="s">
        <v>432</v>
      </c>
      <c r="AE1050" s="109" t="s">
        <v>432</v>
      </c>
      <c r="AF1050" s="109" t="s">
        <v>432</v>
      </c>
      <c r="AG1050" s="109" t="s">
        <v>432</v>
      </c>
      <c r="AH1050" s="109" t="s">
        <v>432</v>
      </c>
      <c r="AI1050" s="109" t="s">
        <v>432</v>
      </c>
      <c r="AJ1050" s="84">
        <v>32</v>
      </c>
      <c r="AK1050" s="109" t="s">
        <v>432</v>
      </c>
      <c r="AL1050" s="600" t="s">
        <v>432</v>
      </c>
      <c r="AM1050" s="137" t="s">
        <v>432</v>
      </c>
      <c r="AN1050" s="137" t="s">
        <v>432</v>
      </c>
      <c r="AO1050" s="137" t="s">
        <v>432</v>
      </c>
      <c r="AP1050" s="137" t="s">
        <v>432</v>
      </c>
      <c r="AQ1050" s="137" t="s">
        <v>432</v>
      </c>
      <c r="AR1050" s="137" t="s">
        <v>432</v>
      </c>
      <c r="AS1050" s="137" t="s">
        <v>432</v>
      </c>
      <c r="AT1050" s="137" t="s">
        <v>432</v>
      </c>
      <c r="AU1050" s="137" t="s">
        <v>432</v>
      </c>
      <c r="AV1050" s="137" t="s">
        <v>432</v>
      </c>
      <c r="AW1050" s="137" t="s">
        <v>432</v>
      </c>
      <c r="AX1050" s="137" t="s">
        <v>432</v>
      </c>
      <c r="AY1050" s="137" t="s">
        <v>432</v>
      </c>
      <c r="AZ1050" s="137" t="s">
        <v>432</v>
      </c>
      <c r="BA1050" s="137" t="s">
        <v>432</v>
      </c>
      <c r="BB1050" s="239" t="str">
        <f t="shared" si="266"/>
        <v>Sistema de transporte coletivo com um todoacessibilidade</v>
      </c>
      <c r="BC1050" s="239" t="str">
        <f t="shared" si="267"/>
        <v>Sistema de transporte coletivo com um todoacessibilidadeRMBH</v>
      </c>
      <c r="BD1050" s="239" t="str">
        <f t="shared" si="268"/>
        <v>Sistema de transporte coletivo com um todoRMBH</v>
      </c>
    </row>
    <row r="1051" spans="1:67" s="1" customFormat="1" ht="171" customHeight="1" x14ac:dyDescent="0.25">
      <c r="A1051" s="413" t="str">
        <f>'Q100b-totais'!B62</f>
        <v>8.10</v>
      </c>
      <c r="B1051" s="1205" t="str">
        <f>'Q100b-totais'!C62</f>
        <v>Sistema de transporte coletivo com um todo</v>
      </c>
      <c r="C1051" s="57" t="s">
        <v>743</v>
      </c>
      <c r="D1051" s="362" t="str">
        <f>'Q100e-FrotaOnibus'!S5</f>
        <v>F tc nac</v>
      </c>
      <c r="E1051" s="1502" t="str">
        <f>'Q100e-FrotaOnibus'!T5</f>
        <v>Curitiba</v>
      </c>
      <c r="F1051" s="355" t="str">
        <f>'Q100e-FrotaOnibus'!U5</f>
        <v>frota em n.º de ônibus no transporte coletivo de Curitiba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esta categoria recebe peso 1 (escala de 1 a 10 estabelecida pelo SisMob-BH para classificar e comparar resultados) - acesse "acessibilidade em ônibus urbano (escala)"
obs.2: não mais existem ônibus nesta categoria em 2015 conforme BHTRANS(2016f) elaborado com base na frota de 1.368 veículos apresentada em URBS(2016c), mas essa quantidade "se refere a frota operante do ano de 2015, com um percentual de acessibilidade de 92,66% desse número, ou seja, 7,34% dessa frota operante (100 veículos) ainda não estava equipada com plataforma elevatória" confrorme URBS(2016d1); por esse motivo, o SisMob-BH acrescentou 100 veículos aos indicadores "F tc" e "F tc nac" de Curitiba</v>
      </c>
      <c r="G1051" s="93" t="str">
        <f>'Q100e-FrotaOnibus'!V5</f>
        <v>registro na fonte</v>
      </c>
      <c r="H1051" s="173" t="s">
        <v>819</v>
      </c>
      <c r="I1051" s="167" t="s">
        <v>432</v>
      </c>
      <c r="J1051" s="109" t="s">
        <v>2082</v>
      </c>
      <c r="K1051" s="109" t="s">
        <v>2082</v>
      </c>
      <c r="L1051" s="109" t="s">
        <v>2082</v>
      </c>
      <c r="M1051" s="109" t="s">
        <v>2082</v>
      </c>
      <c r="N1051" s="109" t="s">
        <v>2082</v>
      </c>
      <c r="O1051" s="109" t="s">
        <v>2082</v>
      </c>
      <c r="P1051" s="109" t="s">
        <v>2082</v>
      </c>
      <c r="Q1051" s="109" t="s">
        <v>2082</v>
      </c>
      <c r="R1051" s="109" t="s">
        <v>2082</v>
      </c>
      <c r="S1051" s="109" t="s">
        <v>2209</v>
      </c>
      <c r="T1051" s="109" t="s">
        <v>2082</v>
      </c>
      <c r="U1051" s="109" t="s">
        <v>2082</v>
      </c>
      <c r="V1051" s="109" t="s">
        <v>2209</v>
      </c>
      <c r="W1051" s="109" t="s">
        <v>2082</v>
      </c>
      <c r="X1051" s="109" t="s">
        <v>2082</v>
      </c>
      <c r="Y1051" s="109" t="s">
        <v>2082</v>
      </c>
      <c r="Z1051" s="109" t="s">
        <v>2082</v>
      </c>
      <c r="AA1051" s="109" t="s">
        <v>2082</v>
      </c>
      <c r="AB1051" s="109" t="s">
        <v>2082</v>
      </c>
      <c r="AC1051" s="109" t="s">
        <v>2082</v>
      </c>
      <c r="AD1051" s="109" t="s">
        <v>2082</v>
      </c>
      <c r="AE1051" s="109" t="s">
        <v>2082</v>
      </c>
      <c r="AF1051" s="109" t="s">
        <v>2082</v>
      </c>
      <c r="AG1051" s="109" t="s">
        <v>2082</v>
      </c>
      <c r="AH1051" s="109" t="s">
        <v>2082</v>
      </c>
      <c r="AI1051" s="109" t="s">
        <v>2082</v>
      </c>
      <c r="AJ1051" s="109" t="s">
        <v>2082</v>
      </c>
      <c r="AK1051" s="110">
        <f>0+100</f>
        <v>100</v>
      </c>
      <c r="AL1051" s="600" t="s">
        <v>432</v>
      </c>
      <c r="AM1051" s="137" t="s">
        <v>432</v>
      </c>
      <c r="AN1051" s="137" t="s">
        <v>432</v>
      </c>
      <c r="AO1051" s="137" t="s">
        <v>432</v>
      </c>
      <c r="AP1051" s="137" t="s">
        <v>432</v>
      </c>
      <c r="AQ1051" s="137" t="s">
        <v>432</v>
      </c>
      <c r="AR1051" s="137" t="s">
        <v>432</v>
      </c>
      <c r="AS1051" s="137" t="s">
        <v>432</v>
      </c>
      <c r="AT1051" s="137" t="s">
        <v>432</v>
      </c>
      <c r="AU1051" s="137" t="s">
        <v>432</v>
      </c>
      <c r="AV1051" s="137" t="s">
        <v>432</v>
      </c>
      <c r="AW1051" s="137" t="s">
        <v>432</v>
      </c>
      <c r="AX1051" s="137" t="s">
        <v>432</v>
      </c>
      <c r="AY1051" s="137" t="s">
        <v>432</v>
      </c>
      <c r="AZ1051" s="137" t="s">
        <v>432</v>
      </c>
      <c r="BA1051" s="137" t="s">
        <v>432</v>
      </c>
      <c r="BB1051" s="239" t="str">
        <f t="shared" si="266"/>
        <v>Sistema de transporte coletivo com um todoacessibilidade</v>
      </c>
      <c r="BC1051" s="239" t="str">
        <f t="shared" si="267"/>
        <v>Sistema de transporte coletivo com um todoacessibilidadebenchmarking</v>
      </c>
      <c r="BD1051" s="239" t="str">
        <f t="shared" si="268"/>
        <v>Sistema de transporte coletivo com um todobenchmarking</v>
      </c>
    </row>
    <row r="1052" spans="1:67" s="1" customFormat="1" ht="99.75" customHeight="1" x14ac:dyDescent="0.25">
      <c r="A1052" s="413" t="str">
        <f>'Q100b-totais'!B62</f>
        <v>8.10</v>
      </c>
      <c r="B1052" s="1205" t="str">
        <f>'Q100b-totais'!C62</f>
        <v>Sistema de transporte coletivo com um todo</v>
      </c>
      <c r="C1052" s="173" t="s">
        <v>743</v>
      </c>
      <c r="D1052" s="362" t="str">
        <f>'Q100e-FrotaOnibus'!W5</f>
        <v>F tc nac</v>
      </c>
      <c r="E1052" s="1502" t="str">
        <f>'Q100e-FrotaOnibus'!X5</f>
        <v>Joinville</v>
      </c>
      <c r="F1052" s="355" t="str">
        <f>'Q100e-FrotaOnibus'!Y5</f>
        <v>frota em n.º de ônibus  considerada pelo SisMob-BH como não "acessível", pois não fornece qualquer facilidade para o embarque/desembarque de pessoas com mobilidade (física) reduzida, ou seja, com o embarque/desembarque acontecendo exclusivamente com escada (sem elevador hidráulico, sem opração em paltaforma elevada e sem piso-baixo em qualquer porta) e, portanto, tecnicamente "não-acessível"
obs.1: esta categoria recebe peso 1 (escala de 1 a 10 estabelecida pelo SisMob-BH para classificar e comparar resultados) - acesse "acessibilidade em ônibus urbano (escala)"
obs.2: os resultados de 2012 a 2015 estão conforme PROGRAMA(2016a)</v>
      </c>
      <c r="G1052" s="58" t="str">
        <f>'Q100e-FrotaOnibus'!Z5</f>
        <v>(F tc) - (F tc eh) - (F tc en c/rampa manual)</v>
      </c>
      <c r="H1052" s="173" t="s">
        <v>819</v>
      </c>
      <c r="I1052" s="167" t="s">
        <v>432</v>
      </c>
      <c r="J1052" s="109" t="s">
        <v>2082</v>
      </c>
      <c r="K1052" s="109" t="s">
        <v>2082</v>
      </c>
      <c r="L1052" s="109" t="s">
        <v>2082</v>
      </c>
      <c r="M1052" s="109" t="s">
        <v>2082</v>
      </c>
      <c r="N1052" s="109" t="s">
        <v>2082</v>
      </c>
      <c r="O1052" s="109" t="s">
        <v>2082</v>
      </c>
      <c r="P1052" s="109" t="s">
        <v>2082</v>
      </c>
      <c r="Q1052" s="109" t="s">
        <v>2082</v>
      </c>
      <c r="R1052" s="109" t="s">
        <v>2082</v>
      </c>
      <c r="S1052" s="109" t="s">
        <v>2209</v>
      </c>
      <c r="T1052" s="109" t="s">
        <v>2082</v>
      </c>
      <c r="U1052" s="109" t="s">
        <v>2082</v>
      </c>
      <c r="V1052" s="109" t="s">
        <v>2209</v>
      </c>
      <c r="W1052" s="109" t="s">
        <v>2082</v>
      </c>
      <c r="X1052" s="109" t="s">
        <v>2082</v>
      </c>
      <c r="Y1052" s="109" t="s">
        <v>2082</v>
      </c>
      <c r="Z1052" s="109" t="s">
        <v>2082</v>
      </c>
      <c r="AA1052" s="109" t="s">
        <v>2082</v>
      </c>
      <c r="AB1052" s="109" t="s">
        <v>2082</v>
      </c>
      <c r="AC1052" s="109" t="s">
        <v>2082</v>
      </c>
      <c r="AD1052" s="109" t="s">
        <v>2082</v>
      </c>
      <c r="AE1052" s="109" t="s">
        <v>2082</v>
      </c>
      <c r="AF1052" s="109" t="s">
        <v>2082</v>
      </c>
      <c r="AG1052" s="109" t="s">
        <v>2082</v>
      </c>
      <c r="AH1052" s="109" t="s">
        <v>2082</v>
      </c>
      <c r="AI1052" s="109" t="s">
        <v>2082</v>
      </c>
      <c r="AJ1052" s="356">
        <f>AJ880-AJ926-AJ941-AJ978</f>
        <v>89</v>
      </c>
      <c r="AK1052" s="109" t="s">
        <v>2082</v>
      </c>
      <c r="AL1052" s="600" t="s">
        <v>432</v>
      </c>
      <c r="AM1052" s="137" t="s">
        <v>432</v>
      </c>
      <c r="AN1052" s="137" t="s">
        <v>432</v>
      </c>
      <c r="AO1052" s="137" t="s">
        <v>432</v>
      </c>
      <c r="AP1052" s="137" t="s">
        <v>432</v>
      </c>
      <c r="AQ1052" s="137" t="s">
        <v>432</v>
      </c>
      <c r="AR1052" s="137" t="s">
        <v>432</v>
      </c>
      <c r="AS1052" s="137" t="s">
        <v>432</v>
      </c>
      <c r="AT1052" s="137" t="s">
        <v>432</v>
      </c>
      <c r="AU1052" s="137" t="s">
        <v>432</v>
      </c>
      <c r="AV1052" s="137" t="s">
        <v>432</v>
      </c>
      <c r="AW1052" s="137" t="s">
        <v>432</v>
      </c>
      <c r="AX1052" s="137" t="s">
        <v>432</v>
      </c>
      <c r="AY1052" s="137" t="s">
        <v>432</v>
      </c>
      <c r="AZ1052" s="137" t="s">
        <v>432</v>
      </c>
      <c r="BA1052" s="137" t="s">
        <v>432</v>
      </c>
      <c r="BB1052" s="239" t="str">
        <f t="shared" si="266"/>
        <v>Sistema de transporte coletivo com um todoacessibilidade</v>
      </c>
      <c r="BC1052" s="239" t="str">
        <f t="shared" si="267"/>
        <v>Sistema de transporte coletivo com um todoacessibilidadebenchmarking</v>
      </c>
      <c r="BD1052" s="239" t="str">
        <f t="shared" si="268"/>
        <v>Sistema de transporte coletivo com um todobenchmarking</v>
      </c>
    </row>
    <row r="1053" spans="1:67" s="1" customFormat="1" ht="98.25" customHeight="1" x14ac:dyDescent="0.25">
      <c r="A1053" s="413" t="str">
        <f>'Q100b-totais'!B62</f>
        <v>8.10</v>
      </c>
      <c r="B1053" s="1205" t="str">
        <f>'Q100b-totais'!C62</f>
        <v>Sistema de transporte coletivo com um todo</v>
      </c>
      <c r="C1053" s="173" t="s">
        <v>743</v>
      </c>
      <c r="D1053" s="324" t="str">
        <f>'Q100e-FrotaOnibus'!AE5</f>
        <v>F tc nac</v>
      </c>
      <c r="E1053" s="254" t="str">
        <f>'Q100e-FrotaOnibus'!AF5</f>
        <v>RMBH metropolitano</v>
      </c>
      <c r="F1053" s="252" t="str">
        <f>'Q100e-FrotaOnibus'!AG5</f>
        <v>frota em n.º de ônibus na RMBH do serviço gerenciado pela Setop-MG, com 2 ou 3 portas à direita,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esta categoria recebe peso 1 (escala de 1 a 10 estabelecida pelo SisMob-BH para classificar e comparar resultados) - acesse "acessibilidade em ônibus urbano (escala)"
obs.2: resultado de outubro/2015 conforme MG(2016a)</v>
      </c>
      <c r="G1053" s="773" t="str">
        <f>'Q100e-FrotaOnibus'!AH5</f>
        <v>registro na fonte</v>
      </c>
      <c r="H1053" s="173" t="s">
        <v>1298</v>
      </c>
      <c r="I1053" s="167">
        <v>1</v>
      </c>
      <c r="J1053" s="109" t="s">
        <v>2082</v>
      </c>
      <c r="K1053" s="109" t="s">
        <v>2082</v>
      </c>
      <c r="L1053" s="109" t="s">
        <v>2082</v>
      </c>
      <c r="M1053" s="109" t="s">
        <v>2082</v>
      </c>
      <c r="N1053" s="109" t="s">
        <v>2082</v>
      </c>
      <c r="O1053" s="109" t="s">
        <v>2082</v>
      </c>
      <c r="P1053" s="109" t="s">
        <v>2082</v>
      </c>
      <c r="Q1053" s="109" t="s">
        <v>2082</v>
      </c>
      <c r="R1053" s="109" t="s">
        <v>2082</v>
      </c>
      <c r="S1053" s="109" t="s">
        <v>2209</v>
      </c>
      <c r="T1053" s="109" t="s">
        <v>2082</v>
      </c>
      <c r="U1053" s="109" t="s">
        <v>2082</v>
      </c>
      <c r="V1053" s="109" t="s">
        <v>2209</v>
      </c>
      <c r="W1053" s="109" t="s">
        <v>2082</v>
      </c>
      <c r="X1053" s="109" t="s">
        <v>2082</v>
      </c>
      <c r="Y1053" s="109" t="s">
        <v>2082</v>
      </c>
      <c r="Z1053" s="109" t="s">
        <v>2082</v>
      </c>
      <c r="AA1053" s="109" t="s">
        <v>2082</v>
      </c>
      <c r="AB1053" s="109" t="s">
        <v>2082</v>
      </c>
      <c r="AC1053" s="109" t="s">
        <v>2082</v>
      </c>
      <c r="AD1053" s="109" t="s">
        <v>2082</v>
      </c>
      <c r="AE1053" s="109" t="s">
        <v>2082</v>
      </c>
      <c r="AF1053" s="109" t="s">
        <v>2082</v>
      </c>
      <c r="AG1053" s="109" t="s">
        <v>2082</v>
      </c>
      <c r="AH1053" s="109" t="s">
        <v>2082</v>
      </c>
      <c r="AI1053" s="109" t="s">
        <v>2082</v>
      </c>
      <c r="AJ1053" s="109" t="s">
        <v>2082</v>
      </c>
      <c r="AK1053" s="92">
        <v>707</v>
      </c>
      <c r="AL1053" s="600" t="s">
        <v>432</v>
      </c>
      <c r="AM1053" s="137" t="s">
        <v>432</v>
      </c>
      <c r="AN1053" s="137" t="s">
        <v>432</v>
      </c>
      <c r="AO1053" s="137" t="s">
        <v>432</v>
      </c>
      <c r="AP1053" s="137" t="s">
        <v>432</v>
      </c>
      <c r="AQ1053" s="137" t="s">
        <v>432</v>
      </c>
      <c r="AR1053" s="137" t="s">
        <v>432</v>
      </c>
      <c r="AS1053" s="137" t="s">
        <v>432</v>
      </c>
      <c r="AT1053" s="137" t="s">
        <v>432</v>
      </c>
      <c r="AU1053" s="137" t="s">
        <v>432</v>
      </c>
      <c r="AV1053" s="137" t="s">
        <v>432</v>
      </c>
      <c r="AW1053" s="137" t="s">
        <v>432</v>
      </c>
      <c r="AX1053" s="137" t="s">
        <v>432</v>
      </c>
      <c r="AY1053" s="137" t="s">
        <v>432</v>
      </c>
      <c r="AZ1053" s="137" t="s">
        <v>432</v>
      </c>
      <c r="BA1053" s="137" t="s">
        <v>432</v>
      </c>
      <c r="BB1053" s="239" t="str">
        <f t="shared" si="266"/>
        <v>Sistema de transporte coletivo com um todoacessibilidade</v>
      </c>
      <c r="BC1053" s="239" t="str">
        <f t="shared" si="267"/>
        <v>Sistema de transporte coletivo com um todoacessibilidadeRMBH</v>
      </c>
      <c r="BD1053" s="239" t="str">
        <f t="shared" si="268"/>
        <v>Sistema de transporte coletivo com um todoRMBH</v>
      </c>
    </row>
    <row r="1054" spans="1:67" s="1" customFormat="1" ht="140.25" customHeight="1" x14ac:dyDescent="0.25">
      <c r="A1054" s="413" t="str">
        <f>'Q100b-totais'!B62</f>
        <v>8.10</v>
      </c>
      <c r="B1054" s="1205" t="str">
        <f>'Q100b-totais'!C62</f>
        <v>Sistema de transporte coletivo com um todo</v>
      </c>
      <c r="C1054" s="173" t="s">
        <v>743</v>
      </c>
      <c r="D1054" s="324" t="str">
        <f>'Q100e-FrotaOnibus'!AQ5</f>
        <v>F tc nac</v>
      </c>
      <c r="E1054" s="254" t="str">
        <f>'Q100e-FrotaOnibus'!AR5</f>
        <v>São Paulo</v>
      </c>
      <c r="F1054" s="252" t="str">
        <f>'Q100e-FrotaOnibus'!AS5</f>
        <v>frota em n.º de ônibus do transporte coletivo (estrutural e local) da cidade de São Paulo gerenciado pela SPTrans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esta categoria recebe peso 1 (escala de 1 a 10 estabelecida pelo SisMob-BH para classificar e comparar resultados) - acesse "acessibilidade em ônibus urbano (escala)"
obs.2: nesta categoria estão incluídos ônibus com duas portas à direita e ônibus com duas portas de cada lado (esquerda e direita), em ambos os casos com escadas e sem elevador conforme OLIVEIRA(2016f)
obs.3: resultado de 2016 relativo a 15/07/2016 conforme SP(2016g1)</v>
      </c>
      <c r="G1054" s="1200" t="str">
        <f>'Q100e-FrotaOnibus'!AT5</f>
        <v>F tce nac + F tcl nac</v>
      </c>
      <c r="H1054" s="173" t="s">
        <v>819</v>
      </c>
      <c r="I1054" s="167" t="s">
        <v>432</v>
      </c>
      <c r="J1054" s="109" t="s">
        <v>2082</v>
      </c>
      <c r="K1054" s="109" t="s">
        <v>2082</v>
      </c>
      <c r="L1054" s="109" t="s">
        <v>2082</v>
      </c>
      <c r="M1054" s="109" t="s">
        <v>2082</v>
      </c>
      <c r="N1054" s="109" t="s">
        <v>2082</v>
      </c>
      <c r="O1054" s="109" t="s">
        <v>2082</v>
      </c>
      <c r="P1054" s="109" t="s">
        <v>2082</v>
      </c>
      <c r="Q1054" s="109" t="s">
        <v>2082</v>
      </c>
      <c r="R1054" s="109" t="s">
        <v>2082</v>
      </c>
      <c r="S1054" s="109" t="s">
        <v>2209</v>
      </c>
      <c r="T1054" s="109" t="s">
        <v>2082</v>
      </c>
      <c r="U1054" s="109" t="s">
        <v>2082</v>
      </c>
      <c r="V1054" s="109" t="s">
        <v>2209</v>
      </c>
      <c r="W1054" s="109" t="s">
        <v>2082</v>
      </c>
      <c r="X1054" s="109" t="s">
        <v>2082</v>
      </c>
      <c r="Y1054" s="109" t="s">
        <v>2082</v>
      </c>
      <c r="Z1054" s="109" t="s">
        <v>2082</v>
      </c>
      <c r="AA1054" s="109" t="s">
        <v>2082</v>
      </c>
      <c r="AB1054" s="109" t="s">
        <v>2082</v>
      </c>
      <c r="AC1054" s="109" t="s">
        <v>2082</v>
      </c>
      <c r="AD1054" s="109" t="s">
        <v>2082</v>
      </c>
      <c r="AE1054" s="109" t="s">
        <v>2082</v>
      </c>
      <c r="AF1054" s="109" t="s">
        <v>2082</v>
      </c>
      <c r="AG1054" s="109" t="s">
        <v>2082</v>
      </c>
      <c r="AH1054" s="109" t="s">
        <v>2082</v>
      </c>
      <c r="AI1054" s="109" t="s">
        <v>2082</v>
      </c>
      <c r="AJ1054" s="109" t="s">
        <v>2082</v>
      </c>
      <c r="AK1054" s="20">
        <f>AK1055+AK1056</f>
        <v>1907</v>
      </c>
      <c r="AL1054" s="600" t="s">
        <v>432</v>
      </c>
      <c r="AM1054" s="137" t="s">
        <v>432</v>
      </c>
      <c r="AN1054" s="137" t="s">
        <v>432</v>
      </c>
      <c r="AO1054" s="137" t="s">
        <v>432</v>
      </c>
      <c r="AP1054" s="137" t="s">
        <v>432</v>
      </c>
      <c r="AQ1054" s="137" t="s">
        <v>432</v>
      </c>
      <c r="AR1054" s="137" t="s">
        <v>432</v>
      </c>
      <c r="AS1054" s="137" t="s">
        <v>432</v>
      </c>
      <c r="AT1054" s="137" t="s">
        <v>432</v>
      </c>
      <c r="AU1054" s="137" t="s">
        <v>432</v>
      </c>
      <c r="AV1054" s="137" t="s">
        <v>432</v>
      </c>
      <c r="AW1054" s="137" t="s">
        <v>432</v>
      </c>
      <c r="AX1054" s="137" t="s">
        <v>432</v>
      </c>
      <c r="AY1054" s="137" t="s">
        <v>432</v>
      </c>
      <c r="AZ1054" s="137" t="s">
        <v>432</v>
      </c>
      <c r="BA1054" s="137" t="s">
        <v>432</v>
      </c>
      <c r="BB1054" s="239" t="str">
        <f t="shared" si="266"/>
        <v>Sistema de transporte coletivo com um todoacessibilidade</v>
      </c>
      <c r="BC1054" s="239" t="str">
        <f t="shared" si="267"/>
        <v>Sistema de transporte coletivo com um todoacessibilidadebenchmarking</v>
      </c>
      <c r="BD1054" s="239" t="str">
        <f t="shared" si="268"/>
        <v>Sistema de transporte coletivo com um todobenchmarking</v>
      </c>
    </row>
    <row r="1055" spans="1:67" s="1" customFormat="1" ht="99" customHeight="1" x14ac:dyDescent="0.25">
      <c r="A1055" s="413" t="str">
        <f>'Q100b-totais'!B62</f>
        <v>8.10</v>
      </c>
      <c r="B1055" s="1205" t="str">
        <f>'Q100b-totais'!C62</f>
        <v>Sistema de transporte coletivo com um todo</v>
      </c>
      <c r="C1055" s="173" t="s">
        <v>743</v>
      </c>
      <c r="D1055" s="324" t="str">
        <f>'Q100e-FrotaOnibus'!AI5</f>
        <v>F tce nac</v>
      </c>
      <c r="E1055" s="254" t="str">
        <f>'Q100e-FrotaOnibus'!AJ5</f>
        <v>São Paulo</v>
      </c>
      <c r="F1055" s="252" t="str">
        <f>'Q100e-FrotaOnibus'!AK5</f>
        <v>frota em n.º de ônibus do transporte coletivo estrutural da cidade de São Paulo gerenciado pela SPTrans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esta categoria recebe peso 1 (escala de 1 a 10 estabelecida pelo SisMob-BH para classificar e comparar resultados) - acesse "acessibilidade em ônibus urbano (escala)"
obs.2: resultado de 2016 relativo a 15/07/2016 conforme SP(2016g1)</v>
      </c>
      <c r="G1055" s="1199" t="str">
        <f>'Q100e-FrotaOnibus'!AL5</f>
        <v>registro na fonte</v>
      </c>
      <c r="H1055" s="173" t="s">
        <v>819</v>
      </c>
      <c r="I1055" s="167" t="s">
        <v>432</v>
      </c>
      <c r="J1055" s="109" t="s">
        <v>2082</v>
      </c>
      <c r="K1055" s="109" t="s">
        <v>2082</v>
      </c>
      <c r="L1055" s="109" t="s">
        <v>2082</v>
      </c>
      <c r="M1055" s="109" t="s">
        <v>2082</v>
      </c>
      <c r="N1055" s="109" t="s">
        <v>2082</v>
      </c>
      <c r="O1055" s="109" t="s">
        <v>2082</v>
      </c>
      <c r="P1055" s="109" t="s">
        <v>2082</v>
      </c>
      <c r="Q1055" s="109" t="s">
        <v>2082</v>
      </c>
      <c r="R1055" s="109" t="s">
        <v>2082</v>
      </c>
      <c r="S1055" s="109" t="s">
        <v>2209</v>
      </c>
      <c r="T1055" s="109" t="s">
        <v>2082</v>
      </c>
      <c r="U1055" s="109" t="s">
        <v>2082</v>
      </c>
      <c r="V1055" s="109" t="s">
        <v>2209</v>
      </c>
      <c r="W1055" s="109" t="s">
        <v>2082</v>
      </c>
      <c r="X1055" s="109" t="s">
        <v>2082</v>
      </c>
      <c r="Y1055" s="109" t="s">
        <v>2082</v>
      </c>
      <c r="Z1055" s="109" t="s">
        <v>2082</v>
      </c>
      <c r="AA1055" s="109" t="s">
        <v>2082</v>
      </c>
      <c r="AB1055" s="109" t="s">
        <v>2082</v>
      </c>
      <c r="AC1055" s="109" t="s">
        <v>2082</v>
      </c>
      <c r="AD1055" s="109" t="s">
        <v>2082</v>
      </c>
      <c r="AE1055" s="109" t="s">
        <v>2082</v>
      </c>
      <c r="AF1055" s="109" t="s">
        <v>2082</v>
      </c>
      <c r="AG1055" s="109" t="s">
        <v>2082</v>
      </c>
      <c r="AH1055" s="109" t="s">
        <v>2082</v>
      </c>
      <c r="AI1055" s="109" t="s">
        <v>2082</v>
      </c>
      <c r="AJ1055" s="109" t="s">
        <v>2082</v>
      </c>
      <c r="AK1055" s="87">
        <v>1459</v>
      </c>
      <c r="AL1055" s="600" t="s">
        <v>432</v>
      </c>
      <c r="AM1055" s="137" t="s">
        <v>432</v>
      </c>
      <c r="AN1055" s="137" t="s">
        <v>432</v>
      </c>
      <c r="AO1055" s="137" t="s">
        <v>432</v>
      </c>
      <c r="AP1055" s="137" t="s">
        <v>432</v>
      </c>
      <c r="AQ1055" s="137" t="s">
        <v>432</v>
      </c>
      <c r="AR1055" s="137" t="s">
        <v>432</v>
      </c>
      <c r="AS1055" s="137" t="s">
        <v>432</v>
      </c>
      <c r="AT1055" s="137" t="s">
        <v>432</v>
      </c>
      <c r="AU1055" s="137" t="s">
        <v>432</v>
      </c>
      <c r="AV1055" s="137" t="s">
        <v>432</v>
      </c>
      <c r="AW1055" s="137" t="s">
        <v>432</v>
      </c>
      <c r="AX1055" s="137" t="s">
        <v>432</v>
      </c>
      <c r="AY1055" s="137" t="s">
        <v>432</v>
      </c>
      <c r="AZ1055" s="137" t="s">
        <v>432</v>
      </c>
      <c r="BA1055" s="137" t="s">
        <v>432</v>
      </c>
      <c r="BB1055" s="239" t="str">
        <f t="shared" si="266"/>
        <v>Sistema de transporte coletivo com um todoacessibilidade</v>
      </c>
      <c r="BC1055" s="239" t="str">
        <f t="shared" si="267"/>
        <v>Sistema de transporte coletivo com um todoacessibilidadebenchmarking</v>
      </c>
      <c r="BD1055" s="239" t="str">
        <f t="shared" si="268"/>
        <v>Sistema de transporte coletivo com um todobenchmarking</v>
      </c>
    </row>
    <row r="1056" spans="1:67" s="1" customFormat="1" ht="101.25" customHeight="1" x14ac:dyDescent="0.25">
      <c r="A1056" s="413" t="str">
        <f>'Q100b-totais'!B62</f>
        <v>8.10</v>
      </c>
      <c r="B1056" s="1205" t="str">
        <f>'Q100b-totais'!C62</f>
        <v>Sistema de transporte coletivo com um todo</v>
      </c>
      <c r="C1056" s="173" t="s">
        <v>743</v>
      </c>
      <c r="D1056" s="324" t="str">
        <f>'Q100e-FrotaOnibus'!AM5</f>
        <v>F tcl nac</v>
      </c>
      <c r="E1056" s="254" t="str">
        <f>'Q100e-FrotaOnibus'!AN5</f>
        <v>São Paulo</v>
      </c>
      <c r="F1056" s="252" t="str">
        <f>'Q100e-FrotaOnibus'!AO5</f>
        <v>frota em n.º de ônibus do subsistema local da cidade de São Paulo gerenciado pela SPTrans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esta categoria recebe peso 1 (escala de 1 a 10 estabelecida pelo SisMob-BH para classificar e comparar resultados) - acesse "acessibilidade em ônibus urbano (escala)"
obs.2: resultado de 2016 relativo a 15/07/2016 conforme SP(2016g2)</v>
      </c>
      <c r="G1056" s="1199" t="str">
        <f>'Q100e-FrotaOnibus'!AP5</f>
        <v>registro na fonte</v>
      </c>
      <c r="H1056" s="173" t="s">
        <v>819</v>
      </c>
      <c r="I1056" s="167" t="s">
        <v>432</v>
      </c>
      <c r="J1056" s="109" t="s">
        <v>2082</v>
      </c>
      <c r="K1056" s="109" t="s">
        <v>2082</v>
      </c>
      <c r="L1056" s="109" t="s">
        <v>2082</v>
      </c>
      <c r="M1056" s="109" t="s">
        <v>2082</v>
      </c>
      <c r="N1056" s="109" t="s">
        <v>2082</v>
      </c>
      <c r="O1056" s="109" t="s">
        <v>2082</v>
      </c>
      <c r="P1056" s="109" t="s">
        <v>2082</v>
      </c>
      <c r="Q1056" s="109" t="s">
        <v>2082</v>
      </c>
      <c r="R1056" s="109" t="s">
        <v>2082</v>
      </c>
      <c r="S1056" s="109" t="s">
        <v>2209</v>
      </c>
      <c r="T1056" s="109" t="s">
        <v>2082</v>
      </c>
      <c r="U1056" s="109" t="s">
        <v>2082</v>
      </c>
      <c r="V1056" s="109" t="s">
        <v>2209</v>
      </c>
      <c r="W1056" s="109" t="s">
        <v>2082</v>
      </c>
      <c r="X1056" s="109" t="s">
        <v>2082</v>
      </c>
      <c r="Y1056" s="109" t="s">
        <v>2082</v>
      </c>
      <c r="Z1056" s="109" t="s">
        <v>2082</v>
      </c>
      <c r="AA1056" s="109" t="s">
        <v>2082</v>
      </c>
      <c r="AB1056" s="109" t="s">
        <v>2082</v>
      </c>
      <c r="AC1056" s="109" t="s">
        <v>2082</v>
      </c>
      <c r="AD1056" s="109" t="s">
        <v>2082</v>
      </c>
      <c r="AE1056" s="109" t="s">
        <v>2082</v>
      </c>
      <c r="AF1056" s="109" t="s">
        <v>2082</v>
      </c>
      <c r="AG1056" s="109" t="s">
        <v>2082</v>
      </c>
      <c r="AH1056" s="109" t="s">
        <v>2082</v>
      </c>
      <c r="AI1056" s="109" t="s">
        <v>2082</v>
      </c>
      <c r="AJ1056" s="109" t="s">
        <v>2082</v>
      </c>
      <c r="AK1056" s="87">
        <v>448</v>
      </c>
      <c r="AL1056" s="600" t="s">
        <v>432</v>
      </c>
      <c r="AM1056" s="137" t="s">
        <v>432</v>
      </c>
      <c r="AN1056" s="137" t="s">
        <v>432</v>
      </c>
      <c r="AO1056" s="137" t="s">
        <v>432</v>
      </c>
      <c r="AP1056" s="137" t="s">
        <v>432</v>
      </c>
      <c r="AQ1056" s="137" t="s">
        <v>432</v>
      </c>
      <c r="AR1056" s="137" t="s">
        <v>432</v>
      </c>
      <c r="AS1056" s="137" t="s">
        <v>432</v>
      </c>
      <c r="AT1056" s="137" t="s">
        <v>432</v>
      </c>
      <c r="AU1056" s="137" t="s">
        <v>432</v>
      </c>
      <c r="AV1056" s="137" t="s">
        <v>432</v>
      </c>
      <c r="AW1056" s="137" t="s">
        <v>432</v>
      </c>
      <c r="AX1056" s="137" t="s">
        <v>432</v>
      </c>
      <c r="AY1056" s="137" t="s">
        <v>432</v>
      </c>
      <c r="AZ1056" s="137" t="s">
        <v>432</v>
      </c>
      <c r="BA1056" s="137" t="s">
        <v>432</v>
      </c>
      <c r="BB1056" s="239" t="str">
        <f t="shared" si="266"/>
        <v>Sistema de transporte coletivo com um todoacessibilidade</v>
      </c>
      <c r="BC1056" s="239" t="str">
        <f t="shared" si="267"/>
        <v>Sistema de transporte coletivo com um todoacessibilidadebenchmarking</v>
      </c>
      <c r="BD1056" s="239" t="str">
        <f t="shared" si="268"/>
        <v>Sistema de transporte coletivo com um todobenchmarking</v>
      </c>
    </row>
    <row r="1057" spans="1:56" s="373" customFormat="1" x14ac:dyDescent="0.25">
      <c r="A1057" s="383"/>
      <c r="B1057" s="384"/>
      <c r="C1057" s="384"/>
      <c r="D1057" s="719"/>
      <c r="E1057" s="1519"/>
      <c r="F1057" s="385"/>
      <c r="G1057" s="385"/>
      <c r="H1057" s="384"/>
      <c r="I1057" s="385"/>
      <c r="J1057" s="385"/>
      <c r="K1057" s="385"/>
      <c r="L1057" s="385"/>
      <c r="M1057" s="385"/>
      <c r="N1057" s="385"/>
      <c r="O1057" s="385"/>
      <c r="P1057" s="385"/>
      <c r="Q1057" s="385"/>
      <c r="R1057" s="385"/>
      <c r="S1057" s="385"/>
      <c r="T1057" s="385"/>
      <c r="U1057" s="385"/>
      <c r="V1057" s="385"/>
      <c r="W1057" s="385"/>
      <c r="X1057" s="385"/>
      <c r="Y1057" s="385"/>
      <c r="Z1057" s="385"/>
      <c r="AA1057" s="385"/>
      <c r="AB1057" s="385"/>
      <c r="AC1057" s="385"/>
      <c r="AD1057" s="385"/>
      <c r="AE1057" s="385"/>
      <c r="AF1057" s="385"/>
      <c r="AG1057" s="385"/>
      <c r="AH1057" s="385"/>
      <c r="AI1057" s="385"/>
      <c r="AJ1057" s="385"/>
      <c r="AK1057" s="397"/>
      <c r="AL1057" s="763" t="s">
        <v>432</v>
      </c>
      <c r="AM1057" s="387"/>
      <c r="AN1057" s="387"/>
      <c r="AO1057" s="387"/>
      <c r="AP1057" s="387"/>
      <c r="AQ1057" s="387"/>
      <c r="AR1057" s="387"/>
      <c r="AS1057" s="387"/>
      <c r="AT1057" s="387"/>
      <c r="AU1057" s="387"/>
      <c r="AV1057" s="387"/>
      <c r="AW1057" s="387"/>
      <c r="AX1057" s="387"/>
      <c r="AY1057" s="387"/>
      <c r="AZ1057" s="387"/>
      <c r="BA1057" s="387"/>
      <c r="BB1057" s="388"/>
      <c r="BC1057" s="388"/>
      <c r="BD1057" s="388"/>
    </row>
    <row r="1058" spans="1:56" s="373" customFormat="1" ht="114" customHeight="1" x14ac:dyDescent="0.25">
      <c r="A1058" s="262" t="str">
        <f>'Q100b-totais'!B62</f>
        <v>8.10</v>
      </c>
      <c r="B1058" s="252" t="str">
        <f>'Q100b-totais'!C62</f>
        <v>Sistema de transporte coletivo com um todo</v>
      </c>
      <c r="C1058" s="173" t="s">
        <v>743</v>
      </c>
      <c r="D1058" s="324" t="str">
        <f>'Q100e-FrotaOnibus'!D37</f>
        <v>F tc pb (n.º)</v>
      </c>
      <c r="E1058" s="1445" t="str">
        <f>'Q100e-FrotaOnibus'!E37</f>
        <v>x</v>
      </c>
      <c r="F1058" s="252" t="str">
        <f>'Q100e-FrotaOnibus'!F37</f>
        <v>frota em n.º de ônibus de piso baixo de uma cidade/região 
obs.1: "Buenos Aires já definiu em legislação a obrigatoriedade de ônibus com pisos mais baixos, há cerca de dois anos. [...] 'Na verdade, sistemas semelhantes já são bastante utilizados em diversas cidades dos Estados Unidos e da Europa', afirma [...]" conforme B7R(2000, p.15)
obs.2: "low floor buses" nas cidades de Santiago do Chile e Nova Déli/Índia são citados como exemplo de adoção de ônibus de piso baixo em sistemas BRT em publicação produzida para o Banco Mundial conforme RICKERT(2007, p.25-26)
obs.2: acesse os verbetes "low floor" e "piso baixo"</v>
      </c>
      <c r="G1058" s="57" t="s">
        <v>3507</v>
      </c>
      <c r="H1058" s="167" t="s">
        <v>2408</v>
      </c>
      <c r="I1058" s="167" t="s">
        <v>432</v>
      </c>
      <c r="J1058" s="107" t="s">
        <v>432</v>
      </c>
      <c r="K1058" s="107" t="s">
        <v>432</v>
      </c>
      <c r="L1058" s="107" t="s">
        <v>432</v>
      </c>
      <c r="M1058" s="107" t="s">
        <v>432</v>
      </c>
      <c r="N1058" s="107" t="s">
        <v>432</v>
      </c>
      <c r="O1058" s="107" t="s">
        <v>432</v>
      </c>
      <c r="P1058" s="107" t="s">
        <v>432</v>
      </c>
      <c r="Q1058" s="107" t="s">
        <v>432</v>
      </c>
      <c r="R1058" s="107" t="s">
        <v>432</v>
      </c>
      <c r="S1058" s="109" t="s">
        <v>2209</v>
      </c>
      <c r="T1058" s="108" t="s">
        <v>432</v>
      </c>
      <c r="U1058" s="108" t="s">
        <v>432</v>
      </c>
      <c r="V1058" s="109" t="s">
        <v>2209</v>
      </c>
      <c r="W1058" s="108" t="s">
        <v>432</v>
      </c>
      <c r="X1058" s="108" t="s">
        <v>432</v>
      </c>
      <c r="Y1058" s="108" t="s">
        <v>432</v>
      </c>
      <c r="Z1058" s="108" t="s">
        <v>432</v>
      </c>
      <c r="AA1058" s="108" t="s">
        <v>432</v>
      </c>
      <c r="AB1058" s="108" t="s">
        <v>432</v>
      </c>
      <c r="AC1058" s="108" t="s">
        <v>432</v>
      </c>
      <c r="AD1058" s="108" t="s">
        <v>432</v>
      </c>
      <c r="AE1058" s="108" t="s">
        <v>432</v>
      </c>
      <c r="AF1058" s="108" t="s">
        <v>432</v>
      </c>
      <c r="AG1058" s="108" t="s">
        <v>432</v>
      </c>
      <c r="AH1058" s="108" t="s">
        <v>432</v>
      </c>
      <c r="AI1058" s="108" t="s">
        <v>432</v>
      </c>
      <c r="AJ1058" s="108" t="s">
        <v>432</v>
      </c>
      <c r="AK1058" s="108" t="s">
        <v>432</v>
      </c>
      <c r="AL1058" s="601" t="s">
        <v>432</v>
      </c>
      <c r="AM1058" s="137" t="s">
        <v>432</v>
      </c>
      <c r="AN1058" s="137" t="s">
        <v>432</v>
      </c>
      <c r="AO1058" s="137" t="s">
        <v>432</v>
      </c>
      <c r="AP1058" s="137" t="s">
        <v>432</v>
      </c>
      <c r="AQ1058" s="137" t="s">
        <v>432</v>
      </c>
      <c r="AR1058" s="137" t="s">
        <v>432</v>
      </c>
      <c r="AS1058" s="137" t="s">
        <v>432</v>
      </c>
      <c r="AT1058" s="137" t="s">
        <v>432</v>
      </c>
      <c r="AU1058" s="137" t="s">
        <v>432</v>
      </c>
      <c r="AV1058" s="137" t="s">
        <v>432</v>
      </c>
      <c r="AW1058" s="137" t="s">
        <v>432</v>
      </c>
      <c r="AX1058" s="137" t="s">
        <v>432</v>
      </c>
      <c r="AY1058" s="137" t="s">
        <v>432</v>
      </c>
      <c r="AZ1058" s="137" t="s">
        <v>432</v>
      </c>
      <c r="BA1058" s="137" t="s">
        <v>432</v>
      </c>
      <c r="BB1058" s="239" t="str">
        <f>B1058&amp;C1058</f>
        <v>Sistema de transporte coletivo com um todoacessibilidade</v>
      </c>
      <c r="BC1058" s="239" t="str">
        <f>B1058&amp;C1058&amp;H1058</f>
        <v>Sistema de transporte coletivo com um todoacessibilidadesigla/verbete</v>
      </c>
      <c r="BD1058" s="239" t="str">
        <f>B1058&amp;H1058</f>
        <v>Sistema de transporte coletivo com um todosigla/verbete</v>
      </c>
    </row>
    <row r="1059" spans="1:56" s="1" customFormat="1" ht="175.5" customHeight="1" x14ac:dyDescent="0.25">
      <c r="A1059" s="262" t="str">
        <f>'Q100b-totais'!B62</f>
        <v>8.10</v>
      </c>
      <c r="B1059" s="252" t="str">
        <f>'Q100b-totais'!C62</f>
        <v>Sistema de transporte coletivo com um todo</v>
      </c>
      <c r="C1059" s="173" t="s">
        <v>743</v>
      </c>
      <c r="D1059" s="324" t="str">
        <f>'Q100e-FrotaOnibus'!D38</f>
        <v>F tc pb (%)</v>
      </c>
      <c r="E1059" s="1445" t="str">
        <f>'Q100e-FrotaOnibus'!E38</f>
        <v>x</v>
      </c>
      <c r="F1059" s="252" t="str">
        <f>'Q100e-FrotaOnibus'!F38</f>
        <v>percentual da frota de ônibus de piso baixo de uma cidade/região 
obs.: acesse os verbetes "low floor" e "piso baixo"</v>
      </c>
      <c r="G1059" s="230" t="s">
        <v>3507</v>
      </c>
      <c r="H1059" s="167" t="s">
        <v>2408</v>
      </c>
      <c r="I1059" s="167" t="s">
        <v>432</v>
      </c>
      <c r="J1059" s="107" t="s">
        <v>432</v>
      </c>
      <c r="K1059" s="107" t="s">
        <v>432</v>
      </c>
      <c r="L1059" s="107" t="s">
        <v>432</v>
      </c>
      <c r="M1059" s="107" t="s">
        <v>432</v>
      </c>
      <c r="N1059" s="107" t="s">
        <v>432</v>
      </c>
      <c r="O1059" s="107" t="s">
        <v>432</v>
      </c>
      <c r="P1059" s="107" t="s">
        <v>432</v>
      </c>
      <c r="Q1059" s="107" t="s">
        <v>432</v>
      </c>
      <c r="R1059" s="107" t="s">
        <v>432</v>
      </c>
      <c r="S1059" s="109" t="s">
        <v>2209</v>
      </c>
      <c r="T1059" s="108" t="s">
        <v>432</v>
      </c>
      <c r="U1059" s="108" t="s">
        <v>432</v>
      </c>
      <c r="V1059" s="109" t="s">
        <v>2209</v>
      </c>
      <c r="W1059" s="108" t="s">
        <v>432</v>
      </c>
      <c r="X1059" s="108" t="s">
        <v>432</v>
      </c>
      <c r="Y1059" s="108" t="s">
        <v>432</v>
      </c>
      <c r="Z1059" s="108" t="s">
        <v>432</v>
      </c>
      <c r="AA1059" s="108" t="s">
        <v>432</v>
      </c>
      <c r="AB1059" s="108" t="s">
        <v>432</v>
      </c>
      <c r="AC1059" s="108" t="s">
        <v>432</v>
      </c>
      <c r="AD1059" s="108" t="s">
        <v>432</v>
      </c>
      <c r="AE1059" s="108" t="s">
        <v>432</v>
      </c>
      <c r="AF1059" s="108" t="s">
        <v>432</v>
      </c>
      <c r="AG1059" s="108" t="s">
        <v>432</v>
      </c>
      <c r="AH1059" s="108" t="s">
        <v>432</v>
      </c>
      <c r="AI1059" s="108" t="s">
        <v>432</v>
      </c>
      <c r="AJ1059" s="108" t="s">
        <v>432</v>
      </c>
      <c r="AK1059" s="108" t="s">
        <v>432</v>
      </c>
      <c r="AL1059" s="601" t="s">
        <v>432</v>
      </c>
      <c r="AM1059" s="137" t="s">
        <v>432</v>
      </c>
      <c r="AN1059" s="137" t="s">
        <v>432</v>
      </c>
      <c r="AO1059" s="137" t="s">
        <v>432</v>
      </c>
      <c r="AP1059" s="137" t="s">
        <v>432</v>
      </c>
      <c r="AQ1059" s="137" t="s">
        <v>432</v>
      </c>
      <c r="AR1059" s="137" t="s">
        <v>432</v>
      </c>
      <c r="AS1059" s="137" t="s">
        <v>432</v>
      </c>
      <c r="AT1059" s="137" t="s">
        <v>432</v>
      </c>
      <c r="AU1059" s="137" t="s">
        <v>432</v>
      </c>
      <c r="AV1059" s="137" t="s">
        <v>432</v>
      </c>
      <c r="AW1059" s="137" t="s">
        <v>432</v>
      </c>
      <c r="AX1059" s="137" t="s">
        <v>432</v>
      </c>
      <c r="AY1059" s="137" t="s">
        <v>432</v>
      </c>
      <c r="AZ1059" s="137" t="s">
        <v>432</v>
      </c>
      <c r="BA1059" s="137" t="s">
        <v>432</v>
      </c>
      <c r="BB1059" s="239" t="str">
        <f>B1059&amp;C1059</f>
        <v>Sistema de transporte coletivo com um todoacessibilidade</v>
      </c>
      <c r="BC1059" s="239" t="str">
        <f>B1059&amp;C1059&amp;H1059</f>
        <v>Sistema de transporte coletivo com um todoacessibilidadesigla/verbete</v>
      </c>
      <c r="BD1059" s="239" t="str">
        <f>B1059&amp;H1059</f>
        <v>Sistema de transporte coletivo com um todosigla/verbete</v>
      </c>
    </row>
    <row r="1060" spans="1:56" s="373" customFormat="1" x14ac:dyDescent="0.25">
      <c r="A1060" s="383"/>
      <c r="B1060" s="384"/>
      <c r="C1060" s="384"/>
      <c r="D1060" s="719"/>
      <c r="E1060" s="1519"/>
      <c r="F1060" s="385"/>
      <c r="G1060" s="385"/>
      <c r="H1060" s="384"/>
      <c r="I1060" s="385"/>
      <c r="J1060" s="385"/>
      <c r="K1060" s="385"/>
      <c r="L1060" s="385"/>
      <c r="M1060" s="385"/>
      <c r="N1060" s="385"/>
      <c r="O1060" s="385"/>
      <c r="P1060" s="385"/>
      <c r="Q1060" s="385"/>
      <c r="R1060" s="385"/>
      <c r="S1060" s="385"/>
      <c r="T1060" s="385"/>
      <c r="U1060" s="385"/>
      <c r="V1060" s="385"/>
      <c r="W1060" s="385"/>
      <c r="X1060" s="385"/>
      <c r="Y1060" s="385"/>
      <c r="Z1060" s="385"/>
      <c r="AA1060" s="385"/>
      <c r="AB1060" s="385"/>
      <c r="AC1060" s="385"/>
      <c r="AD1060" s="385"/>
      <c r="AE1060" s="385"/>
      <c r="AF1060" s="385"/>
      <c r="AG1060" s="385"/>
      <c r="AH1060" s="385"/>
      <c r="AI1060" s="385"/>
      <c r="AJ1060" s="385"/>
      <c r="AK1060" s="397"/>
      <c r="AL1060" s="763" t="s">
        <v>432</v>
      </c>
      <c r="AM1060" s="387"/>
      <c r="AN1060" s="387"/>
      <c r="AO1060" s="387"/>
      <c r="AP1060" s="387"/>
      <c r="AQ1060" s="387"/>
      <c r="AR1060" s="387"/>
      <c r="AS1060" s="387"/>
      <c r="AT1060" s="387"/>
      <c r="AU1060" s="387"/>
      <c r="AV1060" s="387"/>
      <c r="AW1060" s="387"/>
      <c r="AX1060" s="387"/>
      <c r="AY1060" s="387"/>
      <c r="AZ1060" s="387"/>
      <c r="BA1060" s="387"/>
      <c r="BB1060" s="388"/>
      <c r="BC1060" s="388"/>
      <c r="BD1060" s="388"/>
    </row>
    <row r="1061" spans="1:56" s="373" customFormat="1" ht="51" x14ac:dyDescent="0.25">
      <c r="A1061" s="413" t="str">
        <f>'Q100b-totais'!B62</f>
        <v>8.10</v>
      </c>
      <c r="B1061" s="1205" t="str">
        <f>'Q100b-totais'!C62</f>
        <v>Sistema de transporte coletivo com um todo</v>
      </c>
      <c r="C1061" s="57" t="s">
        <v>743</v>
      </c>
      <c r="D1061" s="325" t="str">
        <f>'Q100e-FrotaOnibus'!BL37</f>
        <v>F tc pb (n.º)</v>
      </c>
      <c r="E1061" s="254" t="str">
        <f>'Q100e-FrotaOnibus'!BM37</f>
        <v>Belo Horizonte</v>
      </c>
      <c r="F1061" s="252" t="str">
        <f>'Q100e-FrotaOnibus'!BN37</f>
        <v>frota em n.º de ônibus de piso baixo do sistema de transporte coletivo (convencional e suplementar) de Belo Horizonte gerenciado pela BHTrans
obs.: até 2015 o resultado este resultado é identico ao do transporte coletivo convencional</v>
      </c>
      <c r="G1061" s="110" t="str">
        <f>'Q100e-FrotaOnibus'!BO37</f>
        <v>registro na fonte</v>
      </c>
      <c r="H1061" s="167" t="s">
        <v>432</v>
      </c>
      <c r="I1061" s="167">
        <v>1</v>
      </c>
      <c r="J1061" s="107" t="s">
        <v>2467</v>
      </c>
      <c r="K1061" s="107" t="s">
        <v>2467</v>
      </c>
      <c r="L1061" s="109" t="s">
        <v>2467</v>
      </c>
      <c r="M1061" s="110">
        <f t="shared" ref="M1061:R1061" si="272">M1063</f>
        <v>0</v>
      </c>
      <c r="N1061" s="110">
        <f t="shared" si="272"/>
        <v>0</v>
      </c>
      <c r="O1061" s="110">
        <f t="shared" si="272"/>
        <v>0</v>
      </c>
      <c r="P1061" s="110">
        <f t="shared" si="272"/>
        <v>0</v>
      </c>
      <c r="Q1061" s="110">
        <f t="shared" si="272"/>
        <v>0</v>
      </c>
      <c r="R1061" s="110">
        <f t="shared" si="272"/>
        <v>0</v>
      </c>
      <c r="S1061" s="109" t="s">
        <v>2209</v>
      </c>
      <c r="T1061" s="110">
        <f>T1063</f>
        <v>83</v>
      </c>
      <c r="U1061" s="110" t="str">
        <f>U1063</f>
        <v>ainda não encontrado</v>
      </c>
      <c r="V1061" s="109" t="s">
        <v>2209</v>
      </c>
      <c r="W1061" s="110">
        <f t="shared" ref="W1061:AK1061" si="273">W1063</f>
        <v>153</v>
      </c>
      <c r="X1061" s="110">
        <f t="shared" si="273"/>
        <v>152</v>
      </c>
      <c r="Y1061" s="110">
        <f t="shared" si="273"/>
        <v>152</v>
      </c>
      <c r="Z1061" s="110">
        <f t="shared" si="273"/>
        <v>152</v>
      </c>
      <c r="AA1061" s="110">
        <f t="shared" si="273"/>
        <v>152</v>
      </c>
      <c r="AB1061" s="110">
        <f t="shared" si="273"/>
        <v>152</v>
      </c>
      <c r="AC1061" s="110">
        <f t="shared" si="273"/>
        <v>152</v>
      </c>
      <c r="AD1061" s="110">
        <f t="shared" si="273"/>
        <v>152</v>
      </c>
      <c r="AE1061" s="110">
        <f t="shared" si="273"/>
        <v>152</v>
      </c>
      <c r="AF1061" s="110">
        <f t="shared" si="273"/>
        <v>83</v>
      </c>
      <c r="AG1061" s="110">
        <f t="shared" si="273"/>
        <v>1</v>
      </c>
      <c r="AH1061" s="110">
        <f t="shared" si="273"/>
        <v>0</v>
      </c>
      <c r="AI1061" s="110">
        <f t="shared" si="273"/>
        <v>0</v>
      </c>
      <c r="AJ1061" s="110">
        <f t="shared" si="273"/>
        <v>0</v>
      </c>
      <c r="AK1061" s="110">
        <f t="shared" si="273"/>
        <v>0</v>
      </c>
      <c r="AL1061" s="601" t="s">
        <v>432</v>
      </c>
      <c r="AM1061" s="137" t="s">
        <v>432</v>
      </c>
      <c r="AN1061" s="137" t="s">
        <v>432</v>
      </c>
      <c r="AO1061" s="137" t="s">
        <v>432</v>
      </c>
      <c r="AP1061" s="137" t="s">
        <v>432</v>
      </c>
      <c r="AQ1061" s="137" t="s">
        <v>432</v>
      </c>
      <c r="AR1061" s="137" t="s">
        <v>432</v>
      </c>
      <c r="AS1061" s="137" t="s">
        <v>432</v>
      </c>
      <c r="AT1061" s="137" t="s">
        <v>432</v>
      </c>
      <c r="AU1061" s="137" t="s">
        <v>432</v>
      </c>
      <c r="AV1061" s="137" t="s">
        <v>432</v>
      </c>
      <c r="AW1061" s="137" t="s">
        <v>432</v>
      </c>
      <c r="AX1061" s="137" t="s">
        <v>432</v>
      </c>
      <c r="AY1061" s="137" t="s">
        <v>432</v>
      </c>
      <c r="AZ1061" s="137" t="s">
        <v>432</v>
      </c>
      <c r="BA1061" s="137" t="s">
        <v>432</v>
      </c>
      <c r="BB1061" s="239" t="str">
        <f t="shared" ref="BB1061:BB1066" si="274">D1061&amp;E1061</f>
        <v>F tc pb (n.º)Belo Horizonte</v>
      </c>
      <c r="BC1061" s="239" t="str">
        <f t="shared" ref="BC1061:BC1066" si="275">D1061&amp;E1061&amp;H1061</f>
        <v>F tc pb (n.º)Belo Horizontex</v>
      </c>
      <c r="BD1061" s="239" t="str">
        <f t="shared" ref="BD1061:BD1066" si="276">D1061&amp;H1061</f>
        <v>F tc pb (n.º)x</v>
      </c>
    </row>
    <row r="1062" spans="1:56" s="373" customFormat="1" ht="51" x14ac:dyDescent="0.25">
      <c r="A1062" s="413" t="str">
        <f>'Q100b-totais'!B62</f>
        <v>8.10</v>
      </c>
      <c r="B1062" s="1205" t="str">
        <f>'Q100b-totais'!C62</f>
        <v>Sistema de transporte coletivo com um todo</v>
      </c>
      <c r="C1062" s="57" t="s">
        <v>743</v>
      </c>
      <c r="D1062" s="325" t="str">
        <f>'Q100e-FrotaOnibus'!BL38</f>
        <v>F tc pb (%)</v>
      </c>
      <c r="E1062" s="254" t="str">
        <f>'Q100e-FrotaOnibus'!BM38</f>
        <v>Belo Horizonte</v>
      </c>
      <c r="F1062" s="252" t="str">
        <f>'Q100e-FrotaOnibus'!BN38</f>
        <v>percentual da frota de ônibus de piso baixo do sistema de transporte coletivo (convencional e suplementar) de Belo Horizonte gerenciado pela BHTrans</v>
      </c>
      <c r="G1062" s="111" t="str">
        <f>'Q100e-FrotaOnibus'!BO38</f>
        <v>(F tc pb / F tc) x 100</v>
      </c>
      <c r="H1062" s="167" t="s">
        <v>432</v>
      </c>
      <c r="I1062" s="167">
        <v>1</v>
      </c>
      <c r="J1062" s="107" t="s">
        <v>2467</v>
      </c>
      <c r="K1062" s="107" t="s">
        <v>2467</v>
      </c>
      <c r="L1062" s="109" t="s">
        <v>2467</v>
      </c>
      <c r="M1062" s="112">
        <f t="shared" ref="M1062:R1062" si="277">M1061/M862</f>
        <v>0</v>
      </c>
      <c r="N1062" s="112">
        <f t="shared" si="277"/>
        <v>0</v>
      </c>
      <c r="O1062" s="112">
        <f t="shared" si="277"/>
        <v>0</v>
      </c>
      <c r="P1062" s="112" t="e">
        <f t="shared" si="277"/>
        <v>#VALUE!</v>
      </c>
      <c r="Q1062" s="112" t="e">
        <f t="shared" si="277"/>
        <v>#VALUE!</v>
      </c>
      <c r="R1062" s="112" t="e">
        <f t="shared" si="277"/>
        <v>#VALUE!</v>
      </c>
      <c r="S1062" s="109" t="s">
        <v>2209</v>
      </c>
      <c r="T1062" s="112">
        <f>T1061/T862</f>
        <v>2.8356679193713701E-2</v>
      </c>
      <c r="U1062" s="112" t="e">
        <f>U1061/U862</f>
        <v>#VALUE!</v>
      </c>
      <c r="V1062" s="109" t="s">
        <v>2209</v>
      </c>
      <c r="W1062" s="112">
        <f t="shared" ref="W1062:AK1062" si="278">W1061/W862</f>
        <v>4.8037676609105177E-2</v>
      </c>
      <c r="X1062" s="112">
        <f t="shared" si="278"/>
        <v>4.8686739269698909E-2</v>
      </c>
      <c r="Y1062" s="112">
        <f t="shared" si="278"/>
        <v>4.8253968253968257E-2</v>
      </c>
      <c r="Z1062" s="112">
        <f t="shared" si="278"/>
        <v>4.8937540244687702E-2</v>
      </c>
      <c r="AA1062" s="112">
        <f t="shared" si="278"/>
        <v>4.8984853367708671E-2</v>
      </c>
      <c r="AB1062" s="112">
        <f t="shared" si="278"/>
        <v>4.8874598070739551E-2</v>
      </c>
      <c r="AC1062" s="112">
        <f t="shared" si="278"/>
        <v>4.8843187660668377E-2</v>
      </c>
      <c r="AD1062" s="112">
        <f t="shared" si="278"/>
        <v>4.8438495857233907E-2</v>
      </c>
      <c r="AE1062" s="112">
        <f t="shared" si="278"/>
        <v>4.8376830044557603E-2</v>
      </c>
      <c r="AF1062" s="112">
        <f t="shared" si="278"/>
        <v>2.6628168110362529E-2</v>
      </c>
      <c r="AG1062" s="112">
        <f t="shared" si="278"/>
        <v>3.0349013657056146E-4</v>
      </c>
      <c r="AH1062" s="112">
        <f t="shared" si="278"/>
        <v>0</v>
      </c>
      <c r="AI1062" s="112">
        <f t="shared" si="278"/>
        <v>0</v>
      </c>
      <c r="AJ1062" s="112">
        <f t="shared" si="278"/>
        <v>0</v>
      </c>
      <c r="AK1062" s="112">
        <f t="shared" si="278"/>
        <v>0</v>
      </c>
      <c r="AL1062" s="601" t="s">
        <v>432</v>
      </c>
      <c r="AM1062" s="299">
        <v>0</v>
      </c>
      <c r="AN1062" s="137" t="s">
        <v>432</v>
      </c>
      <c r="AO1062" s="137" t="s">
        <v>432</v>
      </c>
      <c r="AP1062" s="137" t="s">
        <v>432</v>
      </c>
      <c r="AQ1062" s="137" t="s">
        <v>432</v>
      </c>
      <c r="AR1062" s="137" t="s">
        <v>432</v>
      </c>
      <c r="AS1062" s="137" t="s">
        <v>432</v>
      </c>
      <c r="AT1062" s="137" t="s">
        <v>432</v>
      </c>
      <c r="AU1062" s="137" t="s">
        <v>432</v>
      </c>
      <c r="AV1062" s="137" t="s">
        <v>432</v>
      </c>
      <c r="AW1062" s="137" t="s">
        <v>432</v>
      </c>
      <c r="AX1062" s="137" t="s">
        <v>432</v>
      </c>
      <c r="AY1062" s="137" t="s">
        <v>432</v>
      </c>
      <c r="AZ1062" s="137" t="s">
        <v>432</v>
      </c>
      <c r="BA1062" s="137" t="s">
        <v>432</v>
      </c>
      <c r="BB1062" s="239" t="str">
        <f t="shared" si="274"/>
        <v>F tc pb (%)Belo Horizonte</v>
      </c>
      <c r="BC1062" s="239" t="str">
        <f t="shared" si="275"/>
        <v>F tc pb (%)Belo Horizontex</v>
      </c>
      <c r="BD1062" s="239" t="str">
        <f t="shared" si="276"/>
        <v>F tc pb (%)x</v>
      </c>
    </row>
    <row r="1063" spans="1:56" s="373" customFormat="1" ht="362.25" customHeight="1" x14ac:dyDescent="0.25">
      <c r="A1063" s="413" t="str">
        <f>'Q100b-totais'!B57</f>
        <v>8.5</v>
      </c>
      <c r="B1063" s="1205" t="str">
        <f>'Q100b-totais'!C57</f>
        <v>Transporte convencional</v>
      </c>
      <c r="C1063" s="57" t="s">
        <v>743</v>
      </c>
      <c r="D1063" s="325" t="str">
        <f>'Q100e-FrotaOnibus'!BD37</f>
        <v>F tcc pb (n.º)</v>
      </c>
      <c r="E1063" s="254" t="str">
        <f>'Q100e-FrotaOnibus'!BE37</f>
        <v>Belo Horizonte</v>
      </c>
      <c r="F1063" s="252" t="str">
        <f>'Q100e-FrotaOnibus'!BF37</f>
        <v>frota em n.º de ônibus de piso baixo do transporte coletivo convencional de Belo Horizonte gerenciado pela BHTrans
obs.1: em Belo Horizonte esta frota é idêntica a "F tcc en s/rampa", que é a "frota em n.º de ônibus do transporte coletivo convencional de Belo Horizonte gerenciado pela BHTrans com piso-baixo dianteiro sem rampa veicular (com embarque/desembarque podendo acontecer em nível na porta central e na porta dianteira, mas sem o apoio de uma rampa e dependente no motorista estacionar rente ao meio-fio)"
obs.2: "Para aumentar a acessibilidade, tanto física quanto social, ao sistema de transporte púlico, a BHTRANS empreendeu ações de diversos tipos voltadas a este objetivo, conforme os exemplos que destacamos abaixo: [...] A introdução dos ônibus de piso baixo no sistema municipal de transporte, facilitando o acesso às pessoas com dificuldadede locomoção, que foi estabelecido como veículo padrão do sistema" conforme BHTRANS(2000a, p.21)
obs.3: "Em setembro de 1999 chegaram os primeiros oito ônibus de piso baixo. [...] O seu aumento é resultado de uma portaria da BHTRANS (set./99), [conforme BHTRANS(1999b)] estabelecendo que toda substituição de ônibus, a partir de então, será feita de forma que 80% deles sejam de piso baixo. A previsão é de que até o final de 2000 é que entrem no sistema mais 26 novos pisos baixos." conforme BHTRANS(2000b, p.19)
obs.4: em setembro de 1999 a BHTrans anuncia que Belo Horioznte é a primeira capital do país a adotar ônibus de piso baixo conforme BHTRANS(1999d/e) 
obs.5: "Belo Horizonte é a primeira cidade brasileira a adotar legislação semelhante [à de Buenos Aires]. [...] Ao encomendar a primeira unidade, que ainda estava em fase de homologação quando esta reportagem foi concluída, Belo Horizonte 'sai na frente, sendo a primeira cidade brasileira a definir em lei a exigência de ônibus com piso baixo. Mas essa tendência já se manifesta em diversas outras capitais e cidades de médio e grande porte de todo o país', observa o executivo." conforme B7R(2000, p.15)
obs.6: em 2003 o CMPPD/BH avalia o ônibus de piso baixo com destaque para "a preocupação com a necessidae de dotar a cidade de um sistema com desenho universal e não de um sistema que atenda apenas à categoria dos cadeirantes" conforme BH(2003a/b/c)
obs.7: em Belo Horizonte pelo menos até 2015 os veículos de piso baixo nunca tiveram rampa instalada</v>
      </c>
      <c r="G1063" s="412" t="str">
        <f>'Q100e-FrotaOnibus'!BG37</f>
        <v>registro na fonte
 =
F tcc em s/rampa (n.º)</v>
      </c>
      <c r="H1063" s="173" t="s">
        <v>432</v>
      </c>
      <c r="I1063" s="167">
        <v>1</v>
      </c>
      <c r="J1063" s="107" t="s">
        <v>2467</v>
      </c>
      <c r="K1063" s="107" t="s">
        <v>2467</v>
      </c>
      <c r="L1063" s="109" t="s">
        <v>2467</v>
      </c>
      <c r="M1063" s="23">
        <f t="shared" ref="M1063:R1063" si="279">M994</f>
        <v>0</v>
      </c>
      <c r="N1063" s="23">
        <f t="shared" si="279"/>
        <v>0</v>
      </c>
      <c r="O1063" s="23">
        <f t="shared" si="279"/>
        <v>0</v>
      </c>
      <c r="P1063" s="23">
        <f t="shared" si="279"/>
        <v>0</v>
      </c>
      <c r="Q1063" s="23">
        <f t="shared" si="279"/>
        <v>0</v>
      </c>
      <c r="R1063" s="23">
        <f t="shared" si="279"/>
        <v>0</v>
      </c>
      <c r="S1063" s="109" t="s">
        <v>2209</v>
      </c>
      <c r="T1063" s="23">
        <f>T994</f>
        <v>83</v>
      </c>
      <c r="U1063" s="58" t="str">
        <f>U994</f>
        <v>ainda não encontrado</v>
      </c>
      <c r="V1063" s="109" t="s">
        <v>2209</v>
      </c>
      <c r="W1063" s="23">
        <f t="shared" ref="W1063:AK1063" si="280">W994</f>
        <v>153</v>
      </c>
      <c r="X1063" s="23">
        <f t="shared" si="280"/>
        <v>152</v>
      </c>
      <c r="Y1063" s="23">
        <f t="shared" si="280"/>
        <v>152</v>
      </c>
      <c r="Z1063" s="23">
        <f t="shared" si="280"/>
        <v>152</v>
      </c>
      <c r="AA1063" s="23">
        <f t="shared" si="280"/>
        <v>152</v>
      </c>
      <c r="AB1063" s="23">
        <f t="shared" si="280"/>
        <v>152</v>
      </c>
      <c r="AC1063" s="23">
        <f t="shared" si="280"/>
        <v>152</v>
      </c>
      <c r="AD1063" s="23">
        <f t="shared" si="280"/>
        <v>152</v>
      </c>
      <c r="AE1063" s="23">
        <f t="shared" si="280"/>
        <v>152</v>
      </c>
      <c r="AF1063" s="23">
        <f t="shared" si="280"/>
        <v>83</v>
      </c>
      <c r="AG1063" s="23">
        <f t="shared" si="280"/>
        <v>1</v>
      </c>
      <c r="AH1063" s="23">
        <f t="shared" si="280"/>
        <v>0</v>
      </c>
      <c r="AI1063" s="23">
        <f t="shared" si="280"/>
        <v>0</v>
      </c>
      <c r="AJ1063" s="23">
        <f t="shared" si="280"/>
        <v>0</v>
      </c>
      <c r="AK1063" s="23">
        <f t="shared" si="280"/>
        <v>0</v>
      </c>
      <c r="AL1063" s="601" t="s">
        <v>432</v>
      </c>
      <c r="AM1063" s="23">
        <f>AM994</f>
        <v>0</v>
      </c>
      <c r="AN1063" s="137" t="s">
        <v>432</v>
      </c>
      <c r="AO1063" s="137" t="s">
        <v>432</v>
      </c>
      <c r="AP1063" s="137" t="s">
        <v>432</v>
      </c>
      <c r="AQ1063" s="137" t="s">
        <v>432</v>
      </c>
      <c r="AR1063" s="137" t="s">
        <v>432</v>
      </c>
      <c r="AS1063" s="137" t="s">
        <v>432</v>
      </c>
      <c r="AT1063" s="137" t="s">
        <v>432</v>
      </c>
      <c r="AU1063" s="137" t="s">
        <v>432</v>
      </c>
      <c r="AV1063" s="137" t="s">
        <v>432</v>
      </c>
      <c r="AW1063" s="137" t="s">
        <v>432</v>
      </c>
      <c r="AX1063" s="137" t="s">
        <v>432</v>
      </c>
      <c r="AY1063" s="137" t="s">
        <v>432</v>
      </c>
      <c r="AZ1063" s="137" t="s">
        <v>432</v>
      </c>
      <c r="BA1063" s="137" t="s">
        <v>432</v>
      </c>
      <c r="BB1063" s="239" t="str">
        <f t="shared" si="274"/>
        <v>F tcc pb (n.º)Belo Horizonte</v>
      </c>
      <c r="BC1063" s="239" t="str">
        <f t="shared" si="275"/>
        <v>F tcc pb (n.º)Belo Horizontex</v>
      </c>
      <c r="BD1063" s="239" t="str">
        <f t="shared" si="276"/>
        <v>F tcc pb (n.º)x</v>
      </c>
    </row>
    <row r="1064" spans="1:56" s="373" customFormat="1" ht="51" x14ac:dyDescent="0.25">
      <c r="A1064" s="413" t="str">
        <f>'Q100b-totais'!B57</f>
        <v>8.5</v>
      </c>
      <c r="B1064" s="1205" t="str">
        <f>'Q100b-totais'!C57</f>
        <v>Transporte convencional</v>
      </c>
      <c r="C1064" s="57" t="s">
        <v>743</v>
      </c>
      <c r="D1064" s="325" t="str">
        <f>'Q100e-FrotaOnibus'!BD38</f>
        <v>F tcc pb (%)</v>
      </c>
      <c r="E1064" s="254" t="str">
        <f>'Q100e-FrotaOnibus'!BE38</f>
        <v>Belo Horizonte</v>
      </c>
      <c r="F1064" s="252" t="str">
        <f>'Q100e-FrotaOnibus'!BF38</f>
        <v>percentual da frota de ônibus de piso baixo do transporte coletivo convencional de Belo Horizonte gerenciado pela BHTrans</v>
      </c>
      <c r="G1064" s="412" t="str">
        <f>'Q100e-FrotaOnibus'!BG38</f>
        <v>(F tcc pb / F tcc ) x 100</v>
      </c>
      <c r="H1064" s="167" t="s">
        <v>432</v>
      </c>
      <c r="I1064" s="167">
        <v>1</v>
      </c>
      <c r="J1064" s="107" t="s">
        <v>2467</v>
      </c>
      <c r="K1064" s="107" t="s">
        <v>2467</v>
      </c>
      <c r="L1064" s="109" t="s">
        <v>2467</v>
      </c>
      <c r="M1064" s="112">
        <f t="shared" ref="M1064:R1064" si="281">M1063/M865</f>
        <v>0</v>
      </c>
      <c r="N1064" s="112">
        <f t="shared" si="281"/>
        <v>0</v>
      </c>
      <c r="O1064" s="112">
        <f t="shared" si="281"/>
        <v>0</v>
      </c>
      <c r="P1064" s="112" t="e">
        <f t="shared" si="281"/>
        <v>#VALUE!</v>
      </c>
      <c r="Q1064" s="112" t="e">
        <f t="shared" si="281"/>
        <v>#VALUE!</v>
      </c>
      <c r="R1064" s="112" t="e">
        <f t="shared" si="281"/>
        <v>#VALUE!</v>
      </c>
      <c r="S1064" s="109" t="s">
        <v>2209</v>
      </c>
      <c r="T1064" s="112">
        <f>T1063/T865</f>
        <v>2.8356679193713701E-2</v>
      </c>
      <c r="U1064" s="112" t="e">
        <f>U1063/U865</f>
        <v>#VALUE!</v>
      </c>
      <c r="V1064" s="109" t="s">
        <v>2209</v>
      </c>
      <c r="W1064" s="112">
        <f t="shared" ref="W1064:AK1064" si="282">W1063/W865</f>
        <v>5.2541208791208792E-2</v>
      </c>
      <c r="X1064" s="112">
        <f t="shared" si="282"/>
        <v>5.3352053352053355E-2</v>
      </c>
      <c r="Y1064" s="112">
        <f t="shared" si="282"/>
        <v>5.3091163115612995E-2</v>
      </c>
      <c r="Z1064" s="112">
        <f t="shared" si="282"/>
        <v>5.3919829726853497E-2</v>
      </c>
      <c r="AA1064" s="112">
        <f t="shared" si="282"/>
        <v>5.3919829726853497E-2</v>
      </c>
      <c r="AB1064" s="112">
        <f t="shared" si="282"/>
        <v>5.3881602268699043E-2</v>
      </c>
      <c r="AC1064" s="112">
        <f t="shared" si="282"/>
        <v>5.3843428976266386E-2</v>
      </c>
      <c r="AD1064" s="112">
        <f t="shared" si="282"/>
        <v>5.3352053352053355E-2</v>
      </c>
      <c r="AE1064" s="112">
        <f t="shared" si="282"/>
        <v>5.3258584442887176E-2</v>
      </c>
      <c r="AF1064" s="112">
        <f t="shared" si="282"/>
        <v>2.9307909604519775E-2</v>
      </c>
      <c r="AG1064" s="112">
        <f t="shared" si="282"/>
        <v>3.3222591362126248E-4</v>
      </c>
      <c r="AH1064" s="112">
        <f t="shared" si="282"/>
        <v>0</v>
      </c>
      <c r="AI1064" s="112">
        <f t="shared" si="282"/>
        <v>0</v>
      </c>
      <c r="AJ1064" s="112">
        <f t="shared" si="282"/>
        <v>0</v>
      </c>
      <c r="AK1064" s="112">
        <f t="shared" si="282"/>
        <v>0</v>
      </c>
      <c r="AL1064" s="601" t="s">
        <v>432</v>
      </c>
      <c r="AM1064" s="112">
        <f>AM1063/AM865</f>
        <v>0</v>
      </c>
      <c r="AN1064" s="137" t="s">
        <v>432</v>
      </c>
      <c r="AO1064" s="137" t="s">
        <v>432</v>
      </c>
      <c r="AP1064" s="137" t="s">
        <v>432</v>
      </c>
      <c r="AQ1064" s="137" t="s">
        <v>432</v>
      </c>
      <c r="AR1064" s="137" t="s">
        <v>432</v>
      </c>
      <c r="AS1064" s="137" t="s">
        <v>432</v>
      </c>
      <c r="AT1064" s="137" t="s">
        <v>432</v>
      </c>
      <c r="AU1064" s="137" t="s">
        <v>432</v>
      </c>
      <c r="AV1064" s="137" t="s">
        <v>432</v>
      </c>
      <c r="AW1064" s="137" t="s">
        <v>432</v>
      </c>
      <c r="AX1064" s="137" t="s">
        <v>432</v>
      </c>
      <c r="AY1064" s="137" t="s">
        <v>432</v>
      </c>
      <c r="AZ1064" s="137" t="s">
        <v>432</v>
      </c>
      <c r="BA1064" s="137" t="s">
        <v>432</v>
      </c>
      <c r="BB1064" s="239" t="str">
        <f t="shared" si="274"/>
        <v>F tcc pb (%)Belo Horizonte</v>
      </c>
      <c r="BC1064" s="239" t="str">
        <f t="shared" si="275"/>
        <v>F tcc pb (%)Belo Horizontex</v>
      </c>
      <c r="BD1064" s="239" t="str">
        <f t="shared" si="276"/>
        <v>F tcc pb (%)x</v>
      </c>
    </row>
    <row r="1065" spans="1:56" s="373" customFormat="1" ht="51" x14ac:dyDescent="0.25">
      <c r="A1065" s="413" t="str">
        <f>'Q100b-totais'!B59</f>
        <v>8.7</v>
      </c>
      <c r="B1065" s="1205" t="str">
        <f>'Q100b-totais'!C59</f>
        <v>Transporte de baixa capacidade</v>
      </c>
      <c r="C1065" s="57" t="s">
        <v>743</v>
      </c>
      <c r="D1065" s="325" t="str">
        <f>'Q100e-FrotaOnibus'!BH37</f>
        <v>F tcs pb (n.º)</v>
      </c>
      <c r="E1065" s="254" t="str">
        <f>'Q100e-FrotaOnibus'!BI37</f>
        <v>Belo Horizonte</v>
      </c>
      <c r="F1065" s="252" t="str">
        <f>'Q100e-FrotaOnibus'!BJ37</f>
        <v>frota em n.º de ônibus de piso baixo do transporte coletivo suplementar de Belo Horizonte gerenciado pela BHTrans
obs.: até 2015 nunca houve ônibus de piso baixo no transporte suplementar de Belo Horizonte</v>
      </c>
      <c r="G1065" s="110" t="str">
        <f>'Q100e-FrotaOnibus'!BK37</f>
        <v>registro na fonte</v>
      </c>
      <c r="H1065" s="167" t="s">
        <v>432</v>
      </c>
      <c r="I1065" s="167">
        <v>1</v>
      </c>
      <c r="J1065" s="107" t="s">
        <v>2467</v>
      </c>
      <c r="K1065" s="107" t="s">
        <v>2467</v>
      </c>
      <c r="L1065" s="109" t="s">
        <v>2467</v>
      </c>
      <c r="M1065" s="107" t="s">
        <v>2055</v>
      </c>
      <c r="N1065" s="107" t="s">
        <v>2055</v>
      </c>
      <c r="O1065" s="107" t="s">
        <v>2055</v>
      </c>
      <c r="P1065" s="107" t="s">
        <v>2055</v>
      </c>
      <c r="Q1065" s="107" t="s">
        <v>2055</v>
      </c>
      <c r="R1065" s="107" t="s">
        <v>2055</v>
      </c>
      <c r="S1065" s="109" t="s">
        <v>2209</v>
      </c>
      <c r="T1065" s="107" t="s">
        <v>2055</v>
      </c>
      <c r="U1065" s="107" t="s">
        <v>2055</v>
      </c>
      <c r="V1065" s="109" t="s">
        <v>2209</v>
      </c>
      <c r="W1065" s="110">
        <v>0</v>
      </c>
      <c r="X1065" s="110">
        <v>0</v>
      </c>
      <c r="Y1065" s="110">
        <v>0</v>
      </c>
      <c r="Z1065" s="110">
        <v>0</v>
      </c>
      <c r="AA1065" s="110">
        <v>0</v>
      </c>
      <c r="AB1065" s="110">
        <v>0</v>
      </c>
      <c r="AC1065" s="110">
        <v>0</v>
      </c>
      <c r="AD1065" s="110">
        <v>0</v>
      </c>
      <c r="AE1065" s="110">
        <v>0</v>
      </c>
      <c r="AF1065" s="110">
        <v>0</v>
      </c>
      <c r="AG1065" s="110">
        <v>0</v>
      </c>
      <c r="AH1065" s="110">
        <v>0</v>
      </c>
      <c r="AI1065" s="110">
        <v>0</v>
      </c>
      <c r="AJ1065" s="110">
        <v>0</v>
      </c>
      <c r="AK1065" s="110">
        <v>0</v>
      </c>
      <c r="AL1065" s="601" t="s">
        <v>432</v>
      </c>
      <c r="AM1065" s="137" t="s">
        <v>432</v>
      </c>
      <c r="AN1065" s="137" t="s">
        <v>432</v>
      </c>
      <c r="AO1065" s="137" t="s">
        <v>432</v>
      </c>
      <c r="AP1065" s="137" t="s">
        <v>432</v>
      </c>
      <c r="AQ1065" s="137" t="s">
        <v>432</v>
      </c>
      <c r="AR1065" s="137" t="s">
        <v>432</v>
      </c>
      <c r="AS1065" s="137" t="s">
        <v>432</v>
      </c>
      <c r="AT1065" s="137" t="s">
        <v>432</v>
      </c>
      <c r="AU1065" s="137" t="s">
        <v>432</v>
      </c>
      <c r="AV1065" s="137" t="s">
        <v>432</v>
      </c>
      <c r="AW1065" s="137" t="s">
        <v>432</v>
      </c>
      <c r="AX1065" s="137" t="s">
        <v>432</v>
      </c>
      <c r="AY1065" s="137" t="s">
        <v>432</v>
      </c>
      <c r="AZ1065" s="137" t="s">
        <v>432</v>
      </c>
      <c r="BA1065" s="137" t="s">
        <v>432</v>
      </c>
      <c r="BB1065" s="239" t="str">
        <f t="shared" si="274"/>
        <v>F tcs pb (n.º)Belo Horizonte</v>
      </c>
      <c r="BC1065" s="239" t="str">
        <f t="shared" si="275"/>
        <v>F tcs pb (n.º)Belo Horizontex</v>
      </c>
      <c r="BD1065" s="239" t="str">
        <f t="shared" si="276"/>
        <v>F tcs pb (n.º)x</v>
      </c>
    </row>
    <row r="1066" spans="1:56" s="373" customFormat="1" ht="51" x14ac:dyDescent="0.25">
      <c r="A1066" s="413" t="str">
        <f>'Q100b-totais'!B59</f>
        <v>8.7</v>
      </c>
      <c r="B1066" s="1205" t="str">
        <f>'Q100b-totais'!C59</f>
        <v>Transporte de baixa capacidade</v>
      </c>
      <c r="C1066" s="57" t="s">
        <v>743</v>
      </c>
      <c r="D1066" s="325" t="str">
        <f>'Q100e-FrotaOnibus'!BH38</f>
        <v>F tcs pb (%)</v>
      </c>
      <c r="E1066" s="254" t="str">
        <f>'Q100e-FrotaOnibus'!BI38</f>
        <v>Belo Horizonte</v>
      </c>
      <c r="F1066" s="252" t="str">
        <f>'Q100e-FrotaOnibus'!BJ38</f>
        <v>percentual da frota de ônibus de piso baixo do transporte coletivo suplementar de Belo Horizonte gerenciado pela BHTrans</v>
      </c>
      <c r="G1066" s="111" t="str">
        <f>'Q100e-FrotaOnibus'!BK38</f>
        <v>(F tc pb / F tc) x 100</v>
      </c>
      <c r="H1066" s="167" t="s">
        <v>432</v>
      </c>
      <c r="I1066" s="167">
        <v>1</v>
      </c>
      <c r="J1066" s="107" t="s">
        <v>2467</v>
      </c>
      <c r="K1066" s="107" t="s">
        <v>2467</v>
      </c>
      <c r="L1066" s="109" t="s">
        <v>2467</v>
      </c>
      <c r="M1066" s="107" t="s">
        <v>3326</v>
      </c>
      <c r="N1066" s="107" t="s">
        <v>3326</v>
      </c>
      <c r="O1066" s="107" t="s">
        <v>3326</v>
      </c>
      <c r="P1066" s="107" t="s">
        <v>3326</v>
      </c>
      <c r="Q1066" s="107" t="s">
        <v>3326</v>
      </c>
      <c r="R1066" s="107" t="s">
        <v>3326</v>
      </c>
      <c r="S1066" s="109" t="s">
        <v>2209</v>
      </c>
      <c r="T1066" s="107" t="s">
        <v>3326</v>
      </c>
      <c r="U1066" s="107" t="s">
        <v>3326</v>
      </c>
      <c r="V1066" s="109" t="s">
        <v>2209</v>
      </c>
      <c r="W1066" s="112">
        <f t="shared" ref="W1066:AK1066" si="283">W1065/W867</f>
        <v>0</v>
      </c>
      <c r="X1066" s="112">
        <f t="shared" si="283"/>
        <v>0</v>
      </c>
      <c r="Y1066" s="112">
        <f t="shared" si="283"/>
        <v>0</v>
      </c>
      <c r="Z1066" s="112">
        <f t="shared" si="283"/>
        <v>0</v>
      </c>
      <c r="AA1066" s="112">
        <f t="shared" si="283"/>
        <v>0</v>
      </c>
      <c r="AB1066" s="112">
        <f t="shared" si="283"/>
        <v>0</v>
      </c>
      <c r="AC1066" s="112">
        <f t="shared" si="283"/>
        <v>0</v>
      </c>
      <c r="AD1066" s="112">
        <f t="shared" si="283"/>
        <v>0</v>
      </c>
      <c r="AE1066" s="112">
        <f t="shared" si="283"/>
        <v>0</v>
      </c>
      <c r="AF1066" s="112">
        <f t="shared" si="283"/>
        <v>0</v>
      </c>
      <c r="AG1066" s="112">
        <f t="shared" si="283"/>
        <v>0</v>
      </c>
      <c r="AH1066" s="112">
        <f t="shared" si="283"/>
        <v>0</v>
      </c>
      <c r="AI1066" s="112">
        <f t="shared" si="283"/>
        <v>0</v>
      </c>
      <c r="AJ1066" s="112">
        <f t="shared" si="283"/>
        <v>0</v>
      </c>
      <c r="AK1066" s="112">
        <f t="shared" si="283"/>
        <v>0</v>
      </c>
      <c r="AL1066" s="601" t="s">
        <v>432</v>
      </c>
      <c r="AM1066" s="137" t="s">
        <v>432</v>
      </c>
      <c r="AN1066" s="137" t="s">
        <v>432</v>
      </c>
      <c r="AO1066" s="137" t="s">
        <v>432</v>
      </c>
      <c r="AP1066" s="137" t="s">
        <v>432</v>
      </c>
      <c r="AQ1066" s="137" t="s">
        <v>432</v>
      </c>
      <c r="AR1066" s="137" t="s">
        <v>432</v>
      </c>
      <c r="AS1066" s="137" t="s">
        <v>432</v>
      </c>
      <c r="AT1066" s="137" t="s">
        <v>432</v>
      </c>
      <c r="AU1066" s="137" t="s">
        <v>432</v>
      </c>
      <c r="AV1066" s="137" t="s">
        <v>432</v>
      </c>
      <c r="AW1066" s="137" t="s">
        <v>432</v>
      </c>
      <c r="AX1066" s="137" t="s">
        <v>432</v>
      </c>
      <c r="AY1066" s="137" t="s">
        <v>432</v>
      </c>
      <c r="AZ1066" s="137" t="s">
        <v>432</v>
      </c>
      <c r="BA1066" s="137" t="s">
        <v>432</v>
      </c>
      <c r="BB1066" s="239" t="str">
        <f t="shared" si="274"/>
        <v>F tcs pb (%)Belo Horizonte</v>
      </c>
      <c r="BC1066" s="239" t="str">
        <f t="shared" si="275"/>
        <v>F tcs pb (%)Belo Horizontex</v>
      </c>
      <c r="BD1066" s="239" t="str">
        <f t="shared" si="276"/>
        <v>F tcs pb (%)x</v>
      </c>
    </row>
    <row r="1067" spans="1:56" ht="54.75" customHeight="1" x14ac:dyDescent="0.25">
      <c r="A1067" s="413" t="str">
        <f>'Q100b-totais'!B62</f>
        <v>8.10</v>
      </c>
      <c r="B1067" s="1205" t="str">
        <f>'Q100b-totais'!C62</f>
        <v>Sistema de transporte coletivo com um todo</v>
      </c>
      <c r="C1067" s="57" t="s">
        <v>743</v>
      </c>
      <c r="D1067" s="324" t="str">
        <f>'Q100e-FrotaOnibus'!AQ37</f>
        <v>F tc pb (n.º)</v>
      </c>
      <c r="E1067" s="254" t="str">
        <f>'Q100e-FrotaOnibus'!AR37</f>
        <v>São Paulo</v>
      </c>
      <c r="F1067" s="252" t="str">
        <f>'Q100e-FrotaOnibus'!AS37</f>
        <v>frota em n.º de ônibus de piso baixo do transporte coletivo (estrutural e local) da cidade de São Paulo gerenciado pela SPTrans</v>
      </c>
      <c r="G1067" s="111" t="str">
        <f>'Q100e-FrotaOnibus'!AT37</f>
        <v>F tce pb + F tcl pb</v>
      </c>
      <c r="H1067" s="173" t="s">
        <v>819</v>
      </c>
      <c r="I1067" s="167" t="s">
        <v>432</v>
      </c>
      <c r="J1067" s="107" t="s">
        <v>3974</v>
      </c>
      <c r="K1067" s="107" t="s">
        <v>3974</v>
      </c>
      <c r="L1067" s="107" t="s">
        <v>3974</v>
      </c>
      <c r="M1067" s="107" t="s">
        <v>3974</v>
      </c>
      <c r="N1067" s="107" t="s">
        <v>3974</v>
      </c>
      <c r="O1067" s="107" t="s">
        <v>3974</v>
      </c>
      <c r="P1067" s="107" t="s">
        <v>3974</v>
      </c>
      <c r="Q1067" s="107" t="s">
        <v>3974</v>
      </c>
      <c r="R1067" s="107" t="s">
        <v>3974</v>
      </c>
      <c r="S1067" s="109" t="s">
        <v>2209</v>
      </c>
      <c r="T1067" s="107" t="s">
        <v>3974</v>
      </c>
      <c r="U1067" s="107" t="s">
        <v>3974</v>
      </c>
      <c r="V1067" s="109" t="s">
        <v>2209</v>
      </c>
      <c r="W1067" s="107" t="s">
        <v>3974</v>
      </c>
      <c r="X1067" s="107" t="s">
        <v>3974</v>
      </c>
      <c r="Y1067" s="107" t="s">
        <v>2082</v>
      </c>
      <c r="Z1067" s="107" t="s">
        <v>2082</v>
      </c>
      <c r="AA1067" s="107" t="s">
        <v>2082</v>
      </c>
      <c r="AB1067" s="107" t="s">
        <v>2082</v>
      </c>
      <c r="AC1067" s="107" t="s">
        <v>2082</v>
      </c>
      <c r="AD1067" s="107" t="s">
        <v>2082</v>
      </c>
      <c r="AE1067" s="107" t="s">
        <v>2082</v>
      </c>
      <c r="AF1067" s="107" t="s">
        <v>2082</v>
      </c>
      <c r="AG1067" s="107" t="s">
        <v>2082</v>
      </c>
      <c r="AH1067" s="107" t="s">
        <v>2082</v>
      </c>
      <c r="AI1067" s="107" t="s">
        <v>2082</v>
      </c>
      <c r="AJ1067" s="107" t="s">
        <v>2082</v>
      </c>
      <c r="AK1067" s="20">
        <f>AK1069+AK1071</f>
        <v>7359</v>
      </c>
      <c r="AL1067" s="601" t="s">
        <v>432</v>
      </c>
      <c r="AM1067" s="137" t="s">
        <v>432</v>
      </c>
      <c r="AN1067" s="137" t="s">
        <v>432</v>
      </c>
      <c r="AO1067" s="137" t="s">
        <v>432</v>
      </c>
      <c r="AP1067" s="137" t="s">
        <v>432</v>
      </c>
      <c r="AQ1067" s="137" t="s">
        <v>432</v>
      </c>
      <c r="AR1067" s="137" t="s">
        <v>432</v>
      </c>
      <c r="AS1067" s="137" t="s">
        <v>432</v>
      </c>
      <c r="AT1067" s="137" t="s">
        <v>432</v>
      </c>
      <c r="AU1067" s="137" t="s">
        <v>432</v>
      </c>
      <c r="AV1067" s="137" t="s">
        <v>432</v>
      </c>
      <c r="AW1067" s="137" t="s">
        <v>432</v>
      </c>
      <c r="AX1067" s="137" t="s">
        <v>432</v>
      </c>
      <c r="AY1067" s="137" t="s">
        <v>432</v>
      </c>
      <c r="AZ1067" s="137" t="s">
        <v>432</v>
      </c>
      <c r="BA1067" s="137" t="s">
        <v>432</v>
      </c>
      <c r="BB1067" s="239" t="str">
        <f t="shared" ref="BB1067:BB1072" si="284">D1067&amp;E1067</f>
        <v>F tc pb (n.º)São Paulo</v>
      </c>
      <c r="BC1067" s="239" t="str">
        <f t="shared" ref="BC1067:BC1072" si="285">D1067&amp;E1067&amp;H1067</f>
        <v>F tc pb (n.º)São Paulobenchmarking</v>
      </c>
      <c r="BD1067" s="239" t="str">
        <f t="shared" ref="BD1067:BD1072" si="286">D1067&amp;H1067</f>
        <v>F tc pb (n.º)benchmarking</v>
      </c>
    </row>
    <row r="1068" spans="1:56" s="105" customFormat="1" ht="58.5" customHeight="1" x14ac:dyDescent="0.25">
      <c r="A1068" s="413" t="str">
        <f>'Q100b-totais'!B62</f>
        <v>8.10</v>
      </c>
      <c r="B1068" s="1205" t="str">
        <f>'Q100b-totais'!C62</f>
        <v>Sistema de transporte coletivo com um todo</v>
      </c>
      <c r="C1068" s="57" t="s">
        <v>743</v>
      </c>
      <c r="D1068" s="324" t="str">
        <f>'Q100e-FrotaOnibus'!AQ38</f>
        <v>F tc pb (%)</v>
      </c>
      <c r="E1068" s="254" t="str">
        <f>'Q100e-FrotaOnibus'!AR38</f>
        <v>São Paulo</v>
      </c>
      <c r="F1068" s="252" t="str">
        <f>'Q100e-FrotaOnibus'!AS38</f>
        <v>percentual da frota de ônibus de piso baixo do transporte coletivo (estrutural e local) da cidade de São Paulo gerenciado pela SPTrans</v>
      </c>
      <c r="G1068" s="111" t="str">
        <f>'Q100e-FrotaOnibus'!AT38</f>
        <v>(F tc pb (n.º) / F tc (n.º)) x 100</v>
      </c>
      <c r="H1068" s="173" t="s">
        <v>819</v>
      </c>
      <c r="I1068" s="167" t="s">
        <v>432</v>
      </c>
      <c r="J1068" s="107" t="s">
        <v>3974</v>
      </c>
      <c r="K1068" s="107" t="s">
        <v>3974</v>
      </c>
      <c r="L1068" s="107" t="s">
        <v>3974</v>
      </c>
      <c r="M1068" s="107" t="s">
        <v>3974</v>
      </c>
      <c r="N1068" s="107" t="s">
        <v>3974</v>
      </c>
      <c r="O1068" s="107" t="s">
        <v>3974</v>
      </c>
      <c r="P1068" s="107" t="s">
        <v>3974</v>
      </c>
      <c r="Q1068" s="107" t="s">
        <v>3974</v>
      </c>
      <c r="R1068" s="107" t="s">
        <v>3974</v>
      </c>
      <c r="S1068" s="109" t="s">
        <v>2209</v>
      </c>
      <c r="T1068" s="107" t="s">
        <v>3974</v>
      </c>
      <c r="U1068" s="107" t="s">
        <v>3974</v>
      </c>
      <c r="V1068" s="109" t="s">
        <v>2209</v>
      </c>
      <c r="W1068" s="107" t="s">
        <v>3974</v>
      </c>
      <c r="X1068" s="107" t="s">
        <v>3974</v>
      </c>
      <c r="Y1068" s="107" t="s">
        <v>2082</v>
      </c>
      <c r="Z1068" s="107" t="s">
        <v>2082</v>
      </c>
      <c r="AA1068" s="107" t="s">
        <v>2082</v>
      </c>
      <c r="AB1068" s="107" t="s">
        <v>2082</v>
      </c>
      <c r="AC1068" s="107" t="s">
        <v>2082</v>
      </c>
      <c r="AD1068" s="107" t="s">
        <v>2082</v>
      </c>
      <c r="AE1068" s="107" t="s">
        <v>2082</v>
      </c>
      <c r="AF1068" s="107" t="s">
        <v>2082</v>
      </c>
      <c r="AG1068" s="107" t="s">
        <v>2082</v>
      </c>
      <c r="AH1068" s="107" t="s">
        <v>2082</v>
      </c>
      <c r="AI1068" s="107" t="s">
        <v>2082</v>
      </c>
      <c r="AJ1068" s="107" t="s">
        <v>2082</v>
      </c>
      <c r="AK1068" s="47">
        <f>AK1067/AK883</f>
        <v>0.49972837158766809</v>
      </c>
      <c r="AL1068" s="601" t="s">
        <v>432</v>
      </c>
      <c r="AM1068" s="137" t="s">
        <v>432</v>
      </c>
      <c r="AN1068" s="137" t="s">
        <v>432</v>
      </c>
      <c r="AO1068" s="137" t="s">
        <v>432</v>
      </c>
      <c r="AP1068" s="137" t="s">
        <v>432</v>
      </c>
      <c r="AQ1068" s="137" t="s">
        <v>432</v>
      </c>
      <c r="AR1068" s="137" t="s">
        <v>432</v>
      </c>
      <c r="AS1068" s="137" t="s">
        <v>432</v>
      </c>
      <c r="AT1068" s="137" t="s">
        <v>432</v>
      </c>
      <c r="AU1068" s="137" t="s">
        <v>432</v>
      </c>
      <c r="AV1068" s="137" t="s">
        <v>432</v>
      </c>
      <c r="AW1068" s="137" t="s">
        <v>432</v>
      </c>
      <c r="AX1068" s="137" t="s">
        <v>432</v>
      </c>
      <c r="AY1068" s="137" t="s">
        <v>432</v>
      </c>
      <c r="AZ1068" s="137" t="s">
        <v>432</v>
      </c>
      <c r="BA1068" s="137" t="s">
        <v>432</v>
      </c>
      <c r="BB1068" s="239" t="str">
        <f t="shared" si="284"/>
        <v>F tc pb (%)São Paulo</v>
      </c>
      <c r="BC1068" s="239" t="str">
        <f t="shared" si="285"/>
        <v>F tc pb (%)São Paulobenchmarking</v>
      </c>
      <c r="BD1068" s="239" t="str">
        <f t="shared" si="286"/>
        <v>F tc pb (%)benchmarking</v>
      </c>
    </row>
    <row r="1069" spans="1:56" s="105" customFormat="1" ht="60" customHeight="1" x14ac:dyDescent="0.25">
      <c r="A1069" s="413" t="str">
        <f>'Q100b-totais'!B62</f>
        <v>8.10</v>
      </c>
      <c r="B1069" s="1205" t="str">
        <f>'Q100b-totais'!C62</f>
        <v>Sistema de transporte coletivo com um todo</v>
      </c>
      <c r="C1069" s="57" t="s">
        <v>743</v>
      </c>
      <c r="D1069" s="325" t="str">
        <f>'Q100e-FrotaOnibus'!AI37</f>
        <v>F tce pb (n.º)</v>
      </c>
      <c r="E1069" s="1445" t="str">
        <f>'Q100e-FrotaOnibus'!AJ37</f>
        <v>São Paulo</v>
      </c>
      <c r="F1069" s="252" t="str">
        <f>'Q100e-FrotaOnibus'!AK37</f>
        <v>frota em n.º de ônibus de piso baixo do transporte coletivo estrutural da cidade de São Paulo gerenciado pela SPTrans
obs.: resultado de 2015 relativo a 15/07/2016 conforme SP(2016g1)</v>
      </c>
      <c r="G1069" s="110" t="str">
        <f>'Q100e-FrotaOnibus'!AL37</f>
        <v>registro na fonte</v>
      </c>
      <c r="H1069" s="173" t="s">
        <v>819</v>
      </c>
      <c r="I1069" s="167" t="s">
        <v>432</v>
      </c>
      <c r="J1069" s="107" t="s">
        <v>3974</v>
      </c>
      <c r="K1069" s="107" t="s">
        <v>3974</v>
      </c>
      <c r="L1069" s="107" t="s">
        <v>3974</v>
      </c>
      <c r="M1069" s="107" t="s">
        <v>3974</v>
      </c>
      <c r="N1069" s="107" t="s">
        <v>3974</v>
      </c>
      <c r="O1069" s="107" t="s">
        <v>3974</v>
      </c>
      <c r="P1069" s="107" t="s">
        <v>3974</v>
      </c>
      <c r="Q1069" s="107" t="s">
        <v>3974</v>
      </c>
      <c r="R1069" s="107" t="s">
        <v>3974</v>
      </c>
      <c r="S1069" s="109" t="s">
        <v>2209</v>
      </c>
      <c r="T1069" s="107" t="s">
        <v>3974</v>
      </c>
      <c r="U1069" s="107" t="s">
        <v>3974</v>
      </c>
      <c r="V1069" s="109" t="s">
        <v>2209</v>
      </c>
      <c r="W1069" s="107" t="s">
        <v>3974</v>
      </c>
      <c r="X1069" s="107" t="s">
        <v>3974</v>
      </c>
      <c r="Y1069" s="107" t="s">
        <v>2082</v>
      </c>
      <c r="Z1069" s="107" t="s">
        <v>2082</v>
      </c>
      <c r="AA1069" s="107" t="s">
        <v>2082</v>
      </c>
      <c r="AB1069" s="107" t="s">
        <v>2082</v>
      </c>
      <c r="AC1069" s="107" t="s">
        <v>2082</v>
      </c>
      <c r="AD1069" s="107" t="s">
        <v>2082</v>
      </c>
      <c r="AE1069" s="107" t="s">
        <v>2082</v>
      </c>
      <c r="AF1069" s="107" t="s">
        <v>2082</v>
      </c>
      <c r="AG1069" s="107" t="s">
        <v>2082</v>
      </c>
      <c r="AH1069" s="107" t="s">
        <v>2082</v>
      </c>
      <c r="AI1069" s="107" t="s">
        <v>2082</v>
      </c>
      <c r="AJ1069" s="107" t="s">
        <v>2082</v>
      </c>
      <c r="AK1069" s="87">
        <v>7359</v>
      </c>
      <c r="AL1069" s="601" t="s">
        <v>432</v>
      </c>
      <c r="AM1069" s="137" t="s">
        <v>432</v>
      </c>
      <c r="AN1069" s="137" t="s">
        <v>432</v>
      </c>
      <c r="AO1069" s="137" t="s">
        <v>432</v>
      </c>
      <c r="AP1069" s="137" t="s">
        <v>432</v>
      </c>
      <c r="AQ1069" s="137" t="s">
        <v>432</v>
      </c>
      <c r="AR1069" s="137" t="s">
        <v>432</v>
      </c>
      <c r="AS1069" s="137" t="s">
        <v>432</v>
      </c>
      <c r="AT1069" s="137" t="s">
        <v>432</v>
      </c>
      <c r="AU1069" s="137" t="s">
        <v>432</v>
      </c>
      <c r="AV1069" s="137" t="s">
        <v>432</v>
      </c>
      <c r="AW1069" s="137" t="s">
        <v>432</v>
      </c>
      <c r="AX1069" s="137" t="s">
        <v>432</v>
      </c>
      <c r="AY1069" s="137" t="s">
        <v>432</v>
      </c>
      <c r="AZ1069" s="137" t="s">
        <v>432</v>
      </c>
      <c r="BA1069" s="137" t="s">
        <v>432</v>
      </c>
      <c r="BB1069" s="239" t="str">
        <f t="shared" si="284"/>
        <v>F tce pb (n.º)São Paulo</v>
      </c>
      <c r="BC1069" s="239" t="str">
        <f t="shared" si="285"/>
        <v>F tce pb (n.º)São Paulobenchmarking</v>
      </c>
      <c r="BD1069" s="239" t="str">
        <f t="shared" si="286"/>
        <v>F tce pb (n.º)benchmarking</v>
      </c>
    </row>
    <row r="1070" spans="1:56" s="105" customFormat="1" ht="57.75" customHeight="1" x14ac:dyDescent="0.25">
      <c r="A1070" s="413" t="str">
        <f>'Q100b-totais'!B62</f>
        <v>8.10</v>
      </c>
      <c r="B1070" s="1205" t="str">
        <f>'Q100b-totais'!C62</f>
        <v>Sistema de transporte coletivo com um todo</v>
      </c>
      <c r="C1070" s="57" t="s">
        <v>743</v>
      </c>
      <c r="D1070" s="325" t="str">
        <f>'Q100e-FrotaOnibus'!AI38</f>
        <v>F tce pb (%)</v>
      </c>
      <c r="E1070" s="1445" t="str">
        <f>'Q100e-FrotaOnibus'!AJ38</f>
        <v>São Paulo</v>
      </c>
      <c r="F1070" s="252" t="str">
        <f>'Q100e-FrotaOnibus'!AK38</f>
        <v>percentual da frota de ônibus de piso baixo do transporte coletivo estrutural da cidade de São Paulo gerenciado pela SPTrans</v>
      </c>
      <c r="G1070" s="111" t="str">
        <f>'Q100e-FrotaOnibus'!AL38</f>
        <v>(F tce pb (n.º) / F tce (n.º)) x 100</v>
      </c>
      <c r="H1070" s="173" t="s">
        <v>819</v>
      </c>
      <c r="I1070" s="167" t="s">
        <v>432</v>
      </c>
      <c r="J1070" s="107" t="s">
        <v>3974</v>
      </c>
      <c r="K1070" s="107" t="s">
        <v>3974</v>
      </c>
      <c r="L1070" s="107" t="s">
        <v>3974</v>
      </c>
      <c r="M1070" s="107" t="s">
        <v>3974</v>
      </c>
      <c r="N1070" s="107" t="s">
        <v>3974</v>
      </c>
      <c r="O1070" s="107" t="s">
        <v>3974</v>
      </c>
      <c r="P1070" s="107" t="s">
        <v>3974</v>
      </c>
      <c r="Q1070" s="107" t="s">
        <v>3974</v>
      </c>
      <c r="R1070" s="107" t="s">
        <v>3974</v>
      </c>
      <c r="S1070" s="109" t="s">
        <v>2209</v>
      </c>
      <c r="T1070" s="107" t="s">
        <v>3974</v>
      </c>
      <c r="U1070" s="107" t="s">
        <v>3974</v>
      </c>
      <c r="V1070" s="109" t="s">
        <v>2209</v>
      </c>
      <c r="W1070" s="107" t="s">
        <v>3974</v>
      </c>
      <c r="X1070" s="107" t="s">
        <v>3974</v>
      </c>
      <c r="Y1070" s="107" t="s">
        <v>2082</v>
      </c>
      <c r="Z1070" s="107" t="s">
        <v>2082</v>
      </c>
      <c r="AA1070" s="107" t="s">
        <v>2082</v>
      </c>
      <c r="AB1070" s="107" t="s">
        <v>2082</v>
      </c>
      <c r="AC1070" s="107" t="s">
        <v>2082</v>
      </c>
      <c r="AD1070" s="107" t="s">
        <v>2082</v>
      </c>
      <c r="AE1070" s="107" t="s">
        <v>2082</v>
      </c>
      <c r="AF1070" s="107" t="s">
        <v>2082</v>
      </c>
      <c r="AG1070" s="107" t="s">
        <v>2082</v>
      </c>
      <c r="AH1070" s="107" t="s">
        <v>2082</v>
      </c>
      <c r="AI1070" s="107" t="s">
        <v>2082</v>
      </c>
      <c r="AJ1070" s="107" t="s">
        <v>2082</v>
      </c>
      <c r="AK1070" s="47">
        <f>AK1069/AK884</f>
        <v>0.8345429802676344</v>
      </c>
      <c r="AL1070" s="601" t="s">
        <v>432</v>
      </c>
      <c r="AM1070" s="137" t="s">
        <v>432</v>
      </c>
      <c r="AN1070" s="137" t="s">
        <v>432</v>
      </c>
      <c r="AO1070" s="137" t="s">
        <v>432</v>
      </c>
      <c r="AP1070" s="137" t="s">
        <v>432</v>
      </c>
      <c r="AQ1070" s="137" t="s">
        <v>432</v>
      </c>
      <c r="AR1070" s="137" t="s">
        <v>432</v>
      </c>
      <c r="AS1070" s="137" t="s">
        <v>432</v>
      </c>
      <c r="AT1070" s="137" t="s">
        <v>432</v>
      </c>
      <c r="AU1070" s="137" t="s">
        <v>432</v>
      </c>
      <c r="AV1070" s="137" t="s">
        <v>432</v>
      </c>
      <c r="AW1070" s="137" t="s">
        <v>432</v>
      </c>
      <c r="AX1070" s="137" t="s">
        <v>432</v>
      </c>
      <c r="AY1070" s="137" t="s">
        <v>432</v>
      </c>
      <c r="AZ1070" s="137" t="s">
        <v>432</v>
      </c>
      <c r="BA1070" s="137" t="s">
        <v>432</v>
      </c>
      <c r="BB1070" s="239" t="str">
        <f t="shared" si="284"/>
        <v>F tce pb (%)São Paulo</v>
      </c>
      <c r="BC1070" s="239" t="str">
        <f t="shared" si="285"/>
        <v>F tce pb (%)São Paulobenchmarking</v>
      </c>
      <c r="BD1070" s="239" t="str">
        <f t="shared" si="286"/>
        <v>F tce pb (%)benchmarking</v>
      </c>
    </row>
    <row r="1071" spans="1:56" s="105" customFormat="1" ht="56.25" customHeight="1" x14ac:dyDescent="0.25">
      <c r="A1071" s="413" t="str">
        <f>'Q100b-totais'!B62</f>
        <v>8.10</v>
      </c>
      <c r="B1071" s="1205" t="str">
        <f>'Q100b-totais'!C62</f>
        <v>Sistema de transporte coletivo com um todo</v>
      </c>
      <c r="C1071" s="57" t="s">
        <v>743</v>
      </c>
      <c r="D1071" s="325" t="str">
        <f>'Q100e-FrotaOnibus'!AM37</f>
        <v>F tcl pb (n.º)</v>
      </c>
      <c r="E1071" s="1445" t="str">
        <f>'Q100e-FrotaOnibus'!AN37</f>
        <v>São Paulo</v>
      </c>
      <c r="F1071" s="252" t="str">
        <f>'Q100e-FrotaOnibus'!AO37</f>
        <v>frota em n.º de ônibus de piso baixo do transporte coletivo estrutural da cidade de São Paulo gerenciado pela SPTrans
obs.: em 2015 não há ônibus de piso baixo neste subsistema conforme SP(2016g2)</v>
      </c>
      <c r="G1071" s="110" t="str">
        <f>'Q100e-FrotaOnibus'!AP37</f>
        <v>registro na fonte</v>
      </c>
      <c r="H1071" s="173" t="s">
        <v>819</v>
      </c>
      <c r="I1071" s="167" t="s">
        <v>432</v>
      </c>
      <c r="J1071" s="107" t="s">
        <v>3974</v>
      </c>
      <c r="K1071" s="107" t="s">
        <v>3974</v>
      </c>
      <c r="L1071" s="107" t="s">
        <v>3974</v>
      </c>
      <c r="M1071" s="107" t="s">
        <v>3974</v>
      </c>
      <c r="N1071" s="107" t="s">
        <v>3974</v>
      </c>
      <c r="O1071" s="107" t="s">
        <v>3974</v>
      </c>
      <c r="P1071" s="107" t="s">
        <v>3974</v>
      </c>
      <c r="Q1071" s="107" t="s">
        <v>3974</v>
      </c>
      <c r="R1071" s="107" t="s">
        <v>3974</v>
      </c>
      <c r="S1071" s="109" t="s">
        <v>2209</v>
      </c>
      <c r="T1071" s="107" t="s">
        <v>3974</v>
      </c>
      <c r="U1071" s="107" t="s">
        <v>3974</v>
      </c>
      <c r="V1071" s="109" t="s">
        <v>2209</v>
      </c>
      <c r="W1071" s="107" t="s">
        <v>3974</v>
      </c>
      <c r="X1071" s="107" t="s">
        <v>3974</v>
      </c>
      <c r="Y1071" s="107" t="s">
        <v>2082</v>
      </c>
      <c r="Z1071" s="107" t="s">
        <v>2082</v>
      </c>
      <c r="AA1071" s="107" t="s">
        <v>2082</v>
      </c>
      <c r="AB1071" s="107" t="s">
        <v>2082</v>
      </c>
      <c r="AC1071" s="107" t="s">
        <v>2082</v>
      </c>
      <c r="AD1071" s="107" t="s">
        <v>2082</v>
      </c>
      <c r="AE1071" s="107" t="s">
        <v>2082</v>
      </c>
      <c r="AF1071" s="107" t="s">
        <v>2082</v>
      </c>
      <c r="AG1071" s="107" t="s">
        <v>2082</v>
      </c>
      <c r="AH1071" s="107" t="s">
        <v>2082</v>
      </c>
      <c r="AI1071" s="107" t="s">
        <v>2082</v>
      </c>
      <c r="AJ1071" s="107" t="s">
        <v>2082</v>
      </c>
      <c r="AK1071" s="87">
        <v>0</v>
      </c>
      <c r="AL1071" s="601" t="s">
        <v>432</v>
      </c>
      <c r="AM1071" s="137" t="s">
        <v>432</v>
      </c>
      <c r="AN1071" s="137" t="s">
        <v>432</v>
      </c>
      <c r="AO1071" s="137" t="s">
        <v>432</v>
      </c>
      <c r="AP1071" s="137" t="s">
        <v>432</v>
      </c>
      <c r="AQ1071" s="137" t="s">
        <v>432</v>
      </c>
      <c r="AR1071" s="137" t="s">
        <v>432</v>
      </c>
      <c r="AS1071" s="137" t="s">
        <v>432</v>
      </c>
      <c r="AT1071" s="137" t="s">
        <v>432</v>
      </c>
      <c r="AU1071" s="137" t="s">
        <v>432</v>
      </c>
      <c r="AV1071" s="137" t="s">
        <v>432</v>
      </c>
      <c r="AW1071" s="137" t="s">
        <v>432</v>
      </c>
      <c r="AX1071" s="137" t="s">
        <v>432</v>
      </c>
      <c r="AY1071" s="137" t="s">
        <v>432</v>
      </c>
      <c r="AZ1071" s="137" t="s">
        <v>432</v>
      </c>
      <c r="BA1071" s="137" t="s">
        <v>432</v>
      </c>
      <c r="BB1071" s="239" t="str">
        <f t="shared" si="284"/>
        <v>F tcl pb (n.º)São Paulo</v>
      </c>
      <c r="BC1071" s="239" t="str">
        <f t="shared" si="285"/>
        <v>F tcl pb (n.º)São Paulobenchmarking</v>
      </c>
      <c r="BD1071" s="239" t="str">
        <f t="shared" si="286"/>
        <v>F tcl pb (n.º)benchmarking</v>
      </c>
    </row>
    <row r="1072" spans="1:56" s="105" customFormat="1" ht="57.75" customHeight="1" x14ac:dyDescent="0.25">
      <c r="A1072" s="413" t="str">
        <f>'Q100b-totais'!B62</f>
        <v>8.10</v>
      </c>
      <c r="B1072" s="1205" t="str">
        <f>'Q100b-totais'!C62</f>
        <v>Sistema de transporte coletivo com um todo</v>
      </c>
      <c r="C1072" s="57" t="s">
        <v>743</v>
      </c>
      <c r="D1072" s="325" t="str">
        <f>'Q100e-FrotaOnibus'!AM38</f>
        <v>F tcl pb (%)</v>
      </c>
      <c r="E1072" s="1445" t="str">
        <f>'Q100e-FrotaOnibus'!AN38</f>
        <v>São Paulo</v>
      </c>
      <c r="F1072" s="252" t="str">
        <f>'Q100e-FrotaOnibus'!AO38</f>
        <v>percentual da frota de ônibus de piso baixo do transporte coletivo local da cidade de São Paulo gerenciado pela SPTrans</v>
      </c>
      <c r="G1072" s="111" t="str">
        <f>'Q100e-FrotaOnibus'!AP38</f>
        <v>(F tcl pb (n.º) / F tcl (n.º)) x 100</v>
      </c>
      <c r="H1072" s="173" t="s">
        <v>819</v>
      </c>
      <c r="I1072" s="167" t="s">
        <v>432</v>
      </c>
      <c r="J1072" s="107" t="s">
        <v>3974</v>
      </c>
      <c r="K1072" s="107" t="s">
        <v>3974</v>
      </c>
      <c r="L1072" s="107" t="s">
        <v>3974</v>
      </c>
      <c r="M1072" s="107" t="s">
        <v>3974</v>
      </c>
      <c r="N1072" s="107" t="s">
        <v>3974</v>
      </c>
      <c r="O1072" s="107" t="s">
        <v>3974</v>
      </c>
      <c r="P1072" s="107" t="s">
        <v>3974</v>
      </c>
      <c r="Q1072" s="107" t="s">
        <v>3974</v>
      </c>
      <c r="R1072" s="107" t="s">
        <v>3974</v>
      </c>
      <c r="S1072" s="109" t="s">
        <v>2209</v>
      </c>
      <c r="T1072" s="107" t="s">
        <v>3974</v>
      </c>
      <c r="U1072" s="107" t="s">
        <v>3974</v>
      </c>
      <c r="V1072" s="109" t="s">
        <v>2209</v>
      </c>
      <c r="W1072" s="107" t="s">
        <v>3974</v>
      </c>
      <c r="X1072" s="107" t="s">
        <v>3974</v>
      </c>
      <c r="Y1072" s="107" t="s">
        <v>2082</v>
      </c>
      <c r="Z1072" s="107" t="s">
        <v>2082</v>
      </c>
      <c r="AA1072" s="107" t="s">
        <v>2082</v>
      </c>
      <c r="AB1072" s="107" t="s">
        <v>2082</v>
      </c>
      <c r="AC1072" s="107" t="s">
        <v>2082</v>
      </c>
      <c r="AD1072" s="107" t="s">
        <v>2082</v>
      </c>
      <c r="AE1072" s="107" t="s">
        <v>2082</v>
      </c>
      <c r="AF1072" s="107" t="s">
        <v>2082</v>
      </c>
      <c r="AG1072" s="107" t="s">
        <v>2082</v>
      </c>
      <c r="AH1072" s="107" t="s">
        <v>2082</v>
      </c>
      <c r="AI1072" s="107" t="s">
        <v>2082</v>
      </c>
      <c r="AJ1072" s="107" t="s">
        <v>2082</v>
      </c>
      <c r="AK1072" s="47">
        <f>AK1071/AK885</f>
        <v>0</v>
      </c>
      <c r="AL1072" s="601" t="s">
        <v>432</v>
      </c>
      <c r="AM1072" s="137" t="s">
        <v>432</v>
      </c>
      <c r="AN1072" s="137" t="s">
        <v>432</v>
      </c>
      <c r="AO1072" s="137" t="s">
        <v>432</v>
      </c>
      <c r="AP1072" s="137" t="s">
        <v>432</v>
      </c>
      <c r="AQ1072" s="137" t="s">
        <v>432</v>
      </c>
      <c r="AR1072" s="137" t="s">
        <v>432</v>
      </c>
      <c r="AS1072" s="137" t="s">
        <v>432</v>
      </c>
      <c r="AT1072" s="137" t="s">
        <v>432</v>
      </c>
      <c r="AU1072" s="137" t="s">
        <v>432</v>
      </c>
      <c r="AV1072" s="137" t="s">
        <v>432</v>
      </c>
      <c r="AW1072" s="137" t="s">
        <v>432</v>
      </c>
      <c r="AX1072" s="137" t="s">
        <v>432</v>
      </c>
      <c r="AY1072" s="137" t="s">
        <v>432</v>
      </c>
      <c r="AZ1072" s="137" t="s">
        <v>432</v>
      </c>
      <c r="BA1072" s="137" t="s">
        <v>432</v>
      </c>
      <c r="BB1072" s="239" t="str">
        <f t="shared" si="284"/>
        <v>F tcl pb (%)São Paulo</v>
      </c>
      <c r="BC1072" s="239" t="str">
        <f t="shared" si="285"/>
        <v>F tcl pb (%)São Paulobenchmarking</v>
      </c>
      <c r="BD1072" s="239" t="str">
        <f t="shared" si="286"/>
        <v>F tcl pb (%)benchmarking</v>
      </c>
    </row>
    <row r="1073" spans="1:57" s="373" customFormat="1" x14ac:dyDescent="0.25">
      <c r="A1073" s="221"/>
      <c r="B1073" s="221"/>
      <c r="C1073" s="221"/>
      <c r="D1073" s="221"/>
      <c r="E1073" s="1493"/>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row>
    <row r="1074" spans="1:57" s="373" customFormat="1" ht="51" x14ac:dyDescent="0.25">
      <c r="A1074" s="413" t="str">
        <f>'Q100b-totais'!B62</f>
        <v>8.10</v>
      </c>
      <c r="B1074" s="1205" t="str">
        <f>'Q100b-totais'!C62</f>
        <v>Sistema de transporte coletivo com um todo</v>
      </c>
      <c r="C1074" s="57" t="s">
        <v>743</v>
      </c>
      <c r="D1074" s="325" t="str">
        <f>'Q100e-FrotaOnibus'!O37</f>
        <v>F tc pb (n.º)</v>
      </c>
      <c r="E1074" s="1498" t="str">
        <f>'Q100e-FrotaOnibus'!P37</f>
        <v>Contagem</v>
      </c>
      <c r="F1074" s="252" t="str">
        <f>'Q100e-FrotaOnibus'!Q37</f>
        <v>frota em n.º de ônibus de piso baixo no transporet coletivo de Contagem
obs.: até 2015 nunca houve ônibus de piso baixo no transporte coletivo de Contagem</v>
      </c>
      <c r="G1074" s="1007" t="str">
        <f>'Q100e-FrotaOnibus'!R37</f>
        <v>registro na fonte</v>
      </c>
      <c r="H1074" s="167" t="s">
        <v>432</v>
      </c>
      <c r="I1074" s="167">
        <v>1</v>
      </c>
      <c r="J1074" s="110">
        <v>0</v>
      </c>
      <c r="K1074" s="110">
        <v>0</v>
      </c>
      <c r="L1074" s="110">
        <v>0</v>
      </c>
      <c r="M1074" s="110">
        <v>0</v>
      </c>
      <c r="N1074" s="110">
        <v>0</v>
      </c>
      <c r="O1074" s="110">
        <v>0</v>
      </c>
      <c r="P1074" s="110">
        <v>0</v>
      </c>
      <c r="Q1074" s="110">
        <v>0</v>
      </c>
      <c r="R1074" s="110">
        <v>0</v>
      </c>
      <c r="S1074" s="109" t="s">
        <v>2209</v>
      </c>
      <c r="T1074" s="110">
        <v>0</v>
      </c>
      <c r="U1074" s="110">
        <v>0</v>
      </c>
      <c r="V1074" s="109" t="s">
        <v>2209</v>
      </c>
      <c r="W1074" s="110">
        <v>0</v>
      </c>
      <c r="X1074" s="110">
        <v>0</v>
      </c>
      <c r="Y1074" s="110">
        <v>0</v>
      </c>
      <c r="Z1074" s="110">
        <v>0</v>
      </c>
      <c r="AA1074" s="110">
        <v>0</v>
      </c>
      <c r="AB1074" s="110">
        <v>0</v>
      </c>
      <c r="AC1074" s="110">
        <v>0</v>
      </c>
      <c r="AD1074" s="110">
        <v>0</v>
      </c>
      <c r="AE1074" s="110">
        <v>0</v>
      </c>
      <c r="AF1074" s="110">
        <v>0</v>
      </c>
      <c r="AG1074" s="110">
        <v>0</v>
      </c>
      <c r="AH1074" s="110">
        <v>0</v>
      </c>
      <c r="AI1074" s="110">
        <v>0</v>
      </c>
      <c r="AJ1074" s="110">
        <v>0</v>
      </c>
      <c r="AK1074" s="110">
        <v>0</v>
      </c>
      <c r="AL1074" s="601" t="s">
        <v>432</v>
      </c>
      <c r="AM1074" s="137" t="s">
        <v>432</v>
      </c>
      <c r="AN1074" s="137" t="s">
        <v>432</v>
      </c>
      <c r="AO1074" s="137" t="s">
        <v>432</v>
      </c>
      <c r="AP1074" s="137" t="s">
        <v>432</v>
      </c>
      <c r="AQ1074" s="137" t="s">
        <v>432</v>
      </c>
      <c r="AR1074" s="137" t="s">
        <v>432</v>
      </c>
      <c r="AS1074" s="137" t="s">
        <v>432</v>
      </c>
      <c r="AT1074" s="137" t="s">
        <v>432</v>
      </c>
      <c r="AU1074" s="137" t="s">
        <v>432</v>
      </c>
      <c r="AV1074" s="137" t="s">
        <v>432</v>
      </c>
      <c r="AW1074" s="137" t="s">
        <v>432</v>
      </c>
      <c r="AX1074" s="137" t="s">
        <v>432</v>
      </c>
      <c r="AY1074" s="137" t="s">
        <v>432</v>
      </c>
      <c r="AZ1074" s="137" t="s">
        <v>432</v>
      </c>
      <c r="BA1074" s="137" t="s">
        <v>432</v>
      </c>
      <c r="BB1074" s="239" t="str">
        <f>D1074&amp;E1074</f>
        <v>F tc pb (n.º)Contagem</v>
      </c>
      <c r="BC1074" s="239" t="str">
        <f>D1074&amp;E1074&amp;H1074</f>
        <v>F tc pb (n.º)Contagemx</v>
      </c>
      <c r="BD1074" s="239" t="str">
        <f>D1074&amp;H1074</f>
        <v>F tc pb (n.º)x</v>
      </c>
    </row>
    <row r="1075" spans="1:57" s="373" customFormat="1" ht="51" x14ac:dyDescent="0.25">
      <c r="A1075" s="413" t="str">
        <f>'Q100b-totais'!B62</f>
        <v>8.10</v>
      </c>
      <c r="B1075" s="1205" t="str">
        <f>'Q100b-totais'!C62</f>
        <v>Sistema de transporte coletivo com um todo</v>
      </c>
      <c r="C1075" s="57" t="s">
        <v>743</v>
      </c>
      <c r="D1075" s="325" t="str">
        <f>'Q100e-FrotaOnibus'!O38</f>
        <v>F tc pb (%)</v>
      </c>
      <c r="E1075" s="1498" t="str">
        <f>'Q100e-FrotaOnibus'!P38</f>
        <v>Contagem</v>
      </c>
      <c r="F1075" s="252" t="str">
        <f>'Q100e-FrotaOnibus'!Q38</f>
        <v>percentual da frota de ônibus de piso baixo no transporte coletivo de Contagem</v>
      </c>
      <c r="G1075" s="58" t="str">
        <f>'Q100e-FrotaOnibus'!R38</f>
        <v>registro na fonte</v>
      </c>
      <c r="H1075" s="167" t="s">
        <v>432</v>
      </c>
      <c r="I1075" s="167">
        <v>1</v>
      </c>
      <c r="J1075" s="299">
        <v>0</v>
      </c>
      <c r="K1075" s="299">
        <v>0</v>
      </c>
      <c r="L1075" s="299">
        <v>0</v>
      </c>
      <c r="M1075" s="299">
        <v>0</v>
      </c>
      <c r="N1075" s="299">
        <v>0</v>
      </c>
      <c r="O1075" s="299">
        <v>0</v>
      </c>
      <c r="P1075" s="299">
        <v>0</v>
      </c>
      <c r="Q1075" s="299">
        <v>0</v>
      </c>
      <c r="R1075" s="299">
        <v>0</v>
      </c>
      <c r="S1075" s="109" t="s">
        <v>2209</v>
      </c>
      <c r="T1075" s="299">
        <v>0</v>
      </c>
      <c r="U1075" s="299">
        <v>0</v>
      </c>
      <c r="V1075" s="109" t="s">
        <v>2209</v>
      </c>
      <c r="W1075" s="299">
        <v>0</v>
      </c>
      <c r="X1075" s="299">
        <v>0</v>
      </c>
      <c r="Y1075" s="299">
        <v>0</v>
      </c>
      <c r="Z1075" s="299">
        <v>0</v>
      </c>
      <c r="AA1075" s="299">
        <v>0</v>
      </c>
      <c r="AB1075" s="299">
        <v>0</v>
      </c>
      <c r="AC1075" s="299">
        <v>0</v>
      </c>
      <c r="AD1075" s="299">
        <v>0</v>
      </c>
      <c r="AE1075" s="299">
        <v>0</v>
      </c>
      <c r="AF1075" s="299">
        <v>0</v>
      </c>
      <c r="AG1075" s="299">
        <v>0</v>
      </c>
      <c r="AH1075" s="299">
        <v>0</v>
      </c>
      <c r="AI1075" s="299">
        <v>0</v>
      </c>
      <c r="AJ1075" s="299">
        <v>0</v>
      </c>
      <c r="AK1075" s="1071">
        <v>0</v>
      </c>
      <c r="AL1075" s="601" t="s">
        <v>432</v>
      </c>
      <c r="AM1075" s="137" t="s">
        <v>432</v>
      </c>
      <c r="AN1075" s="137" t="s">
        <v>432</v>
      </c>
      <c r="AO1075" s="137" t="s">
        <v>432</v>
      </c>
      <c r="AP1075" s="137" t="s">
        <v>432</v>
      </c>
      <c r="AQ1075" s="137" t="s">
        <v>432</v>
      </c>
      <c r="AR1075" s="137" t="s">
        <v>432</v>
      </c>
      <c r="AS1075" s="137" t="s">
        <v>432</v>
      </c>
      <c r="AT1075" s="137" t="s">
        <v>432</v>
      </c>
      <c r="AU1075" s="137" t="s">
        <v>432</v>
      </c>
      <c r="AV1075" s="137" t="s">
        <v>432</v>
      </c>
      <c r="AW1075" s="137" t="s">
        <v>432</v>
      </c>
      <c r="AX1075" s="137" t="s">
        <v>432</v>
      </c>
      <c r="AY1075" s="137" t="s">
        <v>432</v>
      </c>
      <c r="AZ1075" s="137" t="s">
        <v>432</v>
      </c>
      <c r="BA1075" s="137" t="s">
        <v>432</v>
      </c>
      <c r="BB1075" s="239" t="str">
        <f>D1075&amp;E1075</f>
        <v>F tc pb (%)Contagem</v>
      </c>
      <c r="BC1075" s="239" t="str">
        <f>D1075&amp;E1075&amp;H1075</f>
        <v>F tc pb (%)Contagemx</v>
      </c>
      <c r="BD1075" s="239" t="str">
        <f>D1075&amp;H1075</f>
        <v>F tc pb (%)x</v>
      </c>
    </row>
    <row r="1076" spans="1:57" s="373" customFormat="1" ht="51" x14ac:dyDescent="0.25">
      <c r="A1076" s="413" t="str">
        <f>'Q100b-totais'!B62</f>
        <v>8.10</v>
      </c>
      <c r="B1076" s="1205" t="str">
        <f>'Q100b-totais'!C62</f>
        <v>Sistema de transporte coletivo com um todo</v>
      </c>
      <c r="C1076" s="57" t="s">
        <v>743</v>
      </c>
      <c r="D1076" s="325" t="str">
        <f>'Q100e-FrotaOnibus'!AE37</f>
        <v>F tc pb (n.º)</v>
      </c>
      <c r="E1076" s="1445" t="str">
        <f>'Q100e-FrotaOnibus'!AF37</f>
        <v>RMBH metropolitano</v>
      </c>
      <c r="F1076" s="252" t="str">
        <f>'Q100e-FrotaOnibus'!AG37</f>
        <v>frota em n.º de ônibus de piso baixo na RMBH do serviço de transporte coletivo gerenciado pela Setop-MG
obs.: em 2015 não existe ônibus de piso baixo no serviço de transporte coletivo gerenciado pela Setop-MG</v>
      </c>
      <c r="G1076" s="110" t="str">
        <f>'Q100e-FrotaOnibus'!AH37</f>
        <v>registro na fonte</v>
      </c>
      <c r="H1076" s="167" t="s">
        <v>432</v>
      </c>
      <c r="I1076" s="167">
        <v>1</v>
      </c>
      <c r="J1076" s="109" t="s">
        <v>2082</v>
      </c>
      <c r="K1076" s="109" t="s">
        <v>2082</v>
      </c>
      <c r="L1076" s="109" t="s">
        <v>2082</v>
      </c>
      <c r="M1076" s="109" t="s">
        <v>2082</v>
      </c>
      <c r="N1076" s="109" t="s">
        <v>2082</v>
      </c>
      <c r="O1076" s="109" t="s">
        <v>2082</v>
      </c>
      <c r="P1076" s="109" t="s">
        <v>2082</v>
      </c>
      <c r="Q1076" s="109" t="s">
        <v>2082</v>
      </c>
      <c r="R1076" s="109" t="s">
        <v>2082</v>
      </c>
      <c r="S1076" s="109" t="s">
        <v>2209</v>
      </c>
      <c r="T1076" s="109" t="s">
        <v>2082</v>
      </c>
      <c r="U1076" s="109" t="s">
        <v>2082</v>
      </c>
      <c r="V1076" s="109" t="s">
        <v>2209</v>
      </c>
      <c r="W1076" s="109" t="s">
        <v>2082</v>
      </c>
      <c r="X1076" s="109" t="s">
        <v>2082</v>
      </c>
      <c r="Y1076" s="109" t="s">
        <v>2082</v>
      </c>
      <c r="Z1076" s="109" t="s">
        <v>2082</v>
      </c>
      <c r="AA1076" s="109" t="s">
        <v>2082</v>
      </c>
      <c r="AB1076" s="109" t="s">
        <v>2082</v>
      </c>
      <c r="AC1076" s="109" t="s">
        <v>2082</v>
      </c>
      <c r="AD1076" s="109" t="s">
        <v>2082</v>
      </c>
      <c r="AE1076" s="109" t="s">
        <v>2082</v>
      </c>
      <c r="AF1076" s="109" t="s">
        <v>2082</v>
      </c>
      <c r="AG1076" s="109" t="s">
        <v>2082</v>
      </c>
      <c r="AH1076" s="109" t="s">
        <v>2082</v>
      </c>
      <c r="AI1076" s="109" t="s">
        <v>2082</v>
      </c>
      <c r="AJ1076" s="109" t="s">
        <v>2082</v>
      </c>
      <c r="AK1076" s="88">
        <v>0</v>
      </c>
      <c r="AL1076" s="601" t="s">
        <v>432</v>
      </c>
      <c r="AM1076" s="137" t="s">
        <v>432</v>
      </c>
      <c r="AN1076" s="137" t="s">
        <v>432</v>
      </c>
      <c r="AO1076" s="137" t="s">
        <v>432</v>
      </c>
      <c r="AP1076" s="137" t="s">
        <v>432</v>
      </c>
      <c r="AQ1076" s="137" t="s">
        <v>432</v>
      </c>
      <c r="AR1076" s="137" t="s">
        <v>432</v>
      </c>
      <c r="AS1076" s="137" t="s">
        <v>432</v>
      </c>
      <c r="AT1076" s="137" t="s">
        <v>432</v>
      </c>
      <c r="AU1076" s="137" t="s">
        <v>432</v>
      </c>
      <c r="AV1076" s="137" t="s">
        <v>432</v>
      </c>
      <c r="AW1076" s="137" t="s">
        <v>432</v>
      </c>
      <c r="AX1076" s="137" t="s">
        <v>432</v>
      </c>
      <c r="AY1076" s="137" t="s">
        <v>432</v>
      </c>
      <c r="AZ1076" s="137" t="s">
        <v>432</v>
      </c>
      <c r="BA1076" s="137" t="s">
        <v>432</v>
      </c>
      <c r="BB1076" s="239" t="str">
        <f>D1076&amp;E1076</f>
        <v>F tc pb (n.º)RMBH metropolitano</v>
      </c>
      <c r="BC1076" s="239" t="str">
        <f>D1076&amp;E1076&amp;H1076</f>
        <v>F tc pb (n.º)RMBH metropolitanox</v>
      </c>
      <c r="BD1076" s="239" t="str">
        <f>D1076&amp;H1076</f>
        <v>F tc pb (n.º)x</v>
      </c>
    </row>
    <row r="1077" spans="1:57" s="373" customFormat="1" ht="51" x14ac:dyDescent="0.25">
      <c r="A1077" s="413" t="str">
        <f>'Q100b-totais'!B62</f>
        <v>8.10</v>
      </c>
      <c r="B1077" s="1205" t="str">
        <f>'Q100b-totais'!C62</f>
        <v>Sistema de transporte coletivo com um todo</v>
      </c>
      <c r="C1077" s="57" t="s">
        <v>743</v>
      </c>
      <c r="D1077" s="325" t="str">
        <f>'Q100e-FrotaOnibus'!AE38</f>
        <v>F tc pb (%)</v>
      </c>
      <c r="E1077" s="1445" t="str">
        <f>'Q100e-FrotaOnibus'!AF38</f>
        <v>RMBH metropolitano</v>
      </c>
      <c r="F1077" s="252" t="str">
        <f>'Q100e-FrotaOnibus'!AG38</f>
        <v xml:space="preserve">percentual da frota de ônibus de piso baixo na RMBH do serviço gerenciado pela Setop-MG  </v>
      </c>
      <c r="G1077" s="111" t="str">
        <f>'Q100e-FrotaOnibus'!AH38</f>
        <v>(F tc pb / F tc) x 100</v>
      </c>
      <c r="H1077" s="167" t="s">
        <v>432</v>
      </c>
      <c r="I1077" s="167">
        <v>1</v>
      </c>
      <c r="J1077" s="109" t="s">
        <v>2082</v>
      </c>
      <c r="K1077" s="109" t="s">
        <v>2082</v>
      </c>
      <c r="L1077" s="109" t="s">
        <v>2082</v>
      </c>
      <c r="M1077" s="109" t="s">
        <v>2082</v>
      </c>
      <c r="N1077" s="109" t="s">
        <v>2082</v>
      </c>
      <c r="O1077" s="109" t="s">
        <v>2082</v>
      </c>
      <c r="P1077" s="109" t="s">
        <v>2082</v>
      </c>
      <c r="Q1077" s="109" t="s">
        <v>2082</v>
      </c>
      <c r="R1077" s="109" t="s">
        <v>2082</v>
      </c>
      <c r="S1077" s="109" t="s">
        <v>2209</v>
      </c>
      <c r="T1077" s="109" t="s">
        <v>2082</v>
      </c>
      <c r="U1077" s="109" t="s">
        <v>2082</v>
      </c>
      <c r="V1077" s="109" t="s">
        <v>2209</v>
      </c>
      <c r="W1077" s="109" t="s">
        <v>2082</v>
      </c>
      <c r="X1077" s="109" t="s">
        <v>2082</v>
      </c>
      <c r="Y1077" s="109" t="s">
        <v>2082</v>
      </c>
      <c r="Z1077" s="109" t="s">
        <v>2082</v>
      </c>
      <c r="AA1077" s="109" t="s">
        <v>2082</v>
      </c>
      <c r="AB1077" s="109" t="s">
        <v>2082</v>
      </c>
      <c r="AC1077" s="109" t="s">
        <v>2082</v>
      </c>
      <c r="AD1077" s="109" t="s">
        <v>2082</v>
      </c>
      <c r="AE1077" s="109" t="s">
        <v>2082</v>
      </c>
      <c r="AF1077" s="109" t="s">
        <v>2082</v>
      </c>
      <c r="AG1077" s="109" t="s">
        <v>2082</v>
      </c>
      <c r="AH1077" s="109" t="s">
        <v>2082</v>
      </c>
      <c r="AI1077" s="109" t="s">
        <v>2082</v>
      </c>
      <c r="AJ1077" s="109" t="s">
        <v>2082</v>
      </c>
      <c r="AK1077" s="1070">
        <f>AK1076/AK882</f>
        <v>0</v>
      </c>
      <c r="AL1077" s="601" t="s">
        <v>432</v>
      </c>
      <c r="AM1077" s="137" t="s">
        <v>432</v>
      </c>
      <c r="AN1077" s="137" t="s">
        <v>432</v>
      </c>
      <c r="AO1077" s="137" t="s">
        <v>432</v>
      </c>
      <c r="AP1077" s="137" t="s">
        <v>432</v>
      </c>
      <c r="AQ1077" s="137" t="s">
        <v>432</v>
      </c>
      <c r="AR1077" s="137" t="s">
        <v>432</v>
      </c>
      <c r="AS1077" s="137" t="s">
        <v>432</v>
      </c>
      <c r="AT1077" s="137" t="s">
        <v>432</v>
      </c>
      <c r="AU1077" s="137" t="s">
        <v>432</v>
      </c>
      <c r="AV1077" s="137" t="s">
        <v>432</v>
      </c>
      <c r="AW1077" s="137" t="s">
        <v>432</v>
      </c>
      <c r="AX1077" s="137" t="s">
        <v>432</v>
      </c>
      <c r="AY1077" s="137" t="s">
        <v>432</v>
      </c>
      <c r="AZ1077" s="137" t="s">
        <v>432</v>
      </c>
      <c r="BA1077" s="137" t="s">
        <v>432</v>
      </c>
      <c r="BB1077" s="239" t="str">
        <f>D1077&amp;E1077</f>
        <v>F tc pb (%)RMBH metropolitano</v>
      </c>
      <c r="BC1077" s="239" t="str">
        <f>D1077&amp;E1077&amp;H1077</f>
        <v>F tc pb (%)RMBH metropolitanox</v>
      </c>
      <c r="BD1077" s="239" t="str">
        <f>D1077&amp;H1077</f>
        <v>F tc pb (%)x</v>
      </c>
    </row>
    <row r="1078" spans="1:57" s="373" customFormat="1" x14ac:dyDescent="0.25">
      <c r="A1078" s="383"/>
      <c r="B1078" s="384"/>
      <c r="C1078" s="384"/>
      <c r="D1078" s="719"/>
      <c r="E1078" s="1519"/>
      <c r="F1078" s="385"/>
      <c r="G1078" s="385"/>
      <c r="H1078" s="384"/>
      <c r="I1078" s="385"/>
      <c r="J1078" s="385"/>
      <c r="K1078" s="385"/>
      <c r="L1078" s="385"/>
      <c r="M1078" s="385"/>
      <c r="N1078" s="385"/>
      <c r="O1078" s="385"/>
      <c r="P1078" s="385"/>
      <c r="Q1078" s="385"/>
      <c r="R1078" s="385"/>
      <c r="S1078" s="385"/>
      <c r="T1078" s="385"/>
      <c r="U1078" s="385"/>
      <c r="V1078" s="385"/>
      <c r="W1078" s="385"/>
      <c r="X1078" s="385"/>
      <c r="Y1078" s="385"/>
      <c r="Z1078" s="385"/>
      <c r="AA1078" s="385"/>
      <c r="AB1078" s="385"/>
      <c r="AC1078" s="385"/>
      <c r="AD1078" s="385"/>
      <c r="AE1078" s="385"/>
      <c r="AF1078" s="385"/>
      <c r="AG1078" s="385"/>
      <c r="AH1078" s="385"/>
      <c r="AI1078" s="385"/>
      <c r="AJ1078" s="385"/>
      <c r="AK1078" s="397"/>
      <c r="AL1078" s="763"/>
      <c r="AM1078" s="387"/>
      <c r="AN1078" s="387"/>
      <c r="AO1078" s="387"/>
      <c r="AP1078" s="387"/>
      <c r="AQ1078" s="387"/>
      <c r="AR1078" s="387"/>
      <c r="AS1078" s="387"/>
      <c r="AT1078" s="387"/>
      <c r="AU1078" s="387"/>
      <c r="AV1078" s="387"/>
      <c r="AW1078" s="387"/>
      <c r="AX1078" s="387"/>
      <c r="AY1078" s="387"/>
      <c r="AZ1078" s="387"/>
      <c r="BA1078" s="387"/>
      <c r="BB1078" s="388"/>
      <c r="BC1078" s="388"/>
      <c r="BD1078" s="388"/>
    </row>
    <row r="1079" spans="1:57" s="373" customFormat="1" ht="59.25" customHeight="1" x14ac:dyDescent="0.25">
      <c r="A1079" s="413" t="str">
        <f>'Q100b-totais'!B62</f>
        <v>8.10</v>
      </c>
      <c r="B1079" s="1205" t="str">
        <f>'Q100b-totais'!C62</f>
        <v>Sistema de transporte coletivo com um todo</v>
      </c>
      <c r="C1079" s="57" t="s">
        <v>743</v>
      </c>
      <c r="D1079" s="325" t="str">
        <f>'Q100e-FrotaOnibus'!S37</f>
        <v>F tc pb (n.º)</v>
      </c>
      <c r="E1079" s="1498" t="str">
        <f>'Q100e-FrotaOnibus'!T37</f>
        <v>Curitiba</v>
      </c>
      <c r="F1079" s="252" t="str">
        <f>'Q100e-FrotaOnibus'!U37</f>
        <v>frota em n.º de ônibus de piso baixo no transporte coletivo de Curitiba
obs.: em 2015 este indicador é idêntico a "F tc en c/rampa manual", que é "frota em n.º de ônibus do transporte coletivo de Curitiba de dois andares, piso baixo no andar inferior, 2 portas com rampa veicular manual na segunda porta (na qual acontece o embarque/desembarque em nível)"</v>
      </c>
      <c r="G1079" s="1007" t="str">
        <f>'Q100e-FrotaOnibus'!V37</f>
        <v>registro na fonte</v>
      </c>
      <c r="H1079" s="1074" t="s">
        <v>819</v>
      </c>
      <c r="I1079" s="1073" t="s">
        <v>3440</v>
      </c>
      <c r="J1079" s="109" t="str">
        <f t="shared" ref="J1079:AK1079" si="287">J976</f>
        <v>x</v>
      </c>
      <c r="K1079" s="109" t="str">
        <f t="shared" si="287"/>
        <v>x</v>
      </c>
      <c r="L1079" s="109" t="str">
        <f t="shared" si="287"/>
        <v>x</v>
      </c>
      <c r="M1079" s="109" t="str">
        <f t="shared" si="287"/>
        <v>x</v>
      </c>
      <c r="N1079" s="109" t="str">
        <f t="shared" si="287"/>
        <v>x</v>
      </c>
      <c r="O1079" s="109" t="str">
        <f t="shared" si="287"/>
        <v>x</v>
      </c>
      <c r="P1079" s="109" t="str">
        <f t="shared" si="287"/>
        <v>x</v>
      </c>
      <c r="Q1079" s="109" t="str">
        <f t="shared" si="287"/>
        <v>x</v>
      </c>
      <c r="R1079" s="109" t="str">
        <f t="shared" si="287"/>
        <v>x</v>
      </c>
      <c r="S1079" s="109" t="str">
        <f t="shared" si="287"/>
        <v>só para pesquisa</v>
      </c>
      <c r="T1079" s="109" t="str">
        <f t="shared" si="287"/>
        <v>x</v>
      </c>
      <c r="U1079" s="109" t="str">
        <f t="shared" si="287"/>
        <v>x</v>
      </c>
      <c r="V1079" s="109" t="str">
        <f t="shared" si="287"/>
        <v>só para pesquisa</v>
      </c>
      <c r="W1079" s="109" t="str">
        <f t="shared" si="287"/>
        <v>x</v>
      </c>
      <c r="X1079" s="109" t="str">
        <f t="shared" si="287"/>
        <v>x</v>
      </c>
      <c r="Y1079" s="109" t="str">
        <f t="shared" si="287"/>
        <v>x</v>
      </c>
      <c r="Z1079" s="109" t="str">
        <f t="shared" si="287"/>
        <v>x</v>
      </c>
      <c r="AA1079" s="109" t="str">
        <f t="shared" si="287"/>
        <v>x</v>
      </c>
      <c r="AB1079" s="109" t="str">
        <f t="shared" si="287"/>
        <v>x</v>
      </c>
      <c r="AC1079" s="109" t="str">
        <f t="shared" si="287"/>
        <v>x</v>
      </c>
      <c r="AD1079" s="109" t="str">
        <f t="shared" si="287"/>
        <v>x</v>
      </c>
      <c r="AE1079" s="109" t="str">
        <f t="shared" si="287"/>
        <v>x</v>
      </c>
      <c r="AF1079" s="109" t="str">
        <f t="shared" si="287"/>
        <v>x</v>
      </c>
      <c r="AG1079" s="109" t="str">
        <f t="shared" si="287"/>
        <v>x</v>
      </c>
      <c r="AH1079" s="109" t="str">
        <f t="shared" si="287"/>
        <v>x</v>
      </c>
      <c r="AI1079" s="109" t="str">
        <f t="shared" si="287"/>
        <v>x</v>
      </c>
      <c r="AJ1079" s="109" t="str">
        <f t="shared" si="287"/>
        <v>x</v>
      </c>
      <c r="AK1079" s="110">
        <f t="shared" si="287"/>
        <v>6</v>
      </c>
      <c r="AL1079" s="601" t="s">
        <v>432</v>
      </c>
      <c r="AM1079" s="137" t="s">
        <v>432</v>
      </c>
      <c r="AN1079" s="137" t="s">
        <v>432</v>
      </c>
      <c r="AO1079" s="137" t="s">
        <v>432</v>
      </c>
      <c r="AP1079" s="137" t="s">
        <v>432</v>
      </c>
      <c r="AQ1079" s="137" t="s">
        <v>432</v>
      </c>
      <c r="AR1079" s="137" t="s">
        <v>432</v>
      </c>
      <c r="AS1079" s="137" t="s">
        <v>432</v>
      </c>
      <c r="AT1079" s="137" t="s">
        <v>432</v>
      </c>
      <c r="AU1079" s="137" t="s">
        <v>432</v>
      </c>
      <c r="AV1079" s="137" t="s">
        <v>432</v>
      </c>
      <c r="AW1079" s="137" t="s">
        <v>432</v>
      </c>
      <c r="AX1079" s="137" t="s">
        <v>432</v>
      </c>
      <c r="AY1079" s="137" t="s">
        <v>432</v>
      </c>
      <c r="AZ1079" s="137" t="s">
        <v>432</v>
      </c>
      <c r="BA1079" s="137" t="s">
        <v>432</v>
      </c>
      <c r="BB1079" s="239" t="str">
        <f>D1079&amp;E1079</f>
        <v>F tc pb (n.º)Curitiba</v>
      </c>
      <c r="BC1079" s="239" t="str">
        <f>D1079&amp;E1079&amp;H1079</f>
        <v>F tc pb (n.º)Curitibabenchmarking</v>
      </c>
      <c r="BD1079" s="239" t="str">
        <f>D1079&amp;H1079</f>
        <v>F tc pb (n.º)benchmarking</v>
      </c>
    </row>
    <row r="1080" spans="1:57" s="373" customFormat="1" ht="51" x14ac:dyDescent="0.25">
      <c r="A1080" s="413" t="str">
        <f>'Q100b-totais'!B62</f>
        <v>8.10</v>
      </c>
      <c r="B1080" s="1205" t="str">
        <f>'Q100b-totais'!C62</f>
        <v>Sistema de transporte coletivo com um todo</v>
      </c>
      <c r="C1080" s="57" t="s">
        <v>743</v>
      </c>
      <c r="D1080" s="325" t="str">
        <f>'Q100e-FrotaOnibus'!S38</f>
        <v>F tc pb (%)</v>
      </c>
      <c r="E1080" s="1498" t="str">
        <f>'Q100e-FrotaOnibus'!T38</f>
        <v>Curitiba</v>
      </c>
      <c r="F1080" s="252" t="str">
        <f>'Q100e-FrotaOnibus'!U38</f>
        <v>percentual da frota de ônibus de piso baixo no transporte coletivo de Curitiba</v>
      </c>
      <c r="G1080" s="58" t="str">
        <f>'Q100e-FrotaOnibus'!V38</f>
        <v>(F tc pb / F tc) x 100</v>
      </c>
      <c r="H1080" s="1074" t="s">
        <v>819</v>
      </c>
      <c r="I1080" s="1073" t="s">
        <v>3440</v>
      </c>
      <c r="J1080" s="109" t="s">
        <v>2082</v>
      </c>
      <c r="K1080" s="109" t="s">
        <v>2082</v>
      </c>
      <c r="L1080" s="109" t="s">
        <v>2082</v>
      </c>
      <c r="M1080" s="109" t="s">
        <v>2082</v>
      </c>
      <c r="N1080" s="109" t="s">
        <v>2082</v>
      </c>
      <c r="O1080" s="109" t="s">
        <v>2082</v>
      </c>
      <c r="P1080" s="109" t="s">
        <v>2082</v>
      </c>
      <c r="Q1080" s="109" t="s">
        <v>2082</v>
      </c>
      <c r="R1080" s="109" t="s">
        <v>2082</v>
      </c>
      <c r="S1080" s="109" t="s">
        <v>2209</v>
      </c>
      <c r="T1080" s="109" t="s">
        <v>2082</v>
      </c>
      <c r="U1080" s="109" t="s">
        <v>2082</v>
      </c>
      <c r="V1080" s="109" t="s">
        <v>2209</v>
      </c>
      <c r="W1080" s="109" t="s">
        <v>2082</v>
      </c>
      <c r="X1080" s="109" t="s">
        <v>2082</v>
      </c>
      <c r="Y1080" s="109" t="s">
        <v>2082</v>
      </c>
      <c r="Z1080" s="109" t="s">
        <v>2082</v>
      </c>
      <c r="AA1080" s="109" t="s">
        <v>2082</v>
      </c>
      <c r="AB1080" s="109" t="s">
        <v>2082</v>
      </c>
      <c r="AC1080" s="109" t="s">
        <v>2082</v>
      </c>
      <c r="AD1080" s="109" t="s">
        <v>2082</v>
      </c>
      <c r="AE1080" s="109" t="s">
        <v>2082</v>
      </c>
      <c r="AF1080" s="109" t="s">
        <v>2082</v>
      </c>
      <c r="AG1080" s="109" t="s">
        <v>2082</v>
      </c>
      <c r="AH1080" s="109" t="s">
        <v>2082</v>
      </c>
      <c r="AI1080" s="109" t="s">
        <v>2082</v>
      </c>
      <c r="AJ1080" s="109" t="s">
        <v>2082</v>
      </c>
      <c r="AK1080" s="1040">
        <f>AK1079/AK879</f>
        <v>4.3859649122807015E-3</v>
      </c>
      <c r="AL1080" s="601" t="s">
        <v>432</v>
      </c>
      <c r="AM1080" s="137" t="s">
        <v>432</v>
      </c>
      <c r="AN1080" s="137" t="s">
        <v>432</v>
      </c>
      <c r="AO1080" s="137" t="s">
        <v>432</v>
      </c>
      <c r="AP1080" s="137" t="s">
        <v>432</v>
      </c>
      <c r="AQ1080" s="137" t="s">
        <v>432</v>
      </c>
      <c r="AR1080" s="137" t="s">
        <v>432</v>
      </c>
      <c r="AS1080" s="137" t="s">
        <v>432</v>
      </c>
      <c r="AT1080" s="137" t="s">
        <v>432</v>
      </c>
      <c r="AU1080" s="137" t="s">
        <v>432</v>
      </c>
      <c r="AV1080" s="137" t="s">
        <v>432</v>
      </c>
      <c r="AW1080" s="137" t="s">
        <v>432</v>
      </c>
      <c r="AX1080" s="137" t="s">
        <v>432</v>
      </c>
      <c r="AY1080" s="137" t="s">
        <v>432</v>
      </c>
      <c r="AZ1080" s="137" t="s">
        <v>432</v>
      </c>
      <c r="BA1080" s="137" t="s">
        <v>432</v>
      </c>
      <c r="BB1080" s="239" t="str">
        <f>D1080&amp;E1080</f>
        <v>F tc pb (%)Curitiba</v>
      </c>
      <c r="BC1080" s="239" t="str">
        <f>D1080&amp;E1080&amp;H1080</f>
        <v>F tc pb (%)Curitibabenchmarking</v>
      </c>
      <c r="BD1080" s="239" t="str">
        <f>D1080&amp;H1080</f>
        <v>F tc pb (%)benchmarking</v>
      </c>
    </row>
    <row r="1081" spans="1:57" s="373" customFormat="1" ht="81" customHeight="1" x14ac:dyDescent="0.25">
      <c r="A1081" s="413" t="str">
        <f>'Q100b-totais'!B62</f>
        <v>8.10</v>
      </c>
      <c r="B1081" s="1205" t="str">
        <f>'Q100b-totais'!C62</f>
        <v>Sistema de transporte coletivo com um todo</v>
      </c>
      <c r="C1081" s="57" t="s">
        <v>743</v>
      </c>
      <c r="D1081" s="325" t="str">
        <f>'Q100e-FrotaOnibus'!W37</f>
        <v>F tc pb (n.º)</v>
      </c>
      <c r="E1081" s="1498" t="str">
        <f>'Q100e-FrotaOnibus'!X37</f>
        <v>Joinville</v>
      </c>
      <c r="F1081" s="252" t="str">
        <f>'Q100e-FrotaOnibus'!Y37</f>
        <v>frota em n.º de ônibus de piso baixo de Joinvile
obs.: este resultado é idêntico ao de "F tc en c/ rampa manual", que é a "frota em n.º de ônibus do transporte coletivo de Joinville que operam em linhas trocais, com três portas do lado direito, sendo piso-alto na porta traseira e piso-baixo nas portas dianteira/central, com rampa veicular manual (com embarque/desembarque em nível) apenas na porta central (única porta por onde podem embarcar/desembarcar passageiros cadeirantes)"</v>
      </c>
      <c r="G1081" s="1007" t="str">
        <f>'Q100e-FrotaOnibus'!Z37</f>
        <v>registro na fonte</v>
      </c>
      <c r="H1081" s="1074" t="s">
        <v>819</v>
      </c>
      <c r="I1081" s="1073" t="s">
        <v>3440</v>
      </c>
      <c r="J1081" s="109" t="str">
        <f t="shared" ref="J1081:AK1081" si="288">J978</f>
        <v>x</v>
      </c>
      <c r="K1081" s="109" t="str">
        <f t="shared" si="288"/>
        <v>x</v>
      </c>
      <c r="L1081" s="109" t="str">
        <f t="shared" si="288"/>
        <v>x</v>
      </c>
      <c r="M1081" s="109" t="str">
        <f t="shared" si="288"/>
        <v>x</v>
      </c>
      <c r="N1081" s="109" t="str">
        <f t="shared" si="288"/>
        <v>x</v>
      </c>
      <c r="O1081" s="109" t="str">
        <f t="shared" si="288"/>
        <v>x</v>
      </c>
      <c r="P1081" s="109" t="str">
        <f t="shared" si="288"/>
        <v>x</v>
      </c>
      <c r="Q1081" s="109" t="str">
        <f t="shared" si="288"/>
        <v>x</v>
      </c>
      <c r="R1081" s="109" t="str">
        <f t="shared" si="288"/>
        <v>x</v>
      </c>
      <c r="S1081" s="109" t="str">
        <f t="shared" si="288"/>
        <v>só para pesquisa</v>
      </c>
      <c r="T1081" s="109" t="str">
        <f t="shared" si="288"/>
        <v>x</v>
      </c>
      <c r="U1081" s="109" t="str">
        <f t="shared" si="288"/>
        <v>x</v>
      </c>
      <c r="V1081" s="109" t="str">
        <f t="shared" si="288"/>
        <v>só para pesquisa</v>
      </c>
      <c r="W1081" s="109" t="str">
        <f t="shared" si="288"/>
        <v>x</v>
      </c>
      <c r="X1081" s="109" t="str">
        <f t="shared" si="288"/>
        <v>x</v>
      </c>
      <c r="Y1081" s="109" t="str">
        <f t="shared" si="288"/>
        <v>x</v>
      </c>
      <c r="Z1081" s="109" t="str">
        <f t="shared" si="288"/>
        <v>x</v>
      </c>
      <c r="AA1081" s="109" t="str">
        <f t="shared" si="288"/>
        <v>x</v>
      </c>
      <c r="AB1081" s="109" t="str">
        <f t="shared" si="288"/>
        <v>x</v>
      </c>
      <c r="AC1081" s="109" t="str">
        <f t="shared" si="288"/>
        <v>x</v>
      </c>
      <c r="AD1081" s="109" t="str">
        <f t="shared" si="288"/>
        <v>x</v>
      </c>
      <c r="AE1081" s="109" t="str">
        <f t="shared" si="288"/>
        <v>x</v>
      </c>
      <c r="AF1081" s="109" t="str">
        <f t="shared" si="288"/>
        <v>x</v>
      </c>
      <c r="AG1081" s="109" t="str">
        <f t="shared" si="288"/>
        <v>x</v>
      </c>
      <c r="AH1081" s="109" t="str">
        <f t="shared" si="288"/>
        <v>não encontrado</v>
      </c>
      <c r="AI1081" s="109" t="str">
        <f t="shared" si="288"/>
        <v>não encontrado</v>
      </c>
      <c r="AJ1081" s="110">
        <f t="shared" si="288"/>
        <v>34</v>
      </c>
      <c r="AK1081" s="109" t="str">
        <f t="shared" si="288"/>
        <v>não encontrado</v>
      </c>
      <c r="AL1081" s="601" t="s">
        <v>432</v>
      </c>
      <c r="AM1081" s="137" t="s">
        <v>432</v>
      </c>
      <c r="AN1081" s="137" t="s">
        <v>432</v>
      </c>
      <c r="AO1081" s="137" t="s">
        <v>432</v>
      </c>
      <c r="AP1081" s="137" t="s">
        <v>432</v>
      </c>
      <c r="AQ1081" s="137" t="s">
        <v>432</v>
      </c>
      <c r="AR1081" s="137" t="s">
        <v>432</v>
      </c>
      <c r="AS1081" s="137" t="s">
        <v>432</v>
      </c>
      <c r="AT1081" s="137" t="s">
        <v>432</v>
      </c>
      <c r="AU1081" s="137" t="s">
        <v>432</v>
      </c>
      <c r="AV1081" s="137" t="s">
        <v>432</v>
      </c>
      <c r="AW1081" s="137" t="s">
        <v>432</v>
      </c>
      <c r="AX1081" s="137" t="s">
        <v>432</v>
      </c>
      <c r="AY1081" s="137" t="s">
        <v>432</v>
      </c>
      <c r="AZ1081" s="137" t="s">
        <v>432</v>
      </c>
      <c r="BA1081" s="137" t="s">
        <v>432</v>
      </c>
      <c r="BB1081" s="239" t="str">
        <f>D1081&amp;E1081</f>
        <v>F tc pb (n.º)Joinville</v>
      </c>
      <c r="BC1081" s="239" t="str">
        <f>D1081&amp;E1081&amp;H1081</f>
        <v>F tc pb (n.º)Joinvillebenchmarking</v>
      </c>
      <c r="BD1081" s="239" t="str">
        <f>D1081&amp;H1081</f>
        <v>F tc pb (n.º)benchmarking</v>
      </c>
    </row>
    <row r="1082" spans="1:57" s="373" customFormat="1" ht="51" x14ac:dyDescent="0.25">
      <c r="A1082" s="413" t="str">
        <f>'Q100b-totais'!B62</f>
        <v>8.10</v>
      </c>
      <c r="B1082" s="1205" t="str">
        <f>'Q100b-totais'!C62</f>
        <v>Sistema de transporte coletivo com um todo</v>
      </c>
      <c r="C1082" s="57" t="s">
        <v>743</v>
      </c>
      <c r="D1082" s="325" t="str">
        <f>'Q100e-FrotaOnibus'!W38</f>
        <v>F tc pb (%)</v>
      </c>
      <c r="E1082" s="1498" t="str">
        <f>'Q100e-FrotaOnibus'!X38</f>
        <v>Joinville</v>
      </c>
      <c r="F1082" s="252" t="str">
        <f>'Q100e-FrotaOnibus'!Y38</f>
        <v>percentual da frota de ônibus de piso baixo de Joinville</v>
      </c>
      <c r="G1082" s="58" t="str">
        <f>'Q100e-FrotaOnibus'!Z38</f>
        <v>(F tc pb / F tc) x 100</v>
      </c>
      <c r="H1082" s="1074" t="s">
        <v>819</v>
      </c>
      <c r="I1082" s="1073" t="s">
        <v>3440</v>
      </c>
      <c r="J1082" s="109" t="s">
        <v>2082</v>
      </c>
      <c r="K1082" s="109" t="s">
        <v>2082</v>
      </c>
      <c r="L1082" s="109" t="s">
        <v>2082</v>
      </c>
      <c r="M1082" s="109" t="s">
        <v>2082</v>
      </c>
      <c r="N1082" s="109" t="s">
        <v>2082</v>
      </c>
      <c r="O1082" s="109" t="s">
        <v>2082</v>
      </c>
      <c r="P1082" s="109" t="s">
        <v>2082</v>
      </c>
      <c r="Q1082" s="109" t="s">
        <v>2082</v>
      </c>
      <c r="R1082" s="109" t="s">
        <v>2082</v>
      </c>
      <c r="S1082" s="109" t="s">
        <v>2209</v>
      </c>
      <c r="T1082" s="109" t="s">
        <v>2082</v>
      </c>
      <c r="U1082" s="109" t="s">
        <v>2082</v>
      </c>
      <c r="V1082" s="109" t="s">
        <v>2209</v>
      </c>
      <c r="W1082" s="109" t="s">
        <v>2082</v>
      </c>
      <c r="X1082" s="109" t="s">
        <v>2082</v>
      </c>
      <c r="Y1082" s="109" t="s">
        <v>2082</v>
      </c>
      <c r="Z1082" s="109" t="s">
        <v>2082</v>
      </c>
      <c r="AA1082" s="109" t="s">
        <v>2082</v>
      </c>
      <c r="AB1082" s="109" t="s">
        <v>2082</v>
      </c>
      <c r="AC1082" s="109" t="s">
        <v>2082</v>
      </c>
      <c r="AD1082" s="109" t="s">
        <v>2082</v>
      </c>
      <c r="AE1082" s="109" t="s">
        <v>2082</v>
      </c>
      <c r="AF1082" s="109" t="s">
        <v>2082</v>
      </c>
      <c r="AG1082" s="109" t="s">
        <v>2082</v>
      </c>
      <c r="AH1082" s="109" t="s">
        <v>2082</v>
      </c>
      <c r="AI1082" s="109" t="s">
        <v>2082</v>
      </c>
      <c r="AJ1082" s="1040">
        <f>AJ1081/AJ880</f>
        <v>9.3406593406593408E-2</v>
      </c>
      <c r="AK1082" s="112" t="e">
        <f>AK1081/AK880</f>
        <v>#VALUE!</v>
      </c>
      <c r="AL1082" s="601" t="s">
        <v>432</v>
      </c>
      <c r="AM1082" s="137" t="s">
        <v>432</v>
      </c>
      <c r="AN1082" s="137" t="s">
        <v>432</v>
      </c>
      <c r="AO1082" s="137" t="s">
        <v>432</v>
      </c>
      <c r="AP1082" s="137" t="s">
        <v>432</v>
      </c>
      <c r="AQ1082" s="137" t="s">
        <v>432</v>
      </c>
      <c r="AR1082" s="137" t="s">
        <v>432</v>
      </c>
      <c r="AS1082" s="137" t="s">
        <v>432</v>
      </c>
      <c r="AT1082" s="137" t="s">
        <v>432</v>
      </c>
      <c r="AU1082" s="137" t="s">
        <v>432</v>
      </c>
      <c r="AV1082" s="137" t="s">
        <v>432</v>
      </c>
      <c r="AW1082" s="137" t="s">
        <v>432</v>
      </c>
      <c r="AX1082" s="137" t="s">
        <v>432</v>
      </c>
      <c r="AY1082" s="137" t="s">
        <v>432</v>
      </c>
      <c r="AZ1082" s="137" t="s">
        <v>432</v>
      </c>
      <c r="BA1082" s="137" t="s">
        <v>432</v>
      </c>
      <c r="BB1082" s="239" t="str">
        <f>D1082&amp;E1082</f>
        <v>F tc pb (%)Joinville</v>
      </c>
      <c r="BC1082" s="239" t="str">
        <f>D1082&amp;E1082&amp;H1082</f>
        <v>F tc pb (%)Joinvillebenchmarking</v>
      </c>
      <c r="BD1082" s="239" t="str">
        <f>D1082&amp;H1082</f>
        <v>F tc pb (%)benchmarking</v>
      </c>
    </row>
    <row r="1083" spans="1:57" s="373" customFormat="1" x14ac:dyDescent="0.25">
      <c r="A1083" s="383"/>
      <c r="B1083" s="384"/>
      <c r="C1083" s="384"/>
      <c r="D1083" s="719"/>
      <c r="E1083" s="1519"/>
      <c r="F1083" s="385"/>
      <c r="G1083" s="385"/>
      <c r="H1083" s="384"/>
      <c r="I1083" s="385"/>
      <c r="J1083" s="385"/>
      <c r="K1083" s="385"/>
      <c r="L1083" s="385"/>
      <c r="M1083" s="385"/>
      <c r="N1083" s="385"/>
      <c r="O1083" s="385"/>
      <c r="P1083" s="385"/>
      <c r="Q1083" s="385"/>
      <c r="R1083" s="385"/>
      <c r="S1083" s="385"/>
      <c r="T1083" s="385"/>
      <c r="U1083" s="385"/>
      <c r="V1083" s="385"/>
      <c r="W1083" s="385"/>
      <c r="X1083" s="385"/>
      <c r="Y1083" s="385"/>
      <c r="Z1083" s="385"/>
      <c r="AA1083" s="385"/>
      <c r="AB1083" s="385"/>
      <c r="AC1083" s="385"/>
      <c r="AD1083" s="385"/>
      <c r="AE1083" s="385"/>
      <c r="AF1083" s="385"/>
      <c r="AG1083" s="385"/>
      <c r="AH1083" s="385"/>
      <c r="AI1083" s="385"/>
      <c r="AJ1083" s="385"/>
      <c r="AK1083" s="397"/>
      <c r="AL1083" s="763"/>
      <c r="AM1083" s="387"/>
      <c r="AN1083" s="387"/>
      <c r="AO1083" s="387"/>
      <c r="AP1083" s="387"/>
      <c r="AQ1083" s="387"/>
      <c r="AR1083" s="387"/>
      <c r="AS1083" s="387"/>
      <c r="AT1083" s="387"/>
      <c r="AU1083" s="387"/>
      <c r="AV1083" s="387"/>
      <c r="AW1083" s="387"/>
      <c r="AX1083" s="387"/>
      <c r="AY1083" s="387"/>
      <c r="AZ1083" s="387"/>
      <c r="BA1083" s="387"/>
      <c r="BB1083" s="388"/>
      <c r="BC1083" s="388"/>
      <c r="BD1083" s="388"/>
    </row>
    <row r="1084" spans="1:57" s="1" customFormat="1" ht="51" x14ac:dyDescent="0.25">
      <c r="A1084" s="262" t="str">
        <f>'Q100b-totais'!B62</f>
        <v>8.10</v>
      </c>
      <c r="B1084" s="252" t="str">
        <f>'Q100b-totais'!C62</f>
        <v>Sistema de transporte coletivo com um todo</v>
      </c>
      <c r="C1084" s="57" t="s">
        <v>743</v>
      </c>
      <c r="D1084" s="324" t="s">
        <v>3301</v>
      </c>
      <c r="E1084" s="1445" t="s">
        <v>3288</v>
      </c>
      <c r="F1084" s="11" t="s">
        <v>3287</v>
      </c>
      <c r="G1084" s="110" t="s">
        <v>3286</v>
      </c>
      <c r="H1084" s="1072" t="s">
        <v>819</v>
      </c>
      <c r="I1084" s="1073" t="s">
        <v>3427</v>
      </c>
      <c r="J1084" s="107" t="s">
        <v>432</v>
      </c>
      <c r="K1084" s="107" t="s">
        <v>432</v>
      </c>
      <c r="L1084" s="107" t="s">
        <v>432</v>
      </c>
      <c r="M1084" s="107" t="s">
        <v>432</v>
      </c>
      <c r="N1084" s="107" t="s">
        <v>432</v>
      </c>
      <c r="O1084" s="107" t="s">
        <v>432</v>
      </c>
      <c r="P1084" s="107" t="s">
        <v>432</v>
      </c>
      <c r="Q1084" s="107" t="s">
        <v>432</v>
      </c>
      <c r="R1084" s="107" t="s">
        <v>432</v>
      </c>
      <c r="S1084" s="109" t="s">
        <v>2209</v>
      </c>
      <c r="T1084" s="107" t="s">
        <v>432</v>
      </c>
      <c r="U1084" s="107" t="s">
        <v>432</v>
      </c>
      <c r="V1084" s="109" t="s">
        <v>2209</v>
      </c>
      <c r="W1084" s="107" t="s">
        <v>432</v>
      </c>
      <c r="X1084" s="107" t="s">
        <v>432</v>
      </c>
      <c r="Y1084" s="107" t="s">
        <v>432</v>
      </c>
      <c r="Z1084" s="107" t="s">
        <v>432</v>
      </c>
      <c r="AA1084" s="107" t="s">
        <v>432</v>
      </c>
      <c r="AB1084" s="107" t="s">
        <v>432</v>
      </c>
      <c r="AC1084" s="107" t="s">
        <v>432</v>
      </c>
      <c r="AD1084" s="107" t="s">
        <v>432</v>
      </c>
      <c r="AE1084" s="174">
        <v>1</v>
      </c>
      <c r="AF1084" s="107" t="s">
        <v>432</v>
      </c>
      <c r="AG1084" s="107" t="s">
        <v>432</v>
      </c>
      <c r="AH1084" s="107" t="s">
        <v>432</v>
      </c>
      <c r="AI1084" s="107" t="s">
        <v>432</v>
      </c>
      <c r="AJ1084" s="107" t="s">
        <v>432</v>
      </c>
      <c r="AK1084" s="107" t="s">
        <v>432</v>
      </c>
      <c r="AL1084" s="601" t="s">
        <v>432</v>
      </c>
      <c r="AM1084" s="137" t="s">
        <v>432</v>
      </c>
      <c r="AN1084" s="137" t="s">
        <v>432</v>
      </c>
      <c r="AO1084" s="137" t="s">
        <v>432</v>
      </c>
      <c r="AP1084" s="137" t="s">
        <v>432</v>
      </c>
      <c r="AQ1084" s="137" t="s">
        <v>432</v>
      </c>
      <c r="AR1084" s="137" t="s">
        <v>432</v>
      </c>
      <c r="AS1084" s="137" t="s">
        <v>432</v>
      </c>
      <c r="AT1084" s="137" t="s">
        <v>432</v>
      </c>
      <c r="AU1084" s="137" t="s">
        <v>432</v>
      </c>
      <c r="AV1084" s="137" t="s">
        <v>432</v>
      </c>
      <c r="AW1084" s="137" t="s">
        <v>432</v>
      </c>
      <c r="AX1084" s="137" t="s">
        <v>432</v>
      </c>
      <c r="AY1084" s="137" t="s">
        <v>432</v>
      </c>
      <c r="AZ1084" s="137" t="s">
        <v>432</v>
      </c>
      <c r="BA1084" s="137" t="s">
        <v>432</v>
      </c>
      <c r="BB1084" s="239" t="str">
        <f t="shared" ref="BB1084:BB1105" si="289">B1084&amp;C1084</f>
        <v>Sistema de transporte coletivo com um todoacessibilidade</v>
      </c>
      <c r="BC1084" s="239" t="str">
        <f t="shared" ref="BC1084:BC1105" si="290">B1084&amp;C1084&amp;H1084</f>
        <v>Sistema de transporte coletivo com um todoacessibilidadebenchmarking</v>
      </c>
      <c r="BD1084" s="239" t="str">
        <f t="shared" ref="BD1084:BD1105" si="291">B1084&amp;H1084</f>
        <v>Sistema de transporte coletivo com um todobenchmarking</v>
      </c>
      <c r="BE1084" s="1063" t="s">
        <v>3288</v>
      </c>
    </row>
    <row r="1085" spans="1:57" s="1" customFormat="1" ht="51" x14ac:dyDescent="0.25">
      <c r="A1085" s="262" t="str">
        <f>'Q100b-totais'!B62</f>
        <v>8.10</v>
      </c>
      <c r="B1085" s="252" t="str">
        <f>'Q100b-totais'!C62</f>
        <v>Sistema de transporte coletivo com um todo</v>
      </c>
      <c r="C1085" s="57" t="s">
        <v>743</v>
      </c>
      <c r="D1085" s="324" t="s">
        <v>3301</v>
      </c>
      <c r="E1085" s="1496" t="s">
        <v>3015</v>
      </c>
      <c r="F1085" s="11" t="s">
        <v>3284</v>
      </c>
      <c r="G1085" s="110" t="s">
        <v>3285</v>
      </c>
      <c r="H1085" s="1072" t="s">
        <v>819</v>
      </c>
      <c r="I1085" s="1073" t="s">
        <v>3427</v>
      </c>
      <c r="J1085" s="107" t="s">
        <v>432</v>
      </c>
      <c r="K1085" s="107" t="s">
        <v>432</v>
      </c>
      <c r="L1085" s="107" t="s">
        <v>432</v>
      </c>
      <c r="M1085" s="107" t="s">
        <v>432</v>
      </c>
      <c r="N1085" s="107" t="s">
        <v>432</v>
      </c>
      <c r="O1085" s="107" t="s">
        <v>432</v>
      </c>
      <c r="P1085" s="107" t="s">
        <v>432</v>
      </c>
      <c r="Q1085" s="107" t="s">
        <v>432</v>
      </c>
      <c r="R1085" s="107" t="s">
        <v>432</v>
      </c>
      <c r="S1085" s="109" t="s">
        <v>2209</v>
      </c>
      <c r="T1085" s="107" t="s">
        <v>432</v>
      </c>
      <c r="U1085" s="107" t="s">
        <v>432</v>
      </c>
      <c r="V1085" s="109" t="s">
        <v>2209</v>
      </c>
      <c r="W1085" s="107" t="s">
        <v>432</v>
      </c>
      <c r="X1085" s="107" t="s">
        <v>432</v>
      </c>
      <c r="Y1085" s="107" t="s">
        <v>432</v>
      </c>
      <c r="Z1085" s="107" t="s">
        <v>432</v>
      </c>
      <c r="AA1085" s="107" t="s">
        <v>432</v>
      </c>
      <c r="AB1085" s="107" t="s">
        <v>432</v>
      </c>
      <c r="AC1085" s="107" t="s">
        <v>432</v>
      </c>
      <c r="AD1085" s="107" t="s">
        <v>432</v>
      </c>
      <c r="AE1085" s="174">
        <v>1</v>
      </c>
      <c r="AF1085" s="107" t="s">
        <v>432</v>
      </c>
      <c r="AG1085" s="107" t="s">
        <v>432</v>
      </c>
      <c r="AH1085" s="107" t="s">
        <v>432</v>
      </c>
      <c r="AI1085" s="107" t="s">
        <v>432</v>
      </c>
      <c r="AJ1085" s="107" t="s">
        <v>432</v>
      </c>
      <c r="AK1085" s="107" t="s">
        <v>432</v>
      </c>
      <c r="AL1085" s="601" t="s">
        <v>432</v>
      </c>
      <c r="AM1085" s="137" t="s">
        <v>432</v>
      </c>
      <c r="AN1085" s="137" t="s">
        <v>432</v>
      </c>
      <c r="AO1085" s="137" t="s">
        <v>432</v>
      </c>
      <c r="AP1085" s="137" t="s">
        <v>432</v>
      </c>
      <c r="AQ1085" s="137" t="s">
        <v>432</v>
      </c>
      <c r="AR1085" s="137" t="s">
        <v>432</v>
      </c>
      <c r="AS1085" s="137" t="s">
        <v>432</v>
      </c>
      <c r="AT1085" s="137" t="s">
        <v>432</v>
      </c>
      <c r="AU1085" s="137" t="s">
        <v>432</v>
      </c>
      <c r="AV1085" s="137" t="s">
        <v>432</v>
      </c>
      <c r="AW1085" s="137" t="s">
        <v>432</v>
      </c>
      <c r="AX1085" s="137" t="s">
        <v>432</v>
      </c>
      <c r="AY1085" s="137" t="s">
        <v>432</v>
      </c>
      <c r="AZ1085" s="137" t="s">
        <v>432</v>
      </c>
      <c r="BA1085" s="137" t="s">
        <v>432</v>
      </c>
      <c r="BB1085" s="239" t="str">
        <f t="shared" si="289"/>
        <v>Sistema de transporte coletivo com um todoacessibilidade</v>
      </c>
      <c r="BC1085" s="239" t="str">
        <f t="shared" si="290"/>
        <v>Sistema de transporte coletivo com um todoacessibilidadebenchmarking</v>
      </c>
      <c r="BD1085" s="239" t="str">
        <f t="shared" si="291"/>
        <v>Sistema de transporte coletivo com um todobenchmarking</v>
      </c>
      <c r="BE1085" s="1063" t="s">
        <v>3015</v>
      </c>
    </row>
    <row r="1086" spans="1:57" s="1" customFormat="1" ht="51" x14ac:dyDescent="0.25">
      <c r="A1086" s="262" t="str">
        <f>'Q100b-totais'!B62</f>
        <v>8.10</v>
      </c>
      <c r="B1086" s="252" t="str">
        <f>'Q100b-totais'!C62</f>
        <v>Sistema de transporte coletivo com um todo</v>
      </c>
      <c r="C1086" s="57" t="s">
        <v>743</v>
      </c>
      <c r="D1086" s="324" t="s">
        <v>3301</v>
      </c>
      <c r="E1086" s="1496" t="s">
        <v>5964</v>
      </c>
      <c r="F1086" s="1205" t="s">
        <v>5969</v>
      </c>
      <c r="G1086" s="110" t="s">
        <v>3285</v>
      </c>
      <c r="H1086" s="1072" t="s">
        <v>819</v>
      </c>
      <c r="I1086" s="1073" t="s">
        <v>3427</v>
      </c>
      <c r="J1086" s="107" t="s">
        <v>432</v>
      </c>
      <c r="K1086" s="107" t="s">
        <v>432</v>
      </c>
      <c r="L1086" s="107" t="s">
        <v>432</v>
      </c>
      <c r="M1086" s="107" t="s">
        <v>432</v>
      </c>
      <c r="N1086" s="107" t="s">
        <v>432</v>
      </c>
      <c r="O1086" s="107" t="s">
        <v>432</v>
      </c>
      <c r="P1086" s="107" t="s">
        <v>432</v>
      </c>
      <c r="Q1086" s="107" t="s">
        <v>432</v>
      </c>
      <c r="R1086" s="107" t="s">
        <v>432</v>
      </c>
      <c r="S1086" s="109" t="s">
        <v>2209</v>
      </c>
      <c r="T1086" s="107" t="s">
        <v>432</v>
      </c>
      <c r="U1086" s="107" t="s">
        <v>432</v>
      </c>
      <c r="V1086" s="109" t="s">
        <v>2209</v>
      </c>
      <c r="W1086" s="107" t="s">
        <v>432</v>
      </c>
      <c r="X1086" s="107" t="s">
        <v>432</v>
      </c>
      <c r="Y1086" s="107" t="s">
        <v>432</v>
      </c>
      <c r="Z1086" s="107" t="s">
        <v>432</v>
      </c>
      <c r="AA1086" s="107" t="s">
        <v>432</v>
      </c>
      <c r="AB1086" s="107" t="s">
        <v>432</v>
      </c>
      <c r="AC1086" s="107" t="s">
        <v>432</v>
      </c>
      <c r="AD1086" s="107" t="s">
        <v>432</v>
      </c>
      <c r="AE1086" s="174">
        <v>0.88</v>
      </c>
      <c r="AF1086" s="107" t="s">
        <v>432</v>
      </c>
      <c r="AG1086" s="107" t="s">
        <v>432</v>
      </c>
      <c r="AH1086" s="107" t="s">
        <v>432</v>
      </c>
      <c r="AI1086" s="107" t="s">
        <v>432</v>
      </c>
      <c r="AJ1086" s="107" t="s">
        <v>432</v>
      </c>
      <c r="AK1086" s="107" t="s">
        <v>432</v>
      </c>
      <c r="AL1086" s="601" t="s">
        <v>432</v>
      </c>
      <c r="AM1086" s="137" t="s">
        <v>432</v>
      </c>
      <c r="AN1086" s="137" t="s">
        <v>432</v>
      </c>
      <c r="AO1086" s="137" t="s">
        <v>432</v>
      </c>
      <c r="AP1086" s="137" t="s">
        <v>432</v>
      </c>
      <c r="AQ1086" s="137" t="s">
        <v>432</v>
      </c>
      <c r="AR1086" s="137" t="s">
        <v>432</v>
      </c>
      <c r="AS1086" s="137" t="s">
        <v>432</v>
      </c>
      <c r="AT1086" s="137" t="s">
        <v>432</v>
      </c>
      <c r="AU1086" s="137" t="s">
        <v>432</v>
      </c>
      <c r="AV1086" s="137" t="s">
        <v>432</v>
      </c>
      <c r="AW1086" s="137" t="s">
        <v>432</v>
      </c>
      <c r="AX1086" s="137" t="s">
        <v>432</v>
      </c>
      <c r="AY1086" s="137" t="s">
        <v>432</v>
      </c>
      <c r="AZ1086" s="137" t="s">
        <v>432</v>
      </c>
      <c r="BA1086" s="137" t="s">
        <v>432</v>
      </c>
      <c r="BB1086" s="239" t="str">
        <f t="shared" si="289"/>
        <v>Sistema de transporte coletivo com um todoacessibilidade</v>
      </c>
      <c r="BC1086" s="239" t="str">
        <f t="shared" si="290"/>
        <v>Sistema de transporte coletivo com um todoacessibilidadebenchmarking</v>
      </c>
      <c r="BD1086" s="239" t="str">
        <f t="shared" si="291"/>
        <v>Sistema de transporte coletivo com um todobenchmarking</v>
      </c>
      <c r="BE1086" s="1063" t="s">
        <v>3025</v>
      </c>
    </row>
    <row r="1087" spans="1:57" s="1" customFormat="1" ht="51" x14ac:dyDescent="0.25">
      <c r="A1087" s="262" t="str">
        <f>'Q100b-totais'!B62</f>
        <v>8.10</v>
      </c>
      <c r="B1087" s="252" t="str">
        <f>'Q100b-totais'!C62</f>
        <v>Sistema de transporte coletivo com um todo</v>
      </c>
      <c r="C1087" s="57" t="s">
        <v>743</v>
      </c>
      <c r="D1087" s="324" t="s">
        <v>3301</v>
      </c>
      <c r="E1087" s="1496" t="s">
        <v>3022</v>
      </c>
      <c r="F1087" s="11" t="s">
        <v>3283</v>
      </c>
      <c r="G1087" s="110" t="s">
        <v>3285</v>
      </c>
      <c r="H1087" s="1072" t="s">
        <v>819</v>
      </c>
      <c r="I1087" s="1073" t="s">
        <v>3427</v>
      </c>
      <c r="J1087" s="107" t="s">
        <v>432</v>
      </c>
      <c r="K1087" s="107" t="s">
        <v>432</v>
      </c>
      <c r="L1087" s="107" t="s">
        <v>432</v>
      </c>
      <c r="M1087" s="107" t="s">
        <v>432</v>
      </c>
      <c r="N1087" s="107" t="s">
        <v>432</v>
      </c>
      <c r="O1087" s="107" t="s">
        <v>432</v>
      </c>
      <c r="P1087" s="107" t="s">
        <v>432</v>
      </c>
      <c r="Q1087" s="107" t="s">
        <v>432</v>
      </c>
      <c r="R1087" s="107" t="s">
        <v>432</v>
      </c>
      <c r="S1087" s="109" t="s">
        <v>2209</v>
      </c>
      <c r="T1087" s="107" t="s">
        <v>432</v>
      </c>
      <c r="U1087" s="107" t="s">
        <v>432</v>
      </c>
      <c r="V1087" s="109" t="s">
        <v>2209</v>
      </c>
      <c r="W1087" s="107" t="s">
        <v>432</v>
      </c>
      <c r="X1087" s="107" t="s">
        <v>432</v>
      </c>
      <c r="Y1087" s="107" t="s">
        <v>432</v>
      </c>
      <c r="Z1087" s="107" t="s">
        <v>432</v>
      </c>
      <c r="AA1087" s="107" t="s">
        <v>432</v>
      </c>
      <c r="AB1087" s="107" t="s">
        <v>432</v>
      </c>
      <c r="AC1087" s="107" t="s">
        <v>432</v>
      </c>
      <c r="AD1087" s="107" t="s">
        <v>432</v>
      </c>
      <c r="AE1087" s="174">
        <v>0.21</v>
      </c>
      <c r="AF1087" s="107" t="s">
        <v>432</v>
      </c>
      <c r="AG1087" s="107" t="s">
        <v>432</v>
      </c>
      <c r="AH1087" s="107" t="s">
        <v>432</v>
      </c>
      <c r="AI1087" s="107" t="s">
        <v>432</v>
      </c>
      <c r="AJ1087" s="107" t="s">
        <v>432</v>
      </c>
      <c r="AK1087" s="107" t="s">
        <v>432</v>
      </c>
      <c r="AL1087" s="601" t="s">
        <v>432</v>
      </c>
      <c r="AM1087" s="137" t="s">
        <v>432</v>
      </c>
      <c r="AN1087" s="137" t="s">
        <v>432</v>
      </c>
      <c r="AO1087" s="137" t="s">
        <v>432</v>
      </c>
      <c r="AP1087" s="137" t="s">
        <v>432</v>
      </c>
      <c r="AQ1087" s="137" t="s">
        <v>432</v>
      </c>
      <c r="AR1087" s="137" t="s">
        <v>432</v>
      </c>
      <c r="AS1087" s="137" t="s">
        <v>432</v>
      </c>
      <c r="AT1087" s="137" t="s">
        <v>432</v>
      </c>
      <c r="AU1087" s="137" t="s">
        <v>432</v>
      </c>
      <c r="AV1087" s="137" t="s">
        <v>432</v>
      </c>
      <c r="AW1087" s="137" t="s">
        <v>432</v>
      </c>
      <c r="AX1087" s="137" t="s">
        <v>432</v>
      </c>
      <c r="AY1087" s="137" t="s">
        <v>432</v>
      </c>
      <c r="AZ1087" s="137" t="s">
        <v>432</v>
      </c>
      <c r="BA1087" s="137" t="s">
        <v>432</v>
      </c>
      <c r="BB1087" s="239" t="str">
        <f t="shared" si="289"/>
        <v>Sistema de transporte coletivo com um todoacessibilidade</v>
      </c>
      <c r="BC1087" s="239" t="str">
        <f t="shared" si="290"/>
        <v>Sistema de transporte coletivo com um todoacessibilidadebenchmarking</v>
      </c>
      <c r="BD1087" s="239" t="str">
        <f t="shared" si="291"/>
        <v>Sistema de transporte coletivo com um todobenchmarking</v>
      </c>
      <c r="BE1087" s="1063" t="s">
        <v>3022</v>
      </c>
    </row>
    <row r="1088" spans="1:57" s="1" customFormat="1" ht="51" x14ac:dyDescent="0.25">
      <c r="A1088" s="262" t="str">
        <f>'Q100b-totais'!B62</f>
        <v>8.10</v>
      </c>
      <c r="B1088" s="252" t="str">
        <f>'Q100b-totais'!C62</f>
        <v>Sistema de transporte coletivo com um todo</v>
      </c>
      <c r="C1088" s="57" t="s">
        <v>743</v>
      </c>
      <c r="D1088" s="324" t="s">
        <v>3301</v>
      </c>
      <c r="E1088" s="1496" t="s">
        <v>3289</v>
      </c>
      <c r="F1088" s="11" t="s">
        <v>3290</v>
      </c>
      <c r="G1088" s="110" t="s">
        <v>3286</v>
      </c>
      <c r="H1088" s="1072" t="s">
        <v>819</v>
      </c>
      <c r="I1088" s="1073" t="s">
        <v>3427</v>
      </c>
      <c r="J1088" s="107" t="s">
        <v>432</v>
      </c>
      <c r="K1088" s="107" t="s">
        <v>432</v>
      </c>
      <c r="L1088" s="107" t="s">
        <v>432</v>
      </c>
      <c r="M1088" s="107" t="s">
        <v>432</v>
      </c>
      <c r="N1088" s="107" t="s">
        <v>432</v>
      </c>
      <c r="O1088" s="107" t="s">
        <v>432</v>
      </c>
      <c r="P1088" s="107" t="s">
        <v>432</v>
      </c>
      <c r="Q1088" s="107" t="s">
        <v>432</v>
      </c>
      <c r="R1088" s="107" t="s">
        <v>432</v>
      </c>
      <c r="S1088" s="109" t="s">
        <v>2209</v>
      </c>
      <c r="T1088" s="107" t="s">
        <v>432</v>
      </c>
      <c r="U1088" s="107" t="s">
        <v>432</v>
      </c>
      <c r="V1088" s="109" t="s">
        <v>2209</v>
      </c>
      <c r="W1088" s="107" t="s">
        <v>432</v>
      </c>
      <c r="X1088" s="107" t="s">
        <v>432</v>
      </c>
      <c r="Y1088" s="107" t="s">
        <v>432</v>
      </c>
      <c r="Z1088" s="107" t="s">
        <v>432</v>
      </c>
      <c r="AA1088" s="107" t="s">
        <v>432</v>
      </c>
      <c r="AB1088" s="107" t="s">
        <v>432</v>
      </c>
      <c r="AC1088" s="107" t="s">
        <v>432</v>
      </c>
      <c r="AD1088" s="107" t="s">
        <v>432</v>
      </c>
      <c r="AE1088" s="174">
        <v>1</v>
      </c>
      <c r="AF1088" s="107" t="s">
        <v>432</v>
      </c>
      <c r="AG1088" s="107" t="s">
        <v>432</v>
      </c>
      <c r="AH1088" s="107" t="s">
        <v>432</v>
      </c>
      <c r="AI1088" s="107" t="s">
        <v>432</v>
      </c>
      <c r="AJ1088" s="107" t="s">
        <v>432</v>
      </c>
      <c r="AK1088" s="107" t="s">
        <v>432</v>
      </c>
      <c r="AL1088" s="601" t="s">
        <v>432</v>
      </c>
      <c r="AM1088" s="137" t="s">
        <v>432</v>
      </c>
      <c r="AN1088" s="137" t="s">
        <v>432</v>
      </c>
      <c r="AO1088" s="137" t="s">
        <v>432</v>
      </c>
      <c r="AP1088" s="137" t="s">
        <v>432</v>
      </c>
      <c r="AQ1088" s="137" t="s">
        <v>432</v>
      </c>
      <c r="AR1088" s="137" t="s">
        <v>432</v>
      </c>
      <c r="AS1088" s="137" t="s">
        <v>432</v>
      </c>
      <c r="AT1088" s="137" t="s">
        <v>432</v>
      </c>
      <c r="AU1088" s="137" t="s">
        <v>432</v>
      </c>
      <c r="AV1088" s="137" t="s">
        <v>432</v>
      </c>
      <c r="AW1088" s="137" t="s">
        <v>432</v>
      </c>
      <c r="AX1088" s="137" t="s">
        <v>432</v>
      </c>
      <c r="AY1088" s="137" t="s">
        <v>432</v>
      </c>
      <c r="AZ1088" s="137" t="s">
        <v>432</v>
      </c>
      <c r="BA1088" s="137" t="s">
        <v>432</v>
      </c>
      <c r="BB1088" s="239" t="str">
        <f t="shared" si="289"/>
        <v>Sistema de transporte coletivo com um todoacessibilidade</v>
      </c>
      <c r="BC1088" s="239" t="str">
        <f t="shared" si="290"/>
        <v>Sistema de transporte coletivo com um todoacessibilidadebenchmarking</v>
      </c>
      <c r="BD1088" s="239" t="str">
        <f t="shared" si="291"/>
        <v>Sistema de transporte coletivo com um todobenchmarking</v>
      </c>
      <c r="BE1088" s="1063" t="s">
        <v>3289</v>
      </c>
    </row>
    <row r="1089" spans="1:57" s="1" customFormat="1" ht="51" x14ac:dyDescent="0.25">
      <c r="A1089" s="262" t="str">
        <f>'Q100b-totais'!B62</f>
        <v>8.10</v>
      </c>
      <c r="B1089" s="252" t="str">
        <f>'Q100b-totais'!C62</f>
        <v>Sistema de transporte coletivo com um todo</v>
      </c>
      <c r="C1089" s="57" t="s">
        <v>743</v>
      </c>
      <c r="D1089" s="324" t="s">
        <v>3301</v>
      </c>
      <c r="E1089" s="1496" t="s">
        <v>5965</v>
      </c>
      <c r="F1089" s="1205" t="s">
        <v>5968</v>
      </c>
      <c r="G1089" s="110" t="s">
        <v>3285</v>
      </c>
      <c r="H1089" s="1072" t="s">
        <v>819</v>
      </c>
      <c r="I1089" s="1073" t="s">
        <v>3427</v>
      </c>
      <c r="J1089" s="107" t="s">
        <v>432</v>
      </c>
      <c r="K1089" s="107" t="s">
        <v>432</v>
      </c>
      <c r="L1089" s="107" t="s">
        <v>432</v>
      </c>
      <c r="M1089" s="107" t="s">
        <v>432</v>
      </c>
      <c r="N1089" s="107" t="s">
        <v>432</v>
      </c>
      <c r="O1089" s="107" t="s">
        <v>432</v>
      </c>
      <c r="P1089" s="107" t="s">
        <v>432</v>
      </c>
      <c r="Q1089" s="107" t="s">
        <v>432</v>
      </c>
      <c r="R1089" s="107" t="s">
        <v>432</v>
      </c>
      <c r="S1089" s="109" t="s">
        <v>2209</v>
      </c>
      <c r="T1089" s="107" t="s">
        <v>432</v>
      </c>
      <c r="U1089" s="107" t="s">
        <v>432</v>
      </c>
      <c r="V1089" s="109" t="s">
        <v>2209</v>
      </c>
      <c r="W1089" s="107" t="s">
        <v>432</v>
      </c>
      <c r="X1089" s="107" t="s">
        <v>432</v>
      </c>
      <c r="Y1089" s="107" t="s">
        <v>432</v>
      </c>
      <c r="Z1089" s="107" t="s">
        <v>432</v>
      </c>
      <c r="AA1089" s="107" t="s">
        <v>432</v>
      </c>
      <c r="AB1089" s="107" t="s">
        <v>432</v>
      </c>
      <c r="AC1089" s="107" t="s">
        <v>432</v>
      </c>
      <c r="AD1089" s="107" t="s">
        <v>432</v>
      </c>
      <c r="AE1089" s="174">
        <v>0.13</v>
      </c>
      <c r="AF1089" s="107" t="s">
        <v>432</v>
      </c>
      <c r="AG1089" s="107" t="s">
        <v>432</v>
      </c>
      <c r="AH1089" s="107" t="s">
        <v>432</v>
      </c>
      <c r="AI1089" s="107" t="s">
        <v>432</v>
      </c>
      <c r="AJ1089" s="107" t="s">
        <v>432</v>
      </c>
      <c r="AK1089" s="107" t="s">
        <v>432</v>
      </c>
      <c r="AL1089" s="601" t="s">
        <v>432</v>
      </c>
      <c r="AM1089" s="137" t="s">
        <v>432</v>
      </c>
      <c r="AN1089" s="137" t="s">
        <v>432</v>
      </c>
      <c r="AO1089" s="137" t="s">
        <v>432</v>
      </c>
      <c r="AP1089" s="137" t="s">
        <v>432</v>
      </c>
      <c r="AQ1089" s="137" t="s">
        <v>432</v>
      </c>
      <c r="AR1089" s="137" t="s">
        <v>432</v>
      </c>
      <c r="AS1089" s="137" t="s">
        <v>432</v>
      </c>
      <c r="AT1089" s="137" t="s">
        <v>432</v>
      </c>
      <c r="AU1089" s="137" t="s">
        <v>432</v>
      </c>
      <c r="AV1089" s="137" t="s">
        <v>432</v>
      </c>
      <c r="AW1089" s="137" t="s">
        <v>432</v>
      </c>
      <c r="AX1089" s="137" t="s">
        <v>432</v>
      </c>
      <c r="AY1089" s="137" t="s">
        <v>432</v>
      </c>
      <c r="AZ1089" s="137" t="s">
        <v>432</v>
      </c>
      <c r="BA1089" s="137" t="s">
        <v>432</v>
      </c>
      <c r="BB1089" s="239" t="str">
        <f t="shared" ref="BB1089:BB1090" si="292">B1089&amp;C1089</f>
        <v>Sistema de transporte coletivo com um todoacessibilidade</v>
      </c>
      <c r="BC1089" s="239" t="str">
        <f t="shared" ref="BC1089:BC1090" si="293">B1089&amp;C1089&amp;H1089</f>
        <v>Sistema de transporte coletivo com um todoacessibilidadebenchmarking</v>
      </c>
      <c r="BD1089" s="239" t="str">
        <f t="shared" ref="BD1089:BD1090" si="294">B1089&amp;H1089</f>
        <v>Sistema de transporte coletivo com um todobenchmarking</v>
      </c>
      <c r="BE1089" s="1063" t="s">
        <v>3025</v>
      </c>
    </row>
    <row r="1090" spans="1:57" s="1" customFormat="1" ht="51" x14ac:dyDescent="0.25">
      <c r="A1090" s="262" t="str">
        <f>'Q100b-totais'!B62</f>
        <v>8.10</v>
      </c>
      <c r="B1090" s="252" t="str">
        <f>'Q100b-totais'!C62</f>
        <v>Sistema de transporte coletivo com um todo</v>
      </c>
      <c r="C1090" s="57" t="s">
        <v>743</v>
      </c>
      <c r="D1090" s="324" t="s">
        <v>3301</v>
      </c>
      <c r="E1090" s="1496" t="s">
        <v>5966</v>
      </c>
      <c r="F1090" s="1205" t="s">
        <v>5967</v>
      </c>
      <c r="G1090" s="110" t="s">
        <v>3285</v>
      </c>
      <c r="H1090" s="1072" t="s">
        <v>819</v>
      </c>
      <c r="I1090" s="1073" t="s">
        <v>3427</v>
      </c>
      <c r="J1090" s="107" t="s">
        <v>432</v>
      </c>
      <c r="K1090" s="107" t="s">
        <v>432</v>
      </c>
      <c r="L1090" s="107" t="s">
        <v>432</v>
      </c>
      <c r="M1090" s="107" t="s">
        <v>432</v>
      </c>
      <c r="N1090" s="107" t="s">
        <v>432</v>
      </c>
      <c r="O1090" s="107" t="s">
        <v>432</v>
      </c>
      <c r="P1090" s="107" t="s">
        <v>432</v>
      </c>
      <c r="Q1090" s="107" t="s">
        <v>432</v>
      </c>
      <c r="R1090" s="107" t="s">
        <v>432</v>
      </c>
      <c r="S1090" s="109" t="s">
        <v>2209</v>
      </c>
      <c r="T1090" s="107" t="s">
        <v>432</v>
      </c>
      <c r="U1090" s="107" t="s">
        <v>432</v>
      </c>
      <c r="V1090" s="109" t="s">
        <v>2209</v>
      </c>
      <c r="W1090" s="107" t="s">
        <v>432</v>
      </c>
      <c r="X1090" s="107" t="s">
        <v>432</v>
      </c>
      <c r="Y1090" s="107" t="s">
        <v>432</v>
      </c>
      <c r="Z1090" s="107" t="s">
        <v>432</v>
      </c>
      <c r="AA1090" s="107" t="s">
        <v>432</v>
      </c>
      <c r="AB1090" s="107" t="s">
        <v>432</v>
      </c>
      <c r="AC1090" s="107" t="s">
        <v>432</v>
      </c>
      <c r="AD1090" s="107" t="s">
        <v>432</v>
      </c>
      <c r="AE1090" s="174">
        <v>0.95</v>
      </c>
      <c r="AF1090" s="107" t="s">
        <v>432</v>
      </c>
      <c r="AG1090" s="107" t="s">
        <v>432</v>
      </c>
      <c r="AH1090" s="107" t="s">
        <v>432</v>
      </c>
      <c r="AI1090" s="107" t="s">
        <v>432</v>
      </c>
      <c r="AJ1090" s="107" t="s">
        <v>432</v>
      </c>
      <c r="AK1090" s="107" t="s">
        <v>432</v>
      </c>
      <c r="AL1090" s="601" t="s">
        <v>432</v>
      </c>
      <c r="AM1090" s="137" t="s">
        <v>432</v>
      </c>
      <c r="AN1090" s="137" t="s">
        <v>432</v>
      </c>
      <c r="AO1090" s="137" t="s">
        <v>432</v>
      </c>
      <c r="AP1090" s="137" t="s">
        <v>432</v>
      </c>
      <c r="AQ1090" s="137" t="s">
        <v>432</v>
      </c>
      <c r="AR1090" s="137" t="s">
        <v>432</v>
      </c>
      <c r="AS1090" s="137" t="s">
        <v>432</v>
      </c>
      <c r="AT1090" s="137" t="s">
        <v>432</v>
      </c>
      <c r="AU1090" s="137" t="s">
        <v>432</v>
      </c>
      <c r="AV1090" s="137" t="s">
        <v>432</v>
      </c>
      <c r="AW1090" s="137" t="s">
        <v>432</v>
      </c>
      <c r="AX1090" s="137" t="s">
        <v>432</v>
      </c>
      <c r="AY1090" s="137" t="s">
        <v>432</v>
      </c>
      <c r="AZ1090" s="137" t="s">
        <v>432</v>
      </c>
      <c r="BA1090" s="137" t="s">
        <v>432</v>
      </c>
      <c r="BB1090" s="239" t="str">
        <f t="shared" si="292"/>
        <v>Sistema de transporte coletivo com um todoacessibilidade</v>
      </c>
      <c r="BC1090" s="239" t="str">
        <f t="shared" si="293"/>
        <v>Sistema de transporte coletivo com um todoacessibilidadebenchmarking</v>
      </c>
      <c r="BD1090" s="239" t="str">
        <f t="shared" si="294"/>
        <v>Sistema de transporte coletivo com um todobenchmarking</v>
      </c>
      <c r="BE1090" s="1063" t="s">
        <v>3025</v>
      </c>
    </row>
    <row r="1091" spans="1:57" s="1" customFormat="1" ht="51" x14ac:dyDescent="0.25">
      <c r="A1091" s="262" t="str">
        <f>'Q100b-totais'!B62</f>
        <v>8.10</v>
      </c>
      <c r="B1091" s="252" t="str">
        <f>'Q100b-totais'!C62</f>
        <v>Sistema de transporte coletivo com um todo</v>
      </c>
      <c r="C1091" s="57" t="s">
        <v>743</v>
      </c>
      <c r="D1091" s="324" t="s">
        <v>3301</v>
      </c>
      <c r="E1091" s="1496" t="s">
        <v>3025</v>
      </c>
      <c r="F1091" s="11" t="s">
        <v>3282</v>
      </c>
      <c r="G1091" s="110" t="s">
        <v>3285</v>
      </c>
      <c r="H1091" s="1072" t="s">
        <v>819</v>
      </c>
      <c r="I1091" s="1073" t="s">
        <v>3427</v>
      </c>
      <c r="J1091" s="107" t="s">
        <v>432</v>
      </c>
      <c r="K1091" s="107" t="s">
        <v>432</v>
      </c>
      <c r="L1091" s="107" t="s">
        <v>432</v>
      </c>
      <c r="M1091" s="107" t="s">
        <v>432</v>
      </c>
      <c r="N1091" s="107" t="s">
        <v>432</v>
      </c>
      <c r="O1091" s="107" t="s">
        <v>432</v>
      </c>
      <c r="P1091" s="107" t="s">
        <v>432</v>
      </c>
      <c r="Q1091" s="107" t="s">
        <v>432</v>
      </c>
      <c r="R1091" s="107" t="s">
        <v>432</v>
      </c>
      <c r="S1091" s="109" t="s">
        <v>2209</v>
      </c>
      <c r="T1091" s="107" t="s">
        <v>432</v>
      </c>
      <c r="U1091" s="107" t="s">
        <v>432</v>
      </c>
      <c r="V1091" s="109" t="s">
        <v>2209</v>
      </c>
      <c r="W1091" s="107" t="s">
        <v>432</v>
      </c>
      <c r="X1091" s="107" t="s">
        <v>432</v>
      </c>
      <c r="Y1091" s="107" t="s">
        <v>432</v>
      </c>
      <c r="Z1091" s="107" t="s">
        <v>432</v>
      </c>
      <c r="AA1091" s="107" t="s">
        <v>432</v>
      </c>
      <c r="AB1091" s="107" t="s">
        <v>432</v>
      </c>
      <c r="AC1091" s="107" t="s">
        <v>432</v>
      </c>
      <c r="AD1091" s="107" t="s">
        <v>432</v>
      </c>
      <c r="AE1091" s="174">
        <v>1</v>
      </c>
      <c r="AF1091" s="107" t="s">
        <v>432</v>
      </c>
      <c r="AG1091" s="107" t="s">
        <v>432</v>
      </c>
      <c r="AH1091" s="107" t="s">
        <v>432</v>
      </c>
      <c r="AI1091" s="107" t="s">
        <v>432</v>
      </c>
      <c r="AJ1091" s="107" t="s">
        <v>432</v>
      </c>
      <c r="AK1091" s="107" t="s">
        <v>432</v>
      </c>
      <c r="AL1091" s="601" t="s">
        <v>432</v>
      </c>
      <c r="AM1091" s="137" t="s">
        <v>432</v>
      </c>
      <c r="AN1091" s="137" t="s">
        <v>432</v>
      </c>
      <c r="AO1091" s="137" t="s">
        <v>432</v>
      </c>
      <c r="AP1091" s="137" t="s">
        <v>432</v>
      </c>
      <c r="AQ1091" s="137" t="s">
        <v>432</v>
      </c>
      <c r="AR1091" s="137" t="s">
        <v>432</v>
      </c>
      <c r="AS1091" s="137" t="s">
        <v>432</v>
      </c>
      <c r="AT1091" s="137" t="s">
        <v>432</v>
      </c>
      <c r="AU1091" s="137" t="s">
        <v>432</v>
      </c>
      <c r="AV1091" s="137" t="s">
        <v>432</v>
      </c>
      <c r="AW1091" s="137" t="s">
        <v>432</v>
      </c>
      <c r="AX1091" s="137" t="s">
        <v>432</v>
      </c>
      <c r="AY1091" s="137" t="s">
        <v>432</v>
      </c>
      <c r="AZ1091" s="137" t="s">
        <v>432</v>
      </c>
      <c r="BA1091" s="137" t="s">
        <v>432</v>
      </c>
      <c r="BB1091" s="239" t="str">
        <f t="shared" si="289"/>
        <v>Sistema de transporte coletivo com um todoacessibilidade</v>
      </c>
      <c r="BC1091" s="239" t="str">
        <f t="shared" si="290"/>
        <v>Sistema de transporte coletivo com um todoacessibilidadebenchmarking</v>
      </c>
      <c r="BD1091" s="239" t="str">
        <f t="shared" si="291"/>
        <v>Sistema de transporte coletivo com um todobenchmarking</v>
      </c>
      <c r="BE1091" s="1063" t="s">
        <v>3025</v>
      </c>
    </row>
    <row r="1092" spans="1:57" s="1" customFormat="1" ht="51" x14ac:dyDescent="0.25">
      <c r="A1092" s="262" t="str">
        <f>'Q100b-totais'!B62</f>
        <v>8.10</v>
      </c>
      <c r="B1092" s="252" t="str">
        <f>'Q100b-totais'!C62</f>
        <v>Sistema de transporte coletivo com um todo</v>
      </c>
      <c r="C1092" s="57" t="s">
        <v>743</v>
      </c>
      <c r="D1092" s="324" t="s">
        <v>3301</v>
      </c>
      <c r="E1092" s="1496" t="s">
        <v>3010</v>
      </c>
      <c r="F1092" s="1205" t="s">
        <v>5963</v>
      </c>
      <c r="G1092" s="110" t="s">
        <v>3285</v>
      </c>
      <c r="H1092" s="1072" t="s">
        <v>819</v>
      </c>
      <c r="I1092" s="1073" t="s">
        <v>3427</v>
      </c>
      <c r="J1092" s="107" t="s">
        <v>432</v>
      </c>
      <c r="K1092" s="107" t="s">
        <v>432</v>
      </c>
      <c r="L1092" s="107" t="s">
        <v>432</v>
      </c>
      <c r="M1092" s="107" t="s">
        <v>432</v>
      </c>
      <c r="N1092" s="107" t="s">
        <v>432</v>
      </c>
      <c r="O1092" s="107" t="s">
        <v>432</v>
      </c>
      <c r="P1092" s="107" t="s">
        <v>432</v>
      </c>
      <c r="Q1092" s="107" t="s">
        <v>432</v>
      </c>
      <c r="R1092" s="107" t="s">
        <v>432</v>
      </c>
      <c r="S1092" s="109" t="s">
        <v>2209</v>
      </c>
      <c r="T1092" s="107" t="s">
        <v>432</v>
      </c>
      <c r="U1092" s="107" t="s">
        <v>432</v>
      </c>
      <c r="V1092" s="109" t="s">
        <v>2209</v>
      </c>
      <c r="W1092" s="107" t="s">
        <v>432</v>
      </c>
      <c r="X1092" s="107" t="s">
        <v>432</v>
      </c>
      <c r="Y1092" s="107" t="s">
        <v>432</v>
      </c>
      <c r="Z1092" s="107" t="s">
        <v>432</v>
      </c>
      <c r="AA1092" s="107" t="s">
        <v>432</v>
      </c>
      <c r="AB1092" s="107" t="s">
        <v>432</v>
      </c>
      <c r="AC1092" s="107" t="s">
        <v>432</v>
      </c>
      <c r="AD1092" s="107" t="s">
        <v>432</v>
      </c>
      <c r="AE1092" s="174">
        <v>0.8</v>
      </c>
      <c r="AF1092" s="107" t="s">
        <v>432</v>
      </c>
      <c r="AG1092" s="107" t="s">
        <v>432</v>
      </c>
      <c r="AH1092" s="107" t="s">
        <v>432</v>
      </c>
      <c r="AI1092" s="107" t="s">
        <v>432</v>
      </c>
      <c r="AJ1092" s="107" t="s">
        <v>432</v>
      </c>
      <c r="AK1092" s="107" t="s">
        <v>432</v>
      </c>
      <c r="AL1092" s="601" t="s">
        <v>432</v>
      </c>
      <c r="AM1092" s="137" t="s">
        <v>432</v>
      </c>
      <c r="AN1092" s="137" t="s">
        <v>432</v>
      </c>
      <c r="AO1092" s="137" t="s">
        <v>432</v>
      </c>
      <c r="AP1092" s="137" t="s">
        <v>432</v>
      </c>
      <c r="AQ1092" s="137" t="s">
        <v>432</v>
      </c>
      <c r="AR1092" s="137" t="s">
        <v>432</v>
      </c>
      <c r="AS1092" s="137" t="s">
        <v>432</v>
      </c>
      <c r="AT1092" s="137" t="s">
        <v>432</v>
      </c>
      <c r="AU1092" s="137" t="s">
        <v>432</v>
      </c>
      <c r="AV1092" s="137" t="s">
        <v>432</v>
      </c>
      <c r="AW1092" s="137" t="s">
        <v>432</v>
      </c>
      <c r="AX1092" s="137" t="s">
        <v>432</v>
      </c>
      <c r="AY1092" s="137" t="s">
        <v>432</v>
      </c>
      <c r="AZ1092" s="137" t="s">
        <v>432</v>
      </c>
      <c r="BA1092" s="137" t="s">
        <v>432</v>
      </c>
      <c r="BB1092" s="239" t="str">
        <f t="shared" ref="BB1092" si="295">B1092&amp;C1092</f>
        <v>Sistema de transporte coletivo com um todoacessibilidade</v>
      </c>
      <c r="BC1092" s="239" t="str">
        <f t="shared" ref="BC1092" si="296">B1092&amp;C1092&amp;H1092</f>
        <v>Sistema de transporte coletivo com um todoacessibilidadebenchmarking</v>
      </c>
      <c r="BD1092" s="239" t="str">
        <f t="shared" ref="BD1092" si="297">B1092&amp;H1092</f>
        <v>Sistema de transporte coletivo com um todobenchmarking</v>
      </c>
      <c r="BE1092" s="1063" t="s">
        <v>3025</v>
      </c>
    </row>
    <row r="1093" spans="1:57" s="1" customFormat="1" ht="51" x14ac:dyDescent="0.25">
      <c r="A1093" s="262" t="str">
        <f>'Q100b-totais'!B62</f>
        <v>8.10</v>
      </c>
      <c r="B1093" s="252" t="str">
        <f>'Q100b-totais'!C62</f>
        <v>Sistema de transporte coletivo com um todo</v>
      </c>
      <c r="C1093" s="57" t="s">
        <v>743</v>
      </c>
      <c r="D1093" s="324" t="s">
        <v>3301</v>
      </c>
      <c r="E1093" s="1496" t="s">
        <v>3018</v>
      </c>
      <c r="F1093" s="11" t="s">
        <v>3281</v>
      </c>
      <c r="G1093" s="110" t="s">
        <v>3285</v>
      </c>
      <c r="H1093" s="1072" t="s">
        <v>819</v>
      </c>
      <c r="I1093" s="1073" t="s">
        <v>3427</v>
      </c>
      <c r="J1093" s="107" t="s">
        <v>432</v>
      </c>
      <c r="K1093" s="107" t="s">
        <v>432</v>
      </c>
      <c r="L1093" s="107" t="s">
        <v>432</v>
      </c>
      <c r="M1093" s="107" t="s">
        <v>432</v>
      </c>
      <c r="N1093" s="107" t="s">
        <v>432</v>
      </c>
      <c r="O1093" s="107" t="s">
        <v>432</v>
      </c>
      <c r="P1093" s="107" t="s">
        <v>432</v>
      </c>
      <c r="Q1093" s="107" t="s">
        <v>432</v>
      </c>
      <c r="R1093" s="107" t="s">
        <v>432</v>
      </c>
      <c r="S1093" s="109" t="s">
        <v>2209</v>
      </c>
      <c r="T1093" s="107" t="s">
        <v>432</v>
      </c>
      <c r="U1093" s="107" t="s">
        <v>432</v>
      </c>
      <c r="V1093" s="109" t="s">
        <v>2209</v>
      </c>
      <c r="W1093" s="107" t="s">
        <v>432</v>
      </c>
      <c r="X1093" s="107" t="s">
        <v>432</v>
      </c>
      <c r="Y1093" s="107" t="s">
        <v>432</v>
      </c>
      <c r="Z1093" s="107" t="s">
        <v>432</v>
      </c>
      <c r="AA1093" s="107" t="s">
        <v>432</v>
      </c>
      <c r="AB1093" s="107" t="s">
        <v>432</v>
      </c>
      <c r="AC1093" s="107" t="s">
        <v>432</v>
      </c>
      <c r="AD1093" s="107" t="s">
        <v>432</v>
      </c>
      <c r="AE1093" s="174">
        <v>0.99</v>
      </c>
      <c r="AF1093" s="107" t="s">
        <v>432</v>
      </c>
      <c r="AG1093" s="107" t="s">
        <v>432</v>
      </c>
      <c r="AH1093" s="107" t="s">
        <v>432</v>
      </c>
      <c r="AI1093" s="107" t="s">
        <v>432</v>
      </c>
      <c r="AJ1093" s="107" t="s">
        <v>432</v>
      </c>
      <c r="AK1093" s="107" t="s">
        <v>432</v>
      </c>
      <c r="AL1093" s="601" t="s">
        <v>432</v>
      </c>
      <c r="AM1093" s="137" t="s">
        <v>432</v>
      </c>
      <c r="AN1093" s="137" t="s">
        <v>432</v>
      </c>
      <c r="AO1093" s="137" t="s">
        <v>432</v>
      </c>
      <c r="AP1093" s="137" t="s">
        <v>432</v>
      </c>
      <c r="AQ1093" s="137" t="s">
        <v>432</v>
      </c>
      <c r="AR1093" s="137" t="s">
        <v>432</v>
      </c>
      <c r="AS1093" s="137" t="s">
        <v>432</v>
      </c>
      <c r="AT1093" s="137" t="s">
        <v>432</v>
      </c>
      <c r="AU1093" s="137" t="s">
        <v>432</v>
      </c>
      <c r="AV1093" s="137" t="s">
        <v>432</v>
      </c>
      <c r="AW1093" s="137" t="s">
        <v>432</v>
      </c>
      <c r="AX1093" s="137" t="s">
        <v>432</v>
      </c>
      <c r="AY1093" s="137" t="s">
        <v>432</v>
      </c>
      <c r="AZ1093" s="137" t="s">
        <v>432</v>
      </c>
      <c r="BA1093" s="137" t="s">
        <v>432</v>
      </c>
      <c r="BB1093" s="239" t="str">
        <f t="shared" si="289"/>
        <v>Sistema de transporte coletivo com um todoacessibilidade</v>
      </c>
      <c r="BC1093" s="239" t="str">
        <f t="shared" si="290"/>
        <v>Sistema de transporte coletivo com um todoacessibilidadebenchmarking</v>
      </c>
      <c r="BD1093" s="239" t="str">
        <f t="shared" si="291"/>
        <v>Sistema de transporte coletivo com um todobenchmarking</v>
      </c>
      <c r="BE1093" s="1063" t="s">
        <v>3018</v>
      </c>
    </row>
    <row r="1094" spans="1:57" s="1" customFormat="1" ht="51" x14ac:dyDescent="0.25">
      <c r="A1094" s="262" t="str">
        <f>'Q100b-totais'!B62</f>
        <v>8.10</v>
      </c>
      <c r="B1094" s="252" t="str">
        <f>'Q100b-totais'!C62</f>
        <v>Sistema de transporte coletivo com um todo</v>
      </c>
      <c r="C1094" s="57" t="s">
        <v>743</v>
      </c>
      <c r="D1094" s="324" t="s">
        <v>3301</v>
      </c>
      <c r="E1094" s="1496" t="s">
        <v>1769</v>
      </c>
      <c r="F1094" s="11" t="s">
        <v>3291</v>
      </c>
      <c r="G1094" s="110" t="s">
        <v>3286</v>
      </c>
      <c r="H1094" s="1072" t="s">
        <v>819</v>
      </c>
      <c r="I1094" s="1073" t="s">
        <v>3427</v>
      </c>
      <c r="J1094" s="107" t="s">
        <v>432</v>
      </c>
      <c r="K1094" s="107" t="s">
        <v>432</v>
      </c>
      <c r="L1094" s="107" t="s">
        <v>432</v>
      </c>
      <c r="M1094" s="107" t="s">
        <v>432</v>
      </c>
      <c r="N1094" s="107" t="s">
        <v>432</v>
      </c>
      <c r="O1094" s="107" t="s">
        <v>432</v>
      </c>
      <c r="P1094" s="107" t="s">
        <v>432</v>
      </c>
      <c r="Q1094" s="107" t="s">
        <v>432</v>
      </c>
      <c r="R1094" s="107" t="s">
        <v>432</v>
      </c>
      <c r="S1094" s="109" t="s">
        <v>2209</v>
      </c>
      <c r="T1094" s="107" t="s">
        <v>432</v>
      </c>
      <c r="U1094" s="107" t="s">
        <v>432</v>
      </c>
      <c r="V1094" s="109" t="s">
        <v>2209</v>
      </c>
      <c r="W1094" s="107" t="s">
        <v>432</v>
      </c>
      <c r="X1094" s="107" t="s">
        <v>432</v>
      </c>
      <c r="Y1094" s="107" t="s">
        <v>432</v>
      </c>
      <c r="Z1094" s="107" t="s">
        <v>432</v>
      </c>
      <c r="AA1094" s="107" t="s">
        <v>432</v>
      </c>
      <c r="AB1094" s="107" t="s">
        <v>432</v>
      </c>
      <c r="AC1094" s="107" t="s">
        <v>432</v>
      </c>
      <c r="AD1094" s="107" t="s">
        <v>432</v>
      </c>
      <c r="AE1094" s="174">
        <v>1</v>
      </c>
      <c r="AF1094" s="107" t="s">
        <v>432</v>
      </c>
      <c r="AG1094" s="107" t="s">
        <v>432</v>
      </c>
      <c r="AH1094" s="107" t="s">
        <v>432</v>
      </c>
      <c r="AI1094" s="107" t="s">
        <v>432</v>
      </c>
      <c r="AJ1094" s="107" t="s">
        <v>432</v>
      </c>
      <c r="AK1094" s="107" t="s">
        <v>432</v>
      </c>
      <c r="AL1094" s="601" t="s">
        <v>432</v>
      </c>
      <c r="AM1094" s="137" t="s">
        <v>432</v>
      </c>
      <c r="AN1094" s="137" t="s">
        <v>432</v>
      </c>
      <c r="AO1094" s="137" t="s">
        <v>432</v>
      </c>
      <c r="AP1094" s="137" t="s">
        <v>432</v>
      </c>
      <c r="AQ1094" s="137" t="s">
        <v>432</v>
      </c>
      <c r="AR1094" s="137" t="s">
        <v>432</v>
      </c>
      <c r="AS1094" s="137" t="s">
        <v>432</v>
      </c>
      <c r="AT1094" s="137" t="s">
        <v>432</v>
      </c>
      <c r="AU1094" s="137" t="s">
        <v>432</v>
      </c>
      <c r="AV1094" s="137" t="s">
        <v>432</v>
      </c>
      <c r="AW1094" s="137" t="s">
        <v>432</v>
      </c>
      <c r="AX1094" s="137" t="s">
        <v>432</v>
      </c>
      <c r="AY1094" s="137" t="s">
        <v>432</v>
      </c>
      <c r="AZ1094" s="137" t="s">
        <v>432</v>
      </c>
      <c r="BA1094" s="137" t="s">
        <v>432</v>
      </c>
      <c r="BB1094" s="239" t="str">
        <f t="shared" si="289"/>
        <v>Sistema de transporte coletivo com um todoacessibilidade</v>
      </c>
      <c r="BC1094" s="239" t="str">
        <f t="shared" si="290"/>
        <v>Sistema de transporte coletivo com um todoacessibilidadebenchmarking</v>
      </c>
      <c r="BD1094" s="239" t="str">
        <f t="shared" si="291"/>
        <v>Sistema de transporte coletivo com um todobenchmarking</v>
      </c>
      <c r="BE1094" s="1063" t="s">
        <v>1769</v>
      </c>
    </row>
    <row r="1095" spans="1:57" s="1" customFormat="1" ht="51" x14ac:dyDescent="0.25">
      <c r="A1095" s="262" t="str">
        <f>'Q100b-totais'!B62</f>
        <v>8.10</v>
      </c>
      <c r="B1095" s="252" t="str">
        <f>'Q100b-totais'!C62</f>
        <v>Sistema de transporte coletivo com um todo</v>
      </c>
      <c r="C1095" s="57" t="s">
        <v>743</v>
      </c>
      <c r="D1095" s="324" t="s">
        <v>3301</v>
      </c>
      <c r="E1095" s="1496" t="s">
        <v>5970</v>
      </c>
      <c r="F1095" s="1205" t="s">
        <v>5971</v>
      </c>
      <c r="G1095" s="110" t="s">
        <v>3285</v>
      </c>
      <c r="H1095" s="1072" t="s">
        <v>819</v>
      </c>
      <c r="I1095" s="1073" t="s">
        <v>3427</v>
      </c>
      <c r="J1095" s="107" t="s">
        <v>432</v>
      </c>
      <c r="K1095" s="107" t="s">
        <v>432</v>
      </c>
      <c r="L1095" s="107" t="s">
        <v>432</v>
      </c>
      <c r="M1095" s="107" t="s">
        <v>432</v>
      </c>
      <c r="N1095" s="107" t="s">
        <v>432</v>
      </c>
      <c r="O1095" s="107" t="s">
        <v>432</v>
      </c>
      <c r="P1095" s="107" t="s">
        <v>432</v>
      </c>
      <c r="Q1095" s="107" t="s">
        <v>432</v>
      </c>
      <c r="R1095" s="107" t="s">
        <v>432</v>
      </c>
      <c r="S1095" s="109" t="s">
        <v>2209</v>
      </c>
      <c r="T1095" s="107" t="s">
        <v>432</v>
      </c>
      <c r="U1095" s="107" t="s">
        <v>432</v>
      </c>
      <c r="V1095" s="109" t="s">
        <v>2209</v>
      </c>
      <c r="W1095" s="107" t="s">
        <v>432</v>
      </c>
      <c r="X1095" s="107" t="s">
        <v>432</v>
      </c>
      <c r="Y1095" s="107" t="s">
        <v>432</v>
      </c>
      <c r="Z1095" s="107" t="s">
        <v>432</v>
      </c>
      <c r="AA1095" s="107" t="s">
        <v>432</v>
      </c>
      <c r="AB1095" s="107" t="s">
        <v>432</v>
      </c>
      <c r="AC1095" s="107" t="s">
        <v>432</v>
      </c>
      <c r="AD1095" s="107" t="s">
        <v>432</v>
      </c>
      <c r="AE1095" s="174">
        <v>0.67</v>
      </c>
      <c r="AF1095" s="107" t="s">
        <v>432</v>
      </c>
      <c r="AG1095" s="107" t="s">
        <v>432</v>
      </c>
      <c r="AH1095" s="107" t="s">
        <v>432</v>
      </c>
      <c r="AI1095" s="107" t="s">
        <v>432</v>
      </c>
      <c r="AJ1095" s="107" t="s">
        <v>432</v>
      </c>
      <c r="AK1095" s="107" t="s">
        <v>432</v>
      </c>
      <c r="AL1095" s="601" t="s">
        <v>432</v>
      </c>
      <c r="AM1095" s="137" t="s">
        <v>432</v>
      </c>
      <c r="AN1095" s="137" t="s">
        <v>432</v>
      </c>
      <c r="AO1095" s="137" t="s">
        <v>432</v>
      </c>
      <c r="AP1095" s="137" t="s">
        <v>432</v>
      </c>
      <c r="AQ1095" s="137" t="s">
        <v>432</v>
      </c>
      <c r="AR1095" s="137" t="s">
        <v>432</v>
      </c>
      <c r="AS1095" s="137" t="s">
        <v>432</v>
      </c>
      <c r="AT1095" s="137" t="s">
        <v>432</v>
      </c>
      <c r="AU1095" s="137" t="s">
        <v>432</v>
      </c>
      <c r="AV1095" s="137" t="s">
        <v>432</v>
      </c>
      <c r="AW1095" s="137" t="s">
        <v>432</v>
      </c>
      <c r="AX1095" s="137" t="s">
        <v>432</v>
      </c>
      <c r="AY1095" s="137" t="s">
        <v>432</v>
      </c>
      <c r="AZ1095" s="137" t="s">
        <v>432</v>
      </c>
      <c r="BA1095" s="137" t="s">
        <v>432</v>
      </c>
      <c r="BB1095" s="239" t="str">
        <f t="shared" si="289"/>
        <v>Sistema de transporte coletivo com um todoacessibilidade</v>
      </c>
      <c r="BC1095" s="239" t="str">
        <f t="shared" si="290"/>
        <v>Sistema de transporte coletivo com um todoacessibilidadebenchmarking</v>
      </c>
      <c r="BD1095" s="239" t="str">
        <f t="shared" si="291"/>
        <v>Sistema de transporte coletivo com um todobenchmarking</v>
      </c>
      <c r="BE1095" s="1063" t="s">
        <v>3025</v>
      </c>
    </row>
    <row r="1096" spans="1:57" s="1" customFormat="1" ht="51" x14ac:dyDescent="0.25">
      <c r="A1096" s="262" t="str">
        <f>'Q100b-totais'!B62</f>
        <v>8.10</v>
      </c>
      <c r="B1096" s="252" t="str">
        <f>'Q100b-totais'!C62</f>
        <v>Sistema de transporte coletivo com um todo</v>
      </c>
      <c r="C1096" s="57" t="s">
        <v>743</v>
      </c>
      <c r="D1096" s="324" t="s">
        <v>3301</v>
      </c>
      <c r="E1096" s="1496" t="s">
        <v>3292</v>
      </c>
      <c r="F1096" s="11" t="s">
        <v>3293</v>
      </c>
      <c r="G1096" s="110" t="s">
        <v>3286</v>
      </c>
      <c r="H1096" s="1072" t="s">
        <v>819</v>
      </c>
      <c r="I1096" s="1073" t="s">
        <v>3427</v>
      </c>
      <c r="J1096" s="107" t="s">
        <v>432</v>
      </c>
      <c r="K1096" s="107" t="s">
        <v>432</v>
      </c>
      <c r="L1096" s="107" t="s">
        <v>432</v>
      </c>
      <c r="M1096" s="107" t="s">
        <v>432</v>
      </c>
      <c r="N1096" s="107" t="s">
        <v>432</v>
      </c>
      <c r="O1096" s="107" t="s">
        <v>432</v>
      </c>
      <c r="P1096" s="107" t="s">
        <v>432</v>
      </c>
      <c r="Q1096" s="107" t="s">
        <v>432</v>
      </c>
      <c r="R1096" s="107" t="s">
        <v>432</v>
      </c>
      <c r="S1096" s="109" t="s">
        <v>2209</v>
      </c>
      <c r="T1096" s="107" t="s">
        <v>432</v>
      </c>
      <c r="U1096" s="107" t="s">
        <v>432</v>
      </c>
      <c r="V1096" s="109" t="s">
        <v>2209</v>
      </c>
      <c r="W1096" s="107" t="s">
        <v>432</v>
      </c>
      <c r="X1096" s="107" t="s">
        <v>432</v>
      </c>
      <c r="Y1096" s="107" t="s">
        <v>432</v>
      </c>
      <c r="Z1096" s="107" t="s">
        <v>432</v>
      </c>
      <c r="AA1096" s="107" t="s">
        <v>432</v>
      </c>
      <c r="AB1096" s="107" t="s">
        <v>432</v>
      </c>
      <c r="AC1096" s="107" t="s">
        <v>432</v>
      </c>
      <c r="AD1096" s="107" t="s">
        <v>432</v>
      </c>
      <c r="AE1096" s="174">
        <v>1</v>
      </c>
      <c r="AF1096" s="107" t="s">
        <v>432</v>
      </c>
      <c r="AG1096" s="107" t="s">
        <v>432</v>
      </c>
      <c r="AH1096" s="107" t="s">
        <v>432</v>
      </c>
      <c r="AI1096" s="107" t="s">
        <v>432</v>
      </c>
      <c r="AJ1096" s="107" t="s">
        <v>432</v>
      </c>
      <c r="AK1096" s="107" t="s">
        <v>432</v>
      </c>
      <c r="AL1096" s="601" t="s">
        <v>432</v>
      </c>
      <c r="AM1096" s="137" t="s">
        <v>432</v>
      </c>
      <c r="AN1096" s="137" t="s">
        <v>432</v>
      </c>
      <c r="AO1096" s="137" t="s">
        <v>432</v>
      </c>
      <c r="AP1096" s="137" t="s">
        <v>432</v>
      </c>
      <c r="AQ1096" s="137" t="s">
        <v>432</v>
      </c>
      <c r="AR1096" s="137" t="s">
        <v>432</v>
      </c>
      <c r="AS1096" s="137" t="s">
        <v>432</v>
      </c>
      <c r="AT1096" s="137" t="s">
        <v>432</v>
      </c>
      <c r="AU1096" s="137" t="s">
        <v>432</v>
      </c>
      <c r="AV1096" s="137" t="s">
        <v>432</v>
      </c>
      <c r="AW1096" s="137" t="s">
        <v>432</v>
      </c>
      <c r="AX1096" s="137" t="s">
        <v>432</v>
      </c>
      <c r="AY1096" s="137" t="s">
        <v>432</v>
      </c>
      <c r="AZ1096" s="137" t="s">
        <v>432</v>
      </c>
      <c r="BA1096" s="137" t="s">
        <v>432</v>
      </c>
      <c r="BB1096" s="239" t="str">
        <f t="shared" si="289"/>
        <v>Sistema de transporte coletivo com um todoacessibilidade</v>
      </c>
      <c r="BC1096" s="239" t="str">
        <f t="shared" si="290"/>
        <v>Sistema de transporte coletivo com um todoacessibilidadebenchmarking</v>
      </c>
      <c r="BD1096" s="239" t="str">
        <f t="shared" si="291"/>
        <v>Sistema de transporte coletivo com um todobenchmarking</v>
      </c>
      <c r="BE1096" s="1063" t="s">
        <v>3292</v>
      </c>
    </row>
    <row r="1097" spans="1:57" s="1" customFormat="1" ht="51" x14ac:dyDescent="0.25">
      <c r="A1097" s="262" t="str">
        <f>'Q100b-totais'!B62</f>
        <v>8.10</v>
      </c>
      <c r="B1097" s="252" t="str">
        <f>'Q100b-totais'!C62</f>
        <v>Sistema de transporte coletivo com um todo</v>
      </c>
      <c r="C1097" s="57" t="s">
        <v>743</v>
      </c>
      <c r="D1097" s="324" t="s">
        <v>3301</v>
      </c>
      <c r="E1097" s="1496" t="s">
        <v>3295</v>
      </c>
      <c r="F1097" s="11" t="s">
        <v>3294</v>
      </c>
      <c r="G1097" s="110" t="s">
        <v>3286</v>
      </c>
      <c r="H1097" s="1072" t="s">
        <v>819</v>
      </c>
      <c r="I1097" s="1073" t="s">
        <v>3427</v>
      </c>
      <c r="J1097" s="107" t="s">
        <v>432</v>
      </c>
      <c r="K1097" s="107" t="s">
        <v>432</v>
      </c>
      <c r="L1097" s="107" t="s">
        <v>432</v>
      </c>
      <c r="M1097" s="107" t="s">
        <v>432</v>
      </c>
      <c r="N1097" s="107" t="s">
        <v>432</v>
      </c>
      <c r="O1097" s="107" t="s">
        <v>432</v>
      </c>
      <c r="P1097" s="107" t="s">
        <v>432</v>
      </c>
      <c r="Q1097" s="107" t="s">
        <v>432</v>
      </c>
      <c r="R1097" s="107" t="s">
        <v>432</v>
      </c>
      <c r="S1097" s="109" t="s">
        <v>2209</v>
      </c>
      <c r="T1097" s="107" t="s">
        <v>432</v>
      </c>
      <c r="U1097" s="107" t="s">
        <v>432</v>
      </c>
      <c r="V1097" s="109" t="s">
        <v>2209</v>
      </c>
      <c r="W1097" s="107" t="s">
        <v>432</v>
      </c>
      <c r="X1097" s="107" t="s">
        <v>432</v>
      </c>
      <c r="Y1097" s="107" t="s">
        <v>432</v>
      </c>
      <c r="Z1097" s="107" t="s">
        <v>432</v>
      </c>
      <c r="AA1097" s="107" t="s">
        <v>432</v>
      </c>
      <c r="AB1097" s="107" t="s">
        <v>432</v>
      </c>
      <c r="AC1097" s="107" t="s">
        <v>432</v>
      </c>
      <c r="AD1097" s="107" t="s">
        <v>432</v>
      </c>
      <c r="AE1097" s="174">
        <v>1</v>
      </c>
      <c r="AF1097" s="107" t="s">
        <v>432</v>
      </c>
      <c r="AG1097" s="107" t="s">
        <v>432</v>
      </c>
      <c r="AH1097" s="107" t="s">
        <v>432</v>
      </c>
      <c r="AI1097" s="107" t="s">
        <v>432</v>
      </c>
      <c r="AJ1097" s="107" t="s">
        <v>432</v>
      </c>
      <c r="AK1097" s="107" t="s">
        <v>432</v>
      </c>
      <c r="AL1097" s="601" t="s">
        <v>432</v>
      </c>
      <c r="AM1097" s="137" t="s">
        <v>432</v>
      </c>
      <c r="AN1097" s="137" t="s">
        <v>432</v>
      </c>
      <c r="AO1097" s="137" t="s">
        <v>432</v>
      </c>
      <c r="AP1097" s="137" t="s">
        <v>432</v>
      </c>
      <c r="AQ1097" s="137" t="s">
        <v>432</v>
      </c>
      <c r="AR1097" s="137" t="s">
        <v>432</v>
      </c>
      <c r="AS1097" s="137" t="s">
        <v>432</v>
      </c>
      <c r="AT1097" s="137" t="s">
        <v>432</v>
      </c>
      <c r="AU1097" s="137" t="s">
        <v>432</v>
      </c>
      <c r="AV1097" s="137" t="s">
        <v>432</v>
      </c>
      <c r="AW1097" s="137" t="s">
        <v>432</v>
      </c>
      <c r="AX1097" s="137" t="s">
        <v>432</v>
      </c>
      <c r="AY1097" s="137" t="s">
        <v>432</v>
      </c>
      <c r="AZ1097" s="137" t="s">
        <v>432</v>
      </c>
      <c r="BA1097" s="137" t="s">
        <v>432</v>
      </c>
      <c r="BB1097" s="239" t="str">
        <f t="shared" si="289"/>
        <v>Sistema de transporte coletivo com um todoacessibilidade</v>
      </c>
      <c r="BC1097" s="239" t="str">
        <f t="shared" si="290"/>
        <v>Sistema de transporte coletivo com um todoacessibilidadebenchmarking</v>
      </c>
      <c r="BD1097" s="239" t="str">
        <f t="shared" si="291"/>
        <v>Sistema de transporte coletivo com um todobenchmarking</v>
      </c>
      <c r="BE1097" s="1063" t="s">
        <v>3295</v>
      </c>
    </row>
    <row r="1098" spans="1:57" s="1" customFormat="1" ht="51" x14ac:dyDescent="0.25">
      <c r="A1098" s="262" t="str">
        <f>'Q100b-totais'!B62</f>
        <v>8.10</v>
      </c>
      <c r="B1098" s="252" t="str">
        <f>'Q100b-totais'!C62</f>
        <v>Sistema de transporte coletivo com um todo</v>
      </c>
      <c r="C1098" s="57" t="s">
        <v>743</v>
      </c>
      <c r="D1098" s="324" t="s">
        <v>3301</v>
      </c>
      <c r="E1098" s="1496" t="s">
        <v>5972</v>
      </c>
      <c r="F1098" s="1205" t="s">
        <v>5973</v>
      </c>
      <c r="G1098" s="110" t="s">
        <v>3285</v>
      </c>
      <c r="H1098" s="1072" t="s">
        <v>819</v>
      </c>
      <c r="I1098" s="1073" t="s">
        <v>3427</v>
      </c>
      <c r="J1098" s="107" t="s">
        <v>432</v>
      </c>
      <c r="K1098" s="107" t="s">
        <v>432</v>
      </c>
      <c r="L1098" s="107" t="s">
        <v>432</v>
      </c>
      <c r="M1098" s="107" t="s">
        <v>432</v>
      </c>
      <c r="N1098" s="107" t="s">
        <v>432</v>
      </c>
      <c r="O1098" s="107" t="s">
        <v>432</v>
      </c>
      <c r="P1098" s="107" t="s">
        <v>432</v>
      </c>
      <c r="Q1098" s="107" t="s">
        <v>432</v>
      </c>
      <c r="R1098" s="107" t="s">
        <v>432</v>
      </c>
      <c r="S1098" s="109" t="s">
        <v>2209</v>
      </c>
      <c r="T1098" s="107" t="s">
        <v>432</v>
      </c>
      <c r="U1098" s="107" t="s">
        <v>432</v>
      </c>
      <c r="V1098" s="109" t="s">
        <v>2209</v>
      </c>
      <c r="W1098" s="107" t="s">
        <v>432</v>
      </c>
      <c r="X1098" s="107" t="s">
        <v>432</v>
      </c>
      <c r="Y1098" s="107" t="s">
        <v>432</v>
      </c>
      <c r="Z1098" s="107" t="s">
        <v>432</v>
      </c>
      <c r="AA1098" s="107" t="s">
        <v>432</v>
      </c>
      <c r="AB1098" s="107" t="s">
        <v>432</v>
      </c>
      <c r="AC1098" s="107" t="s">
        <v>432</v>
      </c>
      <c r="AD1098" s="107" t="s">
        <v>432</v>
      </c>
      <c r="AE1098" s="174">
        <v>0.4</v>
      </c>
      <c r="AF1098" s="107" t="s">
        <v>432</v>
      </c>
      <c r="AG1098" s="107" t="s">
        <v>432</v>
      </c>
      <c r="AH1098" s="107" t="s">
        <v>432</v>
      </c>
      <c r="AI1098" s="107" t="s">
        <v>432</v>
      </c>
      <c r="AJ1098" s="107" t="s">
        <v>432</v>
      </c>
      <c r="AK1098" s="107" t="s">
        <v>432</v>
      </c>
      <c r="AL1098" s="601" t="s">
        <v>432</v>
      </c>
      <c r="AM1098" s="137" t="s">
        <v>432</v>
      </c>
      <c r="AN1098" s="137" t="s">
        <v>432</v>
      </c>
      <c r="AO1098" s="137" t="s">
        <v>432</v>
      </c>
      <c r="AP1098" s="137" t="s">
        <v>432</v>
      </c>
      <c r="AQ1098" s="137" t="s">
        <v>432</v>
      </c>
      <c r="AR1098" s="137" t="s">
        <v>432</v>
      </c>
      <c r="AS1098" s="137" t="s">
        <v>432</v>
      </c>
      <c r="AT1098" s="137" t="s">
        <v>432</v>
      </c>
      <c r="AU1098" s="137" t="s">
        <v>432</v>
      </c>
      <c r="AV1098" s="137" t="s">
        <v>432</v>
      </c>
      <c r="AW1098" s="137" t="s">
        <v>432</v>
      </c>
      <c r="AX1098" s="137" t="s">
        <v>432</v>
      </c>
      <c r="AY1098" s="137" t="s">
        <v>432</v>
      </c>
      <c r="AZ1098" s="137" t="s">
        <v>432</v>
      </c>
      <c r="BA1098" s="137" t="s">
        <v>432</v>
      </c>
      <c r="BB1098" s="239" t="str">
        <f t="shared" ref="BB1098" si="298">B1098&amp;C1098</f>
        <v>Sistema de transporte coletivo com um todoacessibilidade</v>
      </c>
      <c r="BC1098" s="239" t="str">
        <f t="shared" ref="BC1098" si="299">B1098&amp;C1098&amp;H1098</f>
        <v>Sistema de transporte coletivo com um todoacessibilidadebenchmarking</v>
      </c>
      <c r="BD1098" s="239" t="str">
        <f t="shared" ref="BD1098" si="300">B1098&amp;H1098</f>
        <v>Sistema de transporte coletivo com um todobenchmarking</v>
      </c>
      <c r="BE1098" s="1063" t="s">
        <v>3025</v>
      </c>
    </row>
    <row r="1099" spans="1:57" s="1" customFormat="1" ht="51" x14ac:dyDescent="0.25">
      <c r="A1099" s="262" t="str">
        <f>'Q100b-totais'!B62</f>
        <v>8.10</v>
      </c>
      <c r="B1099" s="252" t="str">
        <f>'Q100b-totais'!C62</f>
        <v>Sistema de transporte coletivo com um todo</v>
      </c>
      <c r="C1099" s="57" t="s">
        <v>743</v>
      </c>
      <c r="D1099" s="324" t="s">
        <v>3301</v>
      </c>
      <c r="E1099" s="1496" t="s">
        <v>3297</v>
      </c>
      <c r="F1099" s="11" t="s">
        <v>3296</v>
      </c>
      <c r="G1099" s="110" t="s">
        <v>3286</v>
      </c>
      <c r="H1099" s="1072" t="s">
        <v>819</v>
      </c>
      <c r="I1099" s="1073" t="s">
        <v>3427</v>
      </c>
      <c r="J1099" s="107" t="s">
        <v>432</v>
      </c>
      <c r="K1099" s="107" t="s">
        <v>432</v>
      </c>
      <c r="L1099" s="107" t="s">
        <v>432</v>
      </c>
      <c r="M1099" s="107" t="s">
        <v>432</v>
      </c>
      <c r="N1099" s="107" t="s">
        <v>432</v>
      </c>
      <c r="O1099" s="107" t="s">
        <v>432</v>
      </c>
      <c r="P1099" s="107" t="s">
        <v>432</v>
      </c>
      <c r="Q1099" s="107" t="s">
        <v>432</v>
      </c>
      <c r="R1099" s="107" t="s">
        <v>432</v>
      </c>
      <c r="S1099" s="109" t="s">
        <v>2209</v>
      </c>
      <c r="T1099" s="107" t="s">
        <v>432</v>
      </c>
      <c r="U1099" s="107" t="s">
        <v>432</v>
      </c>
      <c r="V1099" s="109" t="s">
        <v>2209</v>
      </c>
      <c r="W1099" s="107" t="s">
        <v>432</v>
      </c>
      <c r="X1099" s="107" t="s">
        <v>432</v>
      </c>
      <c r="Y1099" s="107" t="s">
        <v>432</v>
      </c>
      <c r="Z1099" s="107" t="s">
        <v>432</v>
      </c>
      <c r="AA1099" s="107" t="s">
        <v>432</v>
      </c>
      <c r="AB1099" s="107" t="s">
        <v>432</v>
      </c>
      <c r="AC1099" s="107" t="s">
        <v>432</v>
      </c>
      <c r="AD1099" s="107" t="s">
        <v>432</v>
      </c>
      <c r="AE1099" s="174">
        <v>1</v>
      </c>
      <c r="AF1099" s="107" t="s">
        <v>432</v>
      </c>
      <c r="AG1099" s="107" t="s">
        <v>432</v>
      </c>
      <c r="AH1099" s="107" t="s">
        <v>432</v>
      </c>
      <c r="AI1099" s="107" t="s">
        <v>432</v>
      </c>
      <c r="AJ1099" s="107" t="s">
        <v>432</v>
      </c>
      <c r="AK1099" s="107" t="s">
        <v>432</v>
      </c>
      <c r="AL1099" s="601" t="s">
        <v>432</v>
      </c>
      <c r="AM1099" s="137" t="s">
        <v>432</v>
      </c>
      <c r="AN1099" s="137" t="s">
        <v>432</v>
      </c>
      <c r="AO1099" s="137" t="s">
        <v>432</v>
      </c>
      <c r="AP1099" s="137" t="s">
        <v>432</v>
      </c>
      <c r="AQ1099" s="137" t="s">
        <v>432</v>
      </c>
      <c r="AR1099" s="137" t="s">
        <v>432</v>
      </c>
      <c r="AS1099" s="137" t="s">
        <v>432</v>
      </c>
      <c r="AT1099" s="137" t="s">
        <v>432</v>
      </c>
      <c r="AU1099" s="137" t="s">
        <v>432</v>
      </c>
      <c r="AV1099" s="137" t="s">
        <v>432</v>
      </c>
      <c r="AW1099" s="137" t="s">
        <v>432</v>
      </c>
      <c r="AX1099" s="137" t="s">
        <v>432</v>
      </c>
      <c r="AY1099" s="137" t="s">
        <v>432</v>
      </c>
      <c r="AZ1099" s="137" t="s">
        <v>432</v>
      </c>
      <c r="BA1099" s="137" t="s">
        <v>432</v>
      </c>
      <c r="BB1099" s="239" t="str">
        <f t="shared" si="289"/>
        <v>Sistema de transporte coletivo com um todoacessibilidade</v>
      </c>
      <c r="BC1099" s="239" t="str">
        <f t="shared" si="290"/>
        <v>Sistema de transporte coletivo com um todoacessibilidadebenchmarking</v>
      </c>
      <c r="BD1099" s="239" t="str">
        <f t="shared" si="291"/>
        <v>Sistema de transporte coletivo com um todobenchmarking</v>
      </c>
      <c r="BE1099" s="1063" t="s">
        <v>3297</v>
      </c>
    </row>
    <row r="1100" spans="1:57" s="1" customFormat="1" ht="51" x14ac:dyDescent="0.25">
      <c r="A1100" s="262" t="str">
        <f>'Q100b-totais'!B62</f>
        <v>8.10</v>
      </c>
      <c r="B1100" s="252" t="str">
        <f>'Q100b-totais'!C62</f>
        <v>Sistema de transporte coletivo com um todo</v>
      </c>
      <c r="C1100" s="57" t="s">
        <v>743</v>
      </c>
      <c r="D1100" s="324" t="s">
        <v>3301</v>
      </c>
      <c r="E1100" s="1496" t="s">
        <v>5974</v>
      </c>
      <c r="F1100" s="1205" t="s">
        <v>5975</v>
      </c>
      <c r="G1100" s="110" t="s">
        <v>3285</v>
      </c>
      <c r="H1100" s="1072" t="s">
        <v>819</v>
      </c>
      <c r="I1100" s="1073" t="s">
        <v>3427</v>
      </c>
      <c r="J1100" s="107" t="s">
        <v>432</v>
      </c>
      <c r="K1100" s="107" t="s">
        <v>432</v>
      </c>
      <c r="L1100" s="107" t="s">
        <v>432</v>
      </c>
      <c r="M1100" s="107" t="s">
        <v>432</v>
      </c>
      <c r="N1100" s="107" t="s">
        <v>432</v>
      </c>
      <c r="O1100" s="107" t="s">
        <v>432</v>
      </c>
      <c r="P1100" s="107" t="s">
        <v>432</v>
      </c>
      <c r="Q1100" s="107" t="s">
        <v>432</v>
      </c>
      <c r="R1100" s="107" t="s">
        <v>432</v>
      </c>
      <c r="S1100" s="109" t="s">
        <v>2209</v>
      </c>
      <c r="T1100" s="107" t="s">
        <v>432</v>
      </c>
      <c r="U1100" s="107" t="s">
        <v>432</v>
      </c>
      <c r="V1100" s="109" t="s">
        <v>2209</v>
      </c>
      <c r="W1100" s="107" t="s">
        <v>432</v>
      </c>
      <c r="X1100" s="107" t="s">
        <v>432</v>
      </c>
      <c r="Y1100" s="107" t="s">
        <v>432</v>
      </c>
      <c r="Z1100" s="107" t="s">
        <v>432</v>
      </c>
      <c r="AA1100" s="107" t="s">
        <v>432</v>
      </c>
      <c r="AB1100" s="107" t="s">
        <v>432</v>
      </c>
      <c r="AC1100" s="107" t="s">
        <v>432</v>
      </c>
      <c r="AD1100" s="107" t="s">
        <v>432</v>
      </c>
      <c r="AE1100" s="174">
        <v>0.83</v>
      </c>
      <c r="AF1100" s="107" t="s">
        <v>432</v>
      </c>
      <c r="AG1100" s="107" t="s">
        <v>432</v>
      </c>
      <c r="AH1100" s="107" t="s">
        <v>432</v>
      </c>
      <c r="AI1100" s="107" t="s">
        <v>432</v>
      </c>
      <c r="AJ1100" s="107" t="s">
        <v>432</v>
      </c>
      <c r="AK1100" s="107" t="s">
        <v>432</v>
      </c>
      <c r="AL1100" s="601" t="s">
        <v>432</v>
      </c>
      <c r="AM1100" s="137" t="s">
        <v>432</v>
      </c>
      <c r="AN1100" s="137" t="s">
        <v>432</v>
      </c>
      <c r="AO1100" s="137" t="s">
        <v>432</v>
      </c>
      <c r="AP1100" s="137" t="s">
        <v>432</v>
      </c>
      <c r="AQ1100" s="137" t="s">
        <v>432</v>
      </c>
      <c r="AR1100" s="137" t="s">
        <v>432</v>
      </c>
      <c r="AS1100" s="137" t="s">
        <v>432</v>
      </c>
      <c r="AT1100" s="137" t="s">
        <v>432</v>
      </c>
      <c r="AU1100" s="137" t="s">
        <v>432</v>
      </c>
      <c r="AV1100" s="137" t="s">
        <v>432</v>
      </c>
      <c r="AW1100" s="137" t="s">
        <v>432</v>
      </c>
      <c r="AX1100" s="137" t="s">
        <v>432</v>
      </c>
      <c r="AY1100" s="137" t="s">
        <v>432</v>
      </c>
      <c r="AZ1100" s="137" t="s">
        <v>432</v>
      </c>
      <c r="BA1100" s="137" t="s">
        <v>432</v>
      </c>
      <c r="BB1100" s="239" t="str">
        <f t="shared" si="289"/>
        <v>Sistema de transporte coletivo com um todoacessibilidade</v>
      </c>
      <c r="BC1100" s="239" t="str">
        <f t="shared" si="290"/>
        <v>Sistema de transporte coletivo com um todoacessibilidadebenchmarking</v>
      </c>
      <c r="BD1100" s="239" t="str">
        <f t="shared" si="291"/>
        <v>Sistema de transporte coletivo com um todobenchmarking</v>
      </c>
      <c r="BE1100" s="1063" t="s">
        <v>3025</v>
      </c>
    </row>
    <row r="1101" spans="1:57" s="1" customFormat="1" ht="51" x14ac:dyDescent="0.25">
      <c r="A1101" s="262" t="str">
        <f>'Q100b-totais'!B62</f>
        <v>8.10</v>
      </c>
      <c r="B1101" s="252" t="str">
        <f>'Q100b-totais'!C62</f>
        <v>Sistema de transporte coletivo com um todo</v>
      </c>
      <c r="C1101" s="57" t="s">
        <v>743</v>
      </c>
      <c r="D1101" s="324" t="s">
        <v>3301</v>
      </c>
      <c r="E1101" s="1496" t="s">
        <v>5976</v>
      </c>
      <c r="F1101" s="1205" t="s">
        <v>5975</v>
      </c>
      <c r="G1101" s="110" t="s">
        <v>3285</v>
      </c>
      <c r="H1101" s="1072" t="s">
        <v>819</v>
      </c>
      <c r="I1101" s="1073" t="s">
        <v>3427</v>
      </c>
      <c r="J1101" s="107" t="s">
        <v>432</v>
      </c>
      <c r="K1101" s="107" t="s">
        <v>432</v>
      </c>
      <c r="L1101" s="107" t="s">
        <v>432</v>
      </c>
      <c r="M1101" s="107" t="s">
        <v>432</v>
      </c>
      <c r="N1101" s="107" t="s">
        <v>432</v>
      </c>
      <c r="O1101" s="107" t="s">
        <v>432</v>
      </c>
      <c r="P1101" s="107" t="s">
        <v>432</v>
      </c>
      <c r="Q1101" s="107" t="s">
        <v>432</v>
      </c>
      <c r="R1101" s="107" t="s">
        <v>432</v>
      </c>
      <c r="S1101" s="109" t="s">
        <v>2209</v>
      </c>
      <c r="T1101" s="107" t="s">
        <v>432</v>
      </c>
      <c r="U1101" s="107" t="s">
        <v>432</v>
      </c>
      <c r="V1101" s="109" t="s">
        <v>2209</v>
      </c>
      <c r="W1101" s="107" t="s">
        <v>432</v>
      </c>
      <c r="X1101" s="107" t="s">
        <v>432</v>
      </c>
      <c r="Y1101" s="107" t="s">
        <v>432</v>
      </c>
      <c r="Z1101" s="107" t="s">
        <v>432</v>
      </c>
      <c r="AA1101" s="107" t="s">
        <v>432</v>
      </c>
      <c r="AB1101" s="107" t="s">
        <v>432</v>
      </c>
      <c r="AC1101" s="107" t="s">
        <v>432</v>
      </c>
      <c r="AD1101" s="107" t="s">
        <v>432</v>
      </c>
      <c r="AE1101" s="174">
        <v>0.56000000000000005</v>
      </c>
      <c r="AF1101" s="107" t="s">
        <v>432</v>
      </c>
      <c r="AG1101" s="107" t="s">
        <v>432</v>
      </c>
      <c r="AH1101" s="107" t="s">
        <v>432</v>
      </c>
      <c r="AI1101" s="107" t="s">
        <v>432</v>
      </c>
      <c r="AJ1101" s="107" t="s">
        <v>432</v>
      </c>
      <c r="AK1101" s="107" t="s">
        <v>432</v>
      </c>
      <c r="AL1101" s="601" t="s">
        <v>432</v>
      </c>
      <c r="AM1101" s="137" t="s">
        <v>432</v>
      </c>
      <c r="AN1101" s="137" t="s">
        <v>432</v>
      </c>
      <c r="AO1101" s="137" t="s">
        <v>432</v>
      </c>
      <c r="AP1101" s="137" t="s">
        <v>432</v>
      </c>
      <c r="AQ1101" s="137" t="s">
        <v>432</v>
      </c>
      <c r="AR1101" s="137" t="s">
        <v>432</v>
      </c>
      <c r="AS1101" s="137" t="s">
        <v>432</v>
      </c>
      <c r="AT1101" s="137" t="s">
        <v>432</v>
      </c>
      <c r="AU1101" s="137" t="s">
        <v>432</v>
      </c>
      <c r="AV1101" s="137" t="s">
        <v>432</v>
      </c>
      <c r="AW1101" s="137" t="s">
        <v>432</v>
      </c>
      <c r="AX1101" s="137" t="s">
        <v>432</v>
      </c>
      <c r="AY1101" s="137" t="s">
        <v>432</v>
      </c>
      <c r="AZ1101" s="137" t="s">
        <v>432</v>
      </c>
      <c r="BA1101" s="137" t="s">
        <v>432</v>
      </c>
      <c r="BB1101" s="239" t="str">
        <f t="shared" ref="BB1101" si="301">B1101&amp;C1101</f>
        <v>Sistema de transporte coletivo com um todoacessibilidade</v>
      </c>
      <c r="BC1101" s="239" t="str">
        <f t="shared" ref="BC1101" si="302">B1101&amp;C1101&amp;H1101</f>
        <v>Sistema de transporte coletivo com um todoacessibilidadebenchmarking</v>
      </c>
      <c r="BD1101" s="239" t="str">
        <f t="shared" ref="BD1101" si="303">B1101&amp;H1101</f>
        <v>Sistema de transporte coletivo com um todobenchmarking</v>
      </c>
      <c r="BE1101" s="1063" t="s">
        <v>3025</v>
      </c>
    </row>
    <row r="1102" spans="1:57" s="1" customFormat="1" ht="51" x14ac:dyDescent="0.25">
      <c r="A1102" s="262" t="str">
        <f>'Q100b-totais'!B62</f>
        <v>8.10</v>
      </c>
      <c r="B1102" s="252" t="str">
        <f>'Q100b-totais'!C62</f>
        <v>Sistema de transporte coletivo com um todo</v>
      </c>
      <c r="C1102" s="57" t="s">
        <v>743</v>
      </c>
      <c r="D1102" s="324" t="s">
        <v>3301</v>
      </c>
      <c r="E1102" s="1496" t="s">
        <v>5977</v>
      </c>
      <c r="F1102" s="1205" t="s">
        <v>5975</v>
      </c>
      <c r="G1102" s="110" t="s">
        <v>3285</v>
      </c>
      <c r="H1102" s="1072" t="s">
        <v>819</v>
      </c>
      <c r="I1102" s="1073" t="s">
        <v>3427</v>
      </c>
      <c r="J1102" s="107" t="s">
        <v>432</v>
      </c>
      <c r="K1102" s="107" t="s">
        <v>432</v>
      </c>
      <c r="L1102" s="107" t="s">
        <v>432</v>
      </c>
      <c r="M1102" s="107" t="s">
        <v>432</v>
      </c>
      <c r="N1102" s="107" t="s">
        <v>432</v>
      </c>
      <c r="O1102" s="107" t="s">
        <v>432</v>
      </c>
      <c r="P1102" s="107" t="s">
        <v>432</v>
      </c>
      <c r="Q1102" s="107" t="s">
        <v>432</v>
      </c>
      <c r="R1102" s="107" t="s">
        <v>432</v>
      </c>
      <c r="S1102" s="109" t="s">
        <v>2209</v>
      </c>
      <c r="T1102" s="107" t="s">
        <v>432</v>
      </c>
      <c r="U1102" s="107" t="s">
        <v>432</v>
      </c>
      <c r="V1102" s="109" t="s">
        <v>2209</v>
      </c>
      <c r="W1102" s="107" t="s">
        <v>432</v>
      </c>
      <c r="X1102" s="107" t="s">
        <v>432</v>
      </c>
      <c r="Y1102" s="107" t="s">
        <v>432</v>
      </c>
      <c r="Z1102" s="107" t="s">
        <v>432</v>
      </c>
      <c r="AA1102" s="107" t="s">
        <v>432</v>
      </c>
      <c r="AB1102" s="107" t="s">
        <v>432</v>
      </c>
      <c r="AC1102" s="107" t="s">
        <v>432</v>
      </c>
      <c r="AD1102" s="107" t="s">
        <v>432</v>
      </c>
      <c r="AE1102" s="174">
        <v>0.96</v>
      </c>
      <c r="AF1102" s="107" t="s">
        <v>432</v>
      </c>
      <c r="AG1102" s="107" t="s">
        <v>432</v>
      </c>
      <c r="AH1102" s="107" t="s">
        <v>432</v>
      </c>
      <c r="AI1102" s="107" t="s">
        <v>432</v>
      </c>
      <c r="AJ1102" s="107" t="s">
        <v>432</v>
      </c>
      <c r="AK1102" s="107" t="s">
        <v>432</v>
      </c>
      <c r="AL1102" s="601" t="s">
        <v>432</v>
      </c>
      <c r="AM1102" s="137" t="s">
        <v>432</v>
      </c>
      <c r="AN1102" s="137" t="s">
        <v>432</v>
      </c>
      <c r="AO1102" s="137" t="s">
        <v>432</v>
      </c>
      <c r="AP1102" s="137" t="s">
        <v>432</v>
      </c>
      <c r="AQ1102" s="137" t="s">
        <v>432</v>
      </c>
      <c r="AR1102" s="137" t="s">
        <v>432</v>
      </c>
      <c r="AS1102" s="137" t="s">
        <v>432</v>
      </c>
      <c r="AT1102" s="137" t="s">
        <v>432</v>
      </c>
      <c r="AU1102" s="137" t="s">
        <v>432</v>
      </c>
      <c r="AV1102" s="137" t="s">
        <v>432</v>
      </c>
      <c r="AW1102" s="137" t="s">
        <v>432</v>
      </c>
      <c r="AX1102" s="137" t="s">
        <v>432</v>
      </c>
      <c r="AY1102" s="137" t="s">
        <v>432</v>
      </c>
      <c r="AZ1102" s="137" t="s">
        <v>432</v>
      </c>
      <c r="BA1102" s="137" t="s">
        <v>432</v>
      </c>
      <c r="BB1102" s="239" t="str">
        <f t="shared" ref="BB1102:BB1103" si="304">B1102&amp;C1102</f>
        <v>Sistema de transporte coletivo com um todoacessibilidade</v>
      </c>
      <c r="BC1102" s="239" t="str">
        <f t="shared" ref="BC1102:BC1103" si="305">B1102&amp;C1102&amp;H1102</f>
        <v>Sistema de transporte coletivo com um todoacessibilidadebenchmarking</v>
      </c>
      <c r="BD1102" s="239" t="str">
        <f t="shared" ref="BD1102:BD1103" si="306">B1102&amp;H1102</f>
        <v>Sistema de transporte coletivo com um todobenchmarking</v>
      </c>
      <c r="BE1102" s="1063" t="s">
        <v>3025</v>
      </c>
    </row>
    <row r="1103" spans="1:57" s="1" customFormat="1" ht="51" x14ac:dyDescent="0.25">
      <c r="A1103" s="262" t="str">
        <f>'Q100b-totais'!B62</f>
        <v>8.10</v>
      </c>
      <c r="B1103" s="252" t="str">
        <f>'Q100b-totais'!C62</f>
        <v>Sistema de transporte coletivo com um todo</v>
      </c>
      <c r="C1103" s="57" t="s">
        <v>743</v>
      </c>
      <c r="D1103" s="324" t="s">
        <v>3301</v>
      </c>
      <c r="E1103" s="1496" t="s">
        <v>5902</v>
      </c>
      <c r="F1103" s="1205" t="s">
        <v>5975</v>
      </c>
      <c r="G1103" s="110" t="s">
        <v>3285</v>
      </c>
      <c r="H1103" s="1072" t="s">
        <v>819</v>
      </c>
      <c r="I1103" s="1073" t="s">
        <v>3427</v>
      </c>
      <c r="J1103" s="107" t="s">
        <v>432</v>
      </c>
      <c r="K1103" s="107" t="s">
        <v>432</v>
      </c>
      <c r="L1103" s="107" t="s">
        <v>432</v>
      </c>
      <c r="M1103" s="107" t="s">
        <v>432</v>
      </c>
      <c r="N1103" s="107" t="s">
        <v>432</v>
      </c>
      <c r="O1103" s="107" t="s">
        <v>432</v>
      </c>
      <c r="P1103" s="107" t="s">
        <v>432</v>
      </c>
      <c r="Q1103" s="107" t="s">
        <v>432</v>
      </c>
      <c r="R1103" s="107" t="s">
        <v>432</v>
      </c>
      <c r="S1103" s="109" t="s">
        <v>2209</v>
      </c>
      <c r="T1103" s="107" t="s">
        <v>432</v>
      </c>
      <c r="U1103" s="107" t="s">
        <v>432</v>
      </c>
      <c r="V1103" s="109" t="s">
        <v>2209</v>
      </c>
      <c r="W1103" s="107" t="s">
        <v>432</v>
      </c>
      <c r="X1103" s="107" t="s">
        <v>432</v>
      </c>
      <c r="Y1103" s="107" t="s">
        <v>432</v>
      </c>
      <c r="Z1103" s="107" t="s">
        <v>432</v>
      </c>
      <c r="AA1103" s="107" t="s">
        <v>432</v>
      </c>
      <c r="AB1103" s="107" t="s">
        <v>432</v>
      </c>
      <c r="AC1103" s="107" t="s">
        <v>432</v>
      </c>
      <c r="AD1103" s="107" t="s">
        <v>432</v>
      </c>
      <c r="AE1103" s="174">
        <v>0.76</v>
      </c>
      <c r="AF1103" s="107" t="s">
        <v>432</v>
      </c>
      <c r="AG1103" s="107" t="s">
        <v>432</v>
      </c>
      <c r="AH1103" s="107" t="s">
        <v>432</v>
      </c>
      <c r="AI1103" s="107" t="s">
        <v>432</v>
      </c>
      <c r="AJ1103" s="107" t="s">
        <v>432</v>
      </c>
      <c r="AK1103" s="107" t="s">
        <v>432</v>
      </c>
      <c r="AL1103" s="601" t="s">
        <v>432</v>
      </c>
      <c r="AM1103" s="137" t="s">
        <v>432</v>
      </c>
      <c r="AN1103" s="137" t="s">
        <v>432</v>
      </c>
      <c r="AO1103" s="137" t="s">
        <v>432</v>
      </c>
      <c r="AP1103" s="137" t="s">
        <v>432</v>
      </c>
      <c r="AQ1103" s="137" t="s">
        <v>432</v>
      </c>
      <c r="AR1103" s="137" t="s">
        <v>432</v>
      </c>
      <c r="AS1103" s="137" t="s">
        <v>432</v>
      </c>
      <c r="AT1103" s="137" t="s">
        <v>432</v>
      </c>
      <c r="AU1103" s="137" t="s">
        <v>432</v>
      </c>
      <c r="AV1103" s="137" t="s">
        <v>432</v>
      </c>
      <c r="AW1103" s="137" t="s">
        <v>432</v>
      </c>
      <c r="AX1103" s="137" t="s">
        <v>432</v>
      </c>
      <c r="AY1103" s="137" t="s">
        <v>432</v>
      </c>
      <c r="AZ1103" s="137" t="s">
        <v>432</v>
      </c>
      <c r="BA1103" s="137" t="s">
        <v>432</v>
      </c>
      <c r="BB1103" s="239" t="str">
        <f t="shared" si="304"/>
        <v>Sistema de transporte coletivo com um todoacessibilidade</v>
      </c>
      <c r="BC1103" s="239" t="str">
        <f t="shared" si="305"/>
        <v>Sistema de transporte coletivo com um todoacessibilidadebenchmarking</v>
      </c>
      <c r="BD1103" s="239" t="str">
        <f t="shared" si="306"/>
        <v>Sistema de transporte coletivo com um todobenchmarking</v>
      </c>
      <c r="BE1103" s="1063" t="s">
        <v>3025</v>
      </c>
    </row>
    <row r="1104" spans="1:57" s="1" customFormat="1" ht="51" x14ac:dyDescent="0.25">
      <c r="A1104" s="262" t="str">
        <f>'Q100b-totais'!B62</f>
        <v>8.10</v>
      </c>
      <c r="B1104" s="252" t="str">
        <f>'Q100b-totais'!C62</f>
        <v>Sistema de transporte coletivo com um todo</v>
      </c>
      <c r="C1104" s="57" t="s">
        <v>743</v>
      </c>
      <c r="D1104" s="324" t="s">
        <v>3301</v>
      </c>
      <c r="E1104" s="1496" t="s">
        <v>3299</v>
      </c>
      <c r="F1104" s="11" t="s">
        <v>3298</v>
      </c>
      <c r="G1104" s="110" t="s">
        <v>3286</v>
      </c>
      <c r="H1104" s="1072" t="s">
        <v>819</v>
      </c>
      <c r="I1104" s="1073" t="s">
        <v>3427</v>
      </c>
      <c r="J1104" s="107" t="s">
        <v>432</v>
      </c>
      <c r="K1104" s="107" t="s">
        <v>432</v>
      </c>
      <c r="L1104" s="107" t="s">
        <v>432</v>
      </c>
      <c r="M1104" s="107" t="s">
        <v>432</v>
      </c>
      <c r="N1104" s="107" t="s">
        <v>432</v>
      </c>
      <c r="O1104" s="107" t="s">
        <v>432</v>
      </c>
      <c r="P1104" s="107" t="s">
        <v>432</v>
      </c>
      <c r="Q1104" s="107" t="s">
        <v>432</v>
      </c>
      <c r="R1104" s="107" t="s">
        <v>432</v>
      </c>
      <c r="S1104" s="109" t="s">
        <v>2209</v>
      </c>
      <c r="T1104" s="107" t="s">
        <v>432</v>
      </c>
      <c r="U1104" s="107" t="s">
        <v>432</v>
      </c>
      <c r="V1104" s="109" t="s">
        <v>2209</v>
      </c>
      <c r="W1104" s="107" t="s">
        <v>432</v>
      </c>
      <c r="X1104" s="107" t="s">
        <v>432</v>
      </c>
      <c r="Y1104" s="107" t="s">
        <v>432</v>
      </c>
      <c r="Z1104" s="107" t="s">
        <v>432</v>
      </c>
      <c r="AA1104" s="107" t="s">
        <v>432</v>
      </c>
      <c r="AB1104" s="107" t="s">
        <v>432</v>
      </c>
      <c r="AC1104" s="107" t="s">
        <v>432</v>
      </c>
      <c r="AD1104" s="107" t="s">
        <v>432</v>
      </c>
      <c r="AE1104" s="174">
        <v>1</v>
      </c>
      <c r="AF1104" s="107" t="s">
        <v>432</v>
      </c>
      <c r="AG1104" s="107" t="s">
        <v>432</v>
      </c>
      <c r="AH1104" s="107" t="s">
        <v>432</v>
      </c>
      <c r="AI1104" s="107" t="s">
        <v>432</v>
      </c>
      <c r="AJ1104" s="107" t="s">
        <v>432</v>
      </c>
      <c r="AK1104" s="107" t="s">
        <v>432</v>
      </c>
      <c r="AL1104" s="601" t="s">
        <v>432</v>
      </c>
      <c r="AM1104" s="137" t="s">
        <v>432</v>
      </c>
      <c r="AN1104" s="137" t="s">
        <v>432</v>
      </c>
      <c r="AO1104" s="137" t="s">
        <v>432</v>
      </c>
      <c r="AP1104" s="137" t="s">
        <v>432</v>
      </c>
      <c r="AQ1104" s="137" t="s">
        <v>432</v>
      </c>
      <c r="AR1104" s="137" t="s">
        <v>432</v>
      </c>
      <c r="AS1104" s="137" t="s">
        <v>432</v>
      </c>
      <c r="AT1104" s="137" t="s">
        <v>432</v>
      </c>
      <c r="AU1104" s="137" t="s">
        <v>432</v>
      </c>
      <c r="AV1104" s="137" t="s">
        <v>432</v>
      </c>
      <c r="AW1104" s="137" t="s">
        <v>432</v>
      </c>
      <c r="AX1104" s="137" t="s">
        <v>432</v>
      </c>
      <c r="AY1104" s="137" t="s">
        <v>432</v>
      </c>
      <c r="AZ1104" s="137" t="s">
        <v>432</v>
      </c>
      <c r="BA1104" s="137" t="s">
        <v>432</v>
      </c>
      <c r="BB1104" s="239" t="str">
        <f t="shared" si="289"/>
        <v>Sistema de transporte coletivo com um todoacessibilidade</v>
      </c>
      <c r="BC1104" s="239" t="str">
        <f t="shared" si="290"/>
        <v>Sistema de transporte coletivo com um todoacessibilidadebenchmarking</v>
      </c>
      <c r="BD1104" s="239" t="str">
        <f t="shared" si="291"/>
        <v>Sistema de transporte coletivo com um todobenchmarking</v>
      </c>
      <c r="BE1104" s="1063" t="s">
        <v>3299</v>
      </c>
    </row>
    <row r="1105" spans="1:57" s="1" customFormat="1" ht="51" x14ac:dyDescent="0.25">
      <c r="A1105" s="262" t="str">
        <f>'Q100b-totais'!B62</f>
        <v>8.10</v>
      </c>
      <c r="B1105" s="252" t="str">
        <f>'Q100b-totais'!C62</f>
        <v>Sistema de transporte coletivo com um todo</v>
      </c>
      <c r="C1105" s="57" t="s">
        <v>743</v>
      </c>
      <c r="D1105" s="324" t="s">
        <v>3301</v>
      </c>
      <c r="E1105" s="1496" t="s">
        <v>5978</v>
      </c>
      <c r="F1105" s="1205" t="s">
        <v>5975</v>
      </c>
      <c r="G1105" s="110" t="s">
        <v>3285</v>
      </c>
      <c r="H1105" s="1072" t="s">
        <v>819</v>
      </c>
      <c r="I1105" s="1073" t="s">
        <v>3427</v>
      </c>
      <c r="J1105" s="107" t="s">
        <v>432</v>
      </c>
      <c r="K1105" s="107" t="s">
        <v>432</v>
      </c>
      <c r="L1105" s="107" t="s">
        <v>432</v>
      </c>
      <c r="M1105" s="107" t="s">
        <v>432</v>
      </c>
      <c r="N1105" s="107" t="s">
        <v>432</v>
      </c>
      <c r="O1105" s="107" t="s">
        <v>432</v>
      </c>
      <c r="P1105" s="107" t="s">
        <v>432</v>
      </c>
      <c r="Q1105" s="107" t="s">
        <v>432</v>
      </c>
      <c r="R1105" s="107" t="s">
        <v>432</v>
      </c>
      <c r="S1105" s="109" t="s">
        <v>2209</v>
      </c>
      <c r="T1105" s="107" t="s">
        <v>432</v>
      </c>
      <c r="U1105" s="107" t="s">
        <v>432</v>
      </c>
      <c r="V1105" s="109" t="s">
        <v>2209</v>
      </c>
      <c r="W1105" s="107" t="s">
        <v>432</v>
      </c>
      <c r="X1105" s="107" t="s">
        <v>432</v>
      </c>
      <c r="Y1105" s="107" t="s">
        <v>432</v>
      </c>
      <c r="Z1105" s="107" t="s">
        <v>432</v>
      </c>
      <c r="AA1105" s="107" t="s">
        <v>432</v>
      </c>
      <c r="AB1105" s="107" t="s">
        <v>432</v>
      </c>
      <c r="AC1105" s="107" t="s">
        <v>432</v>
      </c>
      <c r="AD1105" s="107" t="s">
        <v>432</v>
      </c>
      <c r="AE1105" s="174">
        <v>0.5</v>
      </c>
      <c r="AF1105" s="107" t="s">
        <v>432</v>
      </c>
      <c r="AG1105" s="107" t="s">
        <v>432</v>
      </c>
      <c r="AH1105" s="107" t="s">
        <v>432</v>
      </c>
      <c r="AI1105" s="107" t="s">
        <v>432</v>
      </c>
      <c r="AJ1105" s="107" t="s">
        <v>432</v>
      </c>
      <c r="AK1105" s="107" t="s">
        <v>432</v>
      </c>
      <c r="AL1105" s="601" t="s">
        <v>432</v>
      </c>
      <c r="AM1105" s="137" t="s">
        <v>432</v>
      </c>
      <c r="AN1105" s="137" t="s">
        <v>432</v>
      </c>
      <c r="AO1105" s="137" t="s">
        <v>432</v>
      </c>
      <c r="AP1105" s="137" t="s">
        <v>432</v>
      </c>
      <c r="AQ1105" s="137" t="s">
        <v>432</v>
      </c>
      <c r="AR1105" s="137" t="s">
        <v>432</v>
      </c>
      <c r="AS1105" s="137" t="s">
        <v>432</v>
      </c>
      <c r="AT1105" s="137" t="s">
        <v>432</v>
      </c>
      <c r="AU1105" s="137" t="s">
        <v>432</v>
      </c>
      <c r="AV1105" s="137" t="s">
        <v>432</v>
      </c>
      <c r="AW1105" s="137" t="s">
        <v>432</v>
      </c>
      <c r="AX1105" s="137" t="s">
        <v>432</v>
      </c>
      <c r="AY1105" s="137" t="s">
        <v>432</v>
      </c>
      <c r="AZ1105" s="137" t="s">
        <v>432</v>
      </c>
      <c r="BA1105" s="137" t="s">
        <v>432</v>
      </c>
      <c r="BB1105" s="239" t="str">
        <f t="shared" si="289"/>
        <v>Sistema de transporte coletivo com um todoacessibilidade</v>
      </c>
      <c r="BC1105" s="239" t="str">
        <f t="shared" si="290"/>
        <v>Sistema de transporte coletivo com um todoacessibilidadebenchmarking</v>
      </c>
      <c r="BD1105" s="239" t="str">
        <f t="shared" si="291"/>
        <v>Sistema de transporte coletivo com um todobenchmarking</v>
      </c>
      <c r="BE1105" s="1063" t="s">
        <v>3025</v>
      </c>
    </row>
    <row r="1106" spans="1:57" s="373" customFormat="1" x14ac:dyDescent="0.25">
      <c r="A1106" s="383"/>
      <c r="B1106" s="384"/>
      <c r="C1106" s="384"/>
      <c r="D1106" s="719"/>
      <c r="E1106" s="1519"/>
      <c r="F1106" s="385"/>
      <c r="G1106" s="385"/>
      <c r="H1106" s="384"/>
      <c r="I1106" s="385"/>
      <c r="J1106" s="385"/>
      <c r="K1106" s="385"/>
      <c r="L1106" s="385"/>
      <c r="M1106" s="385"/>
      <c r="N1106" s="385"/>
      <c r="O1106" s="385"/>
      <c r="P1106" s="385"/>
      <c r="Q1106" s="385"/>
      <c r="R1106" s="385"/>
      <c r="S1106" s="385"/>
      <c r="T1106" s="385"/>
      <c r="U1106" s="385"/>
      <c r="V1106" s="385"/>
      <c r="W1106" s="385"/>
      <c r="X1106" s="385"/>
      <c r="Y1106" s="385"/>
      <c r="Z1106" s="385"/>
      <c r="AA1106" s="385"/>
      <c r="AB1106" s="385"/>
      <c r="AC1106" s="385"/>
      <c r="AD1106" s="385"/>
      <c r="AE1106" s="385"/>
      <c r="AF1106" s="385"/>
      <c r="AG1106" s="385"/>
      <c r="AH1106" s="385"/>
      <c r="AI1106" s="385"/>
      <c r="AJ1106" s="385"/>
      <c r="AK1106" s="397"/>
      <c r="AL1106" s="763"/>
      <c r="AM1106" s="387"/>
      <c r="AN1106" s="387"/>
      <c r="AO1106" s="387"/>
      <c r="AP1106" s="387"/>
      <c r="AQ1106" s="387"/>
      <c r="AR1106" s="387"/>
      <c r="AS1106" s="387"/>
      <c r="AT1106" s="387"/>
      <c r="AU1106" s="387"/>
      <c r="AV1106" s="387"/>
      <c r="AW1106" s="387"/>
      <c r="AX1106" s="387"/>
      <c r="AY1106" s="387"/>
      <c r="AZ1106" s="387"/>
      <c r="BA1106" s="387"/>
      <c r="BB1106" s="388"/>
      <c r="BC1106" s="388"/>
      <c r="BD1106" s="388"/>
    </row>
    <row r="1107" spans="1:57" s="373" customFormat="1" ht="114.75" customHeight="1" x14ac:dyDescent="0.25">
      <c r="A1107" s="413" t="str">
        <f>'Q100b-totais'!B62</f>
        <v>8.10</v>
      </c>
      <c r="B1107" s="1205" t="str">
        <f>'Q100b-totais'!C62</f>
        <v>Sistema de transporte coletivo com um todo</v>
      </c>
      <c r="C1107" s="57" t="s">
        <v>743</v>
      </c>
      <c r="D1107" s="720" t="str">
        <f>'Q100e-FrotaOnibus'!D41</f>
        <v>F tes</v>
      </c>
      <c r="E1107" s="1445" t="str">
        <f>'Q100e-FrotaOnibus'!E41</f>
        <v>x</v>
      </c>
      <c r="F1107" s="252" t="str">
        <f>'Q100e-FrotaOnibus'!F41</f>
        <v xml:space="preserve">frota em n.º de veículos de uma cidade/região que operam em serviços segregados, em geral tratados como serviços especiais, de um município/região para atendimento a categorias específicas de usuários, principalmente para atendimento a escolas e clínicas
obs.1: este serviço é denominado "Sem Limite" em Contagem, "Sites - Sistema de Integrado de Transporte do Serviço Especial" em Curitiba, "serviço especial" em Joinville
obs.2: por não poderem ser utilizados por todos os usuários, esses serviços não são classificados na escala de 1 a 10 definida pelo SisMob-BH em "acessibilidade em ônibus urbano (escala)" e, portanto, não compõem o índice de acessibilidade da frota de transporte coletivo definido em "acessibilidade da frota total de ônibus" </v>
      </c>
      <c r="G1107" s="57" t="s">
        <v>3507</v>
      </c>
      <c r="H1107" s="167" t="s">
        <v>2408</v>
      </c>
      <c r="I1107" s="57" t="s">
        <v>432</v>
      </c>
      <c r="J1107" s="109" t="s">
        <v>432</v>
      </c>
      <c r="K1107" s="109" t="s">
        <v>432</v>
      </c>
      <c r="L1107" s="109" t="s">
        <v>432</v>
      </c>
      <c r="M1107" s="109" t="s">
        <v>432</v>
      </c>
      <c r="N1107" s="109" t="s">
        <v>432</v>
      </c>
      <c r="O1107" s="109" t="s">
        <v>432</v>
      </c>
      <c r="P1107" s="109" t="s">
        <v>432</v>
      </c>
      <c r="Q1107" s="109" t="s">
        <v>432</v>
      </c>
      <c r="R1107" s="109" t="s">
        <v>432</v>
      </c>
      <c r="S1107" s="109" t="s">
        <v>2209</v>
      </c>
      <c r="T1107" s="109" t="s">
        <v>432</v>
      </c>
      <c r="U1107" s="109" t="s">
        <v>432</v>
      </c>
      <c r="V1107" s="109" t="s">
        <v>2209</v>
      </c>
      <c r="W1107" s="109" t="s">
        <v>432</v>
      </c>
      <c r="X1107" s="109" t="s">
        <v>432</v>
      </c>
      <c r="Y1107" s="109" t="s">
        <v>432</v>
      </c>
      <c r="Z1107" s="109" t="s">
        <v>432</v>
      </c>
      <c r="AA1107" s="109" t="s">
        <v>432</v>
      </c>
      <c r="AB1107" s="109" t="s">
        <v>432</v>
      </c>
      <c r="AC1107" s="109" t="s">
        <v>432</v>
      </c>
      <c r="AD1107" s="109" t="s">
        <v>432</v>
      </c>
      <c r="AE1107" s="109" t="s">
        <v>432</v>
      </c>
      <c r="AF1107" s="109" t="s">
        <v>432</v>
      </c>
      <c r="AG1107" s="109" t="s">
        <v>432</v>
      </c>
      <c r="AH1107" s="109" t="s">
        <v>432</v>
      </c>
      <c r="AI1107" s="109" t="s">
        <v>432</v>
      </c>
      <c r="AJ1107" s="109" t="s">
        <v>432</v>
      </c>
      <c r="AK1107" s="137" t="s">
        <v>432</v>
      </c>
      <c r="AL1107" s="601" t="s">
        <v>432</v>
      </c>
      <c r="AM1107" s="137" t="s">
        <v>432</v>
      </c>
      <c r="AN1107" s="137" t="s">
        <v>432</v>
      </c>
      <c r="AO1107" s="137" t="s">
        <v>432</v>
      </c>
      <c r="AP1107" s="137" t="s">
        <v>432</v>
      </c>
      <c r="AQ1107" s="137" t="s">
        <v>432</v>
      </c>
      <c r="AR1107" s="137" t="s">
        <v>432</v>
      </c>
      <c r="AS1107" s="137" t="s">
        <v>432</v>
      </c>
      <c r="AT1107" s="137" t="s">
        <v>432</v>
      </c>
      <c r="AU1107" s="137" t="s">
        <v>432</v>
      </c>
      <c r="AV1107" s="137" t="s">
        <v>432</v>
      </c>
      <c r="AW1107" s="137" t="s">
        <v>432</v>
      </c>
      <c r="AX1107" s="137" t="s">
        <v>432</v>
      </c>
      <c r="AY1107" s="137" t="s">
        <v>432</v>
      </c>
      <c r="AZ1107" s="137" t="s">
        <v>432</v>
      </c>
      <c r="BA1107" s="137" t="s">
        <v>432</v>
      </c>
      <c r="BB1107" s="239" t="str">
        <f>B1107&amp;C1107</f>
        <v>Sistema de transporte coletivo com um todoacessibilidade</v>
      </c>
      <c r="BC1107" s="239" t="str">
        <f>B1107&amp;C1107&amp;H1107</f>
        <v>Sistema de transporte coletivo com um todoacessibilidadesigla/verbete</v>
      </c>
      <c r="BD1107" s="239" t="str">
        <f>B1107&amp;H1107</f>
        <v>Sistema de transporte coletivo com um todosigla/verbete</v>
      </c>
    </row>
    <row r="1108" spans="1:57" s="1" customFormat="1" ht="63.75" x14ac:dyDescent="0.25">
      <c r="A1108" s="275" t="str">
        <f>'Q100b-totais'!B62</f>
        <v>8.10</v>
      </c>
      <c r="B1108" s="1205" t="str">
        <f>'Q100b-totais'!C62</f>
        <v>Sistema de transporte coletivo com um todo</v>
      </c>
      <c r="C1108" s="57" t="s">
        <v>743</v>
      </c>
      <c r="D1108" s="714" t="str">
        <f>'Q100e-FrotaOnibus'!BL41</f>
        <v>F tes</v>
      </c>
      <c r="E1108" s="254" t="str">
        <f>'Q100e-FrotaOnibus'!BM41</f>
        <v>Belo Horizonte</v>
      </c>
      <c r="F1108" s="252" t="str">
        <f>'Q100e-FrotaOnibus'!BN41</f>
        <v>frota em n.º de veículos do transporte especial segregado de Belo Horizonte, denominado "linha 320 - Escola Estadual Amaro Neves"
obs.1: consulte em "F tc histórico" a proposta da BHTrans apresentada ao MP-MG em jun.2002
obs.2: "Para aumentar a acessibilidade, tanto física quanto social, ao sistema de transporte púlico, a BHTRANS empreendeu ações de diversos tipos voltadas a este objetivo, conforme os exemplos que destacamos abaixo: [...] Criação da linha 320 (Escola Estadual Amaro Neves), para o atendimento de crianças portadoras de deficiência, no Barreiro" conforme BHTRANS(2000a, p.21)</v>
      </c>
      <c r="G1108" s="252" t="str">
        <f>'Q100e-FrotaOnibus'!BO41</f>
        <v>ainda não incorporado ao SisMob-BH</v>
      </c>
      <c r="H1108" s="57" t="s">
        <v>432</v>
      </c>
      <c r="I1108" s="167">
        <v>1</v>
      </c>
      <c r="J1108" s="109" t="s">
        <v>2467</v>
      </c>
      <c r="K1108" s="109" t="s">
        <v>2467</v>
      </c>
      <c r="L1108" s="109" t="s">
        <v>2467</v>
      </c>
      <c r="M1108" s="107" t="s">
        <v>432</v>
      </c>
      <c r="N1108" s="107" t="s">
        <v>432</v>
      </c>
      <c r="O1108" s="107" t="s">
        <v>432</v>
      </c>
      <c r="P1108" s="107" t="s">
        <v>432</v>
      </c>
      <c r="Q1108" s="107" t="s">
        <v>432</v>
      </c>
      <c r="R1108" s="107" t="s">
        <v>432</v>
      </c>
      <c r="S1108" s="109" t="s">
        <v>2209</v>
      </c>
      <c r="T1108" s="107" t="s">
        <v>432</v>
      </c>
      <c r="U1108" s="107" t="s">
        <v>432</v>
      </c>
      <c r="V1108" s="109" t="s">
        <v>2209</v>
      </c>
      <c r="W1108" s="107" t="s">
        <v>432</v>
      </c>
      <c r="X1108" s="107" t="s">
        <v>432</v>
      </c>
      <c r="Y1108" s="107" t="s">
        <v>432</v>
      </c>
      <c r="Z1108" s="107" t="s">
        <v>432</v>
      </c>
      <c r="AA1108" s="107" t="s">
        <v>432</v>
      </c>
      <c r="AB1108" s="107" t="s">
        <v>432</v>
      </c>
      <c r="AC1108" s="107" t="s">
        <v>432</v>
      </c>
      <c r="AD1108" s="107" t="s">
        <v>432</v>
      </c>
      <c r="AE1108" s="107" t="s">
        <v>432</v>
      </c>
      <c r="AF1108" s="107" t="s">
        <v>432</v>
      </c>
      <c r="AG1108" s="107" t="s">
        <v>432</v>
      </c>
      <c r="AH1108" s="107" t="s">
        <v>432</v>
      </c>
      <c r="AI1108" s="107" t="s">
        <v>432</v>
      </c>
      <c r="AJ1108" s="107" t="s">
        <v>432</v>
      </c>
      <c r="AK1108" s="107" t="s">
        <v>432</v>
      </c>
      <c r="AL1108" s="601" t="s">
        <v>432</v>
      </c>
      <c r="AM1108" s="137" t="s">
        <v>432</v>
      </c>
      <c r="AN1108" s="137" t="s">
        <v>432</v>
      </c>
      <c r="AO1108" s="137" t="s">
        <v>432</v>
      </c>
      <c r="AP1108" s="137" t="s">
        <v>432</v>
      </c>
      <c r="AQ1108" s="137" t="s">
        <v>432</v>
      </c>
      <c r="AR1108" s="137" t="s">
        <v>432</v>
      </c>
      <c r="AS1108" s="137" t="s">
        <v>432</v>
      </c>
      <c r="AT1108" s="137" t="s">
        <v>432</v>
      </c>
      <c r="AU1108" s="137" t="s">
        <v>432</v>
      </c>
      <c r="AV1108" s="137" t="s">
        <v>432</v>
      </c>
      <c r="AW1108" s="137" t="s">
        <v>432</v>
      </c>
      <c r="AX1108" s="137" t="s">
        <v>432</v>
      </c>
      <c r="AY1108" s="137" t="s">
        <v>432</v>
      </c>
      <c r="AZ1108" s="137" t="s">
        <v>432</v>
      </c>
      <c r="BA1108" s="137" t="s">
        <v>432</v>
      </c>
      <c r="BB1108" s="239" t="str">
        <f>B1108&amp;C1108</f>
        <v>Sistema de transporte coletivo com um todoacessibilidade</v>
      </c>
      <c r="BC1108" s="239" t="str">
        <f>B1108&amp;C1108&amp;H1108</f>
        <v>Sistema de transporte coletivo com um todoacessibilidadex</v>
      </c>
      <c r="BD1108" s="239" t="str">
        <f>B1108&amp;H1108</f>
        <v>Sistema de transporte coletivo com um todox</v>
      </c>
    </row>
    <row r="1109" spans="1:57" s="1" customFormat="1" ht="138.75" customHeight="1" x14ac:dyDescent="0.25">
      <c r="A1109" s="275" t="str">
        <f>'Q100b-totais'!B62</f>
        <v>8.10</v>
      </c>
      <c r="B1109" s="1205" t="str">
        <f>'Q100b-totais'!C62</f>
        <v>Sistema de transporte coletivo com um todo</v>
      </c>
      <c r="C1109" s="57" t="s">
        <v>743</v>
      </c>
      <c r="D1109" s="714" t="str">
        <f>'Q100e-FrotaOnibus'!O41</f>
        <v>F tes</v>
      </c>
      <c r="E1109" s="254" t="str">
        <f>'Q100e-FrotaOnibus'!P41</f>
        <v>Contagem</v>
      </c>
      <c r="F1109" s="252" t="str">
        <f>'Q100e-FrotaOnibus'!Q41</f>
        <v>frota em n.º de veículos do transporte especial segregado de Contagem, denominado pela prefeitura local de "Sem Limite"
obs.: "Sem Limite é um Programa do governo municipal da cidade de
Contagem-MG [...]. Em 12 de fevereiro de 2007, a Prefeitura de Contagem_MG lança o Programa Sem Limite, com o objetivo de promover a inclusão do cidadão com deficiência física com alto grau de comprometimento na sua mobilidade, facilitando seu deslocamento, com exclusividade para o atendimento escolar e tratamento de Saúde. [...] O Programa é regulado pelo Decreto Municipal nº 926 de 07 de maio de 2008, e recebe um investimento com recursos do próprio município de R$ 3 milhões, 4 mil e 380 Reais ao ano (dados de 2011)." conforme CONTAGEM(2012a)
obs.: resultados de 2007 a 2014 conforme CONTAGEM(2012a) e VERTRAN(2015a)</v>
      </c>
      <c r="G1109" s="110" t="str">
        <f>'Q100e-FrotaOnibus'!R41</f>
        <v>registro na fonte</v>
      </c>
      <c r="H1109" s="57" t="s">
        <v>1298</v>
      </c>
      <c r="I1109" s="167">
        <v>1</v>
      </c>
      <c r="J1109" s="107" t="s">
        <v>432</v>
      </c>
      <c r="K1109" s="107" t="s">
        <v>432</v>
      </c>
      <c r="L1109" s="107" t="s">
        <v>432</v>
      </c>
      <c r="M1109" s="107" t="s">
        <v>432</v>
      </c>
      <c r="N1109" s="107" t="s">
        <v>432</v>
      </c>
      <c r="O1109" s="107" t="s">
        <v>432</v>
      </c>
      <c r="P1109" s="107" t="s">
        <v>432</v>
      </c>
      <c r="Q1109" s="107" t="s">
        <v>432</v>
      </c>
      <c r="R1109" s="107" t="s">
        <v>432</v>
      </c>
      <c r="S1109" s="109" t="s">
        <v>2209</v>
      </c>
      <c r="T1109" s="107" t="s">
        <v>432</v>
      </c>
      <c r="U1109" s="107" t="s">
        <v>432</v>
      </c>
      <c r="V1109" s="109" t="s">
        <v>2209</v>
      </c>
      <c r="W1109" s="107" t="s">
        <v>432</v>
      </c>
      <c r="X1109" s="107" t="s">
        <v>432</v>
      </c>
      <c r="Y1109" s="107" t="s">
        <v>432</v>
      </c>
      <c r="Z1109" s="107" t="s">
        <v>432</v>
      </c>
      <c r="AA1109" s="107" t="s">
        <v>432</v>
      </c>
      <c r="AB1109" s="107" t="s">
        <v>432</v>
      </c>
      <c r="AC1109" s="93">
        <v>25</v>
      </c>
      <c r="AD1109" s="93">
        <v>25</v>
      </c>
      <c r="AE1109" s="93">
        <v>25</v>
      </c>
      <c r="AF1109" s="93">
        <v>25</v>
      </c>
      <c r="AG1109" s="93">
        <v>25</v>
      </c>
      <c r="AH1109" s="93">
        <v>25</v>
      </c>
      <c r="AI1109" s="93">
        <v>25</v>
      </c>
      <c r="AJ1109" s="93">
        <v>25</v>
      </c>
      <c r="AK1109" s="107" t="s">
        <v>432</v>
      </c>
      <c r="AL1109" s="601" t="s">
        <v>432</v>
      </c>
      <c r="AM1109" s="137" t="s">
        <v>432</v>
      </c>
      <c r="AN1109" s="137" t="s">
        <v>432</v>
      </c>
      <c r="AO1109" s="137" t="s">
        <v>432</v>
      </c>
      <c r="AP1109" s="137" t="s">
        <v>432</v>
      </c>
      <c r="AQ1109" s="137" t="s">
        <v>432</v>
      </c>
      <c r="AR1109" s="137" t="s">
        <v>432</v>
      </c>
      <c r="AS1109" s="137" t="s">
        <v>432</v>
      </c>
      <c r="AT1109" s="137" t="s">
        <v>432</v>
      </c>
      <c r="AU1109" s="137" t="s">
        <v>432</v>
      </c>
      <c r="AV1109" s="137" t="s">
        <v>432</v>
      </c>
      <c r="AW1109" s="137" t="s">
        <v>432</v>
      </c>
      <c r="AX1109" s="137" t="s">
        <v>432</v>
      </c>
      <c r="AY1109" s="137" t="s">
        <v>432</v>
      </c>
      <c r="AZ1109" s="137" t="s">
        <v>432</v>
      </c>
      <c r="BA1109" s="137" t="s">
        <v>432</v>
      </c>
      <c r="BB1109" s="239" t="str">
        <f>B1109&amp;C1109</f>
        <v>Sistema de transporte coletivo com um todoacessibilidade</v>
      </c>
      <c r="BC1109" s="239" t="str">
        <f>B1109&amp;C1109&amp;H1109</f>
        <v>Sistema de transporte coletivo com um todoacessibilidadeRMBH</v>
      </c>
      <c r="BD1109" s="239" t="str">
        <f>B1109&amp;H1109</f>
        <v>Sistema de transporte coletivo com um todoRMBH</v>
      </c>
    </row>
    <row r="1110" spans="1:57" s="1" customFormat="1" ht="152.25" customHeight="1" x14ac:dyDescent="0.25">
      <c r="A1110" s="275" t="str">
        <f>'Q100b-totais'!B62</f>
        <v>8.10</v>
      </c>
      <c r="B1110" s="1205" t="str">
        <f>'Q100b-totais'!C62</f>
        <v>Sistema de transporte coletivo com um todo</v>
      </c>
      <c r="C1110" s="57" t="s">
        <v>743</v>
      </c>
      <c r="D1110" s="714" t="str">
        <f>'Q100e-FrotaOnibus'!S41</f>
        <v>F tes</v>
      </c>
      <c r="E1110" s="254" t="str">
        <f>'Q100e-FrotaOnibus'!T41</f>
        <v>Curitiba</v>
      </c>
      <c r="F1110" s="252" t="str">
        <f>'Q100e-FrotaOnibus'!U41</f>
        <v>frota em n.º de veículos do transporte especial segregado de Curitiba, denominado pela prefeitura local como "SITES - Sistema Integrado de Transporte do Ensino Especial"
obs.1: O Sites foi criado "no primeiro semestre de 1984" para atender "aos alunos da rede de escolas especializadas para deficientes físicos e/ou mentais de Curitiba, sem custo para estes usuários. [...] Atualmente a URBS - Urbanização de Curitiba S/A, é responsável pelo gerenciamento desta rede de linhas especiais, em conjunto com a Secretaria Municipal da Educação (SME) que, a partir do Decreto Municipal 1813/2005, assumiu a responsabilidade pelo ressarcimento dos custos do Sistema" conforme URBS(2016c)
obs.2: resultados de 2015 conforme URBS(2016c)
obs.3: por não fazer parte do sistema de transporte coletivo que toda a população pode utilizar, no SisMob-BH esta frota não é incorporada ao indicador "F tc fc (ônibus com alguma facilidade)" e nem, consequentemente, ao indicador "% de ônibus com alguma facilidade"</v>
      </c>
      <c r="G1110" s="110" t="str">
        <f>'Q100e-FrotaOnibus'!V41</f>
        <v>registro na fonte</v>
      </c>
      <c r="H1110" s="57" t="s">
        <v>819</v>
      </c>
      <c r="I1110" s="167" t="s">
        <v>432</v>
      </c>
      <c r="J1110" s="107" t="s">
        <v>432</v>
      </c>
      <c r="K1110" s="107" t="s">
        <v>432</v>
      </c>
      <c r="L1110" s="107" t="s">
        <v>432</v>
      </c>
      <c r="M1110" s="107" t="s">
        <v>432</v>
      </c>
      <c r="N1110" s="107" t="s">
        <v>432</v>
      </c>
      <c r="O1110" s="107" t="s">
        <v>432</v>
      </c>
      <c r="P1110" s="107" t="s">
        <v>432</v>
      </c>
      <c r="Q1110" s="107" t="s">
        <v>432</v>
      </c>
      <c r="R1110" s="107" t="s">
        <v>432</v>
      </c>
      <c r="S1110" s="109" t="s">
        <v>2209</v>
      </c>
      <c r="T1110" s="107" t="s">
        <v>432</v>
      </c>
      <c r="U1110" s="107" t="s">
        <v>432</v>
      </c>
      <c r="V1110" s="109" t="s">
        <v>2209</v>
      </c>
      <c r="W1110" s="107" t="s">
        <v>432</v>
      </c>
      <c r="X1110" s="107" t="s">
        <v>432</v>
      </c>
      <c r="Y1110" s="107" t="s">
        <v>432</v>
      </c>
      <c r="Z1110" s="107" t="s">
        <v>432</v>
      </c>
      <c r="AA1110" s="107" t="s">
        <v>432</v>
      </c>
      <c r="AB1110" s="107" t="s">
        <v>432</v>
      </c>
      <c r="AC1110" s="107" t="s">
        <v>432</v>
      </c>
      <c r="AD1110" s="107" t="s">
        <v>432</v>
      </c>
      <c r="AE1110" s="107" t="s">
        <v>432</v>
      </c>
      <c r="AF1110" s="107" t="s">
        <v>432</v>
      </c>
      <c r="AG1110" s="107" t="s">
        <v>432</v>
      </c>
      <c r="AH1110" s="107" t="s">
        <v>432</v>
      </c>
      <c r="AI1110" s="107" t="s">
        <v>432</v>
      </c>
      <c r="AJ1110" s="107" t="s">
        <v>432</v>
      </c>
      <c r="AK1110" s="93">
        <v>60</v>
      </c>
      <c r="AL1110" s="601" t="s">
        <v>432</v>
      </c>
      <c r="AM1110" s="137" t="s">
        <v>432</v>
      </c>
      <c r="AN1110" s="137" t="s">
        <v>432</v>
      </c>
      <c r="AO1110" s="137" t="s">
        <v>432</v>
      </c>
      <c r="AP1110" s="137" t="s">
        <v>432</v>
      </c>
      <c r="AQ1110" s="137" t="s">
        <v>432</v>
      </c>
      <c r="AR1110" s="137" t="s">
        <v>432</v>
      </c>
      <c r="AS1110" s="137" t="s">
        <v>432</v>
      </c>
      <c r="AT1110" s="137" t="s">
        <v>432</v>
      </c>
      <c r="AU1110" s="137" t="s">
        <v>432</v>
      </c>
      <c r="AV1110" s="137" t="s">
        <v>432</v>
      </c>
      <c r="AW1110" s="137" t="s">
        <v>432</v>
      </c>
      <c r="AX1110" s="137" t="s">
        <v>432</v>
      </c>
      <c r="AY1110" s="137" t="s">
        <v>432</v>
      </c>
      <c r="AZ1110" s="137" t="s">
        <v>432</v>
      </c>
      <c r="BA1110" s="137" t="s">
        <v>432</v>
      </c>
      <c r="BB1110" s="239" t="str">
        <f>B1110&amp;C1110</f>
        <v>Sistema de transporte coletivo com um todoacessibilidade</v>
      </c>
      <c r="BC1110" s="239" t="str">
        <f>B1110&amp;C1110&amp;H1110</f>
        <v>Sistema de transporte coletivo com um todoacessibilidadebenchmarking</v>
      </c>
      <c r="BD1110" s="239" t="str">
        <f>B1110&amp;H1110</f>
        <v>Sistema de transporte coletivo com um todobenchmarking</v>
      </c>
    </row>
    <row r="1111" spans="1:57" s="1" customFormat="1" ht="157.5" customHeight="1" x14ac:dyDescent="0.25">
      <c r="A1111" s="275" t="str">
        <f>A978</f>
        <v>8.10</v>
      </c>
      <c r="B1111" s="54" t="str">
        <f>B978</f>
        <v>Sistema de transporte coletivo com um todo</v>
      </c>
      <c r="C1111" s="230" t="s">
        <v>743</v>
      </c>
      <c r="D1111" s="714" t="str">
        <f>'Q100e-FrotaOnibus'!W41</f>
        <v>F tes</v>
      </c>
      <c r="E1111" s="254" t="str">
        <f>'Q100e-FrotaOnibus'!X41</f>
        <v>Joinville</v>
      </c>
      <c r="F1111" s="252" t="str">
        <f>'Q100e-FrotaOnibus'!Y41</f>
        <v>frota em n.º de veículos do transporte especial segregado de Joinville, denominado pela prefeitura local como "transporte eficiente"
obs.1: o serviço especial é considerado como "integrante do serviço regular" conforme JOINVILLE(2000)
obs.2: resultado de 2014 conforme JOINVILLE(2016a) é tomado no SisMob-BH como representativo do período 2012-2015 para recalcular o indicador "F tc fc (ônibus com alguma facilidade)"
obs.3: por não fazer parte do sistema de transporte coletivo que toda a população pode utilizar, no SisMob-BH esta frota não é incorporada ao indicador "F tc fc (ônibus com alguma facilidade)" e nem, consequentemente, ao indicador "% de ônibus com alguma facilidade"</v>
      </c>
      <c r="G1111" s="110" t="str">
        <f>'Q100e-FrotaOnibus'!Z41</f>
        <v>registro na fonte</v>
      </c>
      <c r="H1111" s="57" t="s">
        <v>819</v>
      </c>
      <c r="I1111" s="167" t="s">
        <v>432</v>
      </c>
      <c r="J1111" s="107" t="s">
        <v>432</v>
      </c>
      <c r="K1111" s="107" t="s">
        <v>432</v>
      </c>
      <c r="L1111" s="107" t="s">
        <v>432</v>
      </c>
      <c r="M1111" s="107" t="s">
        <v>432</v>
      </c>
      <c r="N1111" s="107" t="s">
        <v>432</v>
      </c>
      <c r="O1111" s="107" t="s">
        <v>432</v>
      </c>
      <c r="P1111" s="107" t="s">
        <v>432</v>
      </c>
      <c r="Q1111" s="107" t="s">
        <v>432</v>
      </c>
      <c r="R1111" s="107" t="s">
        <v>432</v>
      </c>
      <c r="S1111" s="109" t="s">
        <v>2209</v>
      </c>
      <c r="T1111" s="107" t="s">
        <v>432</v>
      </c>
      <c r="U1111" s="107" t="s">
        <v>432</v>
      </c>
      <c r="V1111" s="109" t="s">
        <v>2209</v>
      </c>
      <c r="W1111" s="107" t="s">
        <v>432</v>
      </c>
      <c r="X1111" s="107" t="s">
        <v>432</v>
      </c>
      <c r="Y1111" s="107" t="s">
        <v>432</v>
      </c>
      <c r="Z1111" s="107" t="s">
        <v>432</v>
      </c>
      <c r="AA1111" s="107" t="s">
        <v>432</v>
      </c>
      <c r="AB1111" s="107" t="s">
        <v>432</v>
      </c>
      <c r="AC1111" s="107" t="s">
        <v>432</v>
      </c>
      <c r="AD1111" s="107" t="s">
        <v>432</v>
      </c>
      <c r="AE1111" s="107" t="s">
        <v>432</v>
      </c>
      <c r="AF1111" s="107" t="s">
        <v>432</v>
      </c>
      <c r="AG1111" s="107" t="s">
        <v>432</v>
      </c>
      <c r="AH1111" s="93">
        <v>14</v>
      </c>
      <c r="AI1111" s="93">
        <v>14</v>
      </c>
      <c r="AJ1111" s="84">
        <v>14</v>
      </c>
      <c r="AK1111" s="84">
        <v>14</v>
      </c>
      <c r="AL1111" s="601" t="s">
        <v>432</v>
      </c>
      <c r="AM1111" s="137" t="s">
        <v>432</v>
      </c>
      <c r="AN1111" s="137" t="s">
        <v>432</v>
      </c>
      <c r="AO1111" s="137" t="s">
        <v>432</v>
      </c>
      <c r="AP1111" s="137" t="s">
        <v>432</v>
      </c>
      <c r="AQ1111" s="137" t="s">
        <v>432</v>
      </c>
      <c r="AR1111" s="137" t="s">
        <v>432</v>
      </c>
      <c r="AS1111" s="137" t="s">
        <v>432</v>
      </c>
      <c r="AT1111" s="137" t="s">
        <v>432</v>
      </c>
      <c r="AU1111" s="137" t="s">
        <v>432</v>
      </c>
      <c r="AV1111" s="137" t="s">
        <v>432</v>
      </c>
      <c r="AW1111" s="137" t="s">
        <v>432</v>
      </c>
      <c r="AX1111" s="137" t="s">
        <v>432</v>
      </c>
      <c r="AY1111" s="137" t="s">
        <v>432</v>
      </c>
      <c r="AZ1111" s="137" t="s">
        <v>432</v>
      </c>
      <c r="BA1111" s="137" t="s">
        <v>432</v>
      </c>
      <c r="BB1111" s="239" t="str">
        <f>B1111&amp;C1111</f>
        <v>Sistema de transporte coletivo com um todoacessibilidade</v>
      </c>
      <c r="BC1111" s="239" t="str">
        <f>B1111&amp;C1111&amp;H1111</f>
        <v>Sistema de transporte coletivo com um todoacessibilidadebenchmarking</v>
      </c>
      <c r="BD1111" s="239" t="str">
        <f>B1111&amp;H1111</f>
        <v>Sistema de transporte coletivo com um todobenchmarking</v>
      </c>
    </row>
    <row r="1112" spans="1:57" s="373" customFormat="1" x14ac:dyDescent="0.25">
      <c r="A1112" s="383"/>
      <c r="B1112" s="384"/>
      <c r="C1112" s="384"/>
      <c r="D1112" s="719"/>
      <c r="E1112" s="1519"/>
      <c r="F1112" s="385"/>
      <c r="G1112" s="385"/>
      <c r="H1112" s="384"/>
      <c r="I1112" s="385"/>
      <c r="J1112" s="385"/>
      <c r="K1112" s="385"/>
      <c r="L1112" s="385"/>
      <c r="M1112" s="385"/>
      <c r="N1112" s="385"/>
      <c r="O1112" s="385"/>
      <c r="P1112" s="385"/>
      <c r="Q1112" s="385"/>
      <c r="R1112" s="385"/>
      <c r="S1112" s="385"/>
      <c r="T1112" s="385"/>
      <c r="U1112" s="385"/>
      <c r="V1112" s="385"/>
      <c r="W1112" s="385"/>
      <c r="X1112" s="385"/>
      <c r="Y1112" s="385"/>
      <c r="Z1112" s="385"/>
      <c r="AA1112" s="385"/>
      <c r="AB1112" s="385"/>
      <c r="AC1112" s="385"/>
      <c r="AD1112" s="385"/>
      <c r="AE1112" s="385"/>
      <c r="AF1112" s="385"/>
      <c r="AG1112" s="385"/>
      <c r="AH1112" s="385"/>
      <c r="AI1112" s="385"/>
      <c r="AJ1112" s="385"/>
      <c r="AK1112" s="397"/>
      <c r="AL1112" s="601" t="s">
        <v>432</v>
      </c>
      <c r="AM1112" s="387"/>
      <c r="AN1112" s="387"/>
      <c r="AO1112" s="387"/>
      <c r="AP1112" s="387"/>
      <c r="AQ1112" s="387"/>
      <c r="AR1112" s="387"/>
      <c r="AS1112" s="387"/>
      <c r="AT1112" s="387"/>
      <c r="AU1112" s="387"/>
      <c r="AV1112" s="387"/>
      <c r="AW1112" s="387"/>
      <c r="AX1112" s="387"/>
      <c r="AY1112" s="387"/>
      <c r="AZ1112" s="387"/>
      <c r="BA1112" s="387"/>
      <c r="BB1112" s="388"/>
      <c r="BC1112" s="388"/>
      <c r="BD1112" s="388"/>
    </row>
    <row r="1113" spans="1:57" s="1" customFormat="1" ht="51" x14ac:dyDescent="0.25">
      <c r="A1113" s="275" t="str">
        <f>'Q100b-totais'!$B$17</f>
        <v>2.2</v>
      </c>
      <c r="B1113" s="1205" t="str">
        <f>'Q100b-totais'!$C$17</f>
        <v>Frota e condutores de veículos automotores</v>
      </c>
      <c r="C1113" s="57" t="s">
        <v>432</v>
      </c>
      <c r="D1113" s="939" t="s">
        <v>470</v>
      </c>
      <c r="E1113" s="1402" t="s">
        <v>1306</v>
      </c>
      <c r="F1113" s="15" t="s">
        <v>3649</v>
      </c>
      <c r="G1113" s="110" t="s">
        <v>77</v>
      </c>
      <c r="H1113" s="167" t="s">
        <v>432</v>
      </c>
      <c r="I1113" s="57">
        <v>1</v>
      </c>
      <c r="J1113" s="107" t="s">
        <v>432</v>
      </c>
      <c r="K1113" s="137" t="s">
        <v>432</v>
      </c>
      <c r="L1113" s="137" t="s">
        <v>432</v>
      </c>
      <c r="M1113" s="137" t="s">
        <v>432</v>
      </c>
      <c r="N1113" s="137" t="s">
        <v>432</v>
      </c>
      <c r="O1113" s="137" t="s">
        <v>432</v>
      </c>
      <c r="P1113" s="137" t="s">
        <v>432</v>
      </c>
      <c r="Q1113" s="137" t="s">
        <v>432</v>
      </c>
      <c r="R1113" s="137" t="s">
        <v>432</v>
      </c>
      <c r="S1113" s="109" t="s">
        <v>2209</v>
      </c>
      <c r="T1113" s="108" t="s">
        <v>432</v>
      </c>
      <c r="U1113" s="108" t="s">
        <v>432</v>
      </c>
      <c r="V1113" s="109" t="s">
        <v>2209</v>
      </c>
      <c r="W1113" s="108" t="s">
        <v>432</v>
      </c>
      <c r="X1113" s="108" t="s">
        <v>432</v>
      </c>
      <c r="Y1113" s="108" t="s">
        <v>432</v>
      </c>
      <c r="Z1113" s="108" t="s">
        <v>432</v>
      </c>
      <c r="AA1113" s="108" t="s">
        <v>432</v>
      </c>
      <c r="AB1113" s="108" t="s">
        <v>432</v>
      </c>
      <c r="AC1113" s="107" t="s">
        <v>432</v>
      </c>
      <c r="AD1113" s="84">
        <v>248</v>
      </c>
      <c r="AE1113" s="84">
        <v>295</v>
      </c>
      <c r="AF1113" s="84">
        <v>357</v>
      </c>
      <c r="AG1113" s="84">
        <v>463</v>
      </c>
      <c r="AH1113" s="84">
        <v>498</v>
      </c>
      <c r="AI1113" s="84">
        <v>481</v>
      </c>
      <c r="AJ1113" s="84">
        <v>505</v>
      </c>
      <c r="AK1113" s="84">
        <v>525</v>
      </c>
      <c r="AL1113" s="601" t="s">
        <v>432</v>
      </c>
      <c r="AM1113" s="137" t="s">
        <v>432</v>
      </c>
      <c r="AN1113" s="137" t="s">
        <v>432</v>
      </c>
      <c r="AO1113" s="137" t="s">
        <v>432</v>
      </c>
      <c r="AP1113" s="137" t="s">
        <v>432</v>
      </c>
      <c r="AQ1113" s="137" t="s">
        <v>432</v>
      </c>
      <c r="AR1113" s="137" t="s">
        <v>432</v>
      </c>
      <c r="AS1113" s="137" t="s">
        <v>432</v>
      </c>
      <c r="AT1113" s="137" t="s">
        <v>432</v>
      </c>
      <c r="AU1113" s="137" t="s">
        <v>432</v>
      </c>
      <c r="AV1113" s="137" t="s">
        <v>432</v>
      </c>
      <c r="AW1113" s="137" t="s">
        <v>432</v>
      </c>
      <c r="AX1113" s="137" t="s">
        <v>432</v>
      </c>
      <c r="AY1113" s="137" t="s">
        <v>432</v>
      </c>
      <c r="AZ1113" s="137" t="s">
        <v>432</v>
      </c>
      <c r="BA1113" s="137" t="s">
        <v>432</v>
      </c>
      <c r="BB1113" s="239" t="str">
        <f t="shared" ref="BB1113:BB1120" si="307">B1113&amp;C1113</f>
        <v>Frota e condutores de veículos automotoresx</v>
      </c>
      <c r="BC1113" s="239" t="str">
        <f t="shared" ref="BC1113:BC1120" si="308">B1113&amp;C1113&amp;H1113</f>
        <v>Frota e condutores de veículos automotoresxx</v>
      </c>
      <c r="BD1113" s="239" t="str">
        <f t="shared" ref="BD1113:BD1120" si="309">B1113&amp;H1113</f>
        <v>Frota e condutores de veículos automotoresx</v>
      </c>
    </row>
    <row r="1114" spans="1:57" s="1" customFormat="1" ht="51" x14ac:dyDescent="0.25">
      <c r="A1114" s="275" t="str">
        <f>'Q100b-totais'!$B$17</f>
        <v>2.2</v>
      </c>
      <c r="B1114" s="54" t="str">
        <f>'Q100b-totais'!$C$17</f>
        <v>Frota e condutores de veículos automotores</v>
      </c>
      <c r="C1114" s="230" t="s">
        <v>432</v>
      </c>
      <c r="D1114" s="979" t="s">
        <v>476</v>
      </c>
      <c r="E1114" s="1402" t="s">
        <v>1306</v>
      </c>
      <c r="F1114" s="15" t="s">
        <v>3650</v>
      </c>
      <c r="G1114" s="110" t="s">
        <v>77</v>
      </c>
      <c r="H1114" s="167" t="s">
        <v>432</v>
      </c>
      <c r="I1114" s="57">
        <v>1</v>
      </c>
      <c r="J1114" s="107" t="s">
        <v>432</v>
      </c>
      <c r="K1114" s="137" t="s">
        <v>432</v>
      </c>
      <c r="L1114" s="137" t="s">
        <v>432</v>
      </c>
      <c r="M1114" s="137" t="s">
        <v>432</v>
      </c>
      <c r="N1114" s="137" t="s">
        <v>432</v>
      </c>
      <c r="O1114" s="137" t="s">
        <v>432</v>
      </c>
      <c r="P1114" s="137" t="s">
        <v>432</v>
      </c>
      <c r="Q1114" s="137" t="s">
        <v>432</v>
      </c>
      <c r="R1114" s="137" t="s">
        <v>432</v>
      </c>
      <c r="S1114" s="109" t="s">
        <v>2209</v>
      </c>
      <c r="T1114" s="108" t="s">
        <v>432</v>
      </c>
      <c r="U1114" s="108" t="s">
        <v>432</v>
      </c>
      <c r="V1114" s="109" t="s">
        <v>2209</v>
      </c>
      <c r="W1114" s="108" t="s">
        <v>432</v>
      </c>
      <c r="X1114" s="108" t="s">
        <v>432</v>
      </c>
      <c r="Y1114" s="108" t="s">
        <v>432</v>
      </c>
      <c r="Z1114" s="108" t="s">
        <v>432</v>
      </c>
      <c r="AA1114" s="108" t="s">
        <v>432</v>
      </c>
      <c r="AB1114" s="108" t="s">
        <v>432</v>
      </c>
      <c r="AC1114" s="107" t="s">
        <v>432</v>
      </c>
      <c r="AD1114" s="84">
        <v>3</v>
      </c>
      <c r="AE1114" s="84">
        <v>3</v>
      </c>
      <c r="AF1114" s="84">
        <v>3</v>
      </c>
      <c r="AG1114" s="84">
        <v>3</v>
      </c>
      <c r="AH1114" s="84">
        <v>3</v>
      </c>
      <c r="AI1114" s="84">
        <v>3</v>
      </c>
      <c r="AJ1114" s="84">
        <v>3</v>
      </c>
      <c r="AK1114" s="84">
        <v>3</v>
      </c>
      <c r="AL1114" s="601" t="s">
        <v>432</v>
      </c>
      <c r="AM1114" s="137" t="s">
        <v>432</v>
      </c>
      <c r="AN1114" s="137" t="s">
        <v>432</v>
      </c>
      <c r="AO1114" s="137" t="s">
        <v>432</v>
      </c>
      <c r="AP1114" s="137" t="s">
        <v>432</v>
      </c>
      <c r="AQ1114" s="137" t="s">
        <v>432</v>
      </c>
      <c r="AR1114" s="137" t="s">
        <v>432</v>
      </c>
      <c r="AS1114" s="137" t="s">
        <v>432</v>
      </c>
      <c r="AT1114" s="137" t="s">
        <v>432</v>
      </c>
      <c r="AU1114" s="137" t="s">
        <v>432</v>
      </c>
      <c r="AV1114" s="137" t="s">
        <v>432</v>
      </c>
      <c r="AW1114" s="137" t="s">
        <v>432</v>
      </c>
      <c r="AX1114" s="137" t="s">
        <v>432</v>
      </c>
      <c r="AY1114" s="137" t="s">
        <v>432</v>
      </c>
      <c r="AZ1114" s="137" t="s">
        <v>432</v>
      </c>
      <c r="BA1114" s="137" t="s">
        <v>432</v>
      </c>
      <c r="BB1114" s="239" t="str">
        <f t="shared" si="307"/>
        <v>Frota e condutores de veículos automotoresx</v>
      </c>
      <c r="BC1114" s="239" t="str">
        <f t="shared" si="308"/>
        <v>Frota e condutores de veículos automotoresxx</v>
      </c>
      <c r="BD1114" s="239" t="str">
        <f t="shared" si="309"/>
        <v>Frota e condutores de veículos automotoresx</v>
      </c>
    </row>
    <row r="1115" spans="1:57" s="1" customFormat="1" ht="51" x14ac:dyDescent="0.25">
      <c r="A1115" s="275" t="str">
        <f>'Q100b-totais'!$B$17</f>
        <v>2.2</v>
      </c>
      <c r="B1115" s="54" t="str">
        <f>'Q100b-totais'!$C$17</f>
        <v>Frota e condutores de veículos automotores</v>
      </c>
      <c r="C1115" s="230" t="s">
        <v>432</v>
      </c>
      <c r="D1115" s="979" t="s">
        <v>475</v>
      </c>
      <c r="E1115" s="1402" t="s">
        <v>1306</v>
      </c>
      <c r="F1115" s="15" t="s">
        <v>3651</v>
      </c>
      <c r="G1115" s="110" t="s">
        <v>77</v>
      </c>
      <c r="H1115" s="167" t="s">
        <v>432</v>
      </c>
      <c r="I1115" s="57">
        <v>1</v>
      </c>
      <c r="J1115" s="107" t="s">
        <v>432</v>
      </c>
      <c r="K1115" s="137" t="s">
        <v>432</v>
      </c>
      <c r="L1115" s="137" t="s">
        <v>432</v>
      </c>
      <c r="M1115" s="137" t="s">
        <v>432</v>
      </c>
      <c r="N1115" s="137" t="s">
        <v>432</v>
      </c>
      <c r="O1115" s="137" t="s">
        <v>432</v>
      </c>
      <c r="P1115" s="137" t="s">
        <v>432</v>
      </c>
      <c r="Q1115" s="137" t="s">
        <v>432</v>
      </c>
      <c r="R1115" s="137" t="s">
        <v>432</v>
      </c>
      <c r="S1115" s="109" t="s">
        <v>2209</v>
      </c>
      <c r="T1115" s="108" t="s">
        <v>432</v>
      </c>
      <c r="U1115" s="108" t="s">
        <v>432</v>
      </c>
      <c r="V1115" s="109" t="s">
        <v>2209</v>
      </c>
      <c r="W1115" s="108" t="s">
        <v>432</v>
      </c>
      <c r="X1115" s="108" t="s">
        <v>432</v>
      </c>
      <c r="Y1115" s="108" t="s">
        <v>432</v>
      </c>
      <c r="Z1115" s="108" t="s">
        <v>432</v>
      </c>
      <c r="AA1115" s="108" t="s">
        <v>432</v>
      </c>
      <c r="AB1115" s="108" t="s">
        <v>432</v>
      </c>
      <c r="AC1115" s="107" t="s">
        <v>432</v>
      </c>
      <c r="AD1115" s="84">
        <v>246</v>
      </c>
      <c r="AE1115" s="84">
        <v>277</v>
      </c>
      <c r="AF1115" s="84">
        <v>292</v>
      </c>
      <c r="AG1115" s="84">
        <v>308</v>
      </c>
      <c r="AH1115" s="84">
        <v>304</v>
      </c>
      <c r="AI1115" s="84">
        <v>303</v>
      </c>
      <c r="AJ1115" s="84">
        <v>301</v>
      </c>
      <c r="AK1115" s="84">
        <v>313</v>
      </c>
      <c r="AL1115" s="601" t="s">
        <v>432</v>
      </c>
      <c r="AM1115" s="137" t="s">
        <v>432</v>
      </c>
      <c r="AN1115" s="137" t="s">
        <v>432</v>
      </c>
      <c r="AO1115" s="137" t="s">
        <v>432</v>
      </c>
      <c r="AP1115" s="137" t="s">
        <v>432</v>
      </c>
      <c r="AQ1115" s="137" t="s">
        <v>432</v>
      </c>
      <c r="AR1115" s="137" t="s">
        <v>432</v>
      </c>
      <c r="AS1115" s="137" t="s">
        <v>432</v>
      </c>
      <c r="AT1115" s="137" t="s">
        <v>432</v>
      </c>
      <c r="AU1115" s="137" t="s">
        <v>432</v>
      </c>
      <c r="AV1115" s="137" t="s">
        <v>432</v>
      </c>
      <c r="AW1115" s="137" t="s">
        <v>432</v>
      </c>
      <c r="AX1115" s="137" t="s">
        <v>432</v>
      </c>
      <c r="AY1115" s="137" t="s">
        <v>432</v>
      </c>
      <c r="AZ1115" s="137" t="s">
        <v>432</v>
      </c>
      <c r="BA1115" s="137" t="s">
        <v>432</v>
      </c>
      <c r="BB1115" s="239" t="str">
        <f t="shared" si="307"/>
        <v>Frota e condutores de veículos automotoresx</v>
      </c>
      <c r="BC1115" s="239" t="str">
        <f t="shared" si="308"/>
        <v>Frota e condutores de veículos automotoresxx</v>
      </c>
      <c r="BD1115" s="239" t="str">
        <f t="shared" si="309"/>
        <v>Frota e condutores de veículos automotoresx</v>
      </c>
    </row>
    <row r="1116" spans="1:57" s="1" customFormat="1" ht="51" x14ac:dyDescent="0.25">
      <c r="A1116" s="275" t="str">
        <f>'Q100b-totais'!$B$17</f>
        <v>2.2</v>
      </c>
      <c r="B1116" s="54" t="str">
        <f>'Q100b-totais'!$C$17</f>
        <v>Frota e condutores de veículos automotores</v>
      </c>
      <c r="C1116" s="230" t="s">
        <v>432</v>
      </c>
      <c r="D1116" s="979" t="s">
        <v>471</v>
      </c>
      <c r="E1116" s="1402" t="s">
        <v>1306</v>
      </c>
      <c r="F1116" s="15" t="s">
        <v>3653</v>
      </c>
      <c r="G1116" s="110" t="s">
        <v>77</v>
      </c>
      <c r="H1116" s="167" t="s">
        <v>432</v>
      </c>
      <c r="I1116" s="57">
        <v>1</v>
      </c>
      <c r="J1116" s="107" t="s">
        <v>432</v>
      </c>
      <c r="K1116" s="137" t="s">
        <v>432</v>
      </c>
      <c r="L1116" s="137" t="s">
        <v>432</v>
      </c>
      <c r="M1116" s="137" t="s">
        <v>432</v>
      </c>
      <c r="N1116" s="137" t="s">
        <v>432</v>
      </c>
      <c r="O1116" s="137" t="s">
        <v>432</v>
      </c>
      <c r="P1116" s="137" t="s">
        <v>432</v>
      </c>
      <c r="Q1116" s="137" t="s">
        <v>432</v>
      </c>
      <c r="R1116" s="137" t="s">
        <v>432</v>
      </c>
      <c r="S1116" s="109" t="s">
        <v>2209</v>
      </c>
      <c r="T1116" s="108" t="s">
        <v>432</v>
      </c>
      <c r="U1116" s="108" t="s">
        <v>432</v>
      </c>
      <c r="V1116" s="109" t="s">
        <v>2209</v>
      </c>
      <c r="W1116" s="108" t="s">
        <v>432</v>
      </c>
      <c r="X1116" s="108" t="s">
        <v>432</v>
      </c>
      <c r="Y1116" s="108" t="s">
        <v>432</v>
      </c>
      <c r="Z1116" s="108" t="s">
        <v>432</v>
      </c>
      <c r="AA1116" s="108" t="s">
        <v>432</v>
      </c>
      <c r="AB1116" s="108" t="s">
        <v>432</v>
      </c>
      <c r="AC1116" s="107" t="s">
        <v>432</v>
      </c>
      <c r="AD1116" s="87">
        <v>4428</v>
      </c>
      <c r="AE1116" s="87">
        <v>6059</v>
      </c>
      <c r="AF1116" s="87">
        <v>7803</v>
      </c>
      <c r="AG1116" s="87">
        <v>10007</v>
      </c>
      <c r="AH1116" s="87">
        <v>12076</v>
      </c>
      <c r="AI1116" s="87">
        <v>14501</v>
      </c>
      <c r="AJ1116" s="87">
        <v>16668</v>
      </c>
      <c r="AK1116" s="87">
        <v>18807</v>
      </c>
      <c r="AL1116" s="601" t="s">
        <v>432</v>
      </c>
      <c r="AM1116" s="137" t="s">
        <v>432</v>
      </c>
      <c r="AN1116" s="137" t="s">
        <v>432</v>
      </c>
      <c r="AO1116" s="137" t="s">
        <v>432</v>
      </c>
      <c r="AP1116" s="137" t="s">
        <v>432</v>
      </c>
      <c r="AQ1116" s="137" t="s">
        <v>432</v>
      </c>
      <c r="AR1116" s="137" t="s">
        <v>432</v>
      </c>
      <c r="AS1116" s="137" t="s">
        <v>432</v>
      </c>
      <c r="AT1116" s="137" t="s">
        <v>432</v>
      </c>
      <c r="AU1116" s="137" t="s">
        <v>432</v>
      </c>
      <c r="AV1116" s="137" t="s">
        <v>432</v>
      </c>
      <c r="AW1116" s="137" t="s">
        <v>432</v>
      </c>
      <c r="AX1116" s="137" t="s">
        <v>432</v>
      </c>
      <c r="AY1116" s="137" t="s">
        <v>432</v>
      </c>
      <c r="AZ1116" s="137" t="s">
        <v>432</v>
      </c>
      <c r="BA1116" s="137" t="s">
        <v>432</v>
      </c>
      <c r="BB1116" s="239" t="str">
        <f t="shared" si="307"/>
        <v>Frota e condutores de veículos automotoresx</v>
      </c>
      <c r="BC1116" s="239" t="str">
        <f t="shared" si="308"/>
        <v>Frota e condutores de veículos automotoresxx</v>
      </c>
      <c r="BD1116" s="239" t="str">
        <f t="shared" si="309"/>
        <v>Frota e condutores de veículos automotoresx</v>
      </c>
    </row>
    <row r="1117" spans="1:57" s="1" customFormat="1" ht="108.75" customHeight="1" x14ac:dyDescent="0.25">
      <c r="A1117" s="275" t="str">
        <f>'Q100b-totais'!B17</f>
        <v>2.2</v>
      </c>
      <c r="B1117" s="54" t="str">
        <f>'Q100b-totais'!C17</f>
        <v>Frota e condutores de veículos automotores</v>
      </c>
      <c r="C1117" s="229" t="s">
        <v>432</v>
      </c>
      <c r="D1117" s="977" t="s">
        <v>3608</v>
      </c>
      <c r="E1117" s="1402" t="s">
        <v>1306</v>
      </c>
      <c r="F1117" s="14" t="s">
        <v>3607</v>
      </c>
      <c r="G1117" s="412" t="s">
        <v>1589</v>
      </c>
      <c r="H1117" s="444" t="s">
        <v>678</v>
      </c>
      <c r="I1117" s="167">
        <v>1</v>
      </c>
      <c r="J1117" s="107" t="s">
        <v>432</v>
      </c>
      <c r="K1117" s="107" t="s">
        <v>432</v>
      </c>
      <c r="L1117" s="107" t="s">
        <v>432</v>
      </c>
      <c r="M1117" s="107" t="s">
        <v>432</v>
      </c>
      <c r="N1117" s="107" t="s">
        <v>432</v>
      </c>
      <c r="O1117" s="107" t="s">
        <v>432</v>
      </c>
      <c r="P1117" s="107" t="s">
        <v>432</v>
      </c>
      <c r="Q1117" s="107" t="s">
        <v>432</v>
      </c>
      <c r="R1117" s="107" t="s">
        <v>432</v>
      </c>
      <c r="S1117" s="109" t="s">
        <v>2209</v>
      </c>
      <c r="T1117" s="107" t="s">
        <v>432</v>
      </c>
      <c r="U1117" s="107" t="s">
        <v>432</v>
      </c>
      <c r="V1117" s="109" t="s">
        <v>2209</v>
      </c>
      <c r="W1117" s="107" t="s">
        <v>432</v>
      </c>
      <c r="X1117" s="107" t="s">
        <v>432</v>
      </c>
      <c r="Y1117" s="107" t="s">
        <v>432</v>
      </c>
      <c r="Z1117" s="107" t="s">
        <v>432</v>
      </c>
      <c r="AA1117" s="107" t="s">
        <v>432</v>
      </c>
      <c r="AB1117" s="107" t="s">
        <v>432</v>
      </c>
      <c r="AC1117" s="107" t="s">
        <v>432</v>
      </c>
      <c r="AD1117" s="107" t="s">
        <v>432</v>
      </c>
      <c r="AE1117" s="107" t="s">
        <v>432</v>
      </c>
      <c r="AF1117" s="107" t="s">
        <v>432</v>
      </c>
      <c r="AG1117" s="107" t="s">
        <v>432</v>
      </c>
      <c r="AH1117" s="107" t="s">
        <v>432</v>
      </c>
      <c r="AI1117" s="107" t="s">
        <v>432</v>
      </c>
      <c r="AJ1117" s="107" t="s">
        <v>432</v>
      </c>
      <c r="AK1117" s="137" t="s">
        <v>432</v>
      </c>
      <c r="AL1117" s="601" t="s">
        <v>432</v>
      </c>
      <c r="AM1117" s="137" t="s">
        <v>432</v>
      </c>
      <c r="AN1117" s="137" t="s">
        <v>432</v>
      </c>
      <c r="AO1117" s="137" t="s">
        <v>432</v>
      </c>
      <c r="AP1117" s="137" t="s">
        <v>432</v>
      </c>
      <c r="AQ1117" s="137" t="s">
        <v>432</v>
      </c>
      <c r="AR1117" s="137" t="s">
        <v>432</v>
      </c>
      <c r="AS1117" s="137" t="s">
        <v>432</v>
      </c>
      <c r="AT1117" s="137" t="s">
        <v>432</v>
      </c>
      <c r="AU1117" s="137" t="s">
        <v>432</v>
      </c>
      <c r="AV1117" s="137" t="s">
        <v>432</v>
      </c>
      <c r="AW1117" s="137" t="s">
        <v>432</v>
      </c>
      <c r="AX1117" s="137" t="s">
        <v>432</v>
      </c>
      <c r="AY1117" s="137" t="s">
        <v>432</v>
      </c>
      <c r="AZ1117" s="137" t="s">
        <v>432</v>
      </c>
      <c r="BA1117" s="137" t="s">
        <v>432</v>
      </c>
      <c r="BB1117" s="239" t="str">
        <f t="shared" si="307"/>
        <v>Frota e condutores de veículos automotoresx</v>
      </c>
      <c r="BC1117" s="239" t="str">
        <f t="shared" si="308"/>
        <v>Frota e condutores de veículos automotoresxainda não incorporado ao SisMob-BH</v>
      </c>
      <c r="BD1117" s="239" t="str">
        <f t="shared" si="309"/>
        <v>Frota e condutores de veículos automotoresainda não incorporado ao SisMob-BH</v>
      </c>
    </row>
    <row r="1118" spans="1:57" s="1" customFormat="1" ht="57.75" x14ac:dyDescent="0.25">
      <c r="A1118" s="275" t="str">
        <f>'Q100b-totais'!B17</f>
        <v>2.2</v>
      </c>
      <c r="B1118" s="1205" t="str">
        <f>'Q100b-totais'!C17</f>
        <v>Frota e condutores de veículos automotores</v>
      </c>
      <c r="C1118" s="167" t="s">
        <v>432</v>
      </c>
      <c r="D1118" s="324" t="s">
        <v>3609</v>
      </c>
      <c r="E1118" s="254" t="s">
        <v>1306</v>
      </c>
      <c r="F1118" s="1133" t="s">
        <v>3612</v>
      </c>
      <c r="G1118" s="111" t="s">
        <v>3614</v>
      </c>
      <c r="H1118" s="444" t="s">
        <v>678</v>
      </c>
      <c r="I1118" s="167">
        <v>1</v>
      </c>
      <c r="J1118" s="107" t="s">
        <v>432</v>
      </c>
      <c r="K1118" s="107" t="s">
        <v>432</v>
      </c>
      <c r="L1118" s="107" t="s">
        <v>432</v>
      </c>
      <c r="M1118" s="107" t="s">
        <v>432</v>
      </c>
      <c r="N1118" s="107" t="s">
        <v>432</v>
      </c>
      <c r="O1118" s="107" t="s">
        <v>432</v>
      </c>
      <c r="P1118" s="107" t="s">
        <v>432</v>
      </c>
      <c r="Q1118" s="107" t="s">
        <v>432</v>
      </c>
      <c r="R1118" s="107" t="s">
        <v>432</v>
      </c>
      <c r="S1118" s="109" t="s">
        <v>2209</v>
      </c>
      <c r="T1118" s="107" t="s">
        <v>432</v>
      </c>
      <c r="U1118" s="107" t="s">
        <v>432</v>
      </c>
      <c r="V1118" s="109" t="s">
        <v>2209</v>
      </c>
      <c r="W1118" s="107" t="s">
        <v>432</v>
      </c>
      <c r="X1118" s="107" t="s">
        <v>432</v>
      </c>
      <c r="Y1118" s="107" t="s">
        <v>432</v>
      </c>
      <c r="Z1118" s="107" t="s">
        <v>432</v>
      </c>
      <c r="AA1118" s="107" t="s">
        <v>432</v>
      </c>
      <c r="AB1118" s="107" t="s">
        <v>432</v>
      </c>
      <c r="AC1118" s="107" t="s">
        <v>432</v>
      </c>
      <c r="AD1118" s="107" t="s">
        <v>432</v>
      </c>
      <c r="AE1118" s="107" t="s">
        <v>432</v>
      </c>
      <c r="AF1118" s="107" t="s">
        <v>432</v>
      </c>
      <c r="AG1118" s="107" t="s">
        <v>432</v>
      </c>
      <c r="AH1118" s="107" t="s">
        <v>432</v>
      </c>
      <c r="AI1118" s="107" t="s">
        <v>432</v>
      </c>
      <c r="AJ1118" s="107" t="s">
        <v>432</v>
      </c>
      <c r="AK1118" s="137" t="s">
        <v>432</v>
      </c>
      <c r="AL1118" s="601" t="s">
        <v>432</v>
      </c>
      <c r="AM1118" s="137" t="s">
        <v>432</v>
      </c>
      <c r="AN1118" s="137" t="s">
        <v>432</v>
      </c>
      <c r="AO1118" s="137" t="s">
        <v>432</v>
      </c>
      <c r="AP1118" s="137" t="s">
        <v>432</v>
      </c>
      <c r="AQ1118" s="137" t="s">
        <v>432</v>
      </c>
      <c r="AR1118" s="137" t="s">
        <v>432</v>
      </c>
      <c r="AS1118" s="137" t="s">
        <v>432</v>
      </c>
      <c r="AT1118" s="137" t="s">
        <v>432</v>
      </c>
      <c r="AU1118" s="137" t="s">
        <v>432</v>
      </c>
      <c r="AV1118" s="137" t="s">
        <v>432</v>
      </c>
      <c r="AW1118" s="137" t="s">
        <v>432</v>
      </c>
      <c r="AX1118" s="137" t="s">
        <v>432</v>
      </c>
      <c r="AY1118" s="137" t="s">
        <v>432</v>
      </c>
      <c r="AZ1118" s="137" t="s">
        <v>432</v>
      </c>
      <c r="BA1118" s="137" t="s">
        <v>432</v>
      </c>
      <c r="BB1118" s="239" t="str">
        <f t="shared" si="307"/>
        <v>Frota e condutores de veículos automotoresx</v>
      </c>
      <c r="BC1118" s="239" t="str">
        <f t="shared" si="308"/>
        <v>Frota e condutores de veículos automotoresxainda não incorporado ao SisMob-BH</v>
      </c>
      <c r="BD1118" s="239" t="str">
        <f t="shared" si="309"/>
        <v>Frota e condutores de veículos automotoresainda não incorporado ao SisMob-BH</v>
      </c>
    </row>
    <row r="1119" spans="1:57" s="1" customFormat="1" ht="57.75" x14ac:dyDescent="0.25">
      <c r="A1119" s="275" t="str">
        <f>'Q100b-totais'!B17</f>
        <v>2.2</v>
      </c>
      <c r="B1119" s="1205" t="str">
        <f>'Q100b-totais'!C17</f>
        <v>Frota e condutores de veículos automotores</v>
      </c>
      <c r="C1119" s="167" t="s">
        <v>432</v>
      </c>
      <c r="D1119" s="324" t="s">
        <v>3610</v>
      </c>
      <c r="E1119" s="254" t="s">
        <v>1306</v>
      </c>
      <c r="F1119" s="1133" t="s">
        <v>3568</v>
      </c>
      <c r="G1119" s="111" t="s">
        <v>1589</v>
      </c>
      <c r="H1119" s="444" t="s">
        <v>678</v>
      </c>
      <c r="I1119" s="167">
        <v>1</v>
      </c>
      <c r="J1119" s="107" t="s">
        <v>432</v>
      </c>
      <c r="K1119" s="107" t="s">
        <v>432</v>
      </c>
      <c r="L1119" s="107" t="s">
        <v>432</v>
      </c>
      <c r="M1119" s="107" t="s">
        <v>432</v>
      </c>
      <c r="N1119" s="107" t="s">
        <v>432</v>
      </c>
      <c r="O1119" s="107" t="s">
        <v>432</v>
      </c>
      <c r="P1119" s="107" t="s">
        <v>432</v>
      </c>
      <c r="Q1119" s="107" t="s">
        <v>432</v>
      </c>
      <c r="R1119" s="107" t="s">
        <v>432</v>
      </c>
      <c r="S1119" s="109" t="s">
        <v>2209</v>
      </c>
      <c r="T1119" s="107" t="s">
        <v>432</v>
      </c>
      <c r="U1119" s="107" t="s">
        <v>432</v>
      </c>
      <c r="V1119" s="109" t="s">
        <v>2209</v>
      </c>
      <c r="W1119" s="107" t="s">
        <v>432</v>
      </c>
      <c r="X1119" s="107" t="s">
        <v>432</v>
      </c>
      <c r="Y1119" s="107" t="s">
        <v>432</v>
      </c>
      <c r="Z1119" s="107" t="s">
        <v>432</v>
      </c>
      <c r="AA1119" s="107" t="s">
        <v>432</v>
      </c>
      <c r="AB1119" s="107" t="s">
        <v>432</v>
      </c>
      <c r="AC1119" s="107" t="s">
        <v>432</v>
      </c>
      <c r="AD1119" s="107" t="s">
        <v>432</v>
      </c>
      <c r="AE1119" s="107" t="s">
        <v>432</v>
      </c>
      <c r="AF1119" s="107" t="s">
        <v>432</v>
      </c>
      <c r="AG1119" s="107" t="s">
        <v>432</v>
      </c>
      <c r="AH1119" s="107" t="s">
        <v>432</v>
      </c>
      <c r="AI1119" s="107" t="s">
        <v>432</v>
      </c>
      <c r="AJ1119" s="107" t="s">
        <v>432</v>
      </c>
      <c r="AK1119" s="137" t="s">
        <v>432</v>
      </c>
      <c r="AL1119" s="601" t="s">
        <v>432</v>
      </c>
      <c r="AM1119" s="137" t="s">
        <v>432</v>
      </c>
      <c r="AN1119" s="137" t="s">
        <v>432</v>
      </c>
      <c r="AO1119" s="137" t="s">
        <v>432</v>
      </c>
      <c r="AP1119" s="137" t="s">
        <v>432</v>
      </c>
      <c r="AQ1119" s="137" t="s">
        <v>432</v>
      </c>
      <c r="AR1119" s="137" t="s">
        <v>432</v>
      </c>
      <c r="AS1119" s="137" t="s">
        <v>432</v>
      </c>
      <c r="AT1119" s="137" t="s">
        <v>432</v>
      </c>
      <c r="AU1119" s="137" t="s">
        <v>432</v>
      </c>
      <c r="AV1119" s="137" t="s">
        <v>432</v>
      </c>
      <c r="AW1119" s="137" t="s">
        <v>432</v>
      </c>
      <c r="AX1119" s="137" t="s">
        <v>432</v>
      </c>
      <c r="AY1119" s="137" t="s">
        <v>432</v>
      </c>
      <c r="AZ1119" s="137" t="s">
        <v>432</v>
      </c>
      <c r="BA1119" s="137" t="s">
        <v>432</v>
      </c>
      <c r="BB1119" s="239" t="str">
        <f t="shared" si="307"/>
        <v>Frota e condutores de veículos automotoresx</v>
      </c>
      <c r="BC1119" s="239" t="str">
        <f t="shared" si="308"/>
        <v>Frota e condutores de veículos automotoresxainda não incorporado ao SisMob-BH</v>
      </c>
      <c r="BD1119" s="239" t="str">
        <f t="shared" si="309"/>
        <v>Frota e condutores de veículos automotoresainda não incorporado ao SisMob-BH</v>
      </c>
    </row>
    <row r="1120" spans="1:57" s="1" customFormat="1" ht="57.75" x14ac:dyDescent="0.25">
      <c r="A1120" s="275" t="str">
        <f>'Q100b-totais'!B17</f>
        <v>2.2</v>
      </c>
      <c r="B1120" s="1205" t="str">
        <f>'Q100b-totais'!C17</f>
        <v>Frota e condutores de veículos automotores</v>
      </c>
      <c r="C1120" s="167" t="s">
        <v>432</v>
      </c>
      <c r="D1120" s="324" t="s">
        <v>3611</v>
      </c>
      <c r="E1120" s="254" t="s">
        <v>1306</v>
      </c>
      <c r="F1120" s="1133" t="s">
        <v>3613</v>
      </c>
      <c r="G1120" s="111" t="s">
        <v>3615</v>
      </c>
      <c r="H1120" s="444" t="s">
        <v>678</v>
      </c>
      <c r="I1120" s="167">
        <v>1</v>
      </c>
      <c r="J1120" s="107" t="s">
        <v>432</v>
      </c>
      <c r="K1120" s="107" t="s">
        <v>432</v>
      </c>
      <c r="L1120" s="107" t="s">
        <v>432</v>
      </c>
      <c r="M1120" s="107" t="s">
        <v>432</v>
      </c>
      <c r="N1120" s="107" t="s">
        <v>432</v>
      </c>
      <c r="O1120" s="107" t="s">
        <v>432</v>
      </c>
      <c r="P1120" s="107" t="s">
        <v>432</v>
      </c>
      <c r="Q1120" s="107" t="s">
        <v>432</v>
      </c>
      <c r="R1120" s="107" t="s">
        <v>432</v>
      </c>
      <c r="S1120" s="109" t="s">
        <v>2209</v>
      </c>
      <c r="T1120" s="107" t="s">
        <v>432</v>
      </c>
      <c r="U1120" s="107" t="s">
        <v>432</v>
      </c>
      <c r="V1120" s="109" t="s">
        <v>2209</v>
      </c>
      <c r="W1120" s="107" t="s">
        <v>432</v>
      </c>
      <c r="X1120" s="107" t="s">
        <v>432</v>
      </c>
      <c r="Y1120" s="107" t="s">
        <v>432</v>
      </c>
      <c r="Z1120" s="107" t="s">
        <v>432</v>
      </c>
      <c r="AA1120" s="107" t="s">
        <v>432</v>
      </c>
      <c r="AB1120" s="107" t="s">
        <v>432</v>
      </c>
      <c r="AC1120" s="107" t="s">
        <v>432</v>
      </c>
      <c r="AD1120" s="107" t="s">
        <v>432</v>
      </c>
      <c r="AE1120" s="107" t="s">
        <v>432</v>
      </c>
      <c r="AF1120" s="107" t="s">
        <v>432</v>
      </c>
      <c r="AG1120" s="107" t="s">
        <v>432</v>
      </c>
      <c r="AH1120" s="107" t="s">
        <v>432</v>
      </c>
      <c r="AI1120" s="107" t="s">
        <v>432</v>
      </c>
      <c r="AJ1120" s="107" t="s">
        <v>432</v>
      </c>
      <c r="AK1120" s="137" t="s">
        <v>432</v>
      </c>
      <c r="AL1120" s="601" t="s">
        <v>432</v>
      </c>
      <c r="AM1120" s="137" t="s">
        <v>432</v>
      </c>
      <c r="AN1120" s="137" t="s">
        <v>432</v>
      </c>
      <c r="AO1120" s="137" t="s">
        <v>432</v>
      </c>
      <c r="AP1120" s="137" t="s">
        <v>432</v>
      </c>
      <c r="AQ1120" s="137" t="s">
        <v>432</v>
      </c>
      <c r="AR1120" s="137" t="s">
        <v>432</v>
      </c>
      <c r="AS1120" s="137" t="s">
        <v>432</v>
      </c>
      <c r="AT1120" s="137" t="s">
        <v>432</v>
      </c>
      <c r="AU1120" s="137" t="s">
        <v>432</v>
      </c>
      <c r="AV1120" s="137" t="s">
        <v>432</v>
      </c>
      <c r="AW1120" s="137" t="s">
        <v>432</v>
      </c>
      <c r="AX1120" s="137" t="s">
        <v>432</v>
      </c>
      <c r="AY1120" s="137" t="s">
        <v>432</v>
      </c>
      <c r="AZ1120" s="137" t="s">
        <v>432</v>
      </c>
      <c r="BA1120" s="137" t="s">
        <v>432</v>
      </c>
      <c r="BB1120" s="239" t="str">
        <f t="shared" si="307"/>
        <v>Frota e condutores de veículos automotoresx</v>
      </c>
      <c r="BC1120" s="239" t="str">
        <f t="shared" si="308"/>
        <v>Frota e condutores de veículos automotoresxainda não incorporado ao SisMob-BH</v>
      </c>
      <c r="BD1120" s="239" t="str">
        <f t="shared" si="309"/>
        <v>Frota e condutores de veículos automotoresainda não incorporado ao SisMob-BH</v>
      </c>
    </row>
    <row r="1121" spans="1:56" s="373" customFormat="1" x14ac:dyDescent="0.25">
      <c r="A1121" s="383"/>
      <c r="B1121" s="384"/>
      <c r="C1121" s="384"/>
      <c r="D1121" s="719"/>
      <c r="E1121" s="1519"/>
      <c r="F1121" s="385"/>
      <c r="G1121" s="385"/>
      <c r="H1121" s="384"/>
      <c r="I1121" s="385"/>
      <c r="J1121" s="385"/>
      <c r="K1121" s="385"/>
      <c r="L1121" s="385"/>
      <c r="M1121" s="385"/>
      <c r="N1121" s="385"/>
      <c r="O1121" s="385"/>
      <c r="P1121" s="385"/>
      <c r="Q1121" s="385"/>
      <c r="R1121" s="385"/>
      <c r="S1121" s="385"/>
      <c r="T1121" s="385"/>
      <c r="U1121" s="385"/>
      <c r="V1121" s="385"/>
      <c r="W1121" s="385"/>
      <c r="X1121" s="385"/>
      <c r="Y1121" s="385"/>
      <c r="Z1121" s="385"/>
      <c r="AA1121" s="385"/>
      <c r="AB1121" s="385"/>
      <c r="AC1121" s="385"/>
      <c r="AD1121" s="385"/>
      <c r="AE1121" s="385"/>
      <c r="AF1121" s="385"/>
      <c r="AG1121" s="385"/>
      <c r="AH1121" s="385"/>
      <c r="AI1121" s="385"/>
      <c r="AJ1121" s="385"/>
      <c r="AK1121" s="397"/>
      <c r="AL1121" s="601"/>
      <c r="AM1121" s="387"/>
      <c r="AN1121" s="387"/>
      <c r="AO1121" s="387"/>
      <c r="AP1121" s="387"/>
      <c r="AQ1121" s="387"/>
      <c r="AR1121" s="387"/>
      <c r="AS1121" s="387"/>
      <c r="AT1121" s="387"/>
      <c r="AU1121" s="387"/>
      <c r="AV1121" s="387"/>
      <c r="AW1121" s="387"/>
      <c r="AX1121" s="387"/>
      <c r="AY1121" s="387"/>
      <c r="AZ1121" s="387"/>
      <c r="BA1121" s="387"/>
      <c r="BB1121" s="388"/>
      <c r="BC1121" s="388"/>
      <c r="BD1121" s="388"/>
    </row>
    <row r="1122" spans="1:56" s="1" customFormat="1" ht="51" customHeight="1" x14ac:dyDescent="0.25">
      <c r="A1122" s="262" t="s">
        <v>432</v>
      </c>
      <c r="B1122" s="252" t="s">
        <v>742</v>
      </c>
      <c r="C1122" s="167" t="s">
        <v>432</v>
      </c>
      <c r="D1122" s="325" t="s">
        <v>454</v>
      </c>
      <c r="E1122" s="1445" t="s">
        <v>432</v>
      </c>
      <c r="F1122" s="252" t="s">
        <v>480</v>
      </c>
      <c r="G1122" s="167" t="s">
        <v>3879</v>
      </c>
      <c r="H1122" s="167" t="s">
        <v>432</v>
      </c>
      <c r="I1122" s="167" t="s">
        <v>432</v>
      </c>
      <c r="J1122" s="107" t="s">
        <v>432</v>
      </c>
      <c r="K1122" s="107" t="s">
        <v>432</v>
      </c>
      <c r="L1122" s="107" t="s">
        <v>432</v>
      </c>
      <c r="M1122" s="107" t="s">
        <v>432</v>
      </c>
      <c r="N1122" s="107" t="s">
        <v>432</v>
      </c>
      <c r="O1122" s="107" t="s">
        <v>432</v>
      </c>
      <c r="P1122" s="107" t="s">
        <v>432</v>
      </c>
      <c r="Q1122" s="107" t="s">
        <v>432</v>
      </c>
      <c r="R1122" s="107" t="s">
        <v>432</v>
      </c>
      <c r="S1122" s="109" t="s">
        <v>2209</v>
      </c>
      <c r="T1122" s="107" t="s">
        <v>432</v>
      </c>
      <c r="U1122" s="107" t="s">
        <v>432</v>
      </c>
      <c r="V1122" s="109" t="s">
        <v>2209</v>
      </c>
      <c r="W1122" s="107" t="s">
        <v>432</v>
      </c>
      <c r="X1122" s="107" t="s">
        <v>432</v>
      </c>
      <c r="Y1122" s="107" t="s">
        <v>432</v>
      </c>
      <c r="Z1122" s="107" t="s">
        <v>432</v>
      </c>
      <c r="AA1122" s="107" t="s">
        <v>432</v>
      </c>
      <c r="AB1122" s="107" t="s">
        <v>432</v>
      </c>
      <c r="AC1122" s="107" t="s">
        <v>432</v>
      </c>
      <c r="AD1122" s="107" t="s">
        <v>432</v>
      </c>
      <c r="AE1122" s="107" t="s">
        <v>432</v>
      </c>
      <c r="AF1122" s="107" t="s">
        <v>432</v>
      </c>
      <c r="AG1122" s="107" t="s">
        <v>432</v>
      </c>
      <c r="AH1122" s="107" t="s">
        <v>432</v>
      </c>
      <c r="AI1122" s="107" t="s">
        <v>432</v>
      </c>
      <c r="AJ1122" s="107" t="s">
        <v>432</v>
      </c>
      <c r="AK1122" s="137" t="s">
        <v>432</v>
      </c>
      <c r="AL1122" s="601" t="s">
        <v>432</v>
      </c>
      <c r="AM1122" s="137" t="s">
        <v>432</v>
      </c>
      <c r="AN1122" s="137" t="s">
        <v>432</v>
      </c>
      <c r="AO1122" s="137" t="s">
        <v>432</v>
      </c>
      <c r="AP1122" s="137" t="s">
        <v>432</v>
      </c>
      <c r="AQ1122" s="137" t="s">
        <v>432</v>
      </c>
      <c r="AR1122" s="137" t="s">
        <v>432</v>
      </c>
      <c r="AS1122" s="137" t="s">
        <v>432</v>
      </c>
      <c r="AT1122" s="137" t="s">
        <v>432</v>
      </c>
      <c r="AU1122" s="137" t="s">
        <v>432</v>
      </c>
      <c r="AV1122" s="137" t="s">
        <v>432</v>
      </c>
      <c r="AW1122" s="137" t="s">
        <v>432</v>
      </c>
      <c r="AX1122" s="137" t="s">
        <v>432</v>
      </c>
      <c r="AY1122" s="137" t="s">
        <v>432</v>
      </c>
      <c r="AZ1122" s="137" t="s">
        <v>432</v>
      </c>
      <c r="BA1122" s="137" t="s">
        <v>432</v>
      </c>
      <c r="BB1122" s="239" t="str">
        <f t="shared" ref="BB1122:BB1129" si="310">B1122&amp;C1122</f>
        <v>geralx</v>
      </c>
      <c r="BC1122" s="239" t="str">
        <f t="shared" ref="BC1122:BC1129" si="311">B1122&amp;C1122&amp;H1122</f>
        <v>geralxx</v>
      </c>
      <c r="BD1122" s="239" t="str">
        <f t="shared" ref="BD1122:BD1129" si="312">B1122&amp;H1122</f>
        <v>geralx</v>
      </c>
    </row>
    <row r="1123" spans="1:56" s="1" customFormat="1" ht="51" customHeight="1" x14ac:dyDescent="0.25">
      <c r="A1123" s="262" t="s">
        <v>432</v>
      </c>
      <c r="B1123" s="252" t="s">
        <v>742</v>
      </c>
      <c r="C1123" s="229" t="s">
        <v>743</v>
      </c>
      <c r="D1123" s="948" t="s">
        <v>2139</v>
      </c>
      <c r="E1123" s="1509" t="s">
        <v>432</v>
      </c>
      <c r="F1123" s="77" t="s">
        <v>2606</v>
      </c>
      <c r="G1123" s="230" t="s">
        <v>3507</v>
      </c>
      <c r="H1123" s="167" t="s">
        <v>2408</v>
      </c>
      <c r="I1123" s="167" t="s">
        <v>432</v>
      </c>
      <c r="J1123" s="107" t="s">
        <v>432</v>
      </c>
      <c r="K1123" s="107" t="s">
        <v>432</v>
      </c>
      <c r="L1123" s="107" t="s">
        <v>432</v>
      </c>
      <c r="M1123" s="107" t="s">
        <v>432</v>
      </c>
      <c r="N1123" s="107" t="s">
        <v>432</v>
      </c>
      <c r="O1123" s="107" t="s">
        <v>432</v>
      </c>
      <c r="P1123" s="107" t="s">
        <v>432</v>
      </c>
      <c r="Q1123" s="107" t="s">
        <v>432</v>
      </c>
      <c r="R1123" s="107" t="s">
        <v>432</v>
      </c>
      <c r="S1123" s="109" t="s">
        <v>2209</v>
      </c>
      <c r="T1123" s="107" t="s">
        <v>432</v>
      </c>
      <c r="U1123" s="107" t="s">
        <v>432</v>
      </c>
      <c r="V1123" s="109" t="s">
        <v>2209</v>
      </c>
      <c r="W1123" s="107" t="s">
        <v>432</v>
      </c>
      <c r="X1123" s="107" t="s">
        <v>432</v>
      </c>
      <c r="Y1123" s="107" t="s">
        <v>432</v>
      </c>
      <c r="Z1123" s="107" t="s">
        <v>432</v>
      </c>
      <c r="AA1123" s="107" t="s">
        <v>432</v>
      </c>
      <c r="AB1123" s="107" t="s">
        <v>432</v>
      </c>
      <c r="AC1123" s="107" t="s">
        <v>432</v>
      </c>
      <c r="AD1123" s="107" t="s">
        <v>432</v>
      </c>
      <c r="AE1123" s="107" t="s">
        <v>432</v>
      </c>
      <c r="AF1123" s="107" t="s">
        <v>432</v>
      </c>
      <c r="AG1123" s="107" t="s">
        <v>432</v>
      </c>
      <c r="AH1123" s="107" t="s">
        <v>432</v>
      </c>
      <c r="AI1123" s="107" t="s">
        <v>432</v>
      </c>
      <c r="AJ1123" s="107" t="s">
        <v>432</v>
      </c>
      <c r="AK1123" s="137" t="s">
        <v>432</v>
      </c>
      <c r="AL1123" s="601" t="s">
        <v>432</v>
      </c>
      <c r="AM1123" s="137" t="s">
        <v>432</v>
      </c>
      <c r="AN1123" s="137" t="s">
        <v>432</v>
      </c>
      <c r="AO1123" s="137" t="s">
        <v>432</v>
      </c>
      <c r="AP1123" s="137" t="s">
        <v>432</v>
      </c>
      <c r="AQ1123" s="137" t="s">
        <v>432</v>
      </c>
      <c r="AR1123" s="137" t="s">
        <v>432</v>
      </c>
      <c r="AS1123" s="137" t="s">
        <v>432</v>
      </c>
      <c r="AT1123" s="137" t="s">
        <v>432</v>
      </c>
      <c r="AU1123" s="137" t="s">
        <v>432</v>
      </c>
      <c r="AV1123" s="137" t="s">
        <v>432</v>
      </c>
      <c r="AW1123" s="137" t="s">
        <v>432</v>
      </c>
      <c r="AX1123" s="137" t="s">
        <v>432</v>
      </c>
      <c r="AY1123" s="137" t="s">
        <v>432</v>
      </c>
      <c r="AZ1123" s="137" t="s">
        <v>432</v>
      </c>
      <c r="BA1123" s="137" t="s">
        <v>432</v>
      </c>
      <c r="BB1123" s="239" t="str">
        <f t="shared" si="310"/>
        <v>geralacessibilidade</v>
      </c>
      <c r="BC1123" s="239" t="str">
        <f t="shared" si="311"/>
        <v>geralacessibilidadesigla/verbete</v>
      </c>
      <c r="BD1123" s="239" t="str">
        <f t="shared" si="312"/>
        <v>geralsigla/verbete</v>
      </c>
    </row>
    <row r="1124" spans="1:56" s="373" customFormat="1" ht="25.5" x14ac:dyDescent="0.25">
      <c r="A1124" s="262" t="s">
        <v>432</v>
      </c>
      <c r="B1124" s="252" t="s">
        <v>742</v>
      </c>
      <c r="C1124" s="167" t="s">
        <v>432</v>
      </c>
      <c r="D1124" s="714" t="s">
        <v>2049</v>
      </c>
      <c r="E1124" s="1445" t="s">
        <v>432</v>
      </c>
      <c r="F1124" s="252" t="s">
        <v>2610</v>
      </c>
      <c r="G1124" s="167" t="s">
        <v>3879</v>
      </c>
      <c r="H1124" s="167" t="s">
        <v>432</v>
      </c>
      <c r="I1124" s="167" t="s">
        <v>432</v>
      </c>
      <c r="J1124" s="107" t="s">
        <v>432</v>
      </c>
      <c r="K1124" s="107" t="s">
        <v>432</v>
      </c>
      <c r="L1124" s="107" t="s">
        <v>432</v>
      </c>
      <c r="M1124" s="107" t="s">
        <v>432</v>
      </c>
      <c r="N1124" s="107" t="s">
        <v>432</v>
      </c>
      <c r="O1124" s="107" t="s">
        <v>432</v>
      </c>
      <c r="P1124" s="107" t="s">
        <v>432</v>
      </c>
      <c r="Q1124" s="107" t="s">
        <v>432</v>
      </c>
      <c r="R1124" s="107" t="s">
        <v>432</v>
      </c>
      <c r="S1124" s="109" t="s">
        <v>2209</v>
      </c>
      <c r="T1124" s="107" t="s">
        <v>432</v>
      </c>
      <c r="U1124" s="107" t="s">
        <v>432</v>
      </c>
      <c r="V1124" s="109" t="s">
        <v>2209</v>
      </c>
      <c r="W1124" s="107" t="s">
        <v>432</v>
      </c>
      <c r="X1124" s="107" t="s">
        <v>432</v>
      </c>
      <c r="Y1124" s="107" t="s">
        <v>432</v>
      </c>
      <c r="Z1124" s="107" t="s">
        <v>432</v>
      </c>
      <c r="AA1124" s="107" t="s">
        <v>432</v>
      </c>
      <c r="AB1124" s="107" t="s">
        <v>432</v>
      </c>
      <c r="AC1124" s="107" t="s">
        <v>432</v>
      </c>
      <c r="AD1124" s="107" t="s">
        <v>432</v>
      </c>
      <c r="AE1124" s="107" t="s">
        <v>432</v>
      </c>
      <c r="AF1124" s="107" t="s">
        <v>432</v>
      </c>
      <c r="AG1124" s="107" t="s">
        <v>432</v>
      </c>
      <c r="AH1124" s="107" t="s">
        <v>432</v>
      </c>
      <c r="AI1124" s="107" t="s">
        <v>432</v>
      </c>
      <c r="AJ1124" s="107" t="s">
        <v>432</v>
      </c>
      <c r="AK1124" s="137" t="s">
        <v>432</v>
      </c>
      <c r="AL1124" s="601" t="s">
        <v>432</v>
      </c>
      <c r="AM1124" s="137" t="s">
        <v>432</v>
      </c>
      <c r="AN1124" s="137" t="s">
        <v>432</v>
      </c>
      <c r="AO1124" s="137" t="s">
        <v>432</v>
      </c>
      <c r="AP1124" s="137" t="s">
        <v>432</v>
      </c>
      <c r="AQ1124" s="137" t="s">
        <v>432</v>
      </c>
      <c r="AR1124" s="137" t="s">
        <v>432</v>
      </c>
      <c r="AS1124" s="137" t="s">
        <v>432</v>
      </c>
      <c r="AT1124" s="137" t="s">
        <v>432</v>
      </c>
      <c r="AU1124" s="137" t="s">
        <v>432</v>
      </c>
      <c r="AV1124" s="137" t="s">
        <v>432</v>
      </c>
      <c r="AW1124" s="137" t="s">
        <v>432</v>
      </c>
      <c r="AX1124" s="137" t="s">
        <v>432</v>
      </c>
      <c r="AY1124" s="137" t="s">
        <v>432</v>
      </c>
      <c r="AZ1124" s="137" t="s">
        <v>432</v>
      </c>
      <c r="BA1124" s="137" t="s">
        <v>432</v>
      </c>
      <c r="BB1124" s="239" t="str">
        <f t="shared" si="310"/>
        <v>geralx</v>
      </c>
      <c r="BC1124" s="239" t="str">
        <f t="shared" si="311"/>
        <v>geralxx</v>
      </c>
      <c r="BD1124" s="239" t="str">
        <f t="shared" si="312"/>
        <v>geralx</v>
      </c>
    </row>
    <row r="1125" spans="1:56" s="373" customFormat="1" ht="47.25" x14ac:dyDescent="0.25">
      <c r="A1125" s="262" t="str">
        <f>'Q100b-totais'!B67</f>
        <v>9.4</v>
      </c>
      <c r="B1125" s="252" t="str">
        <f>'Q100b-totais'!C67</f>
        <v>Sinalização estatigráfica</v>
      </c>
      <c r="C1125" s="229" t="s">
        <v>432</v>
      </c>
      <c r="D1125" s="714" t="s">
        <v>4631</v>
      </c>
      <c r="E1125" s="1445" t="s">
        <v>1767</v>
      </c>
      <c r="F1125" s="252" t="s">
        <v>4630</v>
      </c>
      <c r="G1125" s="230" t="s">
        <v>3507</v>
      </c>
      <c r="H1125" s="167" t="s">
        <v>2408</v>
      </c>
      <c r="I1125" s="57" t="s">
        <v>432</v>
      </c>
      <c r="J1125" s="107" t="s">
        <v>432</v>
      </c>
      <c r="K1125" s="107" t="s">
        <v>432</v>
      </c>
      <c r="L1125" s="107" t="s">
        <v>432</v>
      </c>
      <c r="M1125" s="107" t="s">
        <v>432</v>
      </c>
      <c r="N1125" s="107" t="s">
        <v>432</v>
      </c>
      <c r="O1125" s="107" t="s">
        <v>432</v>
      </c>
      <c r="P1125" s="107" t="s">
        <v>432</v>
      </c>
      <c r="Q1125" s="107" t="s">
        <v>432</v>
      </c>
      <c r="R1125" s="107" t="s">
        <v>432</v>
      </c>
      <c r="S1125" s="109" t="s">
        <v>2209</v>
      </c>
      <c r="T1125" s="107" t="s">
        <v>432</v>
      </c>
      <c r="U1125" s="107" t="s">
        <v>432</v>
      </c>
      <c r="V1125" s="109" t="s">
        <v>2209</v>
      </c>
      <c r="W1125" s="107" t="s">
        <v>432</v>
      </c>
      <c r="X1125" s="107" t="s">
        <v>432</v>
      </c>
      <c r="Y1125" s="107" t="s">
        <v>432</v>
      </c>
      <c r="Z1125" s="107" t="s">
        <v>432</v>
      </c>
      <c r="AA1125" s="107" t="s">
        <v>432</v>
      </c>
      <c r="AB1125" s="107" t="s">
        <v>432</v>
      </c>
      <c r="AC1125" s="107" t="s">
        <v>432</v>
      </c>
      <c r="AD1125" s="107" t="s">
        <v>432</v>
      </c>
      <c r="AE1125" s="107" t="s">
        <v>432</v>
      </c>
      <c r="AF1125" s="107" t="s">
        <v>432</v>
      </c>
      <c r="AG1125" s="107" t="s">
        <v>432</v>
      </c>
      <c r="AH1125" s="107" t="s">
        <v>432</v>
      </c>
      <c r="AI1125" s="107" t="s">
        <v>432</v>
      </c>
      <c r="AJ1125" s="107" t="s">
        <v>432</v>
      </c>
      <c r="AK1125" s="137" t="s">
        <v>432</v>
      </c>
      <c r="AL1125" s="601" t="s">
        <v>432</v>
      </c>
      <c r="AM1125" s="137" t="s">
        <v>432</v>
      </c>
      <c r="AN1125" s="137" t="s">
        <v>432</v>
      </c>
      <c r="AO1125" s="137" t="s">
        <v>432</v>
      </c>
      <c r="AP1125" s="137" t="s">
        <v>432</v>
      </c>
      <c r="AQ1125" s="137" t="s">
        <v>432</v>
      </c>
      <c r="AR1125" s="137" t="s">
        <v>432</v>
      </c>
      <c r="AS1125" s="137" t="s">
        <v>432</v>
      </c>
      <c r="AT1125" s="137" t="s">
        <v>432</v>
      </c>
      <c r="AU1125" s="137" t="s">
        <v>432</v>
      </c>
      <c r="AV1125" s="137" t="s">
        <v>432</v>
      </c>
      <c r="AW1125" s="137" t="s">
        <v>432</v>
      </c>
      <c r="AX1125" s="137" t="s">
        <v>432</v>
      </c>
      <c r="AY1125" s="137" t="s">
        <v>432</v>
      </c>
      <c r="AZ1125" s="137" t="s">
        <v>432</v>
      </c>
      <c r="BA1125" s="137" t="s">
        <v>432</v>
      </c>
      <c r="BB1125" s="239" t="str">
        <f t="shared" si="310"/>
        <v>Sinalização estatigráficax</v>
      </c>
      <c r="BC1125" s="239" t="str">
        <f t="shared" si="311"/>
        <v>Sinalização estatigráficaxsigla/verbete</v>
      </c>
      <c r="BD1125" s="239" t="str">
        <f t="shared" si="312"/>
        <v>Sinalização estatigráficasigla/verbete</v>
      </c>
    </row>
    <row r="1126" spans="1:56" s="373" customFormat="1" ht="46.5" customHeight="1" x14ac:dyDescent="0.25">
      <c r="A1126" s="262" t="str">
        <f>'Q100b-totais'!B49</f>
        <v>6.1</v>
      </c>
      <c r="B1126" s="252" t="str">
        <f>'Q100b-totais'!C49</f>
        <v>Calçadas e passarelas</v>
      </c>
      <c r="C1126" s="229" t="s">
        <v>743</v>
      </c>
      <c r="D1126" s="714" t="s">
        <v>4626</v>
      </c>
      <c r="E1126" s="1445" t="s">
        <v>1767</v>
      </c>
      <c r="F1126" s="252" t="s">
        <v>4627</v>
      </c>
      <c r="G1126" s="230" t="s">
        <v>3507</v>
      </c>
      <c r="H1126" s="167" t="s">
        <v>2408</v>
      </c>
      <c r="I1126" s="57" t="s">
        <v>432</v>
      </c>
      <c r="J1126" s="107" t="s">
        <v>432</v>
      </c>
      <c r="K1126" s="107" t="s">
        <v>432</v>
      </c>
      <c r="L1126" s="107" t="s">
        <v>432</v>
      </c>
      <c r="M1126" s="107" t="s">
        <v>432</v>
      </c>
      <c r="N1126" s="107" t="s">
        <v>432</v>
      </c>
      <c r="O1126" s="107" t="s">
        <v>432</v>
      </c>
      <c r="P1126" s="107" t="s">
        <v>432</v>
      </c>
      <c r="Q1126" s="107" t="s">
        <v>432</v>
      </c>
      <c r="R1126" s="107" t="s">
        <v>432</v>
      </c>
      <c r="S1126" s="109" t="s">
        <v>2209</v>
      </c>
      <c r="T1126" s="107" t="s">
        <v>432</v>
      </c>
      <c r="U1126" s="107" t="s">
        <v>432</v>
      </c>
      <c r="V1126" s="109" t="s">
        <v>2209</v>
      </c>
      <c r="W1126" s="107" t="s">
        <v>432</v>
      </c>
      <c r="X1126" s="107" t="s">
        <v>432</v>
      </c>
      <c r="Y1126" s="107" t="s">
        <v>432</v>
      </c>
      <c r="Z1126" s="107" t="s">
        <v>432</v>
      </c>
      <c r="AA1126" s="107" t="s">
        <v>432</v>
      </c>
      <c r="AB1126" s="107" t="s">
        <v>432</v>
      </c>
      <c r="AC1126" s="107" t="s">
        <v>432</v>
      </c>
      <c r="AD1126" s="107" t="s">
        <v>432</v>
      </c>
      <c r="AE1126" s="107" t="s">
        <v>432</v>
      </c>
      <c r="AF1126" s="107" t="s">
        <v>432</v>
      </c>
      <c r="AG1126" s="107" t="s">
        <v>432</v>
      </c>
      <c r="AH1126" s="107" t="s">
        <v>432</v>
      </c>
      <c r="AI1126" s="107" t="s">
        <v>432</v>
      </c>
      <c r="AJ1126" s="107" t="s">
        <v>432</v>
      </c>
      <c r="AK1126" s="137" t="s">
        <v>432</v>
      </c>
      <c r="AL1126" s="601" t="s">
        <v>432</v>
      </c>
      <c r="AM1126" s="137" t="s">
        <v>432</v>
      </c>
      <c r="AN1126" s="137" t="s">
        <v>432</v>
      </c>
      <c r="AO1126" s="137" t="s">
        <v>432</v>
      </c>
      <c r="AP1126" s="137" t="s">
        <v>432</v>
      </c>
      <c r="AQ1126" s="137" t="s">
        <v>432</v>
      </c>
      <c r="AR1126" s="137" t="s">
        <v>432</v>
      </c>
      <c r="AS1126" s="137" t="s">
        <v>432</v>
      </c>
      <c r="AT1126" s="137" t="s">
        <v>432</v>
      </c>
      <c r="AU1126" s="137" t="s">
        <v>432</v>
      </c>
      <c r="AV1126" s="137" t="s">
        <v>432</v>
      </c>
      <c r="AW1126" s="137" t="s">
        <v>432</v>
      </c>
      <c r="AX1126" s="137" t="s">
        <v>432</v>
      </c>
      <c r="AY1126" s="137" t="s">
        <v>432</v>
      </c>
      <c r="AZ1126" s="137" t="s">
        <v>432</v>
      </c>
      <c r="BA1126" s="137" t="s">
        <v>432</v>
      </c>
      <c r="BB1126" s="239" t="str">
        <f>B1126&amp;C1126</f>
        <v>Calçadas e passarelasacessibilidade</v>
      </c>
      <c r="BC1126" s="239" t="str">
        <f>B1126&amp;C1126&amp;H1126</f>
        <v>Calçadas e passarelasacessibilidadesigla/verbete</v>
      </c>
      <c r="BD1126" s="239" t="str">
        <f>B1126&amp;H1126</f>
        <v>Calçadas e passarelassigla/verbete</v>
      </c>
    </row>
    <row r="1127" spans="1:56" s="373" customFormat="1" ht="46.5" customHeight="1" x14ac:dyDescent="0.25">
      <c r="A1127" s="262" t="str">
        <f>'Q100b-totais'!B21</f>
        <v>2.6</v>
      </c>
      <c r="B1127" s="252" t="str">
        <f>'Q100b-totais'!C21</f>
        <v>Cidades da RMBH</v>
      </c>
      <c r="C1127" s="167" t="s">
        <v>432</v>
      </c>
      <c r="D1127" s="323" t="s">
        <v>1744</v>
      </c>
      <c r="E1127" s="1491" t="s">
        <v>1744</v>
      </c>
      <c r="F1127" s="468" t="str">
        <f>pend!C190</f>
        <v>município da RMBH (faltando completar)</v>
      </c>
      <c r="G1127" s="230" t="s">
        <v>3507</v>
      </c>
      <c r="H1127" s="167" t="s">
        <v>2408</v>
      </c>
      <c r="I1127" s="57" t="s">
        <v>432</v>
      </c>
      <c r="J1127" s="107" t="s">
        <v>432</v>
      </c>
      <c r="K1127" s="107" t="s">
        <v>432</v>
      </c>
      <c r="L1127" s="107" t="s">
        <v>432</v>
      </c>
      <c r="M1127" s="107" t="s">
        <v>432</v>
      </c>
      <c r="N1127" s="107" t="s">
        <v>432</v>
      </c>
      <c r="O1127" s="107" t="s">
        <v>432</v>
      </c>
      <c r="P1127" s="107" t="s">
        <v>432</v>
      </c>
      <c r="Q1127" s="107" t="s">
        <v>432</v>
      </c>
      <c r="R1127" s="107" t="s">
        <v>432</v>
      </c>
      <c r="S1127" s="109" t="s">
        <v>2209</v>
      </c>
      <c r="T1127" s="107" t="s">
        <v>432</v>
      </c>
      <c r="U1127" s="107" t="s">
        <v>432</v>
      </c>
      <c r="V1127" s="109" t="s">
        <v>2209</v>
      </c>
      <c r="W1127" s="107" t="s">
        <v>432</v>
      </c>
      <c r="X1127" s="107" t="s">
        <v>432</v>
      </c>
      <c r="Y1127" s="107" t="s">
        <v>432</v>
      </c>
      <c r="Z1127" s="107" t="s">
        <v>432</v>
      </c>
      <c r="AA1127" s="107" t="s">
        <v>432</v>
      </c>
      <c r="AB1127" s="107" t="s">
        <v>432</v>
      </c>
      <c r="AC1127" s="107" t="s">
        <v>432</v>
      </c>
      <c r="AD1127" s="107" t="s">
        <v>432</v>
      </c>
      <c r="AE1127" s="107" t="s">
        <v>432</v>
      </c>
      <c r="AF1127" s="107" t="s">
        <v>432</v>
      </c>
      <c r="AG1127" s="107" t="s">
        <v>432</v>
      </c>
      <c r="AH1127" s="107" t="s">
        <v>432</v>
      </c>
      <c r="AI1127" s="107" t="s">
        <v>432</v>
      </c>
      <c r="AJ1127" s="107" t="s">
        <v>432</v>
      </c>
      <c r="AK1127" s="137" t="s">
        <v>432</v>
      </c>
      <c r="AL1127" s="601" t="s">
        <v>432</v>
      </c>
      <c r="AM1127" s="137" t="s">
        <v>432</v>
      </c>
      <c r="AN1127" s="137" t="s">
        <v>432</v>
      </c>
      <c r="AO1127" s="137" t="s">
        <v>432</v>
      </c>
      <c r="AP1127" s="137" t="s">
        <v>432</v>
      </c>
      <c r="AQ1127" s="137" t="s">
        <v>432</v>
      </c>
      <c r="AR1127" s="137" t="s">
        <v>432</v>
      </c>
      <c r="AS1127" s="137" t="s">
        <v>432</v>
      </c>
      <c r="AT1127" s="137" t="s">
        <v>432</v>
      </c>
      <c r="AU1127" s="137" t="s">
        <v>432</v>
      </c>
      <c r="AV1127" s="137" t="s">
        <v>432</v>
      </c>
      <c r="AW1127" s="137" t="s">
        <v>432</v>
      </c>
      <c r="AX1127" s="137" t="s">
        <v>432</v>
      </c>
      <c r="AY1127" s="137" t="s">
        <v>432</v>
      </c>
      <c r="AZ1127" s="137" t="s">
        <v>432</v>
      </c>
      <c r="BA1127" s="137" t="s">
        <v>432</v>
      </c>
      <c r="BB1127" s="239" t="str">
        <f t="shared" ref="BB1127" si="313">B1127&amp;C1127</f>
        <v>Cidades da RMBHx</v>
      </c>
      <c r="BC1127" s="239" t="str">
        <f t="shared" ref="BC1127" si="314">B1127&amp;C1127&amp;H1127</f>
        <v>Cidades da RMBHxsigla/verbete</v>
      </c>
      <c r="BD1127" s="239" t="str">
        <f t="shared" ref="BD1127" si="315">B1127&amp;H1127</f>
        <v>Cidades da RMBHsigla/verbete</v>
      </c>
    </row>
    <row r="1128" spans="1:56" s="1" customFormat="1" ht="51" customHeight="1" x14ac:dyDescent="0.25">
      <c r="A1128" s="275" t="str">
        <f>'Q100b-totais'!$B$68</f>
        <v>9.5</v>
      </c>
      <c r="B1128" s="1205" t="str">
        <f>'Q100b-totais'!$C$68</f>
        <v>Sinalização semafórica</v>
      </c>
      <c r="C1128" s="230" t="s">
        <v>743</v>
      </c>
      <c r="D1128" s="324" t="s">
        <v>189</v>
      </c>
      <c r="E1128" s="254" t="s">
        <v>1767</v>
      </c>
      <c r="F1128" s="11" t="s">
        <v>4629</v>
      </c>
      <c r="G1128" s="230" t="s">
        <v>3507</v>
      </c>
      <c r="H1128" s="167" t="s">
        <v>2408</v>
      </c>
      <c r="I1128" s="57" t="s">
        <v>432</v>
      </c>
      <c r="J1128" s="107" t="s">
        <v>432</v>
      </c>
      <c r="K1128" s="107" t="s">
        <v>432</v>
      </c>
      <c r="L1128" s="107" t="s">
        <v>432</v>
      </c>
      <c r="M1128" s="107" t="s">
        <v>432</v>
      </c>
      <c r="N1128" s="107" t="s">
        <v>432</v>
      </c>
      <c r="O1128" s="107" t="s">
        <v>432</v>
      </c>
      <c r="P1128" s="107" t="s">
        <v>432</v>
      </c>
      <c r="Q1128" s="107" t="s">
        <v>432</v>
      </c>
      <c r="R1128" s="107" t="s">
        <v>432</v>
      </c>
      <c r="S1128" s="109" t="s">
        <v>2209</v>
      </c>
      <c r="T1128" s="107" t="s">
        <v>432</v>
      </c>
      <c r="U1128" s="107" t="s">
        <v>432</v>
      </c>
      <c r="V1128" s="109" t="s">
        <v>2209</v>
      </c>
      <c r="W1128" s="107" t="s">
        <v>432</v>
      </c>
      <c r="X1128" s="107" t="s">
        <v>432</v>
      </c>
      <c r="Y1128" s="107" t="s">
        <v>432</v>
      </c>
      <c r="Z1128" s="107" t="s">
        <v>432</v>
      </c>
      <c r="AA1128" s="107" t="s">
        <v>432</v>
      </c>
      <c r="AB1128" s="107" t="s">
        <v>432</v>
      </c>
      <c r="AC1128" s="107" t="s">
        <v>432</v>
      </c>
      <c r="AD1128" s="107" t="s">
        <v>432</v>
      </c>
      <c r="AE1128" s="107" t="s">
        <v>432</v>
      </c>
      <c r="AF1128" s="107" t="s">
        <v>432</v>
      </c>
      <c r="AG1128" s="107" t="s">
        <v>432</v>
      </c>
      <c r="AH1128" s="107" t="s">
        <v>432</v>
      </c>
      <c r="AI1128" s="107" t="s">
        <v>432</v>
      </c>
      <c r="AJ1128" s="107" t="s">
        <v>432</v>
      </c>
      <c r="AK1128" s="137" t="s">
        <v>432</v>
      </c>
      <c r="AL1128" s="601" t="s">
        <v>432</v>
      </c>
      <c r="AM1128" s="137" t="s">
        <v>432</v>
      </c>
      <c r="AN1128" s="137" t="s">
        <v>432</v>
      </c>
      <c r="AO1128" s="137" t="s">
        <v>432</v>
      </c>
      <c r="AP1128" s="137" t="s">
        <v>432</v>
      </c>
      <c r="AQ1128" s="137" t="s">
        <v>432</v>
      </c>
      <c r="AR1128" s="137" t="s">
        <v>432</v>
      </c>
      <c r="AS1128" s="137" t="s">
        <v>432</v>
      </c>
      <c r="AT1128" s="137" t="s">
        <v>432</v>
      </c>
      <c r="AU1128" s="137" t="s">
        <v>432</v>
      </c>
      <c r="AV1128" s="137" t="s">
        <v>432</v>
      </c>
      <c r="AW1128" s="137" t="s">
        <v>432</v>
      </c>
      <c r="AX1128" s="137" t="s">
        <v>432</v>
      </c>
      <c r="AY1128" s="137" t="s">
        <v>432</v>
      </c>
      <c r="AZ1128" s="137" t="s">
        <v>432</v>
      </c>
      <c r="BA1128" s="137" t="s">
        <v>432</v>
      </c>
      <c r="BB1128" s="239" t="str">
        <f t="shared" si="310"/>
        <v>Sinalização semafóricaacessibilidade</v>
      </c>
      <c r="BC1128" s="239" t="str">
        <f t="shared" si="311"/>
        <v>Sinalização semafóricaacessibilidadesigla/verbete</v>
      </c>
      <c r="BD1128" s="239" t="str">
        <f t="shared" si="312"/>
        <v>Sinalização semafóricasigla/verbete</v>
      </c>
    </row>
    <row r="1129" spans="1:56" ht="30" customHeight="1" x14ac:dyDescent="0.25">
      <c r="A1129" s="262" t="s">
        <v>432</v>
      </c>
      <c r="B1129" s="252" t="s">
        <v>742</v>
      </c>
      <c r="C1129" s="230" t="s">
        <v>432</v>
      </c>
      <c r="D1129" s="324" t="s">
        <v>190</v>
      </c>
      <c r="E1129" s="1496" t="s">
        <v>432</v>
      </c>
      <c r="F1129" s="11" t="s">
        <v>4628</v>
      </c>
      <c r="G1129" s="167" t="s">
        <v>3879</v>
      </c>
      <c r="H1129" s="167" t="s">
        <v>432</v>
      </c>
      <c r="I1129" s="167" t="s">
        <v>432</v>
      </c>
      <c r="J1129" s="107" t="s">
        <v>432</v>
      </c>
      <c r="K1129" s="107" t="s">
        <v>432</v>
      </c>
      <c r="L1129" s="107" t="s">
        <v>432</v>
      </c>
      <c r="M1129" s="107" t="s">
        <v>432</v>
      </c>
      <c r="N1129" s="107" t="s">
        <v>432</v>
      </c>
      <c r="O1129" s="107" t="s">
        <v>432</v>
      </c>
      <c r="P1129" s="107" t="s">
        <v>432</v>
      </c>
      <c r="Q1129" s="107" t="s">
        <v>432</v>
      </c>
      <c r="R1129" s="107" t="s">
        <v>432</v>
      </c>
      <c r="S1129" s="109" t="s">
        <v>2209</v>
      </c>
      <c r="T1129" s="107" t="s">
        <v>432</v>
      </c>
      <c r="U1129" s="107" t="s">
        <v>432</v>
      </c>
      <c r="V1129" s="109" t="s">
        <v>2209</v>
      </c>
      <c r="W1129" s="107" t="s">
        <v>432</v>
      </c>
      <c r="X1129" s="107" t="s">
        <v>432</v>
      </c>
      <c r="Y1129" s="107" t="s">
        <v>432</v>
      </c>
      <c r="Z1129" s="107" t="s">
        <v>432</v>
      </c>
      <c r="AA1129" s="107" t="s">
        <v>432</v>
      </c>
      <c r="AB1129" s="107" t="s">
        <v>432</v>
      </c>
      <c r="AC1129" s="107" t="s">
        <v>432</v>
      </c>
      <c r="AD1129" s="107" t="s">
        <v>432</v>
      </c>
      <c r="AE1129" s="107" t="s">
        <v>432</v>
      </c>
      <c r="AF1129" s="107" t="s">
        <v>432</v>
      </c>
      <c r="AG1129" s="107" t="s">
        <v>432</v>
      </c>
      <c r="AH1129" s="107" t="s">
        <v>432</v>
      </c>
      <c r="AI1129" s="107" t="s">
        <v>432</v>
      </c>
      <c r="AJ1129" s="107" t="s">
        <v>432</v>
      </c>
      <c r="AK1129" s="137" t="s">
        <v>432</v>
      </c>
      <c r="AL1129" s="601" t="s">
        <v>432</v>
      </c>
      <c r="AM1129" s="137" t="s">
        <v>432</v>
      </c>
      <c r="AN1129" s="137" t="s">
        <v>432</v>
      </c>
      <c r="AO1129" s="137" t="s">
        <v>432</v>
      </c>
      <c r="AP1129" s="137" t="s">
        <v>432</v>
      </c>
      <c r="AQ1129" s="137" t="s">
        <v>432</v>
      </c>
      <c r="AR1129" s="137" t="s">
        <v>432</v>
      </c>
      <c r="AS1129" s="137" t="s">
        <v>432</v>
      </c>
      <c r="AT1129" s="137" t="s">
        <v>432</v>
      </c>
      <c r="AU1129" s="137" t="s">
        <v>432</v>
      </c>
      <c r="AV1129" s="137" t="s">
        <v>432</v>
      </c>
      <c r="AW1129" s="137" t="s">
        <v>432</v>
      </c>
      <c r="AX1129" s="137" t="s">
        <v>432</v>
      </c>
      <c r="AY1129" s="137" t="s">
        <v>432</v>
      </c>
      <c r="AZ1129" s="137" t="s">
        <v>432</v>
      </c>
      <c r="BA1129" s="137" t="s">
        <v>432</v>
      </c>
      <c r="BB1129" s="239" t="str">
        <f t="shared" si="310"/>
        <v>geralx</v>
      </c>
      <c r="BC1129" s="239" t="str">
        <f t="shared" si="311"/>
        <v>geralxx</v>
      </c>
      <c r="BD1129" s="239" t="str">
        <f t="shared" si="312"/>
        <v>geralx</v>
      </c>
    </row>
    <row r="1130" spans="1:56" s="373" customFormat="1" x14ac:dyDescent="0.25">
      <c r="A1130" s="383"/>
      <c r="B1130" s="384"/>
      <c r="C1130" s="384"/>
      <c r="D1130" s="717"/>
      <c r="E1130" s="1518"/>
      <c r="F1130" s="384"/>
      <c r="G1130" s="384"/>
      <c r="H1130" s="385"/>
      <c r="I1130" s="385"/>
      <c r="J1130" s="384"/>
      <c r="K1130" s="384"/>
      <c r="L1130" s="384"/>
      <c r="M1130" s="384"/>
      <c r="N1130" s="384"/>
      <c r="O1130" s="384"/>
      <c r="P1130" s="384"/>
      <c r="Q1130" s="384"/>
      <c r="R1130" s="384"/>
      <c r="S1130" s="384"/>
      <c r="T1130" s="384"/>
      <c r="U1130" s="384"/>
      <c r="V1130" s="384"/>
      <c r="W1130" s="384"/>
      <c r="X1130" s="386"/>
      <c r="Y1130" s="386"/>
      <c r="Z1130" s="386"/>
      <c r="AA1130" s="386"/>
      <c r="AB1130" s="386"/>
      <c r="AC1130" s="386"/>
      <c r="AD1130" s="386"/>
      <c r="AE1130" s="386"/>
      <c r="AF1130" s="386"/>
      <c r="AG1130" s="386"/>
      <c r="AH1130" s="386"/>
      <c r="AI1130" s="386"/>
      <c r="AJ1130" s="386"/>
      <c r="AK1130" s="387"/>
      <c r="AL1130" s="601" t="s">
        <v>432</v>
      </c>
      <c r="AM1130" s="387"/>
      <c r="AN1130" s="387"/>
      <c r="AO1130" s="387"/>
      <c r="AP1130" s="387"/>
      <c r="AQ1130" s="387"/>
      <c r="AR1130" s="387"/>
      <c r="AS1130" s="387"/>
      <c r="AT1130" s="387"/>
      <c r="AU1130" s="387"/>
      <c r="AV1130" s="387"/>
      <c r="AW1130" s="387"/>
      <c r="AX1130" s="387"/>
      <c r="AY1130" s="387"/>
      <c r="AZ1130" s="387"/>
      <c r="BA1130" s="387"/>
      <c r="BB1130" s="388"/>
      <c r="BC1130" s="388"/>
      <c r="BD1130" s="388"/>
    </row>
    <row r="1131" spans="1:56" s="105" customFormat="1" ht="408.75" customHeight="1" x14ac:dyDescent="0.25">
      <c r="A1131" s="262" t="str">
        <f>'Q100b-totais'!B62</f>
        <v>8.10</v>
      </c>
      <c r="B1131" s="252" t="str">
        <f>'Q100b-totais'!C62</f>
        <v>Sistema de transporte coletivo com um todo</v>
      </c>
      <c r="C1131" s="57" t="s">
        <v>743</v>
      </c>
      <c r="D1131" s="324" t="s">
        <v>1907</v>
      </c>
      <c r="E1131" s="1445" t="s">
        <v>432</v>
      </c>
      <c r="F1131" s="252" t="s">
        <v>5942</v>
      </c>
      <c r="G1131" s="57" t="s">
        <v>3507</v>
      </c>
      <c r="H1131" s="167" t="s">
        <v>2408</v>
      </c>
      <c r="I1131" s="167" t="s">
        <v>432</v>
      </c>
      <c r="J1131" s="109" t="s">
        <v>432</v>
      </c>
      <c r="K1131" s="109" t="s">
        <v>432</v>
      </c>
      <c r="L1131" s="109" t="s">
        <v>432</v>
      </c>
      <c r="M1131" s="109" t="s">
        <v>432</v>
      </c>
      <c r="N1131" s="109" t="s">
        <v>432</v>
      </c>
      <c r="O1131" s="109" t="s">
        <v>432</v>
      </c>
      <c r="P1131" s="109" t="s">
        <v>432</v>
      </c>
      <c r="Q1131" s="109" t="s">
        <v>432</v>
      </c>
      <c r="R1131" s="109" t="s">
        <v>432</v>
      </c>
      <c r="S1131" s="109" t="s">
        <v>2209</v>
      </c>
      <c r="T1131" s="109" t="s">
        <v>432</v>
      </c>
      <c r="U1131" s="109" t="s">
        <v>432</v>
      </c>
      <c r="V1131" s="109" t="s">
        <v>2209</v>
      </c>
      <c r="W1131" s="109" t="s">
        <v>432</v>
      </c>
      <c r="X1131" s="109" t="s">
        <v>432</v>
      </c>
      <c r="Y1131" s="109" t="s">
        <v>432</v>
      </c>
      <c r="Z1131" s="109" t="s">
        <v>432</v>
      </c>
      <c r="AA1131" s="109" t="s">
        <v>432</v>
      </c>
      <c r="AB1131" s="109" t="s">
        <v>432</v>
      </c>
      <c r="AC1131" s="109" t="s">
        <v>432</v>
      </c>
      <c r="AD1131" s="109" t="s">
        <v>432</v>
      </c>
      <c r="AE1131" s="109" t="s">
        <v>432</v>
      </c>
      <c r="AF1131" s="109" t="s">
        <v>432</v>
      </c>
      <c r="AG1131" s="109" t="s">
        <v>432</v>
      </c>
      <c r="AH1131" s="109" t="s">
        <v>432</v>
      </c>
      <c r="AI1131" s="109" t="s">
        <v>432</v>
      </c>
      <c r="AJ1131" s="109" t="s">
        <v>432</v>
      </c>
      <c r="AK1131" s="109" t="s">
        <v>432</v>
      </c>
      <c r="AL1131" s="601" t="s">
        <v>432</v>
      </c>
      <c r="AM1131" s="109" t="s">
        <v>432</v>
      </c>
      <c r="AN1131" s="109" t="s">
        <v>432</v>
      </c>
      <c r="AO1131" s="109" t="s">
        <v>432</v>
      </c>
      <c r="AP1131" s="109" t="s">
        <v>432</v>
      </c>
      <c r="AQ1131" s="109" t="s">
        <v>432</v>
      </c>
      <c r="AR1131" s="109" t="s">
        <v>432</v>
      </c>
      <c r="AS1131" s="109" t="s">
        <v>432</v>
      </c>
      <c r="AT1131" s="109" t="s">
        <v>432</v>
      </c>
      <c r="AU1131" s="109" t="s">
        <v>432</v>
      </c>
      <c r="AV1131" s="109" t="s">
        <v>432</v>
      </c>
      <c r="AW1131" s="109" t="s">
        <v>432</v>
      </c>
      <c r="AX1131" s="109" t="s">
        <v>432</v>
      </c>
      <c r="AY1131" s="109" t="s">
        <v>432</v>
      </c>
      <c r="AZ1131" s="109" t="s">
        <v>432</v>
      </c>
      <c r="BA1131" s="109" t="s">
        <v>432</v>
      </c>
      <c r="BB1131" s="239" t="str">
        <f t="shared" ref="BB1131:BB1145" si="316">B1131&amp;C1131</f>
        <v>Sistema de transporte coletivo com um todoacessibilidade</v>
      </c>
      <c r="BC1131" s="239" t="str">
        <f t="shared" ref="BC1131:BC1145" si="317">B1131&amp;C1131&amp;H1131</f>
        <v>Sistema de transporte coletivo com um todoacessibilidadesigla/verbete</v>
      </c>
      <c r="BD1131" s="239" t="str">
        <f t="shared" ref="BD1131:BD1145" si="318">B1131&amp;H1131</f>
        <v>Sistema de transporte coletivo com um todosigla/verbete</v>
      </c>
    </row>
    <row r="1132" spans="1:56" s="105" customFormat="1" ht="149.25" customHeight="1" x14ac:dyDescent="0.25">
      <c r="A1132" s="262" t="str">
        <f>'Q100b-totais'!B62</f>
        <v>8.10</v>
      </c>
      <c r="B1132" s="252" t="str">
        <f>'Q100b-totais'!C62</f>
        <v>Sistema de transporte coletivo com um todo</v>
      </c>
      <c r="C1132" s="57" t="s">
        <v>743</v>
      </c>
      <c r="D1132" s="324" t="s">
        <v>5943</v>
      </c>
      <c r="E1132" s="1445" t="s">
        <v>432</v>
      </c>
      <c r="F1132" s="252" t="s">
        <v>6163</v>
      </c>
      <c r="G1132" s="173" t="s">
        <v>5945</v>
      </c>
      <c r="H1132" s="173" t="s">
        <v>765</v>
      </c>
      <c r="I1132" s="167" t="s">
        <v>432</v>
      </c>
      <c r="J1132" s="109" t="s">
        <v>432</v>
      </c>
      <c r="K1132" s="109" t="s">
        <v>432</v>
      </c>
      <c r="L1132" s="109" t="s">
        <v>432</v>
      </c>
      <c r="M1132" s="109" t="s">
        <v>432</v>
      </c>
      <c r="N1132" s="109" t="s">
        <v>432</v>
      </c>
      <c r="O1132" s="109" t="s">
        <v>432</v>
      </c>
      <c r="P1132" s="109" t="s">
        <v>432</v>
      </c>
      <c r="Q1132" s="109" t="s">
        <v>432</v>
      </c>
      <c r="R1132" s="109" t="s">
        <v>432</v>
      </c>
      <c r="S1132" s="109" t="s">
        <v>2209</v>
      </c>
      <c r="T1132" s="109" t="s">
        <v>432</v>
      </c>
      <c r="U1132" s="109" t="s">
        <v>432</v>
      </c>
      <c r="V1132" s="109" t="s">
        <v>2209</v>
      </c>
      <c r="W1132" s="109" t="s">
        <v>432</v>
      </c>
      <c r="X1132" s="109" t="s">
        <v>432</v>
      </c>
      <c r="Y1132" s="109" t="s">
        <v>432</v>
      </c>
      <c r="Z1132" s="109" t="s">
        <v>432</v>
      </c>
      <c r="AA1132" s="109" t="s">
        <v>432</v>
      </c>
      <c r="AB1132" s="109" t="s">
        <v>432</v>
      </c>
      <c r="AC1132" s="109" t="s">
        <v>432</v>
      </c>
      <c r="AD1132" s="109" t="s">
        <v>432</v>
      </c>
      <c r="AE1132" s="109" t="s">
        <v>432</v>
      </c>
      <c r="AF1132" s="109" t="s">
        <v>432</v>
      </c>
      <c r="AG1132" s="109" t="s">
        <v>432</v>
      </c>
      <c r="AH1132" s="109" t="s">
        <v>432</v>
      </c>
      <c r="AI1132" s="109" t="s">
        <v>432</v>
      </c>
      <c r="AJ1132" s="109" t="s">
        <v>432</v>
      </c>
      <c r="AK1132" s="109" t="s">
        <v>432</v>
      </c>
      <c r="AL1132" s="601" t="s">
        <v>432</v>
      </c>
      <c r="AM1132" s="109" t="s">
        <v>432</v>
      </c>
      <c r="AN1132" s="109" t="s">
        <v>432</v>
      </c>
      <c r="AO1132" s="109" t="s">
        <v>432</v>
      </c>
      <c r="AP1132" s="109" t="s">
        <v>432</v>
      </c>
      <c r="AQ1132" s="109" t="s">
        <v>432</v>
      </c>
      <c r="AR1132" s="109" t="s">
        <v>432</v>
      </c>
      <c r="AS1132" s="109" t="s">
        <v>432</v>
      </c>
      <c r="AT1132" s="109" t="s">
        <v>432</v>
      </c>
      <c r="AU1132" s="109" t="s">
        <v>432</v>
      </c>
      <c r="AV1132" s="109" t="s">
        <v>432</v>
      </c>
      <c r="AW1132" s="109" t="s">
        <v>432</v>
      </c>
      <c r="AX1132" s="109" t="s">
        <v>432</v>
      </c>
      <c r="AY1132" s="109" t="s">
        <v>432</v>
      </c>
      <c r="AZ1132" s="109" t="s">
        <v>432</v>
      </c>
      <c r="BA1132" s="109" t="s">
        <v>432</v>
      </c>
      <c r="BB1132" s="239" t="str">
        <f t="shared" ref="BB1132" si="319">B1132&amp;C1132</f>
        <v>Sistema de transporte coletivo com um todoacessibilidade</v>
      </c>
      <c r="BC1132" s="239" t="str">
        <f t="shared" ref="BC1132" si="320">B1132&amp;C1132&amp;H1132</f>
        <v>Sistema de transporte coletivo com um todoacessibilidademeta/RPI</v>
      </c>
      <c r="BD1132" s="239" t="str">
        <f t="shared" ref="BD1132" si="321">B1132&amp;H1132</f>
        <v>Sistema de transporte coletivo com um todometa/RPI</v>
      </c>
    </row>
    <row r="1133" spans="1:56" s="105" customFormat="1" ht="88.5" customHeight="1" x14ac:dyDescent="0.25">
      <c r="A1133" s="262" t="str">
        <f>'Q100b-totais'!B62</f>
        <v>8.10</v>
      </c>
      <c r="B1133" s="252" t="str">
        <f>'Q100b-totais'!C62</f>
        <v>Sistema de transporte coletivo com um todo</v>
      </c>
      <c r="C1133" s="57" t="s">
        <v>743</v>
      </c>
      <c r="D1133" s="324" t="s">
        <v>5943</v>
      </c>
      <c r="E1133" s="1445" t="s">
        <v>432</v>
      </c>
      <c r="F1133" s="252" t="s">
        <v>5944</v>
      </c>
      <c r="G1133" s="173" t="s">
        <v>3925</v>
      </c>
      <c r="H1133" s="173" t="s">
        <v>765</v>
      </c>
      <c r="I1133" s="167" t="s">
        <v>432</v>
      </c>
      <c r="J1133" s="109" t="s">
        <v>432</v>
      </c>
      <c r="K1133" s="109" t="s">
        <v>432</v>
      </c>
      <c r="L1133" s="109" t="s">
        <v>432</v>
      </c>
      <c r="M1133" s="109" t="s">
        <v>432</v>
      </c>
      <c r="N1133" s="109" t="s">
        <v>432</v>
      </c>
      <c r="O1133" s="109" t="s">
        <v>432</v>
      </c>
      <c r="P1133" s="109" t="s">
        <v>432</v>
      </c>
      <c r="Q1133" s="109" t="s">
        <v>432</v>
      </c>
      <c r="R1133" s="109" t="s">
        <v>432</v>
      </c>
      <c r="S1133" s="109" t="s">
        <v>2209</v>
      </c>
      <c r="T1133" s="109" t="s">
        <v>432</v>
      </c>
      <c r="U1133" s="109" t="s">
        <v>432</v>
      </c>
      <c r="V1133" s="109" t="s">
        <v>2209</v>
      </c>
      <c r="W1133" s="109" t="s">
        <v>432</v>
      </c>
      <c r="X1133" s="109" t="s">
        <v>432</v>
      </c>
      <c r="Y1133" s="109" t="s">
        <v>432</v>
      </c>
      <c r="Z1133" s="109" t="s">
        <v>432</v>
      </c>
      <c r="AA1133" s="109" t="s">
        <v>432</v>
      </c>
      <c r="AB1133" s="109" t="s">
        <v>432</v>
      </c>
      <c r="AC1133" s="109" t="s">
        <v>432</v>
      </c>
      <c r="AD1133" s="109" t="s">
        <v>432</v>
      </c>
      <c r="AE1133" s="109" t="s">
        <v>432</v>
      </c>
      <c r="AF1133" s="109" t="s">
        <v>432</v>
      </c>
      <c r="AG1133" s="109" t="s">
        <v>432</v>
      </c>
      <c r="AH1133" s="109" t="s">
        <v>432</v>
      </c>
      <c r="AI1133" s="109" t="s">
        <v>432</v>
      </c>
      <c r="AJ1133" s="109" t="s">
        <v>432</v>
      </c>
      <c r="AK1133" s="109" t="s">
        <v>432</v>
      </c>
      <c r="AL1133" s="601" t="s">
        <v>432</v>
      </c>
      <c r="AM1133" s="109" t="s">
        <v>432</v>
      </c>
      <c r="AN1133" s="109" t="s">
        <v>432</v>
      </c>
      <c r="AO1133" s="109" t="s">
        <v>432</v>
      </c>
      <c r="AP1133" s="109" t="s">
        <v>432</v>
      </c>
      <c r="AQ1133" s="109" t="s">
        <v>432</v>
      </c>
      <c r="AR1133" s="109" t="s">
        <v>432</v>
      </c>
      <c r="AS1133" s="109" t="s">
        <v>432</v>
      </c>
      <c r="AT1133" s="109" t="s">
        <v>432</v>
      </c>
      <c r="AU1133" s="109" t="s">
        <v>432</v>
      </c>
      <c r="AV1133" s="109" t="s">
        <v>432</v>
      </c>
      <c r="AW1133" s="109" t="s">
        <v>432</v>
      </c>
      <c r="AX1133" s="109" t="s">
        <v>432</v>
      </c>
      <c r="AY1133" s="109" t="s">
        <v>432</v>
      </c>
      <c r="AZ1133" s="109" t="s">
        <v>432</v>
      </c>
      <c r="BA1133" s="109" t="s">
        <v>432</v>
      </c>
      <c r="BB1133" s="239" t="str">
        <f t="shared" ref="BB1133" si="322">B1133&amp;C1133</f>
        <v>Sistema de transporte coletivo com um todoacessibilidade</v>
      </c>
      <c r="BC1133" s="239" t="str">
        <f t="shared" ref="BC1133" si="323">B1133&amp;C1133&amp;H1133</f>
        <v>Sistema de transporte coletivo com um todoacessibilidademeta/RPI</v>
      </c>
      <c r="BD1133" s="239" t="str">
        <f t="shared" ref="BD1133" si="324">B1133&amp;H1133</f>
        <v>Sistema de transporte coletivo com um todometa/RPI</v>
      </c>
    </row>
    <row r="1134" spans="1:56" s="105" customFormat="1" ht="167.25" customHeight="1" x14ac:dyDescent="0.25">
      <c r="A1134" s="262" t="str">
        <f>'Q100b-totais'!B62</f>
        <v>8.10</v>
      </c>
      <c r="B1134" s="252" t="str">
        <f>'Q100b-totais'!C62</f>
        <v>Sistema de transporte coletivo com um todo</v>
      </c>
      <c r="C1134" s="57" t="s">
        <v>743</v>
      </c>
      <c r="D1134" s="324" t="s">
        <v>1984</v>
      </c>
      <c r="E1134" s="1496" t="s">
        <v>432</v>
      </c>
      <c r="F1134" s="188" t="s">
        <v>5894</v>
      </c>
      <c r="G1134" s="230" t="s">
        <v>3507</v>
      </c>
      <c r="H1134" s="167" t="s">
        <v>2408</v>
      </c>
      <c r="I1134" s="167" t="s">
        <v>432</v>
      </c>
      <c r="J1134" s="109" t="s">
        <v>432</v>
      </c>
      <c r="K1134" s="109" t="s">
        <v>432</v>
      </c>
      <c r="L1134" s="109" t="s">
        <v>432</v>
      </c>
      <c r="M1134" s="109" t="s">
        <v>432</v>
      </c>
      <c r="N1134" s="109" t="s">
        <v>432</v>
      </c>
      <c r="O1134" s="109" t="s">
        <v>432</v>
      </c>
      <c r="P1134" s="109" t="s">
        <v>432</v>
      </c>
      <c r="Q1134" s="109" t="s">
        <v>432</v>
      </c>
      <c r="R1134" s="109" t="s">
        <v>432</v>
      </c>
      <c r="S1134" s="109" t="s">
        <v>2209</v>
      </c>
      <c r="T1134" s="109" t="s">
        <v>432</v>
      </c>
      <c r="U1134" s="109" t="s">
        <v>432</v>
      </c>
      <c r="V1134" s="109" t="s">
        <v>2209</v>
      </c>
      <c r="W1134" s="109" t="s">
        <v>432</v>
      </c>
      <c r="X1134" s="109" t="s">
        <v>432</v>
      </c>
      <c r="Y1134" s="109" t="s">
        <v>432</v>
      </c>
      <c r="Z1134" s="109" t="s">
        <v>432</v>
      </c>
      <c r="AA1134" s="109" t="s">
        <v>432</v>
      </c>
      <c r="AB1134" s="109" t="s">
        <v>432</v>
      </c>
      <c r="AC1134" s="109" t="s">
        <v>432</v>
      </c>
      <c r="AD1134" s="109" t="s">
        <v>432</v>
      </c>
      <c r="AE1134" s="109" t="s">
        <v>432</v>
      </c>
      <c r="AF1134" s="109" t="s">
        <v>432</v>
      </c>
      <c r="AG1134" s="109" t="s">
        <v>432</v>
      </c>
      <c r="AH1134" s="109" t="s">
        <v>432</v>
      </c>
      <c r="AI1134" s="109" t="s">
        <v>432</v>
      </c>
      <c r="AJ1134" s="109" t="s">
        <v>432</v>
      </c>
      <c r="AK1134" s="109" t="s">
        <v>432</v>
      </c>
      <c r="AL1134" s="601" t="s">
        <v>432</v>
      </c>
      <c r="AM1134" s="109" t="s">
        <v>432</v>
      </c>
      <c r="AN1134" s="109" t="s">
        <v>432</v>
      </c>
      <c r="AO1134" s="109" t="s">
        <v>432</v>
      </c>
      <c r="AP1134" s="109" t="s">
        <v>432</v>
      </c>
      <c r="AQ1134" s="109" t="s">
        <v>432</v>
      </c>
      <c r="AR1134" s="109" t="s">
        <v>432</v>
      </c>
      <c r="AS1134" s="109" t="s">
        <v>432</v>
      </c>
      <c r="AT1134" s="109" t="s">
        <v>432</v>
      </c>
      <c r="AU1134" s="109" t="s">
        <v>432</v>
      </c>
      <c r="AV1134" s="109" t="s">
        <v>432</v>
      </c>
      <c r="AW1134" s="109" t="s">
        <v>432</v>
      </c>
      <c r="AX1134" s="109" t="s">
        <v>432</v>
      </c>
      <c r="AY1134" s="109" t="s">
        <v>432</v>
      </c>
      <c r="AZ1134" s="109" t="s">
        <v>432</v>
      </c>
      <c r="BA1134" s="109" t="s">
        <v>432</v>
      </c>
      <c r="BB1134" s="239" t="str">
        <f t="shared" si="316"/>
        <v>Sistema de transporte coletivo com um todoacessibilidade</v>
      </c>
      <c r="BC1134" s="239" t="str">
        <f t="shared" si="317"/>
        <v>Sistema de transporte coletivo com um todoacessibilidadesigla/verbete</v>
      </c>
      <c r="BD1134" s="239" t="str">
        <f t="shared" si="318"/>
        <v>Sistema de transporte coletivo com um todosigla/verbete</v>
      </c>
    </row>
    <row r="1135" spans="1:56" s="105" customFormat="1" ht="31.5" customHeight="1" x14ac:dyDescent="0.25">
      <c r="A1135" s="262" t="str">
        <f>'Q100b-totais'!B54</f>
        <v>8.2</v>
      </c>
      <c r="B1135" s="252" t="str">
        <f>'Q100b-totais'!C54</f>
        <v>BRT</v>
      </c>
      <c r="C1135" s="229" t="s">
        <v>743</v>
      </c>
      <c r="D1135" s="324" t="s">
        <v>1984</v>
      </c>
      <c r="E1135" s="1496" t="s">
        <v>1266</v>
      </c>
      <c r="F1135" s="188" t="s">
        <v>1992</v>
      </c>
      <c r="G1135" s="57" t="s">
        <v>432</v>
      </c>
      <c r="H1135" s="167" t="s">
        <v>819</v>
      </c>
      <c r="I1135" s="167" t="s">
        <v>432</v>
      </c>
      <c r="J1135" s="109" t="s">
        <v>432</v>
      </c>
      <c r="K1135" s="109" t="s">
        <v>432</v>
      </c>
      <c r="L1135" s="109" t="s">
        <v>432</v>
      </c>
      <c r="M1135" s="109" t="s">
        <v>432</v>
      </c>
      <c r="N1135" s="109" t="s">
        <v>432</v>
      </c>
      <c r="O1135" s="109" t="s">
        <v>432</v>
      </c>
      <c r="P1135" s="109" t="s">
        <v>432</v>
      </c>
      <c r="Q1135" s="109" t="s">
        <v>432</v>
      </c>
      <c r="R1135" s="109" t="s">
        <v>432</v>
      </c>
      <c r="S1135" s="109" t="s">
        <v>2209</v>
      </c>
      <c r="T1135" s="109" t="s">
        <v>432</v>
      </c>
      <c r="U1135" s="109" t="s">
        <v>432</v>
      </c>
      <c r="V1135" s="109" t="s">
        <v>2209</v>
      </c>
      <c r="W1135" s="109" t="s">
        <v>432</v>
      </c>
      <c r="X1135" s="109" t="s">
        <v>432</v>
      </c>
      <c r="Y1135" s="109" t="s">
        <v>432</v>
      </c>
      <c r="Z1135" s="109" t="s">
        <v>432</v>
      </c>
      <c r="AA1135" s="109" t="s">
        <v>432</v>
      </c>
      <c r="AB1135" s="109" t="s">
        <v>432</v>
      </c>
      <c r="AC1135" s="109" t="s">
        <v>432</v>
      </c>
      <c r="AD1135" s="109" t="s">
        <v>432</v>
      </c>
      <c r="AE1135" s="109" t="s">
        <v>432</v>
      </c>
      <c r="AF1135" s="109" t="s">
        <v>432</v>
      </c>
      <c r="AG1135" s="109" t="s">
        <v>432</v>
      </c>
      <c r="AH1135" s="109" t="s">
        <v>432</v>
      </c>
      <c r="AI1135" s="109" t="s">
        <v>432</v>
      </c>
      <c r="AJ1135" s="109" t="s">
        <v>432</v>
      </c>
      <c r="AK1135" s="109" t="s">
        <v>432</v>
      </c>
      <c r="AL1135" s="601" t="s">
        <v>432</v>
      </c>
      <c r="AM1135" s="109" t="s">
        <v>432</v>
      </c>
      <c r="AN1135" s="109" t="s">
        <v>432</v>
      </c>
      <c r="AO1135" s="109" t="s">
        <v>432</v>
      </c>
      <c r="AP1135" s="109" t="s">
        <v>432</v>
      </c>
      <c r="AQ1135" s="109" t="s">
        <v>432</v>
      </c>
      <c r="AR1135" s="109" t="s">
        <v>432</v>
      </c>
      <c r="AS1135" s="109" t="s">
        <v>432</v>
      </c>
      <c r="AT1135" s="109" t="s">
        <v>432</v>
      </c>
      <c r="AU1135" s="109" t="s">
        <v>432</v>
      </c>
      <c r="AV1135" s="109" t="s">
        <v>432</v>
      </c>
      <c r="AW1135" s="109" t="s">
        <v>432</v>
      </c>
      <c r="AX1135" s="109" t="s">
        <v>432</v>
      </c>
      <c r="AY1135" s="109" t="s">
        <v>432</v>
      </c>
      <c r="AZ1135" s="109" t="s">
        <v>432</v>
      </c>
      <c r="BA1135" s="109" t="s">
        <v>432</v>
      </c>
      <c r="BB1135" s="239" t="str">
        <f t="shared" si="316"/>
        <v>BRTacessibilidade</v>
      </c>
      <c r="BC1135" s="239" t="str">
        <f t="shared" si="317"/>
        <v>BRTacessibilidadebenchmarking</v>
      </c>
      <c r="BD1135" s="239" t="str">
        <f t="shared" si="318"/>
        <v>BRTbenchmarking</v>
      </c>
    </row>
    <row r="1136" spans="1:56" s="105" customFormat="1" ht="36" customHeight="1" x14ac:dyDescent="0.25">
      <c r="A1136" s="262" t="str">
        <f>'Q100b-totais'!B54</f>
        <v>8.2</v>
      </c>
      <c r="B1136" s="252" t="str">
        <f>'Q100b-totais'!C54</f>
        <v>BRT</v>
      </c>
      <c r="C1136" s="229" t="s">
        <v>743</v>
      </c>
      <c r="D1136" s="324" t="s">
        <v>1984</v>
      </c>
      <c r="E1136" s="1496" t="s">
        <v>1987</v>
      </c>
      <c r="F1136" s="188" t="s">
        <v>1992</v>
      </c>
      <c r="G1136" s="57" t="s">
        <v>432</v>
      </c>
      <c r="H1136" s="167" t="s">
        <v>819</v>
      </c>
      <c r="I1136" s="167" t="s">
        <v>432</v>
      </c>
      <c r="J1136" s="109" t="s">
        <v>432</v>
      </c>
      <c r="K1136" s="109" t="s">
        <v>432</v>
      </c>
      <c r="L1136" s="109" t="s">
        <v>432</v>
      </c>
      <c r="M1136" s="109" t="s">
        <v>432</v>
      </c>
      <c r="N1136" s="109" t="s">
        <v>432</v>
      </c>
      <c r="O1136" s="109" t="s">
        <v>432</v>
      </c>
      <c r="P1136" s="109" t="s">
        <v>432</v>
      </c>
      <c r="Q1136" s="109" t="s">
        <v>432</v>
      </c>
      <c r="R1136" s="109" t="s">
        <v>432</v>
      </c>
      <c r="S1136" s="109" t="s">
        <v>2209</v>
      </c>
      <c r="T1136" s="109" t="s">
        <v>432</v>
      </c>
      <c r="U1136" s="109" t="s">
        <v>432</v>
      </c>
      <c r="V1136" s="109" t="s">
        <v>2209</v>
      </c>
      <c r="W1136" s="109" t="s">
        <v>432</v>
      </c>
      <c r="X1136" s="109" t="s">
        <v>432</v>
      </c>
      <c r="Y1136" s="109" t="s">
        <v>432</v>
      </c>
      <c r="Z1136" s="109" t="s">
        <v>432</v>
      </c>
      <c r="AA1136" s="109" t="s">
        <v>432</v>
      </c>
      <c r="AB1136" s="109" t="s">
        <v>432</v>
      </c>
      <c r="AC1136" s="109" t="s">
        <v>432</v>
      </c>
      <c r="AD1136" s="109" t="s">
        <v>432</v>
      </c>
      <c r="AE1136" s="109" t="s">
        <v>432</v>
      </c>
      <c r="AF1136" s="109" t="s">
        <v>432</v>
      </c>
      <c r="AG1136" s="109" t="s">
        <v>432</v>
      </c>
      <c r="AH1136" s="109" t="s">
        <v>432</v>
      </c>
      <c r="AI1136" s="109" t="s">
        <v>432</v>
      </c>
      <c r="AJ1136" s="109" t="s">
        <v>432</v>
      </c>
      <c r="AK1136" s="109" t="s">
        <v>432</v>
      </c>
      <c r="AL1136" s="601" t="s">
        <v>432</v>
      </c>
      <c r="AM1136" s="109" t="s">
        <v>432</v>
      </c>
      <c r="AN1136" s="109" t="s">
        <v>432</v>
      </c>
      <c r="AO1136" s="109" t="s">
        <v>432</v>
      </c>
      <c r="AP1136" s="109" t="s">
        <v>432</v>
      </c>
      <c r="AQ1136" s="109" t="s">
        <v>432</v>
      </c>
      <c r="AR1136" s="109" t="s">
        <v>432</v>
      </c>
      <c r="AS1136" s="109" t="s">
        <v>432</v>
      </c>
      <c r="AT1136" s="109" t="s">
        <v>432</v>
      </c>
      <c r="AU1136" s="109" t="s">
        <v>432</v>
      </c>
      <c r="AV1136" s="109" t="s">
        <v>432</v>
      </c>
      <c r="AW1136" s="109" t="s">
        <v>432</v>
      </c>
      <c r="AX1136" s="109" t="s">
        <v>432</v>
      </c>
      <c r="AY1136" s="109" t="s">
        <v>432</v>
      </c>
      <c r="AZ1136" s="109" t="s">
        <v>432</v>
      </c>
      <c r="BA1136" s="109" t="s">
        <v>432</v>
      </c>
      <c r="BB1136" s="239" t="str">
        <f t="shared" si="316"/>
        <v>BRTacessibilidade</v>
      </c>
      <c r="BC1136" s="239" t="str">
        <f t="shared" si="317"/>
        <v>BRTacessibilidadebenchmarking</v>
      </c>
      <c r="BD1136" s="239" t="str">
        <f t="shared" si="318"/>
        <v>BRTbenchmarking</v>
      </c>
    </row>
    <row r="1137" spans="1:56" s="105" customFormat="1" ht="127.5" x14ac:dyDescent="0.25">
      <c r="A1137" s="262" t="str">
        <f>A1135</f>
        <v>8.2</v>
      </c>
      <c r="B1137" s="252" t="str">
        <f>B1135</f>
        <v>BRT</v>
      </c>
      <c r="C1137" s="57" t="s">
        <v>743</v>
      </c>
      <c r="D1137" s="324" t="s">
        <v>1985</v>
      </c>
      <c r="E1137" s="1496" t="s">
        <v>432</v>
      </c>
      <c r="F1137" s="188" t="s">
        <v>6125</v>
      </c>
      <c r="G1137" s="230" t="s">
        <v>3507</v>
      </c>
      <c r="H1137" s="167" t="s">
        <v>2408</v>
      </c>
      <c r="I1137" s="167" t="s">
        <v>432</v>
      </c>
      <c r="J1137" s="109" t="s">
        <v>432</v>
      </c>
      <c r="K1137" s="109" t="s">
        <v>432</v>
      </c>
      <c r="L1137" s="109" t="s">
        <v>432</v>
      </c>
      <c r="M1137" s="109" t="s">
        <v>432</v>
      </c>
      <c r="N1137" s="109" t="s">
        <v>432</v>
      </c>
      <c r="O1137" s="109" t="s">
        <v>432</v>
      </c>
      <c r="P1137" s="109" t="s">
        <v>432</v>
      </c>
      <c r="Q1137" s="109" t="s">
        <v>432</v>
      </c>
      <c r="R1137" s="109" t="s">
        <v>432</v>
      </c>
      <c r="S1137" s="109" t="s">
        <v>2209</v>
      </c>
      <c r="T1137" s="109" t="s">
        <v>432</v>
      </c>
      <c r="U1137" s="109" t="s">
        <v>432</v>
      </c>
      <c r="V1137" s="109" t="s">
        <v>2209</v>
      </c>
      <c r="W1137" s="109" t="s">
        <v>432</v>
      </c>
      <c r="X1137" s="109" t="s">
        <v>432</v>
      </c>
      <c r="Y1137" s="109" t="s">
        <v>432</v>
      </c>
      <c r="Z1137" s="109" t="s">
        <v>432</v>
      </c>
      <c r="AA1137" s="109" t="s">
        <v>432</v>
      </c>
      <c r="AB1137" s="109" t="s">
        <v>432</v>
      </c>
      <c r="AC1137" s="109" t="s">
        <v>432</v>
      </c>
      <c r="AD1137" s="109" t="s">
        <v>432</v>
      </c>
      <c r="AE1137" s="109" t="s">
        <v>432</v>
      </c>
      <c r="AF1137" s="109" t="s">
        <v>432</v>
      </c>
      <c r="AG1137" s="109" t="s">
        <v>432</v>
      </c>
      <c r="AH1137" s="109" t="s">
        <v>432</v>
      </c>
      <c r="AI1137" s="109" t="s">
        <v>432</v>
      </c>
      <c r="AJ1137" s="109" t="s">
        <v>432</v>
      </c>
      <c r="AK1137" s="109" t="s">
        <v>432</v>
      </c>
      <c r="AL1137" s="601" t="s">
        <v>432</v>
      </c>
      <c r="AM1137" s="109" t="s">
        <v>432</v>
      </c>
      <c r="AN1137" s="109" t="s">
        <v>432</v>
      </c>
      <c r="AO1137" s="109" t="s">
        <v>432</v>
      </c>
      <c r="AP1137" s="109" t="s">
        <v>432</v>
      </c>
      <c r="AQ1137" s="109" t="s">
        <v>432</v>
      </c>
      <c r="AR1137" s="109" t="s">
        <v>432</v>
      </c>
      <c r="AS1137" s="109" t="s">
        <v>432</v>
      </c>
      <c r="AT1137" s="109" t="s">
        <v>432</v>
      </c>
      <c r="AU1137" s="109" t="s">
        <v>432</v>
      </c>
      <c r="AV1137" s="109" t="s">
        <v>432</v>
      </c>
      <c r="AW1137" s="109" t="s">
        <v>432</v>
      </c>
      <c r="AX1137" s="109" t="s">
        <v>432</v>
      </c>
      <c r="AY1137" s="109" t="s">
        <v>432</v>
      </c>
      <c r="AZ1137" s="109" t="s">
        <v>432</v>
      </c>
      <c r="BA1137" s="109" t="s">
        <v>432</v>
      </c>
      <c r="BB1137" s="239" t="str">
        <f t="shared" si="316"/>
        <v>BRTacessibilidade</v>
      </c>
      <c r="BC1137" s="239" t="str">
        <f t="shared" si="317"/>
        <v>BRTacessibilidadesigla/verbete</v>
      </c>
      <c r="BD1137" s="239" t="str">
        <f t="shared" si="318"/>
        <v>BRTsigla/verbete</v>
      </c>
    </row>
    <row r="1138" spans="1:56" s="105" customFormat="1" ht="196.5" customHeight="1" x14ac:dyDescent="0.25">
      <c r="A1138" s="262" t="str">
        <f>A1137</f>
        <v>8.2</v>
      </c>
      <c r="B1138" s="252" t="str">
        <f>B1137</f>
        <v>BRT</v>
      </c>
      <c r="C1138" s="57" t="s">
        <v>743</v>
      </c>
      <c r="D1138" s="324" t="s">
        <v>2000</v>
      </c>
      <c r="E1138" s="1445" t="s">
        <v>432</v>
      </c>
      <c r="F1138" s="188" t="s">
        <v>5475</v>
      </c>
      <c r="G1138" s="230" t="s">
        <v>3507</v>
      </c>
      <c r="H1138" s="167" t="s">
        <v>2408</v>
      </c>
      <c r="I1138" s="167" t="s">
        <v>432</v>
      </c>
      <c r="J1138" s="109" t="s">
        <v>432</v>
      </c>
      <c r="K1138" s="109" t="s">
        <v>432</v>
      </c>
      <c r="L1138" s="109" t="s">
        <v>432</v>
      </c>
      <c r="M1138" s="109" t="s">
        <v>432</v>
      </c>
      <c r="N1138" s="109" t="s">
        <v>432</v>
      </c>
      <c r="O1138" s="109" t="s">
        <v>432</v>
      </c>
      <c r="P1138" s="109" t="s">
        <v>432</v>
      </c>
      <c r="Q1138" s="109" t="s">
        <v>432</v>
      </c>
      <c r="R1138" s="109" t="s">
        <v>432</v>
      </c>
      <c r="S1138" s="109" t="s">
        <v>2209</v>
      </c>
      <c r="T1138" s="109" t="s">
        <v>432</v>
      </c>
      <c r="U1138" s="109" t="s">
        <v>432</v>
      </c>
      <c r="V1138" s="109" t="s">
        <v>2209</v>
      </c>
      <c r="W1138" s="109" t="s">
        <v>432</v>
      </c>
      <c r="X1138" s="109" t="s">
        <v>432</v>
      </c>
      <c r="Y1138" s="109" t="s">
        <v>432</v>
      </c>
      <c r="Z1138" s="109" t="s">
        <v>432</v>
      </c>
      <c r="AA1138" s="109" t="s">
        <v>432</v>
      </c>
      <c r="AB1138" s="109" t="s">
        <v>432</v>
      </c>
      <c r="AC1138" s="109" t="s">
        <v>432</v>
      </c>
      <c r="AD1138" s="109" t="s">
        <v>432</v>
      </c>
      <c r="AE1138" s="109" t="s">
        <v>432</v>
      </c>
      <c r="AF1138" s="109" t="s">
        <v>432</v>
      </c>
      <c r="AG1138" s="109" t="s">
        <v>432</v>
      </c>
      <c r="AH1138" s="109" t="s">
        <v>432</v>
      </c>
      <c r="AI1138" s="109" t="s">
        <v>432</v>
      </c>
      <c r="AJ1138" s="109" t="s">
        <v>432</v>
      </c>
      <c r="AK1138" s="97">
        <v>-3</v>
      </c>
      <c r="AL1138" s="601" t="s">
        <v>432</v>
      </c>
      <c r="AM1138" s="109" t="s">
        <v>432</v>
      </c>
      <c r="AN1138" s="109" t="s">
        <v>432</v>
      </c>
      <c r="AO1138" s="109" t="s">
        <v>432</v>
      </c>
      <c r="AP1138" s="109" t="s">
        <v>432</v>
      </c>
      <c r="AQ1138" s="109" t="s">
        <v>432</v>
      </c>
      <c r="AR1138" s="109" t="s">
        <v>432</v>
      </c>
      <c r="AS1138" s="109" t="s">
        <v>432</v>
      </c>
      <c r="AT1138" s="109" t="s">
        <v>432</v>
      </c>
      <c r="AU1138" s="109" t="s">
        <v>432</v>
      </c>
      <c r="AV1138" s="109" t="s">
        <v>432</v>
      </c>
      <c r="AW1138" s="109" t="s">
        <v>432</v>
      </c>
      <c r="AX1138" s="109" t="s">
        <v>432</v>
      </c>
      <c r="AY1138" s="109" t="s">
        <v>432</v>
      </c>
      <c r="AZ1138" s="109" t="s">
        <v>432</v>
      </c>
      <c r="BA1138" s="109" t="s">
        <v>432</v>
      </c>
      <c r="BB1138" s="239" t="str">
        <f>B1138&amp;C1138</f>
        <v>BRTacessibilidade</v>
      </c>
      <c r="BC1138" s="239" t="str">
        <f>B1138&amp;C1138&amp;H1138</f>
        <v>BRTacessibilidadesigla/verbete</v>
      </c>
      <c r="BD1138" s="239" t="str">
        <f>B1138&amp;H1138</f>
        <v>BRTsigla/verbete</v>
      </c>
    </row>
    <row r="1139" spans="1:56" s="105" customFormat="1" ht="76.5" customHeight="1" x14ac:dyDescent="0.25">
      <c r="A1139" s="262" t="str">
        <f>A1135</f>
        <v>8.2</v>
      </c>
      <c r="B1139" s="252" t="str">
        <f>B1135</f>
        <v>BRT</v>
      </c>
      <c r="C1139" s="57" t="s">
        <v>743</v>
      </c>
      <c r="D1139" s="324" t="s">
        <v>1999</v>
      </c>
      <c r="E1139" s="1445" t="s">
        <v>432</v>
      </c>
      <c r="F1139" s="188" t="s">
        <v>5473</v>
      </c>
      <c r="G1139" s="230" t="s">
        <v>3507</v>
      </c>
      <c r="H1139" s="167" t="s">
        <v>2408</v>
      </c>
      <c r="I1139" s="167" t="s">
        <v>432</v>
      </c>
      <c r="J1139" s="109" t="s">
        <v>432</v>
      </c>
      <c r="K1139" s="109" t="s">
        <v>432</v>
      </c>
      <c r="L1139" s="109" t="s">
        <v>432</v>
      </c>
      <c r="M1139" s="109" t="s">
        <v>432</v>
      </c>
      <c r="N1139" s="109" t="s">
        <v>432</v>
      </c>
      <c r="O1139" s="109" t="s">
        <v>432</v>
      </c>
      <c r="P1139" s="109" t="s">
        <v>432</v>
      </c>
      <c r="Q1139" s="109" t="s">
        <v>432</v>
      </c>
      <c r="R1139" s="109" t="s">
        <v>432</v>
      </c>
      <c r="S1139" s="109" t="s">
        <v>2209</v>
      </c>
      <c r="T1139" s="109" t="s">
        <v>432</v>
      </c>
      <c r="U1139" s="109" t="s">
        <v>432</v>
      </c>
      <c r="V1139" s="109" t="s">
        <v>2209</v>
      </c>
      <c r="W1139" s="109" t="s">
        <v>432</v>
      </c>
      <c r="X1139" s="109" t="s">
        <v>432</v>
      </c>
      <c r="Y1139" s="109" t="s">
        <v>432</v>
      </c>
      <c r="Z1139" s="109" t="s">
        <v>432</v>
      </c>
      <c r="AA1139" s="109" t="s">
        <v>432</v>
      </c>
      <c r="AB1139" s="109" t="s">
        <v>432</v>
      </c>
      <c r="AC1139" s="109" t="s">
        <v>432</v>
      </c>
      <c r="AD1139" s="109" t="s">
        <v>432</v>
      </c>
      <c r="AE1139" s="109" t="s">
        <v>432</v>
      </c>
      <c r="AF1139" s="109" t="s">
        <v>432</v>
      </c>
      <c r="AG1139" s="109" t="s">
        <v>432</v>
      </c>
      <c r="AH1139" s="109" t="s">
        <v>432</v>
      </c>
      <c r="AI1139" s="109" t="s">
        <v>432</v>
      </c>
      <c r="AJ1139" s="109" t="s">
        <v>432</v>
      </c>
      <c r="AK1139" s="192">
        <v>0.2</v>
      </c>
      <c r="AL1139" s="601" t="s">
        <v>432</v>
      </c>
      <c r="AM1139" s="109" t="s">
        <v>432</v>
      </c>
      <c r="AN1139" s="109" t="s">
        <v>432</v>
      </c>
      <c r="AO1139" s="109" t="s">
        <v>432</v>
      </c>
      <c r="AP1139" s="109" t="s">
        <v>432</v>
      </c>
      <c r="AQ1139" s="109" t="s">
        <v>432</v>
      </c>
      <c r="AR1139" s="109" t="s">
        <v>432</v>
      </c>
      <c r="AS1139" s="109" t="s">
        <v>432</v>
      </c>
      <c r="AT1139" s="109" t="s">
        <v>432</v>
      </c>
      <c r="AU1139" s="109" t="s">
        <v>432</v>
      </c>
      <c r="AV1139" s="109" t="s">
        <v>432</v>
      </c>
      <c r="AW1139" s="109" t="s">
        <v>432</v>
      </c>
      <c r="AX1139" s="109" t="s">
        <v>432</v>
      </c>
      <c r="AY1139" s="109" t="s">
        <v>432</v>
      </c>
      <c r="AZ1139" s="109" t="s">
        <v>432</v>
      </c>
      <c r="BA1139" s="109" t="s">
        <v>432</v>
      </c>
      <c r="BB1139" s="239" t="str">
        <f>B1139&amp;C1139</f>
        <v>BRTacessibilidade</v>
      </c>
      <c r="BC1139" s="239" t="str">
        <f>B1139&amp;C1139&amp;H1139</f>
        <v>BRTacessibilidadesigla/verbete</v>
      </c>
      <c r="BD1139" s="239" t="str">
        <f>B1139&amp;H1139</f>
        <v>BRTsigla/verbete</v>
      </c>
    </row>
    <row r="1140" spans="1:56" s="105" customFormat="1" ht="231.75" customHeight="1" x14ac:dyDescent="0.25">
      <c r="A1140" s="262" t="str">
        <f>A1136</f>
        <v>8.2</v>
      </c>
      <c r="B1140" s="252" t="str">
        <f>B1136</f>
        <v>BRT</v>
      </c>
      <c r="C1140" s="57" t="s">
        <v>743</v>
      </c>
      <c r="D1140" s="324" t="s">
        <v>5474</v>
      </c>
      <c r="E1140" s="1445" t="s">
        <v>1306</v>
      </c>
      <c r="F1140" s="188" t="s">
        <v>5476</v>
      </c>
      <c r="G1140" s="1376" t="s">
        <v>77</v>
      </c>
      <c r="H1140" s="167">
        <v>1</v>
      </c>
      <c r="I1140" s="167" t="s">
        <v>432</v>
      </c>
      <c r="J1140" s="109" t="s">
        <v>432</v>
      </c>
      <c r="K1140" s="109" t="s">
        <v>432</v>
      </c>
      <c r="L1140" s="109" t="s">
        <v>432</v>
      </c>
      <c r="M1140" s="109" t="s">
        <v>432</v>
      </c>
      <c r="N1140" s="109" t="s">
        <v>432</v>
      </c>
      <c r="O1140" s="109" t="s">
        <v>432</v>
      </c>
      <c r="P1140" s="109" t="s">
        <v>432</v>
      </c>
      <c r="Q1140" s="109" t="s">
        <v>432</v>
      </c>
      <c r="R1140" s="109" t="s">
        <v>432</v>
      </c>
      <c r="S1140" s="109" t="s">
        <v>2209</v>
      </c>
      <c r="T1140" s="109" t="s">
        <v>432</v>
      </c>
      <c r="U1140" s="109" t="s">
        <v>432</v>
      </c>
      <c r="V1140" s="109" t="s">
        <v>2209</v>
      </c>
      <c r="W1140" s="109" t="s">
        <v>432</v>
      </c>
      <c r="X1140" s="109" t="s">
        <v>432</v>
      </c>
      <c r="Y1140" s="109" t="s">
        <v>432</v>
      </c>
      <c r="Z1140" s="109" t="s">
        <v>432</v>
      </c>
      <c r="AA1140" s="109" t="s">
        <v>432</v>
      </c>
      <c r="AB1140" s="109" t="s">
        <v>432</v>
      </c>
      <c r="AC1140" s="109" t="s">
        <v>432</v>
      </c>
      <c r="AD1140" s="109" t="s">
        <v>432</v>
      </c>
      <c r="AE1140" s="109" t="s">
        <v>432</v>
      </c>
      <c r="AF1140" s="109" t="s">
        <v>432</v>
      </c>
      <c r="AG1140" s="109" t="s">
        <v>432</v>
      </c>
      <c r="AH1140" s="109" t="s">
        <v>432</v>
      </c>
      <c r="AI1140" s="109" t="s">
        <v>432</v>
      </c>
      <c r="AJ1140" s="109" t="s">
        <v>432</v>
      </c>
      <c r="AK1140" s="192">
        <v>0.2</v>
      </c>
      <c r="AL1140" s="601" t="s">
        <v>432</v>
      </c>
      <c r="AM1140" s="109" t="s">
        <v>432</v>
      </c>
      <c r="AN1140" s="109" t="s">
        <v>432</v>
      </c>
      <c r="AO1140" s="109" t="s">
        <v>432</v>
      </c>
      <c r="AP1140" s="109" t="s">
        <v>432</v>
      </c>
      <c r="AQ1140" s="109" t="s">
        <v>432</v>
      </c>
      <c r="AR1140" s="109" t="s">
        <v>432</v>
      </c>
      <c r="AS1140" s="109" t="s">
        <v>432</v>
      </c>
      <c r="AT1140" s="109" t="s">
        <v>432</v>
      </c>
      <c r="AU1140" s="109" t="s">
        <v>432</v>
      </c>
      <c r="AV1140" s="109" t="s">
        <v>432</v>
      </c>
      <c r="AW1140" s="109" t="s">
        <v>432</v>
      </c>
      <c r="AX1140" s="109" t="s">
        <v>432</v>
      </c>
      <c r="AY1140" s="109" t="s">
        <v>432</v>
      </c>
      <c r="AZ1140" s="109" t="s">
        <v>432</v>
      </c>
      <c r="BA1140" s="109" t="s">
        <v>432</v>
      </c>
      <c r="BB1140" s="239" t="str">
        <f>B1140&amp;C1140</f>
        <v>BRTacessibilidade</v>
      </c>
      <c r="BC1140" s="239" t="str">
        <f>B1140&amp;C1140&amp;H1140</f>
        <v>BRTacessibilidade1</v>
      </c>
      <c r="BD1140" s="239" t="str">
        <f>B1140&amp;H1140</f>
        <v>BRT1</v>
      </c>
    </row>
    <row r="1141" spans="1:56" s="105" customFormat="1" ht="60" customHeight="1" x14ac:dyDescent="0.25">
      <c r="A1141" s="262" t="str">
        <f>A1135</f>
        <v>8.2</v>
      </c>
      <c r="B1141" s="252" t="str">
        <f>B1135</f>
        <v>BRT</v>
      </c>
      <c r="C1141" s="57" t="s">
        <v>743</v>
      </c>
      <c r="D1141" s="324" t="s">
        <v>1985</v>
      </c>
      <c r="E1141" s="1496" t="s">
        <v>1772</v>
      </c>
      <c r="F1141" s="188" t="s">
        <v>1994</v>
      </c>
      <c r="G1141" s="230" t="s">
        <v>3507</v>
      </c>
      <c r="H1141" s="167" t="s">
        <v>2408</v>
      </c>
      <c r="I1141" s="167" t="s">
        <v>432</v>
      </c>
      <c r="J1141" s="109" t="s">
        <v>432</v>
      </c>
      <c r="K1141" s="109" t="s">
        <v>432</v>
      </c>
      <c r="L1141" s="109" t="s">
        <v>432</v>
      </c>
      <c r="M1141" s="109" t="s">
        <v>432</v>
      </c>
      <c r="N1141" s="109" t="s">
        <v>432</v>
      </c>
      <c r="O1141" s="109" t="s">
        <v>432</v>
      </c>
      <c r="P1141" s="109" t="s">
        <v>432</v>
      </c>
      <c r="Q1141" s="109" t="s">
        <v>432</v>
      </c>
      <c r="R1141" s="109" t="s">
        <v>432</v>
      </c>
      <c r="S1141" s="109" t="s">
        <v>2209</v>
      </c>
      <c r="T1141" s="109" t="s">
        <v>432</v>
      </c>
      <c r="U1141" s="109" t="s">
        <v>432</v>
      </c>
      <c r="V1141" s="109" t="s">
        <v>2209</v>
      </c>
      <c r="W1141" s="109" t="s">
        <v>432</v>
      </c>
      <c r="X1141" s="109" t="s">
        <v>432</v>
      </c>
      <c r="Y1141" s="109" t="s">
        <v>432</v>
      </c>
      <c r="Z1141" s="109" t="s">
        <v>432</v>
      </c>
      <c r="AA1141" s="109" t="s">
        <v>432</v>
      </c>
      <c r="AB1141" s="109" t="s">
        <v>432</v>
      </c>
      <c r="AC1141" s="109" t="s">
        <v>432</v>
      </c>
      <c r="AD1141" s="109" t="s">
        <v>432</v>
      </c>
      <c r="AE1141" s="109" t="s">
        <v>432</v>
      </c>
      <c r="AF1141" s="109" t="s">
        <v>432</v>
      </c>
      <c r="AG1141" s="109" t="s">
        <v>432</v>
      </c>
      <c r="AH1141" s="109" t="s">
        <v>432</v>
      </c>
      <c r="AI1141" s="109" t="s">
        <v>432</v>
      </c>
      <c r="AJ1141" s="109" t="s">
        <v>432</v>
      </c>
      <c r="AK1141" s="109" t="s">
        <v>432</v>
      </c>
      <c r="AL1141" s="601" t="s">
        <v>432</v>
      </c>
      <c r="AM1141" s="109" t="s">
        <v>432</v>
      </c>
      <c r="AN1141" s="109" t="s">
        <v>432</v>
      </c>
      <c r="AO1141" s="109" t="s">
        <v>432</v>
      </c>
      <c r="AP1141" s="109" t="s">
        <v>432</v>
      </c>
      <c r="AQ1141" s="109" t="s">
        <v>432</v>
      </c>
      <c r="AR1141" s="109" t="s">
        <v>432</v>
      </c>
      <c r="AS1141" s="109" t="s">
        <v>432</v>
      </c>
      <c r="AT1141" s="109" t="s">
        <v>432</v>
      </c>
      <c r="AU1141" s="109" t="s">
        <v>432</v>
      </c>
      <c r="AV1141" s="109" t="s">
        <v>432</v>
      </c>
      <c r="AW1141" s="109" t="s">
        <v>432</v>
      </c>
      <c r="AX1141" s="109" t="s">
        <v>432</v>
      </c>
      <c r="AY1141" s="109" t="s">
        <v>432</v>
      </c>
      <c r="AZ1141" s="109" t="s">
        <v>432</v>
      </c>
      <c r="BA1141" s="109" t="s">
        <v>432</v>
      </c>
      <c r="BB1141" s="239" t="str">
        <f t="shared" si="316"/>
        <v>BRTacessibilidade</v>
      </c>
      <c r="BC1141" s="239" t="str">
        <f t="shared" si="317"/>
        <v>BRTacessibilidadesigla/verbete</v>
      </c>
      <c r="BD1141" s="239" t="str">
        <f t="shared" si="318"/>
        <v>BRTsigla/verbete</v>
      </c>
    </row>
    <row r="1142" spans="1:56" s="105" customFormat="1" ht="39" customHeight="1" x14ac:dyDescent="0.25">
      <c r="A1142" s="262" t="str">
        <f>A1136</f>
        <v>8.2</v>
      </c>
      <c r="B1142" s="252" t="str">
        <f>B1136</f>
        <v>BRT</v>
      </c>
      <c r="C1142" s="57" t="s">
        <v>743</v>
      </c>
      <c r="D1142" s="324" t="s">
        <v>1985</v>
      </c>
      <c r="E1142" s="1496" t="s">
        <v>1991</v>
      </c>
      <c r="F1142" s="188" t="s">
        <v>1988</v>
      </c>
      <c r="G1142" s="230" t="s">
        <v>3507</v>
      </c>
      <c r="H1142" s="167" t="s">
        <v>2408</v>
      </c>
      <c r="I1142" s="167" t="s">
        <v>432</v>
      </c>
      <c r="J1142" s="109" t="s">
        <v>432</v>
      </c>
      <c r="K1142" s="109" t="s">
        <v>432</v>
      </c>
      <c r="L1142" s="109" t="s">
        <v>432</v>
      </c>
      <c r="M1142" s="109" t="s">
        <v>432</v>
      </c>
      <c r="N1142" s="109" t="s">
        <v>432</v>
      </c>
      <c r="O1142" s="109" t="s">
        <v>432</v>
      </c>
      <c r="P1142" s="109" t="s">
        <v>432</v>
      </c>
      <c r="Q1142" s="109" t="s">
        <v>432</v>
      </c>
      <c r="R1142" s="109" t="s">
        <v>432</v>
      </c>
      <c r="S1142" s="109" t="s">
        <v>2209</v>
      </c>
      <c r="T1142" s="109" t="s">
        <v>432</v>
      </c>
      <c r="U1142" s="109" t="s">
        <v>432</v>
      </c>
      <c r="V1142" s="109" t="s">
        <v>2209</v>
      </c>
      <c r="W1142" s="109" t="s">
        <v>432</v>
      </c>
      <c r="X1142" s="109" t="s">
        <v>432</v>
      </c>
      <c r="Y1142" s="109" t="s">
        <v>432</v>
      </c>
      <c r="Z1142" s="109" t="s">
        <v>432</v>
      </c>
      <c r="AA1142" s="109" t="s">
        <v>432</v>
      </c>
      <c r="AB1142" s="109" t="s">
        <v>432</v>
      </c>
      <c r="AC1142" s="109" t="s">
        <v>432</v>
      </c>
      <c r="AD1142" s="109" t="s">
        <v>432</v>
      </c>
      <c r="AE1142" s="109" t="s">
        <v>432</v>
      </c>
      <c r="AF1142" s="109" t="s">
        <v>432</v>
      </c>
      <c r="AG1142" s="109" t="s">
        <v>432</v>
      </c>
      <c r="AH1142" s="109" t="s">
        <v>432</v>
      </c>
      <c r="AI1142" s="109" t="s">
        <v>432</v>
      </c>
      <c r="AJ1142" s="109" t="s">
        <v>432</v>
      </c>
      <c r="AK1142" s="109" t="s">
        <v>432</v>
      </c>
      <c r="AL1142" s="601" t="s">
        <v>432</v>
      </c>
      <c r="AM1142" s="109" t="s">
        <v>432</v>
      </c>
      <c r="AN1142" s="109" t="s">
        <v>432</v>
      </c>
      <c r="AO1142" s="109" t="s">
        <v>432</v>
      </c>
      <c r="AP1142" s="109" t="s">
        <v>432</v>
      </c>
      <c r="AQ1142" s="109" t="s">
        <v>432</v>
      </c>
      <c r="AR1142" s="109" t="s">
        <v>432</v>
      </c>
      <c r="AS1142" s="109" t="s">
        <v>432</v>
      </c>
      <c r="AT1142" s="109" t="s">
        <v>432</v>
      </c>
      <c r="AU1142" s="109" t="s">
        <v>432</v>
      </c>
      <c r="AV1142" s="109" t="s">
        <v>432</v>
      </c>
      <c r="AW1142" s="109" t="s">
        <v>432</v>
      </c>
      <c r="AX1142" s="109" t="s">
        <v>432</v>
      </c>
      <c r="AY1142" s="109" t="s">
        <v>432</v>
      </c>
      <c r="AZ1142" s="109" t="s">
        <v>432</v>
      </c>
      <c r="BA1142" s="109" t="s">
        <v>432</v>
      </c>
      <c r="BB1142" s="239" t="str">
        <f t="shared" si="316"/>
        <v>BRTacessibilidade</v>
      </c>
      <c r="BC1142" s="239" t="str">
        <f t="shared" si="317"/>
        <v>BRTacessibilidadesigla/verbete</v>
      </c>
      <c r="BD1142" s="239" t="str">
        <f t="shared" si="318"/>
        <v>BRTsigla/verbete</v>
      </c>
    </row>
    <row r="1143" spans="1:56" s="105" customFormat="1" ht="35.25" customHeight="1" x14ac:dyDescent="0.25">
      <c r="A1143" s="262" t="str">
        <f>A1140</f>
        <v>8.2</v>
      </c>
      <c r="B1143" s="252" t="str">
        <f>B1140</f>
        <v>BRT</v>
      </c>
      <c r="C1143" s="57" t="s">
        <v>743</v>
      </c>
      <c r="D1143" s="324" t="s">
        <v>1985</v>
      </c>
      <c r="E1143" s="1496" t="s">
        <v>1989</v>
      </c>
      <c r="F1143" s="188" t="s">
        <v>1988</v>
      </c>
      <c r="G1143" s="230" t="s">
        <v>3507</v>
      </c>
      <c r="H1143" s="167" t="s">
        <v>2408</v>
      </c>
      <c r="I1143" s="167" t="s">
        <v>432</v>
      </c>
      <c r="J1143" s="109" t="s">
        <v>432</v>
      </c>
      <c r="K1143" s="109" t="s">
        <v>432</v>
      </c>
      <c r="L1143" s="109" t="s">
        <v>432</v>
      </c>
      <c r="M1143" s="109" t="s">
        <v>432</v>
      </c>
      <c r="N1143" s="109" t="s">
        <v>432</v>
      </c>
      <c r="O1143" s="109" t="s">
        <v>432</v>
      </c>
      <c r="P1143" s="109" t="s">
        <v>432</v>
      </c>
      <c r="Q1143" s="109" t="s">
        <v>432</v>
      </c>
      <c r="R1143" s="109" t="s">
        <v>432</v>
      </c>
      <c r="S1143" s="109" t="s">
        <v>2209</v>
      </c>
      <c r="T1143" s="109" t="s">
        <v>432</v>
      </c>
      <c r="U1143" s="109" t="s">
        <v>432</v>
      </c>
      <c r="V1143" s="109" t="s">
        <v>2209</v>
      </c>
      <c r="W1143" s="109" t="s">
        <v>432</v>
      </c>
      <c r="X1143" s="109" t="s">
        <v>432</v>
      </c>
      <c r="Y1143" s="109" t="s">
        <v>432</v>
      </c>
      <c r="Z1143" s="109" t="s">
        <v>432</v>
      </c>
      <c r="AA1143" s="109" t="s">
        <v>432</v>
      </c>
      <c r="AB1143" s="109" t="s">
        <v>432</v>
      </c>
      <c r="AC1143" s="109" t="s">
        <v>432</v>
      </c>
      <c r="AD1143" s="109" t="s">
        <v>432</v>
      </c>
      <c r="AE1143" s="109" t="s">
        <v>432</v>
      </c>
      <c r="AF1143" s="109" t="s">
        <v>432</v>
      </c>
      <c r="AG1143" s="109" t="s">
        <v>432</v>
      </c>
      <c r="AH1143" s="109" t="s">
        <v>432</v>
      </c>
      <c r="AI1143" s="109" t="s">
        <v>432</v>
      </c>
      <c r="AJ1143" s="109" t="s">
        <v>432</v>
      </c>
      <c r="AK1143" s="109" t="s">
        <v>432</v>
      </c>
      <c r="AL1143" s="601" t="s">
        <v>432</v>
      </c>
      <c r="AM1143" s="109" t="s">
        <v>432</v>
      </c>
      <c r="AN1143" s="109" t="s">
        <v>432</v>
      </c>
      <c r="AO1143" s="109" t="s">
        <v>432</v>
      </c>
      <c r="AP1143" s="109" t="s">
        <v>432</v>
      </c>
      <c r="AQ1143" s="109" t="s">
        <v>432</v>
      </c>
      <c r="AR1143" s="109" t="s">
        <v>432</v>
      </c>
      <c r="AS1143" s="109" t="s">
        <v>432</v>
      </c>
      <c r="AT1143" s="109" t="s">
        <v>432</v>
      </c>
      <c r="AU1143" s="109" t="s">
        <v>432</v>
      </c>
      <c r="AV1143" s="109" t="s">
        <v>432</v>
      </c>
      <c r="AW1143" s="109" t="s">
        <v>432</v>
      </c>
      <c r="AX1143" s="109" t="s">
        <v>432</v>
      </c>
      <c r="AY1143" s="109" t="s">
        <v>432</v>
      </c>
      <c r="AZ1143" s="109" t="s">
        <v>432</v>
      </c>
      <c r="BA1143" s="109" t="s">
        <v>432</v>
      </c>
      <c r="BB1143" s="239" t="str">
        <f t="shared" si="316"/>
        <v>BRTacessibilidade</v>
      </c>
      <c r="BC1143" s="239" t="str">
        <f t="shared" si="317"/>
        <v>BRTacessibilidadesigla/verbete</v>
      </c>
      <c r="BD1143" s="239" t="str">
        <f t="shared" si="318"/>
        <v>BRTsigla/verbete</v>
      </c>
    </row>
    <row r="1144" spans="1:56" s="105" customFormat="1" ht="69" customHeight="1" x14ac:dyDescent="0.25">
      <c r="A1144" s="262" t="str">
        <f>A1141</f>
        <v>8.2</v>
      </c>
      <c r="B1144" s="252" t="str">
        <f>B1141</f>
        <v>BRT</v>
      </c>
      <c r="C1144" s="57" t="s">
        <v>743</v>
      </c>
      <c r="D1144" s="324" t="s">
        <v>1985</v>
      </c>
      <c r="E1144" s="1496" t="s">
        <v>5888</v>
      </c>
      <c r="F1144" s="188" t="s">
        <v>5938</v>
      </c>
      <c r="G1144" s="230" t="s">
        <v>432</v>
      </c>
      <c r="H1144" s="167" t="s">
        <v>819</v>
      </c>
      <c r="I1144" s="167" t="s">
        <v>432</v>
      </c>
      <c r="J1144" s="109" t="s">
        <v>432</v>
      </c>
      <c r="K1144" s="109" t="s">
        <v>432</v>
      </c>
      <c r="L1144" s="109" t="s">
        <v>432</v>
      </c>
      <c r="M1144" s="109" t="s">
        <v>432</v>
      </c>
      <c r="N1144" s="109" t="s">
        <v>432</v>
      </c>
      <c r="O1144" s="109" t="s">
        <v>432</v>
      </c>
      <c r="P1144" s="109" t="s">
        <v>432</v>
      </c>
      <c r="Q1144" s="109" t="s">
        <v>432</v>
      </c>
      <c r="R1144" s="109" t="s">
        <v>432</v>
      </c>
      <c r="S1144" s="109" t="s">
        <v>2209</v>
      </c>
      <c r="T1144" s="109" t="s">
        <v>432</v>
      </c>
      <c r="U1144" s="109" t="s">
        <v>432</v>
      </c>
      <c r="V1144" s="109" t="s">
        <v>2209</v>
      </c>
      <c r="W1144" s="109" t="s">
        <v>432</v>
      </c>
      <c r="X1144" s="109" t="s">
        <v>432</v>
      </c>
      <c r="Y1144" s="109" t="s">
        <v>432</v>
      </c>
      <c r="Z1144" s="109" t="s">
        <v>432</v>
      </c>
      <c r="AA1144" s="109" t="s">
        <v>432</v>
      </c>
      <c r="AB1144" s="109" t="s">
        <v>432</v>
      </c>
      <c r="AC1144" s="109" t="s">
        <v>432</v>
      </c>
      <c r="AD1144" s="109" t="s">
        <v>432</v>
      </c>
      <c r="AE1144" s="109" t="s">
        <v>432</v>
      </c>
      <c r="AF1144" s="109" t="s">
        <v>432</v>
      </c>
      <c r="AG1144" s="109" t="s">
        <v>432</v>
      </c>
      <c r="AH1144" s="109" t="s">
        <v>432</v>
      </c>
      <c r="AI1144" s="109" t="s">
        <v>432</v>
      </c>
      <c r="AJ1144" s="109" t="s">
        <v>432</v>
      </c>
      <c r="AK1144" s="110" t="s">
        <v>5946</v>
      </c>
      <c r="AL1144" s="601" t="s">
        <v>432</v>
      </c>
      <c r="AM1144" s="109" t="s">
        <v>432</v>
      </c>
      <c r="AN1144" s="109" t="s">
        <v>432</v>
      </c>
      <c r="AO1144" s="109" t="s">
        <v>432</v>
      </c>
      <c r="AP1144" s="109" t="s">
        <v>432</v>
      </c>
      <c r="AQ1144" s="109" t="s">
        <v>432</v>
      </c>
      <c r="AR1144" s="109" t="s">
        <v>432</v>
      </c>
      <c r="AS1144" s="109" t="s">
        <v>432</v>
      </c>
      <c r="AT1144" s="109" t="s">
        <v>432</v>
      </c>
      <c r="AU1144" s="109" t="s">
        <v>432</v>
      </c>
      <c r="AV1144" s="109" t="s">
        <v>432</v>
      </c>
      <c r="AW1144" s="109" t="s">
        <v>432</v>
      </c>
      <c r="AX1144" s="109" t="s">
        <v>432</v>
      </c>
      <c r="AY1144" s="109" t="s">
        <v>432</v>
      </c>
      <c r="AZ1144" s="109" t="s">
        <v>432</v>
      </c>
      <c r="BA1144" s="109" t="s">
        <v>432</v>
      </c>
      <c r="BB1144" s="239" t="str">
        <f t="shared" ref="BB1144" si="325">B1144&amp;C1144</f>
        <v>BRTacessibilidade</v>
      </c>
      <c r="BC1144" s="239" t="str">
        <f t="shared" ref="BC1144" si="326">B1144&amp;C1144&amp;H1144</f>
        <v>BRTacessibilidadebenchmarking</v>
      </c>
      <c r="BD1144" s="239" t="str">
        <f t="shared" ref="BD1144" si="327">B1144&amp;H1144</f>
        <v>BRTbenchmarking</v>
      </c>
    </row>
    <row r="1145" spans="1:56" s="105" customFormat="1" ht="105" customHeight="1" x14ac:dyDescent="0.25">
      <c r="A1145" s="262" t="str">
        <f>A1141</f>
        <v>8.2</v>
      </c>
      <c r="B1145" s="252" t="str">
        <f>B1141</f>
        <v>BRT</v>
      </c>
      <c r="C1145" s="57" t="s">
        <v>743</v>
      </c>
      <c r="D1145" s="324" t="s">
        <v>1985</v>
      </c>
      <c r="E1145" s="1496" t="s">
        <v>1283</v>
      </c>
      <c r="F1145" s="188" t="s">
        <v>1995</v>
      </c>
      <c r="G1145" s="230" t="s">
        <v>3507</v>
      </c>
      <c r="H1145" s="167" t="s">
        <v>2408</v>
      </c>
      <c r="I1145" s="167" t="s">
        <v>432</v>
      </c>
      <c r="J1145" s="109" t="s">
        <v>432</v>
      </c>
      <c r="K1145" s="109" t="s">
        <v>432</v>
      </c>
      <c r="L1145" s="109" t="s">
        <v>432</v>
      </c>
      <c r="M1145" s="109" t="s">
        <v>432</v>
      </c>
      <c r="N1145" s="109" t="s">
        <v>432</v>
      </c>
      <c r="O1145" s="109" t="s">
        <v>432</v>
      </c>
      <c r="P1145" s="109" t="s">
        <v>432</v>
      </c>
      <c r="Q1145" s="109" t="s">
        <v>432</v>
      </c>
      <c r="R1145" s="109" t="s">
        <v>432</v>
      </c>
      <c r="S1145" s="109" t="s">
        <v>2209</v>
      </c>
      <c r="T1145" s="109" t="s">
        <v>432</v>
      </c>
      <c r="U1145" s="109" t="s">
        <v>432</v>
      </c>
      <c r="V1145" s="109" t="s">
        <v>2209</v>
      </c>
      <c r="W1145" s="109" t="s">
        <v>432</v>
      </c>
      <c r="X1145" s="109" t="s">
        <v>432</v>
      </c>
      <c r="Y1145" s="109" t="s">
        <v>432</v>
      </c>
      <c r="Z1145" s="109" t="s">
        <v>432</v>
      </c>
      <c r="AA1145" s="109" t="s">
        <v>432</v>
      </c>
      <c r="AB1145" s="109" t="s">
        <v>432</v>
      </c>
      <c r="AC1145" s="109" t="s">
        <v>432</v>
      </c>
      <c r="AD1145" s="109" t="s">
        <v>432</v>
      </c>
      <c r="AE1145" s="109" t="s">
        <v>432</v>
      </c>
      <c r="AF1145" s="109" t="s">
        <v>432</v>
      </c>
      <c r="AG1145" s="109" t="s">
        <v>432</v>
      </c>
      <c r="AH1145" s="109" t="s">
        <v>432</v>
      </c>
      <c r="AI1145" s="109" t="s">
        <v>432</v>
      </c>
      <c r="AJ1145" s="109" t="s">
        <v>432</v>
      </c>
      <c r="AK1145" s="109" t="s">
        <v>432</v>
      </c>
      <c r="AL1145" s="601" t="s">
        <v>432</v>
      </c>
      <c r="AM1145" s="109" t="s">
        <v>432</v>
      </c>
      <c r="AN1145" s="109" t="s">
        <v>432</v>
      </c>
      <c r="AO1145" s="109" t="s">
        <v>432</v>
      </c>
      <c r="AP1145" s="109" t="s">
        <v>432</v>
      </c>
      <c r="AQ1145" s="109" t="s">
        <v>432</v>
      </c>
      <c r="AR1145" s="109" t="s">
        <v>432</v>
      </c>
      <c r="AS1145" s="109" t="s">
        <v>432</v>
      </c>
      <c r="AT1145" s="109" t="s">
        <v>432</v>
      </c>
      <c r="AU1145" s="109" t="s">
        <v>432</v>
      </c>
      <c r="AV1145" s="109" t="s">
        <v>432</v>
      </c>
      <c r="AW1145" s="109" t="s">
        <v>432</v>
      </c>
      <c r="AX1145" s="109" t="s">
        <v>432</v>
      </c>
      <c r="AY1145" s="109" t="s">
        <v>432</v>
      </c>
      <c r="AZ1145" s="109" t="s">
        <v>432</v>
      </c>
      <c r="BA1145" s="109" t="s">
        <v>432</v>
      </c>
      <c r="BB1145" s="239" t="str">
        <f t="shared" si="316"/>
        <v>BRTacessibilidade</v>
      </c>
      <c r="BC1145" s="239" t="str">
        <f t="shared" si="317"/>
        <v>BRTacessibilidadesigla/verbete</v>
      </c>
      <c r="BD1145" s="239" t="str">
        <f t="shared" si="318"/>
        <v>BRTsigla/verbete</v>
      </c>
    </row>
    <row r="1146" spans="1:56" s="105" customFormat="1" ht="47.25" customHeight="1" x14ac:dyDescent="0.25">
      <c r="A1146" s="262" t="str">
        <f>'Q100b-totais'!B61</f>
        <v>8.9</v>
      </c>
      <c r="B1146" s="252" t="str">
        <f>'Q100b-totais'!C61</f>
        <v>Metrô</v>
      </c>
      <c r="C1146" s="229" t="s">
        <v>743</v>
      </c>
      <c r="D1146" s="324" t="s">
        <v>1985</v>
      </c>
      <c r="E1146" s="1496" t="s">
        <v>5027</v>
      </c>
      <c r="F1146" s="188" t="s">
        <v>5893</v>
      </c>
      <c r="G1146" s="230" t="s">
        <v>3507</v>
      </c>
      <c r="H1146" s="167" t="s">
        <v>2408</v>
      </c>
      <c r="I1146" s="167" t="s">
        <v>432</v>
      </c>
      <c r="J1146" s="109" t="s">
        <v>432</v>
      </c>
      <c r="K1146" s="109" t="s">
        <v>432</v>
      </c>
      <c r="L1146" s="109" t="s">
        <v>432</v>
      </c>
      <c r="M1146" s="109" t="s">
        <v>432</v>
      </c>
      <c r="N1146" s="109" t="s">
        <v>432</v>
      </c>
      <c r="O1146" s="109" t="s">
        <v>432</v>
      </c>
      <c r="P1146" s="109" t="s">
        <v>432</v>
      </c>
      <c r="Q1146" s="109" t="s">
        <v>432</v>
      </c>
      <c r="R1146" s="109" t="s">
        <v>432</v>
      </c>
      <c r="S1146" s="109" t="s">
        <v>2209</v>
      </c>
      <c r="T1146" s="109" t="s">
        <v>432</v>
      </c>
      <c r="U1146" s="109" t="s">
        <v>432</v>
      </c>
      <c r="V1146" s="109" t="s">
        <v>2209</v>
      </c>
      <c r="W1146" s="109" t="s">
        <v>432</v>
      </c>
      <c r="X1146" s="109" t="s">
        <v>432</v>
      </c>
      <c r="Y1146" s="109" t="s">
        <v>432</v>
      </c>
      <c r="Z1146" s="109" t="s">
        <v>432</v>
      </c>
      <c r="AA1146" s="109" t="s">
        <v>432</v>
      </c>
      <c r="AB1146" s="109" t="s">
        <v>432</v>
      </c>
      <c r="AC1146" s="109" t="s">
        <v>432</v>
      </c>
      <c r="AD1146" s="109" t="s">
        <v>432</v>
      </c>
      <c r="AE1146" s="109" t="s">
        <v>432</v>
      </c>
      <c r="AF1146" s="109" t="s">
        <v>432</v>
      </c>
      <c r="AG1146" s="109" t="s">
        <v>432</v>
      </c>
      <c r="AH1146" s="109" t="s">
        <v>432</v>
      </c>
      <c r="AI1146" s="109" t="s">
        <v>432</v>
      </c>
      <c r="AJ1146" s="109" t="s">
        <v>432</v>
      </c>
      <c r="AK1146" s="109" t="s">
        <v>432</v>
      </c>
      <c r="AL1146" s="601" t="s">
        <v>432</v>
      </c>
      <c r="AM1146" s="109" t="s">
        <v>432</v>
      </c>
      <c r="AN1146" s="109" t="s">
        <v>432</v>
      </c>
      <c r="AO1146" s="109" t="s">
        <v>432</v>
      </c>
      <c r="AP1146" s="109" t="s">
        <v>432</v>
      </c>
      <c r="AQ1146" s="109" t="s">
        <v>432</v>
      </c>
      <c r="AR1146" s="109" t="s">
        <v>432</v>
      </c>
      <c r="AS1146" s="109" t="s">
        <v>432</v>
      </c>
      <c r="AT1146" s="109" t="s">
        <v>432</v>
      </c>
      <c r="AU1146" s="109" t="s">
        <v>432</v>
      </c>
      <c r="AV1146" s="109" t="s">
        <v>432</v>
      </c>
      <c r="AW1146" s="109" t="s">
        <v>432</v>
      </c>
      <c r="AX1146" s="109" t="s">
        <v>432</v>
      </c>
      <c r="AY1146" s="109" t="s">
        <v>432</v>
      </c>
      <c r="AZ1146" s="109" t="s">
        <v>432</v>
      </c>
      <c r="BA1146" s="109" t="s">
        <v>432</v>
      </c>
      <c r="BB1146" s="239" t="str">
        <f t="shared" ref="BB1146" si="328">B1146&amp;C1146</f>
        <v>Metrôacessibilidade</v>
      </c>
      <c r="BC1146" s="239" t="str">
        <f t="shared" ref="BC1146" si="329">B1146&amp;C1146&amp;H1146</f>
        <v>Metrôacessibilidadesigla/verbete</v>
      </c>
      <c r="BD1146" s="239" t="str">
        <f t="shared" ref="BD1146" si="330">B1146&amp;H1146</f>
        <v>Metrôsigla/verbete</v>
      </c>
    </row>
    <row r="1147" spans="1:56" s="373" customFormat="1" x14ac:dyDescent="0.25">
      <c r="A1147" s="383"/>
      <c r="B1147" s="384"/>
      <c r="C1147" s="384"/>
      <c r="D1147" s="717"/>
      <c r="E1147" s="1518"/>
      <c r="F1147" s="384"/>
      <c r="G1147" s="384"/>
      <c r="H1147" s="385"/>
      <c r="I1147" s="385"/>
      <c r="J1147" s="384"/>
      <c r="K1147" s="384"/>
      <c r="L1147" s="384"/>
      <c r="M1147" s="384"/>
      <c r="N1147" s="384"/>
      <c r="O1147" s="384"/>
      <c r="P1147" s="384"/>
      <c r="Q1147" s="384"/>
      <c r="R1147" s="384"/>
      <c r="S1147" s="384"/>
      <c r="T1147" s="384"/>
      <c r="U1147" s="384"/>
      <c r="V1147" s="384"/>
      <c r="W1147" s="384"/>
      <c r="X1147" s="386"/>
      <c r="Y1147" s="386"/>
      <c r="Z1147" s="386"/>
      <c r="AA1147" s="386"/>
      <c r="AB1147" s="386"/>
      <c r="AC1147" s="386"/>
      <c r="AD1147" s="386"/>
      <c r="AE1147" s="386"/>
      <c r="AF1147" s="386"/>
      <c r="AG1147" s="386"/>
      <c r="AH1147" s="386"/>
      <c r="AI1147" s="386"/>
      <c r="AJ1147" s="386"/>
      <c r="AK1147" s="387"/>
      <c r="AL1147" s="601" t="s">
        <v>432</v>
      </c>
      <c r="AM1147" s="387"/>
      <c r="AN1147" s="387"/>
      <c r="AO1147" s="387"/>
      <c r="AP1147" s="387"/>
      <c r="AQ1147" s="387"/>
      <c r="AR1147" s="387"/>
      <c r="AS1147" s="387"/>
      <c r="AT1147" s="387"/>
      <c r="AU1147" s="387"/>
      <c r="AV1147" s="387"/>
      <c r="AW1147" s="387"/>
      <c r="AX1147" s="387"/>
      <c r="AY1147" s="387"/>
      <c r="AZ1147" s="387"/>
      <c r="BA1147" s="387"/>
      <c r="BB1147" s="388"/>
      <c r="BC1147" s="388"/>
      <c r="BD1147" s="388"/>
    </row>
    <row r="1148" spans="1:56" s="1" customFormat="1" ht="63" customHeight="1" x14ac:dyDescent="0.25">
      <c r="A1148" s="275" t="str">
        <f>'Q100b-totais'!$B$56</f>
        <v>8.4</v>
      </c>
      <c r="B1148" s="1205" t="s">
        <v>641</v>
      </c>
      <c r="C1148" s="57" t="s">
        <v>432</v>
      </c>
      <c r="D1148" s="324" t="s">
        <v>191</v>
      </c>
      <c r="E1148" s="254" t="s">
        <v>1306</v>
      </c>
      <c r="F1148" s="1205" t="s">
        <v>5595</v>
      </c>
      <c r="G1148" s="57" t="s">
        <v>3507</v>
      </c>
      <c r="H1148" s="167" t="s">
        <v>2408</v>
      </c>
      <c r="I1148" s="167" t="s">
        <v>432</v>
      </c>
      <c r="J1148" s="107" t="s">
        <v>432</v>
      </c>
      <c r="K1148" s="107" t="s">
        <v>432</v>
      </c>
      <c r="L1148" s="107" t="s">
        <v>432</v>
      </c>
      <c r="M1148" s="107" t="s">
        <v>432</v>
      </c>
      <c r="N1148" s="107" t="s">
        <v>432</v>
      </c>
      <c r="O1148" s="107" t="s">
        <v>432</v>
      </c>
      <c r="P1148" s="107" t="s">
        <v>432</v>
      </c>
      <c r="Q1148" s="107" t="s">
        <v>432</v>
      </c>
      <c r="R1148" s="107" t="s">
        <v>432</v>
      </c>
      <c r="S1148" s="109" t="s">
        <v>2209</v>
      </c>
      <c r="T1148" s="108" t="s">
        <v>432</v>
      </c>
      <c r="U1148" s="108" t="s">
        <v>432</v>
      </c>
      <c r="V1148" s="109" t="s">
        <v>2209</v>
      </c>
      <c r="W1148" s="108" t="s">
        <v>432</v>
      </c>
      <c r="X1148" s="108" t="s">
        <v>432</v>
      </c>
      <c r="Y1148" s="108" t="s">
        <v>432</v>
      </c>
      <c r="Z1148" s="108" t="s">
        <v>432</v>
      </c>
      <c r="AA1148" s="108" t="s">
        <v>432</v>
      </c>
      <c r="AB1148" s="108" t="s">
        <v>432</v>
      </c>
      <c r="AC1148" s="108" t="s">
        <v>432</v>
      </c>
      <c r="AD1148" s="108" t="s">
        <v>432</v>
      </c>
      <c r="AE1148" s="108" t="s">
        <v>432</v>
      </c>
      <c r="AF1148" s="108" t="s">
        <v>432</v>
      </c>
      <c r="AG1148" s="108" t="s">
        <v>432</v>
      </c>
      <c r="AH1148" s="108" t="s">
        <v>432</v>
      </c>
      <c r="AI1148" s="108" t="s">
        <v>432</v>
      </c>
      <c r="AJ1148" s="108" t="s">
        <v>432</v>
      </c>
      <c r="AK1148" s="137" t="s">
        <v>432</v>
      </c>
      <c r="AL1148" s="601" t="s">
        <v>432</v>
      </c>
      <c r="AM1148" s="137" t="s">
        <v>432</v>
      </c>
      <c r="AN1148" s="137" t="s">
        <v>432</v>
      </c>
      <c r="AO1148" s="137" t="s">
        <v>432</v>
      </c>
      <c r="AP1148" s="137" t="s">
        <v>432</v>
      </c>
      <c r="AQ1148" s="137" t="s">
        <v>432</v>
      </c>
      <c r="AR1148" s="137" t="s">
        <v>432</v>
      </c>
      <c r="AS1148" s="137" t="s">
        <v>432</v>
      </c>
      <c r="AT1148" s="137" t="s">
        <v>432</v>
      </c>
      <c r="AU1148" s="137" t="s">
        <v>432</v>
      </c>
      <c r="AV1148" s="137" t="s">
        <v>432</v>
      </c>
      <c r="AW1148" s="137" t="s">
        <v>432</v>
      </c>
      <c r="AX1148" s="137" t="s">
        <v>432</v>
      </c>
      <c r="AY1148" s="137" t="s">
        <v>432</v>
      </c>
      <c r="AZ1148" s="137" t="s">
        <v>432</v>
      </c>
      <c r="BA1148" s="137" t="s">
        <v>432</v>
      </c>
      <c r="BB1148" s="239" t="str">
        <f>B1148&amp;C1148</f>
        <v>Táxix</v>
      </c>
      <c r="BC1148" s="239" t="str">
        <f>B1148&amp;C1148&amp;H1148</f>
        <v>Táxixsigla/verbete</v>
      </c>
      <c r="BD1148" s="239" t="str">
        <f>B1148&amp;H1148</f>
        <v>Táxisigla/verbete</v>
      </c>
    </row>
    <row r="1149" spans="1:56" s="1" customFormat="1" ht="110.25" customHeight="1" x14ac:dyDescent="0.25">
      <c r="A1149" s="275" t="str">
        <f>'Q100b-totais'!$B$56</f>
        <v>8.4</v>
      </c>
      <c r="B1149" s="1205" t="s">
        <v>641</v>
      </c>
      <c r="C1149" s="57" t="s">
        <v>432</v>
      </c>
      <c r="D1149" s="324" t="s">
        <v>192</v>
      </c>
      <c r="E1149" s="254" t="s">
        <v>1298</v>
      </c>
      <c r="F1149" s="1205" t="s">
        <v>5596</v>
      </c>
      <c r="G1149" s="230" t="s">
        <v>3507</v>
      </c>
      <c r="H1149" s="173" t="s">
        <v>2408</v>
      </c>
      <c r="I1149" s="167" t="s">
        <v>432</v>
      </c>
      <c r="J1149" s="107" t="s">
        <v>432</v>
      </c>
      <c r="K1149" s="107" t="s">
        <v>432</v>
      </c>
      <c r="L1149" s="107" t="s">
        <v>432</v>
      </c>
      <c r="M1149" s="107" t="s">
        <v>432</v>
      </c>
      <c r="N1149" s="107" t="s">
        <v>432</v>
      </c>
      <c r="O1149" s="107" t="s">
        <v>432</v>
      </c>
      <c r="P1149" s="107" t="s">
        <v>432</v>
      </c>
      <c r="Q1149" s="107" t="s">
        <v>432</v>
      </c>
      <c r="R1149" s="107" t="s">
        <v>432</v>
      </c>
      <c r="S1149" s="109" t="s">
        <v>2209</v>
      </c>
      <c r="T1149" s="108" t="s">
        <v>432</v>
      </c>
      <c r="U1149" s="108" t="s">
        <v>432</v>
      </c>
      <c r="V1149" s="109" t="s">
        <v>2209</v>
      </c>
      <c r="W1149" s="108" t="s">
        <v>432</v>
      </c>
      <c r="X1149" s="108" t="s">
        <v>432</v>
      </c>
      <c r="Y1149" s="108" t="s">
        <v>432</v>
      </c>
      <c r="Z1149" s="108" t="s">
        <v>432</v>
      </c>
      <c r="AA1149" s="108" t="s">
        <v>432</v>
      </c>
      <c r="AB1149" s="108" t="s">
        <v>432</v>
      </c>
      <c r="AC1149" s="108" t="s">
        <v>432</v>
      </c>
      <c r="AD1149" s="108" t="s">
        <v>432</v>
      </c>
      <c r="AE1149" s="108" t="s">
        <v>432</v>
      </c>
      <c r="AF1149" s="108" t="s">
        <v>432</v>
      </c>
      <c r="AG1149" s="108" t="s">
        <v>432</v>
      </c>
      <c r="AH1149" s="108" t="s">
        <v>432</v>
      </c>
      <c r="AI1149" s="108" t="s">
        <v>432</v>
      </c>
      <c r="AJ1149" s="108" t="s">
        <v>432</v>
      </c>
      <c r="AK1149" s="137" t="s">
        <v>432</v>
      </c>
      <c r="AL1149" s="601" t="s">
        <v>432</v>
      </c>
      <c r="AM1149" s="137" t="s">
        <v>432</v>
      </c>
      <c r="AN1149" s="137" t="s">
        <v>432</v>
      </c>
      <c r="AO1149" s="137" t="s">
        <v>432</v>
      </c>
      <c r="AP1149" s="137" t="s">
        <v>432</v>
      </c>
      <c r="AQ1149" s="137" t="s">
        <v>432</v>
      </c>
      <c r="AR1149" s="137" t="s">
        <v>432</v>
      </c>
      <c r="AS1149" s="137" t="s">
        <v>432</v>
      </c>
      <c r="AT1149" s="137" t="s">
        <v>432</v>
      </c>
      <c r="AU1149" s="137" t="s">
        <v>432</v>
      </c>
      <c r="AV1149" s="137" t="s">
        <v>432</v>
      </c>
      <c r="AW1149" s="137" t="s">
        <v>432</v>
      </c>
      <c r="AX1149" s="137" t="s">
        <v>432</v>
      </c>
      <c r="AY1149" s="137" t="s">
        <v>432</v>
      </c>
      <c r="AZ1149" s="137" t="s">
        <v>432</v>
      </c>
      <c r="BA1149" s="137" t="s">
        <v>432</v>
      </c>
      <c r="BB1149" s="239" t="str">
        <f>B1149&amp;C1149</f>
        <v>Táxix</v>
      </c>
      <c r="BC1149" s="239" t="str">
        <f>B1149&amp;C1149&amp;H1149</f>
        <v>Táxixsigla/verbete</v>
      </c>
      <c r="BD1149" s="239" t="str">
        <f>B1149&amp;H1149</f>
        <v>Táxisigla/verbete</v>
      </c>
    </row>
    <row r="1150" spans="1:56" s="373" customFormat="1" x14ac:dyDescent="0.25">
      <c r="A1150" s="383"/>
      <c r="B1150" s="384"/>
      <c r="C1150" s="384"/>
      <c r="D1150" s="719"/>
      <c r="E1150" s="1519"/>
      <c r="F1150" s="385"/>
      <c r="G1150" s="385"/>
      <c r="H1150" s="384"/>
      <c r="I1150" s="385"/>
      <c r="J1150" s="385"/>
      <c r="K1150" s="385"/>
      <c r="L1150" s="385"/>
      <c r="M1150" s="385"/>
      <c r="N1150" s="385"/>
      <c r="O1150" s="385"/>
      <c r="P1150" s="385"/>
      <c r="Q1150" s="385"/>
      <c r="R1150" s="385"/>
      <c r="S1150" s="385"/>
      <c r="T1150" s="385"/>
      <c r="U1150" s="385"/>
      <c r="V1150" s="385"/>
      <c r="W1150" s="385"/>
      <c r="X1150" s="385"/>
      <c r="Y1150" s="385"/>
      <c r="Z1150" s="385"/>
      <c r="AA1150" s="385"/>
      <c r="AB1150" s="385"/>
      <c r="AC1150" s="385"/>
      <c r="AD1150" s="385"/>
      <c r="AE1150" s="385"/>
      <c r="AF1150" s="385"/>
      <c r="AG1150" s="385"/>
      <c r="AH1150" s="385"/>
      <c r="AI1150" s="385"/>
      <c r="AJ1150" s="385"/>
      <c r="AK1150" s="397"/>
      <c r="AL1150" s="601"/>
      <c r="AM1150" s="387"/>
      <c r="AN1150" s="387"/>
      <c r="AO1150" s="387"/>
      <c r="AP1150" s="387"/>
      <c r="AQ1150" s="387"/>
      <c r="AR1150" s="387"/>
      <c r="AS1150" s="387"/>
      <c r="AT1150" s="387"/>
      <c r="AU1150" s="387"/>
      <c r="AV1150" s="387"/>
      <c r="AW1150" s="387"/>
      <c r="AX1150" s="387"/>
      <c r="AY1150" s="387"/>
      <c r="AZ1150" s="387"/>
      <c r="BA1150" s="387"/>
      <c r="BB1150" s="388"/>
      <c r="BC1150" s="388"/>
      <c r="BD1150" s="388"/>
    </row>
    <row r="1151" spans="1:56" s="1" customFormat="1" ht="39.75" customHeight="1" x14ac:dyDescent="0.25">
      <c r="A1151" s="262" t="s">
        <v>432</v>
      </c>
      <c r="B1151" s="252" t="s">
        <v>742</v>
      </c>
      <c r="C1151" s="167" t="s">
        <v>432</v>
      </c>
      <c r="D1151" s="324" t="s">
        <v>193</v>
      </c>
      <c r="E1151" s="1445" t="s">
        <v>432</v>
      </c>
      <c r="F1151" s="252" t="s">
        <v>885</v>
      </c>
      <c r="G1151" s="167" t="s">
        <v>3879</v>
      </c>
      <c r="H1151" s="167" t="s">
        <v>432</v>
      </c>
      <c r="I1151" s="167" t="s">
        <v>432</v>
      </c>
      <c r="J1151" s="107" t="s">
        <v>432</v>
      </c>
      <c r="K1151" s="107" t="s">
        <v>432</v>
      </c>
      <c r="L1151" s="107" t="s">
        <v>432</v>
      </c>
      <c r="M1151" s="107" t="s">
        <v>432</v>
      </c>
      <c r="N1151" s="107" t="s">
        <v>432</v>
      </c>
      <c r="O1151" s="107" t="s">
        <v>432</v>
      </c>
      <c r="P1151" s="107" t="s">
        <v>432</v>
      </c>
      <c r="Q1151" s="107" t="s">
        <v>432</v>
      </c>
      <c r="R1151" s="107" t="s">
        <v>432</v>
      </c>
      <c r="S1151" s="109" t="s">
        <v>2209</v>
      </c>
      <c r="T1151" s="107" t="s">
        <v>432</v>
      </c>
      <c r="U1151" s="107" t="s">
        <v>432</v>
      </c>
      <c r="V1151" s="109" t="s">
        <v>2209</v>
      </c>
      <c r="W1151" s="107" t="s">
        <v>432</v>
      </c>
      <c r="X1151" s="107" t="s">
        <v>432</v>
      </c>
      <c r="Y1151" s="107" t="s">
        <v>432</v>
      </c>
      <c r="Z1151" s="107" t="s">
        <v>432</v>
      </c>
      <c r="AA1151" s="107" t="s">
        <v>432</v>
      </c>
      <c r="AB1151" s="107" t="s">
        <v>432</v>
      </c>
      <c r="AC1151" s="107" t="s">
        <v>432</v>
      </c>
      <c r="AD1151" s="107" t="s">
        <v>432</v>
      </c>
      <c r="AE1151" s="107" t="s">
        <v>432</v>
      </c>
      <c r="AF1151" s="107" t="s">
        <v>432</v>
      </c>
      <c r="AG1151" s="107" t="s">
        <v>432</v>
      </c>
      <c r="AH1151" s="107" t="s">
        <v>432</v>
      </c>
      <c r="AI1151" s="107" t="s">
        <v>432</v>
      </c>
      <c r="AJ1151" s="107" t="s">
        <v>432</v>
      </c>
      <c r="AK1151" s="137" t="s">
        <v>432</v>
      </c>
      <c r="AL1151" s="601" t="s">
        <v>432</v>
      </c>
      <c r="AM1151" s="137" t="s">
        <v>432</v>
      </c>
      <c r="AN1151" s="137" t="s">
        <v>432</v>
      </c>
      <c r="AO1151" s="137" t="s">
        <v>432</v>
      </c>
      <c r="AP1151" s="137" t="s">
        <v>432</v>
      </c>
      <c r="AQ1151" s="137" t="s">
        <v>432</v>
      </c>
      <c r="AR1151" s="137" t="s">
        <v>432</v>
      </c>
      <c r="AS1151" s="137" t="s">
        <v>432</v>
      </c>
      <c r="AT1151" s="137" t="s">
        <v>432</v>
      </c>
      <c r="AU1151" s="137" t="s">
        <v>432</v>
      </c>
      <c r="AV1151" s="137" t="s">
        <v>432</v>
      </c>
      <c r="AW1151" s="137" t="s">
        <v>432</v>
      </c>
      <c r="AX1151" s="137" t="s">
        <v>432</v>
      </c>
      <c r="AY1151" s="137" t="s">
        <v>432</v>
      </c>
      <c r="AZ1151" s="137" t="s">
        <v>432</v>
      </c>
      <c r="BA1151" s="137" t="s">
        <v>432</v>
      </c>
      <c r="BB1151" s="239" t="str">
        <f t="shared" ref="BB1151:BB1192" si="331">B1151&amp;C1151</f>
        <v>geralx</v>
      </c>
      <c r="BC1151" s="239" t="str">
        <f t="shared" ref="BC1151:BC1192" si="332">B1151&amp;C1151&amp;H1151</f>
        <v>geralxx</v>
      </c>
      <c r="BD1151" s="239" t="str">
        <f t="shared" ref="BD1151:BD1192" si="333">B1151&amp;H1151</f>
        <v>geralx</v>
      </c>
    </row>
    <row r="1152" spans="1:56" s="1" customFormat="1" ht="55.5" customHeight="1" x14ac:dyDescent="0.25">
      <c r="A1152" s="262" t="str">
        <f>'Q100b-totais'!B22</f>
        <v>2.7</v>
      </c>
      <c r="B1152" s="252" t="str">
        <f>'Q100b-totais'!C22</f>
        <v>Outras cidades/regiões</v>
      </c>
      <c r="C1152" s="167" t="s">
        <v>743</v>
      </c>
      <c r="D1152" s="1570" t="s">
        <v>6324</v>
      </c>
      <c r="E1152" s="1499" t="s">
        <v>6324</v>
      </c>
      <c r="F1152" s="252" t="s">
        <v>6340</v>
      </c>
      <c r="G1152" s="57" t="s">
        <v>3507</v>
      </c>
      <c r="H1152" s="167" t="s">
        <v>2408</v>
      </c>
      <c r="I1152" s="167" t="s">
        <v>432</v>
      </c>
      <c r="J1152" s="107" t="s">
        <v>432</v>
      </c>
      <c r="K1152" s="107" t="s">
        <v>432</v>
      </c>
      <c r="L1152" s="107" t="s">
        <v>432</v>
      </c>
      <c r="M1152" s="107" t="s">
        <v>432</v>
      </c>
      <c r="N1152" s="107" t="s">
        <v>432</v>
      </c>
      <c r="O1152" s="107" t="s">
        <v>432</v>
      </c>
      <c r="P1152" s="107" t="s">
        <v>432</v>
      </c>
      <c r="Q1152" s="107" t="s">
        <v>432</v>
      </c>
      <c r="R1152" s="107" t="s">
        <v>432</v>
      </c>
      <c r="S1152" s="109" t="s">
        <v>2209</v>
      </c>
      <c r="T1152" s="107" t="s">
        <v>432</v>
      </c>
      <c r="U1152" s="107" t="s">
        <v>432</v>
      </c>
      <c r="V1152" s="109" t="s">
        <v>2209</v>
      </c>
      <c r="W1152" s="107" t="s">
        <v>432</v>
      </c>
      <c r="X1152" s="107" t="s">
        <v>432</v>
      </c>
      <c r="Y1152" s="107" t="s">
        <v>432</v>
      </c>
      <c r="Z1152" s="107" t="s">
        <v>432</v>
      </c>
      <c r="AA1152" s="107" t="s">
        <v>432</v>
      </c>
      <c r="AB1152" s="107" t="s">
        <v>432</v>
      </c>
      <c r="AC1152" s="107" t="s">
        <v>432</v>
      </c>
      <c r="AD1152" s="107" t="s">
        <v>432</v>
      </c>
      <c r="AE1152" s="107" t="s">
        <v>432</v>
      </c>
      <c r="AF1152" s="107" t="s">
        <v>432</v>
      </c>
      <c r="AG1152" s="107" t="s">
        <v>432</v>
      </c>
      <c r="AH1152" s="107" t="s">
        <v>432</v>
      </c>
      <c r="AI1152" s="107" t="s">
        <v>432</v>
      </c>
      <c r="AJ1152" s="107" t="s">
        <v>432</v>
      </c>
      <c r="AK1152" s="137" t="s">
        <v>432</v>
      </c>
      <c r="AL1152" s="601" t="s">
        <v>432</v>
      </c>
      <c r="AM1152" s="137" t="s">
        <v>432</v>
      </c>
      <c r="AN1152" s="137" t="s">
        <v>432</v>
      </c>
      <c r="AO1152" s="137" t="s">
        <v>432</v>
      </c>
      <c r="AP1152" s="137" t="s">
        <v>432</v>
      </c>
      <c r="AQ1152" s="137" t="s">
        <v>432</v>
      </c>
      <c r="AR1152" s="137" t="s">
        <v>432</v>
      </c>
      <c r="AS1152" s="137" t="s">
        <v>432</v>
      </c>
      <c r="AT1152" s="137" t="s">
        <v>432</v>
      </c>
      <c r="AU1152" s="137" t="s">
        <v>432</v>
      </c>
      <c r="AV1152" s="137" t="s">
        <v>432</v>
      </c>
      <c r="AW1152" s="137" t="s">
        <v>432</v>
      </c>
      <c r="AX1152" s="137" t="s">
        <v>432</v>
      </c>
      <c r="AY1152" s="137" t="s">
        <v>432</v>
      </c>
      <c r="AZ1152" s="137" t="s">
        <v>432</v>
      </c>
      <c r="BA1152" s="137" t="s">
        <v>432</v>
      </c>
      <c r="BB1152" s="239" t="str">
        <f>B1152&amp;C1152</f>
        <v>Outras cidades/regiõesacessibilidade</v>
      </c>
      <c r="BC1152" s="239" t="str">
        <f>B1152&amp;C1152&amp;H1152</f>
        <v>Outras cidades/regiõesacessibilidadesigla/verbete</v>
      </c>
      <c r="BD1152" s="239" t="str">
        <f>B1152&amp;H1152</f>
        <v>Outras cidades/regiõessigla/verbete</v>
      </c>
    </row>
    <row r="1153" spans="1:56" s="1" customFormat="1" ht="55.5" customHeight="1" x14ac:dyDescent="0.25">
      <c r="A1153" s="262" t="str">
        <f>'Q100b-totais'!B62</f>
        <v>8.10</v>
      </c>
      <c r="B1153" s="252" t="str">
        <f>'Q100b-totais'!C62</f>
        <v>Sistema de transporte coletivo com um todo</v>
      </c>
      <c r="C1153" s="167" t="s">
        <v>743</v>
      </c>
      <c r="D1153" s="324" t="s">
        <v>3817</v>
      </c>
      <c r="E1153" s="1445" t="s">
        <v>432</v>
      </c>
      <c r="F1153" s="252" t="s">
        <v>3818</v>
      </c>
      <c r="G1153" s="57" t="s">
        <v>3507</v>
      </c>
      <c r="H1153" s="167" t="s">
        <v>2408</v>
      </c>
      <c r="I1153" s="167" t="s">
        <v>432</v>
      </c>
      <c r="J1153" s="107" t="s">
        <v>432</v>
      </c>
      <c r="K1153" s="107" t="s">
        <v>432</v>
      </c>
      <c r="L1153" s="107" t="s">
        <v>432</v>
      </c>
      <c r="M1153" s="107" t="s">
        <v>432</v>
      </c>
      <c r="N1153" s="107" t="s">
        <v>432</v>
      </c>
      <c r="O1153" s="107" t="s">
        <v>432</v>
      </c>
      <c r="P1153" s="107" t="s">
        <v>432</v>
      </c>
      <c r="Q1153" s="107" t="s">
        <v>432</v>
      </c>
      <c r="R1153" s="107" t="s">
        <v>432</v>
      </c>
      <c r="S1153" s="109" t="s">
        <v>2209</v>
      </c>
      <c r="T1153" s="107" t="s">
        <v>432</v>
      </c>
      <c r="U1153" s="107" t="s">
        <v>432</v>
      </c>
      <c r="V1153" s="109" t="s">
        <v>2209</v>
      </c>
      <c r="W1153" s="107" t="s">
        <v>432</v>
      </c>
      <c r="X1153" s="107" t="s">
        <v>432</v>
      </c>
      <c r="Y1153" s="107" t="s">
        <v>432</v>
      </c>
      <c r="Z1153" s="107" t="s">
        <v>432</v>
      </c>
      <c r="AA1153" s="107" t="s">
        <v>432</v>
      </c>
      <c r="AB1153" s="107" t="s">
        <v>432</v>
      </c>
      <c r="AC1153" s="107" t="s">
        <v>432</v>
      </c>
      <c r="AD1153" s="107" t="s">
        <v>432</v>
      </c>
      <c r="AE1153" s="107" t="s">
        <v>432</v>
      </c>
      <c r="AF1153" s="107" t="s">
        <v>432</v>
      </c>
      <c r="AG1153" s="107" t="s">
        <v>432</v>
      </c>
      <c r="AH1153" s="107" t="s">
        <v>432</v>
      </c>
      <c r="AI1153" s="107" t="s">
        <v>432</v>
      </c>
      <c r="AJ1153" s="107" t="s">
        <v>432</v>
      </c>
      <c r="AK1153" s="137" t="s">
        <v>432</v>
      </c>
      <c r="AL1153" s="601" t="s">
        <v>432</v>
      </c>
      <c r="AM1153" s="137" t="s">
        <v>432</v>
      </c>
      <c r="AN1153" s="137" t="s">
        <v>432</v>
      </c>
      <c r="AO1153" s="137" t="s">
        <v>432</v>
      </c>
      <c r="AP1153" s="137" t="s">
        <v>432</v>
      </c>
      <c r="AQ1153" s="137" t="s">
        <v>432</v>
      </c>
      <c r="AR1153" s="137" t="s">
        <v>432</v>
      </c>
      <c r="AS1153" s="137" t="s">
        <v>432</v>
      </c>
      <c r="AT1153" s="137" t="s">
        <v>432</v>
      </c>
      <c r="AU1153" s="137" t="s">
        <v>432</v>
      </c>
      <c r="AV1153" s="137" t="s">
        <v>432</v>
      </c>
      <c r="AW1153" s="137" t="s">
        <v>432</v>
      </c>
      <c r="AX1153" s="137" t="s">
        <v>432</v>
      </c>
      <c r="AY1153" s="137" t="s">
        <v>432</v>
      </c>
      <c r="AZ1153" s="137" t="s">
        <v>432</v>
      </c>
      <c r="BA1153" s="137" t="s">
        <v>432</v>
      </c>
      <c r="BB1153" s="239" t="str">
        <f>B1153&amp;C1153</f>
        <v>Sistema de transporte coletivo com um todoacessibilidade</v>
      </c>
      <c r="BC1153" s="239" t="str">
        <f>B1153&amp;C1153&amp;H1153</f>
        <v>Sistema de transporte coletivo com um todoacessibilidadesigla/verbete</v>
      </c>
      <c r="BD1153" s="239" t="str">
        <f>B1153&amp;H1153</f>
        <v>Sistema de transporte coletivo com um todosigla/verbete</v>
      </c>
    </row>
    <row r="1154" spans="1:56" s="373" customFormat="1" x14ac:dyDescent="0.25">
      <c r="A1154" s="383"/>
      <c r="B1154" s="384"/>
      <c r="C1154" s="384"/>
      <c r="D1154" s="719"/>
      <c r="E1154" s="1519"/>
      <c r="F1154" s="385"/>
      <c r="G1154" s="385"/>
      <c r="H1154" s="384"/>
      <c r="I1154" s="385"/>
      <c r="J1154" s="385"/>
      <c r="K1154" s="385"/>
      <c r="L1154" s="385"/>
      <c r="M1154" s="385"/>
      <c r="N1154" s="385"/>
      <c r="O1154" s="385"/>
      <c r="P1154" s="385"/>
      <c r="Q1154" s="385"/>
      <c r="R1154" s="385"/>
      <c r="S1154" s="385"/>
      <c r="T1154" s="385"/>
      <c r="U1154" s="385"/>
      <c r="V1154" s="385"/>
      <c r="W1154" s="385"/>
      <c r="X1154" s="385"/>
      <c r="Y1154" s="385"/>
      <c r="Z1154" s="385"/>
      <c r="AA1154" s="385"/>
      <c r="AB1154" s="385"/>
      <c r="AC1154" s="385"/>
      <c r="AD1154" s="385"/>
      <c r="AE1154" s="385"/>
      <c r="AF1154" s="385"/>
      <c r="AG1154" s="385"/>
      <c r="AH1154" s="385"/>
      <c r="AI1154" s="385"/>
      <c r="AJ1154" s="385"/>
      <c r="AK1154" s="397"/>
      <c r="AL1154" s="601"/>
      <c r="AM1154" s="387"/>
      <c r="AN1154" s="387"/>
      <c r="AO1154" s="387"/>
      <c r="AP1154" s="387"/>
      <c r="AQ1154" s="387"/>
      <c r="AR1154" s="387"/>
      <c r="AS1154" s="387"/>
      <c r="AT1154" s="387"/>
      <c r="AU1154" s="387"/>
      <c r="AV1154" s="387"/>
      <c r="AW1154" s="387"/>
      <c r="AX1154" s="387"/>
      <c r="AY1154" s="387"/>
      <c r="AZ1154" s="387"/>
      <c r="BA1154" s="387"/>
      <c r="BB1154" s="388"/>
      <c r="BC1154" s="388"/>
      <c r="BD1154" s="388"/>
    </row>
    <row r="1155" spans="1:56" s="1" customFormat="1" ht="25.5" x14ac:dyDescent="0.25">
      <c r="A1155" s="262" t="s">
        <v>432</v>
      </c>
      <c r="B1155" s="252" t="s">
        <v>742</v>
      </c>
      <c r="C1155" s="167" t="s">
        <v>743</v>
      </c>
      <c r="D1155" s="324" t="s">
        <v>1906</v>
      </c>
      <c r="E1155" s="1512" t="s">
        <v>432</v>
      </c>
      <c r="F1155" s="188" t="s">
        <v>1908</v>
      </c>
      <c r="G1155" s="57" t="s">
        <v>3507</v>
      </c>
      <c r="H1155" s="167" t="s">
        <v>2408</v>
      </c>
      <c r="I1155" s="57" t="s">
        <v>432</v>
      </c>
      <c r="J1155" s="109" t="s">
        <v>432</v>
      </c>
      <c r="K1155" s="109" t="s">
        <v>432</v>
      </c>
      <c r="L1155" s="109" t="s">
        <v>432</v>
      </c>
      <c r="M1155" s="109" t="s">
        <v>432</v>
      </c>
      <c r="N1155" s="109" t="s">
        <v>432</v>
      </c>
      <c r="O1155" s="109" t="s">
        <v>432</v>
      </c>
      <c r="P1155" s="109" t="s">
        <v>432</v>
      </c>
      <c r="Q1155" s="109" t="s">
        <v>432</v>
      </c>
      <c r="R1155" s="109" t="s">
        <v>432</v>
      </c>
      <c r="S1155" s="109" t="s">
        <v>2209</v>
      </c>
      <c r="T1155" s="109" t="s">
        <v>432</v>
      </c>
      <c r="U1155" s="109" t="s">
        <v>432</v>
      </c>
      <c r="V1155" s="109" t="s">
        <v>2209</v>
      </c>
      <c r="W1155" s="109" t="s">
        <v>432</v>
      </c>
      <c r="X1155" s="109" t="s">
        <v>432</v>
      </c>
      <c r="Y1155" s="109" t="s">
        <v>432</v>
      </c>
      <c r="Z1155" s="109" t="s">
        <v>432</v>
      </c>
      <c r="AA1155" s="109" t="s">
        <v>432</v>
      </c>
      <c r="AB1155" s="109" t="s">
        <v>432</v>
      </c>
      <c r="AC1155" s="109" t="s">
        <v>432</v>
      </c>
      <c r="AD1155" s="109" t="s">
        <v>432</v>
      </c>
      <c r="AE1155" s="109" t="s">
        <v>432</v>
      </c>
      <c r="AF1155" s="109" t="s">
        <v>432</v>
      </c>
      <c r="AG1155" s="109" t="s">
        <v>432</v>
      </c>
      <c r="AH1155" s="109" t="s">
        <v>432</v>
      </c>
      <c r="AI1155" s="109" t="s">
        <v>432</v>
      </c>
      <c r="AJ1155" s="109" t="s">
        <v>432</v>
      </c>
      <c r="AK1155" s="137" t="s">
        <v>432</v>
      </c>
      <c r="AL1155" s="601" t="s">
        <v>432</v>
      </c>
      <c r="AM1155" s="137" t="s">
        <v>432</v>
      </c>
      <c r="AN1155" s="137" t="s">
        <v>432</v>
      </c>
      <c r="AO1155" s="137" t="s">
        <v>432</v>
      </c>
      <c r="AP1155" s="137" t="s">
        <v>432</v>
      </c>
      <c r="AQ1155" s="137" t="s">
        <v>432</v>
      </c>
      <c r="AR1155" s="137" t="s">
        <v>432</v>
      </c>
      <c r="AS1155" s="137" t="s">
        <v>432</v>
      </c>
      <c r="AT1155" s="137" t="s">
        <v>432</v>
      </c>
      <c r="AU1155" s="137" t="s">
        <v>432</v>
      </c>
      <c r="AV1155" s="137" t="s">
        <v>432</v>
      </c>
      <c r="AW1155" s="137" t="s">
        <v>432</v>
      </c>
      <c r="AX1155" s="137" t="s">
        <v>432</v>
      </c>
      <c r="AY1155" s="137" t="s">
        <v>432</v>
      </c>
      <c r="AZ1155" s="137" t="s">
        <v>432</v>
      </c>
      <c r="BA1155" s="137" t="s">
        <v>432</v>
      </c>
      <c r="BB1155" s="239" t="str">
        <f t="shared" si="331"/>
        <v>geralacessibilidade</v>
      </c>
      <c r="BC1155" s="239" t="str">
        <f t="shared" si="332"/>
        <v>geralacessibilidadesigla/verbete</v>
      </c>
      <c r="BD1155" s="239" t="str">
        <f t="shared" si="333"/>
        <v>geralsigla/verbete</v>
      </c>
    </row>
    <row r="1156" spans="1:56" s="1" customFormat="1" ht="36.75" customHeight="1" x14ac:dyDescent="0.25">
      <c r="A1156" s="262" t="s">
        <v>432</v>
      </c>
      <c r="B1156" s="252" t="s">
        <v>742</v>
      </c>
      <c r="C1156" s="167" t="s">
        <v>432</v>
      </c>
      <c r="D1156" s="324" t="s">
        <v>3718</v>
      </c>
      <c r="E1156" s="1512" t="s">
        <v>432</v>
      </c>
      <c r="F1156" s="188" t="s">
        <v>4515</v>
      </c>
      <c r="G1156" s="167" t="s">
        <v>3719</v>
      </c>
      <c r="H1156" s="167" t="s">
        <v>2408</v>
      </c>
      <c r="I1156" s="57" t="s">
        <v>432</v>
      </c>
      <c r="J1156" s="109" t="s">
        <v>432</v>
      </c>
      <c r="K1156" s="109" t="s">
        <v>432</v>
      </c>
      <c r="L1156" s="109" t="s">
        <v>432</v>
      </c>
      <c r="M1156" s="109" t="s">
        <v>432</v>
      </c>
      <c r="N1156" s="109" t="s">
        <v>432</v>
      </c>
      <c r="O1156" s="109" t="s">
        <v>432</v>
      </c>
      <c r="P1156" s="109" t="s">
        <v>432</v>
      </c>
      <c r="Q1156" s="109" t="s">
        <v>432</v>
      </c>
      <c r="R1156" s="109" t="s">
        <v>432</v>
      </c>
      <c r="S1156" s="109" t="s">
        <v>2209</v>
      </c>
      <c r="T1156" s="109" t="s">
        <v>432</v>
      </c>
      <c r="U1156" s="109" t="s">
        <v>432</v>
      </c>
      <c r="V1156" s="109" t="s">
        <v>2209</v>
      </c>
      <c r="W1156" s="109" t="s">
        <v>432</v>
      </c>
      <c r="X1156" s="109" t="s">
        <v>432</v>
      </c>
      <c r="Y1156" s="109" t="s">
        <v>432</v>
      </c>
      <c r="Z1156" s="109" t="s">
        <v>432</v>
      </c>
      <c r="AA1156" s="109" t="s">
        <v>432</v>
      </c>
      <c r="AB1156" s="109" t="s">
        <v>432</v>
      </c>
      <c r="AC1156" s="109" t="s">
        <v>432</v>
      </c>
      <c r="AD1156" s="109" t="s">
        <v>432</v>
      </c>
      <c r="AE1156" s="109" t="s">
        <v>432</v>
      </c>
      <c r="AF1156" s="109" t="s">
        <v>432</v>
      </c>
      <c r="AG1156" s="109" t="s">
        <v>432</v>
      </c>
      <c r="AH1156" s="109" t="s">
        <v>432</v>
      </c>
      <c r="AI1156" s="109" t="s">
        <v>432</v>
      </c>
      <c r="AJ1156" s="109" t="s">
        <v>432</v>
      </c>
      <c r="AK1156" s="137" t="s">
        <v>432</v>
      </c>
      <c r="AL1156" s="601" t="s">
        <v>432</v>
      </c>
      <c r="AM1156" s="137" t="s">
        <v>432</v>
      </c>
      <c r="AN1156" s="137" t="s">
        <v>432</v>
      </c>
      <c r="AO1156" s="137" t="s">
        <v>432</v>
      </c>
      <c r="AP1156" s="137" t="s">
        <v>432</v>
      </c>
      <c r="AQ1156" s="137" t="s">
        <v>432</v>
      </c>
      <c r="AR1156" s="137" t="s">
        <v>432</v>
      </c>
      <c r="AS1156" s="137" t="s">
        <v>432</v>
      </c>
      <c r="AT1156" s="137" t="s">
        <v>432</v>
      </c>
      <c r="AU1156" s="137" t="s">
        <v>432</v>
      </c>
      <c r="AV1156" s="137" t="s">
        <v>432</v>
      </c>
      <c r="AW1156" s="137" t="s">
        <v>432</v>
      </c>
      <c r="AX1156" s="137" t="s">
        <v>432</v>
      </c>
      <c r="AY1156" s="137" t="s">
        <v>432</v>
      </c>
      <c r="AZ1156" s="137" t="s">
        <v>432</v>
      </c>
      <c r="BA1156" s="137" t="s">
        <v>432</v>
      </c>
      <c r="BB1156" s="239" t="str">
        <f>B1156&amp;C1156</f>
        <v>geralx</v>
      </c>
      <c r="BC1156" s="239" t="str">
        <f>B1156&amp;C1156&amp;H1156</f>
        <v>geralxsigla/verbete</v>
      </c>
      <c r="BD1156" s="239" t="str">
        <f>B1156&amp;H1156</f>
        <v>geralsigla/verbete</v>
      </c>
    </row>
    <row r="1157" spans="1:56" s="1" customFormat="1" ht="45.75" customHeight="1" x14ac:dyDescent="0.25">
      <c r="A1157" s="262" t="s">
        <v>432</v>
      </c>
      <c r="B1157" s="252" t="s">
        <v>742</v>
      </c>
      <c r="C1157" s="167" t="s">
        <v>432</v>
      </c>
      <c r="D1157" s="275" t="s">
        <v>4447</v>
      </c>
      <c r="E1157" s="1512" t="s">
        <v>432</v>
      </c>
      <c r="F1157" s="1172" t="s">
        <v>5033</v>
      </c>
      <c r="G1157" s="167" t="s">
        <v>3719</v>
      </c>
      <c r="H1157" s="167" t="s">
        <v>2408</v>
      </c>
      <c r="I1157" s="57" t="s">
        <v>432</v>
      </c>
      <c r="J1157" s="109" t="s">
        <v>432</v>
      </c>
      <c r="K1157" s="109" t="s">
        <v>432</v>
      </c>
      <c r="L1157" s="109" t="s">
        <v>432</v>
      </c>
      <c r="M1157" s="109" t="s">
        <v>432</v>
      </c>
      <c r="N1157" s="109" t="s">
        <v>432</v>
      </c>
      <c r="O1157" s="109" t="s">
        <v>432</v>
      </c>
      <c r="P1157" s="109" t="s">
        <v>432</v>
      </c>
      <c r="Q1157" s="109" t="s">
        <v>432</v>
      </c>
      <c r="R1157" s="109" t="s">
        <v>432</v>
      </c>
      <c r="S1157" s="109" t="s">
        <v>2209</v>
      </c>
      <c r="T1157" s="109" t="s">
        <v>432</v>
      </c>
      <c r="U1157" s="109" t="s">
        <v>432</v>
      </c>
      <c r="V1157" s="109" t="s">
        <v>2209</v>
      </c>
      <c r="W1157" s="109" t="s">
        <v>432</v>
      </c>
      <c r="X1157" s="109" t="s">
        <v>432</v>
      </c>
      <c r="Y1157" s="109" t="s">
        <v>432</v>
      </c>
      <c r="Z1157" s="109" t="s">
        <v>432</v>
      </c>
      <c r="AA1157" s="109" t="s">
        <v>432</v>
      </c>
      <c r="AB1157" s="109" t="s">
        <v>432</v>
      </c>
      <c r="AC1157" s="109" t="s">
        <v>432</v>
      </c>
      <c r="AD1157" s="109" t="s">
        <v>432</v>
      </c>
      <c r="AE1157" s="109" t="s">
        <v>432</v>
      </c>
      <c r="AF1157" s="109" t="s">
        <v>432</v>
      </c>
      <c r="AG1157" s="109" t="s">
        <v>432</v>
      </c>
      <c r="AH1157" s="109" t="s">
        <v>432</v>
      </c>
      <c r="AI1157" s="109" t="s">
        <v>432</v>
      </c>
      <c r="AJ1157" s="109" t="s">
        <v>432</v>
      </c>
      <c r="AK1157" s="137" t="s">
        <v>432</v>
      </c>
      <c r="AL1157" s="601" t="s">
        <v>432</v>
      </c>
      <c r="AM1157" s="137" t="s">
        <v>432</v>
      </c>
      <c r="AN1157" s="137" t="s">
        <v>432</v>
      </c>
      <c r="AO1157" s="137" t="s">
        <v>432</v>
      </c>
      <c r="AP1157" s="137" t="s">
        <v>432</v>
      </c>
      <c r="AQ1157" s="137" t="s">
        <v>432</v>
      </c>
      <c r="AR1157" s="137" t="s">
        <v>432</v>
      </c>
      <c r="AS1157" s="137" t="s">
        <v>432</v>
      </c>
      <c r="AT1157" s="137" t="s">
        <v>432</v>
      </c>
      <c r="AU1157" s="137" t="s">
        <v>432</v>
      </c>
      <c r="AV1157" s="137" t="s">
        <v>432</v>
      </c>
      <c r="AW1157" s="137" t="s">
        <v>432</v>
      </c>
      <c r="AX1157" s="137" t="s">
        <v>432</v>
      </c>
      <c r="AY1157" s="137" t="s">
        <v>432</v>
      </c>
      <c r="AZ1157" s="137" t="s">
        <v>432</v>
      </c>
      <c r="BA1157" s="137" t="s">
        <v>432</v>
      </c>
      <c r="BB1157" s="239" t="str">
        <f>B1157&amp;C1157</f>
        <v>geralx</v>
      </c>
      <c r="BC1157" s="239" t="str">
        <f>B1157&amp;C1157&amp;H1157</f>
        <v>geralxsigla/verbete</v>
      </c>
      <c r="BD1157" s="239" t="str">
        <f>B1157&amp;H1157</f>
        <v>geralsigla/verbete</v>
      </c>
    </row>
    <row r="1158" spans="1:56" s="3" customFormat="1" ht="48" customHeight="1" x14ac:dyDescent="0.25">
      <c r="A1158" s="262" t="str">
        <f>'Q100b-totais'!B22</f>
        <v>2.7</v>
      </c>
      <c r="B1158" s="252" t="str">
        <f>'Q100b-totais'!C22</f>
        <v>Outras cidades/regiões</v>
      </c>
      <c r="C1158" s="167" t="s">
        <v>743</v>
      </c>
      <c r="D1158" s="1323" t="s">
        <v>3027</v>
      </c>
      <c r="E1158" s="1499" t="s">
        <v>3027</v>
      </c>
      <c r="F1158" s="1327" t="s">
        <v>4238</v>
      </c>
      <c r="G1158" s="230" t="s">
        <v>3507</v>
      </c>
      <c r="H1158" s="167" t="s">
        <v>2408</v>
      </c>
      <c r="I1158" s="167" t="s">
        <v>432</v>
      </c>
      <c r="J1158" s="107" t="s">
        <v>432</v>
      </c>
      <c r="K1158" s="107" t="s">
        <v>432</v>
      </c>
      <c r="L1158" s="107" t="s">
        <v>432</v>
      </c>
      <c r="M1158" s="107" t="s">
        <v>432</v>
      </c>
      <c r="N1158" s="107" t="s">
        <v>432</v>
      </c>
      <c r="O1158" s="107" t="s">
        <v>432</v>
      </c>
      <c r="P1158" s="107" t="s">
        <v>432</v>
      </c>
      <c r="Q1158" s="107" t="s">
        <v>432</v>
      </c>
      <c r="R1158" s="107" t="s">
        <v>432</v>
      </c>
      <c r="S1158" s="109" t="s">
        <v>2209</v>
      </c>
      <c r="T1158" s="107" t="s">
        <v>432</v>
      </c>
      <c r="U1158" s="107" t="s">
        <v>432</v>
      </c>
      <c r="V1158" s="109" t="s">
        <v>2209</v>
      </c>
      <c r="W1158" s="107" t="s">
        <v>432</v>
      </c>
      <c r="X1158" s="107" t="s">
        <v>432</v>
      </c>
      <c r="Y1158" s="107" t="s">
        <v>432</v>
      </c>
      <c r="Z1158" s="107" t="s">
        <v>432</v>
      </c>
      <c r="AA1158" s="107" t="s">
        <v>432</v>
      </c>
      <c r="AB1158" s="107" t="s">
        <v>432</v>
      </c>
      <c r="AC1158" s="107" t="s">
        <v>432</v>
      </c>
      <c r="AD1158" s="107" t="s">
        <v>432</v>
      </c>
      <c r="AE1158" s="107" t="s">
        <v>432</v>
      </c>
      <c r="AF1158" s="107" t="s">
        <v>432</v>
      </c>
      <c r="AG1158" s="107" t="s">
        <v>432</v>
      </c>
      <c r="AH1158" s="107" t="s">
        <v>432</v>
      </c>
      <c r="AI1158" s="107" t="s">
        <v>432</v>
      </c>
      <c r="AJ1158" s="107" t="s">
        <v>432</v>
      </c>
      <c r="AK1158" s="107" t="s">
        <v>432</v>
      </c>
      <c r="AL1158" s="601" t="s">
        <v>432</v>
      </c>
      <c r="AM1158" s="137" t="s">
        <v>432</v>
      </c>
      <c r="AN1158" s="137" t="s">
        <v>432</v>
      </c>
      <c r="AO1158" s="137" t="s">
        <v>432</v>
      </c>
      <c r="AP1158" s="137" t="s">
        <v>432</v>
      </c>
      <c r="AQ1158" s="137" t="s">
        <v>432</v>
      </c>
      <c r="AR1158" s="137" t="s">
        <v>432</v>
      </c>
      <c r="AS1158" s="137" t="s">
        <v>432</v>
      </c>
      <c r="AT1158" s="137" t="s">
        <v>432</v>
      </c>
      <c r="AU1158" s="137" t="s">
        <v>432</v>
      </c>
      <c r="AV1158" s="137" t="s">
        <v>432</v>
      </c>
      <c r="AW1158" s="137" t="s">
        <v>432</v>
      </c>
      <c r="AX1158" s="137" t="s">
        <v>432</v>
      </c>
      <c r="AY1158" s="137" t="s">
        <v>432</v>
      </c>
      <c r="AZ1158" s="137" t="s">
        <v>432</v>
      </c>
      <c r="BA1158" s="137" t="s">
        <v>432</v>
      </c>
      <c r="BB1158" s="239" t="str">
        <f>B1158&amp;C1158</f>
        <v>Outras cidades/regiõesacessibilidade</v>
      </c>
      <c r="BC1158" s="239" t="str">
        <f>B1158&amp;C1158&amp;H1158</f>
        <v>Outras cidades/regiõesacessibilidadesigla/verbete</v>
      </c>
      <c r="BD1158" s="239" t="str">
        <f>B1158&amp;H1158</f>
        <v>Outras cidades/regiõessigla/verbete</v>
      </c>
    </row>
    <row r="1159" spans="1:56" s="1" customFormat="1" ht="31.5" customHeight="1" x14ac:dyDescent="0.25">
      <c r="A1159" s="275" t="str">
        <f>'Q100b-totais'!$B$43</f>
        <v>5.1</v>
      </c>
      <c r="B1159" s="1205" t="s">
        <v>643</v>
      </c>
      <c r="C1159" s="57" t="s">
        <v>935</v>
      </c>
      <c r="D1159" s="960" t="s">
        <v>194</v>
      </c>
      <c r="E1159" s="1510" t="s">
        <v>432</v>
      </c>
      <c r="F1159" s="15" t="s">
        <v>3050</v>
      </c>
      <c r="G1159" s="57" t="s">
        <v>5436</v>
      </c>
      <c r="H1159" s="167" t="s">
        <v>2408</v>
      </c>
      <c r="I1159" s="57" t="s">
        <v>432</v>
      </c>
      <c r="J1159" s="109" t="s">
        <v>432</v>
      </c>
      <c r="K1159" s="109" t="s">
        <v>432</v>
      </c>
      <c r="L1159" s="109" t="s">
        <v>432</v>
      </c>
      <c r="M1159" s="109" t="s">
        <v>432</v>
      </c>
      <c r="N1159" s="109" t="s">
        <v>432</v>
      </c>
      <c r="O1159" s="109" t="s">
        <v>432</v>
      </c>
      <c r="P1159" s="109" t="s">
        <v>432</v>
      </c>
      <c r="Q1159" s="109" t="s">
        <v>432</v>
      </c>
      <c r="R1159" s="109" t="s">
        <v>432</v>
      </c>
      <c r="S1159" s="109" t="s">
        <v>2209</v>
      </c>
      <c r="T1159" s="109" t="s">
        <v>432</v>
      </c>
      <c r="U1159" s="109" t="s">
        <v>432</v>
      </c>
      <c r="V1159" s="109" t="s">
        <v>2209</v>
      </c>
      <c r="W1159" s="109" t="s">
        <v>432</v>
      </c>
      <c r="X1159" s="109" t="s">
        <v>432</v>
      </c>
      <c r="Y1159" s="109" t="s">
        <v>432</v>
      </c>
      <c r="Z1159" s="109" t="s">
        <v>432</v>
      </c>
      <c r="AA1159" s="109" t="s">
        <v>432</v>
      </c>
      <c r="AB1159" s="109" t="s">
        <v>432</v>
      </c>
      <c r="AC1159" s="109" t="s">
        <v>432</v>
      </c>
      <c r="AD1159" s="109" t="s">
        <v>432</v>
      </c>
      <c r="AE1159" s="109" t="s">
        <v>432</v>
      </c>
      <c r="AF1159" s="109" t="s">
        <v>432</v>
      </c>
      <c r="AG1159" s="109" t="s">
        <v>432</v>
      </c>
      <c r="AH1159" s="109" t="s">
        <v>432</v>
      </c>
      <c r="AI1159" s="109" t="s">
        <v>432</v>
      </c>
      <c r="AJ1159" s="109" t="s">
        <v>432</v>
      </c>
      <c r="AK1159" s="137" t="s">
        <v>432</v>
      </c>
      <c r="AL1159" s="601" t="s">
        <v>432</v>
      </c>
      <c r="AM1159" s="137" t="s">
        <v>432</v>
      </c>
      <c r="AN1159" s="137" t="s">
        <v>432</v>
      </c>
      <c r="AO1159" s="137" t="s">
        <v>432</v>
      </c>
      <c r="AP1159" s="137" t="s">
        <v>432</v>
      </c>
      <c r="AQ1159" s="137" t="s">
        <v>432</v>
      </c>
      <c r="AR1159" s="137" t="s">
        <v>432</v>
      </c>
      <c r="AS1159" s="137" t="s">
        <v>432</v>
      </c>
      <c r="AT1159" s="137" t="s">
        <v>432</v>
      </c>
      <c r="AU1159" s="137" t="s">
        <v>432</v>
      </c>
      <c r="AV1159" s="137" t="s">
        <v>432</v>
      </c>
      <c r="AW1159" s="137" t="s">
        <v>432</v>
      </c>
      <c r="AX1159" s="137" t="s">
        <v>432</v>
      </c>
      <c r="AY1159" s="137" t="s">
        <v>432</v>
      </c>
      <c r="AZ1159" s="137" t="s">
        <v>432</v>
      </c>
      <c r="BA1159" s="137" t="s">
        <v>432</v>
      </c>
      <c r="BB1159" s="239" t="str">
        <f t="shared" si="331"/>
        <v>Gases de efeito estufaCMMCE</v>
      </c>
      <c r="BC1159" s="239" t="str">
        <f t="shared" si="332"/>
        <v>Gases de efeito estufaCMMCEsigla/verbete</v>
      </c>
      <c r="BD1159" s="239" t="str">
        <f t="shared" si="333"/>
        <v>Gases de efeito estufasigla/verbete</v>
      </c>
    </row>
    <row r="1160" spans="1:56" s="1" customFormat="1" ht="61.5" customHeight="1" x14ac:dyDescent="0.25">
      <c r="A1160" s="262" t="str">
        <f>'Q100b-totais'!B56</f>
        <v>8.4</v>
      </c>
      <c r="B1160" s="252" t="str">
        <f>'Q100b-totais'!C56</f>
        <v>Táxi</v>
      </c>
      <c r="C1160" s="167" t="s">
        <v>432</v>
      </c>
      <c r="D1160" s="323" t="s">
        <v>745</v>
      </c>
      <c r="E1160" s="1496" t="s">
        <v>1298</v>
      </c>
      <c r="F1160" s="24" t="s">
        <v>3049</v>
      </c>
      <c r="G1160" s="57" t="s">
        <v>3507</v>
      </c>
      <c r="H1160" s="57" t="s">
        <v>2408</v>
      </c>
      <c r="I1160" s="167" t="s">
        <v>432</v>
      </c>
      <c r="J1160" s="109" t="s">
        <v>432</v>
      </c>
      <c r="K1160" s="109" t="s">
        <v>432</v>
      </c>
      <c r="L1160" s="109" t="s">
        <v>432</v>
      </c>
      <c r="M1160" s="109" t="s">
        <v>432</v>
      </c>
      <c r="N1160" s="109" t="s">
        <v>432</v>
      </c>
      <c r="O1160" s="107" t="s">
        <v>432</v>
      </c>
      <c r="P1160" s="107" t="s">
        <v>432</v>
      </c>
      <c r="Q1160" s="107" t="s">
        <v>432</v>
      </c>
      <c r="R1160" s="107" t="s">
        <v>432</v>
      </c>
      <c r="S1160" s="109" t="s">
        <v>2209</v>
      </c>
      <c r="T1160" s="108" t="s">
        <v>432</v>
      </c>
      <c r="U1160" s="108" t="s">
        <v>432</v>
      </c>
      <c r="V1160" s="109" t="s">
        <v>2209</v>
      </c>
      <c r="W1160" s="108" t="s">
        <v>432</v>
      </c>
      <c r="X1160" s="108" t="s">
        <v>432</v>
      </c>
      <c r="Y1160" s="108" t="s">
        <v>432</v>
      </c>
      <c r="Z1160" s="108" t="s">
        <v>432</v>
      </c>
      <c r="AA1160" s="108" t="s">
        <v>432</v>
      </c>
      <c r="AB1160" s="108" t="s">
        <v>432</v>
      </c>
      <c r="AC1160" s="108" t="s">
        <v>432</v>
      </c>
      <c r="AD1160" s="108" t="s">
        <v>432</v>
      </c>
      <c r="AE1160" s="108" t="s">
        <v>432</v>
      </c>
      <c r="AF1160" s="108" t="s">
        <v>432</v>
      </c>
      <c r="AG1160" s="108" t="s">
        <v>432</v>
      </c>
      <c r="AH1160" s="108" t="s">
        <v>432</v>
      </c>
      <c r="AI1160" s="108" t="s">
        <v>432</v>
      </c>
      <c r="AJ1160" s="108" t="s">
        <v>432</v>
      </c>
      <c r="AK1160" s="137" t="s">
        <v>432</v>
      </c>
      <c r="AL1160" s="656" t="s">
        <v>432</v>
      </c>
      <c r="AM1160" s="137" t="s">
        <v>432</v>
      </c>
      <c r="AN1160" s="137" t="s">
        <v>432</v>
      </c>
      <c r="AO1160" s="137" t="s">
        <v>432</v>
      </c>
      <c r="AP1160" s="137" t="s">
        <v>432</v>
      </c>
      <c r="AQ1160" s="137" t="s">
        <v>432</v>
      </c>
      <c r="AR1160" s="137" t="s">
        <v>432</v>
      </c>
      <c r="AS1160" s="137" t="s">
        <v>432</v>
      </c>
      <c r="AT1160" s="137" t="s">
        <v>432</v>
      </c>
      <c r="AU1160" s="137" t="s">
        <v>432</v>
      </c>
      <c r="AV1160" s="137" t="s">
        <v>432</v>
      </c>
      <c r="AW1160" s="137" t="s">
        <v>432</v>
      </c>
      <c r="AX1160" s="137" t="s">
        <v>432</v>
      </c>
      <c r="AY1160" s="137" t="s">
        <v>432</v>
      </c>
      <c r="AZ1160" s="137" t="s">
        <v>432</v>
      </c>
      <c r="BA1160" s="137" t="s">
        <v>432</v>
      </c>
      <c r="BB1160" s="239" t="str">
        <f t="shared" si="331"/>
        <v>Táxix</v>
      </c>
      <c r="BC1160" s="239" t="str">
        <f t="shared" si="332"/>
        <v>Táxixsigla/verbete</v>
      </c>
      <c r="BD1160" s="239" t="str">
        <f t="shared" si="333"/>
        <v>Táxisigla/verbete</v>
      </c>
    </row>
    <row r="1161" spans="1:56" s="1" customFormat="1" ht="84" customHeight="1" x14ac:dyDescent="0.25">
      <c r="A1161" s="262" t="s">
        <v>432</v>
      </c>
      <c r="B1161" s="252" t="s">
        <v>742</v>
      </c>
      <c r="C1161" s="167" t="s">
        <v>432</v>
      </c>
      <c r="D1161" s="323" t="s">
        <v>3717</v>
      </c>
      <c r="E1161" s="1496" t="s">
        <v>2272</v>
      </c>
      <c r="F1161" s="24" t="s">
        <v>3720</v>
      </c>
      <c r="G1161" s="57" t="s">
        <v>3507</v>
      </c>
      <c r="H1161" s="57" t="s">
        <v>2408</v>
      </c>
      <c r="I1161" s="167" t="s">
        <v>432</v>
      </c>
      <c r="J1161" s="109" t="s">
        <v>432</v>
      </c>
      <c r="K1161" s="109" t="s">
        <v>432</v>
      </c>
      <c r="L1161" s="109" t="s">
        <v>432</v>
      </c>
      <c r="M1161" s="109" t="s">
        <v>432</v>
      </c>
      <c r="N1161" s="109" t="s">
        <v>432</v>
      </c>
      <c r="O1161" s="107" t="s">
        <v>432</v>
      </c>
      <c r="P1161" s="107" t="s">
        <v>432</v>
      </c>
      <c r="Q1161" s="107" t="s">
        <v>432</v>
      </c>
      <c r="R1161" s="107" t="s">
        <v>432</v>
      </c>
      <c r="S1161" s="109" t="s">
        <v>2209</v>
      </c>
      <c r="T1161" s="108" t="s">
        <v>432</v>
      </c>
      <c r="U1161" s="108" t="s">
        <v>432</v>
      </c>
      <c r="V1161" s="109" t="s">
        <v>2209</v>
      </c>
      <c r="W1161" s="108" t="s">
        <v>432</v>
      </c>
      <c r="X1161" s="108" t="s">
        <v>432</v>
      </c>
      <c r="Y1161" s="108" t="s">
        <v>432</v>
      </c>
      <c r="Z1161" s="108" t="s">
        <v>432</v>
      </c>
      <c r="AA1161" s="108" t="s">
        <v>432</v>
      </c>
      <c r="AB1161" s="108" t="s">
        <v>432</v>
      </c>
      <c r="AC1161" s="108" t="s">
        <v>432</v>
      </c>
      <c r="AD1161" s="108" t="s">
        <v>432</v>
      </c>
      <c r="AE1161" s="108" t="s">
        <v>432</v>
      </c>
      <c r="AF1161" s="108" t="s">
        <v>432</v>
      </c>
      <c r="AG1161" s="108" t="s">
        <v>432</v>
      </c>
      <c r="AH1161" s="108" t="s">
        <v>432</v>
      </c>
      <c r="AI1161" s="108" t="s">
        <v>432</v>
      </c>
      <c r="AJ1161" s="108" t="s">
        <v>432</v>
      </c>
      <c r="AK1161" s="137" t="s">
        <v>432</v>
      </c>
      <c r="AL1161" s="656" t="s">
        <v>432</v>
      </c>
      <c r="AM1161" s="137" t="s">
        <v>432</v>
      </c>
      <c r="AN1161" s="137" t="s">
        <v>432</v>
      </c>
      <c r="AO1161" s="137" t="s">
        <v>432</v>
      </c>
      <c r="AP1161" s="137" t="s">
        <v>432</v>
      </c>
      <c r="AQ1161" s="137" t="s">
        <v>432</v>
      </c>
      <c r="AR1161" s="137" t="s">
        <v>432</v>
      </c>
      <c r="AS1161" s="137" t="s">
        <v>432</v>
      </c>
      <c r="AT1161" s="137" t="s">
        <v>432</v>
      </c>
      <c r="AU1161" s="137" t="s">
        <v>432</v>
      </c>
      <c r="AV1161" s="137" t="s">
        <v>432</v>
      </c>
      <c r="AW1161" s="137" t="s">
        <v>432</v>
      </c>
      <c r="AX1161" s="137" t="s">
        <v>432</v>
      </c>
      <c r="AY1161" s="137" t="s">
        <v>432</v>
      </c>
      <c r="AZ1161" s="137" t="s">
        <v>432</v>
      </c>
      <c r="BA1161" s="137" t="s">
        <v>432</v>
      </c>
      <c r="BB1161" s="239" t="str">
        <f>B1161&amp;C1161</f>
        <v>geralx</v>
      </c>
      <c r="BC1161" s="239" t="str">
        <f>B1161&amp;C1161&amp;H1161</f>
        <v>geralxsigla/verbete</v>
      </c>
      <c r="BD1161" s="239" t="str">
        <f>B1161&amp;H1161</f>
        <v>geralsigla/verbete</v>
      </c>
    </row>
    <row r="1162" spans="1:56" s="1" customFormat="1" ht="75" customHeight="1" x14ac:dyDescent="0.25">
      <c r="A1162" s="262" t="s">
        <v>432</v>
      </c>
      <c r="B1162" s="252" t="s">
        <v>742</v>
      </c>
      <c r="C1162" s="167" t="s">
        <v>432</v>
      </c>
      <c r="D1162" s="1354" t="str">
        <f>atualiz_assinaturas!A51</f>
        <v>GLTC</v>
      </c>
      <c r="E1162" s="1356" t="str">
        <f>atualiz_assinaturas!B51</f>
        <v>x</v>
      </c>
      <c r="F1162" s="1172" t="str">
        <f>atualiz_assinaturas!C51</f>
        <v xml:space="preserve">verbete assinado por Guilherme Lara Camargos Tampieri
​gestor ambiental, membro do Movimento Nossa BH, BH em Ciclo, está diretor administrativo da UCB - União de Ciclistas do Brasil e conselheiro de Mobilidade Urbana de BH; enquanto ator social, acredita que o cidadão é capaz de participar da vida política e incidir na tomada de decisão dos gestor públicos, dentro e fora das esferas institucionais. </v>
      </c>
      <c r="G1162" s="57" t="s">
        <v>4516</v>
      </c>
      <c r="H1162" s="167" t="s">
        <v>4516</v>
      </c>
      <c r="I1162" s="167" t="s">
        <v>432</v>
      </c>
      <c r="J1162" s="109" t="s">
        <v>432</v>
      </c>
      <c r="K1162" s="109" t="s">
        <v>432</v>
      </c>
      <c r="L1162" s="109" t="s">
        <v>432</v>
      </c>
      <c r="M1162" s="109" t="s">
        <v>432</v>
      </c>
      <c r="N1162" s="109" t="s">
        <v>432</v>
      </c>
      <c r="O1162" s="107" t="s">
        <v>432</v>
      </c>
      <c r="P1162" s="107" t="s">
        <v>432</v>
      </c>
      <c r="Q1162" s="107" t="s">
        <v>432</v>
      </c>
      <c r="R1162" s="107" t="s">
        <v>432</v>
      </c>
      <c r="S1162" s="109" t="s">
        <v>2209</v>
      </c>
      <c r="T1162" s="108" t="s">
        <v>432</v>
      </c>
      <c r="U1162" s="108" t="s">
        <v>432</v>
      </c>
      <c r="V1162" s="109" t="s">
        <v>2209</v>
      </c>
      <c r="W1162" s="108" t="s">
        <v>432</v>
      </c>
      <c r="X1162" s="108" t="s">
        <v>432</v>
      </c>
      <c r="Y1162" s="108" t="s">
        <v>432</v>
      </c>
      <c r="Z1162" s="108" t="s">
        <v>432</v>
      </c>
      <c r="AA1162" s="108" t="s">
        <v>432</v>
      </c>
      <c r="AB1162" s="108" t="s">
        <v>432</v>
      </c>
      <c r="AC1162" s="108" t="s">
        <v>432</v>
      </c>
      <c r="AD1162" s="108" t="s">
        <v>432</v>
      </c>
      <c r="AE1162" s="108" t="s">
        <v>432</v>
      </c>
      <c r="AF1162" s="108" t="s">
        <v>432</v>
      </c>
      <c r="AG1162" s="108" t="s">
        <v>432</v>
      </c>
      <c r="AH1162" s="108" t="s">
        <v>432</v>
      </c>
      <c r="AI1162" s="108" t="s">
        <v>432</v>
      </c>
      <c r="AJ1162" s="108" t="s">
        <v>432</v>
      </c>
      <c r="AK1162" s="137" t="s">
        <v>432</v>
      </c>
      <c r="AL1162" s="656" t="s">
        <v>432</v>
      </c>
      <c r="AM1162" s="137" t="s">
        <v>432</v>
      </c>
      <c r="AN1162" s="137" t="s">
        <v>432</v>
      </c>
      <c r="AO1162" s="137" t="s">
        <v>432</v>
      </c>
      <c r="AP1162" s="137" t="s">
        <v>432</v>
      </c>
      <c r="AQ1162" s="137" t="s">
        <v>432</v>
      </c>
      <c r="AR1162" s="137" t="s">
        <v>432</v>
      </c>
      <c r="AS1162" s="137" t="s">
        <v>432</v>
      </c>
      <c r="AT1162" s="137" t="s">
        <v>432</v>
      </c>
      <c r="AU1162" s="137" t="s">
        <v>432</v>
      </c>
      <c r="AV1162" s="137" t="s">
        <v>432</v>
      </c>
      <c r="AW1162" s="137" t="s">
        <v>432</v>
      </c>
      <c r="AX1162" s="137" t="s">
        <v>432</v>
      </c>
      <c r="AY1162" s="137" t="s">
        <v>432</v>
      </c>
      <c r="AZ1162" s="137" t="s">
        <v>432</v>
      </c>
      <c r="BA1162" s="137" t="s">
        <v>432</v>
      </c>
      <c r="BB1162" s="239" t="str">
        <f>B1162&amp;C1162</f>
        <v>geralx</v>
      </c>
      <c r="BC1162" s="239" t="str">
        <f>B1162&amp;C1162&amp;H1162</f>
        <v>geralxassinatura</v>
      </c>
      <c r="BD1162" s="239" t="str">
        <f>B1162&amp;H1162</f>
        <v>geralassinatura</v>
      </c>
    </row>
    <row r="1163" spans="1:56" s="3" customFormat="1" ht="38.25" x14ac:dyDescent="0.25">
      <c r="A1163" s="262" t="str">
        <f>'Q100b-totais'!B22</f>
        <v>2.7</v>
      </c>
      <c r="B1163" s="252" t="str">
        <f>'Q100b-totais'!C22</f>
        <v>Outras cidades/regiões</v>
      </c>
      <c r="C1163" s="167" t="s">
        <v>743</v>
      </c>
      <c r="D1163" s="1323" t="s">
        <v>3029</v>
      </c>
      <c r="E1163" s="1499" t="s">
        <v>3029</v>
      </c>
      <c r="F1163" s="1327" t="s">
        <v>4240</v>
      </c>
      <c r="G1163" s="230" t="s">
        <v>3507</v>
      </c>
      <c r="H1163" s="167" t="s">
        <v>2408</v>
      </c>
      <c r="I1163" s="167" t="s">
        <v>432</v>
      </c>
      <c r="J1163" s="107" t="s">
        <v>432</v>
      </c>
      <c r="K1163" s="107" t="s">
        <v>432</v>
      </c>
      <c r="L1163" s="107" t="s">
        <v>432</v>
      </c>
      <c r="M1163" s="107" t="s">
        <v>432</v>
      </c>
      <c r="N1163" s="107" t="s">
        <v>432</v>
      </c>
      <c r="O1163" s="107" t="s">
        <v>432</v>
      </c>
      <c r="P1163" s="107" t="s">
        <v>432</v>
      </c>
      <c r="Q1163" s="107" t="s">
        <v>432</v>
      </c>
      <c r="R1163" s="107" t="s">
        <v>432</v>
      </c>
      <c r="S1163" s="109" t="s">
        <v>2209</v>
      </c>
      <c r="T1163" s="107" t="s">
        <v>432</v>
      </c>
      <c r="U1163" s="107" t="s">
        <v>432</v>
      </c>
      <c r="V1163" s="109" t="s">
        <v>2209</v>
      </c>
      <c r="W1163" s="107" t="s">
        <v>432</v>
      </c>
      <c r="X1163" s="107" t="s">
        <v>432</v>
      </c>
      <c r="Y1163" s="107" t="s">
        <v>432</v>
      </c>
      <c r="Z1163" s="107" t="s">
        <v>432</v>
      </c>
      <c r="AA1163" s="107" t="s">
        <v>432</v>
      </c>
      <c r="AB1163" s="107" t="s">
        <v>432</v>
      </c>
      <c r="AC1163" s="107" t="s">
        <v>432</v>
      </c>
      <c r="AD1163" s="107" t="s">
        <v>432</v>
      </c>
      <c r="AE1163" s="107" t="s">
        <v>432</v>
      </c>
      <c r="AF1163" s="107" t="s">
        <v>432</v>
      </c>
      <c r="AG1163" s="107" t="s">
        <v>432</v>
      </c>
      <c r="AH1163" s="107" t="s">
        <v>432</v>
      </c>
      <c r="AI1163" s="107" t="s">
        <v>432</v>
      </c>
      <c r="AJ1163" s="107" t="s">
        <v>432</v>
      </c>
      <c r="AK1163" s="107" t="s">
        <v>432</v>
      </c>
      <c r="AL1163" s="601" t="s">
        <v>432</v>
      </c>
      <c r="AM1163" s="137" t="s">
        <v>432</v>
      </c>
      <c r="AN1163" s="137" t="s">
        <v>432</v>
      </c>
      <c r="AO1163" s="137" t="s">
        <v>432</v>
      </c>
      <c r="AP1163" s="137" t="s">
        <v>432</v>
      </c>
      <c r="AQ1163" s="137" t="s">
        <v>432</v>
      </c>
      <c r="AR1163" s="137" t="s">
        <v>432</v>
      </c>
      <c r="AS1163" s="137" t="s">
        <v>432</v>
      </c>
      <c r="AT1163" s="137" t="s">
        <v>432</v>
      </c>
      <c r="AU1163" s="137" t="s">
        <v>432</v>
      </c>
      <c r="AV1163" s="137" t="s">
        <v>432</v>
      </c>
      <c r="AW1163" s="137" t="s">
        <v>432</v>
      </c>
      <c r="AX1163" s="137" t="s">
        <v>432</v>
      </c>
      <c r="AY1163" s="137" t="s">
        <v>432</v>
      </c>
      <c r="AZ1163" s="137" t="s">
        <v>432</v>
      </c>
      <c r="BA1163" s="137" t="s">
        <v>432</v>
      </c>
      <c r="BB1163" s="239" t="str">
        <f>B1163&amp;C1163</f>
        <v>Outras cidades/regiõesacessibilidade</v>
      </c>
      <c r="BC1163" s="239" t="str">
        <f>B1163&amp;C1163&amp;H1163</f>
        <v>Outras cidades/regiõesacessibilidadesigla/verbete</v>
      </c>
      <c r="BD1163" s="239" t="str">
        <f>B1163&amp;H1163</f>
        <v>Outras cidades/regiõessigla/verbete</v>
      </c>
    </row>
    <row r="1164" spans="1:56" s="373" customFormat="1" x14ac:dyDescent="0.25">
      <c r="A1164" s="383"/>
      <c r="B1164" s="384"/>
      <c r="C1164" s="384"/>
      <c r="D1164" s="719"/>
      <c r="E1164" s="1519"/>
      <c r="F1164" s="385"/>
      <c r="G1164" s="385"/>
      <c r="H1164" s="384"/>
      <c r="I1164" s="385"/>
      <c r="J1164" s="385"/>
      <c r="K1164" s="385"/>
      <c r="L1164" s="385"/>
      <c r="M1164" s="385"/>
      <c r="N1164" s="385"/>
      <c r="O1164" s="385"/>
      <c r="P1164" s="385"/>
      <c r="Q1164" s="385"/>
      <c r="R1164" s="385"/>
      <c r="S1164" s="385"/>
      <c r="T1164" s="385"/>
      <c r="U1164" s="385"/>
      <c r="V1164" s="385"/>
      <c r="W1164" s="385"/>
      <c r="X1164" s="385"/>
      <c r="Y1164" s="385"/>
      <c r="Z1164" s="385"/>
      <c r="AA1164" s="385"/>
      <c r="AB1164" s="385"/>
      <c r="AC1164" s="385"/>
      <c r="AD1164" s="385"/>
      <c r="AE1164" s="385"/>
      <c r="AF1164" s="385"/>
      <c r="AG1164" s="385"/>
      <c r="AH1164" s="385"/>
      <c r="AI1164" s="385"/>
      <c r="AJ1164" s="385"/>
      <c r="AK1164" s="397"/>
      <c r="AL1164" s="601"/>
      <c r="AM1164" s="387"/>
      <c r="AN1164" s="387"/>
      <c r="AO1164" s="387"/>
      <c r="AP1164" s="387"/>
      <c r="AQ1164" s="387"/>
      <c r="AR1164" s="387"/>
      <c r="AS1164" s="387"/>
      <c r="AT1164" s="387"/>
      <c r="AU1164" s="387"/>
      <c r="AV1164" s="387"/>
      <c r="AW1164" s="387"/>
      <c r="AX1164" s="387"/>
      <c r="AY1164" s="387"/>
      <c r="AZ1164" s="387"/>
      <c r="BA1164" s="387"/>
      <c r="BB1164" s="388"/>
      <c r="BC1164" s="388"/>
      <c r="BD1164" s="388"/>
    </row>
    <row r="1165" spans="1:56" s="1" customFormat="1" ht="98.25" customHeight="1" x14ac:dyDescent="0.25">
      <c r="A1165" s="275" t="str">
        <f>'Q100b-totais'!$B$12</f>
        <v>1.3</v>
      </c>
      <c r="B1165" s="1205" t="s">
        <v>826</v>
      </c>
      <c r="C1165" s="167" t="s">
        <v>743</v>
      </c>
      <c r="D1165" s="378" t="s">
        <v>970</v>
      </c>
      <c r="E1165" s="1494" t="s">
        <v>1306</v>
      </c>
      <c r="F1165" s="354" t="s">
        <v>1616</v>
      </c>
      <c r="G1165" s="111" t="s">
        <v>1112</v>
      </c>
      <c r="H1165" s="168" t="s">
        <v>432</v>
      </c>
      <c r="I1165" s="167">
        <v>1</v>
      </c>
      <c r="J1165" s="109" t="s">
        <v>432</v>
      </c>
      <c r="K1165" s="109" t="s">
        <v>432</v>
      </c>
      <c r="L1165" s="109" t="s">
        <v>432</v>
      </c>
      <c r="M1165" s="109" t="s">
        <v>432</v>
      </c>
      <c r="N1165" s="109" t="s">
        <v>432</v>
      </c>
      <c r="O1165" s="93" t="s">
        <v>432</v>
      </c>
      <c r="P1165" s="93" t="s">
        <v>432</v>
      </c>
      <c r="Q1165" s="93" t="s">
        <v>432</v>
      </c>
      <c r="R1165" s="93" t="s">
        <v>432</v>
      </c>
      <c r="S1165" s="109" t="s">
        <v>2209</v>
      </c>
      <c r="T1165" s="86">
        <v>2279</v>
      </c>
      <c r="U1165" s="93" t="s">
        <v>432</v>
      </c>
      <c r="V1165" s="109" t="s">
        <v>2209</v>
      </c>
      <c r="W1165" s="93" t="s">
        <v>432</v>
      </c>
      <c r="X1165" s="93" t="s">
        <v>432</v>
      </c>
      <c r="Y1165" s="93" t="s">
        <v>432</v>
      </c>
      <c r="Z1165" s="93" t="s">
        <v>432</v>
      </c>
      <c r="AA1165" s="93" t="s">
        <v>432</v>
      </c>
      <c r="AB1165" s="93" t="s">
        <v>432</v>
      </c>
      <c r="AC1165" s="93" t="s">
        <v>432</v>
      </c>
      <c r="AD1165" s="93" t="s">
        <v>432</v>
      </c>
      <c r="AE1165" s="93" t="s">
        <v>432</v>
      </c>
      <c r="AF1165" s="93" t="s">
        <v>432</v>
      </c>
      <c r="AG1165" s="93" t="s">
        <v>432</v>
      </c>
      <c r="AH1165" s="93" t="s">
        <v>432</v>
      </c>
      <c r="AI1165" s="93" t="s">
        <v>432</v>
      </c>
      <c r="AJ1165" s="93" t="s">
        <v>432</v>
      </c>
      <c r="AK1165" s="20">
        <f>AK1166+AK1167+AK1168+AK1169</f>
        <v>3424</v>
      </c>
      <c r="AL1165" s="601" t="s">
        <v>432</v>
      </c>
      <c r="AM1165" s="137" t="s">
        <v>432</v>
      </c>
      <c r="AN1165" s="137" t="s">
        <v>432</v>
      </c>
      <c r="AO1165" s="137" t="s">
        <v>432</v>
      </c>
      <c r="AP1165" s="137" t="s">
        <v>432</v>
      </c>
      <c r="AQ1165" s="137" t="s">
        <v>432</v>
      </c>
      <c r="AR1165" s="137" t="s">
        <v>432</v>
      </c>
      <c r="AS1165" s="137" t="s">
        <v>432</v>
      </c>
      <c r="AT1165" s="137" t="s">
        <v>432</v>
      </c>
      <c r="AU1165" s="137" t="s">
        <v>432</v>
      </c>
      <c r="AV1165" s="137" t="s">
        <v>432</v>
      </c>
      <c r="AW1165" s="137" t="s">
        <v>432</v>
      </c>
      <c r="AX1165" s="137" t="s">
        <v>432</v>
      </c>
      <c r="AY1165" s="137" t="s">
        <v>432</v>
      </c>
      <c r="AZ1165" s="137" t="s">
        <v>432</v>
      </c>
      <c r="BA1165" s="137" t="s">
        <v>432</v>
      </c>
      <c r="BB1165" s="239" t="str">
        <f t="shared" si="331"/>
        <v>Gratuidades e descontosacessibilidade</v>
      </c>
      <c r="BC1165" s="239" t="str">
        <f t="shared" si="332"/>
        <v>Gratuidades e descontosacessibilidadex</v>
      </c>
      <c r="BD1165" s="239" t="str">
        <f t="shared" si="333"/>
        <v>Gratuidades e descontosx</v>
      </c>
    </row>
    <row r="1166" spans="1:56" s="1" customFormat="1" ht="25.5" x14ac:dyDescent="0.25">
      <c r="A1166" s="275" t="str">
        <f>'Q100b-totais'!$B$12</f>
        <v>1.3</v>
      </c>
      <c r="B1166" s="54" t="s">
        <v>826</v>
      </c>
      <c r="C1166" s="167" t="s">
        <v>743</v>
      </c>
      <c r="D1166" s="323" t="s">
        <v>1108</v>
      </c>
      <c r="E1166" s="1491" t="s">
        <v>1306</v>
      </c>
      <c r="F1166" s="24" t="s">
        <v>1621</v>
      </c>
      <c r="G1166" s="110" t="s">
        <v>77</v>
      </c>
      <c r="H1166" s="168" t="s">
        <v>432</v>
      </c>
      <c r="I1166" s="167">
        <v>1</v>
      </c>
      <c r="J1166" s="109" t="s">
        <v>432</v>
      </c>
      <c r="K1166" s="109" t="s">
        <v>432</v>
      </c>
      <c r="L1166" s="109" t="s">
        <v>432</v>
      </c>
      <c r="M1166" s="109" t="s">
        <v>432</v>
      </c>
      <c r="N1166" s="109" t="s">
        <v>432</v>
      </c>
      <c r="O1166" s="93" t="s">
        <v>432</v>
      </c>
      <c r="P1166" s="93" t="s">
        <v>432</v>
      </c>
      <c r="Q1166" s="93" t="s">
        <v>432</v>
      </c>
      <c r="R1166" s="93" t="s">
        <v>432</v>
      </c>
      <c r="S1166" s="109" t="s">
        <v>2209</v>
      </c>
      <c r="T1166" s="93" t="s">
        <v>432</v>
      </c>
      <c r="U1166" s="93" t="s">
        <v>432</v>
      </c>
      <c r="V1166" s="109" t="s">
        <v>2209</v>
      </c>
      <c r="W1166" s="93" t="s">
        <v>432</v>
      </c>
      <c r="X1166" s="93" t="s">
        <v>432</v>
      </c>
      <c r="Y1166" s="93" t="s">
        <v>432</v>
      </c>
      <c r="Z1166" s="93" t="s">
        <v>432</v>
      </c>
      <c r="AA1166" s="93" t="s">
        <v>432</v>
      </c>
      <c r="AB1166" s="93" t="s">
        <v>432</v>
      </c>
      <c r="AC1166" s="93" t="s">
        <v>432</v>
      </c>
      <c r="AD1166" s="93" t="s">
        <v>432</v>
      </c>
      <c r="AE1166" s="93" t="s">
        <v>432</v>
      </c>
      <c r="AF1166" s="93" t="s">
        <v>432</v>
      </c>
      <c r="AG1166" s="93" t="s">
        <v>432</v>
      </c>
      <c r="AH1166" s="93" t="s">
        <v>432</v>
      </c>
      <c r="AI1166" s="93" t="s">
        <v>432</v>
      </c>
      <c r="AJ1166" s="93" t="s">
        <v>432</v>
      </c>
      <c r="AK1166" s="87">
        <v>609</v>
      </c>
      <c r="AL1166" s="601" t="s">
        <v>432</v>
      </c>
      <c r="AM1166" s="137" t="s">
        <v>432</v>
      </c>
      <c r="AN1166" s="137" t="s">
        <v>432</v>
      </c>
      <c r="AO1166" s="137" t="s">
        <v>432</v>
      </c>
      <c r="AP1166" s="137" t="s">
        <v>432</v>
      </c>
      <c r="AQ1166" s="137" t="s">
        <v>432</v>
      </c>
      <c r="AR1166" s="137" t="s">
        <v>432</v>
      </c>
      <c r="AS1166" s="137" t="s">
        <v>432</v>
      </c>
      <c r="AT1166" s="137" t="s">
        <v>432</v>
      </c>
      <c r="AU1166" s="137" t="s">
        <v>432</v>
      </c>
      <c r="AV1166" s="137" t="s">
        <v>432</v>
      </c>
      <c r="AW1166" s="137" t="s">
        <v>432</v>
      </c>
      <c r="AX1166" s="137" t="s">
        <v>432</v>
      </c>
      <c r="AY1166" s="137" t="s">
        <v>432</v>
      </c>
      <c r="AZ1166" s="137" t="s">
        <v>432</v>
      </c>
      <c r="BA1166" s="137" t="s">
        <v>432</v>
      </c>
      <c r="BB1166" s="239" t="str">
        <f t="shared" si="331"/>
        <v>Gratuidades e descontosacessibilidade</v>
      </c>
      <c r="BC1166" s="239" t="str">
        <f t="shared" si="332"/>
        <v>Gratuidades e descontosacessibilidadex</v>
      </c>
      <c r="BD1166" s="239" t="str">
        <f t="shared" si="333"/>
        <v>Gratuidades e descontosx</v>
      </c>
    </row>
    <row r="1167" spans="1:56" s="1" customFormat="1" ht="25.5" x14ac:dyDescent="0.25">
      <c r="A1167" s="275" t="str">
        <f>'Q100b-totais'!$B$12</f>
        <v>1.3</v>
      </c>
      <c r="B1167" s="54" t="s">
        <v>826</v>
      </c>
      <c r="C1167" s="167" t="s">
        <v>743</v>
      </c>
      <c r="D1167" s="323" t="s">
        <v>1109</v>
      </c>
      <c r="E1167" s="1491" t="s">
        <v>1306</v>
      </c>
      <c r="F1167" s="24" t="s">
        <v>1622</v>
      </c>
      <c r="G1167" s="110" t="s">
        <v>77</v>
      </c>
      <c r="H1167" s="168" t="s">
        <v>432</v>
      </c>
      <c r="I1167" s="167">
        <v>1</v>
      </c>
      <c r="J1167" s="109" t="s">
        <v>432</v>
      </c>
      <c r="K1167" s="109" t="s">
        <v>432</v>
      </c>
      <c r="L1167" s="109" t="s">
        <v>432</v>
      </c>
      <c r="M1167" s="109" t="s">
        <v>432</v>
      </c>
      <c r="N1167" s="109" t="s">
        <v>432</v>
      </c>
      <c r="O1167" s="93" t="s">
        <v>432</v>
      </c>
      <c r="P1167" s="93" t="s">
        <v>432</v>
      </c>
      <c r="Q1167" s="93" t="s">
        <v>432</v>
      </c>
      <c r="R1167" s="93" t="s">
        <v>432</v>
      </c>
      <c r="S1167" s="109" t="s">
        <v>2209</v>
      </c>
      <c r="T1167" s="93" t="s">
        <v>432</v>
      </c>
      <c r="U1167" s="93" t="s">
        <v>432</v>
      </c>
      <c r="V1167" s="109" t="s">
        <v>2209</v>
      </c>
      <c r="W1167" s="93" t="s">
        <v>432</v>
      </c>
      <c r="X1167" s="93" t="s">
        <v>432</v>
      </c>
      <c r="Y1167" s="93" t="s">
        <v>432</v>
      </c>
      <c r="Z1167" s="93" t="s">
        <v>432</v>
      </c>
      <c r="AA1167" s="93" t="s">
        <v>432</v>
      </c>
      <c r="AB1167" s="93" t="s">
        <v>432</v>
      </c>
      <c r="AC1167" s="93" t="s">
        <v>432</v>
      </c>
      <c r="AD1167" s="93" t="s">
        <v>432</v>
      </c>
      <c r="AE1167" s="93" t="s">
        <v>432</v>
      </c>
      <c r="AF1167" s="93" t="s">
        <v>432</v>
      </c>
      <c r="AG1167" s="93" t="s">
        <v>432</v>
      </c>
      <c r="AH1167" s="93" t="s">
        <v>432</v>
      </c>
      <c r="AI1167" s="93" t="s">
        <v>432</v>
      </c>
      <c r="AJ1167" s="93" t="s">
        <v>432</v>
      </c>
      <c r="AK1167" s="87">
        <v>2798</v>
      </c>
      <c r="AL1167" s="601" t="s">
        <v>432</v>
      </c>
      <c r="AM1167" s="137" t="s">
        <v>432</v>
      </c>
      <c r="AN1167" s="137" t="s">
        <v>432</v>
      </c>
      <c r="AO1167" s="137" t="s">
        <v>432</v>
      </c>
      <c r="AP1167" s="137" t="s">
        <v>432</v>
      </c>
      <c r="AQ1167" s="137" t="s">
        <v>432</v>
      </c>
      <c r="AR1167" s="137" t="s">
        <v>432</v>
      </c>
      <c r="AS1167" s="137" t="s">
        <v>432</v>
      </c>
      <c r="AT1167" s="137" t="s">
        <v>432</v>
      </c>
      <c r="AU1167" s="137" t="s">
        <v>432</v>
      </c>
      <c r="AV1167" s="137" t="s">
        <v>432</v>
      </c>
      <c r="AW1167" s="137" t="s">
        <v>432</v>
      </c>
      <c r="AX1167" s="137" t="s">
        <v>432</v>
      </c>
      <c r="AY1167" s="137" t="s">
        <v>432</v>
      </c>
      <c r="AZ1167" s="137" t="s">
        <v>432</v>
      </c>
      <c r="BA1167" s="137" t="s">
        <v>432</v>
      </c>
      <c r="BB1167" s="239" t="str">
        <f t="shared" si="331"/>
        <v>Gratuidades e descontosacessibilidade</v>
      </c>
      <c r="BC1167" s="239" t="str">
        <f t="shared" si="332"/>
        <v>Gratuidades e descontosacessibilidadex</v>
      </c>
      <c r="BD1167" s="239" t="str">
        <f t="shared" si="333"/>
        <v>Gratuidades e descontosx</v>
      </c>
    </row>
    <row r="1168" spans="1:56" s="1" customFormat="1" ht="25.5" x14ac:dyDescent="0.25">
      <c r="A1168" s="275" t="str">
        <f>'Q100b-totais'!$B$12</f>
        <v>1.3</v>
      </c>
      <c r="B1168" s="54" t="s">
        <v>826</v>
      </c>
      <c r="C1168" s="167" t="s">
        <v>743</v>
      </c>
      <c r="D1168" s="323" t="s">
        <v>1110</v>
      </c>
      <c r="E1168" s="1491" t="s">
        <v>1306</v>
      </c>
      <c r="F1168" s="24" t="s">
        <v>1623</v>
      </c>
      <c r="G1168" s="110" t="s">
        <v>77</v>
      </c>
      <c r="H1168" s="168" t="s">
        <v>432</v>
      </c>
      <c r="I1168" s="167">
        <v>1</v>
      </c>
      <c r="J1168" s="109" t="s">
        <v>432</v>
      </c>
      <c r="K1168" s="109" t="s">
        <v>432</v>
      </c>
      <c r="L1168" s="109" t="s">
        <v>432</v>
      </c>
      <c r="M1168" s="109" t="s">
        <v>432</v>
      </c>
      <c r="N1168" s="109" t="s">
        <v>432</v>
      </c>
      <c r="O1168" s="93" t="s">
        <v>432</v>
      </c>
      <c r="P1168" s="93" t="s">
        <v>432</v>
      </c>
      <c r="Q1168" s="93" t="s">
        <v>432</v>
      </c>
      <c r="R1168" s="93" t="s">
        <v>432</v>
      </c>
      <c r="S1168" s="109" t="s">
        <v>2209</v>
      </c>
      <c r="T1168" s="93" t="s">
        <v>432</v>
      </c>
      <c r="U1168" s="93" t="s">
        <v>432</v>
      </c>
      <c r="V1168" s="109" t="s">
        <v>2209</v>
      </c>
      <c r="W1168" s="93" t="s">
        <v>432</v>
      </c>
      <c r="X1168" s="93" t="s">
        <v>432</v>
      </c>
      <c r="Y1168" s="93" t="s">
        <v>432</v>
      </c>
      <c r="Z1168" s="93" t="s">
        <v>432</v>
      </c>
      <c r="AA1168" s="93" t="s">
        <v>432</v>
      </c>
      <c r="AB1168" s="93" t="s">
        <v>432</v>
      </c>
      <c r="AC1168" s="93" t="s">
        <v>432</v>
      </c>
      <c r="AD1168" s="93" t="s">
        <v>432</v>
      </c>
      <c r="AE1168" s="93" t="s">
        <v>432</v>
      </c>
      <c r="AF1168" s="93" t="s">
        <v>432</v>
      </c>
      <c r="AG1168" s="93" t="s">
        <v>432</v>
      </c>
      <c r="AH1168" s="93" t="s">
        <v>432</v>
      </c>
      <c r="AI1168" s="93" t="s">
        <v>432</v>
      </c>
      <c r="AJ1168" s="93" t="s">
        <v>432</v>
      </c>
      <c r="AK1168" s="87">
        <v>11</v>
      </c>
      <c r="AL1168" s="601" t="s">
        <v>432</v>
      </c>
      <c r="AM1168" s="137" t="s">
        <v>432</v>
      </c>
      <c r="AN1168" s="137" t="s">
        <v>432</v>
      </c>
      <c r="AO1168" s="137" t="s">
        <v>432</v>
      </c>
      <c r="AP1168" s="137" t="s">
        <v>432</v>
      </c>
      <c r="AQ1168" s="137" t="s">
        <v>432</v>
      </c>
      <c r="AR1168" s="137" t="s">
        <v>432</v>
      </c>
      <c r="AS1168" s="137" t="s">
        <v>432</v>
      </c>
      <c r="AT1168" s="137" t="s">
        <v>432</v>
      </c>
      <c r="AU1168" s="137" t="s">
        <v>432</v>
      </c>
      <c r="AV1168" s="137" t="s">
        <v>432</v>
      </c>
      <c r="AW1168" s="137" t="s">
        <v>432</v>
      </c>
      <c r="AX1168" s="137" t="s">
        <v>432</v>
      </c>
      <c r="AY1168" s="137" t="s">
        <v>432</v>
      </c>
      <c r="AZ1168" s="137" t="s">
        <v>432</v>
      </c>
      <c r="BA1168" s="137" t="s">
        <v>432</v>
      </c>
      <c r="BB1168" s="239" t="str">
        <f t="shared" si="331"/>
        <v>Gratuidades e descontosacessibilidade</v>
      </c>
      <c r="BC1168" s="239" t="str">
        <f t="shared" si="332"/>
        <v>Gratuidades e descontosacessibilidadex</v>
      </c>
      <c r="BD1168" s="239" t="str">
        <f t="shared" si="333"/>
        <v>Gratuidades e descontosx</v>
      </c>
    </row>
    <row r="1169" spans="1:56" s="1" customFormat="1" ht="25.5" x14ac:dyDescent="0.25">
      <c r="A1169" s="275" t="str">
        <f>'Q100b-totais'!$B$12</f>
        <v>1.3</v>
      </c>
      <c r="B1169" s="54" t="s">
        <v>826</v>
      </c>
      <c r="C1169" s="167" t="s">
        <v>743</v>
      </c>
      <c r="D1169" s="323" t="s">
        <v>1111</v>
      </c>
      <c r="E1169" s="1491" t="s">
        <v>1306</v>
      </c>
      <c r="F1169" s="24" t="s">
        <v>1624</v>
      </c>
      <c r="G1169" s="110" t="s">
        <v>77</v>
      </c>
      <c r="H1169" s="168" t="s">
        <v>432</v>
      </c>
      <c r="I1169" s="167">
        <v>1</v>
      </c>
      <c r="J1169" s="109" t="s">
        <v>432</v>
      </c>
      <c r="K1169" s="109" t="s">
        <v>432</v>
      </c>
      <c r="L1169" s="109" t="s">
        <v>432</v>
      </c>
      <c r="M1169" s="109" t="s">
        <v>432</v>
      </c>
      <c r="N1169" s="109" t="s">
        <v>432</v>
      </c>
      <c r="O1169" s="93" t="s">
        <v>432</v>
      </c>
      <c r="P1169" s="93" t="s">
        <v>432</v>
      </c>
      <c r="Q1169" s="93" t="s">
        <v>432</v>
      </c>
      <c r="R1169" s="93" t="s">
        <v>432</v>
      </c>
      <c r="S1169" s="109" t="s">
        <v>2209</v>
      </c>
      <c r="T1169" s="93" t="s">
        <v>432</v>
      </c>
      <c r="U1169" s="93" t="s">
        <v>432</v>
      </c>
      <c r="V1169" s="109" t="s">
        <v>2209</v>
      </c>
      <c r="W1169" s="93" t="s">
        <v>432</v>
      </c>
      <c r="X1169" s="93" t="s">
        <v>432</v>
      </c>
      <c r="Y1169" s="93" t="s">
        <v>432</v>
      </c>
      <c r="Z1169" s="93" t="s">
        <v>432</v>
      </c>
      <c r="AA1169" s="93" t="s">
        <v>432</v>
      </c>
      <c r="AB1169" s="93" t="s">
        <v>432</v>
      </c>
      <c r="AC1169" s="93" t="s">
        <v>432</v>
      </c>
      <c r="AD1169" s="93" t="s">
        <v>432</v>
      </c>
      <c r="AE1169" s="93" t="s">
        <v>432</v>
      </c>
      <c r="AF1169" s="93" t="s">
        <v>432</v>
      </c>
      <c r="AG1169" s="93" t="s">
        <v>432</v>
      </c>
      <c r="AH1169" s="93" t="s">
        <v>432</v>
      </c>
      <c r="AI1169" s="93" t="s">
        <v>432</v>
      </c>
      <c r="AJ1169" s="93" t="s">
        <v>432</v>
      </c>
      <c r="AK1169" s="87">
        <v>6</v>
      </c>
      <c r="AL1169" s="601" t="s">
        <v>432</v>
      </c>
      <c r="AM1169" s="137" t="s">
        <v>432</v>
      </c>
      <c r="AN1169" s="137" t="s">
        <v>432</v>
      </c>
      <c r="AO1169" s="137" t="s">
        <v>432</v>
      </c>
      <c r="AP1169" s="137" t="s">
        <v>432</v>
      </c>
      <c r="AQ1169" s="137" t="s">
        <v>432</v>
      </c>
      <c r="AR1169" s="137" t="s">
        <v>432</v>
      </c>
      <c r="AS1169" s="137" t="s">
        <v>432</v>
      </c>
      <c r="AT1169" s="137" t="s">
        <v>432</v>
      </c>
      <c r="AU1169" s="137" t="s">
        <v>432</v>
      </c>
      <c r="AV1169" s="137" t="s">
        <v>432</v>
      </c>
      <c r="AW1169" s="137" t="s">
        <v>432</v>
      </c>
      <c r="AX1169" s="137" t="s">
        <v>432</v>
      </c>
      <c r="AY1169" s="137" t="s">
        <v>432</v>
      </c>
      <c r="AZ1169" s="137" t="s">
        <v>432</v>
      </c>
      <c r="BA1169" s="137" t="s">
        <v>432</v>
      </c>
      <c r="BB1169" s="239" t="str">
        <f t="shared" si="331"/>
        <v>Gratuidades e descontosacessibilidade</v>
      </c>
      <c r="BC1169" s="239" t="str">
        <f t="shared" si="332"/>
        <v>Gratuidades e descontosacessibilidadex</v>
      </c>
      <c r="BD1169" s="239" t="str">
        <f t="shared" si="333"/>
        <v>Gratuidades e descontosx</v>
      </c>
    </row>
    <row r="1170" spans="1:56" s="1" customFormat="1" ht="97.5" customHeight="1" x14ac:dyDescent="0.25">
      <c r="A1170" s="275" t="str">
        <f>'Q100b-totais'!$B$12</f>
        <v>1.3</v>
      </c>
      <c r="B1170" s="54" t="s">
        <v>826</v>
      </c>
      <c r="C1170" s="167" t="s">
        <v>743</v>
      </c>
      <c r="D1170" s="378" t="s">
        <v>971</v>
      </c>
      <c r="E1170" s="1494" t="s">
        <v>1306</v>
      </c>
      <c r="F1170" s="354" t="s">
        <v>1617</v>
      </c>
      <c r="G1170" s="111" t="s">
        <v>1327</v>
      </c>
      <c r="H1170" s="168" t="s">
        <v>432</v>
      </c>
      <c r="I1170" s="167">
        <v>1</v>
      </c>
      <c r="J1170" s="109" t="s">
        <v>432</v>
      </c>
      <c r="K1170" s="109" t="s">
        <v>432</v>
      </c>
      <c r="L1170" s="109" t="s">
        <v>432</v>
      </c>
      <c r="M1170" s="109" t="s">
        <v>432</v>
      </c>
      <c r="N1170" s="109" t="s">
        <v>432</v>
      </c>
      <c r="O1170" s="93" t="s">
        <v>432</v>
      </c>
      <c r="P1170" s="93" t="s">
        <v>432</v>
      </c>
      <c r="Q1170" s="93" t="s">
        <v>432</v>
      </c>
      <c r="R1170" s="93" t="s">
        <v>432</v>
      </c>
      <c r="S1170" s="109" t="s">
        <v>2209</v>
      </c>
      <c r="T1170" s="86">
        <v>14680</v>
      </c>
      <c r="U1170" s="93" t="s">
        <v>432</v>
      </c>
      <c r="V1170" s="109" t="s">
        <v>2209</v>
      </c>
      <c r="W1170" s="93" t="s">
        <v>432</v>
      </c>
      <c r="X1170" s="93" t="s">
        <v>432</v>
      </c>
      <c r="Y1170" s="93" t="s">
        <v>432</v>
      </c>
      <c r="Z1170" s="93" t="s">
        <v>432</v>
      </c>
      <c r="AA1170" s="93" t="s">
        <v>432</v>
      </c>
      <c r="AB1170" s="93" t="s">
        <v>432</v>
      </c>
      <c r="AC1170" s="93" t="s">
        <v>432</v>
      </c>
      <c r="AD1170" s="93" t="s">
        <v>432</v>
      </c>
      <c r="AE1170" s="93" t="s">
        <v>432</v>
      </c>
      <c r="AF1170" s="93" t="s">
        <v>432</v>
      </c>
      <c r="AG1170" s="93" t="s">
        <v>432</v>
      </c>
      <c r="AH1170" s="93" t="s">
        <v>432</v>
      </c>
      <c r="AI1170" s="93" t="s">
        <v>432</v>
      </c>
      <c r="AJ1170" s="93" t="s">
        <v>432</v>
      </c>
      <c r="AK1170" s="20">
        <f>AK1171+AK1172+AK1173+AK1174</f>
        <v>11648</v>
      </c>
      <c r="AL1170" s="601" t="s">
        <v>432</v>
      </c>
      <c r="AM1170" s="137" t="s">
        <v>432</v>
      </c>
      <c r="AN1170" s="137" t="s">
        <v>432</v>
      </c>
      <c r="AO1170" s="137" t="s">
        <v>432</v>
      </c>
      <c r="AP1170" s="137" t="s">
        <v>432</v>
      </c>
      <c r="AQ1170" s="137" t="s">
        <v>432</v>
      </c>
      <c r="AR1170" s="137" t="s">
        <v>432</v>
      </c>
      <c r="AS1170" s="137" t="s">
        <v>432</v>
      </c>
      <c r="AT1170" s="137" t="s">
        <v>432</v>
      </c>
      <c r="AU1170" s="137" t="s">
        <v>432</v>
      </c>
      <c r="AV1170" s="137" t="s">
        <v>432</v>
      </c>
      <c r="AW1170" s="137" t="s">
        <v>432</v>
      </c>
      <c r="AX1170" s="137" t="s">
        <v>432</v>
      </c>
      <c r="AY1170" s="137" t="s">
        <v>432</v>
      </c>
      <c r="AZ1170" s="137" t="s">
        <v>432</v>
      </c>
      <c r="BA1170" s="137" t="s">
        <v>432</v>
      </c>
      <c r="BB1170" s="239" t="str">
        <f t="shared" si="331"/>
        <v>Gratuidades e descontosacessibilidade</v>
      </c>
      <c r="BC1170" s="239" t="str">
        <f t="shared" si="332"/>
        <v>Gratuidades e descontosacessibilidadex</v>
      </c>
      <c r="BD1170" s="239" t="str">
        <f t="shared" si="333"/>
        <v>Gratuidades e descontosx</v>
      </c>
    </row>
    <row r="1171" spans="1:56" s="1" customFormat="1" ht="25.5" x14ac:dyDescent="0.25">
      <c r="A1171" s="275" t="str">
        <f>'Q100b-totais'!$B$12</f>
        <v>1.3</v>
      </c>
      <c r="B1171" s="54" t="s">
        <v>826</v>
      </c>
      <c r="C1171" s="167" t="s">
        <v>743</v>
      </c>
      <c r="D1171" s="323" t="s">
        <v>1113</v>
      </c>
      <c r="E1171" s="1491" t="s">
        <v>1306</v>
      </c>
      <c r="F1171" s="24" t="s">
        <v>1625</v>
      </c>
      <c r="G1171" s="110" t="s">
        <v>77</v>
      </c>
      <c r="H1171" s="168" t="s">
        <v>432</v>
      </c>
      <c r="I1171" s="167">
        <v>1</v>
      </c>
      <c r="J1171" s="109" t="s">
        <v>432</v>
      </c>
      <c r="K1171" s="109" t="s">
        <v>432</v>
      </c>
      <c r="L1171" s="109" t="s">
        <v>432</v>
      </c>
      <c r="M1171" s="109" t="s">
        <v>432</v>
      </c>
      <c r="N1171" s="109" t="s">
        <v>432</v>
      </c>
      <c r="O1171" s="93" t="s">
        <v>432</v>
      </c>
      <c r="P1171" s="93" t="s">
        <v>432</v>
      </c>
      <c r="Q1171" s="93" t="s">
        <v>432</v>
      </c>
      <c r="R1171" s="93" t="s">
        <v>432</v>
      </c>
      <c r="S1171" s="109" t="s">
        <v>2209</v>
      </c>
      <c r="T1171" s="93" t="s">
        <v>432</v>
      </c>
      <c r="U1171" s="93" t="s">
        <v>432</v>
      </c>
      <c r="V1171" s="109" t="s">
        <v>2209</v>
      </c>
      <c r="W1171" s="93" t="s">
        <v>432</v>
      </c>
      <c r="X1171" s="93" t="s">
        <v>432</v>
      </c>
      <c r="Y1171" s="93" t="s">
        <v>432</v>
      </c>
      <c r="Z1171" s="93" t="s">
        <v>432</v>
      </c>
      <c r="AA1171" s="93" t="s">
        <v>432</v>
      </c>
      <c r="AB1171" s="93" t="s">
        <v>432</v>
      </c>
      <c r="AC1171" s="93" t="s">
        <v>432</v>
      </c>
      <c r="AD1171" s="93" t="s">
        <v>432</v>
      </c>
      <c r="AE1171" s="93" t="s">
        <v>432</v>
      </c>
      <c r="AF1171" s="93" t="s">
        <v>432</v>
      </c>
      <c r="AG1171" s="93" t="s">
        <v>432</v>
      </c>
      <c r="AH1171" s="93" t="s">
        <v>432</v>
      </c>
      <c r="AI1171" s="93" t="s">
        <v>432</v>
      </c>
      <c r="AJ1171" s="93" t="s">
        <v>432</v>
      </c>
      <c r="AK1171" s="84">
        <v>678</v>
      </c>
      <c r="AL1171" s="601" t="s">
        <v>432</v>
      </c>
      <c r="AM1171" s="137" t="s">
        <v>432</v>
      </c>
      <c r="AN1171" s="137" t="s">
        <v>432</v>
      </c>
      <c r="AO1171" s="137" t="s">
        <v>432</v>
      </c>
      <c r="AP1171" s="137" t="s">
        <v>432</v>
      </c>
      <c r="AQ1171" s="137" t="s">
        <v>432</v>
      </c>
      <c r="AR1171" s="137" t="s">
        <v>432</v>
      </c>
      <c r="AS1171" s="137" t="s">
        <v>432</v>
      </c>
      <c r="AT1171" s="137" t="s">
        <v>432</v>
      </c>
      <c r="AU1171" s="137" t="s">
        <v>432</v>
      </c>
      <c r="AV1171" s="137" t="s">
        <v>432</v>
      </c>
      <c r="AW1171" s="137" t="s">
        <v>432</v>
      </c>
      <c r="AX1171" s="137" t="s">
        <v>432</v>
      </c>
      <c r="AY1171" s="137" t="s">
        <v>432</v>
      </c>
      <c r="AZ1171" s="137" t="s">
        <v>432</v>
      </c>
      <c r="BA1171" s="137" t="s">
        <v>432</v>
      </c>
      <c r="BB1171" s="239" t="str">
        <f t="shared" si="331"/>
        <v>Gratuidades e descontosacessibilidade</v>
      </c>
      <c r="BC1171" s="239" t="str">
        <f t="shared" si="332"/>
        <v>Gratuidades e descontosacessibilidadex</v>
      </c>
      <c r="BD1171" s="239" t="str">
        <f t="shared" si="333"/>
        <v>Gratuidades e descontosx</v>
      </c>
    </row>
    <row r="1172" spans="1:56" s="1" customFormat="1" ht="25.5" x14ac:dyDescent="0.25">
      <c r="A1172" s="275" t="str">
        <f>'Q100b-totais'!$B$12</f>
        <v>1.3</v>
      </c>
      <c r="B1172" s="54" t="s">
        <v>826</v>
      </c>
      <c r="C1172" s="167" t="s">
        <v>743</v>
      </c>
      <c r="D1172" s="323" t="s">
        <v>1114</v>
      </c>
      <c r="E1172" s="1491" t="s">
        <v>1306</v>
      </c>
      <c r="F1172" s="24" t="s">
        <v>1626</v>
      </c>
      <c r="G1172" s="110" t="s">
        <v>77</v>
      </c>
      <c r="H1172" s="168" t="s">
        <v>432</v>
      </c>
      <c r="I1172" s="167">
        <v>1</v>
      </c>
      <c r="J1172" s="109" t="s">
        <v>432</v>
      </c>
      <c r="K1172" s="109" t="s">
        <v>432</v>
      </c>
      <c r="L1172" s="109" t="s">
        <v>432</v>
      </c>
      <c r="M1172" s="109" t="s">
        <v>432</v>
      </c>
      <c r="N1172" s="109" t="s">
        <v>432</v>
      </c>
      <c r="O1172" s="93" t="s">
        <v>432</v>
      </c>
      <c r="P1172" s="93" t="s">
        <v>432</v>
      </c>
      <c r="Q1172" s="93" t="s">
        <v>432</v>
      </c>
      <c r="R1172" s="93" t="s">
        <v>432</v>
      </c>
      <c r="S1172" s="109" t="s">
        <v>2209</v>
      </c>
      <c r="T1172" s="93" t="s">
        <v>432</v>
      </c>
      <c r="U1172" s="93" t="s">
        <v>432</v>
      </c>
      <c r="V1172" s="109" t="s">
        <v>2209</v>
      </c>
      <c r="W1172" s="93" t="s">
        <v>432</v>
      </c>
      <c r="X1172" s="93" t="s">
        <v>432</v>
      </c>
      <c r="Y1172" s="93" t="s">
        <v>432</v>
      </c>
      <c r="Z1172" s="93" t="s">
        <v>432</v>
      </c>
      <c r="AA1172" s="93" t="s">
        <v>432</v>
      </c>
      <c r="AB1172" s="93" t="s">
        <v>432</v>
      </c>
      <c r="AC1172" s="93" t="s">
        <v>432</v>
      </c>
      <c r="AD1172" s="93" t="s">
        <v>432</v>
      </c>
      <c r="AE1172" s="93" t="s">
        <v>432</v>
      </c>
      <c r="AF1172" s="93" t="s">
        <v>432</v>
      </c>
      <c r="AG1172" s="93" t="s">
        <v>432</v>
      </c>
      <c r="AH1172" s="93" t="s">
        <v>432</v>
      </c>
      <c r="AI1172" s="93" t="s">
        <v>432</v>
      </c>
      <c r="AJ1172" s="93" t="s">
        <v>432</v>
      </c>
      <c r="AK1172" s="84">
        <v>3068</v>
      </c>
      <c r="AL1172" s="601" t="s">
        <v>432</v>
      </c>
      <c r="AM1172" s="137" t="s">
        <v>432</v>
      </c>
      <c r="AN1172" s="137" t="s">
        <v>432</v>
      </c>
      <c r="AO1172" s="137" t="s">
        <v>432</v>
      </c>
      <c r="AP1172" s="137" t="s">
        <v>432</v>
      </c>
      <c r="AQ1172" s="137" t="s">
        <v>432</v>
      </c>
      <c r="AR1172" s="137" t="s">
        <v>432</v>
      </c>
      <c r="AS1172" s="137" t="s">
        <v>432</v>
      </c>
      <c r="AT1172" s="137" t="s">
        <v>432</v>
      </c>
      <c r="AU1172" s="137" t="s">
        <v>432</v>
      </c>
      <c r="AV1172" s="137" t="s">
        <v>432</v>
      </c>
      <c r="AW1172" s="137" t="s">
        <v>432</v>
      </c>
      <c r="AX1172" s="137" t="s">
        <v>432</v>
      </c>
      <c r="AY1172" s="137" t="s">
        <v>432</v>
      </c>
      <c r="AZ1172" s="137" t="s">
        <v>432</v>
      </c>
      <c r="BA1172" s="137" t="s">
        <v>432</v>
      </c>
      <c r="BB1172" s="239" t="str">
        <f t="shared" si="331"/>
        <v>Gratuidades e descontosacessibilidade</v>
      </c>
      <c r="BC1172" s="239" t="str">
        <f t="shared" si="332"/>
        <v>Gratuidades e descontosacessibilidadex</v>
      </c>
      <c r="BD1172" s="239" t="str">
        <f t="shared" si="333"/>
        <v>Gratuidades e descontosx</v>
      </c>
    </row>
    <row r="1173" spans="1:56" s="1" customFormat="1" ht="25.5" x14ac:dyDescent="0.25">
      <c r="A1173" s="275" t="str">
        <f>'Q100b-totais'!$B$12</f>
        <v>1.3</v>
      </c>
      <c r="B1173" s="54" t="s">
        <v>826</v>
      </c>
      <c r="C1173" s="167" t="s">
        <v>743</v>
      </c>
      <c r="D1173" s="323" t="s">
        <v>1115</v>
      </c>
      <c r="E1173" s="1491" t="s">
        <v>1306</v>
      </c>
      <c r="F1173" s="24" t="s">
        <v>1627</v>
      </c>
      <c r="G1173" s="110" t="s">
        <v>77</v>
      </c>
      <c r="H1173" s="168" t="s">
        <v>432</v>
      </c>
      <c r="I1173" s="167">
        <v>1</v>
      </c>
      <c r="J1173" s="109" t="s">
        <v>432</v>
      </c>
      <c r="K1173" s="109" t="s">
        <v>432</v>
      </c>
      <c r="L1173" s="109" t="s">
        <v>432</v>
      </c>
      <c r="M1173" s="109" t="s">
        <v>432</v>
      </c>
      <c r="N1173" s="109" t="s">
        <v>432</v>
      </c>
      <c r="O1173" s="93" t="s">
        <v>432</v>
      </c>
      <c r="P1173" s="93" t="s">
        <v>432</v>
      </c>
      <c r="Q1173" s="93" t="s">
        <v>432</v>
      </c>
      <c r="R1173" s="93" t="s">
        <v>432</v>
      </c>
      <c r="S1173" s="109" t="s">
        <v>2209</v>
      </c>
      <c r="T1173" s="93" t="s">
        <v>432</v>
      </c>
      <c r="U1173" s="93" t="s">
        <v>432</v>
      </c>
      <c r="V1173" s="109" t="s">
        <v>2209</v>
      </c>
      <c r="W1173" s="93" t="s">
        <v>432</v>
      </c>
      <c r="X1173" s="93" t="s">
        <v>432</v>
      </c>
      <c r="Y1173" s="93" t="s">
        <v>432</v>
      </c>
      <c r="Z1173" s="93" t="s">
        <v>432</v>
      </c>
      <c r="AA1173" s="93" t="s">
        <v>432</v>
      </c>
      <c r="AB1173" s="93" t="s">
        <v>432</v>
      </c>
      <c r="AC1173" s="93" t="s">
        <v>432</v>
      </c>
      <c r="AD1173" s="93" t="s">
        <v>432</v>
      </c>
      <c r="AE1173" s="93" t="s">
        <v>432</v>
      </c>
      <c r="AF1173" s="93" t="s">
        <v>432</v>
      </c>
      <c r="AG1173" s="93" t="s">
        <v>432</v>
      </c>
      <c r="AH1173" s="93" t="s">
        <v>432</v>
      </c>
      <c r="AI1173" s="93" t="s">
        <v>432</v>
      </c>
      <c r="AJ1173" s="93" t="s">
        <v>432</v>
      </c>
      <c r="AK1173" s="84">
        <v>3096</v>
      </c>
      <c r="AL1173" s="601" t="s">
        <v>432</v>
      </c>
      <c r="AM1173" s="137" t="s">
        <v>432</v>
      </c>
      <c r="AN1173" s="137" t="s">
        <v>432</v>
      </c>
      <c r="AO1173" s="137" t="s">
        <v>432</v>
      </c>
      <c r="AP1173" s="137" t="s">
        <v>432</v>
      </c>
      <c r="AQ1173" s="137" t="s">
        <v>432</v>
      </c>
      <c r="AR1173" s="137" t="s">
        <v>432</v>
      </c>
      <c r="AS1173" s="137" t="s">
        <v>432</v>
      </c>
      <c r="AT1173" s="137" t="s">
        <v>432</v>
      </c>
      <c r="AU1173" s="137" t="s">
        <v>432</v>
      </c>
      <c r="AV1173" s="137" t="s">
        <v>432</v>
      </c>
      <c r="AW1173" s="137" t="s">
        <v>432</v>
      </c>
      <c r="AX1173" s="137" t="s">
        <v>432</v>
      </c>
      <c r="AY1173" s="137" t="s">
        <v>432</v>
      </c>
      <c r="AZ1173" s="137" t="s">
        <v>432</v>
      </c>
      <c r="BA1173" s="137" t="s">
        <v>432</v>
      </c>
      <c r="BB1173" s="239" t="str">
        <f t="shared" si="331"/>
        <v>Gratuidades e descontosacessibilidade</v>
      </c>
      <c r="BC1173" s="239" t="str">
        <f t="shared" si="332"/>
        <v>Gratuidades e descontosacessibilidadex</v>
      </c>
      <c r="BD1173" s="239" t="str">
        <f t="shared" si="333"/>
        <v>Gratuidades e descontosx</v>
      </c>
    </row>
    <row r="1174" spans="1:56" s="1" customFormat="1" ht="25.5" x14ac:dyDescent="0.25">
      <c r="A1174" s="275" t="str">
        <f>'Q100b-totais'!$B$12</f>
        <v>1.3</v>
      </c>
      <c r="B1174" s="54" t="s">
        <v>826</v>
      </c>
      <c r="C1174" s="167" t="s">
        <v>743</v>
      </c>
      <c r="D1174" s="323" t="s">
        <v>1116</v>
      </c>
      <c r="E1174" s="1491" t="s">
        <v>1306</v>
      </c>
      <c r="F1174" s="24" t="s">
        <v>1628</v>
      </c>
      <c r="G1174" s="110" t="s">
        <v>77</v>
      </c>
      <c r="H1174" s="168" t="s">
        <v>432</v>
      </c>
      <c r="I1174" s="167">
        <v>1</v>
      </c>
      <c r="J1174" s="109" t="s">
        <v>432</v>
      </c>
      <c r="K1174" s="109" t="s">
        <v>432</v>
      </c>
      <c r="L1174" s="109" t="s">
        <v>432</v>
      </c>
      <c r="M1174" s="109" t="s">
        <v>432</v>
      </c>
      <c r="N1174" s="109" t="s">
        <v>432</v>
      </c>
      <c r="O1174" s="93" t="s">
        <v>432</v>
      </c>
      <c r="P1174" s="93" t="s">
        <v>432</v>
      </c>
      <c r="Q1174" s="93" t="s">
        <v>432</v>
      </c>
      <c r="R1174" s="93" t="s">
        <v>432</v>
      </c>
      <c r="S1174" s="109" t="s">
        <v>2209</v>
      </c>
      <c r="T1174" s="93" t="s">
        <v>432</v>
      </c>
      <c r="U1174" s="93" t="s">
        <v>432</v>
      </c>
      <c r="V1174" s="109" t="s">
        <v>2209</v>
      </c>
      <c r="W1174" s="93" t="s">
        <v>432</v>
      </c>
      <c r="X1174" s="93" t="s">
        <v>432</v>
      </c>
      <c r="Y1174" s="93" t="s">
        <v>432</v>
      </c>
      <c r="Z1174" s="93" t="s">
        <v>432</v>
      </c>
      <c r="AA1174" s="93" t="s">
        <v>432</v>
      </c>
      <c r="AB1174" s="93" t="s">
        <v>432</v>
      </c>
      <c r="AC1174" s="93" t="s">
        <v>432</v>
      </c>
      <c r="AD1174" s="93" t="s">
        <v>432</v>
      </c>
      <c r="AE1174" s="93" t="s">
        <v>432</v>
      </c>
      <c r="AF1174" s="93" t="s">
        <v>432</v>
      </c>
      <c r="AG1174" s="93" t="s">
        <v>432</v>
      </c>
      <c r="AH1174" s="93" t="s">
        <v>432</v>
      </c>
      <c r="AI1174" s="93" t="s">
        <v>432</v>
      </c>
      <c r="AJ1174" s="93" t="s">
        <v>432</v>
      </c>
      <c r="AK1174" s="84">
        <v>4806</v>
      </c>
      <c r="AL1174" s="601" t="s">
        <v>432</v>
      </c>
      <c r="AM1174" s="137" t="s">
        <v>432</v>
      </c>
      <c r="AN1174" s="137" t="s">
        <v>432</v>
      </c>
      <c r="AO1174" s="137" t="s">
        <v>432</v>
      </c>
      <c r="AP1174" s="137" t="s">
        <v>432</v>
      </c>
      <c r="AQ1174" s="137" t="s">
        <v>432</v>
      </c>
      <c r="AR1174" s="137" t="s">
        <v>432</v>
      </c>
      <c r="AS1174" s="137" t="s">
        <v>432</v>
      </c>
      <c r="AT1174" s="137" t="s">
        <v>432</v>
      </c>
      <c r="AU1174" s="137" t="s">
        <v>432</v>
      </c>
      <c r="AV1174" s="137" t="s">
        <v>432</v>
      </c>
      <c r="AW1174" s="137" t="s">
        <v>432</v>
      </c>
      <c r="AX1174" s="137" t="s">
        <v>432</v>
      </c>
      <c r="AY1174" s="137" t="s">
        <v>432</v>
      </c>
      <c r="AZ1174" s="137" t="s">
        <v>432</v>
      </c>
      <c r="BA1174" s="137" t="s">
        <v>432</v>
      </c>
      <c r="BB1174" s="239" t="str">
        <f t="shared" si="331"/>
        <v>Gratuidades e descontosacessibilidade</v>
      </c>
      <c r="BC1174" s="239" t="str">
        <f t="shared" si="332"/>
        <v>Gratuidades e descontosacessibilidadex</v>
      </c>
      <c r="BD1174" s="239" t="str">
        <f t="shared" si="333"/>
        <v>Gratuidades e descontosx</v>
      </c>
    </row>
    <row r="1175" spans="1:56" s="1" customFormat="1" ht="117" customHeight="1" x14ac:dyDescent="0.25">
      <c r="A1175" s="275" t="str">
        <f>'Q100b-totais'!$B$12</f>
        <v>1.3</v>
      </c>
      <c r="B1175" s="54" t="s">
        <v>826</v>
      </c>
      <c r="C1175" s="167" t="s">
        <v>743</v>
      </c>
      <c r="D1175" s="378" t="s">
        <v>972</v>
      </c>
      <c r="E1175" s="1494" t="s">
        <v>1306</v>
      </c>
      <c r="F1175" s="354" t="s">
        <v>1618</v>
      </c>
      <c r="G1175" s="111" t="s">
        <v>1328</v>
      </c>
      <c r="H1175" s="168" t="s">
        <v>432</v>
      </c>
      <c r="I1175" s="167">
        <v>1</v>
      </c>
      <c r="J1175" s="109" t="s">
        <v>432</v>
      </c>
      <c r="K1175" s="109" t="s">
        <v>432</v>
      </c>
      <c r="L1175" s="109" t="s">
        <v>432</v>
      </c>
      <c r="M1175" s="109" t="s">
        <v>432</v>
      </c>
      <c r="N1175" s="109" t="s">
        <v>432</v>
      </c>
      <c r="O1175" s="93" t="s">
        <v>432</v>
      </c>
      <c r="P1175" s="93" t="s">
        <v>432</v>
      </c>
      <c r="Q1175" s="93" t="s">
        <v>432</v>
      </c>
      <c r="R1175" s="93" t="s">
        <v>432</v>
      </c>
      <c r="S1175" s="109" t="s">
        <v>2209</v>
      </c>
      <c r="T1175" s="86">
        <v>15186</v>
      </c>
      <c r="U1175" s="93" t="s">
        <v>432</v>
      </c>
      <c r="V1175" s="109" t="s">
        <v>2209</v>
      </c>
      <c r="W1175" s="93" t="s">
        <v>432</v>
      </c>
      <c r="X1175" s="93" t="s">
        <v>432</v>
      </c>
      <c r="Y1175" s="93" t="s">
        <v>432</v>
      </c>
      <c r="Z1175" s="93" t="s">
        <v>432</v>
      </c>
      <c r="AA1175" s="93" t="s">
        <v>432</v>
      </c>
      <c r="AB1175" s="93" t="s">
        <v>432</v>
      </c>
      <c r="AC1175" s="93" t="s">
        <v>432</v>
      </c>
      <c r="AD1175" s="93" t="s">
        <v>432</v>
      </c>
      <c r="AE1175" s="93" t="s">
        <v>432</v>
      </c>
      <c r="AF1175" s="93" t="s">
        <v>432</v>
      </c>
      <c r="AG1175" s="93" t="s">
        <v>432</v>
      </c>
      <c r="AH1175" s="93" t="s">
        <v>432</v>
      </c>
      <c r="AI1175" s="93" t="s">
        <v>432</v>
      </c>
      <c r="AJ1175" s="93" t="s">
        <v>432</v>
      </c>
      <c r="AK1175" s="20">
        <f>AK1176+AK1177+AK1178+AK1179</f>
        <v>7797</v>
      </c>
      <c r="AL1175" s="601" t="s">
        <v>432</v>
      </c>
      <c r="AM1175" s="137" t="s">
        <v>432</v>
      </c>
      <c r="AN1175" s="137" t="s">
        <v>432</v>
      </c>
      <c r="AO1175" s="137" t="s">
        <v>432</v>
      </c>
      <c r="AP1175" s="137" t="s">
        <v>432</v>
      </c>
      <c r="AQ1175" s="137" t="s">
        <v>432</v>
      </c>
      <c r="AR1175" s="137" t="s">
        <v>432</v>
      </c>
      <c r="AS1175" s="137" t="s">
        <v>432</v>
      </c>
      <c r="AT1175" s="137" t="s">
        <v>432</v>
      </c>
      <c r="AU1175" s="137" t="s">
        <v>432</v>
      </c>
      <c r="AV1175" s="137" t="s">
        <v>432</v>
      </c>
      <c r="AW1175" s="137" t="s">
        <v>432</v>
      </c>
      <c r="AX1175" s="137" t="s">
        <v>432</v>
      </c>
      <c r="AY1175" s="137" t="s">
        <v>432</v>
      </c>
      <c r="AZ1175" s="137" t="s">
        <v>432</v>
      </c>
      <c r="BA1175" s="137" t="s">
        <v>432</v>
      </c>
      <c r="BB1175" s="239" t="str">
        <f t="shared" si="331"/>
        <v>Gratuidades e descontosacessibilidade</v>
      </c>
      <c r="BC1175" s="239" t="str">
        <f t="shared" si="332"/>
        <v>Gratuidades e descontosacessibilidadex</v>
      </c>
      <c r="BD1175" s="239" t="str">
        <f t="shared" si="333"/>
        <v>Gratuidades e descontosx</v>
      </c>
    </row>
    <row r="1176" spans="1:56" s="1" customFormat="1" ht="25.5" x14ac:dyDescent="0.25">
      <c r="A1176" s="275" t="str">
        <f>'Q100b-totais'!$B$12</f>
        <v>1.3</v>
      </c>
      <c r="B1176" s="54" t="s">
        <v>826</v>
      </c>
      <c r="C1176" s="167" t="s">
        <v>743</v>
      </c>
      <c r="D1176" s="323" t="s">
        <v>1117</v>
      </c>
      <c r="E1176" s="1491" t="s">
        <v>1306</v>
      </c>
      <c r="F1176" s="24" t="s">
        <v>1629</v>
      </c>
      <c r="G1176" s="110" t="s">
        <v>77</v>
      </c>
      <c r="H1176" s="168" t="s">
        <v>432</v>
      </c>
      <c r="I1176" s="167">
        <v>1</v>
      </c>
      <c r="J1176" s="109" t="s">
        <v>432</v>
      </c>
      <c r="K1176" s="109" t="s">
        <v>432</v>
      </c>
      <c r="L1176" s="109" t="s">
        <v>432</v>
      </c>
      <c r="M1176" s="109" t="s">
        <v>432</v>
      </c>
      <c r="N1176" s="109" t="s">
        <v>432</v>
      </c>
      <c r="O1176" s="93" t="s">
        <v>432</v>
      </c>
      <c r="P1176" s="93" t="s">
        <v>432</v>
      </c>
      <c r="Q1176" s="93" t="s">
        <v>432</v>
      </c>
      <c r="R1176" s="93" t="s">
        <v>432</v>
      </c>
      <c r="S1176" s="109" t="s">
        <v>2209</v>
      </c>
      <c r="T1176" s="93" t="s">
        <v>432</v>
      </c>
      <c r="U1176" s="93" t="s">
        <v>432</v>
      </c>
      <c r="V1176" s="109" t="s">
        <v>2209</v>
      </c>
      <c r="W1176" s="93" t="s">
        <v>432</v>
      </c>
      <c r="X1176" s="93" t="s">
        <v>432</v>
      </c>
      <c r="Y1176" s="93" t="s">
        <v>432</v>
      </c>
      <c r="Z1176" s="93" t="s">
        <v>432</v>
      </c>
      <c r="AA1176" s="93" t="s">
        <v>432</v>
      </c>
      <c r="AB1176" s="93" t="s">
        <v>432</v>
      </c>
      <c r="AC1176" s="93" t="s">
        <v>432</v>
      </c>
      <c r="AD1176" s="93" t="s">
        <v>432</v>
      </c>
      <c r="AE1176" s="93" t="s">
        <v>432</v>
      </c>
      <c r="AF1176" s="93" t="s">
        <v>432</v>
      </c>
      <c r="AG1176" s="93" t="s">
        <v>432</v>
      </c>
      <c r="AH1176" s="93" t="s">
        <v>432</v>
      </c>
      <c r="AI1176" s="93" t="s">
        <v>432</v>
      </c>
      <c r="AJ1176" s="93" t="s">
        <v>432</v>
      </c>
      <c r="AK1176" s="84">
        <v>5269</v>
      </c>
      <c r="AL1176" s="601" t="s">
        <v>432</v>
      </c>
      <c r="AM1176" s="137" t="s">
        <v>432</v>
      </c>
      <c r="AN1176" s="137" t="s">
        <v>432</v>
      </c>
      <c r="AO1176" s="137" t="s">
        <v>432</v>
      </c>
      <c r="AP1176" s="137" t="s">
        <v>432</v>
      </c>
      <c r="AQ1176" s="137" t="s">
        <v>432</v>
      </c>
      <c r="AR1176" s="137" t="s">
        <v>432</v>
      </c>
      <c r="AS1176" s="137" t="s">
        <v>432</v>
      </c>
      <c r="AT1176" s="137" t="s">
        <v>432</v>
      </c>
      <c r="AU1176" s="137" t="s">
        <v>432</v>
      </c>
      <c r="AV1176" s="137" t="s">
        <v>432</v>
      </c>
      <c r="AW1176" s="137" t="s">
        <v>432</v>
      </c>
      <c r="AX1176" s="137" t="s">
        <v>432</v>
      </c>
      <c r="AY1176" s="137" t="s">
        <v>432</v>
      </c>
      <c r="AZ1176" s="137" t="s">
        <v>432</v>
      </c>
      <c r="BA1176" s="137" t="s">
        <v>432</v>
      </c>
      <c r="BB1176" s="239" t="str">
        <f t="shared" si="331"/>
        <v>Gratuidades e descontosacessibilidade</v>
      </c>
      <c r="BC1176" s="239" t="str">
        <f t="shared" si="332"/>
        <v>Gratuidades e descontosacessibilidadex</v>
      </c>
      <c r="BD1176" s="239" t="str">
        <f t="shared" si="333"/>
        <v>Gratuidades e descontosx</v>
      </c>
    </row>
    <row r="1177" spans="1:56" s="1" customFormat="1" ht="25.5" x14ac:dyDescent="0.25">
      <c r="A1177" s="275" t="str">
        <f>'Q100b-totais'!$B$12</f>
        <v>1.3</v>
      </c>
      <c r="B1177" s="54" t="s">
        <v>826</v>
      </c>
      <c r="C1177" s="167" t="s">
        <v>743</v>
      </c>
      <c r="D1177" s="323" t="s">
        <v>1118</v>
      </c>
      <c r="E1177" s="1491" t="s">
        <v>1306</v>
      </c>
      <c r="F1177" s="24" t="s">
        <v>1630</v>
      </c>
      <c r="G1177" s="110" t="s">
        <v>77</v>
      </c>
      <c r="H1177" s="168" t="s">
        <v>432</v>
      </c>
      <c r="I1177" s="167">
        <v>1</v>
      </c>
      <c r="J1177" s="109" t="s">
        <v>432</v>
      </c>
      <c r="K1177" s="109" t="s">
        <v>432</v>
      </c>
      <c r="L1177" s="109" t="s">
        <v>432</v>
      </c>
      <c r="M1177" s="109" t="s">
        <v>432</v>
      </c>
      <c r="N1177" s="109" t="s">
        <v>432</v>
      </c>
      <c r="O1177" s="93" t="s">
        <v>432</v>
      </c>
      <c r="P1177" s="93" t="s">
        <v>432</v>
      </c>
      <c r="Q1177" s="93" t="s">
        <v>432</v>
      </c>
      <c r="R1177" s="93" t="s">
        <v>432</v>
      </c>
      <c r="S1177" s="109" t="s">
        <v>2209</v>
      </c>
      <c r="T1177" s="93" t="s">
        <v>432</v>
      </c>
      <c r="U1177" s="93" t="s">
        <v>432</v>
      </c>
      <c r="V1177" s="109" t="s">
        <v>2209</v>
      </c>
      <c r="W1177" s="93" t="s">
        <v>432</v>
      </c>
      <c r="X1177" s="93" t="s">
        <v>432</v>
      </c>
      <c r="Y1177" s="93" t="s">
        <v>432</v>
      </c>
      <c r="Z1177" s="93" t="s">
        <v>432</v>
      </c>
      <c r="AA1177" s="93" t="s">
        <v>432</v>
      </c>
      <c r="AB1177" s="93" t="s">
        <v>432</v>
      </c>
      <c r="AC1177" s="93" t="s">
        <v>432</v>
      </c>
      <c r="AD1177" s="93" t="s">
        <v>432</v>
      </c>
      <c r="AE1177" s="93" t="s">
        <v>432</v>
      </c>
      <c r="AF1177" s="93" t="s">
        <v>432</v>
      </c>
      <c r="AG1177" s="93" t="s">
        <v>432</v>
      </c>
      <c r="AH1177" s="93" t="s">
        <v>432</v>
      </c>
      <c r="AI1177" s="93" t="s">
        <v>432</v>
      </c>
      <c r="AJ1177" s="93" t="s">
        <v>432</v>
      </c>
      <c r="AK1177" s="84">
        <v>594</v>
      </c>
      <c r="AL1177" s="601" t="s">
        <v>432</v>
      </c>
      <c r="AM1177" s="137" t="s">
        <v>432</v>
      </c>
      <c r="AN1177" s="137" t="s">
        <v>432</v>
      </c>
      <c r="AO1177" s="137" t="s">
        <v>432</v>
      </c>
      <c r="AP1177" s="137" t="s">
        <v>432</v>
      </c>
      <c r="AQ1177" s="137" t="s">
        <v>432</v>
      </c>
      <c r="AR1177" s="137" t="s">
        <v>432</v>
      </c>
      <c r="AS1177" s="137" t="s">
        <v>432</v>
      </c>
      <c r="AT1177" s="137" t="s">
        <v>432</v>
      </c>
      <c r="AU1177" s="137" t="s">
        <v>432</v>
      </c>
      <c r="AV1177" s="137" t="s">
        <v>432</v>
      </c>
      <c r="AW1177" s="137" t="s">
        <v>432</v>
      </c>
      <c r="AX1177" s="137" t="s">
        <v>432</v>
      </c>
      <c r="AY1177" s="137" t="s">
        <v>432</v>
      </c>
      <c r="AZ1177" s="137" t="s">
        <v>432</v>
      </c>
      <c r="BA1177" s="137" t="s">
        <v>432</v>
      </c>
      <c r="BB1177" s="239" t="str">
        <f t="shared" si="331"/>
        <v>Gratuidades e descontosacessibilidade</v>
      </c>
      <c r="BC1177" s="239" t="str">
        <f t="shared" si="332"/>
        <v>Gratuidades e descontosacessibilidadex</v>
      </c>
      <c r="BD1177" s="239" t="str">
        <f t="shared" si="333"/>
        <v>Gratuidades e descontosx</v>
      </c>
    </row>
    <row r="1178" spans="1:56" s="1" customFormat="1" ht="25.5" x14ac:dyDescent="0.25">
      <c r="A1178" s="275" t="str">
        <f>'Q100b-totais'!$B$12</f>
        <v>1.3</v>
      </c>
      <c r="B1178" s="54" t="s">
        <v>826</v>
      </c>
      <c r="C1178" s="167" t="s">
        <v>743</v>
      </c>
      <c r="D1178" s="323" t="s">
        <v>1119</v>
      </c>
      <c r="E1178" s="1491" t="s">
        <v>1306</v>
      </c>
      <c r="F1178" s="24" t="s">
        <v>1631</v>
      </c>
      <c r="G1178" s="110" t="s">
        <v>77</v>
      </c>
      <c r="H1178" s="168" t="s">
        <v>432</v>
      </c>
      <c r="I1178" s="167">
        <v>1</v>
      </c>
      <c r="J1178" s="109" t="s">
        <v>432</v>
      </c>
      <c r="K1178" s="109" t="s">
        <v>432</v>
      </c>
      <c r="L1178" s="109" t="s">
        <v>432</v>
      </c>
      <c r="M1178" s="109" t="s">
        <v>432</v>
      </c>
      <c r="N1178" s="109" t="s">
        <v>432</v>
      </c>
      <c r="O1178" s="93" t="s">
        <v>432</v>
      </c>
      <c r="P1178" s="93" t="s">
        <v>432</v>
      </c>
      <c r="Q1178" s="93" t="s">
        <v>432</v>
      </c>
      <c r="R1178" s="93" t="s">
        <v>432</v>
      </c>
      <c r="S1178" s="109" t="s">
        <v>2209</v>
      </c>
      <c r="T1178" s="93" t="s">
        <v>432</v>
      </c>
      <c r="U1178" s="93" t="s">
        <v>432</v>
      </c>
      <c r="V1178" s="109" t="s">
        <v>2209</v>
      </c>
      <c r="W1178" s="93" t="s">
        <v>432</v>
      </c>
      <c r="X1178" s="93" t="s">
        <v>432</v>
      </c>
      <c r="Y1178" s="93" t="s">
        <v>432</v>
      </c>
      <c r="Z1178" s="93" t="s">
        <v>432</v>
      </c>
      <c r="AA1178" s="93" t="s">
        <v>432</v>
      </c>
      <c r="AB1178" s="93" t="s">
        <v>432</v>
      </c>
      <c r="AC1178" s="93" t="s">
        <v>432</v>
      </c>
      <c r="AD1178" s="93" t="s">
        <v>432</v>
      </c>
      <c r="AE1178" s="93" t="s">
        <v>432</v>
      </c>
      <c r="AF1178" s="93" t="s">
        <v>432</v>
      </c>
      <c r="AG1178" s="93" t="s">
        <v>432</v>
      </c>
      <c r="AH1178" s="93" t="s">
        <v>432</v>
      </c>
      <c r="AI1178" s="93" t="s">
        <v>432</v>
      </c>
      <c r="AJ1178" s="93" t="s">
        <v>432</v>
      </c>
      <c r="AK1178" s="84">
        <v>1895</v>
      </c>
      <c r="AL1178" s="601" t="s">
        <v>432</v>
      </c>
      <c r="AM1178" s="137" t="s">
        <v>432</v>
      </c>
      <c r="AN1178" s="137" t="s">
        <v>432</v>
      </c>
      <c r="AO1178" s="137" t="s">
        <v>432</v>
      </c>
      <c r="AP1178" s="137" t="s">
        <v>432</v>
      </c>
      <c r="AQ1178" s="137" t="s">
        <v>432</v>
      </c>
      <c r="AR1178" s="137" t="s">
        <v>432</v>
      </c>
      <c r="AS1178" s="137" t="s">
        <v>432</v>
      </c>
      <c r="AT1178" s="137" t="s">
        <v>432</v>
      </c>
      <c r="AU1178" s="137" t="s">
        <v>432</v>
      </c>
      <c r="AV1178" s="137" t="s">
        <v>432</v>
      </c>
      <c r="AW1178" s="137" t="s">
        <v>432</v>
      </c>
      <c r="AX1178" s="137" t="s">
        <v>432</v>
      </c>
      <c r="AY1178" s="137" t="s">
        <v>432</v>
      </c>
      <c r="AZ1178" s="137" t="s">
        <v>432</v>
      </c>
      <c r="BA1178" s="137" t="s">
        <v>432</v>
      </c>
      <c r="BB1178" s="239" t="str">
        <f t="shared" si="331"/>
        <v>Gratuidades e descontosacessibilidade</v>
      </c>
      <c r="BC1178" s="239" t="str">
        <f t="shared" si="332"/>
        <v>Gratuidades e descontosacessibilidadex</v>
      </c>
      <c r="BD1178" s="239" t="str">
        <f t="shared" si="333"/>
        <v>Gratuidades e descontosx</v>
      </c>
    </row>
    <row r="1179" spans="1:56" s="1" customFormat="1" ht="25.5" x14ac:dyDescent="0.25">
      <c r="A1179" s="275" t="str">
        <f>'Q100b-totais'!$B$12</f>
        <v>1.3</v>
      </c>
      <c r="B1179" s="54" t="s">
        <v>826</v>
      </c>
      <c r="C1179" s="167" t="s">
        <v>743</v>
      </c>
      <c r="D1179" s="323" t="s">
        <v>1120</v>
      </c>
      <c r="E1179" s="1491" t="s">
        <v>1306</v>
      </c>
      <c r="F1179" s="24" t="s">
        <v>1632</v>
      </c>
      <c r="G1179" s="110" t="s">
        <v>77</v>
      </c>
      <c r="H1179" s="168" t="s">
        <v>432</v>
      </c>
      <c r="I1179" s="167">
        <v>1</v>
      </c>
      <c r="J1179" s="109" t="s">
        <v>432</v>
      </c>
      <c r="K1179" s="109" t="s">
        <v>432</v>
      </c>
      <c r="L1179" s="109" t="s">
        <v>432</v>
      </c>
      <c r="M1179" s="109" t="s">
        <v>432</v>
      </c>
      <c r="N1179" s="109" t="s">
        <v>432</v>
      </c>
      <c r="O1179" s="93" t="s">
        <v>432</v>
      </c>
      <c r="P1179" s="93" t="s">
        <v>432</v>
      </c>
      <c r="Q1179" s="93" t="s">
        <v>432</v>
      </c>
      <c r="R1179" s="93" t="s">
        <v>432</v>
      </c>
      <c r="S1179" s="109" t="s">
        <v>2209</v>
      </c>
      <c r="T1179" s="93" t="s">
        <v>432</v>
      </c>
      <c r="U1179" s="93" t="s">
        <v>432</v>
      </c>
      <c r="V1179" s="109" t="s">
        <v>2209</v>
      </c>
      <c r="W1179" s="93" t="s">
        <v>432</v>
      </c>
      <c r="X1179" s="93" t="s">
        <v>432</v>
      </c>
      <c r="Y1179" s="93" t="s">
        <v>432</v>
      </c>
      <c r="Z1179" s="93" t="s">
        <v>432</v>
      </c>
      <c r="AA1179" s="93" t="s">
        <v>432</v>
      </c>
      <c r="AB1179" s="93" t="s">
        <v>432</v>
      </c>
      <c r="AC1179" s="93" t="s">
        <v>432</v>
      </c>
      <c r="AD1179" s="93" t="s">
        <v>432</v>
      </c>
      <c r="AE1179" s="93" t="s">
        <v>432</v>
      </c>
      <c r="AF1179" s="93" t="s">
        <v>432</v>
      </c>
      <c r="AG1179" s="93" t="s">
        <v>432</v>
      </c>
      <c r="AH1179" s="93" t="s">
        <v>432</v>
      </c>
      <c r="AI1179" s="93" t="s">
        <v>432</v>
      </c>
      <c r="AJ1179" s="93" t="s">
        <v>432</v>
      </c>
      <c r="AK1179" s="84">
        <v>39</v>
      </c>
      <c r="AL1179" s="601" t="s">
        <v>432</v>
      </c>
      <c r="AM1179" s="137" t="s">
        <v>432</v>
      </c>
      <c r="AN1179" s="137" t="s">
        <v>432</v>
      </c>
      <c r="AO1179" s="137" t="s">
        <v>432</v>
      </c>
      <c r="AP1179" s="137" t="s">
        <v>432</v>
      </c>
      <c r="AQ1179" s="137" t="s">
        <v>432</v>
      </c>
      <c r="AR1179" s="137" t="s">
        <v>432</v>
      </c>
      <c r="AS1179" s="137" t="s">
        <v>432</v>
      </c>
      <c r="AT1179" s="137" t="s">
        <v>432</v>
      </c>
      <c r="AU1179" s="137" t="s">
        <v>432</v>
      </c>
      <c r="AV1179" s="137" t="s">
        <v>432</v>
      </c>
      <c r="AW1179" s="137" t="s">
        <v>432</v>
      </c>
      <c r="AX1179" s="137" t="s">
        <v>432</v>
      </c>
      <c r="AY1179" s="137" t="s">
        <v>432</v>
      </c>
      <c r="AZ1179" s="137" t="s">
        <v>432</v>
      </c>
      <c r="BA1179" s="137" t="s">
        <v>432</v>
      </c>
      <c r="BB1179" s="239" t="str">
        <f t="shared" si="331"/>
        <v>Gratuidades e descontosacessibilidade</v>
      </c>
      <c r="BC1179" s="239" t="str">
        <f t="shared" si="332"/>
        <v>Gratuidades e descontosacessibilidadex</v>
      </c>
      <c r="BD1179" s="239" t="str">
        <f t="shared" si="333"/>
        <v>Gratuidades e descontosx</v>
      </c>
    </row>
    <row r="1180" spans="1:56" s="1" customFormat="1" ht="105" customHeight="1" x14ac:dyDescent="0.25">
      <c r="A1180" s="275" t="str">
        <f>'Q100b-totais'!$B$12</f>
        <v>1.3</v>
      </c>
      <c r="B1180" s="54" t="s">
        <v>826</v>
      </c>
      <c r="C1180" s="167" t="s">
        <v>743</v>
      </c>
      <c r="D1180" s="378" t="s">
        <v>981</v>
      </c>
      <c r="E1180" s="1494" t="s">
        <v>1306</v>
      </c>
      <c r="F1180" s="354" t="s">
        <v>1619</v>
      </c>
      <c r="G1180" s="111" t="s">
        <v>1330</v>
      </c>
      <c r="H1180" s="168" t="s">
        <v>432</v>
      </c>
      <c r="I1180" s="167">
        <v>1</v>
      </c>
      <c r="J1180" s="109" t="s">
        <v>432</v>
      </c>
      <c r="K1180" s="109" t="s">
        <v>432</v>
      </c>
      <c r="L1180" s="109" t="s">
        <v>432</v>
      </c>
      <c r="M1180" s="109" t="s">
        <v>432</v>
      </c>
      <c r="N1180" s="109" t="s">
        <v>432</v>
      </c>
      <c r="O1180" s="93" t="s">
        <v>432</v>
      </c>
      <c r="P1180" s="93" t="s">
        <v>432</v>
      </c>
      <c r="Q1180" s="93" t="s">
        <v>432</v>
      </c>
      <c r="R1180" s="93" t="s">
        <v>432</v>
      </c>
      <c r="S1180" s="109" t="s">
        <v>2209</v>
      </c>
      <c r="T1180" s="86">
        <v>1471</v>
      </c>
      <c r="U1180" s="93" t="s">
        <v>432</v>
      </c>
      <c r="V1180" s="109" t="s">
        <v>2209</v>
      </c>
      <c r="W1180" s="93" t="s">
        <v>432</v>
      </c>
      <c r="X1180" s="93" t="s">
        <v>432</v>
      </c>
      <c r="Y1180" s="93" t="s">
        <v>432</v>
      </c>
      <c r="Z1180" s="93" t="s">
        <v>432</v>
      </c>
      <c r="AA1180" s="93" t="s">
        <v>432</v>
      </c>
      <c r="AB1180" s="93" t="s">
        <v>432</v>
      </c>
      <c r="AC1180" s="93" t="s">
        <v>432</v>
      </c>
      <c r="AD1180" s="93" t="s">
        <v>432</v>
      </c>
      <c r="AE1180" s="93" t="s">
        <v>432</v>
      </c>
      <c r="AF1180" s="93" t="s">
        <v>432</v>
      </c>
      <c r="AG1180" s="93" t="s">
        <v>432</v>
      </c>
      <c r="AH1180" s="93" t="s">
        <v>432</v>
      </c>
      <c r="AI1180" s="93" t="s">
        <v>432</v>
      </c>
      <c r="AJ1180" s="93" t="s">
        <v>432</v>
      </c>
      <c r="AK1180" s="20">
        <f>AK1181+AK1182+AK1183+AK1184</f>
        <v>982</v>
      </c>
      <c r="AL1180" s="601" t="s">
        <v>432</v>
      </c>
      <c r="AM1180" s="137" t="s">
        <v>432</v>
      </c>
      <c r="AN1180" s="137" t="s">
        <v>432</v>
      </c>
      <c r="AO1180" s="137" t="s">
        <v>432</v>
      </c>
      <c r="AP1180" s="137" t="s">
        <v>432</v>
      </c>
      <c r="AQ1180" s="137" t="s">
        <v>432</v>
      </c>
      <c r="AR1180" s="137" t="s">
        <v>432</v>
      </c>
      <c r="AS1180" s="137" t="s">
        <v>432</v>
      </c>
      <c r="AT1180" s="137" t="s">
        <v>432</v>
      </c>
      <c r="AU1180" s="137" t="s">
        <v>432</v>
      </c>
      <c r="AV1180" s="137" t="s">
        <v>432</v>
      </c>
      <c r="AW1180" s="137" t="s">
        <v>432</v>
      </c>
      <c r="AX1180" s="137" t="s">
        <v>432</v>
      </c>
      <c r="AY1180" s="137" t="s">
        <v>432</v>
      </c>
      <c r="AZ1180" s="137" t="s">
        <v>432</v>
      </c>
      <c r="BA1180" s="137" t="s">
        <v>432</v>
      </c>
      <c r="BB1180" s="239" t="str">
        <f t="shared" si="331"/>
        <v>Gratuidades e descontosacessibilidade</v>
      </c>
      <c r="BC1180" s="239" t="str">
        <f t="shared" si="332"/>
        <v>Gratuidades e descontosacessibilidadex</v>
      </c>
      <c r="BD1180" s="239" t="str">
        <f t="shared" si="333"/>
        <v>Gratuidades e descontosx</v>
      </c>
    </row>
    <row r="1181" spans="1:56" s="1" customFormat="1" ht="25.5" x14ac:dyDescent="0.25">
      <c r="A1181" s="275" t="str">
        <f>'Q100b-totais'!$B$12</f>
        <v>1.3</v>
      </c>
      <c r="B1181" s="54" t="s">
        <v>826</v>
      </c>
      <c r="C1181" s="167" t="s">
        <v>743</v>
      </c>
      <c r="D1181" s="323" t="s">
        <v>1121</v>
      </c>
      <c r="E1181" s="1491" t="s">
        <v>1306</v>
      </c>
      <c r="F1181" s="24" t="s">
        <v>1633</v>
      </c>
      <c r="G1181" s="110" t="s">
        <v>77</v>
      </c>
      <c r="H1181" s="168" t="s">
        <v>432</v>
      </c>
      <c r="I1181" s="167">
        <v>1</v>
      </c>
      <c r="J1181" s="109" t="s">
        <v>432</v>
      </c>
      <c r="K1181" s="109" t="s">
        <v>432</v>
      </c>
      <c r="L1181" s="109" t="s">
        <v>432</v>
      </c>
      <c r="M1181" s="109" t="s">
        <v>432</v>
      </c>
      <c r="N1181" s="109" t="s">
        <v>432</v>
      </c>
      <c r="O1181" s="93" t="s">
        <v>432</v>
      </c>
      <c r="P1181" s="93" t="s">
        <v>432</v>
      </c>
      <c r="Q1181" s="93" t="s">
        <v>432</v>
      </c>
      <c r="R1181" s="93" t="s">
        <v>432</v>
      </c>
      <c r="S1181" s="109" t="s">
        <v>2209</v>
      </c>
      <c r="T1181" s="93" t="s">
        <v>432</v>
      </c>
      <c r="U1181" s="93" t="s">
        <v>432</v>
      </c>
      <c r="V1181" s="109" t="s">
        <v>2209</v>
      </c>
      <c r="W1181" s="93" t="s">
        <v>432</v>
      </c>
      <c r="X1181" s="93" t="s">
        <v>432</v>
      </c>
      <c r="Y1181" s="93" t="s">
        <v>432</v>
      </c>
      <c r="Z1181" s="93" t="s">
        <v>432</v>
      </c>
      <c r="AA1181" s="93" t="s">
        <v>432</v>
      </c>
      <c r="AB1181" s="93" t="s">
        <v>432</v>
      </c>
      <c r="AC1181" s="93" t="s">
        <v>432</v>
      </c>
      <c r="AD1181" s="93" t="s">
        <v>432</v>
      </c>
      <c r="AE1181" s="93" t="s">
        <v>432</v>
      </c>
      <c r="AF1181" s="93" t="s">
        <v>432</v>
      </c>
      <c r="AG1181" s="93" t="s">
        <v>432</v>
      </c>
      <c r="AH1181" s="93" t="s">
        <v>432</v>
      </c>
      <c r="AI1181" s="93" t="s">
        <v>432</v>
      </c>
      <c r="AJ1181" s="93" t="s">
        <v>432</v>
      </c>
      <c r="AK1181" s="84">
        <v>170</v>
      </c>
      <c r="AL1181" s="601" t="s">
        <v>432</v>
      </c>
      <c r="AM1181" s="137" t="s">
        <v>432</v>
      </c>
      <c r="AN1181" s="137" t="s">
        <v>432</v>
      </c>
      <c r="AO1181" s="137" t="s">
        <v>432</v>
      </c>
      <c r="AP1181" s="137" t="s">
        <v>432</v>
      </c>
      <c r="AQ1181" s="137" t="s">
        <v>432</v>
      </c>
      <c r="AR1181" s="137" t="s">
        <v>432</v>
      </c>
      <c r="AS1181" s="137" t="s">
        <v>432</v>
      </c>
      <c r="AT1181" s="137" t="s">
        <v>432</v>
      </c>
      <c r="AU1181" s="137" t="s">
        <v>432</v>
      </c>
      <c r="AV1181" s="137" t="s">
        <v>432</v>
      </c>
      <c r="AW1181" s="137" t="s">
        <v>432</v>
      </c>
      <c r="AX1181" s="137" t="s">
        <v>432</v>
      </c>
      <c r="AY1181" s="137" t="s">
        <v>432</v>
      </c>
      <c r="AZ1181" s="137" t="s">
        <v>432</v>
      </c>
      <c r="BA1181" s="137" t="s">
        <v>432</v>
      </c>
      <c r="BB1181" s="239" t="str">
        <f t="shared" si="331"/>
        <v>Gratuidades e descontosacessibilidade</v>
      </c>
      <c r="BC1181" s="239" t="str">
        <f t="shared" si="332"/>
        <v>Gratuidades e descontosacessibilidadex</v>
      </c>
      <c r="BD1181" s="239" t="str">
        <f t="shared" si="333"/>
        <v>Gratuidades e descontosx</v>
      </c>
    </row>
    <row r="1182" spans="1:56" s="1" customFormat="1" ht="25.5" x14ac:dyDescent="0.25">
      <c r="A1182" s="275" t="str">
        <f>'Q100b-totais'!$B$12</f>
        <v>1.3</v>
      </c>
      <c r="B1182" s="54" t="s">
        <v>826</v>
      </c>
      <c r="C1182" s="167" t="s">
        <v>743</v>
      </c>
      <c r="D1182" s="323" t="s">
        <v>1122</v>
      </c>
      <c r="E1182" s="1491" t="s">
        <v>1306</v>
      </c>
      <c r="F1182" s="24" t="s">
        <v>1634</v>
      </c>
      <c r="G1182" s="110" t="s">
        <v>77</v>
      </c>
      <c r="H1182" s="168" t="s">
        <v>432</v>
      </c>
      <c r="I1182" s="167">
        <v>1</v>
      </c>
      <c r="J1182" s="109" t="s">
        <v>432</v>
      </c>
      <c r="K1182" s="109" t="s">
        <v>432</v>
      </c>
      <c r="L1182" s="109" t="s">
        <v>432</v>
      </c>
      <c r="M1182" s="109" t="s">
        <v>432</v>
      </c>
      <c r="N1182" s="109" t="s">
        <v>432</v>
      </c>
      <c r="O1182" s="93" t="s">
        <v>432</v>
      </c>
      <c r="P1182" s="93" t="s">
        <v>432</v>
      </c>
      <c r="Q1182" s="93" t="s">
        <v>432</v>
      </c>
      <c r="R1182" s="93" t="s">
        <v>432</v>
      </c>
      <c r="S1182" s="109" t="s">
        <v>2209</v>
      </c>
      <c r="T1182" s="93" t="s">
        <v>432</v>
      </c>
      <c r="U1182" s="93" t="s">
        <v>432</v>
      </c>
      <c r="V1182" s="109" t="s">
        <v>2209</v>
      </c>
      <c r="W1182" s="93" t="s">
        <v>432</v>
      </c>
      <c r="X1182" s="93" t="s">
        <v>432</v>
      </c>
      <c r="Y1182" s="93" t="s">
        <v>432</v>
      </c>
      <c r="Z1182" s="93" t="s">
        <v>432</v>
      </c>
      <c r="AA1182" s="93" t="s">
        <v>432</v>
      </c>
      <c r="AB1182" s="93" t="s">
        <v>432</v>
      </c>
      <c r="AC1182" s="93" t="s">
        <v>432</v>
      </c>
      <c r="AD1182" s="93" t="s">
        <v>432</v>
      </c>
      <c r="AE1182" s="93" t="s">
        <v>432</v>
      </c>
      <c r="AF1182" s="93" t="s">
        <v>432</v>
      </c>
      <c r="AG1182" s="93" t="s">
        <v>432</v>
      </c>
      <c r="AH1182" s="93" t="s">
        <v>432</v>
      </c>
      <c r="AI1182" s="93" t="s">
        <v>432</v>
      </c>
      <c r="AJ1182" s="93" t="s">
        <v>432</v>
      </c>
      <c r="AK1182" s="84">
        <v>779</v>
      </c>
      <c r="AL1182" s="601" t="s">
        <v>432</v>
      </c>
      <c r="AM1182" s="137" t="s">
        <v>432</v>
      </c>
      <c r="AN1182" s="137" t="s">
        <v>432</v>
      </c>
      <c r="AO1182" s="137" t="s">
        <v>432</v>
      </c>
      <c r="AP1182" s="137" t="s">
        <v>432</v>
      </c>
      <c r="AQ1182" s="137" t="s">
        <v>432</v>
      </c>
      <c r="AR1182" s="137" t="s">
        <v>432</v>
      </c>
      <c r="AS1182" s="137" t="s">
        <v>432</v>
      </c>
      <c r="AT1182" s="137" t="s">
        <v>432</v>
      </c>
      <c r="AU1182" s="137" t="s">
        <v>432</v>
      </c>
      <c r="AV1182" s="137" t="s">
        <v>432</v>
      </c>
      <c r="AW1182" s="137" t="s">
        <v>432</v>
      </c>
      <c r="AX1182" s="137" t="s">
        <v>432</v>
      </c>
      <c r="AY1182" s="137" t="s">
        <v>432</v>
      </c>
      <c r="AZ1182" s="137" t="s">
        <v>432</v>
      </c>
      <c r="BA1182" s="137" t="s">
        <v>432</v>
      </c>
      <c r="BB1182" s="239" t="str">
        <f t="shared" si="331"/>
        <v>Gratuidades e descontosacessibilidade</v>
      </c>
      <c r="BC1182" s="239" t="str">
        <f t="shared" si="332"/>
        <v>Gratuidades e descontosacessibilidadex</v>
      </c>
      <c r="BD1182" s="239" t="str">
        <f t="shared" si="333"/>
        <v>Gratuidades e descontosx</v>
      </c>
    </row>
    <row r="1183" spans="1:56" s="1" customFormat="1" ht="25.5" x14ac:dyDescent="0.25">
      <c r="A1183" s="275" t="str">
        <f>'Q100b-totais'!$B$12</f>
        <v>1.3</v>
      </c>
      <c r="B1183" s="54" t="s">
        <v>826</v>
      </c>
      <c r="C1183" s="167" t="s">
        <v>743</v>
      </c>
      <c r="D1183" s="323" t="s">
        <v>1123</v>
      </c>
      <c r="E1183" s="1491" t="s">
        <v>1306</v>
      </c>
      <c r="F1183" s="24" t="s">
        <v>1635</v>
      </c>
      <c r="G1183" s="110" t="s">
        <v>77</v>
      </c>
      <c r="H1183" s="168" t="s">
        <v>432</v>
      </c>
      <c r="I1183" s="167">
        <v>1</v>
      </c>
      <c r="J1183" s="109" t="s">
        <v>432</v>
      </c>
      <c r="K1183" s="109" t="s">
        <v>432</v>
      </c>
      <c r="L1183" s="109" t="s">
        <v>432</v>
      </c>
      <c r="M1183" s="109" t="s">
        <v>432</v>
      </c>
      <c r="N1183" s="109" t="s">
        <v>432</v>
      </c>
      <c r="O1183" s="93" t="s">
        <v>432</v>
      </c>
      <c r="P1183" s="93" t="s">
        <v>432</v>
      </c>
      <c r="Q1183" s="93" t="s">
        <v>432</v>
      </c>
      <c r="R1183" s="93" t="s">
        <v>432</v>
      </c>
      <c r="S1183" s="109" t="s">
        <v>2209</v>
      </c>
      <c r="T1183" s="93" t="s">
        <v>432</v>
      </c>
      <c r="U1183" s="93" t="s">
        <v>432</v>
      </c>
      <c r="V1183" s="109" t="s">
        <v>2209</v>
      </c>
      <c r="W1183" s="93" t="s">
        <v>432</v>
      </c>
      <c r="X1183" s="93" t="s">
        <v>432</v>
      </c>
      <c r="Y1183" s="93" t="s">
        <v>432</v>
      </c>
      <c r="Z1183" s="93" t="s">
        <v>432</v>
      </c>
      <c r="AA1183" s="93" t="s">
        <v>432</v>
      </c>
      <c r="AB1183" s="93" t="s">
        <v>432</v>
      </c>
      <c r="AC1183" s="93" t="s">
        <v>432</v>
      </c>
      <c r="AD1183" s="93" t="s">
        <v>432</v>
      </c>
      <c r="AE1183" s="93" t="s">
        <v>432</v>
      </c>
      <c r="AF1183" s="93" t="s">
        <v>432</v>
      </c>
      <c r="AG1183" s="93" t="s">
        <v>432</v>
      </c>
      <c r="AH1183" s="93" t="s">
        <v>432</v>
      </c>
      <c r="AI1183" s="93" t="s">
        <v>432</v>
      </c>
      <c r="AJ1183" s="93" t="s">
        <v>432</v>
      </c>
      <c r="AK1183" s="84">
        <v>19</v>
      </c>
      <c r="AL1183" s="601" t="s">
        <v>432</v>
      </c>
      <c r="AM1183" s="137" t="s">
        <v>432</v>
      </c>
      <c r="AN1183" s="137" t="s">
        <v>432</v>
      </c>
      <c r="AO1183" s="137" t="s">
        <v>432</v>
      </c>
      <c r="AP1183" s="137" t="s">
        <v>432</v>
      </c>
      <c r="AQ1183" s="137" t="s">
        <v>432</v>
      </c>
      <c r="AR1183" s="137" t="s">
        <v>432</v>
      </c>
      <c r="AS1183" s="137" t="s">
        <v>432</v>
      </c>
      <c r="AT1183" s="137" t="s">
        <v>432</v>
      </c>
      <c r="AU1183" s="137" t="s">
        <v>432</v>
      </c>
      <c r="AV1183" s="137" t="s">
        <v>432</v>
      </c>
      <c r="AW1183" s="137" t="s">
        <v>432</v>
      </c>
      <c r="AX1183" s="137" t="s">
        <v>432</v>
      </c>
      <c r="AY1183" s="137" t="s">
        <v>432</v>
      </c>
      <c r="AZ1183" s="137" t="s">
        <v>432</v>
      </c>
      <c r="BA1183" s="137" t="s">
        <v>432</v>
      </c>
      <c r="BB1183" s="239" t="str">
        <f t="shared" si="331"/>
        <v>Gratuidades e descontosacessibilidade</v>
      </c>
      <c r="BC1183" s="239" t="str">
        <f t="shared" si="332"/>
        <v>Gratuidades e descontosacessibilidadex</v>
      </c>
      <c r="BD1183" s="239" t="str">
        <f t="shared" si="333"/>
        <v>Gratuidades e descontosx</v>
      </c>
    </row>
    <row r="1184" spans="1:56" s="1" customFormat="1" ht="25.5" x14ac:dyDescent="0.25">
      <c r="A1184" s="275" t="str">
        <f>'Q100b-totais'!$B$12</f>
        <v>1.3</v>
      </c>
      <c r="B1184" s="54" t="s">
        <v>826</v>
      </c>
      <c r="C1184" s="167" t="s">
        <v>743</v>
      </c>
      <c r="D1184" s="323" t="s">
        <v>1124</v>
      </c>
      <c r="E1184" s="1491" t="s">
        <v>1306</v>
      </c>
      <c r="F1184" s="24" t="s">
        <v>1636</v>
      </c>
      <c r="G1184" s="110" t="s">
        <v>77</v>
      </c>
      <c r="H1184" s="168" t="s">
        <v>432</v>
      </c>
      <c r="I1184" s="167">
        <v>1</v>
      </c>
      <c r="J1184" s="109" t="s">
        <v>432</v>
      </c>
      <c r="K1184" s="109" t="s">
        <v>432</v>
      </c>
      <c r="L1184" s="109" t="s">
        <v>432</v>
      </c>
      <c r="M1184" s="109" t="s">
        <v>432</v>
      </c>
      <c r="N1184" s="109" t="s">
        <v>432</v>
      </c>
      <c r="O1184" s="93" t="s">
        <v>432</v>
      </c>
      <c r="P1184" s="93" t="s">
        <v>432</v>
      </c>
      <c r="Q1184" s="93" t="s">
        <v>432</v>
      </c>
      <c r="R1184" s="93" t="s">
        <v>432</v>
      </c>
      <c r="S1184" s="109" t="s">
        <v>2209</v>
      </c>
      <c r="T1184" s="93" t="s">
        <v>432</v>
      </c>
      <c r="U1184" s="93" t="s">
        <v>432</v>
      </c>
      <c r="V1184" s="109" t="s">
        <v>2209</v>
      </c>
      <c r="W1184" s="93" t="s">
        <v>432</v>
      </c>
      <c r="X1184" s="93" t="s">
        <v>432</v>
      </c>
      <c r="Y1184" s="93" t="s">
        <v>432</v>
      </c>
      <c r="Z1184" s="93" t="s">
        <v>432</v>
      </c>
      <c r="AA1184" s="93" t="s">
        <v>432</v>
      </c>
      <c r="AB1184" s="93" t="s">
        <v>432</v>
      </c>
      <c r="AC1184" s="93" t="s">
        <v>432</v>
      </c>
      <c r="AD1184" s="93" t="s">
        <v>432</v>
      </c>
      <c r="AE1184" s="93" t="s">
        <v>432</v>
      </c>
      <c r="AF1184" s="93" t="s">
        <v>432</v>
      </c>
      <c r="AG1184" s="93" t="s">
        <v>432</v>
      </c>
      <c r="AH1184" s="93" t="s">
        <v>432</v>
      </c>
      <c r="AI1184" s="93" t="s">
        <v>432</v>
      </c>
      <c r="AJ1184" s="93" t="s">
        <v>432</v>
      </c>
      <c r="AK1184" s="84">
        <v>14</v>
      </c>
      <c r="AL1184" s="601" t="s">
        <v>432</v>
      </c>
      <c r="AM1184" s="137" t="s">
        <v>432</v>
      </c>
      <c r="AN1184" s="137" t="s">
        <v>432</v>
      </c>
      <c r="AO1184" s="137" t="s">
        <v>432</v>
      </c>
      <c r="AP1184" s="137" t="s">
        <v>432</v>
      </c>
      <c r="AQ1184" s="137" t="s">
        <v>432</v>
      </c>
      <c r="AR1184" s="137" t="s">
        <v>432</v>
      </c>
      <c r="AS1184" s="137" t="s">
        <v>432</v>
      </c>
      <c r="AT1184" s="137" t="s">
        <v>432</v>
      </c>
      <c r="AU1184" s="137" t="s">
        <v>432</v>
      </c>
      <c r="AV1184" s="137" t="s">
        <v>432</v>
      </c>
      <c r="AW1184" s="137" t="s">
        <v>432</v>
      </c>
      <c r="AX1184" s="137" t="s">
        <v>432</v>
      </c>
      <c r="AY1184" s="137" t="s">
        <v>432</v>
      </c>
      <c r="AZ1184" s="137" t="s">
        <v>432</v>
      </c>
      <c r="BA1184" s="137" t="s">
        <v>432</v>
      </c>
      <c r="BB1184" s="239" t="str">
        <f t="shared" si="331"/>
        <v>Gratuidades e descontosacessibilidade</v>
      </c>
      <c r="BC1184" s="239" t="str">
        <f t="shared" si="332"/>
        <v>Gratuidades e descontosacessibilidadex</v>
      </c>
      <c r="BD1184" s="239" t="str">
        <f t="shared" si="333"/>
        <v>Gratuidades e descontosx</v>
      </c>
    </row>
    <row r="1185" spans="1:56" s="1" customFormat="1" ht="96.75" customHeight="1" x14ac:dyDescent="0.25">
      <c r="A1185" s="275" t="str">
        <f>'Q100b-totais'!$B$12</f>
        <v>1.3</v>
      </c>
      <c r="B1185" s="54" t="s">
        <v>826</v>
      </c>
      <c r="C1185" s="167" t="s">
        <v>743</v>
      </c>
      <c r="D1185" s="378" t="s">
        <v>973</v>
      </c>
      <c r="E1185" s="1494" t="s">
        <v>1306</v>
      </c>
      <c r="F1185" s="354" t="s">
        <v>1620</v>
      </c>
      <c r="G1185" s="111" t="s">
        <v>1329</v>
      </c>
      <c r="H1185" s="168" t="s">
        <v>432</v>
      </c>
      <c r="I1185" s="167">
        <v>1</v>
      </c>
      <c r="J1185" s="109" t="s">
        <v>432</v>
      </c>
      <c r="K1185" s="109" t="s">
        <v>432</v>
      </c>
      <c r="L1185" s="109" t="s">
        <v>432</v>
      </c>
      <c r="M1185" s="109" t="s">
        <v>432</v>
      </c>
      <c r="N1185" s="109" t="s">
        <v>432</v>
      </c>
      <c r="O1185" s="93" t="s">
        <v>432</v>
      </c>
      <c r="P1185" s="93" t="s">
        <v>432</v>
      </c>
      <c r="Q1185" s="93" t="s">
        <v>432</v>
      </c>
      <c r="R1185" s="93" t="s">
        <v>432</v>
      </c>
      <c r="S1185" s="109" t="s">
        <v>2209</v>
      </c>
      <c r="T1185" s="86">
        <v>2186</v>
      </c>
      <c r="U1185" s="93" t="s">
        <v>432</v>
      </c>
      <c r="V1185" s="109" t="s">
        <v>2209</v>
      </c>
      <c r="W1185" s="93" t="s">
        <v>432</v>
      </c>
      <c r="X1185" s="93" t="s">
        <v>432</v>
      </c>
      <c r="Y1185" s="93" t="s">
        <v>432</v>
      </c>
      <c r="Z1185" s="93" t="s">
        <v>432</v>
      </c>
      <c r="AA1185" s="93" t="s">
        <v>432</v>
      </c>
      <c r="AB1185" s="93" t="s">
        <v>432</v>
      </c>
      <c r="AC1185" s="93" t="s">
        <v>432</v>
      </c>
      <c r="AD1185" s="93" t="s">
        <v>432</v>
      </c>
      <c r="AE1185" s="93" t="s">
        <v>432</v>
      </c>
      <c r="AF1185" s="93" t="s">
        <v>432</v>
      </c>
      <c r="AG1185" s="93" t="s">
        <v>432</v>
      </c>
      <c r="AH1185" s="93" t="s">
        <v>432</v>
      </c>
      <c r="AI1185" s="93" t="s">
        <v>432</v>
      </c>
      <c r="AJ1185" s="93" t="s">
        <v>432</v>
      </c>
      <c r="AK1185" s="20">
        <f>AK1186+AK1187+AK1188+AK1189</f>
        <v>3771</v>
      </c>
      <c r="AL1185" s="601" t="s">
        <v>432</v>
      </c>
      <c r="AM1185" s="137" t="s">
        <v>432</v>
      </c>
      <c r="AN1185" s="137" t="s">
        <v>432</v>
      </c>
      <c r="AO1185" s="137" t="s">
        <v>432</v>
      </c>
      <c r="AP1185" s="137" t="s">
        <v>432</v>
      </c>
      <c r="AQ1185" s="137" t="s">
        <v>432</v>
      </c>
      <c r="AR1185" s="137" t="s">
        <v>432</v>
      </c>
      <c r="AS1185" s="137" t="s">
        <v>432</v>
      </c>
      <c r="AT1185" s="137" t="s">
        <v>432</v>
      </c>
      <c r="AU1185" s="137" t="s">
        <v>432</v>
      </c>
      <c r="AV1185" s="137" t="s">
        <v>432</v>
      </c>
      <c r="AW1185" s="137" t="s">
        <v>432</v>
      </c>
      <c r="AX1185" s="137" t="s">
        <v>432</v>
      </c>
      <c r="AY1185" s="137" t="s">
        <v>432</v>
      </c>
      <c r="AZ1185" s="137" t="s">
        <v>432</v>
      </c>
      <c r="BA1185" s="137" t="s">
        <v>432</v>
      </c>
      <c r="BB1185" s="239" t="str">
        <f t="shared" si="331"/>
        <v>Gratuidades e descontosacessibilidade</v>
      </c>
      <c r="BC1185" s="239" t="str">
        <f t="shared" si="332"/>
        <v>Gratuidades e descontosacessibilidadex</v>
      </c>
      <c r="BD1185" s="239" t="str">
        <f t="shared" si="333"/>
        <v>Gratuidades e descontosx</v>
      </c>
    </row>
    <row r="1186" spans="1:56" s="1" customFormat="1" ht="25.5" x14ac:dyDescent="0.25">
      <c r="A1186" s="275" t="str">
        <f>'Q100b-totais'!$B$12</f>
        <v>1.3</v>
      </c>
      <c r="B1186" s="54" t="s">
        <v>826</v>
      </c>
      <c r="C1186" s="167" t="s">
        <v>743</v>
      </c>
      <c r="D1186" s="323" t="s">
        <v>1125</v>
      </c>
      <c r="E1186" s="1491" t="s">
        <v>1306</v>
      </c>
      <c r="F1186" s="24" t="s">
        <v>1637</v>
      </c>
      <c r="G1186" s="110" t="s">
        <v>77</v>
      </c>
      <c r="H1186" s="168" t="s">
        <v>432</v>
      </c>
      <c r="I1186" s="167">
        <v>1</v>
      </c>
      <c r="J1186" s="109" t="s">
        <v>432</v>
      </c>
      <c r="K1186" s="109" t="s">
        <v>432</v>
      </c>
      <c r="L1186" s="109" t="s">
        <v>432</v>
      </c>
      <c r="M1186" s="109" t="s">
        <v>432</v>
      </c>
      <c r="N1186" s="109" t="s">
        <v>432</v>
      </c>
      <c r="O1186" s="93" t="s">
        <v>432</v>
      </c>
      <c r="P1186" s="93" t="s">
        <v>432</v>
      </c>
      <c r="Q1186" s="93" t="s">
        <v>432</v>
      </c>
      <c r="R1186" s="93" t="s">
        <v>432</v>
      </c>
      <c r="S1186" s="109" t="s">
        <v>2209</v>
      </c>
      <c r="T1186" s="93" t="s">
        <v>432</v>
      </c>
      <c r="U1186" s="93" t="s">
        <v>432</v>
      </c>
      <c r="V1186" s="109" t="s">
        <v>2209</v>
      </c>
      <c r="W1186" s="93" t="s">
        <v>432</v>
      </c>
      <c r="X1186" s="93" t="s">
        <v>432</v>
      </c>
      <c r="Y1186" s="93" t="s">
        <v>432</v>
      </c>
      <c r="Z1186" s="93" t="s">
        <v>432</v>
      </c>
      <c r="AA1186" s="93" t="s">
        <v>432</v>
      </c>
      <c r="AB1186" s="93" t="s">
        <v>432</v>
      </c>
      <c r="AC1186" s="93" t="s">
        <v>432</v>
      </c>
      <c r="AD1186" s="93" t="s">
        <v>432</v>
      </c>
      <c r="AE1186" s="93" t="s">
        <v>432</v>
      </c>
      <c r="AF1186" s="93" t="s">
        <v>432</v>
      </c>
      <c r="AG1186" s="93" t="s">
        <v>432</v>
      </c>
      <c r="AH1186" s="93" t="s">
        <v>432</v>
      </c>
      <c r="AI1186" s="93" t="s">
        <v>432</v>
      </c>
      <c r="AJ1186" s="93" t="s">
        <v>432</v>
      </c>
      <c r="AK1186" s="84">
        <v>1191</v>
      </c>
      <c r="AL1186" s="601" t="s">
        <v>432</v>
      </c>
      <c r="AM1186" s="137" t="s">
        <v>432</v>
      </c>
      <c r="AN1186" s="137" t="s">
        <v>432</v>
      </c>
      <c r="AO1186" s="137" t="s">
        <v>432</v>
      </c>
      <c r="AP1186" s="137" t="s">
        <v>432</v>
      </c>
      <c r="AQ1186" s="137" t="s">
        <v>432</v>
      </c>
      <c r="AR1186" s="137" t="s">
        <v>432</v>
      </c>
      <c r="AS1186" s="137" t="s">
        <v>432</v>
      </c>
      <c r="AT1186" s="137" t="s">
        <v>432</v>
      </c>
      <c r="AU1186" s="137" t="s">
        <v>432</v>
      </c>
      <c r="AV1186" s="137" t="s">
        <v>432</v>
      </c>
      <c r="AW1186" s="137" t="s">
        <v>432</v>
      </c>
      <c r="AX1186" s="137" t="s">
        <v>432</v>
      </c>
      <c r="AY1186" s="137" t="s">
        <v>432</v>
      </c>
      <c r="AZ1186" s="137" t="s">
        <v>432</v>
      </c>
      <c r="BA1186" s="137" t="s">
        <v>432</v>
      </c>
      <c r="BB1186" s="239" t="str">
        <f t="shared" si="331"/>
        <v>Gratuidades e descontosacessibilidade</v>
      </c>
      <c r="BC1186" s="239" t="str">
        <f t="shared" si="332"/>
        <v>Gratuidades e descontosacessibilidadex</v>
      </c>
      <c r="BD1186" s="239" t="str">
        <f t="shared" si="333"/>
        <v>Gratuidades e descontosx</v>
      </c>
    </row>
    <row r="1187" spans="1:56" s="1" customFormat="1" ht="25.5" x14ac:dyDescent="0.25">
      <c r="A1187" s="275" t="str">
        <f>'Q100b-totais'!$B$12</f>
        <v>1.3</v>
      </c>
      <c r="B1187" s="54" t="s">
        <v>826</v>
      </c>
      <c r="C1187" s="167" t="s">
        <v>743</v>
      </c>
      <c r="D1187" s="323" t="s">
        <v>1126</v>
      </c>
      <c r="E1187" s="1491" t="s">
        <v>1306</v>
      </c>
      <c r="F1187" s="24" t="s">
        <v>1638</v>
      </c>
      <c r="G1187" s="110" t="s">
        <v>77</v>
      </c>
      <c r="H1187" s="168" t="s">
        <v>432</v>
      </c>
      <c r="I1187" s="167">
        <v>1</v>
      </c>
      <c r="J1187" s="109" t="s">
        <v>432</v>
      </c>
      <c r="K1187" s="109" t="s">
        <v>432</v>
      </c>
      <c r="L1187" s="109" t="s">
        <v>432</v>
      </c>
      <c r="M1187" s="109" t="s">
        <v>432</v>
      </c>
      <c r="N1187" s="109" t="s">
        <v>432</v>
      </c>
      <c r="O1187" s="93" t="s">
        <v>432</v>
      </c>
      <c r="P1187" s="93" t="s">
        <v>432</v>
      </c>
      <c r="Q1187" s="93" t="s">
        <v>432</v>
      </c>
      <c r="R1187" s="93" t="s">
        <v>432</v>
      </c>
      <c r="S1187" s="109" t="s">
        <v>2209</v>
      </c>
      <c r="T1187" s="93" t="s">
        <v>432</v>
      </c>
      <c r="U1187" s="93" t="s">
        <v>432</v>
      </c>
      <c r="V1187" s="109" t="s">
        <v>2209</v>
      </c>
      <c r="W1187" s="93" t="s">
        <v>432</v>
      </c>
      <c r="X1187" s="93" t="s">
        <v>432</v>
      </c>
      <c r="Y1187" s="93" t="s">
        <v>432</v>
      </c>
      <c r="Z1187" s="93" t="s">
        <v>432</v>
      </c>
      <c r="AA1187" s="93" t="s">
        <v>432</v>
      </c>
      <c r="AB1187" s="93" t="s">
        <v>432</v>
      </c>
      <c r="AC1187" s="93" t="s">
        <v>432</v>
      </c>
      <c r="AD1187" s="93" t="s">
        <v>432</v>
      </c>
      <c r="AE1187" s="93" t="s">
        <v>432</v>
      </c>
      <c r="AF1187" s="93" t="s">
        <v>432</v>
      </c>
      <c r="AG1187" s="93" t="s">
        <v>432</v>
      </c>
      <c r="AH1187" s="93" t="s">
        <v>432</v>
      </c>
      <c r="AI1187" s="93" t="s">
        <v>432</v>
      </c>
      <c r="AJ1187" s="93" t="s">
        <v>432</v>
      </c>
      <c r="AK1187" s="84">
        <v>882</v>
      </c>
      <c r="AL1187" s="601" t="s">
        <v>432</v>
      </c>
      <c r="AM1187" s="137" t="s">
        <v>432</v>
      </c>
      <c r="AN1187" s="137" t="s">
        <v>432</v>
      </c>
      <c r="AO1187" s="137" t="s">
        <v>432</v>
      </c>
      <c r="AP1187" s="137" t="s">
        <v>432</v>
      </c>
      <c r="AQ1187" s="137" t="s">
        <v>432</v>
      </c>
      <c r="AR1187" s="137" t="s">
        <v>432</v>
      </c>
      <c r="AS1187" s="137" t="s">
        <v>432</v>
      </c>
      <c r="AT1187" s="137" t="s">
        <v>432</v>
      </c>
      <c r="AU1187" s="137" t="s">
        <v>432</v>
      </c>
      <c r="AV1187" s="137" t="s">
        <v>432</v>
      </c>
      <c r="AW1187" s="137" t="s">
        <v>432</v>
      </c>
      <c r="AX1187" s="137" t="s">
        <v>432</v>
      </c>
      <c r="AY1187" s="137" t="s">
        <v>432</v>
      </c>
      <c r="AZ1187" s="137" t="s">
        <v>432</v>
      </c>
      <c r="BA1187" s="137" t="s">
        <v>432</v>
      </c>
      <c r="BB1187" s="239" t="str">
        <f t="shared" si="331"/>
        <v>Gratuidades e descontosacessibilidade</v>
      </c>
      <c r="BC1187" s="239" t="str">
        <f t="shared" si="332"/>
        <v>Gratuidades e descontosacessibilidadex</v>
      </c>
      <c r="BD1187" s="239" t="str">
        <f t="shared" si="333"/>
        <v>Gratuidades e descontosx</v>
      </c>
    </row>
    <row r="1188" spans="1:56" s="1" customFormat="1" ht="25.5" x14ac:dyDescent="0.25">
      <c r="A1188" s="275" t="str">
        <f>'Q100b-totais'!$B$12</f>
        <v>1.3</v>
      </c>
      <c r="B1188" s="54" t="s">
        <v>826</v>
      </c>
      <c r="C1188" s="167" t="s">
        <v>743</v>
      </c>
      <c r="D1188" s="323" t="s">
        <v>1127</v>
      </c>
      <c r="E1188" s="1491" t="s">
        <v>1306</v>
      </c>
      <c r="F1188" s="24" t="s">
        <v>1639</v>
      </c>
      <c r="G1188" s="110" t="s">
        <v>77</v>
      </c>
      <c r="H1188" s="168" t="s">
        <v>432</v>
      </c>
      <c r="I1188" s="167">
        <v>1</v>
      </c>
      <c r="J1188" s="109" t="s">
        <v>432</v>
      </c>
      <c r="K1188" s="109" t="s">
        <v>432</v>
      </c>
      <c r="L1188" s="109" t="s">
        <v>432</v>
      </c>
      <c r="M1188" s="109" t="s">
        <v>432</v>
      </c>
      <c r="N1188" s="109" t="s">
        <v>432</v>
      </c>
      <c r="O1188" s="93" t="s">
        <v>432</v>
      </c>
      <c r="P1188" s="93" t="s">
        <v>432</v>
      </c>
      <c r="Q1188" s="93" t="s">
        <v>432</v>
      </c>
      <c r="R1188" s="93" t="s">
        <v>432</v>
      </c>
      <c r="S1188" s="109" t="s">
        <v>2209</v>
      </c>
      <c r="T1188" s="93" t="s">
        <v>432</v>
      </c>
      <c r="U1188" s="93" t="s">
        <v>432</v>
      </c>
      <c r="V1188" s="109" t="s">
        <v>2209</v>
      </c>
      <c r="W1188" s="93" t="s">
        <v>432</v>
      </c>
      <c r="X1188" s="93" t="s">
        <v>432</v>
      </c>
      <c r="Y1188" s="93" t="s">
        <v>432</v>
      </c>
      <c r="Z1188" s="93" t="s">
        <v>432</v>
      </c>
      <c r="AA1188" s="93" t="s">
        <v>432</v>
      </c>
      <c r="AB1188" s="93" t="s">
        <v>432</v>
      </c>
      <c r="AC1188" s="93" t="s">
        <v>432</v>
      </c>
      <c r="AD1188" s="93" t="s">
        <v>432</v>
      </c>
      <c r="AE1188" s="93" t="s">
        <v>432</v>
      </c>
      <c r="AF1188" s="93" t="s">
        <v>432</v>
      </c>
      <c r="AG1188" s="93" t="s">
        <v>432</v>
      </c>
      <c r="AH1188" s="93" t="s">
        <v>432</v>
      </c>
      <c r="AI1188" s="93" t="s">
        <v>432</v>
      </c>
      <c r="AJ1188" s="93" t="s">
        <v>432</v>
      </c>
      <c r="AK1188" s="84">
        <v>1093</v>
      </c>
      <c r="AL1188" s="601" t="s">
        <v>432</v>
      </c>
      <c r="AM1188" s="137" t="s">
        <v>432</v>
      </c>
      <c r="AN1188" s="137" t="s">
        <v>432</v>
      </c>
      <c r="AO1188" s="137" t="s">
        <v>432</v>
      </c>
      <c r="AP1188" s="137" t="s">
        <v>432</v>
      </c>
      <c r="AQ1188" s="137" t="s">
        <v>432</v>
      </c>
      <c r="AR1188" s="137" t="s">
        <v>432</v>
      </c>
      <c r="AS1188" s="137" t="s">
        <v>432</v>
      </c>
      <c r="AT1188" s="137" t="s">
        <v>432</v>
      </c>
      <c r="AU1188" s="137" t="s">
        <v>432</v>
      </c>
      <c r="AV1188" s="137" t="s">
        <v>432</v>
      </c>
      <c r="AW1188" s="137" t="s">
        <v>432</v>
      </c>
      <c r="AX1188" s="137" t="s">
        <v>432</v>
      </c>
      <c r="AY1188" s="137" t="s">
        <v>432</v>
      </c>
      <c r="AZ1188" s="137" t="s">
        <v>432</v>
      </c>
      <c r="BA1188" s="137" t="s">
        <v>432</v>
      </c>
      <c r="BB1188" s="239" t="str">
        <f t="shared" si="331"/>
        <v>Gratuidades e descontosacessibilidade</v>
      </c>
      <c r="BC1188" s="239" t="str">
        <f t="shared" si="332"/>
        <v>Gratuidades e descontosacessibilidadex</v>
      </c>
      <c r="BD1188" s="239" t="str">
        <f t="shared" si="333"/>
        <v>Gratuidades e descontosx</v>
      </c>
    </row>
    <row r="1189" spans="1:56" s="1" customFormat="1" ht="25.5" x14ac:dyDescent="0.25">
      <c r="A1189" s="275" t="str">
        <f>'Q100b-totais'!$B$12</f>
        <v>1.3</v>
      </c>
      <c r="B1189" s="54" t="s">
        <v>826</v>
      </c>
      <c r="C1189" s="167" t="s">
        <v>743</v>
      </c>
      <c r="D1189" s="323" t="s">
        <v>1128</v>
      </c>
      <c r="E1189" s="1491" t="s">
        <v>1306</v>
      </c>
      <c r="F1189" s="24" t="s">
        <v>1640</v>
      </c>
      <c r="G1189" s="110" t="s">
        <v>77</v>
      </c>
      <c r="H1189" s="168" t="s">
        <v>432</v>
      </c>
      <c r="I1189" s="167">
        <v>1</v>
      </c>
      <c r="J1189" s="109" t="s">
        <v>432</v>
      </c>
      <c r="K1189" s="109" t="s">
        <v>432</v>
      </c>
      <c r="L1189" s="109" t="s">
        <v>432</v>
      </c>
      <c r="M1189" s="109" t="s">
        <v>432</v>
      </c>
      <c r="N1189" s="109" t="s">
        <v>432</v>
      </c>
      <c r="O1189" s="93" t="s">
        <v>432</v>
      </c>
      <c r="P1189" s="93" t="s">
        <v>432</v>
      </c>
      <c r="Q1189" s="93" t="s">
        <v>432</v>
      </c>
      <c r="R1189" s="93" t="s">
        <v>432</v>
      </c>
      <c r="S1189" s="109" t="s">
        <v>2209</v>
      </c>
      <c r="T1189" s="93" t="s">
        <v>432</v>
      </c>
      <c r="U1189" s="93" t="s">
        <v>432</v>
      </c>
      <c r="V1189" s="109" t="s">
        <v>2209</v>
      </c>
      <c r="W1189" s="93" t="s">
        <v>432</v>
      </c>
      <c r="X1189" s="93" t="s">
        <v>432</v>
      </c>
      <c r="Y1189" s="93" t="s">
        <v>432</v>
      </c>
      <c r="Z1189" s="93" t="s">
        <v>432</v>
      </c>
      <c r="AA1189" s="93" t="s">
        <v>432</v>
      </c>
      <c r="AB1189" s="93" t="s">
        <v>432</v>
      </c>
      <c r="AC1189" s="93" t="s">
        <v>432</v>
      </c>
      <c r="AD1189" s="93" t="s">
        <v>432</v>
      </c>
      <c r="AE1189" s="93" t="s">
        <v>432</v>
      </c>
      <c r="AF1189" s="93" t="s">
        <v>432</v>
      </c>
      <c r="AG1189" s="93" t="s">
        <v>432</v>
      </c>
      <c r="AH1189" s="93" t="s">
        <v>432</v>
      </c>
      <c r="AI1189" s="93" t="s">
        <v>432</v>
      </c>
      <c r="AJ1189" s="93" t="s">
        <v>432</v>
      </c>
      <c r="AK1189" s="84">
        <v>605</v>
      </c>
      <c r="AL1189" s="601" t="s">
        <v>432</v>
      </c>
      <c r="AM1189" s="137" t="s">
        <v>432</v>
      </c>
      <c r="AN1189" s="137" t="s">
        <v>432</v>
      </c>
      <c r="AO1189" s="137" t="s">
        <v>432</v>
      </c>
      <c r="AP1189" s="137" t="s">
        <v>432</v>
      </c>
      <c r="AQ1189" s="137" t="s">
        <v>432</v>
      </c>
      <c r="AR1189" s="137" t="s">
        <v>432</v>
      </c>
      <c r="AS1189" s="137" t="s">
        <v>432</v>
      </c>
      <c r="AT1189" s="137" t="s">
        <v>432</v>
      </c>
      <c r="AU1189" s="137" t="s">
        <v>432</v>
      </c>
      <c r="AV1189" s="137" t="s">
        <v>432</v>
      </c>
      <c r="AW1189" s="137" t="s">
        <v>432</v>
      </c>
      <c r="AX1189" s="137" t="s">
        <v>432</v>
      </c>
      <c r="AY1189" s="137" t="s">
        <v>432</v>
      </c>
      <c r="AZ1189" s="137" t="s">
        <v>432</v>
      </c>
      <c r="BA1189" s="137" t="s">
        <v>432</v>
      </c>
      <c r="BB1189" s="239" t="str">
        <f t="shared" si="331"/>
        <v>Gratuidades e descontosacessibilidade</v>
      </c>
      <c r="BC1189" s="239" t="str">
        <f t="shared" si="332"/>
        <v>Gratuidades e descontosacessibilidadex</v>
      </c>
      <c r="BD1189" s="239" t="str">
        <f t="shared" si="333"/>
        <v>Gratuidades e descontosx</v>
      </c>
    </row>
    <row r="1190" spans="1:56" s="1" customFormat="1" ht="150.75" customHeight="1" x14ac:dyDescent="0.25">
      <c r="A1190" s="275" t="str">
        <f>'Q100b-totais'!$B$12</f>
        <v>1.3</v>
      </c>
      <c r="B1190" s="54" t="s">
        <v>826</v>
      </c>
      <c r="C1190" s="167" t="s">
        <v>743</v>
      </c>
      <c r="D1190" s="378" t="s">
        <v>974</v>
      </c>
      <c r="E1190" s="1494" t="s">
        <v>1306</v>
      </c>
      <c r="F1190" s="354" t="s">
        <v>1641</v>
      </c>
      <c r="G1190" s="58" t="s">
        <v>1107</v>
      </c>
      <c r="H1190" s="168" t="s">
        <v>432</v>
      </c>
      <c r="I1190" s="167">
        <v>1</v>
      </c>
      <c r="J1190" s="109" t="s">
        <v>432</v>
      </c>
      <c r="K1190" s="109" t="s">
        <v>432</v>
      </c>
      <c r="L1190" s="109" t="s">
        <v>432</v>
      </c>
      <c r="M1190" s="109" t="s">
        <v>432</v>
      </c>
      <c r="N1190" s="109" t="s">
        <v>432</v>
      </c>
      <c r="O1190" s="86">
        <v>25209</v>
      </c>
      <c r="P1190" s="58" t="s">
        <v>432</v>
      </c>
      <c r="Q1190" s="58" t="s">
        <v>432</v>
      </c>
      <c r="R1190" s="58" t="s">
        <v>432</v>
      </c>
      <c r="S1190" s="109" t="s">
        <v>2209</v>
      </c>
      <c r="T1190" s="251">
        <f>SUBTOTAL(9,T1165:T1185)</f>
        <v>35802</v>
      </c>
      <c r="U1190" s="58" t="s">
        <v>432</v>
      </c>
      <c r="V1190" s="109" t="s">
        <v>2209</v>
      </c>
      <c r="W1190" s="86">
        <v>43645</v>
      </c>
      <c r="X1190" s="86">
        <v>45975</v>
      </c>
      <c r="Y1190" s="86">
        <v>46995</v>
      </c>
      <c r="Z1190" s="86">
        <v>41272</v>
      </c>
      <c r="AA1190" s="86">
        <v>44090</v>
      </c>
      <c r="AB1190" s="86">
        <v>46896</v>
      </c>
      <c r="AC1190" s="86">
        <v>38926</v>
      </c>
      <c r="AD1190" s="86">
        <v>34691</v>
      </c>
      <c r="AE1190" s="86">
        <v>33830</v>
      </c>
      <c r="AF1190" s="93" t="s">
        <v>432</v>
      </c>
      <c r="AG1190" s="93" t="s">
        <v>432</v>
      </c>
      <c r="AH1190" s="93" t="s">
        <v>432</v>
      </c>
      <c r="AI1190" s="93" t="s">
        <v>432</v>
      </c>
      <c r="AJ1190" s="93" t="s">
        <v>432</v>
      </c>
      <c r="AK1190" s="20">
        <f>AK1185+AK1180+AK1175+AK1170+AK1165</f>
        <v>27622</v>
      </c>
      <c r="AL1190" s="601" t="s">
        <v>432</v>
      </c>
      <c r="AM1190" s="137" t="s">
        <v>432</v>
      </c>
      <c r="AN1190" s="137" t="s">
        <v>432</v>
      </c>
      <c r="AO1190" s="137" t="s">
        <v>432</v>
      </c>
      <c r="AP1190" s="137" t="s">
        <v>432</v>
      </c>
      <c r="AQ1190" s="137" t="s">
        <v>432</v>
      </c>
      <c r="AR1190" s="137" t="s">
        <v>432</v>
      </c>
      <c r="AS1190" s="137" t="s">
        <v>432</v>
      </c>
      <c r="AT1190" s="137" t="s">
        <v>432</v>
      </c>
      <c r="AU1190" s="137" t="s">
        <v>432</v>
      </c>
      <c r="AV1190" s="137" t="s">
        <v>432</v>
      </c>
      <c r="AW1190" s="137" t="s">
        <v>432</v>
      </c>
      <c r="AX1190" s="137" t="s">
        <v>432</v>
      </c>
      <c r="AY1190" s="137" t="s">
        <v>432</v>
      </c>
      <c r="AZ1190" s="137" t="s">
        <v>432</v>
      </c>
      <c r="BA1190" s="137" t="s">
        <v>432</v>
      </c>
      <c r="BB1190" s="239" t="str">
        <f t="shared" si="331"/>
        <v>Gratuidades e descontosacessibilidade</v>
      </c>
      <c r="BC1190" s="239" t="str">
        <f t="shared" si="332"/>
        <v>Gratuidades e descontosacessibilidadex</v>
      </c>
      <c r="BD1190" s="239" t="str">
        <f t="shared" si="333"/>
        <v>Gratuidades e descontosx</v>
      </c>
    </row>
    <row r="1191" spans="1:56" s="1" customFormat="1" ht="25.5" x14ac:dyDescent="0.25">
      <c r="A1191" s="275" t="str">
        <f>'Q100b-totais'!$B$12</f>
        <v>1.3</v>
      </c>
      <c r="B1191" s="54" t="s">
        <v>826</v>
      </c>
      <c r="C1191" s="167" t="s">
        <v>743</v>
      </c>
      <c r="D1191" s="323" t="s">
        <v>1129</v>
      </c>
      <c r="E1191" s="1491" t="s">
        <v>1306</v>
      </c>
      <c r="F1191" s="24" t="s">
        <v>1137</v>
      </c>
      <c r="G1191" s="58" t="s">
        <v>1145</v>
      </c>
      <c r="H1191" s="168" t="s">
        <v>432</v>
      </c>
      <c r="I1191" s="167">
        <v>1</v>
      </c>
      <c r="J1191" s="109" t="s">
        <v>432</v>
      </c>
      <c r="K1191" s="109" t="s">
        <v>432</v>
      </c>
      <c r="L1191" s="109" t="s">
        <v>432</v>
      </c>
      <c r="M1191" s="109" t="s">
        <v>432</v>
      </c>
      <c r="N1191" s="109" t="s">
        <v>432</v>
      </c>
      <c r="O1191" s="58" t="s">
        <v>432</v>
      </c>
      <c r="P1191" s="58" t="s">
        <v>432</v>
      </c>
      <c r="Q1191" s="58" t="s">
        <v>432</v>
      </c>
      <c r="R1191" s="58" t="s">
        <v>432</v>
      </c>
      <c r="S1191" s="109" t="s">
        <v>2209</v>
      </c>
      <c r="T1191" s="58" t="s">
        <v>432</v>
      </c>
      <c r="U1191" s="58" t="s">
        <v>432</v>
      </c>
      <c r="V1191" s="109" t="s">
        <v>2209</v>
      </c>
      <c r="W1191" s="86" t="s">
        <v>432</v>
      </c>
      <c r="X1191" s="86" t="s">
        <v>432</v>
      </c>
      <c r="Y1191" s="86" t="s">
        <v>432</v>
      </c>
      <c r="Z1191" s="86" t="s">
        <v>432</v>
      </c>
      <c r="AA1191" s="86" t="s">
        <v>432</v>
      </c>
      <c r="AB1191" s="86" t="s">
        <v>432</v>
      </c>
      <c r="AC1191" s="86" t="s">
        <v>432</v>
      </c>
      <c r="AD1191" s="86" t="s">
        <v>432</v>
      </c>
      <c r="AE1191" s="86" t="s">
        <v>432</v>
      </c>
      <c r="AF1191" s="86" t="s">
        <v>432</v>
      </c>
      <c r="AG1191" s="86" t="s">
        <v>432</v>
      </c>
      <c r="AH1191" s="86" t="s">
        <v>432</v>
      </c>
      <c r="AI1191" s="86" t="s">
        <v>432</v>
      </c>
      <c r="AJ1191" s="86" t="s">
        <v>432</v>
      </c>
      <c r="AK1191" s="20">
        <f>AK1197+AK1199</f>
        <v>14031</v>
      </c>
      <c r="AL1191" s="601" t="s">
        <v>432</v>
      </c>
      <c r="AM1191" s="137" t="s">
        <v>432</v>
      </c>
      <c r="AN1191" s="137" t="s">
        <v>432</v>
      </c>
      <c r="AO1191" s="137" t="s">
        <v>432</v>
      </c>
      <c r="AP1191" s="137" t="s">
        <v>432</v>
      </c>
      <c r="AQ1191" s="137" t="s">
        <v>432</v>
      </c>
      <c r="AR1191" s="137" t="s">
        <v>432</v>
      </c>
      <c r="AS1191" s="137" t="s">
        <v>432</v>
      </c>
      <c r="AT1191" s="137" t="s">
        <v>432</v>
      </c>
      <c r="AU1191" s="137" t="s">
        <v>432</v>
      </c>
      <c r="AV1191" s="137" t="s">
        <v>432</v>
      </c>
      <c r="AW1191" s="137" t="s">
        <v>432</v>
      </c>
      <c r="AX1191" s="137" t="s">
        <v>432</v>
      </c>
      <c r="AY1191" s="137" t="s">
        <v>432</v>
      </c>
      <c r="AZ1191" s="137" t="s">
        <v>432</v>
      </c>
      <c r="BA1191" s="137" t="s">
        <v>432</v>
      </c>
      <c r="BB1191" s="239" t="str">
        <f t="shared" si="331"/>
        <v>Gratuidades e descontosacessibilidade</v>
      </c>
      <c r="BC1191" s="239" t="str">
        <f t="shared" si="332"/>
        <v>Gratuidades e descontosacessibilidadex</v>
      </c>
      <c r="BD1191" s="239" t="str">
        <f t="shared" si="333"/>
        <v>Gratuidades e descontosx</v>
      </c>
    </row>
    <row r="1192" spans="1:56" s="1" customFormat="1" ht="25.5" x14ac:dyDescent="0.25">
      <c r="A1192" s="275" t="str">
        <f>'Q100b-totais'!$B$12</f>
        <v>1.3</v>
      </c>
      <c r="B1192" s="54" t="s">
        <v>826</v>
      </c>
      <c r="C1192" s="167" t="s">
        <v>743</v>
      </c>
      <c r="D1192" s="323" t="s">
        <v>1130</v>
      </c>
      <c r="E1192" s="1491" t="s">
        <v>1306</v>
      </c>
      <c r="F1192" s="24" t="s">
        <v>1138</v>
      </c>
      <c r="G1192" s="58" t="s">
        <v>1146</v>
      </c>
      <c r="H1192" s="168" t="s">
        <v>432</v>
      </c>
      <c r="I1192" s="167">
        <v>1</v>
      </c>
      <c r="J1192" s="109" t="s">
        <v>432</v>
      </c>
      <c r="K1192" s="109" t="s">
        <v>432</v>
      </c>
      <c r="L1192" s="109" t="s">
        <v>432</v>
      </c>
      <c r="M1192" s="109" t="s">
        <v>432</v>
      </c>
      <c r="N1192" s="109" t="s">
        <v>432</v>
      </c>
      <c r="O1192" s="58" t="s">
        <v>432</v>
      </c>
      <c r="P1192" s="58" t="s">
        <v>432</v>
      </c>
      <c r="Q1192" s="58" t="s">
        <v>432</v>
      </c>
      <c r="R1192" s="58" t="s">
        <v>432</v>
      </c>
      <c r="S1192" s="109" t="s">
        <v>2209</v>
      </c>
      <c r="T1192" s="58" t="s">
        <v>432</v>
      </c>
      <c r="U1192" s="58" t="s">
        <v>432</v>
      </c>
      <c r="V1192" s="109" t="s">
        <v>2209</v>
      </c>
      <c r="W1192" s="86" t="s">
        <v>432</v>
      </c>
      <c r="X1192" s="86" t="s">
        <v>432</v>
      </c>
      <c r="Y1192" s="86" t="s">
        <v>432</v>
      </c>
      <c r="Z1192" s="86" t="s">
        <v>432</v>
      </c>
      <c r="AA1192" s="86" t="s">
        <v>432</v>
      </c>
      <c r="AB1192" s="86" t="s">
        <v>432</v>
      </c>
      <c r="AC1192" s="86" t="s">
        <v>432</v>
      </c>
      <c r="AD1192" s="86" t="s">
        <v>432</v>
      </c>
      <c r="AE1192" s="86" t="s">
        <v>432</v>
      </c>
      <c r="AF1192" s="86" t="s">
        <v>432</v>
      </c>
      <c r="AG1192" s="86" t="s">
        <v>432</v>
      </c>
      <c r="AH1192" s="86" t="s">
        <v>432</v>
      </c>
      <c r="AI1192" s="86" t="s">
        <v>432</v>
      </c>
      <c r="AJ1192" s="86" t="s">
        <v>432</v>
      </c>
      <c r="AK1192" s="20">
        <f>AK1197+AK1198</f>
        <v>16038</v>
      </c>
      <c r="AL1192" s="601" t="s">
        <v>432</v>
      </c>
      <c r="AM1192" s="137" t="s">
        <v>432</v>
      </c>
      <c r="AN1192" s="137" t="s">
        <v>432</v>
      </c>
      <c r="AO1192" s="137" t="s">
        <v>432</v>
      </c>
      <c r="AP1192" s="137" t="s">
        <v>432</v>
      </c>
      <c r="AQ1192" s="137" t="s">
        <v>432</v>
      </c>
      <c r="AR1192" s="137" t="s">
        <v>432</v>
      </c>
      <c r="AS1192" s="137" t="s">
        <v>432</v>
      </c>
      <c r="AT1192" s="137" t="s">
        <v>432</v>
      </c>
      <c r="AU1192" s="137" t="s">
        <v>432</v>
      </c>
      <c r="AV1192" s="137" t="s">
        <v>432</v>
      </c>
      <c r="AW1192" s="137" t="s">
        <v>432</v>
      </c>
      <c r="AX1192" s="137" t="s">
        <v>432</v>
      </c>
      <c r="AY1192" s="137" t="s">
        <v>432</v>
      </c>
      <c r="AZ1192" s="137" t="s">
        <v>432</v>
      </c>
      <c r="BA1192" s="137" t="s">
        <v>432</v>
      </c>
      <c r="BB1192" s="239" t="str">
        <f t="shared" si="331"/>
        <v>Gratuidades e descontosacessibilidade</v>
      </c>
      <c r="BC1192" s="239" t="str">
        <f t="shared" si="332"/>
        <v>Gratuidades e descontosacessibilidadex</v>
      </c>
      <c r="BD1192" s="239" t="str">
        <f t="shared" si="333"/>
        <v>Gratuidades e descontosx</v>
      </c>
    </row>
    <row r="1193" spans="1:56" s="1" customFormat="1" ht="102" customHeight="1" x14ac:dyDescent="0.25">
      <c r="A1193" s="275" t="str">
        <f>A1191</f>
        <v>1.3</v>
      </c>
      <c r="B1193" s="54" t="str">
        <f>B1191</f>
        <v>Gratuidades e descontos</v>
      </c>
      <c r="C1193" s="167" t="s">
        <v>743</v>
      </c>
      <c r="D1193" s="323" t="s">
        <v>2023</v>
      </c>
      <c r="E1193" s="1491" t="s">
        <v>1298</v>
      </c>
      <c r="F1193" s="24" t="s">
        <v>2069</v>
      </c>
      <c r="G1193" s="230" t="s">
        <v>3507</v>
      </c>
      <c r="H1193" s="167" t="s">
        <v>2408</v>
      </c>
      <c r="I1193" s="167" t="s">
        <v>432</v>
      </c>
      <c r="J1193" s="109" t="s">
        <v>432</v>
      </c>
      <c r="K1193" s="109" t="s">
        <v>432</v>
      </c>
      <c r="L1193" s="109" t="s">
        <v>432</v>
      </c>
      <c r="M1193" s="109" t="s">
        <v>432</v>
      </c>
      <c r="N1193" s="109" t="s">
        <v>432</v>
      </c>
      <c r="O1193" s="109" t="s">
        <v>432</v>
      </c>
      <c r="P1193" s="109" t="s">
        <v>432</v>
      </c>
      <c r="Q1193" s="109" t="s">
        <v>432</v>
      </c>
      <c r="R1193" s="109" t="s">
        <v>432</v>
      </c>
      <c r="S1193" s="109" t="s">
        <v>2209</v>
      </c>
      <c r="T1193" s="109" t="s">
        <v>432</v>
      </c>
      <c r="U1193" s="109" t="s">
        <v>432</v>
      </c>
      <c r="V1193" s="109" t="s">
        <v>2209</v>
      </c>
      <c r="W1193" s="109" t="s">
        <v>432</v>
      </c>
      <c r="X1193" s="109" t="s">
        <v>432</v>
      </c>
      <c r="Y1193" s="109" t="s">
        <v>432</v>
      </c>
      <c r="Z1193" s="109" t="s">
        <v>432</v>
      </c>
      <c r="AA1193" s="109" t="s">
        <v>432</v>
      </c>
      <c r="AB1193" s="109" t="s">
        <v>432</v>
      </c>
      <c r="AC1193" s="109" t="s">
        <v>432</v>
      </c>
      <c r="AD1193" s="109" t="s">
        <v>432</v>
      </c>
      <c r="AE1193" s="109" t="s">
        <v>432</v>
      </c>
      <c r="AF1193" s="109" t="s">
        <v>432</v>
      </c>
      <c r="AG1193" s="109" t="s">
        <v>432</v>
      </c>
      <c r="AH1193" s="109" t="s">
        <v>432</v>
      </c>
      <c r="AI1193" s="109" t="s">
        <v>432</v>
      </c>
      <c r="AJ1193" s="109" t="s">
        <v>432</v>
      </c>
      <c r="AK1193" s="109" t="s">
        <v>432</v>
      </c>
      <c r="AL1193" s="601" t="s">
        <v>432</v>
      </c>
      <c r="AM1193" s="137" t="s">
        <v>432</v>
      </c>
      <c r="AN1193" s="137" t="s">
        <v>432</v>
      </c>
      <c r="AO1193" s="137" t="s">
        <v>432</v>
      </c>
      <c r="AP1193" s="137" t="s">
        <v>432</v>
      </c>
      <c r="AQ1193" s="137" t="s">
        <v>432</v>
      </c>
      <c r="AR1193" s="137" t="s">
        <v>432</v>
      </c>
      <c r="AS1193" s="137" t="s">
        <v>432</v>
      </c>
      <c r="AT1193" s="137" t="s">
        <v>432</v>
      </c>
      <c r="AU1193" s="137" t="s">
        <v>432</v>
      </c>
      <c r="AV1193" s="137" t="s">
        <v>432</v>
      </c>
      <c r="AW1193" s="137" t="s">
        <v>432</v>
      </c>
      <c r="AX1193" s="137" t="s">
        <v>432</v>
      </c>
      <c r="AY1193" s="137" t="s">
        <v>432</v>
      </c>
      <c r="AZ1193" s="137" t="s">
        <v>432</v>
      </c>
      <c r="BA1193" s="137" t="s">
        <v>432</v>
      </c>
      <c r="BB1193" s="239" t="str">
        <f t="shared" ref="BB1193:BB1202" si="334">B1193&amp;C1193</f>
        <v>Gratuidades e descontosacessibilidade</v>
      </c>
      <c r="BC1193" s="239" t="str">
        <f t="shared" ref="BC1193:BC1202" si="335">B1193&amp;C1193&amp;H1193</f>
        <v>Gratuidades e descontosacessibilidadesigla/verbete</v>
      </c>
      <c r="BD1193" s="239" t="str">
        <f t="shared" ref="BD1193:BD1202" si="336">B1193&amp;H1193</f>
        <v>Gratuidades e descontossigla/verbete</v>
      </c>
    </row>
    <row r="1194" spans="1:56" s="1" customFormat="1" ht="127.5" customHeight="1" x14ac:dyDescent="0.25">
      <c r="A1194" s="275" t="str">
        <f>A1192</f>
        <v>1.3</v>
      </c>
      <c r="B1194" s="54" t="str">
        <f>B1192</f>
        <v>Gratuidades e descontos</v>
      </c>
      <c r="C1194" s="167" t="s">
        <v>743</v>
      </c>
      <c r="D1194" s="323" t="s">
        <v>2023</v>
      </c>
      <c r="E1194" s="1491" t="s">
        <v>1767</v>
      </c>
      <c r="F1194" s="24" t="s">
        <v>2071</v>
      </c>
      <c r="G1194" s="230" t="s">
        <v>3507</v>
      </c>
      <c r="H1194" s="167" t="s">
        <v>2408</v>
      </c>
      <c r="I1194" s="167" t="s">
        <v>432</v>
      </c>
      <c r="J1194" s="109" t="s">
        <v>432</v>
      </c>
      <c r="K1194" s="109" t="s">
        <v>432</v>
      </c>
      <c r="L1194" s="109" t="s">
        <v>432</v>
      </c>
      <c r="M1194" s="109" t="s">
        <v>432</v>
      </c>
      <c r="N1194" s="109" t="s">
        <v>432</v>
      </c>
      <c r="O1194" s="109" t="s">
        <v>432</v>
      </c>
      <c r="P1194" s="109" t="s">
        <v>432</v>
      </c>
      <c r="Q1194" s="109" t="s">
        <v>432</v>
      </c>
      <c r="R1194" s="109" t="s">
        <v>432</v>
      </c>
      <c r="S1194" s="109" t="s">
        <v>2209</v>
      </c>
      <c r="T1194" s="109" t="s">
        <v>432</v>
      </c>
      <c r="U1194" s="109" t="s">
        <v>432</v>
      </c>
      <c r="V1194" s="109" t="s">
        <v>2209</v>
      </c>
      <c r="W1194" s="109" t="s">
        <v>432</v>
      </c>
      <c r="X1194" s="109" t="s">
        <v>432</v>
      </c>
      <c r="Y1194" s="109" t="s">
        <v>432</v>
      </c>
      <c r="Z1194" s="109" t="s">
        <v>432</v>
      </c>
      <c r="AA1194" s="109" t="s">
        <v>432</v>
      </c>
      <c r="AB1194" s="109" t="s">
        <v>432</v>
      </c>
      <c r="AC1194" s="109" t="s">
        <v>432</v>
      </c>
      <c r="AD1194" s="109" t="s">
        <v>432</v>
      </c>
      <c r="AE1194" s="109" t="s">
        <v>432</v>
      </c>
      <c r="AF1194" s="109" t="s">
        <v>432</v>
      </c>
      <c r="AG1194" s="109" t="s">
        <v>432</v>
      </c>
      <c r="AH1194" s="109" t="s">
        <v>432</v>
      </c>
      <c r="AI1194" s="109" t="s">
        <v>432</v>
      </c>
      <c r="AJ1194" s="109" t="s">
        <v>432</v>
      </c>
      <c r="AK1194" s="109" t="s">
        <v>432</v>
      </c>
      <c r="AL1194" s="601" t="s">
        <v>432</v>
      </c>
      <c r="AM1194" s="137" t="s">
        <v>432</v>
      </c>
      <c r="AN1194" s="137" t="s">
        <v>432</v>
      </c>
      <c r="AO1194" s="137" t="s">
        <v>432</v>
      </c>
      <c r="AP1194" s="137" t="s">
        <v>432</v>
      </c>
      <c r="AQ1194" s="137" t="s">
        <v>432</v>
      </c>
      <c r="AR1194" s="137" t="s">
        <v>432</v>
      </c>
      <c r="AS1194" s="137" t="s">
        <v>432</v>
      </c>
      <c r="AT1194" s="137" t="s">
        <v>432</v>
      </c>
      <c r="AU1194" s="137" t="s">
        <v>432</v>
      </c>
      <c r="AV1194" s="137" t="s">
        <v>432</v>
      </c>
      <c r="AW1194" s="137" t="s">
        <v>432</v>
      </c>
      <c r="AX1194" s="137" t="s">
        <v>432</v>
      </c>
      <c r="AY1194" s="137" t="s">
        <v>432</v>
      </c>
      <c r="AZ1194" s="137" t="s">
        <v>432</v>
      </c>
      <c r="BA1194" s="137" t="s">
        <v>432</v>
      </c>
      <c r="BB1194" s="239" t="str">
        <f t="shared" si="334"/>
        <v>Gratuidades e descontosacessibilidade</v>
      </c>
      <c r="BC1194" s="239" t="str">
        <f t="shared" si="335"/>
        <v>Gratuidades e descontosacessibilidadesigla/verbete</v>
      </c>
      <c r="BD1194" s="239" t="str">
        <f t="shared" si="336"/>
        <v>Gratuidades e descontossigla/verbete</v>
      </c>
    </row>
    <row r="1195" spans="1:56" s="1" customFormat="1" ht="25.5" x14ac:dyDescent="0.25">
      <c r="A1195" s="275" t="str">
        <f>'Q100b-totais'!$B$12</f>
        <v>1.3</v>
      </c>
      <c r="B1195" s="54" t="s">
        <v>826</v>
      </c>
      <c r="C1195" s="167" t="s">
        <v>743</v>
      </c>
      <c r="D1195" s="323" t="s">
        <v>1131</v>
      </c>
      <c r="E1195" s="1491" t="s">
        <v>1306</v>
      </c>
      <c r="F1195" s="24" t="s">
        <v>1139</v>
      </c>
      <c r="G1195" s="58" t="s">
        <v>1147</v>
      </c>
      <c r="H1195" s="168" t="s">
        <v>432</v>
      </c>
      <c r="I1195" s="167">
        <v>1</v>
      </c>
      <c r="J1195" s="109" t="s">
        <v>432</v>
      </c>
      <c r="K1195" s="109" t="s">
        <v>432</v>
      </c>
      <c r="L1195" s="109" t="s">
        <v>432</v>
      </c>
      <c r="M1195" s="109" t="s">
        <v>432</v>
      </c>
      <c r="N1195" s="109" t="s">
        <v>432</v>
      </c>
      <c r="O1195" s="58" t="s">
        <v>432</v>
      </c>
      <c r="P1195" s="58" t="s">
        <v>432</v>
      </c>
      <c r="Q1195" s="58" t="s">
        <v>432</v>
      </c>
      <c r="R1195" s="58" t="s">
        <v>432</v>
      </c>
      <c r="S1195" s="109" t="s">
        <v>2209</v>
      </c>
      <c r="T1195" s="58" t="s">
        <v>432</v>
      </c>
      <c r="U1195" s="58" t="s">
        <v>432</v>
      </c>
      <c r="V1195" s="109" t="s">
        <v>2209</v>
      </c>
      <c r="W1195" s="86" t="s">
        <v>432</v>
      </c>
      <c r="X1195" s="86" t="s">
        <v>432</v>
      </c>
      <c r="Y1195" s="86" t="s">
        <v>432</v>
      </c>
      <c r="Z1195" s="86" t="s">
        <v>432</v>
      </c>
      <c r="AA1195" s="86" t="s">
        <v>432</v>
      </c>
      <c r="AB1195" s="86" t="s">
        <v>432</v>
      </c>
      <c r="AC1195" s="86" t="s">
        <v>432</v>
      </c>
      <c r="AD1195" s="86" t="s">
        <v>432</v>
      </c>
      <c r="AE1195" s="86" t="s">
        <v>432</v>
      </c>
      <c r="AF1195" s="86" t="s">
        <v>432</v>
      </c>
      <c r="AG1195" s="86" t="s">
        <v>432</v>
      </c>
      <c r="AH1195" s="86" t="s">
        <v>432</v>
      </c>
      <c r="AI1195" s="86" t="s">
        <v>432</v>
      </c>
      <c r="AJ1195" s="86" t="s">
        <v>432</v>
      </c>
      <c r="AK1195" s="20">
        <f>AK1198+AK1200</f>
        <v>13591</v>
      </c>
      <c r="AL1195" s="601" t="s">
        <v>432</v>
      </c>
      <c r="AM1195" s="137" t="s">
        <v>432</v>
      </c>
      <c r="AN1195" s="137" t="s">
        <v>432</v>
      </c>
      <c r="AO1195" s="137" t="s">
        <v>432</v>
      </c>
      <c r="AP1195" s="137" t="s">
        <v>432</v>
      </c>
      <c r="AQ1195" s="137" t="s">
        <v>432</v>
      </c>
      <c r="AR1195" s="137" t="s">
        <v>432</v>
      </c>
      <c r="AS1195" s="137" t="s">
        <v>432</v>
      </c>
      <c r="AT1195" s="137" t="s">
        <v>432</v>
      </c>
      <c r="AU1195" s="137" t="s">
        <v>432</v>
      </c>
      <c r="AV1195" s="137" t="s">
        <v>432</v>
      </c>
      <c r="AW1195" s="137" t="s">
        <v>432</v>
      </c>
      <c r="AX1195" s="137" t="s">
        <v>432</v>
      </c>
      <c r="AY1195" s="137" t="s">
        <v>432</v>
      </c>
      <c r="AZ1195" s="137" t="s">
        <v>432</v>
      </c>
      <c r="BA1195" s="137" t="s">
        <v>432</v>
      </c>
      <c r="BB1195" s="239" t="str">
        <f t="shared" si="334"/>
        <v>Gratuidades e descontosacessibilidade</v>
      </c>
      <c r="BC1195" s="239" t="str">
        <f t="shared" si="335"/>
        <v>Gratuidades e descontosacessibilidadex</v>
      </c>
      <c r="BD1195" s="239" t="str">
        <f t="shared" si="336"/>
        <v>Gratuidades e descontosx</v>
      </c>
    </row>
    <row r="1196" spans="1:56" s="1" customFormat="1" ht="25.5" x14ac:dyDescent="0.25">
      <c r="A1196" s="275" t="str">
        <f>'Q100b-totais'!$B$12</f>
        <v>1.3</v>
      </c>
      <c r="B1196" s="54" t="s">
        <v>826</v>
      </c>
      <c r="C1196" s="167" t="s">
        <v>743</v>
      </c>
      <c r="D1196" s="323" t="s">
        <v>1132</v>
      </c>
      <c r="E1196" s="1491" t="s">
        <v>1306</v>
      </c>
      <c r="F1196" s="24" t="s">
        <v>1140</v>
      </c>
      <c r="G1196" s="58" t="s">
        <v>1148</v>
      </c>
      <c r="H1196" s="168" t="s">
        <v>432</v>
      </c>
      <c r="I1196" s="167">
        <v>1</v>
      </c>
      <c r="J1196" s="109" t="s">
        <v>432</v>
      </c>
      <c r="K1196" s="109" t="s">
        <v>432</v>
      </c>
      <c r="L1196" s="109" t="s">
        <v>432</v>
      </c>
      <c r="M1196" s="109" t="s">
        <v>432</v>
      </c>
      <c r="N1196" s="109" t="s">
        <v>432</v>
      </c>
      <c r="O1196" s="58" t="s">
        <v>432</v>
      </c>
      <c r="P1196" s="58" t="s">
        <v>432</v>
      </c>
      <c r="Q1196" s="58" t="s">
        <v>432</v>
      </c>
      <c r="R1196" s="58" t="s">
        <v>432</v>
      </c>
      <c r="S1196" s="109" t="s">
        <v>2209</v>
      </c>
      <c r="T1196" s="58" t="s">
        <v>432</v>
      </c>
      <c r="U1196" s="58" t="s">
        <v>432</v>
      </c>
      <c r="V1196" s="109" t="s">
        <v>2209</v>
      </c>
      <c r="W1196" s="86" t="s">
        <v>432</v>
      </c>
      <c r="X1196" s="86" t="s">
        <v>432</v>
      </c>
      <c r="Y1196" s="86" t="s">
        <v>432</v>
      </c>
      <c r="Z1196" s="86" t="s">
        <v>432</v>
      </c>
      <c r="AA1196" s="86" t="s">
        <v>432</v>
      </c>
      <c r="AB1196" s="86" t="s">
        <v>432</v>
      </c>
      <c r="AC1196" s="86" t="s">
        <v>432</v>
      </c>
      <c r="AD1196" s="86" t="s">
        <v>432</v>
      </c>
      <c r="AE1196" s="86" t="s">
        <v>432</v>
      </c>
      <c r="AF1196" s="86" t="s">
        <v>432</v>
      </c>
      <c r="AG1196" s="86" t="s">
        <v>432</v>
      </c>
      <c r="AH1196" s="86" t="s">
        <v>432</v>
      </c>
      <c r="AI1196" s="86" t="s">
        <v>432</v>
      </c>
      <c r="AJ1196" s="86" t="s">
        <v>432</v>
      </c>
      <c r="AK1196" s="20">
        <f>AK1199+AK1200</f>
        <v>11584</v>
      </c>
      <c r="AL1196" s="601" t="s">
        <v>432</v>
      </c>
      <c r="AM1196" s="137" t="s">
        <v>432</v>
      </c>
      <c r="AN1196" s="137" t="s">
        <v>432</v>
      </c>
      <c r="AO1196" s="137" t="s">
        <v>432</v>
      </c>
      <c r="AP1196" s="137" t="s">
        <v>432</v>
      </c>
      <c r="AQ1196" s="137" t="s">
        <v>432</v>
      </c>
      <c r="AR1196" s="137" t="s">
        <v>432</v>
      </c>
      <c r="AS1196" s="137" t="s">
        <v>432</v>
      </c>
      <c r="AT1196" s="137" t="s">
        <v>432</v>
      </c>
      <c r="AU1196" s="137" t="s">
        <v>432</v>
      </c>
      <c r="AV1196" s="137" t="s">
        <v>432</v>
      </c>
      <c r="AW1196" s="137" t="s">
        <v>432</v>
      </c>
      <c r="AX1196" s="137" t="s">
        <v>432</v>
      </c>
      <c r="AY1196" s="137" t="s">
        <v>432</v>
      </c>
      <c r="AZ1196" s="137" t="s">
        <v>432</v>
      </c>
      <c r="BA1196" s="137" t="s">
        <v>432</v>
      </c>
      <c r="BB1196" s="239" t="str">
        <f t="shared" si="334"/>
        <v>Gratuidades e descontosacessibilidade</v>
      </c>
      <c r="BC1196" s="239" t="str">
        <f t="shared" si="335"/>
        <v>Gratuidades e descontosacessibilidadex</v>
      </c>
      <c r="BD1196" s="239" t="str">
        <f t="shared" si="336"/>
        <v>Gratuidades e descontosx</v>
      </c>
    </row>
    <row r="1197" spans="1:56" s="1" customFormat="1" ht="38.25" x14ac:dyDescent="0.25">
      <c r="A1197" s="275" t="str">
        <f>'Q100b-totais'!$B$12</f>
        <v>1.3</v>
      </c>
      <c r="B1197" s="54" t="s">
        <v>826</v>
      </c>
      <c r="C1197" s="167" t="s">
        <v>743</v>
      </c>
      <c r="D1197" s="323" t="s">
        <v>1133</v>
      </c>
      <c r="E1197" s="1491" t="s">
        <v>1306</v>
      </c>
      <c r="F1197" s="24" t="s">
        <v>1141</v>
      </c>
      <c r="G1197" s="58" t="s">
        <v>1149</v>
      </c>
      <c r="H1197" s="168" t="s">
        <v>432</v>
      </c>
      <c r="I1197" s="167">
        <v>1</v>
      </c>
      <c r="J1197" s="109" t="s">
        <v>432</v>
      </c>
      <c r="K1197" s="109" t="s">
        <v>432</v>
      </c>
      <c r="L1197" s="109" t="s">
        <v>432</v>
      </c>
      <c r="M1197" s="109" t="s">
        <v>432</v>
      </c>
      <c r="N1197" s="109" t="s">
        <v>432</v>
      </c>
      <c r="O1197" s="58" t="s">
        <v>432</v>
      </c>
      <c r="P1197" s="58" t="s">
        <v>432</v>
      </c>
      <c r="Q1197" s="58" t="s">
        <v>432</v>
      </c>
      <c r="R1197" s="58" t="s">
        <v>432</v>
      </c>
      <c r="S1197" s="109" t="s">
        <v>2209</v>
      </c>
      <c r="T1197" s="58" t="s">
        <v>432</v>
      </c>
      <c r="U1197" s="58" t="s">
        <v>432</v>
      </c>
      <c r="V1197" s="109" t="s">
        <v>2209</v>
      </c>
      <c r="W1197" s="86" t="s">
        <v>432</v>
      </c>
      <c r="X1197" s="86" t="s">
        <v>432</v>
      </c>
      <c r="Y1197" s="86" t="s">
        <v>432</v>
      </c>
      <c r="Z1197" s="86" t="s">
        <v>432</v>
      </c>
      <c r="AA1197" s="86" t="s">
        <v>432</v>
      </c>
      <c r="AB1197" s="86" t="s">
        <v>432</v>
      </c>
      <c r="AC1197" s="86" t="s">
        <v>432</v>
      </c>
      <c r="AD1197" s="86" t="s">
        <v>432</v>
      </c>
      <c r="AE1197" s="86" t="s">
        <v>432</v>
      </c>
      <c r="AF1197" s="86" t="s">
        <v>432</v>
      </c>
      <c r="AG1197" s="86" t="s">
        <v>432</v>
      </c>
      <c r="AH1197" s="86" t="s">
        <v>432</v>
      </c>
      <c r="AI1197" s="86" t="s">
        <v>432</v>
      </c>
      <c r="AJ1197" s="86" t="s">
        <v>432</v>
      </c>
      <c r="AK1197" s="20">
        <f>AK1186+AK1181+AK1176+AK1171+AK1166</f>
        <v>7917</v>
      </c>
      <c r="AL1197" s="601" t="s">
        <v>432</v>
      </c>
      <c r="AM1197" s="137" t="s">
        <v>432</v>
      </c>
      <c r="AN1197" s="137" t="s">
        <v>432</v>
      </c>
      <c r="AO1197" s="137" t="s">
        <v>432</v>
      </c>
      <c r="AP1197" s="137" t="s">
        <v>432</v>
      </c>
      <c r="AQ1197" s="137" t="s">
        <v>432</v>
      </c>
      <c r="AR1197" s="137" t="s">
        <v>432</v>
      </c>
      <c r="AS1197" s="137" t="s">
        <v>432</v>
      </c>
      <c r="AT1197" s="137" t="s">
        <v>432</v>
      </c>
      <c r="AU1197" s="137" t="s">
        <v>432</v>
      </c>
      <c r="AV1197" s="137" t="s">
        <v>432</v>
      </c>
      <c r="AW1197" s="137" t="s">
        <v>432</v>
      </c>
      <c r="AX1197" s="137" t="s">
        <v>432</v>
      </c>
      <c r="AY1197" s="137" t="s">
        <v>432</v>
      </c>
      <c r="AZ1197" s="137" t="s">
        <v>432</v>
      </c>
      <c r="BA1197" s="137" t="s">
        <v>432</v>
      </c>
      <c r="BB1197" s="239" t="str">
        <f t="shared" si="334"/>
        <v>Gratuidades e descontosacessibilidade</v>
      </c>
      <c r="BC1197" s="239" t="str">
        <f t="shared" si="335"/>
        <v>Gratuidades e descontosacessibilidadex</v>
      </c>
      <c r="BD1197" s="239" t="str">
        <f t="shared" si="336"/>
        <v>Gratuidades e descontosx</v>
      </c>
    </row>
    <row r="1198" spans="1:56" s="1" customFormat="1" ht="38.25" x14ac:dyDescent="0.25">
      <c r="A1198" s="275" t="str">
        <f>'Q100b-totais'!$B$12</f>
        <v>1.3</v>
      </c>
      <c r="B1198" s="54" t="s">
        <v>826</v>
      </c>
      <c r="C1198" s="167" t="s">
        <v>743</v>
      </c>
      <c r="D1198" s="323" t="s">
        <v>1134</v>
      </c>
      <c r="E1198" s="1491" t="s">
        <v>1306</v>
      </c>
      <c r="F1198" s="24" t="s">
        <v>1142</v>
      </c>
      <c r="G1198" s="58" t="s">
        <v>1150</v>
      </c>
      <c r="H1198" s="168" t="s">
        <v>432</v>
      </c>
      <c r="I1198" s="167">
        <v>1</v>
      </c>
      <c r="J1198" s="109" t="s">
        <v>432</v>
      </c>
      <c r="K1198" s="109" t="s">
        <v>432</v>
      </c>
      <c r="L1198" s="109" t="s">
        <v>432</v>
      </c>
      <c r="M1198" s="109" t="s">
        <v>432</v>
      </c>
      <c r="N1198" s="109" t="s">
        <v>432</v>
      </c>
      <c r="O1198" s="58" t="s">
        <v>432</v>
      </c>
      <c r="P1198" s="58" t="s">
        <v>432</v>
      </c>
      <c r="Q1198" s="58" t="s">
        <v>432</v>
      </c>
      <c r="R1198" s="58" t="s">
        <v>432</v>
      </c>
      <c r="S1198" s="109" t="s">
        <v>2209</v>
      </c>
      <c r="T1198" s="58" t="s">
        <v>432</v>
      </c>
      <c r="U1198" s="58" t="s">
        <v>432</v>
      </c>
      <c r="V1198" s="109" t="s">
        <v>2209</v>
      </c>
      <c r="W1198" s="86" t="s">
        <v>432</v>
      </c>
      <c r="X1198" s="86" t="s">
        <v>432</v>
      </c>
      <c r="Y1198" s="86" t="s">
        <v>432</v>
      </c>
      <c r="Z1198" s="86" t="s">
        <v>432</v>
      </c>
      <c r="AA1198" s="86" t="s">
        <v>432</v>
      </c>
      <c r="AB1198" s="86" t="s">
        <v>432</v>
      </c>
      <c r="AC1198" s="86" t="s">
        <v>432</v>
      </c>
      <c r="AD1198" s="86" t="s">
        <v>432</v>
      </c>
      <c r="AE1198" s="86" t="s">
        <v>432</v>
      </c>
      <c r="AF1198" s="86" t="s">
        <v>432</v>
      </c>
      <c r="AG1198" s="86" t="s">
        <v>432</v>
      </c>
      <c r="AH1198" s="86" t="s">
        <v>432</v>
      </c>
      <c r="AI1198" s="86" t="s">
        <v>432</v>
      </c>
      <c r="AJ1198" s="86" t="s">
        <v>432</v>
      </c>
      <c r="AK1198" s="20">
        <f>AK1187+AK1182+AK1177+AK1172+AK1167</f>
        <v>8121</v>
      </c>
      <c r="AL1198" s="601" t="s">
        <v>432</v>
      </c>
      <c r="AM1198" s="137" t="s">
        <v>432</v>
      </c>
      <c r="AN1198" s="137" t="s">
        <v>432</v>
      </c>
      <c r="AO1198" s="137" t="s">
        <v>432</v>
      </c>
      <c r="AP1198" s="137" t="s">
        <v>432</v>
      </c>
      <c r="AQ1198" s="137" t="s">
        <v>432</v>
      </c>
      <c r="AR1198" s="137" t="s">
        <v>432</v>
      </c>
      <c r="AS1198" s="137" t="s">
        <v>432</v>
      </c>
      <c r="AT1198" s="137" t="s">
        <v>432</v>
      </c>
      <c r="AU1198" s="137" t="s">
        <v>432</v>
      </c>
      <c r="AV1198" s="137" t="s">
        <v>432</v>
      </c>
      <c r="AW1198" s="137" t="s">
        <v>432</v>
      </c>
      <c r="AX1198" s="137" t="s">
        <v>432</v>
      </c>
      <c r="AY1198" s="137" t="s">
        <v>432</v>
      </c>
      <c r="AZ1198" s="137" t="s">
        <v>432</v>
      </c>
      <c r="BA1198" s="137" t="s">
        <v>432</v>
      </c>
      <c r="BB1198" s="239" t="str">
        <f t="shared" si="334"/>
        <v>Gratuidades e descontosacessibilidade</v>
      </c>
      <c r="BC1198" s="239" t="str">
        <f t="shared" si="335"/>
        <v>Gratuidades e descontosacessibilidadex</v>
      </c>
      <c r="BD1198" s="239" t="str">
        <f t="shared" si="336"/>
        <v>Gratuidades e descontosx</v>
      </c>
    </row>
    <row r="1199" spans="1:56" s="1" customFormat="1" ht="38.25" x14ac:dyDescent="0.25">
      <c r="A1199" s="275" t="str">
        <f>'Q100b-totais'!$B$12</f>
        <v>1.3</v>
      </c>
      <c r="B1199" s="54" t="s">
        <v>826</v>
      </c>
      <c r="C1199" s="167" t="s">
        <v>743</v>
      </c>
      <c r="D1199" s="323" t="s">
        <v>1135</v>
      </c>
      <c r="E1199" s="1491" t="s">
        <v>1306</v>
      </c>
      <c r="F1199" s="24" t="s">
        <v>1143</v>
      </c>
      <c r="G1199" s="58" t="s">
        <v>1151</v>
      </c>
      <c r="H1199" s="168" t="s">
        <v>432</v>
      </c>
      <c r="I1199" s="167">
        <v>1</v>
      </c>
      <c r="J1199" s="109" t="s">
        <v>432</v>
      </c>
      <c r="K1199" s="109" t="s">
        <v>432</v>
      </c>
      <c r="L1199" s="109" t="s">
        <v>432</v>
      </c>
      <c r="M1199" s="109" t="s">
        <v>432</v>
      </c>
      <c r="N1199" s="109" t="s">
        <v>432</v>
      </c>
      <c r="O1199" s="58" t="s">
        <v>432</v>
      </c>
      <c r="P1199" s="58" t="s">
        <v>432</v>
      </c>
      <c r="Q1199" s="58" t="s">
        <v>432</v>
      </c>
      <c r="R1199" s="58" t="s">
        <v>432</v>
      </c>
      <c r="S1199" s="109" t="s">
        <v>2209</v>
      </c>
      <c r="T1199" s="58" t="s">
        <v>432</v>
      </c>
      <c r="U1199" s="58" t="s">
        <v>432</v>
      </c>
      <c r="V1199" s="109" t="s">
        <v>2209</v>
      </c>
      <c r="W1199" s="86" t="s">
        <v>432</v>
      </c>
      <c r="X1199" s="86" t="s">
        <v>432</v>
      </c>
      <c r="Y1199" s="86" t="s">
        <v>432</v>
      </c>
      <c r="Z1199" s="86" t="s">
        <v>432</v>
      </c>
      <c r="AA1199" s="86" t="s">
        <v>432</v>
      </c>
      <c r="AB1199" s="86" t="s">
        <v>432</v>
      </c>
      <c r="AC1199" s="86" t="s">
        <v>432</v>
      </c>
      <c r="AD1199" s="86" t="s">
        <v>432</v>
      </c>
      <c r="AE1199" s="86" t="s">
        <v>432</v>
      </c>
      <c r="AF1199" s="86" t="s">
        <v>432</v>
      </c>
      <c r="AG1199" s="86" t="s">
        <v>432</v>
      </c>
      <c r="AH1199" s="86" t="s">
        <v>432</v>
      </c>
      <c r="AI1199" s="86" t="s">
        <v>432</v>
      </c>
      <c r="AJ1199" s="86" t="s">
        <v>432</v>
      </c>
      <c r="AK1199" s="20">
        <f>AK1188+AK1183+AK1178+AK1173+AK1168</f>
        <v>6114</v>
      </c>
      <c r="AL1199" s="601" t="s">
        <v>432</v>
      </c>
      <c r="AM1199" s="137" t="s">
        <v>432</v>
      </c>
      <c r="AN1199" s="137" t="s">
        <v>432</v>
      </c>
      <c r="AO1199" s="137" t="s">
        <v>432</v>
      </c>
      <c r="AP1199" s="137" t="s">
        <v>432</v>
      </c>
      <c r="AQ1199" s="137" t="s">
        <v>432</v>
      </c>
      <c r="AR1199" s="137" t="s">
        <v>432</v>
      </c>
      <c r="AS1199" s="137" t="s">
        <v>432</v>
      </c>
      <c r="AT1199" s="137" t="s">
        <v>432</v>
      </c>
      <c r="AU1199" s="137" t="s">
        <v>432</v>
      </c>
      <c r="AV1199" s="137" t="s">
        <v>432</v>
      </c>
      <c r="AW1199" s="137" t="s">
        <v>432</v>
      </c>
      <c r="AX1199" s="137" t="s">
        <v>432</v>
      </c>
      <c r="AY1199" s="137" t="s">
        <v>432</v>
      </c>
      <c r="AZ1199" s="137" t="s">
        <v>432</v>
      </c>
      <c r="BA1199" s="137" t="s">
        <v>432</v>
      </c>
      <c r="BB1199" s="239" t="str">
        <f t="shared" si="334"/>
        <v>Gratuidades e descontosacessibilidade</v>
      </c>
      <c r="BC1199" s="239" t="str">
        <f t="shared" si="335"/>
        <v>Gratuidades e descontosacessibilidadex</v>
      </c>
      <c r="BD1199" s="239" t="str">
        <f t="shared" si="336"/>
        <v>Gratuidades e descontosx</v>
      </c>
    </row>
    <row r="1200" spans="1:56" s="1" customFormat="1" ht="38.25" x14ac:dyDescent="0.25">
      <c r="A1200" s="275" t="str">
        <f>'Q100b-totais'!$B$12</f>
        <v>1.3</v>
      </c>
      <c r="B1200" s="54" t="s">
        <v>826</v>
      </c>
      <c r="C1200" s="167" t="s">
        <v>743</v>
      </c>
      <c r="D1200" s="323" t="s">
        <v>1136</v>
      </c>
      <c r="E1200" s="1491" t="s">
        <v>1306</v>
      </c>
      <c r="F1200" s="24" t="s">
        <v>1144</v>
      </c>
      <c r="G1200" s="58" t="s">
        <v>1152</v>
      </c>
      <c r="H1200" s="168" t="s">
        <v>432</v>
      </c>
      <c r="I1200" s="167">
        <v>1</v>
      </c>
      <c r="J1200" s="109" t="s">
        <v>432</v>
      </c>
      <c r="K1200" s="109" t="s">
        <v>432</v>
      </c>
      <c r="L1200" s="109" t="s">
        <v>432</v>
      </c>
      <c r="M1200" s="109" t="s">
        <v>432</v>
      </c>
      <c r="N1200" s="109" t="s">
        <v>432</v>
      </c>
      <c r="O1200" s="58" t="s">
        <v>432</v>
      </c>
      <c r="P1200" s="58" t="s">
        <v>432</v>
      </c>
      <c r="Q1200" s="58" t="s">
        <v>432</v>
      </c>
      <c r="R1200" s="58" t="s">
        <v>432</v>
      </c>
      <c r="S1200" s="109" t="s">
        <v>2209</v>
      </c>
      <c r="T1200" s="58" t="s">
        <v>432</v>
      </c>
      <c r="U1200" s="58" t="s">
        <v>432</v>
      </c>
      <c r="V1200" s="109" t="s">
        <v>2209</v>
      </c>
      <c r="W1200" s="86" t="s">
        <v>432</v>
      </c>
      <c r="X1200" s="86" t="s">
        <v>432</v>
      </c>
      <c r="Y1200" s="86" t="s">
        <v>432</v>
      </c>
      <c r="Z1200" s="86" t="s">
        <v>432</v>
      </c>
      <c r="AA1200" s="86" t="s">
        <v>432</v>
      </c>
      <c r="AB1200" s="86" t="s">
        <v>432</v>
      </c>
      <c r="AC1200" s="86" t="s">
        <v>432</v>
      </c>
      <c r="AD1200" s="86" t="s">
        <v>432</v>
      </c>
      <c r="AE1200" s="86" t="s">
        <v>432</v>
      </c>
      <c r="AF1200" s="86" t="s">
        <v>432</v>
      </c>
      <c r="AG1200" s="86" t="s">
        <v>432</v>
      </c>
      <c r="AH1200" s="86" t="s">
        <v>432</v>
      </c>
      <c r="AI1200" s="86" t="s">
        <v>432</v>
      </c>
      <c r="AJ1200" s="86" t="s">
        <v>432</v>
      </c>
      <c r="AK1200" s="20">
        <f>AK1189+AK1184+AK1179+AK1174+AK1169</f>
        <v>5470</v>
      </c>
      <c r="AL1200" s="601" t="s">
        <v>432</v>
      </c>
      <c r="AM1200" s="137" t="s">
        <v>432</v>
      </c>
      <c r="AN1200" s="137" t="s">
        <v>432</v>
      </c>
      <c r="AO1200" s="137" t="s">
        <v>432</v>
      </c>
      <c r="AP1200" s="137" t="s">
        <v>432</v>
      </c>
      <c r="AQ1200" s="137" t="s">
        <v>432</v>
      </c>
      <c r="AR1200" s="137" t="s">
        <v>432</v>
      </c>
      <c r="AS1200" s="137" t="s">
        <v>432</v>
      </c>
      <c r="AT1200" s="137" t="s">
        <v>432</v>
      </c>
      <c r="AU1200" s="137" t="s">
        <v>432</v>
      </c>
      <c r="AV1200" s="137" t="s">
        <v>432</v>
      </c>
      <c r="AW1200" s="137" t="s">
        <v>432</v>
      </c>
      <c r="AX1200" s="137" t="s">
        <v>432</v>
      </c>
      <c r="AY1200" s="137" t="s">
        <v>432</v>
      </c>
      <c r="AZ1200" s="137" t="s">
        <v>432</v>
      </c>
      <c r="BA1200" s="137" t="s">
        <v>432</v>
      </c>
      <c r="BB1200" s="239" t="str">
        <f t="shared" si="334"/>
        <v>Gratuidades e descontosacessibilidade</v>
      </c>
      <c r="BC1200" s="239" t="str">
        <f t="shared" si="335"/>
        <v>Gratuidades e descontosacessibilidadex</v>
      </c>
      <c r="BD1200" s="239" t="str">
        <f t="shared" si="336"/>
        <v>Gratuidades e descontosx</v>
      </c>
    </row>
    <row r="1201" spans="1:56" s="3" customFormat="1" ht="38.25" x14ac:dyDescent="0.25">
      <c r="A1201" s="262" t="str">
        <f>'Q100b-totais'!B22</f>
        <v>2.7</v>
      </c>
      <c r="B1201" s="252" t="str">
        <f>'Q100b-totais'!C22</f>
        <v>Outras cidades/regiões</v>
      </c>
      <c r="C1201" s="167" t="s">
        <v>743</v>
      </c>
      <c r="D1201" s="325" t="s">
        <v>3030</v>
      </c>
      <c r="E1201" s="1445" t="s">
        <v>3030</v>
      </c>
      <c r="F1201" s="1327" t="s">
        <v>4242</v>
      </c>
      <c r="G1201" s="230" t="s">
        <v>3507</v>
      </c>
      <c r="H1201" s="167" t="s">
        <v>2408</v>
      </c>
      <c r="I1201" s="167" t="s">
        <v>432</v>
      </c>
      <c r="J1201" s="107" t="s">
        <v>432</v>
      </c>
      <c r="K1201" s="107" t="s">
        <v>432</v>
      </c>
      <c r="L1201" s="107" t="s">
        <v>432</v>
      </c>
      <c r="M1201" s="107" t="s">
        <v>432</v>
      </c>
      <c r="N1201" s="107" t="s">
        <v>432</v>
      </c>
      <c r="O1201" s="107" t="s">
        <v>432</v>
      </c>
      <c r="P1201" s="107" t="s">
        <v>432</v>
      </c>
      <c r="Q1201" s="107" t="s">
        <v>432</v>
      </c>
      <c r="R1201" s="107" t="s">
        <v>432</v>
      </c>
      <c r="S1201" s="109" t="s">
        <v>2209</v>
      </c>
      <c r="T1201" s="107" t="s">
        <v>432</v>
      </c>
      <c r="U1201" s="107" t="s">
        <v>432</v>
      </c>
      <c r="V1201" s="109" t="s">
        <v>2209</v>
      </c>
      <c r="W1201" s="107" t="s">
        <v>432</v>
      </c>
      <c r="X1201" s="107" t="s">
        <v>432</v>
      </c>
      <c r="Y1201" s="107" t="s">
        <v>432</v>
      </c>
      <c r="Z1201" s="107" t="s">
        <v>432</v>
      </c>
      <c r="AA1201" s="107" t="s">
        <v>432</v>
      </c>
      <c r="AB1201" s="107" t="s">
        <v>432</v>
      </c>
      <c r="AC1201" s="107" t="s">
        <v>432</v>
      </c>
      <c r="AD1201" s="107" t="s">
        <v>432</v>
      </c>
      <c r="AE1201" s="107" t="s">
        <v>432</v>
      </c>
      <c r="AF1201" s="107" t="s">
        <v>432</v>
      </c>
      <c r="AG1201" s="107" t="s">
        <v>432</v>
      </c>
      <c r="AH1201" s="107" t="s">
        <v>432</v>
      </c>
      <c r="AI1201" s="107" t="s">
        <v>432</v>
      </c>
      <c r="AJ1201" s="107" t="s">
        <v>432</v>
      </c>
      <c r="AK1201" s="107" t="s">
        <v>432</v>
      </c>
      <c r="AL1201" s="601" t="s">
        <v>432</v>
      </c>
      <c r="AM1201" s="137" t="s">
        <v>432</v>
      </c>
      <c r="AN1201" s="137" t="s">
        <v>432</v>
      </c>
      <c r="AO1201" s="137" t="s">
        <v>432</v>
      </c>
      <c r="AP1201" s="137" t="s">
        <v>432</v>
      </c>
      <c r="AQ1201" s="137" t="s">
        <v>432</v>
      </c>
      <c r="AR1201" s="137" t="s">
        <v>432</v>
      </c>
      <c r="AS1201" s="137" t="s">
        <v>432</v>
      </c>
      <c r="AT1201" s="137" t="s">
        <v>432</v>
      </c>
      <c r="AU1201" s="137" t="s">
        <v>432</v>
      </c>
      <c r="AV1201" s="137" t="s">
        <v>432</v>
      </c>
      <c r="AW1201" s="137" t="s">
        <v>432</v>
      </c>
      <c r="AX1201" s="137" t="s">
        <v>432</v>
      </c>
      <c r="AY1201" s="137" t="s">
        <v>432</v>
      </c>
      <c r="AZ1201" s="137" t="s">
        <v>432</v>
      </c>
      <c r="BA1201" s="137" t="s">
        <v>432</v>
      </c>
      <c r="BB1201" s="239" t="str">
        <f t="shared" si="334"/>
        <v>Outras cidades/regiõesacessibilidade</v>
      </c>
      <c r="BC1201" s="239" t="str">
        <f t="shared" si="335"/>
        <v>Outras cidades/regiõesacessibilidadesigla/verbete</v>
      </c>
      <c r="BD1201" s="239" t="str">
        <f t="shared" si="336"/>
        <v>Outras cidades/regiõessigla/verbete</v>
      </c>
    </row>
    <row r="1202" spans="1:56" s="1" customFormat="1" ht="25.5" x14ac:dyDescent="0.25">
      <c r="A1202" s="275" t="str">
        <f>'Q100b-totais'!B56</f>
        <v>8.4</v>
      </c>
      <c r="B1202" s="54" t="str">
        <f>'Q100b-totais'!C56</f>
        <v>Táxi</v>
      </c>
      <c r="C1202" s="167" t="s">
        <v>432</v>
      </c>
      <c r="D1202" s="323" t="s">
        <v>2683</v>
      </c>
      <c r="E1202" s="1517" t="s">
        <v>1298</v>
      </c>
      <c r="F1202" s="11" t="s">
        <v>2684</v>
      </c>
      <c r="G1202" s="167" t="s">
        <v>3879</v>
      </c>
      <c r="H1202" s="168" t="s">
        <v>432</v>
      </c>
      <c r="I1202" s="167" t="s">
        <v>432</v>
      </c>
      <c r="J1202" s="109" t="s">
        <v>432</v>
      </c>
      <c r="K1202" s="109" t="s">
        <v>432</v>
      </c>
      <c r="L1202" s="109" t="s">
        <v>432</v>
      </c>
      <c r="M1202" s="109" t="s">
        <v>432</v>
      </c>
      <c r="N1202" s="109" t="s">
        <v>432</v>
      </c>
      <c r="O1202" s="109" t="s">
        <v>432</v>
      </c>
      <c r="P1202" s="109" t="s">
        <v>432</v>
      </c>
      <c r="Q1202" s="109" t="s">
        <v>432</v>
      </c>
      <c r="R1202" s="109" t="s">
        <v>432</v>
      </c>
      <c r="S1202" s="109" t="s">
        <v>2209</v>
      </c>
      <c r="T1202" s="109" t="s">
        <v>432</v>
      </c>
      <c r="U1202" s="109" t="s">
        <v>432</v>
      </c>
      <c r="V1202" s="109" t="s">
        <v>2209</v>
      </c>
      <c r="W1202" s="109" t="s">
        <v>432</v>
      </c>
      <c r="X1202" s="109" t="s">
        <v>432</v>
      </c>
      <c r="Y1202" s="109" t="s">
        <v>432</v>
      </c>
      <c r="Z1202" s="109" t="s">
        <v>432</v>
      </c>
      <c r="AA1202" s="109" t="s">
        <v>432</v>
      </c>
      <c r="AB1202" s="109" t="s">
        <v>432</v>
      </c>
      <c r="AC1202" s="109" t="s">
        <v>432</v>
      </c>
      <c r="AD1202" s="109" t="s">
        <v>432</v>
      </c>
      <c r="AE1202" s="109" t="s">
        <v>432</v>
      </c>
      <c r="AF1202" s="109" t="s">
        <v>432</v>
      </c>
      <c r="AG1202" s="109" t="s">
        <v>432</v>
      </c>
      <c r="AH1202" s="109" t="s">
        <v>432</v>
      </c>
      <c r="AI1202" s="109" t="s">
        <v>432</v>
      </c>
      <c r="AJ1202" s="109" t="s">
        <v>432</v>
      </c>
      <c r="AK1202" s="109" t="s">
        <v>432</v>
      </c>
      <c r="AL1202" s="601" t="s">
        <v>432</v>
      </c>
      <c r="AM1202" s="137" t="s">
        <v>432</v>
      </c>
      <c r="AN1202" s="137" t="s">
        <v>432</v>
      </c>
      <c r="AO1202" s="137" t="s">
        <v>432</v>
      </c>
      <c r="AP1202" s="137" t="s">
        <v>432</v>
      </c>
      <c r="AQ1202" s="137" t="s">
        <v>432</v>
      </c>
      <c r="AR1202" s="137" t="s">
        <v>432</v>
      </c>
      <c r="AS1202" s="137" t="s">
        <v>432</v>
      </c>
      <c r="AT1202" s="137" t="s">
        <v>432</v>
      </c>
      <c r="AU1202" s="137" t="s">
        <v>432</v>
      </c>
      <c r="AV1202" s="137" t="s">
        <v>432</v>
      </c>
      <c r="AW1202" s="137" t="s">
        <v>432</v>
      </c>
      <c r="AX1202" s="137" t="s">
        <v>432</v>
      </c>
      <c r="AY1202" s="137" t="s">
        <v>432</v>
      </c>
      <c r="AZ1202" s="137" t="s">
        <v>432</v>
      </c>
      <c r="BA1202" s="137" t="s">
        <v>432</v>
      </c>
      <c r="BB1202" s="239" t="str">
        <f t="shared" si="334"/>
        <v>Táxix</v>
      </c>
      <c r="BC1202" s="239" t="str">
        <f t="shared" si="335"/>
        <v>Táxixx</v>
      </c>
      <c r="BD1202" s="239" t="str">
        <f t="shared" si="336"/>
        <v>Táxix</v>
      </c>
    </row>
    <row r="1203" spans="1:56" s="373" customFormat="1" x14ac:dyDescent="0.25">
      <c r="A1203" s="383"/>
      <c r="B1203" s="384"/>
      <c r="C1203" s="384"/>
      <c r="D1203" s="719"/>
      <c r="E1203" s="1526"/>
      <c r="F1203" s="719"/>
      <c r="G1203" s="719"/>
      <c r="H1203" s="719"/>
      <c r="I1203" s="719"/>
      <c r="J1203" s="719"/>
      <c r="K1203" s="385"/>
      <c r="L1203" s="385"/>
      <c r="M1203" s="385"/>
      <c r="N1203" s="385"/>
      <c r="O1203" s="385"/>
      <c r="P1203" s="385"/>
      <c r="Q1203" s="385"/>
      <c r="R1203" s="385"/>
      <c r="S1203" s="385"/>
      <c r="T1203" s="385"/>
      <c r="U1203" s="385"/>
      <c r="V1203" s="385"/>
      <c r="W1203" s="385"/>
      <c r="X1203" s="385"/>
      <c r="Y1203" s="385"/>
      <c r="Z1203" s="385"/>
      <c r="AA1203" s="385"/>
      <c r="AB1203" s="385"/>
      <c r="AC1203" s="385"/>
      <c r="AD1203" s="385"/>
      <c r="AE1203" s="385"/>
      <c r="AF1203" s="385"/>
      <c r="AG1203" s="385"/>
      <c r="AH1203" s="385"/>
      <c r="AI1203" s="385"/>
      <c r="AJ1203" s="385"/>
      <c r="AK1203" s="385"/>
      <c r="AL1203" s="385"/>
      <c r="AM1203" s="385"/>
      <c r="AN1203" s="387"/>
      <c r="AO1203" s="387"/>
      <c r="AP1203" s="387"/>
      <c r="AQ1203" s="387"/>
      <c r="AR1203" s="387"/>
      <c r="AS1203" s="387"/>
      <c r="AT1203" s="387"/>
      <c r="AU1203" s="387"/>
      <c r="AV1203" s="387"/>
      <c r="AW1203" s="387"/>
      <c r="AX1203" s="387"/>
      <c r="AY1203" s="387"/>
      <c r="AZ1203" s="387"/>
      <c r="BA1203" s="387"/>
      <c r="BB1203" s="388"/>
      <c r="BC1203" s="388"/>
      <c r="BD1203" s="388"/>
    </row>
    <row r="1204" spans="1:56" s="373" customFormat="1" ht="177" customHeight="1" x14ac:dyDescent="0.25">
      <c r="A1204" s="262" t="s">
        <v>432</v>
      </c>
      <c r="B1204" s="252" t="s">
        <v>742</v>
      </c>
      <c r="C1204" s="167" t="s">
        <v>432</v>
      </c>
      <c r="D1204" s="714" t="s">
        <v>4178</v>
      </c>
      <c r="E1204" s="1498" t="s">
        <v>432</v>
      </c>
      <c r="F1204" s="1287" t="s">
        <v>4187</v>
      </c>
      <c r="G1204" s="57" t="s">
        <v>3507</v>
      </c>
      <c r="H1204" s="167" t="s">
        <v>2408</v>
      </c>
      <c r="I1204" s="167" t="s">
        <v>432</v>
      </c>
      <c r="J1204" s="107" t="s">
        <v>432</v>
      </c>
      <c r="K1204" s="107" t="s">
        <v>432</v>
      </c>
      <c r="L1204" s="107" t="s">
        <v>432</v>
      </c>
      <c r="M1204" s="107" t="s">
        <v>432</v>
      </c>
      <c r="N1204" s="107" t="s">
        <v>432</v>
      </c>
      <c r="O1204" s="107" t="s">
        <v>432</v>
      </c>
      <c r="P1204" s="107" t="s">
        <v>432</v>
      </c>
      <c r="Q1204" s="107" t="s">
        <v>432</v>
      </c>
      <c r="R1204" s="107" t="s">
        <v>432</v>
      </c>
      <c r="S1204" s="109" t="s">
        <v>2209</v>
      </c>
      <c r="T1204" s="107" t="s">
        <v>432</v>
      </c>
      <c r="U1204" s="107" t="s">
        <v>432</v>
      </c>
      <c r="V1204" s="109" t="s">
        <v>2209</v>
      </c>
      <c r="W1204" s="107" t="s">
        <v>432</v>
      </c>
      <c r="X1204" s="107" t="s">
        <v>432</v>
      </c>
      <c r="Y1204" s="107" t="s">
        <v>432</v>
      </c>
      <c r="Z1204" s="107" t="s">
        <v>432</v>
      </c>
      <c r="AA1204" s="107" t="s">
        <v>432</v>
      </c>
      <c r="AB1204" s="107" t="s">
        <v>432</v>
      </c>
      <c r="AC1204" s="107" t="s">
        <v>432</v>
      </c>
      <c r="AD1204" s="107" t="s">
        <v>432</v>
      </c>
      <c r="AE1204" s="107" t="s">
        <v>432</v>
      </c>
      <c r="AF1204" s="107" t="s">
        <v>432</v>
      </c>
      <c r="AG1204" s="107" t="s">
        <v>432</v>
      </c>
      <c r="AH1204" s="107" t="s">
        <v>432</v>
      </c>
      <c r="AI1204" s="107" t="s">
        <v>432</v>
      </c>
      <c r="AJ1204" s="107" t="s">
        <v>432</v>
      </c>
      <c r="AK1204" s="107" t="s">
        <v>432</v>
      </c>
      <c r="AL1204" s="601" t="s">
        <v>432</v>
      </c>
      <c r="AM1204" s="137" t="s">
        <v>432</v>
      </c>
      <c r="AN1204" s="137" t="s">
        <v>432</v>
      </c>
      <c r="AO1204" s="137" t="s">
        <v>432</v>
      </c>
      <c r="AP1204" s="137" t="s">
        <v>432</v>
      </c>
      <c r="AQ1204" s="137" t="s">
        <v>432</v>
      </c>
      <c r="AR1204" s="137" t="s">
        <v>432</v>
      </c>
      <c r="AS1204" s="137" t="s">
        <v>432</v>
      </c>
      <c r="AT1204" s="137" t="s">
        <v>432</v>
      </c>
      <c r="AU1204" s="137" t="s">
        <v>432</v>
      </c>
      <c r="AV1204" s="137" t="s">
        <v>432</v>
      </c>
      <c r="AW1204" s="137" t="s">
        <v>432</v>
      </c>
      <c r="AX1204" s="137" t="s">
        <v>432</v>
      </c>
      <c r="AY1204" s="137" t="s">
        <v>432</v>
      </c>
      <c r="AZ1204" s="137" t="s">
        <v>432</v>
      </c>
      <c r="BA1204" s="137" t="s">
        <v>432</v>
      </c>
      <c r="BB1204" s="239" t="str">
        <f t="shared" ref="BB1204:BB1209" si="337">B1204&amp;C1204</f>
        <v>geralx</v>
      </c>
      <c r="BC1204" s="239" t="str">
        <f t="shared" ref="BC1204:BC1209" si="338">B1204&amp;C1204&amp;H1204</f>
        <v>geralxsigla/verbete</v>
      </c>
      <c r="BD1204" s="239" t="str">
        <f t="shared" ref="BD1204:BD1209" si="339">B1204&amp;H1204</f>
        <v>geralsigla/verbete</v>
      </c>
    </row>
    <row r="1205" spans="1:56" s="3" customFormat="1" ht="54.75" customHeight="1" x14ac:dyDescent="0.25">
      <c r="A1205" s="262" t="str">
        <f>'Q100b-totais'!B22</f>
        <v>2.7</v>
      </c>
      <c r="B1205" s="252" t="str">
        <f>'Q100b-totais'!C22</f>
        <v>Outras cidades/regiões</v>
      </c>
      <c r="C1205" s="167" t="s">
        <v>743</v>
      </c>
      <c r="D1205" s="325" t="s">
        <v>3018</v>
      </c>
      <c r="E1205" s="1445" t="s">
        <v>3018</v>
      </c>
      <c r="F1205" s="1327" t="s">
        <v>4244</v>
      </c>
      <c r="G1205" s="57" t="s">
        <v>3507</v>
      </c>
      <c r="H1205" s="167" t="s">
        <v>2408</v>
      </c>
      <c r="I1205" s="167" t="s">
        <v>432</v>
      </c>
      <c r="J1205" s="107" t="s">
        <v>432</v>
      </c>
      <c r="K1205" s="107" t="s">
        <v>432</v>
      </c>
      <c r="L1205" s="107" t="s">
        <v>432</v>
      </c>
      <c r="M1205" s="107" t="s">
        <v>432</v>
      </c>
      <c r="N1205" s="107" t="s">
        <v>432</v>
      </c>
      <c r="O1205" s="107" t="s">
        <v>432</v>
      </c>
      <c r="P1205" s="107" t="s">
        <v>432</v>
      </c>
      <c r="Q1205" s="107" t="s">
        <v>432</v>
      </c>
      <c r="R1205" s="107" t="s">
        <v>432</v>
      </c>
      <c r="S1205" s="109" t="s">
        <v>2209</v>
      </c>
      <c r="T1205" s="107" t="s">
        <v>432</v>
      </c>
      <c r="U1205" s="107" t="s">
        <v>432</v>
      </c>
      <c r="V1205" s="109" t="s">
        <v>2209</v>
      </c>
      <c r="W1205" s="107" t="s">
        <v>432</v>
      </c>
      <c r="X1205" s="107" t="s">
        <v>432</v>
      </c>
      <c r="Y1205" s="107" t="s">
        <v>432</v>
      </c>
      <c r="Z1205" s="107" t="s">
        <v>432</v>
      </c>
      <c r="AA1205" s="107" t="s">
        <v>432</v>
      </c>
      <c r="AB1205" s="107" t="s">
        <v>432</v>
      </c>
      <c r="AC1205" s="107" t="s">
        <v>432</v>
      </c>
      <c r="AD1205" s="107" t="s">
        <v>432</v>
      </c>
      <c r="AE1205" s="107" t="s">
        <v>432</v>
      </c>
      <c r="AF1205" s="107" t="s">
        <v>432</v>
      </c>
      <c r="AG1205" s="107" t="s">
        <v>432</v>
      </c>
      <c r="AH1205" s="107" t="s">
        <v>432</v>
      </c>
      <c r="AI1205" s="107" t="s">
        <v>432</v>
      </c>
      <c r="AJ1205" s="107" t="s">
        <v>432</v>
      </c>
      <c r="AK1205" s="107" t="s">
        <v>432</v>
      </c>
      <c r="AL1205" s="601" t="s">
        <v>432</v>
      </c>
      <c r="AM1205" s="137" t="s">
        <v>432</v>
      </c>
      <c r="AN1205" s="137" t="s">
        <v>432</v>
      </c>
      <c r="AO1205" s="137" t="s">
        <v>432</v>
      </c>
      <c r="AP1205" s="137" t="s">
        <v>432</v>
      </c>
      <c r="AQ1205" s="137" t="s">
        <v>432</v>
      </c>
      <c r="AR1205" s="137" t="s">
        <v>432</v>
      </c>
      <c r="AS1205" s="137" t="s">
        <v>432</v>
      </c>
      <c r="AT1205" s="137" t="s">
        <v>432</v>
      </c>
      <c r="AU1205" s="137" t="s">
        <v>432</v>
      </c>
      <c r="AV1205" s="137" t="s">
        <v>432</v>
      </c>
      <c r="AW1205" s="137" t="s">
        <v>432</v>
      </c>
      <c r="AX1205" s="137" t="s">
        <v>432</v>
      </c>
      <c r="AY1205" s="137" t="s">
        <v>432</v>
      </c>
      <c r="AZ1205" s="137" t="s">
        <v>432</v>
      </c>
      <c r="BA1205" s="137" t="s">
        <v>432</v>
      </c>
      <c r="BB1205" s="239" t="str">
        <f t="shared" si="337"/>
        <v>Outras cidades/regiõesacessibilidade</v>
      </c>
      <c r="BC1205" s="239" t="str">
        <f t="shared" si="338"/>
        <v>Outras cidades/regiõesacessibilidadesigla/verbete</v>
      </c>
      <c r="BD1205" s="239" t="str">
        <f t="shared" si="339"/>
        <v>Outras cidades/regiõessigla/verbete</v>
      </c>
    </row>
    <row r="1206" spans="1:56" s="3" customFormat="1" ht="54.75" customHeight="1" x14ac:dyDescent="0.25">
      <c r="A1206" s="262" t="str">
        <f>'Q100b-totais'!B47</f>
        <v>5.5</v>
      </c>
      <c r="B1206" s="252" t="str">
        <f>'Q100b-totais'!C47</f>
        <v>Outros meio ambiente</v>
      </c>
      <c r="C1206" s="230" t="s">
        <v>432</v>
      </c>
      <c r="D1206" s="939" t="s">
        <v>5590</v>
      </c>
      <c r="E1206" s="509" t="s">
        <v>1306</v>
      </c>
      <c r="F1206" s="1172" t="s">
        <v>5587</v>
      </c>
      <c r="G1206" s="57" t="s">
        <v>3507</v>
      </c>
      <c r="H1206" s="167" t="s">
        <v>2408</v>
      </c>
      <c r="I1206" s="167" t="s">
        <v>432</v>
      </c>
      <c r="J1206" s="107" t="s">
        <v>432</v>
      </c>
      <c r="K1206" s="107" t="s">
        <v>432</v>
      </c>
      <c r="L1206" s="107" t="s">
        <v>432</v>
      </c>
      <c r="M1206" s="107" t="s">
        <v>432</v>
      </c>
      <c r="N1206" s="107" t="s">
        <v>432</v>
      </c>
      <c r="O1206" s="107" t="s">
        <v>432</v>
      </c>
      <c r="P1206" s="107" t="s">
        <v>432</v>
      </c>
      <c r="Q1206" s="107" t="s">
        <v>432</v>
      </c>
      <c r="R1206" s="107" t="s">
        <v>432</v>
      </c>
      <c r="S1206" s="109" t="s">
        <v>2209</v>
      </c>
      <c r="T1206" s="107" t="s">
        <v>432</v>
      </c>
      <c r="U1206" s="107" t="s">
        <v>432</v>
      </c>
      <c r="V1206" s="109" t="s">
        <v>2209</v>
      </c>
      <c r="W1206" s="107" t="s">
        <v>432</v>
      </c>
      <c r="X1206" s="107" t="s">
        <v>432</v>
      </c>
      <c r="Y1206" s="107" t="s">
        <v>432</v>
      </c>
      <c r="Z1206" s="107" t="s">
        <v>432</v>
      </c>
      <c r="AA1206" s="107" t="s">
        <v>432</v>
      </c>
      <c r="AB1206" s="107" t="s">
        <v>432</v>
      </c>
      <c r="AC1206" s="107" t="s">
        <v>432</v>
      </c>
      <c r="AD1206" s="107" t="s">
        <v>432</v>
      </c>
      <c r="AE1206" s="107" t="s">
        <v>432</v>
      </c>
      <c r="AF1206" s="107" t="s">
        <v>432</v>
      </c>
      <c r="AG1206" s="107" t="s">
        <v>432</v>
      </c>
      <c r="AH1206" s="107" t="s">
        <v>432</v>
      </c>
      <c r="AI1206" s="107" t="s">
        <v>432</v>
      </c>
      <c r="AJ1206" s="107" t="s">
        <v>432</v>
      </c>
      <c r="AK1206" s="107" t="s">
        <v>432</v>
      </c>
      <c r="AL1206" s="601" t="s">
        <v>432</v>
      </c>
      <c r="AM1206" s="137" t="s">
        <v>432</v>
      </c>
      <c r="AN1206" s="137" t="s">
        <v>432</v>
      </c>
      <c r="AO1206" s="137" t="s">
        <v>432</v>
      </c>
      <c r="AP1206" s="137" t="s">
        <v>432</v>
      </c>
      <c r="AQ1206" s="137" t="s">
        <v>432</v>
      </c>
      <c r="AR1206" s="137" t="s">
        <v>432</v>
      </c>
      <c r="AS1206" s="137" t="s">
        <v>432</v>
      </c>
      <c r="AT1206" s="137" t="s">
        <v>432</v>
      </c>
      <c r="AU1206" s="137" t="s">
        <v>432</v>
      </c>
      <c r="AV1206" s="137" t="s">
        <v>432</v>
      </c>
      <c r="AW1206" s="137" t="s">
        <v>432</v>
      </c>
      <c r="AX1206" s="137" t="s">
        <v>432</v>
      </c>
      <c r="AY1206" s="137" t="s">
        <v>432</v>
      </c>
      <c r="AZ1206" s="137" t="s">
        <v>432</v>
      </c>
      <c r="BA1206" s="137" t="s">
        <v>432</v>
      </c>
      <c r="BB1206" s="239" t="str">
        <f t="shared" si="337"/>
        <v>Outros meio ambientex</v>
      </c>
      <c r="BC1206" s="239" t="str">
        <f t="shared" si="338"/>
        <v>Outros meio ambientexsigla/verbete</v>
      </c>
      <c r="BD1206" s="239" t="str">
        <f t="shared" si="339"/>
        <v>Outros meio ambientesigla/verbete</v>
      </c>
    </row>
    <row r="1207" spans="1:56" s="3" customFormat="1" ht="54.75" customHeight="1" x14ac:dyDescent="0.25">
      <c r="A1207" s="262" t="s">
        <v>432</v>
      </c>
      <c r="B1207" s="252" t="s">
        <v>742</v>
      </c>
      <c r="C1207" s="230" t="s">
        <v>432</v>
      </c>
      <c r="D1207" s="325" t="s">
        <v>5589</v>
      </c>
      <c r="E1207" s="1496" t="s">
        <v>432</v>
      </c>
      <c r="F1207" s="1405" t="s">
        <v>5156</v>
      </c>
      <c r="G1207" s="57" t="s">
        <v>3507</v>
      </c>
      <c r="H1207" s="167" t="s">
        <v>2408</v>
      </c>
      <c r="I1207" s="167" t="s">
        <v>432</v>
      </c>
      <c r="J1207" s="107" t="s">
        <v>432</v>
      </c>
      <c r="K1207" s="107" t="s">
        <v>432</v>
      </c>
      <c r="L1207" s="107" t="s">
        <v>432</v>
      </c>
      <c r="M1207" s="107" t="s">
        <v>432</v>
      </c>
      <c r="N1207" s="107" t="s">
        <v>432</v>
      </c>
      <c r="O1207" s="107" t="s">
        <v>432</v>
      </c>
      <c r="P1207" s="107" t="s">
        <v>432</v>
      </c>
      <c r="Q1207" s="107" t="s">
        <v>432</v>
      </c>
      <c r="R1207" s="107" t="s">
        <v>432</v>
      </c>
      <c r="S1207" s="109" t="s">
        <v>2209</v>
      </c>
      <c r="T1207" s="107" t="s">
        <v>432</v>
      </c>
      <c r="U1207" s="107" t="s">
        <v>432</v>
      </c>
      <c r="V1207" s="109" t="s">
        <v>2209</v>
      </c>
      <c r="W1207" s="107" t="s">
        <v>432</v>
      </c>
      <c r="X1207" s="107" t="s">
        <v>432</v>
      </c>
      <c r="Y1207" s="107" t="s">
        <v>432</v>
      </c>
      <c r="Z1207" s="107" t="s">
        <v>432</v>
      </c>
      <c r="AA1207" s="107" t="s">
        <v>432</v>
      </c>
      <c r="AB1207" s="107" t="s">
        <v>432</v>
      </c>
      <c r="AC1207" s="107" t="s">
        <v>432</v>
      </c>
      <c r="AD1207" s="107" t="s">
        <v>432</v>
      </c>
      <c r="AE1207" s="107" t="s">
        <v>432</v>
      </c>
      <c r="AF1207" s="107" t="s">
        <v>432</v>
      </c>
      <c r="AG1207" s="107" t="s">
        <v>432</v>
      </c>
      <c r="AH1207" s="107" t="s">
        <v>432</v>
      </c>
      <c r="AI1207" s="107" t="s">
        <v>432</v>
      </c>
      <c r="AJ1207" s="107" t="s">
        <v>432</v>
      </c>
      <c r="AK1207" s="107" t="s">
        <v>432</v>
      </c>
      <c r="AL1207" s="601" t="s">
        <v>432</v>
      </c>
      <c r="AM1207" s="137" t="s">
        <v>432</v>
      </c>
      <c r="AN1207" s="137" t="s">
        <v>432</v>
      </c>
      <c r="AO1207" s="137" t="s">
        <v>432</v>
      </c>
      <c r="AP1207" s="137" t="s">
        <v>432</v>
      </c>
      <c r="AQ1207" s="137" t="s">
        <v>432</v>
      </c>
      <c r="AR1207" s="137" t="s">
        <v>432</v>
      </c>
      <c r="AS1207" s="137" t="s">
        <v>432</v>
      </c>
      <c r="AT1207" s="137" t="s">
        <v>432</v>
      </c>
      <c r="AU1207" s="137" t="s">
        <v>432</v>
      </c>
      <c r="AV1207" s="137" t="s">
        <v>432</v>
      </c>
      <c r="AW1207" s="137" t="s">
        <v>432</v>
      </c>
      <c r="AX1207" s="137" t="s">
        <v>432</v>
      </c>
      <c r="AY1207" s="137" t="s">
        <v>432</v>
      </c>
      <c r="AZ1207" s="137" t="s">
        <v>432</v>
      </c>
      <c r="BA1207" s="137" t="s">
        <v>432</v>
      </c>
      <c r="BB1207" s="239" t="str">
        <f t="shared" si="337"/>
        <v>geralx</v>
      </c>
      <c r="BC1207" s="239" t="str">
        <f t="shared" si="338"/>
        <v>geralxsigla/verbete</v>
      </c>
      <c r="BD1207" s="239" t="str">
        <f t="shared" si="339"/>
        <v>geralsigla/verbete</v>
      </c>
    </row>
    <row r="1208" spans="1:56" s="1" customFormat="1" ht="57.75" customHeight="1" x14ac:dyDescent="0.25">
      <c r="A1208" s="262" t="s">
        <v>432</v>
      </c>
      <c r="B1208" s="252" t="s">
        <v>742</v>
      </c>
      <c r="C1208" s="230" t="s">
        <v>432</v>
      </c>
      <c r="D1208" s="325" t="s">
        <v>5589</v>
      </c>
      <c r="E1208" s="1496" t="s">
        <v>1306</v>
      </c>
      <c r="F1208" s="54" t="s">
        <v>5155</v>
      </c>
      <c r="G1208" s="416" t="s">
        <v>77</v>
      </c>
      <c r="H1208" s="167" t="s">
        <v>432</v>
      </c>
      <c r="I1208" s="167">
        <v>1</v>
      </c>
      <c r="J1208" s="107" t="s">
        <v>432</v>
      </c>
      <c r="K1208" s="107" t="s">
        <v>432</v>
      </c>
      <c r="L1208" s="107" t="s">
        <v>432</v>
      </c>
      <c r="M1208" s="107" t="s">
        <v>432</v>
      </c>
      <c r="N1208" s="107" t="s">
        <v>432</v>
      </c>
      <c r="O1208" s="107" t="s">
        <v>432</v>
      </c>
      <c r="P1208" s="107" t="s">
        <v>432</v>
      </c>
      <c r="Q1208" s="107" t="s">
        <v>432</v>
      </c>
      <c r="R1208" s="107" t="s">
        <v>432</v>
      </c>
      <c r="S1208" s="109" t="s">
        <v>2209</v>
      </c>
      <c r="T1208" s="107" t="s">
        <v>432</v>
      </c>
      <c r="U1208" s="107" t="s">
        <v>432</v>
      </c>
      <c r="V1208" s="109" t="s">
        <v>2209</v>
      </c>
      <c r="W1208" s="107" t="s">
        <v>432</v>
      </c>
      <c r="X1208" s="107" t="s">
        <v>432</v>
      </c>
      <c r="Y1208" s="107" t="s">
        <v>432</v>
      </c>
      <c r="Z1208" s="107" t="s">
        <v>432</v>
      </c>
      <c r="AA1208" s="107" t="s">
        <v>432</v>
      </c>
      <c r="AB1208" s="107" t="s">
        <v>432</v>
      </c>
      <c r="AC1208" s="107" t="s">
        <v>432</v>
      </c>
      <c r="AD1208" s="1376" t="s">
        <v>5153</v>
      </c>
      <c r="AE1208" s="107" t="s">
        <v>432</v>
      </c>
      <c r="AF1208" s="107" t="s">
        <v>432</v>
      </c>
      <c r="AG1208" s="107" t="s">
        <v>432</v>
      </c>
      <c r="AH1208" s="107" t="s">
        <v>432</v>
      </c>
      <c r="AI1208" s="107" t="s">
        <v>432</v>
      </c>
      <c r="AJ1208" s="107" t="s">
        <v>432</v>
      </c>
      <c r="AK1208" s="107" t="s">
        <v>432</v>
      </c>
      <c r="AL1208" s="601" t="s">
        <v>432</v>
      </c>
      <c r="AM1208" s="137" t="s">
        <v>432</v>
      </c>
      <c r="AN1208" s="137" t="s">
        <v>432</v>
      </c>
      <c r="AO1208" s="137" t="s">
        <v>432</v>
      </c>
      <c r="AP1208" s="137" t="s">
        <v>432</v>
      </c>
      <c r="AQ1208" s="137" t="s">
        <v>432</v>
      </c>
      <c r="AR1208" s="137" t="s">
        <v>432</v>
      </c>
      <c r="AS1208" s="137" t="s">
        <v>432</v>
      </c>
      <c r="AT1208" s="137" t="s">
        <v>432</v>
      </c>
      <c r="AU1208" s="137" t="s">
        <v>432</v>
      </c>
      <c r="AV1208" s="137" t="s">
        <v>432</v>
      </c>
      <c r="AW1208" s="137" t="s">
        <v>432</v>
      </c>
      <c r="AX1208" s="137" t="s">
        <v>432</v>
      </c>
      <c r="AY1208" s="137" t="s">
        <v>432</v>
      </c>
      <c r="AZ1208" s="137" t="s">
        <v>432</v>
      </c>
      <c r="BA1208" s="137" t="s">
        <v>432</v>
      </c>
      <c r="BB1208" s="239" t="str">
        <f t="shared" si="337"/>
        <v>geralx</v>
      </c>
      <c r="BC1208" s="239" t="str">
        <f t="shared" si="338"/>
        <v>geralxx</v>
      </c>
      <c r="BD1208" s="239" t="str">
        <f t="shared" si="339"/>
        <v>geralx</v>
      </c>
    </row>
    <row r="1209" spans="1:56" s="1" customFormat="1" ht="87.75" customHeight="1" x14ac:dyDescent="0.25">
      <c r="A1209" s="262" t="s">
        <v>432</v>
      </c>
      <c r="B1209" s="252" t="s">
        <v>742</v>
      </c>
      <c r="C1209" s="230" t="s">
        <v>432</v>
      </c>
      <c r="D1209" s="325" t="s">
        <v>5591</v>
      </c>
      <c r="E1209" s="1496" t="s">
        <v>1306</v>
      </c>
      <c r="F1209" s="54" t="s">
        <v>5154</v>
      </c>
      <c r="G1209" s="230" t="s">
        <v>3925</v>
      </c>
      <c r="H1209" s="167" t="s">
        <v>765</v>
      </c>
      <c r="I1209" s="167" t="s">
        <v>432</v>
      </c>
      <c r="J1209" s="107" t="s">
        <v>432</v>
      </c>
      <c r="K1209" s="107" t="s">
        <v>432</v>
      </c>
      <c r="L1209" s="107" t="s">
        <v>432</v>
      </c>
      <c r="M1209" s="107" t="s">
        <v>432</v>
      </c>
      <c r="N1209" s="107" t="s">
        <v>432</v>
      </c>
      <c r="O1209" s="107" t="s">
        <v>432</v>
      </c>
      <c r="P1209" s="107" t="s">
        <v>432</v>
      </c>
      <c r="Q1209" s="107" t="s">
        <v>432</v>
      </c>
      <c r="R1209" s="107" t="s">
        <v>432</v>
      </c>
      <c r="S1209" s="109" t="s">
        <v>2209</v>
      </c>
      <c r="T1209" s="107" t="s">
        <v>432</v>
      </c>
      <c r="U1209" s="107" t="s">
        <v>432</v>
      </c>
      <c r="V1209" s="109" t="s">
        <v>2209</v>
      </c>
      <c r="W1209" s="107" t="s">
        <v>432</v>
      </c>
      <c r="X1209" s="107" t="s">
        <v>432</v>
      </c>
      <c r="Y1209" s="107" t="s">
        <v>432</v>
      </c>
      <c r="Z1209" s="107" t="s">
        <v>432</v>
      </c>
      <c r="AA1209" s="107" t="s">
        <v>432</v>
      </c>
      <c r="AB1209" s="107" t="s">
        <v>432</v>
      </c>
      <c r="AC1209" s="107" t="s">
        <v>432</v>
      </c>
      <c r="AD1209" s="107" t="s">
        <v>432</v>
      </c>
      <c r="AE1209" s="107" t="s">
        <v>432</v>
      </c>
      <c r="AF1209" s="107" t="s">
        <v>432</v>
      </c>
      <c r="AG1209" s="107" t="s">
        <v>432</v>
      </c>
      <c r="AH1209" s="107" t="s">
        <v>432</v>
      </c>
      <c r="AI1209" s="107" t="s">
        <v>432</v>
      </c>
      <c r="AJ1209" s="107" t="s">
        <v>432</v>
      </c>
      <c r="AK1209" s="1376" t="s">
        <v>5152</v>
      </c>
      <c r="AL1209" s="601" t="s">
        <v>432</v>
      </c>
      <c r="AM1209" s="137" t="s">
        <v>432</v>
      </c>
      <c r="AN1209" s="137" t="s">
        <v>432</v>
      </c>
      <c r="AO1209" s="137" t="s">
        <v>432</v>
      </c>
      <c r="AP1209" s="137" t="s">
        <v>432</v>
      </c>
      <c r="AQ1209" s="137" t="s">
        <v>432</v>
      </c>
      <c r="AR1209" s="137" t="s">
        <v>432</v>
      </c>
      <c r="AS1209" s="137" t="s">
        <v>432</v>
      </c>
      <c r="AT1209" s="137" t="s">
        <v>432</v>
      </c>
      <c r="AU1209" s="137" t="s">
        <v>432</v>
      </c>
      <c r="AV1209" s="137" t="s">
        <v>432</v>
      </c>
      <c r="AW1209" s="137" t="s">
        <v>432</v>
      </c>
      <c r="AX1209" s="137" t="s">
        <v>432</v>
      </c>
      <c r="AY1209" s="137" t="s">
        <v>432</v>
      </c>
      <c r="AZ1209" s="137" t="s">
        <v>432</v>
      </c>
      <c r="BA1209" s="95">
        <v>1</v>
      </c>
      <c r="BB1209" s="239" t="str">
        <f t="shared" si="337"/>
        <v>geralx</v>
      </c>
      <c r="BC1209" s="239" t="str">
        <f t="shared" si="338"/>
        <v>geralxmeta/RPI</v>
      </c>
      <c r="BD1209" s="239" t="str">
        <f t="shared" si="339"/>
        <v>geralmeta/RPI</v>
      </c>
    </row>
    <row r="1210" spans="1:56" s="373" customFormat="1" x14ac:dyDescent="0.25">
      <c r="A1210" s="383"/>
      <c r="B1210" s="384"/>
      <c r="C1210" s="384"/>
      <c r="D1210" s="719"/>
      <c r="E1210" s="1526"/>
      <c r="F1210" s="719"/>
      <c r="G1210" s="719"/>
      <c r="H1210" s="719"/>
      <c r="I1210" s="719"/>
      <c r="J1210" s="385"/>
      <c r="K1210" s="385"/>
      <c r="L1210" s="385"/>
      <c r="M1210" s="385"/>
      <c r="N1210" s="385"/>
      <c r="O1210" s="385"/>
      <c r="P1210" s="385"/>
      <c r="Q1210" s="385"/>
      <c r="R1210" s="385"/>
      <c r="S1210" s="385"/>
      <c r="T1210" s="385"/>
      <c r="U1210" s="385"/>
      <c r="V1210" s="385"/>
      <c r="W1210" s="385"/>
      <c r="X1210" s="385"/>
      <c r="Y1210" s="385"/>
      <c r="Z1210" s="385"/>
      <c r="AA1210" s="385"/>
      <c r="AB1210" s="385"/>
      <c r="AC1210" s="385"/>
      <c r="AD1210" s="385"/>
      <c r="AE1210" s="385"/>
      <c r="AF1210" s="385"/>
      <c r="AG1210" s="385"/>
      <c r="AH1210" s="385"/>
      <c r="AI1210" s="385"/>
      <c r="AJ1210" s="385"/>
      <c r="AK1210" s="385"/>
      <c r="AL1210" s="385"/>
      <c r="AM1210" s="385"/>
      <c r="AN1210" s="387"/>
      <c r="AO1210" s="387"/>
      <c r="AP1210" s="387"/>
      <c r="AQ1210" s="387"/>
      <c r="AR1210" s="387"/>
      <c r="AS1210" s="387"/>
      <c r="AT1210" s="387"/>
      <c r="AU1210" s="387"/>
      <c r="AV1210" s="387"/>
      <c r="AW1210" s="387"/>
      <c r="AX1210" s="387"/>
      <c r="AY1210" s="387"/>
      <c r="AZ1210" s="387"/>
      <c r="BA1210" s="387"/>
      <c r="BB1210" s="388"/>
      <c r="BC1210" s="388"/>
      <c r="BD1210" s="388"/>
    </row>
    <row r="1211" spans="1:56" s="1" customFormat="1" ht="25.5" x14ac:dyDescent="0.25">
      <c r="A1211" s="275" t="s">
        <v>432</v>
      </c>
      <c r="B1211" s="1205" t="s">
        <v>742</v>
      </c>
      <c r="C1211" s="167" t="s">
        <v>432</v>
      </c>
      <c r="D1211" s="323" t="s">
        <v>1344</v>
      </c>
      <c r="E1211" s="1445" t="s">
        <v>432</v>
      </c>
      <c r="F1211" s="24" t="s">
        <v>1345</v>
      </c>
      <c r="G1211" s="167" t="s">
        <v>3879</v>
      </c>
      <c r="H1211" s="168" t="s">
        <v>432</v>
      </c>
      <c r="I1211" s="167" t="s">
        <v>432</v>
      </c>
      <c r="J1211" s="109" t="s">
        <v>432</v>
      </c>
      <c r="K1211" s="109" t="s">
        <v>432</v>
      </c>
      <c r="L1211" s="109" t="s">
        <v>432</v>
      </c>
      <c r="M1211" s="109" t="s">
        <v>432</v>
      </c>
      <c r="N1211" s="109" t="s">
        <v>432</v>
      </c>
      <c r="O1211" s="109" t="s">
        <v>432</v>
      </c>
      <c r="P1211" s="109" t="s">
        <v>432</v>
      </c>
      <c r="Q1211" s="109" t="s">
        <v>432</v>
      </c>
      <c r="R1211" s="109" t="s">
        <v>432</v>
      </c>
      <c r="S1211" s="109" t="s">
        <v>2209</v>
      </c>
      <c r="T1211" s="109" t="s">
        <v>432</v>
      </c>
      <c r="U1211" s="109" t="s">
        <v>432</v>
      </c>
      <c r="V1211" s="109" t="s">
        <v>2209</v>
      </c>
      <c r="W1211" s="109" t="s">
        <v>432</v>
      </c>
      <c r="X1211" s="109" t="s">
        <v>432</v>
      </c>
      <c r="Y1211" s="109" t="s">
        <v>432</v>
      </c>
      <c r="Z1211" s="109" t="s">
        <v>432</v>
      </c>
      <c r="AA1211" s="109" t="s">
        <v>432</v>
      </c>
      <c r="AB1211" s="109" t="s">
        <v>432</v>
      </c>
      <c r="AC1211" s="109" t="s">
        <v>432</v>
      </c>
      <c r="AD1211" s="109" t="s">
        <v>432</v>
      </c>
      <c r="AE1211" s="109" t="s">
        <v>432</v>
      </c>
      <c r="AF1211" s="109" t="s">
        <v>432</v>
      </c>
      <c r="AG1211" s="109" t="s">
        <v>432</v>
      </c>
      <c r="AH1211" s="109" t="s">
        <v>432</v>
      </c>
      <c r="AI1211" s="109" t="s">
        <v>432</v>
      </c>
      <c r="AJ1211" s="109" t="s">
        <v>432</v>
      </c>
      <c r="AK1211" s="109" t="s">
        <v>432</v>
      </c>
      <c r="AL1211" s="601" t="s">
        <v>432</v>
      </c>
      <c r="AM1211" s="137" t="s">
        <v>432</v>
      </c>
      <c r="AN1211" s="137" t="s">
        <v>432</v>
      </c>
      <c r="AO1211" s="137" t="s">
        <v>432</v>
      </c>
      <c r="AP1211" s="137" t="s">
        <v>432</v>
      </c>
      <c r="AQ1211" s="137" t="s">
        <v>432</v>
      </c>
      <c r="AR1211" s="137" t="s">
        <v>432</v>
      </c>
      <c r="AS1211" s="137" t="s">
        <v>432</v>
      </c>
      <c r="AT1211" s="137" t="s">
        <v>432</v>
      </c>
      <c r="AU1211" s="137" t="s">
        <v>432</v>
      </c>
      <c r="AV1211" s="137" t="s">
        <v>432</v>
      </c>
      <c r="AW1211" s="137" t="s">
        <v>432</v>
      </c>
      <c r="AX1211" s="137" t="s">
        <v>432</v>
      </c>
      <c r="AY1211" s="137" t="s">
        <v>432</v>
      </c>
      <c r="AZ1211" s="137" t="s">
        <v>432</v>
      </c>
      <c r="BA1211" s="137" t="s">
        <v>432</v>
      </c>
      <c r="BB1211" s="239" t="str">
        <f>B1211&amp;C1211</f>
        <v>geralx</v>
      </c>
      <c r="BC1211" s="239" t="str">
        <f>B1211&amp;C1211&amp;H1211</f>
        <v>geralxx</v>
      </c>
      <c r="BD1211" s="239" t="str">
        <f>B1211&amp;H1211</f>
        <v>geralx</v>
      </c>
    </row>
    <row r="1212" spans="1:56" s="1" customFormat="1" ht="51" x14ac:dyDescent="0.25">
      <c r="A1212" s="275" t="str">
        <f>'Q100b-totais'!B62</f>
        <v>8.10</v>
      </c>
      <c r="B1212" s="54" t="str">
        <f>'Q100b-totais'!C62</f>
        <v>Sistema de transporte coletivo com um todo</v>
      </c>
      <c r="C1212" s="167" t="s">
        <v>432</v>
      </c>
      <c r="D1212" s="323" t="s">
        <v>1910</v>
      </c>
      <c r="E1212" s="1496" t="s">
        <v>1306</v>
      </c>
      <c r="F1212" s="5" t="s">
        <v>1911</v>
      </c>
      <c r="G1212" s="57" t="s">
        <v>1912</v>
      </c>
      <c r="H1212" s="173" t="s">
        <v>2408</v>
      </c>
      <c r="I1212" s="57" t="s">
        <v>432</v>
      </c>
      <c r="J1212" s="109" t="s">
        <v>432</v>
      </c>
      <c r="K1212" s="109" t="s">
        <v>432</v>
      </c>
      <c r="L1212" s="109" t="s">
        <v>432</v>
      </c>
      <c r="M1212" s="109" t="s">
        <v>432</v>
      </c>
      <c r="N1212" s="109" t="s">
        <v>432</v>
      </c>
      <c r="O1212" s="109" t="s">
        <v>432</v>
      </c>
      <c r="P1212" s="109" t="s">
        <v>432</v>
      </c>
      <c r="Q1212" s="109" t="s">
        <v>432</v>
      </c>
      <c r="R1212" s="109" t="s">
        <v>432</v>
      </c>
      <c r="S1212" s="109" t="s">
        <v>2209</v>
      </c>
      <c r="T1212" s="109" t="s">
        <v>432</v>
      </c>
      <c r="U1212" s="109" t="s">
        <v>432</v>
      </c>
      <c r="V1212" s="109" t="s">
        <v>2209</v>
      </c>
      <c r="W1212" s="109" t="s">
        <v>432</v>
      </c>
      <c r="X1212" s="109" t="s">
        <v>432</v>
      </c>
      <c r="Y1212" s="109" t="s">
        <v>432</v>
      </c>
      <c r="Z1212" s="109" t="s">
        <v>432</v>
      </c>
      <c r="AA1212" s="109" t="s">
        <v>432</v>
      </c>
      <c r="AB1212" s="109" t="s">
        <v>432</v>
      </c>
      <c r="AC1212" s="109" t="s">
        <v>432</v>
      </c>
      <c r="AD1212" s="109" t="s">
        <v>432</v>
      </c>
      <c r="AE1212" s="109" t="s">
        <v>432</v>
      </c>
      <c r="AF1212" s="109" t="s">
        <v>432</v>
      </c>
      <c r="AG1212" s="109" t="s">
        <v>432</v>
      </c>
      <c r="AH1212" s="109" t="s">
        <v>432</v>
      </c>
      <c r="AI1212" s="109" t="s">
        <v>432</v>
      </c>
      <c r="AJ1212" s="109" t="s">
        <v>432</v>
      </c>
      <c r="AK1212" s="137" t="s">
        <v>432</v>
      </c>
      <c r="AL1212" s="601" t="s">
        <v>432</v>
      </c>
      <c r="AM1212" s="137" t="s">
        <v>432</v>
      </c>
      <c r="AN1212" s="137" t="s">
        <v>432</v>
      </c>
      <c r="AO1212" s="137" t="s">
        <v>432</v>
      </c>
      <c r="AP1212" s="137" t="s">
        <v>432</v>
      </c>
      <c r="AQ1212" s="137" t="s">
        <v>432</v>
      </c>
      <c r="AR1212" s="137" t="s">
        <v>432</v>
      </c>
      <c r="AS1212" s="137" t="s">
        <v>432</v>
      </c>
      <c r="AT1212" s="137" t="s">
        <v>432</v>
      </c>
      <c r="AU1212" s="137" t="s">
        <v>432</v>
      </c>
      <c r="AV1212" s="137" t="s">
        <v>432</v>
      </c>
      <c r="AW1212" s="137" t="s">
        <v>432</v>
      </c>
      <c r="AX1212" s="137" t="s">
        <v>432</v>
      </c>
      <c r="AY1212" s="137" t="s">
        <v>432</v>
      </c>
      <c r="AZ1212" s="137" t="s">
        <v>432</v>
      </c>
      <c r="BA1212" s="137" t="s">
        <v>432</v>
      </c>
      <c r="BB1212" s="239" t="str">
        <f>B1212&amp;C1212</f>
        <v>Sistema de transporte coletivo com um todox</v>
      </c>
      <c r="BC1212" s="239" t="str">
        <f>B1212&amp;C1212&amp;H1212</f>
        <v>Sistema de transporte coletivo com um todoxsigla/verbete</v>
      </c>
      <c r="BD1212" s="239" t="str">
        <f>B1212&amp;H1212</f>
        <v>Sistema de transporte coletivo com um todosigla/verbete</v>
      </c>
    </row>
    <row r="1213" spans="1:56" s="373" customFormat="1" x14ac:dyDescent="0.25">
      <c r="A1213" s="383"/>
      <c r="B1213" s="384"/>
      <c r="C1213" s="384"/>
      <c r="D1213" s="719"/>
      <c r="E1213" s="1519"/>
      <c r="F1213" s="385"/>
      <c r="G1213" s="385"/>
      <c r="H1213" s="389"/>
      <c r="I1213" s="385"/>
      <c r="J1213" s="385"/>
      <c r="K1213" s="385"/>
      <c r="L1213" s="385"/>
      <c r="M1213" s="385"/>
      <c r="N1213" s="385"/>
      <c r="O1213" s="385"/>
      <c r="P1213" s="385"/>
      <c r="Q1213" s="385"/>
      <c r="R1213" s="385"/>
      <c r="S1213" s="385"/>
      <c r="T1213" s="385"/>
      <c r="U1213" s="385"/>
      <c r="V1213" s="385"/>
      <c r="W1213" s="385"/>
      <c r="X1213" s="385"/>
      <c r="Y1213" s="385"/>
      <c r="Z1213" s="385"/>
      <c r="AA1213" s="385"/>
      <c r="AB1213" s="385"/>
      <c r="AC1213" s="385"/>
      <c r="AD1213" s="385"/>
      <c r="AE1213" s="385"/>
      <c r="AF1213" s="385"/>
      <c r="AG1213" s="385"/>
      <c r="AH1213" s="385"/>
      <c r="AI1213" s="385"/>
      <c r="AJ1213" s="385"/>
      <c r="AK1213" s="385"/>
      <c r="AL1213" s="385"/>
      <c r="AM1213" s="385"/>
      <c r="AN1213" s="387"/>
      <c r="AO1213" s="387"/>
      <c r="AP1213" s="387"/>
      <c r="AQ1213" s="387"/>
      <c r="AR1213" s="387"/>
      <c r="AS1213" s="387"/>
      <c r="AT1213" s="387"/>
      <c r="AU1213" s="387"/>
      <c r="AV1213" s="387"/>
      <c r="AW1213" s="387"/>
      <c r="AX1213" s="387"/>
      <c r="AY1213" s="387"/>
      <c r="AZ1213" s="387"/>
      <c r="BA1213" s="387"/>
      <c r="BB1213" s="388"/>
      <c r="BC1213" s="388"/>
      <c r="BD1213" s="388"/>
    </row>
    <row r="1214" spans="1:56" s="3" customFormat="1" ht="54" customHeight="1" x14ac:dyDescent="0.25">
      <c r="A1214" s="262" t="str">
        <f>'Q100b-totais'!B62</f>
        <v>8.10</v>
      </c>
      <c r="B1214" s="252" t="str">
        <f>'Q100b-totais'!C62</f>
        <v>Sistema de transporte coletivo com um todo</v>
      </c>
      <c r="C1214" s="167" t="s">
        <v>743</v>
      </c>
      <c r="D1214" s="377" t="str">
        <f>'Q100e-FrotaOnibus'!BL43</f>
        <v>IAED tc</v>
      </c>
      <c r="E1214" s="1501" t="str">
        <f>'Q100e-FrotaOnibus'!BM43</f>
        <v>Belo Horizonte</v>
      </c>
      <c r="F1214" s="355" t="str">
        <f>'Q100e-FrotaOnibus'!BN43</f>
        <v>índice de acessibilidade do embarque/desembarque da frota de transporte coletivo (convencional e suplementar) de Belo Horizonte na escala de 1 a 10 definida pelo SisMob-BH (onde 1 é a pior situação, 6 é o "RPI de acessibilidade sem desenho universal" e 10 é a melhor situação como "RPI de desenho universal")
obs.: consulte "acessibilidade em ônibus urbano (escala)"</v>
      </c>
      <c r="G1214" s="111" t="str">
        <f>'Q100e-FrotaOnibus'!BO43</f>
        <v>((IEAD tcc xF tcc) + (IEAD ts x F tcs)) / F tc</v>
      </c>
      <c r="H1214" s="167" t="s">
        <v>432</v>
      </c>
      <c r="I1214" s="167">
        <v>1</v>
      </c>
      <c r="J1214" s="109" t="s">
        <v>2467</v>
      </c>
      <c r="K1214" s="109" t="s">
        <v>2467</v>
      </c>
      <c r="L1214" s="109" t="s">
        <v>2467</v>
      </c>
      <c r="M1214" s="357">
        <f t="shared" ref="M1214:R1214" si="340">M1215</f>
        <v>1</v>
      </c>
      <c r="N1214" s="357">
        <f t="shared" si="340"/>
        <v>1</v>
      </c>
      <c r="O1214" s="357">
        <f t="shared" si="340"/>
        <v>1</v>
      </c>
      <c r="P1214" s="357" t="e">
        <f t="shared" si="340"/>
        <v>#VALUE!</v>
      </c>
      <c r="Q1214" s="357" t="e">
        <f t="shared" si="340"/>
        <v>#VALUE!</v>
      </c>
      <c r="R1214" s="357" t="e">
        <f t="shared" si="340"/>
        <v>#VALUE!</v>
      </c>
      <c r="S1214" s="109" t="s">
        <v>2209</v>
      </c>
      <c r="T1214" s="357" t="e">
        <f>T1215</f>
        <v>#VALUE!</v>
      </c>
      <c r="U1214" s="357" t="e">
        <f>U1215</f>
        <v>#VALUE!</v>
      </c>
      <c r="V1214" s="109" t="s">
        <v>2209</v>
      </c>
      <c r="W1214" s="357" t="e">
        <f t="shared" ref="W1214:AK1214" si="341">((W1215*W865)+(W1217*W867))/W862</f>
        <v>#VALUE!</v>
      </c>
      <c r="X1214" s="357" t="e">
        <f t="shared" si="341"/>
        <v>#VALUE!</v>
      </c>
      <c r="Y1214" s="357" t="e">
        <f t="shared" si="341"/>
        <v>#VALUE!</v>
      </c>
      <c r="Z1214" s="357" t="e">
        <f t="shared" si="341"/>
        <v>#VALUE!</v>
      </c>
      <c r="AA1214" s="357" t="e">
        <f t="shared" si="341"/>
        <v>#VALUE!</v>
      </c>
      <c r="AB1214" s="357" t="e">
        <f t="shared" si="341"/>
        <v>#VALUE!</v>
      </c>
      <c r="AC1214" s="357" t="e">
        <f t="shared" si="341"/>
        <v>#VALUE!</v>
      </c>
      <c r="AD1214" s="357" t="e">
        <f t="shared" si="341"/>
        <v>#VALUE!</v>
      </c>
      <c r="AE1214" s="357" t="e">
        <f t="shared" si="341"/>
        <v>#VALUE!</v>
      </c>
      <c r="AF1214" s="357" t="e">
        <f t="shared" si="341"/>
        <v>#VALUE!</v>
      </c>
      <c r="AG1214" s="357" t="e">
        <f t="shared" si="341"/>
        <v>#VALUE!</v>
      </c>
      <c r="AH1214" s="357" t="e">
        <f t="shared" si="341"/>
        <v>#VALUE!</v>
      </c>
      <c r="AI1214" s="357" t="e">
        <f t="shared" si="341"/>
        <v>#VALUE!</v>
      </c>
      <c r="AJ1214" s="357">
        <f t="shared" si="341"/>
        <v>3.0327272727272727</v>
      </c>
      <c r="AK1214" s="357">
        <f t="shared" si="341"/>
        <v>3.0946196660482377</v>
      </c>
      <c r="AL1214" s="601" t="s">
        <v>432</v>
      </c>
      <c r="AM1214" s="137" t="s">
        <v>432</v>
      </c>
      <c r="AN1214" s="137" t="s">
        <v>432</v>
      </c>
      <c r="AO1214" s="137" t="s">
        <v>432</v>
      </c>
      <c r="AP1214" s="137" t="s">
        <v>432</v>
      </c>
      <c r="AQ1214" s="137" t="s">
        <v>432</v>
      </c>
      <c r="AR1214" s="137" t="s">
        <v>432</v>
      </c>
      <c r="AS1214" s="137" t="s">
        <v>432</v>
      </c>
      <c r="AT1214" s="137" t="s">
        <v>432</v>
      </c>
      <c r="AU1214" s="137" t="s">
        <v>432</v>
      </c>
      <c r="AV1214" s="137" t="s">
        <v>432</v>
      </c>
      <c r="AW1214" s="137" t="s">
        <v>432</v>
      </c>
      <c r="AX1214" s="137" t="s">
        <v>432</v>
      </c>
      <c r="AY1214" s="137" t="s">
        <v>432</v>
      </c>
      <c r="AZ1214" s="137" t="s">
        <v>432</v>
      </c>
      <c r="BA1214" s="137" t="s">
        <v>432</v>
      </c>
      <c r="BB1214" s="239" t="str">
        <f t="shared" ref="BB1214:BB1220" si="342">B1214&amp;C1214</f>
        <v>Sistema de transporte coletivo com um todoacessibilidade</v>
      </c>
      <c r="BC1214" s="239" t="str">
        <f t="shared" ref="BC1214:BC1220" si="343">B1214&amp;C1214&amp;H1214</f>
        <v>Sistema de transporte coletivo com um todoacessibilidadex</v>
      </c>
      <c r="BD1214" s="239" t="str">
        <f t="shared" ref="BD1214:BD1220" si="344">B1214&amp;H1214</f>
        <v>Sistema de transporte coletivo com um todox</v>
      </c>
    </row>
    <row r="1215" spans="1:56" s="3" customFormat="1" ht="72" customHeight="1" x14ac:dyDescent="0.25">
      <c r="A1215" s="275" t="str">
        <f>'Q100b-totais'!$B$57</f>
        <v>8.5</v>
      </c>
      <c r="B1215" s="54" t="str">
        <f>'Q100b-totais'!$C$57</f>
        <v>Transporte convencional</v>
      </c>
      <c r="C1215" s="230" t="s">
        <v>743</v>
      </c>
      <c r="D1215" s="980" t="str">
        <f>'Q100e-FrotaOnibus'!BD43</f>
        <v>IAED tcc</v>
      </c>
      <c r="E1215" s="1527" t="str">
        <f>'Q100e-FrotaOnibus'!BE43</f>
        <v>Belo Horizonte</v>
      </c>
      <c r="F1215" s="363" t="str">
        <f>'Q100e-FrotaOnibus'!BF43</f>
        <v>índice de acessibilidade do embarque/desembarque da frota de transporte convencional de Belo Horizonte gerenciado pela BHTrans na escala de 1 a 10 definida pelo SisMob-BH (onde 1 é a pior situação, 6 é o "RPI de acessibilidade sem desenho universal" e 10 é a melhor situação como "RPI de desenho universal")
obs.1: consulte "acessibilidade em ônibus urbano (escala)"
obs.2: resultado de 2016 (fórmula) confere com BHTRANS(2017c2)</v>
      </c>
      <c r="G1215" s="370" t="str">
        <f>'Q100e-FrotaOnibus'!BG43</f>
        <v>∑(n.º de veículos x nota) / n.º de veículos</v>
      </c>
      <c r="H1215" s="167" t="s">
        <v>432</v>
      </c>
      <c r="I1215" s="167">
        <v>1</v>
      </c>
      <c r="J1215" s="109" t="s">
        <v>2467</v>
      </c>
      <c r="K1215" s="109" t="s">
        <v>2467</v>
      </c>
      <c r="L1215" s="109" t="s">
        <v>2467</v>
      </c>
      <c r="M1215" s="357">
        <f t="shared" ref="M1215:R1215" si="345">((M1043*1)+(M922*2)+(M937*3)+(M897*5)+(M994*6)+(M971*8))/M865</f>
        <v>1</v>
      </c>
      <c r="N1215" s="357">
        <f t="shared" si="345"/>
        <v>1</v>
      </c>
      <c r="O1215" s="357">
        <f t="shared" si="345"/>
        <v>1</v>
      </c>
      <c r="P1215" s="357" t="e">
        <f t="shared" si="345"/>
        <v>#VALUE!</v>
      </c>
      <c r="Q1215" s="357" t="e">
        <f t="shared" si="345"/>
        <v>#VALUE!</v>
      </c>
      <c r="R1215" s="357" t="e">
        <f t="shared" si="345"/>
        <v>#VALUE!</v>
      </c>
      <c r="S1215" s="109" t="s">
        <v>2209</v>
      </c>
      <c r="T1215" s="357" t="e">
        <f>((T1043*1)+(T922*2)+(T937*3)+(T897*5)+(T994*6)+(T971*8))/T865</f>
        <v>#VALUE!</v>
      </c>
      <c r="U1215" s="357" t="e">
        <f>((U1043*1)+(U922*2)+(U937*3)+(U897*5)+(U994*6)+(U971*8))/U865</f>
        <v>#VALUE!</v>
      </c>
      <c r="V1215" s="109" t="s">
        <v>2209</v>
      </c>
      <c r="W1215" s="357" t="e">
        <f t="shared" ref="W1215:AK1215" si="346">((W1043*1)+(W922*2)+(W937*3)+(W897*5)+(W994*6)+(W971*8))/W865</f>
        <v>#VALUE!</v>
      </c>
      <c r="X1215" s="357" t="e">
        <f t="shared" si="346"/>
        <v>#VALUE!</v>
      </c>
      <c r="Y1215" s="357">
        <f t="shared" si="346"/>
        <v>1.2727907789032484</v>
      </c>
      <c r="Z1215" s="357" t="e">
        <f t="shared" si="346"/>
        <v>#VALUE!</v>
      </c>
      <c r="AA1215" s="357" t="e">
        <f t="shared" si="346"/>
        <v>#VALUE!</v>
      </c>
      <c r="AB1215" s="357" t="e">
        <f t="shared" si="346"/>
        <v>#VALUE!</v>
      </c>
      <c r="AC1215" s="357" t="e">
        <f t="shared" si="346"/>
        <v>#VALUE!</v>
      </c>
      <c r="AD1215" s="357" t="e">
        <f t="shared" si="346"/>
        <v>#VALUE!</v>
      </c>
      <c r="AE1215" s="357">
        <f t="shared" si="346"/>
        <v>1.8360196215837421</v>
      </c>
      <c r="AF1215" s="357">
        <f t="shared" si="346"/>
        <v>2.0056497175141241</v>
      </c>
      <c r="AG1215" s="357">
        <f t="shared" si="346"/>
        <v>2.170764119601329</v>
      </c>
      <c r="AH1215" s="357">
        <f t="shared" si="346"/>
        <v>2.2666227781435153</v>
      </c>
      <c r="AI1215" s="357">
        <f t="shared" si="346"/>
        <v>2.3715882933245642</v>
      </c>
      <c r="AJ1215" s="357">
        <f t="shared" si="346"/>
        <v>3.0406880582203111</v>
      </c>
      <c r="AK1215" s="357">
        <f t="shared" si="346"/>
        <v>3.1067567567567567</v>
      </c>
      <c r="AL1215" s="601" t="s">
        <v>432</v>
      </c>
      <c r="AM1215" s="357">
        <f>((AM1043*1)+(AM922*2)+(AM937*3)+(AM897*5)+(AM994*6)+(AM971*8))/AM865</f>
        <v>3.2660115215181293</v>
      </c>
      <c r="AN1215" s="137" t="s">
        <v>432</v>
      </c>
      <c r="AO1215" s="137" t="s">
        <v>432</v>
      </c>
      <c r="AP1215" s="137" t="s">
        <v>432</v>
      </c>
      <c r="AQ1215" s="137" t="s">
        <v>432</v>
      </c>
      <c r="AR1215" s="137" t="s">
        <v>432</v>
      </c>
      <c r="AS1215" s="137" t="s">
        <v>432</v>
      </c>
      <c r="AT1215" s="137" t="s">
        <v>432</v>
      </c>
      <c r="AU1215" s="137" t="s">
        <v>432</v>
      </c>
      <c r="AV1215" s="137" t="s">
        <v>432</v>
      </c>
      <c r="AW1215" s="137" t="s">
        <v>432</v>
      </c>
      <c r="AX1215" s="137" t="s">
        <v>432</v>
      </c>
      <c r="AY1215" s="137" t="s">
        <v>432</v>
      </c>
      <c r="AZ1215" s="137" t="s">
        <v>432</v>
      </c>
      <c r="BA1215" s="137" t="s">
        <v>432</v>
      </c>
      <c r="BB1215" s="239" t="str">
        <f t="shared" si="342"/>
        <v>Transporte convencionalacessibilidade</v>
      </c>
      <c r="BC1215" s="239" t="str">
        <f t="shared" si="343"/>
        <v>Transporte convencionalacessibilidadex</v>
      </c>
      <c r="BD1215" s="239" t="str">
        <f t="shared" si="344"/>
        <v>Transporte convencionalx</v>
      </c>
    </row>
    <row r="1216" spans="1:56" s="3" customFormat="1" ht="72" customHeight="1" x14ac:dyDescent="0.25">
      <c r="A1216" s="275" t="str">
        <f>'Q100b-totais'!$B$57</f>
        <v>8.5</v>
      </c>
      <c r="B1216" s="54" t="str">
        <f>'Q100b-totais'!$C$57</f>
        <v>Transporte convencional</v>
      </c>
      <c r="C1216" s="230" t="s">
        <v>743</v>
      </c>
      <c r="D1216" s="847" t="s">
        <v>4114</v>
      </c>
      <c r="E1216" s="1496" t="s">
        <v>1306</v>
      </c>
      <c r="F1216" s="53" t="s">
        <v>4112</v>
      </c>
      <c r="G1216" s="370" t="s">
        <v>4113</v>
      </c>
      <c r="H1216" s="167" t="s">
        <v>432</v>
      </c>
      <c r="I1216" s="167">
        <v>1</v>
      </c>
      <c r="J1216" s="109" t="s">
        <v>2467</v>
      </c>
      <c r="K1216" s="109" t="s">
        <v>2467</v>
      </c>
      <c r="L1216" s="109" t="s">
        <v>2467</v>
      </c>
      <c r="M1216" s="109" t="s">
        <v>2176</v>
      </c>
      <c r="N1216" s="112">
        <f>(N1215-M1215)/N1215</f>
        <v>0</v>
      </c>
      <c r="O1216" s="112">
        <f>(O1215-N1215)/O1215</f>
        <v>0</v>
      </c>
      <c r="P1216" s="112" t="e">
        <f>(P1215-O1215)/P1215</f>
        <v>#VALUE!</v>
      </c>
      <c r="Q1216" s="112" t="e">
        <f>(Q1215-P1215)/Q1215</f>
        <v>#VALUE!</v>
      </c>
      <c r="R1216" s="112" t="e">
        <f>(R1215-Q1215)/R1215</f>
        <v>#VALUE!</v>
      </c>
      <c r="S1216" s="109" t="s">
        <v>2209</v>
      </c>
      <c r="T1216" s="112" t="e">
        <f t="shared" ref="T1216:AJ1216" si="347">(T1215-S1215)/T1215</f>
        <v>#VALUE!</v>
      </c>
      <c r="U1216" s="112" t="e">
        <f t="shared" si="347"/>
        <v>#VALUE!</v>
      </c>
      <c r="V1216" s="109" t="s">
        <v>2209</v>
      </c>
      <c r="W1216" s="112" t="e">
        <f t="shared" si="347"/>
        <v>#VALUE!</v>
      </c>
      <c r="X1216" s="112" t="e">
        <f t="shared" si="347"/>
        <v>#VALUE!</v>
      </c>
      <c r="Y1216" s="112" t="e">
        <f t="shared" si="347"/>
        <v>#VALUE!</v>
      </c>
      <c r="Z1216" s="112" t="e">
        <f t="shared" si="347"/>
        <v>#VALUE!</v>
      </c>
      <c r="AA1216" s="112" t="e">
        <f t="shared" si="347"/>
        <v>#VALUE!</v>
      </c>
      <c r="AB1216" s="112" t="e">
        <f t="shared" si="347"/>
        <v>#VALUE!</v>
      </c>
      <c r="AC1216" s="112" t="e">
        <f t="shared" si="347"/>
        <v>#VALUE!</v>
      </c>
      <c r="AD1216" s="112" t="e">
        <f t="shared" si="347"/>
        <v>#VALUE!</v>
      </c>
      <c r="AE1216" s="112" t="e">
        <f t="shared" si="347"/>
        <v>#VALUE!</v>
      </c>
      <c r="AF1216" s="112">
        <f t="shared" si="347"/>
        <v>8.4576132337120066E-2</v>
      </c>
      <c r="AG1216" s="112">
        <f t="shared" si="347"/>
        <v>7.6062802308308322E-2</v>
      </c>
      <c r="AH1216" s="112">
        <f t="shared" si="347"/>
        <v>4.2291403521806874E-2</v>
      </c>
      <c r="AI1216" s="112">
        <f t="shared" si="347"/>
        <v>4.4259585644144443E-2</v>
      </c>
      <c r="AJ1216" s="112">
        <f t="shared" si="347"/>
        <v>0.22004880214097505</v>
      </c>
      <c r="AK1216" s="112">
        <f>(AK1215-AJ1215)/AK1215</f>
        <v>2.1266131760317417E-2</v>
      </c>
      <c r="AL1216" s="601" t="s">
        <v>432</v>
      </c>
      <c r="AM1216" s="137" t="s">
        <v>432</v>
      </c>
      <c r="AN1216" s="137" t="s">
        <v>432</v>
      </c>
      <c r="AO1216" s="137" t="s">
        <v>432</v>
      </c>
      <c r="AP1216" s="137" t="s">
        <v>432</v>
      </c>
      <c r="AQ1216" s="137" t="s">
        <v>432</v>
      </c>
      <c r="AR1216" s="137" t="s">
        <v>432</v>
      </c>
      <c r="AS1216" s="137" t="s">
        <v>432</v>
      </c>
      <c r="AT1216" s="137" t="s">
        <v>432</v>
      </c>
      <c r="AU1216" s="137" t="s">
        <v>432</v>
      </c>
      <c r="AV1216" s="137" t="s">
        <v>432</v>
      </c>
      <c r="AW1216" s="137" t="s">
        <v>432</v>
      </c>
      <c r="AX1216" s="137" t="s">
        <v>432</v>
      </c>
      <c r="AY1216" s="137" t="s">
        <v>432</v>
      </c>
      <c r="AZ1216" s="137" t="s">
        <v>432</v>
      </c>
      <c r="BA1216" s="137" t="s">
        <v>432</v>
      </c>
      <c r="BB1216" s="239" t="str">
        <f>B1216&amp;C1216</f>
        <v>Transporte convencionalacessibilidade</v>
      </c>
      <c r="BC1216" s="239" t="str">
        <f>B1216&amp;C1216&amp;H1216</f>
        <v>Transporte convencionalacessibilidadex</v>
      </c>
      <c r="BD1216" s="239" t="str">
        <f>B1216&amp;H1216</f>
        <v>Transporte convencionalx</v>
      </c>
    </row>
    <row r="1217" spans="1:56" s="3" customFormat="1" ht="72" customHeight="1" x14ac:dyDescent="0.25">
      <c r="A1217" s="262" t="str">
        <f>'Q100b-totais'!B59</f>
        <v>8.7</v>
      </c>
      <c r="B1217" s="252" t="str">
        <f>'Q100b-totais'!C59</f>
        <v>Transporte de baixa capacidade</v>
      </c>
      <c r="C1217" s="229" t="s">
        <v>743</v>
      </c>
      <c r="D1217" s="980" t="str">
        <f>'Q100e-FrotaOnibus'!BH43</f>
        <v>IAED tcs</v>
      </c>
      <c r="E1217" s="1527" t="str">
        <f>'Q100e-FrotaOnibus'!BI43</f>
        <v>Belo Horizonte</v>
      </c>
      <c r="F1217" s="363" t="str">
        <f>'Q100e-FrotaOnibus'!BJ43</f>
        <v>índice de acessibilidade do embarque/desembarque da frota de transporte suplementar de Belo Horizonte na escala de 1 a 10 definida pelo SisMob-BH (onde 1 é a pior situação, 6 é o "RPI de acessibilidade sem desenho universal" e 10 é a melhor situação como "RPI de desenho universal") 
obs.: consulte "acessibilidade em ônibus urbano (escala)"</v>
      </c>
      <c r="G1217" s="370" t="str">
        <f>'Q100e-FrotaOnibus'!BK43</f>
        <v>∑(n.º de veículos x nota) / n.º de veículos</v>
      </c>
      <c r="H1217" s="167" t="s">
        <v>432</v>
      </c>
      <c r="I1217" s="167">
        <v>1</v>
      </c>
      <c r="J1217" s="109" t="s">
        <v>2467</v>
      </c>
      <c r="K1217" s="109" t="s">
        <v>2467</v>
      </c>
      <c r="L1217" s="109" t="s">
        <v>2467</v>
      </c>
      <c r="M1217" s="107" t="s">
        <v>2055</v>
      </c>
      <c r="N1217" s="107" t="s">
        <v>2055</v>
      </c>
      <c r="O1217" s="107" t="s">
        <v>2055</v>
      </c>
      <c r="P1217" s="107" t="s">
        <v>2055</v>
      </c>
      <c r="Q1217" s="107" t="s">
        <v>2055</v>
      </c>
      <c r="R1217" s="107" t="s">
        <v>2055</v>
      </c>
      <c r="S1217" s="109" t="s">
        <v>2209</v>
      </c>
      <c r="T1217" s="107" t="s">
        <v>2055</v>
      </c>
      <c r="U1217" s="107" t="s">
        <v>2055</v>
      </c>
      <c r="V1217" s="109" t="s">
        <v>2209</v>
      </c>
      <c r="W1217" s="111" t="s">
        <v>432</v>
      </c>
      <c r="X1217" s="111" t="s">
        <v>432</v>
      </c>
      <c r="Y1217" s="111" t="s">
        <v>432</v>
      </c>
      <c r="Z1217" s="111" t="s">
        <v>432</v>
      </c>
      <c r="AA1217" s="111" t="s">
        <v>432</v>
      </c>
      <c r="AB1217" s="111" t="s">
        <v>432</v>
      </c>
      <c r="AC1217" s="111" t="s">
        <v>432</v>
      </c>
      <c r="AD1217" s="111" t="s">
        <v>432</v>
      </c>
      <c r="AE1217" s="111" t="s">
        <v>432</v>
      </c>
      <c r="AF1217" s="111" t="s">
        <v>432</v>
      </c>
      <c r="AG1217" s="111" t="s">
        <v>432</v>
      </c>
      <c r="AH1217" s="111" t="s">
        <v>432</v>
      </c>
      <c r="AI1217" s="111" t="s">
        <v>432</v>
      </c>
      <c r="AJ1217" s="357">
        <f>((AJ1049*1)+(AJ923*2)+(AJ938*3))/AJ867</f>
        <v>2.9458483754512637</v>
      </c>
      <c r="AK1217" s="357">
        <f>((AK1049*1)+(AK923*2)+(AK938*3))/AK867</f>
        <v>2.9635036496350367</v>
      </c>
      <c r="AL1217" s="601" t="s">
        <v>432</v>
      </c>
      <c r="AM1217" s="137" t="s">
        <v>432</v>
      </c>
      <c r="AN1217" s="137" t="s">
        <v>432</v>
      </c>
      <c r="AO1217" s="137" t="s">
        <v>432</v>
      </c>
      <c r="AP1217" s="137" t="s">
        <v>432</v>
      </c>
      <c r="AQ1217" s="137" t="s">
        <v>432</v>
      </c>
      <c r="AR1217" s="137" t="s">
        <v>432</v>
      </c>
      <c r="AS1217" s="137" t="s">
        <v>432</v>
      </c>
      <c r="AT1217" s="137" t="s">
        <v>432</v>
      </c>
      <c r="AU1217" s="137" t="s">
        <v>432</v>
      </c>
      <c r="AV1217" s="137" t="s">
        <v>432</v>
      </c>
      <c r="AW1217" s="137" t="s">
        <v>432</v>
      </c>
      <c r="AX1217" s="137" t="s">
        <v>432</v>
      </c>
      <c r="AY1217" s="137" t="s">
        <v>432</v>
      </c>
      <c r="AZ1217" s="137" t="s">
        <v>432</v>
      </c>
      <c r="BA1217" s="137" t="s">
        <v>432</v>
      </c>
      <c r="BB1217" s="239" t="str">
        <f t="shared" si="342"/>
        <v>Transporte de baixa capacidadeacessibilidade</v>
      </c>
      <c r="BC1217" s="239" t="str">
        <f t="shared" si="343"/>
        <v>Transporte de baixa capacidadeacessibilidadex</v>
      </c>
      <c r="BD1217" s="239" t="str">
        <f t="shared" si="344"/>
        <v>Transporte de baixa capacidadex</v>
      </c>
    </row>
    <row r="1218" spans="1:56" s="3" customFormat="1" ht="120" customHeight="1" x14ac:dyDescent="0.25">
      <c r="A1218" s="262" t="str">
        <f>'Q100b-totais'!B62</f>
        <v>8.10</v>
      </c>
      <c r="B1218" s="252" t="str">
        <f>'Q100b-totais'!C62</f>
        <v>Sistema de transporte coletivo com um todo</v>
      </c>
      <c r="C1218" s="229" t="s">
        <v>743</v>
      </c>
      <c r="D1218" s="980" t="str">
        <f>'Q100e-FrotaOnibus'!O43</f>
        <v>IAED tc</v>
      </c>
      <c r="E1218" s="1527" t="str">
        <f>'Q100e-FrotaOnibus'!P43</f>
        <v>Contagem</v>
      </c>
      <c r="F1218" s="363" t="str">
        <f>'Q100e-FrotaOnibus'!Q43</f>
        <v>índice de acessibilidade do embarque/desembarque da frota de transporte coletivo por ônibus urbano de Contagem na escala de 1 a 10 definida pelo SisMob-BH (onde 1 é a pior situação, 6 é o "RPI de acessibilidade sem desenho universal" e 10 é a melhor situação como "RPI de desenho universal")
obs.1: consulte "acessibilidade em ônibus urbano (escala)"</v>
      </c>
      <c r="G1218" s="370" t="str">
        <f>'Q100e-FrotaOnibus'!R43</f>
        <v>∑(n.º de veículos x nota) / n.º de veículos</v>
      </c>
      <c r="H1218" s="167" t="s">
        <v>432</v>
      </c>
      <c r="I1218" s="167">
        <v>1</v>
      </c>
      <c r="J1218" s="109" t="s">
        <v>432</v>
      </c>
      <c r="K1218" s="109" t="s">
        <v>432</v>
      </c>
      <c r="L1218" s="109" t="s">
        <v>432</v>
      </c>
      <c r="M1218" s="357" t="s">
        <v>2082</v>
      </c>
      <c r="N1218" s="357" t="s">
        <v>2082</v>
      </c>
      <c r="O1218" s="357" t="s">
        <v>2082</v>
      </c>
      <c r="P1218" s="357" t="s">
        <v>2082</v>
      </c>
      <c r="Q1218" s="357" t="s">
        <v>2082</v>
      </c>
      <c r="R1218" s="357" t="s">
        <v>2082</v>
      </c>
      <c r="S1218" s="109" t="s">
        <v>2209</v>
      </c>
      <c r="T1218" s="357" t="s">
        <v>2082</v>
      </c>
      <c r="U1218" s="357" t="s">
        <v>2082</v>
      </c>
      <c r="V1218" s="109" t="s">
        <v>2209</v>
      </c>
      <c r="W1218" s="357" t="s">
        <v>2082</v>
      </c>
      <c r="X1218" s="357" t="s">
        <v>2082</v>
      </c>
      <c r="Y1218" s="357" t="s">
        <v>2082</v>
      </c>
      <c r="Z1218" s="357" t="s">
        <v>2082</v>
      </c>
      <c r="AA1218" s="357" t="s">
        <v>2082</v>
      </c>
      <c r="AB1218" s="357" t="s">
        <v>2082</v>
      </c>
      <c r="AC1218" s="357" t="s">
        <v>2082</v>
      </c>
      <c r="AD1218" s="357" t="s">
        <v>2082</v>
      </c>
      <c r="AE1218" s="357" t="s">
        <v>2082</v>
      </c>
      <c r="AF1218" s="357" t="s">
        <v>2082</v>
      </c>
      <c r="AG1218" s="357" t="s">
        <v>2082</v>
      </c>
      <c r="AH1218" s="357" t="s">
        <v>2082</v>
      </c>
      <c r="AI1218" s="357" t="s">
        <v>2082</v>
      </c>
      <c r="AJ1218" s="357">
        <f>((AJ1050*1)+(AJ908*3))/AJ878</f>
        <v>2.808383233532934</v>
      </c>
      <c r="AK1218" s="357" t="s">
        <v>2082</v>
      </c>
      <c r="AL1218" s="601" t="s">
        <v>432</v>
      </c>
      <c r="AM1218" s="137" t="s">
        <v>432</v>
      </c>
      <c r="AN1218" s="137" t="s">
        <v>432</v>
      </c>
      <c r="AO1218" s="137" t="s">
        <v>432</v>
      </c>
      <c r="AP1218" s="137" t="s">
        <v>432</v>
      </c>
      <c r="AQ1218" s="137" t="s">
        <v>432</v>
      </c>
      <c r="AR1218" s="137" t="s">
        <v>432</v>
      </c>
      <c r="AS1218" s="137" t="s">
        <v>432</v>
      </c>
      <c r="AT1218" s="137" t="s">
        <v>432</v>
      </c>
      <c r="AU1218" s="137" t="s">
        <v>432</v>
      </c>
      <c r="AV1218" s="137" t="s">
        <v>432</v>
      </c>
      <c r="AW1218" s="137" t="s">
        <v>432</v>
      </c>
      <c r="AX1218" s="137" t="s">
        <v>432</v>
      </c>
      <c r="AY1218" s="137" t="s">
        <v>432</v>
      </c>
      <c r="AZ1218" s="137" t="s">
        <v>432</v>
      </c>
      <c r="BA1218" s="137" t="s">
        <v>432</v>
      </c>
      <c r="BB1218" s="239" t="str">
        <f t="shared" si="342"/>
        <v>Sistema de transporte coletivo com um todoacessibilidade</v>
      </c>
      <c r="BC1218" s="239" t="str">
        <f t="shared" si="343"/>
        <v>Sistema de transporte coletivo com um todoacessibilidadex</v>
      </c>
      <c r="BD1218" s="239" t="str">
        <f t="shared" si="344"/>
        <v>Sistema de transporte coletivo com um todox</v>
      </c>
    </row>
    <row r="1219" spans="1:56" s="3" customFormat="1" ht="60" customHeight="1" x14ac:dyDescent="0.25">
      <c r="A1219" s="262" t="str">
        <f>'Q100b-totais'!B62</f>
        <v>8.10</v>
      </c>
      <c r="B1219" s="252" t="str">
        <f>'Q100b-totais'!C62</f>
        <v>Sistema de transporte coletivo com um todo</v>
      </c>
      <c r="C1219" s="229" t="s">
        <v>743</v>
      </c>
      <c r="D1219" s="980" t="str">
        <f>'Q100e-FrotaOnibus'!S43</f>
        <v>IAED tc</v>
      </c>
      <c r="E1219" s="1527" t="str">
        <f>'Q100e-FrotaOnibus'!T43</f>
        <v>Curitiba</v>
      </c>
      <c r="F1219" s="363" t="str">
        <f>'Q100e-FrotaOnibus'!U43</f>
        <v>índice de acessibilidade do embarque/desembarque da frota de transporte coletivo por ônibus urbano de Curitiba na escala de 1 a 10 definida pelo SisMob-BH (onde 1 é a pior situação e 10 é a melhor situação, com 6 sendo o RPI de acessibilidade sem desenho universal e 10 sendo o RPI de desenho universal) 
obs.: consulte "acessibilidade em ônibus urbano (escala)"</v>
      </c>
      <c r="G1219" s="369" t="str">
        <f>'Q100e-FrotaOnibus'!V43</f>
        <v>∑(n.º de veículos x nota) / n.º de veículos</v>
      </c>
      <c r="H1219" s="167" t="s">
        <v>819</v>
      </c>
      <c r="I1219" s="167" t="s">
        <v>432</v>
      </c>
      <c r="J1219" s="109" t="s">
        <v>432</v>
      </c>
      <c r="K1219" s="109" t="s">
        <v>432</v>
      </c>
      <c r="L1219" s="109" t="s">
        <v>432</v>
      </c>
      <c r="M1219" s="109" t="s">
        <v>432</v>
      </c>
      <c r="N1219" s="109" t="s">
        <v>432</v>
      </c>
      <c r="O1219" s="109" t="s">
        <v>432</v>
      </c>
      <c r="P1219" s="109" t="s">
        <v>432</v>
      </c>
      <c r="Q1219" s="109" t="s">
        <v>432</v>
      </c>
      <c r="R1219" s="109" t="s">
        <v>432</v>
      </c>
      <c r="S1219" s="109" t="s">
        <v>2209</v>
      </c>
      <c r="T1219" s="109" t="s">
        <v>432</v>
      </c>
      <c r="U1219" s="109" t="s">
        <v>432</v>
      </c>
      <c r="V1219" s="109" t="s">
        <v>2209</v>
      </c>
      <c r="W1219" s="109" t="s">
        <v>432</v>
      </c>
      <c r="X1219" s="109" t="s">
        <v>432</v>
      </c>
      <c r="Y1219" s="109" t="s">
        <v>432</v>
      </c>
      <c r="Z1219" s="109" t="s">
        <v>432</v>
      </c>
      <c r="AA1219" s="109" t="s">
        <v>432</v>
      </c>
      <c r="AB1219" s="109" t="s">
        <v>432</v>
      </c>
      <c r="AC1219" s="109" t="s">
        <v>432</v>
      </c>
      <c r="AD1219" s="109" t="s">
        <v>432</v>
      </c>
      <c r="AE1219" s="109" t="s">
        <v>432</v>
      </c>
      <c r="AF1219" s="109" t="s">
        <v>432</v>
      </c>
      <c r="AG1219" s="109" t="s">
        <v>432</v>
      </c>
      <c r="AH1219" s="109" t="s">
        <v>432</v>
      </c>
      <c r="AI1219" s="109" t="s">
        <v>432</v>
      </c>
      <c r="AJ1219" s="109" t="s">
        <v>432</v>
      </c>
      <c r="AK1219" s="357">
        <f>((AK1051*1)+(AK925*2)+(AK940*3)+(AK976*8)+(AK1000*10))/AK879</f>
        <v>5.1169590643274852</v>
      </c>
      <c r="AL1219" s="601" t="s">
        <v>432</v>
      </c>
      <c r="AM1219" s="137" t="s">
        <v>432</v>
      </c>
      <c r="AN1219" s="137" t="s">
        <v>432</v>
      </c>
      <c r="AO1219" s="137" t="s">
        <v>432</v>
      </c>
      <c r="AP1219" s="137" t="s">
        <v>432</v>
      </c>
      <c r="AQ1219" s="137" t="s">
        <v>432</v>
      </c>
      <c r="AR1219" s="137" t="s">
        <v>432</v>
      </c>
      <c r="AS1219" s="137" t="s">
        <v>432</v>
      </c>
      <c r="AT1219" s="137" t="s">
        <v>432</v>
      </c>
      <c r="AU1219" s="137" t="s">
        <v>432</v>
      </c>
      <c r="AV1219" s="137" t="s">
        <v>432</v>
      </c>
      <c r="AW1219" s="137" t="s">
        <v>432</v>
      </c>
      <c r="AX1219" s="137" t="s">
        <v>432</v>
      </c>
      <c r="AY1219" s="137" t="s">
        <v>432</v>
      </c>
      <c r="AZ1219" s="137" t="s">
        <v>432</v>
      </c>
      <c r="BA1219" s="137" t="s">
        <v>432</v>
      </c>
      <c r="BB1219" s="239" t="str">
        <f t="shared" si="342"/>
        <v>Sistema de transporte coletivo com um todoacessibilidade</v>
      </c>
      <c r="BC1219" s="239" t="str">
        <f t="shared" si="343"/>
        <v>Sistema de transporte coletivo com um todoacessibilidadebenchmarking</v>
      </c>
      <c r="BD1219" s="239" t="str">
        <f t="shared" si="344"/>
        <v>Sistema de transporte coletivo com um todobenchmarking</v>
      </c>
    </row>
    <row r="1220" spans="1:56" s="3" customFormat="1" ht="60" customHeight="1" x14ac:dyDescent="0.25">
      <c r="A1220" s="262" t="str">
        <f>'Q100b-totais'!B62</f>
        <v>8.10</v>
      </c>
      <c r="B1220" s="252" t="str">
        <f>'Q100b-totais'!C62</f>
        <v>Sistema de transporte coletivo com um todo</v>
      </c>
      <c r="C1220" s="229" t="s">
        <v>743</v>
      </c>
      <c r="D1220" s="980" t="str">
        <f>'Q100e-FrotaOnibus'!W43</f>
        <v>IAED tc</v>
      </c>
      <c r="E1220" s="1527" t="str">
        <f>'Q100e-FrotaOnibus'!X43</f>
        <v>Joinville</v>
      </c>
      <c r="F1220" s="363" t="str">
        <f>'Q100e-FrotaOnibus'!Y43</f>
        <v>índice de acessibilidade do embarque/desembarque da frota de transporte coletivo por ônibus urbano de Joinville na escala de 1 a 10 definida pelo SisMob-BH (onde 1 é a pior situação, 6 é o "RPI de acessibilidade sem desenho universal" e 10 é a melhor situação como "RPI de desenho universal")
obs.: consulte "acessibilidade em ônibus urbano (escala)"</v>
      </c>
      <c r="G1220" s="369" t="str">
        <f>'Q100e-FrotaOnibus'!Z43</f>
        <v>∑(n.º de veículos x nota) / n.º de veículos</v>
      </c>
      <c r="H1220" s="167" t="s">
        <v>819</v>
      </c>
      <c r="I1220" s="167" t="s">
        <v>432</v>
      </c>
      <c r="J1220" s="357" t="s">
        <v>2082</v>
      </c>
      <c r="K1220" s="357" t="s">
        <v>2082</v>
      </c>
      <c r="L1220" s="357" t="s">
        <v>2082</v>
      </c>
      <c r="M1220" s="357" t="s">
        <v>2082</v>
      </c>
      <c r="N1220" s="357" t="s">
        <v>2082</v>
      </c>
      <c r="O1220" s="357" t="s">
        <v>2082</v>
      </c>
      <c r="P1220" s="357" t="s">
        <v>2082</v>
      </c>
      <c r="Q1220" s="357" t="s">
        <v>2082</v>
      </c>
      <c r="R1220" s="357" t="s">
        <v>2082</v>
      </c>
      <c r="S1220" s="109" t="s">
        <v>2209</v>
      </c>
      <c r="T1220" s="357" t="s">
        <v>2082</v>
      </c>
      <c r="U1220" s="357" t="s">
        <v>2082</v>
      </c>
      <c r="V1220" s="109" t="s">
        <v>2209</v>
      </c>
      <c r="W1220" s="357" t="s">
        <v>2082</v>
      </c>
      <c r="X1220" s="357" t="s">
        <v>2082</v>
      </c>
      <c r="Y1220" s="357" t="s">
        <v>2082</v>
      </c>
      <c r="Z1220" s="357" t="s">
        <v>2082</v>
      </c>
      <c r="AA1220" s="357" t="s">
        <v>2082</v>
      </c>
      <c r="AB1220" s="357" t="s">
        <v>2082</v>
      </c>
      <c r="AC1220" s="357" t="s">
        <v>2082</v>
      </c>
      <c r="AD1220" s="357" t="s">
        <v>2082</v>
      </c>
      <c r="AE1220" s="357" t="s">
        <v>2082</v>
      </c>
      <c r="AF1220" s="357" t="s">
        <v>2082</v>
      </c>
      <c r="AG1220" s="357" t="s">
        <v>2082</v>
      </c>
      <c r="AH1220" s="357" t="s">
        <v>2082</v>
      </c>
      <c r="AI1220" s="357" t="s">
        <v>2082</v>
      </c>
      <c r="AJ1220" s="357">
        <f>((AJ1052*1)+(AJ926*2)+(AJ941*3)+(AJ978*8))/AJ880</f>
        <v>2.3159340659340661</v>
      </c>
      <c r="AK1220" s="357" t="e">
        <f>((AK1052*1)+(AK926*2)+(AK941*3)+(AK978*8))/AK880</f>
        <v>#VALUE!</v>
      </c>
      <c r="AL1220" s="601" t="s">
        <v>432</v>
      </c>
      <c r="AM1220" s="137" t="s">
        <v>432</v>
      </c>
      <c r="AN1220" s="137" t="s">
        <v>432</v>
      </c>
      <c r="AO1220" s="137" t="s">
        <v>432</v>
      </c>
      <c r="AP1220" s="137" t="s">
        <v>432</v>
      </c>
      <c r="AQ1220" s="137" t="s">
        <v>432</v>
      </c>
      <c r="AR1220" s="137" t="s">
        <v>432</v>
      </c>
      <c r="AS1220" s="137" t="s">
        <v>432</v>
      </c>
      <c r="AT1220" s="137" t="s">
        <v>432</v>
      </c>
      <c r="AU1220" s="137" t="s">
        <v>432</v>
      </c>
      <c r="AV1220" s="137" t="s">
        <v>432</v>
      </c>
      <c r="AW1220" s="137" t="s">
        <v>432</v>
      </c>
      <c r="AX1220" s="137" t="s">
        <v>432</v>
      </c>
      <c r="AY1220" s="137" t="s">
        <v>432</v>
      </c>
      <c r="AZ1220" s="137" t="s">
        <v>432</v>
      </c>
      <c r="BA1220" s="137" t="s">
        <v>432</v>
      </c>
      <c r="BB1220" s="239" t="str">
        <f t="shared" si="342"/>
        <v>Sistema de transporte coletivo com um todoacessibilidade</v>
      </c>
      <c r="BC1220" s="239" t="str">
        <f t="shared" si="343"/>
        <v>Sistema de transporte coletivo com um todoacessibilidadebenchmarking</v>
      </c>
      <c r="BD1220" s="239" t="str">
        <f t="shared" si="344"/>
        <v>Sistema de transporte coletivo com um todobenchmarking</v>
      </c>
    </row>
    <row r="1221" spans="1:56" s="3" customFormat="1" ht="60" customHeight="1" x14ac:dyDescent="0.25">
      <c r="A1221" s="262" t="str">
        <f>'Q100b-totais'!B62</f>
        <v>8.10</v>
      </c>
      <c r="B1221" s="252" t="str">
        <f>'Q100b-totais'!C62</f>
        <v>Sistema de transporte coletivo com um todo</v>
      </c>
      <c r="C1221" s="229" t="s">
        <v>743</v>
      </c>
      <c r="D1221" s="377" t="str">
        <f>'Q100e-FrotaOnibus'!AE43</f>
        <v>IAED tc</v>
      </c>
      <c r="E1221" s="1501" t="str">
        <f>'Q100e-FrotaOnibus'!AF43</f>
        <v>RMBH metropolitano</v>
      </c>
      <c r="F1221" s="355" t="str">
        <f>'Q100e-FrotaOnibus'!AG43</f>
        <v>índice de acessibilidade do embarque/desembarque da frota de transporte coletivo por ônibus urbano na RMBH do serviço gerenciado pela Setop-MG na escala de 1 a 10 definida pelo SisMob-BH (onde 1 é a pior situação, 6 é o "RPI de acessibilidade sem desenho universal" e 10 é a melhor situação como "RPI de desenho universal")
obs.: consulte "acessibilidade em ônibus urbano (escala)"</v>
      </c>
      <c r="G1221" s="111" t="str">
        <f>'Q100e-FrotaOnibus'!AH43</f>
        <v>∑(n.º de veículos x nota) / n.º de veículos</v>
      </c>
      <c r="H1221" s="167" t="s">
        <v>432</v>
      </c>
      <c r="I1221" s="167">
        <v>1</v>
      </c>
      <c r="J1221" s="357" t="s">
        <v>2082</v>
      </c>
      <c r="K1221" s="357" t="s">
        <v>2082</v>
      </c>
      <c r="L1221" s="357" t="s">
        <v>2082</v>
      </c>
      <c r="M1221" s="357" t="s">
        <v>2082</v>
      </c>
      <c r="N1221" s="357" t="s">
        <v>2082</v>
      </c>
      <c r="O1221" s="357" t="s">
        <v>2082</v>
      </c>
      <c r="P1221" s="357" t="s">
        <v>2082</v>
      </c>
      <c r="Q1221" s="357" t="s">
        <v>2082</v>
      </c>
      <c r="R1221" s="357" t="s">
        <v>2082</v>
      </c>
      <c r="S1221" s="109" t="s">
        <v>2209</v>
      </c>
      <c r="T1221" s="357" t="s">
        <v>2082</v>
      </c>
      <c r="U1221" s="357" t="s">
        <v>2082</v>
      </c>
      <c r="V1221" s="109" t="s">
        <v>2209</v>
      </c>
      <c r="W1221" s="357" t="s">
        <v>2082</v>
      </c>
      <c r="X1221" s="357" t="s">
        <v>2082</v>
      </c>
      <c r="Y1221" s="357" t="s">
        <v>2082</v>
      </c>
      <c r="Z1221" s="357" t="s">
        <v>2082</v>
      </c>
      <c r="AA1221" s="357" t="s">
        <v>2082</v>
      </c>
      <c r="AB1221" s="357" t="s">
        <v>2082</v>
      </c>
      <c r="AC1221" s="357" t="s">
        <v>2082</v>
      </c>
      <c r="AD1221" s="357" t="s">
        <v>2082</v>
      </c>
      <c r="AE1221" s="357" t="s">
        <v>2082</v>
      </c>
      <c r="AF1221" s="357" t="s">
        <v>2082</v>
      </c>
      <c r="AG1221" s="357" t="s">
        <v>2082</v>
      </c>
      <c r="AH1221" s="357" t="s">
        <v>2082</v>
      </c>
      <c r="AI1221" s="357" t="s">
        <v>2082</v>
      </c>
      <c r="AJ1221" s="357" t="s">
        <v>2082</v>
      </c>
      <c r="AK1221" s="780">
        <f>((1*AK1053)+(2*AK928)+(3*AK942)+(4*AK891)+(5*AK894)+(8*AK980))/AK882</f>
        <v>2.0558410414525521</v>
      </c>
      <c r="AL1221" s="601" t="s">
        <v>432</v>
      </c>
      <c r="AM1221" s="137" t="s">
        <v>432</v>
      </c>
      <c r="AN1221" s="137" t="s">
        <v>432</v>
      </c>
      <c r="AO1221" s="137" t="s">
        <v>432</v>
      </c>
      <c r="AP1221" s="137" t="s">
        <v>432</v>
      </c>
      <c r="AQ1221" s="137" t="s">
        <v>432</v>
      </c>
      <c r="AR1221" s="137" t="s">
        <v>432</v>
      </c>
      <c r="AS1221" s="137" t="s">
        <v>432</v>
      </c>
      <c r="AT1221" s="137" t="s">
        <v>432</v>
      </c>
      <c r="AU1221" s="137" t="s">
        <v>432</v>
      </c>
      <c r="AV1221" s="137" t="s">
        <v>432</v>
      </c>
      <c r="AW1221" s="137" t="s">
        <v>432</v>
      </c>
      <c r="AX1221" s="137" t="s">
        <v>432</v>
      </c>
      <c r="AY1221" s="137" t="s">
        <v>432</v>
      </c>
      <c r="AZ1221" s="137" t="s">
        <v>432</v>
      </c>
      <c r="BA1221" s="137" t="s">
        <v>432</v>
      </c>
      <c r="BB1221" s="239" t="str">
        <f>B1221&amp;C1221</f>
        <v>Sistema de transporte coletivo com um todoacessibilidade</v>
      </c>
      <c r="BC1221" s="239" t="str">
        <f>B1221&amp;C1221&amp;H1221</f>
        <v>Sistema de transporte coletivo com um todoacessibilidadex</v>
      </c>
      <c r="BD1221" s="239" t="str">
        <f>B1221&amp;H1221</f>
        <v>Sistema de transporte coletivo com um todox</v>
      </c>
    </row>
    <row r="1222" spans="1:56" s="3" customFormat="1" ht="75" customHeight="1" x14ac:dyDescent="0.25">
      <c r="A1222" s="262" t="str">
        <f>'Q100b-totais'!B62</f>
        <v>8.10</v>
      </c>
      <c r="B1222" s="252" t="str">
        <f>'Q100b-totais'!C62</f>
        <v>Sistema de transporte coletivo com um todo</v>
      </c>
      <c r="C1222" s="229" t="s">
        <v>743</v>
      </c>
      <c r="D1222" s="847" t="str">
        <f>'Q100e-FrotaOnibus'!AQ43</f>
        <v>IAED tc</v>
      </c>
      <c r="E1222" s="1496" t="str">
        <f>'Q100e-FrotaOnibus'!AR43</f>
        <v>São Paulo</v>
      </c>
      <c r="F1222" s="53" t="str">
        <f>'Q100e-FrotaOnibus'!AS43</f>
        <v>índice de acessibilidade do embarque/desembarque da frota de transporte coletivo (estrututral e local) da cidade de São Paulo gerencoiado pela SPTrans na escala de 1 a 10 definida pelo SisMob-BH (onde 1 é a pior situação, 6 é o "RPI de acessibilidade sem desenho universal" e 10 é a melhor situação como "RPI de desenho universal") 
obs.: consulte "acessibilidade em ônibus urbano (escala)"</v>
      </c>
      <c r="G1222" s="370" t="str">
        <f>'Q100e-FrotaOnibus'!AT43</f>
        <v>∑(n.º de veículos x nota) / n.º de veículos</v>
      </c>
      <c r="H1222" s="167" t="s">
        <v>819</v>
      </c>
      <c r="I1222" s="167" t="s">
        <v>432</v>
      </c>
      <c r="J1222" s="109" t="s">
        <v>432</v>
      </c>
      <c r="K1222" s="109" t="s">
        <v>432</v>
      </c>
      <c r="L1222" s="109" t="s">
        <v>432</v>
      </c>
      <c r="M1222" s="109" t="s">
        <v>432</v>
      </c>
      <c r="N1222" s="109" t="s">
        <v>432</v>
      </c>
      <c r="O1222" s="109" t="s">
        <v>432</v>
      </c>
      <c r="P1222" s="109" t="s">
        <v>432</v>
      </c>
      <c r="Q1222" s="109" t="s">
        <v>432</v>
      </c>
      <c r="R1222" s="109" t="s">
        <v>432</v>
      </c>
      <c r="S1222" s="109" t="s">
        <v>2209</v>
      </c>
      <c r="T1222" s="109" t="s">
        <v>432</v>
      </c>
      <c r="U1222" s="109" t="s">
        <v>432</v>
      </c>
      <c r="V1222" s="109" t="s">
        <v>2209</v>
      </c>
      <c r="W1222" s="109" t="s">
        <v>432</v>
      </c>
      <c r="X1222" s="109" t="s">
        <v>432</v>
      </c>
      <c r="Y1222" s="357" t="s">
        <v>2082</v>
      </c>
      <c r="Z1222" s="357" t="s">
        <v>2082</v>
      </c>
      <c r="AA1222" s="357" t="s">
        <v>2082</v>
      </c>
      <c r="AB1222" s="357" t="s">
        <v>2082</v>
      </c>
      <c r="AC1222" s="357" t="s">
        <v>2082</v>
      </c>
      <c r="AD1222" s="357" t="s">
        <v>2082</v>
      </c>
      <c r="AE1222" s="357" t="s">
        <v>2082</v>
      </c>
      <c r="AF1222" s="357" t="s">
        <v>2082</v>
      </c>
      <c r="AG1222" s="357" t="s">
        <v>2082</v>
      </c>
      <c r="AH1222" s="357" t="s">
        <v>2082</v>
      </c>
      <c r="AI1222" s="357" t="s">
        <v>2082</v>
      </c>
      <c r="AJ1222" s="357" t="s">
        <v>2082</v>
      </c>
      <c r="AK1222" s="780">
        <f>((1*AK1054)+(2*AK929)+(8*AK981))/AK883</f>
        <v>4.0922857530897732</v>
      </c>
      <c r="AL1222" s="601" t="s">
        <v>432</v>
      </c>
      <c r="AM1222" s="137" t="s">
        <v>432</v>
      </c>
      <c r="AN1222" s="137" t="s">
        <v>432</v>
      </c>
      <c r="AO1222" s="137" t="s">
        <v>432</v>
      </c>
      <c r="AP1222" s="137" t="s">
        <v>432</v>
      </c>
      <c r="AQ1222" s="137" t="s">
        <v>432</v>
      </c>
      <c r="AR1222" s="137" t="s">
        <v>432</v>
      </c>
      <c r="AS1222" s="137" t="s">
        <v>432</v>
      </c>
      <c r="AT1222" s="137" t="s">
        <v>432</v>
      </c>
      <c r="AU1222" s="137" t="s">
        <v>432</v>
      </c>
      <c r="AV1222" s="137" t="s">
        <v>432</v>
      </c>
      <c r="AW1222" s="137" t="s">
        <v>432</v>
      </c>
      <c r="AX1222" s="137" t="s">
        <v>432</v>
      </c>
      <c r="AY1222" s="137" t="s">
        <v>432</v>
      </c>
      <c r="AZ1222" s="137" t="s">
        <v>432</v>
      </c>
      <c r="BA1222" s="137" t="s">
        <v>432</v>
      </c>
      <c r="BB1222" s="239" t="str">
        <f>B1222&amp;C1222</f>
        <v>Sistema de transporte coletivo com um todoacessibilidade</v>
      </c>
      <c r="BC1222" s="239" t="str">
        <f>B1222&amp;C1222&amp;H1222</f>
        <v>Sistema de transporte coletivo com um todoacessibilidadebenchmarking</v>
      </c>
      <c r="BD1222" s="239" t="str">
        <f>B1222&amp;H1222</f>
        <v>Sistema de transporte coletivo com um todobenchmarking</v>
      </c>
    </row>
    <row r="1223" spans="1:56" s="3" customFormat="1" ht="62.25" customHeight="1" x14ac:dyDescent="0.25">
      <c r="A1223" s="262" t="str">
        <f>'Q100b-totais'!B62</f>
        <v>8.10</v>
      </c>
      <c r="B1223" s="252" t="str">
        <f>'Q100b-totais'!C62</f>
        <v>Sistema de transporte coletivo com um todo</v>
      </c>
      <c r="C1223" s="229" t="s">
        <v>743</v>
      </c>
      <c r="D1223" s="325" t="str">
        <f>'Q100e-FrotaOnibus'!AI43</f>
        <v>IAED tce</v>
      </c>
      <c r="E1223" s="1445" t="str">
        <f>'Q100e-FrotaOnibus'!AJ43</f>
        <v>São Paulo</v>
      </c>
      <c r="F1223" s="252" t="str">
        <f>'Q100e-FrotaOnibus'!AK43</f>
        <v>índice de acessibilidade do embarque/desembarque da frota de transporte coletivo estrutural da cidade de São Paulo gerenciado pela SPTrans na escala de 1 a 10 definida pelo SisMob-BH (onde 1 é a pior situação, 6 é o "RPI de acessibilidade sem desenho universal" e 10 é a melhor situação como "RPI de desenho universal")
obs.: consulte "acessibilidade em ônibus urbano (escala)"</v>
      </c>
      <c r="G1223" s="111" t="str">
        <f>'Q100e-FrotaOnibus'!AL43</f>
        <v>∑(n.º de veículos x nota) / n.º de veículos</v>
      </c>
      <c r="H1223" s="167" t="s">
        <v>819</v>
      </c>
      <c r="I1223" s="167" t="s">
        <v>432</v>
      </c>
      <c r="J1223" s="109" t="s">
        <v>432</v>
      </c>
      <c r="K1223" s="109" t="s">
        <v>432</v>
      </c>
      <c r="L1223" s="109" t="s">
        <v>432</v>
      </c>
      <c r="M1223" s="109" t="s">
        <v>432</v>
      </c>
      <c r="N1223" s="109" t="s">
        <v>432</v>
      </c>
      <c r="O1223" s="109" t="s">
        <v>432</v>
      </c>
      <c r="P1223" s="109" t="s">
        <v>432</v>
      </c>
      <c r="Q1223" s="109" t="s">
        <v>432</v>
      </c>
      <c r="R1223" s="109" t="s">
        <v>432</v>
      </c>
      <c r="S1223" s="109" t="s">
        <v>2209</v>
      </c>
      <c r="T1223" s="109" t="s">
        <v>432</v>
      </c>
      <c r="U1223" s="109" t="s">
        <v>432</v>
      </c>
      <c r="V1223" s="109" t="s">
        <v>2209</v>
      </c>
      <c r="W1223" s="109" t="s">
        <v>432</v>
      </c>
      <c r="X1223" s="109" t="s">
        <v>432</v>
      </c>
      <c r="Y1223" s="357" t="s">
        <v>2082</v>
      </c>
      <c r="Z1223" s="357" t="s">
        <v>2082</v>
      </c>
      <c r="AA1223" s="357" t="s">
        <v>2082</v>
      </c>
      <c r="AB1223" s="357" t="s">
        <v>2082</v>
      </c>
      <c r="AC1223" s="357" t="s">
        <v>2082</v>
      </c>
      <c r="AD1223" s="357" t="s">
        <v>2082</v>
      </c>
      <c r="AE1223" s="357" t="s">
        <v>2082</v>
      </c>
      <c r="AF1223" s="357" t="s">
        <v>2082</v>
      </c>
      <c r="AG1223" s="357" t="s">
        <v>2082</v>
      </c>
      <c r="AH1223" s="357" t="s">
        <v>2082</v>
      </c>
      <c r="AI1223" s="357" t="s">
        <v>2082</v>
      </c>
      <c r="AJ1223" s="357" t="s">
        <v>2082</v>
      </c>
      <c r="AK1223" s="780">
        <f>((1*AK1055)+(2*AK930)+(8*AK982))/AK884</f>
        <v>5.5449081424359266</v>
      </c>
      <c r="AL1223" s="601" t="s">
        <v>432</v>
      </c>
      <c r="AM1223" s="137" t="s">
        <v>432</v>
      </c>
      <c r="AN1223" s="137" t="s">
        <v>432</v>
      </c>
      <c r="AO1223" s="137" t="s">
        <v>432</v>
      </c>
      <c r="AP1223" s="137" t="s">
        <v>432</v>
      </c>
      <c r="AQ1223" s="137" t="s">
        <v>432</v>
      </c>
      <c r="AR1223" s="137" t="s">
        <v>432</v>
      </c>
      <c r="AS1223" s="137" t="s">
        <v>432</v>
      </c>
      <c r="AT1223" s="137" t="s">
        <v>432</v>
      </c>
      <c r="AU1223" s="137" t="s">
        <v>432</v>
      </c>
      <c r="AV1223" s="137" t="s">
        <v>432</v>
      </c>
      <c r="AW1223" s="137" t="s">
        <v>432</v>
      </c>
      <c r="AX1223" s="137" t="s">
        <v>432</v>
      </c>
      <c r="AY1223" s="137" t="s">
        <v>432</v>
      </c>
      <c r="AZ1223" s="137" t="s">
        <v>432</v>
      </c>
      <c r="BA1223" s="137" t="s">
        <v>432</v>
      </c>
      <c r="BB1223" s="239" t="str">
        <f>B1223&amp;C1223</f>
        <v>Sistema de transporte coletivo com um todoacessibilidade</v>
      </c>
      <c r="BC1223" s="239" t="str">
        <f>B1223&amp;C1223&amp;H1223</f>
        <v>Sistema de transporte coletivo com um todoacessibilidadebenchmarking</v>
      </c>
      <c r="BD1223" s="239" t="str">
        <f>B1223&amp;H1223</f>
        <v>Sistema de transporte coletivo com um todobenchmarking</v>
      </c>
    </row>
    <row r="1224" spans="1:56" s="3" customFormat="1" ht="64.5" customHeight="1" x14ac:dyDescent="0.25">
      <c r="A1224" s="262" t="str">
        <f>'Q100b-totais'!B62</f>
        <v>8.10</v>
      </c>
      <c r="B1224" s="252" t="str">
        <f>'Q100b-totais'!C62</f>
        <v>Sistema de transporte coletivo com um todo</v>
      </c>
      <c r="C1224" s="229" t="s">
        <v>743</v>
      </c>
      <c r="D1224" s="325" t="str">
        <f>'Q100e-FrotaOnibus'!AM43</f>
        <v>IAED tcl</v>
      </c>
      <c r="E1224" s="1445" t="str">
        <f>'Q100e-FrotaOnibus'!AN43</f>
        <v>São Paulo</v>
      </c>
      <c r="F1224" s="252" t="str">
        <f>'Q100e-FrotaOnibus'!AO43</f>
        <v>índice de acessibilidade do embarque/desembarque da frota de transporte coletivo local da cidade de São Paulo gerenciado pela SPTrans na escala de 1 a 10 definida pelo SisMob-BH (onde 1 é a pior situação, 6 é o "RPI de acessibilidade sem desenho universal" e 10 é a melhor situação como "RPI de desenho universal")
obs.: consulte "acessibilidade em ônibus urbano (escala)"</v>
      </c>
      <c r="G1224" s="111" t="str">
        <f>'Q100e-FrotaOnibus'!AP43</f>
        <v>∑(n.º de veículos x nota) / n.º de veículos</v>
      </c>
      <c r="H1224" s="167" t="s">
        <v>819</v>
      </c>
      <c r="I1224" s="167" t="s">
        <v>432</v>
      </c>
      <c r="J1224" s="109" t="s">
        <v>432</v>
      </c>
      <c r="K1224" s="109" t="s">
        <v>432</v>
      </c>
      <c r="L1224" s="109" t="s">
        <v>432</v>
      </c>
      <c r="M1224" s="109" t="s">
        <v>432</v>
      </c>
      <c r="N1224" s="109" t="s">
        <v>432</v>
      </c>
      <c r="O1224" s="109" t="s">
        <v>432</v>
      </c>
      <c r="P1224" s="109" t="s">
        <v>432</v>
      </c>
      <c r="Q1224" s="109" t="s">
        <v>432</v>
      </c>
      <c r="R1224" s="109" t="s">
        <v>432</v>
      </c>
      <c r="S1224" s="109" t="s">
        <v>2209</v>
      </c>
      <c r="T1224" s="109" t="s">
        <v>432</v>
      </c>
      <c r="U1224" s="109" t="s">
        <v>432</v>
      </c>
      <c r="V1224" s="109" t="s">
        <v>2209</v>
      </c>
      <c r="W1224" s="109" t="s">
        <v>432</v>
      </c>
      <c r="X1224" s="109" t="s">
        <v>432</v>
      </c>
      <c r="Y1224" s="357" t="s">
        <v>2082</v>
      </c>
      <c r="Z1224" s="357" t="s">
        <v>2082</v>
      </c>
      <c r="AA1224" s="357" t="s">
        <v>2082</v>
      </c>
      <c r="AB1224" s="357" t="s">
        <v>2082</v>
      </c>
      <c r="AC1224" s="357" t="s">
        <v>2082</v>
      </c>
      <c r="AD1224" s="357" t="s">
        <v>2082</v>
      </c>
      <c r="AE1224" s="357" t="s">
        <v>2082</v>
      </c>
      <c r="AF1224" s="357" t="s">
        <v>2082</v>
      </c>
      <c r="AG1224" s="357" t="s">
        <v>2082</v>
      </c>
      <c r="AH1224" s="357" t="s">
        <v>2082</v>
      </c>
      <c r="AI1224" s="357" t="s">
        <v>2082</v>
      </c>
      <c r="AJ1224" s="357" t="s">
        <v>2082</v>
      </c>
      <c r="AK1224" s="780">
        <f>((1*AK1056)+(2*AK931)+(8*AK983))/AK885</f>
        <v>1.9241706161137442</v>
      </c>
      <c r="AL1224" s="601" t="s">
        <v>432</v>
      </c>
      <c r="AM1224" s="137" t="s">
        <v>432</v>
      </c>
      <c r="AN1224" s="137" t="s">
        <v>432</v>
      </c>
      <c r="AO1224" s="137" t="s">
        <v>432</v>
      </c>
      <c r="AP1224" s="137" t="s">
        <v>432</v>
      </c>
      <c r="AQ1224" s="137" t="s">
        <v>432</v>
      </c>
      <c r="AR1224" s="137" t="s">
        <v>432</v>
      </c>
      <c r="AS1224" s="137" t="s">
        <v>432</v>
      </c>
      <c r="AT1224" s="137" t="s">
        <v>432</v>
      </c>
      <c r="AU1224" s="137" t="s">
        <v>432</v>
      </c>
      <c r="AV1224" s="137" t="s">
        <v>432</v>
      </c>
      <c r="AW1224" s="137" t="s">
        <v>432</v>
      </c>
      <c r="AX1224" s="137" t="s">
        <v>432</v>
      </c>
      <c r="AY1224" s="137" t="s">
        <v>432</v>
      </c>
      <c r="AZ1224" s="137" t="s">
        <v>432</v>
      </c>
      <c r="BA1224" s="137" t="s">
        <v>432</v>
      </c>
      <c r="BB1224" s="239" t="str">
        <f>B1224&amp;C1224</f>
        <v>Sistema de transporte coletivo com um todoacessibilidade</v>
      </c>
      <c r="BC1224" s="239" t="str">
        <f>B1224&amp;C1224&amp;H1224</f>
        <v>Sistema de transporte coletivo com um todoacessibilidadebenchmarking</v>
      </c>
      <c r="BD1224" s="239" t="str">
        <f>B1224&amp;H1224</f>
        <v>Sistema de transporte coletivo com um todobenchmarking</v>
      </c>
    </row>
    <row r="1225" spans="1:56" s="373" customFormat="1" x14ac:dyDescent="0.25">
      <c r="A1225" s="383"/>
      <c r="B1225" s="384"/>
      <c r="C1225" s="384"/>
      <c r="D1225" s="719"/>
      <c r="E1225" s="1519"/>
      <c r="F1225" s="385"/>
      <c r="G1225" s="385"/>
      <c r="H1225" s="389"/>
      <c r="I1225" s="385"/>
      <c r="J1225" s="385"/>
      <c r="K1225" s="385"/>
      <c r="L1225" s="385"/>
      <c r="M1225" s="385"/>
      <c r="N1225" s="385"/>
      <c r="O1225" s="385"/>
      <c r="P1225" s="385"/>
      <c r="Q1225" s="385"/>
      <c r="R1225" s="385"/>
      <c r="S1225" s="385"/>
      <c r="T1225" s="385"/>
      <c r="U1225" s="385"/>
      <c r="V1225" s="385"/>
      <c r="W1225" s="385"/>
      <c r="X1225" s="385"/>
      <c r="Y1225" s="385"/>
      <c r="Z1225" s="385"/>
      <c r="AA1225" s="385"/>
      <c r="AB1225" s="385"/>
      <c r="AC1225" s="385"/>
      <c r="AD1225" s="385"/>
      <c r="AE1225" s="385"/>
      <c r="AF1225" s="385"/>
      <c r="AG1225" s="385"/>
      <c r="AH1225" s="385"/>
      <c r="AI1225" s="385"/>
      <c r="AJ1225" s="385"/>
      <c r="AK1225" s="385"/>
      <c r="AL1225" s="385"/>
      <c r="AM1225" s="385"/>
      <c r="AN1225" s="387"/>
      <c r="AO1225" s="387"/>
      <c r="AP1225" s="387"/>
      <c r="AQ1225" s="387"/>
      <c r="AR1225" s="387"/>
      <c r="AS1225" s="387"/>
      <c r="AT1225" s="387"/>
      <c r="AU1225" s="387"/>
      <c r="AV1225" s="387"/>
      <c r="AW1225" s="387"/>
      <c r="AX1225" s="387"/>
      <c r="AY1225" s="387"/>
      <c r="AZ1225" s="387"/>
      <c r="BA1225" s="387"/>
      <c r="BB1225" s="388"/>
      <c r="BC1225" s="388"/>
      <c r="BD1225" s="388"/>
    </row>
    <row r="1226" spans="1:56" s="1" customFormat="1" ht="25.5" x14ac:dyDescent="0.25">
      <c r="A1226" s="275" t="str">
        <f>'Q100b-totais'!$B$64</f>
        <v>9.1</v>
      </c>
      <c r="B1226" s="1205" t="str">
        <f>'Q100b-totais'!$C$64</f>
        <v>Acidentes de trânsito</v>
      </c>
      <c r="C1226" s="57" t="s">
        <v>432</v>
      </c>
      <c r="D1226" s="939" t="s">
        <v>776</v>
      </c>
      <c r="E1226" s="509" t="s">
        <v>432</v>
      </c>
      <c r="F1226" s="5" t="s">
        <v>1909</v>
      </c>
      <c r="G1226" s="57" t="s">
        <v>1913</v>
      </c>
      <c r="H1226" s="173" t="s">
        <v>2408</v>
      </c>
      <c r="I1226" s="57" t="s">
        <v>432</v>
      </c>
      <c r="J1226" s="109" t="s">
        <v>432</v>
      </c>
      <c r="K1226" s="109" t="s">
        <v>432</v>
      </c>
      <c r="L1226" s="109" t="s">
        <v>432</v>
      </c>
      <c r="M1226" s="109" t="s">
        <v>432</v>
      </c>
      <c r="N1226" s="109" t="s">
        <v>432</v>
      </c>
      <c r="O1226" s="109" t="s">
        <v>432</v>
      </c>
      <c r="P1226" s="109" t="s">
        <v>432</v>
      </c>
      <c r="Q1226" s="109" t="s">
        <v>432</v>
      </c>
      <c r="R1226" s="109" t="s">
        <v>432</v>
      </c>
      <c r="S1226" s="109" t="s">
        <v>2209</v>
      </c>
      <c r="T1226" s="109" t="s">
        <v>432</v>
      </c>
      <c r="U1226" s="109" t="s">
        <v>432</v>
      </c>
      <c r="V1226" s="109" t="s">
        <v>2209</v>
      </c>
      <c r="W1226" s="109" t="s">
        <v>432</v>
      </c>
      <c r="X1226" s="109" t="s">
        <v>432</v>
      </c>
      <c r="Y1226" s="109" t="s">
        <v>432</v>
      </c>
      <c r="Z1226" s="109" t="s">
        <v>432</v>
      </c>
      <c r="AA1226" s="109" t="s">
        <v>432</v>
      </c>
      <c r="AB1226" s="109" t="s">
        <v>432</v>
      </c>
      <c r="AC1226" s="109" t="s">
        <v>432</v>
      </c>
      <c r="AD1226" s="109" t="s">
        <v>432</v>
      </c>
      <c r="AE1226" s="109" t="s">
        <v>432</v>
      </c>
      <c r="AF1226" s="109" t="s">
        <v>432</v>
      </c>
      <c r="AG1226" s="109" t="s">
        <v>432</v>
      </c>
      <c r="AH1226" s="109" t="s">
        <v>432</v>
      </c>
      <c r="AI1226" s="109" t="s">
        <v>432</v>
      </c>
      <c r="AJ1226" s="109" t="s">
        <v>432</v>
      </c>
      <c r="AK1226" s="137" t="s">
        <v>432</v>
      </c>
      <c r="AL1226" s="601" t="s">
        <v>432</v>
      </c>
      <c r="AM1226" s="137" t="s">
        <v>432</v>
      </c>
      <c r="AN1226" s="137" t="s">
        <v>432</v>
      </c>
      <c r="AO1226" s="137" t="s">
        <v>432</v>
      </c>
      <c r="AP1226" s="137" t="s">
        <v>432</v>
      </c>
      <c r="AQ1226" s="137" t="s">
        <v>432</v>
      </c>
      <c r="AR1226" s="137" t="s">
        <v>432</v>
      </c>
      <c r="AS1226" s="137" t="s">
        <v>432</v>
      </c>
      <c r="AT1226" s="137" t="s">
        <v>432</v>
      </c>
      <c r="AU1226" s="137" t="s">
        <v>432</v>
      </c>
      <c r="AV1226" s="137" t="s">
        <v>432</v>
      </c>
      <c r="AW1226" s="137" t="s">
        <v>432</v>
      </c>
      <c r="AX1226" s="137" t="s">
        <v>432</v>
      </c>
      <c r="AY1226" s="137" t="s">
        <v>432</v>
      </c>
      <c r="AZ1226" s="137" t="s">
        <v>432</v>
      </c>
      <c r="BA1226" s="137" t="s">
        <v>432</v>
      </c>
      <c r="BB1226" s="239" t="str">
        <f t="shared" ref="BB1226:BB1232" si="348">B1226&amp;C1226</f>
        <v>Acidentes de trânsitox</v>
      </c>
      <c r="BC1226" s="239" t="str">
        <f t="shared" ref="BC1226:BC1232" si="349">B1226&amp;C1226&amp;H1226</f>
        <v>Acidentes de trânsitoxsigla/verbete</v>
      </c>
      <c r="BD1226" s="239" t="str">
        <f t="shared" ref="BD1226:BD1232" si="350">B1226&amp;H1226</f>
        <v>Acidentes de trânsitosigla/verbete</v>
      </c>
    </row>
    <row r="1227" spans="1:56" s="1" customFormat="1" ht="81.75" customHeight="1" x14ac:dyDescent="0.25">
      <c r="A1227" s="413" t="str">
        <f>'Q100b-totais'!B49</f>
        <v>6.1</v>
      </c>
      <c r="B1227" s="1205" t="str">
        <f>'Q100b-totais'!C49</f>
        <v>Calçadas e passarelas</v>
      </c>
      <c r="C1227" s="230" t="s">
        <v>743</v>
      </c>
      <c r="D1227" s="939" t="s">
        <v>5486</v>
      </c>
      <c r="E1227" s="509" t="s">
        <v>1767</v>
      </c>
      <c r="F1227" s="5" t="s">
        <v>5484</v>
      </c>
      <c r="G1227" s="57" t="s">
        <v>3507</v>
      </c>
      <c r="H1227" s="173" t="s">
        <v>2408</v>
      </c>
      <c r="I1227" s="57" t="s">
        <v>432</v>
      </c>
      <c r="J1227" s="109" t="s">
        <v>432</v>
      </c>
      <c r="K1227" s="109" t="s">
        <v>432</v>
      </c>
      <c r="L1227" s="109" t="s">
        <v>432</v>
      </c>
      <c r="M1227" s="109" t="s">
        <v>432</v>
      </c>
      <c r="N1227" s="109" t="s">
        <v>432</v>
      </c>
      <c r="O1227" s="109" t="s">
        <v>432</v>
      </c>
      <c r="P1227" s="109" t="s">
        <v>432</v>
      </c>
      <c r="Q1227" s="109" t="s">
        <v>432</v>
      </c>
      <c r="R1227" s="109" t="s">
        <v>432</v>
      </c>
      <c r="S1227" s="109" t="s">
        <v>2209</v>
      </c>
      <c r="T1227" s="109" t="s">
        <v>432</v>
      </c>
      <c r="U1227" s="109" t="s">
        <v>432</v>
      </c>
      <c r="V1227" s="109" t="s">
        <v>2209</v>
      </c>
      <c r="W1227" s="109" t="s">
        <v>432</v>
      </c>
      <c r="X1227" s="109" t="s">
        <v>432</v>
      </c>
      <c r="Y1227" s="109" t="s">
        <v>432</v>
      </c>
      <c r="Z1227" s="109" t="s">
        <v>432</v>
      </c>
      <c r="AA1227" s="109" t="s">
        <v>432</v>
      </c>
      <c r="AB1227" s="109" t="s">
        <v>432</v>
      </c>
      <c r="AC1227" s="109" t="s">
        <v>432</v>
      </c>
      <c r="AD1227" s="109" t="s">
        <v>432</v>
      </c>
      <c r="AE1227" s="109" t="s">
        <v>432</v>
      </c>
      <c r="AF1227" s="109" t="s">
        <v>432</v>
      </c>
      <c r="AG1227" s="109" t="s">
        <v>432</v>
      </c>
      <c r="AH1227" s="109" t="s">
        <v>432</v>
      </c>
      <c r="AI1227" s="109" t="s">
        <v>432</v>
      </c>
      <c r="AJ1227" s="109" t="s">
        <v>432</v>
      </c>
      <c r="AK1227" s="109" t="s">
        <v>432</v>
      </c>
      <c r="AL1227" s="601" t="s">
        <v>432</v>
      </c>
      <c r="AM1227" s="137" t="s">
        <v>432</v>
      </c>
      <c r="AN1227" s="137" t="s">
        <v>432</v>
      </c>
      <c r="AO1227" s="137" t="s">
        <v>432</v>
      </c>
      <c r="AP1227" s="137" t="s">
        <v>432</v>
      </c>
      <c r="AQ1227" s="137" t="s">
        <v>432</v>
      </c>
      <c r="AR1227" s="137" t="s">
        <v>432</v>
      </c>
      <c r="AS1227" s="137" t="s">
        <v>432</v>
      </c>
      <c r="AT1227" s="137" t="s">
        <v>432</v>
      </c>
      <c r="AU1227" s="137" t="s">
        <v>432</v>
      </c>
      <c r="AV1227" s="137" t="s">
        <v>432</v>
      </c>
      <c r="AW1227" s="137" t="s">
        <v>432</v>
      </c>
      <c r="AX1227" s="137" t="s">
        <v>432</v>
      </c>
      <c r="AY1227" s="137" t="s">
        <v>432</v>
      </c>
      <c r="AZ1227" s="137" t="s">
        <v>432</v>
      </c>
      <c r="BA1227" s="137" t="s">
        <v>432</v>
      </c>
      <c r="BB1227" s="239" t="str">
        <f t="shared" si="348"/>
        <v>Calçadas e passarelasacessibilidade</v>
      </c>
      <c r="BC1227" s="239" t="str">
        <f t="shared" si="349"/>
        <v>Calçadas e passarelasacessibilidadesigla/verbete</v>
      </c>
      <c r="BD1227" s="239" t="str">
        <f t="shared" si="350"/>
        <v>Calçadas e passarelassigla/verbete</v>
      </c>
    </row>
    <row r="1228" spans="1:56" s="1" customFormat="1" ht="117.75" customHeight="1" x14ac:dyDescent="0.25">
      <c r="A1228" s="413" t="str">
        <f>'Q100b-totais'!B62</f>
        <v>8.10</v>
      </c>
      <c r="B1228" s="1205" t="str">
        <f>'Q100b-totais'!C62</f>
        <v>Sistema de transporte coletivo com um todo</v>
      </c>
      <c r="C1228" s="230" t="s">
        <v>743</v>
      </c>
      <c r="D1228" s="939" t="s">
        <v>5485</v>
      </c>
      <c r="E1228" s="509" t="s">
        <v>1767</v>
      </c>
      <c r="F1228" s="5" t="s">
        <v>5483</v>
      </c>
      <c r="G1228" s="57" t="s">
        <v>3507</v>
      </c>
      <c r="H1228" s="173" t="s">
        <v>2408</v>
      </c>
      <c r="I1228" s="57" t="s">
        <v>432</v>
      </c>
      <c r="J1228" s="109" t="s">
        <v>432</v>
      </c>
      <c r="K1228" s="109" t="s">
        <v>432</v>
      </c>
      <c r="L1228" s="109" t="s">
        <v>432</v>
      </c>
      <c r="M1228" s="109" t="s">
        <v>432</v>
      </c>
      <c r="N1228" s="109" t="s">
        <v>432</v>
      </c>
      <c r="O1228" s="109" t="s">
        <v>432</v>
      </c>
      <c r="P1228" s="109" t="s">
        <v>432</v>
      </c>
      <c r="Q1228" s="109" t="s">
        <v>432</v>
      </c>
      <c r="R1228" s="109" t="s">
        <v>432</v>
      </c>
      <c r="S1228" s="109" t="s">
        <v>2209</v>
      </c>
      <c r="T1228" s="109" t="s">
        <v>432</v>
      </c>
      <c r="U1228" s="109" t="s">
        <v>432</v>
      </c>
      <c r="V1228" s="109" t="s">
        <v>2209</v>
      </c>
      <c r="W1228" s="109" t="s">
        <v>432</v>
      </c>
      <c r="X1228" s="109" t="s">
        <v>432</v>
      </c>
      <c r="Y1228" s="109" t="s">
        <v>432</v>
      </c>
      <c r="Z1228" s="109" t="s">
        <v>432</v>
      </c>
      <c r="AA1228" s="109" t="s">
        <v>432</v>
      </c>
      <c r="AB1228" s="109" t="s">
        <v>432</v>
      </c>
      <c r="AC1228" s="109" t="s">
        <v>432</v>
      </c>
      <c r="AD1228" s="109" t="s">
        <v>432</v>
      </c>
      <c r="AE1228" s="109" t="s">
        <v>432</v>
      </c>
      <c r="AF1228" s="109" t="s">
        <v>432</v>
      </c>
      <c r="AG1228" s="109" t="s">
        <v>432</v>
      </c>
      <c r="AH1228" s="109" t="s">
        <v>432</v>
      </c>
      <c r="AI1228" s="109" t="s">
        <v>432</v>
      </c>
      <c r="AJ1228" s="109" t="s">
        <v>432</v>
      </c>
      <c r="AK1228" s="109" t="s">
        <v>432</v>
      </c>
      <c r="AL1228" s="601" t="s">
        <v>432</v>
      </c>
      <c r="AM1228" s="137" t="s">
        <v>432</v>
      </c>
      <c r="AN1228" s="137" t="s">
        <v>432</v>
      </c>
      <c r="AO1228" s="137" t="s">
        <v>432</v>
      </c>
      <c r="AP1228" s="137" t="s">
        <v>432</v>
      </c>
      <c r="AQ1228" s="137" t="s">
        <v>432</v>
      </c>
      <c r="AR1228" s="137" t="s">
        <v>432</v>
      </c>
      <c r="AS1228" s="137" t="s">
        <v>432</v>
      </c>
      <c r="AT1228" s="137" t="s">
        <v>432</v>
      </c>
      <c r="AU1228" s="137" t="s">
        <v>432</v>
      </c>
      <c r="AV1228" s="137" t="s">
        <v>432</v>
      </c>
      <c r="AW1228" s="137" t="s">
        <v>432</v>
      </c>
      <c r="AX1228" s="137" t="s">
        <v>432</v>
      </c>
      <c r="AY1228" s="137" t="s">
        <v>432</v>
      </c>
      <c r="AZ1228" s="137" t="s">
        <v>432</v>
      </c>
      <c r="BA1228" s="137" t="s">
        <v>432</v>
      </c>
      <c r="BB1228" s="239" t="str">
        <f t="shared" si="348"/>
        <v>Sistema de transporte coletivo com um todoacessibilidade</v>
      </c>
      <c r="BC1228" s="239" t="str">
        <f t="shared" si="349"/>
        <v>Sistema de transporte coletivo com um todoacessibilidadesigla/verbete</v>
      </c>
      <c r="BD1228" s="239" t="str">
        <f t="shared" si="350"/>
        <v>Sistema de transporte coletivo com um todosigla/verbete</v>
      </c>
    </row>
    <row r="1229" spans="1:56" s="1" customFormat="1" ht="111" customHeight="1" x14ac:dyDescent="0.25">
      <c r="A1229" s="413" t="str">
        <f>'Q100b-totais'!B54</f>
        <v>8.2</v>
      </c>
      <c r="B1229" s="1205" t="str">
        <f>'Q100b-totais'!C54</f>
        <v>BRT</v>
      </c>
      <c r="C1229" s="230" t="s">
        <v>743</v>
      </c>
      <c r="D1229" s="939" t="s">
        <v>5481</v>
      </c>
      <c r="E1229" s="509" t="s">
        <v>1306</v>
      </c>
      <c r="F1229" s="11" t="s">
        <v>6302</v>
      </c>
      <c r="G1229" s="93" t="s">
        <v>77</v>
      </c>
      <c r="H1229" s="173" t="s">
        <v>432</v>
      </c>
      <c r="I1229" s="57">
        <v>1</v>
      </c>
      <c r="J1229" s="109" t="s">
        <v>432</v>
      </c>
      <c r="K1229" s="109" t="s">
        <v>432</v>
      </c>
      <c r="L1229" s="109" t="s">
        <v>432</v>
      </c>
      <c r="M1229" s="109" t="s">
        <v>432</v>
      </c>
      <c r="N1229" s="109" t="s">
        <v>432</v>
      </c>
      <c r="O1229" s="109" t="s">
        <v>432</v>
      </c>
      <c r="P1229" s="109" t="s">
        <v>432</v>
      </c>
      <c r="Q1229" s="109" t="s">
        <v>432</v>
      </c>
      <c r="R1229" s="109" t="s">
        <v>432</v>
      </c>
      <c r="S1229" s="109" t="s">
        <v>2209</v>
      </c>
      <c r="T1229" s="109" t="s">
        <v>432</v>
      </c>
      <c r="U1229" s="109" t="s">
        <v>432</v>
      </c>
      <c r="V1229" s="109" t="s">
        <v>2209</v>
      </c>
      <c r="W1229" s="109" t="s">
        <v>432</v>
      </c>
      <c r="X1229" s="109" t="s">
        <v>432</v>
      </c>
      <c r="Y1229" s="109" t="s">
        <v>432</v>
      </c>
      <c r="Z1229" s="109" t="s">
        <v>432</v>
      </c>
      <c r="AA1229" s="109" t="s">
        <v>432</v>
      </c>
      <c r="AB1229" s="109" t="s">
        <v>432</v>
      </c>
      <c r="AC1229" s="109" t="s">
        <v>432</v>
      </c>
      <c r="AD1229" s="109" t="s">
        <v>432</v>
      </c>
      <c r="AE1229" s="109" t="s">
        <v>432</v>
      </c>
      <c r="AF1229" s="109" t="s">
        <v>432</v>
      </c>
      <c r="AG1229" s="109" t="s">
        <v>432</v>
      </c>
      <c r="AH1229" s="109" t="s">
        <v>432</v>
      </c>
      <c r="AI1229" s="109" t="s">
        <v>432</v>
      </c>
      <c r="AJ1229" s="109" t="s">
        <v>432</v>
      </c>
      <c r="AK1229" s="192">
        <v>1</v>
      </c>
      <c r="AL1229" s="601" t="s">
        <v>432</v>
      </c>
      <c r="AM1229" s="137" t="s">
        <v>432</v>
      </c>
      <c r="AN1229" s="137" t="s">
        <v>432</v>
      </c>
      <c r="AO1229" s="137" t="s">
        <v>432</v>
      </c>
      <c r="AP1229" s="137" t="s">
        <v>432</v>
      </c>
      <c r="AQ1229" s="137" t="s">
        <v>432</v>
      </c>
      <c r="AR1229" s="137" t="s">
        <v>432</v>
      </c>
      <c r="AS1229" s="137" t="s">
        <v>432</v>
      </c>
      <c r="AT1229" s="137" t="s">
        <v>432</v>
      </c>
      <c r="AU1229" s="137" t="s">
        <v>432</v>
      </c>
      <c r="AV1229" s="137" t="s">
        <v>432</v>
      </c>
      <c r="AW1229" s="137" t="s">
        <v>432</v>
      </c>
      <c r="AX1229" s="137" t="s">
        <v>432</v>
      </c>
      <c r="AY1229" s="137" t="s">
        <v>432</v>
      </c>
      <c r="AZ1229" s="137" t="s">
        <v>432</v>
      </c>
      <c r="BA1229" s="137" t="s">
        <v>432</v>
      </c>
      <c r="BB1229" s="239" t="str">
        <f t="shared" si="348"/>
        <v>BRTacessibilidade</v>
      </c>
      <c r="BC1229" s="239" t="str">
        <f t="shared" si="349"/>
        <v>BRTacessibilidadex</v>
      </c>
      <c r="BD1229" s="239" t="str">
        <f t="shared" si="350"/>
        <v>BRTx</v>
      </c>
    </row>
    <row r="1230" spans="1:56" s="1" customFormat="1" ht="125.25" customHeight="1" x14ac:dyDescent="0.25">
      <c r="A1230" s="413" t="str">
        <f>A1229</f>
        <v>8.2</v>
      </c>
      <c r="B1230" s="1205" t="str">
        <f>B1229</f>
        <v>BRT</v>
      </c>
      <c r="C1230" s="230" t="s">
        <v>743</v>
      </c>
      <c r="D1230" s="939" t="s">
        <v>1990</v>
      </c>
      <c r="E1230" s="509" t="s">
        <v>1283</v>
      </c>
      <c r="F1230" s="252" t="s">
        <v>5487</v>
      </c>
      <c r="G1230" s="110" t="s">
        <v>5488</v>
      </c>
      <c r="H1230" s="173" t="s">
        <v>819</v>
      </c>
      <c r="I1230" s="167" t="s">
        <v>432</v>
      </c>
      <c r="J1230" s="109" t="s">
        <v>432</v>
      </c>
      <c r="K1230" s="109" t="s">
        <v>432</v>
      </c>
      <c r="L1230" s="109" t="s">
        <v>432</v>
      </c>
      <c r="M1230" s="109" t="s">
        <v>432</v>
      </c>
      <c r="N1230" s="109" t="s">
        <v>432</v>
      </c>
      <c r="O1230" s="109" t="s">
        <v>432</v>
      </c>
      <c r="P1230" s="109" t="s">
        <v>432</v>
      </c>
      <c r="Q1230" s="109" t="s">
        <v>432</v>
      </c>
      <c r="R1230" s="109" t="s">
        <v>432</v>
      </c>
      <c r="S1230" s="109" t="s">
        <v>2209</v>
      </c>
      <c r="T1230" s="109" t="s">
        <v>432</v>
      </c>
      <c r="U1230" s="109" t="s">
        <v>432</v>
      </c>
      <c r="V1230" s="109" t="s">
        <v>2209</v>
      </c>
      <c r="W1230" s="109" t="s">
        <v>432</v>
      </c>
      <c r="X1230" s="109" t="s">
        <v>432</v>
      </c>
      <c r="Y1230" s="109" t="s">
        <v>432</v>
      </c>
      <c r="Z1230" s="109" t="s">
        <v>432</v>
      </c>
      <c r="AA1230" s="109" t="s">
        <v>432</v>
      </c>
      <c r="AB1230" s="109" t="s">
        <v>432</v>
      </c>
      <c r="AC1230" s="109" t="s">
        <v>432</v>
      </c>
      <c r="AD1230" s="109" t="s">
        <v>432</v>
      </c>
      <c r="AE1230" s="109" t="s">
        <v>432</v>
      </c>
      <c r="AF1230" s="109" t="s">
        <v>432</v>
      </c>
      <c r="AG1230" s="109" t="s">
        <v>432</v>
      </c>
      <c r="AH1230" s="109" t="s">
        <v>432</v>
      </c>
      <c r="AI1230" s="109" t="s">
        <v>432</v>
      </c>
      <c r="AJ1230" s="517" t="s">
        <v>1998</v>
      </c>
      <c r="AK1230" s="109" t="s">
        <v>432</v>
      </c>
      <c r="AL1230" s="601" t="s">
        <v>432</v>
      </c>
      <c r="AM1230" s="137" t="s">
        <v>432</v>
      </c>
      <c r="AN1230" s="137" t="s">
        <v>432</v>
      </c>
      <c r="AO1230" s="137" t="s">
        <v>432</v>
      </c>
      <c r="AP1230" s="137" t="s">
        <v>432</v>
      </c>
      <c r="AQ1230" s="137" t="s">
        <v>432</v>
      </c>
      <c r="AR1230" s="137" t="s">
        <v>432</v>
      </c>
      <c r="AS1230" s="137" t="s">
        <v>432</v>
      </c>
      <c r="AT1230" s="137" t="s">
        <v>432</v>
      </c>
      <c r="AU1230" s="137" t="s">
        <v>432</v>
      </c>
      <c r="AV1230" s="137" t="s">
        <v>432</v>
      </c>
      <c r="AW1230" s="137" t="s">
        <v>432</v>
      </c>
      <c r="AX1230" s="137" t="s">
        <v>432</v>
      </c>
      <c r="AY1230" s="137" t="s">
        <v>432</v>
      </c>
      <c r="AZ1230" s="137" t="s">
        <v>432</v>
      </c>
      <c r="BA1230" s="137" t="s">
        <v>432</v>
      </c>
      <c r="BB1230" s="239" t="str">
        <f t="shared" si="348"/>
        <v>BRTacessibilidade</v>
      </c>
      <c r="BC1230" s="239" t="str">
        <f t="shared" si="349"/>
        <v>BRTacessibilidadebenchmarking</v>
      </c>
      <c r="BD1230" s="239" t="str">
        <f t="shared" si="350"/>
        <v>BRTbenchmarking</v>
      </c>
    </row>
    <row r="1231" spans="1:56" s="1" customFormat="1" ht="111.75" customHeight="1" x14ac:dyDescent="0.25">
      <c r="A1231" s="413" t="str">
        <f>'Q100b-totais'!B62</f>
        <v>8.10</v>
      </c>
      <c r="B1231" s="1205" t="str">
        <f>'Q100b-totais'!C62</f>
        <v>Sistema de transporte coletivo com um todo</v>
      </c>
      <c r="C1231" s="230" t="s">
        <v>743</v>
      </c>
      <c r="D1231" s="939" t="s">
        <v>1904</v>
      </c>
      <c r="E1231" s="509" t="s">
        <v>1306</v>
      </c>
      <c r="F1231" s="5" t="s">
        <v>5489</v>
      </c>
      <c r="G1231" s="230" t="s">
        <v>3507</v>
      </c>
      <c r="H1231" s="173" t="s">
        <v>2408</v>
      </c>
      <c r="I1231" s="57" t="s">
        <v>432</v>
      </c>
      <c r="J1231" s="109" t="s">
        <v>432</v>
      </c>
      <c r="K1231" s="109" t="s">
        <v>432</v>
      </c>
      <c r="L1231" s="109" t="s">
        <v>432</v>
      </c>
      <c r="M1231" s="109" t="s">
        <v>432</v>
      </c>
      <c r="N1231" s="109" t="s">
        <v>432</v>
      </c>
      <c r="O1231" s="109" t="s">
        <v>432</v>
      </c>
      <c r="P1231" s="109" t="s">
        <v>432</v>
      </c>
      <c r="Q1231" s="109" t="s">
        <v>432</v>
      </c>
      <c r="R1231" s="109" t="s">
        <v>432</v>
      </c>
      <c r="S1231" s="109" t="s">
        <v>2209</v>
      </c>
      <c r="T1231" s="109" t="s">
        <v>432</v>
      </c>
      <c r="U1231" s="109" t="s">
        <v>432</v>
      </c>
      <c r="V1231" s="109" t="s">
        <v>2209</v>
      </c>
      <c r="W1231" s="109" t="s">
        <v>432</v>
      </c>
      <c r="X1231" s="109" t="s">
        <v>432</v>
      </c>
      <c r="Y1231" s="109" t="s">
        <v>432</v>
      </c>
      <c r="Z1231" s="109" t="s">
        <v>432</v>
      </c>
      <c r="AA1231" s="109" t="s">
        <v>432</v>
      </c>
      <c r="AB1231" s="109" t="s">
        <v>432</v>
      </c>
      <c r="AC1231" s="109" t="s">
        <v>432</v>
      </c>
      <c r="AD1231" s="109" t="s">
        <v>432</v>
      </c>
      <c r="AE1231" s="109" t="s">
        <v>432</v>
      </c>
      <c r="AF1231" s="109" t="s">
        <v>432</v>
      </c>
      <c r="AG1231" s="109" t="s">
        <v>432</v>
      </c>
      <c r="AH1231" s="109" t="s">
        <v>432</v>
      </c>
      <c r="AI1231" s="109" t="s">
        <v>432</v>
      </c>
      <c r="AJ1231" s="109" t="s">
        <v>432</v>
      </c>
      <c r="AK1231" s="109" t="s">
        <v>432</v>
      </c>
      <c r="AL1231" s="601" t="s">
        <v>432</v>
      </c>
      <c r="AM1231" s="137" t="s">
        <v>432</v>
      </c>
      <c r="AN1231" s="137" t="s">
        <v>432</v>
      </c>
      <c r="AO1231" s="137" t="s">
        <v>432</v>
      </c>
      <c r="AP1231" s="137" t="s">
        <v>432</v>
      </c>
      <c r="AQ1231" s="137" t="s">
        <v>432</v>
      </c>
      <c r="AR1231" s="137" t="s">
        <v>432</v>
      </c>
      <c r="AS1231" s="137" t="s">
        <v>432</v>
      </c>
      <c r="AT1231" s="137" t="s">
        <v>432</v>
      </c>
      <c r="AU1231" s="137" t="s">
        <v>432</v>
      </c>
      <c r="AV1231" s="137" t="s">
        <v>432</v>
      </c>
      <c r="AW1231" s="137" t="s">
        <v>432</v>
      </c>
      <c r="AX1231" s="137" t="s">
        <v>432</v>
      </c>
      <c r="AY1231" s="137" t="s">
        <v>432</v>
      </c>
      <c r="AZ1231" s="137" t="s">
        <v>432</v>
      </c>
      <c r="BA1231" s="137" t="s">
        <v>432</v>
      </c>
      <c r="BB1231" s="239" t="str">
        <f t="shared" si="348"/>
        <v>Sistema de transporte coletivo com um todoacessibilidade</v>
      </c>
      <c r="BC1231" s="239" t="str">
        <f t="shared" si="349"/>
        <v>Sistema de transporte coletivo com um todoacessibilidadesigla/verbete</v>
      </c>
      <c r="BD1231" s="239" t="str">
        <f t="shared" si="350"/>
        <v>Sistema de transporte coletivo com um todosigla/verbete</v>
      </c>
    </row>
    <row r="1232" spans="1:56" s="1" customFormat="1" ht="88.5" customHeight="1" x14ac:dyDescent="0.25">
      <c r="A1232" s="413" t="str">
        <f>'Q100b-totais'!B62</f>
        <v>8.10</v>
      </c>
      <c r="B1232" s="1205" t="str">
        <f>'Q100b-totais'!C62</f>
        <v>Sistema de transporte coletivo com um todo</v>
      </c>
      <c r="C1232" s="57" t="s">
        <v>743</v>
      </c>
      <c r="D1232" s="716" t="s">
        <v>3536</v>
      </c>
      <c r="E1232" s="509" t="s">
        <v>1767</v>
      </c>
      <c r="F1232" s="5" t="s">
        <v>3537</v>
      </c>
      <c r="G1232" s="230" t="s">
        <v>3507</v>
      </c>
      <c r="H1232" s="173" t="s">
        <v>2408</v>
      </c>
      <c r="I1232" s="57" t="s">
        <v>432</v>
      </c>
      <c r="J1232" s="109" t="s">
        <v>432</v>
      </c>
      <c r="K1232" s="109" t="s">
        <v>432</v>
      </c>
      <c r="L1232" s="109" t="s">
        <v>432</v>
      </c>
      <c r="M1232" s="109" t="s">
        <v>432</v>
      </c>
      <c r="N1232" s="109" t="s">
        <v>432</v>
      </c>
      <c r="O1232" s="109" t="s">
        <v>432</v>
      </c>
      <c r="P1232" s="109" t="s">
        <v>432</v>
      </c>
      <c r="Q1232" s="109" t="s">
        <v>432</v>
      </c>
      <c r="R1232" s="109" t="s">
        <v>432</v>
      </c>
      <c r="S1232" s="109" t="s">
        <v>2209</v>
      </c>
      <c r="T1232" s="109" t="s">
        <v>432</v>
      </c>
      <c r="U1232" s="109" t="s">
        <v>432</v>
      </c>
      <c r="V1232" s="109" t="s">
        <v>2209</v>
      </c>
      <c r="W1232" s="109" t="s">
        <v>432</v>
      </c>
      <c r="X1232" s="109" t="s">
        <v>432</v>
      </c>
      <c r="Y1232" s="109" t="s">
        <v>432</v>
      </c>
      <c r="Z1232" s="109" t="s">
        <v>432</v>
      </c>
      <c r="AA1232" s="109" t="s">
        <v>432</v>
      </c>
      <c r="AB1232" s="109" t="s">
        <v>432</v>
      </c>
      <c r="AC1232" s="109" t="s">
        <v>432</v>
      </c>
      <c r="AD1232" s="109" t="s">
        <v>432</v>
      </c>
      <c r="AE1232" s="109" t="s">
        <v>432</v>
      </c>
      <c r="AF1232" s="109" t="s">
        <v>432</v>
      </c>
      <c r="AG1232" s="109" t="s">
        <v>432</v>
      </c>
      <c r="AH1232" s="109" t="s">
        <v>432</v>
      </c>
      <c r="AI1232" s="109" t="s">
        <v>432</v>
      </c>
      <c r="AJ1232" s="109" t="s">
        <v>432</v>
      </c>
      <c r="AK1232" s="109" t="s">
        <v>432</v>
      </c>
      <c r="AL1232" s="601" t="s">
        <v>432</v>
      </c>
      <c r="AM1232" s="137" t="s">
        <v>432</v>
      </c>
      <c r="AN1232" s="137" t="s">
        <v>432</v>
      </c>
      <c r="AO1232" s="137" t="s">
        <v>432</v>
      </c>
      <c r="AP1232" s="137" t="s">
        <v>432</v>
      </c>
      <c r="AQ1232" s="137" t="s">
        <v>432</v>
      </c>
      <c r="AR1232" s="137" t="s">
        <v>432</v>
      </c>
      <c r="AS1232" s="137" t="s">
        <v>432</v>
      </c>
      <c r="AT1232" s="137" t="s">
        <v>432</v>
      </c>
      <c r="AU1232" s="137" t="s">
        <v>432</v>
      </c>
      <c r="AV1232" s="137" t="s">
        <v>432</v>
      </c>
      <c r="AW1232" s="137" t="s">
        <v>432</v>
      </c>
      <c r="AX1232" s="137" t="s">
        <v>432</v>
      </c>
      <c r="AY1232" s="137" t="s">
        <v>432</v>
      </c>
      <c r="AZ1232" s="137" t="s">
        <v>432</v>
      </c>
      <c r="BA1232" s="137" t="s">
        <v>432</v>
      </c>
      <c r="BB1232" s="239" t="str">
        <f t="shared" si="348"/>
        <v>Sistema de transporte coletivo com um todoacessibilidade</v>
      </c>
      <c r="BC1232" s="239" t="str">
        <f t="shared" si="349"/>
        <v>Sistema de transporte coletivo com um todoacessibilidadesigla/verbete</v>
      </c>
      <c r="BD1232" s="239" t="str">
        <f t="shared" si="350"/>
        <v>Sistema de transporte coletivo com um todosigla/verbete</v>
      </c>
    </row>
    <row r="1233" spans="1:56" x14ac:dyDescent="0.25">
      <c r="A1233" s="910"/>
      <c r="B1233" s="911"/>
      <c r="C1233" s="912"/>
      <c r="D1233" s="981"/>
      <c r="E1233" s="1528"/>
      <c r="F1233" s="913"/>
      <c r="G1233" s="913"/>
      <c r="H1233" s="913"/>
      <c r="I1233" s="914"/>
      <c r="J1233" s="914"/>
      <c r="K1233" s="910"/>
      <c r="L1233" s="910"/>
      <c r="M1233" s="910"/>
      <c r="N1233" s="910"/>
      <c r="O1233" s="910"/>
      <c r="P1233" s="910"/>
      <c r="Q1233" s="910"/>
      <c r="R1233" s="910"/>
      <c r="S1233" s="910"/>
      <c r="T1233" s="910"/>
      <c r="U1233" s="910"/>
      <c r="V1233" s="910"/>
      <c r="W1233" s="910"/>
      <c r="X1233" s="910"/>
      <c r="Y1233" s="910"/>
      <c r="Z1233" s="910"/>
      <c r="AA1233" s="910"/>
      <c r="AB1233" s="910"/>
      <c r="AC1233" s="910"/>
      <c r="AD1233" s="910"/>
      <c r="AE1233" s="910"/>
      <c r="AF1233" s="910"/>
      <c r="AG1233" s="910"/>
      <c r="AH1233" s="910"/>
      <c r="AI1233" s="910"/>
      <c r="AJ1233" s="910"/>
      <c r="AK1233" s="910"/>
      <c r="AL1233" s="910"/>
      <c r="AM1233" s="910"/>
      <c r="AN1233" s="910"/>
      <c r="AO1233" s="910"/>
      <c r="AP1233" s="910"/>
      <c r="AQ1233" s="910"/>
      <c r="AR1233" s="910"/>
      <c r="AS1233" s="910"/>
      <c r="AT1233" s="910"/>
      <c r="AU1233" s="910"/>
      <c r="AV1233" s="910"/>
      <c r="AW1233" s="910"/>
      <c r="AX1233" s="910"/>
      <c r="AY1233" s="910"/>
      <c r="AZ1233" s="910"/>
      <c r="BA1233" s="910"/>
      <c r="BB1233" s="910"/>
      <c r="BC1233" s="910"/>
      <c r="BD1233" s="910"/>
    </row>
    <row r="1234" spans="1:56" s="1" customFormat="1" ht="178.5" customHeight="1" x14ac:dyDescent="0.25">
      <c r="A1234" s="413" t="s">
        <v>432</v>
      </c>
      <c r="B1234" s="1205" t="s">
        <v>742</v>
      </c>
      <c r="C1234" s="57" t="s">
        <v>432</v>
      </c>
      <c r="D1234" s="939" t="s">
        <v>3538</v>
      </c>
      <c r="E1234" s="509" t="s">
        <v>1767</v>
      </c>
      <c r="F1234" s="5" t="s">
        <v>3543</v>
      </c>
      <c r="G1234" s="57" t="s">
        <v>3507</v>
      </c>
      <c r="H1234" s="173" t="s">
        <v>2408</v>
      </c>
      <c r="I1234" s="57" t="s">
        <v>432</v>
      </c>
      <c r="J1234" s="109" t="s">
        <v>432</v>
      </c>
      <c r="K1234" s="109" t="s">
        <v>432</v>
      </c>
      <c r="L1234" s="109" t="s">
        <v>432</v>
      </c>
      <c r="M1234" s="109" t="s">
        <v>432</v>
      </c>
      <c r="N1234" s="109" t="s">
        <v>432</v>
      </c>
      <c r="O1234" s="109" t="s">
        <v>432</v>
      </c>
      <c r="P1234" s="109" t="s">
        <v>432</v>
      </c>
      <c r="Q1234" s="109" t="s">
        <v>432</v>
      </c>
      <c r="R1234" s="109" t="s">
        <v>432</v>
      </c>
      <c r="S1234" s="109" t="s">
        <v>2209</v>
      </c>
      <c r="T1234" s="109" t="s">
        <v>432</v>
      </c>
      <c r="U1234" s="109" t="s">
        <v>432</v>
      </c>
      <c r="V1234" s="109" t="s">
        <v>2209</v>
      </c>
      <c r="W1234" s="109" t="s">
        <v>432</v>
      </c>
      <c r="X1234" s="109" t="s">
        <v>432</v>
      </c>
      <c r="Y1234" s="109" t="s">
        <v>432</v>
      </c>
      <c r="Z1234" s="109" t="s">
        <v>432</v>
      </c>
      <c r="AA1234" s="109" t="s">
        <v>432</v>
      </c>
      <c r="AB1234" s="109" t="s">
        <v>432</v>
      </c>
      <c r="AC1234" s="109" t="s">
        <v>432</v>
      </c>
      <c r="AD1234" s="109" t="s">
        <v>432</v>
      </c>
      <c r="AE1234" s="109" t="s">
        <v>432</v>
      </c>
      <c r="AF1234" s="109" t="s">
        <v>432</v>
      </c>
      <c r="AG1234" s="109" t="s">
        <v>432</v>
      </c>
      <c r="AH1234" s="109" t="s">
        <v>432</v>
      </c>
      <c r="AI1234" s="109" t="s">
        <v>432</v>
      </c>
      <c r="AJ1234" s="109" t="s">
        <v>432</v>
      </c>
      <c r="AK1234" s="109" t="s">
        <v>432</v>
      </c>
      <c r="AL1234" s="601" t="s">
        <v>432</v>
      </c>
      <c r="AM1234" s="137" t="s">
        <v>432</v>
      </c>
      <c r="AN1234" s="137" t="s">
        <v>432</v>
      </c>
      <c r="AO1234" s="137" t="s">
        <v>432</v>
      </c>
      <c r="AP1234" s="137" t="s">
        <v>432</v>
      </c>
      <c r="AQ1234" s="137" t="s">
        <v>432</v>
      </c>
      <c r="AR1234" s="137" t="s">
        <v>432</v>
      </c>
      <c r="AS1234" s="137" t="s">
        <v>432</v>
      </c>
      <c r="AT1234" s="137" t="s">
        <v>432</v>
      </c>
      <c r="AU1234" s="137" t="s">
        <v>432</v>
      </c>
      <c r="AV1234" s="137" t="s">
        <v>432</v>
      </c>
      <c r="AW1234" s="137" t="s">
        <v>432</v>
      </c>
      <c r="AX1234" s="137" t="s">
        <v>432</v>
      </c>
      <c r="AY1234" s="137" t="s">
        <v>432</v>
      </c>
      <c r="AZ1234" s="137" t="s">
        <v>432</v>
      </c>
      <c r="BA1234" s="137" t="s">
        <v>432</v>
      </c>
      <c r="BB1234" s="239" t="str">
        <f>B1234&amp;C1234</f>
        <v>geralx</v>
      </c>
      <c r="BC1234" s="239" t="str">
        <f>B1234&amp;C1234&amp;H1234</f>
        <v>geralxsigla/verbete</v>
      </c>
      <c r="BD1234" s="239" t="str">
        <f>B1234&amp;H1234</f>
        <v>geralsigla/verbete</v>
      </c>
    </row>
    <row r="1235" spans="1:56" s="1" customFormat="1" ht="123.75" customHeight="1" x14ac:dyDescent="0.25">
      <c r="A1235" s="413" t="str">
        <f>'Q100b-totais'!B69</f>
        <v>9.6</v>
      </c>
      <c r="B1235" s="1205" t="str">
        <f>'Q100b-totais'!C69</f>
        <v>Velocidades, tempos e volumes</v>
      </c>
      <c r="C1235" s="57" t="s">
        <v>432</v>
      </c>
      <c r="D1235" s="939" t="s">
        <v>3539</v>
      </c>
      <c r="E1235" s="509" t="s">
        <v>1767</v>
      </c>
      <c r="F1235" s="1125" t="s">
        <v>3862</v>
      </c>
      <c r="G1235" s="57" t="s">
        <v>3507</v>
      </c>
      <c r="H1235" s="173" t="s">
        <v>2408</v>
      </c>
      <c r="I1235" s="57" t="s">
        <v>432</v>
      </c>
      <c r="J1235" s="109" t="s">
        <v>432</v>
      </c>
      <c r="K1235" s="109" t="s">
        <v>432</v>
      </c>
      <c r="L1235" s="109" t="s">
        <v>432</v>
      </c>
      <c r="M1235" s="109" t="s">
        <v>432</v>
      </c>
      <c r="N1235" s="109" t="s">
        <v>432</v>
      </c>
      <c r="O1235" s="109" t="s">
        <v>432</v>
      </c>
      <c r="P1235" s="109" t="s">
        <v>432</v>
      </c>
      <c r="Q1235" s="109" t="s">
        <v>432</v>
      </c>
      <c r="R1235" s="109" t="s">
        <v>432</v>
      </c>
      <c r="S1235" s="109" t="s">
        <v>2209</v>
      </c>
      <c r="T1235" s="109" t="s">
        <v>432</v>
      </c>
      <c r="U1235" s="109" t="s">
        <v>432</v>
      </c>
      <c r="V1235" s="109" t="s">
        <v>2209</v>
      </c>
      <c r="W1235" s="109" t="s">
        <v>432</v>
      </c>
      <c r="X1235" s="109" t="s">
        <v>432</v>
      </c>
      <c r="Y1235" s="109" t="s">
        <v>432</v>
      </c>
      <c r="Z1235" s="109" t="s">
        <v>432</v>
      </c>
      <c r="AA1235" s="109" t="s">
        <v>432</v>
      </c>
      <c r="AB1235" s="109" t="s">
        <v>432</v>
      </c>
      <c r="AC1235" s="109" t="s">
        <v>432</v>
      </c>
      <c r="AD1235" s="109" t="s">
        <v>432</v>
      </c>
      <c r="AE1235" s="109" t="s">
        <v>432</v>
      </c>
      <c r="AF1235" s="109" t="s">
        <v>432</v>
      </c>
      <c r="AG1235" s="109" t="s">
        <v>432</v>
      </c>
      <c r="AH1235" s="109" t="s">
        <v>432</v>
      </c>
      <c r="AI1235" s="109" t="s">
        <v>432</v>
      </c>
      <c r="AJ1235" s="109" t="s">
        <v>432</v>
      </c>
      <c r="AK1235" s="109" t="s">
        <v>432</v>
      </c>
      <c r="AL1235" s="601" t="s">
        <v>432</v>
      </c>
      <c r="AM1235" s="137" t="s">
        <v>432</v>
      </c>
      <c r="AN1235" s="137" t="s">
        <v>432</v>
      </c>
      <c r="AO1235" s="137" t="s">
        <v>432</v>
      </c>
      <c r="AP1235" s="137" t="s">
        <v>432</v>
      </c>
      <c r="AQ1235" s="137" t="s">
        <v>432</v>
      </c>
      <c r="AR1235" s="137" t="s">
        <v>432</v>
      </c>
      <c r="AS1235" s="137" t="s">
        <v>432</v>
      </c>
      <c r="AT1235" s="137" t="s">
        <v>432</v>
      </c>
      <c r="AU1235" s="137" t="s">
        <v>432</v>
      </c>
      <c r="AV1235" s="137" t="s">
        <v>432</v>
      </c>
      <c r="AW1235" s="137" t="s">
        <v>432</v>
      </c>
      <c r="AX1235" s="137" t="s">
        <v>432</v>
      </c>
      <c r="AY1235" s="137" t="s">
        <v>432</v>
      </c>
      <c r="AZ1235" s="137" t="s">
        <v>432</v>
      </c>
      <c r="BA1235" s="137" t="s">
        <v>432</v>
      </c>
      <c r="BB1235" s="239" t="str">
        <f>B1235&amp;C1235</f>
        <v>Velocidades, tempos e volumesx</v>
      </c>
      <c r="BC1235" s="239" t="str">
        <f>B1235&amp;C1235&amp;H1235</f>
        <v>Velocidades, tempos e volumesxsigla/verbete</v>
      </c>
      <c r="BD1235" s="239" t="str">
        <f>B1235&amp;H1235</f>
        <v>Velocidades, tempos e volumessigla/verbete</v>
      </c>
    </row>
    <row r="1236" spans="1:56" s="1" customFormat="1" ht="77.25" customHeight="1" x14ac:dyDescent="0.25">
      <c r="A1236" s="413" t="str">
        <f>'Q100b-totais'!B69</f>
        <v>9.6</v>
      </c>
      <c r="B1236" s="1205" t="str">
        <f>'Q100b-totais'!C69</f>
        <v>Velocidades, tempos e volumes</v>
      </c>
      <c r="C1236" s="57" t="s">
        <v>432</v>
      </c>
      <c r="D1236" s="362" t="s">
        <v>3539</v>
      </c>
      <c r="E1236" s="1529" t="s">
        <v>1738</v>
      </c>
      <c r="F1236" s="1106" t="s">
        <v>3800</v>
      </c>
      <c r="G1236" s="1105" t="s">
        <v>77</v>
      </c>
      <c r="H1236" s="173" t="s">
        <v>432</v>
      </c>
      <c r="I1236" s="57">
        <v>1</v>
      </c>
      <c r="J1236" s="109" t="s">
        <v>432</v>
      </c>
      <c r="K1236" s="109" t="s">
        <v>432</v>
      </c>
      <c r="L1236" s="109" t="s">
        <v>432</v>
      </c>
      <c r="M1236" s="109" t="s">
        <v>432</v>
      </c>
      <c r="N1236" s="109" t="s">
        <v>432</v>
      </c>
      <c r="O1236" s="109" t="s">
        <v>432</v>
      </c>
      <c r="P1236" s="109" t="s">
        <v>432</v>
      </c>
      <c r="Q1236" s="109" t="s">
        <v>432</v>
      </c>
      <c r="R1236" s="109" t="s">
        <v>432</v>
      </c>
      <c r="S1236" s="109" t="s">
        <v>2209</v>
      </c>
      <c r="T1236" s="109" t="s">
        <v>432</v>
      </c>
      <c r="U1236" s="109" t="s">
        <v>432</v>
      </c>
      <c r="V1236" s="109" t="s">
        <v>2209</v>
      </c>
      <c r="W1236" s="109" t="s">
        <v>432</v>
      </c>
      <c r="X1236" s="109" t="s">
        <v>432</v>
      </c>
      <c r="Y1236" s="109" t="s">
        <v>432</v>
      </c>
      <c r="Z1236" s="109" t="s">
        <v>432</v>
      </c>
      <c r="AA1236" s="109" t="s">
        <v>432</v>
      </c>
      <c r="AB1236" s="109" t="s">
        <v>432</v>
      </c>
      <c r="AC1236" s="109" t="s">
        <v>432</v>
      </c>
      <c r="AD1236" s="109" t="s">
        <v>432</v>
      </c>
      <c r="AE1236" s="109" t="s">
        <v>432</v>
      </c>
      <c r="AF1236" s="1123">
        <v>0.86799999999999999</v>
      </c>
      <c r="AG1236" s="109" t="s">
        <v>432</v>
      </c>
      <c r="AH1236" s="109" t="s">
        <v>432</v>
      </c>
      <c r="AI1236" s="109" t="s">
        <v>432</v>
      </c>
      <c r="AJ1236" s="109" t="s">
        <v>432</v>
      </c>
      <c r="AK1236" s="109" t="s">
        <v>432</v>
      </c>
      <c r="AL1236" s="601" t="s">
        <v>432</v>
      </c>
      <c r="AM1236" s="137" t="s">
        <v>432</v>
      </c>
      <c r="AN1236" s="137" t="s">
        <v>432</v>
      </c>
      <c r="AO1236" s="137" t="s">
        <v>432</v>
      </c>
      <c r="AP1236" s="137" t="s">
        <v>432</v>
      </c>
      <c r="AQ1236" s="137" t="s">
        <v>432</v>
      </c>
      <c r="AR1236" s="137" t="s">
        <v>432</v>
      </c>
      <c r="AS1236" s="137" t="s">
        <v>432</v>
      </c>
      <c r="AT1236" s="137" t="s">
        <v>432</v>
      </c>
      <c r="AU1236" s="137" t="s">
        <v>432</v>
      </c>
      <c r="AV1236" s="137" t="s">
        <v>432</v>
      </c>
      <c r="AW1236" s="137" t="s">
        <v>432</v>
      </c>
      <c r="AX1236" s="137" t="s">
        <v>432</v>
      </c>
      <c r="AY1236" s="137" t="s">
        <v>432</v>
      </c>
      <c r="AZ1236" s="137" t="s">
        <v>432</v>
      </c>
      <c r="BA1236" s="137" t="s">
        <v>432</v>
      </c>
      <c r="BB1236" s="239" t="str">
        <f t="shared" ref="BB1236:BB1269" si="351">B1236&amp;C1236</f>
        <v>Velocidades, tempos e volumesx</v>
      </c>
      <c r="BC1236" s="239" t="str">
        <f t="shared" ref="BC1236:BC1269" si="352">B1236&amp;C1236&amp;H1236</f>
        <v>Velocidades, tempos e volumesxx</v>
      </c>
      <c r="BD1236" s="239" t="str">
        <f t="shared" ref="BD1236:BD1269" si="353">B1236&amp;H1236</f>
        <v>Velocidades, tempos e volumesx</v>
      </c>
    </row>
    <row r="1237" spans="1:56" s="1" customFormat="1" ht="77.25" customHeight="1" x14ac:dyDescent="0.25">
      <c r="A1237" s="413" t="str">
        <f>'Q100b-totais'!B69</f>
        <v>9.6</v>
      </c>
      <c r="B1237" s="1205" t="str">
        <f>'Q100b-totais'!C69</f>
        <v>Velocidades, tempos e volumes</v>
      </c>
      <c r="C1237" s="57" t="s">
        <v>432</v>
      </c>
      <c r="D1237" s="362" t="s">
        <v>3539</v>
      </c>
      <c r="E1237" s="1502" t="s">
        <v>1306</v>
      </c>
      <c r="F1237" s="1132" t="s">
        <v>3800</v>
      </c>
      <c r="G1237" s="1105" t="s">
        <v>77</v>
      </c>
      <c r="H1237" s="173" t="s">
        <v>432</v>
      </c>
      <c r="I1237" s="57">
        <v>1</v>
      </c>
      <c r="J1237" s="109" t="s">
        <v>432</v>
      </c>
      <c r="K1237" s="109" t="s">
        <v>432</v>
      </c>
      <c r="L1237" s="109" t="s">
        <v>432</v>
      </c>
      <c r="M1237" s="109" t="s">
        <v>432</v>
      </c>
      <c r="N1237" s="109" t="s">
        <v>432</v>
      </c>
      <c r="O1237" s="109" t="s">
        <v>432</v>
      </c>
      <c r="P1237" s="109" t="s">
        <v>432</v>
      </c>
      <c r="Q1237" s="109" t="s">
        <v>432</v>
      </c>
      <c r="R1237" s="109" t="s">
        <v>432</v>
      </c>
      <c r="S1237" s="109" t="s">
        <v>2209</v>
      </c>
      <c r="T1237" s="109" t="s">
        <v>432</v>
      </c>
      <c r="U1237" s="109" t="s">
        <v>432</v>
      </c>
      <c r="V1237" s="109" t="s">
        <v>2209</v>
      </c>
      <c r="W1237" s="109" t="s">
        <v>432</v>
      </c>
      <c r="X1237" s="109" t="s">
        <v>432</v>
      </c>
      <c r="Y1237" s="109" t="s">
        <v>432</v>
      </c>
      <c r="Z1237" s="109" t="s">
        <v>432</v>
      </c>
      <c r="AA1237" s="109" t="s">
        <v>432</v>
      </c>
      <c r="AB1237" s="109" t="s">
        <v>432</v>
      </c>
      <c r="AC1237" s="109" t="s">
        <v>432</v>
      </c>
      <c r="AD1237" s="109" t="s">
        <v>432</v>
      </c>
      <c r="AE1237" s="109" t="s">
        <v>432</v>
      </c>
      <c r="AF1237" s="1123">
        <v>0.69099999999999995</v>
      </c>
      <c r="AG1237" s="109" t="s">
        <v>432</v>
      </c>
      <c r="AH1237" s="109" t="s">
        <v>432</v>
      </c>
      <c r="AI1237" s="109" t="s">
        <v>432</v>
      </c>
      <c r="AJ1237" s="109" t="s">
        <v>432</v>
      </c>
      <c r="AK1237" s="109" t="s">
        <v>432</v>
      </c>
      <c r="AL1237" s="601" t="s">
        <v>432</v>
      </c>
      <c r="AM1237" s="137" t="s">
        <v>432</v>
      </c>
      <c r="AN1237" s="137" t="s">
        <v>432</v>
      </c>
      <c r="AO1237" s="137" t="s">
        <v>432</v>
      </c>
      <c r="AP1237" s="137" t="s">
        <v>432</v>
      </c>
      <c r="AQ1237" s="137" t="s">
        <v>432</v>
      </c>
      <c r="AR1237" s="137" t="s">
        <v>432</v>
      </c>
      <c r="AS1237" s="137" t="s">
        <v>432</v>
      </c>
      <c r="AT1237" s="137" t="s">
        <v>432</v>
      </c>
      <c r="AU1237" s="137" t="s">
        <v>432</v>
      </c>
      <c r="AV1237" s="137" t="s">
        <v>432</v>
      </c>
      <c r="AW1237" s="137" t="s">
        <v>432</v>
      </c>
      <c r="AX1237" s="137" t="s">
        <v>432</v>
      </c>
      <c r="AY1237" s="137" t="s">
        <v>432</v>
      </c>
      <c r="AZ1237" s="137" t="s">
        <v>432</v>
      </c>
      <c r="BA1237" s="137" t="s">
        <v>432</v>
      </c>
      <c r="BB1237" s="239" t="str">
        <f>B1237&amp;C1237</f>
        <v>Velocidades, tempos e volumesx</v>
      </c>
      <c r="BC1237" s="239" t="str">
        <f>B1237&amp;C1237&amp;H1237</f>
        <v>Velocidades, tempos e volumesxx</v>
      </c>
      <c r="BD1237" s="239" t="str">
        <f>B1237&amp;H1237</f>
        <v>Velocidades, tempos e volumesx</v>
      </c>
    </row>
    <row r="1238" spans="1:56" s="1" customFormat="1" ht="77.25" customHeight="1" x14ac:dyDescent="0.25">
      <c r="A1238" s="413" t="str">
        <f>'Q100b-totais'!B69</f>
        <v>9.6</v>
      </c>
      <c r="B1238" s="1205" t="str">
        <f>'Q100b-totais'!C69</f>
        <v>Velocidades, tempos e volumes</v>
      </c>
      <c r="C1238" s="57" t="s">
        <v>432</v>
      </c>
      <c r="D1238" s="362" t="s">
        <v>3539</v>
      </c>
      <c r="E1238" s="1494" t="s">
        <v>1307</v>
      </c>
      <c r="F1238" s="1171" t="s">
        <v>3800</v>
      </c>
      <c r="G1238" s="1105" t="s">
        <v>77</v>
      </c>
      <c r="H1238" s="173" t="s">
        <v>432</v>
      </c>
      <c r="I1238" s="57">
        <v>1</v>
      </c>
      <c r="J1238" s="109" t="s">
        <v>432</v>
      </c>
      <c r="K1238" s="109" t="s">
        <v>432</v>
      </c>
      <c r="L1238" s="109" t="s">
        <v>432</v>
      </c>
      <c r="M1238" s="109" t="s">
        <v>432</v>
      </c>
      <c r="N1238" s="109" t="s">
        <v>432</v>
      </c>
      <c r="O1238" s="109" t="s">
        <v>432</v>
      </c>
      <c r="P1238" s="109" t="s">
        <v>432</v>
      </c>
      <c r="Q1238" s="109" t="s">
        <v>432</v>
      </c>
      <c r="R1238" s="109" t="s">
        <v>432</v>
      </c>
      <c r="S1238" s="109" t="s">
        <v>2209</v>
      </c>
      <c r="T1238" s="109" t="s">
        <v>432</v>
      </c>
      <c r="U1238" s="109" t="s">
        <v>432</v>
      </c>
      <c r="V1238" s="109" t="s">
        <v>2209</v>
      </c>
      <c r="W1238" s="109" t="s">
        <v>432</v>
      </c>
      <c r="X1238" s="109" t="s">
        <v>432</v>
      </c>
      <c r="Y1238" s="109" t="s">
        <v>432</v>
      </c>
      <c r="Z1238" s="109" t="s">
        <v>432</v>
      </c>
      <c r="AA1238" s="109" t="s">
        <v>432</v>
      </c>
      <c r="AB1238" s="109" t="s">
        <v>432</v>
      </c>
      <c r="AC1238" s="109" t="s">
        <v>432</v>
      </c>
      <c r="AD1238" s="109" t="s">
        <v>432</v>
      </c>
      <c r="AE1238" s="109" t="s">
        <v>432</v>
      </c>
      <c r="AF1238" s="1123">
        <v>0.67800000000000005</v>
      </c>
      <c r="AG1238" s="109" t="s">
        <v>432</v>
      </c>
      <c r="AH1238" s="109" t="s">
        <v>432</v>
      </c>
      <c r="AI1238" s="109" t="s">
        <v>432</v>
      </c>
      <c r="AJ1238" s="109" t="s">
        <v>432</v>
      </c>
      <c r="AK1238" s="109" t="s">
        <v>432</v>
      </c>
      <c r="AL1238" s="601" t="s">
        <v>432</v>
      </c>
      <c r="AM1238" s="137" t="s">
        <v>432</v>
      </c>
      <c r="AN1238" s="137" t="s">
        <v>432</v>
      </c>
      <c r="AO1238" s="137" t="s">
        <v>432</v>
      </c>
      <c r="AP1238" s="137" t="s">
        <v>432</v>
      </c>
      <c r="AQ1238" s="137" t="s">
        <v>432</v>
      </c>
      <c r="AR1238" s="137" t="s">
        <v>432</v>
      </c>
      <c r="AS1238" s="137" t="s">
        <v>432</v>
      </c>
      <c r="AT1238" s="137" t="s">
        <v>432</v>
      </c>
      <c r="AU1238" s="137" t="s">
        <v>432</v>
      </c>
      <c r="AV1238" s="137" t="s">
        <v>432</v>
      </c>
      <c r="AW1238" s="137" t="s">
        <v>432</v>
      </c>
      <c r="AX1238" s="137" t="s">
        <v>432</v>
      </c>
      <c r="AY1238" s="137" t="s">
        <v>432</v>
      </c>
      <c r="AZ1238" s="137" t="s">
        <v>432</v>
      </c>
      <c r="BA1238" s="137" t="s">
        <v>432</v>
      </c>
      <c r="BB1238" s="239" t="str">
        <f t="shared" si="351"/>
        <v>Velocidades, tempos e volumesx</v>
      </c>
      <c r="BC1238" s="239" t="str">
        <f t="shared" si="352"/>
        <v>Velocidades, tempos e volumesxx</v>
      </c>
      <c r="BD1238" s="239" t="str">
        <f t="shared" si="353"/>
        <v>Velocidades, tempos e volumesx</v>
      </c>
    </row>
    <row r="1239" spans="1:56" s="1" customFormat="1" ht="77.25" customHeight="1" x14ac:dyDescent="0.25">
      <c r="A1239" s="413" t="str">
        <f>'Q100b-totais'!B69</f>
        <v>9.6</v>
      </c>
      <c r="B1239" s="1205" t="str">
        <f>'Q100b-totais'!C69</f>
        <v>Velocidades, tempos e volumes</v>
      </c>
      <c r="C1239" s="57" t="s">
        <v>432</v>
      </c>
      <c r="D1239" s="362" t="s">
        <v>3539</v>
      </c>
      <c r="E1239" s="1506" t="s">
        <v>1739</v>
      </c>
      <c r="F1239" s="1171" t="s">
        <v>3800</v>
      </c>
      <c r="G1239" s="1105" t="s">
        <v>77</v>
      </c>
      <c r="H1239" s="173" t="s">
        <v>432</v>
      </c>
      <c r="I1239" s="57">
        <v>1</v>
      </c>
      <c r="J1239" s="109" t="s">
        <v>432</v>
      </c>
      <c r="K1239" s="109" t="s">
        <v>432</v>
      </c>
      <c r="L1239" s="109" t="s">
        <v>432</v>
      </c>
      <c r="M1239" s="109" t="s">
        <v>432</v>
      </c>
      <c r="N1239" s="109" t="s">
        <v>432</v>
      </c>
      <c r="O1239" s="109" t="s">
        <v>432</v>
      </c>
      <c r="P1239" s="109" t="s">
        <v>432</v>
      </c>
      <c r="Q1239" s="109" t="s">
        <v>432</v>
      </c>
      <c r="R1239" s="109" t="s">
        <v>432</v>
      </c>
      <c r="S1239" s="109" t="s">
        <v>2209</v>
      </c>
      <c r="T1239" s="109" t="s">
        <v>432</v>
      </c>
      <c r="U1239" s="109" t="s">
        <v>432</v>
      </c>
      <c r="V1239" s="109" t="s">
        <v>2209</v>
      </c>
      <c r="W1239" s="109" t="s">
        <v>432</v>
      </c>
      <c r="X1239" s="109" t="s">
        <v>432</v>
      </c>
      <c r="Y1239" s="109" t="s">
        <v>432</v>
      </c>
      <c r="Z1239" s="109" t="s">
        <v>432</v>
      </c>
      <c r="AA1239" s="109" t="s">
        <v>432</v>
      </c>
      <c r="AB1239" s="109" t="s">
        <v>432</v>
      </c>
      <c r="AC1239" s="109" t="s">
        <v>432</v>
      </c>
      <c r="AD1239" s="109" t="s">
        <v>432</v>
      </c>
      <c r="AE1239" s="109" t="s">
        <v>432</v>
      </c>
      <c r="AF1239" s="1123">
        <v>0.78200000000000003</v>
      </c>
      <c r="AG1239" s="109" t="s">
        <v>432</v>
      </c>
      <c r="AH1239" s="109" t="s">
        <v>432</v>
      </c>
      <c r="AI1239" s="109" t="s">
        <v>432</v>
      </c>
      <c r="AJ1239" s="109" t="s">
        <v>432</v>
      </c>
      <c r="AK1239" s="109" t="s">
        <v>432</v>
      </c>
      <c r="AL1239" s="601" t="s">
        <v>432</v>
      </c>
      <c r="AM1239" s="137" t="s">
        <v>432</v>
      </c>
      <c r="AN1239" s="137" t="s">
        <v>432</v>
      </c>
      <c r="AO1239" s="137" t="s">
        <v>432</v>
      </c>
      <c r="AP1239" s="137" t="s">
        <v>432</v>
      </c>
      <c r="AQ1239" s="137" t="s">
        <v>432</v>
      </c>
      <c r="AR1239" s="137" t="s">
        <v>432</v>
      </c>
      <c r="AS1239" s="137" t="s">
        <v>432</v>
      </c>
      <c r="AT1239" s="137" t="s">
        <v>432</v>
      </c>
      <c r="AU1239" s="137" t="s">
        <v>432</v>
      </c>
      <c r="AV1239" s="137" t="s">
        <v>432</v>
      </c>
      <c r="AW1239" s="137" t="s">
        <v>432</v>
      </c>
      <c r="AX1239" s="137" t="s">
        <v>432</v>
      </c>
      <c r="AY1239" s="137" t="s">
        <v>432</v>
      </c>
      <c r="AZ1239" s="137" t="s">
        <v>432</v>
      </c>
      <c r="BA1239" s="137" t="s">
        <v>432</v>
      </c>
      <c r="BB1239" s="239" t="str">
        <f t="shared" si="351"/>
        <v>Velocidades, tempos e volumesx</v>
      </c>
      <c r="BC1239" s="239" t="str">
        <f t="shared" si="352"/>
        <v>Velocidades, tempos e volumesxx</v>
      </c>
      <c r="BD1239" s="239" t="str">
        <f t="shared" si="353"/>
        <v>Velocidades, tempos e volumesx</v>
      </c>
    </row>
    <row r="1240" spans="1:56" s="1" customFormat="1" ht="77.25" customHeight="1" x14ac:dyDescent="0.25">
      <c r="A1240" s="413" t="str">
        <f>'Q100b-totais'!B69</f>
        <v>9.6</v>
      </c>
      <c r="B1240" s="1205" t="str">
        <f>'Q100b-totais'!C69</f>
        <v>Velocidades, tempos e volumes</v>
      </c>
      <c r="C1240" s="57" t="s">
        <v>432</v>
      </c>
      <c r="D1240" s="362" t="s">
        <v>3539</v>
      </c>
      <c r="E1240" s="1506" t="s">
        <v>1740</v>
      </c>
      <c r="F1240" s="1171" t="s">
        <v>3800</v>
      </c>
      <c r="G1240" s="1105" t="s">
        <v>77</v>
      </c>
      <c r="H1240" s="173" t="s">
        <v>432</v>
      </c>
      <c r="I1240" s="57">
        <v>1</v>
      </c>
      <c r="J1240" s="109" t="s">
        <v>432</v>
      </c>
      <c r="K1240" s="109" t="s">
        <v>432</v>
      </c>
      <c r="L1240" s="109" t="s">
        <v>432</v>
      </c>
      <c r="M1240" s="109" t="s">
        <v>432</v>
      </c>
      <c r="N1240" s="109" t="s">
        <v>432</v>
      </c>
      <c r="O1240" s="109" t="s">
        <v>432</v>
      </c>
      <c r="P1240" s="109" t="s">
        <v>432</v>
      </c>
      <c r="Q1240" s="109" t="s">
        <v>432</v>
      </c>
      <c r="R1240" s="109" t="s">
        <v>432</v>
      </c>
      <c r="S1240" s="109" t="s">
        <v>2209</v>
      </c>
      <c r="T1240" s="109" t="s">
        <v>432</v>
      </c>
      <c r="U1240" s="109" t="s">
        <v>432</v>
      </c>
      <c r="V1240" s="109" t="s">
        <v>2209</v>
      </c>
      <c r="W1240" s="109" t="s">
        <v>432</v>
      </c>
      <c r="X1240" s="109" t="s">
        <v>432</v>
      </c>
      <c r="Y1240" s="109" t="s">
        <v>432</v>
      </c>
      <c r="Z1240" s="109" t="s">
        <v>432</v>
      </c>
      <c r="AA1240" s="109" t="s">
        <v>432</v>
      </c>
      <c r="AB1240" s="109" t="s">
        <v>432</v>
      </c>
      <c r="AC1240" s="109" t="s">
        <v>432</v>
      </c>
      <c r="AD1240" s="109" t="s">
        <v>432</v>
      </c>
      <c r="AE1240" s="109" t="s">
        <v>432</v>
      </c>
      <c r="AF1240" s="1123">
        <v>0.61</v>
      </c>
      <c r="AG1240" s="109" t="s">
        <v>432</v>
      </c>
      <c r="AH1240" s="109" t="s">
        <v>432</v>
      </c>
      <c r="AI1240" s="109" t="s">
        <v>432</v>
      </c>
      <c r="AJ1240" s="109" t="s">
        <v>432</v>
      </c>
      <c r="AK1240" s="109" t="s">
        <v>432</v>
      </c>
      <c r="AL1240" s="601" t="s">
        <v>432</v>
      </c>
      <c r="AM1240" s="137" t="s">
        <v>432</v>
      </c>
      <c r="AN1240" s="137" t="s">
        <v>432</v>
      </c>
      <c r="AO1240" s="137" t="s">
        <v>432</v>
      </c>
      <c r="AP1240" s="137" t="s">
        <v>432</v>
      </c>
      <c r="AQ1240" s="137" t="s">
        <v>432</v>
      </c>
      <c r="AR1240" s="137" t="s">
        <v>432</v>
      </c>
      <c r="AS1240" s="137" t="s">
        <v>432</v>
      </c>
      <c r="AT1240" s="137" t="s">
        <v>432</v>
      </c>
      <c r="AU1240" s="137" t="s">
        <v>432</v>
      </c>
      <c r="AV1240" s="137" t="s">
        <v>432</v>
      </c>
      <c r="AW1240" s="137" t="s">
        <v>432</v>
      </c>
      <c r="AX1240" s="137" t="s">
        <v>432</v>
      </c>
      <c r="AY1240" s="137" t="s">
        <v>432</v>
      </c>
      <c r="AZ1240" s="137" t="s">
        <v>432</v>
      </c>
      <c r="BA1240" s="137" t="s">
        <v>432</v>
      </c>
      <c r="BB1240" s="239" t="str">
        <f t="shared" si="351"/>
        <v>Velocidades, tempos e volumesx</v>
      </c>
      <c r="BC1240" s="239" t="str">
        <f t="shared" si="352"/>
        <v>Velocidades, tempos e volumesxx</v>
      </c>
      <c r="BD1240" s="239" t="str">
        <f t="shared" si="353"/>
        <v>Velocidades, tempos e volumesx</v>
      </c>
    </row>
    <row r="1241" spans="1:56" s="1" customFormat="1" ht="77.25" customHeight="1" x14ac:dyDescent="0.25">
      <c r="A1241" s="413" t="str">
        <f>'Q100b-totais'!B69</f>
        <v>9.6</v>
      </c>
      <c r="B1241" s="1205" t="str">
        <f>'Q100b-totais'!C69</f>
        <v>Velocidades, tempos e volumes</v>
      </c>
      <c r="C1241" s="57" t="s">
        <v>432</v>
      </c>
      <c r="D1241" s="362" t="s">
        <v>3539</v>
      </c>
      <c r="E1241" s="1506" t="s">
        <v>1741</v>
      </c>
      <c r="F1241" s="1171" t="s">
        <v>3800</v>
      </c>
      <c r="G1241" s="1105" t="s">
        <v>77</v>
      </c>
      <c r="H1241" s="173" t="s">
        <v>432</v>
      </c>
      <c r="I1241" s="57">
        <v>1</v>
      </c>
      <c r="J1241" s="109" t="s">
        <v>432</v>
      </c>
      <c r="K1241" s="109" t="s">
        <v>432</v>
      </c>
      <c r="L1241" s="109" t="s">
        <v>432</v>
      </c>
      <c r="M1241" s="109" t="s">
        <v>432</v>
      </c>
      <c r="N1241" s="109" t="s">
        <v>432</v>
      </c>
      <c r="O1241" s="109" t="s">
        <v>432</v>
      </c>
      <c r="P1241" s="109" t="s">
        <v>432</v>
      </c>
      <c r="Q1241" s="109" t="s">
        <v>432</v>
      </c>
      <c r="R1241" s="109" t="s">
        <v>432</v>
      </c>
      <c r="S1241" s="109" t="s">
        <v>2209</v>
      </c>
      <c r="T1241" s="109" t="s">
        <v>432</v>
      </c>
      <c r="U1241" s="109" t="s">
        <v>432</v>
      </c>
      <c r="V1241" s="109" t="s">
        <v>2209</v>
      </c>
      <c r="W1241" s="109" t="s">
        <v>432</v>
      </c>
      <c r="X1241" s="109" t="s">
        <v>432</v>
      </c>
      <c r="Y1241" s="109" t="s">
        <v>432</v>
      </c>
      <c r="Z1241" s="109" t="s">
        <v>432</v>
      </c>
      <c r="AA1241" s="109" t="s">
        <v>432</v>
      </c>
      <c r="AB1241" s="109" t="s">
        <v>432</v>
      </c>
      <c r="AC1241" s="109" t="s">
        <v>432</v>
      </c>
      <c r="AD1241" s="109" t="s">
        <v>432</v>
      </c>
      <c r="AE1241" s="109" t="s">
        <v>432</v>
      </c>
      <c r="AF1241" s="1123">
        <v>0.88</v>
      </c>
      <c r="AG1241" s="109" t="s">
        <v>432</v>
      </c>
      <c r="AH1241" s="109" t="s">
        <v>432</v>
      </c>
      <c r="AI1241" s="109" t="s">
        <v>432</v>
      </c>
      <c r="AJ1241" s="109" t="s">
        <v>432</v>
      </c>
      <c r="AK1241" s="109" t="s">
        <v>432</v>
      </c>
      <c r="AL1241" s="601" t="s">
        <v>432</v>
      </c>
      <c r="AM1241" s="137" t="s">
        <v>432</v>
      </c>
      <c r="AN1241" s="137" t="s">
        <v>432</v>
      </c>
      <c r="AO1241" s="137" t="s">
        <v>432</v>
      </c>
      <c r="AP1241" s="137" t="s">
        <v>432</v>
      </c>
      <c r="AQ1241" s="137" t="s">
        <v>432</v>
      </c>
      <c r="AR1241" s="137" t="s">
        <v>432</v>
      </c>
      <c r="AS1241" s="137" t="s">
        <v>432</v>
      </c>
      <c r="AT1241" s="137" t="s">
        <v>432</v>
      </c>
      <c r="AU1241" s="137" t="s">
        <v>432</v>
      </c>
      <c r="AV1241" s="137" t="s">
        <v>432</v>
      </c>
      <c r="AW1241" s="137" t="s">
        <v>432</v>
      </c>
      <c r="AX1241" s="137" t="s">
        <v>432</v>
      </c>
      <c r="AY1241" s="137" t="s">
        <v>432</v>
      </c>
      <c r="AZ1241" s="137" t="s">
        <v>432</v>
      </c>
      <c r="BA1241" s="137" t="s">
        <v>432</v>
      </c>
      <c r="BB1241" s="239" t="str">
        <f t="shared" si="351"/>
        <v>Velocidades, tempos e volumesx</v>
      </c>
      <c r="BC1241" s="239" t="str">
        <f t="shared" si="352"/>
        <v>Velocidades, tempos e volumesxx</v>
      </c>
      <c r="BD1241" s="239" t="str">
        <f t="shared" si="353"/>
        <v>Velocidades, tempos e volumesx</v>
      </c>
    </row>
    <row r="1242" spans="1:56" s="1" customFormat="1" ht="77.25" customHeight="1" x14ac:dyDescent="0.25">
      <c r="A1242" s="413" t="str">
        <f>'Q100b-totais'!B69</f>
        <v>9.6</v>
      </c>
      <c r="B1242" s="1205" t="str">
        <f>'Q100b-totais'!C69</f>
        <v>Velocidades, tempos e volumes</v>
      </c>
      <c r="C1242" s="57" t="s">
        <v>432</v>
      </c>
      <c r="D1242" s="362" t="s">
        <v>3539</v>
      </c>
      <c r="E1242" s="1506" t="s">
        <v>1742</v>
      </c>
      <c r="F1242" s="1171" t="s">
        <v>3800</v>
      </c>
      <c r="G1242" s="1105" t="s">
        <v>77</v>
      </c>
      <c r="H1242" s="173" t="s">
        <v>432</v>
      </c>
      <c r="I1242" s="57">
        <v>1</v>
      </c>
      <c r="J1242" s="109" t="s">
        <v>432</v>
      </c>
      <c r="K1242" s="109" t="s">
        <v>432</v>
      </c>
      <c r="L1242" s="109" t="s">
        <v>432</v>
      </c>
      <c r="M1242" s="109" t="s">
        <v>432</v>
      </c>
      <c r="N1242" s="109" t="s">
        <v>432</v>
      </c>
      <c r="O1242" s="109" t="s">
        <v>432</v>
      </c>
      <c r="P1242" s="109" t="s">
        <v>432</v>
      </c>
      <c r="Q1242" s="109" t="s">
        <v>432</v>
      </c>
      <c r="R1242" s="109" t="s">
        <v>432</v>
      </c>
      <c r="S1242" s="109" t="s">
        <v>2209</v>
      </c>
      <c r="T1242" s="109" t="s">
        <v>432</v>
      </c>
      <c r="U1242" s="109" t="s">
        <v>432</v>
      </c>
      <c r="V1242" s="109" t="s">
        <v>2209</v>
      </c>
      <c r="W1242" s="109" t="s">
        <v>432</v>
      </c>
      <c r="X1242" s="109" t="s">
        <v>432</v>
      </c>
      <c r="Y1242" s="109" t="s">
        <v>432</v>
      </c>
      <c r="Z1242" s="109" t="s">
        <v>432</v>
      </c>
      <c r="AA1242" s="109" t="s">
        <v>432</v>
      </c>
      <c r="AB1242" s="109" t="s">
        <v>432</v>
      </c>
      <c r="AC1242" s="109" t="s">
        <v>432</v>
      </c>
      <c r="AD1242" s="109" t="s">
        <v>432</v>
      </c>
      <c r="AE1242" s="109" t="s">
        <v>432</v>
      </c>
      <c r="AF1242" s="1123">
        <v>0.95899999999999996</v>
      </c>
      <c r="AG1242" s="109" t="s">
        <v>432</v>
      </c>
      <c r="AH1242" s="109" t="s">
        <v>432</v>
      </c>
      <c r="AI1242" s="109" t="s">
        <v>432</v>
      </c>
      <c r="AJ1242" s="109" t="s">
        <v>432</v>
      </c>
      <c r="AK1242" s="109" t="s">
        <v>432</v>
      </c>
      <c r="AL1242" s="601" t="s">
        <v>432</v>
      </c>
      <c r="AM1242" s="137" t="s">
        <v>432</v>
      </c>
      <c r="AN1242" s="137" t="s">
        <v>432</v>
      </c>
      <c r="AO1242" s="137" t="s">
        <v>432</v>
      </c>
      <c r="AP1242" s="137" t="s">
        <v>432</v>
      </c>
      <c r="AQ1242" s="137" t="s">
        <v>432</v>
      </c>
      <c r="AR1242" s="137" t="s">
        <v>432</v>
      </c>
      <c r="AS1242" s="137" t="s">
        <v>432</v>
      </c>
      <c r="AT1242" s="137" t="s">
        <v>432</v>
      </c>
      <c r="AU1242" s="137" t="s">
        <v>432</v>
      </c>
      <c r="AV1242" s="137" t="s">
        <v>432</v>
      </c>
      <c r="AW1242" s="137" t="s">
        <v>432</v>
      </c>
      <c r="AX1242" s="137" t="s">
        <v>432</v>
      </c>
      <c r="AY1242" s="137" t="s">
        <v>432</v>
      </c>
      <c r="AZ1242" s="137" t="s">
        <v>432</v>
      </c>
      <c r="BA1242" s="137" t="s">
        <v>432</v>
      </c>
      <c r="BB1242" s="239" t="str">
        <f t="shared" si="351"/>
        <v>Velocidades, tempos e volumesx</v>
      </c>
      <c r="BC1242" s="239" t="str">
        <f t="shared" si="352"/>
        <v>Velocidades, tempos e volumesxx</v>
      </c>
      <c r="BD1242" s="239" t="str">
        <f t="shared" si="353"/>
        <v>Velocidades, tempos e volumesx</v>
      </c>
    </row>
    <row r="1243" spans="1:56" s="1" customFormat="1" ht="77.25" customHeight="1" x14ac:dyDescent="0.25">
      <c r="A1243" s="413" t="str">
        <f>'Q100b-totais'!B69</f>
        <v>9.6</v>
      </c>
      <c r="B1243" s="1205" t="str">
        <f>'Q100b-totais'!C69</f>
        <v>Velocidades, tempos e volumes</v>
      </c>
      <c r="C1243" s="57" t="s">
        <v>432</v>
      </c>
      <c r="D1243" s="362" t="s">
        <v>3539</v>
      </c>
      <c r="E1243" s="1506" t="s">
        <v>1371</v>
      </c>
      <c r="F1243" s="1171" t="s">
        <v>3800</v>
      </c>
      <c r="G1243" s="1105" t="s">
        <v>77</v>
      </c>
      <c r="H1243" s="173" t="s">
        <v>432</v>
      </c>
      <c r="I1243" s="57">
        <v>1</v>
      </c>
      <c r="J1243" s="109" t="s">
        <v>432</v>
      </c>
      <c r="K1243" s="109" t="s">
        <v>432</v>
      </c>
      <c r="L1243" s="109" t="s">
        <v>432</v>
      </c>
      <c r="M1243" s="109" t="s">
        <v>432</v>
      </c>
      <c r="N1243" s="109" t="s">
        <v>432</v>
      </c>
      <c r="O1243" s="109" t="s">
        <v>432</v>
      </c>
      <c r="P1243" s="109" t="s">
        <v>432</v>
      </c>
      <c r="Q1243" s="109" t="s">
        <v>432</v>
      </c>
      <c r="R1243" s="109" t="s">
        <v>432</v>
      </c>
      <c r="S1243" s="109" t="s">
        <v>2209</v>
      </c>
      <c r="T1243" s="109" t="s">
        <v>432</v>
      </c>
      <c r="U1243" s="109" t="s">
        <v>432</v>
      </c>
      <c r="V1243" s="109" t="s">
        <v>2209</v>
      </c>
      <c r="W1243" s="109" t="s">
        <v>432</v>
      </c>
      <c r="X1243" s="109" t="s">
        <v>432</v>
      </c>
      <c r="Y1243" s="109" t="s">
        <v>432</v>
      </c>
      <c r="Z1243" s="109" t="s">
        <v>432</v>
      </c>
      <c r="AA1243" s="109" t="s">
        <v>432</v>
      </c>
      <c r="AB1243" s="109" t="s">
        <v>432</v>
      </c>
      <c r="AC1243" s="109" t="s">
        <v>432</v>
      </c>
      <c r="AD1243" s="109" t="s">
        <v>432</v>
      </c>
      <c r="AE1243" s="109" t="s">
        <v>432</v>
      </c>
      <c r="AF1243" s="1123">
        <v>0.63800000000000001</v>
      </c>
      <c r="AG1243" s="109" t="s">
        <v>432</v>
      </c>
      <c r="AH1243" s="109" t="s">
        <v>432</v>
      </c>
      <c r="AI1243" s="109" t="s">
        <v>432</v>
      </c>
      <c r="AJ1243" s="109" t="s">
        <v>432</v>
      </c>
      <c r="AK1243" s="109" t="s">
        <v>432</v>
      </c>
      <c r="AL1243" s="601" t="s">
        <v>432</v>
      </c>
      <c r="AM1243" s="137" t="s">
        <v>432</v>
      </c>
      <c r="AN1243" s="137" t="s">
        <v>432</v>
      </c>
      <c r="AO1243" s="137" t="s">
        <v>432</v>
      </c>
      <c r="AP1243" s="137" t="s">
        <v>432</v>
      </c>
      <c r="AQ1243" s="137" t="s">
        <v>432</v>
      </c>
      <c r="AR1243" s="137" t="s">
        <v>432</v>
      </c>
      <c r="AS1243" s="137" t="s">
        <v>432</v>
      </c>
      <c r="AT1243" s="137" t="s">
        <v>432</v>
      </c>
      <c r="AU1243" s="137" t="s">
        <v>432</v>
      </c>
      <c r="AV1243" s="137" t="s">
        <v>432</v>
      </c>
      <c r="AW1243" s="137" t="s">
        <v>432</v>
      </c>
      <c r="AX1243" s="137" t="s">
        <v>432</v>
      </c>
      <c r="AY1243" s="137" t="s">
        <v>432</v>
      </c>
      <c r="AZ1243" s="137" t="s">
        <v>432</v>
      </c>
      <c r="BA1243" s="137" t="s">
        <v>432</v>
      </c>
      <c r="BB1243" s="239" t="str">
        <f t="shared" si="351"/>
        <v>Velocidades, tempos e volumesx</v>
      </c>
      <c r="BC1243" s="239" t="str">
        <f t="shared" si="352"/>
        <v>Velocidades, tempos e volumesxx</v>
      </c>
      <c r="BD1243" s="239" t="str">
        <f t="shared" si="353"/>
        <v>Velocidades, tempos e volumesx</v>
      </c>
    </row>
    <row r="1244" spans="1:56" s="1" customFormat="1" ht="77.25" customHeight="1" x14ac:dyDescent="0.25">
      <c r="A1244" s="413" t="str">
        <f>'Q100b-totais'!B69</f>
        <v>9.6</v>
      </c>
      <c r="B1244" s="1205" t="str">
        <f>'Q100b-totais'!C69</f>
        <v>Velocidades, tempos e volumes</v>
      </c>
      <c r="C1244" s="57" t="s">
        <v>432</v>
      </c>
      <c r="D1244" s="362" t="s">
        <v>3539</v>
      </c>
      <c r="E1244" s="1506" t="s">
        <v>1743</v>
      </c>
      <c r="F1244" s="1171" t="s">
        <v>3800</v>
      </c>
      <c r="G1244" s="1105" t="s">
        <v>77</v>
      </c>
      <c r="H1244" s="173" t="s">
        <v>432</v>
      </c>
      <c r="I1244" s="57">
        <v>1</v>
      </c>
      <c r="J1244" s="109" t="s">
        <v>432</v>
      </c>
      <c r="K1244" s="109" t="s">
        <v>432</v>
      </c>
      <c r="L1244" s="109" t="s">
        <v>432</v>
      </c>
      <c r="M1244" s="109" t="s">
        <v>432</v>
      </c>
      <c r="N1244" s="109" t="s">
        <v>432</v>
      </c>
      <c r="O1244" s="109" t="s">
        <v>432</v>
      </c>
      <c r="P1244" s="109" t="s">
        <v>432</v>
      </c>
      <c r="Q1244" s="109" t="s">
        <v>432</v>
      </c>
      <c r="R1244" s="109" t="s">
        <v>432</v>
      </c>
      <c r="S1244" s="109" t="s">
        <v>2209</v>
      </c>
      <c r="T1244" s="109" t="s">
        <v>432</v>
      </c>
      <c r="U1244" s="109" t="s">
        <v>432</v>
      </c>
      <c r="V1244" s="109" t="s">
        <v>2209</v>
      </c>
      <c r="W1244" s="109" t="s">
        <v>432</v>
      </c>
      <c r="X1244" s="109" t="s">
        <v>432</v>
      </c>
      <c r="Y1244" s="109" t="s">
        <v>432</v>
      </c>
      <c r="Z1244" s="109" t="s">
        <v>432</v>
      </c>
      <c r="AA1244" s="109" t="s">
        <v>432</v>
      </c>
      <c r="AB1244" s="109" t="s">
        <v>432</v>
      </c>
      <c r="AC1244" s="109" t="s">
        <v>432</v>
      </c>
      <c r="AD1244" s="109" t="s">
        <v>432</v>
      </c>
      <c r="AE1244" s="109" t="s">
        <v>432</v>
      </c>
      <c r="AF1244" s="1123">
        <v>0.44500000000000001</v>
      </c>
      <c r="AG1244" s="109" t="s">
        <v>432</v>
      </c>
      <c r="AH1244" s="109" t="s">
        <v>432</v>
      </c>
      <c r="AI1244" s="109" t="s">
        <v>432</v>
      </c>
      <c r="AJ1244" s="109" t="s">
        <v>432</v>
      </c>
      <c r="AK1244" s="109" t="s">
        <v>432</v>
      </c>
      <c r="AL1244" s="601" t="s">
        <v>432</v>
      </c>
      <c r="AM1244" s="137" t="s">
        <v>432</v>
      </c>
      <c r="AN1244" s="137" t="s">
        <v>432</v>
      </c>
      <c r="AO1244" s="137" t="s">
        <v>432</v>
      </c>
      <c r="AP1244" s="137" t="s">
        <v>432</v>
      </c>
      <c r="AQ1244" s="137" t="s">
        <v>432</v>
      </c>
      <c r="AR1244" s="137" t="s">
        <v>432</v>
      </c>
      <c r="AS1244" s="137" t="s">
        <v>432</v>
      </c>
      <c r="AT1244" s="137" t="s">
        <v>432</v>
      </c>
      <c r="AU1244" s="137" t="s">
        <v>432</v>
      </c>
      <c r="AV1244" s="137" t="s">
        <v>432</v>
      </c>
      <c r="AW1244" s="137" t="s">
        <v>432</v>
      </c>
      <c r="AX1244" s="137" t="s">
        <v>432</v>
      </c>
      <c r="AY1244" s="137" t="s">
        <v>432</v>
      </c>
      <c r="AZ1244" s="137" t="s">
        <v>432</v>
      </c>
      <c r="BA1244" s="137" t="s">
        <v>432</v>
      </c>
      <c r="BB1244" s="239" t="str">
        <f t="shared" si="351"/>
        <v>Velocidades, tempos e volumesx</v>
      </c>
      <c r="BC1244" s="239" t="str">
        <f t="shared" si="352"/>
        <v>Velocidades, tempos e volumesxx</v>
      </c>
      <c r="BD1244" s="239" t="str">
        <f t="shared" si="353"/>
        <v>Velocidades, tempos e volumesx</v>
      </c>
    </row>
    <row r="1245" spans="1:56" s="1" customFormat="1" ht="77.25" customHeight="1" x14ac:dyDescent="0.25">
      <c r="A1245" s="413" t="str">
        <f>'Q100b-totais'!B69</f>
        <v>9.6</v>
      </c>
      <c r="B1245" s="1205" t="str">
        <f>'Q100b-totais'!C69</f>
        <v>Velocidades, tempos e volumes</v>
      </c>
      <c r="C1245" s="57" t="s">
        <v>432</v>
      </c>
      <c r="D1245" s="362" t="s">
        <v>3539</v>
      </c>
      <c r="E1245" s="1506" t="s">
        <v>1744</v>
      </c>
      <c r="F1245" s="1171" t="s">
        <v>3800</v>
      </c>
      <c r="G1245" s="1105" t="s">
        <v>77</v>
      </c>
      <c r="H1245" s="173" t="s">
        <v>432</v>
      </c>
      <c r="I1245" s="57">
        <v>1</v>
      </c>
      <c r="J1245" s="109" t="s">
        <v>432</v>
      </c>
      <c r="K1245" s="109" t="s">
        <v>432</v>
      </c>
      <c r="L1245" s="109" t="s">
        <v>432</v>
      </c>
      <c r="M1245" s="109" t="s">
        <v>432</v>
      </c>
      <c r="N1245" s="109" t="s">
        <v>432</v>
      </c>
      <c r="O1245" s="109" t="s">
        <v>432</v>
      </c>
      <c r="P1245" s="109" t="s">
        <v>432</v>
      </c>
      <c r="Q1245" s="109" t="s">
        <v>432</v>
      </c>
      <c r="R1245" s="109" t="s">
        <v>432</v>
      </c>
      <c r="S1245" s="109" t="s">
        <v>2209</v>
      </c>
      <c r="T1245" s="109" t="s">
        <v>432</v>
      </c>
      <c r="U1245" s="109" t="s">
        <v>432</v>
      </c>
      <c r="V1245" s="109" t="s">
        <v>2209</v>
      </c>
      <c r="W1245" s="109" t="s">
        <v>432</v>
      </c>
      <c r="X1245" s="109" t="s">
        <v>432</v>
      </c>
      <c r="Y1245" s="109" t="s">
        <v>432</v>
      </c>
      <c r="Z1245" s="109" t="s">
        <v>432</v>
      </c>
      <c r="AA1245" s="109" t="s">
        <v>432</v>
      </c>
      <c r="AB1245" s="109" t="s">
        <v>432</v>
      </c>
      <c r="AC1245" s="109" t="s">
        <v>432</v>
      </c>
      <c r="AD1245" s="109" t="s">
        <v>432</v>
      </c>
      <c r="AE1245" s="109" t="s">
        <v>432</v>
      </c>
      <c r="AF1245" s="1123">
        <v>0.89</v>
      </c>
      <c r="AG1245" s="109" t="s">
        <v>432</v>
      </c>
      <c r="AH1245" s="109" t="s">
        <v>432</v>
      </c>
      <c r="AI1245" s="109" t="s">
        <v>432</v>
      </c>
      <c r="AJ1245" s="109" t="s">
        <v>432</v>
      </c>
      <c r="AK1245" s="109" t="s">
        <v>432</v>
      </c>
      <c r="AL1245" s="601" t="s">
        <v>432</v>
      </c>
      <c r="AM1245" s="137" t="s">
        <v>432</v>
      </c>
      <c r="AN1245" s="137" t="s">
        <v>432</v>
      </c>
      <c r="AO1245" s="137" t="s">
        <v>432</v>
      </c>
      <c r="AP1245" s="137" t="s">
        <v>432</v>
      </c>
      <c r="AQ1245" s="137" t="s">
        <v>432</v>
      </c>
      <c r="AR1245" s="137" t="s">
        <v>432</v>
      </c>
      <c r="AS1245" s="137" t="s">
        <v>432</v>
      </c>
      <c r="AT1245" s="137" t="s">
        <v>432</v>
      </c>
      <c r="AU1245" s="137" t="s">
        <v>432</v>
      </c>
      <c r="AV1245" s="137" t="s">
        <v>432</v>
      </c>
      <c r="AW1245" s="137" t="s">
        <v>432</v>
      </c>
      <c r="AX1245" s="137" t="s">
        <v>432</v>
      </c>
      <c r="AY1245" s="137" t="s">
        <v>432</v>
      </c>
      <c r="AZ1245" s="137" t="s">
        <v>432</v>
      </c>
      <c r="BA1245" s="137" t="s">
        <v>432</v>
      </c>
      <c r="BB1245" s="239" t="str">
        <f t="shared" si="351"/>
        <v>Velocidades, tempos e volumesx</v>
      </c>
      <c r="BC1245" s="239" t="str">
        <f t="shared" si="352"/>
        <v>Velocidades, tempos e volumesxx</v>
      </c>
      <c r="BD1245" s="239" t="str">
        <f t="shared" si="353"/>
        <v>Velocidades, tempos e volumesx</v>
      </c>
    </row>
    <row r="1246" spans="1:56" s="1" customFormat="1" ht="77.25" customHeight="1" x14ac:dyDescent="0.25">
      <c r="A1246" s="413" t="str">
        <f>'Q100b-totais'!B69</f>
        <v>9.6</v>
      </c>
      <c r="B1246" s="1205" t="str">
        <f>'Q100b-totais'!C69</f>
        <v>Velocidades, tempos e volumes</v>
      </c>
      <c r="C1246" s="57" t="s">
        <v>432</v>
      </c>
      <c r="D1246" s="362" t="s">
        <v>3539</v>
      </c>
      <c r="E1246" s="1506" t="s">
        <v>1269</v>
      </c>
      <c r="F1246" s="1171" t="s">
        <v>3800</v>
      </c>
      <c r="G1246" s="1105" t="s">
        <v>77</v>
      </c>
      <c r="H1246" s="173" t="s">
        <v>432</v>
      </c>
      <c r="I1246" s="57">
        <v>1</v>
      </c>
      <c r="J1246" s="109" t="s">
        <v>432</v>
      </c>
      <c r="K1246" s="109" t="s">
        <v>432</v>
      </c>
      <c r="L1246" s="109" t="s">
        <v>432</v>
      </c>
      <c r="M1246" s="109" t="s">
        <v>432</v>
      </c>
      <c r="N1246" s="109" t="s">
        <v>432</v>
      </c>
      <c r="O1246" s="109" t="s">
        <v>432</v>
      </c>
      <c r="P1246" s="109" t="s">
        <v>432</v>
      </c>
      <c r="Q1246" s="109" t="s">
        <v>432</v>
      </c>
      <c r="R1246" s="109" t="s">
        <v>432</v>
      </c>
      <c r="S1246" s="109" t="s">
        <v>2209</v>
      </c>
      <c r="T1246" s="109" t="s">
        <v>432</v>
      </c>
      <c r="U1246" s="109" t="s">
        <v>432</v>
      </c>
      <c r="V1246" s="109" t="s">
        <v>2209</v>
      </c>
      <c r="W1246" s="109" t="s">
        <v>432</v>
      </c>
      <c r="X1246" s="109" t="s">
        <v>432</v>
      </c>
      <c r="Y1246" s="109" t="s">
        <v>432</v>
      </c>
      <c r="Z1246" s="109" t="s">
        <v>432</v>
      </c>
      <c r="AA1246" s="109" t="s">
        <v>432</v>
      </c>
      <c r="AB1246" s="109" t="s">
        <v>432</v>
      </c>
      <c r="AC1246" s="109" t="s">
        <v>432</v>
      </c>
      <c r="AD1246" s="109" t="s">
        <v>432</v>
      </c>
      <c r="AE1246" s="109" t="s">
        <v>432</v>
      </c>
      <c r="AF1246" s="1123">
        <v>0.33100000000000002</v>
      </c>
      <c r="AG1246" s="109" t="s">
        <v>432</v>
      </c>
      <c r="AH1246" s="109" t="s">
        <v>432</v>
      </c>
      <c r="AI1246" s="109" t="s">
        <v>432</v>
      </c>
      <c r="AJ1246" s="109" t="s">
        <v>432</v>
      </c>
      <c r="AK1246" s="109" t="s">
        <v>432</v>
      </c>
      <c r="AL1246" s="601" t="s">
        <v>432</v>
      </c>
      <c r="AM1246" s="137" t="s">
        <v>432</v>
      </c>
      <c r="AN1246" s="137" t="s">
        <v>432</v>
      </c>
      <c r="AO1246" s="137" t="s">
        <v>432</v>
      </c>
      <c r="AP1246" s="137" t="s">
        <v>432</v>
      </c>
      <c r="AQ1246" s="137" t="s">
        <v>432</v>
      </c>
      <c r="AR1246" s="137" t="s">
        <v>432</v>
      </c>
      <c r="AS1246" s="137" t="s">
        <v>432</v>
      </c>
      <c r="AT1246" s="137" t="s">
        <v>432</v>
      </c>
      <c r="AU1246" s="137" t="s">
        <v>432</v>
      </c>
      <c r="AV1246" s="137" t="s">
        <v>432</v>
      </c>
      <c r="AW1246" s="137" t="s">
        <v>432</v>
      </c>
      <c r="AX1246" s="137" t="s">
        <v>432</v>
      </c>
      <c r="AY1246" s="137" t="s">
        <v>432</v>
      </c>
      <c r="AZ1246" s="137" t="s">
        <v>432</v>
      </c>
      <c r="BA1246" s="137" t="s">
        <v>432</v>
      </c>
      <c r="BB1246" s="239" t="str">
        <f t="shared" si="351"/>
        <v>Velocidades, tempos e volumesx</v>
      </c>
      <c r="BC1246" s="239" t="str">
        <f t="shared" si="352"/>
        <v>Velocidades, tempos e volumesxx</v>
      </c>
      <c r="BD1246" s="239" t="str">
        <f t="shared" si="353"/>
        <v>Velocidades, tempos e volumesx</v>
      </c>
    </row>
    <row r="1247" spans="1:56" s="1" customFormat="1" ht="77.25" customHeight="1" x14ac:dyDescent="0.25">
      <c r="A1247" s="413" t="str">
        <f>'Q100b-totais'!B69</f>
        <v>9.6</v>
      </c>
      <c r="B1247" s="1205" t="str">
        <f>'Q100b-totais'!C69</f>
        <v>Velocidades, tempos e volumes</v>
      </c>
      <c r="C1247" s="57" t="s">
        <v>432</v>
      </c>
      <c r="D1247" s="362" t="s">
        <v>3539</v>
      </c>
      <c r="E1247" s="1506" t="s">
        <v>3548</v>
      </c>
      <c r="F1247" s="1171" t="s">
        <v>3800</v>
      </c>
      <c r="G1247" s="1105" t="s">
        <v>77</v>
      </c>
      <c r="H1247" s="173" t="s">
        <v>432</v>
      </c>
      <c r="I1247" s="57">
        <v>1</v>
      </c>
      <c r="J1247" s="109" t="s">
        <v>432</v>
      </c>
      <c r="K1247" s="109" t="s">
        <v>432</v>
      </c>
      <c r="L1247" s="109" t="s">
        <v>432</v>
      </c>
      <c r="M1247" s="109" t="s">
        <v>432</v>
      </c>
      <c r="N1247" s="109" t="s">
        <v>432</v>
      </c>
      <c r="O1247" s="109" t="s">
        <v>432</v>
      </c>
      <c r="P1247" s="109" t="s">
        <v>432</v>
      </c>
      <c r="Q1247" s="109" t="s">
        <v>432</v>
      </c>
      <c r="R1247" s="109" t="s">
        <v>432</v>
      </c>
      <c r="S1247" s="109" t="s">
        <v>2209</v>
      </c>
      <c r="T1247" s="109" t="s">
        <v>432</v>
      </c>
      <c r="U1247" s="109" t="s">
        <v>432</v>
      </c>
      <c r="V1247" s="109" t="s">
        <v>2209</v>
      </c>
      <c r="W1247" s="109" t="s">
        <v>432</v>
      </c>
      <c r="X1247" s="109" t="s">
        <v>432</v>
      </c>
      <c r="Y1247" s="109" t="s">
        <v>432</v>
      </c>
      <c r="Z1247" s="109" t="s">
        <v>432</v>
      </c>
      <c r="AA1247" s="109" t="s">
        <v>432</v>
      </c>
      <c r="AB1247" s="109" t="s">
        <v>432</v>
      </c>
      <c r="AC1247" s="109" t="s">
        <v>432</v>
      </c>
      <c r="AD1247" s="109" t="s">
        <v>432</v>
      </c>
      <c r="AE1247" s="109" t="s">
        <v>432</v>
      </c>
      <c r="AF1247" s="1123">
        <v>0.754</v>
      </c>
      <c r="AG1247" s="109" t="s">
        <v>432</v>
      </c>
      <c r="AH1247" s="109" t="s">
        <v>432</v>
      </c>
      <c r="AI1247" s="109" t="s">
        <v>432</v>
      </c>
      <c r="AJ1247" s="109" t="s">
        <v>432</v>
      </c>
      <c r="AK1247" s="109" t="s">
        <v>432</v>
      </c>
      <c r="AL1247" s="601" t="s">
        <v>432</v>
      </c>
      <c r="AM1247" s="137" t="s">
        <v>432</v>
      </c>
      <c r="AN1247" s="137" t="s">
        <v>432</v>
      </c>
      <c r="AO1247" s="137" t="s">
        <v>432</v>
      </c>
      <c r="AP1247" s="137" t="s">
        <v>432</v>
      </c>
      <c r="AQ1247" s="137" t="s">
        <v>432</v>
      </c>
      <c r="AR1247" s="137" t="s">
        <v>432</v>
      </c>
      <c r="AS1247" s="137" t="s">
        <v>432</v>
      </c>
      <c r="AT1247" s="137" t="s">
        <v>432</v>
      </c>
      <c r="AU1247" s="137" t="s">
        <v>432</v>
      </c>
      <c r="AV1247" s="137" t="s">
        <v>432</v>
      </c>
      <c r="AW1247" s="137" t="s">
        <v>432</v>
      </c>
      <c r="AX1247" s="137" t="s">
        <v>432</v>
      </c>
      <c r="AY1247" s="137" t="s">
        <v>432</v>
      </c>
      <c r="AZ1247" s="137" t="s">
        <v>432</v>
      </c>
      <c r="BA1247" s="137" t="s">
        <v>432</v>
      </c>
      <c r="BB1247" s="239" t="str">
        <f t="shared" si="351"/>
        <v>Velocidades, tempos e volumesx</v>
      </c>
      <c r="BC1247" s="239" t="str">
        <f t="shared" si="352"/>
        <v>Velocidades, tempos e volumesxx</v>
      </c>
      <c r="BD1247" s="239" t="str">
        <f t="shared" si="353"/>
        <v>Velocidades, tempos e volumesx</v>
      </c>
    </row>
    <row r="1248" spans="1:56" s="1" customFormat="1" ht="77.25" customHeight="1" x14ac:dyDescent="0.25">
      <c r="A1248" s="413" t="str">
        <f>'Q100b-totais'!B69</f>
        <v>9.6</v>
      </c>
      <c r="B1248" s="1205" t="str">
        <f>'Q100b-totais'!C69</f>
        <v>Velocidades, tempos e volumes</v>
      </c>
      <c r="C1248" s="57" t="s">
        <v>432</v>
      </c>
      <c r="D1248" s="362" t="s">
        <v>3539</v>
      </c>
      <c r="E1248" s="1506" t="s">
        <v>1745</v>
      </c>
      <c r="F1248" s="1171" t="s">
        <v>3800</v>
      </c>
      <c r="G1248" s="1105" t="s">
        <v>77</v>
      </c>
      <c r="H1248" s="173" t="s">
        <v>432</v>
      </c>
      <c r="I1248" s="57">
        <v>1</v>
      </c>
      <c r="J1248" s="109" t="s">
        <v>432</v>
      </c>
      <c r="K1248" s="109" t="s">
        <v>432</v>
      </c>
      <c r="L1248" s="109" t="s">
        <v>432</v>
      </c>
      <c r="M1248" s="109" t="s">
        <v>432</v>
      </c>
      <c r="N1248" s="109" t="s">
        <v>432</v>
      </c>
      <c r="O1248" s="109" t="s">
        <v>432</v>
      </c>
      <c r="P1248" s="109" t="s">
        <v>432</v>
      </c>
      <c r="Q1248" s="109" t="s">
        <v>432</v>
      </c>
      <c r="R1248" s="109" t="s">
        <v>432</v>
      </c>
      <c r="S1248" s="109" t="s">
        <v>2209</v>
      </c>
      <c r="T1248" s="109" t="s">
        <v>432</v>
      </c>
      <c r="U1248" s="109" t="s">
        <v>432</v>
      </c>
      <c r="V1248" s="109" t="s">
        <v>2209</v>
      </c>
      <c r="W1248" s="109" t="s">
        <v>432</v>
      </c>
      <c r="X1248" s="109" t="s">
        <v>432</v>
      </c>
      <c r="Y1248" s="109" t="s">
        <v>432</v>
      </c>
      <c r="Z1248" s="109" t="s">
        <v>432</v>
      </c>
      <c r="AA1248" s="109" t="s">
        <v>432</v>
      </c>
      <c r="AB1248" s="109" t="s">
        <v>432</v>
      </c>
      <c r="AC1248" s="109" t="s">
        <v>432</v>
      </c>
      <c r="AD1248" s="109" t="s">
        <v>432</v>
      </c>
      <c r="AE1248" s="109" t="s">
        <v>432</v>
      </c>
      <c r="AF1248" s="1123">
        <v>0.96699999999999997</v>
      </c>
      <c r="AG1248" s="109" t="s">
        <v>432</v>
      </c>
      <c r="AH1248" s="109" t="s">
        <v>432</v>
      </c>
      <c r="AI1248" s="109" t="s">
        <v>432</v>
      </c>
      <c r="AJ1248" s="109" t="s">
        <v>432</v>
      </c>
      <c r="AK1248" s="109" t="s">
        <v>432</v>
      </c>
      <c r="AL1248" s="601" t="s">
        <v>432</v>
      </c>
      <c r="AM1248" s="137" t="s">
        <v>432</v>
      </c>
      <c r="AN1248" s="137" t="s">
        <v>432</v>
      </c>
      <c r="AO1248" s="137" t="s">
        <v>432</v>
      </c>
      <c r="AP1248" s="137" t="s">
        <v>432</v>
      </c>
      <c r="AQ1248" s="137" t="s">
        <v>432</v>
      </c>
      <c r="AR1248" s="137" t="s">
        <v>432</v>
      </c>
      <c r="AS1248" s="137" t="s">
        <v>432</v>
      </c>
      <c r="AT1248" s="137" t="s">
        <v>432</v>
      </c>
      <c r="AU1248" s="137" t="s">
        <v>432</v>
      </c>
      <c r="AV1248" s="137" t="s">
        <v>432</v>
      </c>
      <c r="AW1248" s="137" t="s">
        <v>432</v>
      </c>
      <c r="AX1248" s="137" t="s">
        <v>432</v>
      </c>
      <c r="AY1248" s="137" t="s">
        <v>432</v>
      </c>
      <c r="AZ1248" s="137" t="s">
        <v>432</v>
      </c>
      <c r="BA1248" s="137" t="s">
        <v>432</v>
      </c>
      <c r="BB1248" s="239" t="str">
        <f t="shared" si="351"/>
        <v>Velocidades, tempos e volumesx</v>
      </c>
      <c r="BC1248" s="239" t="str">
        <f t="shared" si="352"/>
        <v>Velocidades, tempos e volumesxx</v>
      </c>
      <c r="BD1248" s="239" t="str">
        <f t="shared" si="353"/>
        <v>Velocidades, tempos e volumesx</v>
      </c>
    </row>
    <row r="1249" spans="1:56" s="1" customFormat="1" ht="77.25" customHeight="1" x14ac:dyDescent="0.25">
      <c r="A1249" s="413" t="str">
        <f>'Q100b-totais'!B69</f>
        <v>9.6</v>
      </c>
      <c r="B1249" s="1205" t="str">
        <f>'Q100b-totais'!C69</f>
        <v>Velocidades, tempos e volumes</v>
      </c>
      <c r="C1249" s="57" t="s">
        <v>432</v>
      </c>
      <c r="D1249" s="362" t="s">
        <v>3539</v>
      </c>
      <c r="E1249" s="1506" t="s">
        <v>1746</v>
      </c>
      <c r="F1249" s="1171" t="s">
        <v>3800</v>
      </c>
      <c r="G1249" s="1105" t="s">
        <v>77</v>
      </c>
      <c r="H1249" s="173" t="s">
        <v>432</v>
      </c>
      <c r="I1249" s="57">
        <v>1</v>
      </c>
      <c r="J1249" s="109" t="s">
        <v>432</v>
      </c>
      <c r="K1249" s="109" t="s">
        <v>432</v>
      </c>
      <c r="L1249" s="109" t="s">
        <v>432</v>
      </c>
      <c r="M1249" s="109" t="s">
        <v>432</v>
      </c>
      <c r="N1249" s="109" t="s">
        <v>432</v>
      </c>
      <c r="O1249" s="109" t="s">
        <v>432</v>
      </c>
      <c r="P1249" s="109" t="s">
        <v>432</v>
      </c>
      <c r="Q1249" s="109" t="s">
        <v>432</v>
      </c>
      <c r="R1249" s="109" t="s">
        <v>432</v>
      </c>
      <c r="S1249" s="109" t="s">
        <v>2209</v>
      </c>
      <c r="T1249" s="109" t="s">
        <v>432</v>
      </c>
      <c r="U1249" s="109" t="s">
        <v>432</v>
      </c>
      <c r="V1249" s="109" t="s">
        <v>2209</v>
      </c>
      <c r="W1249" s="109" t="s">
        <v>432</v>
      </c>
      <c r="X1249" s="109" t="s">
        <v>432</v>
      </c>
      <c r="Y1249" s="109" t="s">
        <v>432</v>
      </c>
      <c r="Z1249" s="109" t="s">
        <v>432</v>
      </c>
      <c r="AA1249" s="109" t="s">
        <v>432</v>
      </c>
      <c r="AB1249" s="109" t="s">
        <v>432</v>
      </c>
      <c r="AC1249" s="109" t="s">
        <v>432</v>
      </c>
      <c r="AD1249" s="109" t="s">
        <v>432</v>
      </c>
      <c r="AE1249" s="109" t="s">
        <v>432</v>
      </c>
      <c r="AF1249" s="1123">
        <v>0.94699999999999995</v>
      </c>
      <c r="AG1249" s="109" t="s">
        <v>432</v>
      </c>
      <c r="AH1249" s="109" t="s">
        <v>432</v>
      </c>
      <c r="AI1249" s="109" t="s">
        <v>432</v>
      </c>
      <c r="AJ1249" s="109" t="s">
        <v>432</v>
      </c>
      <c r="AK1249" s="109" t="s">
        <v>432</v>
      </c>
      <c r="AL1249" s="601" t="s">
        <v>432</v>
      </c>
      <c r="AM1249" s="137" t="s">
        <v>432</v>
      </c>
      <c r="AN1249" s="137" t="s">
        <v>432</v>
      </c>
      <c r="AO1249" s="137" t="s">
        <v>432</v>
      </c>
      <c r="AP1249" s="137" t="s">
        <v>432</v>
      </c>
      <c r="AQ1249" s="137" t="s">
        <v>432</v>
      </c>
      <c r="AR1249" s="137" t="s">
        <v>432</v>
      </c>
      <c r="AS1249" s="137" t="s">
        <v>432</v>
      </c>
      <c r="AT1249" s="137" t="s">
        <v>432</v>
      </c>
      <c r="AU1249" s="137" t="s">
        <v>432</v>
      </c>
      <c r="AV1249" s="137" t="s">
        <v>432</v>
      </c>
      <c r="AW1249" s="137" t="s">
        <v>432</v>
      </c>
      <c r="AX1249" s="137" t="s">
        <v>432</v>
      </c>
      <c r="AY1249" s="137" t="s">
        <v>432</v>
      </c>
      <c r="AZ1249" s="137" t="s">
        <v>432</v>
      </c>
      <c r="BA1249" s="137" t="s">
        <v>432</v>
      </c>
      <c r="BB1249" s="239" t="str">
        <f t="shared" si="351"/>
        <v>Velocidades, tempos e volumesx</v>
      </c>
      <c r="BC1249" s="239" t="str">
        <f t="shared" si="352"/>
        <v>Velocidades, tempos e volumesxx</v>
      </c>
      <c r="BD1249" s="239" t="str">
        <f t="shared" si="353"/>
        <v>Velocidades, tempos e volumesx</v>
      </c>
    </row>
    <row r="1250" spans="1:56" s="1" customFormat="1" ht="77.25" customHeight="1" x14ac:dyDescent="0.25">
      <c r="A1250" s="413" t="str">
        <f>'Q100b-totais'!B69</f>
        <v>9.6</v>
      </c>
      <c r="B1250" s="1205" t="str">
        <f>'Q100b-totais'!C69</f>
        <v>Velocidades, tempos e volumes</v>
      </c>
      <c r="C1250" s="57" t="s">
        <v>432</v>
      </c>
      <c r="D1250" s="362" t="s">
        <v>3539</v>
      </c>
      <c r="E1250" s="1506" t="s">
        <v>1747</v>
      </c>
      <c r="F1250" s="1171" t="s">
        <v>3800</v>
      </c>
      <c r="G1250" s="1105" t="s">
        <v>77</v>
      </c>
      <c r="H1250" s="173" t="s">
        <v>432</v>
      </c>
      <c r="I1250" s="57">
        <v>1</v>
      </c>
      <c r="J1250" s="109" t="s">
        <v>432</v>
      </c>
      <c r="K1250" s="109" t="s">
        <v>432</v>
      </c>
      <c r="L1250" s="109" t="s">
        <v>432</v>
      </c>
      <c r="M1250" s="109" t="s">
        <v>432</v>
      </c>
      <c r="N1250" s="109" t="s">
        <v>432</v>
      </c>
      <c r="O1250" s="109" t="s">
        <v>432</v>
      </c>
      <c r="P1250" s="109" t="s">
        <v>432</v>
      </c>
      <c r="Q1250" s="109" t="s">
        <v>432</v>
      </c>
      <c r="R1250" s="109" t="s">
        <v>432</v>
      </c>
      <c r="S1250" s="109" t="s">
        <v>2209</v>
      </c>
      <c r="T1250" s="109" t="s">
        <v>432</v>
      </c>
      <c r="U1250" s="109" t="s">
        <v>432</v>
      </c>
      <c r="V1250" s="109" t="s">
        <v>2209</v>
      </c>
      <c r="W1250" s="109" t="s">
        <v>432</v>
      </c>
      <c r="X1250" s="109" t="s">
        <v>432</v>
      </c>
      <c r="Y1250" s="109" t="s">
        <v>432</v>
      </c>
      <c r="Z1250" s="109" t="s">
        <v>432</v>
      </c>
      <c r="AA1250" s="109" t="s">
        <v>432</v>
      </c>
      <c r="AB1250" s="109" t="s">
        <v>432</v>
      </c>
      <c r="AC1250" s="109" t="s">
        <v>432</v>
      </c>
      <c r="AD1250" s="109" t="s">
        <v>432</v>
      </c>
      <c r="AE1250" s="109" t="s">
        <v>432</v>
      </c>
      <c r="AF1250" s="1123">
        <v>0.87</v>
      </c>
      <c r="AG1250" s="109" t="s">
        <v>432</v>
      </c>
      <c r="AH1250" s="109" t="s">
        <v>432</v>
      </c>
      <c r="AI1250" s="109" t="s">
        <v>432</v>
      </c>
      <c r="AJ1250" s="109" t="s">
        <v>432</v>
      </c>
      <c r="AK1250" s="109" t="s">
        <v>432</v>
      </c>
      <c r="AL1250" s="601" t="s">
        <v>432</v>
      </c>
      <c r="AM1250" s="137" t="s">
        <v>432</v>
      </c>
      <c r="AN1250" s="137" t="s">
        <v>432</v>
      </c>
      <c r="AO1250" s="137" t="s">
        <v>432</v>
      </c>
      <c r="AP1250" s="137" t="s">
        <v>432</v>
      </c>
      <c r="AQ1250" s="137" t="s">
        <v>432</v>
      </c>
      <c r="AR1250" s="137" t="s">
        <v>432</v>
      </c>
      <c r="AS1250" s="137" t="s">
        <v>432</v>
      </c>
      <c r="AT1250" s="137" t="s">
        <v>432</v>
      </c>
      <c r="AU1250" s="137" t="s">
        <v>432</v>
      </c>
      <c r="AV1250" s="137" t="s">
        <v>432</v>
      </c>
      <c r="AW1250" s="137" t="s">
        <v>432</v>
      </c>
      <c r="AX1250" s="137" t="s">
        <v>432</v>
      </c>
      <c r="AY1250" s="137" t="s">
        <v>432</v>
      </c>
      <c r="AZ1250" s="137" t="s">
        <v>432</v>
      </c>
      <c r="BA1250" s="137" t="s">
        <v>432</v>
      </c>
      <c r="BB1250" s="239" t="str">
        <f t="shared" si="351"/>
        <v>Velocidades, tempos e volumesx</v>
      </c>
      <c r="BC1250" s="239" t="str">
        <f t="shared" si="352"/>
        <v>Velocidades, tempos e volumesxx</v>
      </c>
      <c r="BD1250" s="239" t="str">
        <f t="shared" si="353"/>
        <v>Velocidades, tempos e volumesx</v>
      </c>
    </row>
    <row r="1251" spans="1:56" s="1" customFormat="1" ht="77.25" customHeight="1" x14ac:dyDescent="0.25">
      <c r="A1251" s="413" t="str">
        <f>'Q100b-totais'!B69</f>
        <v>9.6</v>
      </c>
      <c r="B1251" s="1205" t="str">
        <f>'Q100b-totais'!C69</f>
        <v>Velocidades, tempos e volumes</v>
      </c>
      <c r="C1251" s="57" t="s">
        <v>432</v>
      </c>
      <c r="D1251" s="362" t="s">
        <v>3539</v>
      </c>
      <c r="E1251" s="1506" t="s">
        <v>1748</v>
      </c>
      <c r="F1251" s="1171" t="s">
        <v>3800</v>
      </c>
      <c r="G1251" s="1105" t="s">
        <v>77</v>
      </c>
      <c r="H1251" s="173" t="s">
        <v>432</v>
      </c>
      <c r="I1251" s="57">
        <v>1</v>
      </c>
      <c r="J1251" s="109" t="s">
        <v>432</v>
      </c>
      <c r="K1251" s="109" t="s">
        <v>432</v>
      </c>
      <c r="L1251" s="109" t="s">
        <v>432</v>
      </c>
      <c r="M1251" s="109" t="s">
        <v>432</v>
      </c>
      <c r="N1251" s="109" t="s">
        <v>432</v>
      </c>
      <c r="O1251" s="109" t="s">
        <v>432</v>
      </c>
      <c r="P1251" s="109" t="s">
        <v>432</v>
      </c>
      <c r="Q1251" s="109" t="s">
        <v>432</v>
      </c>
      <c r="R1251" s="109" t="s">
        <v>432</v>
      </c>
      <c r="S1251" s="109" t="s">
        <v>2209</v>
      </c>
      <c r="T1251" s="109" t="s">
        <v>432</v>
      </c>
      <c r="U1251" s="109" t="s">
        <v>432</v>
      </c>
      <c r="V1251" s="109" t="s">
        <v>2209</v>
      </c>
      <c r="W1251" s="109" t="s">
        <v>432</v>
      </c>
      <c r="X1251" s="109" t="s">
        <v>432</v>
      </c>
      <c r="Y1251" s="109" t="s">
        <v>432</v>
      </c>
      <c r="Z1251" s="109" t="s">
        <v>432</v>
      </c>
      <c r="AA1251" s="109" t="s">
        <v>432</v>
      </c>
      <c r="AB1251" s="109" t="s">
        <v>432</v>
      </c>
      <c r="AC1251" s="109" t="s">
        <v>432</v>
      </c>
      <c r="AD1251" s="109" t="s">
        <v>432</v>
      </c>
      <c r="AE1251" s="109" t="s">
        <v>432</v>
      </c>
      <c r="AF1251" s="1123">
        <v>0.84099999999999997</v>
      </c>
      <c r="AG1251" s="109" t="s">
        <v>432</v>
      </c>
      <c r="AH1251" s="109" t="s">
        <v>432</v>
      </c>
      <c r="AI1251" s="109" t="s">
        <v>432</v>
      </c>
      <c r="AJ1251" s="109" t="s">
        <v>432</v>
      </c>
      <c r="AK1251" s="109" t="s">
        <v>432</v>
      </c>
      <c r="AL1251" s="601" t="s">
        <v>432</v>
      </c>
      <c r="AM1251" s="137" t="s">
        <v>432</v>
      </c>
      <c r="AN1251" s="137" t="s">
        <v>432</v>
      </c>
      <c r="AO1251" s="137" t="s">
        <v>432</v>
      </c>
      <c r="AP1251" s="137" t="s">
        <v>432</v>
      </c>
      <c r="AQ1251" s="137" t="s">
        <v>432</v>
      </c>
      <c r="AR1251" s="137" t="s">
        <v>432</v>
      </c>
      <c r="AS1251" s="137" t="s">
        <v>432</v>
      </c>
      <c r="AT1251" s="137" t="s">
        <v>432</v>
      </c>
      <c r="AU1251" s="137" t="s">
        <v>432</v>
      </c>
      <c r="AV1251" s="137" t="s">
        <v>432</v>
      </c>
      <c r="AW1251" s="137" t="s">
        <v>432</v>
      </c>
      <c r="AX1251" s="137" t="s">
        <v>432</v>
      </c>
      <c r="AY1251" s="137" t="s">
        <v>432</v>
      </c>
      <c r="AZ1251" s="137" t="s">
        <v>432</v>
      </c>
      <c r="BA1251" s="137" t="s">
        <v>432</v>
      </c>
      <c r="BB1251" s="239" t="str">
        <f t="shared" si="351"/>
        <v>Velocidades, tempos e volumesx</v>
      </c>
      <c r="BC1251" s="239" t="str">
        <f t="shared" si="352"/>
        <v>Velocidades, tempos e volumesxx</v>
      </c>
      <c r="BD1251" s="239" t="str">
        <f t="shared" si="353"/>
        <v>Velocidades, tempos e volumesx</v>
      </c>
    </row>
    <row r="1252" spans="1:56" s="1" customFormat="1" ht="77.25" customHeight="1" x14ac:dyDescent="0.25">
      <c r="A1252" s="413" t="str">
        <f>'Q100b-totais'!B69</f>
        <v>9.6</v>
      </c>
      <c r="B1252" s="1205" t="str">
        <f>'Q100b-totais'!C69</f>
        <v>Velocidades, tempos e volumes</v>
      </c>
      <c r="C1252" s="57" t="s">
        <v>432</v>
      </c>
      <c r="D1252" s="362" t="s">
        <v>3539</v>
      </c>
      <c r="E1252" s="1506" t="s">
        <v>1749</v>
      </c>
      <c r="F1252" s="1171" t="s">
        <v>3800</v>
      </c>
      <c r="G1252" s="1105" t="s">
        <v>77</v>
      </c>
      <c r="H1252" s="173" t="s">
        <v>432</v>
      </c>
      <c r="I1252" s="57">
        <v>1</v>
      </c>
      <c r="J1252" s="109" t="s">
        <v>432</v>
      </c>
      <c r="K1252" s="109" t="s">
        <v>432</v>
      </c>
      <c r="L1252" s="109" t="s">
        <v>432</v>
      </c>
      <c r="M1252" s="109" t="s">
        <v>432</v>
      </c>
      <c r="N1252" s="109" t="s">
        <v>432</v>
      </c>
      <c r="O1252" s="109" t="s">
        <v>432</v>
      </c>
      <c r="P1252" s="109" t="s">
        <v>432</v>
      </c>
      <c r="Q1252" s="109" t="s">
        <v>432</v>
      </c>
      <c r="R1252" s="109" t="s">
        <v>432</v>
      </c>
      <c r="S1252" s="109" t="s">
        <v>2209</v>
      </c>
      <c r="T1252" s="109" t="s">
        <v>432</v>
      </c>
      <c r="U1252" s="109" t="s">
        <v>432</v>
      </c>
      <c r="V1252" s="109" t="s">
        <v>2209</v>
      </c>
      <c r="W1252" s="109" t="s">
        <v>432</v>
      </c>
      <c r="X1252" s="109" t="s">
        <v>432</v>
      </c>
      <c r="Y1252" s="109" t="s">
        <v>432</v>
      </c>
      <c r="Z1252" s="109" t="s">
        <v>432</v>
      </c>
      <c r="AA1252" s="109" t="s">
        <v>432</v>
      </c>
      <c r="AB1252" s="109" t="s">
        <v>432</v>
      </c>
      <c r="AC1252" s="109" t="s">
        <v>432</v>
      </c>
      <c r="AD1252" s="109" t="s">
        <v>432</v>
      </c>
      <c r="AE1252" s="109" t="s">
        <v>432</v>
      </c>
      <c r="AF1252" s="1123">
        <v>0.78800000000000003</v>
      </c>
      <c r="AG1252" s="109" t="s">
        <v>432</v>
      </c>
      <c r="AH1252" s="109" t="s">
        <v>432</v>
      </c>
      <c r="AI1252" s="109" t="s">
        <v>432</v>
      </c>
      <c r="AJ1252" s="109" t="s">
        <v>432</v>
      </c>
      <c r="AK1252" s="109" t="s">
        <v>432</v>
      </c>
      <c r="AL1252" s="601" t="s">
        <v>432</v>
      </c>
      <c r="AM1252" s="137" t="s">
        <v>432</v>
      </c>
      <c r="AN1252" s="137" t="s">
        <v>432</v>
      </c>
      <c r="AO1252" s="137" t="s">
        <v>432</v>
      </c>
      <c r="AP1252" s="137" t="s">
        <v>432</v>
      </c>
      <c r="AQ1252" s="137" t="s">
        <v>432</v>
      </c>
      <c r="AR1252" s="137" t="s">
        <v>432</v>
      </c>
      <c r="AS1252" s="137" t="s">
        <v>432</v>
      </c>
      <c r="AT1252" s="137" t="s">
        <v>432</v>
      </c>
      <c r="AU1252" s="137" t="s">
        <v>432</v>
      </c>
      <c r="AV1252" s="137" t="s">
        <v>432</v>
      </c>
      <c r="AW1252" s="137" t="s">
        <v>432</v>
      </c>
      <c r="AX1252" s="137" t="s">
        <v>432</v>
      </c>
      <c r="AY1252" s="137" t="s">
        <v>432</v>
      </c>
      <c r="AZ1252" s="137" t="s">
        <v>432</v>
      </c>
      <c r="BA1252" s="137" t="s">
        <v>432</v>
      </c>
      <c r="BB1252" s="239" t="str">
        <f t="shared" si="351"/>
        <v>Velocidades, tempos e volumesx</v>
      </c>
      <c r="BC1252" s="239" t="str">
        <f t="shared" si="352"/>
        <v>Velocidades, tempos e volumesxx</v>
      </c>
      <c r="BD1252" s="239" t="str">
        <f t="shared" si="353"/>
        <v>Velocidades, tempos e volumesx</v>
      </c>
    </row>
    <row r="1253" spans="1:56" s="1" customFormat="1" ht="77.25" customHeight="1" x14ac:dyDescent="0.25">
      <c r="A1253" s="413" t="str">
        <f>'Q100b-totais'!B69</f>
        <v>9.6</v>
      </c>
      <c r="B1253" s="1205" t="str">
        <f>'Q100b-totais'!C69</f>
        <v>Velocidades, tempos e volumes</v>
      </c>
      <c r="C1253" s="57" t="s">
        <v>432</v>
      </c>
      <c r="D1253" s="362" t="s">
        <v>3539</v>
      </c>
      <c r="E1253" s="1506" t="s">
        <v>1750</v>
      </c>
      <c r="F1253" s="1171" t="s">
        <v>3800</v>
      </c>
      <c r="G1253" s="1105" t="s">
        <v>77</v>
      </c>
      <c r="H1253" s="173" t="s">
        <v>432</v>
      </c>
      <c r="I1253" s="57">
        <v>1</v>
      </c>
      <c r="J1253" s="109" t="s">
        <v>432</v>
      </c>
      <c r="K1253" s="109" t="s">
        <v>432</v>
      </c>
      <c r="L1253" s="109" t="s">
        <v>432</v>
      </c>
      <c r="M1253" s="109" t="s">
        <v>432</v>
      </c>
      <c r="N1253" s="109" t="s">
        <v>432</v>
      </c>
      <c r="O1253" s="109" t="s">
        <v>432</v>
      </c>
      <c r="P1253" s="109" t="s">
        <v>432</v>
      </c>
      <c r="Q1253" s="109" t="s">
        <v>432</v>
      </c>
      <c r="R1253" s="109" t="s">
        <v>432</v>
      </c>
      <c r="S1253" s="109" t="s">
        <v>2209</v>
      </c>
      <c r="T1253" s="109" t="s">
        <v>432</v>
      </c>
      <c r="U1253" s="109" t="s">
        <v>432</v>
      </c>
      <c r="V1253" s="109" t="s">
        <v>2209</v>
      </c>
      <c r="W1253" s="109" t="s">
        <v>432</v>
      </c>
      <c r="X1253" s="109" t="s">
        <v>432</v>
      </c>
      <c r="Y1253" s="109" t="s">
        <v>432</v>
      </c>
      <c r="Z1253" s="109" t="s">
        <v>432</v>
      </c>
      <c r="AA1253" s="109" t="s">
        <v>432</v>
      </c>
      <c r="AB1253" s="109" t="s">
        <v>432</v>
      </c>
      <c r="AC1253" s="109" t="s">
        <v>432</v>
      </c>
      <c r="AD1253" s="109" t="s">
        <v>432</v>
      </c>
      <c r="AE1253" s="109" t="s">
        <v>432</v>
      </c>
      <c r="AF1253" s="1123">
        <v>0.55200000000000005</v>
      </c>
      <c r="AG1253" s="109" t="s">
        <v>432</v>
      </c>
      <c r="AH1253" s="109" t="s">
        <v>432</v>
      </c>
      <c r="AI1253" s="109" t="s">
        <v>432</v>
      </c>
      <c r="AJ1253" s="109" t="s">
        <v>432</v>
      </c>
      <c r="AK1253" s="109" t="s">
        <v>432</v>
      </c>
      <c r="AL1253" s="601" t="s">
        <v>432</v>
      </c>
      <c r="AM1253" s="137" t="s">
        <v>432</v>
      </c>
      <c r="AN1253" s="137" t="s">
        <v>432</v>
      </c>
      <c r="AO1253" s="137" t="s">
        <v>432</v>
      </c>
      <c r="AP1253" s="137" t="s">
        <v>432</v>
      </c>
      <c r="AQ1253" s="137" t="s">
        <v>432</v>
      </c>
      <c r="AR1253" s="137" t="s">
        <v>432</v>
      </c>
      <c r="AS1253" s="137" t="s">
        <v>432</v>
      </c>
      <c r="AT1253" s="137" t="s">
        <v>432</v>
      </c>
      <c r="AU1253" s="137" t="s">
        <v>432</v>
      </c>
      <c r="AV1253" s="137" t="s">
        <v>432</v>
      </c>
      <c r="AW1253" s="137" t="s">
        <v>432</v>
      </c>
      <c r="AX1253" s="137" t="s">
        <v>432</v>
      </c>
      <c r="AY1253" s="137" t="s">
        <v>432</v>
      </c>
      <c r="AZ1253" s="137" t="s">
        <v>432</v>
      </c>
      <c r="BA1253" s="137" t="s">
        <v>432</v>
      </c>
      <c r="BB1253" s="239" t="str">
        <f t="shared" si="351"/>
        <v>Velocidades, tempos e volumesx</v>
      </c>
      <c r="BC1253" s="239" t="str">
        <f t="shared" si="352"/>
        <v>Velocidades, tempos e volumesxx</v>
      </c>
      <c r="BD1253" s="239" t="str">
        <f t="shared" si="353"/>
        <v>Velocidades, tempos e volumesx</v>
      </c>
    </row>
    <row r="1254" spans="1:56" s="1" customFormat="1" ht="77.25" customHeight="1" x14ac:dyDescent="0.25">
      <c r="A1254" s="413" t="str">
        <f>'Q100b-totais'!B69</f>
        <v>9.6</v>
      </c>
      <c r="B1254" s="1205" t="str">
        <f>'Q100b-totais'!C69</f>
        <v>Velocidades, tempos e volumes</v>
      </c>
      <c r="C1254" s="57" t="s">
        <v>432</v>
      </c>
      <c r="D1254" s="362" t="s">
        <v>3539</v>
      </c>
      <c r="E1254" s="1506" t="s">
        <v>1751</v>
      </c>
      <c r="F1254" s="1171" t="s">
        <v>3800</v>
      </c>
      <c r="G1254" s="1105" t="s">
        <v>77</v>
      </c>
      <c r="H1254" s="173" t="s">
        <v>432</v>
      </c>
      <c r="I1254" s="57">
        <v>1</v>
      </c>
      <c r="J1254" s="109" t="s">
        <v>432</v>
      </c>
      <c r="K1254" s="109" t="s">
        <v>432</v>
      </c>
      <c r="L1254" s="109" t="s">
        <v>432</v>
      </c>
      <c r="M1254" s="109" t="s">
        <v>432</v>
      </c>
      <c r="N1254" s="109" t="s">
        <v>432</v>
      </c>
      <c r="O1254" s="109" t="s">
        <v>432</v>
      </c>
      <c r="P1254" s="109" t="s">
        <v>432</v>
      </c>
      <c r="Q1254" s="109" t="s">
        <v>432</v>
      </c>
      <c r="R1254" s="109" t="s">
        <v>432</v>
      </c>
      <c r="S1254" s="109" t="s">
        <v>2209</v>
      </c>
      <c r="T1254" s="109" t="s">
        <v>432</v>
      </c>
      <c r="U1254" s="109" t="s">
        <v>432</v>
      </c>
      <c r="V1254" s="109" t="s">
        <v>2209</v>
      </c>
      <c r="W1254" s="109" t="s">
        <v>432</v>
      </c>
      <c r="X1254" s="109" t="s">
        <v>432</v>
      </c>
      <c r="Y1254" s="109" t="s">
        <v>432</v>
      </c>
      <c r="Z1254" s="109" t="s">
        <v>432</v>
      </c>
      <c r="AA1254" s="109" t="s">
        <v>432</v>
      </c>
      <c r="AB1254" s="109" t="s">
        <v>432</v>
      </c>
      <c r="AC1254" s="109" t="s">
        <v>432</v>
      </c>
      <c r="AD1254" s="109" t="s">
        <v>432</v>
      </c>
      <c r="AE1254" s="109" t="s">
        <v>432</v>
      </c>
      <c r="AF1254" s="1123">
        <v>0.89200000000000002</v>
      </c>
      <c r="AG1254" s="109" t="s">
        <v>432</v>
      </c>
      <c r="AH1254" s="109" t="s">
        <v>432</v>
      </c>
      <c r="AI1254" s="109" t="s">
        <v>432</v>
      </c>
      <c r="AJ1254" s="109" t="s">
        <v>432</v>
      </c>
      <c r="AK1254" s="109" t="s">
        <v>432</v>
      </c>
      <c r="AL1254" s="601" t="s">
        <v>432</v>
      </c>
      <c r="AM1254" s="137" t="s">
        <v>432</v>
      </c>
      <c r="AN1254" s="137" t="s">
        <v>432</v>
      </c>
      <c r="AO1254" s="137" t="s">
        <v>432</v>
      </c>
      <c r="AP1254" s="137" t="s">
        <v>432</v>
      </c>
      <c r="AQ1254" s="137" t="s">
        <v>432</v>
      </c>
      <c r="AR1254" s="137" t="s">
        <v>432</v>
      </c>
      <c r="AS1254" s="137" t="s">
        <v>432</v>
      </c>
      <c r="AT1254" s="137" t="s">
        <v>432</v>
      </c>
      <c r="AU1254" s="137" t="s">
        <v>432</v>
      </c>
      <c r="AV1254" s="137" t="s">
        <v>432</v>
      </c>
      <c r="AW1254" s="137" t="s">
        <v>432</v>
      </c>
      <c r="AX1254" s="137" t="s">
        <v>432</v>
      </c>
      <c r="AY1254" s="137" t="s">
        <v>432</v>
      </c>
      <c r="AZ1254" s="137" t="s">
        <v>432</v>
      </c>
      <c r="BA1254" s="137" t="s">
        <v>432</v>
      </c>
      <c r="BB1254" s="239" t="str">
        <f t="shared" si="351"/>
        <v>Velocidades, tempos e volumesx</v>
      </c>
      <c r="BC1254" s="239" t="str">
        <f t="shared" si="352"/>
        <v>Velocidades, tempos e volumesxx</v>
      </c>
      <c r="BD1254" s="239" t="str">
        <f t="shared" si="353"/>
        <v>Velocidades, tempos e volumesx</v>
      </c>
    </row>
    <row r="1255" spans="1:56" s="1" customFormat="1" ht="77.25" customHeight="1" x14ac:dyDescent="0.25">
      <c r="A1255" s="413" t="str">
        <f>'Q100b-totais'!B69</f>
        <v>9.6</v>
      </c>
      <c r="B1255" s="1205" t="str">
        <f>'Q100b-totais'!C69</f>
        <v>Velocidades, tempos e volumes</v>
      </c>
      <c r="C1255" s="57" t="s">
        <v>432</v>
      </c>
      <c r="D1255" s="362" t="s">
        <v>3539</v>
      </c>
      <c r="E1255" s="1506" t="s">
        <v>1752</v>
      </c>
      <c r="F1255" s="1171" t="s">
        <v>3800</v>
      </c>
      <c r="G1255" s="1105" t="s">
        <v>77</v>
      </c>
      <c r="H1255" s="173" t="s">
        <v>432</v>
      </c>
      <c r="I1255" s="57">
        <v>1</v>
      </c>
      <c r="J1255" s="109" t="s">
        <v>432</v>
      </c>
      <c r="K1255" s="109" t="s">
        <v>432</v>
      </c>
      <c r="L1255" s="109" t="s">
        <v>432</v>
      </c>
      <c r="M1255" s="109" t="s">
        <v>432</v>
      </c>
      <c r="N1255" s="109" t="s">
        <v>432</v>
      </c>
      <c r="O1255" s="109" t="s">
        <v>432</v>
      </c>
      <c r="P1255" s="109" t="s">
        <v>432</v>
      </c>
      <c r="Q1255" s="109" t="s">
        <v>432</v>
      </c>
      <c r="R1255" s="109" t="s">
        <v>432</v>
      </c>
      <c r="S1255" s="109" t="s">
        <v>2209</v>
      </c>
      <c r="T1255" s="109" t="s">
        <v>432</v>
      </c>
      <c r="U1255" s="109" t="s">
        <v>432</v>
      </c>
      <c r="V1255" s="109" t="s">
        <v>2209</v>
      </c>
      <c r="W1255" s="109" t="s">
        <v>432</v>
      </c>
      <c r="X1255" s="109" t="s">
        <v>432</v>
      </c>
      <c r="Y1255" s="109" t="s">
        <v>432</v>
      </c>
      <c r="Z1255" s="109" t="s">
        <v>432</v>
      </c>
      <c r="AA1255" s="109" t="s">
        <v>432</v>
      </c>
      <c r="AB1255" s="109" t="s">
        <v>432</v>
      </c>
      <c r="AC1255" s="109" t="s">
        <v>432</v>
      </c>
      <c r="AD1255" s="109" t="s">
        <v>432</v>
      </c>
      <c r="AE1255" s="109" t="s">
        <v>432</v>
      </c>
      <c r="AF1255" s="1123">
        <v>0.88700000000000001</v>
      </c>
      <c r="AG1255" s="109" t="s">
        <v>432</v>
      </c>
      <c r="AH1255" s="109" t="s">
        <v>432</v>
      </c>
      <c r="AI1255" s="109" t="s">
        <v>432</v>
      </c>
      <c r="AJ1255" s="109" t="s">
        <v>432</v>
      </c>
      <c r="AK1255" s="109" t="s">
        <v>432</v>
      </c>
      <c r="AL1255" s="601" t="s">
        <v>432</v>
      </c>
      <c r="AM1255" s="137" t="s">
        <v>432</v>
      </c>
      <c r="AN1255" s="137" t="s">
        <v>432</v>
      </c>
      <c r="AO1255" s="137" t="s">
        <v>432</v>
      </c>
      <c r="AP1255" s="137" t="s">
        <v>432</v>
      </c>
      <c r="AQ1255" s="137" t="s">
        <v>432</v>
      </c>
      <c r="AR1255" s="137" t="s">
        <v>432</v>
      </c>
      <c r="AS1255" s="137" t="s">
        <v>432</v>
      </c>
      <c r="AT1255" s="137" t="s">
        <v>432</v>
      </c>
      <c r="AU1255" s="137" t="s">
        <v>432</v>
      </c>
      <c r="AV1255" s="137" t="s">
        <v>432</v>
      </c>
      <c r="AW1255" s="137" t="s">
        <v>432</v>
      </c>
      <c r="AX1255" s="137" t="s">
        <v>432</v>
      </c>
      <c r="AY1255" s="137" t="s">
        <v>432</v>
      </c>
      <c r="AZ1255" s="137" t="s">
        <v>432</v>
      </c>
      <c r="BA1255" s="137" t="s">
        <v>432</v>
      </c>
      <c r="BB1255" s="239" t="str">
        <f t="shared" si="351"/>
        <v>Velocidades, tempos e volumesx</v>
      </c>
      <c r="BC1255" s="239" t="str">
        <f t="shared" si="352"/>
        <v>Velocidades, tempos e volumesxx</v>
      </c>
      <c r="BD1255" s="239" t="str">
        <f t="shared" si="353"/>
        <v>Velocidades, tempos e volumesx</v>
      </c>
    </row>
    <row r="1256" spans="1:56" s="1" customFormat="1" ht="77.25" customHeight="1" x14ac:dyDescent="0.25">
      <c r="A1256" s="413" t="str">
        <f>'Q100b-totais'!B69</f>
        <v>9.6</v>
      </c>
      <c r="B1256" s="1205" t="str">
        <f>'Q100b-totais'!C69</f>
        <v>Velocidades, tempos e volumes</v>
      </c>
      <c r="C1256" s="57" t="s">
        <v>432</v>
      </c>
      <c r="D1256" s="362" t="s">
        <v>3539</v>
      </c>
      <c r="E1256" s="1506" t="s">
        <v>1753</v>
      </c>
      <c r="F1256" s="1171" t="s">
        <v>3800</v>
      </c>
      <c r="G1256" s="1105" t="s">
        <v>77</v>
      </c>
      <c r="H1256" s="173" t="s">
        <v>432</v>
      </c>
      <c r="I1256" s="57">
        <v>1</v>
      </c>
      <c r="J1256" s="109" t="s">
        <v>432</v>
      </c>
      <c r="K1256" s="109" t="s">
        <v>432</v>
      </c>
      <c r="L1256" s="109" t="s">
        <v>432</v>
      </c>
      <c r="M1256" s="109" t="s">
        <v>432</v>
      </c>
      <c r="N1256" s="109" t="s">
        <v>432</v>
      </c>
      <c r="O1256" s="109" t="s">
        <v>432</v>
      </c>
      <c r="P1256" s="109" t="s">
        <v>432</v>
      </c>
      <c r="Q1256" s="109" t="s">
        <v>432</v>
      </c>
      <c r="R1256" s="109" t="s">
        <v>432</v>
      </c>
      <c r="S1256" s="109" t="s">
        <v>2209</v>
      </c>
      <c r="T1256" s="109" t="s">
        <v>432</v>
      </c>
      <c r="U1256" s="109" t="s">
        <v>432</v>
      </c>
      <c r="V1256" s="109" t="s">
        <v>2209</v>
      </c>
      <c r="W1256" s="109" t="s">
        <v>432</v>
      </c>
      <c r="X1256" s="109" t="s">
        <v>432</v>
      </c>
      <c r="Y1256" s="109" t="s">
        <v>432</v>
      </c>
      <c r="Z1256" s="109" t="s">
        <v>432</v>
      </c>
      <c r="AA1256" s="109" t="s">
        <v>432</v>
      </c>
      <c r="AB1256" s="109" t="s">
        <v>432</v>
      </c>
      <c r="AC1256" s="109" t="s">
        <v>432</v>
      </c>
      <c r="AD1256" s="109" t="s">
        <v>432</v>
      </c>
      <c r="AE1256" s="109" t="s">
        <v>432</v>
      </c>
      <c r="AF1256" s="1123">
        <v>0.68300000000000005</v>
      </c>
      <c r="AG1256" s="109" t="s">
        <v>432</v>
      </c>
      <c r="AH1256" s="109" t="s">
        <v>432</v>
      </c>
      <c r="AI1256" s="109" t="s">
        <v>432</v>
      </c>
      <c r="AJ1256" s="109" t="s">
        <v>432</v>
      </c>
      <c r="AK1256" s="109" t="s">
        <v>432</v>
      </c>
      <c r="AL1256" s="601" t="s">
        <v>432</v>
      </c>
      <c r="AM1256" s="137" t="s">
        <v>432</v>
      </c>
      <c r="AN1256" s="137" t="s">
        <v>432</v>
      </c>
      <c r="AO1256" s="137" t="s">
        <v>432</v>
      </c>
      <c r="AP1256" s="137" t="s">
        <v>432</v>
      </c>
      <c r="AQ1256" s="137" t="s">
        <v>432</v>
      </c>
      <c r="AR1256" s="137" t="s">
        <v>432</v>
      </c>
      <c r="AS1256" s="137" t="s">
        <v>432</v>
      </c>
      <c r="AT1256" s="137" t="s">
        <v>432</v>
      </c>
      <c r="AU1256" s="137" t="s">
        <v>432</v>
      </c>
      <c r="AV1256" s="137" t="s">
        <v>432</v>
      </c>
      <c r="AW1256" s="137" t="s">
        <v>432</v>
      </c>
      <c r="AX1256" s="137" t="s">
        <v>432</v>
      </c>
      <c r="AY1256" s="137" t="s">
        <v>432</v>
      </c>
      <c r="AZ1256" s="137" t="s">
        <v>432</v>
      </c>
      <c r="BA1256" s="137" t="s">
        <v>432</v>
      </c>
      <c r="BB1256" s="239" t="str">
        <f t="shared" si="351"/>
        <v>Velocidades, tempos e volumesx</v>
      </c>
      <c r="BC1256" s="239" t="str">
        <f t="shared" si="352"/>
        <v>Velocidades, tempos e volumesxx</v>
      </c>
      <c r="BD1256" s="239" t="str">
        <f t="shared" si="353"/>
        <v>Velocidades, tempos e volumesx</v>
      </c>
    </row>
    <row r="1257" spans="1:56" s="1" customFormat="1" ht="77.25" customHeight="1" x14ac:dyDescent="0.25">
      <c r="A1257" s="413" t="str">
        <f>'Q100b-totais'!B69</f>
        <v>9.6</v>
      </c>
      <c r="B1257" s="1205" t="str">
        <f>'Q100b-totais'!C69</f>
        <v>Velocidades, tempos e volumes</v>
      </c>
      <c r="C1257" s="57" t="s">
        <v>432</v>
      </c>
      <c r="D1257" s="362" t="s">
        <v>3539</v>
      </c>
      <c r="E1257" s="1506" t="s">
        <v>1754</v>
      </c>
      <c r="F1257" s="1171" t="s">
        <v>3800</v>
      </c>
      <c r="G1257" s="1105" t="s">
        <v>77</v>
      </c>
      <c r="H1257" s="173" t="s">
        <v>432</v>
      </c>
      <c r="I1257" s="57">
        <v>1</v>
      </c>
      <c r="J1257" s="109" t="s">
        <v>432</v>
      </c>
      <c r="K1257" s="109" t="s">
        <v>432</v>
      </c>
      <c r="L1257" s="109" t="s">
        <v>432</v>
      </c>
      <c r="M1257" s="109" t="s">
        <v>432</v>
      </c>
      <c r="N1257" s="109" t="s">
        <v>432</v>
      </c>
      <c r="O1257" s="109" t="s">
        <v>432</v>
      </c>
      <c r="P1257" s="109" t="s">
        <v>432</v>
      </c>
      <c r="Q1257" s="109" t="s">
        <v>432</v>
      </c>
      <c r="R1257" s="109" t="s">
        <v>432</v>
      </c>
      <c r="S1257" s="109" t="s">
        <v>2209</v>
      </c>
      <c r="T1257" s="109" t="s">
        <v>432</v>
      </c>
      <c r="U1257" s="109" t="s">
        <v>432</v>
      </c>
      <c r="V1257" s="109" t="s">
        <v>2209</v>
      </c>
      <c r="W1257" s="109" t="s">
        <v>432</v>
      </c>
      <c r="X1257" s="109" t="s">
        <v>432</v>
      </c>
      <c r="Y1257" s="109" t="s">
        <v>432</v>
      </c>
      <c r="Z1257" s="109" t="s">
        <v>432</v>
      </c>
      <c r="AA1257" s="109" t="s">
        <v>432</v>
      </c>
      <c r="AB1257" s="109" t="s">
        <v>432</v>
      </c>
      <c r="AC1257" s="109" t="s">
        <v>432</v>
      </c>
      <c r="AD1257" s="109" t="s">
        <v>432</v>
      </c>
      <c r="AE1257" s="109" t="s">
        <v>432</v>
      </c>
      <c r="AF1257" s="1123">
        <v>0.86699999999999999</v>
      </c>
      <c r="AG1257" s="109" t="s">
        <v>432</v>
      </c>
      <c r="AH1257" s="109" t="s">
        <v>432</v>
      </c>
      <c r="AI1257" s="109" t="s">
        <v>432</v>
      </c>
      <c r="AJ1257" s="109" t="s">
        <v>432</v>
      </c>
      <c r="AK1257" s="109" t="s">
        <v>432</v>
      </c>
      <c r="AL1257" s="601" t="s">
        <v>432</v>
      </c>
      <c r="AM1257" s="137" t="s">
        <v>432</v>
      </c>
      <c r="AN1257" s="137" t="s">
        <v>432</v>
      </c>
      <c r="AO1257" s="137" t="s">
        <v>432</v>
      </c>
      <c r="AP1257" s="137" t="s">
        <v>432</v>
      </c>
      <c r="AQ1257" s="137" t="s">
        <v>432</v>
      </c>
      <c r="AR1257" s="137" t="s">
        <v>432</v>
      </c>
      <c r="AS1257" s="137" t="s">
        <v>432</v>
      </c>
      <c r="AT1257" s="137" t="s">
        <v>432</v>
      </c>
      <c r="AU1257" s="137" t="s">
        <v>432</v>
      </c>
      <c r="AV1257" s="137" t="s">
        <v>432</v>
      </c>
      <c r="AW1257" s="137" t="s">
        <v>432</v>
      </c>
      <c r="AX1257" s="137" t="s">
        <v>432</v>
      </c>
      <c r="AY1257" s="137" t="s">
        <v>432</v>
      </c>
      <c r="AZ1257" s="137" t="s">
        <v>432</v>
      </c>
      <c r="BA1257" s="137" t="s">
        <v>432</v>
      </c>
      <c r="BB1257" s="239" t="str">
        <f t="shared" si="351"/>
        <v>Velocidades, tempos e volumesx</v>
      </c>
      <c r="BC1257" s="239" t="str">
        <f t="shared" si="352"/>
        <v>Velocidades, tempos e volumesxx</v>
      </c>
      <c r="BD1257" s="239" t="str">
        <f t="shared" si="353"/>
        <v>Velocidades, tempos e volumesx</v>
      </c>
    </row>
    <row r="1258" spans="1:56" s="1" customFormat="1" ht="77.25" customHeight="1" x14ac:dyDescent="0.25">
      <c r="A1258" s="413" t="str">
        <f>'Q100b-totais'!B69</f>
        <v>9.6</v>
      </c>
      <c r="B1258" s="1205" t="str">
        <f>'Q100b-totais'!C69</f>
        <v>Velocidades, tempos e volumes</v>
      </c>
      <c r="C1258" s="57" t="s">
        <v>432</v>
      </c>
      <c r="D1258" s="362" t="s">
        <v>3539</v>
      </c>
      <c r="E1258" s="1506" t="s">
        <v>1755</v>
      </c>
      <c r="F1258" s="1171" t="s">
        <v>3800</v>
      </c>
      <c r="G1258" s="1105" t="s">
        <v>77</v>
      </c>
      <c r="H1258" s="173" t="s">
        <v>432</v>
      </c>
      <c r="I1258" s="57">
        <v>1</v>
      </c>
      <c r="J1258" s="109" t="s">
        <v>432</v>
      </c>
      <c r="K1258" s="109" t="s">
        <v>432</v>
      </c>
      <c r="L1258" s="109" t="s">
        <v>432</v>
      </c>
      <c r="M1258" s="109" t="s">
        <v>432</v>
      </c>
      <c r="N1258" s="109" t="s">
        <v>432</v>
      </c>
      <c r="O1258" s="109" t="s">
        <v>432</v>
      </c>
      <c r="P1258" s="109" t="s">
        <v>432</v>
      </c>
      <c r="Q1258" s="109" t="s">
        <v>432</v>
      </c>
      <c r="R1258" s="109" t="s">
        <v>432</v>
      </c>
      <c r="S1258" s="109" t="s">
        <v>2209</v>
      </c>
      <c r="T1258" s="109" t="s">
        <v>432</v>
      </c>
      <c r="U1258" s="109" t="s">
        <v>432</v>
      </c>
      <c r="V1258" s="109" t="s">
        <v>2209</v>
      </c>
      <c r="W1258" s="109" t="s">
        <v>432</v>
      </c>
      <c r="X1258" s="109" t="s">
        <v>432</v>
      </c>
      <c r="Y1258" s="109" t="s">
        <v>432</v>
      </c>
      <c r="Z1258" s="109" t="s">
        <v>432</v>
      </c>
      <c r="AA1258" s="109" t="s">
        <v>432</v>
      </c>
      <c r="AB1258" s="109" t="s">
        <v>432</v>
      </c>
      <c r="AC1258" s="109" t="s">
        <v>432</v>
      </c>
      <c r="AD1258" s="109" t="s">
        <v>432</v>
      </c>
      <c r="AE1258" s="109" t="s">
        <v>432</v>
      </c>
      <c r="AF1258" s="1123">
        <v>0.8</v>
      </c>
      <c r="AG1258" s="109" t="s">
        <v>432</v>
      </c>
      <c r="AH1258" s="109" t="s">
        <v>432</v>
      </c>
      <c r="AI1258" s="109" t="s">
        <v>432</v>
      </c>
      <c r="AJ1258" s="109" t="s">
        <v>432</v>
      </c>
      <c r="AK1258" s="109" t="s">
        <v>432</v>
      </c>
      <c r="AL1258" s="601" t="s">
        <v>432</v>
      </c>
      <c r="AM1258" s="137" t="s">
        <v>432</v>
      </c>
      <c r="AN1258" s="137" t="s">
        <v>432</v>
      </c>
      <c r="AO1258" s="137" t="s">
        <v>432</v>
      </c>
      <c r="AP1258" s="137" t="s">
        <v>432</v>
      </c>
      <c r="AQ1258" s="137" t="s">
        <v>432</v>
      </c>
      <c r="AR1258" s="137" t="s">
        <v>432</v>
      </c>
      <c r="AS1258" s="137" t="s">
        <v>432</v>
      </c>
      <c r="AT1258" s="137" t="s">
        <v>432</v>
      </c>
      <c r="AU1258" s="137" t="s">
        <v>432</v>
      </c>
      <c r="AV1258" s="137" t="s">
        <v>432</v>
      </c>
      <c r="AW1258" s="137" t="s">
        <v>432</v>
      </c>
      <c r="AX1258" s="137" t="s">
        <v>432</v>
      </c>
      <c r="AY1258" s="137" t="s">
        <v>432</v>
      </c>
      <c r="AZ1258" s="137" t="s">
        <v>432</v>
      </c>
      <c r="BA1258" s="137" t="s">
        <v>432</v>
      </c>
      <c r="BB1258" s="239" t="str">
        <f t="shared" si="351"/>
        <v>Velocidades, tempos e volumesx</v>
      </c>
      <c r="BC1258" s="239" t="str">
        <f t="shared" si="352"/>
        <v>Velocidades, tempos e volumesxx</v>
      </c>
      <c r="BD1258" s="239" t="str">
        <f t="shared" si="353"/>
        <v>Velocidades, tempos e volumesx</v>
      </c>
    </row>
    <row r="1259" spans="1:56" s="1" customFormat="1" ht="77.25" customHeight="1" x14ac:dyDescent="0.25">
      <c r="A1259" s="413" t="str">
        <f>'Q100b-totais'!B69</f>
        <v>9.6</v>
      </c>
      <c r="B1259" s="1205" t="str">
        <f>'Q100b-totais'!C69</f>
        <v>Velocidades, tempos e volumes</v>
      </c>
      <c r="C1259" s="57" t="s">
        <v>432</v>
      </c>
      <c r="D1259" s="362" t="s">
        <v>3539</v>
      </c>
      <c r="E1259" s="1506" t="s">
        <v>1756</v>
      </c>
      <c r="F1259" s="1171" t="s">
        <v>3800</v>
      </c>
      <c r="G1259" s="1105" t="s">
        <v>77</v>
      </c>
      <c r="H1259" s="173" t="s">
        <v>432</v>
      </c>
      <c r="I1259" s="57">
        <v>1</v>
      </c>
      <c r="J1259" s="109" t="s">
        <v>432</v>
      </c>
      <c r="K1259" s="109" t="s">
        <v>432</v>
      </c>
      <c r="L1259" s="109" t="s">
        <v>432</v>
      </c>
      <c r="M1259" s="109" t="s">
        <v>432</v>
      </c>
      <c r="N1259" s="109" t="s">
        <v>432</v>
      </c>
      <c r="O1259" s="109" t="s">
        <v>432</v>
      </c>
      <c r="P1259" s="109" t="s">
        <v>432</v>
      </c>
      <c r="Q1259" s="109" t="s">
        <v>432</v>
      </c>
      <c r="R1259" s="109" t="s">
        <v>432</v>
      </c>
      <c r="S1259" s="109" t="s">
        <v>2209</v>
      </c>
      <c r="T1259" s="109" t="s">
        <v>432</v>
      </c>
      <c r="U1259" s="109" t="s">
        <v>432</v>
      </c>
      <c r="V1259" s="109" t="s">
        <v>2209</v>
      </c>
      <c r="W1259" s="109" t="s">
        <v>432</v>
      </c>
      <c r="X1259" s="109" t="s">
        <v>432</v>
      </c>
      <c r="Y1259" s="109" t="s">
        <v>432</v>
      </c>
      <c r="Z1259" s="109" t="s">
        <v>432</v>
      </c>
      <c r="AA1259" s="109" t="s">
        <v>432</v>
      </c>
      <c r="AB1259" s="109" t="s">
        <v>432</v>
      </c>
      <c r="AC1259" s="109" t="s">
        <v>432</v>
      </c>
      <c r="AD1259" s="109" t="s">
        <v>432</v>
      </c>
      <c r="AE1259" s="109" t="s">
        <v>432</v>
      </c>
      <c r="AF1259" s="1123">
        <v>0.46100000000000002</v>
      </c>
      <c r="AG1259" s="109" t="s">
        <v>432</v>
      </c>
      <c r="AH1259" s="109" t="s">
        <v>432</v>
      </c>
      <c r="AI1259" s="109" t="s">
        <v>432</v>
      </c>
      <c r="AJ1259" s="109" t="s">
        <v>432</v>
      </c>
      <c r="AK1259" s="109" t="s">
        <v>432</v>
      </c>
      <c r="AL1259" s="601" t="s">
        <v>432</v>
      </c>
      <c r="AM1259" s="137" t="s">
        <v>432</v>
      </c>
      <c r="AN1259" s="137" t="s">
        <v>432</v>
      </c>
      <c r="AO1259" s="137" t="s">
        <v>432</v>
      </c>
      <c r="AP1259" s="137" t="s">
        <v>432</v>
      </c>
      <c r="AQ1259" s="137" t="s">
        <v>432</v>
      </c>
      <c r="AR1259" s="137" t="s">
        <v>432</v>
      </c>
      <c r="AS1259" s="137" t="s">
        <v>432</v>
      </c>
      <c r="AT1259" s="137" t="s">
        <v>432</v>
      </c>
      <c r="AU1259" s="137" t="s">
        <v>432</v>
      </c>
      <c r="AV1259" s="137" t="s">
        <v>432</v>
      </c>
      <c r="AW1259" s="137" t="s">
        <v>432</v>
      </c>
      <c r="AX1259" s="137" t="s">
        <v>432</v>
      </c>
      <c r="AY1259" s="137" t="s">
        <v>432</v>
      </c>
      <c r="AZ1259" s="137" t="s">
        <v>432</v>
      </c>
      <c r="BA1259" s="137" t="s">
        <v>432</v>
      </c>
      <c r="BB1259" s="239" t="str">
        <f t="shared" si="351"/>
        <v>Velocidades, tempos e volumesx</v>
      </c>
      <c r="BC1259" s="239" t="str">
        <f t="shared" si="352"/>
        <v>Velocidades, tempos e volumesxx</v>
      </c>
      <c r="BD1259" s="239" t="str">
        <f t="shared" si="353"/>
        <v>Velocidades, tempos e volumesx</v>
      </c>
    </row>
    <row r="1260" spans="1:56" s="1" customFormat="1" ht="77.25" customHeight="1" x14ac:dyDescent="0.25">
      <c r="A1260" s="413" t="str">
        <f>'Q100b-totais'!B69</f>
        <v>9.6</v>
      </c>
      <c r="B1260" s="1205" t="str">
        <f>'Q100b-totais'!C69</f>
        <v>Velocidades, tempos e volumes</v>
      </c>
      <c r="C1260" s="57" t="s">
        <v>432</v>
      </c>
      <c r="D1260" s="362" t="s">
        <v>3539</v>
      </c>
      <c r="E1260" s="1506" t="s">
        <v>1757</v>
      </c>
      <c r="F1260" s="1171" t="s">
        <v>3800</v>
      </c>
      <c r="G1260" s="1105" t="s">
        <v>77</v>
      </c>
      <c r="H1260" s="173" t="s">
        <v>432</v>
      </c>
      <c r="I1260" s="57">
        <v>1</v>
      </c>
      <c r="J1260" s="109" t="s">
        <v>432</v>
      </c>
      <c r="K1260" s="109" t="s">
        <v>432</v>
      </c>
      <c r="L1260" s="109" t="s">
        <v>432</v>
      </c>
      <c r="M1260" s="109" t="s">
        <v>432</v>
      </c>
      <c r="N1260" s="109" t="s">
        <v>432</v>
      </c>
      <c r="O1260" s="109" t="s">
        <v>432</v>
      </c>
      <c r="P1260" s="109" t="s">
        <v>432</v>
      </c>
      <c r="Q1260" s="109" t="s">
        <v>432</v>
      </c>
      <c r="R1260" s="109" t="s">
        <v>432</v>
      </c>
      <c r="S1260" s="109" t="s">
        <v>2209</v>
      </c>
      <c r="T1260" s="109" t="s">
        <v>432</v>
      </c>
      <c r="U1260" s="109" t="s">
        <v>432</v>
      </c>
      <c r="V1260" s="109" t="s">
        <v>2209</v>
      </c>
      <c r="W1260" s="109" t="s">
        <v>432</v>
      </c>
      <c r="X1260" s="109" t="s">
        <v>432</v>
      </c>
      <c r="Y1260" s="109" t="s">
        <v>432</v>
      </c>
      <c r="Z1260" s="109" t="s">
        <v>432</v>
      </c>
      <c r="AA1260" s="109" t="s">
        <v>432</v>
      </c>
      <c r="AB1260" s="109" t="s">
        <v>432</v>
      </c>
      <c r="AC1260" s="109" t="s">
        <v>432</v>
      </c>
      <c r="AD1260" s="109" t="s">
        <v>432</v>
      </c>
      <c r="AE1260" s="109" t="s">
        <v>432</v>
      </c>
      <c r="AF1260" s="1123">
        <v>0.22800000000000001</v>
      </c>
      <c r="AG1260" s="109" t="s">
        <v>432</v>
      </c>
      <c r="AH1260" s="109" t="s">
        <v>432</v>
      </c>
      <c r="AI1260" s="109" t="s">
        <v>432</v>
      </c>
      <c r="AJ1260" s="109" t="s">
        <v>432</v>
      </c>
      <c r="AK1260" s="109" t="s">
        <v>432</v>
      </c>
      <c r="AL1260" s="601" t="s">
        <v>432</v>
      </c>
      <c r="AM1260" s="137" t="s">
        <v>432</v>
      </c>
      <c r="AN1260" s="137" t="s">
        <v>432</v>
      </c>
      <c r="AO1260" s="137" t="s">
        <v>432</v>
      </c>
      <c r="AP1260" s="137" t="s">
        <v>432</v>
      </c>
      <c r="AQ1260" s="137" t="s">
        <v>432</v>
      </c>
      <c r="AR1260" s="137" t="s">
        <v>432</v>
      </c>
      <c r="AS1260" s="137" t="s">
        <v>432</v>
      </c>
      <c r="AT1260" s="137" t="s">
        <v>432</v>
      </c>
      <c r="AU1260" s="137" t="s">
        <v>432</v>
      </c>
      <c r="AV1260" s="137" t="s">
        <v>432</v>
      </c>
      <c r="AW1260" s="137" t="s">
        <v>432</v>
      </c>
      <c r="AX1260" s="137" t="s">
        <v>432</v>
      </c>
      <c r="AY1260" s="137" t="s">
        <v>432</v>
      </c>
      <c r="AZ1260" s="137" t="s">
        <v>432</v>
      </c>
      <c r="BA1260" s="137" t="s">
        <v>432</v>
      </c>
      <c r="BB1260" s="239" t="str">
        <f t="shared" si="351"/>
        <v>Velocidades, tempos e volumesx</v>
      </c>
      <c r="BC1260" s="239" t="str">
        <f t="shared" si="352"/>
        <v>Velocidades, tempos e volumesxx</v>
      </c>
      <c r="BD1260" s="239" t="str">
        <f t="shared" si="353"/>
        <v>Velocidades, tempos e volumesx</v>
      </c>
    </row>
    <row r="1261" spans="1:56" s="1" customFormat="1" ht="77.25" customHeight="1" x14ac:dyDescent="0.25">
      <c r="A1261" s="413" t="str">
        <f>'Q100b-totais'!B69</f>
        <v>9.6</v>
      </c>
      <c r="B1261" s="1205" t="str">
        <f>'Q100b-totais'!C69</f>
        <v>Velocidades, tempos e volumes</v>
      </c>
      <c r="C1261" s="57" t="s">
        <v>432</v>
      </c>
      <c r="D1261" s="362" t="s">
        <v>3539</v>
      </c>
      <c r="E1261" s="1506" t="s">
        <v>1758</v>
      </c>
      <c r="F1261" s="1171" t="s">
        <v>3800</v>
      </c>
      <c r="G1261" s="1105" t="s">
        <v>77</v>
      </c>
      <c r="H1261" s="173" t="s">
        <v>432</v>
      </c>
      <c r="I1261" s="57">
        <v>1</v>
      </c>
      <c r="J1261" s="109" t="s">
        <v>432</v>
      </c>
      <c r="K1261" s="109" t="s">
        <v>432</v>
      </c>
      <c r="L1261" s="109" t="s">
        <v>432</v>
      </c>
      <c r="M1261" s="109" t="s">
        <v>432</v>
      </c>
      <c r="N1261" s="109" t="s">
        <v>432</v>
      </c>
      <c r="O1261" s="109" t="s">
        <v>432</v>
      </c>
      <c r="P1261" s="109" t="s">
        <v>432</v>
      </c>
      <c r="Q1261" s="109" t="s">
        <v>432</v>
      </c>
      <c r="R1261" s="109" t="s">
        <v>432</v>
      </c>
      <c r="S1261" s="109" t="s">
        <v>2209</v>
      </c>
      <c r="T1261" s="109" t="s">
        <v>432</v>
      </c>
      <c r="U1261" s="109" t="s">
        <v>432</v>
      </c>
      <c r="V1261" s="109" t="s">
        <v>2209</v>
      </c>
      <c r="W1261" s="109" t="s">
        <v>432</v>
      </c>
      <c r="X1261" s="109" t="s">
        <v>432</v>
      </c>
      <c r="Y1261" s="109" t="s">
        <v>432</v>
      </c>
      <c r="Z1261" s="109" t="s">
        <v>432</v>
      </c>
      <c r="AA1261" s="109" t="s">
        <v>432</v>
      </c>
      <c r="AB1261" s="109" t="s">
        <v>432</v>
      </c>
      <c r="AC1261" s="109" t="s">
        <v>432</v>
      </c>
      <c r="AD1261" s="109" t="s">
        <v>432</v>
      </c>
      <c r="AE1261" s="109" t="s">
        <v>432</v>
      </c>
      <c r="AF1261" s="1123">
        <v>0.60599999999999998</v>
      </c>
      <c r="AG1261" s="109" t="s">
        <v>432</v>
      </c>
      <c r="AH1261" s="109" t="s">
        <v>432</v>
      </c>
      <c r="AI1261" s="109" t="s">
        <v>432</v>
      </c>
      <c r="AJ1261" s="109" t="s">
        <v>432</v>
      </c>
      <c r="AK1261" s="109" t="s">
        <v>432</v>
      </c>
      <c r="AL1261" s="601" t="s">
        <v>432</v>
      </c>
      <c r="AM1261" s="137" t="s">
        <v>432</v>
      </c>
      <c r="AN1261" s="137" t="s">
        <v>432</v>
      </c>
      <c r="AO1261" s="137" t="s">
        <v>432</v>
      </c>
      <c r="AP1261" s="137" t="s">
        <v>432</v>
      </c>
      <c r="AQ1261" s="137" t="s">
        <v>432</v>
      </c>
      <c r="AR1261" s="137" t="s">
        <v>432</v>
      </c>
      <c r="AS1261" s="137" t="s">
        <v>432</v>
      </c>
      <c r="AT1261" s="137" t="s">
        <v>432</v>
      </c>
      <c r="AU1261" s="137" t="s">
        <v>432</v>
      </c>
      <c r="AV1261" s="137" t="s">
        <v>432</v>
      </c>
      <c r="AW1261" s="137" t="s">
        <v>432</v>
      </c>
      <c r="AX1261" s="137" t="s">
        <v>432</v>
      </c>
      <c r="AY1261" s="137" t="s">
        <v>432</v>
      </c>
      <c r="AZ1261" s="137" t="s">
        <v>432</v>
      </c>
      <c r="BA1261" s="137" t="s">
        <v>432</v>
      </c>
      <c r="BB1261" s="239" t="str">
        <f t="shared" si="351"/>
        <v>Velocidades, tempos e volumesx</v>
      </c>
      <c r="BC1261" s="239" t="str">
        <f t="shared" si="352"/>
        <v>Velocidades, tempos e volumesxx</v>
      </c>
      <c r="BD1261" s="239" t="str">
        <f t="shared" si="353"/>
        <v>Velocidades, tempos e volumesx</v>
      </c>
    </row>
    <row r="1262" spans="1:56" s="1" customFormat="1" ht="77.25" customHeight="1" x14ac:dyDescent="0.25">
      <c r="A1262" s="413" t="str">
        <f>'Q100b-totais'!B69</f>
        <v>9.6</v>
      </c>
      <c r="B1262" s="1205" t="str">
        <f>'Q100b-totais'!C69</f>
        <v>Velocidades, tempos e volumes</v>
      </c>
      <c r="C1262" s="57" t="s">
        <v>432</v>
      </c>
      <c r="D1262" s="362" t="s">
        <v>3539</v>
      </c>
      <c r="E1262" s="1506" t="s">
        <v>1759</v>
      </c>
      <c r="F1262" s="1171" t="s">
        <v>3800</v>
      </c>
      <c r="G1262" s="1105" t="s">
        <v>77</v>
      </c>
      <c r="H1262" s="173" t="s">
        <v>432</v>
      </c>
      <c r="I1262" s="57">
        <v>1</v>
      </c>
      <c r="J1262" s="109" t="s">
        <v>432</v>
      </c>
      <c r="K1262" s="109" t="s">
        <v>432</v>
      </c>
      <c r="L1262" s="109" t="s">
        <v>432</v>
      </c>
      <c r="M1262" s="109" t="s">
        <v>432</v>
      </c>
      <c r="N1262" s="109" t="s">
        <v>432</v>
      </c>
      <c r="O1262" s="109" t="s">
        <v>432</v>
      </c>
      <c r="P1262" s="109" t="s">
        <v>432</v>
      </c>
      <c r="Q1262" s="109" t="s">
        <v>432</v>
      </c>
      <c r="R1262" s="109" t="s">
        <v>432</v>
      </c>
      <c r="S1262" s="109" t="s">
        <v>2209</v>
      </c>
      <c r="T1262" s="109" t="s">
        <v>432</v>
      </c>
      <c r="U1262" s="109" t="s">
        <v>432</v>
      </c>
      <c r="V1262" s="109" t="s">
        <v>2209</v>
      </c>
      <c r="W1262" s="109" t="s">
        <v>432</v>
      </c>
      <c r="X1262" s="109" t="s">
        <v>432</v>
      </c>
      <c r="Y1262" s="109" t="s">
        <v>432</v>
      </c>
      <c r="Z1262" s="109" t="s">
        <v>432</v>
      </c>
      <c r="AA1262" s="109" t="s">
        <v>432</v>
      </c>
      <c r="AB1262" s="109" t="s">
        <v>432</v>
      </c>
      <c r="AC1262" s="109" t="s">
        <v>432</v>
      </c>
      <c r="AD1262" s="109" t="s">
        <v>432</v>
      </c>
      <c r="AE1262" s="109" t="s">
        <v>432</v>
      </c>
      <c r="AF1262" s="1123">
        <v>0.92800000000000005</v>
      </c>
      <c r="AG1262" s="109" t="s">
        <v>432</v>
      </c>
      <c r="AH1262" s="109" t="s">
        <v>432</v>
      </c>
      <c r="AI1262" s="109" t="s">
        <v>432</v>
      </c>
      <c r="AJ1262" s="109" t="s">
        <v>432</v>
      </c>
      <c r="AK1262" s="109" t="s">
        <v>432</v>
      </c>
      <c r="AL1262" s="601" t="s">
        <v>432</v>
      </c>
      <c r="AM1262" s="137" t="s">
        <v>432</v>
      </c>
      <c r="AN1262" s="137" t="s">
        <v>432</v>
      </c>
      <c r="AO1262" s="137" t="s">
        <v>432</v>
      </c>
      <c r="AP1262" s="137" t="s">
        <v>432</v>
      </c>
      <c r="AQ1262" s="137" t="s">
        <v>432</v>
      </c>
      <c r="AR1262" s="137" t="s">
        <v>432</v>
      </c>
      <c r="AS1262" s="137" t="s">
        <v>432</v>
      </c>
      <c r="AT1262" s="137" t="s">
        <v>432</v>
      </c>
      <c r="AU1262" s="137" t="s">
        <v>432</v>
      </c>
      <c r="AV1262" s="137" t="s">
        <v>432</v>
      </c>
      <c r="AW1262" s="137" t="s">
        <v>432</v>
      </c>
      <c r="AX1262" s="137" t="s">
        <v>432</v>
      </c>
      <c r="AY1262" s="137" t="s">
        <v>432</v>
      </c>
      <c r="AZ1262" s="137" t="s">
        <v>432</v>
      </c>
      <c r="BA1262" s="137" t="s">
        <v>432</v>
      </c>
      <c r="BB1262" s="239" t="str">
        <f t="shared" si="351"/>
        <v>Velocidades, tempos e volumesx</v>
      </c>
      <c r="BC1262" s="239" t="str">
        <f t="shared" si="352"/>
        <v>Velocidades, tempos e volumesxx</v>
      </c>
      <c r="BD1262" s="239" t="str">
        <f t="shared" si="353"/>
        <v>Velocidades, tempos e volumesx</v>
      </c>
    </row>
    <row r="1263" spans="1:56" s="1" customFormat="1" ht="77.25" customHeight="1" x14ac:dyDescent="0.25">
      <c r="A1263" s="413" t="str">
        <f>'Q100b-totais'!B69</f>
        <v>9.6</v>
      </c>
      <c r="B1263" s="1205" t="str">
        <f>'Q100b-totais'!C69</f>
        <v>Velocidades, tempos e volumes</v>
      </c>
      <c r="C1263" s="57" t="s">
        <v>432</v>
      </c>
      <c r="D1263" s="362" t="s">
        <v>3539</v>
      </c>
      <c r="E1263" s="1506" t="s">
        <v>1760</v>
      </c>
      <c r="F1263" s="1171" t="s">
        <v>3800</v>
      </c>
      <c r="G1263" s="1105" t="s">
        <v>77</v>
      </c>
      <c r="H1263" s="173" t="s">
        <v>432</v>
      </c>
      <c r="I1263" s="57">
        <v>1</v>
      </c>
      <c r="J1263" s="109" t="s">
        <v>432</v>
      </c>
      <c r="K1263" s="109" t="s">
        <v>432</v>
      </c>
      <c r="L1263" s="109" t="s">
        <v>432</v>
      </c>
      <c r="M1263" s="109" t="s">
        <v>432</v>
      </c>
      <c r="N1263" s="109" t="s">
        <v>432</v>
      </c>
      <c r="O1263" s="109" t="s">
        <v>432</v>
      </c>
      <c r="P1263" s="109" t="s">
        <v>432</v>
      </c>
      <c r="Q1263" s="109" t="s">
        <v>432</v>
      </c>
      <c r="R1263" s="109" t="s">
        <v>432</v>
      </c>
      <c r="S1263" s="109" t="s">
        <v>2209</v>
      </c>
      <c r="T1263" s="109" t="s">
        <v>432</v>
      </c>
      <c r="U1263" s="109" t="s">
        <v>432</v>
      </c>
      <c r="V1263" s="109" t="s">
        <v>2209</v>
      </c>
      <c r="W1263" s="109" t="s">
        <v>432</v>
      </c>
      <c r="X1263" s="109" t="s">
        <v>432</v>
      </c>
      <c r="Y1263" s="109" t="s">
        <v>432</v>
      </c>
      <c r="Z1263" s="109" t="s">
        <v>432</v>
      </c>
      <c r="AA1263" s="109" t="s">
        <v>432</v>
      </c>
      <c r="AB1263" s="109" t="s">
        <v>432</v>
      </c>
      <c r="AC1263" s="109" t="s">
        <v>432</v>
      </c>
      <c r="AD1263" s="109" t="s">
        <v>432</v>
      </c>
      <c r="AE1263" s="109" t="s">
        <v>432</v>
      </c>
      <c r="AF1263" s="1123">
        <v>0.58599999999999997</v>
      </c>
      <c r="AG1263" s="109" t="s">
        <v>432</v>
      </c>
      <c r="AH1263" s="109" t="s">
        <v>432</v>
      </c>
      <c r="AI1263" s="109" t="s">
        <v>432</v>
      </c>
      <c r="AJ1263" s="109" t="s">
        <v>432</v>
      </c>
      <c r="AK1263" s="109" t="s">
        <v>432</v>
      </c>
      <c r="AL1263" s="601" t="s">
        <v>432</v>
      </c>
      <c r="AM1263" s="137" t="s">
        <v>432</v>
      </c>
      <c r="AN1263" s="137" t="s">
        <v>432</v>
      </c>
      <c r="AO1263" s="137" t="s">
        <v>432</v>
      </c>
      <c r="AP1263" s="137" t="s">
        <v>432</v>
      </c>
      <c r="AQ1263" s="137" t="s">
        <v>432</v>
      </c>
      <c r="AR1263" s="137" t="s">
        <v>432</v>
      </c>
      <c r="AS1263" s="137" t="s">
        <v>432</v>
      </c>
      <c r="AT1263" s="137" t="s">
        <v>432</v>
      </c>
      <c r="AU1263" s="137" t="s">
        <v>432</v>
      </c>
      <c r="AV1263" s="137" t="s">
        <v>432</v>
      </c>
      <c r="AW1263" s="137" t="s">
        <v>432</v>
      </c>
      <c r="AX1263" s="137" t="s">
        <v>432</v>
      </c>
      <c r="AY1263" s="137" t="s">
        <v>432</v>
      </c>
      <c r="AZ1263" s="137" t="s">
        <v>432</v>
      </c>
      <c r="BA1263" s="137" t="s">
        <v>432</v>
      </c>
      <c r="BB1263" s="239" t="str">
        <f t="shared" si="351"/>
        <v>Velocidades, tempos e volumesx</v>
      </c>
      <c r="BC1263" s="239" t="str">
        <f t="shared" si="352"/>
        <v>Velocidades, tempos e volumesxx</v>
      </c>
      <c r="BD1263" s="239" t="str">
        <f t="shared" si="353"/>
        <v>Velocidades, tempos e volumesx</v>
      </c>
    </row>
    <row r="1264" spans="1:56" s="1" customFormat="1" ht="77.25" customHeight="1" x14ac:dyDescent="0.25">
      <c r="A1264" s="413" t="str">
        <f>'Q100b-totais'!B69</f>
        <v>9.6</v>
      </c>
      <c r="B1264" s="1205" t="str">
        <f>'Q100b-totais'!C69</f>
        <v>Velocidades, tempos e volumes</v>
      </c>
      <c r="C1264" s="57" t="s">
        <v>432</v>
      </c>
      <c r="D1264" s="362" t="s">
        <v>3539</v>
      </c>
      <c r="E1264" s="1506" t="s">
        <v>1761</v>
      </c>
      <c r="F1264" s="1171" t="s">
        <v>3800</v>
      </c>
      <c r="G1264" s="1105" t="s">
        <v>77</v>
      </c>
      <c r="H1264" s="173" t="s">
        <v>432</v>
      </c>
      <c r="I1264" s="57">
        <v>1</v>
      </c>
      <c r="J1264" s="109" t="s">
        <v>432</v>
      </c>
      <c r="K1264" s="109" t="s">
        <v>432</v>
      </c>
      <c r="L1264" s="109" t="s">
        <v>432</v>
      </c>
      <c r="M1264" s="109" t="s">
        <v>432</v>
      </c>
      <c r="N1264" s="109" t="s">
        <v>432</v>
      </c>
      <c r="O1264" s="109" t="s">
        <v>432</v>
      </c>
      <c r="P1264" s="109" t="s">
        <v>432</v>
      </c>
      <c r="Q1264" s="109" t="s">
        <v>432</v>
      </c>
      <c r="R1264" s="109" t="s">
        <v>432</v>
      </c>
      <c r="S1264" s="109" t="s">
        <v>2209</v>
      </c>
      <c r="T1264" s="109" t="s">
        <v>432</v>
      </c>
      <c r="U1264" s="109" t="s">
        <v>432</v>
      </c>
      <c r="V1264" s="109" t="s">
        <v>2209</v>
      </c>
      <c r="W1264" s="109" t="s">
        <v>432</v>
      </c>
      <c r="X1264" s="109" t="s">
        <v>432</v>
      </c>
      <c r="Y1264" s="109" t="s">
        <v>432</v>
      </c>
      <c r="Z1264" s="109" t="s">
        <v>432</v>
      </c>
      <c r="AA1264" s="109" t="s">
        <v>432</v>
      </c>
      <c r="AB1264" s="109" t="s">
        <v>432</v>
      </c>
      <c r="AC1264" s="109" t="s">
        <v>432</v>
      </c>
      <c r="AD1264" s="109" t="s">
        <v>432</v>
      </c>
      <c r="AE1264" s="109" t="s">
        <v>432</v>
      </c>
      <c r="AF1264" s="1123">
        <v>0.441</v>
      </c>
      <c r="AG1264" s="109" t="s">
        <v>432</v>
      </c>
      <c r="AH1264" s="109" t="s">
        <v>432</v>
      </c>
      <c r="AI1264" s="109" t="s">
        <v>432</v>
      </c>
      <c r="AJ1264" s="109" t="s">
        <v>432</v>
      </c>
      <c r="AK1264" s="109" t="s">
        <v>432</v>
      </c>
      <c r="AL1264" s="601" t="s">
        <v>432</v>
      </c>
      <c r="AM1264" s="137" t="s">
        <v>432</v>
      </c>
      <c r="AN1264" s="137" t="s">
        <v>432</v>
      </c>
      <c r="AO1264" s="137" t="s">
        <v>432</v>
      </c>
      <c r="AP1264" s="137" t="s">
        <v>432</v>
      </c>
      <c r="AQ1264" s="137" t="s">
        <v>432</v>
      </c>
      <c r="AR1264" s="137" t="s">
        <v>432</v>
      </c>
      <c r="AS1264" s="137" t="s">
        <v>432</v>
      </c>
      <c r="AT1264" s="137" t="s">
        <v>432</v>
      </c>
      <c r="AU1264" s="137" t="s">
        <v>432</v>
      </c>
      <c r="AV1264" s="137" t="s">
        <v>432</v>
      </c>
      <c r="AW1264" s="137" t="s">
        <v>432</v>
      </c>
      <c r="AX1264" s="137" t="s">
        <v>432</v>
      </c>
      <c r="AY1264" s="137" t="s">
        <v>432</v>
      </c>
      <c r="AZ1264" s="137" t="s">
        <v>432</v>
      </c>
      <c r="BA1264" s="137" t="s">
        <v>432</v>
      </c>
      <c r="BB1264" s="239" t="str">
        <f t="shared" si="351"/>
        <v>Velocidades, tempos e volumesx</v>
      </c>
      <c r="BC1264" s="239" t="str">
        <f t="shared" si="352"/>
        <v>Velocidades, tempos e volumesxx</v>
      </c>
      <c r="BD1264" s="239" t="str">
        <f t="shared" si="353"/>
        <v>Velocidades, tempos e volumesx</v>
      </c>
    </row>
    <row r="1265" spans="1:56" s="1" customFormat="1" ht="77.25" customHeight="1" x14ac:dyDescent="0.25">
      <c r="A1265" s="413" t="str">
        <f>'Q100b-totais'!B69</f>
        <v>9.6</v>
      </c>
      <c r="B1265" s="1205" t="str">
        <f>'Q100b-totais'!C69</f>
        <v>Velocidades, tempos e volumes</v>
      </c>
      <c r="C1265" s="57" t="s">
        <v>432</v>
      </c>
      <c r="D1265" s="362" t="s">
        <v>3539</v>
      </c>
      <c r="E1265" s="1506" t="s">
        <v>1762</v>
      </c>
      <c r="F1265" s="1171" t="s">
        <v>3800</v>
      </c>
      <c r="G1265" s="1105" t="s">
        <v>77</v>
      </c>
      <c r="H1265" s="173" t="s">
        <v>432</v>
      </c>
      <c r="I1265" s="57">
        <v>1</v>
      </c>
      <c r="J1265" s="109" t="s">
        <v>432</v>
      </c>
      <c r="K1265" s="109" t="s">
        <v>432</v>
      </c>
      <c r="L1265" s="109" t="s">
        <v>432</v>
      </c>
      <c r="M1265" s="109" t="s">
        <v>432</v>
      </c>
      <c r="N1265" s="109" t="s">
        <v>432</v>
      </c>
      <c r="O1265" s="109" t="s">
        <v>432</v>
      </c>
      <c r="P1265" s="109" t="s">
        <v>432</v>
      </c>
      <c r="Q1265" s="109" t="s">
        <v>432</v>
      </c>
      <c r="R1265" s="109" t="s">
        <v>432</v>
      </c>
      <c r="S1265" s="109" t="s">
        <v>2209</v>
      </c>
      <c r="T1265" s="109" t="s">
        <v>432</v>
      </c>
      <c r="U1265" s="109" t="s">
        <v>432</v>
      </c>
      <c r="V1265" s="109" t="s">
        <v>2209</v>
      </c>
      <c r="W1265" s="109" t="s">
        <v>432</v>
      </c>
      <c r="X1265" s="109" t="s">
        <v>432</v>
      </c>
      <c r="Y1265" s="109" t="s">
        <v>432</v>
      </c>
      <c r="Z1265" s="109" t="s">
        <v>432</v>
      </c>
      <c r="AA1265" s="109" t="s">
        <v>432</v>
      </c>
      <c r="AB1265" s="109" t="s">
        <v>432</v>
      </c>
      <c r="AC1265" s="109" t="s">
        <v>432</v>
      </c>
      <c r="AD1265" s="109" t="s">
        <v>432</v>
      </c>
      <c r="AE1265" s="109" t="s">
        <v>432</v>
      </c>
      <c r="AF1265" s="1123">
        <v>0.8</v>
      </c>
      <c r="AG1265" s="109" t="s">
        <v>432</v>
      </c>
      <c r="AH1265" s="109" t="s">
        <v>432</v>
      </c>
      <c r="AI1265" s="109" t="s">
        <v>432</v>
      </c>
      <c r="AJ1265" s="109" t="s">
        <v>432</v>
      </c>
      <c r="AK1265" s="109" t="s">
        <v>432</v>
      </c>
      <c r="AL1265" s="601" t="s">
        <v>432</v>
      </c>
      <c r="AM1265" s="137" t="s">
        <v>432</v>
      </c>
      <c r="AN1265" s="137" t="s">
        <v>432</v>
      </c>
      <c r="AO1265" s="137" t="s">
        <v>432</v>
      </c>
      <c r="AP1265" s="137" t="s">
        <v>432</v>
      </c>
      <c r="AQ1265" s="137" t="s">
        <v>432</v>
      </c>
      <c r="AR1265" s="137" t="s">
        <v>432</v>
      </c>
      <c r="AS1265" s="137" t="s">
        <v>432</v>
      </c>
      <c r="AT1265" s="137" t="s">
        <v>432</v>
      </c>
      <c r="AU1265" s="137" t="s">
        <v>432</v>
      </c>
      <c r="AV1265" s="137" t="s">
        <v>432</v>
      </c>
      <c r="AW1265" s="137" t="s">
        <v>432</v>
      </c>
      <c r="AX1265" s="137" t="s">
        <v>432</v>
      </c>
      <c r="AY1265" s="137" t="s">
        <v>432</v>
      </c>
      <c r="AZ1265" s="137" t="s">
        <v>432</v>
      </c>
      <c r="BA1265" s="137" t="s">
        <v>432</v>
      </c>
      <c r="BB1265" s="239" t="str">
        <f t="shared" si="351"/>
        <v>Velocidades, tempos e volumesx</v>
      </c>
      <c r="BC1265" s="239" t="str">
        <f t="shared" si="352"/>
        <v>Velocidades, tempos e volumesxx</v>
      </c>
      <c r="BD1265" s="239" t="str">
        <f t="shared" si="353"/>
        <v>Velocidades, tempos e volumesx</v>
      </c>
    </row>
    <row r="1266" spans="1:56" s="1" customFormat="1" ht="77.25" customHeight="1" x14ac:dyDescent="0.25">
      <c r="A1266" s="413" t="str">
        <f>'Q100b-totais'!B69</f>
        <v>9.6</v>
      </c>
      <c r="B1266" s="1205" t="str">
        <f>'Q100b-totais'!C69</f>
        <v>Velocidades, tempos e volumes</v>
      </c>
      <c r="C1266" s="57" t="s">
        <v>432</v>
      </c>
      <c r="D1266" s="362" t="s">
        <v>3539</v>
      </c>
      <c r="E1266" s="1506" t="s">
        <v>1763</v>
      </c>
      <c r="F1266" s="1171" t="s">
        <v>3800</v>
      </c>
      <c r="G1266" s="1105" t="s">
        <v>77</v>
      </c>
      <c r="H1266" s="173" t="s">
        <v>432</v>
      </c>
      <c r="I1266" s="57">
        <v>1</v>
      </c>
      <c r="J1266" s="109" t="s">
        <v>432</v>
      </c>
      <c r="K1266" s="109" t="s">
        <v>432</v>
      </c>
      <c r="L1266" s="109" t="s">
        <v>432</v>
      </c>
      <c r="M1266" s="109" t="s">
        <v>432</v>
      </c>
      <c r="N1266" s="109" t="s">
        <v>432</v>
      </c>
      <c r="O1266" s="109" t="s">
        <v>432</v>
      </c>
      <c r="P1266" s="109" t="s">
        <v>432</v>
      </c>
      <c r="Q1266" s="109" t="s">
        <v>432</v>
      </c>
      <c r="R1266" s="109" t="s">
        <v>432</v>
      </c>
      <c r="S1266" s="109" t="s">
        <v>2209</v>
      </c>
      <c r="T1266" s="109" t="s">
        <v>432</v>
      </c>
      <c r="U1266" s="109" t="s">
        <v>432</v>
      </c>
      <c r="V1266" s="109" t="s">
        <v>2209</v>
      </c>
      <c r="W1266" s="109" t="s">
        <v>432</v>
      </c>
      <c r="X1266" s="109" t="s">
        <v>432</v>
      </c>
      <c r="Y1266" s="109" t="s">
        <v>432</v>
      </c>
      <c r="Z1266" s="109" t="s">
        <v>432</v>
      </c>
      <c r="AA1266" s="109" t="s">
        <v>432</v>
      </c>
      <c r="AB1266" s="109" t="s">
        <v>432</v>
      </c>
      <c r="AC1266" s="109" t="s">
        <v>432</v>
      </c>
      <c r="AD1266" s="109" t="s">
        <v>432</v>
      </c>
      <c r="AE1266" s="109" t="s">
        <v>432</v>
      </c>
      <c r="AF1266" s="1123">
        <v>0.69299999999999995</v>
      </c>
      <c r="AG1266" s="109" t="s">
        <v>432</v>
      </c>
      <c r="AH1266" s="109" t="s">
        <v>432</v>
      </c>
      <c r="AI1266" s="109" t="s">
        <v>432</v>
      </c>
      <c r="AJ1266" s="109" t="s">
        <v>432</v>
      </c>
      <c r="AK1266" s="109" t="s">
        <v>432</v>
      </c>
      <c r="AL1266" s="601" t="s">
        <v>432</v>
      </c>
      <c r="AM1266" s="137" t="s">
        <v>432</v>
      </c>
      <c r="AN1266" s="137" t="s">
        <v>432</v>
      </c>
      <c r="AO1266" s="137" t="s">
        <v>432</v>
      </c>
      <c r="AP1266" s="137" t="s">
        <v>432</v>
      </c>
      <c r="AQ1266" s="137" t="s">
        <v>432</v>
      </c>
      <c r="AR1266" s="137" t="s">
        <v>432</v>
      </c>
      <c r="AS1266" s="137" t="s">
        <v>432</v>
      </c>
      <c r="AT1266" s="137" t="s">
        <v>432</v>
      </c>
      <c r="AU1266" s="137" t="s">
        <v>432</v>
      </c>
      <c r="AV1266" s="137" t="s">
        <v>432</v>
      </c>
      <c r="AW1266" s="137" t="s">
        <v>432</v>
      </c>
      <c r="AX1266" s="137" t="s">
        <v>432</v>
      </c>
      <c r="AY1266" s="137" t="s">
        <v>432</v>
      </c>
      <c r="AZ1266" s="137" t="s">
        <v>432</v>
      </c>
      <c r="BA1266" s="137" t="s">
        <v>432</v>
      </c>
      <c r="BB1266" s="239" t="str">
        <f t="shared" si="351"/>
        <v>Velocidades, tempos e volumesx</v>
      </c>
      <c r="BC1266" s="239" t="str">
        <f t="shared" si="352"/>
        <v>Velocidades, tempos e volumesxx</v>
      </c>
      <c r="BD1266" s="239" t="str">
        <f t="shared" si="353"/>
        <v>Velocidades, tempos e volumesx</v>
      </c>
    </row>
    <row r="1267" spans="1:56" s="1" customFormat="1" ht="77.25" customHeight="1" x14ac:dyDescent="0.25">
      <c r="A1267" s="413" t="str">
        <f>'Q100b-totais'!B69</f>
        <v>9.6</v>
      </c>
      <c r="B1267" s="1205" t="str">
        <f>'Q100b-totais'!C69</f>
        <v>Velocidades, tempos e volumes</v>
      </c>
      <c r="C1267" s="57" t="s">
        <v>432</v>
      </c>
      <c r="D1267" s="362" t="s">
        <v>3539</v>
      </c>
      <c r="E1267" s="1506" t="s">
        <v>1764</v>
      </c>
      <c r="F1267" s="1171" t="s">
        <v>3800</v>
      </c>
      <c r="G1267" s="1105" t="s">
        <v>77</v>
      </c>
      <c r="H1267" s="173" t="s">
        <v>432</v>
      </c>
      <c r="I1267" s="57">
        <v>1</v>
      </c>
      <c r="J1267" s="109" t="s">
        <v>432</v>
      </c>
      <c r="K1267" s="109" t="s">
        <v>432</v>
      </c>
      <c r="L1267" s="109" t="s">
        <v>432</v>
      </c>
      <c r="M1267" s="109" t="s">
        <v>432</v>
      </c>
      <c r="N1267" s="109" t="s">
        <v>432</v>
      </c>
      <c r="O1267" s="109" t="s">
        <v>432</v>
      </c>
      <c r="P1267" s="109" t="s">
        <v>432</v>
      </c>
      <c r="Q1267" s="109" t="s">
        <v>432</v>
      </c>
      <c r="R1267" s="109" t="s">
        <v>432</v>
      </c>
      <c r="S1267" s="109" t="s">
        <v>2209</v>
      </c>
      <c r="T1267" s="109" t="s">
        <v>432</v>
      </c>
      <c r="U1267" s="109" t="s">
        <v>432</v>
      </c>
      <c r="V1267" s="109" t="s">
        <v>2209</v>
      </c>
      <c r="W1267" s="109" t="s">
        <v>432</v>
      </c>
      <c r="X1267" s="109" t="s">
        <v>432</v>
      </c>
      <c r="Y1267" s="109" t="s">
        <v>432</v>
      </c>
      <c r="Z1267" s="109" t="s">
        <v>432</v>
      </c>
      <c r="AA1267" s="109" t="s">
        <v>432</v>
      </c>
      <c r="AB1267" s="109" t="s">
        <v>432</v>
      </c>
      <c r="AC1267" s="109" t="s">
        <v>432</v>
      </c>
      <c r="AD1267" s="109" t="s">
        <v>432</v>
      </c>
      <c r="AE1267" s="109" t="s">
        <v>432</v>
      </c>
      <c r="AF1267" s="1123">
        <v>0.40400000000000003</v>
      </c>
      <c r="AG1267" s="109" t="s">
        <v>432</v>
      </c>
      <c r="AH1267" s="109" t="s">
        <v>432</v>
      </c>
      <c r="AI1267" s="109" t="s">
        <v>432</v>
      </c>
      <c r="AJ1267" s="109" t="s">
        <v>432</v>
      </c>
      <c r="AK1267" s="109" t="s">
        <v>432</v>
      </c>
      <c r="AL1267" s="601" t="s">
        <v>432</v>
      </c>
      <c r="AM1267" s="137" t="s">
        <v>432</v>
      </c>
      <c r="AN1267" s="137" t="s">
        <v>432</v>
      </c>
      <c r="AO1267" s="137" t="s">
        <v>432</v>
      </c>
      <c r="AP1267" s="137" t="s">
        <v>432</v>
      </c>
      <c r="AQ1267" s="137" t="s">
        <v>432</v>
      </c>
      <c r="AR1267" s="137" t="s">
        <v>432</v>
      </c>
      <c r="AS1267" s="137" t="s">
        <v>432</v>
      </c>
      <c r="AT1267" s="137" t="s">
        <v>432</v>
      </c>
      <c r="AU1267" s="137" t="s">
        <v>432</v>
      </c>
      <c r="AV1267" s="137" t="s">
        <v>432</v>
      </c>
      <c r="AW1267" s="137" t="s">
        <v>432</v>
      </c>
      <c r="AX1267" s="137" t="s">
        <v>432</v>
      </c>
      <c r="AY1267" s="137" t="s">
        <v>432</v>
      </c>
      <c r="AZ1267" s="137" t="s">
        <v>432</v>
      </c>
      <c r="BA1267" s="137" t="s">
        <v>432</v>
      </c>
      <c r="BB1267" s="239" t="str">
        <f t="shared" si="351"/>
        <v>Velocidades, tempos e volumesx</v>
      </c>
      <c r="BC1267" s="239" t="str">
        <f t="shared" si="352"/>
        <v>Velocidades, tempos e volumesxx</v>
      </c>
      <c r="BD1267" s="239" t="str">
        <f t="shared" si="353"/>
        <v>Velocidades, tempos e volumesx</v>
      </c>
    </row>
    <row r="1268" spans="1:56" s="1" customFormat="1" ht="77.25" customHeight="1" x14ac:dyDescent="0.25">
      <c r="A1268" s="413" t="str">
        <f>'Q100b-totais'!B69</f>
        <v>9.6</v>
      </c>
      <c r="B1268" s="1205" t="str">
        <f>'Q100b-totais'!C69</f>
        <v>Velocidades, tempos e volumes</v>
      </c>
      <c r="C1268" s="57" t="s">
        <v>432</v>
      </c>
      <c r="D1268" s="362" t="s">
        <v>3539</v>
      </c>
      <c r="E1268" s="1506" t="s">
        <v>1765</v>
      </c>
      <c r="F1268" s="1171" t="s">
        <v>3800</v>
      </c>
      <c r="G1268" s="1105" t="s">
        <v>77</v>
      </c>
      <c r="H1268" s="173" t="s">
        <v>432</v>
      </c>
      <c r="I1268" s="57">
        <v>1</v>
      </c>
      <c r="J1268" s="109" t="s">
        <v>432</v>
      </c>
      <c r="K1268" s="109" t="s">
        <v>432</v>
      </c>
      <c r="L1268" s="109" t="s">
        <v>432</v>
      </c>
      <c r="M1268" s="109" t="s">
        <v>432</v>
      </c>
      <c r="N1268" s="109" t="s">
        <v>432</v>
      </c>
      <c r="O1268" s="109" t="s">
        <v>432</v>
      </c>
      <c r="P1268" s="109" t="s">
        <v>432</v>
      </c>
      <c r="Q1268" s="109" t="s">
        <v>432</v>
      </c>
      <c r="R1268" s="109" t="s">
        <v>432</v>
      </c>
      <c r="S1268" s="109" t="s">
        <v>2209</v>
      </c>
      <c r="T1268" s="109" t="s">
        <v>432</v>
      </c>
      <c r="U1268" s="109" t="s">
        <v>432</v>
      </c>
      <c r="V1268" s="109" t="s">
        <v>2209</v>
      </c>
      <c r="W1268" s="109" t="s">
        <v>432</v>
      </c>
      <c r="X1268" s="109" t="s">
        <v>432</v>
      </c>
      <c r="Y1268" s="109" t="s">
        <v>432</v>
      </c>
      <c r="Z1268" s="109" t="s">
        <v>432</v>
      </c>
      <c r="AA1268" s="109" t="s">
        <v>432</v>
      </c>
      <c r="AB1268" s="109" t="s">
        <v>432</v>
      </c>
      <c r="AC1268" s="109" t="s">
        <v>432</v>
      </c>
      <c r="AD1268" s="109" t="s">
        <v>432</v>
      </c>
      <c r="AE1268" s="109" t="s">
        <v>432</v>
      </c>
      <c r="AF1268" s="1123">
        <v>0.94</v>
      </c>
      <c r="AG1268" s="109" t="s">
        <v>432</v>
      </c>
      <c r="AH1268" s="109" t="s">
        <v>432</v>
      </c>
      <c r="AI1268" s="109" t="s">
        <v>432</v>
      </c>
      <c r="AJ1268" s="109" t="s">
        <v>432</v>
      </c>
      <c r="AK1268" s="109" t="s">
        <v>432</v>
      </c>
      <c r="AL1268" s="601" t="s">
        <v>432</v>
      </c>
      <c r="AM1268" s="137" t="s">
        <v>432</v>
      </c>
      <c r="AN1268" s="137" t="s">
        <v>432</v>
      </c>
      <c r="AO1268" s="137" t="s">
        <v>432</v>
      </c>
      <c r="AP1268" s="137" t="s">
        <v>432</v>
      </c>
      <c r="AQ1268" s="137" t="s">
        <v>432</v>
      </c>
      <c r="AR1268" s="137" t="s">
        <v>432</v>
      </c>
      <c r="AS1268" s="137" t="s">
        <v>432</v>
      </c>
      <c r="AT1268" s="137" t="s">
        <v>432</v>
      </c>
      <c r="AU1268" s="137" t="s">
        <v>432</v>
      </c>
      <c r="AV1268" s="137" t="s">
        <v>432</v>
      </c>
      <c r="AW1268" s="137" t="s">
        <v>432</v>
      </c>
      <c r="AX1268" s="137" t="s">
        <v>432</v>
      </c>
      <c r="AY1268" s="137" t="s">
        <v>432</v>
      </c>
      <c r="AZ1268" s="137" t="s">
        <v>432</v>
      </c>
      <c r="BA1268" s="137" t="s">
        <v>432</v>
      </c>
      <c r="BB1268" s="239" t="str">
        <f t="shared" si="351"/>
        <v>Velocidades, tempos e volumesx</v>
      </c>
      <c r="BC1268" s="239" t="str">
        <f t="shared" si="352"/>
        <v>Velocidades, tempos e volumesxx</v>
      </c>
      <c r="BD1268" s="239" t="str">
        <f t="shared" si="353"/>
        <v>Velocidades, tempos e volumesx</v>
      </c>
    </row>
    <row r="1269" spans="1:56" s="1" customFormat="1" ht="77.25" customHeight="1" x14ac:dyDescent="0.25">
      <c r="A1269" s="413" t="str">
        <f>'Q100b-totais'!B69</f>
        <v>9.6</v>
      </c>
      <c r="B1269" s="1205" t="str">
        <f>'Q100b-totais'!C69</f>
        <v>Velocidades, tempos e volumes</v>
      </c>
      <c r="C1269" s="57" t="s">
        <v>432</v>
      </c>
      <c r="D1269" s="362" t="s">
        <v>3539</v>
      </c>
      <c r="E1269" s="1506" t="s">
        <v>1766</v>
      </c>
      <c r="F1269" s="1171" t="s">
        <v>3800</v>
      </c>
      <c r="G1269" s="1105" t="s">
        <v>77</v>
      </c>
      <c r="H1269" s="173" t="s">
        <v>432</v>
      </c>
      <c r="I1269" s="57">
        <v>1</v>
      </c>
      <c r="J1269" s="109" t="s">
        <v>432</v>
      </c>
      <c r="K1269" s="109" t="s">
        <v>432</v>
      </c>
      <c r="L1269" s="109" t="s">
        <v>432</v>
      </c>
      <c r="M1269" s="109" t="s">
        <v>432</v>
      </c>
      <c r="N1269" s="109" t="s">
        <v>432</v>
      </c>
      <c r="O1269" s="109" t="s">
        <v>432</v>
      </c>
      <c r="P1269" s="109" t="s">
        <v>432</v>
      </c>
      <c r="Q1269" s="109" t="s">
        <v>432</v>
      </c>
      <c r="R1269" s="109" t="s">
        <v>432</v>
      </c>
      <c r="S1269" s="109" t="s">
        <v>2209</v>
      </c>
      <c r="T1269" s="109" t="s">
        <v>432</v>
      </c>
      <c r="U1269" s="109" t="s">
        <v>432</v>
      </c>
      <c r="V1269" s="109" t="s">
        <v>2209</v>
      </c>
      <c r="W1269" s="109" t="s">
        <v>432</v>
      </c>
      <c r="X1269" s="109" t="s">
        <v>432</v>
      </c>
      <c r="Y1269" s="109" t="s">
        <v>432</v>
      </c>
      <c r="Z1269" s="109" t="s">
        <v>432</v>
      </c>
      <c r="AA1269" s="109" t="s">
        <v>432</v>
      </c>
      <c r="AB1269" s="109" t="s">
        <v>432</v>
      </c>
      <c r="AC1269" s="109" t="s">
        <v>432</v>
      </c>
      <c r="AD1269" s="109" t="s">
        <v>432</v>
      </c>
      <c r="AE1269" s="109" t="s">
        <v>432</v>
      </c>
      <c r="AF1269" s="1123">
        <v>0.503</v>
      </c>
      <c r="AG1269" s="109" t="s">
        <v>432</v>
      </c>
      <c r="AH1269" s="109" t="s">
        <v>432</v>
      </c>
      <c r="AI1269" s="109" t="s">
        <v>432</v>
      </c>
      <c r="AJ1269" s="109" t="s">
        <v>432</v>
      </c>
      <c r="AK1269" s="109" t="s">
        <v>432</v>
      </c>
      <c r="AL1269" s="601" t="s">
        <v>432</v>
      </c>
      <c r="AM1269" s="137" t="s">
        <v>432</v>
      </c>
      <c r="AN1269" s="137" t="s">
        <v>432</v>
      </c>
      <c r="AO1269" s="137" t="s">
        <v>432</v>
      </c>
      <c r="AP1269" s="137" t="s">
        <v>432</v>
      </c>
      <c r="AQ1269" s="137" t="s">
        <v>432</v>
      </c>
      <c r="AR1269" s="137" t="s">
        <v>432</v>
      </c>
      <c r="AS1269" s="137" t="s">
        <v>432</v>
      </c>
      <c r="AT1269" s="137" t="s">
        <v>432</v>
      </c>
      <c r="AU1269" s="137" t="s">
        <v>432</v>
      </c>
      <c r="AV1269" s="137" t="s">
        <v>432</v>
      </c>
      <c r="AW1269" s="137" t="s">
        <v>432</v>
      </c>
      <c r="AX1269" s="137" t="s">
        <v>432</v>
      </c>
      <c r="AY1269" s="137" t="s">
        <v>432</v>
      </c>
      <c r="AZ1269" s="137" t="s">
        <v>432</v>
      </c>
      <c r="BA1269" s="137" t="s">
        <v>432</v>
      </c>
      <c r="BB1269" s="239" t="str">
        <f t="shared" si="351"/>
        <v>Velocidades, tempos e volumesx</v>
      </c>
      <c r="BC1269" s="239" t="str">
        <f t="shared" si="352"/>
        <v>Velocidades, tempos e volumesxx</v>
      </c>
      <c r="BD1269" s="239" t="str">
        <f t="shared" si="353"/>
        <v>Velocidades, tempos e volumesx</v>
      </c>
    </row>
    <row r="1270" spans="1:56" s="105" customFormat="1" x14ac:dyDescent="0.25">
      <c r="A1270" s="910"/>
      <c r="B1270" s="911"/>
      <c r="C1270" s="912"/>
      <c r="D1270" s="981"/>
      <c r="E1270" s="1528"/>
      <c r="F1270" s="913"/>
      <c r="G1270" s="913"/>
      <c r="H1270" s="913"/>
      <c r="I1270" s="914"/>
      <c r="J1270" s="914"/>
      <c r="K1270" s="910"/>
      <c r="L1270" s="910"/>
      <c r="M1270" s="910"/>
      <c r="N1270" s="910"/>
      <c r="O1270" s="910"/>
      <c r="P1270" s="910"/>
      <c r="Q1270" s="910"/>
      <c r="R1270" s="910"/>
      <c r="S1270" s="910"/>
      <c r="T1270" s="910"/>
      <c r="U1270" s="910"/>
      <c r="V1270" s="910"/>
      <c r="W1270" s="910"/>
      <c r="X1270" s="910"/>
      <c r="Y1270" s="910"/>
      <c r="Z1270" s="910"/>
      <c r="AA1270" s="910"/>
      <c r="AB1270" s="910"/>
      <c r="AC1270" s="910"/>
      <c r="AD1270" s="910"/>
      <c r="AE1270" s="910"/>
      <c r="AF1270" s="910"/>
      <c r="AG1270" s="910"/>
      <c r="AH1270" s="910"/>
      <c r="AI1270" s="910"/>
      <c r="AJ1270" s="910"/>
      <c r="AK1270" s="910"/>
      <c r="AL1270" s="910"/>
      <c r="AM1270" s="910"/>
      <c r="AN1270" s="910"/>
      <c r="AO1270" s="910"/>
      <c r="AP1270" s="910"/>
      <c r="AQ1270" s="910"/>
      <c r="AR1270" s="910"/>
      <c r="AS1270" s="910"/>
      <c r="AT1270" s="910"/>
      <c r="AU1270" s="910"/>
      <c r="AV1270" s="910"/>
      <c r="AW1270" s="910"/>
      <c r="AX1270" s="910"/>
      <c r="AY1270" s="910"/>
      <c r="AZ1270" s="910"/>
      <c r="BA1270" s="910"/>
      <c r="BB1270" s="910"/>
      <c r="BC1270" s="910"/>
      <c r="BD1270" s="910"/>
    </row>
    <row r="1271" spans="1:56" s="1" customFormat="1" ht="77.25" customHeight="1" x14ac:dyDescent="0.25">
      <c r="A1271" s="413" t="str">
        <f>'Q100b-totais'!B69</f>
        <v>9.6</v>
      </c>
      <c r="B1271" s="1205" t="str">
        <f>'Q100b-totais'!C69</f>
        <v>Velocidades, tempos e volumes</v>
      </c>
      <c r="C1271" s="57" t="s">
        <v>432</v>
      </c>
      <c r="D1271" s="362" t="s">
        <v>3539</v>
      </c>
      <c r="E1271" s="1506" t="s">
        <v>1700</v>
      </c>
      <c r="F1271" s="1132" t="s">
        <v>3800</v>
      </c>
      <c r="G1271" s="1131" t="s">
        <v>77</v>
      </c>
      <c r="H1271" s="173" t="s">
        <v>819</v>
      </c>
      <c r="I1271" s="167" t="s">
        <v>432</v>
      </c>
      <c r="J1271" s="109" t="s">
        <v>432</v>
      </c>
      <c r="K1271" s="109" t="s">
        <v>432</v>
      </c>
      <c r="L1271" s="109" t="s">
        <v>432</v>
      </c>
      <c r="M1271" s="109" t="s">
        <v>432</v>
      </c>
      <c r="N1271" s="109" t="s">
        <v>432</v>
      </c>
      <c r="O1271" s="109" t="s">
        <v>432</v>
      </c>
      <c r="P1271" s="109" t="s">
        <v>432</v>
      </c>
      <c r="Q1271" s="109" t="s">
        <v>432</v>
      </c>
      <c r="R1271" s="109" t="s">
        <v>432</v>
      </c>
      <c r="S1271" s="109" t="s">
        <v>2209</v>
      </c>
      <c r="T1271" s="109" t="s">
        <v>432</v>
      </c>
      <c r="U1271" s="109" t="s">
        <v>432</v>
      </c>
      <c r="V1271" s="109" t="s">
        <v>2209</v>
      </c>
      <c r="W1271" s="109" t="s">
        <v>432</v>
      </c>
      <c r="X1271" s="109" t="s">
        <v>432</v>
      </c>
      <c r="Y1271" s="109" t="s">
        <v>432</v>
      </c>
      <c r="Z1271" s="109" t="s">
        <v>432</v>
      </c>
      <c r="AA1271" s="109" t="s">
        <v>432</v>
      </c>
      <c r="AB1271" s="109" t="s">
        <v>432</v>
      </c>
      <c r="AC1271" s="109" t="s">
        <v>432</v>
      </c>
      <c r="AD1271" s="109" t="s">
        <v>432</v>
      </c>
      <c r="AE1271" s="109" t="s">
        <v>432</v>
      </c>
      <c r="AF1271" s="1123">
        <v>0.69399999999999995</v>
      </c>
      <c r="AG1271" s="109" t="s">
        <v>432</v>
      </c>
      <c r="AH1271" s="109" t="s">
        <v>432</v>
      </c>
      <c r="AI1271" s="109" t="s">
        <v>432</v>
      </c>
      <c r="AJ1271" s="109" t="s">
        <v>432</v>
      </c>
      <c r="AK1271" s="109" t="s">
        <v>432</v>
      </c>
      <c r="AL1271" s="601" t="s">
        <v>432</v>
      </c>
      <c r="AM1271" s="137" t="s">
        <v>432</v>
      </c>
      <c r="AN1271" s="137" t="s">
        <v>432</v>
      </c>
      <c r="AO1271" s="137" t="s">
        <v>432</v>
      </c>
      <c r="AP1271" s="137" t="s">
        <v>432</v>
      </c>
      <c r="AQ1271" s="137" t="s">
        <v>432</v>
      </c>
      <c r="AR1271" s="137" t="s">
        <v>432</v>
      </c>
      <c r="AS1271" s="137" t="s">
        <v>432</v>
      </c>
      <c r="AT1271" s="137" t="s">
        <v>432</v>
      </c>
      <c r="AU1271" s="137" t="s">
        <v>432</v>
      </c>
      <c r="AV1271" s="137" t="s">
        <v>432</v>
      </c>
      <c r="AW1271" s="137" t="s">
        <v>432</v>
      </c>
      <c r="AX1271" s="137" t="s">
        <v>432</v>
      </c>
      <c r="AY1271" s="137" t="s">
        <v>432</v>
      </c>
      <c r="AZ1271" s="137" t="s">
        <v>432</v>
      </c>
      <c r="BA1271" s="137" t="s">
        <v>432</v>
      </c>
      <c r="BB1271" s="239" t="str">
        <f t="shared" ref="BB1271:BB1277" si="354">B1271&amp;C1271</f>
        <v>Velocidades, tempos e volumesx</v>
      </c>
      <c r="BC1271" s="239" t="str">
        <f t="shared" ref="BC1271:BC1277" si="355">B1271&amp;C1271&amp;H1271</f>
        <v>Velocidades, tempos e volumesxbenchmarking</v>
      </c>
      <c r="BD1271" s="239" t="str">
        <f t="shared" ref="BD1271:BD1277" si="356">B1271&amp;H1271</f>
        <v>Velocidades, tempos e volumesbenchmarking</v>
      </c>
    </row>
    <row r="1272" spans="1:56" s="1" customFormat="1" ht="77.25" customHeight="1" x14ac:dyDescent="0.25">
      <c r="A1272" s="413" t="str">
        <f>'Q100b-totais'!B69</f>
        <v>9.6</v>
      </c>
      <c r="B1272" s="1205" t="str">
        <f>'Q100b-totais'!C69</f>
        <v>Velocidades, tempos e volumes</v>
      </c>
      <c r="C1272" s="57" t="s">
        <v>432</v>
      </c>
      <c r="D1272" s="362" t="s">
        <v>3539</v>
      </c>
      <c r="E1272" s="1506" t="s">
        <v>1266</v>
      </c>
      <c r="F1272" s="1171" t="s">
        <v>3800</v>
      </c>
      <c r="G1272" s="1131" t="s">
        <v>77</v>
      </c>
      <c r="H1272" s="173" t="s">
        <v>819</v>
      </c>
      <c r="I1272" s="167" t="s">
        <v>432</v>
      </c>
      <c r="J1272" s="109" t="s">
        <v>432</v>
      </c>
      <c r="K1272" s="109" t="s">
        <v>432</v>
      </c>
      <c r="L1272" s="109" t="s">
        <v>432</v>
      </c>
      <c r="M1272" s="109" t="s">
        <v>432</v>
      </c>
      <c r="N1272" s="109" t="s">
        <v>432</v>
      </c>
      <c r="O1272" s="109" t="s">
        <v>432</v>
      </c>
      <c r="P1272" s="109" t="s">
        <v>432</v>
      </c>
      <c r="Q1272" s="109" t="s">
        <v>432</v>
      </c>
      <c r="R1272" s="109" t="s">
        <v>432</v>
      </c>
      <c r="S1272" s="109" t="s">
        <v>2209</v>
      </c>
      <c r="T1272" s="109" t="s">
        <v>432</v>
      </c>
      <c r="U1272" s="109" t="s">
        <v>432</v>
      </c>
      <c r="V1272" s="109" t="s">
        <v>2209</v>
      </c>
      <c r="W1272" s="109" t="s">
        <v>432</v>
      </c>
      <c r="X1272" s="109" t="s">
        <v>432</v>
      </c>
      <c r="Y1272" s="109" t="s">
        <v>432</v>
      </c>
      <c r="Z1272" s="109" t="s">
        <v>432</v>
      </c>
      <c r="AA1272" s="109" t="s">
        <v>432</v>
      </c>
      <c r="AB1272" s="109" t="s">
        <v>432</v>
      </c>
      <c r="AC1272" s="109" t="s">
        <v>432</v>
      </c>
      <c r="AD1272" s="109" t="s">
        <v>432</v>
      </c>
      <c r="AE1272" s="109" t="s">
        <v>432</v>
      </c>
      <c r="AF1272" s="1123">
        <v>0.79900000000000004</v>
      </c>
      <c r="AG1272" s="109" t="s">
        <v>432</v>
      </c>
      <c r="AH1272" s="109" t="s">
        <v>432</v>
      </c>
      <c r="AI1272" s="109" t="s">
        <v>432</v>
      </c>
      <c r="AJ1272" s="109" t="s">
        <v>432</v>
      </c>
      <c r="AK1272" s="109" t="s">
        <v>432</v>
      </c>
      <c r="AL1272" s="601" t="s">
        <v>432</v>
      </c>
      <c r="AM1272" s="137" t="s">
        <v>432</v>
      </c>
      <c r="AN1272" s="137" t="s">
        <v>432</v>
      </c>
      <c r="AO1272" s="137" t="s">
        <v>432</v>
      </c>
      <c r="AP1272" s="137" t="s">
        <v>432</v>
      </c>
      <c r="AQ1272" s="137" t="s">
        <v>432</v>
      </c>
      <c r="AR1272" s="137" t="s">
        <v>432</v>
      </c>
      <c r="AS1272" s="137" t="s">
        <v>432</v>
      </c>
      <c r="AT1272" s="137" t="s">
        <v>432</v>
      </c>
      <c r="AU1272" s="137" t="s">
        <v>432</v>
      </c>
      <c r="AV1272" s="137" t="s">
        <v>432</v>
      </c>
      <c r="AW1272" s="137" t="s">
        <v>432</v>
      </c>
      <c r="AX1272" s="137" t="s">
        <v>432</v>
      </c>
      <c r="AY1272" s="137" t="s">
        <v>432</v>
      </c>
      <c r="AZ1272" s="137" t="s">
        <v>432</v>
      </c>
      <c r="BA1272" s="137" t="s">
        <v>432</v>
      </c>
      <c r="BB1272" s="239" t="str">
        <f t="shared" si="354"/>
        <v>Velocidades, tempos e volumesx</v>
      </c>
      <c r="BC1272" s="239" t="str">
        <f t="shared" si="355"/>
        <v>Velocidades, tempos e volumesxbenchmarking</v>
      </c>
      <c r="BD1272" s="239" t="str">
        <f t="shared" si="356"/>
        <v>Velocidades, tempos e volumesbenchmarking</v>
      </c>
    </row>
    <row r="1273" spans="1:56" s="1" customFormat="1" ht="77.25" customHeight="1" x14ac:dyDescent="0.25">
      <c r="A1273" s="413" t="str">
        <f>'Q100b-totais'!B69</f>
        <v>9.6</v>
      </c>
      <c r="B1273" s="1205" t="str">
        <f>'Q100b-totais'!C69</f>
        <v>Velocidades, tempos e volumes</v>
      </c>
      <c r="C1273" s="57" t="s">
        <v>432</v>
      </c>
      <c r="D1273" s="362" t="s">
        <v>3539</v>
      </c>
      <c r="E1273" s="1506" t="s">
        <v>1701</v>
      </c>
      <c r="F1273" s="1171" t="s">
        <v>3800</v>
      </c>
      <c r="G1273" s="1131" t="s">
        <v>77</v>
      </c>
      <c r="H1273" s="173" t="s">
        <v>819</v>
      </c>
      <c r="I1273" s="167" t="s">
        <v>432</v>
      </c>
      <c r="J1273" s="109" t="s">
        <v>432</v>
      </c>
      <c r="K1273" s="109" t="s">
        <v>432</v>
      </c>
      <c r="L1273" s="109" t="s">
        <v>432</v>
      </c>
      <c r="M1273" s="109" t="s">
        <v>432</v>
      </c>
      <c r="N1273" s="109" t="s">
        <v>432</v>
      </c>
      <c r="O1273" s="109" t="s">
        <v>432</v>
      </c>
      <c r="P1273" s="109" t="s">
        <v>432</v>
      </c>
      <c r="Q1273" s="109" t="s">
        <v>432</v>
      </c>
      <c r="R1273" s="109" t="s">
        <v>432</v>
      </c>
      <c r="S1273" s="109" t="s">
        <v>2209</v>
      </c>
      <c r="T1273" s="109" t="s">
        <v>432</v>
      </c>
      <c r="U1273" s="109" t="s">
        <v>432</v>
      </c>
      <c r="V1273" s="109" t="s">
        <v>2209</v>
      </c>
      <c r="W1273" s="109" t="s">
        <v>432</v>
      </c>
      <c r="X1273" s="109" t="s">
        <v>432</v>
      </c>
      <c r="Y1273" s="109" t="s">
        <v>432</v>
      </c>
      <c r="Z1273" s="109" t="s">
        <v>432</v>
      </c>
      <c r="AA1273" s="109" t="s">
        <v>432</v>
      </c>
      <c r="AB1273" s="109" t="s">
        <v>432</v>
      </c>
      <c r="AC1273" s="109" t="s">
        <v>432</v>
      </c>
      <c r="AD1273" s="109" t="s">
        <v>432</v>
      </c>
      <c r="AE1273" s="109" t="s">
        <v>432</v>
      </c>
      <c r="AF1273" s="1123">
        <v>0.76300000000000001</v>
      </c>
      <c r="AG1273" s="109" t="s">
        <v>432</v>
      </c>
      <c r="AH1273" s="109" t="s">
        <v>432</v>
      </c>
      <c r="AI1273" s="109" t="s">
        <v>432</v>
      </c>
      <c r="AJ1273" s="109" t="s">
        <v>432</v>
      </c>
      <c r="AK1273" s="109" t="s">
        <v>432</v>
      </c>
      <c r="AL1273" s="601" t="s">
        <v>432</v>
      </c>
      <c r="AM1273" s="137" t="s">
        <v>432</v>
      </c>
      <c r="AN1273" s="137" t="s">
        <v>432</v>
      </c>
      <c r="AO1273" s="137" t="s">
        <v>432</v>
      </c>
      <c r="AP1273" s="137" t="s">
        <v>432</v>
      </c>
      <c r="AQ1273" s="137" t="s">
        <v>432</v>
      </c>
      <c r="AR1273" s="137" t="s">
        <v>432</v>
      </c>
      <c r="AS1273" s="137" t="s">
        <v>432</v>
      </c>
      <c r="AT1273" s="137" t="s">
        <v>432</v>
      </c>
      <c r="AU1273" s="137" t="s">
        <v>432</v>
      </c>
      <c r="AV1273" s="137" t="s">
        <v>432</v>
      </c>
      <c r="AW1273" s="137" t="s">
        <v>432</v>
      </c>
      <c r="AX1273" s="137" t="s">
        <v>432</v>
      </c>
      <c r="AY1273" s="137" t="s">
        <v>432</v>
      </c>
      <c r="AZ1273" s="137" t="s">
        <v>432</v>
      </c>
      <c r="BA1273" s="137" t="s">
        <v>432</v>
      </c>
      <c r="BB1273" s="239" t="str">
        <f t="shared" si="354"/>
        <v>Velocidades, tempos e volumesx</v>
      </c>
      <c r="BC1273" s="239" t="str">
        <f t="shared" si="355"/>
        <v>Velocidades, tempos e volumesxbenchmarking</v>
      </c>
      <c r="BD1273" s="239" t="str">
        <f t="shared" si="356"/>
        <v>Velocidades, tempos e volumesbenchmarking</v>
      </c>
    </row>
    <row r="1274" spans="1:56" s="1" customFormat="1" ht="77.25" customHeight="1" x14ac:dyDescent="0.25">
      <c r="A1274" s="413" t="str">
        <f>'Q100b-totais'!B69</f>
        <v>9.6</v>
      </c>
      <c r="B1274" s="1205" t="str">
        <f>'Q100b-totais'!C69</f>
        <v>Velocidades, tempos e volumes</v>
      </c>
      <c r="C1274" s="57" t="s">
        <v>432</v>
      </c>
      <c r="D1274" s="362" t="s">
        <v>3539</v>
      </c>
      <c r="E1274" s="1506" t="s">
        <v>1703</v>
      </c>
      <c r="F1274" s="1171" t="s">
        <v>3800</v>
      </c>
      <c r="G1274" s="1131" t="s">
        <v>77</v>
      </c>
      <c r="H1274" s="173" t="s">
        <v>819</v>
      </c>
      <c r="I1274" s="167" t="s">
        <v>432</v>
      </c>
      <c r="J1274" s="109" t="s">
        <v>432</v>
      </c>
      <c r="K1274" s="109" t="s">
        <v>432</v>
      </c>
      <c r="L1274" s="109" t="s">
        <v>432</v>
      </c>
      <c r="M1274" s="109" t="s">
        <v>432</v>
      </c>
      <c r="N1274" s="109" t="s">
        <v>432</v>
      </c>
      <c r="O1274" s="109" t="s">
        <v>432</v>
      </c>
      <c r="P1274" s="109" t="s">
        <v>432</v>
      </c>
      <c r="Q1274" s="109" t="s">
        <v>432</v>
      </c>
      <c r="R1274" s="109" t="s">
        <v>432</v>
      </c>
      <c r="S1274" s="109" t="s">
        <v>2209</v>
      </c>
      <c r="T1274" s="109" t="s">
        <v>432</v>
      </c>
      <c r="U1274" s="109" t="s">
        <v>432</v>
      </c>
      <c r="V1274" s="109" t="s">
        <v>2209</v>
      </c>
      <c r="W1274" s="109" t="s">
        <v>432</v>
      </c>
      <c r="X1274" s="109" t="s">
        <v>432</v>
      </c>
      <c r="Y1274" s="109" t="s">
        <v>432</v>
      </c>
      <c r="Z1274" s="109" t="s">
        <v>432</v>
      </c>
      <c r="AA1274" s="109" t="s">
        <v>432</v>
      </c>
      <c r="AB1274" s="109" t="s">
        <v>432</v>
      </c>
      <c r="AC1274" s="109" t="s">
        <v>432</v>
      </c>
      <c r="AD1274" s="109" t="s">
        <v>432</v>
      </c>
      <c r="AE1274" s="109" t="s">
        <v>432</v>
      </c>
      <c r="AF1274" s="1123">
        <v>0.81299999999999994</v>
      </c>
      <c r="AG1274" s="109" t="s">
        <v>432</v>
      </c>
      <c r="AH1274" s="109" t="s">
        <v>432</v>
      </c>
      <c r="AI1274" s="109" t="s">
        <v>432</v>
      </c>
      <c r="AJ1274" s="109" t="s">
        <v>432</v>
      </c>
      <c r="AK1274" s="109" t="s">
        <v>432</v>
      </c>
      <c r="AL1274" s="601" t="s">
        <v>432</v>
      </c>
      <c r="AM1274" s="137" t="s">
        <v>432</v>
      </c>
      <c r="AN1274" s="137" t="s">
        <v>432</v>
      </c>
      <c r="AO1274" s="137" t="s">
        <v>432</v>
      </c>
      <c r="AP1274" s="137" t="s">
        <v>432</v>
      </c>
      <c r="AQ1274" s="137" t="s">
        <v>432</v>
      </c>
      <c r="AR1274" s="137" t="s">
        <v>432</v>
      </c>
      <c r="AS1274" s="137" t="s">
        <v>432</v>
      </c>
      <c r="AT1274" s="137" t="s">
        <v>432</v>
      </c>
      <c r="AU1274" s="137" t="s">
        <v>432</v>
      </c>
      <c r="AV1274" s="137" t="s">
        <v>432</v>
      </c>
      <c r="AW1274" s="137" t="s">
        <v>432</v>
      </c>
      <c r="AX1274" s="137" t="s">
        <v>432</v>
      </c>
      <c r="AY1274" s="137" t="s">
        <v>432</v>
      </c>
      <c r="AZ1274" s="137" t="s">
        <v>432</v>
      </c>
      <c r="BA1274" s="137" t="s">
        <v>432</v>
      </c>
      <c r="BB1274" s="239" t="str">
        <f t="shared" si="354"/>
        <v>Velocidades, tempos e volumesx</v>
      </c>
      <c r="BC1274" s="239" t="str">
        <f t="shared" si="355"/>
        <v>Velocidades, tempos e volumesxbenchmarking</v>
      </c>
      <c r="BD1274" s="239" t="str">
        <f t="shared" si="356"/>
        <v>Velocidades, tempos e volumesbenchmarking</v>
      </c>
    </row>
    <row r="1275" spans="1:56" s="1" customFormat="1" ht="77.25" customHeight="1" x14ac:dyDescent="0.25">
      <c r="A1275" s="413" t="str">
        <f>'Q100b-totais'!B69</f>
        <v>9.6</v>
      </c>
      <c r="B1275" s="1205" t="str">
        <f>'Q100b-totais'!C69</f>
        <v>Velocidades, tempos e volumes</v>
      </c>
      <c r="C1275" s="57" t="s">
        <v>432</v>
      </c>
      <c r="D1275" s="362" t="s">
        <v>3539</v>
      </c>
      <c r="E1275" s="1506" t="s">
        <v>1704</v>
      </c>
      <c r="F1275" s="1171" t="s">
        <v>3800</v>
      </c>
      <c r="G1275" s="1131" t="s">
        <v>77</v>
      </c>
      <c r="H1275" s="173" t="s">
        <v>819</v>
      </c>
      <c r="I1275" s="167" t="s">
        <v>432</v>
      </c>
      <c r="J1275" s="109" t="s">
        <v>432</v>
      </c>
      <c r="K1275" s="109" t="s">
        <v>432</v>
      </c>
      <c r="L1275" s="109" t="s">
        <v>432</v>
      </c>
      <c r="M1275" s="109" t="s">
        <v>432</v>
      </c>
      <c r="N1275" s="109" t="s">
        <v>432</v>
      </c>
      <c r="O1275" s="109" t="s">
        <v>432</v>
      </c>
      <c r="P1275" s="109" t="s">
        <v>432</v>
      </c>
      <c r="Q1275" s="109" t="s">
        <v>432</v>
      </c>
      <c r="R1275" s="109" t="s">
        <v>432</v>
      </c>
      <c r="S1275" s="109" t="s">
        <v>2209</v>
      </c>
      <c r="T1275" s="109" t="s">
        <v>432</v>
      </c>
      <c r="U1275" s="109" t="s">
        <v>432</v>
      </c>
      <c r="V1275" s="109" t="s">
        <v>2209</v>
      </c>
      <c r="W1275" s="109" t="s">
        <v>432</v>
      </c>
      <c r="X1275" s="109" t="s">
        <v>432</v>
      </c>
      <c r="Y1275" s="109" t="s">
        <v>432</v>
      </c>
      <c r="Z1275" s="109" t="s">
        <v>432</v>
      </c>
      <c r="AA1275" s="109" t="s">
        <v>432</v>
      </c>
      <c r="AB1275" s="109" t="s">
        <v>432</v>
      </c>
      <c r="AC1275" s="109" t="s">
        <v>432</v>
      </c>
      <c r="AD1275" s="109" t="s">
        <v>432</v>
      </c>
      <c r="AE1275" s="109" t="s">
        <v>432</v>
      </c>
      <c r="AF1275" s="1123">
        <v>0.79200000000000004</v>
      </c>
      <c r="AG1275" s="109" t="s">
        <v>432</v>
      </c>
      <c r="AH1275" s="109" t="s">
        <v>432</v>
      </c>
      <c r="AI1275" s="109" t="s">
        <v>432</v>
      </c>
      <c r="AJ1275" s="109" t="s">
        <v>432</v>
      </c>
      <c r="AK1275" s="109" t="s">
        <v>432</v>
      </c>
      <c r="AL1275" s="601" t="s">
        <v>432</v>
      </c>
      <c r="AM1275" s="137" t="s">
        <v>432</v>
      </c>
      <c r="AN1275" s="137" t="s">
        <v>432</v>
      </c>
      <c r="AO1275" s="137" t="s">
        <v>432</v>
      </c>
      <c r="AP1275" s="137" t="s">
        <v>432</v>
      </c>
      <c r="AQ1275" s="137" t="s">
        <v>432</v>
      </c>
      <c r="AR1275" s="137" t="s">
        <v>432</v>
      </c>
      <c r="AS1275" s="137" t="s">
        <v>432</v>
      </c>
      <c r="AT1275" s="137" t="s">
        <v>432</v>
      </c>
      <c r="AU1275" s="137" t="s">
        <v>432</v>
      </c>
      <c r="AV1275" s="137" t="s">
        <v>432</v>
      </c>
      <c r="AW1275" s="137" t="s">
        <v>432</v>
      </c>
      <c r="AX1275" s="137" t="s">
        <v>432</v>
      </c>
      <c r="AY1275" s="137" t="s">
        <v>432</v>
      </c>
      <c r="AZ1275" s="137" t="s">
        <v>432</v>
      </c>
      <c r="BA1275" s="137" t="s">
        <v>432</v>
      </c>
      <c r="BB1275" s="239" t="str">
        <f t="shared" si="354"/>
        <v>Velocidades, tempos e volumesx</v>
      </c>
      <c r="BC1275" s="239" t="str">
        <f t="shared" si="355"/>
        <v>Velocidades, tempos e volumesxbenchmarking</v>
      </c>
      <c r="BD1275" s="239" t="str">
        <f t="shared" si="356"/>
        <v>Velocidades, tempos e volumesbenchmarking</v>
      </c>
    </row>
    <row r="1276" spans="1:56" s="1" customFormat="1" ht="77.25" customHeight="1" x14ac:dyDescent="0.25">
      <c r="A1276" s="413" t="str">
        <f>'Q100b-totais'!B69</f>
        <v>9.6</v>
      </c>
      <c r="B1276" s="1205" t="str">
        <f>'Q100b-totais'!C69</f>
        <v>Velocidades, tempos e volumes</v>
      </c>
      <c r="C1276" s="57" t="s">
        <v>432</v>
      </c>
      <c r="D1276" s="362" t="s">
        <v>3539</v>
      </c>
      <c r="E1276" s="1506" t="s">
        <v>1284</v>
      </c>
      <c r="F1276" s="1171" t="s">
        <v>3800</v>
      </c>
      <c r="G1276" s="1131" t="s">
        <v>77</v>
      </c>
      <c r="H1276" s="173" t="s">
        <v>819</v>
      </c>
      <c r="I1276" s="167" t="s">
        <v>432</v>
      </c>
      <c r="J1276" s="109" t="s">
        <v>432</v>
      </c>
      <c r="K1276" s="109" t="s">
        <v>432</v>
      </c>
      <c r="L1276" s="109" t="s">
        <v>432</v>
      </c>
      <c r="M1276" s="109" t="s">
        <v>432</v>
      </c>
      <c r="N1276" s="109" t="s">
        <v>432</v>
      </c>
      <c r="O1276" s="109" t="s">
        <v>432</v>
      </c>
      <c r="P1276" s="109" t="s">
        <v>432</v>
      </c>
      <c r="Q1276" s="109" t="s">
        <v>432</v>
      </c>
      <c r="R1276" s="109" t="s">
        <v>432</v>
      </c>
      <c r="S1276" s="109" t="s">
        <v>2209</v>
      </c>
      <c r="T1276" s="109" t="s">
        <v>432</v>
      </c>
      <c r="U1276" s="109" t="s">
        <v>432</v>
      </c>
      <c r="V1276" s="109" t="s">
        <v>2209</v>
      </c>
      <c r="W1276" s="109" t="s">
        <v>432</v>
      </c>
      <c r="X1276" s="109" t="s">
        <v>432</v>
      </c>
      <c r="Y1276" s="109" t="s">
        <v>432</v>
      </c>
      <c r="Z1276" s="109" t="s">
        <v>432</v>
      </c>
      <c r="AA1276" s="109" t="s">
        <v>432</v>
      </c>
      <c r="AB1276" s="109" t="s">
        <v>432</v>
      </c>
      <c r="AC1276" s="109" t="s">
        <v>432</v>
      </c>
      <c r="AD1276" s="109" t="s">
        <v>432</v>
      </c>
      <c r="AE1276" s="109" t="s">
        <v>432</v>
      </c>
      <c r="AF1276" s="1123">
        <v>0.60099999999999998</v>
      </c>
      <c r="AG1276" s="109" t="s">
        <v>432</v>
      </c>
      <c r="AH1276" s="109" t="s">
        <v>432</v>
      </c>
      <c r="AI1276" s="109" t="s">
        <v>432</v>
      </c>
      <c r="AJ1276" s="109" t="s">
        <v>432</v>
      </c>
      <c r="AK1276" s="109" t="s">
        <v>432</v>
      </c>
      <c r="AL1276" s="601" t="s">
        <v>432</v>
      </c>
      <c r="AM1276" s="137" t="s">
        <v>432</v>
      </c>
      <c r="AN1276" s="137" t="s">
        <v>432</v>
      </c>
      <c r="AO1276" s="137" t="s">
        <v>432</v>
      </c>
      <c r="AP1276" s="137" t="s">
        <v>432</v>
      </c>
      <c r="AQ1276" s="137" t="s">
        <v>432</v>
      </c>
      <c r="AR1276" s="137" t="s">
        <v>432</v>
      </c>
      <c r="AS1276" s="137" t="s">
        <v>432</v>
      </c>
      <c r="AT1276" s="137" t="s">
        <v>432</v>
      </c>
      <c r="AU1276" s="137" t="s">
        <v>432</v>
      </c>
      <c r="AV1276" s="137" t="s">
        <v>432</v>
      </c>
      <c r="AW1276" s="137" t="s">
        <v>432</v>
      </c>
      <c r="AX1276" s="137" t="s">
        <v>432</v>
      </c>
      <c r="AY1276" s="137" t="s">
        <v>432</v>
      </c>
      <c r="AZ1276" s="137" t="s">
        <v>432</v>
      </c>
      <c r="BA1276" s="137" t="s">
        <v>432</v>
      </c>
      <c r="BB1276" s="239" t="str">
        <f t="shared" si="354"/>
        <v>Velocidades, tempos e volumesx</v>
      </c>
      <c r="BC1276" s="239" t="str">
        <f t="shared" si="355"/>
        <v>Velocidades, tempos e volumesxbenchmarking</v>
      </c>
      <c r="BD1276" s="239" t="str">
        <f t="shared" si="356"/>
        <v>Velocidades, tempos e volumesbenchmarking</v>
      </c>
    </row>
    <row r="1277" spans="1:56" s="1" customFormat="1" ht="77.25" customHeight="1" x14ac:dyDescent="0.25">
      <c r="A1277" s="413" t="str">
        <f>'Q100b-totais'!B69</f>
        <v>9.6</v>
      </c>
      <c r="B1277" s="1205" t="str">
        <f>'Q100b-totais'!C69</f>
        <v>Velocidades, tempos e volumes</v>
      </c>
      <c r="C1277" s="57" t="s">
        <v>432</v>
      </c>
      <c r="D1277" s="362" t="s">
        <v>3539</v>
      </c>
      <c r="E1277" s="1506" t="s">
        <v>1705</v>
      </c>
      <c r="F1277" s="1171" t="s">
        <v>3800</v>
      </c>
      <c r="G1277" s="1131" t="s">
        <v>77</v>
      </c>
      <c r="H1277" s="173" t="s">
        <v>819</v>
      </c>
      <c r="I1277" s="167" t="s">
        <v>432</v>
      </c>
      <c r="J1277" s="109" t="s">
        <v>432</v>
      </c>
      <c r="K1277" s="109" t="s">
        <v>432</v>
      </c>
      <c r="L1277" s="109" t="s">
        <v>432</v>
      </c>
      <c r="M1277" s="109" t="s">
        <v>432</v>
      </c>
      <c r="N1277" s="109" t="s">
        <v>432</v>
      </c>
      <c r="O1277" s="109" t="s">
        <v>432</v>
      </c>
      <c r="P1277" s="109" t="s">
        <v>432</v>
      </c>
      <c r="Q1277" s="109" t="s">
        <v>432</v>
      </c>
      <c r="R1277" s="109" t="s">
        <v>432</v>
      </c>
      <c r="S1277" s="109" t="s">
        <v>2209</v>
      </c>
      <c r="T1277" s="109" t="s">
        <v>432</v>
      </c>
      <c r="U1277" s="109" t="s">
        <v>432</v>
      </c>
      <c r="V1277" s="109" t="s">
        <v>2209</v>
      </c>
      <c r="W1277" s="109" t="s">
        <v>432</v>
      </c>
      <c r="X1277" s="109" t="s">
        <v>432</v>
      </c>
      <c r="Y1277" s="109" t="s">
        <v>432</v>
      </c>
      <c r="Z1277" s="109" t="s">
        <v>432</v>
      </c>
      <c r="AA1277" s="109" t="s">
        <v>432</v>
      </c>
      <c r="AB1277" s="109" t="s">
        <v>432</v>
      </c>
      <c r="AC1277" s="109" t="s">
        <v>432</v>
      </c>
      <c r="AD1277" s="109" t="s">
        <v>432</v>
      </c>
      <c r="AE1277" s="109" t="s">
        <v>432</v>
      </c>
      <c r="AF1277" s="1123">
        <v>0.42799999999999999</v>
      </c>
      <c r="AG1277" s="109" t="s">
        <v>432</v>
      </c>
      <c r="AH1277" s="109" t="s">
        <v>432</v>
      </c>
      <c r="AI1277" s="109" t="s">
        <v>432</v>
      </c>
      <c r="AJ1277" s="109" t="s">
        <v>432</v>
      </c>
      <c r="AK1277" s="109" t="s">
        <v>432</v>
      </c>
      <c r="AL1277" s="601" t="s">
        <v>432</v>
      </c>
      <c r="AM1277" s="137" t="s">
        <v>432</v>
      </c>
      <c r="AN1277" s="137" t="s">
        <v>432</v>
      </c>
      <c r="AO1277" s="137" t="s">
        <v>432</v>
      </c>
      <c r="AP1277" s="137" t="s">
        <v>432</v>
      </c>
      <c r="AQ1277" s="137" t="s">
        <v>432</v>
      </c>
      <c r="AR1277" s="137" t="s">
        <v>432</v>
      </c>
      <c r="AS1277" s="137" t="s">
        <v>432</v>
      </c>
      <c r="AT1277" s="137" t="s">
        <v>432</v>
      </c>
      <c r="AU1277" s="137" t="s">
        <v>432</v>
      </c>
      <c r="AV1277" s="137" t="s">
        <v>432</v>
      </c>
      <c r="AW1277" s="137" t="s">
        <v>432</v>
      </c>
      <c r="AX1277" s="137" t="s">
        <v>432</v>
      </c>
      <c r="AY1277" s="137" t="s">
        <v>432</v>
      </c>
      <c r="AZ1277" s="137" t="s">
        <v>432</v>
      </c>
      <c r="BA1277" s="137" t="s">
        <v>432</v>
      </c>
      <c r="BB1277" s="239" t="str">
        <f t="shared" si="354"/>
        <v>Velocidades, tempos e volumesx</v>
      </c>
      <c r="BC1277" s="239" t="str">
        <f t="shared" si="355"/>
        <v>Velocidades, tempos e volumesxbenchmarking</v>
      </c>
      <c r="BD1277" s="239" t="str">
        <f t="shared" si="356"/>
        <v>Velocidades, tempos e volumesbenchmarking</v>
      </c>
    </row>
    <row r="1278" spans="1:56" s="105" customFormat="1" x14ac:dyDescent="0.25">
      <c r="A1278" s="910"/>
      <c r="B1278" s="911"/>
      <c r="C1278" s="912"/>
      <c r="D1278" s="981"/>
      <c r="E1278" s="1528"/>
      <c r="F1278" s="913"/>
      <c r="G1278" s="913"/>
      <c r="H1278" s="913"/>
      <c r="I1278" s="914"/>
      <c r="J1278" s="914"/>
      <c r="K1278" s="910"/>
      <c r="L1278" s="910"/>
      <c r="M1278" s="910"/>
      <c r="N1278" s="910"/>
      <c r="O1278" s="910"/>
      <c r="P1278" s="910"/>
      <c r="Q1278" s="910"/>
      <c r="R1278" s="910"/>
      <c r="S1278" s="910"/>
      <c r="T1278" s="910"/>
      <c r="U1278" s="910"/>
      <c r="V1278" s="910"/>
      <c r="W1278" s="910"/>
      <c r="X1278" s="910"/>
      <c r="Y1278" s="910"/>
      <c r="Z1278" s="910"/>
      <c r="AA1278" s="910"/>
      <c r="AB1278" s="910"/>
      <c r="AC1278" s="910"/>
      <c r="AD1278" s="910"/>
      <c r="AE1278" s="910"/>
      <c r="AF1278" s="910"/>
      <c r="AG1278" s="910"/>
      <c r="AH1278" s="910"/>
      <c r="AI1278" s="910"/>
      <c r="AJ1278" s="910"/>
      <c r="AK1278" s="910"/>
      <c r="AL1278" s="910"/>
      <c r="AM1278" s="910"/>
      <c r="AN1278" s="910"/>
      <c r="AO1278" s="910"/>
      <c r="AP1278" s="910"/>
      <c r="AQ1278" s="910"/>
      <c r="AR1278" s="910"/>
      <c r="AS1278" s="910"/>
      <c r="AT1278" s="910"/>
      <c r="AU1278" s="910"/>
      <c r="AV1278" s="910"/>
      <c r="AW1278" s="910"/>
      <c r="AX1278" s="910"/>
      <c r="AY1278" s="910"/>
      <c r="AZ1278" s="910"/>
      <c r="BA1278" s="910"/>
      <c r="BB1278" s="910"/>
      <c r="BC1278" s="910"/>
      <c r="BD1278" s="910"/>
    </row>
    <row r="1279" spans="1:56" s="1" customFormat="1" ht="77.25" customHeight="1" x14ac:dyDescent="0.25">
      <c r="A1279" s="1154" t="str">
        <f>'Q100b-totais'!B69</f>
        <v>9.6</v>
      </c>
      <c r="B1279" s="252" t="str">
        <f>'Q100b-totais'!C69</f>
        <v>Velocidades, tempos e volumes</v>
      </c>
      <c r="C1279" s="167" t="s">
        <v>432</v>
      </c>
      <c r="D1279" s="377" t="s">
        <v>3539</v>
      </c>
      <c r="E1279" s="1506" t="s">
        <v>3622</v>
      </c>
      <c r="F1279" s="1171" t="s">
        <v>3801</v>
      </c>
      <c r="G1279" s="1131" t="s">
        <v>77</v>
      </c>
      <c r="H1279" s="173" t="s">
        <v>819</v>
      </c>
      <c r="I1279" s="167" t="s">
        <v>432</v>
      </c>
      <c r="J1279" s="109" t="s">
        <v>432</v>
      </c>
      <c r="K1279" s="109" t="s">
        <v>432</v>
      </c>
      <c r="L1279" s="109" t="s">
        <v>432</v>
      </c>
      <c r="M1279" s="109" t="s">
        <v>432</v>
      </c>
      <c r="N1279" s="109" t="s">
        <v>432</v>
      </c>
      <c r="O1279" s="109" t="s">
        <v>432</v>
      </c>
      <c r="P1279" s="109" t="s">
        <v>432</v>
      </c>
      <c r="Q1279" s="109" t="s">
        <v>432</v>
      </c>
      <c r="R1279" s="109" t="s">
        <v>432</v>
      </c>
      <c r="S1279" s="109" t="s">
        <v>2209</v>
      </c>
      <c r="T1279" s="109" t="s">
        <v>432</v>
      </c>
      <c r="U1279" s="109" t="s">
        <v>432</v>
      </c>
      <c r="V1279" s="109" t="s">
        <v>2209</v>
      </c>
      <c r="W1279" s="109" t="s">
        <v>432</v>
      </c>
      <c r="X1279" s="109" t="s">
        <v>432</v>
      </c>
      <c r="Y1279" s="109" t="s">
        <v>432</v>
      </c>
      <c r="Z1279" s="109" t="s">
        <v>432</v>
      </c>
      <c r="AA1279" s="109" t="s">
        <v>432</v>
      </c>
      <c r="AB1279" s="109" t="s">
        <v>432</v>
      </c>
      <c r="AC1279" s="109" t="s">
        <v>432</v>
      </c>
      <c r="AD1279" s="109" t="s">
        <v>432</v>
      </c>
      <c r="AE1279" s="109" t="s">
        <v>432</v>
      </c>
      <c r="AF1279" s="1123">
        <v>0.374</v>
      </c>
      <c r="AG1279" s="109" t="s">
        <v>432</v>
      </c>
      <c r="AH1279" s="109" t="s">
        <v>432</v>
      </c>
      <c r="AI1279" s="109" t="s">
        <v>432</v>
      </c>
      <c r="AJ1279" s="109" t="s">
        <v>432</v>
      </c>
      <c r="AK1279" s="109" t="s">
        <v>432</v>
      </c>
      <c r="AL1279" s="601" t="s">
        <v>432</v>
      </c>
      <c r="AM1279" s="137" t="s">
        <v>432</v>
      </c>
      <c r="AN1279" s="137" t="s">
        <v>432</v>
      </c>
      <c r="AO1279" s="137" t="s">
        <v>432</v>
      </c>
      <c r="AP1279" s="137" t="s">
        <v>432</v>
      </c>
      <c r="AQ1279" s="137" t="s">
        <v>432</v>
      </c>
      <c r="AR1279" s="137" t="s">
        <v>432</v>
      </c>
      <c r="AS1279" s="137" t="s">
        <v>432</v>
      </c>
      <c r="AT1279" s="137" t="s">
        <v>432</v>
      </c>
      <c r="AU1279" s="137" t="s">
        <v>432</v>
      </c>
      <c r="AV1279" s="137" t="s">
        <v>432</v>
      </c>
      <c r="AW1279" s="137" t="s">
        <v>432</v>
      </c>
      <c r="AX1279" s="137" t="s">
        <v>432</v>
      </c>
      <c r="AY1279" s="137" t="s">
        <v>432</v>
      </c>
      <c r="AZ1279" s="137" t="s">
        <v>432</v>
      </c>
      <c r="BA1279" s="137" t="s">
        <v>432</v>
      </c>
      <c r="BB1279" s="239" t="str">
        <f t="shared" ref="BB1279:BB1286" si="357">B1279&amp;C1279</f>
        <v>Velocidades, tempos e volumesx</v>
      </c>
      <c r="BC1279" s="239" t="str">
        <f t="shared" ref="BC1279:BC1286" si="358">B1279&amp;C1279&amp;H1279</f>
        <v>Velocidades, tempos e volumesxbenchmarking</v>
      </c>
      <c r="BD1279" s="239" t="str">
        <f t="shared" ref="BD1279:BD1286" si="359">B1279&amp;H1279</f>
        <v>Velocidades, tempos e volumesbenchmarking</v>
      </c>
    </row>
    <row r="1280" spans="1:56" s="1" customFormat="1" ht="77.25" customHeight="1" x14ac:dyDescent="0.25">
      <c r="A1280" s="413" t="str">
        <f>'Q100b-totais'!B69</f>
        <v>9.6</v>
      </c>
      <c r="B1280" s="1205" t="str">
        <f>'Q100b-totais'!C69</f>
        <v>Velocidades, tempos e volumes</v>
      </c>
      <c r="C1280" s="167" t="s">
        <v>432</v>
      </c>
      <c r="D1280" s="377" t="s">
        <v>3539</v>
      </c>
      <c r="E1280" s="1506" t="s">
        <v>3617</v>
      </c>
      <c r="F1280" s="1171" t="s">
        <v>3801</v>
      </c>
      <c r="G1280" s="1131" t="s">
        <v>77</v>
      </c>
      <c r="H1280" s="173" t="s">
        <v>819</v>
      </c>
      <c r="I1280" s="167" t="s">
        <v>432</v>
      </c>
      <c r="J1280" s="109" t="s">
        <v>432</v>
      </c>
      <c r="K1280" s="109" t="s">
        <v>432</v>
      </c>
      <c r="L1280" s="109" t="s">
        <v>432</v>
      </c>
      <c r="M1280" s="109" t="s">
        <v>432</v>
      </c>
      <c r="N1280" s="109" t="s">
        <v>432</v>
      </c>
      <c r="O1280" s="109" t="s">
        <v>432</v>
      </c>
      <c r="P1280" s="109" t="s">
        <v>432</v>
      </c>
      <c r="Q1280" s="109" t="s">
        <v>432</v>
      </c>
      <c r="R1280" s="109" t="s">
        <v>432</v>
      </c>
      <c r="S1280" s="109" t="s">
        <v>2209</v>
      </c>
      <c r="T1280" s="109" t="s">
        <v>432</v>
      </c>
      <c r="U1280" s="109" t="s">
        <v>432</v>
      </c>
      <c r="V1280" s="109" t="s">
        <v>2209</v>
      </c>
      <c r="W1280" s="109" t="s">
        <v>432</v>
      </c>
      <c r="X1280" s="109" t="s">
        <v>432</v>
      </c>
      <c r="Y1280" s="109" t="s">
        <v>432</v>
      </c>
      <c r="Z1280" s="109" t="s">
        <v>432</v>
      </c>
      <c r="AA1280" s="109" t="s">
        <v>432</v>
      </c>
      <c r="AB1280" s="109" t="s">
        <v>432</v>
      </c>
      <c r="AC1280" s="109" t="s">
        <v>432</v>
      </c>
      <c r="AD1280" s="109" t="s">
        <v>432</v>
      </c>
      <c r="AE1280" s="109" t="s">
        <v>432</v>
      </c>
      <c r="AF1280" s="1123">
        <v>0.63400000000000001</v>
      </c>
      <c r="AG1280" s="109" t="s">
        <v>432</v>
      </c>
      <c r="AH1280" s="109" t="s">
        <v>432</v>
      </c>
      <c r="AI1280" s="109" t="s">
        <v>432</v>
      </c>
      <c r="AJ1280" s="109" t="s">
        <v>432</v>
      </c>
      <c r="AK1280" s="109" t="s">
        <v>432</v>
      </c>
      <c r="AL1280" s="601" t="s">
        <v>432</v>
      </c>
      <c r="AM1280" s="137" t="s">
        <v>432</v>
      </c>
      <c r="AN1280" s="137" t="s">
        <v>432</v>
      </c>
      <c r="AO1280" s="137" t="s">
        <v>432</v>
      </c>
      <c r="AP1280" s="137" t="s">
        <v>432</v>
      </c>
      <c r="AQ1280" s="137" t="s">
        <v>432</v>
      </c>
      <c r="AR1280" s="137" t="s">
        <v>432</v>
      </c>
      <c r="AS1280" s="137" t="s">
        <v>432</v>
      </c>
      <c r="AT1280" s="137" t="s">
        <v>432</v>
      </c>
      <c r="AU1280" s="137" t="s">
        <v>432</v>
      </c>
      <c r="AV1280" s="137" t="s">
        <v>432</v>
      </c>
      <c r="AW1280" s="137" t="s">
        <v>432</v>
      </c>
      <c r="AX1280" s="137" t="s">
        <v>432</v>
      </c>
      <c r="AY1280" s="137" t="s">
        <v>432</v>
      </c>
      <c r="AZ1280" s="137" t="s">
        <v>432</v>
      </c>
      <c r="BA1280" s="137" t="s">
        <v>432</v>
      </c>
      <c r="BB1280" s="239" t="str">
        <f t="shared" si="357"/>
        <v>Velocidades, tempos e volumesx</v>
      </c>
      <c r="BC1280" s="239" t="str">
        <f t="shared" si="358"/>
        <v>Velocidades, tempos e volumesxbenchmarking</v>
      </c>
      <c r="BD1280" s="239" t="str">
        <f t="shared" si="359"/>
        <v>Velocidades, tempos e volumesbenchmarking</v>
      </c>
    </row>
    <row r="1281" spans="1:56" s="1" customFormat="1" ht="77.25" customHeight="1" x14ac:dyDescent="0.25">
      <c r="A1281" s="413" t="str">
        <f>'Q100b-totais'!B69</f>
        <v>9.6</v>
      </c>
      <c r="B1281" s="1205" t="str">
        <f>'Q100b-totais'!C69</f>
        <v>Velocidades, tempos e volumes</v>
      </c>
      <c r="C1281" s="167" t="s">
        <v>432</v>
      </c>
      <c r="D1281" s="377" t="s">
        <v>3539</v>
      </c>
      <c r="E1281" s="1506" t="s">
        <v>3621</v>
      </c>
      <c r="F1281" s="1171" t="s">
        <v>3801</v>
      </c>
      <c r="G1281" s="1131" t="s">
        <v>77</v>
      </c>
      <c r="H1281" s="173" t="s">
        <v>819</v>
      </c>
      <c r="I1281" s="167" t="s">
        <v>432</v>
      </c>
      <c r="J1281" s="109" t="s">
        <v>432</v>
      </c>
      <c r="K1281" s="109" t="s">
        <v>432</v>
      </c>
      <c r="L1281" s="109" t="s">
        <v>432</v>
      </c>
      <c r="M1281" s="109" t="s">
        <v>432</v>
      </c>
      <c r="N1281" s="109" t="s">
        <v>432</v>
      </c>
      <c r="O1281" s="109" t="s">
        <v>432</v>
      </c>
      <c r="P1281" s="109" t="s">
        <v>432</v>
      </c>
      <c r="Q1281" s="109" t="s">
        <v>432</v>
      </c>
      <c r="R1281" s="109" t="s">
        <v>432</v>
      </c>
      <c r="S1281" s="109" t="s">
        <v>2209</v>
      </c>
      <c r="T1281" s="109" t="s">
        <v>432</v>
      </c>
      <c r="U1281" s="109" t="s">
        <v>432</v>
      </c>
      <c r="V1281" s="109" t="s">
        <v>2209</v>
      </c>
      <c r="W1281" s="109" t="s">
        <v>432</v>
      </c>
      <c r="X1281" s="109" t="s">
        <v>432</v>
      </c>
      <c r="Y1281" s="109" t="s">
        <v>432</v>
      </c>
      <c r="Z1281" s="109" t="s">
        <v>432</v>
      </c>
      <c r="AA1281" s="109" t="s">
        <v>432</v>
      </c>
      <c r="AB1281" s="109" t="s">
        <v>432</v>
      </c>
      <c r="AC1281" s="109" t="s">
        <v>432</v>
      </c>
      <c r="AD1281" s="109" t="s">
        <v>432</v>
      </c>
      <c r="AE1281" s="109" t="s">
        <v>432</v>
      </c>
      <c r="AF1281" s="1123">
        <v>0.79</v>
      </c>
      <c r="AG1281" s="109" t="s">
        <v>432</v>
      </c>
      <c r="AH1281" s="109" t="s">
        <v>432</v>
      </c>
      <c r="AI1281" s="109" t="s">
        <v>432</v>
      </c>
      <c r="AJ1281" s="109" t="s">
        <v>432</v>
      </c>
      <c r="AK1281" s="109" t="s">
        <v>432</v>
      </c>
      <c r="AL1281" s="601" t="s">
        <v>432</v>
      </c>
      <c r="AM1281" s="137" t="s">
        <v>432</v>
      </c>
      <c r="AN1281" s="137" t="s">
        <v>432</v>
      </c>
      <c r="AO1281" s="137" t="s">
        <v>432</v>
      </c>
      <c r="AP1281" s="137" t="s">
        <v>432</v>
      </c>
      <c r="AQ1281" s="137" t="s">
        <v>432</v>
      </c>
      <c r="AR1281" s="137" t="s">
        <v>432</v>
      </c>
      <c r="AS1281" s="137" t="s">
        <v>432</v>
      </c>
      <c r="AT1281" s="137" t="s">
        <v>432</v>
      </c>
      <c r="AU1281" s="137" t="s">
        <v>432</v>
      </c>
      <c r="AV1281" s="137" t="s">
        <v>432</v>
      </c>
      <c r="AW1281" s="137" t="s">
        <v>432</v>
      </c>
      <c r="AX1281" s="137" t="s">
        <v>432</v>
      </c>
      <c r="AY1281" s="137" t="s">
        <v>432</v>
      </c>
      <c r="AZ1281" s="137" t="s">
        <v>432</v>
      </c>
      <c r="BA1281" s="137" t="s">
        <v>432</v>
      </c>
      <c r="BB1281" s="239" t="str">
        <f t="shared" si="357"/>
        <v>Velocidades, tempos e volumesx</v>
      </c>
      <c r="BC1281" s="239" t="str">
        <f t="shared" si="358"/>
        <v>Velocidades, tempos e volumesxbenchmarking</v>
      </c>
      <c r="BD1281" s="239" t="str">
        <f t="shared" si="359"/>
        <v>Velocidades, tempos e volumesbenchmarking</v>
      </c>
    </row>
    <row r="1282" spans="1:56" s="1" customFormat="1" ht="77.25" customHeight="1" x14ac:dyDescent="0.25">
      <c r="A1282" s="413" t="str">
        <f>'Q100b-totais'!B69</f>
        <v>9.6</v>
      </c>
      <c r="B1282" s="1205" t="str">
        <f>'Q100b-totais'!C69</f>
        <v>Velocidades, tempos e volumes</v>
      </c>
      <c r="C1282" s="167" t="s">
        <v>432</v>
      </c>
      <c r="D1282" s="377" t="s">
        <v>3539</v>
      </c>
      <c r="E1282" s="1506" t="s">
        <v>3620</v>
      </c>
      <c r="F1282" s="1171" t="s">
        <v>3801</v>
      </c>
      <c r="G1282" s="1131" t="s">
        <v>77</v>
      </c>
      <c r="H1282" s="173" t="s">
        <v>819</v>
      </c>
      <c r="I1282" s="167" t="s">
        <v>432</v>
      </c>
      <c r="J1282" s="109" t="s">
        <v>432</v>
      </c>
      <c r="K1282" s="109" t="s">
        <v>432</v>
      </c>
      <c r="L1282" s="109" t="s">
        <v>432</v>
      </c>
      <c r="M1282" s="109" t="s">
        <v>432</v>
      </c>
      <c r="N1282" s="109" t="s">
        <v>432</v>
      </c>
      <c r="O1282" s="109" t="s">
        <v>432</v>
      </c>
      <c r="P1282" s="109" t="s">
        <v>432</v>
      </c>
      <c r="Q1282" s="109" t="s">
        <v>432</v>
      </c>
      <c r="R1282" s="109" t="s">
        <v>432</v>
      </c>
      <c r="S1282" s="109" t="s">
        <v>2209</v>
      </c>
      <c r="T1282" s="109" t="s">
        <v>432</v>
      </c>
      <c r="U1282" s="109" t="s">
        <v>432</v>
      </c>
      <c r="V1282" s="109" t="s">
        <v>2209</v>
      </c>
      <c r="W1282" s="109" t="s">
        <v>432</v>
      </c>
      <c r="X1282" s="109" t="s">
        <v>432</v>
      </c>
      <c r="Y1282" s="109" t="s">
        <v>432</v>
      </c>
      <c r="Z1282" s="109" t="s">
        <v>432</v>
      </c>
      <c r="AA1282" s="109" t="s">
        <v>432</v>
      </c>
      <c r="AB1282" s="109" t="s">
        <v>432</v>
      </c>
      <c r="AC1282" s="109" t="s">
        <v>432</v>
      </c>
      <c r="AD1282" s="109" t="s">
        <v>432</v>
      </c>
      <c r="AE1282" s="109" t="s">
        <v>432</v>
      </c>
      <c r="AF1282" s="1123">
        <v>0.78900000000000003</v>
      </c>
      <c r="AG1282" s="109" t="s">
        <v>432</v>
      </c>
      <c r="AH1282" s="109" t="s">
        <v>432</v>
      </c>
      <c r="AI1282" s="109" t="s">
        <v>432</v>
      </c>
      <c r="AJ1282" s="109" t="s">
        <v>432</v>
      </c>
      <c r="AK1282" s="109" t="s">
        <v>432</v>
      </c>
      <c r="AL1282" s="601" t="s">
        <v>432</v>
      </c>
      <c r="AM1282" s="137" t="s">
        <v>432</v>
      </c>
      <c r="AN1282" s="137" t="s">
        <v>432</v>
      </c>
      <c r="AO1282" s="137" t="s">
        <v>432</v>
      </c>
      <c r="AP1282" s="137" t="s">
        <v>432</v>
      </c>
      <c r="AQ1282" s="137" t="s">
        <v>432</v>
      </c>
      <c r="AR1282" s="137" t="s">
        <v>432</v>
      </c>
      <c r="AS1282" s="137" t="s">
        <v>432</v>
      </c>
      <c r="AT1282" s="137" t="s">
        <v>432</v>
      </c>
      <c r="AU1282" s="137" t="s">
        <v>432</v>
      </c>
      <c r="AV1282" s="137" t="s">
        <v>432</v>
      </c>
      <c r="AW1282" s="137" t="s">
        <v>432</v>
      </c>
      <c r="AX1282" s="137" t="s">
        <v>432</v>
      </c>
      <c r="AY1282" s="137" t="s">
        <v>432</v>
      </c>
      <c r="AZ1282" s="137" t="s">
        <v>432</v>
      </c>
      <c r="BA1282" s="137" t="s">
        <v>432</v>
      </c>
      <c r="BB1282" s="239" t="str">
        <f t="shared" si="357"/>
        <v>Velocidades, tempos e volumesx</v>
      </c>
      <c r="BC1282" s="239" t="str">
        <f t="shared" si="358"/>
        <v>Velocidades, tempos e volumesxbenchmarking</v>
      </c>
      <c r="BD1282" s="239" t="str">
        <f t="shared" si="359"/>
        <v>Velocidades, tempos e volumesbenchmarking</v>
      </c>
    </row>
    <row r="1283" spans="1:56" s="1" customFormat="1" ht="77.25" customHeight="1" x14ac:dyDescent="0.25">
      <c r="A1283" s="413" t="str">
        <f>'Q100b-totais'!B69</f>
        <v>9.6</v>
      </c>
      <c r="B1283" s="1205" t="str">
        <f>'Q100b-totais'!C69</f>
        <v>Velocidades, tempos e volumes</v>
      </c>
      <c r="C1283" s="167" t="s">
        <v>432</v>
      </c>
      <c r="D1283" s="377" t="s">
        <v>3539</v>
      </c>
      <c r="E1283" s="1506" t="s">
        <v>3618</v>
      </c>
      <c r="F1283" s="1171" t="s">
        <v>3801</v>
      </c>
      <c r="G1283" s="1131" t="s">
        <v>77</v>
      </c>
      <c r="H1283" s="173" t="s">
        <v>819</v>
      </c>
      <c r="I1283" s="167" t="s">
        <v>432</v>
      </c>
      <c r="J1283" s="109" t="s">
        <v>432</v>
      </c>
      <c r="K1283" s="109" t="s">
        <v>432</v>
      </c>
      <c r="L1283" s="109" t="s">
        <v>432</v>
      </c>
      <c r="M1283" s="109" t="s">
        <v>432</v>
      </c>
      <c r="N1283" s="109" t="s">
        <v>432</v>
      </c>
      <c r="O1283" s="109" t="s">
        <v>432</v>
      </c>
      <c r="P1283" s="109" t="s">
        <v>432</v>
      </c>
      <c r="Q1283" s="109" t="s">
        <v>432</v>
      </c>
      <c r="R1283" s="109" t="s">
        <v>432</v>
      </c>
      <c r="S1283" s="109" t="s">
        <v>2209</v>
      </c>
      <c r="T1283" s="109" t="s">
        <v>432</v>
      </c>
      <c r="U1283" s="109" t="s">
        <v>432</v>
      </c>
      <c r="V1283" s="109" t="s">
        <v>2209</v>
      </c>
      <c r="W1283" s="109" t="s">
        <v>432</v>
      </c>
      <c r="X1283" s="109" t="s">
        <v>432</v>
      </c>
      <c r="Y1283" s="109" t="s">
        <v>432</v>
      </c>
      <c r="Z1283" s="109" t="s">
        <v>432</v>
      </c>
      <c r="AA1283" s="109" t="s">
        <v>432</v>
      </c>
      <c r="AB1283" s="109" t="s">
        <v>432</v>
      </c>
      <c r="AC1283" s="109" t="s">
        <v>432</v>
      </c>
      <c r="AD1283" s="109" t="s">
        <v>432</v>
      </c>
      <c r="AE1283" s="109" t="s">
        <v>432</v>
      </c>
      <c r="AF1283" s="1123">
        <v>0.51100000000000001</v>
      </c>
      <c r="AG1283" s="109" t="s">
        <v>432</v>
      </c>
      <c r="AH1283" s="109" t="s">
        <v>432</v>
      </c>
      <c r="AI1283" s="109" t="s">
        <v>432</v>
      </c>
      <c r="AJ1283" s="109" t="s">
        <v>432</v>
      </c>
      <c r="AK1283" s="109" t="s">
        <v>432</v>
      </c>
      <c r="AL1283" s="601" t="s">
        <v>432</v>
      </c>
      <c r="AM1283" s="137" t="s">
        <v>432</v>
      </c>
      <c r="AN1283" s="137" t="s">
        <v>432</v>
      </c>
      <c r="AO1283" s="137" t="s">
        <v>432</v>
      </c>
      <c r="AP1283" s="137" t="s">
        <v>432</v>
      </c>
      <c r="AQ1283" s="137" t="s">
        <v>432</v>
      </c>
      <c r="AR1283" s="137" t="s">
        <v>432</v>
      </c>
      <c r="AS1283" s="137" t="s">
        <v>432</v>
      </c>
      <c r="AT1283" s="137" t="s">
        <v>432</v>
      </c>
      <c r="AU1283" s="137" t="s">
        <v>432</v>
      </c>
      <c r="AV1283" s="137" t="s">
        <v>432</v>
      </c>
      <c r="AW1283" s="137" t="s">
        <v>432</v>
      </c>
      <c r="AX1283" s="137" t="s">
        <v>432</v>
      </c>
      <c r="AY1283" s="137" t="s">
        <v>432</v>
      </c>
      <c r="AZ1283" s="137" t="s">
        <v>432</v>
      </c>
      <c r="BA1283" s="137" t="s">
        <v>432</v>
      </c>
      <c r="BB1283" s="239" t="str">
        <f t="shared" si="357"/>
        <v>Velocidades, tempos e volumesx</v>
      </c>
      <c r="BC1283" s="239" t="str">
        <f t="shared" si="358"/>
        <v>Velocidades, tempos e volumesxbenchmarking</v>
      </c>
      <c r="BD1283" s="239" t="str">
        <f t="shared" si="359"/>
        <v>Velocidades, tempos e volumesbenchmarking</v>
      </c>
    </row>
    <row r="1284" spans="1:56" s="1" customFormat="1" ht="77.25" customHeight="1" x14ac:dyDescent="0.25">
      <c r="A1284" s="413" t="str">
        <f>'Q100b-totais'!B69</f>
        <v>9.6</v>
      </c>
      <c r="B1284" s="1205" t="str">
        <f>'Q100b-totais'!C69</f>
        <v>Velocidades, tempos e volumes</v>
      </c>
      <c r="C1284" s="167" t="s">
        <v>432</v>
      </c>
      <c r="D1284" s="377" t="s">
        <v>3539</v>
      </c>
      <c r="E1284" s="1506" t="s">
        <v>3619</v>
      </c>
      <c r="F1284" s="1171" t="s">
        <v>3801</v>
      </c>
      <c r="G1284" s="1131" t="s">
        <v>77</v>
      </c>
      <c r="H1284" s="173" t="s">
        <v>819</v>
      </c>
      <c r="I1284" s="167" t="s">
        <v>432</v>
      </c>
      <c r="J1284" s="109" t="s">
        <v>432</v>
      </c>
      <c r="K1284" s="109" t="s">
        <v>432</v>
      </c>
      <c r="L1284" s="109" t="s">
        <v>432</v>
      </c>
      <c r="M1284" s="109" t="s">
        <v>432</v>
      </c>
      <c r="N1284" s="109" t="s">
        <v>432</v>
      </c>
      <c r="O1284" s="109" t="s">
        <v>432</v>
      </c>
      <c r="P1284" s="109" t="s">
        <v>432</v>
      </c>
      <c r="Q1284" s="109" t="s">
        <v>432</v>
      </c>
      <c r="R1284" s="109" t="s">
        <v>432</v>
      </c>
      <c r="S1284" s="109" t="s">
        <v>2209</v>
      </c>
      <c r="T1284" s="109" t="s">
        <v>432</v>
      </c>
      <c r="U1284" s="109" t="s">
        <v>432</v>
      </c>
      <c r="V1284" s="109" t="s">
        <v>2209</v>
      </c>
      <c r="W1284" s="109" t="s">
        <v>432</v>
      </c>
      <c r="X1284" s="109" t="s">
        <v>432</v>
      </c>
      <c r="Y1284" s="109" t="s">
        <v>432</v>
      </c>
      <c r="Z1284" s="109" t="s">
        <v>432</v>
      </c>
      <c r="AA1284" s="109" t="s">
        <v>432</v>
      </c>
      <c r="AB1284" s="109" t="s">
        <v>432</v>
      </c>
      <c r="AC1284" s="109" t="s">
        <v>432</v>
      </c>
      <c r="AD1284" s="109" t="s">
        <v>432</v>
      </c>
      <c r="AE1284" s="109" t="s">
        <v>432</v>
      </c>
      <c r="AF1284" s="1123">
        <v>0.503</v>
      </c>
      <c r="AG1284" s="109" t="s">
        <v>432</v>
      </c>
      <c r="AH1284" s="109" t="s">
        <v>432</v>
      </c>
      <c r="AI1284" s="109" t="s">
        <v>432</v>
      </c>
      <c r="AJ1284" s="109" t="s">
        <v>432</v>
      </c>
      <c r="AK1284" s="109" t="s">
        <v>432</v>
      </c>
      <c r="AL1284" s="601" t="s">
        <v>432</v>
      </c>
      <c r="AM1284" s="137" t="s">
        <v>432</v>
      </c>
      <c r="AN1284" s="137" t="s">
        <v>432</v>
      </c>
      <c r="AO1284" s="137" t="s">
        <v>432</v>
      </c>
      <c r="AP1284" s="137" t="s">
        <v>432</v>
      </c>
      <c r="AQ1284" s="137" t="s">
        <v>432</v>
      </c>
      <c r="AR1284" s="137" t="s">
        <v>432</v>
      </c>
      <c r="AS1284" s="137" t="s">
        <v>432</v>
      </c>
      <c r="AT1284" s="137" t="s">
        <v>432</v>
      </c>
      <c r="AU1284" s="137" t="s">
        <v>432</v>
      </c>
      <c r="AV1284" s="137" t="s">
        <v>432</v>
      </c>
      <c r="AW1284" s="137" t="s">
        <v>432</v>
      </c>
      <c r="AX1284" s="137" t="s">
        <v>432</v>
      </c>
      <c r="AY1284" s="137" t="s">
        <v>432</v>
      </c>
      <c r="AZ1284" s="137" t="s">
        <v>432</v>
      </c>
      <c r="BA1284" s="137" t="s">
        <v>432</v>
      </c>
      <c r="BB1284" s="239" t="str">
        <f t="shared" si="357"/>
        <v>Velocidades, tempos e volumesx</v>
      </c>
      <c r="BC1284" s="239" t="str">
        <f t="shared" si="358"/>
        <v>Velocidades, tempos e volumesxbenchmarking</v>
      </c>
      <c r="BD1284" s="239" t="str">
        <f t="shared" si="359"/>
        <v>Velocidades, tempos e volumesbenchmarking</v>
      </c>
    </row>
    <row r="1285" spans="1:56" s="1" customFormat="1" ht="77.25" customHeight="1" x14ac:dyDescent="0.25">
      <c r="A1285" s="413" t="str">
        <f>'Q100b-totais'!B69</f>
        <v>9.6</v>
      </c>
      <c r="B1285" s="1205" t="str">
        <f>'Q100b-totais'!C69</f>
        <v>Velocidades, tempos e volumes</v>
      </c>
      <c r="C1285" s="167" t="s">
        <v>432</v>
      </c>
      <c r="D1285" s="377" t="s">
        <v>3539</v>
      </c>
      <c r="E1285" s="1506" t="s">
        <v>1298</v>
      </c>
      <c r="F1285" s="1171" t="s">
        <v>3801</v>
      </c>
      <c r="G1285" s="1131" t="s">
        <v>77</v>
      </c>
      <c r="H1285" s="173" t="s">
        <v>819</v>
      </c>
      <c r="I1285" s="167" t="s">
        <v>432</v>
      </c>
      <c r="J1285" s="109" t="s">
        <v>432</v>
      </c>
      <c r="K1285" s="109" t="s">
        <v>432</v>
      </c>
      <c r="L1285" s="109" t="s">
        <v>432</v>
      </c>
      <c r="M1285" s="109" t="s">
        <v>432</v>
      </c>
      <c r="N1285" s="109" t="s">
        <v>432</v>
      </c>
      <c r="O1285" s="109" t="s">
        <v>432</v>
      </c>
      <c r="P1285" s="109" t="s">
        <v>432</v>
      </c>
      <c r="Q1285" s="109" t="s">
        <v>432</v>
      </c>
      <c r="R1285" s="109" t="s">
        <v>432</v>
      </c>
      <c r="S1285" s="109" t="s">
        <v>2209</v>
      </c>
      <c r="T1285" s="109" t="s">
        <v>432</v>
      </c>
      <c r="U1285" s="109" t="s">
        <v>432</v>
      </c>
      <c r="V1285" s="109" t="s">
        <v>2209</v>
      </c>
      <c r="W1285" s="109" t="s">
        <v>432</v>
      </c>
      <c r="X1285" s="109" t="s">
        <v>432</v>
      </c>
      <c r="Y1285" s="109" t="s">
        <v>432</v>
      </c>
      <c r="Z1285" s="109" t="s">
        <v>432</v>
      </c>
      <c r="AA1285" s="109" t="s">
        <v>432</v>
      </c>
      <c r="AB1285" s="109" t="s">
        <v>432</v>
      </c>
      <c r="AC1285" s="109" t="s">
        <v>432</v>
      </c>
      <c r="AD1285" s="109" t="s">
        <v>432</v>
      </c>
      <c r="AE1285" s="109" t="s">
        <v>432</v>
      </c>
      <c r="AF1285" s="1123">
        <v>0.36499999999999999</v>
      </c>
      <c r="AG1285" s="109" t="s">
        <v>432</v>
      </c>
      <c r="AH1285" s="109" t="s">
        <v>432</v>
      </c>
      <c r="AI1285" s="109" t="s">
        <v>432</v>
      </c>
      <c r="AJ1285" s="109" t="s">
        <v>432</v>
      </c>
      <c r="AK1285" s="109" t="s">
        <v>432</v>
      </c>
      <c r="AL1285" s="601" t="s">
        <v>432</v>
      </c>
      <c r="AM1285" s="137" t="s">
        <v>432</v>
      </c>
      <c r="AN1285" s="137" t="s">
        <v>432</v>
      </c>
      <c r="AO1285" s="137" t="s">
        <v>432</v>
      </c>
      <c r="AP1285" s="137" t="s">
        <v>432</v>
      </c>
      <c r="AQ1285" s="137" t="s">
        <v>432</v>
      </c>
      <c r="AR1285" s="137" t="s">
        <v>432</v>
      </c>
      <c r="AS1285" s="137" t="s">
        <v>432</v>
      </c>
      <c r="AT1285" s="137" t="s">
        <v>432</v>
      </c>
      <c r="AU1285" s="137" t="s">
        <v>432</v>
      </c>
      <c r="AV1285" s="137" t="s">
        <v>432</v>
      </c>
      <c r="AW1285" s="137" t="s">
        <v>432</v>
      </c>
      <c r="AX1285" s="137" t="s">
        <v>432</v>
      </c>
      <c r="AY1285" s="137" t="s">
        <v>432</v>
      </c>
      <c r="AZ1285" s="137" t="s">
        <v>432</v>
      </c>
      <c r="BA1285" s="137" t="s">
        <v>432</v>
      </c>
      <c r="BB1285" s="239" t="str">
        <f t="shared" si="357"/>
        <v>Velocidades, tempos e volumesx</v>
      </c>
      <c r="BC1285" s="239" t="str">
        <f t="shared" si="358"/>
        <v>Velocidades, tempos e volumesxbenchmarking</v>
      </c>
      <c r="BD1285" s="239" t="str">
        <f t="shared" si="359"/>
        <v>Velocidades, tempos e volumesbenchmarking</v>
      </c>
    </row>
    <row r="1286" spans="1:56" s="1" customFormat="1" ht="77.25" customHeight="1" x14ac:dyDescent="0.25">
      <c r="A1286" s="413" t="str">
        <f>'Q100b-totais'!B69</f>
        <v>9.6</v>
      </c>
      <c r="B1286" s="1205" t="str">
        <f>'Q100b-totais'!C69</f>
        <v>Velocidades, tempos e volumes</v>
      </c>
      <c r="C1286" s="167" t="s">
        <v>432</v>
      </c>
      <c r="D1286" s="377" t="s">
        <v>3539</v>
      </c>
      <c r="E1286" s="1506" t="s">
        <v>1038</v>
      </c>
      <c r="F1286" s="1171" t="s">
        <v>3801</v>
      </c>
      <c r="G1286" s="1131" t="s">
        <v>77</v>
      </c>
      <c r="H1286" s="173" t="s">
        <v>819</v>
      </c>
      <c r="I1286" s="167" t="s">
        <v>432</v>
      </c>
      <c r="J1286" s="109" t="s">
        <v>432</v>
      </c>
      <c r="K1286" s="109" t="s">
        <v>432</v>
      </c>
      <c r="L1286" s="109" t="s">
        <v>432</v>
      </c>
      <c r="M1286" s="109" t="s">
        <v>432</v>
      </c>
      <c r="N1286" s="109" t="s">
        <v>432</v>
      </c>
      <c r="O1286" s="109" t="s">
        <v>432</v>
      </c>
      <c r="P1286" s="109" t="s">
        <v>432</v>
      </c>
      <c r="Q1286" s="109" t="s">
        <v>432</v>
      </c>
      <c r="R1286" s="109" t="s">
        <v>432</v>
      </c>
      <c r="S1286" s="109" t="s">
        <v>2209</v>
      </c>
      <c r="T1286" s="109" t="s">
        <v>432</v>
      </c>
      <c r="U1286" s="109" t="s">
        <v>432</v>
      </c>
      <c r="V1286" s="109" t="s">
        <v>2209</v>
      </c>
      <c r="W1286" s="109" t="s">
        <v>432</v>
      </c>
      <c r="X1286" s="109" t="s">
        <v>432</v>
      </c>
      <c r="Y1286" s="109" t="s">
        <v>432</v>
      </c>
      <c r="Z1286" s="109" t="s">
        <v>432</v>
      </c>
      <c r="AA1286" s="109" t="s">
        <v>432</v>
      </c>
      <c r="AB1286" s="109" t="s">
        <v>432</v>
      </c>
      <c r="AC1286" s="109" t="s">
        <v>432</v>
      </c>
      <c r="AD1286" s="109" t="s">
        <v>432</v>
      </c>
      <c r="AE1286" s="109" t="s">
        <v>432</v>
      </c>
      <c r="AF1286" s="1123">
        <v>3.2000000000000001E-2</v>
      </c>
      <c r="AG1286" s="109" t="s">
        <v>432</v>
      </c>
      <c r="AH1286" s="109" t="s">
        <v>432</v>
      </c>
      <c r="AI1286" s="109" t="s">
        <v>432</v>
      </c>
      <c r="AJ1286" s="109" t="s">
        <v>432</v>
      </c>
      <c r="AK1286" s="109" t="s">
        <v>432</v>
      </c>
      <c r="AL1286" s="601" t="s">
        <v>432</v>
      </c>
      <c r="AM1286" s="137" t="s">
        <v>432</v>
      </c>
      <c r="AN1286" s="137" t="s">
        <v>432</v>
      </c>
      <c r="AO1286" s="137" t="s">
        <v>432</v>
      </c>
      <c r="AP1286" s="137" t="s">
        <v>432</v>
      </c>
      <c r="AQ1286" s="137" t="s">
        <v>432</v>
      </c>
      <c r="AR1286" s="137" t="s">
        <v>432</v>
      </c>
      <c r="AS1286" s="137" t="s">
        <v>432</v>
      </c>
      <c r="AT1286" s="137" t="s">
        <v>432</v>
      </c>
      <c r="AU1286" s="137" t="s">
        <v>432</v>
      </c>
      <c r="AV1286" s="137" t="s">
        <v>432</v>
      </c>
      <c r="AW1286" s="137" t="s">
        <v>432</v>
      </c>
      <c r="AX1286" s="137" t="s">
        <v>432</v>
      </c>
      <c r="AY1286" s="137" t="s">
        <v>432</v>
      </c>
      <c r="AZ1286" s="137" t="s">
        <v>432</v>
      </c>
      <c r="BA1286" s="137" t="s">
        <v>432</v>
      </c>
      <c r="BB1286" s="239" t="str">
        <f t="shared" si="357"/>
        <v>Velocidades, tempos e volumesx</v>
      </c>
      <c r="BC1286" s="239" t="str">
        <f t="shared" si="358"/>
        <v>Velocidades, tempos e volumesxbenchmarking</v>
      </c>
      <c r="BD1286" s="239" t="str">
        <f t="shared" si="359"/>
        <v>Velocidades, tempos e volumesbenchmarking</v>
      </c>
    </row>
    <row r="1287" spans="1:56" s="105" customFormat="1" x14ac:dyDescent="0.25">
      <c r="A1287" s="910"/>
      <c r="B1287" s="911"/>
      <c r="C1287" s="912"/>
      <c r="D1287" s="981"/>
      <c r="E1287" s="1528"/>
      <c r="F1287" s="913"/>
      <c r="G1287" s="913"/>
      <c r="H1287" s="913"/>
      <c r="I1287" s="914"/>
      <c r="J1287" s="914"/>
      <c r="K1287" s="910"/>
      <c r="L1287" s="910"/>
      <c r="M1287" s="910"/>
      <c r="N1287" s="910"/>
      <c r="O1287" s="910"/>
      <c r="P1287" s="910"/>
      <c r="Q1287" s="910"/>
      <c r="R1287" s="910"/>
      <c r="S1287" s="910"/>
      <c r="T1287" s="910"/>
      <c r="U1287" s="910"/>
      <c r="V1287" s="910"/>
      <c r="W1287" s="910"/>
      <c r="X1287" s="910"/>
      <c r="Y1287" s="910"/>
      <c r="Z1287" s="910"/>
      <c r="AA1287" s="910"/>
      <c r="AB1287" s="910"/>
      <c r="AC1287" s="910"/>
      <c r="AD1287" s="910"/>
      <c r="AE1287" s="910"/>
      <c r="AF1287" s="910"/>
      <c r="AG1287" s="910"/>
      <c r="AH1287" s="910"/>
      <c r="AI1287" s="910"/>
      <c r="AJ1287" s="910"/>
      <c r="AK1287" s="910"/>
      <c r="AL1287" s="910"/>
      <c r="AM1287" s="910"/>
      <c r="AN1287" s="910"/>
      <c r="AO1287" s="910"/>
      <c r="AP1287" s="910"/>
      <c r="AQ1287" s="910"/>
      <c r="AR1287" s="910"/>
      <c r="AS1287" s="910"/>
      <c r="AT1287" s="910"/>
      <c r="AU1287" s="910"/>
      <c r="AV1287" s="910"/>
      <c r="AW1287" s="910"/>
      <c r="AX1287" s="910"/>
      <c r="AY1287" s="910"/>
      <c r="AZ1287" s="910"/>
      <c r="BA1287" s="910"/>
      <c r="BB1287" s="910"/>
      <c r="BC1287" s="910"/>
      <c r="BD1287" s="910"/>
    </row>
    <row r="1288" spans="1:56" s="105" customFormat="1" ht="71.25" customHeight="1" x14ac:dyDescent="0.25">
      <c r="A1288" s="1130" t="str">
        <f>'Q100b-totais'!B49</f>
        <v>6.1</v>
      </c>
      <c r="B1288" s="1205" t="str">
        <f>'Q100b-totais'!C49</f>
        <v>Calçadas e passarelas</v>
      </c>
      <c r="C1288" s="167" t="s">
        <v>432</v>
      </c>
      <c r="D1288" s="325" t="s">
        <v>3626</v>
      </c>
      <c r="E1288" s="254"/>
      <c r="F1288" s="1133" t="s">
        <v>3627</v>
      </c>
      <c r="G1288" s="57" t="s">
        <v>3507</v>
      </c>
      <c r="H1288" s="173" t="s">
        <v>2408</v>
      </c>
      <c r="I1288" s="57" t="s">
        <v>432</v>
      </c>
      <c r="J1288" s="109" t="s">
        <v>432</v>
      </c>
      <c r="K1288" s="109" t="s">
        <v>432</v>
      </c>
      <c r="L1288" s="109" t="s">
        <v>432</v>
      </c>
      <c r="M1288" s="109" t="s">
        <v>432</v>
      </c>
      <c r="N1288" s="109" t="s">
        <v>432</v>
      </c>
      <c r="O1288" s="109" t="s">
        <v>432</v>
      </c>
      <c r="P1288" s="109" t="s">
        <v>432</v>
      </c>
      <c r="Q1288" s="109" t="s">
        <v>432</v>
      </c>
      <c r="R1288" s="109" t="s">
        <v>432</v>
      </c>
      <c r="S1288" s="109" t="s">
        <v>2209</v>
      </c>
      <c r="T1288" s="109" t="s">
        <v>432</v>
      </c>
      <c r="U1288" s="109" t="s">
        <v>432</v>
      </c>
      <c r="V1288" s="109" t="s">
        <v>2209</v>
      </c>
      <c r="W1288" s="109" t="s">
        <v>432</v>
      </c>
      <c r="X1288" s="109" t="s">
        <v>432</v>
      </c>
      <c r="Y1288" s="109" t="s">
        <v>432</v>
      </c>
      <c r="Z1288" s="109" t="s">
        <v>432</v>
      </c>
      <c r="AA1288" s="109" t="s">
        <v>432</v>
      </c>
      <c r="AB1288" s="109" t="s">
        <v>432</v>
      </c>
      <c r="AC1288" s="109" t="s">
        <v>432</v>
      </c>
      <c r="AD1288" s="109" t="s">
        <v>432</v>
      </c>
      <c r="AE1288" s="109" t="s">
        <v>432</v>
      </c>
      <c r="AF1288" s="109" t="s">
        <v>432</v>
      </c>
      <c r="AG1288" s="109" t="s">
        <v>432</v>
      </c>
      <c r="AH1288" s="109" t="s">
        <v>432</v>
      </c>
      <c r="AI1288" s="109" t="s">
        <v>432</v>
      </c>
      <c r="AJ1288" s="109" t="s">
        <v>432</v>
      </c>
      <c r="AK1288" s="109" t="s">
        <v>432</v>
      </c>
      <c r="AL1288" s="601" t="s">
        <v>432</v>
      </c>
      <c r="AM1288" s="137" t="s">
        <v>432</v>
      </c>
      <c r="AN1288" s="137" t="s">
        <v>432</v>
      </c>
      <c r="AO1288" s="137" t="s">
        <v>432</v>
      </c>
      <c r="AP1288" s="137" t="s">
        <v>432</v>
      </c>
      <c r="AQ1288" s="137" t="s">
        <v>432</v>
      </c>
      <c r="AR1288" s="137" t="s">
        <v>432</v>
      </c>
      <c r="AS1288" s="137" t="s">
        <v>432</v>
      </c>
      <c r="AT1288" s="137" t="s">
        <v>432</v>
      </c>
      <c r="AU1288" s="137" t="s">
        <v>432</v>
      </c>
      <c r="AV1288" s="137" t="s">
        <v>432</v>
      </c>
      <c r="AW1288" s="137" t="s">
        <v>432</v>
      </c>
      <c r="AX1288" s="137" t="s">
        <v>432</v>
      </c>
      <c r="AY1288" s="137" t="s">
        <v>432</v>
      </c>
      <c r="AZ1288" s="137" t="s">
        <v>432</v>
      </c>
      <c r="BA1288" s="137" t="s">
        <v>432</v>
      </c>
      <c r="BB1288" s="239" t="str">
        <f>B1288&amp;C1288</f>
        <v>Calçadas e passarelasx</v>
      </c>
      <c r="BC1288" s="239" t="str">
        <f>B1288&amp;C1288&amp;H1288</f>
        <v>Calçadas e passarelasxsigla/verbete</v>
      </c>
      <c r="BD1288" s="239" t="str">
        <f>B1288&amp;H1288</f>
        <v>Calçadas e passarelassigla/verbete</v>
      </c>
    </row>
    <row r="1289" spans="1:56" s="1" customFormat="1" ht="88.5" customHeight="1" x14ac:dyDescent="0.25">
      <c r="A1289" s="413" t="str">
        <f>'Q100b-totais'!B49</f>
        <v>6.1</v>
      </c>
      <c r="B1289" s="1205" t="str">
        <f>'Q100b-totais'!C49</f>
        <v>Calçadas e passarelas</v>
      </c>
      <c r="C1289" s="57" t="s">
        <v>743</v>
      </c>
      <c r="D1289" s="939" t="s">
        <v>3541</v>
      </c>
      <c r="E1289" s="509" t="s">
        <v>1767</v>
      </c>
      <c r="F1289" s="5" t="s">
        <v>3544</v>
      </c>
      <c r="G1289" s="57" t="s">
        <v>3507</v>
      </c>
      <c r="H1289" s="173" t="s">
        <v>2408</v>
      </c>
      <c r="I1289" s="57" t="s">
        <v>432</v>
      </c>
      <c r="J1289" s="109" t="s">
        <v>432</v>
      </c>
      <c r="K1289" s="109" t="s">
        <v>432</v>
      </c>
      <c r="L1289" s="109" t="s">
        <v>432</v>
      </c>
      <c r="M1289" s="109" t="s">
        <v>432</v>
      </c>
      <c r="N1289" s="109" t="s">
        <v>432</v>
      </c>
      <c r="O1289" s="109" t="s">
        <v>432</v>
      </c>
      <c r="P1289" s="109" t="s">
        <v>432</v>
      </c>
      <c r="Q1289" s="109" t="s">
        <v>432</v>
      </c>
      <c r="R1289" s="109" t="s">
        <v>432</v>
      </c>
      <c r="S1289" s="109" t="s">
        <v>2209</v>
      </c>
      <c r="T1289" s="109" t="s">
        <v>432</v>
      </c>
      <c r="U1289" s="109" t="s">
        <v>432</v>
      </c>
      <c r="V1289" s="109" t="s">
        <v>2209</v>
      </c>
      <c r="W1289" s="109" t="s">
        <v>432</v>
      </c>
      <c r="X1289" s="109" t="s">
        <v>432</v>
      </c>
      <c r="Y1289" s="109" t="s">
        <v>432</v>
      </c>
      <c r="Z1289" s="109" t="s">
        <v>432</v>
      </c>
      <c r="AA1289" s="109" t="s">
        <v>432</v>
      </c>
      <c r="AB1289" s="109" t="s">
        <v>432</v>
      </c>
      <c r="AC1289" s="109" t="s">
        <v>432</v>
      </c>
      <c r="AD1289" s="109" t="s">
        <v>432</v>
      </c>
      <c r="AE1289" s="109" t="s">
        <v>432</v>
      </c>
      <c r="AF1289" s="109" t="s">
        <v>432</v>
      </c>
      <c r="AG1289" s="109" t="s">
        <v>432</v>
      </c>
      <c r="AH1289" s="109" t="s">
        <v>432</v>
      </c>
      <c r="AI1289" s="109" t="s">
        <v>432</v>
      </c>
      <c r="AJ1289" s="109" t="s">
        <v>432</v>
      </c>
      <c r="AK1289" s="109" t="s">
        <v>432</v>
      </c>
      <c r="AL1289" s="600" t="s">
        <v>432</v>
      </c>
      <c r="AM1289" s="137" t="s">
        <v>432</v>
      </c>
      <c r="AN1289" s="137" t="s">
        <v>432</v>
      </c>
      <c r="AO1289" s="137" t="s">
        <v>432</v>
      </c>
      <c r="AP1289" s="137" t="s">
        <v>432</v>
      </c>
      <c r="AQ1289" s="137" t="s">
        <v>432</v>
      </c>
      <c r="AR1289" s="137" t="s">
        <v>432</v>
      </c>
      <c r="AS1289" s="137" t="s">
        <v>432</v>
      </c>
      <c r="AT1289" s="137" t="s">
        <v>432</v>
      </c>
      <c r="AU1289" s="137" t="s">
        <v>432</v>
      </c>
      <c r="AV1289" s="137" t="s">
        <v>432</v>
      </c>
      <c r="AW1289" s="137" t="s">
        <v>432</v>
      </c>
      <c r="AX1289" s="137" t="s">
        <v>432</v>
      </c>
      <c r="AY1289" s="137" t="s">
        <v>432</v>
      </c>
      <c r="AZ1289" s="137" t="s">
        <v>432</v>
      </c>
      <c r="BA1289" s="137" t="s">
        <v>432</v>
      </c>
      <c r="BB1289" s="239" t="str">
        <f>B1289&amp;C1289</f>
        <v>Calçadas e passarelasacessibilidade</v>
      </c>
      <c r="BC1289" s="239" t="str">
        <f>B1289&amp;C1289&amp;H1289</f>
        <v>Calçadas e passarelasacessibilidadesigla/verbete</v>
      </c>
      <c r="BD1289" s="239" t="str">
        <f>B1289&amp;H1289</f>
        <v>Calçadas e passarelassigla/verbete</v>
      </c>
    </row>
    <row r="1290" spans="1:56" s="1" customFormat="1" ht="88.5" customHeight="1" x14ac:dyDescent="0.25">
      <c r="A1290" s="413" t="str">
        <f>'Q100b-totais'!B49</f>
        <v>6.1</v>
      </c>
      <c r="B1290" s="1205" t="str">
        <f>'Q100b-totais'!C49</f>
        <v>Calçadas e passarelas</v>
      </c>
      <c r="C1290" s="230" t="s">
        <v>743</v>
      </c>
      <c r="D1290" s="939" t="s">
        <v>3542</v>
      </c>
      <c r="E1290" s="509" t="s">
        <v>1767</v>
      </c>
      <c r="F1290" s="5" t="s">
        <v>3545</v>
      </c>
      <c r="G1290" s="57" t="s">
        <v>3507</v>
      </c>
      <c r="H1290" s="173" t="s">
        <v>2408</v>
      </c>
      <c r="I1290" s="57" t="s">
        <v>432</v>
      </c>
      <c r="J1290" s="109" t="s">
        <v>432</v>
      </c>
      <c r="K1290" s="109" t="s">
        <v>432</v>
      </c>
      <c r="L1290" s="109" t="s">
        <v>432</v>
      </c>
      <c r="M1290" s="109" t="s">
        <v>432</v>
      </c>
      <c r="N1290" s="109" t="s">
        <v>432</v>
      </c>
      <c r="O1290" s="109" t="s">
        <v>432</v>
      </c>
      <c r="P1290" s="109" t="s">
        <v>432</v>
      </c>
      <c r="Q1290" s="109" t="s">
        <v>432</v>
      </c>
      <c r="R1290" s="109" t="s">
        <v>432</v>
      </c>
      <c r="S1290" s="109" t="s">
        <v>2209</v>
      </c>
      <c r="T1290" s="109" t="s">
        <v>432</v>
      </c>
      <c r="U1290" s="109" t="s">
        <v>432</v>
      </c>
      <c r="V1290" s="109" t="s">
        <v>2209</v>
      </c>
      <c r="W1290" s="109" t="s">
        <v>432</v>
      </c>
      <c r="X1290" s="109" t="s">
        <v>432</v>
      </c>
      <c r="Y1290" s="109" t="s">
        <v>432</v>
      </c>
      <c r="Z1290" s="109" t="s">
        <v>432</v>
      </c>
      <c r="AA1290" s="109" t="s">
        <v>432</v>
      </c>
      <c r="AB1290" s="109" t="s">
        <v>432</v>
      </c>
      <c r="AC1290" s="109" t="s">
        <v>432</v>
      </c>
      <c r="AD1290" s="109" t="s">
        <v>432</v>
      </c>
      <c r="AE1290" s="109" t="s">
        <v>432</v>
      </c>
      <c r="AF1290" s="109" t="s">
        <v>432</v>
      </c>
      <c r="AG1290" s="109" t="s">
        <v>432</v>
      </c>
      <c r="AH1290" s="109" t="s">
        <v>432</v>
      </c>
      <c r="AI1290" s="109" t="s">
        <v>432</v>
      </c>
      <c r="AJ1290" s="109" t="s">
        <v>432</v>
      </c>
      <c r="AK1290" s="109" t="s">
        <v>432</v>
      </c>
      <c r="AL1290" s="600" t="s">
        <v>432</v>
      </c>
      <c r="AM1290" s="137" t="s">
        <v>432</v>
      </c>
      <c r="AN1290" s="137" t="s">
        <v>432</v>
      </c>
      <c r="AO1290" s="137" t="s">
        <v>432</v>
      </c>
      <c r="AP1290" s="137" t="s">
        <v>432</v>
      </c>
      <c r="AQ1290" s="137" t="s">
        <v>432</v>
      </c>
      <c r="AR1290" s="137" t="s">
        <v>432</v>
      </c>
      <c r="AS1290" s="137" t="s">
        <v>432</v>
      </c>
      <c r="AT1290" s="137" t="s">
        <v>432</v>
      </c>
      <c r="AU1290" s="137" t="s">
        <v>432</v>
      </c>
      <c r="AV1290" s="137" t="s">
        <v>432</v>
      </c>
      <c r="AW1290" s="137" t="s">
        <v>432</v>
      </c>
      <c r="AX1290" s="137" t="s">
        <v>432</v>
      </c>
      <c r="AY1290" s="137" t="s">
        <v>432</v>
      </c>
      <c r="AZ1290" s="137" t="s">
        <v>432</v>
      </c>
      <c r="BA1290" s="137" t="s">
        <v>432</v>
      </c>
      <c r="BB1290" s="239" t="str">
        <f>B1290&amp;C1290</f>
        <v>Calçadas e passarelasacessibilidade</v>
      </c>
      <c r="BC1290" s="239" t="str">
        <f>B1290&amp;C1290&amp;H1290</f>
        <v>Calçadas e passarelasacessibilidadesigla/verbete</v>
      </c>
      <c r="BD1290" s="239" t="str">
        <f>B1290&amp;H1290</f>
        <v>Calçadas e passarelassigla/verbete</v>
      </c>
    </row>
    <row r="1291" spans="1:56" s="1" customFormat="1" ht="52.5" customHeight="1" x14ac:dyDescent="0.25">
      <c r="A1291" s="413" t="str">
        <f>'Q100b-totais'!B49</f>
        <v>6.1</v>
      </c>
      <c r="B1291" s="1205" t="str">
        <f>'Q100b-totais'!C49</f>
        <v>Calçadas e passarelas</v>
      </c>
      <c r="C1291" s="230" t="s">
        <v>743</v>
      </c>
      <c r="D1291" s="325" t="s">
        <v>3626</v>
      </c>
      <c r="E1291" s="1491" t="s">
        <v>1738</v>
      </c>
      <c r="F1291" s="1174" t="s">
        <v>3802</v>
      </c>
      <c r="G1291" s="1131" t="s">
        <v>77</v>
      </c>
      <c r="H1291" s="173" t="s">
        <v>432</v>
      </c>
      <c r="I1291" s="57">
        <v>1</v>
      </c>
      <c r="J1291" s="109" t="s">
        <v>432</v>
      </c>
      <c r="K1291" s="109" t="s">
        <v>432</v>
      </c>
      <c r="L1291" s="109" t="s">
        <v>432</v>
      </c>
      <c r="M1291" s="109" t="s">
        <v>432</v>
      </c>
      <c r="N1291" s="109" t="s">
        <v>432</v>
      </c>
      <c r="O1291" s="109" t="s">
        <v>432</v>
      </c>
      <c r="P1291" s="109" t="s">
        <v>432</v>
      </c>
      <c r="Q1291" s="109" t="s">
        <v>432</v>
      </c>
      <c r="R1291" s="109" t="s">
        <v>432</v>
      </c>
      <c r="S1291" s="109" t="s">
        <v>2209</v>
      </c>
      <c r="T1291" s="109" t="s">
        <v>432</v>
      </c>
      <c r="U1291" s="109" t="s">
        <v>432</v>
      </c>
      <c r="V1291" s="109" t="s">
        <v>2209</v>
      </c>
      <c r="W1291" s="109" t="s">
        <v>432</v>
      </c>
      <c r="X1291" s="109" t="s">
        <v>432</v>
      </c>
      <c r="Y1291" s="109" t="s">
        <v>432</v>
      </c>
      <c r="Z1291" s="109" t="s">
        <v>432</v>
      </c>
      <c r="AA1291" s="109" t="s">
        <v>432</v>
      </c>
      <c r="AB1291" s="109" t="s">
        <v>432</v>
      </c>
      <c r="AC1291" s="109" t="s">
        <v>432</v>
      </c>
      <c r="AD1291" s="109" t="s">
        <v>432</v>
      </c>
      <c r="AE1291" s="109" t="s">
        <v>432</v>
      </c>
      <c r="AF1291" s="110">
        <v>0.47899999999999998</v>
      </c>
      <c r="AG1291" s="109" t="s">
        <v>432</v>
      </c>
      <c r="AH1291" s="109" t="s">
        <v>432</v>
      </c>
      <c r="AI1291" s="109" t="s">
        <v>432</v>
      </c>
      <c r="AJ1291" s="109" t="s">
        <v>432</v>
      </c>
      <c r="AK1291" s="109" t="s">
        <v>432</v>
      </c>
      <c r="AL1291" s="600" t="s">
        <v>432</v>
      </c>
      <c r="AM1291" s="109" t="s">
        <v>432</v>
      </c>
      <c r="AN1291" s="109" t="s">
        <v>432</v>
      </c>
      <c r="AO1291" s="109" t="s">
        <v>432</v>
      </c>
      <c r="AP1291" s="109" t="s">
        <v>432</v>
      </c>
      <c r="AQ1291" s="109" t="s">
        <v>432</v>
      </c>
      <c r="AR1291" s="109" t="s">
        <v>432</v>
      </c>
      <c r="AS1291" s="109" t="s">
        <v>432</v>
      </c>
      <c r="AT1291" s="109" t="s">
        <v>432</v>
      </c>
      <c r="AU1291" s="109" t="s">
        <v>432</v>
      </c>
      <c r="AV1291" s="109" t="s">
        <v>432</v>
      </c>
      <c r="AW1291" s="109" t="s">
        <v>432</v>
      </c>
      <c r="AX1291" s="109" t="s">
        <v>432</v>
      </c>
      <c r="AY1291" s="109" t="s">
        <v>432</v>
      </c>
      <c r="AZ1291" s="109" t="s">
        <v>432</v>
      </c>
      <c r="BA1291" s="109" t="s">
        <v>432</v>
      </c>
      <c r="BB1291" s="239" t="str">
        <f t="shared" ref="BB1291:BB1332" si="360">B1291&amp;C1291</f>
        <v>Calçadas e passarelasacessibilidade</v>
      </c>
      <c r="BC1291" s="239" t="str">
        <f t="shared" ref="BC1291:BC1332" si="361">B1291&amp;C1291&amp;H1291</f>
        <v>Calçadas e passarelasacessibilidadex</v>
      </c>
      <c r="BD1291" s="239" t="str">
        <f t="shared" ref="BD1291:BD1332" si="362">B1291&amp;H1291</f>
        <v>Calçadas e passarelasx</v>
      </c>
    </row>
    <row r="1292" spans="1:56" s="1" customFormat="1" ht="38.25" x14ac:dyDescent="0.25">
      <c r="A1292" s="413" t="str">
        <f>'Q100b-totais'!B49</f>
        <v>6.1</v>
      </c>
      <c r="B1292" s="1205" t="str">
        <f>'Q100b-totais'!C49</f>
        <v>Calçadas e passarelas</v>
      </c>
      <c r="C1292" s="230" t="s">
        <v>743</v>
      </c>
      <c r="D1292" s="325" t="s">
        <v>3626</v>
      </c>
      <c r="E1292" s="254" t="s">
        <v>1306</v>
      </c>
      <c r="F1292" s="1174" t="s">
        <v>3802</v>
      </c>
      <c r="G1292" s="1131" t="s">
        <v>77</v>
      </c>
      <c r="H1292" s="173" t="s">
        <v>432</v>
      </c>
      <c r="I1292" s="57">
        <v>1</v>
      </c>
      <c r="J1292" s="109" t="s">
        <v>432</v>
      </c>
      <c r="K1292" s="109" t="s">
        <v>432</v>
      </c>
      <c r="L1292" s="109" t="s">
        <v>432</v>
      </c>
      <c r="M1292" s="109" t="s">
        <v>432</v>
      </c>
      <c r="N1292" s="109" t="s">
        <v>432</v>
      </c>
      <c r="O1292" s="109" t="s">
        <v>432</v>
      </c>
      <c r="P1292" s="109" t="s">
        <v>432</v>
      </c>
      <c r="Q1292" s="109" t="s">
        <v>432</v>
      </c>
      <c r="R1292" s="109" t="s">
        <v>432</v>
      </c>
      <c r="S1292" s="109" t="s">
        <v>2209</v>
      </c>
      <c r="T1292" s="109" t="s">
        <v>432</v>
      </c>
      <c r="U1292" s="109" t="s">
        <v>432</v>
      </c>
      <c r="V1292" s="109" t="s">
        <v>2209</v>
      </c>
      <c r="W1292" s="109" t="s">
        <v>432</v>
      </c>
      <c r="X1292" s="109" t="s">
        <v>432</v>
      </c>
      <c r="Y1292" s="109" t="s">
        <v>432</v>
      </c>
      <c r="Z1292" s="109" t="s">
        <v>432</v>
      </c>
      <c r="AA1292" s="109" t="s">
        <v>432</v>
      </c>
      <c r="AB1292" s="109" t="s">
        <v>432</v>
      </c>
      <c r="AC1292" s="109" t="s">
        <v>432</v>
      </c>
      <c r="AD1292" s="109" t="s">
        <v>432</v>
      </c>
      <c r="AE1292" s="109" t="s">
        <v>432</v>
      </c>
      <c r="AF1292" s="110">
        <v>0.76600000000000001</v>
      </c>
      <c r="AG1292" s="109" t="s">
        <v>432</v>
      </c>
      <c r="AH1292" s="109" t="s">
        <v>432</v>
      </c>
      <c r="AI1292" s="109" t="s">
        <v>432</v>
      </c>
      <c r="AJ1292" s="109" t="s">
        <v>432</v>
      </c>
      <c r="AK1292" s="109" t="s">
        <v>432</v>
      </c>
      <c r="AL1292" s="600" t="s">
        <v>432</v>
      </c>
      <c r="AM1292" s="109" t="s">
        <v>432</v>
      </c>
      <c r="AN1292" s="109" t="s">
        <v>432</v>
      </c>
      <c r="AO1292" s="109" t="s">
        <v>432</v>
      </c>
      <c r="AP1292" s="109" t="s">
        <v>432</v>
      </c>
      <c r="AQ1292" s="109" t="s">
        <v>432</v>
      </c>
      <c r="AR1292" s="109" t="s">
        <v>432</v>
      </c>
      <c r="AS1292" s="109" t="s">
        <v>432</v>
      </c>
      <c r="AT1292" s="109" t="s">
        <v>432</v>
      </c>
      <c r="AU1292" s="109" t="s">
        <v>432</v>
      </c>
      <c r="AV1292" s="109" t="s">
        <v>432</v>
      </c>
      <c r="AW1292" s="109" t="s">
        <v>432</v>
      </c>
      <c r="AX1292" s="109" t="s">
        <v>432</v>
      </c>
      <c r="AY1292" s="109" t="s">
        <v>432</v>
      </c>
      <c r="AZ1292" s="109" t="s">
        <v>432</v>
      </c>
      <c r="BA1292" s="109" t="s">
        <v>432</v>
      </c>
      <c r="BB1292" s="239" t="str">
        <f t="shared" si="360"/>
        <v>Calçadas e passarelasacessibilidade</v>
      </c>
      <c r="BC1292" s="239" t="str">
        <f t="shared" si="361"/>
        <v>Calçadas e passarelasacessibilidadex</v>
      </c>
      <c r="BD1292" s="239" t="str">
        <f t="shared" si="362"/>
        <v>Calçadas e passarelasx</v>
      </c>
    </row>
    <row r="1293" spans="1:56" s="1" customFormat="1" ht="38.25" x14ac:dyDescent="0.25">
      <c r="A1293" s="413" t="str">
        <f>'Q100b-totais'!B49</f>
        <v>6.1</v>
      </c>
      <c r="B1293" s="1205" t="str">
        <f>'Q100b-totais'!C49</f>
        <v>Calçadas e passarelas</v>
      </c>
      <c r="C1293" s="230" t="s">
        <v>743</v>
      </c>
      <c r="D1293" s="325" t="s">
        <v>3626</v>
      </c>
      <c r="E1293" s="1491" t="s">
        <v>1307</v>
      </c>
      <c r="F1293" s="1174" t="s">
        <v>3802</v>
      </c>
      <c r="G1293" s="1131" t="s">
        <v>77</v>
      </c>
      <c r="H1293" s="173" t="s">
        <v>432</v>
      </c>
      <c r="I1293" s="57">
        <v>1</v>
      </c>
      <c r="J1293" s="109" t="s">
        <v>432</v>
      </c>
      <c r="K1293" s="109" t="s">
        <v>432</v>
      </c>
      <c r="L1293" s="109" t="s">
        <v>432</v>
      </c>
      <c r="M1293" s="109" t="s">
        <v>432</v>
      </c>
      <c r="N1293" s="109" t="s">
        <v>432</v>
      </c>
      <c r="O1293" s="109" t="s">
        <v>432</v>
      </c>
      <c r="P1293" s="109" t="s">
        <v>432</v>
      </c>
      <c r="Q1293" s="109" t="s">
        <v>432</v>
      </c>
      <c r="R1293" s="109" t="s">
        <v>432</v>
      </c>
      <c r="S1293" s="109" t="s">
        <v>2209</v>
      </c>
      <c r="T1293" s="109" t="s">
        <v>432</v>
      </c>
      <c r="U1293" s="109" t="s">
        <v>432</v>
      </c>
      <c r="V1293" s="109" t="s">
        <v>2209</v>
      </c>
      <c r="W1293" s="109" t="s">
        <v>432</v>
      </c>
      <c r="X1293" s="109" t="s">
        <v>432</v>
      </c>
      <c r="Y1293" s="109" t="s">
        <v>432</v>
      </c>
      <c r="Z1293" s="109" t="s">
        <v>432</v>
      </c>
      <c r="AA1293" s="109" t="s">
        <v>432</v>
      </c>
      <c r="AB1293" s="109" t="s">
        <v>432</v>
      </c>
      <c r="AC1293" s="109" t="s">
        <v>432</v>
      </c>
      <c r="AD1293" s="109" t="s">
        <v>432</v>
      </c>
      <c r="AE1293" s="109" t="s">
        <v>432</v>
      </c>
      <c r="AF1293" s="110">
        <v>0.65200000000000002</v>
      </c>
      <c r="AG1293" s="109" t="s">
        <v>432</v>
      </c>
      <c r="AH1293" s="109" t="s">
        <v>432</v>
      </c>
      <c r="AI1293" s="109" t="s">
        <v>432</v>
      </c>
      <c r="AJ1293" s="109" t="s">
        <v>432</v>
      </c>
      <c r="AK1293" s="109" t="s">
        <v>432</v>
      </c>
      <c r="AL1293" s="600" t="s">
        <v>432</v>
      </c>
      <c r="AM1293" s="109" t="s">
        <v>432</v>
      </c>
      <c r="AN1293" s="109" t="s">
        <v>432</v>
      </c>
      <c r="AO1293" s="109" t="s">
        <v>432</v>
      </c>
      <c r="AP1293" s="109" t="s">
        <v>432</v>
      </c>
      <c r="AQ1293" s="109" t="s">
        <v>432</v>
      </c>
      <c r="AR1293" s="109" t="s">
        <v>432</v>
      </c>
      <c r="AS1293" s="109" t="s">
        <v>432</v>
      </c>
      <c r="AT1293" s="109" t="s">
        <v>432</v>
      </c>
      <c r="AU1293" s="109" t="s">
        <v>432</v>
      </c>
      <c r="AV1293" s="109" t="s">
        <v>432</v>
      </c>
      <c r="AW1293" s="109" t="s">
        <v>432</v>
      </c>
      <c r="AX1293" s="109" t="s">
        <v>432</v>
      </c>
      <c r="AY1293" s="109" t="s">
        <v>432</v>
      </c>
      <c r="AZ1293" s="109" t="s">
        <v>432</v>
      </c>
      <c r="BA1293" s="109" t="s">
        <v>432</v>
      </c>
      <c r="BB1293" s="239" t="str">
        <f t="shared" si="360"/>
        <v>Calçadas e passarelasacessibilidade</v>
      </c>
      <c r="BC1293" s="239" t="str">
        <f t="shared" si="361"/>
        <v>Calçadas e passarelasacessibilidadex</v>
      </c>
      <c r="BD1293" s="239" t="str">
        <f t="shared" si="362"/>
        <v>Calçadas e passarelasx</v>
      </c>
    </row>
    <row r="1294" spans="1:56" s="1" customFormat="1" ht="38.25" x14ac:dyDescent="0.25">
      <c r="A1294" s="413" t="str">
        <f>'Q100b-totais'!B49</f>
        <v>6.1</v>
      </c>
      <c r="B1294" s="1205" t="str">
        <f>'Q100b-totais'!C49</f>
        <v>Calçadas e passarelas</v>
      </c>
      <c r="C1294" s="230" t="s">
        <v>743</v>
      </c>
      <c r="D1294" s="325" t="s">
        <v>3626</v>
      </c>
      <c r="E1294" s="1491" t="s">
        <v>1739</v>
      </c>
      <c r="F1294" s="1174" t="s">
        <v>3802</v>
      </c>
      <c r="G1294" s="1131" t="s">
        <v>77</v>
      </c>
      <c r="H1294" s="173" t="s">
        <v>432</v>
      </c>
      <c r="I1294" s="57">
        <v>1</v>
      </c>
      <c r="J1294" s="109" t="s">
        <v>432</v>
      </c>
      <c r="K1294" s="109" t="s">
        <v>432</v>
      </c>
      <c r="L1294" s="109" t="s">
        <v>432</v>
      </c>
      <c r="M1294" s="109" t="s">
        <v>432</v>
      </c>
      <c r="N1294" s="109" t="s">
        <v>432</v>
      </c>
      <c r="O1294" s="109" t="s">
        <v>432</v>
      </c>
      <c r="P1294" s="109" t="s">
        <v>432</v>
      </c>
      <c r="Q1294" s="109" t="s">
        <v>432</v>
      </c>
      <c r="R1294" s="109" t="s">
        <v>432</v>
      </c>
      <c r="S1294" s="109" t="s">
        <v>2209</v>
      </c>
      <c r="T1294" s="109" t="s">
        <v>432</v>
      </c>
      <c r="U1294" s="109" t="s">
        <v>432</v>
      </c>
      <c r="V1294" s="109" t="s">
        <v>2209</v>
      </c>
      <c r="W1294" s="109" t="s">
        <v>432</v>
      </c>
      <c r="X1294" s="109" t="s">
        <v>432</v>
      </c>
      <c r="Y1294" s="109" t="s">
        <v>432</v>
      </c>
      <c r="Z1294" s="109" t="s">
        <v>432</v>
      </c>
      <c r="AA1294" s="109" t="s">
        <v>432</v>
      </c>
      <c r="AB1294" s="109" t="s">
        <v>432</v>
      </c>
      <c r="AC1294" s="109" t="s">
        <v>432</v>
      </c>
      <c r="AD1294" s="109" t="s">
        <v>432</v>
      </c>
      <c r="AE1294" s="109" t="s">
        <v>432</v>
      </c>
      <c r="AF1294" s="110">
        <v>0.53300000000000003</v>
      </c>
      <c r="AG1294" s="109" t="s">
        <v>432</v>
      </c>
      <c r="AH1294" s="109" t="s">
        <v>432</v>
      </c>
      <c r="AI1294" s="109" t="s">
        <v>432</v>
      </c>
      <c r="AJ1294" s="109" t="s">
        <v>432</v>
      </c>
      <c r="AK1294" s="109" t="s">
        <v>432</v>
      </c>
      <c r="AL1294" s="600" t="s">
        <v>432</v>
      </c>
      <c r="AM1294" s="109" t="s">
        <v>432</v>
      </c>
      <c r="AN1294" s="109" t="s">
        <v>432</v>
      </c>
      <c r="AO1294" s="109" t="s">
        <v>432</v>
      </c>
      <c r="AP1294" s="109" t="s">
        <v>432</v>
      </c>
      <c r="AQ1294" s="109" t="s">
        <v>432</v>
      </c>
      <c r="AR1294" s="109" t="s">
        <v>432</v>
      </c>
      <c r="AS1294" s="109" t="s">
        <v>432</v>
      </c>
      <c r="AT1294" s="109" t="s">
        <v>432</v>
      </c>
      <c r="AU1294" s="109" t="s">
        <v>432</v>
      </c>
      <c r="AV1294" s="109" t="s">
        <v>432</v>
      </c>
      <c r="AW1294" s="109" t="s">
        <v>432</v>
      </c>
      <c r="AX1294" s="109" t="s">
        <v>432</v>
      </c>
      <c r="AY1294" s="109" t="s">
        <v>432</v>
      </c>
      <c r="AZ1294" s="109" t="s">
        <v>432</v>
      </c>
      <c r="BA1294" s="109" t="s">
        <v>432</v>
      </c>
      <c r="BB1294" s="239" t="str">
        <f t="shared" si="360"/>
        <v>Calçadas e passarelasacessibilidade</v>
      </c>
      <c r="BC1294" s="239" t="str">
        <f t="shared" si="361"/>
        <v>Calçadas e passarelasacessibilidadex</v>
      </c>
      <c r="BD1294" s="239" t="str">
        <f t="shared" si="362"/>
        <v>Calçadas e passarelasx</v>
      </c>
    </row>
    <row r="1295" spans="1:56" s="1" customFormat="1" ht="38.25" x14ac:dyDescent="0.25">
      <c r="A1295" s="413" t="str">
        <f>'Q100b-totais'!B49</f>
        <v>6.1</v>
      </c>
      <c r="B1295" s="1205" t="str">
        <f>'Q100b-totais'!C49</f>
        <v>Calçadas e passarelas</v>
      </c>
      <c r="C1295" s="230" t="s">
        <v>743</v>
      </c>
      <c r="D1295" s="325" t="s">
        <v>3626</v>
      </c>
      <c r="E1295" s="1491" t="s">
        <v>1740</v>
      </c>
      <c r="F1295" s="1174" t="s">
        <v>3802</v>
      </c>
      <c r="G1295" s="1131" t="s">
        <v>77</v>
      </c>
      <c r="H1295" s="173" t="s">
        <v>432</v>
      </c>
      <c r="I1295" s="57">
        <v>1</v>
      </c>
      <c r="J1295" s="109" t="s">
        <v>432</v>
      </c>
      <c r="K1295" s="109" t="s">
        <v>432</v>
      </c>
      <c r="L1295" s="109" t="s">
        <v>432</v>
      </c>
      <c r="M1295" s="109" t="s">
        <v>432</v>
      </c>
      <c r="N1295" s="109" t="s">
        <v>432</v>
      </c>
      <c r="O1295" s="109" t="s">
        <v>432</v>
      </c>
      <c r="P1295" s="109" t="s">
        <v>432</v>
      </c>
      <c r="Q1295" s="109" t="s">
        <v>432</v>
      </c>
      <c r="R1295" s="109" t="s">
        <v>432</v>
      </c>
      <c r="S1295" s="109" t="s">
        <v>2209</v>
      </c>
      <c r="T1295" s="109" t="s">
        <v>432</v>
      </c>
      <c r="U1295" s="109" t="s">
        <v>432</v>
      </c>
      <c r="V1295" s="109" t="s">
        <v>2209</v>
      </c>
      <c r="W1295" s="109" t="s">
        <v>432</v>
      </c>
      <c r="X1295" s="109" t="s">
        <v>432</v>
      </c>
      <c r="Y1295" s="109" t="s">
        <v>432</v>
      </c>
      <c r="Z1295" s="109" t="s">
        <v>432</v>
      </c>
      <c r="AA1295" s="109" t="s">
        <v>432</v>
      </c>
      <c r="AB1295" s="109" t="s">
        <v>432</v>
      </c>
      <c r="AC1295" s="109" t="s">
        <v>432</v>
      </c>
      <c r="AD1295" s="109" t="s">
        <v>432</v>
      </c>
      <c r="AE1295" s="109" t="s">
        <v>432</v>
      </c>
      <c r="AF1295" s="110">
        <v>0.60199999999999998</v>
      </c>
      <c r="AG1295" s="109" t="s">
        <v>432</v>
      </c>
      <c r="AH1295" s="109" t="s">
        <v>432</v>
      </c>
      <c r="AI1295" s="109" t="s">
        <v>432</v>
      </c>
      <c r="AJ1295" s="109" t="s">
        <v>432</v>
      </c>
      <c r="AK1295" s="109" t="s">
        <v>432</v>
      </c>
      <c r="AL1295" s="600" t="s">
        <v>432</v>
      </c>
      <c r="AM1295" s="109" t="s">
        <v>432</v>
      </c>
      <c r="AN1295" s="109" t="s">
        <v>432</v>
      </c>
      <c r="AO1295" s="109" t="s">
        <v>432</v>
      </c>
      <c r="AP1295" s="109" t="s">
        <v>432</v>
      </c>
      <c r="AQ1295" s="109" t="s">
        <v>432</v>
      </c>
      <c r="AR1295" s="109" t="s">
        <v>432</v>
      </c>
      <c r="AS1295" s="109" t="s">
        <v>432</v>
      </c>
      <c r="AT1295" s="109" t="s">
        <v>432</v>
      </c>
      <c r="AU1295" s="109" t="s">
        <v>432</v>
      </c>
      <c r="AV1295" s="109" t="s">
        <v>432</v>
      </c>
      <c r="AW1295" s="109" t="s">
        <v>432</v>
      </c>
      <c r="AX1295" s="109" t="s">
        <v>432</v>
      </c>
      <c r="AY1295" s="109" t="s">
        <v>432</v>
      </c>
      <c r="AZ1295" s="109" t="s">
        <v>432</v>
      </c>
      <c r="BA1295" s="109" t="s">
        <v>432</v>
      </c>
      <c r="BB1295" s="239" t="str">
        <f t="shared" si="360"/>
        <v>Calçadas e passarelasacessibilidade</v>
      </c>
      <c r="BC1295" s="239" t="str">
        <f t="shared" si="361"/>
        <v>Calçadas e passarelasacessibilidadex</v>
      </c>
      <c r="BD1295" s="239" t="str">
        <f t="shared" si="362"/>
        <v>Calçadas e passarelasx</v>
      </c>
    </row>
    <row r="1296" spans="1:56" s="1" customFormat="1" ht="38.25" x14ac:dyDescent="0.25">
      <c r="A1296" s="413" t="str">
        <f>'Q100b-totais'!B49</f>
        <v>6.1</v>
      </c>
      <c r="B1296" s="1205" t="str">
        <f>'Q100b-totais'!C49</f>
        <v>Calçadas e passarelas</v>
      </c>
      <c r="C1296" s="230" t="s">
        <v>743</v>
      </c>
      <c r="D1296" s="325" t="s">
        <v>3626</v>
      </c>
      <c r="E1296" s="1491" t="s">
        <v>1741</v>
      </c>
      <c r="F1296" s="1174" t="s">
        <v>3802</v>
      </c>
      <c r="G1296" s="1131" t="s">
        <v>77</v>
      </c>
      <c r="H1296" s="173" t="s">
        <v>432</v>
      </c>
      <c r="I1296" s="57">
        <v>1</v>
      </c>
      <c r="J1296" s="109" t="s">
        <v>432</v>
      </c>
      <c r="K1296" s="109" t="s">
        <v>432</v>
      </c>
      <c r="L1296" s="109" t="s">
        <v>432</v>
      </c>
      <c r="M1296" s="109" t="s">
        <v>432</v>
      </c>
      <c r="N1296" s="109" t="s">
        <v>432</v>
      </c>
      <c r="O1296" s="109" t="s">
        <v>432</v>
      </c>
      <c r="P1296" s="109" t="s">
        <v>432</v>
      </c>
      <c r="Q1296" s="109" t="s">
        <v>432</v>
      </c>
      <c r="R1296" s="109" t="s">
        <v>432</v>
      </c>
      <c r="S1296" s="109" t="s">
        <v>2209</v>
      </c>
      <c r="T1296" s="109" t="s">
        <v>432</v>
      </c>
      <c r="U1296" s="109" t="s">
        <v>432</v>
      </c>
      <c r="V1296" s="109" t="s">
        <v>2209</v>
      </c>
      <c r="W1296" s="109" t="s">
        <v>432</v>
      </c>
      <c r="X1296" s="109" t="s">
        <v>432</v>
      </c>
      <c r="Y1296" s="109" t="s">
        <v>432</v>
      </c>
      <c r="Z1296" s="109" t="s">
        <v>432</v>
      </c>
      <c r="AA1296" s="109" t="s">
        <v>432</v>
      </c>
      <c r="AB1296" s="109" t="s">
        <v>432</v>
      </c>
      <c r="AC1296" s="109" t="s">
        <v>432</v>
      </c>
      <c r="AD1296" s="109" t="s">
        <v>432</v>
      </c>
      <c r="AE1296" s="109" t="s">
        <v>432</v>
      </c>
      <c r="AF1296" s="110">
        <v>0.46800000000000003</v>
      </c>
      <c r="AG1296" s="109" t="s">
        <v>432</v>
      </c>
      <c r="AH1296" s="109" t="s">
        <v>432</v>
      </c>
      <c r="AI1296" s="109" t="s">
        <v>432</v>
      </c>
      <c r="AJ1296" s="109" t="s">
        <v>432</v>
      </c>
      <c r="AK1296" s="109" t="s">
        <v>432</v>
      </c>
      <c r="AL1296" s="600" t="s">
        <v>432</v>
      </c>
      <c r="AM1296" s="109" t="s">
        <v>432</v>
      </c>
      <c r="AN1296" s="109" t="s">
        <v>432</v>
      </c>
      <c r="AO1296" s="109" t="s">
        <v>432</v>
      </c>
      <c r="AP1296" s="109" t="s">
        <v>432</v>
      </c>
      <c r="AQ1296" s="109" t="s">
        <v>432</v>
      </c>
      <c r="AR1296" s="109" t="s">
        <v>432</v>
      </c>
      <c r="AS1296" s="109" t="s">
        <v>432</v>
      </c>
      <c r="AT1296" s="109" t="s">
        <v>432</v>
      </c>
      <c r="AU1296" s="109" t="s">
        <v>432</v>
      </c>
      <c r="AV1296" s="109" t="s">
        <v>432</v>
      </c>
      <c r="AW1296" s="109" t="s">
        <v>432</v>
      </c>
      <c r="AX1296" s="109" t="s">
        <v>432</v>
      </c>
      <c r="AY1296" s="109" t="s">
        <v>432</v>
      </c>
      <c r="AZ1296" s="109" t="s">
        <v>432</v>
      </c>
      <c r="BA1296" s="109" t="s">
        <v>432</v>
      </c>
      <c r="BB1296" s="239" t="str">
        <f t="shared" si="360"/>
        <v>Calçadas e passarelasacessibilidade</v>
      </c>
      <c r="BC1296" s="239" t="str">
        <f t="shared" si="361"/>
        <v>Calçadas e passarelasacessibilidadex</v>
      </c>
      <c r="BD1296" s="239" t="str">
        <f t="shared" si="362"/>
        <v>Calçadas e passarelasx</v>
      </c>
    </row>
    <row r="1297" spans="1:56" s="1" customFormat="1" ht="38.25" x14ac:dyDescent="0.25">
      <c r="A1297" s="413" t="str">
        <f>'Q100b-totais'!B49</f>
        <v>6.1</v>
      </c>
      <c r="B1297" s="1205" t="str">
        <f>'Q100b-totais'!C49</f>
        <v>Calçadas e passarelas</v>
      </c>
      <c r="C1297" s="230" t="s">
        <v>743</v>
      </c>
      <c r="D1297" s="325" t="s">
        <v>3626</v>
      </c>
      <c r="E1297" s="1491" t="s">
        <v>1742</v>
      </c>
      <c r="F1297" s="1174" t="s">
        <v>3802</v>
      </c>
      <c r="G1297" s="1131" t="s">
        <v>77</v>
      </c>
      <c r="H1297" s="173" t="s">
        <v>432</v>
      </c>
      <c r="I1297" s="57">
        <v>1</v>
      </c>
      <c r="J1297" s="109" t="s">
        <v>432</v>
      </c>
      <c r="K1297" s="109" t="s">
        <v>432</v>
      </c>
      <c r="L1297" s="109" t="s">
        <v>432</v>
      </c>
      <c r="M1297" s="109" t="s">
        <v>432</v>
      </c>
      <c r="N1297" s="109" t="s">
        <v>432</v>
      </c>
      <c r="O1297" s="109" t="s">
        <v>432</v>
      </c>
      <c r="P1297" s="109" t="s">
        <v>432</v>
      </c>
      <c r="Q1297" s="109" t="s">
        <v>432</v>
      </c>
      <c r="R1297" s="109" t="s">
        <v>432</v>
      </c>
      <c r="S1297" s="109" t="s">
        <v>2209</v>
      </c>
      <c r="T1297" s="109" t="s">
        <v>432</v>
      </c>
      <c r="U1297" s="109" t="s">
        <v>432</v>
      </c>
      <c r="V1297" s="109" t="s">
        <v>2209</v>
      </c>
      <c r="W1297" s="109" t="s">
        <v>432</v>
      </c>
      <c r="X1297" s="109" t="s">
        <v>432</v>
      </c>
      <c r="Y1297" s="109" t="s">
        <v>432</v>
      </c>
      <c r="Z1297" s="109" t="s">
        <v>432</v>
      </c>
      <c r="AA1297" s="109" t="s">
        <v>432</v>
      </c>
      <c r="AB1297" s="109" t="s">
        <v>432</v>
      </c>
      <c r="AC1297" s="109" t="s">
        <v>432</v>
      </c>
      <c r="AD1297" s="109" t="s">
        <v>432</v>
      </c>
      <c r="AE1297" s="109" t="s">
        <v>432</v>
      </c>
      <c r="AF1297" s="110">
        <v>0.56200000000000006</v>
      </c>
      <c r="AG1297" s="109" t="s">
        <v>432</v>
      </c>
      <c r="AH1297" s="109" t="s">
        <v>432</v>
      </c>
      <c r="AI1297" s="109" t="s">
        <v>432</v>
      </c>
      <c r="AJ1297" s="109" t="s">
        <v>432</v>
      </c>
      <c r="AK1297" s="109" t="s">
        <v>432</v>
      </c>
      <c r="AL1297" s="600" t="s">
        <v>432</v>
      </c>
      <c r="AM1297" s="109" t="s">
        <v>432</v>
      </c>
      <c r="AN1297" s="109" t="s">
        <v>432</v>
      </c>
      <c r="AO1297" s="109" t="s">
        <v>432</v>
      </c>
      <c r="AP1297" s="109" t="s">
        <v>432</v>
      </c>
      <c r="AQ1297" s="109" t="s">
        <v>432</v>
      </c>
      <c r="AR1297" s="109" t="s">
        <v>432</v>
      </c>
      <c r="AS1297" s="109" t="s">
        <v>432</v>
      </c>
      <c r="AT1297" s="109" t="s">
        <v>432</v>
      </c>
      <c r="AU1297" s="109" t="s">
        <v>432</v>
      </c>
      <c r="AV1297" s="109" t="s">
        <v>432</v>
      </c>
      <c r="AW1297" s="109" t="s">
        <v>432</v>
      </c>
      <c r="AX1297" s="109" t="s">
        <v>432</v>
      </c>
      <c r="AY1297" s="109" t="s">
        <v>432</v>
      </c>
      <c r="AZ1297" s="109" t="s">
        <v>432</v>
      </c>
      <c r="BA1297" s="109" t="s">
        <v>432</v>
      </c>
      <c r="BB1297" s="239" t="str">
        <f t="shared" si="360"/>
        <v>Calçadas e passarelasacessibilidade</v>
      </c>
      <c r="BC1297" s="239" t="str">
        <f t="shared" si="361"/>
        <v>Calçadas e passarelasacessibilidadex</v>
      </c>
      <c r="BD1297" s="239" t="str">
        <f t="shared" si="362"/>
        <v>Calçadas e passarelasx</v>
      </c>
    </row>
    <row r="1298" spans="1:56" s="1" customFormat="1" ht="38.25" x14ac:dyDescent="0.25">
      <c r="A1298" s="413" t="str">
        <f>'Q100b-totais'!B49</f>
        <v>6.1</v>
      </c>
      <c r="B1298" s="1205" t="str">
        <f>'Q100b-totais'!C49</f>
        <v>Calçadas e passarelas</v>
      </c>
      <c r="C1298" s="230" t="s">
        <v>743</v>
      </c>
      <c r="D1298" s="325" t="s">
        <v>3626</v>
      </c>
      <c r="E1298" s="1491" t="s">
        <v>1371</v>
      </c>
      <c r="F1298" s="1174" t="s">
        <v>3802</v>
      </c>
      <c r="G1298" s="1131" t="s">
        <v>77</v>
      </c>
      <c r="H1298" s="173" t="s">
        <v>432</v>
      </c>
      <c r="I1298" s="57">
        <v>1</v>
      </c>
      <c r="J1298" s="109" t="s">
        <v>432</v>
      </c>
      <c r="K1298" s="109" t="s">
        <v>432</v>
      </c>
      <c r="L1298" s="109" t="s">
        <v>432</v>
      </c>
      <c r="M1298" s="109" t="s">
        <v>432</v>
      </c>
      <c r="N1298" s="109" t="s">
        <v>432</v>
      </c>
      <c r="O1298" s="109" t="s">
        <v>432</v>
      </c>
      <c r="P1298" s="109" t="s">
        <v>432</v>
      </c>
      <c r="Q1298" s="109" t="s">
        <v>432</v>
      </c>
      <c r="R1298" s="109" t="s">
        <v>432</v>
      </c>
      <c r="S1298" s="109" t="s">
        <v>2209</v>
      </c>
      <c r="T1298" s="109" t="s">
        <v>432</v>
      </c>
      <c r="U1298" s="109" t="s">
        <v>432</v>
      </c>
      <c r="V1298" s="109" t="s">
        <v>2209</v>
      </c>
      <c r="W1298" s="109" t="s">
        <v>432</v>
      </c>
      <c r="X1298" s="109" t="s">
        <v>432</v>
      </c>
      <c r="Y1298" s="109" t="s">
        <v>432</v>
      </c>
      <c r="Z1298" s="109" t="s">
        <v>432</v>
      </c>
      <c r="AA1298" s="109" t="s">
        <v>432</v>
      </c>
      <c r="AB1298" s="109" t="s">
        <v>432</v>
      </c>
      <c r="AC1298" s="109" t="s">
        <v>432</v>
      </c>
      <c r="AD1298" s="109" t="s">
        <v>432</v>
      </c>
      <c r="AE1298" s="109" t="s">
        <v>432</v>
      </c>
      <c r="AF1298" s="110">
        <v>0.68200000000000005</v>
      </c>
      <c r="AG1298" s="109" t="s">
        <v>432</v>
      </c>
      <c r="AH1298" s="109" t="s">
        <v>432</v>
      </c>
      <c r="AI1298" s="109" t="s">
        <v>432</v>
      </c>
      <c r="AJ1298" s="109" t="s">
        <v>432</v>
      </c>
      <c r="AK1298" s="109" t="s">
        <v>432</v>
      </c>
      <c r="AL1298" s="600" t="s">
        <v>432</v>
      </c>
      <c r="AM1298" s="109" t="s">
        <v>432</v>
      </c>
      <c r="AN1298" s="109" t="s">
        <v>432</v>
      </c>
      <c r="AO1298" s="109" t="s">
        <v>432</v>
      </c>
      <c r="AP1298" s="109" t="s">
        <v>432</v>
      </c>
      <c r="AQ1298" s="109" t="s">
        <v>432</v>
      </c>
      <c r="AR1298" s="109" t="s">
        <v>432</v>
      </c>
      <c r="AS1298" s="109" t="s">
        <v>432</v>
      </c>
      <c r="AT1298" s="109" t="s">
        <v>432</v>
      </c>
      <c r="AU1298" s="109" t="s">
        <v>432</v>
      </c>
      <c r="AV1298" s="109" t="s">
        <v>432</v>
      </c>
      <c r="AW1298" s="109" t="s">
        <v>432</v>
      </c>
      <c r="AX1298" s="109" t="s">
        <v>432</v>
      </c>
      <c r="AY1298" s="109" t="s">
        <v>432</v>
      </c>
      <c r="AZ1298" s="109" t="s">
        <v>432</v>
      </c>
      <c r="BA1298" s="109" t="s">
        <v>432</v>
      </c>
      <c r="BB1298" s="239" t="str">
        <f t="shared" si="360"/>
        <v>Calçadas e passarelasacessibilidade</v>
      </c>
      <c r="BC1298" s="239" t="str">
        <f t="shared" si="361"/>
        <v>Calçadas e passarelasacessibilidadex</v>
      </c>
      <c r="BD1298" s="239" t="str">
        <f t="shared" si="362"/>
        <v>Calçadas e passarelasx</v>
      </c>
    </row>
    <row r="1299" spans="1:56" s="1" customFormat="1" ht="38.25" x14ac:dyDescent="0.25">
      <c r="A1299" s="413" t="str">
        <f>'Q100b-totais'!B49</f>
        <v>6.1</v>
      </c>
      <c r="B1299" s="1205" t="str">
        <f>'Q100b-totais'!C49</f>
        <v>Calçadas e passarelas</v>
      </c>
      <c r="C1299" s="230" t="s">
        <v>743</v>
      </c>
      <c r="D1299" s="325" t="s">
        <v>3626</v>
      </c>
      <c r="E1299" s="1491" t="s">
        <v>1743</v>
      </c>
      <c r="F1299" s="1174" t="s">
        <v>3802</v>
      </c>
      <c r="G1299" s="1131" t="s">
        <v>77</v>
      </c>
      <c r="H1299" s="173" t="s">
        <v>432</v>
      </c>
      <c r="I1299" s="57">
        <v>1</v>
      </c>
      <c r="J1299" s="109" t="s">
        <v>432</v>
      </c>
      <c r="K1299" s="109" t="s">
        <v>432</v>
      </c>
      <c r="L1299" s="109" t="s">
        <v>432</v>
      </c>
      <c r="M1299" s="109" t="s">
        <v>432</v>
      </c>
      <c r="N1299" s="109" t="s">
        <v>432</v>
      </c>
      <c r="O1299" s="109" t="s">
        <v>432</v>
      </c>
      <c r="P1299" s="109" t="s">
        <v>432</v>
      </c>
      <c r="Q1299" s="109" t="s">
        <v>432</v>
      </c>
      <c r="R1299" s="109" t="s">
        <v>432</v>
      </c>
      <c r="S1299" s="109" t="s">
        <v>2209</v>
      </c>
      <c r="T1299" s="109" t="s">
        <v>432</v>
      </c>
      <c r="U1299" s="109" t="s">
        <v>432</v>
      </c>
      <c r="V1299" s="109" t="s">
        <v>2209</v>
      </c>
      <c r="W1299" s="109" t="s">
        <v>432</v>
      </c>
      <c r="X1299" s="109" t="s">
        <v>432</v>
      </c>
      <c r="Y1299" s="109" t="s">
        <v>432</v>
      </c>
      <c r="Z1299" s="109" t="s">
        <v>432</v>
      </c>
      <c r="AA1299" s="109" t="s">
        <v>432</v>
      </c>
      <c r="AB1299" s="109" t="s">
        <v>432</v>
      </c>
      <c r="AC1299" s="109" t="s">
        <v>432</v>
      </c>
      <c r="AD1299" s="109" t="s">
        <v>432</v>
      </c>
      <c r="AE1299" s="109" t="s">
        <v>432</v>
      </c>
      <c r="AF1299" s="110">
        <v>0.252</v>
      </c>
      <c r="AG1299" s="109" t="s">
        <v>432</v>
      </c>
      <c r="AH1299" s="109" t="s">
        <v>432</v>
      </c>
      <c r="AI1299" s="109" t="s">
        <v>432</v>
      </c>
      <c r="AJ1299" s="109" t="s">
        <v>432</v>
      </c>
      <c r="AK1299" s="109" t="s">
        <v>432</v>
      </c>
      <c r="AL1299" s="600" t="s">
        <v>432</v>
      </c>
      <c r="AM1299" s="109" t="s">
        <v>432</v>
      </c>
      <c r="AN1299" s="109" t="s">
        <v>432</v>
      </c>
      <c r="AO1299" s="109" t="s">
        <v>432</v>
      </c>
      <c r="AP1299" s="109" t="s">
        <v>432</v>
      </c>
      <c r="AQ1299" s="109" t="s">
        <v>432</v>
      </c>
      <c r="AR1299" s="109" t="s">
        <v>432</v>
      </c>
      <c r="AS1299" s="109" t="s">
        <v>432</v>
      </c>
      <c r="AT1299" s="109" t="s">
        <v>432</v>
      </c>
      <c r="AU1299" s="109" t="s">
        <v>432</v>
      </c>
      <c r="AV1299" s="109" t="s">
        <v>432</v>
      </c>
      <c r="AW1299" s="109" t="s">
        <v>432</v>
      </c>
      <c r="AX1299" s="109" t="s">
        <v>432</v>
      </c>
      <c r="AY1299" s="109" t="s">
        <v>432</v>
      </c>
      <c r="AZ1299" s="109" t="s">
        <v>432</v>
      </c>
      <c r="BA1299" s="109" t="s">
        <v>432</v>
      </c>
      <c r="BB1299" s="239" t="str">
        <f t="shared" si="360"/>
        <v>Calçadas e passarelasacessibilidade</v>
      </c>
      <c r="BC1299" s="239" t="str">
        <f t="shared" si="361"/>
        <v>Calçadas e passarelasacessibilidadex</v>
      </c>
      <c r="BD1299" s="239" t="str">
        <f t="shared" si="362"/>
        <v>Calçadas e passarelasx</v>
      </c>
    </row>
    <row r="1300" spans="1:56" s="1" customFormat="1" ht="38.25" x14ac:dyDescent="0.25">
      <c r="A1300" s="413" t="str">
        <f>'Q100b-totais'!B49</f>
        <v>6.1</v>
      </c>
      <c r="B1300" s="1205" t="str">
        <f>'Q100b-totais'!C49</f>
        <v>Calçadas e passarelas</v>
      </c>
      <c r="C1300" s="230" t="s">
        <v>743</v>
      </c>
      <c r="D1300" s="325" t="s">
        <v>3626</v>
      </c>
      <c r="E1300" s="1491" t="s">
        <v>1744</v>
      </c>
      <c r="F1300" s="1174" t="s">
        <v>3802</v>
      </c>
      <c r="G1300" s="1131" t="s">
        <v>77</v>
      </c>
      <c r="H1300" s="173" t="s">
        <v>432</v>
      </c>
      <c r="I1300" s="57">
        <v>1</v>
      </c>
      <c r="J1300" s="109" t="s">
        <v>432</v>
      </c>
      <c r="K1300" s="109" t="s">
        <v>432</v>
      </c>
      <c r="L1300" s="109" t="s">
        <v>432</v>
      </c>
      <c r="M1300" s="109" t="s">
        <v>432</v>
      </c>
      <c r="N1300" s="109" t="s">
        <v>432</v>
      </c>
      <c r="O1300" s="109" t="s">
        <v>432</v>
      </c>
      <c r="P1300" s="109" t="s">
        <v>432</v>
      </c>
      <c r="Q1300" s="109" t="s">
        <v>432</v>
      </c>
      <c r="R1300" s="109" t="s">
        <v>432</v>
      </c>
      <c r="S1300" s="109" t="s">
        <v>2209</v>
      </c>
      <c r="T1300" s="109" t="s">
        <v>432</v>
      </c>
      <c r="U1300" s="109" t="s">
        <v>432</v>
      </c>
      <c r="V1300" s="109" t="s">
        <v>2209</v>
      </c>
      <c r="W1300" s="109" t="s">
        <v>432</v>
      </c>
      <c r="X1300" s="109" t="s">
        <v>432</v>
      </c>
      <c r="Y1300" s="109" t="s">
        <v>432</v>
      </c>
      <c r="Z1300" s="109" t="s">
        <v>432</v>
      </c>
      <c r="AA1300" s="109" t="s">
        <v>432</v>
      </c>
      <c r="AB1300" s="109" t="s">
        <v>432</v>
      </c>
      <c r="AC1300" s="109" t="s">
        <v>432</v>
      </c>
      <c r="AD1300" s="109" t="s">
        <v>432</v>
      </c>
      <c r="AE1300" s="109" t="s">
        <v>432</v>
      </c>
      <c r="AF1300" s="110">
        <v>0.58699999999999997</v>
      </c>
      <c r="AG1300" s="109" t="s">
        <v>432</v>
      </c>
      <c r="AH1300" s="109" t="s">
        <v>432</v>
      </c>
      <c r="AI1300" s="109" t="s">
        <v>432</v>
      </c>
      <c r="AJ1300" s="109" t="s">
        <v>432</v>
      </c>
      <c r="AK1300" s="109" t="s">
        <v>432</v>
      </c>
      <c r="AL1300" s="600" t="s">
        <v>432</v>
      </c>
      <c r="AM1300" s="109" t="s">
        <v>432</v>
      </c>
      <c r="AN1300" s="109" t="s">
        <v>432</v>
      </c>
      <c r="AO1300" s="109" t="s">
        <v>432</v>
      </c>
      <c r="AP1300" s="109" t="s">
        <v>432</v>
      </c>
      <c r="AQ1300" s="109" t="s">
        <v>432</v>
      </c>
      <c r="AR1300" s="109" t="s">
        <v>432</v>
      </c>
      <c r="AS1300" s="109" t="s">
        <v>432</v>
      </c>
      <c r="AT1300" s="109" t="s">
        <v>432</v>
      </c>
      <c r="AU1300" s="109" t="s">
        <v>432</v>
      </c>
      <c r="AV1300" s="109" t="s">
        <v>432</v>
      </c>
      <c r="AW1300" s="109" t="s">
        <v>432</v>
      </c>
      <c r="AX1300" s="109" t="s">
        <v>432</v>
      </c>
      <c r="AY1300" s="109" t="s">
        <v>432</v>
      </c>
      <c r="AZ1300" s="109" t="s">
        <v>432</v>
      </c>
      <c r="BA1300" s="109" t="s">
        <v>432</v>
      </c>
      <c r="BB1300" s="239" t="str">
        <f t="shared" si="360"/>
        <v>Calçadas e passarelasacessibilidade</v>
      </c>
      <c r="BC1300" s="239" t="str">
        <f t="shared" si="361"/>
        <v>Calçadas e passarelasacessibilidadex</v>
      </c>
      <c r="BD1300" s="239" t="str">
        <f t="shared" si="362"/>
        <v>Calçadas e passarelasx</v>
      </c>
    </row>
    <row r="1301" spans="1:56" s="1" customFormat="1" ht="38.25" x14ac:dyDescent="0.25">
      <c r="A1301" s="413" t="str">
        <f>'Q100b-totais'!B49</f>
        <v>6.1</v>
      </c>
      <c r="B1301" s="1205" t="str">
        <f>'Q100b-totais'!C49</f>
        <v>Calçadas e passarelas</v>
      </c>
      <c r="C1301" s="230" t="s">
        <v>743</v>
      </c>
      <c r="D1301" s="325" t="s">
        <v>3626</v>
      </c>
      <c r="E1301" s="1491" t="s">
        <v>1269</v>
      </c>
      <c r="F1301" s="1174" t="s">
        <v>3802</v>
      </c>
      <c r="G1301" s="1131" t="s">
        <v>77</v>
      </c>
      <c r="H1301" s="173" t="s">
        <v>432</v>
      </c>
      <c r="I1301" s="57">
        <v>1</v>
      </c>
      <c r="J1301" s="109" t="s">
        <v>432</v>
      </c>
      <c r="K1301" s="109" t="s">
        <v>432</v>
      </c>
      <c r="L1301" s="109" t="s">
        <v>432</v>
      </c>
      <c r="M1301" s="109" t="s">
        <v>432</v>
      </c>
      <c r="N1301" s="109" t="s">
        <v>432</v>
      </c>
      <c r="O1301" s="109" t="s">
        <v>432</v>
      </c>
      <c r="P1301" s="109" t="s">
        <v>432</v>
      </c>
      <c r="Q1301" s="109" t="s">
        <v>432</v>
      </c>
      <c r="R1301" s="109" t="s">
        <v>432</v>
      </c>
      <c r="S1301" s="109" t="s">
        <v>2209</v>
      </c>
      <c r="T1301" s="109" t="s">
        <v>432</v>
      </c>
      <c r="U1301" s="109" t="s">
        <v>432</v>
      </c>
      <c r="V1301" s="109" t="s">
        <v>2209</v>
      </c>
      <c r="W1301" s="109" t="s">
        <v>432</v>
      </c>
      <c r="X1301" s="109" t="s">
        <v>432</v>
      </c>
      <c r="Y1301" s="109" t="s">
        <v>432</v>
      </c>
      <c r="Z1301" s="109" t="s">
        <v>432</v>
      </c>
      <c r="AA1301" s="109" t="s">
        <v>432</v>
      </c>
      <c r="AB1301" s="109" t="s">
        <v>432</v>
      </c>
      <c r="AC1301" s="109" t="s">
        <v>432</v>
      </c>
      <c r="AD1301" s="109" t="s">
        <v>432</v>
      </c>
      <c r="AE1301" s="109" t="s">
        <v>432</v>
      </c>
      <c r="AF1301" s="110">
        <v>0.55500000000000005</v>
      </c>
      <c r="AG1301" s="109" t="s">
        <v>432</v>
      </c>
      <c r="AH1301" s="109" t="s">
        <v>432</v>
      </c>
      <c r="AI1301" s="109" t="s">
        <v>432</v>
      </c>
      <c r="AJ1301" s="109" t="s">
        <v>432</v>
      </c>
      <c r="AK1301" s="109" t="s">
        <v>432</v>
      </c>
      <c r="AL1301" s="600" t="s">
        <v>432</v>
      </c>
      <c r="AM1301" s="109" t="s">
        <v>432</v>
      </c>
      <c r="AN1301" s="109" t="s">
        <v>432</v>
      </c>
      <c r="AO1301" s="109" t="s">
        <v>432</v>
      </c>
      <c r="AP1301" s="109" t="s">
        <v>432</v>
      </c>
      <c r="AQ1301" s="109" t="s">
        <v>432</v>
      </c>
      <c r="AR1301" s="109" t="s">
        <v>432</v>
      </c>
      <c r="AS1301" s="109" t="s">
        <v>432</v>
      </c>
      <c r="AT1301" s="109" t="s">
        <v>432</v>
      </c>
      <c r="AU1301" s="109" t="s">
        <v>432</v>
      </c>
      <c r="AV1301" s="109" t="s">
        <v>432</v>
      </c>
      <c r="AW1301" s="109" t="s">
        <v>432</v>
      </c>
      <c r="AX1301" s="109" t="s">
        <v>432</v>
      </c>
      <c r="AY1301" s="109" t="s">
        <v>432</v>
      </c>
      <c r="AZ1301" s="109" t="s">
        <v>432</v>
      </c>
      <c r="BA1301" s="109" t="s">
        <v>432</v>
      </c>
      <c r="BB1301" s="239" t="str">
        <f t="shared" si="360"/>
        <v>Calçadas e passarelasacessibilidade</v>
      </c>
      <c r="BC1301" s="239" t="str">
        <f t="shared" si="361"/>
        <v>Calçadas e passarelasacessibilidadex</v>
      </c>
      <c r="BD1301" s="239" t="str">
        <f t="shared" si="362"/>
        <v>Calçadas e passarelasx</v>
      </c>
    </row>
    <row r="1302" spans="1:56" s="1" customFormat="1" ht="38.25" x14ac:dyDescent="0.25">
      <c r="A1302" s="413" t="str">
        <f>'Q100b-totais'!B49</f>
        <v>6.1</v>
      </c>
      <c r="B1302" s="1205" t="str">
        <f>'Q100b-totais'!C49</f>
        <v>Calçadas e passarelas</v>
      </c>
      <c r="C1302" s="230" t="s">
        <v>743</v>
      </c>
      <c r="D1302" s="325" t="s">
        <v>3626</v>
      </c>
      <c r="E1302" s="1491" t="s">
        <v>3548</v>
      </c>
      <c r="F1302" s="1174" t="s">
        <v>3802</v>
      </c>
      <c r="G1302" s="1131" t="s">
        <v>77</v>
      </c>
      <c r="H1302" s="173" t="s">
        <v>432</v>
      </c>
      <c r="I1302" s="57">
        <v>1</v>
      </c>
      <c r="J1302" s="109" t="s">
        <v>432</v>
      </c>
      <c r="K1302" s="109" t="s">
        <v>432</v>
      </c>
      <c r="L1302" s="109" t="s">
        <v>432</v>
      </c>
      <c r="M1302" s="109" t="s">
        <v>432</v>
      </c>
      <c r="N1302" s="109" t="s">
        <v>432</v>
      </c>
      <c r="O1302" s="109" t="s">
        <v>432</v>
      </c>
      <c r="P1302" s="109" t="s">
        <v>432</v>
      </c>
      <c r="Q1302" s="109" t="s">
        <v>432</v>
      </c>
      <c r="R1302" s="109" t="s">
        <v>432</v>
      </c>
      <c r="S1302" s="109" t="s">
        <v>2209</v>
      </c>
      <c r="T1302" s="109" t="s">
        <v>432</v>
      </c>
      <c r="U1302" s="109" t="s">
        <v>432</v>
      </c>
      <c r="V1302" s="109" t="s">
        <v>2209</v>
      </c>
      <c r="W1302" s="109" t="s">
        <v>432</v>
      </c>
      <c r="X1302" s="109" t="s">
        <v>432</v>
      </c>
      <c r="Y1302" s="109" t="s">
        <v>432</v>
      </c>
      <c r="Z1302" s="109" t="s">
        <v>432</v>
      </c>
      <c r="AA1302" s="109" t="s">
        <v>432</v>
      </c>
      <c r="AB1302" s="109" t="s">
        <v>432</v>
      </c>
      <c r="AC1302" s="109" t="s">
        <v>432</v>
      </c>
      <c r="AD1302" s="109" t="s">
        <v>432</v>
      </c>
      <c r="AE1302" s="109" t="s">
        <v>432</v>
      </c>
      <c r="AF1302" s="110">
        <v>0.498</v>
      </c>
      <c r="AG1302" s="109" t="s">
        <v>432</v>
      </c>
      <c r="AH1302" s="109" t="s">
        <v>432</v>
      </c>
      <c r="AI1302" s="109" t="s">
        <v>432</v>
      </c>
      <c r="AJ1302" s="109" t="s">
        <v>432</v>
      </c>
      <c r="AK1302" s="109" t="s">
        <v>432</v>
      </c>
      <c r="AL1302" s="600" t="s">
        <v>432</v>
      </c>
      <c r="AM1302" s="109" t="s">
        <v>432</v>
      </c>
      <c r="AN1302" s="109" t="s">
        <v>432</v>
      </c>
      <c r="AO1302" s="109" t="s">
        <v>432</v>
      </c>
      <c r="AP1302" s="109" t="s">
        <v>432</v>
      </c>
      <c r="AQ1302" s="109" t="s">
        <v>432</v>
      </c>
      <c r="AR1302" s="109" t="s">
        <v>432</v>
      </c>
      <c r="AS1302" s="109" t="s">
        <v>432</v>
      </c>
      <c r="AT1302" s="109" t="s">
        <v>432</v>
      </c>
      <c r="AU1302" s="109" t="s">
        <v>432</v>
      </c>
      <c r="AV1302" s="109" t="s">
        <v>432</v>
      </c>
      <c r="AW1302" s="109" t="s">
        <v>432</v>
      </c>
      <c r="AX1302" s="109" t="s">
        <v>432</v>
      </c>
      <c r="AY1302" s="109" t="s">
        <v>432</v>
      </c>
      <c r="AZ1302" s="109" t="s">
        <v>432</v>
      </c>
      <c r="BA1302" s="109" t="s">
        <v>432</v>
      </c>
      <c r="BB1302" s="239" t="str">
        <f t="shared" si="360"/>
        <v>Calçadas e passarelasacessibilidade</v>
      </c>
      <c r="BC1302" s="239" t="str">
        <f t="shared" si="361"/>
        <v>Calçadas e passarelasacessibilidadex</v>
      </c>
      <c r="BD1302" s="239" t="str">
        <f t="shared" si="362"/>
        <v>Calçadas e passarelasx</v>
      </c>
    </row>
    <row r="1303" spans="1:56" s="1" customFormat="1" ht="38.25" x14ac:dyDescent="0.25">
      <c r="A1303" s="413" t="str">
        <f>'Q100b-totais'!B49</f>
        <v>6.1</v>
      </c>
      <c r="B1303" s="1205" t="str">
        <f>'Q100b-totais'!C49</f>
        <v>Calçadas e passarelas</v>
      </c>
      <c r="C1303" s="230" t="s">
        <v>743</v>
      </c>
      <c r="D1303" s="325" t="s">
        <v>3626</v>
      </c>
      <c r="E1303" s="1491" t="s">
        <v>1745</v>
      </c>
      <c r="F1303" s="1174" t="s">
        <v>3802</v>
      </c>
      <c r="G1303" s="1131" t="s">
        <v>77</v>
      </c>
      <c r="H1303" s="173" t="s">
        <v>432</v>
      </c>
      <c r="I1303" s="57">
        <v>1</v>
      </c>
      <c r="J1303" s="109" t="s">
        <v>432</v>
      </c>
      <c r="K1303" s="109" t="s">
        <v>432</v>
      </c>
      <c r="L1303" s="109" t="s">
        <v>432</v>
      </c>
      <c r="M1303" s="109" t="s">
        <v>432</v>
      </c>
      <c r="N1303" s="109" t="s">
        <v>432</v>
      </c>
      <c r="O1303" s="109" t="s">
        <v>432</v>
      </c>
      <c r="P1303" s="109" t="s">
        <v>432</v>
      </c>
      <c r="Q1303" s="109" t="s">
        <v>432</v>
      </c>
      <c r="R1303" s="109" t="s">
        <v>432</v>
      </c>
      <c r="S1303" s="109" t="s">
        <v>2209</v>
      </c>
      <c r="T1303" s="109" t="s">
        <v>432</v>
      </c>
      <c r="U1303" s="109" t="s">
        <v>432</v>
      </c>
      <c r="V1303" s="109" t="s">
        <v>2209</v>
      </c>
      <c r="W1303" s="109" t="s">
        <v>432</v>
      </c>
      <c r="X1303" s="109" t="s">
        <v>432</v>
      </c>
      <c r="Y1303" s="109" t="s">
        <v>432</v>
      </c>
      <c r="Z1303" s="109" t="s">
        <v>432</v>
      </c>
      <c r="AA1303" s="109" t="s">
        <v>432</v>
      </c>
      <c r="AB1303" s="109" t="s">
        <v>432</v>
      </c>
      <c r="AC1303" s="109" t="s">
        <v>432</v>
      </c>
      <c r="AD1303" s="109" t="s">
        <v>432</v>
      </c>
      <c r="AE1303" s="109" t="s">
        <v>432</v>
      </c>
      <c r="AF1303" s="110">
        <v>0.66400000000000003</v>
      </c>
      <c r="AG1303" s="109" t="s">
        <v>432</v>
      </c>
      <c r="AH1303" s="109" t="s">
        <v>432</v>
      </c>
      <c r="AI1303" s="109" t="s">
        <v>432</v>
      </c>
      <c r="AJ1303" s="109" t="s">
        <v>432</v>
      </c>
      <c r="AK1303" s="109" t="s">
        <v>432</v>
      </c>
      <c r="AL1303" s="600" t="s">
        <v>432</v>
      </c>
      <c r="AM1303" s="109" t="s">
        <v>432</v>
      </c>
      <c r="AN1303" s="109" t="s">
        <v>432</v>
      </c>
      <c r="AO1303" s="109" t="s">
        <v>432</v>
      </c>
      <c r="AP1303" s="109" t="s">
        <v>432</v>
      </c>
      <c r="AQ1303" s="109" t="s">
        <v>432</v>
      </c>
      <c r="AR1303" s="109" t="s">
        <v>432</v>
      </c>
      <c r="AS1303" s="109" t="s">
        <v>432</v>
      </c>
      <c r="AT1303" s="109" t="s">
        <v>432</v>
      </c>
      <c r="AU1303" s="109" t="s">
        <v>432</v>
      </c>
      <c r="AV1303" s="109" t="s">
        <v>432</v>
      </c>
      <c r="AW1303" s="109" t="s">
        <v>432</v>
      </c>
      <c r="AX1303" s="109" t="s">
        <v>432</v>
      </c>
      <c r="AY1303" s="109" t="s">
        <v>432</v>
      </c>
      <c r="AZ1303" s="109" t="s">
        <v>432</v>
      </c>
      <c r="BA1303" s="109" t="s">
        <v>432</v>
      </c>
      <c r="BB1303" s="239" t="str">
        <f t="shared" si="360"/>
        <v>Calçadas e passarelasacessibilidade</v>
      </c>
      <c r="BC1303" s="239" t="str">
        <f t="shared" si="361"/>
        <v>Calçadas e passarelasacessibilidadex</v>
      </c>
      <c r="BD1303" s="239" t="str">
        <f t="shared" si="362"/>
        <v>Calçadas e passarelasx</v>
      </c>
    </row>
    <row r="1304" spans="1:56" s="1" customFormat="1" ht="38.25" x14ac:dyDescent="0.25">
      <c r="A1304" s="413" t="str">
        <f>'Q100b-totais'!B49</f>
        <v>6.1</v>
      </c>
      <c r="B1304" s="1205" t="str">
        <f>'Q100b-totais'!C49</f>
        <v>Calçadas e passarelas</v>
      </c>
      <c r="C1304" s="230" t="s">
        <v>743</v>
      </c>
      <c r="D1304" s="325" t="s">
        <v>3626</v>
      </c>
      <c r="E1304" s="1491" t="s">
        <v>1746</v>
      </c>
      <c r="F1304" s="1174" t="s">
        <v>3802</v>
      </c>
      <c r="G1304" s="1131" t="s">
        <v>77</v>
      </c>
      <c r="H1304" s="173" t="s">
        <v>432</v>
      </c>
      <c r="I1304" s="57">
        <v>1</v>
      </c>
      <c r="J1304" s="109" t="s">
        <v>432</v>
      </c>
      <c r="K1304" s="109" t="s">
        <v>432</v>
      </c>
      <c r="L1304" s="109" t="s">
        <v>432</v>
      </c>
      <c r="M1304" s="109" t="s">
        <v>432</v>
      </c>
      <c r="N1304" s="109" t="s">
        <v>432</v>
      </c>
      <c r="O1304" s="109" t="s">
        <v>432</v>
      </c>
      <c r="P1304" s="109" t="s">
        <v>432</v>
      </c>
      <c r="Q1304" s="109" t="s">
        <v>432</v>
      </c>
      <c r="R1304" s="109" t="s">
        <v>432</v>
      </c>
      <c r="S1304" s="109" t="s">
        <v>2209</v>
      </c>
      <c r="T1304" s="109" t="s">
        <v>432</v>
      </c>
      <c r="U1304" s="109" t="s">
        <v>432</v>
      </c>
      <c r="V1304" s="109" t="s">
        <v>2209</v>
      </c>
      <c r="W1304" s="109" t="s">
        <v>432</v>
      </c>
      <c r="X1304" s="109" t="s">
        <v>432</v>
      </c>
      <c r="Y1304" s="109" t="s">
        <v>432</v>
      </c>
      <c r="Z1304" s="109" t="s">
        <v>432</v>
      </c>
      <c r="AA1304" s="109" t="s">
        <v>432</v>
      </c>
      <c r="AB1304" s="109" t="s">
        <v>432</v>
      </c>
      <c r="AC1304" s="109" t="s">
        <v>432</v>
      </c>
      <c r="AD1304" s="109" t="s">
        <v>432</v>
      </c>
      <c r="AE1304" s="109" t="s">
        <v>432</v>
      </c>
      <c r="AF1304" s="110">
        <v>0.60699999999999998</v>
      </c>
      <c r="AG1304" s="109" t="s">
        <v>432</v>
      </c>
      <c r="AH1304" s="109" t="s">
        <v>432</v>
      </c>
      <c r="AI1304" s="109" t="s">
        <v>432</v>
      </c>
      <c r="AJ1304" s="109" t="s">
        <v>432</v>
      </c>
      <c r="AK1304" s="109" t="s">
        <v>432</v>
      </c>
      <c r="AL1304" s="600" t="s">
        <v>432</v>
      </c>
      <c r="AM1304" s="109" t="s">
        <v>432</v>
      </c>
      <c r="AN1304" s="109" t="s">
        <v>432</v>
      </c>
      <c r="AO1304" s="109" t="s">
        <v>432</v>
      </c>
      <c r="AP1304" s="109" t="s">
        <v>432</v>
      </c>
      <c r="AQ1304" s="109" t="s">
        <v>432</v>
      </c>
      <c r="AR1304" s="109" t="s">
        <v>432</v>
      </c>
      <c r="AS1304" s="109" t="s">
        <v>432</v>
      </c>
      <c r="AT1304" s="109" t="s">
        <v>432</v>
      </c>
      <c r="AU1304" s="109" t="s">
        <v>432</v>
      </c>
      <c r="AV1304" s="109" t="s">
        <v>432</v>
      </c>
      <c r="AW1304" s="109" t="s">
        <v>432</v>
      </c>
      <c r="AX1304" s="109" t="s">
        <v>432</v>
      </c>
      <c r="AY1304" s="109" t="s">
        <v>432</v>
      </c>
      <c r="AZ1304" s="109" t="s">
        <v>432</v>
      </c>
      <c r="BA1304" s="109" t="s">
        <v>432</v>
      </c>
      <c r="BB1304" s="239" t="str">
        <f t="shared" si="360"/>
        <v>Calçadas e passarelasacessibilidade</v>
      </c>
      <c r="BC1304" s="239" t="str">
        <f t="shared" si="361"/>
        <v>Calçadas e passarelasacessibilidadex</v>
      </c>
      <c r="BD1304" s="239" t="str">
        <f t="shared" si="362"/>
        <v>Calçadas e passarelasx</v>
      </c>
    </row>
    <row r="1305" spans="1:56" s="1" customFormat="1" ht="38.25" x14ac:dyDescent="0.25">
      <c r="A1305" s="413" t="str">
        <f>'Q100b-totais'!B49</f>
        <v>6.1</v>
      </c>
      <c r="B1305" s="1205" t="str">
        <f>'Q100b-totais'!C49</f>
        <v>Calçadas e passarelas</v>
      </c>
      <c r="C1305" s="230" t="s">
        <v>743</v>
      </c>
      <c r="D1305" s="325" t="s">
        <v>3626</v>
      </c>
      <c r="E1305" s="1491" t="s">
        <v>1747</v>
      </c>
      <c r="F1305" s="1174" t="s">
        <v>3802</v>
      </c>
      <c r="G1305" s="1131" t="s">
        <v>77</v>
      </c>
      <c r="H1305" s="173" t="s">
        <v>432</v>
      </c>
      <c r="I1305" s="57">
        <v>1</v>
      </c>
      <c r="J1305" s="109" t="s">
        <v>432</v>
      </c>
      <c r="K1305" s="109" t="s">
        <v>432</v>
      </c>
      <c r="L1305" s="109" t="s">
        <v>432</v>
      </c>
      <c r="M1305" s="109" t="s">
        <v>432</v>
      </c>
      <c r="N1305" s="109" t="s">
        <v>432</v>
      </c>
      <c r="O1305" s="109" t="s">
        <v>432</v>
      </c>
      <c r="P1305" s="109" t="s">
        <v>432</v>
      </c>
      <c r="Q1305" s="109" t="s">
        <v>432</v>
      </c>
      <c r="R1305" s="109" t="s">
        <v>432</v>
      </c>
      <c r="S1305" s="109" t="s">
        <v>2209</v>
      </c>
      <c r="T1305" s="109" t="s">
        <v>432</v>
      </c>
      <c r="U1305" s="109" t="s">
        <v>432</v>
      </c>
      <c r="V1305" s="109" t="s">
        <v>2209</v>
      </c>
      <c r="W1305" s="109" t="s">
        <v>432</v>
      </c>
      <c r="X1305" s="109" t="s">
        <v>432</v>
      </c>
      <c r="Y1305" s="109" t="s">
        <v>432</v>
      </c>
      <c r="Z1305" s="109" t="s">
        <v>432</v>
      </c>
      <c r="AA1305" s="109" t="s">
        <v>432</v>
      </c>
      <c r="AB1305" s="109" t="s">
        <v>432</v>
      </c>
      <c r="AC1305" s="109" t="s">
        <v>432</v>
      </c>
      <c r="AD1305" s="109" t="s">
        <v>432</v>
      </c>
      <c r="AE1305" s="109" t="s">
        <v>432</v>
      </c>
      <c r="AF1305" s="110">
        <v>0.34399999999999997</v>
      </c>
      <c r="AG1305" s="109" t="s">
        <v>432</v>
      </c>
      <c r="AH1305" s="109" t="s">
        <v>432</v>
      </c>
      <c r="AI1305" s="109" t="s">
        <v>432</v>
      </c>
      <c r="AJ1305" s="109" t="s">
        <v>432</v>
      </c>
      <c r="AK1305" s="109" t="s">
        <v>432</v>
      </c>
      <c r="AL1305" s="600" t="s">
        <v>432</v>
      </c>
      <c r="AM1305" s="109" t="s">
        <v>432</v>
      </c>
      <c r="AN1305" s="109" t="s">
        <v>432</v>
      </c>
      <c r="AO1305" s="109" t="s">
        <v>432</v>
      </c>
      <c r="AP1305" s="109" t="s">
        <v>432</v>
      </c>
      <c r="AQ1305" s="109" t="s">
        <v>432</v>
      </c>
      <c r="AR1305" s="109" t="s">
        <v>432</v>
      </c>
      <c r="AS1305" s="109" t="s">
        <v>432</v>
      </c>
      <c r="AT1305" s="109" t="s">
        <v>432</v>
      </c>
      <c r="AU1305" s="109" t="s">
        <v>432</v>
      </c>
      <c r="AV1305" s="109" t="s">
        <v>432</v>
      </c>
      <c r="AW1305" s="109" t="s">
        <v>432</v>
      </c>
      <c r="AX1305" s="109" t="s">
        <v>432</v>
      </c>
      <c r="AY1305" s="109" t="s">
        <v>432</v>
      </c>
      <c r="AZ1305" s="109" t="s">
        <v>432</v>
      </c>
      <c r="BA1305" s="109" t="s">
        <v>432</v>
      </c>
      <c r="BB1305" s="239" t="str">
        <f t="shared" si="360"/>
        <v>Calçadas e passarelasacessibilidade</v>
      </c>
      <c r="BC1305" s="239" t="str">
        <f t="shared" si="361"/>
        <v>Calçadas e passarelasacessibilidadex</v>
      </c>
      <c r="BD1305" s="239" t="str">
        <f t="shared" si="362"/>
        <v>Calçadas e passarelasx</v>
      </c>
    </row>
    <row r="1306" spans="1:56" s="1" customFormat="1" ht="38.25" x14ac:dyDescent="0.25">
      <c r="A1306" s="413" t="str">
        <f>'Q100b-totais'!B49</f>
        <v>6.1</v>
      </c>
      <c r="B1306" s="1205" t="str">
        <f>'Q100b-totais'!C49</f>
        <v>Calçadas e passarelas</v>
      </c>
      <c r="C1306" s="230" t="s">
        <v>743</v>
      </c>
      <c r="D1306" s="325" t="s">
        <v>3626</v>
      </c>
      <c r="E1306" s="1491" t="s">
        <v>1748</v>
      </c>
      <c r="F1306" s="1174" t="s">
        <v>3802</v>
      </c>
      <c r="G1306" s="1131" t="s">
        <v>77</v>
      </c>
      <c r="H1306" s="173" t="s">
        <v>432</v>
      </c>
      <c r="I1306" s="57">
        <v>1</v>
      </c>
      <c r="J1306" s="109" t="s">
        <v>432</v>
      </c>
      <c r="K1306" s="109" t="s">
        <v>432</v>
      </c>
      <c r="L1306" s="109" t="s">
        <v>432</v>
      </c>
      <c r="M1306" s="109" t="s">
        <v>432</v>
      </c>
      <c r="N1306" s="109" t="s">
        <v>432</v>
      </c>
      <c r="O1306" s="109" t="s">
        <v>432</v>
      </c>
      <c r="P1306" s="109" t="s">
        <v>432</v>
      </c>
      <c r="Q1306" s="109" t="s">
        <v>432</v>
      </c>
      <c r="R1306" s="109" t="s">
        <v>432</v>
      </c>
      <c r="S1306" s="109" t="s">
        <v>2209</v>
      </c>
      <c r="T1306" s="109" t="s">
        <v>432</v>
      </c>
      <c r="U1306" s="109" t="s">
        <v>432</v>
      </c>
      <c r="V1306" s="109" t="s">
        <v>2209</v>
      </c>
      <c r="W1306" s="109" t="s">
        <v>432</v>
      </c>
      <c r="X1306" s="109" t="s">
        <v>432</v>
      </c>
      <c r="Y1306" s="109" t="s">
        <v>432</v>
      </c>
      <c r="Z1306" s="109" t="s">
        <v>432</v>
      </c>
      <c r="AA1306" s="109" t="s">
        <v>432</v>
      </c>
      <c r="AB1306" s="109" t="s">
        <v>432</v>
      </c>
      <c r="AC1306" s="109" t="s">
        <v>432</v>
      </c>
      <c r="AD1306" s="109" t="s">
        <v>432</v>
      </c>
      <c r="AE1306" s="109" t="s">
        <v>432</v>
      </c>
      <c r="AF1306" s="110">
        <v>0.45500000000000002</v>
      </c>
      <c r="AG1306" s="109" t="s">
        <v>432</v>
      </c>
      <c r="AH1306" s="109" t="s">
        <v>432</v>
      </c>
      <c r="AI1306" s="109" t="s">
        <v>432</v>
      </c>
      <c r="AJ1306" s="109" t="s">
        <v>432</v>
      </c>
      <c r="AK1306" s="109" t="s">
        <v>432</v>
      </c>
      <c r="AL1306" s="600" t="s">
        <v>432</v>
      </c>
      <c r="AM1306" s="109" t="s">
        <v>432</v>
      </c>
      <c r="AN1306" s="109" t="s">
        <v>432</v>
      </c>
      <c r="AO1306" s="109" t="s">
        <v>432</v>
      </c>
      <c r="AP1306" s="109" t="s">
        <v>432</v>
      </c>
      <c r="AQ1306" s="109" t="s">
        <v>432</v>
      </c>
      <c r="AR1306" s="109" t="s">
        <v>432</v>
      </c>
      <c r="AS1306" s="109" t="s">
        <v>432</v>
      </c>
      <c r="AT1306" s="109" t="s">
        <v>432</v>
      </c>
      <c r="AU1306" s="109" t="s">
        <v>432</v>
      </c>
      <c r="AV1306" s="109" t="s">
        <v>432</v>
      </c>
      <c r="AW1306" s="109" t="s">
        <v>432</v>
      </c>
      <c r="AX1306" s="109" t="s">
        <v>432</v>
      </c>
      <c r="AY1306" s="109" t="s">
        <v>432</v>
      </c>
      <c r="AZ1306" s="109" t="s">
        <v>432</v>
      </c>
      <c r="BA1306" s="109" t="s">
        <v>432</v>
      </c>
      <c r="BB1306" s="239" t="str">
        <f t="shared" si="360"/>
        <v>Calçadas e passarelasacessibilidade</v>
      </c>
      <c r="BC1306" s="239" t="str">
        <f t="shared" si="361"/>
        <v>Calçadas e passarelasacessibilidadex</v>
      </c>
      <c r="BD1306" s="239" t="str">
        <f t="shared" si="362"/>
        <v>Calçadas e passarelasx</v>
      </c>
    </row>
    <row r="1307" spans="1:56" s="1" customFormat="1" ht="38.25" x14ac:dyDescent="0.25">
      <c r="A1307" s="413" t="str">
        <f>'Q100b-totais'!B49</f>
        <v>6.1</v>
      </c>
      <c r="B1307" s="1205" t="str">
        <f>'Q100b-totais'!C49</f>
        <v>Calçadas e passarelas</v>
      </c>
      <c r="C1307" s="230" t="s">
        <v>743</v>
      </c>
      <c r="D1307" s="325" t="s">
        <v>3626</v>
      </c>
      <c r="E1307" s="1491" t="s">
        <v>1749</v>
      </c>
      <c r="F1307" s="1174" t="s">
        <v>3802</v>
      </c>
      <c r="G1307" s="1131" t="s">
        <v>77</v>
      </c>
      <c r="H1307" s="173" t="s">
        <v>432</v>
      </c>
      <c r="I1307" s="57">
        <v>1</v>
      </c>
      <c r="J1307" s="109" t="s">
        <v>432</v>
      </c>
      <c r="K1307" s="109" t="s">
        <v>432</v>
      </c>
      <c r="L1307" s="109" t="s">
        <v>432</v>
      </c>
      <c r="M1307" s="109" t="s">
        <v>432</v>
      </c>
      <c r="N1307" s="109" t="s">
        <v>432</v>
      </c>
      <c r="O1307" s="109" t="s">
        <v>432</v>
      </c>
      <c r="P1307" s="109" t="s">
        <v>432</v>
      </c>
      <c r="Q1307" s="109" t="s">
        <v>432</v>
      </c>
      <c r="R1307" s="109" t="s">
        <v>432</v>
      </c>
      <c r="S1307" s="109" t="s">
        <v>2209</v>
      </c>
      <c r="T1307" s="109" t="s">
        <v>432</v>
      </c>
      <c r="U1307" s="109" t="s">
        <v>432</v>
      </c>
      <c r="V1307" s="109" t="s">
        <v>2209</v>
      </c>
      <c r="W1307" s="109" t="s">
        <v>432</v>
      </c>
      <c r="X1307" s="109" t="s">
        <v>432</v>
      </c>
      <c r="Y1307" s="109" t="s">
        <v>432</v>
      </c>
      <c r="Z1307" s="109" t="s">
        <v>432</v>
      </c>
      <c r="AA1307" s="109" t="s">
        <v>432</v>
      </c>
      <c r="AB1307" s="109" t="s">
        <v>432</v>
      </c>
      <c r="AC1307" s="109" t="s">
        <v>432</v>
      </c>
      <c r="AD1307" s="109" t="s">
        <v>432</v>
      </c>
      <c r="AE1307" s="109" t="s">
        <v>432</v>
      </c>
      <c r="AF1307" s="110">
        <v>0.56699999999999995</v>
      </c>
      <c r="AG1307" s="109" t="s">
        <v>432</v>
      </c>
      <c r="AH1307" s="109" t="s">
        <v>432</v>
      </c>
      <c r="AI1307" s="109" t="s">
        <v>432</v>
      </c>
      <c r="AJ1307" s="109" t="s">
        <v>432</v>
      </c>
      <c r="AK1307" s="109" t="s">
        <v>432</v>
      </c>
      <c r="AL1307" s="600" t="s">
        <v>432</v>
      </c>
      <c r="AM1307" s="109" t="s">
        <v>432</v>
      </c>
      <c r="AN1307" s="109" t="s">
        <v>432</v>
      </c>
      <c r="AO1307" s="109" t="s">
        <v>432</v>
      </c>
      <c r="AP1307" s="109" t="s">
        <v>432</v>
      </c>
      <c r="AQ1307" s="109" t="s">
        <v>432</v>
      </c>
      <c r="AR1307" s="109" t="s">
        <v>432</v>
      </c>
      <c r="AS1307" s="109" t="s">
        <v>432</v>
      </c>
      <c r="AT1307" s="109" t="s">
        <v>432</v>
      </c>
      <c r="AU1307" s="109" t="s">
        <v>432</v>
      </c>
      <c r="AV1307" s="109" t="s">
        <v>432</v>
      </c>
      <c r="AW1307" s="109" t="s">
        <v>432</v>
      </c>
      <c r="AX1307" s="109" t="s">
        <v>432</v>
      </c>
      <c r="AY1307" s="109" t="s">
        <v>432</v>
      </c>
      <c r="AZ1307" s="109" t="s">
        <v>432</v>
      </c>
      <c r="BA1307" s="109" t="s">
        <v>432</v>
      </c>
      <c r="BB1307" s="239" t="str">
        <f t="shared" si="360"/>
        <v>Calçadas e passarelasacessibilidade</v>
      </c>
      <c r="BC1307" s="239" t="str">
        <f t="shared" si="361"/>
        <v>Calçadas e passarelasacessibilidadex</v>
      </c>
      <c r="BD1307" s="239" t="str">
        <f t="shared" si="362"/>
        <v>Calçadas e passarelasx</v>
      </c>
    </row>
    <row r="1308" spans="1:56" s="1" customFormat="1" ht="38.25" x14ac:dyDescent="0.25">
      <c r="A1308" s="413" t="str">
        <f>'Q100b-totais'!B49</f>
        <v>6.1</v>
      </c>
      <c r="B1308" s="1205" t="str">
        <f>'Q100b-totais'!C49</f>
        <v>Calçadas e passarelas</v>
      </c>
      <c r="C1308" s="230" t="s">
        <v>743</v>
      </c>
      <c r="D1308" s="325" t="s">
        <v>3626</v>
      </c>
      <c r="E1308" s="1491" t="s">
        <v>1750</v>
      </c>
      <c r="F1308" s="1174" t="s">
        <v>3802</v>
      </c>
      <c r="G1308" s="1131" t="s">
        <v>77</v>
      </c>
      <c r="H1308" s="173" t="s">
        <v>432</v>
      </c>
      <c r="I1308" s="57">
        <v>1</v>
      </c>
      <c r="J1308" s="109" t="s">
        <v>432</v>
      </c>
      <c r="K1308" s="109" t="s">
        <v>432</v>
      </c>
      <c r="L1308" s="109" t="s">
        <v>432</v>
      </c>
      <c r="M1308" s="109" t="s">
        <v>432</v>
      </c>
      <c r="N1308" s="109" t="s">
        <v>432</v>
      </c>
      <c r="O1308" s="109" t="s">
        <v>432</v>
      </c>
      <c r="P1308" s="109" t="s">
        <v>432</v>
      </c>
      <c r="Q1308" s="109" t="s">
        <v>432</v>
      </c>
      <c r="R1308" s="109" t="s">
        <v>432</v>
      </c>
      <c r="S1308" s="109" t="s">
        <v>2209</v>
      </c>
      <c r="T1308" s="109" t="s">
        <v>432</v>
      </c>
      <c r="U1308" s="109" t="s">
        <v>432</v>
      </c>
      <c r="V1308" s="109" t="s">
        <v>2209</v>
      </c>
      <c r="W1308" s="109" t="s">
        <v>432</v>
      </c>
      <c r="X1308" s="109" t="s">
        <v>432</v>
      </c>
      <c r="Y1308" s="109" t="s">
        <v>432</v>
      </c>
      <c r="Z1308" s="109" t="s">
        <v>432</v>
      </c>
      <c r="AA1308" s="109" t="s">
        <v>432</v>
      </c>
      <c r="AB1308" s="109" t="s">
        <v>432</v>
      </c>
      <c r="AC1308" s="109" t="s">
        <v>432</v>
      </c>
      <c r="AD1308" s="109" t="s">
        <v>432</v>
      </c>
      <c r="AE1308" s="109" t="s">
        <v>432</v>
      </c>
      <c r="AF1308" s="110">
        <v>0.441</v>
      </c>
      <c r="AG1308" s="109" t="s">
        <v>432</v>
      </c>
      <c r="AH1308" s="109" t="s">
        <v>432</v>
      </c>
      <c r="AI1308" s="109" t="s">
        <v>432</v>
      </c>
      <c r="AJ1308" s="109" t="s">
        <v>432</v>
      </c>
      <c r="AK1308" s="109" t="s">
        <v>432</v>
      </c>
      <c r="AL1308" s="600" t="s">
        <v>432</v>
      </c>
      <c r="AM1308" s="109" t="s">
        <v>432</v>
      </c>
      <c r="AN1308" s="109" t="s">
        <v>432</v>
      </c>
      <c r="AO1308" s="109" t="s">
        <v>432</v>
      </c>
      <c r="AP1308" s="109" t="s">
        <v>432</v>
      </c>
      <c r="AQ1308" s="109" t="s">
        <v>432</v>
      </c>
      <c r="AR1308" s="109" t="s">
        <v>432</v>
      </c>
      <c r="AS1308" s="109" t="s">
        <v>432</v>
      </c>
      <c r="AT1308" s="109" t="s">
        <v>432</v>
      </c>
      <c r="AU1308" s="109" t="s">
        <v>432</v>
      </c>
      <c r="AV1308" s="109" t="s">
        <v>432</v>
      </c>
      <c r="AW1308" s="109" t="s">
        <v>432</v>
      </c>
      <c r="AX1308" s="109" t="s">
        <v>432</v>
      </c>
      <c r="AY1308" s="109" t="s">
        <v>432</v>
      </c>
      <c r="AZ1308" s="109" t="s">
        <v>432</v>
      </c>
      <c r="BA1308" s="109" t="s">
        <v>432</v>
      </c>
      <c r="BB1308" s="239" t="str">
        <f t="shared" si="360"/>
        <v>Calçadas e passarelasacessibilidade</v>
      </c>
      <c r="BC1308" s="239" t="str">
        <f t="shared" si="361"/>
        <v>Calçadas e passarelasacessibilidadex</v>
      </c>
      <c r="BD1308" s="239" t="str">
        <f t="shared" si="362"/>
        <v>Calçadas e passarelasx</v>
      </c>
    </row>
    <row r="1309" spans="1:56" s="1" customFormat="1" ht="38.25" x14ac:dyDescent="0.25">
      <c r="A1309" s="413" t="str">
        <f>'Q100b-totais'!B49</f>
        <v>6.1</v>
      </c>
      <c r="B1309" s="1205" t="str">
        <f>'Q100b-totais'!C49</f>
        <v>Calçadas e passarelas</v>
      </c>
      <c r="C1309" s="230" t="s">
        <v>743</v>
      </c>
      <c r="D1309" s="325" t="s">
        <v>3626</v>
      </c>
      <c r="E1309" s="1491" t="s">
        <v>1751</v>
      </c>
      <c r="F1309" s="1174" t="s">
        <v>3802</v>
      </c>
      <c r="G1309" s="1131" t="s">
        <v>77</v>
      </c>
      <c r="H1309" s="173" t="s">
        <v>432</v>
      </c>
      <c r="I1309" s="57">
        <v>1</v>
      </c>
      <c r="J1309" s="109" t="s">
        <v>432</v>
      </c>
      <c r="K1309" s="109" t="s">
        <v>432</v>
      </c>
      <c r="L1309" s="109" t="s">
        <v>432</v>
      </c>
      <c r="M1309" s="109" t="s">
        <v>432</v>
      </c>
      <c r="N1309" s="109" t="s">
        <v>432</v>
      </c>
      <c r="O1309" s="109" t="s">
        <v>432</v>
      </c>
      <c r="P1309" s="109" t="s">
        <v>432</v>
      </c>
      <c r="Q1309" s="109" t="s">
        <v>432</v>
      </c>
      <c r="R1309" s="109" t="s">
        <v>432</v>
      </c>
      <c r="S1309" s="109" t="s">
        <v>2209</v>
      </c>
      <c r="T1309" s="109" t="s">
        <v>432</v>
      </c>
      <c r="U1309" s="109" t="s">
        <v>432</v>
      </c>
      <c r="V1309" s="109" t="s">
        <v>2209</v>
      </c>
      <c r="W1309" s="109" t="s">
        <v>432</v>
      </c>
      <c r="X1309" s="109" t="s">
        <v>432</v>
      </c>
      <c r="Y1309" s="109" t="s">
        <v>432</v>
      </c>
      <c r="Z1309" s="109" t="s">
        <v>432</v>
      </c>
      <c r="AA1309" s="109" t="s">
        <v>432</v>
      </c>
      <c r="AB1309" s="109" t="s">
        <v>432</v>
      </c>
      <c r="AC1309" s="109" t="s">
        <v>432</v>
      </c>
      <c r="AD1309" s="109" t="s">
        <v>432</v>
      </c>
      <c r="AE1309" s="109" t="s">
        <v>432</v>
      </c>
      <c r="AF1309" s="110">
        <v>0.40899999999999997</v>
      </c>
      <c r="AG1309" s="109" t="s">
        <v>432</v>
      </c>
      <c r="AH1309" s="109" t="s">
        <v>432</v>
      </c>
      <c r="AI1309" s="109" t="s">
        <v>432</v>
      </c>
      <c r="AJ1309" s="109" t="s">
        <v>432</v>
      </c>
      <c r="AK1309" s="109" t="s">
        <v>432</v>
      </c>
      <c r="AL1309" s="600" t="s">
        <v>432</v>
      </c>
      <c r="AM1309" s="109" t="s">
        <v>432</v>
      </c>
      <c r="AN1309" s="109" t="s">
        <v>432</v>
      </c>
      <c r="AO1309" s="109" t="s">
        <v>432</v>
      </c>
      <c r="AP1309" s="109" t="s">
        <v>432</v>
      </c>
      <c r="AQ1309" s="109" t="s">
        <v>432</v>
      </c>
      <c r="AR1309" s="109" t="s">
        <v>432</v>
      </c>
      <c r="AS1309" s="109" t="s">
        <v>432</v>
      </c>
      <c r="AT1309" s="109" t="s">
        <v>432</v>
      </c>
      <c r="AU1309" s="109" t="s">
        <v>432</v>
      </c>
      <c r="AV1309" s="109" t="s">
        <v>432</v>
      </c>
      <c r="AW1309" s="109" t="s">
        <v>432</v>
      </c>
      <c r="AX1309" s="109" t="s">
        <v>432</v>
      </c>
      <c r="AY1309" s="109" t="s">
        <v>432</v>
      </c>
      <c r="AZ1309" s="109" t="s">
        <v>432</v>
      </c>
      <c r="BA1309" s="109" t="s">
        <v>432</v>
      </c>
      <c r="BB1309" s="239" t="str">
        <f t="shared" si="360"/>
        <v>Calçadas e passarelasacessibilidade</v>
      </c>
      <c r="BC1309" s="239" t="str">
        <f t="shared" si="361"/>
        <v>Calçadas e passarelasacessibilidadex</v>
      </c>
      <c r="BD1309" s="239" t="str">
        <f t="shared" si="362"/>
        <v>Calçadas e passarelasx</v>
      </c>
    </row>
    <row r="1310" spans="1:56" s="1" customFormat="1" ht="38.25" x14ac:dyDescent="0.25">
      <c r="A1310" s="413" t="str">
        <f>'Q100b-totais'!B49</f>
        <v>6.1</v>
      </c>
      <c r="B1310" s="1205" t="str">
        <f>'Q100b-totais'!C49</f>
        <v>Calçadas e passarelas</v>
      </c>
      <c r="C1310" s="230" t="s">
        <v>743</v>
      </c>
      <c r="D1310" s="325" t="s">
        <v>3626</v>
      </c>
      <c r="E1310" s="1491" t="s">
        <v>1752</v>
      </c>
      <c r="F1310" s="1174" t="s">
        <v>3802</v>
      </c>
      <c r="G1310" s="1131" t="s">
        <v>77</v>
      </c>
      <c r="H1310" s="173" t="s">
        <v>432</v>
      </c>
      <c r="I1310" s="57">
        <v>1</v>
      </c>
      <c r="J1310" s="109" t="s">
        <v>432</v>
      </c>
      <c r="K1310" s="109" t="s">
        <v>432</v>
      </c>
      <c r="L1310" s="109" t="s">
        <v>432</v>
      </c>
      <c r="M1310" s="109" t="s">
        <v>432</v>
      </c>
      <c r="N1310" s="109" t="s">
        <v>432</v>
      </c>
      <c r="O1310" s="109" t="s">
        <v>432</v>
      </c>
      <c r="P1310" s="109" t="s">
        <v>432</v>
      </c>
      <c r="Q1310" s="109" t="s">
        <v>432</v>
      </c>
      <c r="R1310" s="109" t="s">
        <v>432</v>
      </c>
      <c r="S1310" s="109" t="s">
        <v>2209</v>
      </c>
      <c r="T1310" s="109" t="s">
        <v>432</v>
      </c>
      <c r="U1310" s="109" t="s">
        <v>432</v>
      </c>
      <c r="V1310" s="109" t="s">
        <v>2209</v>
      </c>
      <c r="W1310" s="109" t="s">
        <v>432</v>
      </c>
      <c r="X1310" s="109" t="s">
        <v>432</v>
      </c>
      <c r="Y1310" s="109" t="s">
        <v>432</v>
      </c>
      <c r="Z1310" s="109" t="s">
        <v>432</v>
      </c>
      <c r="AA1310" s="109" t="s">
        <v>432</v>
      </c>
      <c r="AB1310" s="109" t="s">
        <v>432</v>
      </c>
      <c r="AC1310" s="109" t="s">
        <v>432</v>
      </c>
      <c r="AD1310" s="109" t="s">
        <v>432</v>
      </c>
      <c r="AE1310" s="109" t="s">
        <v>432</v>
      </c>
      <c r="AF1310" s="110">
        <v>0.56399999999999995</v>
      </c>
      <c r="AG1310" s="109" t="s">
        <v>432</v>
      </c>
      <c r="AH1310" s="109" t="s">
        <v>432</v>
      </c>
      <c r="AI1310" s="109" t="s">
        <v>432</v>
      </c>
      <c r="AJ1310" s="109" t="s">
        <v>432</v>
      </c>
      <c r="AK1310" s="109" t="s">
        <v>432</v>
      </c>
      <c r="AL1310" s="600" t="s">
        <v>432</v>
      </c>
      <c r="AM1310" s="109" t="s">
        <v>432</v>
      </c>
      <c r="AN1310" s="109" t="s">
        <v>432</v>
      </c>
      <c r="AO1310" s="109" t="s">
        <v>432</v>
      </c>
      <c r="AP1310" s="109" t="s">
        <v>432</v>
      </c>
      <c r="AQ1310" s="109" t="s">
        <v>432</v>
      </c>
      <c r="AR1310" s="109" t="s">
        <v>432</v>
      </c>
      <c r="AS1310" s="109" t="s">
        <v>432</v>
      </c>
      <c r="AT1310" s="109" t="s">
        <v>432</v>
      </c>
      <c r="AU1310" s="109" t="s">
        <v>432</v>
      </c>
      <c r="AV1310" s="109" t="s">
        <v>432</v>
      </c>
      <c r="AW1310" s="109" t="s">
        <v>432</v>
      </c>
      <c r="AX1310" s="109" t="s">
        <v>432</v>
      </c>
      <c r="AY1310" s="109" t="s">
        <v>432</v>
      </c>
      <c r="AZ1310" s="109" t="s">
        <v>432</v>
      </c>
      <c r="BA1310" s="109" t="s">
        <v>432</v>
      </c>
      <c r="BB1310" s="239" t="str">
        <f t="shared" si="360"/>
        <v>Calçadas e passarelasacessibilidade</v>
      </c>
      <c r="BC1310" s="239" t="str">
        <f t="shared" si="361"/>
        <v>Calçadas e passarelasacessibilidadex</v>
      </c>
      <c r="BD1310" s="239" t="str">
        <f t="shared" si="362"/>
        <v>Calçadas e passarelasx</v>
      </c>
    </row>
    <row r="1311" spans="1:56" s="1" customFormat="1" ht="38.25" x14ac:dyDescent="0.25">
      <c r="A1311" s="413" t="str">
        <f>'Q100b-totais'!B49</f>
        <v>6.1</v>
      </c>
      <c r="B1311" s="1205" t="str">
        <f>'Q100b-totais'!C49</f>
        <v>Calçadas e passarelas</v>
      </c>
      <c r="C1311" s="230" t="s">
        <v>743</v>
      </c>
      <c r="D1311" s="325" t="s">
        <v>3626</v>
      </c>
      <c r="E1311" s="1491" t="s">
        <v>1753</v>
      </c>
      <c r="F1311" s="1174" t="s">
        <v>3802</v>
      </c>
      <c r="G1311" s="1131" t="s">
        <v>77</v>
      </c>
      <c r="H1311" s="173" t="s">
        <v>432</v>
      </c>
      <c r="I1311" s="57">
        <v>1</v>
      </c>
      <c r="J1311" s="109" t="s">
        <v>432</v>
      </c>
      <c r="K1311" s="109" t="s">
        <v>432</v>
      </c>
      <c r="L1311" s="109" t="s">
        <v>432</v>
      </c>
      <c r="M1311" s="109" t="s">
        <v>432</v>
      </c>
      <c r="N1311" s="109" t="s">
        <v>432</v>
      </c>
      <c r="O1311" s="109" t="s">
        <v>432</v>
      </c>
      <c r="P1311" s="109" t="s">
        <v>432</v>
      </c>
      <c r="Q1311" s="109" t="s">
        <v>432</v>
      </c>
      <c r="R1311" s="109" t="s">
        <v>432</v>
      </c>
      <c r="S1311" s="109" t="s">
        <v>2209</v>
      </c>
      <c r="T1311" s="109" t="s">
        <v>432</v>
      </c>
      <c r="U1311" s="109" t="s">
        <v>432</v>
      </c>
      <c r="V1311" s="109" t="s">
        <v>2209</v>
      </c>
      <c r="W1311" s="109" t="s">
        <v>432</v>
      </c>
      <c r="X1311" s="109" t="s">
        <v>432</v>
      </c>
      <c r="Y1311" s="109" t="s">
        <v>432</v>
      </c>
      <c r="Z1311" s="109" t="s">
        <v>432</v>
      </c>
      <c r="AA1311" s="109" t="s">
        <v>432</v>
      </c>
      <c r="AB1311" s="109" t="s">
        <v>432</v>
      </c>
      <c r="AC1311" s="109" t="s">
        <v>432</v>
      </c>
      <c r="AD1311" s="109" t="s">
        <v>432</v>
      </c>
      <c r="AE1311" s="109" t="s">
        <v>432</v>
      </c>
      <c r="AF1311" s="110">
        <v>0.70099999999999996</v>
      </c>
      <c r="AG1311" s="109" t="s">
        <v>432</v>
      </c>
      <c r="AH1311" s="109" t="s">
        <v>432</v>
      </c>
      <c r="AI1311" s="109" t="s">
        <v>432</v>
      </c>
      <c r="AJ1311" s="109" t="s">
        <v>432</v>
      </c>
      <c r="AK1311" s="109" t="s">
        <v>432</v>
      </c>
      <c r="AL1311" s="600" t="s">
        <v>432</v>
      </c>
      <c r="AM1311" s="109" t="s">
        <v>432</v>
      </c>
      <c r="AN1311" s="109" t="s">
        <v>432</v>
      </c>
      <c r="AO1311" s="109" t="s">
        <v>432</v>
      </c>
      <c r="AP1311" s="109" t="s">
        <v>432</v>
      </c>
      <c r="AQ1311" s="109" t="s">
        <v>432</v>
      </c>
      <c r="AR1311" s="109" t="s">
        <v>432</v>
      </c>
      <c r="AS1311" s="109" t="s">
        <v>432</v>
      </c>
      <c r="AT1311" s="109" t="s">
        <v>432</v>
      </c>
      <c r="AU1311" s="109" t="s">
        <v>432</v>
      </c>
      <c r="AV1311" s="109" t="s">
        <v>432</v>
      </c>
      <c r="AW1311" s="109" t="s">
        <v>432</v>
      </c>
      <c r="AX1311" s="109" t="s">
        <v>432</v>
      </c>
      <c r="AY1311" s="109" t="s">
        <v>432</v>
      </c>
      <c r="AZ1311" s="109" t="s">
        <v>432</v>
      </c>
      <c r="BA1311" s="109" t="s">
        <v>432</v>
      </c>
      <c r="BB1311" s="239" t="str">
        <f t="shared" si="360"/>
        <v>Calçadas e passarelasacessibilidade</v>
      </c>
      <c r="BC1311" s="239" t="str">
        <f t="shared" si="361"/>
        <v>Calçadas e passarelasacessibilidadex</v>
      </c>
      <c r="BD1311" s="239" t="str">
        <f t="shared" si="362"/>
        <v>Calçadas e passarelasx</v>
      </c>
    </row>
    <row r="1312" spans="1:56" s="1" customFormat="1" ht="38.25" x14ac:dyDescent="0.25">
      <c r="A1312" s="413" t="str">
        <f>'Q100b-totais'!B49</f>
        <v>6.1</v>
      </c>
      <c r="B1312" s="1205" t="str">
        <f>'Q100b-totais'!C49</f>
        <v>Calçadas e passarelas</v>
      </c>
      <c r="C1312" s="230" t="s">
        <v>743</v>
      </c>
      <c r="D1312" s="325" t="s">
        <v>3626</v>
      </c>
      <c r="E1312" s="1491" t="s">
        <v>1754</v>
      </c>
      <c r="F1312" s="1174" t="s">
        <v>3802</v>
      </c>
      <c r="G1312" s="1131" t="s">
        <v>77</v>
      </c>
      <c r="H1312" s="173" t="s">
        <v>432</v>
      </c>
      <c r="I1312" s="57">
        <v>1</v>
      </c>
      <c r="J1312" s="109" t="s">
        <v>432</v>
      </c>
      <c r="K1312" s="109" t="s">
        <v>432</v>
      </c>
      <c r="L1312" s="109" t="s">
        <v>432</v>
      </c>
      <c r="M1312" s="109" t="s">
        <v>432</v>
      </c>
      <c r="N1312" s="109" t="s">
        <v>432</v>
      </c>
      <c r="O1312" s="109" t="s">
        <v>432</v>
      </c>
      <c r="P1312" s="109" t="s">
        <v>432</v>
      </c>
      <c r="Q1312" s="109" t="s">
        <v>432</v>
      </c>
      <c r="R1312" s="109" t="s">
        <v>432</v>
      </c>
      <c r="S1312" s="109" t="s">
        <v>2209</v>
      </c>
      <c r="T1312" s="109" t="s">
        <v>432</v>
      </c>
      <c r="U1312" s="109" t="s">
        <v>432</v>
      </c>
      <c r="V1312" s="109" t="s">
        <v>2209</v>
      </c>
      <c r="W1312" s="109" t="s">
        <v>432</v>
      </c>
      <c r="X1312" s="109" t="s">
        <v>432</v>
      </c>
      <c r="Y1312" s="109" t="s">
        <v>432</v>
      </c>
      <c r="Z1312" s="109" t="s">
        <v>432</v>
      </c>
      <c r="AA1312" s="109" t="s">
        <v>432</v>
      </c>
      <c r="AB1312" s="109" t="s">
        <v>432</v>
      </c>
      <c r="AC1312" s="109" t="s">
        <v>432</v>
      </c>
      <c r="AD1312" s="109" t="s">
        <v>432</v>
      </c>
      <c r="AE1312" s="109" t="s">
        <v>432</v>
      </c>
      <c r="AF1312" s="110">
        <v>0.502</v>
      </c>
      <c r="AG1312" s="109" t="s">
        <v>432</v>
      </c>
      <c r="AH1312" s="109" t="s">
        <v>432</v>
      </c>
      <c r="AI1312" s="109" t="s">
        <v>432</v>
      </c>
      <c r="AJ1312" s="109" t="s">
        <v>432</v>
      </c>
      <c r="AK1312" s="109" t="s">
        <v>432</v>
      </c>
      <c r="AL1312" s="600" t="s">
        <v>432</v>
      </c>
      <c r="AM1312" s="109" t="s">
        <v>432</v>
      </c>
      <c r="AN1312" s="109" t="s">
        <v>432</v>
      </c>
      <c r="AO1312" s="109" t="s">
        <v>432</v>
      </c>
      <c r="AP1312" s="109" t="s">
        <v>432</v>
      </c>
      <c r="AQ1312" s="109" t="s">
        <v>432</v>
      </c>
      <c r="AR1312" s="109" t="s">
        <v>432</v>
      </c>
      <c r="AS1312" s="109" t="s">
        <v>432</v>
      </c>
      <c r="AT1312" s="109" t="s">
        <v>432</v>
      </c>
      <c r="AU1312" s="109" t="s">
        <v>432</v>
      </c>
      <c r="AV1312" s="109" t="s">
        <v>432</v>
      </c>
      <c r="AW1312" s="109" t="s">
        <v>432</v>
      </c>
      <c r="AX1312" s="109" t="s">
        <v>432</v>
      </c>
      <c r="AY1312" s="109" t="s">
        <v>432</v>
      </c>
      <c r="AZ1312" s="109" t="s">
        <v>432</v>
      </c>
      <c r="BA1312" s="109" t="s">
        <v>432</v>
      </c>
      <c r="BB1312" s="239" t="str">
        <f t="shared" si="360"/>
        <v>Calçadas e passarelasacessibilidade</v>
      </c>
      <c r="BC1312" s="239" t="str">
        <f t="shared" si="361"/>
        <v>Calçadas e passarelasacessibilidadex</v>
      </c>
      <c r="BD1312" s="239" t="str">
        <f t="shared" si="362"/>
        <v>Calçadas e passarelasx</v>
      </c>
    </row>
    <row r="1313" spans="1:56" s="1" customFormat="1" ht="38.25" x14ac:dyDescent="0.25">
      <c r="A1313" s="413" t="str">
        <f>'Q100b-totais'!B49</f>
        <v>6.1</v>
      </c>
      <c r="B1313" s="1205" t="str">
        <f>'Q100b-totais'!C49</f>
        <v>Calçadas e passarelas</v>
      </c>
      <c r="C1313" s="230" t="s">
        <v>743</v>
      </c>
      <c r="D1313" s="325" t="s">
        <v>3626</v>
      </c>
      <c r="E1313" s="1491" t="s">
        <v>1755</v>
      </c>
      <c r="F1313" s="1174" t="s">
        <v>3802</v>
      </c>
      <c r="G1313" s="1131" t="s">
        <v>77</v>
      </c>
      <c r="H1313" s="173" t="s">
        <v>432</v>
      </c>
      <c r="I1313" s="57">
        <v>1</v>
      </c>
      <c r="J1313" s="109" t="s">
        <v>432</v>
      </c>
      <c r="K1313" s="109" t="s">
        <v>432</v>
      </c>
      <c r="L1313" s="109" t="s">
        <v>432</v>
      </c>
      <c r="M1313" s="109" t="s">
        <v>432</v>
      </c>
      <c r="N1313" s="109" t="s">
        <v>432</v>
      </c>
      <c r="O1313" s="109" t="s">
        <v>432</v>
      </c>
      <c r="P1313" s="109" t="s">
        <v>432</v>
      </c>
      <c r="Q1313" s="109" t="s">
        <v>432</v>
      </c>
      <c r="R1313" s="109" t="s">
        <v>432</v>
      </c>
      <c r="S1313" s="109" t="s">
        <v>2209</v>
      </c>
      <c r="T1313" s="109" t="s">
        <v>432</v>
      </c>
      <c r="U1313" s="109" t="s">
        <v>432</v>
      </c>
      <c r="V1313" s="109" t="s">
        <v>2209</v>
      </c>
      <c r="W1313" s="109" t="s">
        <v>432</v>
      </c>
      <c r="X1313" s="109" t="s">
        <v>432</v>
      </c>
      <c r="Y1313" s="109" t="s">
        <v>432</v>
      </c>
      <c r="Z1313" s="109" t="s">
        <v>432</v>
      </c>
      <c r="AA1313" s="109" t="s">
        <v>432</v>
      </c>
      <c r="AB1313" s="109" t="s">
        <v>432</v>
      </c>
      <c r="AC1313" s="109" t="s">
        <v>432</v>
      </c>
      <c r="AD1313" s="109" t="s">
        <v>432</v>
      </c>
      <c r="AE1313" s="109" t="s">
        <v>432</v>
      </c>
      <c r="AF1313" s="110">
        <v>0.68799999999999994</v>
      </c>
      <c r="AG1313" s="109" t="s">
        <v>432</v>
      </c>
      <c r="AH1313" s="109" t="s">
        <v>432</v>
      </c>
      <c r="AI1313" s="109" t="s">
        <v>432</v>
      </c>
      <c r="AJ1313" s="109" t="s">
        <v>432</v>
      </c>
      <c r="AK1313" s="109" t="s">
        <v>432</v>
      </c>
      <c r="AL1313" s="600" t="s">
        <v>432</v>
      </c>
      <c r="AM1313" s="109" t="s">
        <v>432</v>
      </c>
      <c r="AN1313" s="109" t="s">
        <v>432</v>
      </c>
      <c r="AO1313" s="109" t="s">
        <v>432</v>
      </c>
      <c r="AP1313" s="109" t="s">
        <v>432</v>
      </c>
      <c r="AQ1313" s="109" t="s">
        <v>432</v>
      </c>
      <c r="AR1313" s="109" t="s">
        <v>432</v>
      </c>
      <c r="AS1313" s="109" t="s">
        <v>432</v>
      </c>
      <c r="AT1313" s="109" t="s">
        <v>432</v>
      </c>
      <c r="AU1313" s="109" t="s">
        <v>432</v>
      </c>
      <c r="AV1313" s="109" t="s">
        <v>432</v>
      </c>
      <c r="AW1313" s="109" t="s">
        <v>432</v>
      </c>
      <c r="AX1313" s="109" t="s">
        <v>432</v>
      </c>
      <c r="AY1313" s="109" t="s">
        <v>432</v>
      </c>
      <c r="AZ1313" s="109" t="s">
        <v>432</v>
      </c>
      <c r="BA1313" s="109" t="s">
        <v>432</v>
      </c>
      <c r="BB1313" s="239" t="str">
        <f t="shared" si="360"/>
        <v>Calçadas e passarelasacessibilidade</v>
      </c>
      <c r="BC1313" s="239" t="str">
        <f t="shared" si="361"/>
        <v>Calçadas e passarelasacessibilidadex</v>
      </c>
      <c r="BD1313" s="239" t="str">
        <f t="shared" si="362"/>
        <v>Calçadas e passarelasx</v>
      </c>
    </row>
    <row r="1314" spans="1:56" s="1" customFormat="1" ht="38.25" x14ac:dyDescent="0.25">
      <c r="A1314" s="413" t="str">
        <f>'Q100b-totais'!B49</f>
        <v>6.1</v>
      </c>
      <c r="B1314" s="1205" t="str">
        <f>'Q100b-totais'!C49</f>
        <v>Calçadas e passarelas</v>
      </c>
      <c r="C1314" s="230" t="s">
        <v>743</v>
      </c>
      <c r="D1314" s="325" t="s">
        <v>3626</v>
      </c>
      <c r="E1314" s="1491" t="s">
        <v>1756</v>
      </c>
      <c r="F1314" s="1174" t="s">
        <v>3802</v>
      </c>
      <c r="G1314" s="1131" t="s">
        <v>77</v>
      </c>
      <c r="H1314" s="173" t="s">
        <v>432</v>
      </c>
      <c r="I1314" s="57">
        <v>1</v>
      </c>
      <c r="J1314" s="109" t="s">
        <v>432</v>
      </c>
      <c r="K1314" s="109" t="s">
        <v>432</v>
      </c>
      <c r="L1314" s="109" t="s">
        <v>432</v>
      </c>
      <c r="M1314" s="109" t="s">
        <v>432</v>
      </c>
      <c r="N1314" s="109" t="s">
        <v>432</v>
      </c>
      <c r="O1314" s="109" t="s">
        <v>432</v>
      </c>
      <c r="P1314" s="109" t="s">
        <v>432</v>
      </c>
      <c r="Q1314" s="109" t="s">
        <v>432</v>
      </c>
      <c r="R1314" s="109" t="s">
        <v>432</v>
      </c>
      <c r="S1314" s="109" t="s">
        <v>2209</v>
      </c>
      <c r="T1314" s="109" t="s">
        <v>432</v>
      </c>
      <c r="U1314" s="109" t="s">
        <v>432</v>
      </c>
      <c r="V1314" s="109" t="s">
        <v>2209</v>
      </c>
      <c r="W1314" s="109" t="s">
        <v>432</v>
      </c>
      <c r="X1314" s="109" t="s">
        <v>432</v>
      </c>
      <c r="Y1314" s="109" t="s">
        <v>432</v>
      </c>
      <c r="Z1314" s="109" t="s">
        <v>432</v>
      </c>
      <c r="AA1314" s="109" t="s">
        <v>432</v>
      </c>
      <c r="AB1314" s="109" t="s">
        <v>432</v>
      </c>
      <c r="AC1314" s="109" t="s">
        <v>432</v>
      </c>
      <c r="AD1314" s="109" t="s">
        <v>432</v>
      </c>
      <c r="AE1314" s="109" t="s">
        <v>432</v>
      </c>
      <c r="AF1314" s="110">
        <v>0.748</v>
      </c>
      <c r="AG1314" s="109" t="s">
        <v>432</v>
      </c>
      <c r="AH1314" s="109" t="s">
        <v>432</v>
      </c>
      <c r="AI1314" s="109" t="s">
        <v>432</v>
      </c>
      <c r="AJ1314" s="109" t="s">
        <v>432</v>
      </c>
      <c r="AK1314" s="109" t="s">
        <v>432</v>
      </c>
      <c r="AL1314" s="600" t="s">
        <v>432</v>
      </c>
      <c r="AM1314" s="109" t="s">
        <v>432</v>
      </c>
      <c r="AN1314" s="109" t="s">
        <v>432</v>
      </c>
      <c r="AO1314" s="109" t="s">
        <v>432</v>
      </c>
      <c r="AP1314" s="109" t="s">
        <v>432</v>
      </c>
      <c r="AQ1314" s="109" t="s">
        <v>432</v>
      </c>
      <c r="AR1314" s="109" t="s">
        <v>432</v>
      </c>
      <c r="AS1314" s="109" t="s">
        <v>432</v>
      </c>
      <c r="AT1314" s="109" t="s">
        <v>432</v>
      </c>
      <c r="AU1314" s="109" t="s">
        <v>432</v>
      </c>
      <c r="AV1314" s="109" t="s">
        <v>432</v>
      </c>
      <c r="AW1314" s="109" t="s">
        <v>432</v>
      </c>
      <c r="AX1314" s="109" t="s">
        <v>432</v>
      </c>
      <c r="AY1314" s="109" t="s">
        <v>432</v>
      </c>
      <c r="AZ1314" s="109" t="s">
        <v>432</v>
      </c>
      <c r="BA1314" s="109" t="s">
        <v>432</v>
      </c>
      <c r="BB1314" s="239" t="str">
        <f t="shared" si="360"/>
        <v>Calçadas e passarelasacessibilidade</v>
      </c>
      <c r="BC1314" s="239" t="str">
        <f t="shared" si="361"/>
        <v>Calçadas e passarelasacessibilidadex</v>
      </c>
      <c r="BD1314" s="239" t="str">
        <f t="shared" si="362"/>
        <v>Calçadas e passarelasx</v>
      </c>
    </row>
    <row r="1315" spans="1:56" s="1" customFormat="1" ht="38.25" x14ac:dyDescent="0.25">
      <c r="A1315" s="413" t="str">
        <f>'Q100b-totais'!B49</f>
        <v>6.1</v>
      </c>
      <c r="B1315" s="1205" t="str">
        <f>'Q100b-totais'!C49</f>
        <v>Calçadas e passarelas</v>
      </c>
      <c r="C1315" s="230" t="s">
        <v>743</v>
      </c>
      <c r="D1315" s="325" t="s">
        <v>3626</v>
      </c>
      <c r="E1315" s="1491" t="s">
        <v>1757</v>
      </c>
      <c r="F1315" s="1174" t="s">
        <v>3802</v>
      </c>
      <c r="G1315" s="1131" t="s">
        <v>77</v>
      </c>
      <c r="H1315" s="173" t="s">
        <v>432</v>
      </c>
      <c r="I1315" s="57">
        <v>1</v>
      </c>
      <c r="J1315" s="109" t="s">
        <v>432</v>
      </c>
      <c r="K1315" s="109" t="s">
        <v>432</v>
      </c>
      <c r="L1315" s="109" t="s">
        <v>432</v>
      </c>
      <c r="M1315" s="109" t="s">
        <v>432</v>
      </c>
      <c r="N1315" s="109" t="s">
        <v>432</v>
      </c>
      <c r="O1315" s="109" t="s">
        <v>432</v>
      </c>
      <c r="P1315" s="109" t="s">
        <v>432</v>
      </c>
      <c r="Q1315" s="109" t="s">
        <v>432</v>
      </c>
      <c r="R1315" s="109" t="s">
        <v>432</v>
      </c>
      <c r="S1315" s="109" t="s">
        <v>2209</v>
      </c>
      <c r="T1315" s="109" t="s">
        <v>432</v>
      </c>
      <c r="U1315" s="109" t="s">
        <v>432</v>
      </c>
      <c r="V1315" s="109" t="s">
        <v>2209</v>
      </c>
      <c r="W1315" s="109" t="s">
        <v>432</v>
      </c>
      <c r="X1315" s="109" t="s">
        <v>432</v>
      </c>
      <c r="Y1315" s="109" t="s">
        <v>432</v>
      </c>
      <c r="Z1315" s="109" t="s">
        <v>432</v>
      </c>
      <c r="AA1315" s="109" t="s">
        <v>432</v>
      </c>
      <c r="AB1315" s="109" t="s">
        <v>432</v>
      </c>
      <c r="AC1315" s="109" t="s">
        <v>432</v>
      </c>
      <c r="AD1315" s="109" t="s">
        <v>432</v>
      </c>
      <c r="AE1315" s="109" t="s">
        <v>432</v>
      </c>
      <c r="AF1315" s="110">
        <v>0.48699999999999999</v>
      </c>
      <c r="AG1315" s="109" t="s">
        <v>432</v>
      </c>
      <c r="AH1315" s="109" t="s">
        <v>432</v>
      </c>
      <c r="AI1315" s="109" t="s">
        <v>432</v>
      </c>
      <c r="AJ1315" s="109" t="s">
        <v>432</v>
      </c>
      <c r="AK1315" s="109" t="s">
        <v>432</v>
      </c>
      <c r="AL1315" s="600" t="s">
        <v>432</v>
      </c>
      <c r="AM1315" s="109" t="s">
        <v>432</v>
      </c>
      <c r="AN1315" s="109" t="s">
        <v>432</v>
      </c>
      <c r="AO1315" s="109" t="s">
        <v>432</v>
      </c>
      <c r="AP1315" s="109" t="s">
        <v>432</v>
      </c>
      <c r="AQ1315" s="109" t="s">
        <v>432</v>
      </c>
      <c r="AR1315" s="109" t="s">
        <v>432</v>
      </c>
      <c r="AS1315" s="109" t="s">
        <v>432</v>
      </c>
      <c r="AT1315" s="109" t="s">
        <v>432</v>
      </c>
      <c r="AU1315" s="109" t="s">
        <v>432</v>
      </c>
      <c r="AV1315" s="109" t="s">
        <v>432</v>
      </c>
      <c r="AW1315" s="109" t="s">
        <v>432</v>
      </c>
      <c r="AX1315" s="109" t="s">
        <v>432</v>
      </c>
      <c r="AY1315" s="109" t="s">
        <v>432</v>
      </c>
      <c r="AZ1315" s="109" t="s">
        <v>432</v>
      </c>
      <c r="BA1315" s="109" t="s">
        <v>432</v>
      </c>
      <c r="BB1315" s="239" t="str">
        <f t="shared" si="360"/>
        <v>Calçadas e passarelasacessibilidade</v>
      </c>
      <c r="BC1315" s="239" t="str">
        <f t="shared" si="361"/>
        <v>Calçadas e passarelasacessibilidadex</v>
      </c>
      <c r="BD1315" s="239" t="str">
        <f t="shared" si="362"/>
        <v>Calçadas e passarelasx</v>
      </c>
    </row>
    <row r="1316" spans="1:56" s="1" customFormat="1" ht="38.25" x14ac:dyDescent="0.25">
      <c r="A1316" s="413" t="str">
        <f>'Q100b-totais'!B49</f>
        <v>6.1</v>
      </c>
      <c r="B1316" s="1205" t="str">
        <f>'Q100b-totais'!C49</f>
        <v>Calçadas e passarelas</v>
      </c>
      <c r="C1316" s="230" t="s">
        <v>743</v>
      </c>
      <c r="D1316" s="325" t="s">
        <v>3626</v>
      </c>
      <c r="E1316" s="1491" t="s">
        <v>1758</v>
      </c>
      <c r="F1316" s="1174" t="s">
        <v>3802</v>
      </c>
      <c r="G1316" s="1131" t="s">
        <v>77</v>
      </c>
      <c r="H1316" s="173" t="s">
        <v>432</v>
      </c>
      <c r="I1316" s="57">
        <v>1</v>
      </c>
      <c r="J1316" s="109" t="s">
        <v>432</v>
      </c>
      <c r="K1316" s="109" t="s">
        <v>432</v>
      </c>
      <c r="L1316" s="109" t="s">
        <v>432</v>
      </c>
      <c r="M1316" s="109" t="s">
        <v>432</v>
      </c>
      <c r="N1316" s="109" t="s">
        <v>432</v>
      </c>
      <c r="O1316" s="109" t="s">
        <v>432</v>
      </c>
      <c r="P1316" s="109" t="s">
        <v>432</v>
      </c>
      <c r="Q1316" s="109" t="s">
        <v>432</v>
      </c>
      <c r="R1316" s="109" t="s">
        <v>432</v>
      </c>
      <c r="S1316" s="109" t="s">
        <v>2209</v>
      </c>
      <c r="T1316" s="109" t="s">
        <v>432</v>
      </c>
      <c r="U1316" s="109" t="s">
        <v>432</v>
      </c>
      <c r="V1316" s="109" t="s">
        <v>2209</v>
      </c>
      <c r="W1316" s="109" t="s">
        <v>432</v>
      </c>
      <c r="X1316" s="109" t="s">
        <v>432</v>
      </c>
      <c r="Y1316" s="109" t="s">
        <v>432</v>
      </c>
      <c r="Z1316" s="109" t="s">
        <v>432</v>
      </c>
      <c r="AA1316" s="109" t="s">
        <v>432</v>
      </c>
      <c r="AB1316" s="109" t="s">
        <v>432</v>
      </c>
      <c r="AC1316" s="109" t="s">
        <v>432</v>
      </c>
      <c r="AD1316" s="109" t="s">
        <v>432</v>
      </c>
      <c r="AE1316" s="109" t="s">
        <v>432</v>
      </c>
      <c r="AF1316" s="110">
        <v>0.59699999999999998</v>
      </c>
      <c r="AG1316" s="109" t="s">
        <v>432</v>
      </c>
      <c r="AH1316" s="109" t="s">
        <v>432</v>
      </c>
      <c r="AI1316" s="109" t="s">
        <v>432</v>
      </c>
      <c r="AJ1316" s="109" t="s">
        <v>432</v>
      </c>
      <c r="AK1316" s="109" t="s">
        <v>432</v>
      </c>
      <c r="AL1316" s="600" t="s">
        <v>432</v>
      </c>
      <c r="AM1316" s="109" t="s">
        <v>432</v>
      </c>
      <c r="AN1316" s="109" t="s">
        <v>432</v>
      </c>
      <c r="AO1316" s="109" t="s">
        <v>432</v>
      </c>
      <c r="AP1316" s="109" t="s">
        <v>432</v>
      </c>
      <c r="AQ1316" s="109" t="s">
        <v>432</v>
      </c>
      <c r="AR1316" s="109" t="s">
        <v>432</v>
      </c>
      <c r="AS1316" s="109" t="s">
        <v>432</v>
      </c>
      <c r="AT1316" s="109" t="s">
        <v>432</v>
      </c>
      <c r="AU1316" s="109" t="s">
        <v>432</v>
      </c>
      <c r="AV1316" s="109" t="s">
        <v>432</v>
      </c>
      <c r="AW1316" s="109" t="s">
        <v>432</v>
      </c>
      <c r="AX1316" s="109" t="s">
        <v>432</v>
      </c>
      <c r="AY1316" s="109" t="s">
        <v>432</v>
      </c>
      <c r="AZ1316" s="109" t="s">
        <v>432</v>
      </c>
      <c r="BA1316" s="109" t="s">
        <v>432</v>
      </c>
      <c r="BB1316" s="239" t="str">
        <f t="shared" si="360"/>
        <v>Calçadas e passarelasacessibilidade</v>
      </c>
      <c r="BC1316" s="239" t="str">
        <f t="shared" si="361"/>
        <v>Calçadas e passarelasacessibilidadex</v>
      </c>
      <c r="BD1316" s="239" t="str">
        <f t="shared" si="362"/>
        <v>Calçadas e passarelasx</v>
      </c>
    </row>
    <row r="1317" spans="1:56" s="1" customFormat="1" ht="38.25" x14ac:dyDescent="0.25">
      <c r="A1317" s="413" t="str">
        <f>'Q100b-totais'!B49</f>
        <v>6.1</v>
      </c>
      <c r="B1317" s="1205" t="str">
        <f>'Q100b-totais'!C49</f>
        <v>Calçadas e passarelas</v>
      </c>
      <c r="C1317" s="230" t="s">
        <v>743</v>
      </c>
      <c r="D1317" s="325" t="s">
        <v>3626</v>
      </c>
      <c r="E1317" s="1491" t="s">
        <v>1759</v>
      </c>
      <c r="F1317" s="1174" t="s">
        <v>3802</v>
      </c>
      <c r="G1317" s="1131" t="s">
        <v>77</v>
      </c>
      <c r="H1317" s="173" t="s">
        <v>432</v>
      </c>
      <c r="I1317" s="57">
        <v>1</v>
      </c>
      <c r="J1317" s="109" t="s">
        <v>432</v>
      </c>
      <c r="K1317" s="109" t="s">
        <v>432</v>
      </c>
      <c r="L1317" s="109" t="s">
        <v>432</v>
      </c>
      <c r="M1317" s="109" t="s">
        <v>432</v>
      </c>
      <c r="N1317" s="109" t="s">
        <v>432</v>
      </c>
      <c r="O1317" s="109" t="s">
        <v>432</v>
      </c>
      <c r="P1317" s="109" t="s">
        <v>432</v>
      </c>
      <c r="Q1317" s="109" t="s">
        <v>432</v>
      </c>
      <c r="R1317" s="109" t="s">
        <v>432</v>
      </c>
      <c r="S1317" s="109" t="s">
        <v>2209</v>
      </c>
      <c r="T1317" s="109" t="s">
        <v>432</v>
      </c>
      <c r="U1317" s="109" t="s">
        <v>432</v>
      </c>
      <c r="V1317" s="109" t="s">
        <v>2209</v>
      </c>
      <c r="W1317" s="109" t="s">
        <v>432</v>
      </c>
      <c r="X1317" s="109" t="s">
        <v>432</v>
      </c>
      <c r="Y1317" s="109" t="s">
        <v>432</v>
      </c>
      <c r="Z1317" s="109" t="s">
        <v>432</v>
      </c>
      <c r="AA1317" s="109" t="s">
        <v>432</v>
      </c>
      <c r="AB1317" s="109" t="s">
        <v>432</v>
      </c>
      <c r="AC1317" s="109" t="s">
        <v>432</v>
      </c>
      <c r="AD1317" s="109" t="s">
        <v>432</v>
      </c>
      <c r="AE1317" s="109" t="s">
        <v>432</v>
      </c>
      <c r="AF1317" s="110">
        <v>0.48099999999999998</v>
      </c>
      <c r="AG1317" s="109" t="s">
        <v>432</v>
      </c>
      <c r="AH1317" s="109" t="s">
        <v>432</v>
      </c>
      <c r="AI1317" s="109" t="s">
        <v>432</v>
      </c>
      <c r="AJ1317" s="109" t="s">
        <v>432</v>
      </c>
      <c r="AK1317" s="109" t="s">
        <v>432</v>
      </c>
      <c r="AL1317" s="600" t="s">
        <v>432</v>
      </c>
      <c r="AM1317" s="109" t="s">
        <v>432</v>
      </c>
      <c r="AN1317" s="109" t="s">
        <v>432</v>
      </c>
      <c r="AO1317" s="109" t="s">
        <v>432</v>
      </c>
      <c r="AP1317" s="109" t="s">
        <v>432</v>
      </c>
      <c r="AQ1317" s="109" t="s">
        <v>432</v>
      </c>
      <c r="AR1317" s="109" t="s">
        <v>432</v>
      </c>
      <c r="AS1317" s="109" t="s">
        <v>432</v>
      </c>
      <c r="AT1317" s="109" t="s">
        <v>432</v>
      </c>
      <c r="AU1317" s="109" t="s">
        <v>432</v>
      </c>
      <c r="AV1317" s="109" t="s">
        <v>432</v>
      </c>
      <c r="AW1317" s="109" t="s">
        <v>432</v>
      </c>
      <c r="AX1317" s="109" t="s">
        <v>432</v>
      </c>
      <c r="AY1317" s="109" t="s">
        <v>432</v>
      </c>
      <c r="AZ1317" s="109" t="s">
        <v>432</v>
      </c>
      <c r="BA1317" s="109" t="s">
        <v>432</v>
      </c>
      <c r="BB1317" s="239" t="str">
        <f t="shared" si="360"/>
        <v>Calçadas e passarelasacessibilidade</v>
      </c>
      <c r="BC1317" s="239" t="str">
        <f t="shared" si="361"/>
        <v>Calçadas e passarelasacessibilidadex</v>
      </c>
      <c r="BD1317" s="239" t="str">
        <f t="shared" si="362"/>
        <v>Calçadas e passarelasx</v>
      </c>
    </row>
    <row r="1318" spans="1:56" s="1" customFormat="1" ht="38.25" x14ac:dyDescent="0.25">
      <c r="A1318" s="413" t="str">
        <f>'Q100b-totais'!B49</f>
        <v>6.1</v>
      </c>
      <c r="B1318" s="1205" t="str">
        <f>'Q100b-totais'!C49</f>
        <v>Calçadas e passarelas</v>
      </c>
      <c r="C1318" s="230" t="s">
        <v>743</v>
      </c>
      <c r="D1318" s="325" t="s">
        <v>3626</v>
      </c>
      <c r="E1318" s="1491" t="s">
        <v>1760</v>
      </c>
      <c r="F1318" s="1174" t="s">
        <v>3802</v>
      </c>
      <c r="G1318" s="1131" t="s">
        <v>77</v>
      </c>
      <c r="H1318" s="173" t="s">
        <v>432</v>
      </c>
      <c r="I1318" s="57">
        <v>1</v>
      </c>
      <c r="J1318" s="109" t="s">
        <v>432</v>
      </c>
      <c r="K1318" s="109" t="s">
        <v>432</v>
      </c>
      <c r="L1318" s="109" t="s">
        <v>432</v>
      </c>
      <c r="M1318" s="109" t="s">
        <v>432</v>
      </c>
      <c r="N1318" s="109" t="s">
        <v>432</v>
      </c>
      <c r="O1318" s="109" t="s">
        <v>432</v>
      </c>
      <c r="P1318" s="109" t="s">
        <v>432</v>
      </c>
      <c r="Q1318" s="109" t="s">
        <v>432</v>
      </c>
      <c r="R1318" s="109" t="s">
        <v>432</v>
      </c>
      <c r="S1318" s="109" t="s">
        <v>2209</v>
      </c>
      <c r="T1318" s="109" t="s">
        <v>432</v>
      </c>
      <c r="U1318" s="109" t="s">
        <v>432</v>
      </c>
      <c r="V1318" s="109" t="s">
        <v>2209</v>
      </c>
      <c r="W1318" s="109" t="s">
        <v>432</v>
      </c>
      <c r="X1318" s="109" t="s">
        <v>432</v>
      </c>
      <c r="Y1318" s="109" t="s">
        <v>432</v>
      </c>
      <c r="Z1318" s="109" t="s">
        <v>432</v>
      </c>
      <c r="AA1318" s="109" t="s">
        <v>432</v>
      </c>
      <c r="AB1318" s="109" t="s">
        <v>432</v>
      </c>
      <c r="AC1318" s="109" t="s">
        <v>432</v>
      </c>
      <c r="AD1318" s="109" t="s">
        <v>432</v>
      </c>
      <c r="AE1318" s="109" t="s">
        <v>432</v>
      </c>
      <c r="AF1318" s="110">
        <v>0.57399999999999995</v>
      </c>
      <c r="AG1318" s="109" t="s">
        <v>432</v>
      </c>
      <c r="AH1318" s="109" t="s">
        <v>432</v>
      </c>
      <c r="AI1318" s="109" t="s">
        <v>432</v>
      </c>
      <c r="AJ1318" s="109" t="s">
        <v>432</v>
      </c>
      <c r="AK1318" s="109" t="s">
        <v>432</v>
      </c>
      <c r="AL1318" s="600" t="s">
        <v>432</v>
      </c>
      <c r="AM1318" s="109" t="s">
        <v>432</v>
      </c>
      <c r="AN1318" s="109" t="s">
        <v>432</v>
      </c>
      <c r="AO1318" s="109" t="s">
        <v>432</v>
      </c>
      <c r="AP1318" s="109" t="s">
        <v>432</v>
      </c>
      <c r="AQ1318" s="109" t="s">
        <v>432</v>
      </c>
      <c r="AR1318" s="109" t="s">
        <v>432</v>
      </c>
      <c r="AS1318" s="109" t="s">
        <v>432</v>
      </c>
      <c r="AT1318" s="109" t="s">
        <v>432</v>
      </c>
      <c r="AU1318" s="109" t="s">
        <v>432</v>
      </c>
      <c r="AV1318" s="109" t="s">
        <v>432</v>
      </c>
      <c r="AW1318" s="109" t="s">
        <v>432</v>
      </c>
      <c r="AX1318" s="109" t="s">
        <v>432</v>
      </c>
      <c r="AY1318" s="109" t="s">
        <v>432</v>
      </c>
      <c r="AZ1318" s="109" t="s">
        <v>432</v>
      </c>
      <c r="BA1318" s="109" t="s">
        <v>432</v>
      </c>
      <c r="BB1318" s="239" t="str">
        <f t="shared" si="360"/>
        <v>Calçadas e passarelasacessibilidade</v>
      </c>
      <c r="BC1318" s="239" t="str">
        <f t="shared" si="361"/>
        <v>Calçadas e passarelasacessibilidadex</v>
      </c>
      <c r="BD1318" s="239" t="str">
        <f t="shared" si="362"/>
        <v>Calçadas e passarelasx</v>
      </c>
    </row>
    <row r="1319" spans="1:56" s="1" customFormat="1" ht="38.25" x14ac:dyDescent="0.25">
      <c r="A1319" s="413" t="str">
        <f>'Q100b-totais'!B49</f>
        <v>6.1</v>
      </c>
      <c r="B1319" s="1205" t="str">
        <f>'Q100b-totais'!C49</f>
        <v>Calçadas e passarelas</v>
      </c>
      <c r="C1319" s="230" t="s">
        <v>743</v>
      </c>
      <c r="D1319" s="325" t="s">
        <v>3626</v>
      </c>
      <c r="E1319" s="1491" t="s">
        <v>1761</v>
      </c>
      <c r="F1319" s="1174" t="s">
        <v>3802</v>
      </c>
      <c r="G1319" s="1131" t="s">
        <v>77</v>
      </c>
      <c r="H1319" s="173" t="s">
        <v>432</v>
      </c>
      <c r="I1319" s="57">
        <v>1</v>
      </c>
      <c r="J1319" s="109" t="s">
        <v>432</v>
      </c>
      <c r="K1319" s="109" t="s">
        <v>432</v>
      </c>
      <c r="L1319" s="109" t="s">
        <v>432</v>
      </c>
      <c r="M1319" s="109" t="s">
        <v>432</v>
      </c>
      <c r="N1319" s="109" t="s">
        <v>432</v>
      </c>
      <c r="O1319" s="109" t="s">
        <v>432</v>
      </c>
      <c r="P1319" s="109" t="s">
        <v>432</v>
      </c>
      <c r="Q1319" s="109" t="s">
        <v>432</v>
      </c>
      <c r="R1319" s="109" t="s">
        <v>432</v>
      </c>
      <c r="S1319" s="109" t="s">
        <v>2209</v>
      </c>
      <c r="T1319" s="109" t="s">
        <v>432</v>
      </c>
      <c r="U1319" s="109" t="s">
        <v>432</v>
      </c>
      <c r="V1319" s="109" t="s">
        <v>2209</v>
      </c>
      <c r="W1319" s="109" t="s">
        <v>432</v>
      </c>
      <c r="X1319" s="109" t="s">
        <v>432</v>
      </c>
      <c r="Y1319" s="109" t="s">
        <v>432</v>
      </c>
      <c r="Z1319" s="109" t="s">
        <v>432</v>
      </c>
      <c r="AA1319" s="109" t="s">
        <v>432</v>
      </c>
      <c r="AB1319" s="109" t="s">
        <v>432</v>
      </c>
      <c r="AC1319" s="109" t="s">
        <v>432</v>
      </c>
      <c r="AD1319" s="109" t="s">
        <v>432</v>
      </c>
      <c r="AE1319" s="109" t="s">
        <v>432</v>
      </c>
      <c r="AF1319" s="110">
        <v>0.57099999999999995</v>
      </c>
      <c r="AG1319" s="109" t="s">
        <v>432</v>
      </c>
      <c r="AH1319" s="109" t="s">
        <v>432</v>
      </c>
      <c r="AI1319" s="109" t="s">
        <v>432</v>
      </c>
      <c r="AJ1319" s="109" t="s">
        <v>432</v>
      </c>
      <c r="AK1319" s="109" t="s">
        <v>432</v>
      </c>
      <c r="AL1319" s="600" t="s">
        <v>432</v>
      </c>
      <c r="AM1319" s="109" t="s">
        <v>432</v>
      </c>
      <c r="AN1319" s="109" t="s">
        <v>432</v>
      </c>
      <c r="AO1319" s="109" t="s">
        <v>432</v>
      </c>
      <c r="AP1319" s="109" t="s">
        <v>432</v>
      </c>
      <c r="AQ1319" s="109" t="s">
        <v>432</v>
      </c>
      <c r="AR1319" s="109" t="s">
        <v>432</v>
      </c>
      <c r="AS1319" s="109" t="s">
        <v>432</v>
      </c>
      <c r="AT1319" s="109" t="s">
        <v>432</v>
      </c>
      <c r="AU1319" s="109" t="s">
        <v>432</v>
      </c>
      <c r="AV1319" s="109" t="s">
        <v>432</v>
      </c>
      <c r="AW1319" s="109" t="s">
        <v>432</v>
      </c>
      <c r="AX1319" s="109" t="s">
        <v>432</v>
      </c>
      <c r="AY1319" s="109" t="s">
        <v>432</v>
      </c>
      <c r="AZ1319" s="109" t="s">
        <v>432</v>
      </c>
      <c r="BA1319" s="109" t="s">
        <v>432</v>
      </c>
      <c r="BB1319" s="239" t="str">
        <f t="shared" si="360"/>
        <v>Calçadas e passarelasacessibilidade</v>
      </c>
      <c r="BC1319" s="239" t="str">
        <f t="shared" si="361"/>
        <v>Calçadas e passarelasacessibilidadex</v>
      </c>
      <c r="BD1319" s="239" t="str">
        <f t="shared" si="362"/>
        <v>Calçadas e passarelasx</v>
      </c>
    </row>
    <row r="1320" spans="1:56" s="1" customFormat="1" ht="38.25" x14ac:dyDescent="0.25">
      <c r="A1320" s="413" t="str">
        <f>'Q100b-totais'!B49</f>
        <v>6.1</v>
      </c>
      <c r="B1320" s="1205" t="str">
        <f>'Q100b-totais'!C49</f>
        <v>Calçadas e passarelas</v>
      </c>
      <c r="C1320" s="230" t="s">
        <v>743</v>
      </c>
      <c r="D1320" s="325" t="s">
        <v>3626</v>
      </c>
      <c r="E1320" s="1491" t="s">
        <v>1762</v>
      </c>
      <c r="F1320" s="1174" t="s">
        <v>3802</v>
      </c>
      <c r="G1320" s="1131" t="s">
        <v>77</v>
      </c>
      <c r="H1320" s="173" t="s">
        <v>432</v>
      </c>
      <c r="I1320" s="57">
        <v>1</v>
      </c>
      <c r="J1320" s="109" t="s">
        <v>432</v>
      </c>
      <c r="K1320" s="109" t="s">
        <v>432</v>
      </c>
      <c r="L1320" s="109" t="s">
        <v>432</v>
      </c>
      <c r="M1320" s="109" t="s">
        <v>432</v>
      </c>
      <c r="N1320" s="109" t="s">
        <v>432</v>
      </c>
      <c r="O1320" s="109" t="s">
        <v>432</v>
      </c>
      <c r="P1320" s="109" t="s">
        <v>432</v>
      </c>
      <c r="Q1320" s="109" t="s">
        <v>432</v>
      </c>
      <c r="R1320" s="109" t="s">
        <v>432</v>
      </c>
      <c r="S1320" s="109" t="s">
        <v>2209</v>
      </c>
      <c r="T1320" s="109" t="s">
        <v>432</v>
      </c>
      <c r="U1320" s="109" t="s">
        <v>432</v>
      </c>
      <c r="V1320" s="109" t="s">
        <v>2209</v>
      </c>
      <c r="W1320" s="109" t="s">
        <v>432</v>
      </c>
      <c r="X1320" s="109" t="s">
        <v>432</v>
      </c>
      <c r="Y1320" s="109" t="s">
        <v>432</v>
      </c>
      <c r="Z1320" s="109" t="s">
        <v>432</v>
      </c>
      <c r="AA1320" s="109" t="s">
        <v>432</v>
      </c>
      <c r="AB1320" s="109" t="s">
        <v>432</v>
      </c>
      <c r="AC1320" s="109" t="s">
        <v>432</v>
      </c>
      <c r="AD1320" s="109" t="s">
        <v>432</v>
      </c>
      <c r="AE1320" s="109" t="s">
        <v>432</v>
      </c>
      <c r="AF1320" s="110">
        <v>0.36599999999999999</v>
      </c>
      <c r="AG1320" s="109" t="s">
        <v>432</v>
      </c>
      <c r="AH1320" s="109" t="s">
        <v>432</v>
      </c>
      <c r="AI1320" s="109" t="s">
        <v>432</v>
      </c>
      <c r="AJ1320" s="109" t="s">
        <v>432</v>
      </c>
      <c r="AK1320" s="109" t="s">
        <v>432</v>
      </c>
      <c r="AL1320" s="600" t="s">
        <v>432</v>
      </c>
      <c r="AM1320" s="109" t="s">
        <v>432</v>
      </c>
      <c r="AN1320" s="109" t="s">
        <v>432</v>
      </c>
      <c r="AO1320" s="109" t="s">
        <v>432</v>
      </c>
      <c r="AP1320" s="109" t="s">
        <v>432</v>
      </c>
      <c r="AQ1320" s="109" t="s">
        <v>432</v>
      </c>
      <c r="AR1320" s="109" t="s">
        <v>432</v>
      </c>
      <c r="AS1320" s="109" t="s">
        <v>432</v>
      </c>
      <c r="AT1320" s="109" t="s">
        <v>432</v>
      </c>
      <c r="AU1320" s="109" t="s">
        <v>432</v>
      </c>
      <c r="AV1320" s="109" t="s">
        <v>432</v>
      </c>
      <c r="AW1320" s="109" t="s">
        <v>432</v>
      </c>
      <c r="AX1320" s="109" t="s">
        <v>432</v>
      </c>
      <c r="AY1320" s="109" t="s">
        <v>432</v>
      </c>
      <c r="AZ1320" s="109" t="s">
        <v>432</v>
      </c>
      <c r="BA1320" s="109" t="s">
        <v>432</v>
      </c>
      <c r="BB1320" s="239" t="str">
        <f t="shared" si="360"/>
        <v>Calçadas e passarelasacessibilidade</v>
      </c>
      <c r="BC1320" s="239" t="str">
        <f t="shared" si="361"/>
        <v>Calçadas e passarelasacessibilidadex</v>
      </c>
      <c r="BD1320" s="239" t="str">
        <f t="shared" si="362"/>
        <v>Calçadas e passarelasx</v>
      </c>
    </row>
    <row r="1321" spans="1:56" s="1" customFormat="1" ht="38.25" x14ac:dyDescent="0.25">
      <c r="A1321" s="413" t="str">
        <f>'Q100b-totais'!B49</f>
        <v>6.1</v>
      </c>
      <c r="B1321" s="1205" t="str">
        <f>'Q100b-totais'!C49</f>
        <v>Calçadas e passarelas</v>
      </c>
      <c r="C1321" s="230" t="s">
        <v>743</v>
      </c>
      <c r="D1321" s="325" t="s">
        <v>3626</v>
      </c>
      <c r="E1321" s="1491" t="s">
        <v>1763</v>
      </c>
      <c r="F1321" s="1174" t="s">
        <v>3802</v>
      </c>
      <c r="G1321" s="1131" t="s">
        <v>77</v>
      </c>
      <c r="H1321" s="173" t="s">
        <v>432</v>
      </c>
      <c r="I1321" s="57">
        <v>1</v>
      </c>
      <c r="J1321" s="109" t="s">
        <v>432</v>
      </c>
      <c r="K1321" s="109" t="s">
        <v>432</v>
      </c>
      <c r="L1321" s="109" t="s">
        <v>432</v>
      </c>
      <c r="M1321" s="109" t="s">
        <v>432</v>
      </c>
      <c r="N1321" s="109" t="s">
        <v>432</v>
      </c>
      <c r="O1321" s="109" t="s">
        <v>432</v>
      </c>
      <c r="P1321" s="109" t="s">
        <v>432</v>
      </c>
      <c r="Q1321" s="109" t="s">
        <v>432</v>
      </c>
      <c r="R1321" s="109" t="s">
        <v>432</v>
      </c>
      <c r="S1321" s="109" t="s">
        <v>2209</v>
      </c>
      <c r="T1321" s="109" t="s">
        <v>432</v>
      </c>
      <c r="U1321" s="109" t="s">
        <v>432</v>
      </c>
      <c r="V1321" s="109" t="s">
        <v>2209</v>
      </c>
      <c r="W1321" s="109" t="s">
        <v>432</v>
      </c>
      <c r="X1321" s="109" t="s">
        <v>432</v>
      </c>
      <c r="Y1321" s="109" t="s">
        <v>432</v>
      </c>
      <c r="Z1321" s="109" t="s">
        <v>432</v>
      </c>
      <c r="AA1321" s="109" t="s">
        <v>432</v>
      </c>
      <c r="AB1321" s="109" t="s">
        <v>432</v>
      </c>
      <c r="AC1321" s="109" t="s">
        <v>432</v>
      </c>
      <c r="AD1321" s="109" t="s">
        <v>432</v>
      </c>
      <c r="AE1321" s="109" t="s">
        <v>432</v>
      </c>
      <c r="AF1321" s="110">
        <v>0.59</v>
      </c>
      <c r="AG1321" s="109" t="s">
        <v>432</v>
      </c>
      <c r="AH1321" s="109" t="s">
        <v>432</v>
      </c>
      <c r="AI1321" s="109" t="s">
        <v>432</v>
      </c>
      <c r="AJ1321" s="109" t="s">
        <v>432</v>
      </c>
      <c r="AK1321" s="109" t="s">
        <v>432</v>
      </c>
      <c r="AL1321" s="600" t="s">
        <v>432</v>
      </c>
      <c r="AM1321" s="109" t="s">
        <v>432</v>
      </c>
      <c r="AN1321" s="109" t="s">
        <v>432</v>
      </c>
      <c r="AO1321" s="109" t="s">
        <v>432</v>
      </c>
      <c r="AP1321" s="109" t="s">
        <v>432</v>
      </c>
      <c r="AQ1321" s="109" t="s">
        <v>432</v>
      </c>
      <c r="AR1321" s="109" t="s">
        <v>432</v>
      </c>
      <c r="AS1321" s="109" t="s">
        <v>432</v>
      </c>
      <c r="AT1321" s="109" t="s">
        <v>432</v>
      </c>
      <c r="AU1321" s="109" t="s">
        <v>432</v>
      </c>
      <c r="AV1321" s="109" t="s">
        <v>432</v>
      </c>
      <c r="AW1321" s="109" t="s">
        <v>432</v>
      </c>
      <c r="AX1321" s="109" t="s">
        <v>432</v>
      </c>
      <c r="AY1321" s="109" t="s">
        <v>432</v>
      </c>
      <c r="AZ1321" s="109" t="s">
        <v>432</v>
      </c>
      <c r="BA1321" s="109" t="s">
        <v>432</v>
      </c>
      <c r="BB1321" s="239" t="str">
        <f t="shared" si="360"/>
        <v>Calçadas e passarelasacessibilidade</v>
      </c>
      <c r="BC1321" s="239" t="str">
        <f t="shared" si="361"/>
        <v>Calçadas e passarelasacessibilidadex</v>
      </c>
      <c r="BD1321" s="239" t="str">
        <f t="shared" si="362"/>
        <v>Calçadas e passarelasx</v>
      </c>
    </row>
    <row r="1322" spans="1:56" s="1" customFormat="1" ht="38.25" x14ac:dyDescent="0.25">
      <c r="A1322" s="413" t="str">
        <f>'Q100b-totais'!B49</f>
        <v>6.1</v>
      </c>
      <c r="B1322" s="1205" t="str">
        <f>'Q100b-totais'!C49</f>
        <v>Calçadas e passarelas</v>
      </c>
      <c r="C1322" s="230" t="s">
        <v>743</v>
      </c>
      <c r="D1322" s="325" t="s">
        <v>3626</v>
      </c>
      <c r="E1322" s="1491" t="s">
        <v>1764</v>
      </c>
      <c r="F1322" s="1174" t="s">
        <v>3802</v>
      </c>
      <c r="G1322" s="1131" t="s">
        <v>77</v>
      </c>
      <c r="H1322" s="173" t="s">
        <v>432</v>
      </c>
      <c r="I1322" s="57">
        <v>1</v>
      </c>
      <c r="J1322" s="109" t="s">
        <v>432</v>
      </c>
      <c r="K1322" s="109" t="s">
        <v>432</v>
      </c>
      <c r="L1322" s="109" t="s">
        <v>432</v>
      </c>
      <c r="M1322" s="109" t="s">
        <v>432</v>
      </c>
      <c r="N1322" s="109" t="s">
        <v>432</v>
      </c>
      <c r="O1322" s="109" t="s">
        <v>432</v>
      </c>
      <c r="P1322" s="109" t="s">
        <v>432</v>
      </c>
      <c r="Q1322" s="109" t="s">
        <v>432</v>
      </c>
      <c r="R1322" s="109" t="s">
        <v>432</v>
      </c>
      <c r="S1322" s="109" t="s">
        <v>2209</v>
      </c>
      <c r="T1322" s="109" t="s">
        <v>432</v>
      </c>
      <c r="U1322" s="109" t="s">
        <v>432</v>
      </c>
      <c r="V1322" s="109" t="s">
        <v>2209</v>
      </c>
      <c r="W1322" s="109" t="s">
        <v>432</v>
      </c>
      <c r="X1322" s="109" t="s">
        <v>432</v>
      </c>
      <c r="Y1322" s="109" t="s">
        <v>432</v>
      </c>
      <c r="Z1322" s="109" t="s">
        <v>432</v>
      </c>
      <c r="AA1322" s="109" t="s">
        <v>432</v>
      </c>
      <c r="AB1322" s="109" t="s">
        <v>432</v>
      </c>
      <c r="AC1322" s="109" t="s">
        <v>432</v>
      </c>
      <c r="AD1322" s="109" t="s">
        <v>432</v>
      </c>
      <c r="AE1322" s="109" t="s">
        <v>432</v>
      </c>
      <c r="AF1322" s="110">
        <v>0.69099999999999995</v>
      </c>
      <c r="AG1322" s="109" t="s">
        <v>432</v>
      </c>
      <c r="AH1322" s="109" t="s">
        <v>432</v>
      </c>
      <c r="AI1322" s="109" t="s">
        <v>432</v>
      </c>
      <c r="AJ1322" s="109" t="s">
        <v>432</v>
      </c>
      <c r="AK1322" s="109" t="s">
        <v>432</v>
      </c>
      <c r="AL1322" s="600" t="s">
        <v>432</v>
      </c>
      <c r="AM1322" s="109" t="s">
        <v>432</v>
      </c>
      <c r="AN1322" s="109" t="s">
        <v>432</v>
      </c>
      <c r="AO1322" s="109" t="s">
        <v>432</v>
      </c>
      <c r="AP1322" s="109" t="s">
        <v>432</v>
      </c>
      <c r="AQ1322" s="109" t="s">
        <v>432</v>
      </c>
      <c r="AR1322" s="109" t="s">
        <v>432</v>
      </c>
      <c r="AS1322" s="109" t="s">
        <v>432</v>
      </c>
      <c r="AT1322" s="109" t="s">
        <v>432</v>
      </c>
      <c r="AU1322" s="109" t="s">
        <v>432</v>
      </c>
      <c r="AV1322" s="109" t="s">
        <v>432</v>
      </c>
      <c r="AW1322" s="109" t="s">
        <v>432</v>
      </c>
      <c r="AX1322" s="109" t="s">
        <v>432</v>
      </c>
      <c r="AY1322" s="109" t="s">
        <v>432</v>
      </c>
      <c r="AZ1322" s="109" t="s">
        <v>432</v>
      </c>
      <c r="BA1322" s="109" t="s">
        <v>432</v>
      </c>
      <c r="BB1322" s="239" t="str">
        <f t="shared" si="360"/>
        <v>Calçadas e passarelasacessibilidade</v>
      </c>
      <c r="BC1322" s="239" t="str">
        <f t="shared" si="361"/>
        <v>Calçadas e passarelasacessibilidadex</v>
      </c>
      <c r="BD1322" s="239" t="str">
        <f t="shared" si="362"/>
        <v>Calçadas e passarelasx</v>
      </c>
    </row>
    <row r="1323" spans="1:56" s="1" customFormat="1" ht="38.25" x14ac:dyDescent="0.25">
      <c r="A1323" s="413" t="str">
        <f>'Q100b-totais'!B49</f>
        <v>6.1</v>
      </c>
      <c r="B1323" s="1205" t="str">
        <f>'Q100b-totais'!C49</f>
        <v>Calçadas e passarelas</v>
      </c>
      <c r="C1323" s="230" t="s">
        <v>743</v>
      </c>
      <c r="D1323" s="325" t="s">
        <v>3626</v>
      </c>
      <c r="E1323" s="1491" t="s">
        <v>1765</v>
      </c>
      <c r="F1323" s="1174" t="s">
        <v>3802</v>
      </c>
      <c r="G1323" s="1131" t="s">
        <v>77</v>
      </c>
      <c r="H1323" s="173" t="s">
        <v>432</v>
      </c>
      <c r="I1323" s="57">
        <v>1</v>
      </c>
      <c r="J1323" s="109" t="s">
        <v>432</v>
      </c>
      <c r="K1323" s="109" t="s">
        <v>432</v>
      </c>
      <c r="L1323" s="109" t="s">
        <v>432</v>
      </c>
      <c r="M1323" s="109" t="s">
        <v>432</v>
      </c>
      <c r="N1323" s="109" t="s">
        <v>432</v>
      </c>
      <c r="O1323" s="109" t="s">
        <v>432</v>
      </c>
      <c r="P1323" s="109" t="s">
        <v>432</v>
      </c>
      <c r="Q1323" s="109" t="s">
        <v>432</v>
      </c>
      <c r="R1323" s="109" t="s">
        <v>432</v>
      </c>
      <c r="S1323" s="109" t="s">
        <v>2209</v>
      </c>
      <c r="T1323" s="109" t="s">
        <v>432</v>
      </c>
      <c r="U1323" s="109" t="s">
        <v>432</v>
      </c>
      <c r="V1323" s="109" t="s">
        <v>2209</v>
      </c>
      <c r="W1323" s="109" t="s">
        <v>432</v>
      </c>
      <c r="X1323" s="109" t="s">
        <v>432</v>
      </c>
      <c r="Y1323" s="109" t="s">
        <v>432</v>
      </c>
      <c r="Z1323" s="109" t="s">
        <v>432</v>
      </c>
      <c r="AA1323" s="109" t="s">
        <v>432</v>
      </c>
      <c r="AB1323" s="109" t="s">
        <v>432</v>
      </c>
      <c r="AC1323" s="109" t="s">
        <v>432</v>
      </c>
      <c r="AD1323" s="109" t="s">
        <v>432</v>
      </c>
      <c r="AE1323" s="109" t="s">
        <v>432</v>
      </c>
      <c r="AF1323" s="110">
        <v>0.46400000000000002</v>
      </c>
      <c r="AG1323" s="109" t="s">
        <v>432</v>
      </c>
      <c r="AH1323" s="109" t="s">
        <v>432</v>
      </c>
      <c r="AI1323" s="109" t="s">
        <v>432</v>
      </c>
      <c r="AJ1323" s="109" t="s">
        <v>432</v>
      </c>
      <c r="AK1323" s="109" t="s">
        <v>432</v>
      </c>
      <c r="AL1323" s="600" t="s">
        <v>432</v>
      </c>
      <c r="AM1323" s="109" t="s">
        <v>432</v>
      </c>
      <c r="AN1323" s="109" t="s">
        <v>432</v>
      </c>
      <c r="AO1323" s="109" t="s">
        <v>432</v>
      </c>
      <c r="AP1323" s="109" t="s">
        <v>432</v>
      </c>
      <c r="AQ1323" s="109" t="s">
        <v>432</v>
      </c>
      <c r="AR1323" s="109" t="s">
        <v>432</v>
      </c>
      <c r="AS1323" s="109" t="s">
        <v>432</v>
      </c>
      <c r="AT1323" s="109" t="s">
        <v>432</v>
      </c>
      <c r="AU1323" s="109" t="s">
        <v>432</v>
      </c>
      <c r="AV1323" s="109" t="s">
        <v>432</v>
      </c>
      <c r="AW1323" s="109" t="s">
        <v>432</v>
      </c>
      <c r="AX1323" s="109" t="s">
        <v>432</v>
      </c>
      <c r="AY1323" s="109" t="s">
        <v>432</v>
      </c>
      <c r="AZ1323" s="109" t="s">
        <v>432</v>
      </c>
      <c r="BA1323" s="109" t="s">
        <v>432</v>
      </c>
      <c r="BB1323" s="239" t="str">
        <f t="shared" si="360"/>
        <v>Calçadas e passarelasacessibilidade</v>
      </c>
      <c r="BC1323" s="239" t="str">
        <f t="shared" si="361"/>
        <v>Calçadas e passarelasacessibilidadex</v>
      </c>
      <c r="BD1323" s="239" t="str">
        <f t="shared" si="362"/>
        <v>Calçadas e passarelasx</v>
      </c>
    </row>
    <row r="1324" spans="1:56" s="1" customFormat="1" ht="38.25" x14ac:dyDescent="0.25">
      <c r="A1324" s="413" t="str">
        <f>'Q100b-totais'!B49</f>
        <v>6.1</v>
      </c>
      <c r="B1324" s="1205" t="str">
        <f>'Q100b-totais'!C49</f>
        <v>Calçadas e passarelas</v>
      </c>
      <c r="C1324" s="230" t="s">
        <v>743</v>
      </c>
      <c r="D1324" s="325" t="s">
        <v>3626</v>
      </c>
      <c r="E1324" s="1491" t="s">
        <v>1766</v>
      </c>
      <c r="F1324" s="1174" t="s">
        <v>3802</v>
      </c>
      <c r="G1324" s="1131" t="s">
        <v>77</v>
      </c>
      <c r="H1324" s="173" t="s">
        <v>432</v>
      </c>
      <c r="I1324" s="57">
        <v>1</v>
      </c>
      <c r="J1324" s="109" t="s">
        <v>432</v>
      </c>
      <c r="K1324" s="109" t="s">
        <v>432</v>
      </c>
      <c r="L1324" s="109" t="s">
        <v>432</v>
      </c>
      <c r="M1324" s="109" t="s">
        <v>432</v>
      </c>
      <c r="N1324" s="109" t="s">
        <v>432</v>
      </c>
      <c r="O1324" s="109" t="s">
        <v>432</v>
      </c>
      <c r="P1324" s="109" t="s">
        <v>432</v>
      </c>
      <c r="Q1324" s="109" t="s">
        <v>432</v>
      </c>
      <c r="R1324" s="109" t="s">
        <v>432</v>
      </c>
      <c r="S1324" s="109" t="s">
        <v>2209</v>
      </c>
      <c r="T1324" s="109" t="s">
        <v>432</v>
      </c>
      <c r="U1324" s="109" t="s">
        <v>432</v>
      </c>
      <c r="V1324" s="109" t="s">
        <v>2209</v>
      </c>
      <c r="W1324" s="109" t="s">
        <v>432</v>
      </c>
      <c r="X1324" s="109" t="s">
        <v>432</v>
      </c>
      <c r="Y1324" s="109" t="s">
        <v>432</v>
      </c>
      <c r="Z1324" s="109" t="s">
        <v>432</v>
      </c>
      <c r="AA1324" s="109" t="s">
        <v>432</v>
      </c>
      <c r="AB1324" s="109" t="s">
        <v>432</v>
      </c>
      <c r="AC1324" s="109" t="s">
        <v>432</v>
      </c>
      <c r="AD1324" s="109" t="s">
        <v>432</v>
      </c>
      <c r="AE1324" s="109" t="s">
        <v>432</v>
      </c>
      <c r="AF1324" s="110">
        <v>0.57799999999999996</v>
      </c>
      <c r="AG1324" s="109" t="s">
        <v>432</v>
      </c>
      <c r="AH1324" s="109" t="s">
        <v>432</v>
      </c>
      <c r="AI1324" s="109" t="s">
        <v>432</v>
      </c>
      <c r="AJ1324" s="109" t="s">
        <v>432</v>
      </c>
      <c r="AK1324" s="109" t="s">
        <v>432</v>
      </c>
      <c r="AL1324" s="600" t="s">
        <v>432</v>
      </c>
      <c r="AM1324" s="109" t="s">
        <v>432</v>
      </c>
      <c r="AN1324" s="109" t="s">
        <v>432</v>
      </c>
      <c r="AO1324" s="109" t="s">
        <v>432</v>
      </c>
      <c r="AP1324" s="109" t="s">
        <v>432</v>
      </c>
      <c r="AQ1324" s="109" t="s">
        <v>432</v>
      </c>
      <c r="AR1324" s="109" t="s">
        <v>432</v>
      </c>
      <c r="AS1324" s="109" t="s">
        <v>432</v>
      </c>
      <c r="AT1324" s="109" t="s">
        <v>432</v>
      </c>
      <c r="AU1324" s="109" t="s">
        <v>432</v>
      </c>
      <c r="AV1324" s="109" t="s">
        <v>432</v>
      </c>
      <c r="AW1324" s="109" t="s">
        <v>432</v>
      </c>
      <c r="AX1324" s="109" t="s">
        <v>432</v>
      </c>
      <c r="AY1324" s="109" t="s">
        <v>432</v>
      </c>
      <c r="AZ1324" s="109" t="s">
        <v>432</v>
      </c>
      <c r="BA1324" s="109" t="s">
        <v>432</v>
      </c>
      <c r="BB1324" s="239" t="str">
        <f t="shared" si="360"/>
        <v>Calçadas e passarelasacessibilidade</v>
      </c>
      <c r="BC1324" s="239" t="str">
        <f t="shared" si="361"/>
        <v>Calçadas e passarelasacessibilidadex</v>
      </c>
      <c r="BD1324" s="239" t="str">
        <f t="shared" si="362"/>
        <v>Calçadas e passarelasx</v>
      </c>
    </row>
    <row r="1325" spans="1:56" s="105" customFormat="1" x14ac:dyDescent="0.25">
      <c r="A1325" s="910"/>
      <c r="B1325" s="911"/>
      <c r="C1325" s="912"/>
      <c r="D1325" s="981"/>
      <c r="E1325" s="1528"/>
      <c r="F1325" s="913"/>
      <c r="G1325" s="913"/>
      <c r="H1325" s="913"/>
      <c r="I1325" s="914"/>
      <c r="J1325" s="914"/>
      <c r="K1325" s="910"/>
      <c r="L1325" s="910"/>
      <c r="M1325" s="910"/>
      <c r="N1325" s="910"/>
      <c r="O1325" s="910"/>
      <c r="P1325" s="910"/>
      <c r="Q1325" s="910"/>
      <c r="R1325" s="910"/>
      <c r="S1325" s="910"/>
      <c r="T1325" s="910"/>
      <c r="U1325" s="910"/>
      <c r="V1325" s="910"/>
      <c r="W1325" s="910"/>
      <c r="X1325" s="910"/>
      <c r="Y1325" s="910"/>
      <c r="Z1325" s="910"/>
      <c r="AA1325" s="910"/>
      <c r="AB1325" s="910"/>
      <c r="AC1325" s="910"/>
      <c r="AD1325" s="910"/>
      <c r="AE1325" s="910"/>
      <c r="AF1325" s="910"/>
      <c r="AG1325" s="910"/>
      <c r="AH1325" s="910"/>
      <c r="AI1325" s="910"/>
      <c r="AJ1325" s="910"/>
      <c r="AK1325" s="910"/>
      <c r="AL1325" s="910"/>
      <c r="AM1325" s="910"/>
      <c r="AN1325" s="910"/>
      <c r="AO1325" s="910"/>
      <c r="AP1325" s="910"/>
      <c r="AQ1325" s="910"/>
      <c r="AR1325" s="910"/>
      <c r="AS1325" s="910"/>
      <c r="AT1325" s="910"/>
      <c r="AU1325" s="910"/>
      <c r="AV1325" s="910"/>
      <c r="AW1325" s="910"/>
      <c r="AX1325" s="910"/>
      <c r="AY1325" s="910"/>
      <c r="AZ1325" s="910"/>
      <c r="BA1325" s="910"/>
      <c r="BB1325" s="910"/>
      <c r="BC1325" s="910"/>
      <c r="BD1325" s="910"/>
    </row>
    <row r="1326" spans="1:56" s="1" customFormat="1" ht="38.25" x14ac:dyDescent="0.25">
      <c r="A1326" s="608" t="str">
        <f>'Q100b-totais'!B49</f>
        <v>6.1</v>
      </c>
      <c r="B1326" s="1205" t="str">
        <f>'Q100b-totais'!C49</f>
        <v>Calçadas e passarelas</v>
      </c>
      <c r="C1326" s="57" t="s">
        <v>743</v>
      </c>
      <c r="D1326" s="325" t="s">
        <v>3626</v>
      </c>
      <c r="E1326" s="1491" t="s">
        <v>1700</v>
      </c>
      <c r="F1326" s="1174" t="s">
        <v>3802</v>
      </c>
      <c r="G1326" s="1131" t="s">
        <v>77</v>
      </c>
      <c r="H1326" s="173" t="s">
        <v>819</v>
      </c>
      <c r="I1326" s="167" t="s">
        <v>432</v>
      </c>
      <c r="J1326" s="109" t="s">
        <v>432</v>
      </c>
      <c r="K1326" s="109" t="s">
        <v>432</v>
      </c>
      <c r="L1326" s="109" t="s">
        <v>432</v>
      </c>
      <c r="M1326" s="109" t="s">
        <v>432</v>
      </c>
      <c r="N1326" s="109" t="s">
        <v>432</v>
      </c>
      <c r="O1326" s="109" t="s">
        <v>432</v>
      </c>
      <c r="P1326" s="109" t="s">
        <v>432</v>
      </c>
      <c r="Q1326" s="109" t="s">
        <v>432</v>
      </c>
      <c r="R1326" s="109" t="s">
        <v>432</v>
      </c>
      <c r="S1326" s="109" t="s">
        <v>2209</v>
      </c>
      <c r="T1326" s="109" t="s">
        <v>432</v>
      </c>
      <c r="U1326" s="109" t="s">
        <v>432</v>
      </c>
      <c r="V1326" s="109" t="s">
        <v>2209</v>
      </c>
      <c r="W1326" s="109" t="s">
        <v>432</v>
      </c>
      <c r="X1326" s="109" t="s">
        <v>432</v>
      </c>
      <c r="Y1326" s="109" t="s">
        <v>432</v>
      </c>
      <c r="Z1326" s="109" t="s">
        <v>432</v>
      </c>
      <c r="AA1326" s="109" t="s">
        <v>432</v>
      </c>
      <c r="AB1326" s="109" t="s">
        <v>432</v>
      </c>
      <c r="AC1326" s="109" t="s">
        <v>432</v>
      </c>
      <c r="AD1326" s="109" t="s">
        <v>432</v>
      </c>
      <c r="AE1326" s="109" t="s">
        <v>432</v>
      </c>
      <c r="AF1326" s="110">
        <v>0.75800000000000001</v>
      </c>
      <c r="AG1326" s="109" t="s">
        <v>432</v>
      </c>
      <c r="AH1326" s="109" t="s">
        <v>432</v>
      </c>
      <c r="AI1326" s="109" t="s">
        <v>432</v>
      </c>
      <c r="AJ1326" s="109" t="s">
        <v>432</v>
      </c>
      <c r="AK1326" s="109" t="s">
        <v>432</v>
      </c>
      <c r="AL1326" s="600" t="s">
        <v>432</v>
      </c>
      <c r="AM1326" s="109" t="s">
        <v>432</v>
      </c>
      <c r="AN1326" s="109" t="s">
        <v>432</v>
      </c>
      <c r="AO1326" s="109" t="s">
        <v>432</v>
      </c>
      <c r="AP1326" s="109" t="s">
        <v>432</v>
      </c>
      <c r="AQ1326" s="109" t="s">
        <v>432</v>
      </c>
      <c r="AR1326" s="109" t="s">
        <v>432</v>
      </c>
      <c r="AS1326" s="109" t="s">
        <v>432</v>
      </c>
      <c r="AT1326" s="109" t="s">
        <v>432</v>
      </c>
      <c r="AU1326" s="109" t="s">
        <v>432</v>
      </c>
      <c r="AV1326" s="109" t="s">
        <v>432</v>
      </c>
      <c r="AW1326" s="109" t="s">
        <v>432</v>
      </c>
      <c r="AX1326" s="109" t="s">
        <v>432</v>
      </c>
      <c r="AY1326" s="109" t="s">
        <v>432</v>
      </c>
      <c r="AZ1326" s="109" t="s">
        <v>432</v>
      </c>
      <c r="BA1326" s="109" t="s">
        <v>432</v>
      </c>
      <c r="BB1326" s="239" t="str">
        <f t="shared" si="360"/>
        <v>Calçadas e passarelasacessibilidade</v>
      </c>
      <c r="BC1326" s="239" t="str">
        <f t="shared" si="361"/>
        <v>Calçadas e passarelasacessibilidadebenchmarking</v>
      </c>
      <c r="BD1326" s="239" t="str">
        <f t="shared" si="362"/>
        <v>Calçadas e passarelasbenchmarking</v>
      </c>
    </row>
    <row r="1327" spans="1:56" s="1" customFormat="1" ht="38.25" x14ac:dyDescent="0.25">
      <c r="A1327" s="608" t="str">
        <f>'Q100b-totais'!B49</f>
        <v>6.1</v>
      </c>
      <c r="B1327" s="1205" t="str">
        <f>'Q100b-totais'!C49</f>
        <v>Calçadas e passarelas</v>
      </c>
      <c r="C1327" s="230" t="s">
        <v>743</v>
      </c>
      <c r="D1327" s="325" t="s">
        <v>3626</v>
      </c>
      <c r="E1327" s="1491" t="s">
        <v>1266</v>
      </c>
      <c r="F1327" s="1174" t="s">
        <v>3802</v>
      </c>
      <c r="G1327" s="1131" t="s">
        <v>77</v>
      </c>
      <c r="H1327" s="173" t="s">
        <v>819</v>
      </c>
      <c r="I1327" s="167" t="s">
        <v>432</v>
      </c>
      <c r="J1327" s="109" t="s">
        <v>432</v>
      </c>
      <c r="K1327" s="109" t="s">
        <v>432</v>
      </c>
      <c r="L1327" s="109" t="s">
        <v>432</v>
      </c>
      <c r="M1327" s="109" t="s">
        <v>432</v>
      </c>
      <c r="N1327" s="109" t="s">
        <v>432</v>
      </c>
      <c r="O1327" s="109" t="s">
        <v>432</v>
      </c>
      <c r="P1327" s="109" t="s">
        <v>432</v>
      </c>
      <c r="Q1327" s="109" t="s">
        <v>432</v>
      </c>
      <c r="R1327" s="109" t="s">
        <v>432</v>
      </c>
      <c r="S1327" s="109" t="s">
        <v>2209</v>
      </c>
      <c r="T1327" s="109" t="s">
        <v>432</v>
      </c>
      <c r="U1327" s="109" t="s">
        <v>432</v>
      </c>
      <c r="V1327" s="109" t="s">
        <v>2209</v>
      </c>
      <c r="W1327" s="109" t="s">
        <v>432</v>
      </c>
      <c r="X1327" s="109" t="s">
        <v>432</v>
      </c>
      <c r="Y1327" s="109" t="s">
        <v>432</v>
      </c>
      <c r="Z1327" s="109" t="s">
        <v>432</v>
      </c>
      <c r="AA1327" s="109" t="s">
        <v>432</v>
      </c>
      <c r="AB1327" s="109" t="s">
        <v>432</v>
      </c>
      <c r="AC1327" s="109" t="s">
        <v>432</v>
      </c>
      <c r="AD1327" s="109" t="s">
        <v>432</v>
      </c>
      <c r="AE1327" s="109" t="s">
        <v>432</v>
      </c>
      <c r="AF1327" s="110">
        <v>0.77700000000000002</v>
      </c>
      <c r="AG1327" s="109" t="s">
        <v>432</v>
      </c>
      <c r="AH1327" s="109" t="s">
        <v>432</v>
      </c>
      <c r="AI1327" s="109" t="s">
        <v>432</v>
      </c>
      <c r="AJ1327" s="109" t="s">
        <v>432</v>
      </c>
      <c r="AK1327" s="109" t="s">
        <v>432</v>
      </c>
      <c r="AL1327" s="600" t="s">
        <v>432</v>
      </c>
      <c r="AM1327" s="109" t="s">
        <v>432</v>
      </c>
      <c r="AN1327" s="109" t="s">
        <v>432</v>
      </c>
      <c r="AO1327" s="109" t="s">
        <v>432</v>
      </c>
      <c r="AP1327" s="109" t="s">
        <v>432</v>
      </c>
      <c r="AQ1327" s="109" t="s">
        <v>432</v>
      </c>
      <c r="AR1327" s="109" t="s">
        <v>432</v>
      </c>
      <c r="AS1327" s="109" t="s">
        <v>432</v>
      </c>
      <c r="AT1327" s="109" t="s">
        <v>432</v>
      </c>
      <c r="AU1327" s="109" t="s">
        <v>432</v>
      </c>
      <c r="AV1327" s="109" t="s">
        <v>432</v>
      </c>
      <c r="AW1327" s="109" t="s">
        <v>432</v>
      </c>
      <c r="AX1327" s="109" t="s">
        <v>432</v>
      </c>
      <c r="AY1327" s="109" t="s">
        <v>432</v>
      </c>
      <c r="AZ1327" s="109" t="s">
        <v>432</v>
      </c>
      <c r="BA1327" s="109" t="s">
        <v>432</v>
      </c>
      <c r="BB1327" s="239" t="str">
        <f t="shared" si="360"/>
        <v>Calçadas e passarelasacessibilidade</v>
      </c>
      <c r="BC1327" s="239" t="str">
        <f t="shared" si="361"/>
        <v>Calçadas e passarelasacessibilidadebenchmarking</v>
      </c>
      <c r="BD1327" s="239" t="str">
        <f t="shared" si="362"/>
        <v>Calçadas e passarelasbenchmarking</v>
      </c>
    </row>
    <row r="1328" spans="1:56" s="1" customFormat="1" ht="38.25" x14ac:dyDescent="0.25">
      <c r="A1328" s="608" t="str">
        <f>'Q100b-totais'!B49</f>
        <v>6.1</v>
      </c>
      <c r="B1328" s="1205" t="str">
        <f>'Q100b-totais'!C49</f>
        <v>Calçadas e passarelas</v>
      </c>
      <c r="C1328" s="230" t="s">
        <v>743</v>
      </c>
      <c r="D1328" s="325" t="s">
        <v>3626</v>
      </c>
      <c r="E1328" s="1491" t="s">
        <v>1701</v>
      </c>
      <c r="F1328" s="1174" t="s">
        <v>3802</v>
      </c>
      <c r="G1328" s="1131" t="s">
        <v>77</v>
      </c>
      <c r="H1328" s="173" t="s">
        <v>819</v>
      </c>
      <c r="I1328" s="167" t="s">
        <v>432</v>
      </c>
      <c r="J1328" s="109" t="s">
        <v>432</v>
      </c>
      <c r="K1328" s="109" t="s">
        <v>432</v>
      </c>
      <c r="L1328" s="109" t="s">
        <v>432</v>
      </c>
      <c r="M1328" s="109" t="s">
        <v>432</v>
      </c>
      <c r="N1328" s="109" t="s">
        <v>432</v>
      </c>
      <c r="O1328" s="109" t="s">
        <v>432</v>
      </c>
      <c r="P1328" s="109" t="s">
        <v>432</v>
      </c>
      <c r="Q1328" s="109" t="s">
        <v>432</v>
      </c>
      <c r="R1328" s="109" t="s">
        <v>432</v>
      </c>
      <c r="S1328" s="109" t="s">
        <v>2209</v>
      </c>
      <c r="T1328" s="109" t="s">
        <v>432</v>
      </c>
      <c r="U1328" s="109" t="s">
        <v>432</v>
      </c>
      <c r="V1328" s="109" t="s">
        <v>2209</v>
      </c>
      <c r="W1328" s="109" t="s">
        <v>432</v>
      </c>
      <c r="X1328" s="109" t="s">
        <v>432</v>
      </c>
      <c r="Y1328" s="109" t="s">
        <v>432</v>
      </c>
      <c r="Z1328" s="109" t="s">
        <v>432</v>
      </c>
      <c r="AA1328" s="109" t="s">
        <v>432</v>
      </c>
      <c r="AB1328" s="109" t="s">
        <v>432</v>
      </c>
      <c r="AC1328" s="109" t="s">
        <v>432</v>
      </c>
      <c r="AD1328" s="109" t="s">
        <v>432</v>
      </c>
      <c r="AE1328" s="109" t="s">
        <v>432</v>
      </c>
      <c r="AF1328" s="110">
        <v>0.60099999999999998</v>
      </c>
      <c r="AG1328" s="109" t="s">
        <v>432</v>
      </c>
      <c r="AH1328" s="109" t="s">
        <v>432</v>
      </c>
      <c r="AI1328" s="109" t="s">
        <v>432</v>
      </c>
      <c r="AJ1328" s="109" t="s">
        <v>432</v>
      </c>
      <c r="AK1328" s="109" t="s">
        <v>432</v>
      </c>
      <c r="AL1328" s="600" t="s">
        <v>432</v>
      </c>
      <c r="AM1328" s="109" t="s">
        <v>432</v>
      </c>
      <c r="AN1328" s="109" t="s">
        <v>432</v>
      </c>
      <c r="AO1328" s="109" t="s">
        <v>432</v>
      </c>
      <c r="AP1328" s="109" t="s">
        <v>432</v>
      </c>
      <c r="AQ1328" s="109" t="s">
        <v>432</v>
      </c>
      <c r="AR1328" s="109" t="s">
        <v>432</v>
      </c>
      <c r="AS1328" s="109" t="s">
        <v>432</v>
      </c>
      <c r="AT1328" s="109" t="s">
        <v>432</v>
      </c>
      <c r="AU1328" s="109" t="s">
        <v>432</v>
      </c>
      <c r="AV1328" s="109" t="s">
        <v>432</v>
      </c>
      <c r="AW1328" s="109" t="s">
        <v>432</v>
      </c>
      <c r="AX1328" s="109" t="s">
        <v>432</v>
      </c>
      <c r="AY1328" s="109" t="s">
        <v>432</v>
      </c>
      <c r="AZ1328" s="109" t="s">
        <v>432</v>
      </c>
      <c r="BA1328" s="109" t="s">
        <v>432</v>
      </c>
      <c r="BB1328" s="239" t="str">
        <f t="shared" si="360"/>
        <v>Calçadas e passarelasacessibilidade</v>
      </c>
      <c r="BC1328" s="239" t="str">
        <f t="shared" si="361"/>
        <v>Calçadas e passarelasacessibilidadebenchmarking</v>
      </c>
      <c r="BD1328" s="239" t="str">
        <f t="shared" si="362"/>
        <v>Calçadas e passarelasbenchmarking</v>
      </c>
    </row>
    <row r="1329" spans="1:56" s="1" customFormat="1" ht="38.25" x14ac:dyDescent="0.25">
      <c r="A1329" s="608" t="str">
        <f>'Q100b-totais'!B49</f>
        <v>6.1</v>
      </c>
      <c r="B1329" s="1205" t="str">
        <f>'Q100b-totais'!C49</f>
        <v>Calçadas e passarelas</v>
      </c>
      <c r="C1329" s="230" t="s">
        <v>743</v>
      </c>
      <c r="D1329" s="325" t="s">
        <v>3626</v>
      </c>
      <c r="E1329" s="1491" t="s">
        <v>1703</v>
      </c>
      <c r="F1329" s="1174" t="s">
        <v>3802</v>
      </c>
      <c r="G1329" s="1131" t="s">
        <v>77</v>
      </c>
      <c r="H1329" s="173" t="s">
        <v>819</v>
      </c>
      <c r="I1329" s="167" t="s">
        <v>432</v>
      </c>
      <c r="J1329" s="109" t="s">
        <v>432</v>
      </c>
      <c r="K1329" s="109" t="s">
        <v>432</v>
      </c>
      <c r="L1329" s="109" t="s">
        <v>432</v>
      </c>
      <c r="M1329" s="109" t="s">
        <v>432</v>
      </c>
      <c r="N1329" s="109" t="s">
        <v>432</v>
      </c>
      <c r="O1329" s="109" t="s">
        <v>432</v>
      </c>
      <c r="P1329" s="109" t="s">
        <v>432</v>
      </c>
      <c r="Q1329" s="109" t="s">
        <v>432</v>
      </c>
      <c r="R1329" s="109" t="s">
        <v>432</v>
      </c>
      <c r="S1329" s="109" t="s">
        <v>2209</v>
      </c>
      <c r="T1329" s="109" t="s">
        <v>432</v>
      </c>
      <c r="U1329" s="109" t="s">
        <v>432</v>
      </c>
      <c r="V1329" s="109" t="s">
        <v>2209</v>
      </c>
      <c r="W1329" s="109" t="s">
        <v>432</v>
      </c>
      <c r="X1329" s="109" t="s">
        <v>432</v>
      </c>
      <c r="Y1329" s="109" t="s">
        <v>432</v>
      </c>
      <c r="Z1329" s="109" t="s">
        <v>432</v>
      </c>
      <c r="AA1329" s="109" t="s">
        <v>432</v>
      </c>
      <c r="AB1329" s="109" t="s">
        <v>432</v>
      </c>
      <c r="AC1329" s="109" t="s">
        <v>432</v>
      </c>
      <c r="AD1329" s="109" t="s">
        <v>432</v>
      </c>
      <c r="AE1329" s="109" t="s">
        <v>432</v>
      </c>
      <c r="AF1329" s="110">
        <v>0.749</v>
      </c>
      <c r="AG1329" s="109" t="s">
        <v>432</v>
      </c>
      <c r="AH1329" s="109" t="s">
        <v>432</v>
      </c>
      <c r="AI1329" s="109" t="s">
        <v>432</v>
      </c>
      <c r="AJ1329" s="109" t="s">
        <v>432</v>
      </c>
      <c r="AK1329" s="109" t="s">
        <v>432</v>
      </c>
      <c r="AL1329" s="600" t="s">
        <v>432</v>
      </c>
      <c r="AM1329" s="109" t="s">
        <v>432</v>
      </c>
      <c r="AN1329" s="109" t="s">
        <v>432</v>
      </c>
      <c r="AO1329" s="109" t="s">
        <v>432</v>
      </c>
      <c r="AP1329" s="109" t="s">
        <v>432</v>
      </c>
      <c r="AQ1329" s="109" t="s">
        <v>432</v>
      </c>
      <c r="AR1329" s="109" t="s">
        <v>432</v>
      </c>
      <c r="AS1329" s="109" t="s">
        <v>432</v>
      </c>
      <c r="AT1329" s="109" t="s">
        <v>432</v>
      </c>
      <c r="AU1329" s="109" t="s">
        <v>432</v>
      </c>
      <c r="AV1329" s="109" t="s">
        <v>432</v>
      </c>
      <c r="AW1329" s="109" t="s">
        <v>432</v>
      </c>
      <c r="AX1329" s="109" t="s">
        <v>432</v>
      </c>
      <c r="AY1329" s="109" t="s">
        <v>432</v>
      </c>
      <c r="AZ1329" s="109" t="s">
        <v>432</v>
      </c>
      <c r="BA1329" s="109" t="s">
        <v>432</v>
      </c>
      <c r="BB1329" s="239" t="str">
        <f t="shared" si="360"/>
        <v>Calçadas e passarelasacessibilidade</v>
      </c>
      <c r="BC1329" s="239" t="str">
        <f t="shared" si="361"/>
        <v>Calçadas e passarelasacessibilidadebenchmarking</v>
      </c>
      <c r="BD1329" s="239" t="str">
        <f t="shared" si="362"/>
        <v>Calçadas e passarelasbenchmarking</v>
      </c>
    </row>
    <row r="1330" spans="1:56" s="1" customFormat="1" ht="38.25" x14ac:dyDescent="0.25">
      <c r="A1330" s="608" t="str">
        <f>'Q100b-totais'!B49</f>
        <v>6.1</v>
      </c>
      <c r="B1330" s="1205" t="str">
        <f>'Q100b-totais'!C49</f>
        <v>Calçadas e passarelas</v>
      </c>
      <c r="C1330" s="230" t="s">
        <v>743</v>
      </c>
      <c r="D1330" s="325" t="s">
        <v>3626</v>
      </c>
      <c r="E1330" s="1491" t="s">
        <v>1704</v>
      </c>
      <c r="F1330" s="1174" t="s">
        <v>3802</v>
      </c>
      <c r="G1330" s="1131" t="s">
        <v>77</v>
      </c>
      <c r="H1330" s="173" t="s">
        <v>819</v>
      </c>
      <c r="I1330" s="167" t="s">
        <v>432</v>
      </c>
      <c r="J1330" s="109" t="s">
        <v>432</v>
      </c>
      <c r="K1330" s="109" t="s">
        <v>432</v>
      </c>
      <c r="L1330" s="109" t="s">
        <v>432</v>
      </c>
      <c r="M1330" s="109" t="s">
        <v>432</v>
      </c>
      <c r="N1330" s="109" t="s">
        <v>432</v>
      </c>
      <c r="O1330" s="109" t="s">
        <v>432</v>
      </c>
      <c r="P1330" s="109" t="s">
        <v>432</v>
      </c>
      <c r="Q1330" s="109" t="s">
        <v>432</v>
      </c>
      <c r="R1330" s="109" t="s">
        <v>432</v>
      </c>
      <c r="S1330" s="109" t="s">
        <v>2209</v>
      </c>
      <c r="T1330" s="109" t="s">
        <v>432</v>
      </c>
      <c r="U1330" s="109" t="s">
        <v>432</v>
      </c>
      <c r="V1330" s="109" t="s">
        <v>2209</v>
      </c>
      <c r="W1330" s="109" t="s">
        <v>432</v>
      </c>
      <c r="X1330" s="109" t="s">
        <v>432</v>
      </c>
      <c r="Y1330" s="109" t="s">
        <v>432</v>
      </c>
      <c r="Z1330" s="109" t="s">
        <v>432</v>
      </c>
      <c r="AA1330" s="109" t="s">
        <v>432</v>
      </c>
      <c r="AB1330" s="109" t="s">
        <v>432</v>
      </c>
      <c r="AC1330" s="109" t="s">
        <v>432</v>
      </c>
      <c r="AD1330" s="109" t="s">
        <v>432</v>
      </c>
      <c r="AE1330" s="109" t="s">
        <v>432</v>
      </c>
      <c r="AF1330" s="110">
        <v>0.63900000000000001</v>
      </c>
      <c r="AG1330" s="109" t="s">
        <v>432</v>
      </c>
      <c r="AH1330" s="109" t="s">
        <v>432</v>
      </c>
      <c r="AI1330" s="109" t="s">
        <v>432</v>
      </c>
      <c r="AJ1330" s="109" t="s">
        <v>432</v>
      </c>
      <c r="AK1330" s="109" t="s">
        <v>432</v>
      </c>
      <c r="AL1330" s="600" t="s">
        <v>432</v>
      </c>
      <c r="AM1330" s="109" t="s">
        <v>432</v>
      </c>
      <c r="AN1330" s="109" t="s">
        <v>432</v>
      </c>
      <c r="AO1330" s="109" t="s">
        <v>432</v>
      </c>
      <c r="AP1330" s="109" t="s">
        <v>432</v>
      </c>
      <c r="AQ1330" s="109" t="s">
        <v>432</v>
      </c>
      <c r="AR1330" s="109" t="s">
        <v>432</v>
      </c>
      <c r="AS1330" s="109" t="s">
        <v>432</v>
      </c>
      <c r="AT1330" s="109" t="s">
        <v>432</v>
      </c>
      <c r="AU1330" s="109" t="s">
        <v>432</v>
      </c>
      <c r="AV1330" s="109" t="s">
        <v>432</v>
      </c>
      <c r="AW1330" s="109" t="s">
        <v>432</v>
      </c>
      <c r="AX1330" s="109" t="s">
        <v>432</v>
      </c>
      <c r="AY1330" s="109" t="s">
        <v>432</v>
      </c>
      <c r="AZ1330" s="109" t="s">
        <v>432</v>
      </c>
      <c r="BA1330" s="109" t="s">
        <v>432</v>
      </c>
      <c r="BB1330" s="239" t="str">
        <f t="shared" si="360"/>
        <v>Calçadas e passarelasacessibilidade</v>
      </c>
      <c r="BC1330" s="239" t="str">
        <f t="shared" si="361"/>
        <v>Calçadas e passarelasacessibilidadebenchmarking</v>
      </c>
      <c r="BD1330" s="239" t="str">
        <f t="shared" si="362"/>
        <v>Calçadas e passarelasbenchmarking</v>
      </c>
    </row>
    <row r="1331" spans="1:56" s="1" customFormat="1" ht="38.25" x14ac:dyDescent="0.25">
      <c r="A1331" s="608" t="str">
        <f>'Q100b-totais'!B49</f>
        <v>6.1</v>
      </c>
      <c r="B1331" s="1205" t="str">
        <f>'Q100b-totais'!C49</f>
        <v>Calçadas e passarelas</v>
      </c>
      <c r="C1331" s="230" t="s">
        <v>743</v>
      </c>
      <c r="D1331" s="325" t="s">
        <v>3626</v>
      </c>
      <c r="E1331" s="1491" t="s">
        <v>1284</v>
      </c>
      <c r="F1331" s="1174" t="s">
        <v>3802</v>
      </c>
      <c r="G1331" s="1131" t="s">
        <v>77</v>
      </c>
      <c r="H1331" s="173" t="s">
        <v>819</v>
      </c>
      <c r="I1331" s="167" t="s">
        <v>432</v>
      </c>
      <c r="J1331" s="109" t="s">
        <v>432</v>
      </c>
      <c r="K1331" s="109" t="s">
        <v>432</v>
      </c>
      <c r="L1331" s="109" t="s">
        <v>432</v>
      </c>
      <c r="M1331" s="109" t="s">
        <v>432</v>
      </c>
      <c r="N1331" s="109" t="s">
        <v>432</v>
      </c>
      <c r="O1331" s="109" t="s">
        <v>432</v>
      </c>
      <c r="P1331" s="109" t="s">
        <v>432</v>
      </c>
      <c r="Q1331" s="109" t="s">
        <v>432</v>
      </c>
      <c r="R1331" s="109" t="s">
        <v>432</v>
      </c>
      <c r="S1331" s="109" t="s">
        <v>2209</v>
      </c>
      <c r="T1331" s="109" t="s">
        <v>432</v>
      </c>
      <c r="U1331" s="109" t="s">
        <v>432</v>
      </c>
      <c r="V1331" s="109" t="s">
        <v>2209</v>
      </c>
      <c r="W1331" s="109" t="s">
        <v>432</v>
      </c>
      <c r="X1331" s="109" t="s">
        <v>432</v>
      </c>
      <c r="Y1331" s="109" t="s">
        <v>432</v>
      </c>
      <c r="Z1331" s="109" t="s">
        <v>432</v>
      </c>
      <c r="AA1331" s="109" t="s">
        <v>432</v>
      </c>
      <c r="AB1331" s="109" t="s">
        <v>432</v>
      </c>
      <c r="AC1331" s="109" t="s">
        <v>432</v>
      </c>
      <c r="AD1331" s="109" t="s">
        <v>432</v>
      </c>
      <c r="AE1331" s="109" t="s">
        <v>432</v>
      </c>
      <c r="AF1331" s="110">
        <v>0.62</v>
      </c>
      <c r="AG1331" s="109" t="s">
        <v>432</v>
      </c>
      <c r="AH1331" s="109" t="s">
        <v>432</v>
      </c>
      <c r="AI1331" s="109" t="s">
        <v>432</v>
      </c>
      <c r="AJ1331" s="109" t="s">
        <v>432</v>
      </c>
      <c r="AK1331" s="109" t="s">
        <v>432</v>
      </c>
      <c r="AL1331" s="600" t="s">
        <v>432</v>
      </c>
      <c r="AM1331" s="109" t="s">
        <v>432</v>
      </c>
      <c r="AN1331" s="109" t="s">
        <v>432</v>
      </c>
      <c r="AO1331" s="109" t="s">
        <v>432</v>
      </c>
      <c r="AP1331" s="109" t="s">
        <v>432</v>
      </c>
      <c r="AQ1331" s="109" t="s">
        <v>432</v>
      </c>
      <c r="AR1331" s="109" t="s">
        <v>432</v>
      </c>
      <c r="AS1331" s="109" t="s">
        <v>432</v>
      </c>
      <c r="AT1331" s="109" t="s">
        <v>432</v>
      </c>
      <c r="AU1331" s="109" t="s">
        <v>432</v>
      </c>
      <c r="AV1331" s="109" t="s">
        <v>432</v>
      </c>
      <c r="AW1331" s="109" t="s">
        <v>432</v>
      </c>
      <c r="AX1331" s="109" t="s">
        <v>432</v>
      </c>
      <c r="AY1331" s="109" t="s">
        <v>432</v>
      </c>
      <c r="AZ1331" s="109" t="s">
        <v>432</v>
      </c>
      <c r="BA1331" s="109" t="s">
        <v>432</v>
      </c>
      <c r="BB1331" s="239" t="str">
        <f t="shared" si="360"/>
        <v>Calçadas e passarelasacessibilidade</v>
      </c>
      <c r="BC1331" s="239" t="str">
        <f t="shared" si="361"/>
        <v>Calçadas e passarelasacessibilidadebenchmarking</v>
      </c>
      <c r="BD1331" s="239" t="str">
        <f t="shared" si="362"/>
        <v>Calçadas e passarelasbenchmarking</v>
      </c>
    </row>
    <row r="1332" spans="1:56" s="1" customFormat="1" ht="38.25" x14ac:dyDescent="0.25">
      <c r="A1332" s="608" t="str">
        <f>'Q100b-totais'!B49</f>
        <v>6.1</v>
      </c>
      <c r="B1332" s="1205" t="str">
        <f>'Q100b-totais'!C49</f>
        <v>Calçadas e passarelas</v>
      </c>
      <c r="C1332" s="230" t="s">
        <v>743</v>
      </c>
      <c r="D1332" s="325" t="s">
        <v>3626</v>
      </c>
      <c r="E1332" s="1491" t="s">
        <v>1705</v>
      </c>
      <c r="F1332" s="1174" t="s">
        <v>3802</v>
      </c>
      <c r="G1332" s="1131" t="s">
        <v>77</v>
      </c>
      <c r="H1332" s="173" t="s">
        <v>819</v>
      </c>
      <c r="I1332" s="167" t="s">
        <v>432</v>
      </c>
      <c r="J1332" s="109" t="s">
        <v>432</v>
      </c>
      <c r="K1332" s="109" t="s">
        <v>432</v>
      </c>
      <c r="L1332" s="109" t="s">
        <v>432</v>
      </c>
      <c r="M1332" s="109" t="s">
        <v>432</v>
      </c>
      <c r="N1332" s="109" t="s">
        <v>432</v>
      </c>
      <c r="O1332" s="109" t="s">
        <v>432</v>
      </c>
      <c r="P1332" s="109" t="s">
        <v>432</v>
      </c>
      <c r="Q1332" s="109" t="s">
        <v>432</v>
      </c>
      <c r="R1332" s="109" t="s">
        <v>432</v>
      </c>
      <c r="S1332" s="109" t="s">
        <v>2209</v>
      </c>
      <c r="T1332" s="109" t="s">
        <v>432</v>
      </c>
      <c r="U1332" s="109" t="s">
        <v>432</v>
      </c>
      <c r="V1332" s="109" t="s">
        <v>2209</v>
      </c>
      <c r="W1332" s="109" t="s">
        <v>432</v>
      </c>
      <c r="X1332" s="109" t="s">
        <v>432</v>
      </c>
      <c r="Y1332" s="109" t="s">
        <v>432</v>
      </c>
      <c r="Z1332" s="109" t="s">
        <v>432</v>
      </c>
      <c r="AA1332" s="109" t="s">
        <v>432</v>
      </c>
      <c r="AB1332" s="109" t="s">
        <v>432</v>
      </c>
      <c r="AC1332" s="109" t="s">
        <v>432</v>
      </c>
      <c r="AD1332" s="109" t="s">
        <v>432</v>
      </c>
      <c r="AE1332" s="109" t="s">
        <v>432</v>
      </c>
      <c r="AF1332" s="110">
        <v>0.78100000000000003</v>
      </c>
      <c r="AG1332" s="109" t="s">
        <v>432</v>
      </c>
      <c r="AH1332" s="109" t="s">
        <v>432</v>
      </c>
      <c r="AI1332" s="109" t="s">
        <v>432</v>
      </c>
      <c r="AJ1332" s="109" t="s">
        <v>432</v>
      </c>
      <c r="AK1332" s="109" t="s">
        <v>432</v>
      </c>
      <c r="AL1332" s="600" t="s">
        <v>432</v>
      </c>
      <c r="AM1332" s="109" t="s">
        <v>432</v>
      </c>
      <c r="AN1332" s="109" t="s">
        <v>432</v>
      </c>
      <c r="AO1332" s="109" t="s">
        <v>432</v>
      </c>
      <c r="AP1332" s="109" t="s">
        <v>432</v>
      </c>
      <c r="AQ1332" s="109" t="s">
        <v>432</v>
      </c>
      <c r="AR1332" s="109" t="s">
        <v>432</v>
      </c>
      <c r="AS1332" s="109" t="s">
        <v>432</v>
      </c>
      <c r="AT1332" s="109" t="s">
        <v>432</v>
      </c>
      <c r="AU1332" s="109" t="s">
        <v>432</v>
      </c>
      <c r="AV1332" s="109" t="s">
        <v>432</v>
      </c>
      <c r="AW1332" s="109" t="s">
        <v>432</v>
      </c>
      <c r="AX1332" s="109" t="s">
        <v>432</v>
      </c>
      <c r="AY1332" s="109" t="s">
        <v>432</v>
      </c>
      <c r="AZ1332" s="109" t="s">
        <v>432</v>
      </c>
      <c r="BA1332" s="109" t="s">
        <v>432</v>
      </c>
      <c r="BB1332" s="239" t="str">
        <f t="shared" si="360"/>
        <v>Calçadas e passarelasacessibilidade</v>
      </c>
      <c r="BC1332" s="239" t="str">
        <f t="shared" si="361"/>
        <v>Calçadas e passarelasacessibilidadebenchmarking</v>
      </c>
      <c r="BD1332" s="239" t="str">
        <f t="shared" si="362"/>
        <v>Calçadas e passarelasbenchmarking</v>
      </c>
    </row>
    <row r="1333" spans="1:56" s="105" customFormat="1" x14ac:dyDescent="0.25">
      <c r="A1333" s="911"/>
      <c r="B1333" s="911"/>
      <c r="C1333" s="912"/>
      <c r="D1333" s="981"/>
      <c r="E1333" s="1528"/>
      <c r="F1333" s="913"/>
      <c r="G1333" s="913"/>
      <c r="H1333" s="913"/>
      <c r="I1333" s="914"/>
      <c r="J1333" s="914"/>
      <c r="K1333" s="910"/>
      <c r="L1333" s="910"/>
      <c r="M1333" s="910"/>
      <c r="N1333" s="910"/>
      <c r="O1333" s="910"/>
      <c r="P1333" s="910"/>
      <c r="Q1333" s="910"/>
      <c r="R1333" s="910"/>
      <c r="S1333" s="910"/>
      <c r="T1333" s="910"/>
      <c r="U1333" s="910"/>
      <c r="V1333" s="910"/>
      <c r="W1333" s="910"/>
      <c r="X1333" s="910"/>
      <c r="Y1333" s="910"/>
      <c r="Z1333" s="910"/>
      <c r="AA1333" s="910"/>
      <c r="AB1333" s="910"/>
      <c r="AC1333" s="910"/>
      <c r="AD1333" s="910"/>
      <c r="AE1333" s="910"/>
      <c r="AF1333" s="910"/>
      <c r="AG1333" s="910"/>
      <c r="AH1333" s="910"/>
      <c r="AI1333" s="910"/>
      <c r="AJ1333" s="910"/>
      <c r="AK1333" s="910"/>
      <c r="AL1333" s="910"/>
      <c r="AM1333" s="910"/>
      <c r="AN1333" s="910"/>
      <c r="AO1333" s="910"/>
      <c r="AP1333" s="910"/>
      <c r="AQ1333" s="910"/>
      <c r="AR1333" s="910"/>
      <c r="AS1333" s="910"/>
      <c r="AT1333" s="910"/>
      <c r="AU1333" s="910"/>
      <c r="AV1333" s="910"/>
      <c r="AW1333" s="910"/>
      <c r="AX1333" s="910"/>
      <c r="AY1333" s="910"/>
      <c r="AZ1333" s="910"/>
      <c r="BA1333" s="910"/>
      <c r="BB1333" s="910"/>
      <c r="BC1333" s="910"/>
      <c r="BD1333" s="910"/>
    </row>
    <row r="1334" spans="1:56" s="1" customFormat="1" ht="44.25" customHeight="1" x14ac:dyDescent="0.25">
      <c r="A1334" s="1133" t="str">
        <f>'Q100b-totais'!B49</f>
        <v>6.1</v>
      </c>
      <c r="B1334" s="1205" t="str">
        <f>'Q100b-totais'!C49</f>
        <v>Calçadas e passarelas</v>
      </c>
      <c r="C1334" s="57" t="s">
        <v>743</v>
      </c>
      <c r="D1334" s="325" t="s">
        <v>3626</v>
      </c>
      <c r="E1334" s="1491" t="s">
        <v>3622</v>
      </c>
      <c r="F1334" s="1174" t="s">
        <v>3799</v>
      </c>
      <c r="G1334" s="1131" t="s">
        <v>77</v>
      </c>
      <c r="H1334" s="173" t="s">
        <v>819</v>
      </c>
      <c r="I1334" s="167" t="s">
        <v>432</v>
      </c>
      <c r="J1334" s="109" t="s">
        <v>432</v>
      </c>
      <c r="K1334" s="109" t="s">
        <v>432</v>
      </c>
      <c r="L1334" s="109" t="s">
        <v>432</v>
      </c>
      <c r="M1334" s="109" t="s">
        <v>432</v>
      </c>
      <c r="N1334" s="109" t="s">
        <v>432</v>
      </c>
      <c r="O1334" s="109" t="s">
        <v>432</v>
      </c>
      <c r="P1334" s="109" t="s">
        <v>432</v>
      </c>
      <c r="Q1334" s="109" t="s">
        <v>432</v>
      </c>
      <c r="R1334" s="109" t="s">
        <v>432</v>
      </c>
      <c r="S1334" s="109" t="s">
        <v>2209</v>
      </c>
      <c r="T1334" s="109" t="s">
        <v>432</v>
      </c>
      <c r="U1334" s="109" t="s">
        <v>432</v>
      </c>
      <c r="V1334" s="109" t="s">
        <v>2209</v>
      </c>
      <c r="W1334" s="109" t="s">
        <v>432</v>
      </c>
      <c r="X1334" s="109" t="s">
        <v>432</v>
      </c>
      <c r="Y1334" s="109" t="s">
        <v>432</v>
      </c>
      <c r="Z1334" s="109" t="s">
        <v>432</v>
      </c>
      <c r="AA1334" s="109" t="s">
        <v>432</v>
      </c>
      <c r="AB1334" s="109" t="s">
        <v>432</v>
      </c>
      <c r="AC1334" s="109" t="s">
        <v>432</v>
      </c>
      <c r="AD1334" s="109" t="s">
        <v>432</v>
      </c>
      <c r="AE1334" s="109" t="s">
        <v>432</v>
      </c>
      <c r="AF1334" s="110">
        <v>0.72099999999999997</v>
      </c>
      <c r="AG1334" s="109" t="s">
        <v>432</v>
      </c>
      <c r="AH1334" s="109" t="s">
        <v>432</v>
      </c>
      <c r="AI1334" s="109" t="s">
        <v>432</v>
      </c>
      <c r="AJ1334" s="109" t="s">
        <v>432</v>
      </c>
      <c r="AK1334" s="109" t="s">
        <v>432</v>
      </c>
      <c r="AL1334" s="600" t="s">
        <v>432</v>
      </c>
      <c r="AM1334" s="109" t="s">
        <v>432</v>
      </c>
      <c r="AN1334" s="109" t="s">
        <v>432</v>
      </c>
      <c r="AO1334" s="109" t="s">
        <v>432</v>
      </c>
      <c r="AP1334" s="109" t="s">
        <v>432</v>
      </c>
      <c r="AQ1334" s="109" t="s">
        <v>432</v>
      </c>
      <c r="AR1334" s="109" t="s">
        <v>432</v>
      </c>
      <c r="AS1334" s="109" t="s">
        <v>432</v>
      </c>
      <c r="AT1334" s="109" t="s">
        <v>432</v>
      </c>
      <c r="AU1334" s="109" t="s">
        <v>432</v>
      </c>
      <c r="AV1334" s="109" t="s">
        <v>432</v>
      </c>
      <c r="AW1334" s="109" t="s">
        <v>432</v>
      </c>
      <c r="AX1334" s="109" t="s">
        <v>432</v>
      </c>
      <c r="AY1334" s="109" t="s">
        <v>432</v>
      </c>
      <c r="AZ1334" s="109" t="s">
        <v>432</v>
      </c>
      <c r="BA1334" s="109" t="s">
        <v>432</v>
      </c>
      <c r="BB1334" s="239" t="str">
        <f>B1334&amp;C1334</f>
        <v>Calçadas e passarelasacessibilidade</v>
      </c>
      <c r="BC1334" s="239" t="str">
        <f>B1334&amp;C1334&amp;H1334</f>
        <v>Calçadas e passarelasacessibilidadebenchmarking</v>
      </c>
      <c r="BD1334" s="239" t="str">
        <f>B1334&amp;H1334</f>
        <v>Calçadas e passarelasbenchmarking</v>
      </c>
    </row>
    <row r="1335" spans="1:56" s="1" customFormat="1" ht="38.25" x14ac:dyDescent="0.25">
      <c r="A1335" s="1133" t="str">
        <f>'Q100b-totais'!B49</f>
        <v>6.1</v>
      </c>
      <c r="B1335" s="1205" t="str">
        <f>'Q100b-totais'!C49</f>
        <v>Calçadas e passarelas</v>
      </c>
      <c r="C1335" s="230" t="s">
        <v>743</v>
      </c>
      <c r="D1335" s="325" t="s">
        <v>3626</v>
      </c>
      <c r="E1335" s="1491" t="s">
        <v>3617</v>
      </c>
      <c r="F1335" s="1174" t="s">
        <v>3799</v>
      </c>
      <c r="G1335" s="1131" t="s">
        <v>77</v>
      </c>
      <c r="H1335" s="173" t="s">
        <v>819</v>
      </c>
      <c r="I1335" s="167" t="s">
        <v>432</v>
      </c>
      <c r="J1335" s="109" t="s">
        <v>432</v>
      </c>
      <c r="K1335" s="109" t="s">
        <v>432</v>
      </c>
      <c r="L1335" s="109" t="s">
        <v>432</v>
      </c>
      <c r="M1335" s="109" t="s">
        <v>432</v>
      </c>
      <c r="N1335" s="109" t="s">
        <v>432</v>
      </c>
      <c r="O1335" s="109" t="s">
        <v>432</v>
      </c>
      <c r="P1335" s="109" t="s">
        <v>432</v>
      </c>
      <c r="Q1335" s="109" t="s">
        <v>432</v>
      </c>
      <c r="R1335" s="109" t="s">
        <v>432</v>
      </c>
      <c r="S1335" s="109" t="s">
        <v>2209</v>
      </c>
      <c r="T1335" s="109" t="s">
        <v>432</v>
      </c>
      <c r="U1335" s="109" t="s">
        <v>432</v>
      </c>
      <c r="V1335" s="109" t="s">
        <v>2209</v>
      </c>
      <c r="W1335" s="109" t="s">
        <v>432</v>
      </c>
      <c r="X1335" s="109" t="s">
        <v>432</v>
      </c>
      <c r="Y1335" s="109" t="s">
        <v>432</v>
      </c>
      <c r="Z1335" s="109" t="s">
        <v>432</v>
      </c>
      <c r="AA1335" s="109" t="s">
        <v>432</v>
      </c>
      <c r="AB1335" s="109" t="s">
        <v>432</v>
      </c>
      <c r="AC1335" s="109" t="s">
        <v>432</v>
      </c>
      <c r="AD1335" s="109" t="s">
        <v>432</v>
      </c>
      <c r="AE1335" s="109" t="s">
        <v>432</v>
      </c>
      <c r="AF1335" s="110">
        <v>0.59899999999999998</v>
      </c>
      <c r="AG1335" s="109" t="s">
        <v>432</v>
      </c>
      <c r="AH1335" s="109" t="s">
        <v>432</v>
      </c>
      <c r="AI1335" s="109" t="s">
        <v>432</v>
      </c>
      <c r="AJ1335" s="109" t="s">
        <v>432</v>
      </c>
      <c r="AK1335" s="109" t="s">
        <v>432</v>
      </c>
      <c r="AL1335" s="600" t="s">
        <v>432</v>
      </c>
      <c r="AM1335" s="109" t="s">
        <v>432</v>
      </c>
      <c r="AN1335" s="109" t="s">
        <v>432</v>
      </c>
      <c r="AO1335" s="109" t="s">
        <v>432</v>
      </c>
      <c r="AP1335" s="109" t="s">
        <v>432</v>
      </c>
      <c r="AQ1335" s="109" t="s">
        <v>432</v>
      </c>
      <c r="AR1335" s="109" t="s">
        <v>432</v>
      </c>
      <c r="AS1335" s="109" t="s">
        <v>432</v>
      </c>
      <c r="AT1335" s="109" t="s">
        <v>432</v>
      </c>
      <c r="AU1335" s="109" t="s">
        <v>432</v>
      </c>
      <c r="AV1335" s="109" t="s">
        <v>432</v>
      </c>
      <c r="AW1335" s="109" t="s">
        <v>432</v>
      </c>
      <c r="AX1335" s="109" t="s">
        <v>432</v>
      </c>
      <c r="AY1335" s="109" t="s">
        <v>432</v>
      </c>
      <c r="AZ1335" s="109" t="s">
        <v>432</v>
      </c>
      <c r="BA1335" s="109" t="s">
        <v>432</v>
      </c>
      <c r="BB1335" s="239" t="str">
        <f t="shared" ref="BB1335:BB1341" si="363">B1335&amp;C1335</f>
        <v>Calçadas e passarelasacessibilidade</v>
      </c>
      <c r="BC1335" s="239" t="str">
        <f t="shared" ref="BC1335:BC1341" si="364">B1335&amp;C1335&amp;H1335</f>
        <v>Calçadas e passarelasacessibilidadebenchmarking</v>
      </c>
      <c r="BD1335" s="239" t="str">
        <f t="shared" ref="BD1335:BD1341" si="365">B1335&amp;H1335</f>
        <v>Calçadas e passarelasbenchmarking</v>
      </c>
    </row>
    <row r="1336" spans="1:56" s="1" customFormat="1" ht="38.25" x14ac:dyDescent="0.25">
      <c r="A1336" s="1133" t="str">
        <f>'Q100b-totais'!B49</f>
        <v>6.1</v>
      </c>
      <c r="B1336" s="1205" t="str">
        <f>'Q100b-totais'!C49</f>
        <v>Calçadas e passarelas</v>
      </c>
      <c r="C1336" s="230" t="s">
        <v>743</v>
      </c>
      <c r="D1336" s="325" t="s">
        <v>3626</v>
      </c>
      <c r="E1336" s="1491" t="s">
        <v>3621</v>
      </c>
      <c r="F1336" s="1174" t="s">
        <v>3799</v>
      </c>
      <c r="G1336" s="1131" t="s">
        <v>77</v>
      </c>
      <c r="H1336" s="173" t="s">
        <v>819</v>
      </c>
      <c r="I1336" s="167" t="s">
        <v>432</v>
      </c>
      <c r="J1336" s="109" t="s">
        <v>432</v>
      </c>
      <c r="K1336" s="109" t="s">
        <v>432</v>
      </c>
      <c r="L1336" s="109" t="s">
        <v>432</v>
      </c>
      <c r="M1336" s="109" t="s">
        <v>432</v>
      </c>
      <c r="N1336" s="109" t="s">
        <v>432</v>
      </c>
      <c r="O1336" s="109" t="s">
        <v>432</v>
      </c>
      <c r="P1336" s="109" t="s">
        <v>432</v>
      </c>
      <c r="Q1336" s="109" t="s">
        <v>432</v>
      </c>
      <c r="R1336" s="109" t="s">
        <v>432</v>
      </c>
      <c r="S1336" s="109" t="s">
        <v>2209</v>
      </c>
      <c r="T1336" s="109" t="s">
        <v>432</v>
      </c>
      <c r="U1336" s="109" t="s">
        <v>432</v>
      </c>
      <c r="V1336" s="109" t="s">
        <v>2209</v>
      </c>
      <c r="W1336" s="109" t="s">
        <v>432</v>
      </c>
      <c r="X1336" s="109" t="s">
        <v>432</v>
      </c>
      <c r="Y1336" s="109" t="s">
        <v>432</v>
      </c>
      <c r="Z1336" s="109" t="s">
        <v>432</v>
      </c>
      <c r="AA1336" s="109" t="s">
        <v>432</v>
      </c>
      <c r="AB1336" s="109" t="s">
        <v>432</v>
      </c>
      <c r="AC1336" s="109" t="s">
        <v>432</v>
      </c>
      <c r="AD1336" s="109" t="s">
        <v>432</v>
      </c>
      <c r="AE1336" s="109" t="s">
        <v>432</v>
      </c>
      <c r="AF1336" s="110">
        <v>0.438</v>
      </c>
      <c r="AG1336" s="109" t="s">
        <v>432</v>
      </c>
      <c r="AH1336" s="109" t="s">
        <v>432</v>
      </c>
      <c r="AI1336" s="109" t="s">
        <v>432</v>
      </c>
      <c r="AJ1336" s="109" t="s">
        <v>432</v>
      </c>
      <c r="AK1336" s="109" t="s">
        <v>432</v>
      </c>
      <c r="AL1336" s="600" t="s">
        <v>432</v>
      </c>
      <c r="AM1336" s="109" t="s">
        <v>432</v>
      </c>
      <c r="AN1336" s="109" t="s">
        <v>432</v>
      </c>
      <c r="AO1336" s="109" t="s">
        <v>432</v>
      </c>
      <c r="AP1336" s="109" t="s">
        <v>432</v>
      </c>
      <c r="AQ1336" s="109" t="s">
        <v>432</v>
      </c>
      <c r="AR1336" s="109" t="s">
        <v>432</v>
      </c>
      <c r="AS1336" s="109" t="s">
        <v>432</v>
      </c>
      <c r="AT1336" s="109" t="s">
        <v>432</v>
      </c>
      <c r="AU1336" s="109" t="s">
        <v>432</v>
      </c>
      <c r="AV1336" s="109" t="s">
        <v>432</v>
      </c>
      <c r="AW1336" s="109" t="s">
        <v>432</v>
      </c>
      <c r="AX1336" s="109" t="s">
        <v>432</v>
      </c>
      <c r="AY1336" s="109" t="s">
        <v>432</v>
      </c>
      <c r="AZ1336" s="109" t="s">
        <v>432</v>
      </c>
      <c r="BA1336" s="109" t="s">
        <v>432</v>
      </c>
      <c r="BB1336" s="239" t="str">
        <f t="shared" si="363"/>
        <v>Calçadas e passarelasacessibilidade</v>
      </c>
      <c r="BC1336" s="239" t="str">
        <f t="shared" si="364"/>
        <v>Calçadas e passarelasacessibilidadebenchmarking</v>
      </c>
      <c r="BD1336" s="239" t="str">
        <f t="shared" si="365"/>
        <v>Calçadas e passarelasbenchmarking</v>
      </c>
    </row>
    <row r="1337" spans="1:56" s="1" customFormat="1" ht="38.25" x14ac:dyDescent="0.25">
      <c r="A1337" s="1133" t="str">
        <f>'Q100b-totais'!B49</f>
        <v>6.1</v>
      </c>
      <c r="B1337" s="1205" t="str">
        <f>'Q100b-totais'!C49</f>
        <v>Calçadas e passarelas</v>
      </c>
      <c r="C1337" s="230" t="s">
        <v>743</v>
      </c>
      <c r="D1337" s="325" t="s">
        <v>3626</v>
      </c>
      <c r="E1337" s="1491" t="s">
        <v>3620</v>
      </c>
      <c r="F1337" s="1174" t="s">
        <v>3799</v>
      </c>
      <c r="G1337" s="1131" t="s">
        <v>77</v>
      </c>
      <c r="H1337" s="173" t="s">
        <v>819</v>
      </c>
      <c r="I1337" s="167" t="s">
        <v>432</v>
      </c>
      <c r="J1337" s="109" t="s">
        <v>432</v>
      </c>
      <c r="K1337" s="109" t="s">
        <v>432</v>
      </c>
      <c r="L1337" s="109" t="s">
        <v>432</v>
      </c>
      <c r="M1337" s="109" t="s">
        <v>432</v>
      </c>
      <c r="N1337" s="109" t="s">
        <v>432</v>
      </c>
      <c r="O1337" s="109" t="s">
        <v>432</v>
      </c>
      <c r="P1337" s="109" t="s">
        <v>432</v>
      </c>
      <c r="Q1337" s="109" t="s">
        <v>432</v>
      </c>
      <c r="R1337" s="109" t="s">
        <v>432</v>
      </c>
      <c r="S1337" s="109" t="s">
        <v>2209</v>
      </c>
      <c r="T1337" s="109" t="s">
        <v>432</v>
      </c>
      <c r="U1337" s="109" t="s">
        <v>432</v>
      </c>
      <c r="V1337" s="109" t="s">
        <v>2209</v>
      </c>
      <c r="W1337" s="109" t="s">
        <v>432</v>
      </c>
      <c r="X1337" s="109" t="s">
        <v>432</v>
      </c>
      <c r="Y1337" s="109" t="s">
        <v>432</v>
      </c>
      <c r="Z1337" s="109" t="s">
        <v>432</v>
      </c>
      <c r="AA1337" s="109" t="s">
        <v>432</v>
      </c>
      <c r="AB1337" s="109" t="s">
        <v>432</v>
      </c>
      <c r="AC1337" s="109" t="s">
        <v>432</v>
      </c>
      <c r="AD1337" s="109" t="s">
        <v>432</v>
      </c>
      <c r="AE1337" s="109" t="s">
        <v>432</v>
      </c>
      <c r="AF1337" s="110">
        <v>0.55900000000000005</v>
      </c>
      <c r="AG1337" s="109" t="s">
        <v>432</v>
      </c>
      <c r="AH1337" s="109" t="s">
        <v>432</v>
      </c>
      <c r="AI1337" s="109" t="s">
        <v>432</v>
      </c>
      <c r="AJ1337" s="109" t="s">
        <v>432</v>
      </c>
      <c r="AK1337" s="109" t="s">
        <v>432</v>
      </c>
      <c r="AL1337" s="600" t="s">
        <v>432</v>
      </c>
      <c r="AM1337" s="109" t="s">
        <v>432</v>
      </c>
      <c r="AN1337" s="109" t="s">
        <v>432</v>
      </c>
      <c r="AO1337" s="109" t="s">
        <v>432</v>
      </c>
      <c r="AP1337" s="109" t="s">
        <v>432</v>
      </c>
      <c r="AQ1337" s="109" t="s">
        <v>432</v>
      </c>
      <c r="AR1337" s="109" t="s">
        <v>432</v>
      </c>
      <c r="AS1337" s="109" t="s">
        <v>432</v>
      </c>
      <c r="AT1337" s="109" t="s">
        <v>432</v>
      </c>
      <c r="AU1337" s="109" t="s">
        <v>432</v>
      </c>
      <c r="AV1337" s="109" t="s">
        <v>432</v>
      </c>
      <c r="AW1337" s="109" t="s">
        <v>432</v>
      </c>
      <c r="AX1337" s="109" t="s">
        <v>432</v>
      </c>
      <c r="AY1337" s="109" t="s">
        <v>432</v>
      </c>
      <c r="AZ1337" s="109" t="s">
        <v>432</v>
      </c>
      <c r="BA1337" s="109" t="s">
        <v>432</v>
      </c>
      <c r="BB1337" s="239" t="str">
        <f t="shared" si="363"/>
        <v>Calçadas e passarelasacessibilidade</v>
      </c>
      <c r="BC1337" s="239" t="str">
        <f t="shared" si="364"/>
        <v>Calçadas e passarelasacessibilidadebenchmarking</v>
      </c>
      <c r="BD1337" s="239" t="str">
        <f t="shared" si="365"/>
        <v>Calçadas e passarelasbenchmarking</v>
      </c>
    </row>
    <row r="1338" spans="1:56" s="1" customFormat="1" ht="38.25" x14ac:dyDescent="0.25">
      <c r="A1338" s="1133" t="str">
        <f>'Q100b-totais'!B49</f>
        <v>6.1</v>
      </c>
      <c r="B1338" s="1205" t="str">
        <f>'Q100b-totais'!C49</f>
        <v>Calçadas e passarelas</v>
      </c>
      <c r="C1338" s="230" t="s">
        <v>743</v>
      </c>
      <c r="D1338" s="325" t="s">
        <v>3626</v>
      </c>
      <c r="E1338" s="1491" t="s">
        <v>3618</v>
      </c>
      <c r="F1338" s="1174" t="s">
        <v>3799</v>
      </c>
      <c r="G1338" s="1131" t="s">
        <v>77</v>
      </c>
      <c r="H1338" s="173" t="s">
        <v>819</v>
      </c>
      <c r="I1338" s="167" t="s">
        <v>432</v>
      </c>
      <c r="J1338" s="109" t="s">
        <v>432</v>
      </c>
      <c r="K1338" s="109" t="s">
        <v>432</v>
      </c>
      <c r="L1338" s="109" t="s">
        <v>432</v>
      </c>
      <c r="M1338" s="109" t="s">
        <v>432</v>
      </c>
      <c r="N1338" s="109" t="s">
        <v>432</v>
      </c>
      <c r="O1338" s="109" t="s">
        <v>432</v>
      </c>
      <c r="P1338" s="109" t="s">
        <v>432</v>
      </c>
      <c r="Q1338" s="109" t="s">
        <v>432</v>
      </c>
      <c r="R1338" s="109" t="s">
        <v>432</v>
      </c>
      <c r="S1338" s="109" t="s">
        <v>2209</v>
      </c>
      <c r="T1338" s="109" t="s">
        <v>432</v>
      </c>
      <c r="U1338" s="109" t="s">
        <v>432</v>
      </c>
      <c r="V1338" s="109" t="s">
        <v>2209</v>
      </c>
      <c r="W1338" s="109" t="s">
        <v>432</v>
      </c>
      <c r="X1338" s="109" t="s">
        <v>432</v>
      </c>
      <c r="Y1338" s="109" t="s">
        <v>432</v>
      </c>
      <c r="Z1338" s="109" t="s">
        <v>432</v>
      </c>
      <c r="AA1338" s="109" t="s">
        <v>432</v>
      </c>
      <c r="AB1338" s="109" t="s">
        <v>432</v>
      </c>
      <c r="AC1338" s="109" t="s">
        <v>432</v>
      </c>
      <c r="AD1338" s="109" t="s">
        <v>432</v>
      </c>
      <c r="AE1338" s="109" t="s">
        <v>432</v>
      </c>
      <c r="AF1338" s="110">
        <v>0.27400000000000002</v>
      </c>
      <c r="AG1338" s="109" t="s">
        <v>432</v>
      </c>
      <c r="AH1338" s="109" t="s">
        <v>432</v>
      </c>
      <c r="AI1338" s="109" t="s">
        <v>432</v>
      </c>
      <c r="AJ1338" s="109" t="s">
        <v>432</v>
      </c>
      <c r="AK1338" s="109" t="s">
        <v>432</v>
      </c>
      <c r="AL1338" s="600" t="s">
        <v>432</v>
      </c>
      <c r="AM1338" s="109" t="s">
        <v>432</v>
      </c>
      <c r="AN1338" s="109" t="s">
        <v>432</v>
      </c>
      <c r="AO1338" s="109" t="s">
        <v>432</v>
      </c>
      <c r="AP1338" s="109" t="s">
        <v>432</v>
      </c>
      <c r="AQ1338" s="109" t="s">
        <v>432</v>
      </c>
      <c r="AR1338" s="109" t="s">
        <v>432</v>
      </c>
      <c r="AS1338" s="109" t="s">
        <v>432</v>
      </c>
      <c r="AT1338" s="109" t="s">
        <v>432</v>
      </c>
      <c r="AU1338" s="109" t="s">
        <v>432</v>
      </c>
      <c r="AV1338" s="109" t="s">
        <v>432</v>
      </c>
      <c r="AW1338" s="109" t="s">
        <v>432</v>
      </c>
      <c r="AX1338" s="109" t="s">
        <v>432</v>
      </c>
      <c r="AY1338" s="109" t="s">
        <v>432</v>
      </c>
      <c r="AZ1338" s="109" t="s">
        <v>432</v>
      </c>
      <c r="BA1338" s="109" t="s">
        <v>432</v>
      </c>
      <c r="BB1338" s="239" t="str">
        <f t="shared" si="363"/>
        <v>Calçadas e passarelasacessibilidade</v>
      </c>
      <c r="BC1338" s="239" t="str">
        <f t="shared" si="364"/>
        <v>Calçadas e passarelasacessibilidadebenchmarking</v>
      </c>
      <c r="BD1338" s="239" t="str">
        <f t="shared" si="365"/>
        <v>Calçadas e passarelasbenchmarking</v>
      </c>
    </row>
    <row r="1339" spans="1:56" s="1" customFormat="1" ht="38.25" x14ac:dyDescent="0.25">
      <c r="A1339" s="1133" t="str">
        <f>'Q100b-totais'!B49</f>
        <v>6.1</v>
      </c>
      <c r="B1339" s="1205" t="str">
        <f>'Q100b-totais'!C49</f>
        <v>Calçadas e passarelas</v>
      </c>
      <c r="C1339" s="230" t="s">
        <v>743</v>
      </c>
      <c r="D1339" s="325" t="s">
        <v>3626</v>
      </c>
      <c r="E1339" s="1491" t="s">
        <v>3619</v>
      </c>
      <c r="F1339" s="1174" t="s">
        <v>3799</v>
      </c>
      <c r="G1339" s="1131" t="s">
        <v>77</v>
      </c>
      <c r="H1339" s="173" t="s">
        <v>819</v>
      </c>
      <c r="I1339" s="167" t="s">
        <v>432</v>
      </c>
      <c r="J1339" s="109" t="s">
        <v>432</v>
      </c>
      <c r="K1339" s="109" t="s">
        <v>432</v>
      </c>
      <c r="L1339" s="109" t="s">
        <v>432</v>
      </c>
      <c r="M1339" s="109" t="s">
        <v>432</v>
      </c>
      <c r="N1339" s="109" t="s">
        <v>432</v>
      </c>
      <c r="O1339" s="109" t="s">
        <v>432</v>
      </c>
      <c r="P1339" s="109" t="s">
        <v>432</v>
      </c>
      <c r="Q1339" s="109" t="s">
        <v>432</v>
      </c>
      <c r="R1339" s="109" t="s">
        <v>432</v>
      </c>
      <c r="S1339" s="109" t="s">
        <v>2209</v>
      </c>
      <c r="T1339" s="109" t="s">
        <v>432</v>
      </c>
      <c r="U1339" s="109" t="s">
        <v>432</v>
      </c>
      <c r="V1339" s="109" t="s">
        <v>2209</v>
      </c>
      <c r="W1339" s="109" t="s">
        <v>432</v>
      </c>
      <c r="X1339" s="109" t="s">
        <v>432</v>
      </c>
      <c r="Y1339" s="109" t="s">
        <v>432</v>
      </c>
      <c r="Z1339" s="109" t="s">
        <v>432</v>
      </c>
      <c r="AA1339" s="109" t="s">
        <v>432</v>
      </c>
      <c r="AB1339" s="109" t="s">
        <v>432</v>
      </c>
      <c r="AC1339" s="109" t="s">
        <v>432</v>
      </c>
      <c r="AD1339" s="109" t="s">
        <v>432</v>
      </c>
      <c r="AE1339" s="109" t="s">
        <v>432</v>
      </c>
      <c r="AF1339" s="110">
        <v>0.47799999999999998</v>
      </c>
      <c r="AG1339" s="109" t="s">
        <v>432</v>
      </c>
      <c r="AH1339" s="109" t="s">
        <v>432</v>
      </c>
      <c r="AI1339" s="109" t="s">
        <v>432</v>
      </c>
      <c r="AJ1339" s="109" t="s">
        <v>432</v>
      </c>
      <c r="AK1339" s="109" t="s">
        <v>432</v>
      </c>
      <c r="AL1339" s="600" t="s">
        <v>432</v>
      </c>
      <c r="AM1339" s="109" t="s">
        <v>432</v>
      </c>
      <c r="AN1339" s="109" t="s">
        <v>432</v>
      </c>
      <c r="AO1339" s="109" t="s">
        <v>432</v>
      </c>
      <c r="AP1339" s="109" t="s">
        <v>432</v>
      </c>
      <c r="AQ1339" s="109" t="s">
        <v>432</v>
      </c>
      <c r="AR1339" s="109" t="s">
        <v>432</v>
      </c>
      <c r="AS1339" s="109" t="s">
        <v>432</v>
      </c>
      <c r="AT1339" s="109" t="s">
        <v>432</v>
      </c>
      <c r="AU1339" s="109" t="s">
        <v>432</v>
      </c>
      <c r="AV1339" s="109" t="s">
        <v>432</v>
      </c>
      <c r="AW1339" s="109" t="s">
        <v>432</v>
      </c>
      <c r="AX1339" s="109" t="s">
        <v>432</v>
      </c>
      <c r="AY1339" s="109" t="s">
        <v>432</v>
      </c>
      <c r="AZ1339" s="109" t="s">
        <v>432</v>
      </c>
      <c r="BA1339" s="109" t="s">
        <v>432</v>
      </c>
      <c r="BB1339" s="239" t="str">
        <f t="shared" si="363"/>
        <v>Calçadas e passarelasacessibilidade</v>
      </c>
      <c r="BC1339" s="239" t="str">
        <f t="shared" si="364"/>
        <v>Calçadas e passarelasacessibilidadebenchmarking</v>
      </c>
      <c r="BD1339" s="239" t="str">
        <f t="shared" si="365"/>
        <v>Calçadas e passarelasbenchmarking</v>
      </c>
    </row>
    <row r="1340" spans="1:56" s="1" customFormat="1" ht="38.25" x14ac:dyDescent="0.25">
      <c r="A1340" s="1133" t="str">
        <f>'Q100b-totais'!B49</f>
        <v>6.1</v>
      </c>
      <c r="B1340" s="1205" t="str">
        <f>'Q100b-totais'!C49</f>
        <v>Calçadas e passarelas</v>
      </c>
      <c r="C1340" s="230" t="s">
        <v>743</v>
      </c>
      <c r="D1340" s="325" t="s">
        <v>3626</v>
      </c>
      <c r="E1340" s="1491" t="s">
        <v>1298</v>
      </c>
      <c r="F1340" s="1174" t="s">
        <v>3799</v>
      </c>
      <c r="G1340" s="1131" t="s">
        <v>77</v>
      </c>
      <c r="H1340" s="173" t="s">
        <v>819</v>
      </c>
      <c r="I1340" s="167" t="s">
        <v>432</v>
      </c>
      <c r="J1340" s="109" t="s">
        <v>432</v>
      </c>
      <c r="K1340" s="109" t="s">
        <v>432</v>
      </c>
      <c r="L1340" s="109" t="s">
        <v>432</v>
      </c>
      <c r="M1340" s="109" t="s">
        <v>432</v>
      </c>
      <c r="N1340" s="109" t="s">
        <v>432</v>
      </c>
      <c r="O1340" s="109" t="s">
        <v>432</v>
      </c>
      <c r="P1340" s="109" t="s">
        <v>432</v>
      </c>
      <c r="Q1340" s="109" t="s">
        <v>432</v>
      </c>
      <c r="R1340" s="109" t="s">
        <v>432</v>
      </c>
      <c r="S1340" s="109" t="s">
        <v>2209</v>
      </c>
      <c r="T1340" s="109" t="s">
        <v>432</v>
      </c>
      <c r="U1340" s="109" t="s">
        <v>432</v>
      </c>
      <c r="V1340" s="109" t="s">
        <v>2209</v>
      </c>
      <c r="W1340" s="109" t="s">
        <v>432</v>
      </c>
      <c r="X1340" s="109" t="s">
        <v>432</v>
      </c>
      <c r="Y1340" s="109" t="s">
        <v>432</v>
      </c>
      <c r="Z1340" s="109" t="s">
        <v>432</v>
      </c>
      <c r="AA1340" s="109" t="s">
        <v>432</v>
      </c>
      <c r="AB1340" s="109" t="s">
        <v>432</v>
      </c>
      <c r="AC1340" s="109" t="s">
        <v>432</v>
      </c>
      <c r="AD1340" s="109" t="s">
        <v>432</v>
      </c>
      <c r="AE1340" s="109" t="s">
        <v>432</v>
      </c>
      <c r="AF1340" s="110">
        <v>0.67300000000000004</v>
      </c>
      <c r="AG1340" s="109" t="s">
        <v>432</v>
      </c>
      <c r="AH1340" s="109" t="s">
        <v>432</v>
      </c>
      <c r="AI1340" s="109" t="s">
        <v>432</v>
      </c>
      <c r="AJ1340" s="109" t="s">
        <v>432</v>
      </c>
      <c r="AK1340" s="109" t="s">
        <v>432</v>
      </c>
      <c r="AL1340" s="600" t="s">
        <v>432</v>
      </c>
      <c r="AM1340" s="109" t="s">
        <v>432</v>
      </c>
      <c r="AN1340" s="109" t="s">
        <v>432</v>
      </c>
      <c r="AO1340" s="109" t="s">
        <v>432</v>
      </c>
      <c r="AP1340" s="109" t="s">
        <v>432</v>
      </c>
      <c r="AQ1340" s="109" t="s">
        <v>432</v>
      </c>
      <c r="AR1340" s="109" t="s">
        <v>432</v>
      </c>
      <c r="AS1340" s="109" t="s">
        <v>432</v>
      </c>
      <c r="AT1340" s="109" t="s">
        <v>432</v>
      </c>
      <c r="AU1340" s="109" t="s">
        <v>432</v>
      </c>
      <c r="AV1340" s="109" t="s">
        <v>432</v>
      </c>
      <c r="AW1340" s="109" t="s">
        <v>432</v>
      </c>
      <c r="AX1340" s="109" t="s">
        <v>432</v>
      </c>
      <c r="AY1340" s="109" t="s">
        <v>432</v>
      </c>
      <c r="AZ1340" s="109" t="s">
        <v>432</v>
      </c>
      <c r="BA1340" s="109" t="s">
        <v>432</v>
      </c>
      <c r="BB1340" s="239" t="str">
        <f t="shared" si="363"/>
        <v>Calçadas e passarelasacessibilidade</v>
      </c>
      <c r="BC1340" s="239" t="str">
        <f t="shared" si="364"/>
        <v>Calçadas e passarelasacessibilidadebenchmarking</v>
      </c>
      <c r="BD1340" s="239" t="str">
        <f t="shared" si="365"/>
        <v>Calçadas e passarelasbenchmarking</v>
      </c>
    </row>
    <row r="1341" spans="1:56" s="1" customFormat="1" ht="38.25" x14ac:dyDescent="0.25">
      <c r="A1341" s="1133" t="str">
        <f>'Q100b-totais'!B49</f>
        <v>6.1</v>
      </c>
      <c r="B1341" s="1205" t="str">
        <f>'Q100b-totais'!C49</f>
        <v>Calçadas e passarelas</v>
      </c>
      <c r="C1341" s="230" t="s">
        <v>743</v>
      </c>
      <c r="D1341" s="325" t="s">
        <v>3626</v>
      </c>
      <c r="E1341" s="1491" t="s">
        <v>1038</v>
      </c>
      <c r="F1341" s="1174" t="s">
        <v>3799</v>
      </c>
      <c r="G1341" s="1131" t="s">
        <v>77</v>
      </c>
      <c r="H1341" s="173" t="s">
        <v>819</v>
      </c>
      <c r="I1341" s="167" t="s">
        <v>432</v>
      </c>
      <c r="J1341" s="109" t="s">
        <v>432</v>
      </c>
      <c r="K1341" s="109" t="s">
        <v>432</v>
      </c>
      <c r="L1341" s="109" t="s">
        <v>432</v>
      </c>
      <c r="M1341" s="109" t="s">
        <v>432</v>
      </c>
      <c r="N1341" s="109" t="s">
        <v>432</v>
      </c>
      <c r="O1341" s="109" t="s">
        <v>432</v>
      </c>
      <c r="P1341" s="109" t="s">
        <v>432</v>
      </c>
      <c r="Q1341" s="109" t="s">
        <v>432</v>
      </c>
      <c r="R1341" s="109" t="s">
        <v>432</v>
      </c>
      <c r="S1341" s="109" t="s">
        <v>2209</v>
      </c>
      <c r="T1341" s="109" t="s">
        <v>432</v>
      </c>
      <c r="U1341" s="109" t="s">
        <v>432</v>
      </c>
      <c r="V1341" s="109" t="s">
        <v>2209</v>
      </c>
      <c r="W1341" s="109" t="s">
        <v>432</v>
      </c>
      <c r="X1341" s="109" t="s">
        <v>432</v>
      </c>
      <c r="Y1341" s="109" t="s">
        <v>432</v>
      </c>
      <c r="Z1341" s="109" t="s">
        <v>432</v>
      </c>
      <c r="AA1341" s="109" t="s">
        <v>432</v>
      </c>
      <c r="AB1341" s="109" t="s">
        <v>432</v>
      </c>
      <c r="AC1341" s="109" t="s">
        <v>432</v>
      </c>
      <c r="AD1341" s="109" t="s">
        <v>432</v>
      </c>
      <c r="AE1341" s="109" t="s">
        <v>432</v>
      </c>
      <c r="AF1341" s="110">
        <v>0.78200000000000003</v>
      </c>
      <c r="AG1341" s="109" t="s">
        <v>432</v>
      </c>
      <c r="AH1341" s="109" t="s">
        <v>432</v>
      </c>
      <c r="AI1341" s="109" t="s">
        <v>432</v>
      </c>
      <c r="AJ1341" s="109" t="s">
        <v>432</v>
      </c>
      <c r="AK1341" s="109" t="s">
        <v>432</v>
      </c>
      <c r="AL1341" s="600" t="s">
        <v>432</v>
      </c>
      <c r="AM1341" s="109" t="s">
        <v>432</v>
      </c>
      <c r="AN1341" s="109" t="s">
        <v>432</v>
      </c>
      <c r="AO1341" s="109" t="s">
        <v>432</v>
      </c>
      <c r="AP1341" s="109" t="s">
        <v>432</v>
      </c>
      <c r="AQ1341" s="109" t="s">
        <v>432</v>
      </c>
      <c r="AR1341" s="109" t="s">
        <v>432</v>
      </c>
      <c r="AS1341" s="109" t="s">
        <v>432</v>
      </c>
      <c r="AT1341" s="109" t="s">
        <v>432</v>
      </c>
      <c r="AU1341" s="109" t="s">
        <v>432</v>
      </c>
      <c r="AV1341" s="109" t="s">
        <v>432</v>
      </c>
      <c r="AW1341" s="109" t="s">
        <v>432</v>
      </c>
      <c r="AX1341" s="109" t="s">
        <v>432</v>
      </c>
      <c r="AY1341" s="109" t="s">
        <v>432</v>
      </c>
      <c r="AZ1341" s="109" t="s">
        <v>432</v>
      </c>
      <c r="BA1341" s="109" t="s">
        <v>432</v>
      </c>
      <c r="BB1341" s="239" t="str">
        <f t="shared" si="363"/>
        <v>Calçadas e passarelasacessibilidade</v>
      </c>
      <c r="BC1341" s="239" t="str">
        <f t="shared" si="364"/>
        <v>Calçadas e passarelasacessibilidadebenchmarking</v>
      </c>
      <c r="BD1341" s="239" t="str">
        <f t="shared" si="365"/>
        <v>Calçadas e passarelasbenchmarking</v>
      </c>
    </row>
    <row r="1342" spans="1:56" s="105" customFormat="1" x14ac:dyDescent="0.25">
      <c r="A1342" s="910"/>
      <c r="B1342" s="911"/>
      <c r="C1342" s="912"/>
      <c r="D1342" s="981"/>
      <c r="E1342" s="1528"/>
      <c r="F1342" s="913"/>
      <c r="G1342" s="913"/>
      <c r="H1342" s="913"/>
      <c r="I1342" s="914"/>
      <c r="J1342" s="914"/>
      <c r="K1342" s="910"/>
      <c r="L1342" s="910"/>
      <c r="M1342" s="910"/>
      <c r="N1342" s="910"/>
      <c r="O1342" s="910"/>
      <c r="P1342" s="910"/>
      <c r="Q1342" s="910"/>
      <c r="R1342" s="910"/>
      <c r="S1342" s="910"/>
      <c r="T1342" s="910"/>
      <c r="U1342" s="910"/>
      <c r="V1342" s="910"/>
      <c r="W1342" s="910"/>
      <c r="X1342" s="910"/>
      <c r="Y1342" s="910"/>
      <c r="Z1342" s="910"/>
      <c r="AA1342" s="910"/>
      <c r="AB1342" s="910"/>
      <c r="AC1342" s="910"/>
      <c r="AD1342" s="910"/>
      <c r="AE1342" s="910"/>
      <c r="AF1342" s="910"/>
      <c r="AG1342" s="910"/>
      <c r="AH1342" s="910"/>
      <c r="AI1342" s="910"/>
      <c r="AJ1342" s="910"/>
      <c r="AK1342" s="910"/>
      <c r="AL1342" s="910"/>
      <c r="AM1342" s="910"/>
      <c r="AN1342" s="910"/>
      <c r="AO1342" s="910"/>
      <c r="AP1342" s="910"/>
      <c r="AQ1342" s="910"/>
      <c r="AR1342" s="910"/>
      <c r="AS1342" s="910"/>
      <c r="AT1342" s="910"/>
      <c r="AU1342" s="910"/>
      <c r="AV1342" s="910"/>
      <c r="AW1342" s="910"/>
      <c r="AX1342" s="910"/>
      <c r="AY1342" s="910"/>
      <c r="AZ1342" s="910"/>
      <c r="BA1342" s="910"/>
      <c r="BB1342" s="910"/>
      <c r="BC1342" s="910"/>
      <c r="BD1342" s="910"/>
    </row>
    <row r="1343" spans="1:56" s="1" customFormat="1" ht="25.5" x14ac:dyDescent="0.25">
      <c r="A1343" s="262" t="str">
        <f>'Q100b-totais'!B21</f>
        <v>2.6</v>
      </c>
      <c r="B1343" s="252" t="str">
        <f>'Q100b-totais'!C21</f>
        <v>Cidades da RMBH</v>
      </c>
      <c r="C1343" s="167" t="s">
        <v>432</v>
      </c>
      <c r="D1343" s="323" t="s">
        <v>1269</v>
      </c>
      <c r="E1343" s="1491" t="s">
        <v>1269</v>
      </c>
      <c r="F1343" s="468" t="str">
        <f>pend!C191</f>
        <v>município da RMBH (faltando completar)</v>
      </c>
      <c r="G1343" s="230" t="s">
        <v>3507</v>
      </c>
      <c r="H1343" s="167" t="s">
        <v>2408</v>
      </c>
      <c r="I1343" s="167" t="s">
        <v>432</v>
      </c>
      <c r="J1343" s="107" t="s">
        <v>432</v>
      </c>
      <c r="K1343" s="107" t="s">
        <v>432</v>
      </c>
      <c r="L1343" s="107" t="s">
        <v>432</v>
      </c>
      <c r="M1343" s="107" t="s">
        <v>432</v>
      </c>
      <c r="N1343" s="107" t="s">
        <v>432</v>
      </c>
      <c r="O1343" s="107" t="s">
        <v>432</v>
      </c>
      <c r="P1343" s="107" t="s">
        <v>432</v>
      </c>
      <c r="Q1343" s="107" t="s">
        <v>432</v>
      </c>
      <c r="R1343" s="107" t="s">
        <v>432</v>
      </c>
      <c r="S1343" s="109" t="s">
        <v>2209</v>
      </c>
      <c r="T1343" s="107" t="s">
        <v>432</v>
      </c>
      <c r="U1343" s="107" t="s">
        <v>432</v>
      </c>
      <c r="V1343" s="109" t="s">
        <v>2209</v>
      </c>
      <c r="W1343" s="107" t="s">
        <v>432</v>
      </c>
      <c r="X1343" s="107" t="s">
        <v>432</v>
      </c>
      <c r="Y1343" s="107" t="s">
        <v>432</v>
      </c>
      <c r="Z1343" s="107" t="s">
        <v>432</v>
      </c>
      <c r="AA1343" s="107" t="s">
        <v>432</v>
      </c>
      <c r="AB1343" s="107" t="s">
        <v>432</v>
      </c>
      <c r="AC1343" s="107" t="s">
        <v>432</v>
      </c>
      <c r="AD1343" s="107" t="s">
        <v>432</v>
      </c>
      <c r="AE1343" s="107" t="s">
        <v>432</v>
      </c>
      <c r="AF1343" s="107" t="s">
        <v>432</v>
      </c>
      <c r="AG1343" s="107" t="s">
        <v>432</v>
      </c>
      <c r="AH1343" s="107" t="s">
        <v>432</v>
      </c>
      <c r="AI1343" s="107" t="s">
        <v>432</v>
      </c>
      <c r="AJ1343" s="107" t="s">
        <v>432</v>
      </c>
      <c r="AK1343" s="137" t="s">
        <v>432</v>
      </c>
      <c r="AL1343" s="601" t="s">
        <v>432</v>
      </c>
      <c r="AM1343" s="137" t="s">
        <v>432</v>
      </c>
      <c r="AN1343" s="137" t="s">
        <v>432</v>
      </c>
      <c r="AO1343" s="137" t="s">
        <v>432</v>
      </c>
      <c r="AP1343" s="137" t="s">
        <v>432</v>
      </c>
      <c r="AQ1343" s="137" t="s">
        <v>432</v>
      </c>
      <c r="AR1343" s="137" t="s">
        <v>432</v>
      </c>
      <c r="AS1343" s="137" t="s">
        <v>432</v>
      </c>
      <c r="AT1343" s="137" t="s">
        <v>432</v>
      </c>
      <c r="AU1343" s="137" t="s">
        <v>432</v>
      </c>
      <c r="AV1343" s="137" t="s">
        <v>432</v>
      </c>
      <c r="AW1343" s="137" t="s">
        <v>432</v>
      </c>
      <c r="AX1343" s="137" t="s">
        <v>432</v>
      </c>
      <c r="AY1343" s="137" t="s">
        <v>432</v>
      </c>
      <c r="AZ1343" s="137" t="s">
        <v>432</v>
      </c>
      <c r="BA1343" s="137" t="s">
        <v>432</v>
      </c>
      <c r="BB1343" s="239" t="str">
        <f t="shared" ref="BB1343" si="366">B1343&amp;C1343</f>
        <v>Cidades da RMBHx</v>
      </c>
      <c r="BC1343" s="239" t="str">
        <f t="shared" ref="BC1343" si="367">B1343&amp;C1343&amp;H1343</f>
        <v>Cidades da RMBHxsigla/verbete</v>
      </c>
      <c r="BD1343" s="239" t="str">
        <f t="shared" ref="BD1343" si="368">B1343&amp;H1343</f>
        <v>Cidades da RMBHsigla/verbete</v>
      </c>
    </row>
    <row r="1344" spans="1:56" s="1" customFormat="1" ht="44.25" customHeight="1" x14ac:dyDescent="0.25">
      <c r="A1344" s="262" t="s">
        <v>432</v>
      </c>
      <c r="B1344" s="252" t="s">
        <v>742</v>
      </c>
      <c r="C1344" s="167" t="s">
        <v>432</v>
      </c>
      <c r="D1344" s="324" t="s">
        <v>5520</v>
      </c>
      <c r="E1344" s="1491" t="s">
        <v>432</v>
      </c>
      <c r="F1344" s="252" t="s">
        <v>5782</v>
      </c>
      <c r="G1344" s="57" t="s">
        <v>3507</v>
      </c>
      <c r="H1344" s="167" t="s">
        <v>2408</v>
      </c>
      <c r="I1344" s="167" t="s">
        <v>432</v>
      </c>
      <c r="J1344" s="107" t="s">
        <v>432</v>
      </c>
      <c r="K1344" s="107" t="s">
        <v>432</v>
      </c>
      <c r="L1344" s="107" t="s">
        <v>432</v>
      </c>
      <c r="M1344" s="107" t="s">
        <v>432</v>
      </c>
      <c r="N1344" s="107" t="s">
        <v>432</v>
      </c>
      <c r="O1344" s="107" t="s">
        <v>432</v>
      </c>
      <c r="P1344" s="107" t="s">
        <v>432</v>
      </c>
      <c r="Q1344" s="107" t="s">
        <v>432</v>
      </c>
      <c r="R1344" s="107" t="s">
        <v>432</v>
      </c>
      <c r="S1344" s="109" t="s">
        <v>2209</v>
      </c>
      <c r="T1344" s="107" t="s">
        <v>432</v>
      </c>
      <c r="U1344" s="107" t="s">
        <v>432</v>
      </c>
      <c r="V1344" s="109" t="s">
        <v>2209</v>
      </c>
      <c r="W1344" s="107" t="s">
        <v>432</v>
      </c>
      <c r="X1344" s="107" t="s">
        <v>432</v>
      </c>
      <c r="Y1344" s="107" t="s">
        <v>432</v>
      </c>
      <c r="Z1344" s="107" t="s">
        <v>432</v>
      </c>
      <c r="AA1344" s="107" t="s">
        <v>432</v>
      </c>
      <c r="AB1344" s="107" t="s">
        <v>432</v>
      </c>
      <c r="AC1344" s="107" t="s">
        <v>432</v>
      </c>
      <c r="AD1344" s="107" t="s">
        <v>432</v>
      </c>
      <c r="AE1344" s="107" t="s">
        <v>432</v>
      </c>
      <c r="AF1344" s="107" t="s">
        <v>432</v>
      </c>
      <c r="AG1344" s="107" t="s">
        <v>432</v>
      </c>
      <c r="AH1344" s="107" t="s">
        <v>432</v>
      </c>
      <c r="AI1344" s="107" t="s">
        <v>432</v>
      </c>
      <c r="AJ1344" s="107" t="s">
        <v>432</v>
      </c>
      <c r="AK1344" s="137" t="s">
        <v>432</v>
      </c>
      <c r="AL1344" s="601" t="s">
        <v>432</v>
      </c>
      <c r="AM1344" s="137" t="s">
        <v>432</v>
      </c>
      <c r="AN1344" s="137" t="s">
        <v>432</v>
      </c>
      <c r="AO1344" s="137" t="s">
        <v>432</v>
      </c>
      <c r="AP1344" s="137" t="s">
        <v>432</v>
      </c>
      <c r="AQ1344" s="137" t="s">
        <v>432</v>
      </c>
      <c r="AR1344" s="137" t="s">
        <v>432</v>
      </c>
      <c r="AS1344" s="137" t="s">
        <v>432</v>
      </c>
      <c r="AT1344" s="137" t="s">
        <v>432</v>
      </c>
      <c r="AU1344" s="137" t="s">
        <v>432</v>
      </c>
      <c r="AV1344" s="137" t="s">
        <v>432</v>
      </c>
      <c r="AW1344" s="137" t="s">
        <v>432</v>
      </c>
      <c r="AX1344" s="137" t="s">
        <v>432</v>
      </c>
      <c r="AY1344" s="137" t="s">
        <v>432</v>
      </c>
      <c r="AZ1344" s="137" t="s">
        <v>432</v>
      </c>
      <c r="BA1344" s="137" t="s">
        <v>432</v>
      </c>
      <c r="BB1344" s="239" t="str">
        <f>B1344&amp;C1344</f>
        <v>geralx</v>
      </c>
      <c r="BC1344" s="239" t="e">
        <f>B1344&amp;C1344&amp;#REF!</f>
        <v>#REF!</v>
      </c>
      <c r="BD1344" s="239" t="e">
        <f>B1344&amp;#REF!</f>
        <v>#REF!</v>
      </c>
    </row>
    <row r="1345" spans="1:56" s="1" customFormat="1" ht="41.25" customHeight="1" x14ac:dyDescent="0.25">
      <c r="A1345" s="275" t="str">
        <f>'Q100b-totais'!$B$68</f>
        <v>9.5</v>
      </c>
      <c r="B1345" s="1205" t="str">
        <f>'Q100b-totais'!$C$68</f>
        <v>Sinalização semafórica</v>
      </c>
      <c r="C1345" s="57" t="s">
        <v>432</v>
      </c>
      <c r="D1345" s="939" t="s">
        <v>759</v>
      </c>
      <c r="E1345" s="509" t="s">
        <v>1306</v>
      </c>
      <c r="F1345" s="1134" t="s">
        <v>1006</v>
      </c>
      <c r="G1345" s="58" t="s">
        <v>760</v>
      </c>
      <c r="H1345" s="173" t="s">
        <v>432</v>
      </c>
      <c r="I1345" s="57">
        <v>1</v>
      </c>
      <c r="J1345" s="107" t="s">
        <v>432</v>
      </c>
      <c r="K1345" s="58" t="s">
        <v>432</v>
      </c>
      <c r="L1345" s="58" t="s">
        <v>432</v>
      </c>
      <c r="M1345" s="58" t="s">
        <v>432</v>
      </c>
      <c r="N1345" s="58" t="s">
        <v>432</v>
      </c>
      <c r="O1345" s="58" t="s">
        <v>432</v>
      </c>
      <c r="P1345" s="58" t="s">
        <v>432</v>
      </c>
      <c r="Q1345" s="58" t="s">
        <v>432</v>
      </c>
      <c r="R1345" s="58" t="s">
        <v>432</v>
      </c>
      <c r="S1345" s="109" t="s">
        <v>2209</v>
      </c>
      <c r="T1345" s="58" t="s">
        <v>432</v>
      </c>
      <c r="U1345" s="58" t="s">
        <v>432</v>
      </c>
      <c r="V1345" s="109" t="s">
        <v>2209</v>
      </c>
      <c r="W1345" s="58" t="s">
        <v>432</v>
      </c>
      <c r="X1345" s="58" t="s">
        <v>432</v>
      </c>
      <c r="Y1345" s="72">
        <f>Y1482+Y1479+Y1477</f>
        <v>414</v>
      </c>
      <c r="Z1345" s="72">
        <f t="shared" ref="Z1345:AJ1345" si="369">Z1482+Z1479+Z1477</f>
        <v>452</v>
      </c>
      <c r="AA1345" s="72">
        <f t="shared" si="369"/>
        <v>466</v>
      </c>
      <c r="AB1345" s="72">
        <f t="shared" si="369"/>
        <v>486</v>
      </c>
      <c r="AC1345" s="72">
        <f t="shared" si="369"/>
        <v>500</v>
      </c>
      <c r="AD1345" s="72">
        <f t="shared" si="369"/>
        <v>517</v>
      </c>
      <c r="AE1345" s="72">
        <f t="shared" si="369"/>
        <v>527</v>
      </c>
      <c r="AF1345" s="72">
        <f t="shared" si="369"/>
        <v>543</v>
      </c>
      <c r="AG1345" s="72">
        <f t="shared" si="369"/>
        <v>564</v>
      </c>
      <c r="AH1345" s="72">
        <f t="shared" si="369"/>
        <v>590</v>
      </c>
      <c r="AI1345" s="72">
        <f t="shared" si="369"/>
        <v>619</v>
      </c>
      <c r="AJ1345" s="72">
        <f t="shared" si="369"/>
        <v>643</v>
      </c>
      <c r="AK1345" s="137" t="s">
        <v>432</v>
      </c>
      <c r="AL1345" s="601" t="s">
        <v>432</v>
      </c>
      <c r="AM1345" s="137" t="s">
        <v>432</v>
      </c>
      <c r="AN1345" s="137" t="s">
        <v>432</v>
      </c>
      <c r="AO1345" s="137" t="s">
        <v>432</v>
      </c>
      <c r="AP1345" s="137" t="s">
        <v>432</v>
      </c>
      <c r="AQ1345" s="137" t="s">
        <v>432</v>
      </c>
      <c r="AR1345" s="137" t="s">
        <v>432</v>
      </c>
      <c r="AS1345" s="137" t="s">
        <v>432</v>
      </c>
      <c r="AT1345" s="137" t="s">
        <v>432</v>
      </c>
      <c r="AU1345" s="137" t="s">
        <v>432</v>
      </c>
      <c r="AV1345" s="137" t="s">
        <v>432</v>
      </c>
      <c r="AW1345" s="137" t="s">
        <v>432</v>
      </c>
      <c r="AX1345" s="137" t="s">
        <v>432</v>
      </c>
      <c r="AY1345" s="137" t="s">
        <v>432</v>
      </c>
      <c r="AZ1345" s="137" t="s">
        <v>432</v>
      </c>
      <c r="BA1345" s="137" t="s">
        <v>432</v>
      </c>
      <c r="BB1345" s="239" t="str">
        <f t="shared" ref="BB1345:BB1377" si="370">B1345&amp;C1345</f>
        <v>Sinalização semafóricax</v>
      </c>
      <c r="BC1345" s="239" t="str">
        <f t="shared" ref="BC1345:BC1377" si="371">B1345&amp;C1345&amp;H1345</f>
        <v>Sinalização semafóricaxx</v>
      </c>
      <c r="BD1345" s="239" t="str">
        <f t="shared" ref="BD1345:BD1377" si="372">B1345&amp;H1345</f>
        <v>Sinalização semafóricax</v>
      </c>
    </row>
    <row r="1346" spans="1:56" s="1" customFormat="1" ht="102.75" customHeight="1" x14ac:dyDescent="0.25">
      <c r="A1346" s="275" t="str">
        <f>'Q100b-totais'!$B$68</f>
        <v>9.5</v>
      </c>
      <c r="B1346" s="1205" t="str">
        <f>'Q100b-totais'!$C$68</f>
        <v>Sinalização semafórica</v>
      </c>
      <c r="C1346" s="230" t="s">
        <v>432</v>
      </c>
      <c r="D1346" s="362" t="s">
        <v>3138</v>
      </c>
      <c r="E1346" s="1502" t="s">
        <v>1306</v>
      </c>
      <c r="F1346" s="286" t="s">
        <v>526</v>
      </c>
      <c r="G1346" s="58" t="s">
        <v>527</v>
      </c>
      <c r="H1346" s="173" t="s">
        <v>432</v>
      </c>
      <c r="I1346" s="57">
        <v>1</v>
      </c>
      <c r="J1346" s="107" t="s">
        <v>432</v>
      </c>
      <c r="K1346" s="58" t="s">
        <v>432</v>
      </c>
      <c r="L1346" s="58" t="s">
        <v>432</v>
      </c>
      <c r="M1346" s="58" t="s">
        <v>432</v>
      </c>
      <c r="N1346" s="58" t="s">
        <v>432</v>
      </c>
      <c r="O1346" s="58" t="s">
        <v>432</v>
      </c>
      <c r="P1346" s="58" t="s">
        <v>432</v>
      </c>
      <c r="Q1346" s="58" t="s">
        <v>432</v>
      </c>
      <c r="R1346" s="58" t="s">
        <v>432</v>
      </c>
      <c r="S1346" s="109" t="s">
        <v>2209</v>
      </c>
      <c r="T1346" s="58" t="s">
        <v>432</v>
      </c>
      <c r="U1346" s="58" t="s">
        <v>432</v>
      </c>
      <c r="V1346" s="109" t="s">
        <v>2209</v>
      </c>
      <c r="W1346" s="58" t="s">
        <v>432</v>
      </c>
      <c r="X1346" s="58" t="s">
        <v>432</v>
      </c>
      <c r="Y1346" s="21">
        <f t="shared" ref="Y1346:AJ1346" si="373">Y1345/Y1469</f>
        <v>0.73144876325088337</v>
      </c>
      <c r="Z1346" s="21">
        <f t="shared" si="373"/>
        <v>0.75083056478405319</v>
      </c>
      <c r="AA1346" s="21">
        <f t="shared" si="373"/>
        <v>0.76518883415435135</v>
      </c>
      <c r="AB1346" s="21">
        <f t="shared" si="373"/>
        <v>0.7665615141955836</v>
      </c>
      <c r="AC1346" s="21">
        <f t="shared" si="373"/>
        <v>0.77160493827160492</v>
      </c>
      <c r="AD1346" s="21">
        <f t="shared" si="373"/>
        <v>0.77627627627627627</v>
      </c>
      <c r="AE1346" s="21">
        <f t="shared" si="373"/>
        <v>0.78074074074074074</v>
      </c>
      <c r="AF1346" s="21">
        <f t="shared" si="373"/>
        <v>0.7858176555716353</v>
      </c>
      <c r="AG1346" s="21">
        <f t="shared" si="373"/>
        <v>0.78551532033426186</v>
      </c>
      <c r="AH1346" s="21">
        <f t="shared" si="373"/>
        <v>0.79407806191117092</v>
      </c>
      <c r="AI1346" s="21">
        <f t="shared" si="373"/>
        <v>0.8049414824447334</v>
      </c>
      <c r="AJ1346" s="21">
        <f t="shared" si="373"/>
        <v>0.80074719800747196</v>
      </c>
      <c r="AK1346" s="137" t="s">
        <v>432</v>
      </c>
      <c r="AL1346" s="601" t="s">
        <v>432</v>
      </c>
      <c r="AM1346" s="137" t="s">
        <v>432</v>
      </c>
      <c r="AN1346" s="137" t="s">
        <v>432</v>
      </c>
      <c r="AO1346" s="137" t="s">
        <v>432</v>
      </c>
      <c r="AP1346" s="137" t="s">
        <v>432</v>
      </c>
      <c r="AQ1346" s="137" t="s">
        <v>432</v>
      </c>
      <c r="AR1346" s="137" t="s">
        <v>432</v>
      </c>
      <c r="AS1346" s="137" t="s">
        <v>432</v>
      </c>
      <c r="AT1346" s="137" t="s">
        <v>432</v>
      </c>
      <c r="AU1346" s="137" t="s">
        <v>432</v>
      </c>
      <c r="AV1346" s="137" t="s">
        <v>432</v>
      </c>
      <c r="AW1346" s="137" t="s">
        <v>432</v>
      </c>
      <c r="AX1346" s="137" t="s">
        <v>432</v>
      </c>
      <c r="AY1346" s="137" t="s">
        <v>432</v>
      </c>
      <c r="AZ1346" s="137" t="s">
        <v>432</v>
      </c>
      <c r="BA1346" s="137" t="s">
        <v>432</v>
      </c>
      <c r="BB1346" s="239" t="str">
        <f t="shared" si="370"/>
        <v>Sinalização semafóricax</v>
      </c>
      <c r="BC1346" s="239" t="str">
        <f t="shared" si="371"/>
        <v>Sinalização semafóricaxx</v>
      </c>
      <c r="BD1346" s="239" t="str">
        <f t="shared" si="372"/>
        <v>Sinalização semafóricax</v>
      </c>
    </row>
    <row r="1347" spans="1:56" s="1" customFormat="1" ht="31.5" x14ac:dyDescent="0.25">
      <c r="A1347" s="275" t="str">
        <f>'Q100b-totais'!$B$68</f>
        <v>9.5</v>
      </c>
      <c r="B1347" s="1205" t="str">
        <f>'Q100b-totais'!$C$68</f>
        <v>Sinalização semafórica</v>
      </c>
      <c r="C1347" s="230" t="s">
        <v>432</v>
      </c>
      <c r="D1347" s="324" t="s">
        <v>195</v>
      </c>
      <c r="E1347" s="254" t="s">
        <v>1306</v>
      </c>
      <c r="F1347" s="11" t="s">
        <v>528</v>
      </c>
      <c r="G1347" s="58" t="s">
        <v>529</v>
      </c>
      <c r="H1347" s="173" t="s">
        <v>432</v>
      </c>
      <c r="I1347" s="57">
        <v>1</v>
      </c>
      <c r="J1347" s="107" t="s">
        <v>432</v>
      </c>
      <c r="K1347" s="58" t="s">
        <v>432</v>
      </c>
      <c r="L1347" s="58" t="s">
        <v>432</v>
      </c>
      <c r="M1347" s="58" t="s">
        <v>432</v>
      </c>
      <c r="N1347" s="58" t="s">
        <v>432</v>
      </c>
      <c r="O1347" s="58" t="s">
        <v>432</v>
      </c>
      <c r="P1347" s="58" t="s">
        <v>432</v>
      </c>
      <c r="Q1347" s="58" t="s">
        <v>432</v>
      </c>
      <c r="R1347" s="58" t="s">
        <v>432</v>
      </c>
      <c r="S1347" s="109" t="s">
        <v>2209</v>
      </c>
      <c r="T1347" s="58" t="s">
        <v>432</v>
      </c>
      <c r="U1347" s="58" t="s">
        <v>432</v>
      </c>
      <c r="V1347" s="109" t="s">
        <v>2209</v>
      </c>
      <c r="W1347" s="58" t="s">
        <v>432</v>
      </c>
      <c r="X1347" s="58" t="s">
        <v>432</v>
      </c>
      <c r="Y1347" s="21">
        <f t="shared" ref="Y1347:AJ1347" si="374">Y1345/Y1505</f>
        <v>0.84146341463414631</v>
      </c>
      <c r="Z1347" s="21">
        <f t="shared" si="374"/>
        <v>0.83241252302025781</v>
      </c>
      <c r="AA1347" s="21">
        <f t="shared" si="374"/>
        <v>0.82042253521126762</v>
      </c>
      <c r="AB1347" s="21">
        <f t="shared" si="374"/>
        <v>0.82233502538071068</v>
      </c>
      <c r="AC1347" s="21">
        <f t="shared" si="374"/>
        <v>0.81433224755700329</v>
      </c>
      <c r="AD1347" s="21">
        <f t="shared" si="374"/>
        <v>0.80655226209048358</v>
      </c>
      <c r="AE1347" s="21">
        <f t="shared" si="374"/>
        <v>0.79367469879518071</v>
      </c>
      <c r="AF1347" s="21">
        <f t="shared" si="374"/>
        <v>0.79039301310043664</v>
      </c>
      <c r="AG1347" s="21">
        <f t="shared" si="374"/>
        <v>0.79436619718309864</v>
      </c>
      <c r="AH1347" s="21">
        <f t="shared" si="374"/>
        <v>0.79088471849865949</v>
      </c>
      <c r="AI1347" s="21">
        <f t="shared" si="374"/>
        <v>0.79460847240051347</v>
      </c>
      <c r="AJ1347" s="21">
        <f t="shared" si="374"/>
        <v>0.79187192118226601</v>
      </c>
      <c r="AK1347" s="137" t="s">
        <v>432</v>
      </c>
      <c r="AL1347" s="601" t="s">
        <v>432</v>
      </c>
      <c r="AM1347" s="137" t="s">
        <v>432</v>
      </c>
      <c r="AN1347" s="137" t="s">
        <v>432</v>
      </c>
      <c r="AO1347" s="137" t="s">
        <v>432</v>
      </c>
      <c r="AP1347" s="137" t="s">
        <v>432</v>
      </c>
      <c r="AQ1347" s="137" t="s">
        <v>432</v>
      </c>
      <c r="AR1347" s="137" t="s">
        <v>432</v>
      </c>
      <c r="AS1347" s="137" t="s">
        <v>432</v>
      </c>
      <c r="AT1347" s="137" t="s">
        <v>432</v>
      </c>
      <c r="AU1347" s="137" t="s">
        <v>432</v>
      </c>
      <c r="AV1347" s="137" t="s">
        <v>432</v>
      </c>
      <c r="AW1347" s="137" t="s">
        <v>432</v>
      </c>
      <c r="AX1347" s="137" t="s">
        <v>432</v>
      </c>
      <c r="AY1347" s="137" t="s">
        <v>432</v>
      </c>
      <c r="AZ1347" s="137" t="s">
        <v>432</v>
      </c>
      <c r="BA1347" s="137" t="s">
        <v>432</v>
      </c>
      <c r="BB1347" s="239" t="str">
        <f t="shared" si="370"/>
        <v>Sinalização semafóricax</v>
      </c>
      <c r="BC1347" s="239" t="str">
        <f t="shared" si="371"/>
        <v>Sinalização semafóricaxx</v>
      </c>
      <c r="BD1347" s="239" t="str">
        <f t="shared" si="372"/>
        <v>Sinalização semafóricax</v>
      </c>
    </row>
    <row r="1348" spans="1:56" s="1" customFormat="1" ht="38.25" x14ac:dyDescent="0.25">
      <c r="A1348" s="275" t="str">
        <f>'Q100b-totais'!$B$44</f>
        <v>5.2</v>
      </c>
      <c r="B1348" s="54" t="str">
        <f>'Q100b-totais'!$C$44</f>
        <v>Poluição do ar</v>
      </c>
      <c r="C1348" s="230" t="s">
        <v>432</v>
      </c>
      <c r="D1348" s="324" t="s">
        <v>196</v>
      </c>
      <c r="E1348" s="1402" t="s">
        <v>1306</v>
      </c>
      <c r="F1348" s="14" t="s">
        <v>1922</v>
      </c>
      <c r="G1348" s="173" t="s">
        <v>1915</v>
      </c>
      <c r="H1348" s="173" t="s">
        <v>2408</v>
      </c>
      <c r="I1348" s="57" t="s">
        <v>432</v>
      </c>
      <c r="J1348" s="107" t="s">
        <v>432</v>
      </c>
      <c r="K1348" s="107" t="s">
        <v>432</v>
      </c>
      <c r="L1348" s="107" t="s">
        <v>432</v>
      </c>
      <c r="M1348" s="107" t="s">
        <v>432</v>
      </c>
      <c r="N1348" s="107" t="s">
        <v>432</v>
      </c>
      <c r="O1348" s="107" t="s">
        <v>432</v>
      </c>
      <c r="P1348" s="107" t="s">
        <v>432</v>
      </c>
      <c r="Q1348" s="107" t="s">
        <v>432</v>
      </c>
      <c r="R1348" s="107" t="s">
        <v>432</v>
      </c>
      <c r="S1348" s="109" t="s">
        <v>2209</v>
      </c>
      <c r="T1348" s="107" t="s">
        <v>432</v>
      </c>
      <c r="U1348" s="107" t="s">
        <v>432</v>
      </c>
      <c r="V1348" s="109" t="s">
        <v>2209</v>
      </c>
      <c r="W1348" s="107" t="s">
        <v>432</v>
      </c>
      <c r="X1348" s="107" t="s">
        <v>432</v>
      </c>
      <c r="Y1348" s="107" t="s">
        <v>432</v>
      </c>
      <c r="Z1348" s="107" t="s">
        <v>432</v>
      </c>
      <c r="AA1348" s="107" t="s">
        <v>432</v>
      </c>
      <c r="AB1348" s="107" t="s">
        <v>432</v>
      </c>
      <c r="AC1348" s="107" t="s">
        <v>432</v>
      </c>
      <c r="AD1348" s="107" t="s">
        <v>432</v>
      </c>
      <c r="AE1348" s="107" t="s">
        <v>432</v>
      </c>
      <c r="AF1348" s="107" t="s">
        <v>432</v>
      </c>
      <c r="AG1348" s="107" t="s">
        <v>432</v>
      </c>
      <c r="AH1348" s="107" t="s">
        <v>432</v>
      </c>
      <c r="AI1348" s="107" t="s">
        <v>432</v>
      </c>
      <c r="AJ1348" s="107" t="s">
        <v>432</v>
      </c>
      <c r="AK1348" s="137" t="s">
        <v>432</v>
      </c>
      <c r="AL1348" s="601" t="s">
        <v>432</v>
      </c>
      <c r="AM1348" s="137" t="s">
        <v>432</v>
      </c>
      <c r="AN1348" s="137" t="s">
        <v>432</v>
      </c>
      <c r="AO1348" s="137" t="s">
        <v>432</v>
      </c>
      <c r="AP1348" s="137" t="s">
        <v>432</v>
      </c>
      <c r="AQ1348" s="137" t="s">
        <v>432</v>
      </c>
      <c r="AR1348" s="137" t="s">
        <v>432</v>
      </c>
      <c r="AS1348" s="137" t="s">
        <v>432</v>
      </c>
      <c r="AT1348" s="137" t="s">
        <v>432</v>
      </c>
      <c r="AU1348" s="137" t="s">
        <v>432</v>
      </c>
      <c r="AV1348" s="137" t="s">
        <v>432</v>
      </c>
      <c r="AW1348" s="137" t="s">
        <v>432</v>
      </c>
      <c r="AX1348" s="137" t="s">
        <v>432</v>
      </c>
      <c r="AY1348" s="137" t="s">
        <v>432</v>
      </c>
      <c r="AZ1348" s="137" t="s">
        <v>432</v>
      </c>
      <c r="BA1348" s="137" t="s">
        <v>432</v>
      </c>
      <c r="BB1348" s="239" t="str">
        <f t="shared" si="370"/>
        <v>Poluição do arx</v>
      </c>
      <c r="BC1348" s="239" t="str">
        <f t="shared" si="371"/>
        <v>Poluição do arxsigla/verbete</v>
      </c>
      <c r="BD1348" s="239" t="str">
        <f t="shared" si="372"/>
        <v>Poluição do arsigla/verbete</v>
      </c>
    </row>
    <row r="1349" spans="1:56" s="1" customFormat="1" ht="78.75" customHeight="1" x14ac:dyDescent="0.25">
      <c r="A1349" s="275" t="str">
        <f>'Q100b-totais'!$B$57</f>
        <v>8.5</v>
      </c>
      <c r="B1349" s="54" t="str">
        <f>'Q100b-totais'!$C$57</f>
        <v>Transporte convencional</v>
      </c>
      <c r="C1349" s="230" t="s">
        <v>432</v>
      </c>
      <c r="D1349" s="939" t="s">
        <v>950</v>
      </c>
      <c r="E1349" s="509" t="s">
        <v>1306</v>
      </c>
      <c r="F1349" s="5" t="s">
        <v>2214</v>
      </c>
      <c r="G1349" s="93" t="s">
        <v>77</v>
      </c>
      <c r="H1349" s="173" t="s">
        <v>432</v>
      </c>
      <c r="I1349" s="57">
        <v>1</v>
      </c>
      <c r="J1349" s="107" t="s">
        <v>432</v>
      </c>
      <c r="K1349" s="107" t="s">
        <v>432</v>
      </c>
      <c r="L1349" s="107" t="s">
        <v>432</v>
      </c>
      <c r="M1349" s="84" t="s">
        <v>432</v>
      </c>
      <c r="N1349" s="84" t="s">
        <v>432</v>
      </c>
      <c r="O1349" s="84" t="s">
        <v>432</v>
      </c>
      <c r="P1349" s="84" t="s">
        <v>432</v>
      </c>
      <c r="Q1349" s="84" t="s">
        <v>432</v>
      </c>
      <c r="R1349" s="84" t="s">
        <v>432</v>
      </c>
      <c r="S1349" s="109" t="s">
        <v>2209</v>
      </c>
      <c r="T1349" s="84" t="s">
        <v>432</v>
      </c>
      <c r="U1349" s="84" t="s">
        <v>432</v>
      </c>
      <c r="V1349" s="109" t="s">
        <v>2209</v>
      </c>
      <c r="W1349" s="84" t="s">
        <v>432</v>
      </c>
      <c r="X1349" s="84" t="s">
        <v>432</v>
      </c>
      <c r="Y1349" s="84" t="s">
        <v>432</v>
      </c>
      <c r="Z1349" s="84" t="s">
        <v>432</v>
      </c>
      <c r="AA1349" s="84" t="s">
        <v>432</v>
      </c>
      <c r="AB1349" s="84" t="s">
        <v>432</v>
      </c>
      <c r="AC1349" s="84" t="s">
        <v>432</v>
      </c>
      <c r="AD1349" s="84" t="s">
        <v>432</v>
      </c>
      <c r="AE1349" s="84" t="s">
        <v>432</v>
      </c>
      <c r="AF1349" s="84" t="s">
        <v>432</v>
      </c>
      <c r="AG1349" s="84" t="s">
        <v>432</v>
      </c>
      <c r="AH1349" s="84">
        <v>75.7</v>
      </c>
      <c r="AI1349" s="84">
        <v>69.8</v>
      </c>
      <c r="AJ1349" s="622" t="s">
        <v>2213</v>
      </c>
      <c r="AK1349" s="622" t="s">
        <v>2213</v>
      </c>
      <c r="AL1349" s="601" t="s">
        <v>432</v>
      </c>
      <c r="AM1349" s="137" t="s">
        <v>432</v>
      </c>
      <c r="AN1349" s="137" t="s">
        <v>432</v>
      </c>
      <c r="AO1349" s="137" t="s">
        <v>432</v>
      </c>
      <c r="AP1349" s="137" t="s">
        <v>432</v>
      </c>
      <c r="AQ1349" s="137" t="s">
        <v>432</v>
      </c>
      <c r="AR1349" s="137" t="s">
        <v>432</v>
      </c>
      <c r="AS1349" s="137" t="s">
        <v>432</v>
      </c>
      <c r="AT1349" s="137" t="s">
        <v>432</v>
      </c>
      <c r="AU1349" s="137" t="s">
        <v>432</v>
      </c>
      <c r="AV1349" s="137" t="s">
        <v>432</v>
      </c>
      <c r="AW1349" s="137" t="s">
        <v>432</v>
      </c>
      <c r="AX1349" s="137" t="s">
        <v>432</v>
      </c>
      <c r="AY1349" s="137" t="s">
        <v>432</v>
      </c>
      <c r="AZ1349" s="137" t="s">
        <v>432</v>
      </c>
      <c r="BA1349" s="137" t="s">
        <v>432</v>
      </c>
      <c r="BB1349" s="239" t="str">
        <f t="shared" si="370"/>
        <v>Transporte convencionalx</v>
      </c>
      <c r="BC1349" s="239" t="str">
        <f t="shared" si="371"/>
        <v>Transporte convencionalxx</v>
      </c>
      <c r="BD1349" s="239" t="str">
        <f t="shared" si="372"/>
        <v>Transporte convencionalx</v>
      </c>
    </row>
    <row r="1350" spans="1:56" s="1" customFormat="1" ht="78.75" customHeight="1" x14ac:dyDescent="0.25">
      <c r="A1350" s="275" t="str">
        <f>'Q100b-totais'!$B$57</f>
        <v>8.5</v>
      </c>
      <c r="B1350" s="54" t="str">
        <f>'Q100b-totais'!$C$57</f>
        <v>Transporte convencional</v>
      </c>
      <c r="C1350" s="230" t="s">
        <v>432</v>
      </c>
      <c r="D1350" s="939" t="s">
        <v>1394</v>
      </c>
      <c r="E1350" s="509" t="s">
        <v>1306</v>
      </c>
      <c r="F1350" s="5" t="s">
        <v>2215</v>
      </c>
      <c r="G1350" s="93" t="s">
        <v>77</v>
      </c>
      <c r="H1350" s="173" t="s">
        <v>432</v>
      </c>
      <c r="I1350" s="57">
        <v>1</v>
      </c>
      <c r="J1350" s="107" t="s">
        <v>432</v>
      </c>
      <c r="K1350" s="107" t="s">
        <v>432</v>
      </c>
      <c r="L1350" s="107" t="s">
        <v>432</v>
      </c>
      <c r="M1350" s="84" t="s">
        <v>432</v>
      </c>
      <c r="N1350" s="84" t="s">
        <v>432</v>
      </c>
      <c r="O1350" s="84" t="s">
        <v>432</v>
      </c>
      <c r="P1350" s="84" t="s">
        <v>432</v>
      </c>
      <c r="Q1350" s="84" t="s">
        <v>432</v>
      </c>
      <c r="R1350" s="84" t="s">
        <v>432</v>
      </c>
      <c r="S1350" s="109" t="s">
        <v>2209</v>
      </c>
      <c r="T1350" s="84" t="s">
        <v>432</v>
      </c>
      <c r="U1350" s="84" t="s">
        <v>432</v>
      </c>
      <c r="V1350" s="109" t="s">
        <v>2209</v>
      </c>
      <c r="W1350" s="84" t="s">
        <v>432</v>
      </c>
      <c r="X1350" s="84" t="s">
        <v>432</v>
      </c>
      <c r="Y1350" s="84" t="s">
        <v>432</v>
      </c>
      <c r="Z1350" s="84" t="s">
        <v>432</v>
      </c>
      <c r="AA1350" s="84" t="s">
        <v>432</v>
      </c>
      <c r="AB1350" s="84" t="s">
        <v>432</v>
      </c>
      <c r="AC1350" s="84" t="s">
        <v>432</v>
      </c>
      <c r="AD1350" s="84" t="s">
        <v>432</v>
      </c>
      <c r="AE1350" s="84" t="s">
        <v>432</v>
      </c>
      <c r="AF1350" s="84" t="s">
        <v>432</v>
      </c>
      <c r="AG1350" s="84" t="s">
        <v>432</v>
      </c>
      <c r="AH1350" s="84">
        <v>83</v>
      </c>
      <c r="AI1350" s="84">
        <v>76</v>
      </c>
      <c r="AJ1350" s="622" t="s">
        <v>2213</v>
      </c>
      <c r="AK1350" s="622" t="s">
        <v>2213</v>
      </c>
      <c r="AL1350" s="601" t="s">
        <v>432</v>
      </c>
      <c r="AM1350" s="137" t="s">
        <v>432</v>
      </c>
      <c r="AN1350" s="137" t="s">
        <v>432</v>
      </c>
      <c r="AO1350" s="137" t="s">
        <v>432</v>
      </c>
      <c r="AP1350" s="137" t="s">
        <v>432</v>
      </c>
      <c r="AQ1350" s="137" t="s">
        <v>432</v>
      </c>
      <c r="AR1350" s="137" t="s">
        <v>432</v>
      </c>
      <c r="AS1350" s="137" t="s">
        <v>432</v>
      </c>
      <c r="AT1350" s="137" t="s">
        <v>432</v>
      </c>
      <c r="AU1350" s="137" t="s">
        <v>432</v>
      </c>
      <c r="AV1350" s="137" t="s">
        <v>432</v>
      </c>
      <c r="AW1350" s="137" t="s">
        <v>432</v>
      </c>
      <c r="AX1350" s="137" t="s">
        <v>432</v>
      </c>
      <c r="AY1350" s="137" t="s">
        <v>432</v>
      </c>
      <c r="AZ1350" s="137" t="s">
        <v>432</v>
      </c>
      <c r="BA1350" s="137" t="s">
        <v>432</v>
      </c>
      <c r="BB1350" s="239" t="str">
        <f t="shared" si="370"/>
        <v>Transporte convencionalx</v>
      </c>
      <c r="BC1350" s="239" t="str">
        <f t="shared" si="371"/>
        <v>Transporte convencionalxx</v>
      </c>
      <c r="BD1350" s="239" t="str">
        <f t="shared" si="372"/>
        <v>Transporte convencionalx</v>
      </c>
    </row>
    <row r="1351" spans="1:56" s="1" customFormat="1" ht="78.75" customHeight="1" x14ac:dyDescent="0.25">
      <c r="A1351" s="275" t="str">
        <f>'Q100b-totais'!$B$57</f>
        <v>8.5</v>
      </c>
      <c r="B1351" s="54" t="str">
        <f>'Q100b-totais'!$C$57</f>
        <v>Transporte convencional</v>
      </c>
      <c r="C1351" s="230" t="s">
        <v>432</v>
      </c>
      <c r="D1351" s="939" t="s">
        <v>1397</v>
      </c>
      <c r="E1351" s="509" t="s">
        <v>1306</v>
      </c>
      <c r="F1351" s="5" t="s">
        <v>2216</v>
      </c>
      <c r="G1351" s="93" t="s">
        <v>77</v>
      </c>
      <c r="H1351" s="173" t="s">
        <v>432</v>
      </c>
      <c r="I1351" s="57">
        <v>1</v>
      </c>
      <c r="J1351" s="107" t="s">
        <v>432</v>
      </c>
      <c r="K1351" s="107" t="s">
        <v>432</v>
      </c>
      <c r="L1351" s="107" t="s">
        <v>432</v>
      </c>
      <c r="M1351" s="84" t="s">
        <v>432</v>
      </c>
      <c r="N1351" s="84" t="s">
        <v>432</v>
      </c>
      <c r="O1351" s="84" t="s">
        <v>432</v>
      </c>
      <c r="P1351" s="84" t="s">
        <v>432</v>
      </c>
      <c r="Q1351" s="84" t="s">
        <v>432</v>
      </c>
      <c r="R1351" s="84" t="s">
        <v>432</v>
      </c>
      <c r="S1351" s="109" t="s">
        <v>2209</v>
      </c>
      <c r="T1351" s="84" t="s">
        <v>432</v>
      </c>
      <c r="U1351" s="84" t="s">
        <v>432</v>
      </c>
      <c r="V1351" s="109" t="s">
        <v>2209</v>
      </c>
      <c r="W1351" s="84" t="s">
        <v>432</v>
      </c>
      <c r="X1351" s="84" t="s">
        <v>432</v>
      </c>
      <c r="Y1351" s="84" t="s">
        <v>432</v>
      </c>
      <c r="Z1351" s="84" t="s">
        <v>432</v>
      </c>
      <c r="AA1351" s="84" t="s">
        <v>432</v>
      </c>
      <c r="AB1351" s="84" t="s">
        <v>432</v>
      </c>
      <c r="AC1351" s="84" t="s">
        <v>432</v>
      </c>
      <c r="AD1351" s="84" t="s">
        <v>432</v>
      </c>
      <c r="AE1351" s="84" t="s">
        <v>432</v>
      </c>
      <c r="AF1351" s="84" t="s">
        <v>432</v>
      </c>
      <c r="AG1351" s="84" t="s">
        <v>432</v>
      </c>
      <c r="AH1351" s="84">
        <v>59</v>
      </c>
      <c r="AI1351" s="84">
        <v>59</v>
      </c>
      <c r="AJ1351" s="622" t="s">
        <v>2213</v>
      </c>
      <c r="AK1351" s="622" t="s">
        <v>2213</v>
      </c>
      <c r="AL1351" s="601" t="s">
        <v>432</v>
      </c>
      <c r="AM1351" s="137" t="s">
        <v>432</v>
      </c>
      <c r="AN1351" s="137" t="s">
        <v>432</v>
      </c>
      <c r="AO1351" s="137" t="s">
        <v>432</v>
      </c>
      <c r="AP1351" s="137" t="s">
        <v>432</v>
      </c>
      <c r="AQ1351" s="137" t="s">
        <v>432</v>
      </c>
      <c r="AR1351" s="137" t="s">
        <v>432</v>
      </c>
      <c r="AS1351" s="137" t="s">
        <v>432</v>
      </c>
      <c r="AT1351" s="137" t="s">
        <v>432</v>
      </c>
      <c r="AU1351" s="137" t="s">
        <v>432</v>
      </c>
      <c r="AV1351" s="137" t="s">
        <v>432</v>
      </c>
      <c r="AW1351" s="137" t="s">
        <v>432</v>
      </c>
      <c r="AX1351" s="137" t="s">
        <v>432</v>
      </c>
      <c r="AY1351" s="137" t="s">
        <v>432</v>
      </c>
      <c r="AZ1351" s="137" t="s">
        <v>432</v>
      </c>
      <c r="BA1351" s="137" t="s">
        <v>432</v>
      </c>
      <c r="BB1351" s="239" t="str">
        <f t="shared" si="370"/>
        <v>Transporte convencionalx</v>
      </c>
      <c r="BC1351" s="239" t="str">
        <f t="shared" si="371"/>
        <v>Transporte convencionalxx</v>
      </c>
      <c r="BD1351" s="239" t="str">
        <f t="shared" si="372"/>
        <v>Transporte convencionalx</v>
      </c>
    </row>
    <row r="1352" spans="1:56" s="1" customFormat="1" ht="78.75" customHeight="1" x14ac:dyDescent="0.25">
      <c r="A1352" s="275" t="str">
        <f>'Q100b-totais'!$B$57</f>
        <v>8.5</v>
      </c>
      <c r="B1352" s="54" t="str">
        <f>'Q100b-totais'!$C$57</f>
        <v>Transporte convencional</v>
      </c>
      <c r="C1352" s="230" t="s">
        <v>432</v>
      </c>
      <c r="D1352" s="939" t="s">
        <v>1398</v>
      </c>
      <c r="E1352" s="509" t="s">
        <v>1306</v>
      </c>
      <c r="F1352" s="5" t="s">
        <v>2217</v>
      </c>
      <c r="G1352" s="93" t="s">
        <v>77</v>
      </c>
      <c r="H1352" s="173" t="s">
        <v>432</v>
      </c>
      <c r="I1352" s="57">
        <v>1</v>
      </c>
      <c r="J1352" s="107" t="s">
        <v>432</v>
      </c>
      <c r="K1352" s="107" t="s">
        <v>432</v>
      </c>
      <c r="L1352" s="107" t="s">
        <v>432</v>
      </c>
      <c r="M1352" s="84" t="s">
        <v>432</v>
      </c>
      <c r="N1352" s="84" t="s">
        <v>432</v>
      </c>
      <c r="O1352" s="84" t="s">
        <v>432</v>
      </c>
      <c r="P1352" s="84" t="s">
        <v>432</v>
      </c>
      <c r="Q1352" s="84" t="s">
        <v>432</v>
      </c>
      <c r="R1352" s="84" t="s">
        <v>432</v>
      </c>
      <c r="S1352" s="109" t="s">
        <v>2209</v>
      </c>
      <c r="T1352" s="84" t="s">
        <v>432</v>
      </c>
      <c r="U1352" s="84" t="s">
        <v>432</v>
      </c>
      <c r="V1352" s="109" t="s">
        <v>2209</v>
      </c>
      <c r="W1352" s="84" t="s">
        <v>432</v>
      </c>
      <c r="X1352" s="84" t="s">
        <v>432</v>
      </c>
      <c r="Y1352" s="84" t="s">
        <v>432</v>
      </c>
      <c r="Z1352" s="84" t="s">
        <v>432</v>
      </c>
      <c r="AA1352" s="84" t="s">
        <v>432</v>
      </c>
      <c r="AB1352" s="84" t="s">
        <v>432</v>
      </c>
      <c r="AC1352" s="84" t="s">
        <v>432</v>
      </c>
      <c r="AD1352" s="84" t="s">
        <v>432</v>
      </c>
      <c r="AE1352" s="84" t="s">
        <v>432</v>
      </c>
      <c r="AF1352" s="84" t="s">
        <v>432</v>
      </c>
      <c r="AG1352" s="84" t="s">
        <v>432</v>
      </c>
      <c r="AH1352" s="84">
        <v>82</v>
      </c>
      <c r="AI1352" s="84">
        <v>74</v>
      </c>
      <c r="AJ1352" s="622" t="s">
        <v>2213</v>
      </c>
      <c r="AK1352" s="622" t="s">
        <v>2213</v>
      </c>
      <c r="AL1352" s="601" t="s">
        <v>432</v>
      </c>
      <c r="AM1352" s="137" t="s">
        <v>432</v>
      </c>
      <c r="AN1352" s="137" t="s">
        <v>432</v>
      </c>
      <c r="AO1352" s="137" t="s">
        <v>432</v>
      </c>
      <c r="AP1352" s="137" t="s">
        <v>432</v>
      </c>
      <c r="AQ1352" s="137" t="s">
        <v>432</v>
      </c>
      <c r="AR1352" s="137" t="s">
        <v>432</v>
      </c>
      <c r="AS1352" s="137" t="s">
        <v>432</v>
      </c>
      <c r="AT1352" s="137" t="s">
        <v>432</v>
      </c>
      <c r="AU1352" s="137" t="s">
        <v>432</v>
      </c>
      <c r="AV1352" s="137" t="s">
        <v>432</v>
      </c>
      <c r="AW1352" s="137" t="s">
        <v>432</v>
      </c>
      <c r="AX1352" s="137" t="s">
        <v>432</v>
      </c>
      <c r="AY1352" s="137" t="s">
        <v>432</v>
      </c>
      <c r="AZ1352" s="137" t="s">
        <v>432</v>
      </c>
      <c r="BA1352" s="137" t="s">
        <v>432</v>
      </c>
      <c r="BB1352" s="239" t="str">
        <f t="shared" si="370"/>
        <v>Transporte convencionalx</v>
      </c>
      <c r="BC1352" s="239" t="str">
        <f t="shared" si="371"/>
        <v>Transporte convencionalxx</v>
      </c>
      <c r="BD1352" s="239" t="str">
        <f t="shared" si="372"/>
        <v>Transporte convencionalx</v>
      </c>
    </row>
    <row r="1353" spans="1:56" s="1" customFormat="1" ht="78.75" customHeight="1" x14ac:dyDescent="0.25">
      <c r="A1353" s="275" t="str">
        <f>'Q100b-totais'!$B$57</f>
        <v>8.5</v>
      </c>
      <c r="B1353" s="54" t="str">
        <f>'Q100b-totais'!$C$57</f>
        <v>Transporte convencional</v>
      </c>
      <c r="C1353" s="230" t="s">
        <v>432</v>
      </c>
      <c r="D1353" s="939" t="s">
        <v>1395</v>
      </c>
      <c r="E1353" s="509" t="s">
        <v>1306</v>
      </c>
      <c r="F1353" s="102" t="s">
        <v>1396</v>
      </c>
      <c r="G1353" s="93" t="s">
        <v>77</v>
      </c>
      <c r="H1353" s="602" t="s">
        <v>678</v>
      </c>
      <c r="I1353" s="57">
        <v>1</v>
      </c>
      <c r="J1353" s="107" t="s">
        <v>432</v>
      </c>
      <c r="K1353" s="107" t="s">
        <v>432</v>
      </c>
      <c r="L1353" s="107" t="s">
        <v>432</v>
      </c>
      <c r="M1353" s="84" t="s">
        <v>432</v>
      </c>
      <c r="N1353" s="84" t="s">
        <v>432</v>
      </c>
      <c r="O1353" s="84" t="s">
        <v>432</v>
      </c>
      <c r="P1353" s="84" t="s">
        <v>432</v>
      </c>
      <c r="Q1353" s="84" t="s">
        <v>432</v>
      </c>
      <c r="R1353" s="84" t="s">
        <v>432</v>
      </c>
      <c r="S1353" s="109" t="s">
        <v>2209</v>
      </c>
      <c r="T1353" s="84" t="s">
        <v>432</v>
      </c>
      <c r="U1353" s="84" t="s">
        <v>432</v>
      </c>
      <c r="V1353" s="109" t="s">
        <v>2209</v>
      </c>
      <c r="W1353" s="84" t="s">
        <v>432</v>
      </c>
      <c r="X1353" s="84" t="s">
        <v>432</v>
      </c>
      <c r="Y1353" s="84" t="s">
        <v>432</v>
      </c>
      <c r="Z1353" s="84" t="s">
        <v>432</v>
      </c>
      <c r="AA1353" s="84" t="s">
        <v>432</v>
      </c>
      <c r="AB1353" s="84" t="s">
        <v>432</v>
      </c>
      <c r="AC1353" s="84" t="s">
        <v>432</v>
      </c>
      <c r="AD1353" s="84" t="s">
        <v>432</v>
      </c>
      <c r="AE1353" s="84" t="s">
        <v>432</v>
      </c>
      <c r="AF1353" s="84" t="s">
        <v>432</v>
      </c>
      <c r="AG1353" s="84" t="s">
        <v>432</v>
      </c>
      <c r="AH1353" s="84" t="s">
        <v>432</v>
      </c>
      <c r="AI1353" s="84" t="s">
        <v>432</v>
      </c>
      <c r="AJ1353" s="84" t="s">
        <v>432</v>
      </c>
      <c r="AK1353" s="107" t="s">
        <v>678</v>
      </c>
      <c r="AL1353" s="601" t="s">
        <v>432</v>
      </c>
      <c r="AM1353" s="137" t="s">
        <v>432</v>
      </c>
      <c r="AN1353" s="137" t="s">
        <v>432</v>
      </c>
      <c r="AO1353" s="137" t="s">
        <v>432</v>
      </c>
      <c r="AP1353" s="137" t="s">
        <v>432</v>
      </c>
      <c r="AQ1353" s="137" t="s">
        <v>432</v>
      </c>
      <c r="AR1353" s="137" t="s">
        <v>432</v>
      </c>
      <c r="AS1353" s="137" t="s">
        <v>432</v>
      </c>
      <c r="AT1353" s="137" t="s">
        <v>432</v>
      </c>
      <c r="AU1353" s="137" t="s">
        <v>432</v>
      </c>
      <c r="AV1353" s="137" t="s">
        <v>432</v>
      </c>
      <c r="AW1353" s="137" t="s">
        <v>432</v>
      </c>
      <c r="AX1353" s="137" t="s">
        <v>432</v>
      </c>
      <c r="AY1353" s="137" t="s">
        <v>432</v>
      </c>
      <c r="AZ1353" s="137" t="s">
        <v>432</v>
      </c>
      <c r="BA1353" s="137" t="s">
        <v>432</v>
      </c>
      <c r="BB1353" s="239" t="str">
        <f t="shared" si="370"/>
        <v>Transporte convencionalx</v>
      </c>
      <c r="BC1353" s="239" t="str">
        <f t="shared" si="371"/>
        <v>Transporte convencionalxainda não incorporado ao SisMob-BH</v>
      </c>
      <c r="BD1353" s="239" t="str">
        <f t="shared" si="372"/>
        <v>Transporte convencionalainda não incorporado ao SisMob-BH</v>
      </c>
    </row>
    <row r="1354" spans="1:56" s="1" customFormat="1" ht="78.75" customHeight="1" x14ac:dyDescent="0.25">
      <c r="A1354" s="275" t="s">
        <v>432</v>
      </c>
      <c r="B1354" s="54" t="s">
        <v>742</v>
      </c>
      <c r="C1354" s="230" t="s">
        <v>432</v>
      </c>
      <c r="D1354" s="939" t="s">
        <v>4449</v>
      </c>
      <c r="E1354" s="509" t="s">
        <v>1767</v>
      </c>
      <c r="F1354" s="1151" t="s">
        <v>4450</v>
      </c>
      <c r="G1354" s="57" t="s">
        <v>3507</v>
      </c>
      <c r="H1354" s="173" t="s">
        <v>2408</v>
      </c>
      <c r="I1354" s="57" t="s">
        <v>432</v>
      </c>
      <c r="J1354" s="109" t="s">
        <v>432</v>
      </c>
      <c r="K1354" s="109" t="s">
        <v>432</v>
      </c>
      <c r="L1354" s="109" t="s">
        <v>432</v>
      </c>
      <c r="M1354" s="109" t="s">
        <v>432</v>
      </c>
      <c r="N1354" s="109" t="s">
        <v>432</v>
      </c>
      <c r="O1354" s="109" t="s">
        <v>432</v>
      </c>
      <c r="P1354" s="109" t="s">
        <v>432</v>
      </c>
      <c r="Q1354" s="109" t="s">
        <v>432</v>
      </c>
      <c r="R1354" s="109" t="s">
        <v>432</v>
      </c>
      <c r="S1354" s="109" t="s">
        <v>2209</v>
      </c>
      <c r="T1354" s="109" t="s">
        <v>432</v>
      </c>
      <c r="U1354" s="109" t="s">
        <v>432</v>
      </c>
      <c r="V1354" s="109" t="s">
        <v>2209</v>
      </c>
      <c r="W1354" s="109" t="s">
        <v>432</v>
      </c>
      <c r="X1354" s="109" t="s">
        <v>432</v>
      </c>
      <c r="Y1354" s="109" t="s">
        <v>432</v>
      </c>
      <c r="Z1354" s="109" t="s">
        <v>432</v>
      </c>
      <c r="AA1354" s="109" t="s">
        <v>432</v>
      </c>
      <c r="AB1354" s="109" t="s">
        <v>432</v>
      </c>
      <c r="AC1354" s="109" t="s">
        <v>432</v>
      </c>
      <c r="AD1354" s="109" t="s">
        <v>432</v>
      </c>
      <c r="AE1354" s="109" t="s">
        <v>432</v>
      </c>
      <c r="AF1354" s="109" t="s">
        <v>432</v>
      </c>
      <c r="AG1354" s="109" t="s">
        <v>432</v>
      </c>
      <c r="AH1354" s="109" t="s">
        <v>432</v>
      </c>
      <c r="AI1354" s="109" t="s">
        <v>432</v>
      </c>
      <c r="AJ1354" s="109" t="s">
        <v>432</v>
      </c>
      <c r="AK1354" s="137" t="s">
        <v>432</v>
      </c>
      <c r="AL1354" s="601" t="s">
        <v>432</v>
      </c>
      <c r="AM1354" s="137" t="s">
        <v>432</v>
      </c>
      <c r="AN1354" s="137" t="s">
        <v>432</v>
      </c>
      <c r="AO1354" s="137" t="s">
        <v>432</v>
      </c>
      <c r="AP1354" s="137" t="s">
        <v>432</v>
      </c>
      <c r="AQ1354" s="137" t="s">
        <v>432</v>
      </c>
      <c r="AR1354" s="137" t="s">
        <v>432</v>
      </c>
      <c r="AS1354" s="137" t="s">
        <v>432</v>
      </c>
      <c r="AT1354" s="137" t="s">
        <v>432</v>
      </c>
      <c r="AU1354" s="137" t="s">
        <v>432</v>
      </c>
      <c r="AV1354" s="137" t="s">
        <v>432</v>
      </c>
      <c r="AW1354" s="137" t="s">
        <v>432</v>
      </c>
      <c r="AX1354" s="137" t="s">
        <v>432</v>
      </c>
      <c r="AY1354" s="137" t="s">
        <v>432</v>
      </c>
      <c r="AZ1354" s="137" t="s">
        <v>432</v>
      </c>
      <c r="BA1354" s="137" t="s">
        <v>432</v>
      </c>
      <c r="BB1354" s="239" t="str">
        <f t="shared" si="370"/>
        <v>geralx</v>
      </c>
      <c r="BC1354" s="239" t="str">
        <f t="shared" si="371"/>
        <v>geralxsigla/verbete</v>
      </c>
      <c r="BD1354" s="239" t="str">
        <f t="shared" si="372"/>
        <v>geralsigla/verbete</v>
      </c>
    </row>
    <row r="1355" spans="1:56" s="1" customFormat="1" ht="129" customHeight="1" x14ac:dyDescent="0.25">
      <c r="A1355" s="275" t="str">
        <f>'Q100b-totais'!$B$46</f>
        <v>5.4</v>
      </c>
      <c r="B1355" s="54" t="str">
        <f>'Q100b-totais'!$C$46</f>
        <v>Resíduos e efluentes</v>
      </c>
      <c r="C1355" s="230" t="s">
        <v>432</v>
      </c>
      <c r="D1355" s="324" t="s">
        <v>1889</v>
      </c>
      <c r="E1355" s="254" t="s">
        <v>432</v>
      </c>
      <c r="F1355" s="11" t="s">
        <v>1941</v>
      </c>
      <c r="G1355" s="509" t="s">
        <v>1890</v>
      </c>
      <c r="H1355" s="448" t="s">
        <v>678</v>
      </c>
      <c r="I1355" s="57" t="s">
        <v>432</v>
      </c>
      <c r="J1355" s="109" t="s">
        <v>432</v>
      </c>
      <c r="K1355" s="109" t="s">
        <v>432</v>
      </c>
      <c r="L1355" s="109" t="s">
        <v>432</v>
      </c>
      <c r="M1355" s="109" t="s">
        <v>432</v>
      </c>
      <c r="N1355" s="109" t="s">
        <v>432</v>
      </c>
      <c r="O1355" s="109" t="s">
        <v>432</v>
      </c>
      <c r="P1355" s="109" t="s">
        <v>432</v>
      </c>
      <c r="Q1355" s="109" t="s">
        <v>432</v>
      </c>
      <c r="R1355" s="109" t="s">
        <v>432</v>
      </c>
      <c r="S1355" s="109" t="s">
        <v>2209</v>
      </c>
      <c r="T1355" s="109" t="s">
        <v>432</v>
      </c>
      <c r="U1355" s="109" t="s">
        <v>432</v>
      </c>
      <c r="V1355" s="109" t="s">
        <v>2209</v>
      </c>
      <c r="W1355" s="109" t="s">
        <v>432</v>
      </c>
      <c r="X1355" s="109" t="s">
        <v>432</v>
      </c>
      <c r="Y1355" s="109" t="s">
        <v>432</v>
      </c>
      <c r="Z1355" s="109" t="s">
        <v>432</v>
      </c>
      <c r="AA1355" s="109" t="s">
        <v>432</v>
      </c>
      <c r="AB1355" s="109" t="s">
        <v>432</v>
      </c>
      <c r="AC1355" s="109" t="s">
        <v>432</v>
      </c>
      <c r="AD1355" s="109" t="s">
        <v>432</v>
      </c>
      <c r="AE1355" s="109" t="s">
        <v>432</v>
      </c>
      <c r="AF1355" s="109" t="s">
        <v>432</v>
      </c>
      <c r="AG1355" s="109" t="s">
        <v>432</v>
      </c>
      <c r="AH1355" s="109" t="s">
        <v>432</v>
      </c>
      <c r="AI1355" s="109" t="s">
        <v>432</v>
      </c>
      <c r="AJ1355" s="109" t="s">
        <v>432</v>
      </c>
      <c r="AK1355" s="137" t="s">
        <v>432</v>
      </c>
      <c r="AL1355" s="601" t="s">
        <v>432</v>
      </c>
      <c r="AM1355" s="137" t="s">
        <v>432</v>
      </c>
      <c r="AN1355" s="137" t="s">
        <v>432</v>
      </c>
      <c r="AO1355" s="137" t="s">
        <v>432</v>
      </c>
      <c r="AP1355" s="137" t="s">
        <v>432</v>
      </c>
      <c r="AQ1355" s="137" t="s">
        <v>432</v>
      </c>
      <c r="AR1355" s="137" t="s">
        <v>432</v>
      </c>
      <c r="AS1355" s="137" t="s">
        <v>432</v>
      </c>
      <c r="AT1355" s="137" t="s">
        <v>432</v>
      </c>
      <c r="AU1355" s="137" t="s">
        <v>432</v>
      </c>
      <c r="AV1355" s="137" t="s">
        <v>432</v>
      </c>
      <c r="AW1355" s="137" t="s">
        <v>432</v>
      </c>
      <c r="AX1355" s="137" t="s">
        <v>432</v>
      </c>
      <c r="AY1355" s="137" t="s">
        <v>432</v>
      </c>
      <c r="AZ1355" s="137" t="s">
        <v>432</v>
      </c>
      <c r="BA1355" s="137" t="s">
        <v>432</v>
      </c>
      <c r="BB1355" s="239" t="str">
        <f t="shared" si="370"/>
        <v>Resíduos e efluentesx</v>
      </c>
      <c r="BC1355" s="239" t="str">
        <f t="shared" si="371"/>
        <v>Resíduos e efluentesxainda não incorporado ao SisMob-BH</v>
      </c>
      <c r="BD1355" s="239" t="str">
        <f t="shared" si="372"/>
        <v>Resíduos e efluentesainda não incorporado ao SisMob-BH</v>
      </c>
    </row>
    <row r="1356" spans="1:56" ht="93.75" customHeight="1" x14ac:dyDescent="0.25">
      <c r="A1356" s="275" t="str">
        <f>'Q100b-totais'!$B$65</f>
        <v>9.2</v>
      </c>
      <c r="B1356" s="53" t="str">
        <f>'Q100b-totais'!$C$65</f>
        <v>Estacionamento</v>
      </c>
      <c r="C1356" s="229" t="s">
        <v>432</v>
      </c>
      <c r="D1356" s="325" t="s">
        <v>198</v>
      </c>
      <c r="E1356" s="1512" t="s">
        <v>432</v>
      </c>
      <c r="F1356" s="188" t="s">
        <v>1942</v>
      </c>
      <c r="G1356" s="168" t="s">
        <v>1673</v>
      </c>
      <c r="H1356" s="173" t="s">
        <v>2408</v>
      </c>
      <c r="I1356" s="167" t="s">
        <v>432</v>
      </c>
      <c r="J1356" s="107" t="s">
        <v>432</v>
      </c>
      <c r="K1356" s="137" t="s">
        <v>432</v>
      </c>
      <c r="L1356" s="137" t="s">
        <v>432</v>
      </c>
      <c r="M1356" s="137" t="s">
        <v>432</v>
      </c>
      <c r="N1356" s="137" t="s">
        <v>432</v>
      </c>
      <c r="O1356" s="137" t="s">
        <v>432</v>
      </c>
      <c r="P1356" s="137" t="s">
        <v>432</v>
      </c>
      <c r="Q1356" s="137" t="s">
        <v>432</v>
      </c>
      <c r="R1356" s="137" t="s">
        <v>432</v>
      </c>
      <c r="S1356" s="109" t="s">
        <v>2209</v>
      </c>
      <c r="T1356" s="137" t="s">
        <v>432</v>
      </c>
      <c r="U1356" s="137" t="s">
        <v>432</v>
      </c>
      <c r="V1356" s="109" t="s">
        <v>2209</v>
      </c>
      <c r="W1356" s="137" t="s">
        <v>432</v>
      </c>
      <c r="X1356" s="137" t="s">
        <v>432</v>
      </c>
      <c r="Y1356" s="137" t="s">
        <v>432</v>
      </c>
      <c r="Z1356" s="137" t="s">
        <v>432</v>
      </c>
      <c r="AA1356" s="137" t="s">
        <v>432</v>
      </c>
      <c r="AB1356" s="137" t="s">
        <v>432</v>
      </c>
      <c r="AC1356" s="137" t="s">
        <v>432</v>
      </c>
      <c r="AD1356" s="137" t="s">
        <v>432</v>
      </c>
      <c r="AE1356" s="137" t="s">
        <v>432</v>
      </c>
      <c r="AF1356" s="137" t="s">
        <v>432</v>
      </c>
      <c r="AG1356" s="137" t="s">
        <v>432</v>
      </c>
      <c r="AH1356" s="137" t="s">
        <v>432</v>
      </c>
      <c r="AI1356" s="137" t="s">
        <v>432</v>
      </c>
      <c r="AJ1356" s="137" t="s">
        <v>432</v>
      </c>
      <c r="AK1356" s="137" t="s">
        <v>432</v>
      </c>
      <c r="AL1356" s="601" t="s">
        <v>432</v>
      </c>
      <c r="AM1356" s="137" t="s">
        <v>432</v>
      </c>
      <c r="AN1356" s="137" t="s">
        <v>432</v>
      </c>
      <c r="AO1356" s="137" t="s">
        <v>432</v>
      </c>
      <c r="AP1356" s="137" t="s">
        <v>432</v>
      </c>
      <c r="AQ1356" s="137" t="s">
        <v>432</v>
      </c>
      <c r="AR1356" s="137" t="s">
        <v>432</v>
      </c>
      <c r="AS1356" s="137" t="s">
        <v>432</v>
      </c>
      <c r="AT1356" s="137" t="s">
        <v>432</v>
      </c>
      <c r="AU1356" s="137" t="s">
        <v>432</v>
      </c>
      <c r="AV1356" s="137" t="s">
        <v>432</v>
      </c>
      <c r="AW1356" s="137" t="s">
        <v>432</v>
      </c>
      <c r="AX1356" s="137" t="s">
        <v>432</v>
      </c>
      <c r="AY1356" s="137" t="s">
        <v>432</v>
      </c>
      <c r="AZ1356" s="137" t="s">
        <v>432</v>
      </c>
      <c r="BA1356" s="137" t="s">
        <v>432</v>
      </c>
      <c r="BB1356" s="239" t="str">
        <f t="shared" si="370"/>
        <v>Estacionamentox</v>
      </c>
      <c r="BC1356" s="239" t="str">
        <f t="shared" si="371"/>
        <v>Estacionamentoxsigla/verbete</v>
      </c>
      <c r="BD1356" s="239" t="str">
        <f t="shared" si="372"/>
        <v>Estacionamentosigla/verbete</v>
      </c>
    </row>
    <row r="1357" spans="1:56" s="1" customFormat="1" ht="25.5" x14ac:dyDescent="0.25">
      <c r="A1357" s="262" t="str">
        <f>'Q100b-totais'!B21</f>
        <v>2.6</v>
      </c>
      <c r="B1357" s="252" t="str">
        <f>'Q100b-totais'!C21</f>
        <v>Cidades da RMBH</v>
      </c>
      <c r="C1357" s="167" t="s">
        <v>432</v>
      </c>
      <c r="D1357" s="323" t="s">
        <v>3548</v>
      </c>
      <c r="E1357" s="1491" t="s">
        <v>3548</v>
      </c>
      <c r="F1357" s="468" t="str">
        <f>pend!C192</f>
        <v>município da RMBH (faltando completar)</v>
      </c>
      <c r="G1357" s="230" t="s">
        <v>3507</v>
      </c>
      <c r="H1357" s="167" t="s">
        <v>2408</v>
      </c>
      <c r="I1357" s="167" t="s">
        <v>432</v>
      </c>
      <c r="J1357" s="107" t="s">
        <v>432</v>
      </c>
      <c r="K1357" s="107" t="s">
        <v>432</v>
      </c>
      <c r="L1357" s="107" t="s">
        <v>432</v>
      </c>
      <c r="M1357" s="107" t="s">
        <v>432</v>
      </c>
      <c r="N1357" s="107" t="s">
        <v>432</v>
      </c>
      <c r="O1357" s="107" t="s">
        <v>432</v>
      </c>
      <c r="P1357" s="107" t="s">
        <v>432</v>
      </c>
      <c r="Q1357" s="107" t="s">
        <v>432</v>
      </c>
      <c r="R1357" s="107" t="s">
        <v>432</v>
      </c>
      <c r="S1357" s="109" t="s">
        <v>2209</v>
      </c>
      <c r="T1357" s="107" t="s">
        <v>432</v>
      </c>
      <c r="U1357" s="107" t="s">
        <v>432</v>
      </c>
      <c r="V1357" s="109" t="s">
        <v>2209</v>
      </c>
      <c r="W1357" s="107" t="s">
        <v>432</v>
      </c>
      <c r="X1357" s="107" t="s">
        <v>432</v>
      </c>
      <c r="Y1357" s="107" t="s">
        <v>432</v>
      </c>
      <c r="Z1357" s="107" t="s">
        <v>432</v>
      </c>
      <c r="AA1357" s="107" t="s">
        <v>432</v>
      </c>
      <c r="AB1357" s="107" t="s">
        <v>432</v>
      </c>
      <c r="AC1357" s="107" t="s">
        <v>432</v>
      </c>
      <c r="AD1357" s="107" t="s">
        <v>432</v>
      </c>
      <c r="AE1357" s="107" t="s">
        <v>432</v>
      </c>
      <c r="AF1357" s="107" t="s">
        <v>432</v>
      </c>
      <c r="AG1357" s="107" t="s">
        <v>432</v>
      </c>
      <c r="AH1357" s="107" t="s">
        <v>432</v>
      </c>
      <c r="AI1357" s="107" t="s">
        <v>432</v>
      </c>
      <c r="AJ1357" s="107" t="s">
        <v>432</v>
      </c>
      <c r="AK1357" s="137" t="s">
        <v>432</v>
      </c>
      <c r="AL1357" s="601" t="s">
        <v>432</v>
      </c>
      <c r="AM1357" s="137" t="s">
        <v>432</v>
      </c>
      <c r="AN1357" s="137" t="s">
        <v>432</v>
      </c>
      <c r="AO1357" s="137" t="s">
        <v>432</v>
      </c>
      <c r="AP1357" s="137" t="s">
        <v>432</v>
      </c>
      <c r="AQ1357" s="137" t="s">
        <v>432</v>
      </c>
      <c r="AR1357" s="137" t="s">
        <v>432</v>
      </c>
      <c r="AS1357" s="137" t="s">
        <v>432</v>
      </c>
      <c r="AT1357" s="137" t="s">
        <v>432</v>
      </c>
      <c r="AU1357" s="137" t="s">
        <v>432</v>
      </c>
      <c r="AV1357" s="137" t="s">
        <v>432</v>
      </c>
      <c r="AW1357" s="137" t="s">
        <v>432</v>
      </c>
      <c r="AX1357" s="137" t="s">
        <v>432</v>
      </c>
      <c r="AY1357" s="137" t="s">
        <v>432</v>
      </c>
      <c r="AZ1357" s="137" t="s">
        <v>432</v>
      </c>
      <c r="BA1357" s="137" t="s">
        <v>432</v>
      </c>
      <c r="BB1357" s="239" t="str">
        <f t="shared" si="370"/>
        <v>Cidades da RMBHx</v>
      </c>
      <c r="BC1357" s="239" t="str">
        <f t="shared" si="371"/>
        <v>Cidades da RMBHxsigla/verbete</v>
      </c>
      <c r="BD1357" s="239" t="str">
        <f t="shared" si="372"/>
        <v>Cidades da RMBHsigla/verbete</v>
      </c>
    </row>
    <row r="1358" spans="1:56" s="3" customFormat="1" ht="100.5" customHeight="1" x14ac:dyDescent="0.25">
      <c r="A1358" s="275" t="str">
        <f>'Q100b-totais'!$B$58</f>
        <v>8.6</v>
      </c>
      <c r="B1358" s="54" t="str">
        <f>'Q100b-totais'!$C$58</f>
        <v>Transporte escolar</v>
      </c>
      <c r="C1358" s="230" t="s">
        <v>432</v>
      </c>
      <c r="D1358" s="982" t="s">
        <v>695</v>
      </c>
      <c r="E1358" s="1529" t="s">
        <v>1306</v>
      </c>
      <c r="F1358" s="363" t="s">
        <v>692</v>
      </c>
      <c r="G1358" s="442" t="s">
        <v>713</v>
      </c>
      <c r="H1358" s="171" t="s">
        <v>432</v>
      </c>
      <c r="I1358" s="57">
        <v>1</v>
      </c>
      <c r="J1358" s="107" t="s">
        <v>432</v>
      </c>
      <c r="K1358" s="107" t="s">
        <v>432</v>
      </c>
      <c r="L1358" s="58" t="s">
        <v>432</v>
      </c>
      <c r="M1358" s="58" t="s">
        <v>432</v>
      </c>
      <c r="N1358" s="58" t="s">
        <v>432</v>
      </c>
      <c r="O1358" s="58" t="s">
        <v>432</v>
      </c>
      <c r="P1358" s="58" t="s">
        <v>432</v>
      </c>
      <c r="Q1358" s="58" t="s">
        <v>432</v>
      </c>
      <c r="R1358" s="58" t="s">
        <v>432</v>
      </c>
      <c r="S1358" s="109" t="s">
        <v>2209</v>
      </c>
      <c r="T1358" s="58" t="s">
        <v>432</v>
      </c>
      <c r="U1358" s="58" t="s">
        <v>432</v>
      </c>
      <c r="V1358" s="109" t="s">
        <v>2209</v>
      </c>
      <c r="W1358" s="58" t="s">
        <v>432</v>
      </c>
      <c r="X1358" s="58" t="s">
        <v>432</v>
      </c>
      <c r="Y1358" s="58" t="s">
        <v>432</v>
      </c>
      <c r="Z1358" s="58" t="s">
        <v>432</v>
      </c>
      <c r="AA1358" s="58" t="s">
        <v>432</v>
      </c>
      <c r="AB1358" s="64">
        <f t="shared" ref="AB1358:AK1358" si="375">((AB1359*AB835)+(AB836*AB1360)+(AB1361*AB837))/AB832</f>
        <v>7.3862318840579713</v>
      </c>
      <c r="AC1358" s="64">
        <f t="shared" si="375"/>
        <v>7.8117902350813742</v>
      </c>
      <c r="AD1358" s="64">
        <f t="shared" si="375"/>
        <v>6.6297071129707117</v>
      </c>
      <c r="AE1358" s="64">
        <f t="shared" si="375"/>
        <v>6.4264656616415419</v>
      </c>
      <c r="AF1358" s="64">
        <f t="shared" si="375"/>
        <v>7.5231343283582088</v>
      </c>
      <c r="AG1358" s="64">
        <f t="shared" si="375"/>
        <v>6.3833333333333329</v>
      </c>
      <c r="AH1358" s="64">
        <f t="shared" si="375"/>
        <v>6.421528165086448</v>
      </c>
      <c r="AI1358" s="64">
        <f t="shared" si="375"/>
        <v>6.3656417764763304</v>
      </c>
      <c r="AJ1358" s="64">
        <f t="shared" si="375"/>
        <v>5.295265370467682</v>
      </c>
      <c r="AK1358" s="64">
        <f t="shared" si="375"/>
        <v>5.7690700160342061</v>
      </c>
      <c r="AL1358" s="601" t="s">
        <v>432</v>
      </c>
      <c r="AM1358" s="137" t="s">
        <v>432</v>
      </c>
      <c r="AN1358" s="137" t="s">
        <v>432</v>
      </c>
      <c r="AO1358" s="137" t="s">
        <v>432</v>
      </c>
      <c r="AP1358" s="137" t="s">
        <v>432</v>
      </c>
      <c r="AQ1358" s="137" t="s">
        <v>432</v>
      </c>
      <c r="AR1358" s="137" t="s">
        <v>432</v>
      </c>
      <c r="AS1358" s="137" t="s">
        <v>432</v>
      </c>
      <c r="AT1358" s="137" t="s">
        <v>432</v>
      </c>
      <c r="AU1358" s="137" t="s">
        <v>432</v>
      </c>
      <c r="AV1358" s="137" t="s">
        <v>432</v>
      </c>
      <c r="AW1358" s="137" t="s">
        <v>432</v>
      </c>
      <c r="AX1358" s="137" t="s">
        <v>432</v>
      </c>
      <c r="AY1358" s="137" t="s">
        <v>432</v>
      </c>
      <c r="AZ1358" s="137" t="s">
        <v>432</v>
      </c>
      <c r="BA1358" s="137" t="s">
        <v>432</v>
      </c>
      <c r="BB1358" s="239" t="str">
        <f t="shared" si="370"/>
        <v>Transporte escolarx</v>
      </c>
      <c r="BC1358" s="239" t="str">
        <f t="shared" si="371"/>
        <v>Transporte escolarxx</v>
      </c>
      <c r="BD1358" s="239" t="str">
        <f t="shared" si="372"/>
        <v>Transporte escolarx</v>
      </c>
    </row>
    <row r="1359" spans="1:56" s="3" customFormat="1" ht="62.25" customHeight="1" x14ac:dyDescent="0.25">
      <c r="A1359" s="275" t="str">
        <f>'Q100b-totais'!$B$58</f>
        <v>8.6</v>
      </c>
      <c r="B1359" s="54" t="str">
        <f>'Q100b-totais'!$C$58</f>
        <v>Transporte escolar</v>
      </c>
      <c r="C1359" s="230" t="s">
        <v>432</v>
      </c>
      <c r="D1359" s="982" t="s">
        <v>698</v>
      </c>
      <c r="E1359" s="1529" t="s">
        <v>1306</v>
      </c>
      <c r="F1359" s="363" t="s">
        <v>2716</v>
      </c>
      <c r="G1359" s="110" t="s">
        <v>77</v>
      </c>
      <c r="H1359" s="171" t="s">
        <v>432</v>
      </c>
      <c r="I1359" s="57">
        <v>1</v>
      </c>
      <c r="J1359" s="107" t="s">
        <v>432</v>
      </c>
      <c r="K1359" s="107" t="s">
        <v>432</v>
      </c>
      <c r="L1359" s="93" t="s">
        <v>432</v>
      </c>
      <c r="M1359" s="93" t="s">
        <v>432</v>
      </c>
      <c r="N1359" s="93" t="s">
        <v>432</v>
      </c>
      <c r="O1359" s="93" t="s">
        <v>432</v>
      </c>
      <c r="P1359" s="93" t="s">
        <v>432</v>
      </c>
      <c r="Q1359" s="93" t="s">
        <v>432</v>
      </c>
      <c r="R1359" s="93" t="s">
        <v>432</v>
      </c>
      <c r="S1359" s="109" t="s">
        <v>2209</v>
      </c>
      <c r="T1359" s="93" t="s">
        <v>432</v>
      </c>
      <c r="U1359" s="93" t="s">
        <v>432</v>
      </c>
      <c r="V1359" s="109" t="s">
        <v>2209</v>
      </c>
      <c r="W1359" s="93" t="s">
        <v>432</v>
      </c>
      <c r="X1359" s="93" t="s">
        <v>432</v>
      </c>
      <c r="Y1359" s="93" t="s">
        <v>432</v>
      </c>
      <c r="Z1359" s="93" t="s">
        <v>432</v>
      </c>
      <c r="AA1359" s="93" t="s">
        <v>432</v>
      </c>
      <c r="AB1359" s="91">
        <v>3.7</v>
      </c>
      <c r="AC1359" s="91">
        <v>7.12</v>
      </c>
      <c r="AD1359" s="91">
        <v>7</v>
      </c>
      <c r="AE1359" s="91">
        <v>7</v>
      </c>
      <c r="AF1359" s="91">
        <v>8.5</v>
      </c>
      <c r="AG1359" s="91">
        <v>7</v>
      </c>
      <c r="AH1359" s="91">
        <v>7</v>
      </c>
      <c r="AI1359" s="91">
        <v>7</v>
      </c>
      <c r="AJ1359" s="91">
        <v>6.33</v>
      </c>
      <c r="AK1359" s="84">
        <v>6.75</v>
      </c>
      <c r="AL1359" s="601" t="s">
        <v>432</v>
      </c>
      <c r="AM1359" s="137" t="s">
        <v>432</v>
      </c>
      <c r="AN1359" s="137" t="s">
        <v>432</v>
      </c>
      <c r="AO1359" s="137" t="s">
        <v>432</v>
      </c>
      <c r="AP1359" s="137" t="s">
        <v>432</v>
      </c>
      <c r="AQ1359" s="137" t="s">
        <v>432</v>
      </c>
      <c r="AR1359" s="137" t="s">
        <v>432</v>
      </c>
      <c r="AS1359" s="137" t="s">
        <v>432</v>
      </c>
      <c r="AT1359" s="137" t="s">
        <v>432</v>
      </c>
      <c r="AU1359" s="137" t="s">
        <v>432</v>
      </c>
      <c r="AV1359" s="137" t="s">
        <v>432</v>
      </c>
      <c r="AW1359" s="137" t="s">
        <v>432</v>
      </c>
      <c r="AX1359" s="137" t="s">
        <v>432</v>
      </c>
      <c r="AY1359" s="137" t="s">
        <v>432</v>
      </c>
      <c r="AZ1359" s="137" t="s">
        <v>432</v>
      </c>
      <c r="BA1359" s="137" t="s">
        <v>432</v>
      </c>
      <c r="BB1359" s="239" t="str">
        <f t="shared" si="370"/>
        <v>Transporte escolarx</v>
      </c>
      <c r="BC1359" s="239" t="str">
        <f t="shared" si="371"/>
        <v>Transporte escolarxx</v>
      </c>
      <c r="BD1359" s="239" t="str">
        <f t="shared" si="372"/>
        <v>Transporte escolarx</v>
      </c>
    </row>
    <row r="1360" spans="1:56" s="3" customFormat="1" ht="57.75" customHeight="1" x14ac:dyDescent="0.25">
      <c r="A1360" s="275" t="str">
        <f>'Q100b-totais'!$B$58</f>
        <v>8.6</v>
      </c>
      <c r="B1360" s="54" t="str">
        <f>'Q100b-totais'!$C$58</f>
        <v>Transporte escolar</v>
      </c>
      <c r="C1360" s="230" t="s">
        <v>432</v>
      </c>
      <c r="D1360" s="982" t="s">
        <v>697</v>
      </c>
      <c r="E1360" s="1529" t="s">
        <v>1306</v>
      </c>
      <c r="F1360" s="363" t="s">
        <v>2717</v>
      </c>
      <c r="G1360" s="110" t="s">
        <v>77</v>
      </c>
      <c r="H1360" s="171" t="s">
        <v>432</v>
      </c>
      <c r="I1360" s="57">
        <v>1</v>
      </c>
      <c r="J1360" s="107" t="s">
        <v>432</v>
      </c>
      <c r="K1360" s="107" t="s">
        <v>432</v>
      </c>
      <c r="L1360" s="93" t="s">
        <v>432</v>
      </c>
      <c r="M1360" s="93" t="s">
        <v>432</v>
      </c>
      <c r="N1360" s="93" t="s">
        <v>432</v>
      </c>
      <c r="O1360" s="93" t="s">
        <v>432</v>
      </c>
      <c r="P1360" s="93" t="s">
        <v>432</v>
      </c>
      <c r="Q1360" s="93" t="s">
        <v>432</v>
      </c>
      <c r="R1360" s="93" t="s">
        <v>432</v>
      </c>
      <c r="S1360" s="109" t="s">
        <v>2209</v>
      </c>
      <c r="T1360" s="93" t="s">
        <v>432</v>
      </c>
      <c r="U1360" s="93" t="s">
        <v>432</v>
      </c>
      <c r="V1360" s="109" t="s">
        <v>2209</v>
      </c>
      <c r="W1360" s="93" t="s">
        <v>432</v>
      </c>
      <c r="X1360" s="93" t="s">
        <v>432</v>
      </c>
      <c r="Y1360" s="93" t="s">
        <v>432</v>
      </c>
      <c r="Z1360" s="93" t="s">
        <v>432</v>
      </c>
      <c r="AA1360" s="93" t="s">
        <v>432</v>
      </c>
      <c r="AB1360" s="91">
        <v>5.7</v>
      </c>
      <c r="AC1360" s="91">
        <v>6</v>
      </c>
      <c r="AD1360" s="91">
        <v>5.2</v>
      </c>
      <c r="AE1360" s="91">
        <v>5</v>
      </c>
      <c r="AF1360" s="91">
        <v>6.5</v>
      </c>
      <c r="AG1360" s="91">
        <v>5.4</v>
      </c>
      <c r="AH1360" s="91">
        <v>5.4</v>
      </c>
      <c r="AI1360" s="91">
        <v>5.4</v>
      </c>
      <c r="AJ1360" s="91">
        <v>4.43</v>
      </c>
      <c r="AK1360" s="84">
        <v>4.92</v>
      </c>
      <c r="AL1360" s="601" t="s">
        <v>432</v>
      </c>
      <c r="AM1360" s="137" t="s">
        <v>432</v>
      </c>
      <c r="AN1360" s="137" t="s">
        <v>432</v>
      </c>
      <c r="AO1360" s="137" t="s">
        <v>432</v>
      </c>
      <c r="AP1360" s="137" t="s">
        <v>432</v>
      </c>
      <c r="AQ1360" s="137" t="s">
        <v>432</v>
      </c>
      <c r="AR1360" s="137" t="s">
        <v>432</v>
      </c>
      <c r="AS1360" s="137" t="s">
        <v>432</v>
      </c>
      <c r="AT1360" s="137" t="s">
        <v>432</v>
      </c>
      <c r="AU1360" s="137" t="s">
        <v>432</v>
      </c>
      <c r="AV1360" s="137" t="s">
        <v>432</v>
      </c>
      <c r="AW1360" s="137" t="s">
        <v>432</v>
      </c>
      <c r="AX1360" s="137" t="s">
        <v>432</v>
      </c>
      <c r="AY1360" s="137" t="s">
        <v>432</v>
      </c>
      <c r="AZ1360" s="137" t="s">
        <v>432</v>
      </c>
      <c r="BA1360" s="137" t="s">
        <v>432</v>
      </c>
      <c r="BB1360" s="239" t="str">
        <f t="shared" si="370"/>
        <v>Transporte escolarx</v>
      </c>
      <c r="BC1360" s="239" t="str">
        <f t="shared" si="371"/>
        <v>Transporte escolarxx</v>
      </c>
      <c r="BD1360" s="239" t="str">
        <f t="shared" si="372"/>
        <v>Transporte escolarx</v>
      </c>
    </row>
    <row r="1361" spans="1:56" s="3" customFormat="1" ht="63.75" customHeight="1" x14ac:dyDescent="0.25">
      <c r="A1361" s="275" t="str">
        <f>'Q100b-totais'!$B$58</f>
        <v>8.6</v>
      </c>
      <c r="B1361" s="54" t="str">
        <f>'Q100b-totais'!$C$58</f>
        <v>Transporte escolar</v>
      </c>
      <c r="C1361" s="230" t="s">
        <v>432</v>
      </c>
      <c r="D1361" s="982" t="s">
        <v>696</v>
      </c>
      <c r="E1361" s="1529" t="s">
        <v>1306</v>
      </c>
      <c r="F1361" s="363" t="s">
        <v>2718</v>
      </c>
      <c r="G1361" s="110" t="s">
        <v>77</v>
      </c>
      <c r="H1361" s="171" t="s">
        <v>432</v>
      </c>
      <c r="I1361" s="57">
        <v>1</v>
      </c>
      <c r="J1361" s="107" t="s">
        <v>432</v>
      </c>
      <c r="K1361" s="107" t="s">
        <v>432</v>
      </c>
      <c r="L1361" s="93" t="s">
        <v>432</v>
      </c>
      <c r="M1361" s="93" t="s">
        <v>432</v>
      </c>
      <c r="N1361" s="93" t="s">
        <v>432</v>
      </c>
      <c r="O1361" s="93" t="s">
        <v>432</v>
      </c>
      <c r="P1361" s="93" t="s">
        <v>432</v>
      </c>
      <c r="Q1361" s="93" t="s">
        <v>432</v>
      </c>
      <c r="R1361" s="93" t="s">
        <v>432</v>
      </c>
      <c r="S1361" s="109" t="s">
        <v>2209</v>
      </c>
      <c r="T1361" s="93" t="s">
        <v>432</v>
      </c>
      <c r="U1361" s="93" t="s">
        <v>432</v>
      </c>
      <c r="V1361" s="109" t="s">
        <v>2209</v>
      </c>
      <c r="W1361" s="93" t="s">
        <v>432</v>
      </c>
      <c r="X1361" s="93" t="s">
        <v>432</v>
      </c>
      <c r="Y1361" s="93" t="s">
        <v>432</v>
      </c>
      <c r="Z1361" s="93" t="s">
        <v>432</v>
      </c>
      <c r="AA1361" s="93" t="s">
        <v>432</v>
      </c>
      <c r="AB1361" s="91">
        <v>12.8</v>
      </c>
      <c r="AC1361" s="91">
        <v>13.2</v>
      </c>
      <c r="AD1361" s="91">
        <v>10.9</v>
      </c>
      <c r="AE1361" s="91">
        <v>10.8</v>
      </c>
      <c r="AF1361" s="91">
        <v>10.4</v>
      </c>
      <c r="AG1361" s="91">
        <v>10.4</v>
      </c>
      <c r="AH1361" s="91">
        <v>10.4</v>
      </c>
      <c r="AI1361" s="91">
        <v>10.4</v>
      </c>
      <c r="AJ1361" s="91">
        <v>10.23</v>
      </c>
      <c r="AK1361" s="84">
        <v>10.43</v>
      </c>
      <c r="AL1361" s="601" t="s">
        <v>432</v>
      </c>
      <c r="AM1361" s="137" t="s">
        <v>432</v>
      </c>
      <c r="AN1361" s="137" t="s">
        <v>432</v>
      </c>
      <c r="AO1361" s="137" t="s">
        <v>432</v>
      </c>
      <c r="AP1361" s="137" t="s">
        <v>432</v>
      </c>
      <c r="AQ1361" s="137" t="s">
        <v>432</v>
      </c>
      <c r="AR1361" s="137" t="s">
        <v>432</v>
      </c>
      <c r="AS1361" s="137" t="s">
        <v>432</v>
      </c>
      <c r="AT1361" s="137" t="s">
        <v>432</v>
      </c>
      <c r="AU1361" s="137" t="s">
        <v>432</v>
      </c>
      <c r="AV1361" s="137" t="s">
        <v>432</v>
      </c>
      <c r="AW1361" s="137" t="s">
        <v>432</v>
      </c>
      <c r="AX1361" s="137" t="s">
        <v>432</v>
      </c>
      <c r="AY1361" s="137" t="s">
        <v>432</v>
      </c>
      <c r="AZ1361" s="137" t="s">
        <v>432</v>
      </c>
      <c r="BA1361" s="137" t="s">
        <v>432</v>
      </c>
      <c r="BB1361" s="239" t="str">
        <f t="shared" si="370"/>
        <v>Transporte escolarx</v>
      </c>
      <c r="BC1361" s="239" t="str">
        <f t="shared" si="371"/>
        <v>Transporte escolarxx</v>
      </c>
      <c r="BD1361" s="239" t="str">
        <f t="shared" si="372"/>
        <v>Transporte escolarx</v>
      </c>
    </row>
    <row r="1362" spans="1:56" s="1" customFormat="1" ht="63.75" customHeight="1" x14ac:dyDescent="0.25">
      <c r="A1362" s="275" t="str">
        <f>'Q100b-totais'!B69</f>
        <v>9.6</v>
      </c>
      <c r="B1362" s="252" t="str">
        <f>'Q100b-totais'!$C$59</f>
        <v>Transporte de baixa capacidade</v>
      </c>
      <c r="C1362" s="57" t="s">
        <v>432</v>
      </c>
      <c r="D1362" s="714" t="s">
        <v>986</v>
      </c>
      <c r="E1362" s="1517" t="s">
        <v>1306</v>
      </c>
      <c r="F1362" s="102" t="s">
        <v>2657</v>
      </c>
      <c r="G1362" s="110" t="s">
        <v>77</v>
      </c>
      <c r="H1362" s="167" t="s">
        <v>432</v>
      </c>
      <c r="I1362" s="167">
        <v>1</v>
      </c>
      <c r="J1362" s="109" t="s">
        <v>432</v>
      </c>
      <c r="K1362" s="109" t="s">
        <v>432</v>
      </c>
      <c r="L1362" s="109" t="s">
        <v>432</v>
      </c>
      <c r="M1362" s="109" t="s">
        <v>432</v>
      </c>
      <c r="N1362" s="109" t="s">
        <v>432</v>
      </c>
      <c r="O1362" s="109" t="s">
        <v>432</v>
      </c>
      <c r="P1362" s="109" t="s">
        <v>432</v>
      </c>
      <c r="Q1362" s="109" t="s">
        <v>432</v>
      </c>
      <c r="R1362" s="109" t="s">
        <v>432</v>
      </c>
      <c r="S1362" s="109" t="s">
        <v>2209</v>
      </c>
      <c r="T1362" s="109" t="s">
        <v>432</v>
      </c>
      <c r="U1362" s="109" t="s">
        <v>432</v>
      </c>
      <c r="V1362" s="109" t="s">
        <v>2209</v>
      </c>
      <c r="W1362" s="110" t="s">
        <v>432</v>
      </c>
      <c r="X1362" s="110" t="s">
        <v>432</v>
      </c>
      <c r="Y1362" s="110" t="s">
        <v>432</v>
      </c>
      <c r="Z1362" s="110" t="s">
        <v>432</v>
      </c>
      <c r="AA1362" s="110">
        <v>3.6</v>
      </c>
      <c r="AB1362" s="118">
        <v>3.4</v>
      </c>
      <c r="AC1362" s="118">
        <v>3.9</v>
      </c>
      <c r="AD1362" s="118">
        <v>3.3</v>
      </c>
      <c r="AE1362" s="118">
        <v>3</v>
      </c>
      <c r="AF1362" s="118">
        <v>3.3</v>
      </c>
      <c r="AG1362" s="118">
        <v>3.3</v>
      </c>
      <c r="AH1362" s="118">
        <v>3</v>
      </c>
      <c r="AI1362" s="83">
        <v>3</v>
      </c>
      <c r="AJ1362" s="83">
        <v>3.19</v>
      </c>
      <c r="AK1362" s="83">
        <v>4.03</v>
      </c>
      <c r="AL1362" s="601" t="s">
        <v>432</v>
      </c>
      <c r="AM1362" s="137" t="s">
        <v>432</v>
      </c>
      <c r="AN1362" s="137" t="s">
        <v>432</v>
      </c>
      <c r="AO1362" s="137" t="s">
        <v>432</v>
      </c>
      <c r="AP1362" s="137" t="s">
        <v>432</v>
      </c>
      <c r="AQ1362" s="137" t="s">
        <v>432</v>
      </c>
      <c r="AR1362" s="137" t="s">
        <v>432</v>
      </c>
      <c r="AS1362" s="137" t="s">
        <v>432</v>
      </c>
      <c r="AT1362" s="137" t="s">
        <v>432</v>
      </c>
      <c r="AU1362" s="137" t="s">
        <v>432</v>
      </c>
      <c r="AV1362" s="137" t="s">
        <v>432</v>
      </c>
      <c r="AW1362" s="137" t="s">
        <v>432</v>
      </c>
      <c r="AX1362" s="137" t="s">
        <v>432</v>
      </c>
      <c r="AY1362" s="137" t="s">
        <v>432</v>
      </c>
      <c r="AZ1362" s="137" t="s">
        <v>432</v>
      </c>
      <c r="BA1362" s="137" t="s">
        <v>432</v>
      </c>
      <c r="BB1362" s="239" t="str">
        <f t="shared" si="370"/>
        <v>Transporte de baixa capacidadex</v>
      </c>
      <c r="BC1362" s="239" t="str">
        <f t="shared" si="371"/>
        <v>Transporte de baixa capacidadexx</v>
      </c>
      <c r="BD1362" s="239" t="str">
        <f t="shared" si="372"/>
        <v>Transporte de baixa capacidadex</v>
      </c>
    </row>
    <row r="1363" spans="1:56" s="1" customFormat="1" ht="87" customHeight="1" x14ac:dyDescent="0.25">
      <c r="A1363" s="275" t="str">
        <f>'Q100b-totais'!$B$57</f>
        <v>8.5</v>
      </c>
      <c r="B1363" s="54" t="str">
        <f>'Q100b-totais'!$C$57</f>
        <v>Transporte convencional</v>
      </c>
      <c r="C1363" s="230" t="s">
        <v>432</v>
      </c>
      <c r="D1363" s="901" t="s">
        <v>951</v>
      </c>
      <c r="E1363" s="1517" t="s">
        <v>1306</v>
      </c>
      <c r="F1363" s="102" t="s">
        <v>2269</v>
      </c>
      <c r="G1363" s="110" t="s">
        <v>77</v>
      </c>
      <c r="H1363" s="173" t="s">
        <v>432</v>
      </c>
      <c r="I1363" s="167">
        <v>1</v>
      </c>
      <c r="J1363" s="107" t="s">
        <v>432</v>
      </c>
      <c r="K1363" s="107" t="s">
        <v>432</v>
      </c>
      <c r="L1363" s="107" t="s">
        <v>432</v>
      </c>
      <c r="M1363" s="366">
        <v>4.8</v>
      </c>
      <c r="N1363" s="366">
        <v>4</v>
      </c>
      <c r="O1363" s="366">
        <v>4</v>
      </c>
      <c r="P1363" s="622" t="s">
        <v>2148</v>
      </c>
      <c r="Q1363" s="622" t="s">
        <v>2148</v>
      </c>
      <c r="R1363" s="622" t="s">
        <v>2148</v>
      </c>
      <c r="S1363" s="109" t="s">
        <v>2209</v>
      </c>
      <c r="T1363" s="622" t="s">
        <v>2148</v>
      </c>
      <c r="U1363" s="110">
        <v>4.25</v>
      </c>
      <c r="V1363" s="109" t="s">
        <v>2209</v>
      </c>
      <c r="W1363" s="110">
        <v>5.97</v>
      </c>
      <c r="X1363" s="110">
        <v>6.89</v>
      </c>
      <c r="Y1363" s="110">
        <v>7.73</v>
      </c>
      <c r="Z1363" s="110">
        <v>6.47</v>
      </c>
      <c r="AA1363" s="110">
        <v>5.34</v>
      </c>
      <c r="AB1363" s="110">
        <v>4.67</v>
      </c>
      <c r="AC1363" s="110">
        <v>4.63</v>
      </c>
      <c r="AD1363" s="83">
        <v>4.67</v>
      </c>
      <c r="AE1363" s="83">
        <v>3.92</v>
      </c>
      <c r="AF1363" s="83">
        <v>3.67</v>
      </c>
      <c r="AG1363" s="83">
        <v>3.42</v>
      </c>
      <c r="AH1363" s="83">
        <v>4</v>
      </c>
      <c r="AI1363" s="622" t="s">
        <v>2213</v>
      </c>
      <c r="AJ1363" s="622" t="s">
        <v>2213</v>
      </c>
      <c r="AK1363" s="622" t="s">
        <v>2213</v>
      </c>
      <c r="AL1363" s="601" t="s">
        <v>432</v>
      </c>
      <c r="AM1363" s="137" t="s">
        <v>432</v>
      </c>
      <c r="AN1363" s="137" t="s">
        <v>432</v>
      </c>
      <c r="AO1363" s="137" t="s">
        <v>432</v>
      </c>
      <c r="AP1363" s="137" t="s">
        <v>432</v>
      </c>
      <c r="AQ1363" s="137" t="s">
        <v>432</v>
      </c>
      <c r="AR1363" s="137" t="s">
        <v>432</v>
      </c>
      <c r="AS1363" s="137" t="s">
        <v>432</v>
      </c>
      <c r="AT1363" s="137" t="s">
        <v>432</v>
      </c>
      <c r="AU1363" s="137" t="s">
        <v>432</v>
      </c>
      <c r="AV1363" s="137" t="s">
        <v>432</v>
      </c>
      <c r="AW1363" s="137" t="s">
        <v>432</v>
      </c>
      <c r="AX1363" s="137" t="s">
        <v>432</v>
      </c>
      <c r="AY1363" s="137" t="s">
        <v>432</v>
      </c>
      <c r="AZ1363" s="137" t="s">
        <v>432</v>
      </c>
      <c r="BA1363" s="137" t="s">
        <v>432</v>
      </c>
      <c r="BB1363" s="239" t="str">
        <f t="shared" si="370"/>
        <v>Transporte convencionalx</v>
      </c>
      <c r="BC1363" s="239" t="str">
        <f t="shared" si="371"/>
        <v>Transporte convencionalxx</v>
      </c>
      <c r="BD1363" s="239" t="str">
        <f t="shared" si="372"/>
        <v>Transporte convencionalx</v>
      </c>
    </row>
    <row r="1364" spans="1:56" s="1" customFormat="1" ht="51" customHeight="1" x14ac:dyDescent="0.25">
      <c r="A1364" s="275" t="str">
        <f>'Q100b-totais'!B30</f>
        <v>3.5</v>
      </c>
      <c r="B1364" s="54" t="str">
        <f>'Q100b-totais'!C30</f>
        <v>Recursos humanos</v>
      </c>
      <c r="C1364" s="230" t="s">
        <v>432</v>
      </c>
      <c r="D1364" s="901" t="s">
        <v>4601</v>
      </c>
      <c r="E1364" s="1517" t="s">
        <v>1767</v>
      </c>
      <c r="F1364" s="1151" t="s">
        <v>5132</v>
      </c>
      <c r="G1364" s="167" t="s">
        <v>3507</v>
      </c>
      <c r="H1364" s="167" t="s">
        <v>2408</v>
      </c>
      <c r="I1364" s="167" t="s">
        <v>432</v>
      </c>
      <c r="J1364" s="107" t="s">
        <v>432</v>
      </c>
      <c r="K1364" s="107" t="s">
        <v>432</v>
      </c>
      <c r="L1364" s="107" t="s">
        <v>432</v>
      </c>
      <c r="M1364" s="107" t="s">
        <v>432</v>
      </c>
      <c r="N1364" s="107" t="s">
        <v>432</v>
      </c>
      <c r="O1364" s="107" t="s">
        <v>432</v>
      </c>
      <c r="P1364" s="107" t="s">
        <v>432</v>
      </c>
      <c r="Q1364" s="107" t="s">
        <v>432</v>
      </c>
      <c r="R1364" s="107" t="s">
        <v>432</v>
      </c>
      <c r="S1364" s="109" t="s">
        <v>2209</v>
      </c>
      <c r="T1364" s="107" t="s">
        <v>432</v>
      </c>
      <c r="U1364" s="107" t="s">
        <v>432</v>
      </c>
      <c r="V1364" s="109" t="s">
        <v>2209</v>
      </c>
      <c r="W1364" s="107" t="s">
        <v>432</v>
      </c>
      <c r="X1364" s="107" t="s">
        <v>432</v>
      </c>
      <c r="Y1364" s="107" t="s">
        <v>432</v>
      </c>
      <c r="Z1364" s="107" t="s">
        <v>432</v>
      </c>
      <c r="AA1364" s="107" t="s">
        <v>432</v>
      </c>
      <c r="AB1364" s="107" t="s">
        <v>432</v>
      </c>
      <c r="AC1364" s="107" t="s">
        <v>432</v>
      </c>
      <c r="AD1364" s="107" t="s">
        <v>432</v>
      </c>
      <c r="AE1364" s="107" t="s">
        <v>432</v>
      </c>
      <c r="AF1364" s="107" t="s">
        <v>432</v>
      </c>
      <c r="AG1364" s="107" t="s">
        <v>432</v>
      </c>
      <c r="AH1364" s="107" t="s">
        <v>432</v>
      </c>
      <c r="AI1364" s="107" t="s">
        <v>432</v>
      </c>
      <c r="AJ1364" s="107" t="s">
        <v>432</v>
      </c>
      <c r="AK1364" s="107" t="s">
        <v>432</v>
      </c>
      <c r="AL1364" s="601" t="s">
        <v>432</v>
      </c>
      <c r="AM1364" s="137" t="s">
        <v>432</v>
      </c>
      <c r="AN1364" s="137" t="s">
        <v>432</v>
      </c>
      <c r="AO1364" s="137" t="s">
        <v>432</v>
      </c>
      <c r="AP1364" s="137" t="s">
        <v>432</v>
      </c>
      <c r="AQ1364" s="137" t="s">
        <v>432</v>
      </c>
      <c r="AR1364" s="137" t="s">
        <v>432</v>
      </c>
      <c r="AS1364" s="137" t="s">
        <v>432</v>
      </c>
      <c r="AT1364" s="137" t="s">
        <v>432</v>
      </c>
      <c r="AU1364" s="137" t="s">
        <v>432</v>
      </c>
      <c r="AV1364" s="137" t="s">
        <v>432</v>
      </c>
      <c r="AW1364" s="137" t="s">
        <v>432</v>
      </c>
      <c r="AX1364" s="137" t="s">
        <v>432</v>
      </c>
      <c r="AY1364" s="137" t="s">
        <v>432</v>
      </c>
      <c r="AZ1364" s="137" t="s">
        <v>432</v>
      </c>
      <c r="BA1364" s="137" t="s">
        <v>432</v>
      </c>
      <c r="BB1364" s="239" t="str">
        <f t="shared" si="370"/>
        <v>Recursos humanosx</v>
      </c>
      <c r="BC1364" s="239" t="str">
        <f t="shared" si="371"/>
        <v>Recursos humanosxsigla/verbete</v>
      </c>
      <c r="BD1364" s="239" t="str">
        <f t="shared" si="372"/>
        <v>Recursos humanossigla/verbete</v>
      </c>
    </row>
    <row r="1365" spans="1:56" s="1" customFormat="1" ht="60" customHeight="1" x14ac:dyDescent="0.25">
      <c r="A1365" s="275" t="str">
        <f>'Q100b-totais'!B30</f>
        <v>3.5</v>
      </c>
      <c r="B1365" s="54" t="str">
        <f>'Q100b-totais'!C30</f>
        <v>Recursos humanos</v>
      </c>
      <c r="C1365" s="230" t="s">
        <v>432</v>
      </c>
      <c r="D1365" s="901" t="s">
        <v>4601</v>
      </c>
      <c r="E1365" s="1517" t="s">
        <v>5131</v>
      </c>
      <c r="F1365" s="1151" t="s">
        <v>5350</v>
      </c>
      <c r="G1365" s="110" t="s">
        <v>77</v>
      </c>
      <c r="H1365" s="173" t="s">
        <v>432</v>
      </c>
      <c r="I1365" s="167" t="s">
        <v>432</v>
      </c>
      <c r="J1365" s="107" t="s">
        <v>432</v>
      </c>
      <c r="K1365" s="107" t="s">
        <v>432</v>
      </c>
      <c r="L1365" s="107" t="s">
        <v>432</v>
      </c>
      <c r="M1365" s="107" t="s">
        <v>432</v>
      </c>
      <c r="N1365" s="107" t="s">
        <v>432</v>
      </c>
      <c r="O1365" s="107" t="s">
        <v>432</v>
      </c>
      <c r="P1365" s="107" t="s">
        <v>432</v>
      </c>
      <c r="Q1365" s="107" t="s">
        <v>432</v>
      </c>
      <c r="R1365" s="107" t="s">
        <v>432</v>
      </c>
      <c r="S1365" s="109" t="s">
        <v>2209</v>
      </c>
      <c r="T1365" s="107" t="s">
        <v>432</v>
      </c>
      <c r="U1365" s="107" t="s">
        <v>432</v>
      </c>
      <c r="V1365" s="109" t="s">
        <v>2209</v>
      </c>
      <c r="W1365" s="107" t="s">
        <v>432</v>
      </c>
      <c r="X1365" s="107" t="s">
        <v>432</v>
      </c>
      <c r="Y1365" s="107" t="s">
        <v>432</v>
      </c>
      <c r="Z1365" s="107" t="s">
        <v>432</v>
      </c>
      <c r="AA1365" s="107" t="s">
        <v>432</v>
      </c>
      <c r="AB1365" s="107" t="s">
        <v>432</v>
      </c>
      <c r="AC1365" s="107" t="s">
        <v>432</v>
      </c>
      <c r="AD1365" s="107" t="s">
        <v>432</v>
      </c>
      <c r="AE1365" s="107" t="s">
        <v>432</v>
      </c>
      <c r="AF1365" s="107" t="s">
        <v>432</v>
      </c>
      <c r="AG1365" s="107" t="s">
        <v>432</v>
      </c>
      <c r="AH1365" s="107" t="s">
        <v>432</v>
      </c>
      <c r="AI1365" s="107" t="s">
        <v>432</v>
      </c>
      <c r="AJ1365" s="107" t="s">
        <v>432</v>
      </c>
      <c r="AK1365" s="85">
        <v>3</v>
      </c>
      <c r="AL1365" s="601" t="s">
        <v>432</v>
      </c>
      <c r="AM1365" s="137" t="s">
        <v>432</v>
      </c>
      <c r="AN1365" s="137" t="s">
        <v>432</v>
      </c>
      <c r="AO1365" s="137" t="s">
        <v>432</v>
      </c>
      <c r="AP1365" s="137" t="s">
        <v>432</v>
      </c>
      <c r="AQ1365" s="137" t="s">
        <v>432</v>
      </c>
      <c r="AR1365" s="137" t="s">
        <v>432</v>
      </c>
      <c r="AS1365" s="137" t="s">
        <v>432</v>
      </c>
      <c r="AT1365" s="137" t="s">
        <v>432</v>
      </c>
      <c r="AU1365" s="137" t="s">
        <v>432</v>
      </c>
      <c r="AV1365" s="137" t="s">
        <v>432</v>
      </c>
      <c r="AW1365" s="137" t="s">
        <v>432</v>
      </c>
      <c r="AX1365" s="137" t="s">
        <v>432</v>
      </c>
      <c r="AY1365" s="137" t="s">
        <v>432</v>
      </c>
      <c r="AZ1365" s="137" t="s">
        <v>432</v>
      </c>
      <c r="BA1365" s="137" t="s">
        <v>432</v>
      </c>
      <c r="BB1365" s="239" t="str">
        <f t="shared" si="370"/>
        <v>Recursos humanosx</v>
      </c>
      <c r="BC1365" s="239" t="str">
        <f t="shared" si="371"/>
        <v>Recursos humanosxx</v>
      </c>
      <c r="BD1365" s="239" t="str">
        <f t="shared" si="372"/>
        <v>Recursos humanosx</v>
      </c>
    </row>
    <row r="1366" spans="1:56" s="1" customFormat="1" ht="51" customHeight="1" x14ac:dyDescent="0.25">
      <c r="A1366" s="275" t="str">
        <f>'Q100b-totais'!$B$64</f>
        <v>9.1</v>
      </c>
      <c r="B1366" s="1205" t="str">
        <f>'Q100b-totais'!$C$64</f>
        <v>Acidentes de trânsito</v>
      </c>
      <c r="C1366" s="57" t="s">
        <v>432</v>
      </c>
      <c r="D1366" s="325" t="s">
        <v>4600</v>
      </c>
      <c r="E1366" s="1445" t="s">
        <v>432</v>
      </c>
      <c r="F1366" s="11" t="s">
        <v>4602</v>
      </c>
      <c r="G1366" s="57" t="s">
        <v>1923</v>
      </c>
      <c r="H1366" s="173" t="s">
        <v>2408</v>
      </c>
      <c r="I1366" s="57" t="s">
        <v>432</v>
      </c>
      <c r="J1366" s="109" t="s">
        <v>432</v>
      </c>
      <c r="K1366" s="109" t="s">
        <v>432</v>
      </c>
      <c r="L1366" s="109" t="s">
        <v>432</v>
      </c>
      <c r="M1366" s="109" t="s">
        <v>432</v>
      </c>
      <c r="N1366" s="109" t="s">
        <v>432</v>
      </c>
      <c r="O1366" s="109" t="s">
        <v>432</v>
      </c>
      <c r="P1366" s="109" t="s">
        <v>432</v>
      </c>
      <c r="Q1366" s="109" t="s">
        <v>432</v>
      </c>
      <c r="R1366" s="109" t="s">
        <v>432</v>
      </c>
      <c r="S1366" s="109" t="s">
        <v>2209</v>
      </c>
      <c r="T1366" s="109" t="s">
        <v>432</v>
      </c>
      <c r="U1366" s="109" t="s">
        <v>432</v>
      </c>
      <c r="V1366" s="109" t="s">
        <v>2209</v>
      </c>
      <c r="W1366" s="109" t="s">
        <v>432</v>
      </c>
      <c r="X1366" s="109" t="s">
        <v>432</v>
      </c>
      <c r="Y1366" s="109" t="s">
        <v>432</v>
      </c>
      <c r="Z1366" s="109" t="s">
        <v>432</v>
      </c>
      <c r="AA1366" s="109" t="s">
        <v>432</v>
      </c>
      <c r="AB1366" s="109" t="s">
        <v>432</v>
      </c>
      <c r="AC1366" s="109" t="s">
        <v>432</v>
      </c>
      <c r="AD1366" s="109" t="s">
        <v>432</v>
      </c>
      <c r="AE1366" s="109" t="s">
        <v>432</v>
      </c>
      <c r="AF1366" s="109" t="s">
        <v>432</v>
      </c>
      <c r="AG1366" s="109" t="s">
        <v>432</v>
      </c>
      <c r="AH1366" s="109" t="s">
        <v>432</v>
      </c>
      <c r="AI1366" s="109" t="s">
        <v>432</v>
      </c>
      <c r="AJ1366" s="109" t="s">
        <v>432</v>
      </c>
      <c r="AK1366" s="137" t="s">
        <v>432</v>
      </c>
      <c r="AL1366" s="601" t="s">
        <v>432</v>
      </c>
      <c r="AM1366" s="137" t="s">
        <v>432</v>
      </c>
      <c r="AN1366" s="137" t="s">
        <v>432</v>
      </c>
      <c r="AO1366" s="137" t="s">
        <v>432</v>
      </c>
      <c r="AP1366" s="137" t="s">
        <v>432</v>
      </c>
      <c r="AQ1366" s="137" t="s">
        <v>432</v>
      </c>
      <c r="AR1366" s="137" t="s">
        <v>432</v>
      </c>
      <c r="AS1366" s="137" t="s">
        <v>432</v>
      </c>
      <c r="AT1366" s="137" t="s">
        <v>432</v>
      </c>
      <c r="AU1366" s="137" t="s">
        <v>432</v>
      </c>
      <c r="AV1366" s="137" t="s">
        <v>432</v>
      </c>
      <c r="AW1366" s="137" t="s">
        <v>432</v>
      </c>
      <c r="AX1366" s="137" t="s">
        <v>432</v>
      </c>
      <c r="AY1366" s="137" t="s">
        <v>432</v>
      </c>
      <c r="AZ1366" s="137" t="s">
        <v>432</v>
      </c>
      <c r="BA1366" s="137" t="s">
        <v>432</v>
      </c>
      <c r="BB1366" s="239" t="str">
        <f t="shared" si="370"/>
        <v>Acidentes de trânsitox</v>
      </c>
      <c r="BC1366" s="239" t="str">
        <f t="shared" si="371"/>
        <v>Acidentes de trânsitoxsigla/verbete</v>
      </c>
      <c r="BD1366" s="239" t="str">
        <f t="shared" si="372"/>
        <v>Acidentes de trânsitosigla/verbete</v>
      </c>
    </row>
    <row r="1367" spans="1:56" s="1" customFormat="1" ht="51" customHeight="1" x14ac:dyDescent="0.25">
      <c r="A1367" s="275" t="str">
        <f>'Q100b-totais'!$B$44</f>
        <v>5.2</v>
      </c>
      <c r="B1367" s="54" t="str">
        <f>'Q100b-totais'!$C$44</f>
        <v>Poluição do ar</v>
      </c>
      <c r="C1367" s="229" t="s">
        <v>432</v>
      </c>
      <c r="D1367" s="324" t="s">
        <v>199</v>
      </c>
      <c r="E1367" s="1402" t="s">
        <v>1306</v>
      </c>
      <c r="F1367" s="14" t="s">
        <v>4603</v>
      </c>
      <c r="G1367" s="173" t="s">
        <v>1915</v>
      </c>
      <c r="H1367" s="173" t="s">
        <v>2408</v>
      </c>
      <c r="I1367" s="57" t="s">
        <v>432</v>
      </c>
      <c r="J1367" s="107" t="s">
        <v>432</v>
      </c>
      <c r="K1367" s="107" t="s">
        <v>432</v>
      </c>
      <c r="L1367" s="107" t="s">
        <v>432</v>
      </c>
      <c r="M1367" s="107" t="s">
        <v>432</v>
      </c>
      <c r="N1367" s="107" t="s">
        <v>432</v>
      </c>
      <c r="O1367" s="107" t="s">
        <v>432</v>
      </c>
      <c r="P1367" s="107" t="s">
        <v>432</v>
      </c>
      <c r="Q1367" s="107" t="s">
        <v>432</v>
      </c>
      <c r="R1367" s="107" t="s">
        <v>432</v>
      </c>
      <c r="S1367" s="109" t="s">
        <v>2209</v>
      </c>
      <c r="T1367" s="107" t="s">
        <v>432</v>
      </c>
      <c r="U1367" s="107" t="s">
        <v>432</v>
      </c>
      <c r="V1367" s="109" t="s">
        <v>2209</v>
      </c>
      <c r="W1367" s="107" t="s">
        <v>432</v>
      </c>
      <c r="X1367" s="107" t="s">
        <v>432</v>
      </c>
      <c r="Y1367" s="107" t="s">
        <v>432</v>
      </c>
      <c r="Z1367" s="107" t="s">
        <v>432</v>
      </c>
      <c r="AA1367" s="107" t="s">
        <v>432</v>
      </c>
      <c r="AB1367" s="107" t="s">
        <v>432</v>
      </c>
      <c r="AC1367" s="107" t="s">
        <v>432</v>
      </c>
      <c r="AD1367" s="107" t="s">
        <v>432</v>
      </c>
      <c r="AE1367" s="107" t="s">
        <v>432</v>
      </c>
      <c r="AF1367" s="107" t="s">
        <v>432</v>
      </c>
      <c r="AG1367" s="107" t="s">
        <v>432</v>
      </c>
      <c r="AH1367" s="107" t="s">
        <v>432</v>
      </c>
      <c r="AI1367" s="107" t="s">
        <v>432</v>
      </c>
      <c r="AJ1367" s="107" t="s">
        <v>432</v>
      </c>
      <c r="AK1367" s="137" t="s">
        <v>432</v>
      </c>
      <c r="AL1367" s="601" t="s">
        <v>432</v>
      </c>
      <c r="AM1367" s="137" t="s">
        <v>432</v>
      </c>
      <c r="AN1367" s="137" t="s">
        <v>432</v>
      </c>
      <c r="AO1367" s="137" t="s">
        <v>432</v>
      </c>
      <c r="AP1367" s="137" t="s">
        <v>432</v>
      </c>
      <c r="AQ1367" s="137" t="s">
        <v>432</v>
      </c>
      <c r="AR1367" s="137" t="s">
        <v>432</v>
      </c>
      <c r="AS1367" s="137" t="s">
        <v>432</v>
      </c>
      <c r="AT1367" s="137" t="s">
        <v>432</v>
      </c>
      <c r="AU1367" s="137" t="s">
        <v>432</v>
      </c>
      <c r="AV1367" s="137" t="s">
        <v>432</v>
      </c>
      <c r="AW1367" s="137" t="s">
        <v>432</v>
      </c>
      <c r="AX1367" s="137" t="s">
        <v>432</v>
      </c>
      <c r="AY1367" s="137" t="s">
        <v>432</v>
      </c>
      <c r="AZ1367" s="137" t="s">
        <v>432</v>
      </c>
      <c r="BA1367" s="137" t="s">
        <v>432</v>
      </c>
      <c r="BB1367" s="239" t="str">
        <f t="shared" si="370"/>
        <v>Poluição do arx</v>
      </c>
      <c r="BC1367" s="239" t="str">
        <f t="shared" si="371"/>
        <v>Poluição do arxsigla/verbete</v>
      </c>
      <c r="BD1367" s="239" t="str">
        <f t="shared" si="372"/>
        <v>Poluição do arsigla/verbete</v>
      </c>
    </row>
    <row r="1368" spans="1:56" s="1" customFormat="1" ht="78.75" customHeight="1" x14ac:dyDescent="0.25">
      <c r="A1368" s="262" t="s">
        <v>432</v>
      </c>
      <c r="B1368" s="252" t="s">
        <v>742</v>
      </c>
      <c r="C1368" s="167" t="s">
        <v>432</v>
      </c>
      <c r="D1368" s="324" t="s">
        <v>200</v>
      </c>
      <c r="E1368" s="1496" t="s">
        <v>432</v>
      </c>
      <c r="F1368" s="165" t="s">
        <v>886</v>
      </c>
      <c r="G1368" s="167" t="s">
        <v>3879</v>
      </c>
      <c r="H1368" s="167" t="s">
        <v>432</v>
      </c>
      <c r="I1368" s="167" t="s">
        <v>432</v>
      </c>
      <c r="J1368" s="107" t="s">
        <v>432</v>
      </c>
      <c r="K1368" s="107" t="s">
        <v>432</v>
      </c>
      <c r="L1368" s="107" t="s">
        <v>432</v>
      </c>
      <c r="M1368" s="107" t="s">
        <v>432</v>
      </c>
      <c r="N1368" s="107" t="s">
        <v>432</v>
      </c>
      <c r="O1368" s="107" t="s">
        <v>432</v>
      </c>
      <c r="P1368" s="107" t="s">
        <v>432</v>
      </c>
      <c r="Q1368" s="107" t="s">
        <v>432</v>
      </c>
      <c r="R1368" s="107" t="s">
        <v>432</v>
      </c>
      <c r="S1368" s="109" t="s">
        <v>2209</v>
      </c>
      <c r="T1368" s="107" t="s">
        <v>432</v>
      </c>
      <c r="U1368" s="107" t="s">
        <v>432</v>
      </c>
      <c r="V1368" s="109" t="s">
        <v>2209</v>
      </c>
      <c r="W1368" s="107" t="s">
        <v>432</v>
      </c>
      <c r="X1368" s="107" t="s">
        <v>432</v>
      </c>
      <c r="Y1368" s="107" t="s">
        <v>432</v>
      </c>
      <c r="Z1368" s="107" t="s">
        <v>432</v>
      </c>
      <c r="AA1368" s="107" t="s">
        <v>432</v>
      </c>
      <c r="AB1368" s="107" t="s">
        <v>432</v>
      </c>
      <c r="AC1368" s="107" t="s">
        <v>432</v>
      </c>
      <c r="AD1368" s="107" t="s">
        <v>432</v>
      </c>
      <c r="AE1368" s="107" t="s">
        <v>432</v>
      </c>
      <c r="AF1368" s="107" t="s">
        <v>432</v>
      </c>
      <c r="AG1368" s="107" t="s">
        <v>432</v>
      </c>
      <c r="AH1368" s="107" t="s">
        <v>432</v>
      </c>
      <c r="AI1368" s="107" t="s">
        <v>432</v>
      </c>
      <c r="AJ1368" s="107" t="s">
        <v>432</v>
      </c>
      <c r="AK1368" s="137" t="s">
        <v>432</v>
      </c>
      <c r="AL1368" s="601" t="s">
        <v>432</v>
      </c>
      <c r="AM1368" s="137" t="s">
        <v>432</v>
      </c>
      <c r="AN1368" s="137" t="s">
        <v>432</v>
      </c>
      <c r="AO1368" s="137" t="s">
        <v>432</v>
      </c>
      <c r="AP1368" s="137" t="s">
        <v>432</v>
      </c>
      <c r="AQ1368" s="137" t="s">
        <v>432</v>
      </c>
      <c r="AR1368" s="137" t="s">
        <v>432</v>
      </c>
      <c r="AS1368" s="137" t="s">
        <v>432</v>
      </c>
      <c r="AT1368" s="137" t="s">
        <v>432</v>
      </c>
      <c r="AU1368" s="137" t="s">
        <v>432</v>
      </c>
      <c r="AV1368" s="137" t="s">
        <v>432</v>
      </c>
      <c r="AW1368" s="137" t="s">
        <v>432</v>
      </c>
      <c r="AX1368" s="137" t="s">
        <v>432</v>
      </c>
      <c r="AY1368" s="137" t="s">
        <v>432</v>
      </c>
      <c r="AZ1368" s="137" t="s">
        <v>432</v>
      </c>
      <c r="BA1368" s="137" t="s">
        <v>432</v>
      </c>
      <c r="BB1368" s="239" t="str">
        <f t="shared" si="370"/>
        <v>geralx</v>
      </c>
      <c r="BC1368" s="239" t="str">
        <f t="shared" si="371"/>
        <v>geralxx</v>
      </c>
      <c r="BD1368" s="239" t="str">
        <f t="shared" si="372"/>
        <v>geralx</v>
      </c>
    </row>
    <row r="1369" spans="1:56" s="1" customFormat="1" ht="78.75" customHeight="1" x14ac:dyDescent="0.25">
      <c r="A1369" s="262" t="s">
        <v>432</v>
      </c>
      <c r="B1369" s="252" t="s">
        <v>742</v>
      </c>
      <c r="C1369" s="167" t="s">
        <v>432</v>
      </c>
      <c r="D1369" s="324" t="s">
        <v>5261</v>
      </c>
      <c r="E1369" s="1445" t="s">
        <v>432</v>
      </c>
      <c r="F1369" s="252" t="s">
        <v>5262</v>
      </c>
      <c r="G1369" s="167" t="s">
        <v>3507</v>
      </c>
      <c r="H1369" s="167" t="s">
        <v>2408</v>
      </c>
      <c r="I1369" s="167" t="s">
        <v>432</v>
      </c>
      <c r="J1369" s="107" t="s">
        <v>432</v>
      </c>
      <c r="K1369" s="107" t="s">
        <v>432</v>
      </c>
      <c r="L1369" s="107" t="s">
        <v>432</v>
      </c>
      <c r="M1369" s="107" t="s">
        <v>432</v>
      </c>
      <c r="N1369" s="107" t="s">
        <v>432</v>
      </c>
      <c r="O1369" s="107" t="s">
        <v>432</v>
      </c>
      <c r="P1369" s="107" t="s">
        <v>432</v>
      </c>
      <c r="Q1369" s="107" t="s">
        <v>432</v>
      </c>
      <c r="R1369" s="107" t="s">
        <v>432</v>
      </c>
      <c r="S1369" s="109" t="s">
        <v>2209</v>
      </c>
      <c r="T1369" s="107" t="s">
        <v>432</v>
      </c>
      <c r="U1369" s="107" t="s">
        <v>432</v>
      </c>
      <c r="V1369" s="109" t="s">
        <v>2209</v>
      </c>
      <c r="W1369" s="107" t="s">
        <v>432</v>
      </c>
      <c r="X1369" s="107" t="s">
        <v>432</v>
      </c>
      <c r="Y1369" s="107" t="s">
        <v>432</v>
      </c>
      <c r="Z1369" s="107" t="s">
        <v>432</v>
      </c>
      <c r="AA1369" s="107" t="s">
        <v>432</v>
      </c>
      <c r="AB1369" s="107" t="s">
        <v>432</v>
      </c>
      <c r="AC1369" s="107" t="s">
        <v>432</v>
      </c>
      <c r="AD1369" s="107" t="s">
        <v>432</v>
      </c>
      <c r="AE1369" s="107" t="s">
        <v>432</v>
      </c>
      <c r="AF1369" s="107" t="s">
        <v>432</v>
      </c>
      <c r="AG1369" s="107" t="s">
        <v>432</v>
      </c>
      <c r="AH1369" s="107" t="s">
        <v>432</v>
      </c>
      <c r="AI1369" s="107" t="s">
        <v>432</v>
      </c>
      <c r="AJ1369" s="107" t="s">
        <v>432</v>
      </c>
      <c r="AK1369" s="137" t="s">
        <v>432</v>
      </c>
      <c r="AL1369" s="601" t="s">
        <v>432</v>
      </c>
      <c r="AM1369" s="137" t="s">
        <v>432</v>
      </c>
      <c r="AN1369" s="137" t="s">
        <v>432</v>
      </c>
      <c r="AO1369" s="137" t="s">
        <v>432</v>
      </c>
      <c r="AP1369" s="137" t="s">
        <v>432</v>
      </c>
      <c r="AQ1369" s="137" t="s">
        <v>432</v>
      </c>
      <c r="AR1369" s="137" t="s">
        <v>432</v>
      </c>
      <c r="AS1369" s="137" t="s">
        <v>432</v>
      </c>
      <c r="AT1369" s="137" t="s">
        <v>432</v>
      </c>
      <c r="AU1369" s="137" t="s">
        <v>432</v>
      </c>
      <c r="AV1369" s="137" t="s">
        <v>432</v>
      </c>
      <c r="AW1369" s="137" t="s">
        <v>432</v>
      </c>
      <c r="AX1369" s="137" t="s">
        <v>432</v>
      </c>
      <c r="AY1369" s="137" t="s">
        <v>432</v>
      </c>
      <c r="AZ1369" s="137" t="s">
        <v>432</v>
      </c>
      <c r="BA1369" s="137" t="s">
        <v>432</v>
      </c>
      <c r="BB1369" s="239" t="str">
        <f t="shared" si="370"/>
        <v>geralx</v>
      </c>
      <c r="BC1369" s="239" t="str">
        <f t="shared" si="371"/>
        <v>geralxsigla/verbete</v>
      </c>
      <c r="BD1369" s="239" t="str">
        <f t="shared" si="372"/>
        <v>geralsigla/verbete</v>
      </c>
    </row>
    <row r="1370" spans="1:56" s="1" customFormat="1" ht="78.75" customHeight="1" x14ac:dyDescent="0.25">
      <c r="A1370" s="262" t="s">
        <v>432</v>
      </c>
      <c r="B1370" s="252" t="s">
        <v>742</v>
      </c>
      <c r="C1370" s="167" t="s">
        <v>432</v>
      </c>
      <c r="D1370" s="325" t="s">
        <v>5268</v>
      </c>
      <c r="E1370" s="1445" t="s">
        <v>432</v>
      </c>
      <c r="F1370" s="1172" t="s">
        <v>5271</v>
      </c>
      <c r="G1370" s="167" t="s">
        <v>3507</v>
      </c>
      <c r="H1370" s="167" t="s">
        <v>2408</v>
      </c>
      <c r="I1370" s="167" t="s">
        <v>432</v>
      </c>
      <c r="J1370" s="107" t="s">
        <v>432</v>
      </c>
      <c r="K1370" s="107" t="s">
        <v>432</v>
      </c>
      <c r="L1370" s="107" t="s">
        <v>432</v>
      </c>
      <c r="M1370" s="107" t="s">
        <v>432</v>
      </c>
      <c r="N1370" s="107" t="s">
        <v>432</v>
      </c>
      <c r="O1370" s="107" t="s">
        <v>432</v>
      </c>
      <c r="P1370" s="107" t="s">
        <v>432</v>
      </c>
      <c r="Q1370" s="107" t="s">
        <v>432</v>
      </c>
      <c r="R1370" s="107" t="s">
        <v>432</v>
      </c>
      <c r="S1370" s="109" t="s">
        <v>2209</v>
      </c>
      <c r="T1370" s="107" t="s">
        <v>432</v>
      </c>
      <c r="U1370" s="107" t="s">
        <v>432</v>
      </c>
      <c r="V1370" s="109" t="s">
        <v>2209</v>
      </c>
      <c r="W1370" s="107" t="s">
        <v>432</v>
      </c>
      <c r="X1370" s="107" t="s">
        <v>432</v>
      </c>
      <c r="Y1370" s="107" t="s">
        <v>432</v>
      </c>
      <c r="Z1370" s="107" t="s">
        <v>432</v>
      </c>
      <c r="AA1370" s="107" t="s">
        <v>432</v>
      </c>
      <c r="AB1370" s="107" t="s">
        <v>432</v>
      </c>
      <c r="AC1370" s="107" t="s">
        <v>432</v>
      </c>
      <c r="AD1370" s="107" t="s">
        <v>432</v>
      </c>
      <c r="AE1370" s="107" t="s">
        <v>432</v>
      </c>
      <c r="AF1370" s="107" t="s">
        <v>432</v>
      </c>
      <c r="AG1370" s="107" t="s">
        <v>432</v>
      </c>
      <c r="AH1370" s="107" t="s">
        <v>432</v>
      </c>
      <c r="AI1370" s="107" t="s">
        <v>432</v>
      </c>
      <c r="AJ1370" s="107" t="s">
        <v>432</v>
      </c>
      <c r="AK1370" s="137" t="s">
        <v>432</v>
      </c>
      <c r="AL1370" s="601" t="s">
        <v>432</v>
      </c>
      <c r="AM1370" s="137" t="s">
        <v>432</v>
      </c>
      <c r="AN1370" s="137" t="s">
        <v>432</v>
      </c>
      <c r="AO1370" s="137" t="s">
        <v>432</v>
      </c>
      <c r="AP1370" s="137" t="s">
        <v>432</v>
      </c>
      <c r="AQ1370" s="137" t="s">
        <v>432</v>
      </c>
      <c r="AR1370" s="137" t="s">
        <v>432</v>
      </c>
      <c r="AS1370" s="137" t="s">
        <v>432</v>
      </c>
      <c r="AT1370" s="137" t="s">
        <v>432</v>
      </c>
      <c r="AU1370" s="137" t="s">
        <v>432</v>
      </c>
      <c r="AV1370" s="137" t="s">
        <v>432</v>
      </c>
      <c r="AW1370" s="137" t="s">
        <v>432</v>
      </c>
      <c r="AX1370" s="137" t="s">
        <v>432</v>
      </c>
      <c r="AY1370" s="137" t="s">
        <v>432</v>
      </c>
      <c r="AZ1370" s="137" t="s">
        <v>432</v>
      </c>
      <c r="BA1370" s="137" t="s">
        <v>432</v>
      </c>
      <c r="BB1370" s="239" t="str">
        <f t="shared" si="370"/>
        <v>geralx</v>
      </c>
      <c r="BC1370" s="239" t="str">
        <f t="shared" si="371"/>
        <v>geralxsigla/verbete</v>
      </c>
      <c r="BD1370" s="239" t="str">
        <f t="shared" si="372"/>
        <v>geralsigla/verbete</v>
      </c>
    </row>
    <row r="1371" spans="1:56" s="1" customFormat="1" ht="129" customHeight="1" x14ac:dyDescent="0.25">
      <c r="A1371" s="262" t="s">
        <v>432</v>
      </c>
      <c r="B1371" s="252" t="s">
        <v>742</v>
      </c>
      <c r="C1371" s="167" t="s">
        <v>432</v>
      </c>
      <c r="D1371" s="324" t="s">
        <v>3820</v>
      </c>
      <c r="E1371" s="1496" t="s">
        <v>432</v>
      </c>
      <c r="F1371" s="252" t="s">
        <v>3822</v>
      </c>
      <c r="G1371" s="167" t="s">
        <v>3507</v>
      </c>
      <c r="H1371" s="167" t="s">
        <v>2408</v>
      </c>
      <c r="I1371" s="167" t="s">
        <v>432</v>
      </c>
      <c r="J1371" s="107" t="s">
        <v>432</v>
      </c>
      <c r="K1371" s="107" t="s">
        <v>432</v>
      </c>
      <c r="L1371" s="107" t="s">
        <v>432</v>
      </c>
      <c r="M1371" s="107" t="s">
        <v>432</v>
      </c>
      <c r="N1371" s="107" t="s">
        <v>432</v>
      </c>
      <c r="O1371" s="107" t="s">
        <v>432</v>
      </c>
      <c r="P1371" s="107" t="s">
        <v>432</v>
      </c>
      <c r="Q1371" s="107" t="s">
        <v>432</v>
      </c>
      <c r="R1371" s="107" t="s">
        <v>432</v>
      </c>
      <c r="S1371" s="109" t="s">
        <v>2209</v>
      </c>
      <c r="T1371" s="107" t="s">
        <v>432</v>
      </c>
      <c r="U1371" s="107" t="s">
        <v>432</v>
      </c>
      <c r="V1371" s="109" t="s">
        <v>2209</v>
      </c>
      <c r="W1371" s="107" t="s">
        <v>432</v>
      </c>
      <c r="X1371" s="107" t="s">
        <v>432</v>
      </c>
      <c r="Y1371" s="107" t="s">
        <v>432</v>
      </c>
      <c r="Z1371" s="107" t="s">
        <v>432</v>
      </c>
      <c r="AA1371" s="107" t="s">
        <v>432</v>
      </c>
      <c r="AB1371" s="107" t="s">
        <v>432</v>
      </c>
      <c r="AC1371" s="107" t="s">
        <v>432</v>
      </c>
      <c r="AD1371" s="107" t="s">
        <v>432</v>
      </c>
      <c r="AE1371" s="107" t="s">
        <v>432</v>
      </c>
      <c r="AF1371" s="107" t="s">
        <v>432</v>
      </c>
      <c r="AG1371" s="107" t="s">
        <v>432</v>
      </c>
      <c r="AH1371" s="107" t="s">
        <v>432</v>
      </c>
      <c r="AI1371" s="107" t="s">
        <v>432</v>
      </c>
      <c r="AJ1371" s="107" t="s">
        <v>432</v>
      </c>
      <c r="AK1371" s="137" t="s">
        <v>432</v>
      </c>
      <c r="AL1371" s="601" t="s">
        <v>432</v>
      </c>
      <c r="AM1371" s="137" t="s">
        <v>432</v>
      </c>
      <c r="AN1371" s="137" t="s">
        <v>432</v>
      </c>
      <c r="AO1371" s="137" t="s">
        <v>432</v>
      </c>
      <c r="AP1371" s="137" t="s">
        <v>432</v>
      </c>
      <c r="AQ1371" s="137" t="s">
        <v>432</v>
      </c>
      <c r="AR1371" s="137" t="s">
        <v>432</v>
      </c>
      <c r="AS1371" s="137" t="s">
        <v>432</v>
      </c>
      <c r="AT1371" s="137" t="s">
        <v>432</v>
      </c>
      <c r="AU1371" s="137" t="s">
        <v>432</v>
      </c>
      <c r="AV1371" s="137" t="s">
        <v>432</v>
      </c>
      <c r="AW1371" s="137" t="s">
        <v>432</v>
      </c>
      <c r="AX1371" s="137" t="s">
        <v>432</v>
      </c>
      <c r="AY1371" s="137" t="s">
        <v>432</v>
      </c>
      <c r="AZ1371" s="137" t="s">
        <v>432</v>
      </c>
      <c r="BA1371" s="137" t="s">
        <v>432</v>
      </c>
      <c r="BB1371" s="239" t="str">
        <f t="shared" si="370"/>
        <v>geralx</v>
      </c>
      <c r="BC1371" s="239" t="str">
        <f t="shared" si="371"/>
        <v>geralxsigla/verbete</v>
      </c>
      <c r="BD1371" s="239" t="str">
        <f t="shared" si="372"/>
        <v>geralsigla/verbete</v>
      </c>
    </row>
    <row r="1372" spans="1:56" s="1" customFormat="1" ht="36.75" customHeight="1" x14ac:dyDescent="0.25">
      <c r="A1372" s="262" t="s">
        <v>432</v>
      </c>
      <c r="B1372" s="252" t="s">
        <v>742</v>
      </c>
      <c r="C1372" s="167" t="s">
        <v>432</v>
      </c>
      <c r="D1372" s="324" t="s">
        <v>5099</v>
      </c>
      <c r="E1372" s="1496" t="s">
        <v>432</v>
      </c>
      <c r="F1372" s="252" t="s">
        <v>6069</v>
      </c>
      <c r="G1372" s="167" t="s">
        <v>3507</v>
      </c>
      <c r="H1372" s="167" t="s">
        <v>2408</v>
      </c>
      <c r="I1372" s="167" t="s">
        <v>432</v>
      </c>
      <c r="J1372" s="107" t="s">
        <v>432</v>
      </c>
      <c r="K1372" s="107" t="s">
        <v>432</v>
      </c>
      <c r="L1372" s="107" t="s">
        <v>432</v>
      </c>
      <c r="M1372" s="107" t="s">
        <v>432</v>
      </c>
      <c r="N1372" s="107" t="s">
        <v>432</v>
      </c>
      <c r="O1372" s="107" t="s">
        <v>432</v>
      </c>
      <c r="P1372" s="107" t="s">
        <v>432</v>
      </c>
      <c r="Q1372" s="107" t="s">
        <v>432</v>
      </c>
      <c r="R1372" s="107" t="s">
        <v>432</v>
      </c>
      <c r="S1372" s="109" t="s">
        <v>2209</v>
      </c>
      <c r="T1372" s="107" t="s">
        <v>432</v>
      </c>
      <c r="U1372" s="107" t="s">
        <v>432</v>
      </c>
      <c r="V1372" s="109" t="s">
        <v>2209</v>
      </c>
      <c r="W1372" s="107" t="s">
        <v>432</v>
      </c>
      <c r="X1372" s="107" t="s">
        <v>432</v>
      </c>
      <c r="Y1372" s="107" t="s">
        <v>432</v>
      </c>
      <c r="Z1372" s="107" t="s">
        <v>432</v>
      </c>
      <c r="AA1372" s="107" t="s">
        <v>432</v>
      </c>
      <c r="AB1372" s="107" t="s">
        <v>432</v>
      </c>
      <c r="AC1372" s="107" t="s">
        <v>432</v>
      </c>
      <c r="AD1372" s="107" t="s">
        <v>432</v>
      </c>
      <c r="AE1372" s="107" t="s">
        <v>432</v>
      </c>
      <c r="AF1372" s="107" t="s">
        <v>432</v>
      </c>
      <c r="AG1372" s="107" t="s">
        <v>432</v>
      </c>
      <c r="AH1372" s="107" t="s">
        <v>432</v>
      </c>
      <c r="AI1372" s="107" t="s">
        <v>432</v>
      </c>
      <c r="AJ1372" s="107" t="s">
        <v>432</v>
      </c>
      <c r="AK1372" s="137" t="s">
        <v>432</v>
      </c>
      <c r="AL1372" s="601" t="s">
        <v>432</v>
      </c>
      <c r="AM1372" s="137" t="s">
        <v>432</v>
      </c>
      <c r="AN1372" s="137" t="s">
        <v>432</v>
      </c>
      <c r="AO1372" s="137" t="s">
        <v>432</v>
      </c>
      <c r="AP1372" s="137" t="s">
        <v>432</v>
      </c>
      <c r="AQ1372" s="137" t="s">
        <v>432</v>
      </c>
      <c r="AR1372" s="137" t="s">
        <v>432</v>
      </c>
      <c r="AS1372" s="137" t="s">
        <v>432</v>
      </c>
      <c r="AT1372" s="137" t="s">
        <v>432</v>
      </c>
      <c r="AU1372" s="137" t="s">
        <v>432</v>
      </c>
      <c r="AV1372" s="137" t="s">
        <v>432</v>
      </c>
      <c r="AW1372" s="137" t="s">
        <v>432</v>
      </c>
      <c r="AX1372" s="137" t="s">
        <v>432</v>
      </c>
      <c r="AY1372" s="137" t="s">
        <v>432</v>
      </c>
      <c r="AZ1372" s="137" t="s">
        <v>432</v>
      </c>
      <c r="BA1372" s="137" t="s">
        <v>432</v>
      </c>
      <c r="BB1372" s="239" t="str">
        <f t="shared" si="370"/>
        <v>geralx</v>
      </c>
      <c r="BC1372" s="239" t="str">
        <f t="shared" si="371"/>
        <v>geralxsigla/verbete</v>
      </c>
      <c r="BD1372" s="239" t="str">
        <f t="shared" si="372"/>
        <v>geralsigla/verbete</v>
      </c>
    </row>
    <row r="1373" spans="1:56" s="1" customFormat="1" ht="40.5" customHeight="1" x14ac:dyDescent="0.25">
      <c r="A1373" s="262" t="s">
        <v>432</v>
      </c>
      <c r="B1373" s="252" t="s">
        <v>742</v>
      </c>
      <c r="C1373" s="167" t="s">
        <v>432</v>
      </c>
      <c r="D1373" s="324" t="s">
        <v>5100</v>
      </c>
      <c r="E1373" s="1496" t="s">
        <v>432</v>
      </c>
      <c r="F1373" s="252" t="s">
        <v>6070</v>
      </c>
      <c r="G1373" s="167" t="s">
        <v>3507</v>
      </c>
      <c r="H1373" s="167" t="s">
        <v>2408</v>
      </c>
      <c r="I1373" s="167" t="s">
        <v>432</v>
      </c>
      <c r="J1373" s="107" t="s">
        <v>432</v>
      </c>
      <c r="K1373" s="107" t="s">
        <v>432</v>
      </c>
      <c r="L1373" s="107" t="s">
        <v>432</v>
      </c>
      <c r="M1373" s="107" t="s">
        <v>432</v>
      </c>
      <c r="N1373" s="107" t="s">
        <v>432</v>
      </c>
      <c r="O1373" s="107" t="s">
        <v>432</v>
      </c>
      <c r="P1373" s="107" t="s">
        <v>432</v>
      </c>
      <c r="Q1373" s="107" t="s">
        <v>432</v>
      </c>
      <c r="R1373" s="107" t="s">
        <v>432</v>
      </c>
      <c r="S1373" s="109" t="s">
        <v>2209</v>
      </c>
      <c r="T1373" s="107" t="s">
        <v>432</v>
      </c>
      <c r="U1373" s="107" t="s">
        <v>432</v>
      </c>
      <c r="V1373" s="109" t="s">
        <v>2209</v>
      </c>
      <c r="W1373" s="107" t="s">
        <v>432</v>
      </c>
      <c r="X1373" s="107" t="s">
        <v>432</v>
      </c>
      <c r="Y1373" s="107" t="s">
        <v>432</v>
      </c>
      <c r="Z1373" s="107" t="s">
        <v>432</v>
      </c>
      <c r="AA1373" s="107" t="s">
        <v>432</v>
      </c>
      <c r="AB1373" s="107" t="s">
        <v>432</v>
      </c>
      <c r="AC1373" s="107" t="s">
        <v>432</v>
      </c>
      <c r="AD1373" s="107" t="s">
        <v>432</v>
      </c>
      <c r="AE1373" s="107" t="s">
        <v>432</v>
      </c>
      <c r="AF1373" s="107" t="s">
        <v>432</v>
      </c>
      <c r="AG1373" s="107" t="s">
        <v>432</v>
      </c>
      <c r="AH1373" s="107" t="s">
        <v>432</v>
      </c>
      <c r="AI1373" s="107" t="s">
        <v>432</v>
      </c>
      <c r="AJ1373" s="107" t="s">
        <v>432</v>
      </c>
      <c r="AK1373" s="137" t="s">
        <v>432</v>
      </c>
      <c r="AL1373" s="601" t="s">
        <v>432</v>
      </c>
      <c r="AM1373" s="137" t="s">
        <v>432</v>
      </c>
      <c r="AN1373" s="137" t="s">
        <v>432</v>
      </c>
      <c r="AO1373" s="137" t="s">
        <v>432</v>
      </c>
      <c r="AP1373" s="137" t="s">
        <v>432</v>
      </c>
      <c r="AQ1373" s="137" t="s">
        <v>432</v>
      </c>
      <c r="AR1373" s="137" t="s">
        <v>432</v>
      </c>
      <c r="AS1373" s="137" t="s">
        <v>432</v>
      </c>
      <c r="AT1373" s="137" t="s">
        <v>432</v>
      </c>
      <c r="AU1373" s="137" t="s">
        <v>432</v>
      </c>
      <c r="AV1373" s="137" t="s">
        <v>432</v>
      </c>
      <c r="AW1373" s="137" t="s">
        <v>432</v>
      </c>
      <c r="AX1373" s="137" t="s">
        <v>432</v>
      </c>
      <c r="AY1373" s="137" t="s">
        <v>432</v>
      </c>
      <c r="AZ1373" s="137" t="s">
        <v>432</v>
      </c>
      <c r="BA1373" s="137" t="s">
        <v>432</v>
      </c>
      <c r="BB1373" s="239" t="str">
        <f t="shared" si="370"/>
        <v>geralx</v>
      </c>
      <c r="BC1373" s="239" t="str">
        <f t="shared" si="371"/>
        <v>geralxsigla/verbete</v>
      </c>
      <c r="BD1373" s="239" t="str">
        <f t="shared" si="372"/>
        <v>geralsigla/verbete</v>
      </c>
    </row>
    <row r="1374" spans="1:56" s="1" customFormat="1" ht="75.75" customHeight="1" x14ac:dyDescent="0.25">
      <c r="A1374" s="262" t="str">
        <f>'Q100b-totais'!B24</f>
        <v>3.1</v>
      </c>
      <c r="B1374" s="252" t="str">
        <f>'Q100b-totais'!C24</f>
        <v>Normas produzidas</v>
      </c>
      <c r="C1374" s="167" t="s">
        <v>432</v>
      </c>
      <c r="D1374" s="324" t="s">
        <v>5613</v>
      </c>
      <c r="E1374" s="1496" t="s">
        <v>5131</v>
      </c>
      <c r="F1374" s="252" t="s">
        <v>5616</v>
      </c>
      <c r="G1374" s="167" t="s">
        <v>3507</v>
      </c>
      <c r="H1374" s="167" t="s">
        <v>2408</v>
      </c>
      <c r="I1374" s="167" t="s">
        <v>432</v>
      </c>
      <c r="J1374" s="107" t="s">
        <v>432</v>
      </c>
      <c r="K1374" s="107" t="s">
        <v>432</v>
      </c>
      <c r="L1374" s="107" t="s">
        <v>432</v>
      </c>
      <c r="M1374" s="107" t="s">
        <v>432</v>
      </c>
      <c r="N1374" s="107" t="s">
        <v>432</v>
      </c>
      <c r="O1374" s="107" t="s">
        <v>432</v>
      </c>
      <c r="P1374" s="107" t="s">
        <v>432</v>
      </c>
      <c r="Q1374" s="107" t="s">
        <v>432</v>
      </c>
      <c r="R1374" s="107" t="s">
        <v>432</v>
      </c>
      <c r="S1374" s="109" t="s">
        <v>2209</v>
      </c>
      <c r="T1374" s="107" t="s">
        <v>432</v>
      </c>
      <c r="U1374" s="107" t="s">
        <v>432</v>
      </c>
      <c r="V1374" s="109" t="s">
        <v>2209</v>
      </c>
      <c r="W1374" s="107" t="s">
        <v>432</v>
      </c>
      <c r="X1374" s="107" t="s">
        <v>432</v>
      </c>
      <c r="Y1374" s="107" t="s">
        <v>432</v>
      </c>
      <c r="Z1374" s="107" t="s">
        <v>432</v>
      </c>
      <c r="AA1374" s="107" t="s">
        <v>432</v>
      </c>
      <c r="AB1374" s="107" t="s">
        <v>432</v>
      </c>
      <c r="AC1374" s="107" t="s">
        <v>432</v>
      </c>
      <c r="AD1374" s="107" t="s">
        <v>432</v>
      </c>
      <c r="AE1374" s="107" t="s">
        <v>432</v>
      </c>
      <c r="AF1374" s="107" t="s">
        <v>432</v>
      </c>
      <c r="AG1374" s="107" t="s">
        <v>432</v>
      </c>
      <c r="AH1374" s="107" t="s">
        <v>432</v>
      </c>
      <c r="AI1374" s="107" t="s">
        <v>432</v>
      </c>
      <c r="AJ1374" s="107" t="s">
        <v>432</v>
      </c>
      <c r="AK1374" s="137" t="s">
        <v>432</v>
      </c>
      <c r="AL1374" s="601" t="s">
        <v>432</v>
      </c>
      <c r="AM1374" s="137" t="s">
        <v>432</v>
      </c>
      <c r="AN1374" s="137" t="s">
        <v>432</v>
      </c>
      <c r="AO1374" s="137" t="s">
        <v>432</v>
      </c>
      <c r="AP1374" s="137" t="s">
        <v>432</v>
      </c>
      <c r="AQ1374" s="137" t="s">
        <v>432</v>
      </c>
      <c r="AR1374" s="137" t="s">
        <v>432</v>
      </c>
      <c r="AS1374" s="137" t="s">
        <v>432</v>
      </c>
      <c r="AT1374" s="137" t="s">
        <v>432</v>
      </c>
      <c r="AU1374" s="137" t="s">
        <v>432</v>
      </c>
      <c r="AV1374" s="137" t="s">
        <v>432</v>
      </c>
      <c r="AW1374" s="137" t="s">
        <v>432</v>
      </c>
      <c r="AX1374" s="137" t="s">
        <v>432</v>
      </c>
      <c r="AY1374" s="137" t="s">
        <v>432</v>
      </c>
      <c r="AZ1374" s="137" t="s">
        <v>432</v>
      </c>
      <c r="BA1374" s="137" t="s">
        <v>432</v>
      </c>
      <c r="BB1374" s="239" t="str">
        <f>B1374&amp;C1374</f>
        <v>Normas produzidasx</v>
      </c>
      <c r="BC1374" s="239" t="str">
        <f>B1374&amp;C1374&amp;H1374</f>
        <v>Normas produzidasxsigla/verbete</v>
      </c>
      <c r="BD1374" s="239" t="str">
        <f>B1374&amp;H1374</f>
        <v>Normas produzidassigla/verbete</v>
      </c>
    </row>
    <row r="1375" spans="1:56" s="1" customFormat="1" ht="78.75" customHeight="1" x14ac:dyDescent="0.25">
      <c r="A1375" s="262" t="str">
        <f>'Q100b-totais'!B24</f>
        <v>3.1</v>
      </c>
      <c r="B1375" s="252" t="str">
        <f>'Q100b-totais'!C24</f>
        <v>Normas produzidas</v>
      </c>
      <c r="C1375" s="167" t="s">
        <v>432</v>
      </c>
      <c r="D1375" s="324" t="s">
        <v>5614</v>
      </c>
      <c r="E1375" s="1496" t="s">
        <v>5131</v>
      </c>
      <c r="F1375" s="252" t="s">
        <v>5618</v>
      </c>
      <c r="G1375" s="167" t="s">
        <v>3507</v>
      </c>
      <c r="H1375" s="167" t="s">
        <v>2408</v>
      </c>
      <c r="I1375" s="167" t="s">
        <v>432</v>
      </c>
      <c r="J1375" s="107" t="s">
        <v>432</v>
      </c>
      <c r="K1375" s="107" t="s">
        <v>432</v>
      </c>
      <c r="L1375" s="107" t="s">
        <v>432</v>
      </c>
      <c r="M1375" s="107" t="s">
        <v>432</v>
      </c>
      <c r="N1375" s="107" t="s">
        <v>432</v>
      </c>
      <c r="O1375" s="107" t="s">
        <v>432</v>
      </c>
      <c r="P1375" s="107" t="s">
        <v>432</v>
      </c>
      <c r="Q1375" s="107" t="s">
        <v>432</v>
      </c>
      <c r="R1375" s="107" t="s">
        <v>432</v>
      </c>
      <c r="S1375" s="109" t="s">
        <v>2209</v>
      </c>
      <c r="T1375" s="107" t="s">
        <v>432</v>
      </c>
      <c r="U1375" s="107" t="s">
        <v>432</v>
      </c>
      <c r="V1375" s="109" t="s">
        <v>2209</v>
      </c>
      <c r="W1375" s="107" t="s">
        <v>432</v>
      </c>
      <c r="X1375" s="107" t="s">
        <v>432</v>
      </c>
      <c r="Y1375" s="107" t="s">
        <v>432</v>
      </c>
      <c r="Z1375" s="107" t="s">
        <v>432</v>
      </c>
      <c r="AA1375" s="107" t="s">
        <v>432</v>
      </c>
      <c r="AB1375" s="107" t="s">
        <v>432</v>
      </c>
      <c r="AC1375" s="107" t="s">
        <v>432</v>
      </c>
      <c r="AD1375" s="107" t="s">
        <v>432</v>
      </c>
      <c r="AE1375" s="107" t="s">
        <v>432</v>
      </c>
      <c r="AF1375" s="107" t="s">
        <v>432</v>
      </c>
      <c r="AG1375" s="107" t="s">
        <v>432</v>
      </c>
      <c r="AH1375" s="107" t="s">
        <v>432</v>
      </c>
      <c r="AI1375" s="107" t="s">
        <v>432</v>
      </c>
      <c r="AJ1375" s="107" t="s">
        <v>432</v>
      </c>
      <c r="AK1375" s="137" t="s">
        <v>432</v>
      </c>
      <c r="AL1375" s="601" t="s">
        <v>432</v>
      </c>
      <c r="AM1375" s="137" t="s">
        <v>432</v>
      </c>
      <c r="AN1375" s="137" t="s">
        <v>432</v>
      </c>
      <c r="AO1375" s="137" t="s">
        <v>432</v>
      </c>
      <c r="AP1375" s="137" t="s">
        <v>432</v>
      </c>
      <c r="AQ1375" s="137" t="s">
        <v>432</v>
      </c>
      <c r="AR1375" s="137" t="s">
        <v>432</v>
      </c>
      <c r="AS1375" s="137" t="s">
        <v>432</v>
      </c>
      <c r="AT1375" s="137" t="s">
        <v>432</v>
      </c>
      <c r="AU1375" s="137" t="s">
        <v>432</v>
      </c>
      <c r="AV1375" s="137" t="s">
        <v>432</v>
      </c>
      <c r="AW1375" s="137" t="s">
        <v>432</v>
      </c>
      <c r="AX1375" s="137" t="s">
        <v>432</v>
      </c>
      <c r="AY1375" s="137" t="s">
        <v>432</v>
      </c>
      <c r="AZ1375" s="137" t="s">
        <v>432</v>
      </c>
      <c r="BA1375" s="137" t="s">
        <v>432</v>
      </c>
      <c r="BB1375" s="239" t="str">
        <f>B1375&amp;C1375</f>
        <v>Normas produzidasx</v>
      </c>
      <c r="BC1375" s="239" t="str">
        <f>B1375&amp;C1375&amp;H1375</f>
        <v>Normas produzidasxsigla/verbete</v>
      </c>
      <c r="BD1375" s="239" t="str">
        <f>B1375&amp;H1375</f>
        <v>Normas produzidassigla/verbete</v>
      </c>
    </row>
    <row r="1376" spans="1:56" s="1" customFormat="1" ht="72" customHeight="1" x14ac:dyDescent="0.25">
      <c r="A1376" s="262" t="str">
        <f>'Q100b-totais'!B24</f>
        <v>3.1</v>
      </c>
      <c r="B1376" s="252" t="str">
        <f>'Q100b-totais'!C24</f>
        <v>Normas produzidas</v>
      </c>
      <c r="C1376" s="167" t="s">
        <v>432</v>
      </c>
      <c r="D1376" s="324" t="s">
        <v>5615</v>
      </c>
      <c r="E1376" s="1496" t="s">
        <v>5131</v>
      </c>
      <c r="F1376" s="252" t="s">
        <v>5617</v>
      </c>
      <c r="G1376" s="167" t="s">
        <v>3507</v>
      </c>
      <c r="H1376" s="167" t="s">
        <v>2408</v>
      </c>
      <c r="I1376" s="167" t="s">
        <v>432</v>
      </c>
      <c r="J1376" s="107" t="s">
        <v>432</v>
      </c>
      <c r="K1376" s="107" t="s">
        <v>432</v>
      </c>
      <c r="L1376" s="107" t="s">
        <v>432</v>
      </c>
      <c r="M1376" s="107" t="s">
        <v>432</v>
      </c>
      <c r="N1376" s="107" t="s">
        <v>432</v>
      </c>
      <c r="O1376" s="107" t="s">
        <v>432</v>
      </c>
      <c r="P1376" s="107" t="s">
        <v>432</v>
      </c>
      <c r="Q1376" s="107" t="s">
        <v>432</v>
      </c>
      <c r="R1376" s="107" t="s">
        <v>432</v>
      </c>
      <c r="S1376" s="109" t="s">
        <v>2209</v>
      </c>
      <c r="T1376" s="107" t="s">
        <v>432</v>
      </c>
      <c r="U1376" s="107" t="s">
        <v>432</v>
      </c>
      <c r="V1376" s="109" t="s">
        <v>2209</v>
      </c>
      <c r="W1376" s="107" t="s">
        <v>432</v>
      </c>
      <c r="X1376" s="107" t="s">
        <v>432</v>
      </c>
      <c r="Y1376" s="107" t="s">
        <v>432</v>
      </c>
      <c r="Z1376" s="107" t="s">
        <v>432</v>
      </c>
      <c r="AA1376" s="107" t="s">
        <v>432</v>
      </c>
      <c r="AB1376" s="107" t="s">
        <v>432</v>
      </c>
      <c r="AC1376" s="107" t="s">
        <v>432</v>
      </c>
      <c r="AD1376" s="107" t="s">
        <v>432</v>
      </c>
      <c r="AE1376" s="107" t="s">
        <v>432</v>
      </c>
      <c r="AF1376" s="107" t="s">
        <v>432</v>
      </c>
      <c r="AG1376" s="107" t="s">
        <v>432</v>
      </c>
      <c r="AH1376" s="107" t="s">
        <v>432</v>
      </c>
      <c r="AI1376" s="107" t="s">
        <v>432</v>
      </c>
      <c r="AJ1376" s="107" t="s">
        <v>432</v>
      </c>
      <c r="AK1376" s="137" t="s">
        <v>432</v>
      </c>
      <c r="AL1376" s="601" t="s">
        <v>432</v>
      </c>
      <c r="AM1376" s="137" t="s">
        <v>432</v>
      </c>
      <c r="AN1376" s="137" t="s">
        <v>432</v>
      </c>
      <c r="AO1376" s="137" t="s">
        <v>432</v>
      </c>
      <c r="AP1376" s="137" t="s">
        <v>432</v>
      </c>
      <c r="AQ1376" s="137" t="s">
        <v>432</v>
      </c>
      <c r="AR1376" s="137" t="s">
        <v>432</v>
      </c>
      <c r="AS1376" s="137" t="s">
        <v>432</v>
      </c>
      <c r="AT1376" s="137" t="s">
        <v>432</v>
      </c>
      <c r="AU1376" s="137" t="s">
        <v>432</v>
      </c>
      <c r="AV1376" s="137" t="s">
        <v>432</v>
      </c>
      <c r="AW1376" s="137" t="s">
        <v>432</v>
      </c>
      <c r="AX1376" s="137" t="s">
        <v>432</v>
      </c>
      <c r="AY1376" s="137" t="s">
        <v>432</v>
      </c>
      <c r="AZ1376" s="137" t="s">
        <v>432</v>
      </c>
      <c r="BA1376" s="137" t="s">
        <v>432</v>
      </c>
      <c r="BB1376" s="239" t="str">
        <f>B1376&amp;C1376</f>
        <v>Normas produzidasx</v>
      </c>
      <c r="BC1376" s="239" t="str">
        <f>B1376&amp;C1376&amp;H1376</f>
        <v>Normas produzidasxsigla/verbete</v>
      </c>
      <c r="BD1376" s="239" t="str">
        <f>B1376&amp;H1376</f>
        <v>Normas produzidassigla/verbete</v>
      </c>
    </row>
    <row r="1377" spans="1:56" s="1" customFormat="1" ht="285.75" customHeight="1" x14ac:dyDescent="0.25">
      <c r="A1377" s="262" t="s">
        <v>432</v>
      </c>
      <c r="B1377" s="252" t="s">
        <v>742</v>
      </c>
      <c r="C1377" s="167" t="s">
        <v>432</v>
      </c>
      <c r="D1377" s="324" t="s">
        <v>3721</v>
      </c>
      <c r="E1377" s="1496" t="s">
        <v>2272</v>
      </c>
      <c r="F1377" s="252" t="s">
        <v>6103</v>
      </c>
      <c r="G1377" s="167" t="s">
        <v>3507</v>
      </c>
      <c r="H1377" s="167" t="s">
        <v>2408</v>
      </c>
      <c r="I1377" s="167" t="s">
        <v>432</v>
      </c>
      <c r="J1377" s="107" t="s">
        <v>432</v>
      </c>
      <c r="K1377" s="107" t="s">
        <v>432</v>
      </c>
      <c r="L1377" s="107" t="s">
        <v>432</v>
      </c>
      <c r="M1377" s="107" t="s">
        <v>432</v>
      </c>
      <c r="N1377" s="107" t="s">
        <v>432</v>
      </c>
      <c r="O1377" s="107" t="s">
        <v>432</v>
      </c>
      <c r="P1377" s="107" t="s">
        <v>432</v>
      </c>
      <c r="Q1377" s="107" t="s">
        <v>432</v>
      </c>
      <c r="R1377" s="107" t="s">
        <v>432</v>
      </c>
      <c r="S1377" s="109" t="s">
        <v>2209</v>
      </c>
      <c r="T1377" s="107" t="s">
        <v>432</v>
      </c>
      <c r="U1377" s="107" t="s">
        <v>432</v>
      </c>
      <c r="V1377" s="109" t="s">
        <v>2209</v>
      </c>
      <c r="W1377" s="107" t="s">
        <v>432</v>
      </c>
      <c r="X1377" s="107" t="s">
        <v>432</v>
      </c>
      <c r="Y1377" s="107" t="s">
        <v>432</v>
      </c>
      <c r="Z1377" s="107" t="s">
        <v>432</v>
      </c>
      <c r="AA1377" s="107" t="s">
        <v>432</v>
      </c>
      <c r="AB1377" s="107" t="s">
        <v>432</v>
      </c>
      <c r="AC1377" s="107" t="s">
        <v>432</v>
      </c>
      <c r="AD1377" s="107" t="s">
        <v>432</v>
      </c>
      <c r="AE1377" s="107" t="s">
        <v>432</v>
      </c>
      <c r="AF1377" s="107" t="s">
        <v>432</v>
      </c>
      <c r="AG1377" s="107" t="s">
        <v>432</v>
      </c>
      <c r="AH1377" s="107" t="s">
        <v>432</v>
      </c>
      <c r="AI1377" s="107" t="s">
        <v>432</v>
      </c>
      <c r="AJ1377" s="107" t="s">
        <v>432</v>
      </c>
      <c r="AK1377" s="137" t="s">
        <v>432</v>
      </c>
      <c r="AL1377" s="601" t="s">
        <v>432</v>
      </c>
      <c r="AM1377" s="137" t="s">
        <v>432</v>
      </c>
      <c r="AN1377" s="137" t="s">
        <v>432</v>
      </c>
      <c r="AO1377" s="137" t="s">
        <v>432</v>
      </c>
      <c r="AP1377" s="137" t="s">
        <v>432</v>
      </c>
      <c r="AQ1377" s="137" t="s">
        <v>432</v>
      </c>
      <c r="AR1377" s="137" t="s">
        <v>432</v>
      </c>
      <c r="AS1377" s="137" t="s">
        <v>432</v>
      </c>
      <c r="AT1377" s="137" t="s">
        <v>432</v>
      </c>
      <c r="AU1377" s="137" t="s">
        <v>432</v>
      </c>
      <c r="AV1377" s="137" t="s">
        <v>432</v>
      </c>
      <c r="AW1377" s="137" t="s">
        <v>432</v>
      </c>
      <c r="AX1377" s="137" t="s">
        <v>432</v>
      </c>
      <c r="AY1377" s="137" t="s">
        <v>432</v>
      </c>
      <c r="AZ1377" s="137" t="s">
        <v>432</v>
      </c>
      <c r="BA1377" s="137" t="s">
        <v>432</v>
      </c>
      <c r="BB1377" s="239" t="str">
        <f t="shared" si="370"/>
        <v>geralx</v>
      </c>
      <c r="BC1377" s="239" t="str">
        <f t="shared" si="371"/>
        <v>geralxsigla/verbete</v>
      </c>
      <c r="BD1377" s="239" t="str">
        <f t="shared" si="372"/>
        <v>geralsigla/verbete</v>
      </c>
    </row>
    <row r="1378" spans="1:56" s="1" customFormat="1" ht="59.25" customHeight="1" x14ac:dyDescent="0.25">
      <c r="A1378" s="262" t="s">
        <v>432</v>
      </c>
      <c r="B1378" s="252" t="s">
        <v>742</v>
      </c>
      <c r="C1378" s="167" t="s">
        <v>432</v>
      </c>
      <c r="D1378" s="324" t="s">
        <v>3743</v>
      </c>
      <c r="E1378" s="1496" t="s">
        <v>2272</v>
      </c>
      <c r="F1378" s="252" t="s">
        <v>6071</v>
      </c>
      <c r="G1378" s="167" t="s">
        <v>3507</v>
      </c>
      <c r="H1378" s="167" t="s">
        <v>2408</v>
      </c>
      <c r="I1378" s="167" t="s">
        <v>432</v>
      </c>
      <c r="J1378" s="107" t="s">
        <v>432</v>
      </c>
      <c r="K1378" s="107" t="s">
        <v>432</v>
      </c>
      <c r="L1378" s="107" t="s">
        <v>432</v>
      </c>
      <c r="M1378" s="107" t="s">
        <v>432</v>
      </c>
      <c r="N1378" s="107" t="s">
        <v>432</v>
      </c>
      <c r="O1378" s="107" t="s">
        <v>432</v>
      </c>
      <c r="P1378" s="107" t="s">
        <v>432</v>
      </c>
      <c r="Q1378" s="107" t="s">
        <v>432</v>
      </c>
      <c r="R1378" s="107" t="s">
        <v>432</v>
      </c>
      <c r="S1378" s="109" t="s">
        <v>2209</v>
      </c>
      <c r="T1378" s="107" t="s">
        <v>432</v>
      </c>
      <c r="U1378" s="107" t="s">
        <v>432</v>
      </c>
      <c r="V1378" s="109" t="s">
        <v>2209</v>
      </c>
      <c r="W1378" s="107" t="s">
        <v>432</v>
      </c>
      <c r="X1378" s="107" t="s">
        <v>432</v>
      </c>
      <c r="Y1378" s="107" t="s">
        <v>432</v>
      </c>
      <c r="Z1378" s="107" t="s">
        <v>432</v>
      </c>
      <c r="AA1378" s="107" t="s">
        <v>432</v>
      </c>
      <c r="AB1378" s="107" t="s">
        <v>432</v>
      </c>
      <c r="AC1378" s="107" t="s">
        <v>432</v>
      </c>
      <c r="AD1378" s="107" t="s">
        <v>432</v>
      </c>
      <c r="AE1378" s="107" t="s">
        <v>432</v>
      </c>
      <c r="AF1378" s="107" t="s">
        <v>432</v>
      </c>
      <c r="AG1378" s="107" t="s">
        <v>432</v>
      </c>
      <c r="AH1378" s="107" t="s">
        <v>432</v>
      </c>
      <c r="AI1378" s="107" t="s">
        <v>432</v>
      </c>
      <c r="AJ1378" s="107" t="s">
        <v>432</v>
      </c>
      <c r="AK1378" s="137" t="s">
        <v>432</v>
      </c>
      <c r="AL1378" s="601" t="s">
        <v>432</v>
      </c>
      <c r="AM1378" s="137" t="s">
        <v>432</v>
      </c>
      <c r="AN1378" s="137" t="s">
        <v>432</v>
      </c>
      <c r="AO1378" s="137" t="s">
        <v>432</v>
      </c>
      <c r="AP1378" s="137" t="s">
        <v>432</v>
      </c>
      <c r="AQ1378" s="137" t="s">
        <v>432</v>
      </c>
      <c r="AR1378" s="137" t="s">
        <v>432</v>
      </c>
      <c r="AS1378" s="137" t="s">
        <v>432</v>
      </c>
      <c r="AT1378" s="137" t="s">
        <v>432</v>
      </c>
      <c r="AU1378" s="137" t="s">
        <v>432</v>
      </c>
      <c r="AV1378" s="137" t="s">
        <v>432</v>
      </c>
      <c r="AW1378" s="137" t="s">
        <v>432</v>
      </c>
      <c r="AX1378" s="137" t="s">
        <v>432</v>
      </c>
      <c r="AY1378" s="137" t="s">
        <v>432</v>
      </c>
      <c r="AZ1378" s="137" t="s">
        <v>432</v>
      </c>
      <c r="BA1378" s="137" t="s">
        <v>432</v>
      </c>
      <c r="BB1378" s="239" t="str">
        <f t="shared" ref="BB1378:BB1395" si="376">B1378&amp;C1378</f>
        <v>geralx</v>
      </c>
      <c r="BC1378" s="239" t="str">
        <f t="shared" ref="BC1378:BC1395" si="377">B1378&amp;C1378&amp;H1378</f>
        <v>geralxsigla/verbete</v>
      </c>
      <c r="BD1378" s="239" t="str">
        <f t="shared" ref="BD1378:BD1395" si="378">B1378&amp;H1378</f>
        <v>geralsigla/verbete</v>
      </c>
    </row>
    <row r="1379" spans="1:56" s="1" customFormat="1" ht="59.25" customHeight="1" x14ac:dyDescent="0.25">
      <c r="A1379" s="262" t="s">
        <v>432</v>
      </c>
      <c r="B1379" s="252" t="s">
        <v>742</v>
      </c>
      <c r="C1379" s="167" t="s">
        <v>432</v>
      </c>
      <c r="D1379" s="324" t="s">
        <v>3744</v>
      </c>
      <c r="E1379" s="1496" t="s">
        <v>2272</v>
      </c>
      <c r="F1379" s="252" t="s">
        <v>6072</v>
      </c>
      <c r="G1379" s="167" t="s">
        <v>3507</v>
      </c>
      <c r="H1379" s="167" t="s">
        <v>2408</v>
      </c>
      <c r="I1379" s="167" t="s">
        <v>432</v>
      </c>
      <c r="J1379" s="107" t="s">
        <v>432</v>
      </c>
      <c r="K1379" s="107" t="s">
        <v>432</v>
      </c>
      <c r="L1379" s="107" t="s">
        <v>432</v>
      </c>
      <c r="M1379" s="107" t="s">
        <v>432</v>
      </c>
      <c r="N1379" s="107" t="s">
        <v>432</v>
      </c>
      <c r="O1379" s="107" t="s">
        <v>432</v>
      </c>
      <c r="P1379" s="107" t="s">
        <v>432</v>
      </c>
      <c r="Q1379" s="107" t="s">
        <v>432</v>
      </c>
      <c r="R1379" s="107" t="s">
        <v>432</v>
      </c>
      <c r="S1379" s="109" t="s">
        <v>2209</v>
      </c>
      <c r="T1379" s="107" t="s">
        <v>432</v>
      </c>
      <c r="U1379" s="107" t="s">
        <v>432</v>
      </c>
      <c r="V1379" s="109" t="s">
        <v>2209</v>
      </c>
      <c r="W1379" s="107" t="s">
        <v>432</v>
      </c>
      <c r="X1379" s="107" t="s">
        <v>432</v>
      </c>
      <c r="Y1379" s="107" t="s">
        <v>432</v>
      </c>
      <c r="Z1379" s="107" t="s">
        <v>432</v>
      </c>
      <c r="AA1379" s="107" t="s">
        <v>432</v>
      </c>
      <c r="AB1379" s="107" t="s">
        <v>432</v>
      </c>
      <c r="AC1379" s="107" t="s">
        <v>432</v>
      </c>
      <c r="AD1379" s="107" t="s">
        <v>432</v>
      </c>
      <c r="AE1379" s="107" t="s">
        <v>432</v>
      </c>
      <c r="AF1379" s="107" t="s">
        <v>432</v>
      </c>
      <c r="AG1379" s="107" t="s">
        <v>432</v>
      </c>
      <c r="AH1379" s="107" t="s">
        <v>432</v>
      </c>
      <c r="AI1379" s="107" t="s">
        <v>432</v>
      </c>
      <c r="AJ1379" s="107" t="s">
        <v>432</v>
      </c>
      <c r="AK1379" s="137" t="s">
        <v>432</v>
      </c>
      <c r="AL1379" s="601" t="s">
        <v>432</v>
      </c>
      <c r="AM1379" s="137" t="s">
        <v>432</v>
      </c>
      <c r="AN1379" s="137" t="s">
        <v>432</v>
      </c>
      <c r="AO1379" s="137" t="s">
        <v>432</v>
      </c>
      <c r="AP1379" s="137" t="s">
        <v>432</v>
      </c>
      <c r="AQ1379" s="137" t="s">
        <v>432</v>
      </c>
      <c r="AR1379" s="137" t="s">
        <v>432</v>
      </c>
      <c r="AS1379" s="137" t="s">
        <v>432</v>
      </c>
      <c r="AT1379" s="137" t="s">
        <v>432</v>
      </c>
      <c r="AU1379" s="137" t="s">
        <v>432</v>
      </c>
      <c r="AV1379" s="137" t="s">
        <v>432</v>
      </c>
      <c r="AW1379" s="137" t="s">
        <v>432</v>
      </c>
      <c r="AX1379" s="137" t="s">
        <v>432</v>
      </c>
      <c r="AY1379" s="137" t="s">
        <v>432</v>
      </c>
      <c r="AZ1379" s="137" t="s">
        <v>432</v>
      </c>
      <c r="BA1379" s="137" t="s">
        <v>432</v>
      </c>
      <c r="BB1379" s="239" t="str">
        <f t="shared" si="376"/>
        <v>geralx</v>
      </c>
      <c r="BC1379" s="239" t="str">
        <f t="shared" si="377"/>
        <v>geralxsigla/verbete</v>
      </c>
      <c r="BD1379" s="239" t="str">
        <f t="shared" si="378"/>
        <v>geralsigla/verbete</v>
      </c>
    </row>
    <row r="1380" spans="1:56" s="1" customFormat="1" ht="51" x14ac:dyDescent="0.25">
      <c r="A1380" s="262" t="s">
        <v>432</v>
      </c>
      <c r="B1380" s="252" t="s">
        <v>742</v>
      </c>
      <c r="C1380" s="167" t="s">
        <v>432</v>
      </c>
      <c r="D1380" s="324" t="s">
        <v>3745</v>
      </c>
      <c r="E1380" s="1496" t="s">
        <v>2272</v>
      </c>
      <c r="F1380" s="252" t="s">
        <v>6073</v>
      </c>
      <c r="G1380" s="167" t="s">
        <v>3507</v>
      </c>
      <c r="H1380" s="167" t="s">
        <v>2408</v>
      </c>
      <c r="I1380" s="167" t="s">
        <v>432</v>
      </c>
      <c r="J1380" s="107" t="s">
        <v>432</v>
      </c>
      <c r="K1380" s="107" t="s">
        <v>432</v>
      </c>
      <c r="L1380" s="107" t="s">
        <v>432</v>
      </c>
      <c r="M1380" s="107" t="s">
        <v>432</v>
      </c>
      <c r="N1380" s="107" t="s">
        <v>432</v>
      </c>
      <c r="O1380" s="107" t="s">
        <v>432</v>
      </c>
      <c r="P1380" s="107" t="s">
        <v>432</v>
      </c>
      <c r="Q1380" s="107" t="s">
        <v>432</v>
      </c>
      <c r="R1380" s="107" t="s">
        <v>432</v>
      </c>
      <c r="S1380" s="109" t="s">
        <v>2209</v>
      </c>
      <c r="T1380" s="107" t="s">
        <v>432</v>
      </c>
      <c r="U1380" s="107" t="s">
        <v>432</v>
      </c>
      <c r="V1380" s="109" t="s">
        <v>2209</v>
      </c>
      <c r="W1380" s="107" t="s">
        <v>432</v>
      </c>
      <c r="X1380" s="107" t="s">
        <v>432</v>
      </c>
      <c r="Y1380" s="107" t="s">
        <v>432</v>
      </c>
      <c r="Z1380" s="107" t="s">
        <v>432</v>
      </c>
      <c r="AA1380" s="107" t="s">
        <v>432</v>
      </c>
      <c r="AB1380" s="107" t="s">
        <v>432</v>
      </c>
      <c r="AC1380" s="107" t="s">
        <v>432</v>
      </c>
      <c r="AD1380" s="107" t="s">
        <v>432</v>
      </c>
      <c r="AE1380" s="107" t="s">
        <v>432</v>
      </c>
      <c r="AF1380" s="107" t="s">
        <v>432</v>
      </c>
      <c r="AG1380" s="107" t="s">
        <v>432</v>
      </c>
      <c r="AH1380" s="107" t="s">
        <v>432</v>
      </c>
      <c r="AI1380" s="107" t="s">
        <v>432</v>
      </c>
      <c r="AJ1380" s="107" t="s">
        <v>432</v>
      </c>
      <c r="AK1380" s="137" t="s">
        <v>432</v>
      </c>
      <c r="AL1380" s="601" t="s">
        <v>432</v>
      </c>
      <c r="AM1380" s="137" t="s">
        <v>432</v>
      </c>
      <c r="AN1380" s="137" t="s">
        <v>432</v>
      </c>
      <c r="AO1380" s="137" t="s">
        <v>432</v>
      </c>
      <c r="AP1380" s="137" t="s">
        <v>432</v>
      </c>
      <c r="AQ1380" s="137" t="s">
        <v>432</v>
      </c>
      <c r="AR1380" s="137" t="s">
        <v>432</v>
      </c>
      <c r="AS1380" s="137" t="s">
        <v>432</v>
      </c>
      <c r="AT1380" s="137" t="s">
        <v>432</v>
      </c>
      <c r="AU1380" s="137" t="s">
        <v>432</v>
      </c>
      <c r="AV1380" s="137" t="s">
        <v>432</v>
      </c>
      <c r="AW1380" s="137" t="s">
        <v>432</v>
      </c>
      <c r="AX1380" s="137" t="s">
        <v>432</v>
      </c>
      <c r="AY1380" s="137" t="s">
        <v>432</v>
      </c>
      <c r="AZ1380" s="137" t="s">
        <v>432</v>
      </c>
      <c r="BA1380" s="137" t="s">
        <v>432</v>
      </c>
      <c r="BB1380" s="239" t="str">
        <f t="shared" si="376"/>
        <v>geralx</v>
      </c>
      <c r="BC1380" s="239" t="str">
        <f t="shared" si="377"/>
        <v>geralxsigla/verbete</v>
      </c>
      <c r="BD1380" s="239" t="str">
        <f t="shared" si="378"/>
        <v>geralsigla/verbete</v>
      </c>
    </row>
    <row r="1381" spans="1:56" s="1" customFormat="1" ht="51" x14ac:dyDescent="0.25">
      <c r="A1381" s="262" t="s">
        <v>432</v>
      </c>
      <c r="B1381" s="252" t="s">
        <v>742</v>
      </c>
      <c r="C1381" s="167" t="s">
        <v>432</v>
      </c>
      <c r="D1381" s="324" t="s">
        <v>3746</v>
      </c>
      <c r="E1381" s="1496" t="s">
        <v>2272</v>
      </c>
      <c r="F1381" s="252" t="s">
        <v>6074</v>
      </c>
      <c r="G1381" s="167" t="s">
        <v>3507</v>
      </c>
      <c r="H1381" s="167" t="s">
        <v>2408</v>
      </c>
      <c r="I1381" s="167" t="s">
        <v>432</v>
      </c>
      <c r="J1381" s="107" t="s">
        <v>432</v>
      </c>
      <c r="K1381" s="107" t="s">
        <v>432</v>
      </c>
      <c r="L1381" s="107" t="s">
        <v>432</v>
      </c>
      <c r="M1381" s="107" t="s">
        <v>432</v>
      </c>
      <c r="N1381" s="107" t="s">
        <v>432</v>
      </c>
      <c r="O1381" s="107" t="s">
        <v>432</v>
      </c>
      <c r="P1381" s="107" t="s">
        <v>432</v>
      </c>
      <c r="Q1381" s="107" t="s">
        <v>432</v>
      </c>
      <c r="R1381" s="107" t="s">
        <v>432</v>
      </c>
      <c r="S1381" s="109" t="s">
        <v>2209</v>
      </c>
      <c r="T1381" s="107" t="s">
        <v>432</v>
      </c>
      <c r="U1381" s="107" t="s">
        <v>432</v>
      </c>
      <c r="V1381" s="109" t="s">
        <v>2209</v>
      </c>
      <c r="W1381" s="107" t="s">
        <v>432</v>
      </c>
      <c r="X1381" s="107" t="s">
        <v>432</v>
      </c>
      <c r="Y1381" s="107" t="s">
        <v>432</v>
      </c>
      <c r="Z1381" s="107" t="s">
        <v>432</v>
      </c>
      <c r="AA1381" s="107" t="s">
        <v>432</v>
      </c>
      <c r="AB1381" s="107" t="s">
        <v>432</v>
      </c>
      <c r="AC1381" s="107" t="s">
        <v>432</v>
      </c>
      <c r="AD1381" s="107" t="s">
        <v>432</v>
      </c>
      <c r="AE1381" s="107" t="s">
        <v>432</v>
      </c>
      <c r="AF1381" s="107" t="s">
        <v>432</v>
      </c>
      <c r="AG1381" s="107" t="s">
        <v>432</v>
      </c>
      <c r="AH1381" s="107" t="s">
        <v>432</v>
      </c>
      <c r="AI1381" s="107" t="s">
        <v>432</v>
      </c>
      <c r="AJ1381" s="107" t="s">
        <v>432</v>
      </c>
      <c r="AK1381" s="137" t="s">
        <v>432</v>
      </c>
      <c r="AL1381" s="601" t="s">
        <v>432</v>
      </c>
      <c r="AM1381" s="137" t="s">
        <v>432</v>
      </c>
      <c r="AN1381" s="137" t="s">
        <v>432</v>
      </c>
      <c r="AO1381" s="137" t="s">
        <v>432</v>
      </c>
      <c r="AP1381" s="137" t="s">
        <v>432</v>
      </c>
      <c r="AQ1381" s="137" t="s">
        <v>432</v>
      </c>
      <c r="AR1381" s="137" t="s">
        <v>432</v>
      </c>
      <c r="AS1381" s="137" t="s">
        <v>432</v>
      </c>
      <c r="AT1381" s="137" t="s">
        <v>432</v>
      </c>
      <c r="AU1381" s="137" t="s">
        <v>432</v>
      </c>
      <c r="AV1381" s="137" t="s">
        <v>432</v>
      </c>
      <c r="AW1381" s="137" t="s">
        <v>432</v>
      </c>
      <c r="AX1381" s="137" t="s">
        <v>432</v>
      </c>
      <c r="AY1381" s="137" t="s">
        <v>432</v>
      </c>
      <c r="AZ1381" s="137" t="s">
        <v>432</v>
      </c>
      <c r="BA1381" s="137" t="s">
        <v>432</v>
      </c>
      <c r="BB1381" s="239" t="str">
        <f t="shared" si="376"/>
        <v>geralx</v>
      </c>
      <c r="BC1381" s="239" t="str">
        <f t="shared" si="377"/>
        <v>geralxsigla/verbete</v>
      </c>
      <c r="BD1381" s="239" t="str">
        <f t="shared" si="378"/>
        <v>geralsigla/verbete</v>
      </c>
    </row>
    <row r="1382" spans="1:56" s="1" customFormat="1" ht="51" x14ac:dyDescent="0.25">
      <c r="A1382" s="262" t="s">
        <v>432</v>
      </c>
      <c r="B1382" s="252" t="s">
        <v>742</v>
      </c>
      <c r="C1382" s="167" t="s">
        <v>432</v>
      </c>
      <c r="D1382" s="324" t="s">
        <v>3747</v>
      </c>
      <c r="E1382" s="1496" t="s">
        <v>2272</v>
      </c>
      <c r="F1382" s="252" t="s">
        <v>6079</v>
      </c>
      <c r="G1382" s="167" t="s">
        <v>3507</v>
      </c>
      <c r="H1382" s="167" t="s">
        <v>2408</v>
      </c>
      <c r="I1382" s="167" t="s">
        <v>432</v>
      </c>
      <c r="J1382" s="107" t="s">
        <v>432</v>
      </c>
      <c r="K1382" s="107" t="s">
        <v>432</v>
      </c>
      <c r="L1382" s="107" t="s">
        <v>432</v>
      </c>
      <c r="M1382" s="107" t="s">
        <v>432</v>
      </c>
      <c r="N1382" s="107" t="s">
        <v>432</v>
      </c>
      <c r="O1382" s="107" t="s">
        <v>432</v>
      </c>
      <c r="P1382" s="107" t="s">
        <v>432</v>
      </c>
      <c r="Q1382" s="107" t="s">
        <v>432</v>
      </c>
      <c r="R1382" s="107" t="s">
        <v>432</v>
      </c>
      <c r="S1382" s="109" t="s">
        <v>2209</v>
      </c>
      <c r="T1382" s="107" t="s">
        <v>432</v>
      </c>
      <c r="U1382" s="107" t="s">
        <v>432</v>
      </c>
      <c r="V1382" s="109" t="s">
        <v>2209</v>
      </c>
      <c r="W1382" s="107" t="s">
        <v>432</v>
      </c>
      <c r="X1382" s="107" t="s">
        <v>432</v>
      </c>
      <c r="Y1382" s="107" t="s">
        <v>432</v>
      </c>
      <c r="Z1382" s="107" t="s">
        <v>432</v>
      </c>
      <c r="AA1382" s="107" t="s">
        <v>432</v>
      </c>
      <c r="AB1382" s="107" t="s">
        <v>432</v>
      </c>
      <c r="AC1382" s="107" t="s">
        <v>432</v>
      </c>
      <c r="AD1382" s="107" t="s">
        <v>432</v>
      </c>
      <c r="AE1382" s="107" t="s">
        <v>432</v>
      </c>
      <c r="AF1382" s="107" t="s">
        <v>432</v>
      </c>
      <c r="AG1382" s="107" t="s">
        <v>432</v>
      </c>
      <c r="AH1382" s="107" t="s">
        <v>432</v>
      </c>
      <c r="AI1382" s="107" t="s">
        <v>432</v>
      </c>
      <c r="AJ1382" s="107" t="s">
        <v>432</v>
      </c>
      <c r="AK1382" s="137" t="s">
        <v>432</v>
      </c>
      <c r="AL1382" s="601" t="s">
        <v>432</v>
      </c>
      <c r="AM1382" s="137" t="s">
        <v>432</v>
      </c>
      <c r="AN1382" s="137" t="s">
        <v>432</v>
      </c>
      <c r="AO1382" s="137" t="s">
        <v>432</v>
      </c>
      <c r="AP1382" s="137" t="s">
        <v>432</v>
      </c>
      <c r="AQ1382" s="137" t="s">
        <v>432</v>
      </c>
      <c r="AR1382" s="137" t="s">
        <v>432</v>
      </c>
      <c r="AS1382" s="137" t="s">
        <v>432</v>
      </c>
      <c r="AT1382" s="137" t="s">
        <v>432</v>
      </c>
      <c r="AU1382" s="137" t="s">
        <v>432</v>
      </c>
      <c r="AV1382" s="137" t="s">
        <v>432</v>
      </c>
      <c r="AW1382" s="137" t="s">
        <v>432</v>
      </c>
      <c r="AX1382" s="137" t="s">
        <v>432</v>
      </c>
      <c r="AY1382" s="137" t="s">
        <v>432</v>
      </c>
      <c r="AZ1382" s="137" t="s">
        <v>432</v>
      </c>
      <c r="BA1382" s="137" t="s">
        <v>432</v>
      </c>
      <c r="BB1382" s="239" t="str">
        <f t="shared" si="376"/>
        <v>geralx</v>
      </c>
      <c r="BC1382" s="239" t="str">
        <f t="shared" si="377"/>
        <v>geralxsigla/verbete</v>
      </c>
      <c r="BD1382" s="239" t="str">
        <f t="shared" si="378"/>
        <v>geralsigla/verbete</v>
      </c>
    </row>
    <row r="1383" spans="1:56" s="1" customFormat="1" ht="59.25" customHeight="1" x14ac:dyDescent="0.25">
      <c r="A1383" s="262" t="s">
        <v>432</v>
      </c>
      <c r="B1383" s="252" t="s">
        <v>742</v>
      </c>
      <c r="C1383" s="167" t="s">
        <v>432</v>
      </c>
      <c r="D1383" s="324" t="s">
        <v>3748</v>
      </c>
      <c r="E1383" s="1496" t="s">
        <v>2272</v>
      </c>
      <c r="F1383" s="252" t="s">
        <v>6075</v>
      </c>
      <c r="G1383" s="167" t="s">
        <v>3507</v>
      </c>
      <c r="H1383" s="167" t="s">
        <v>2408</v>
      </c>
      <c r="I1383" s="167" t="s">
        <v>432</v>
      </c>
      <c r="J1383" s="107" t="s">
        <v>432</v>
      </c>
      <c r="K1383" s="107" t="s">
        <v>432</v>
      </c>
      <c r="L1383" s="107" t="s">
        <v>432</v>
      </c>
      <c r="M1383" s="107" t="s">
        <v>432</v>
      </c>
      <c r="N1383" s="107" t="s">
        <v>432</v>
      </c>
      <c r="O1383" s="107" t="s">
        <v>432</v>
      </c>
      <c r="P1383" s="107" t="s">
        <v>432</v>
      </c>
      <c r="Q1383" s="107" t="s">
        <v>432</v>
      </c>
      <c r="R1383" s="107" t="s">
        <v>432</v>
      </c>
      <c r="S1383" s="109" t="s">
        <v>2209</v>
      </c>
      <c r="T1383" s="107" t="s">
        <v>432</v>
      </c>
      <c r="U1383" s="107" t="s">
        <v>432</v>
      </c>
      <c r="V1383" s="109" t="s">
        <v>2209</v>
      </c>
      <c r="W1383" s="107" t="s">
        <v>432</v>
      </c>
      <c r="X1383" s="107" t="s">
        <v>432</v>
      </c>
      <c r="Y1383" s="107" t="s">
        <v>432</v>
      </c>
      <c r="Z1383" s="107" t="s">
        <v>432</v>
      </c>
      <c r="AA1383" s="107" t="s">
        <v>432</v>
      </c>
      <c r="AB1383" s="107" t="s">
        <v>432</v>
      </c>
      <c r="AC1383" s="107" t="s">
        <v>432</v>
      </c>
      <c r="AD1383" s="107" t="s">
        <v>432</v>
      </c>
      <c r="AE1383" s="107" t="s">
        <v>432</v>
      </c>
      <c r="AF1383" s="107" t="s">
        <v>432</v>
      </c>
      <c r="AG1383" s="107" t="s">
        <v>432</v>
      </c>
      <c r="AH1383" s="107" t="s">
        <v>432</v>
      </c>
      <c r="AI1383" s="107" t="s">
        <v>432</v>
      </c>
      <c r="AJ1383" s="107" t="s">
        <v>432</v>
      </c>
      <c r="AK1383" s="137" t="s">
        <v>432</v>
      </c>
      <c r="AL1383" s="601" t="s">
        <v>432</v>
      </c>
      <c r="AM1383" s="137" t="s">
        <v>432</v>
      </c>
      <c r="AN1383" s="137" t="s">
        <v>432</v>
      </c>
      <c r="AO1383" s="137" t="s">
        <v>432</v>
      </c>
      <c r="AP1383" s="137" t="s">
        <v>432</v>
      </c>
      <c r="AQ1383" s="137" t="s">
        <v>432</v>
      </c>
      <c r="AR1383" s="137" t="s">
        <v>432</v>
      </c>
      <c r="AS1383" s="137" t="s">
        <v>432</v>
      </c>
      <c r="AT1383" s="137" t="s">
        <v>432</v>
      </c>
      <c r="AU1383" s="137" t="s">
        <v>432</v>
      </c>
      <c r="AV1383" s="137" t="s">
        <v>432</v>
      </c>
      <c r="AW1383" s="137" t="s">
        <v>432</v>
      </c>
      <c r="AX1383" s="137" t="s">
        <v>432</v>
      </c>
      <c r="AY1383" s="137" t="s">
        <v>432</v>
      </c>
      <c r="AZ1383" s="137" t="s">
        <v>432</v>
      </c>
      <c r="BA1383" s="137" t="s">
        <v>432</v>
      </c>
      <c r="BB1383" s="239" t="str">
        <f t="shared" si="376"/>
        <v>geralx</v>
      </c>
      <c r="BC1383" s="239" t="str">
        <f t="shared" si="377"/>
        <v>geralxsigla/verbete</v>
      </c>
      <c r="BD1383" s="239" t="str">
        <f t="shared" si="378"/>
        <v>geralsigla/verbete</v>
      </c>
    </row>
    <row r="1384" spans="1:56" s="1" customFormat="1" ht="57.75" customHeight="1" x14ac:dyDescent="0.25">
      <c r="A1384" s="262" t="s">
        <v>432</v>
      </c>
      <c r="B1384" s="252" t="s">
        <v>742</v>
      </c>
      <c r="C1384" s="167" t="s">
        <v>432</v>
      </c>
      <c r="D1384" s="324" t="s">
        <v>3749</v>
      </c>
      <c r="E1384" s="1496" t="s">
        <v>2272</v>
      </c>
      <c r="F1384" s="252" t="s">
        <v>6076</v>
      </c>
      <c r="G1384" s="167" t="s">
        <v>3507</v>
      </c>
      <c r="H1384" s="167" t="s">
        <v>2408</v>
      </c>
      <c r="I1384" s="167" t="s">
        <v>432</v>
      </c>
      <c r="J1384" s="107" t="s">
        <v>432</v>
      </c>
      <c r="K1384" s="107" t="s">
        <v>432</v>
      </c>
      <c r="L1384" s="107" t="s">
        <v>432</v>
      </c>
      <c r="M1384" s="107" t="s">
        <v>432</v>
      </c>
      <c r="N1384" s="107" t="s">
        <v>432</v>
      </c>
      <c r="O1384" s="107" t="s">
        <v>432</v>
      </c>
      <c r="P1384" s="107" t="s">
        <v>432</v>
      </c>
      <c r="Q1384" s="107" t="s">
        <v>432</v>
      </c>
      <c r="R1384" s="107" t="s">
        <v>432</v>
      </c>
      <c r="S1384" s="109" t="s">
        <v>2209</v>
      </c>
      <c r="T1384" s="107" t="s">
        <v>432</v>
      </c>
      <c r="U1384" s="107" t="s">
        <v>432</v>
      </c>
      <c r="V1384" s="109" t="s">
        <v>2209</v>
      </c>
      <c r="W1384" s="107" t="s">
        <v>432</v>
      </c>
      <c r="X1384" s="107" t="s">
        <v>432</v>
      </c>
      <c r="Y1384" s="107" t="s">
        <v>432</v>
      </c>
      <c r="Z1384" s="107" t="s">
        <v>432</v>
      </c>
      <c r="AA1384" s="107" t="s">
        <v>432</v>
      </c>
      <c r="AB1384" s="107" t="s">
        <v>432</v>
      </c>
      <c r="AC1384" s="107" t="s">
        <v>432</v>
      </c>
      <c r="AD1384" s="107" t="s">
        <v>432</v>
      </c>
      <c r="AE1384" s="107" t="s">
        <v>432</v>
      </c>
      <c r="AF1384" s="107" t="s">
        <v>432</v>
      </c>
      <c r="AG1384" s="107" t="s">
        <v>432</v>
      </c>
      <c r="AH1384" s="107" t="s">
        <v>432</v>
      </c>
      <c r="AI1384" s="107" t="s">
        <v>432</v>
      </c>
      <c r="AJ1384" s="107" t="s">
        <v>432</v>
      </c>
      <c r="AK1384" s="137" t="s">
        <v>432</v>
      </c>
      <c r="AL1384" s="601" t="s">
        <v>432</v>
      </c>
      <c r="AM1384" s="137" t="s">
        <v>432</v>
      </c>
      <c r="AN1384" s="137" t="s">
        <v>432</v>
      </c>
      <c r="AO1384" s="137" t="s">
        <v>432</v>
      </c>
      <c r="AP1384" s="137" t="s">
        <v>432</v>
      </c>
      <c r="AQ1384" s="137" t="s">
        <v>432</v>
      </c>
      <c r="AR1384" s="137" t="s">
        <v>432</v>
      </c>
      <c r="AS1384" s="137" t="s">
        <v>432</v>
      </c>
      <c r="AT1384" s="137" t="s">
        <v>432</v>
      </c>
      <c r="AU1384" s="137" t="s">
        <v>432</v>
      </c>
      <c r="AV1384" s="137" t="s">
        <v>432</v>
      </c>
      <c r="AW1384" s="137" t="s">
        <v>432</v>
      </c>
      <c r="AX1384" s="137" t="s">
        <v>432</v>
      </c>
      <c r="AY1384" s="137" t="s">
        <v>432</v>
      </c>
      <c r="AZ1384" s="137" t="s">
        <v>432</v>
      </c>
      <c r="BA1384" s="137" t="s">
        <v>432</v>
      </c>
      <c r="BB1384" s="239" t="str">
        <f t="shared" si="376"/>
        <v>geralx</v>
      </c>
      <c r="BC1384" s="239" t="str">
        <f t="shared" si="377"/>
        <v>geralxsigla/verbete</v>
      </c>
      <c r="BD1384" s="239" t="str">
        <f t="shared" si="378"/>
        <v>geralsigla/verbete</v>
      </c>
    </row>
    <row r="1385" spans="1:56" s="1" customFormat="1" ht="72.75" customHeight="1" x14ac:dyDescent="0.25">
      <c r="A1385" s="262" t="s">
        <v>432</v>
      </c>
      <c r="B1385" s="252" t="s">
        <v>742</v>
      </c>
      <c r="C1385" s="167" t="s">
        <v>432</v>
      </c>
      <c r="D1385" s="324" t="s">
        <v>3750</v>
      </c>
      <c r="E1385" s="1496" t="s">
        <v>2272</v>
      </c>
      <c r="F1385" s="252" t="s">
        <v>6078</v>
      </c>
      <c r="G1385" s="167" t="s">
        <v>3507</v>
      </c>
      <c r="H1385" s="167" t="s">
        <v>2408</v>
      </c>
      <c r="I1385" s="167" t="s">
        <v>432</v>
      </c>
      <c r="J1385" s="107" t="s">
        <v>432</v>
      </c>
      <c r="K1385" s="107" t="s">
        <v>432</v>
      </c>
      <c r="L1385" s="107" t="s">
        <v>432</v>
      </c>
      <c r="M1385" s="107" t="s">
        <v>432</v>
      </c>
      <c r="N1385" s="107" t="s">
        <v>432</v>
      </c>
      <c r="O1385" s="107" t="s">
        <v>432</v>
      </c>
      <c r="P1385" s="107" t="s">
        <v>432</v>
      </c>
      <c r="Q1385" s="107" t="s">
        <v>432</v>
      </c>
      <c r="R1385" s="107" t="s">
        <v>432</v>
      </c>
      <c r="S1385" s="109" t="s">
        <v>2209</v>
      </c>
      <c r="T1385" s="107" t="s">
        <v>432</v>
      </c>
      <c r="U1385" s="107" t="s">
        <v>432</v>
      </c>
      <c r="V1385" s="109" t="s">
        <v>2209</v>
      </c>
      <c r="W1385" s="107" t="s">
        <v>432</v>
      </c>
      <c r="X1385" s="107" t="s">
        <v>432</v>
      </c>
      <c r="Y1385" s="107" t="s">
        <v>432</v>
      </c>
      <c r="Z1385" s="107" t="s">
        <v>432</v>
      </c>
      <c r="AA1385" s="107" t="s">
        <v>432</v>
      </c>
      <c r="AB1385" s="107" t="s">
        <v>432</v>
      </c>
      <c r="AC1385" s="107" t="s">
        <v>432</v>
      </c>
      <c r="AD1385" s="107" t="s">
        <v>432</v>
      </c>
      <c r="AE1385" s="107" t="s">
        <v>432</v>
      </c>
      <c r="AF1385" s="107" t="s">
        <v>432</v>
      </c>
      <c r="AG1385" s="107" t="s">
        <v>432</v>
      </c>
      <c r="AH1385" s="107" t="s">
        <v>432</v>
      </c>
      <c r="AI1385" s="107" t="s">
        <v>432</v>
      </c>
      <c r="AJ1385" s="107" t="s">
        <v>432</v>
      </c>
      <c r="AK1385" s="137" t="s">
        <v>432</v>
      </c>
      <c r="AL1385" s="601" t="s">
        <v>432</v>
      </c>
      <c r="AM1385" s="137" t="s">
        <v>432</v>
      </c>
      <c r="AN1385" s="137" t="s">
        <v>432</v>
      </c>
      <c r="AO1385" s="137" t="s">
        <v>432</v>
      </c>
      <c r="AP1385" s="137" t="s">
        <v>432</v>
      </c>
      <c r="AQ1385" s="137" t="s">
        <v>432</v>
      </c>
      <c r="AR1385" s="137" t="s">
        <v>432</v>
      </c>
      <c r="AS1385" s="137" t="s">
        <v>432</v>
      </c>
      <c r="AT1385" s="137" t="s">
        <v>432</v>
      </c>
      <c r="AU1385" s="137" t="s">
        <v>432</v>
      </c>
      <c r="AV1385" s="137" t="s">
        <v>432</v>
      </c>
      <c r="AW1385" s="137" t="s">
        <v>432</v>
      </c>
      <c r="AX1385" s="137" t="s">
        <v>432</v>
      </c>
      <c r="AY1385" s="137" t="s">
        <v>432</v>
      </c>
      <c r="AZ1385" s="137" t="s">
        <v>432</v>
      </c>
      <c r="BA1385" s="137" t="s">
        <v>432</v>
      </c>
      <c r="BB1385" s="239" t="str">
        <f t="shared" si="376"/>
        <v>geralx</v>
      </c>
      <c r="BC1385" s="239" t="str">
        <f t="shared" si="377"/>
        <v>geralxsigla/verbete</v>
      </c>
      <c r="BD1385" s="239" t="str">
        <f t="shared" si="378"/>
        <v>geralsigla/verbete</v>
      </c>
    </row>
    <row r="1386" spans="1:56" s="1" customFormat="1" ht="53.25" customHeight="1" x14ac:dyDescent="0.25">
      <c r="A1386" s="262" t="s">
        <v>432</v>
      </c>
      <c r="B1386" s="252" t="s">
        <v>742</v>
      </c>
      <c r="C1386" s="167" t="s">
        <v>432</v>
      </c>
      <c r="D1386" s="324" t="s">
        <v>3751</v>
      </c>
      <c r="E1386" s="1496" t="s">
        <v>2272</v>
      </c>
      <c r="F1386" s="252" t="s">
        <v>6077</v>
      </c>
      <c r="G1386" s="167" t="s">
        <v>3507</v>
      </c>
      <c r="H1386" s="167" t="s">
        <v>2408</v>
      </c>
      <c r="I1386" s="167" t="s">
        <v>432</v>
      </c>
      <c r="J1386" s="107" t="s">
        <v>432</v>
      </c>
      <c r="K1386" s="107" t="s">
        <v>432</v>
      </c>
      <c r="L1386" s="107" t="s">
        <v>432</v>
      </c>
      <c r="M1386" s="107" t="s">
        <v>432</v>
      </c>
      <c r="N1386" s="107" t="s">
        <v>432</v>
      </c>
      <c r="O1386" s="107" t="s">
        <v>432</v>
      </c>
      <c r="P1386" s="107" t="s">
        <v>432</v>
      </c>
      <c r="Q1386" s="107" t="s">
        <v>432</v>
      </c>
      <c r="R1386" s="107" t="s">
        <v>432</v>
      </c>
      <c r="S1386" s="109" t="s">
        <v>2209</v>
      </c>
      <c r="T1386" s="107" t="s">
        <v>432</v>
      </c>
      <c r="U1386" s="107" t="s">
        <v>432</v>
      </c>
      <c r="V1386" s="109" t="s">
        <v>2209</v>
      </c>
      <c r="W1386" s="107" t="s">
        <v>432</v>
      </c>
      <c r="X1386" s="107" t="s">
        <v>432</v>
      </c>
      <c r="Y1386" s="107" t="s">
        <v>432</v>
      </c>
      <c r="Z1386" s="107" t="s">
        <v>432</v>
      </c>
      <c r="AA1386" s="107" t="s">
        <v>432</v>
      </c>
      <c r="AB1386" s="107" t="s">
        <v>432</v>
      </c>
      <c r="AC1386" s="107" t="s">
        <v>432</v>
      </c>
      <c r="AD1386" s="107" t="s">
        <v>432</v>
      </c>
      <c r="AE1386" s="107" t="s">
        <v>432</v>
      </c>
      <c r="AF1386" s="107" t="s">
        <v>432</v>
      </c>
      <c r="AG1386" s="107" t="s">
        <v>432</v>
      </c>
      <c r="AH1386" s="107" t="s">
        <v>432</v>
      </c>
      <c r="AI1386" s="107" t="s">
        <v>432</v>
      </c>
      <c r="AJ1386" s="107" t="s">
        <v>432</v>
      </c>
      <c r="AK1386" s="137" t="s">
        <v>432</v>
      </c>
      <c r="AL1386" s="601" t="s">
        <v>432</v>
      </c>
      <c r="AM1386" s="137" t="s">
        <v>432</v>
      </c>
      <c r="AN1386" s="137" t="s">
        <v>432</v>
      </c>
      <c r="AO1386" s="137" t="s">
        <v>432</v>
      </c>
      <c r="AP1386" s="137" t="s">
        <v>432</v>
      </c>
      <c r="AQ1386" s="137" t="s">
        <v>432</v>
      </c>
      <c r="AR1386" s="137" t="s">
        <v>432</v>
      </c>
      <c r="AS1386" s="137" t="s">
        <v>432</v>
      </c>
      <c r="AT1386" s="137" t="s">
        <v>432</v>
      </c>
      <c r="AU1386" s="137" t="s">
        <v>432</v>
      </c>
      <c r="AV1386" s="137" t="s">
        <v>432</v>
      </c>
      <c r="AW1386" s="137" t="s">
        <v>432</v>
      </c>
      <c r="AX1386" s="137" t="s">
        <v>432</v>
      </c>
      <c r="AY1386" s="137" t="s">
        <v>432</v>
      </c>
      <c r="AZ1386" s="137" t="s">
        <v>432</v>
      </c>
      <c r="BA1386" s="137" t="s">
        <v>432</v>
      </c>
      <c r="BB1386" s="239" t="str">
        <f t="shared" si="376"/>
        <v>geralx</v>
      </c>
      <c r="BC1386" s="239" t="str">
        <f t="shared" si="377"/>
        <v>geralxsigla/verbete</v>
      </c>
      <c r="BD1386" s="239" t="str">
        <f t="shared" si="378"/>
        <v>geralsigla/verbete</v>
      </c>
    </row>
    <row r="1387" spans="1:56" s="1" customFormat="1" ht="53.25" customHeight="1" x14ac:dyDescent="0.25">
      <c r="A1387" s="262" t="s">
        <v>432</v>
      </c>
      <c r="B1387" s="252" t="s">
        <v>742</v>
      </c>
      <c r="C1387" s="167" t="s">
        <v>432</v>
      </c>
      <c r="D1387" s="324" t="s">
        <v>3752</v>
      </c>
      <c r="E1387" s="1496" t="s">
        <v>2272</v>
      </c>
      <c r="F1387" s="252" t="s">
        <v>6080</v>
      </c>
      <c r="G1387" s="167" t="s">
        <v>3507</v>
      </c>
      <c r="H1387" s="167" t="s">
        <v>2408</v>
      </c>
      <c r="I1387" s="167" t="s">
        <v>432</v>
      </c>
      <c r="J1387" s="107" t="s">
        <v>432</v>
      </c>
      <c r="K1387" s="107" t="s">
        <v>432</v>
      </c>
      <c r="L1387" s="107" t="s">
        <v>432</v>
      </c>
      <c r="M1387" s="107" t="s">
        <v>432</v>
      </c>
      <c r="N1387" s="107" t="s">
        <v>432</v>
      </c>
      <c r="O1387" s="107" t="s">
        <v>432</v>
      </c>
      <c r="P1387" s="107" t="s">
        <v>432</v>
      </c>
      <c r="Q1387" s="107" t="s">
        <v>432</v>
      </c>
      <c r="R1387" s="107" t="s">
        <v>432</v>
      </c>
      <c r="S1387" s="109" t="s">
        <v>2209</v>
      </c>
      <c r="T1387" s="107" t="s">
        <v>432</v>
      </c>
      <c r="U1387" s="107" t="s">
        <v>432</v>
      </c>
      <c r="V1387" s="109" t="s">
        <v>2209</v>
      </c>
      <c r="W1387" s="107" t="s">
        <v>432</v>
      </c>
      <c r="X1387" s="107" t="s">
        <v>432</v>
      </c>
      <c r="Y1387" s="107" t="s">
        <v>432</v>
      </c>
      <c r="Z1387" s="107" t="s">
        <v>432</v>
      </c>
      <c r="AA1387" s="107" t="s">
        <v>432</v>
      </c>
      <c r="AB1387" s="107" t="s">
        <v>432</v>
      </c>
      <c r="AC1387" s="107" t="s">
        <v>432</v>
      </c>
      <c r="AD1387" s="107" t="s">
        <v>432</v>
      </c>
      <c r="AE1387" s="107" t="s">
        <v>432</v>
      </c>
      <c r="AF1387" s="107" t="s">
        <v>432</v>
      </c>
      <c r="AG1387" s="107" t="s">
        <v>432</v>
      </c>
      <c r="AH1387" s="107" t="s">
        <v>432</v>
      </c>
      <c r="AI1387" s="107" t="s">
        <v>432</v>
      </c>
      <c r="AJ1387" s="107" t="s">
        <v>432</v>
      </c>
      <c r="AK1387" s="137" t="s">
        <v>432</v>
      </c>
      <c r="AL1387" s="601" t="s">
        <v>432</v>
      </c>
      <c r="AM1387" s="137" t="s">
        <v>432</v>
      </c>
      <c r="AN1387" s="137" t="s">
        <v>432</v>
      </c>
      <c r="AO1387" s="137" t="s">
        <v>432</v>
      </c>
      <c r="AP1387" s="137" t="s">
        <v>432</v>
      </c>
      <c r="AQ1387" s="137" t="s">
        <v>432</v>
      </c>
      <c r="AR1387" s="137" t="s">
        <v>432</v>
      </c>
      <c r="AS1387" s="137" t="s">
        <v>432</v>
      </c>
      <c r="AT1387" s="137" t="s">
        <v>432</v>
      </c>
      <c r="AU1387" s="137" t="s">
        <v>432</v>
      </c>
      <c r="AV1387" s="137" t="s">
        <v>432</v>
      </c>
      <c r="AW1387" s="137" t="s">
        <v>432</v>
      </c>
      <c r="AX1387" s="137" t="s">
        <v>432</v>
      </c>
      <c r="AY1387" s="137" t="s">
        <v>432</v>
      </c>
      <c r="AZ1387" s="137" t="s">
        <v>432</v>
      </c>
      <c r="BA1387" s="137" t="s">
        <v>432</v>
      </c>
      <c r="BB1387" s="239" t="str">
        <f t="shared" si="376"/>
        <v>geralx</v>
      </c>
      <c r="BC1387" s="239" t="str">
        <f t="shared" si="377"/>
        <v>geralxsigla/verbete</v>
      </c>
      <c r="BD1387" s="239" t="str">
        <f t="shared" si="378"/>
        <v>geralsigla/verbete</v>
      </c>
    </row>
    <row r="1388" spans="1:56" s="1" customFormat="1" ht="53.25" customHeight="1" x14ac:dyDescent="0.25">
      <c r="A1388" s="262" t="s">
        <v>432</v>
      </c>
      <c r="B1388" s="252" t="s">
        <v>742</v>
      </c>
      <c r="C1388" s="167" t="s">
        <v>432</v>
      </c>
      <c r="D1388" s="324" t="s">
        <v>3753</v>
      </c>
      <c r="E1388" s="1496" t="s">
        <v>2272</v>
      </c>
      <c r="F1388" s="252" t="s">
        <v>6081</v>
      </c>
      <c r="G1388" s="167" t="s">
        <v>3507</v>
      </c>
      <c r="H1388" s="167" t="s">
        <v>2408</v>
      </c>
      <c r="I1388" s="167" t="s">
        <v>432</v>
      </c>
      <c r="J1388" s="107" t="s">
        <v>432</v>
      </c>
      <c r="K1388" s="107" t="s">
        <v>432</v>
      </c>
      <c r="L1388" s="107" t="s">
        <v>432</v>
      </c>
      <c r="M1388" s="107" t="s">
        <v>432</v>
      </c>
      <c r="N1388" s="107" t="s">
        <v>432</v>
      </c>
      <c r="O1388" s="107" t="s">
        <v>432</v>
      </c>
      <c r="P1388" s="107" t="s">
        <v>432</v>
      </c>
      <c r="Q1388" s="107" t="s">
        <v>432</v>
      </c>
      <c r="R1388" s="107" t="s">
        <v>432</v>
      </c>
      <c r="S1388" s="109" t="s">
        <v>2209</v>
      </c>
      <c r="T1388" s="107" t="s">
        <v>432</v>
      </c>
      <c r="U1388" s="107" t="s">
        <v>432</v>
      </c>
      <c r="V1388" s="109" t="s">
        <v>2209</v>
      </c>
      <c r="W1388" s="107" t="s">
        <v>432</v>
      </c>
      <c r="X1388" s="107" t="s">
        <v>432</v>
      </c>
      <c r="Y1388" s="107" t="s">
        <v>432</v>
      </c>
      <c r="Z1388" s="107" t="s">
        <v>432</v>
      </c>
      <c r="AA1388" s="107" t="s">
        <v>432</v>
      </c>
      <c r="AB1388" s="107" t="s">
        <v>432</v>
      </c>
      <c r="AC1388" s="107" t="s">
        <v>432</v>
      </c>
      <c r="AD1388" s="107" t="s">
        <v>432</v>
      </c>
      <c r="AE1388" s="107" t="s">
        <v>432</v>
      </c>
      <c r="AF1388" s="107" t="s">
        <v>432</v>
      </c>
      <c r="AG1388" s="107" t="s">
        <v>432</v>
      </c>
      <c r="AH1388" s="107" t="s">
        <v>432</v>
      </c>
      <c r="AI1388" s="107" t="s">
        <v>432</v>
      </c>
      <c r="AJ1388" s="107" t="s">
        <v>432</v>
      </c>
      <c r="AK1388" s="137" t="s">
        <v>432</v>
      </c>
      <c r="AL1388" s="601" t="s">
        <v>432</v>
      </c>
      <c r="AM1388" s="137" t="s">
        <v>432</v>
      </c>
      <c r="AN1388" s="137" t="s">
        <v>432</v>
      </c>
      <c r="AO1388" s="137" t="s">
        <v>432</v>
      </c>
      <c r="AP1388" s="137" t="s">
        <v>432</v>
      </c>
      <c r="AQ1388" s="137" t="s">
        <v>432</v>
      </c>
      <c r="AR1388" s="137" t="s">
        <v>432</v>
      </c>
      <c r="AS1388" s="137" t="s">
        <v>432</v>
      </c>
      <c r="AT1388" s="137" t="s">
        <v>432</v>
      </c>
      <c r="AU1388" s="137" t="s">
        <v>432</v>
      </c>
      <c r="AV1388" s="137" t="s">
        <v>432</v>
      </c>
      <c r="AW1388" s="137" t="s">
        <v>432</v>
      </c>
      <c r="AX1388" s="137" t="s">
        <v>432</v>
      </c>
      <c r="AY1388" s="137" t="s">
        <v>432</v>
      </c>
      <c r="AZ1388" s="137" t="s">
        <v>432</v>
      </c>
      <c r="BA1388" s="137" t="s">
        <v>432</v>
      </c>
      <c r="BB1388" s="239" t="str">
        <f t="shared" si="376"/>
        <v>geralx</v>
      </c>
      <c r="BC1388" s="239" t="str">
        <f t="shared" si="377"/>
        <v>geralxsigla/verbete</v>
      </c>
      <c r="BD1388" s="239" t="str">
        <f t="shared" si="378"/>
        <v>geralsigla/verbete</v>
      </c>
    </row>
    <row r="1389" spans="1:56" s="1" customFormat="1" ht="53.25" customHeight="1" x14ac:dyDescent="0.25">
      <c r="A1389" s="262" t="s">
        <v>432</v>
      </c>
      <c r="B1389" s="252" t="s">
        <v>742</v>
      </c>
      <c r="C1389" s="167" t="s">
        <v>432</v>
      </c>
      <c r="D1389" s="324" t="s">
        <v>3754</v>
      </c>
      <c r="E1389" s="1496" t="s">
        <v>2272</v>
      </c>
      <c r="F1389" s="252" t="s">
        <v>6082</v>
      </c>
      <c r="G1389" s="167" t="s">
        <v>3507</v>
      </c>
      <c r="H1389" s="167" t="s">
        <v>2408</v>
      </c>
      <c r="I1389" s="167" t="s">
        <v>432</v>
      </c>
      <c r="J1389" s="107" t="s">
        <v>432</v>
      </c>
      <c r="K1389" s="107" t="s">
        <v>432</v>
      </c>
      <c r="L1389" s="107" t="s">
        <v>432</v>
      </c>
      <c r="M1389" s="107" t="s">
        <v>432</v>
      </c>
      <c r="N1389" s="107" t="s">
        <v>432</v>
      </c>
      <c r="O1389" s="107" t="s">
        <v>432</v>
      </c>
      <c r="P1389" s="107" t="s">
        <v>432</v>
      </c>
      <c r="Q1389" s="107" t="s">
        <v>432</v>
      </c>
      <c r="R1389" s="107" t="s">
        <v>432</v>
      </c>
      <c r="S1389" s="109" t="s">
        <v>2209</v>
      </c>
      <c r="T1389" s="107" t="s">
        <v>432</v>
      </c>
      <c r="U1389" s="107" t="s">
        <v>432</v>
      </c>
      <c r="V1389" s="109" t="s">
        <v>2209</v>
      </c>
      <c r="W1389" s="107" t="s">
        <v>432</v>
      </c>
      <c r="X1389" s="107" t="s">
        <v>432</v>
      </c>
      <c r="Y1389" s="107" t="s">
        <v>432</v>
      </c>
      <c r="Z1389" s="107" t="s">
        <v>432</v>
      </c>
      <c r="AA1389" s="107" t="s">
        <v>432</v>
      </c>
      <c r="AB1389" s="107" t="s">
        <v>432</v>
      </c>
      <c r="AC1389" s="107" t="s">
        <v>432</v>
      </c>
      <c r="AD1389" s="107" t="s">
        <v>432</v>
      </c>
      <c r="AE1389" s="107" t="s">
        <v>432</v>
      </c>
      <c r="AF1389" s="107" t="s">
        <v>432</v>
      </c>
      <c r="AG1389" s="107" t="s">
        <v>432</v>
      </c>
      <c r="AH1389" s="107" t="s">
        <v>432</v>
      </c>
      <c r="AI1389" s="107" t="s">
        <v>432</v>
      </c>
      <c r="AJ1389" s="107" t="s">
        <v>432</v>
      </c>
      <c r="AK1389" s="137" t="s">
        <v>432</v>
      </c>
      <c r="AL1389" s="601" t="s">
        <v>432</v>
      </c>
      <c r="AM1389" s="137" t="s">
        <v>432</v>
      </c>
      <c r="AN1389" s="137" t="s">
        <v>432</v>
      </c>
      <c r="AO1389" s="137" t="s">
        <v>432</v>
      </c>
      <c r="AP1389" s="137" t="s">
        <v>432</v>
      </c>
      <c r="AQ1389" s="137" t="s">
        <v>432</v>
      </c>
      <c r="AR1389" s="137" t="s">
        <v>432</v>
      </c>
      <c r="AS1389" s="137" t="s">
        <v>432</v>
      </c>
      <c r="AT1389" s="137" t="s">
        <v>432</v>
      </c>
      <c r="AU1389" s="137" t="s">
        <v>432</v>
      </c>
      <c r="AV1389" s="137" t="s">
        <v>432</v>
      </c>
      <c r="AW1389" s="137" t="s">
        <v>432</v>
      </c>
      <c r="AX1389" s="137" t="s">
        <v>432</v>
      </c>
      <c r="AY1389" s="137" t="s">
        <v>432</v>
      </c>
      <c r="AZ1389" s="137" t="s">
        <v>432</v>
      </c>
      <c r="BA1389" s="137" t="s">
        <v>432</v>
      </c>
      <c r="BB1389" s="239" t="str">
        <f t="shared" si="376"/>
        <v>geralx</v>
      </c>
      <c r="BC1389" s="239" t="str">
        <f t="shared" si="377"/>
        <v>geralxsigla/verbete</v>
      </c>
      <c r="BD1389" s="239" t="str">
        <f t="shared" si="378"/>
        <v>geralsigla/verbete</v>
      </c>
    </row>
    <row r="1390" spans="1:56" s="1" customFormat="1" ht="53.25" customHeight="1" x14ac:dyDescent="0.25">
      <c r="A1390" s="262" t="s">
        <v>432</v>
      </c>
      <c r="B1390" s="252" t="s">
        <v>742</v>
      </c>
      <c r="C1390" s="167" t="s">
        <v>432</v>
      </c>
      <c r="D1390" s="324" t="s">
        <v>3755</v>
      </c>
      <c r="E1390" s="1496" t="s">
        <v>2272</v>
      </c>
      <c r="F1390" s="252" t="s">
        <v>6083</v>
      </c>
      <c r="G1390" s="167" t="s">
        <v>3507</v>
      </c>
      <c r="H1390" s="167" t="s">
        <v>2408</v>
      </c>
      <c r="I1390" s="167" t="s">
        <v>432</v>
      </c>
      <c r="J1390" s="107" t="s">
        <v>432</v>
      </c>
      <c r="K1390" s="107" t="s">
        <v>432</v>
      </c>
      <c r="L1390" s="107" t="s">
        <v>432</v>
      </c>
      <c r="M1390" s="107" t="s">
        <v>432</v>
      </c>
      <c r="N1390" s="107" t="s">
        <v>432</v>
      </c>
      <c r="O1390" s="107" t="s">
        <v>432</v>
      </c>
      <c r="P1390" s="107" t="s">
        <v>432</v>
      </c>
      <c r="Q1390" s="107" t="s">
        <v>432</v>
      </c>
      <c r="R1390" s="107" t="s">
        <v>432</v>
      </c>
      <c r="S1390" s="109" t="s">
        <v>2209</v>
      </c>
      <c r="T1390" s="107" t="s">
        <v>432</v>
      </c>
      <c r="U1390" s="107" t="s">
        <v>432</v>
      </c>
      <c r="V1390" s="109" t="s">
        <v>2209</v>
      </c>
      <c r="W1390" s="107" t="s">
        <v>432</v>
      </c>
      <c r="X1390" s="107" t="s">
        <v>432</v>
      </c>
      <c r="Y1390" s="107" t="s">
        <v>432</v>
      </c>
      <c r="Z1390" s="107" t="s">
        <v>432</v>
      </c>
      <c r="AA1390" s="107" t="s">
        <v>432</v>
      </c>
      <c r="AB1390" s="107" t="s">
        <v>432</v>
      </c>
      <c r="AC1390" s="107" t="s">
        <v>432</v>
      </c>
      <c r="AD1390" s="107" t="s">
        <v>432</v>
      </c>
      <c r="AE1390" s="107" t="s">
        <v>432</v>
      </c>
      <c r="AF1390" s="107" t="s">
        <v>432</v>
      </c>
      <c r="AG1390" s="107" t="s">
        <v>432</v>
      </c>
      <c r="AH1390" s="107" t="s">
        <v>432</v>
      </c>
      <c r="AI1390" s="107" t="s">
        <v>432</v>
      </c>
      <c r="AJ1390" s="107" t="s">
        <v>432</v>
      </c>
      <c r="AK1390" s="137" t="s">
        <v>432</v>
      </c>
      <c r="AL1390" s="601" t="s">
        <v>432</v>
      </c>
      <c r="AM1390" s="137" t="s">
        <v>432</v>
      </c>
      <c r="AN1390" s="137" t="s">
        <v>432</v>
      </c>
      <c r="AO1390" s="137" t="s">
        <v>432</v>
      </c>
      <c r="AP1390" s="137" t="s">
        <v>432</v>
      </c>
      <c r="AQ1390" s="137" t="s">
        <v>432</v>
      </c>
      <c r="AR1390" s="137" t="s">
        <v>432</v>
      </c>
      <c r="AS1390" s="137" t="s">
        <v>432</v>
      </c>
      <c r="AT1390" s="137" t="s">
        <v>432</v>
      </c>
      <c r="AU1390" s="137" t="s">
        <v>432</v>
      </c>
      <c r="AV1390" s="137" t="s">
        <v>432</v>
      </c>
      <c r="AW1390" s="137" t="s">
        <v>432</v>
      </c>
      <c r="AX1390" s="137" t="s">
        <v>432</v>
      </c>
      <c r="AY1390" s="137" t="s">
        <v>432</v>
      </c>
      <c r="AZ1390" s="137" t="s">
        <v>432</v>
      </c>
      <c r="BA1390" s="137" t="s">
        <v>432</v>
      </c>
      <c r="BB1390" s="239" t="str">
        <f t="shared" si="376"/>
        <v>geralx</v>
      </c>
      <c r="BC1390" s="239" t="str">
        <f t="shared" si="377"/>
        <v>geralxsigla/verbete</v>
      </c>
      <c r="BD1390" s="239" t="str">
        <f t="shared" si="378"/>
        <v>geralsigla/verbete</v>
      </c>
    </row>
    <row r="1391" spans="1:56" s="1" customFormat="1" ht="53.25" customHeight="1" x14ac:dyDescent="0.25">
      <c r="A1391" s="262" t="s">
        <v>432</v>
      </c>
      <c r="B1391" s="252" t="s">
        <v>742</v>
      </c>
      <c r="C1391" s="167" t="s">
        <v>432</v>
      </c>
      <c r="D1391" s="324" t="s">
        <v>3756</v>
      </c>
      <c r="E1391" s="1496" t="s">
        <v>2272</v>
      </c>
      <c r="F1391" s="252" t="s">
        <v>6084</v>
      </c>
      <c r="G1391" s="167" t="s">
        <v>3507</v>
      </c>
      <c r="H1391" s="167" t="s">
        <v>2408</v>
      </c>
      <c r="I1391" s="167" t="s">
        <v>432</v>
      </c>
      <c r="J1391" s="107" t="s">
        <v>432</v>
      </c>
      <c r="K1391" s="107" t="s">
        <v>432</v>
      </c>
      <c r="L1391" s="107" t="s">
        <v>432</v>
      </c>
      <c r="M1391" s="107" t="s">
        <v>432</v>
      </c>
      <c r="N1391" s="107" t="s">
        <v>432</v>
      </c>
      <c r="O1391" s="107" t="s">
        <v>432</v>
      </c>
      <c r="P1391" s="107" t="s">
        <v>432</v>
      </c>
      <c r="Q1391" s="107" t="s">
        <v>432</v>
      </c>
      <c r="R1391" s="107" t="s">
        <v>432</v>
      </c>
      <c r="S1391" s="109" t="s">
        <v>2209</v>
      </c>
      <c r="T1391" s="107" t="s">
        <v>432</v>
      </c>
      <c r="U1391" s="107" t="s">
        <v>432</v>
      </c>
      <c r="V1391" s="109" t="s">
        <v>2209</v>
      </c>
      <c r="W1391" s="107" t="s">
        <v>432</v>
      </c>
      <c r="X1391" s="107" t="s">
        <v>432</v>
      </c>
      <c r="Y1391" s="107" t="s">
        <v>432</v>
      </c>
      <c r="Z1391" s="107" t="s">
        <v>432</v>
      </c>
      <c r="AA1391" s="107" t="s">
        <v>432</v>
      </c>
      <c r="AB1391" s="107" t="s">
        <v>432</v>
      </c>
      <c r="AC1391" s="107" t="s">
        <v>432</v>
      </c>
      <c r="AD1391" s="107" t="s">
        <v>432</v>
      </c>
      <c r="AE1391" s="107" t="s">
        <v>432</v>
      </c>
      <c r="AF1391" s="107" t="s">
        <v>432</v>
      </c>
      <c r="AG1391" s="107" t="s">
        <v>432</v>
      </c>
      <c r="AH1391" s="107" t="s">
        <v>432</v>
      </c>
      <c r="AI1391" s="107" t="s">
        <v>432</v>
      </c>
      <c r="AJ1391" s="107" t="s">
        <v>432</v>
      </c>
      <c r="AK1391" s="137" t="s">
        <v>432</v>
      </c>
      <c r="AL1391" s="601" t="s">
        <v>432</v>
      </c>
      <c r="AM1391" s="137" t="s">
        <v>432</v>
      </c>
      <c r="AN1391" s="137" t="s">
        <v>432</v>
      </c>
      <c r="AO1391" s="137" t="s">
        <v>432</v>
      </c>
      <c r="AP1391" s="137" t="s">
        <v>432</v>
      </c>
      <c r="AQ1391" s="137" t="s">
        <v>432</v>
      </c>
      <c r="AR1391" s="137" t="s">
        <v>432</v>
      </c>
      <c r="AS1391" s="137" t="s">
        <v>432</v>
      </c>
      <c r="AT1391" s="137" t="s">
        <v>432</v>
      </c>
      <c r="AU1391" s="137" t="s">
        <v>432</v>
      </c>
      <c r="AV1391" s="137" t="s">
        <v>432</v>
      </c>
      <c r="AW1391" s="137" t="s">
        <v>432</v>
      </c>
      <c r="AX1391" s="137" t="s">
        <v>432</v>
      </c>
      <c r="AY1391" s="137" t="s">
        <v>432</v>
      </c>
      <c r="AZ1391" s="137" t="s">
        <v>432</v>
      </c>
      <c r="BA1391" s="137" t="s">
        <v>432</v>
      </c>
      <c r="BB1391" s="239" t="str">
        <f t="shared" si="376"/>
        <v>geralx</v>
      </c>
      <c r="BC1391" s="239" t="str">
        <f t="shared" si="377"/>
        <v>geralxsigla/verbete</v>
      </c>
      <c r="BD1391" s="239" t="str">
        <f t="shared" si="378"/>
        <v>geralsigla/verbete</v>
      </c>
    </row>
    <row r="1392" spans="1:56" s="1" customFormat="1" ht="53.25" customHeight="1" x14ac:dyDescent="0.25">
      <c r="A1392" s="262" t="s">
        <v>432</v>
      </c>
      <c r="B1392" s="252" t="s">
        <v>742</v>
      </c>
      <c r="C1392" s="167" t="s">
        <v>432</v>
      </c>
      <c r="D1392" s="324" t="s">
        <v>3757</v>
      </c>
      <c r="E1392" s="1496" t="s">
        <v>2272</v>
      </c>
      <c r="F1392" s="252" t="s">
        <v>6085</v>
      </c>
      <c r="G1392" s="167" t="s">
        <v>3507</v>
      </c>
      <c r="H1392" s="167" t="s">
        <v>2408</v>
      </c>
      <c r="I1392" s="167" t="s">
        <v>432</v>
      </c>
      <c r="J1392" s="107" t="s">
        <v>432</v>
      </c>
      <c r="K1392" s="107" t="s">
        <v>432</v>
      </c>
      <c r="L1392" s="107" t="s">
        <v>432</v>
      </c>
      <c r="M1392" s="107" t="s">
        <v>432</v>
      </c>
      <c r="N1392" s="107" t="s">
        <v>432</v>
      </c>
      <c r="O1392" s="107" t="s">
        <v>432</v>
      </c>
      <c r="P1392" s="107" t="s">
        <v>432</v>
      </c>
      <c r="Q1392" s="107" t="s">
        <v>432</v>
      </c>
      <c r="R1392" s="107" t="s">
        <v>432</v>
      </c>
      <c r="S1392" s="109" t="s">
        <v>2209</v>
      </c>
      <c r="T1392" s="107" t="s">
        <v>432</v>
      </c>
      <c r="U1392" s="107" t="s">
        <v>432</v>
      </c>
      <c r="V1392" s="109" t="s">
        <v>2209</v>
      </c>
      <c r="W1392" s="107" t="s">
        <v>432</v>
      </c>
      <c r="X1392" s="107" t="s">
        <v>432</v>
      </c>
      <c r="Y1392" s="107" t="s">
        <v>432</v>
      </c>
      <c r="Z1392" s="107" t="s">
        <v>432</v>
      </c>
      <c r="AA1392" s="107" t="s">
        <v>432</v>
      </c>
      <c r="AB1392" s="107" t="s">
        <v>432</v>
      </c>
      <c r="AC1392" s="107" t="s">
        <v>432</v>
      </c>
      <c r="AD1392" s="107" t="s">
        <v>432</v>
      </c>
      <c r="AE1392" s="107" t="s">
        <v>432</v>
      </c>
      <c r="AF1392" s="107" t="s">
        <v>432</v>
      </c>
      <c r="AG1392" s="107" t="s">
        <v>432</v>
      </c>
      <c r="AH1392" s="107" t="s">
        <v>432</v>
      </c>
      <c r="AI1392" s="107" t="s">
        <v>432</v>
      </c>
      <c r="AJ1392" s="107" t="s">
        <v>432</v>
      </c>
      <c r="AK1392" s="137" t="s">
        <v>432</v>
      </c>
      <c r="AL1392" s="601" t="s">
        <v>432</v>
      </c>
      <c r="AM1392" s="137" t="s">
        <v>432</v>
      </c>
      <c r="AN1392" s="137" t="s">
        <v>432</v>
      </c>
      <c r="AO1392" s="137" t="s">
        <v>432</v>
      </c>
      <c r="AP1392" s="137" t="s">
        <v>432</v>
      </c>
      <c r="AQ1392" s="137" t="s">
        <v>432</v>
      </c>
      <c r="AR1392" s="137" t="s">
        <v>432</v>
      </c>
      <c r="AS1392" s="137" t="s">
        <v>432</v>
      </c>
      <c r="AT1392" s="137" t="s">
        <v>432</v>
      </c>
      <c r="AU1392" s="137" t="s">
        <v>432</v>
      </c>
      <c r="AV1392" s="137" t="s">
        <v>432</v>
      </c>
      <c r="AW1392" s="137" t="s">
        <v>432</v>
      </c>
      <c r="AX1392" s="137" t="s">
        <v>432</v>
      </c>
      <c r="AY1392" s="137" t="s">
        <v>432</v>
      </c>
      <c r="AZ1392" s="137" t="s">
        <v>432</v>
      </c>
      <c r="BA1392" s="137" t="s">
        <v>432</v>
      </c>
      <c r="BB1392" s="239" t="str">
        <f t="shared" si="376"/>
        <v>geralx</v>
      </c>
      <c r="BC1392" s="239" t="str">
        <f t="shared" si="377"/>
        <v>geralxsigla/verbete</v>
      </c>
      <c r="BD1392" s="239" t="str">
        <f t="shared" si="378"/>
        <v>geralsigla/verbete</v>
      </c>
    </row>
    <row r="1393" spans="1:56" s="1" customFormat="1" ht="53.25" customHeight="1" x14ac:dyDescent="0.25">
      <c r="A1393" s="262" t="s">
        <v>432</v>
      </c>
      <c r="B1393" s="252" t="s">
        <v>742</v>
      </c>
      <c r="C1393" s="167" t="s">
        <v>432</v>
      </c>
      <c r="D1393" s="324" t="s">
        <v>3758</v>
      </c>
      <c r="E1393" s="1496" t="s">
        <v>2272</v>
      </c>
      <c r="F1393" s="252" t="s">
        <v>6086</v>
      </c>
      <c r="G1393" s="167" t="s">
        <v>3507</v>
      </c>
      <c r="H1393" s="167" t="s">
        <v>2408</v>
      </c>
      <c r="I1393" s="167" t="s">
        <v>432</v>
      </c>
      <c r="J1393" s="107" t="s">
        <v>432</v>
      </c>
      <c r="K1393" s="107" t="s">
        <v>432</v>
      </c>
      <c r="L1393" s="107" t="s">
        <v>432</v>
      </c>
      <c r="M1393" s="107" t="s">
        <v>432</v>
      </c>
      <c r="N1393" s="107" t="s">
        <v>432</v>
      </c>
      <c r="O1393" s="107" t="s">
        <v>432</v>
      </c>
      <c r="P1393" s="107" t="s">
        <v>432</v>
      </c>
      <c r="Q1393" s="107" t="s">
        <v>432</v>
      </c>
      <c r="R1393" s="107" t="s">
        <v>432</v>
      </c>
      <c r="S1393" s="109" t="s">
        <v>2209</v>
      </c>
      <c r="T1393" s="107" t="s">
        <v>432</v>
      </c>
      <c r="U1393" s="107" t="s">
        <v>432</v>
      </c>
      <c r="V1393" s="109" t="s">
        <v>2209</v>
      </c>
      <c r="W1393" s="107" t="s">
        <v>432</v>
      </c>
      <c r="X1393" s="107" t="s">
        <v>432</v>
      </c>
      <c r="Y1393" s="107" t="s">
        <v>432</v>
      </c>
      <c r="Z1393" s="107" t="s">
        <v>432</v>
      </c>
      <c r="AA1393" s="107" t="s">
        <v>432</v>
      </c>
      <c r="AB1393" s="107" t="s">
        <v>432</v>
      </c>
      <c r="AC1393" s="107" t="s">
        <v>432</v>
      </c>
      <c r="AD1393" s="107" t="s">
        <v>432</v>
      </c>
      <c r="AE1393" s="107" t="s">
        <v>432</v>
      </c>
      <c r="AF1393" s="107" t="s">
        <v>432</v>
      </c>
      <c r="AG1393" s="107" t="s">
        <v>432</v>
      </c>
      <c r="AH1393" s="107" t="s">
        <v>432</v>
      </c>
      <c r="AI1393" s="107" t="s">
        <v>432</v>
      </c>
      <c r="AJ1393" s="107" t="s">
        <v>432</v>
      </c>
      <c r="AK1393" s="137" t="s">
        <v>432</v>
      </c>
      <c r="AL1393" s="601" t="s">
        <v>432</v>
      </c>
      <c r="AM1393" s="137" t="s">
        <v>432</v>
      </c>
      <c r="AN1393" s="137" t="s">
        <v>432</v>
      </c>
      <c r="AO1393" s="137" t="s">
        <v>432</v>
      </c>
      <c r="AP1393" s="137" t="s">
        <v>432</v>
      </c>
      <c r="AQ1393" s="137" t="s">
        <v>432</v>
      </c>
      <c r="AR1393" s="137" t="s">
        <v>432</v>
      </c>
      <c r="AS1393" s="137" t="s">
        <v>432</v>
      </c>
      <c r="AT1393" s="137" t="s">
        <v>432</v>
      </c>
      <c r="AU1393" s="137" t="s">
        <v>432</v>
      </c>
      <c r="AV1393" s="137" t="s">
        <v>432</v>
      </c>
      <c r="AW1393" s="137" t="s">
        <v>432</v>
      </c>
      <c r="AX1393" s="137" t="s">
        <v>432</v>
      </c>
      <c r="AY1393" s="137" t="s">
        <v>432</v>
      </c>
      <c r="AZ1393" s="137" t="s">
        <v>432</v>
      </c>
      <c r="BA1393" s="137" t="s">
        <v>432</v>
      </c>
      <c r="BB1393" s="239" t="str">
        <f t="shared" si="376"/>
        <v>geralx</v>
      </c>
      <c r="BC1393" s="239" t="str">
        <f t="shared" si="377"/>
        <v>geralxsigla/verbete</v>
      </c>
      <c r="BD1393" s="239" t="str">
        <f t="shared" si="378"/>
        <v>geralsigla/verbete</v>
      </c>
    </row>
    <row r="1394" spans="1:56" s="1" customFormat="1" ht="53.25" customHeight="1" x14ac:dyDescent="0.25">
      <c r="A1394" s="262" t="s">
        <v>432</v>
      </c>
      <c r="B1394" s="252" t="s">
        <v>742</v>
      </c>
      <c r="C1394" s="167" t="s">
        <v>432</v>
      </c>
      <c r="D1394" s="324" t="s">
        <v>3759</v>
      </c>
      <c r="E1394" s="1496" t="s">
        <v>2272</v>
      </c>
      <c r="F1394" s="252" t="s">
        <v>6087</v>
      </c>
      <c r="G1394" s="167" t="s">
        <v>3507</v>
      </c>
      <c r="H1394" s="167" t="s">
        <v>2408</v>
      </c>
      <c r="I1394" s="167" t="s">
        <v>432</v>
      </c>
      <c r="J1394" s="107" t="s">
        <v>432</v>
      </c>
      <c r="K1394" s="107" t="s">
        <v>432</v>
      </c>
      <c r="L1394" s="107" t="s">
        <v>432</v>
      </c>
      <c r="M1394" s="107" t="s">
        <v>432</v>
      </c>
      <c r="N1394" s="107" t="s">
        <v>432</v>
      </c>
      <c r="O1394" s="107" t="s">
        <v>432</v>
      </c>
      <c r="P1394" s="107" t="s">
        <v>432</v>
      </c>
      <c r="Q1394" s="107" t="s">
        <v>432</v>
      </c>
      <c r="R1394" s="107" t="s">
        <v>432</v>
      </c>
      <c r="S1394" s="109" t="s">
        <v>2209</v>
      </c>
      <c r="T1394" s="107" t="s">
        <v>432</v>
      </c>
      <c r="U1394" s="107" t="s">
        <v>432</v>
      </c>
      <c r="V1394" s="109" t="s">
        <v>2209</v>
      </c>
      <c r="W1394" s="107" t="s">
        <v>432</v>
      </c>
      <c r="X1394" s="107" t="s">
        <v>432</v>
      </c>
      <c r="Y1394" s="107" t="s">
        <v>432</v>
      </c>
      <c r="Z1394" s="107" t="s">
        <v>432</v>
      </c>
      <c r="AA1394" s="107" t="s">
        <v>432</v>
      </c>
      <c r="AB1394" s="107" t="s">
        <v>432</v>
      </c>
      <c r="AC1394" s="107" t="s">
        <v>432</v>
      </c>
      <c r="AD1394" s="107" t="s">
        <v>432</v>
      </c>
      <c r="AE1394" s="107" t="s">
        <v>432</v>
      </c>
      <c r="AF1394" s="107" t="s">
        <v>432</v>
      </c>
      <c r="AG1394" s="107" t="s">
        <v>432</v>
      </c>
      <c r="AH1394" s="107" t="s">
        <v>432</v>
      </c>
      <c r="AI1394" s="107" t="s">
        <v>432</v>
      </c>
      <c r="AJ1394" s="107" t="s">
        <v>432</v>
      </c>
      <c r="AK1394" s="137" t="s">
        <v>432</v>
      </c>
      <c r="AL1394" s="601" t="s">
        <v>432</v>
      </c>
      <c r="AM1394" s="137" t="s">
        <v>432</v>
      </c>
      <c r="AN1394" s="137" t="s">
        <v>432</v>
      </c>
      <c r="AO1394" s="137" t="s">
        <v>432</v>
      </c>
      <c r="AP1394" s="137" t="s">
        <v>432</v>
      </c>
      <c r="AQ1394" s="137" t="s">
        <v>432</v>
      </c>
      <c r="AR1394" s="137" t="s">
        <v>432</v>
      </c>
      <c r="AS1394" s="137" t="s">
        <v>432</v>
      </c>
      <c r="AT1394" s="137" t="s">
        <v>432</v>
      </c>
      <c r="AU1394" s="137" t="s">
        <v>432</v>
      </c>
      <c r="AV1394" s="137" t="s">
        <v>432</v>
      </c>
      <c r="AW1394" s="137" t="s">
        <v>432</v>
      </c>
      <c r="AX1394" s="137" t="s">
        <v>432</v>
      </c>
      <c r="AY1394" s="137" t="s">
        <v>432</v>
      </c>
      <c r="AZ1394" s="137" t="s">
        <v>432</v>
      </c>
      <c r="BA1394" s="137" t="s">
        <v>432</v>
      </c>
      <c r="BB1394" s="239" t="str">
        <f t="shared" si="376"/>
        <v>geralx</v>
      </c>
      <c r="BC1394" s="239" t="str">
        <f t="shared" si="377"/>
        <v>geralxsigla/verbete</v>
      </c>
      <c r="BD1394" s="239" t="str">
        <f t="shared" si="378"/>
        <v>geralsigla/verbete</v>
      </c>
    </row>
    <row r="1395" spans="1:56" s="1" customFormat="1" ht="53.25" customHeight="1" x14ac:dyDescent="0.25">
      <c r="A1395" s="262" t="s">
        <v>432</v>
      </c>
      <c r="B1395" s="252" t="s">
        <v>742</v>
      </c>
      <c r="C1395" s="167" t="s">
        <v>432</v>
      </c>
      <c r="D1395" s="324" t="s">
        <v>3760</v>
      </c>
      <c r="E1395" s="1496" t="s">
        <v>2272</v>
      </c>
      <c r="F1395" s="252" t="s">
        <v>6088</v>
      </c>
      <c r="G1395" s="167" t="s">
        <v>3507</v>
      </c>
      <c r="H1395" s="167" t="s">
        <v>2408</v>
      </c>
      <c r="I1395" s="167" t="s">
        <v>432</v>
      </c>
      <c r="J1395" s="107" t="s">
        <v>432</v>
      </c>
      <c r="K1395" s="107" t="s">
        <v>432</v>
      </c>
      <c r="L1395" s="107" t="s">
        <v>432</v>
      </c>
      <c r="M1395" s="107" t="s">
        <v>432</v>
      </c>
      <c r="N1395" s="107" t="s">
        <v>432</v>
      </c>
      <c r="O1395" s="107" t="s">
        <v>432</v>
      </c>
      <c r="P1395" s="107" t="s">
        <v>432</v>
      </c>
      <c r="Q1395" s="107" t="s">
        <v>432</v>
      </c>
      <c r="R1395" s="107" t="s">
        <v>432</v>
      </c>
      <c r="S1395" s="109" t="s">
        <v>2209</v>
      </c>
      <c r="T1395" s="107" t="s">
        <v>432</v>
      </c>
      <c r="U1395" s="107" t="s">
        <v>432</v>
      </c>
      <c r="V1395" s="109" t="s">
        <v>2209</v>
      </c>
      <c r="W1395" s="107" t="s">
        <v>432</v>
      </c>
      <c r="X1395" s="107" t="s">
        <v>432</v>
      </c>
      <c r="Y1395" s="107" t="s">
        <v>432</v>
      </c>
      <c r="Z1395" s="107" t="s">
        <v>432</v>
      </c>
      <c r="AA1395" s="107" t="s">
        <v>432</v>
      </c>
      <c r="AB1395" s="107" t="s">
        <v>432</v>
      </c>
      <c r="AC1395" s="107" t="s">
        <v>432</v>
      </c>
      <c r="AD1395" s="107" t="s">
        <v>432</v>
      </c>
      <c r="AE1395" s="107" t="s">
        <v>432</v>
      </c>
      <c r="AF1395" s="107" t="s">
        <v>432</v>
      </c>
      <c r="AG1395" s="107" t="s">
        <v>432</v>
      </c>
      <c r="AH1395" s="107" t="s">
        <v>432</v>
      </c>
      <c r="AI1395" s="107" t="s">
        <v>432</v>
      </c>
      <c r="AJ1395" s="107" t="s">
        <v>432</v>
      </c>
      <c r="AK1395" s="137" t="s">
        <v>432</v>
      </c>
      <c r="AL1395" s="601" t="s">
        <v>432</v>
      </c>
      <c r="AM1395" s="137" t="s">
        <v>432</v>
      </c>
      <c r="AN1395" s="137" t="s">
        <v>432</v>
      </c>
      <c r="AO1395" s="137" t="s">
        <v>432</v>
      </c>
      <c r="AP1395" s="137" t="s">
        <v>432</v>
      </c>
      <c r="AQ1395" s="137" t="s">
        <v>432</v>
      </c>
      <c r="AR1395" s="137" t="s">
        <v>432</v>
      </c>
      <c r="AS1395" s="137" t="s">
        <v>432</v>
      </c>
      <c r="AT1395" s="137" t="s">
        <v>432</v>
      </c>
      <c r="AU1395" s="137" t="s">
        <v>432</v>
      </c>
      <c r="AV1395" s="137" t="s">
        <v>432</v>
      </c>
      <c r="AW1395" s="137" t="s">
        <v>432</v>
      </c>
      <c r="AX1395" s="137" t="s">
        <v>432</v>
      </c>
      <c r="AY1395" s="137" t="s">
        <v>432</v>
      </c>
      <c r="AZ1395" s="137" t="s">
        <v>432</v>
      </c>
      <c r="BA1395" s="137" t="s">
        <v>432</v>
      </c>
      <c r="BB1395" s="239" t="str">
        <f t="shared" si="376"/>
        <v>geralx</v>
      </c>
      <c r="BC1395" s="239" t="str">
        <f t="shared" si="377"/>
        <v>geralxsigla/verbete</v>
      </c>
      <c r="BD1395" s="239" t="str">
        <f t="shared" si="378"/>
        <v>geralsigla/verbete</v>
      </c>
    </row>
    <row r="1396" spans="1:56" s="1" customFormat="1" ht="53.25" customHeight="1" x14ac:dyDescent="0.25">
      <c r="A1396" s="262" t="s">
        <v>432</v>
      </c>
      <c r="B1396" s="252" t="s">
        <v>742</v>
      </c>
      <c r="C1396" s="167" t="s">
        <v>432</v>
      </c>
      <c r="D1396" s="324" t="s">
        <v>3761</v>
      </c>
      <c r="E1396" s="1496" t="s">
        <v>2272</v>
      </c>
      <c r="F1396" s="252" t="s">
        <v>6089</v>
      </c>
      <c r="G1396" s="167" t="s">
        <v>3507</v>
      </c>
      <c r="H1396" s="167" t="s">
        <v>2408</v>
      </c>
      <c r="I1396" s="167" t="s">
        <v>432</v>
      </c>
      <c r="J1396" s="107" t="s">
        <v>432</v>
      </c>
      <c r="K1396" s="107" t="s">
        <v>432</v>
      </c>
      <c r="L1396" s="107" t="s">
        <v>432</v>
      </c>
      <c r="M1396" s="107" t="s">
        <v>432</v>
      </c>
      <c r="N1396" s="107" t="s">
        <v>432</v>
      </c>
      <c r="O1396" s="107" t="s">
        <v>432</v>
      </c>
      <c r="P1396" s="107" t="s">
        <v>432</v>
      </c>
      <c r="Q1396" s="107" t="s">
        <v>432</v>
      </c>
      <c r="R1396" s="107" t="s">
        <v>432</v>
      </c>
      <c r="S1396" s="109" t="s">
        <v>2209</v>
      </c>
      <c r="T1396" s="107" t="s">
        <v>432</v>
      </c>
      <c r="U1396" s="107" t="s">
        <v>432</v>
      </c>
      <c r="V1396" s="109" t="s">
        <v>2209</v>
      </c>
      <c r="W1396" s="107" t="s">
        <v>432</v>
      </c>
      <c r="X1396" s="107" t="s">
        <v>432</v>
      </c>
      <c r="Y1396" s="107" t="s">
        <v>432</v>
      </c>
      <c r="Z1396" s="107" t="s">
        <v>432</v>
      </c>
      <c r="AA1396" s="107" t="s">
        <v>432</v>
      </c>
      <c r="AB1396" s="107" t="s">
        <v>432</v>
      </c>
      <c r="AC1396" s="107" t="s">
        <v>432</v>
      </c>
      <c r="AD1396" s="107" t="s">
        <v>432</v>
      </c>
      <c r="AE1396" s="107" t="s">
        <v>432</v>
      </c>
      <c r="AF1396" s="107" t="s">
        <v>432</v>
      </c>
      <c r="AG1396" s="107" t="s">
        <v>432</v>
      </c>
      <c r="AH1396" s="107" t="s">
        <v>432</v>
      </c>
      <c r="AI1396" s="107" t="s">
        <v>432</v>
      </c>
      <c r="AJ1396" s="107" t="s">
        <v>432</v>
      </c>
      <c r="AK1396" s="137" t="s">
        <v>432</v>
      </c>
      <c r="AL1396" s="601" t="s">
        <v>432</v>
      </c>
      <c r="AM1396" s="137" t="s">
        <v>432</v>
      </c>
      <c r="AN1396" s="137" t="s">
        <v>432</v>
      </c>
      <c r="AO1396" s="137" t="s">
        <v>432</v>
      </c>
      <c r="AP1396" s="137" t="s">
        <v>432</v>
      </c>
      <c r="AQ1396" s="137" t="s">
        <v>432</v>
      </c>
      <c r="AR1396" s="137" t="s">
        <v>432</v>
      </c>
      <c r="AS1396" s="137" t="s">
        <v>432</v>
      </c>
      <c r="AT1396" s="137" t="s">
        <v>432</v>
      </c>
      <c r="AU1396" s="137" t="s">
        <v>432</v>
      </c>
      <c r="AV1396" s="137" t="s">
        <v>432</v>
      </c>
      <c r="AW1396" s="137" t="s">
        <v>432</v>
      </c>
      <c r="AX1396" s="137" t="s">
        <v>432</v>
      </c>
      <c r="AY1396" s="137" t="s">
        <v>432</v>
      </c>
      <c r="AZ1396" s="137" t="s">
        <v>432</v>
      </c>
      <c r="BA1396" s="137" t="s">
        <v>432</v>
      </c>
      <c r="BB1396" s="239" t="str">
        <f t="shared" ref="BB1396:BB1407" si="379">B1396&amp;C1396</f>
        <v>geralx</v>
      </c>
      <c r="BC1396" s="239" t="str">
        <f t="shared" ref="BC1396:BC1407" si="380">B1396&amp;C1396&amp;H1396</f>
        <v>geralxsigla/verbete</v>
      </c>
      <c r="BD1396" s="239" t="str">
        <f t="shared" ref="BD1396:BD1407" si="381">B1396&amp;H1396</f>
        <v>geralsigla/verbete</v>
      </c>
    </row>
    <row r="1397" spans="1:56" s="1" customFormat="1" ht="53.25" customHeight="1" x14ac:dyDescent="0.25">
      <c r="A1397" s="262" t="s">
        <v>432</v>
      </c>
      <c r="B1397" s="252" t="s">
        <v>742</v>
      </c>
      <c r="C1397" s="167" t="s">
        <v>432</v>
      </c>
      <c r="D1397" s="324" t="s">
        <v>3762</v>
      </c>
      <c r="E1397" s="1496" t="s">
        <v>2272</v>
      </c>
      <c r="F1397" s="252" t="s">
        <v>6090</v>
      </c>
      <c r="G1397" s="167" t="s">
        <v>3507</v>
      </c>
      <c r="H1397" s="167" t="s">
        <v>2408</v>
      </c>
      <c r="I1397" s="167" t="s">
        <v>432</v>
      </c>
      <c r="J1397" s="107" t="s">
        <v>432</v>
      </c>
      <c r="K1397" s="107" t="s">
        <v>432</v>
      </c>
      <c r="L1397" s="107" t="s">
        <v>432</v>
      </c>
      <c r="M1397" s="107" t="s">
        <v>432</v>
      </c>
      <c r="N1397" s="107" t="s">
        <v>432</v>
      </c>
      <c r="O1397" s="107" t="s">
        <v>432</v>
      </c>
      <c r="P1397" s="107" t="s">
        <v>432</v>
      </c>
      <c r="Q1397" s="107" t="s">
        <v>432</v>
      </c>
      <c r="R1397" s="107" t="s">
        <v>432</v>
      </c>
      <c r="S1397" s="109" t="s">
        <v>2209</v>
      </c>
      <c r="T1397" s="107" t="s">
        <v>432</v>
      </c>
      <c r="U1397" s="107" t="s">
        <v>432</v>
      </c>
      <c r="V1397" s="109" t="s">
        <v>2209</v>
      </c>
      <c r="W1397" s="107" t="s">
        <v>432</v>
      </c>
      <c r="X1397" s="107" t="s">
        <v>432</v>
      </c>
      <c r="Y1397" s="107" t="s">
        <v>432</v>
      </c>
      <c r="Z1397" s="107" t="s">
        <v>432</v>
      </c>
      <c r="AA1397" s="107" t="s">
        <v>432</v>
      </c>
      <c r="AB1397" s="107" t="s">
        <v>432</v>
      </c>
      <c r="AC1397" s="107" t="s">
        <v>432</v>
      </c>
      <c r="AD1397" s="107" t="s">
        <v>432</v>
      </c>
      <c r="AE1397" s="107" t="s">
        <v>432</v>
      </c>
      <c r="AF1397" s="107" t="s">
        <v>432</v>
      </c>
      <c r="AG1397" s="107" t="s">
        <v>432</v>
      </c>
      <c r="AH1397" s="107" t="s">
        <v>432</v>
      </c>
      <c r="AI1397" s="107" t="s">
        <v>432</v>
      </c>
      <c r="AJ1397" s="107" t="s">
        <v>432</v>
      </c>
      <c r="AK1397" s="137" t="s">
        <v>432</v>
      </c>
      <c r="AL1397" s="601" t="s">
        <v>432</v>
      </c>
      <c r="AM1397" s="137" t="s">
        <v>432</v>
      </c>
      <c r="AN1397" s="137" t="s">
        <v>432</v>
      </c>
      <c r="AO1397" s="137" t="s">
        <v>432</v>
      </c>
      <c r="AP1397" s="137" t="s">
        <v>432</v>
      </c>
      <c r="AQ1397" s="137" t="s">
        <v>432</v>
      </c>
      <c r="AR1397" s="137" t="s">
        <v>432</v>
      </c>
      <c r="AS1397" s="137" t="s">
        <v>432</v>
      </c>
      <c r="AT1397" s="137" t="s">
        <v>432</v>
      </c>
      <c r="AU1397" s="137" t="s">
        <v>432</v>
      </c>
      <c r="AV1397" s="137" t="s">
        <v>432</v>
      </c>
      <c r="AW1397" s="137" t="s">
        <v>432</v>
      </c>
      <c r="AX1397" s="137" t="s">
        <v>432</v>
      </c>
      <c r="AY1397" s="137" t="s">
        <v>432</v>
      </c>
      <c r="AZ1397" s="137" t="s">
        <v>432</v>
      </c>
      <c r="BA1397" s="137" t="s">
        <v>432</v>
      </c>
      <c r="BB1397" s="239" t="str">
        <f t="shared" si="379"/>
        <v>geralx</v>
      </c>
      <c r="BC1397" s="239" t="str">
        <f t="shared" si="380"/>
        <v>geralxsigla/verbete</v>
      </c>
      <c r="BD1397" s="239" t="str">
        <f t="shared" si="381"/>
        <v>geralsigla/verbete</v>
      </c>
    </row>
    <row r="1398" spans="1:56" s="1" customFormat="1" ht="53.25" customHeight="1" x14ac:dyDescent="0.25">
      <c r="A1398" s="262" t="s">
        <v>432</v>
      </c>
      <c r="B1398" s="252" t="s">
        <v>742</v>
      </c>
      <c r="C1398" s="167" t="s">
        <v>432</v>
      </c>
      <c r="D1398" s="324" t="s">
        <v>3763</v>
      </c>
      <c r="E1398" s="1496" t="s">
        <v>2272</v>
      </c>
      <c r="F1398" s="252" t="s">
        <v>6091</v>
      </c>
      <c r="G1398" s="167" t="s">
        <v>3507</v>
      </c>
      <c r="H1398" s="167" t="s">
        <v>2408</v>
      </c>
      <c r="I1398" s="167" t="s">
        <v>432</v>
      </c>
      <c r="J1398" s="107" t="s">
        <v>432</v>
      </c>
      <c r="K1398" s="107" t="s">
        <v>432</v>
      </c>
      <c r="L1398" s="107" t="s">
        <v>432</v>
      </c>
      <c r="M1398" s="107" t="s">
        <v>432</v>
      </c>
      <c r="N1398" s="107" t="s">
        <v>432</v>
      </c>
      <c r="O1398" s="107" t="s">
        <v>432</v>
      </c>
      <c r="P1398" s="107" t="s">
        <v>432</v>
      </c>
      <c r="Q1398" s="107" t="s">
        <v>432</v>
      </c>
      <c r="R1398" s="107" t="s">
        <v>432</v>
      </c>
      <c r="S1398" s="109" t="s">
        <v>2209</v>
      </c>
      <c r="T1398" s="107" t="s">
        <v>432</v>
      </c>
      <c r="U1398" s="107" t="s">
        <v>432</v>
      </c>
      <c r="V1398" s="109" t="s">
        <v>2209</v>
      </c>
      <c r="W1398" s="107" t="s">
        <v>432</v>
      </c>
      <c r="X1398" s="107" t="s">
        <v>432</v>
      </c>
      <c r="Y1398" s="107" t="s">
        <v>432</v>
      </c>
      <c r="Z1398" s="107" t="s">
        <v>432</v>
      </c>
      <c r="AA1398" s="107" t="s">
        <v>432</v>
      </c>
      <c r="AB1398" s="107" t="s">
        <v>432</v>
      </c>
      <c r="AC1398" s="107" t="s">
        <v>432</v>
      </c>
      <c r="AD1398" s="107" t="s">
        <v>432</v>
      </c>
      <c r="AE1398" s="107" t="s">
        <v>432</v>
      </c>
      <c r="AF1398" s="107" t="s">
        <v>432</v>
      </c>
      <c r="AG1398" s="107" t="s">
        <v>432</v>
      </c>
      <c r="AH1398" s="107" t="s">
        <v>432</v>
      </c>
      <c r="AI1398" s="107" t="s">
        <v>432</v>
      </c>
      <c r="AJ1398" s="107" t="s">
        <v>432</v>
      </c>
      <c r="AK1398" s="137" t="s">
        <v>432</v>
      </c>
      <c r="AL1398" s="601" t="s">
        <v>432</v>
      </c>
      <c r="AM1398" s="137" t="s">
        <v>432</v>
      </c>
      <c r="AN1398" s="137" t="s">
        <v>432</v>
      </c>
      <c r="AO1398" s="137" t="s">
        <v>432</v>
      </c>
      <c r="AP1398" s="137" t="s">
        <v>432</v>
      </c>
      <c r="AQ1398" s="137" t="s">
        <v>432</v>
      </c>
      <c r="AR1398" s="137" t="s">
        <v>432</v>
      </c>
      <c r="AS1398" s="137" t="s">
        <v>432</v>
      </c>
      <c r="AT1398" s="137" t="s">
        <v>432</v>
      </c>
      <c r="AU1398" s="137" t="s">
        <v>432</v>
      </c>
      <c r="AV1398" s="137" t="s">
        <v>432</v>
      </c>
      <c r="AW1398" s="137" t="s">
        <v>432</v>
      </c>
      <c r="AX1398" s="137" t="s">
        <v>432</v>
      </c>
      <c r="AY1398" s="137" t="s">
        <v>432</v>
      </c>
      <c r="AZ1398" s="137" t="s">
        <v>432</v>
      </c>
      <c r="BA1398" s="137" t="s">
        <v>432</v>
      </c>
      <c r="BB1398" s="239" t="str">
        <f t="shared" si="379"/>
        <v>geralx</v>
      </c>
      <c r="BC1398" s="239" t="str">
        <f t="shared" si="380"/>
        <v>geralxsigla/verbete</v>
      </c>
      <c r="BD1398" s="239" t="str">
        <f t="shared" si="381"/>
        <v>geralsigla/verbete</v>
      </c>
    </row>
    <row r="1399" spans="1:56" s="1" customFormat="1" ht="53.25" customHeight="1" x14ac:dyDescent="0.25">
      <c r="A1399" s="262" t="s">
        <v>432</v>
      </c>
      <c r="B1399" s="252" t="s">
        <v>742</v>
      </c>
      <c r="C1399" s="167" t="s">
        <v>432</v>
      </c>
      <c r="D1399" s="324" t="s">
        <v>3764</v>
      </c>
      <c r="E1399" s="1496" t="s">
        <v>2272</v>
      </c>
      <c r="F1399" s="252" t="s">
        <v>6092</v>
      </c>
      <c r="G1399" s="167" t="s">
        <v>3507</v>
      </c>
      <c r="H1399" s="167" t="s">
        <v>2408</v>
      </c>
      <c r="I1399" s="167" t="s">
        <v>432</v>
      </c>
      <c r="J1399" s="107" t="s">
        <v>432</v>
      </c>
      <c r="K1399" s="107" t="s">
        <v>432</v>
      </c>
      <c r="L1399" s="107" t="s">
        <v>432</v>
      </c>
      <c r="M1399" s="107" t="s">
        <v>432</v>
      </c>
      <c r="N1399" s="107" t="s">
        <v>432</v>
      </c>
      <c r="O1399" s="107" t="s">
        <v>432</v>
      </c>
      <c r="P1399" s="107" t="s">
        <v>432</v>
      </c>
      <c r="Q1399" s="107" t="s">
        <v>432</v>
      </c>
      <c r="R1399" s="107" t="s">
        <v>432</v>
      </c>
      <c r="S1399" s="109" t="s">
        <v>2209</v>
      </c>
      <c r="T1399" s="107" t="s">
        <v>432</v>
      </c>
      <c r="U1399" s="107" t="s">
        <v>432</v>
      </c>
      <c r="V1399" s="109" t="s">
        <v>2209</v>
      </c>
      <c r="W1399" s="107" t="s">
        <v>432</v>
      </c>
      <c r="X1399" s="107" t="s">
        <v>432</v>
      </c>
      <c r="Y1399" s="107" t="s">
        <v>432</v>
      </c>
      <c r="Z1399" s="107" t="s">
        <v>432</v>
      </c>
      <c r="AA1399" s="107" t="s">
        <v>432</v>
      </c>
      <c r="AB1399" s="107" t="s">
        <v>432</v>
      </c>
      <c r="AC1399" s="107" t="s">
        <v>432</v>
      </c>
      <c r="AD1399" s="107" t="s">
        <v>432</v>
      </c>
      <c r="AE1399" s="107" t="s">
        <v>432</v>
      </c>
      <c r="AF1399" s="107" t="s">
        <v>432</v>
      </c>
      <c r="AG1399" s="107" t="s">
        <v>432</v>
      </c>
      <c r="AH1399" s="107" t="s">
        <v>432</v>
      </c>
      <c r="AI1399" s="107" t="s">
        <v>432</v>
      </c>
      <c r="AJ1399" s="107" t="s">
        <v>432</v>
      </c>
      <c r="AK1399" s="137" t="s">
        <v>432</v>
      </c>
      <c r="AL1399" s="601" t="s">
        <v>432</v>
      </c>
      <c r="AM1399" s="137" t="s">
        <v>432</v>
      </c>
      <c r="AN1399" s="137" t="s">
        <v>432</v>
      </c>
      <c r="AO1399" s="137" t="s">
        <v>432</v>
      </c>
      <c r="AP1399" s="137" t="s">
        <v>432</v>
      </c>
      <c r="AQ1399" s="137" t="s">
        <v>432</v>
      </c>
      <c r="AR1399" s="137" t="s">
        <v>432</v>
      </c>
      <c r="AS1399" s="137" t="s">
        <v>432</v>
      </c>
      <c r="AT1399" s="137" t="s">
        <v>432</v>
      </c>
      <c r="AU1399" s="137" t="s">
        <v>432</v>
      </c>
      <c r="AV1399" s="137" t="s">
        <v>432</v>
      </c>
      <c r="AW1399" s="137" t="s">
        <v>432</v>
      </c>
      <c r="AX1399" s="137" t="s">
        <v>432</v>
      </c>
      <c r="AY1399" s="137" t="s">
        <v>432</v>
      </c>
      <c r="AZ1399" s="137" t="s">
        <v>432</v>
      </c>
      <c r="BA1399" s="137" t="s">
        <v>432</v>
      </c>
      <c r="BB1399" s="239" t="str">
        <f t="shared" si="379"/>
        <v>geralx</v>
      </c>
      <c r="BC1399" s="239" t="str">
        <f t="shared" si="380"/>
        <v>geralxsigla/verbete</v>
      </c>
      <c r="BD1399" s="239" t="str">
        <f t="shared" si="381"/>
        <v>geralsigla/verbete</v>
      </c>
    </row>
    <row r="1400" spans="1:56" s="1" customFormat="1" ht="53.25" customHeight="1" x14ac:dyDescent="0.25">
      <c r="A1400" s="262" t="s">
        <v>432</v>
      </c>
      <c r="B1400" s="252" t="s">
        <v>742</v>
      </c>
      <c r="C1400" s="167" t="s">
        <v>432</v>
      </c>
      <c r="D1400" s="324" t="s">
        <v>4954</v>
      </c>
      <c r="E1400" s="1496" t="s">
        <v>2272</v>
      </c>
      <c r="F1400" s="252" t="s">
        <v>6093</v>
      </c>
      <c r="G1400" s="167" t="s">
        <v>3507</v>
      </c>
      <c r="H1400" s="167" t="s">
        <v>2408</v>
      </c>
      <c r="I1400" s="167" t="s">
        <v>432</v>
      </c>
      <c r="J1400" s="107" t="s">
        <v>432</v>
      </c>
      <c r="K1400" s="107" t="s">
        <v>432</v>
      </c>
      <c r="L1400" s="107" t="s">
        <v>432</v>
      </c>
      <c r="M1400" s="107" t="s">
        <v>432</v>
      </c>
      <c r="N1400" s="107" t="s">
        <v>432</v>
      </c>
      <c r="O1400" s="107" t="s">
        <v>432</v>
      </c>
      <c r="P1400" s="107" t="s">
        <v>432</v>
      </c>
      <c r="Q1400" s="107" t="s">
        <v>432</v>
      </c>
      <c r="R1400" s="107" t="s">
        <v>432</v>
      </c>
      <c r="S1400" s="109" t="s">
        <v>2209</v>
      </c>
      <c r="T1400" s="107" t="s">
        <v>432</v>
      </c>
      <c r="U1400" s="107" t="s">
        <v>432</v>
      </c>
      <c r="V1400" s="109" t="s">
        <v>2209</v>
      </c>
      <c r="W1400" s="107" t="s">
        <v>432</v>
      </c>
      <c r="X1400" s="107" t="s">
        <v>432</v>
      </c>
      <c r="Y1400" s="107" t="s">
        <v>432</v>
      </c>
      <c r="Z1400" s="107" t="s">
        <v>432</v>
      </c>
      <c r="AA1400" s="107" t="s">
        <v>432</v>
      </c>
      <c r="AB1400" s="107" t="s">
        <v>432</v>
      </c>
      <c r="AC1400" s="107" t="s">
        <v>432</v>
      </c>
      <c r="AD1400" s="107" t="s">
        <v>432</v>
      </c>
      <c r="AE1400" s="107" t="s">
        <v>432</v>
      </c>
      <c r="AF1400" s="107" t="s">
        <v>432</v>
      </c>
      <c r="AG1400" s="107" t="s">
        <v>432</v>
      </c>
      <c r="AH1400" s="107" t="s">
        <v>432</v>
      </c>
      <c r="AI1400" s="107" t="s">
        <v>432</v>
      </c>
      <c r="AJ1400" s="107" t="s">
        <v>432</v>
      </c>
      <c r="AK1400" s="137" t="s">
        <v>432</v>
      </c>
      <c r="AL1400" s="601" t="s">
        <v>432</v>
      </c>
      <c r="AM1400" s="137" t="s">
        <v>432</v>
      </c>
      <c r="AN1400" s="137" t="s">
        <v>432</v>
      </c>
      <c r="AO1400" s="137" t="s">
        <v>432</v>
      </c>
      <c r="AP1400" s="137" t="s">
        <v>432</v>
      </c>
      <c r="AQ1400" s="137" t="s">
        <v>432</v>
      </c>
      <c r="AR1400" s="137" t="s">
        <v>432</v>
      </c>
      <c r="AS1400" s="137" t="s">
        <v>432</v>
      </c>
      <c r="AT1400" s="137" t="s">
        <v>432</v>
      </c>
      <c r="AU1400" s="137" t="s">
        <v>432</v>
      </c>
      <c r="AV1400" s="137" t="s">
        <v>432</v>
      </c>
      <c r="AW1400" s="137" t="s">
        <v>432</v>
      </c>
      <c r="AX1400" s="137" t="s">
        <v>432</v>
      </c>
      <c r="AY1400" s="137" t="s">
        <v>432</v>
      </c>
      <c r="AZ1400" s="137" t="s">
        <v>432</v>
      </c>
      <c r="BA1400" s="137" t="s">
        <v>432</v>
      </c>
      <c r="BB1400" s="239" t="str">
        <f t="shared" si="379"/>
        <v>geralx</v>
      </c>
      <c r="BC1400" s="239" t="str">
        <f t="shared" si="380"/>
        <v>geralxsigla/verbete</v>
      </c>
      <c r="BD1400" s="239" t="str">
        <f t="shared" si="381"/>
        <v>geralsigla/verbete</v>
      </c>
    </row>
    <row r="1401" spans="1:56" s="1" customFormat="1" ht="53.25" customHeight="1" x14ac:dyDescent="0.25">
      <c r="A1401" s="262" t="s">
        <v>432</v>
      </c>
      <c r="B1401" s="252" t="s">
        <v>742</v>
      </c>
      <c r="C1401" s="167" t="s">
        <v>432</v>
      </c>
      <c r="D1401" s="324" t="s">
        <v>4955</v>
      </c>
      <c r="E1401" s="1496" t="s">
        <v>2272</v>
      </c>
      <c r="F1401" s="252" t="s">
        <v>6094</v>
      </c>
      <c r="G1401" s="167" t="s">
        <v>3507</v>
      </c>
      <c r="H1401" s="167" t="s">
        <v>2408</v>
      </c>
      <c r="I1401" s="167" t="s">
        <v>432</v>
      </c>
      <c r="J1401" s="107" t="s">
        <v>432</v>
      </c>
      <c r="K1401" s="107" t="s">
        <v>432</v>
      </c>
      <c r="L1401" s="107" t="s">
        <v>432</v>
      </c>
      <c r="M1401" s="107" t="s">
        <v>432</v>
      </c>
      <c r="N1401" s="107" t="s">
        <v>432</v>
      </c>
      <c r="O1401" s="107" t="s">
        <v>432</v>
      </c>
      <c r="P1401" s="107" t="s">
        <v>432</v>
      </c>
      <c r="Q1401" s="107" t="s">
        <v>432</v>
      </c>
      <c r="R1401" s="107" t="s">
        <v>432</v>
      </c>
      <c r="S1401" s="109" t="s">
        <v>2209</v>
      </c>
      <c r="T1401" s="107" t="s">
        <v>432</v>
      </c>
      <c r="U1401" s="107" t="s">
        <v>432</v>
      </c>
      <c r="V1401" s="109" t="s">
        <v>2209</v>
      </c>
      <c r="W1401" s="107" t="s">
        <v>432</v>
      </c>
      <c r="X1401" s="107" t="s">
        <v>432</v>
      </c>
      <c r="Y1401" s="107" t="s">
        <v>432</v>
      </c>
      <c r="Z1401" s="107" t="s">
        <v>432</v>
      </c>
      <c r="AA1401" s="107" t="s">
        <v>432</v>
      </c>
      <c r="AB1401" s="107" t="s">
        <v>432</v>
      </c>
      <c r="AC1401" s="107" t="s">
        <v>432</v>
      </c>
      <c r="AD1401" s="107" t="s">
        <v>432</v>
      </c>
      <c r="AE1401" s="107" t="s">
        <v>432</v>
      </c>
      <c r="AF1401" s="107" t="s">
        <v>432</v>
      </c>
      <c r="AG1401" s="107" t="s">
        <v>432</v>
      </c>
      <c r="AH1401" s="107" t="s">
        <v>432</v>
      </c>
      <c r="AI1401" s="107" t="s">
        <v>432</v>
      </c>
      <c r="AJ1401" s="107" t="s">
        <v>432</v>
      </c>
      <c r="AK1401" s="137" t="s">
        <v>432</v>
      </c>
      <c r="AL1401" s="601" t="s">
        <v>432</v>
      </c>
      <c r="AM1401" s="137" t="s">
        <v>432</v>
      </c>
      <c r="AN1401" s="137" t="s">
        <v>432</v>
      </c>
      <c r="AO1401" s="137" t="s">
        <v>432</v>
      </c>
      <c r="AP1401" s="137" t="s">
        <v>432</v>
      </c>
      <c r="AQ1401" s="137" t="s">
        <v>432</v>
      </c>
      <c r="AR1401" s="137" t="s">
        <v>432</v>
      </c>
      <c r="AS1401" s="137" t="s">
        <v>432</v>
      </c>
      <c r="AT1401" s="137" t="s">
        <v>432</v>
      </c>
      <c r="AU1401" s="137" t="s">
        <v>432</v>
      </c>
      <c r="AV1401" s="137" t="s">
        <v>432</v>
      </c>
      <c r="AW1401" s="137" t="s">
        <v>432</v>
      </c>
      <c r="AX1401" s="137" t="s">
        <v>432</v>
      </c>
      <c r="AY1401" s="137" t="s">
        <v>432</v>
      </c>
      <c r="AZ1401" s="137" t="s">
        <v>432</v>
      </c>
      <c r="BA1401" s="137" t="s">
        <v>432</v>
      </c>
      <c r="BB1401" s="239" t="str">
        <f t="shared" si="379"/>
        <v>geralx</v>
      </c>
      <c r="BC1401" s="239" t="str">
        <f t="shared" si="380"/>
        <v>geralxsigla/verbete</v>
      </c>
      <c r="BD1401" s="239" t="str">
        <f t="shared" si="381"/>
        <v>geralsigla/verbete</v>
      </c>
    </row>
    <row r="1402" spans="1:56" s="1" customFormat="1" ht="53.25" customHeight="1" x14ac:dyDescent="0.25">
      <c r="A1402" s="262" t="s">
        <v>432</v>
      </c>
      <c r="B1402" s="252" t="s">
        <v>742</v>
      </c>
      <c r="C1402" s="167" t="s">
        <v>432</v>
      </c>
      <c r="D1402" s="324" t="s">
        <v>4957</v>
      </c>
      <c r="E1402" s="1496" t="s">
        <v>2272</v>
      </c>
      <c r="F1402" s="252" t="s">
        <v>6095</v>
      </c>
      <c r="G1402" s="167" t="s">
        <v>3507</v>
      </c>
      <c r="H1402" s="167" t="s">
        <v>2408</v>
      </c>
      <c r="I1402" s="167" t="s">
        <v>432</v>
      </c>
      <c r="J1402" s="107" t="s">
        <v>432</v>
      </c>
      <c r="K1402" s="107" t="s">
        <v>432</v>
      </c>
      <c r="L1402" s="107" t="s">
        <v>432</v>
      </c>
      <c r="M1402" s="107" t="s">
        <v>432</v>
      </c>
      <c r="N1402" s="107" t="s">
        <v>432</v>
      </c>
      <c r="O1402" s="107" t="s">
        <v>432</v>
      </c>
      <c r="P1402" s="107" t="s">
        <v>432</v>
      </c>
      <c r="Q1402" s="107" t="s">
        <v>432</v>
      </c>
      <c r="R1402" s="107" t="s">
        <v>432</v>
      </c>
      <c r="S1402" s="109" t="s">
        <v>2209</v>
      </c>
      <c r="T1402" s="107" t="s">
        <v>432</v>
      </c>
      <c r="U1402" s="107" t="s">
        <v>432</v>
      </c>
      <c r="V1402" s="109" t="s">
        <v>2209</v>
      </c>
      <c r="W1402" s="107" t="s">
        <v>432</v>
      </c>
      <c r="X1402" s="107" t="s">
        <v>432</v>
      </c>
      <c r="Y1402" s="107" t="s">
        <v>432</v>
      </c>
      <c r="Z1402" s="107" t="s">
        <v>432</v>
      </c>
      <c r="AA1402" s="107" t="s">
        <v>432</v>
      </c>
      <c r="AB1402" s="107" t="s">
        <v>432</v>
      </c>
      <c r="AC1402" s="107" t="s">
        <v>432</v>
      </c>
      <c r="AD1402" s="107" t="s">
        <v>432</v>
      </c>
      <c r="AE1402" s="107" t="s">
        <v>432</v>
      </c>
      <c r="AF1402" s="107" t="s">
        <v>432</v>
      </c>
      <c r="AG1402" s="107" t="s">
        <v>432</v>
      </c>
      <c r="AH1402" s="107" t="s">
        <v>432</v>
      </c>
      <c r="AI1402" s="107" t="s">
        <v>432</v>
      </c>
      <c r="AJ1402" s="107" t="s">
        <v>432</v>
      </c>
      <c r="AK1402" s="137" t="s">
        <v>432</v>
      </c>
      <c r="AL1402" s="601" t="s">
        <v>432</v>
      </c>
      <c r="AM1402" s="137" t="s">
        <v>432</v>
      </c>
      <c r="AN1402" s="137" t="s">
        <v>432</v>
      </c>
      <c r="AO1402" s="137" t="s">
        <v>432</v>
      </c>
      <c r="AP1402" s="137" t="s">
        <v>432</v>
      </c>
      <c r="AQ1402" s="137" t="s">
        <v>432</v>
      </c>
      <c r="AR1402" s="137" t="s">
        <v>432</v>
      </c>
      <c r="AS1402" s="137" t="s">
        <v>432</v>
      </c>
      <c r="AT1402" s="137" t="s">
        <v>432</v>
      </c>
      <c r="AU1402" s="137" t="s">
        <v>432</v>
      </c>
      <c r="AV1402" s="137" t="s">
        <v>432</v>
      </c>
      <c r="AW1402" s="137" t="s">
        <v>432</v>
      </c>
      <c r="AX1402" s="137" t="s">
        <v>432</v>
      </c>
      <c r="AY1402" s="137" t="s">
        <v>432</v>
      </c>
      <c r="AZ1402" s="137" t="s">
        <v>432</v>
      </c>
      <c r="BA1402" s="137" t="s">
        <v>432</v>
      </c>
      <c r="BB1402" s="239" t="str">
        <f t="shared" si="379"/>
        <v>geralx</v>
      </c>
      <c r="BC1402" s="239" t="str">
        <f t="shared" si="380"/>
        <v>geralxsigla/verbete</v>
      </c>
      <c r="BD1402" s="239" t="str">
        <f t="shared" si="381"/>
        <v>geralsigla/verbete</v>
      </c>
    </row>
    <row r="1403" spans="1:56" s="1" customFormat="1" ht="53.25" customHeight="1" x14ac:dyDescent="0.25">
      <c r="A1403" s="262" t="s">
        <v>432</v>
      </c>
      <c r="B1403" s="252" t="s">
        <v>742</v>
      </c>
      <c r="C1403" s="167" t="s">
        <v>432</v>
      </c>
      <c r="D1403" s="324" t="s">
        <v>4958</v>
      </c>
      <c r="E1403" s="1496" t="s">
        <v>2272</v>
      </c>
      <c r="F1403" s="252" t="s">
        <v>6096</v>
      </c>
      <c r="G1403" s="167" t="s">
        <v>3507</v>
      </c>
      <c r="H1403" s="167" t="s">
        <v>2408</v>
      </c>
      <c r="I1403" s="167" t="s">
        <v>432</v>
      </c>
      <c r="J1403" s="107" t="s">
        <v>432</v>
      </c>
      <c r="K1403" s="107" t="s">
        <v>432</v>
      </c>
      <c r="L1403" s="107" t="s">
        <v>432</v>
      </c>
      <c r="M1403" s="107" t="s">
        <v>432</v>
      </c>
      <c r="N1403" s="107" t="s">
        <v>432</v>
      </c>
      <c r="O1403" s="107" t="s">
        <v>432</v>
      </c>
      <c r="P1403" s="107" t="s">
        <v>432</v>
      </c>
      <c r="Q1403" s="107" t="s">
        <v>432</v>
      </c>
      <c r="R1403" s="107" t="s">
        <v>432</v>
      </c>
      <c r="S1403" s="109" t="s">
        <v>2209</v>
      </c>
      <c r="T1403" s="107" t="s">
        <v>432</v>
      </c>
      <c r="U1403" s="107" t="s">
        <v>432</v>
      </c>
      <c r="V1403" s="109" t="s">
        <v>2209</v>
      </c>
      <c r="W1403" s="107" t="s">
        <v>432</v>
      </c>
      <c r="X1403" s="107" t="s">
        <v>432</v>
      </c>
      <c r="Y1403" s="107" t="s">
        <v>432</v>
      </c>
      <c r="Z1403" s="107" t="s">
        <v>432</v>
      </c>
      <c r="AA1403" s="107" t="s">
        <v>432</v>
      </c>
      <c r="AB1403" s="107" t="s">
        <v>432</v>
      </c>
      <c r="AC1403" s="107" t="s">
        <v>432</v>
      </c>
      <c r="AD1403" s="107" t="s">
        <v>432</v>
      </c>
      <c r="AE1403" s="107" t="s">
        <v>432</v>
      </c>
      <c r="AF1403" s="107" t="s">
        <v>432</v>
      </c>
      <c r="AG1403" s="107" t="s">
        <v>432</v>
      </c>
      <c r="AH1403" s="107" t="s">
        <v>432</v>
      </c>
      <c r="AI1403" s="107" t="s">
        <v>432</v>
      </c>
      <c r="AJ1403" s="107" t="s">
        <v>432</v>
      </c>
      <c r="AK1403" s="137" t="s">
        <v>432</v>
      </c>
      <c r="AL1403" s="601" t="s">
        <v>432</v>
      </c>
      <c r="AM1403" s="137" t="s">
        <v>432</v>
      </c>
      <c r="AN1403" s="137" t="s">
        <v>432</v>
      </c>
      <c r="AO1403" s="137" t="s">
        <v>432</v>
      </c>
      <c r="AP1403" s="137" t="s">
        <v>432</v>
      </c>
      <c r="AQ1403" s="137" t="s">
        <v>432</v>
      </c>
      <c r="AR1403" s="137" t="s">
        <v>432</v>
      </c>
      <c r="AS1403" s="137" t="s">
        <v>432</v>
      </c>
      <c r="AT1403" s="137" t="s">
        <v>432</v>
      </c>
      <c r="AU1403" s="137" t="s">
        <v>432</v>
      </c>
      <c r="AV1403" s="137" t="s">
        <v>432</v>
      </c>
      <c r="AW1403" s="137" t="s">
        <v>432</v>
      </c>
      <c r="AX1403" s="137" t="s">
        <v>432</v>
      </c>
      <c r="AY1403" s="137" t="s">
        <v>432</v>
      </c>
      <c r="AZ1403" s="137" t="s">
        <v>432</v>
      </c>
      <c r="BA1403" s="137" t="s">
        <v>432</v>
      </c>
      <c r="BB1403" s="239" t="str">
        <f t="shared" si="379"/>
        <v>geralx</v>
      </c>
      <c r="BC1403" s="239" t="str">
        <f t="shared" si="380"/>
        <v>geralxsigla/verbete</v>
      </c>
      <c r="BD1403" s="239" t="str">
        <f t="shared" si="381"/>
        <v>geralsigla/verbete</v>
      </c>
    </row>
    <row r="1404" spans="1:56" s="1" customFormat="1" ht="53.25" customHeight="1" x14ac:dyDescent="0.25">
      <c r="A1404" s="262" t="s">
        <v>432</v>
      </c>
      <c r="B1404" s="252" t="s">
        <v>742</v>
      </c>
      <c r="C1404" s="167" t="s">
        <v>432</v>
      </c>
      <c r="D1404" s="324" t="s">
        <v>4959</v>
      </c>
      <c r="E1404" s="1496" t="s">
        <v>2272</v>
      </c>
      <c r="F1404" s="252" t="s">
        <v>6097</v>
      </c>
      <c r="G1404" s="167" t="s">
        <v>3507</v>
      </c>
      <c r="H1404" s="167" t="s">
        <v>2408</v>
      </c>
      <c r="I1404" s="167" t="s">
        <v>432</v>
      </c>
      <c r="J1404" s="107" t="s">
        <v>432</v>
      </c>
      <c r="K1404" s="107" t="s">
        <v>432</v>
      </c>
      <c r="L1404" s="107" t="s">
        <v>432</v>
      </c>
      <c r="M1404" s="107" t="s">
        <v>432</v>
      </c>
      <c r="N1404" s="107" t="s">
        <v>432</v>
      </c>
      <c r="O1404" s="107" t="s">
        <v>432</v>
      </c>
      <c r="P1404" s="107" t="s">
        <v>432</v>
      </c>
      <c r="Q1404" s="107" t="s">
        <v>432</v>
      </c>
      <c r="R1404" s="107" t="s">
        <v>432</v>
      </c>
      <c r="S1404" s="109" t="s">
        <v>2209</v>
      </c>
      <c r="T1404" s="107" t="s">
        <v>432</v>
      </c>
      <c r="U1404" s="107" t="s">
        <v>432</v>
      </c>
      <c r="V1404" s="109" t="s">
        <v>2209</v>
      </c>
      <c r="W1404" s="107" t="s">
        <v>432</v>
      </c>
      <c r="X1404" s="107" t="s">
        <v>432</v>
      </c>
      <c r="Y1404" s="107" t="s">
        <v>432</v>
      </c>
      <c r="Z1404" s="107" t="s">
        <v>432</v>
      </c>
      <c r="AA1404" s="107" t="s">
        <v>432</v>
      </c>
      <c r="AB1404" s="107" t="s">
        <v>432</v>
      </c>
      <c r="AC1404" s="107" t="s">
        <v>432</v>
      </c>
      <c r="AD1404" s="107" t="s">
        <v>432</v>
      </c>
      <c r="AE1404" s="107" t="s">
        <v>432</v>
      </c>
      <c r="AF1404" s="107" t="s">
        <v>432</v>
      </c>
      <c r="AG1404" s="107" t="s">
        <v>432</v>
      </c>
      <c r="AH1404" s="107" t="s">
        <v>432</v>
      </c>
      <c r="AI1404" s="107" t="s">
        <v>432</v>
      </c>
      <c r="AJ1404" s="107" t="s">
        <v>432</v>
      </c>
      <c r="AK1404" s="137" t="s">
        <v>432</v>
      </c>
      <c r="AL1404" s="601" t="s">
        <v>432</v>
      </c>
      <c r="AM1404" s="137" t="s">
        <v>432</v>
      </c>
      <c r="AN1404" s="137" t="s">
        <v>432</v>
      </c>
      <c r="AO1404" s="137" t="s">
        <v>432</v>
      </c>
      <c r="AP1404" s="137" t="s">
        <v>432</v>
      </c>
      <c r="AQ1404" s="137" t="s">
        <v>432</v>
      </c>
      <c r="AR1404" s="137" t="s">
        <v>432</v>
      </c>
      <c r="AS1404" s="137" t="s">
        <v>432</v>
      </c>
      <c r="AT1404" s="137" t="s">
        <v>432</v>
      </c>
      <c r="AU1404" s="137" t="s">
        <v>432</v>
      </c>
      <c r="AV1404" s="137" t="s">
        <v>432</v>
      </c>
      <c r="AW1404" s="137" t="s">
        <v>432</v>
      </c>
      <c r="AX1404" s="137" t="s">
        <v>432</v>
      </c>
      <c r="AY1404" s="137" t="s">
        <v>432</v>
      </c>
      <c r="AZ1404" s="137" t="s">
        <v>432</v>
      </c>
      <c r="BA1404" s="137" t="s">
        <v>432</v>
      </c>
      <c r="BB1404" s="239" t="str">
        <f t="shared" si="379"/>
        <v>geralx</v>
      </c>
      <c r="BC1404" s="239" t="str">
        <f t="shared" si="380"/>
        <v>geralxsigla/verbete</v>
      </c>
      <c r="BD1404" s="239" t="str">
        <f t="shared" si="381"/>
        <v>geralsigla/verbete</v>
      </c>
    </row>
    <row r="1405" spans="1:56" s="1" customFormat="1" ht="53.25" customHeight="1" x14ac:dyDescent="0.25">
      <c r="A1405" s="262" t="s">
        <v>432</v>
      </c>
      <c r="B1405" s="252" t="s">
        <v>742</v>
      </c>
      <c r="C1405" s="167" t="s">
        <v>432</v>
      </c>
      <c r="D1405" s="324" t="s">
        <v>4960</v>
      </c>
      <c r="E1405" s="1496" t="s">
        <v>2272</v>
      </c>
      <c r="F1405" s="252" t="s">
        <v>6098</v>
      </c>
      <c r="G1405" s="167" t="s">
        <v>3507</v>
      </c>
      <c r="H1405" s="167" t="s">
        <v>2408</v>
      </c>
      <c r="I1405" s="167" t="s">
        <v>432</v>
      </c>
      <c r="J1405" s="107" t="s">
        <v>432</v>
      </c>
      <c r="K1405" s="107" t="s">
        <v>432</v>
      </c>
      <c r="L1405" s="107" t="s">
        <v>432</v>
      </c>
      <c r="M1405" s="107" t="s">
        <v>432</v>
      </c>
      <c r="N1405" s="107" t="s">
        <v>432</v>
      </c>
      <c r="O1405" s="107" t="s">
        <v>432</v>
      </c>
      <c r="P1405" s="107" t="s">
        <v>432</v>
      </c>
      <c r="Q1405" s="107" t="s">
        <v>432</v>
      </c>
      <c r="R1405" s="107" t="s">
        <v>432</v>
      </c>
      <c r="S1405" s="109" t="s">
        <v>2209</v>
      </c>
      <c r="T1405" s="107" t="s">
        <v>432</v>
      </c>
      <c r="U1405" s="107" t="s">
        <v>432</v>
      </c>
      <c r="V1405" s="109" t="s">
        <v>2209</v>
      </c>
      <c r="W1405" s="107" t="s">
        <v>432</v>
      </c>
      <c r="X1405" s="107" t="s">
        <v>432</v>
      </c>
      <c r="Y1405" s="107" t="s">
        <v>432</v>
      </c>
      <c r="Z1405" s="107" t="s">
        <v>432</v>
      </c>
      <c r="AA1405" s="107" t="s">
        <v>432</v>
      </c>
      <c r="AB1405" s="107" t="s">
        <v>432</v>
      </c>
      <c r="AC1405" s="107" t="s">
        <v>432</v>
      </c>
      <c r="AD1405" s="107" t="s">
        <v>432</v>
      </c>
      <c r="AE1405" s="107" t="s">
        <v>432</v>
      </c>
      <c r="AF1405" s="107" t="s">
        <v>432</v>
      </c>
      <c r="AG1405" s="107" t="s">
        <v>432</v>
      </c>
      <c r="AH1405" s="107" t="s">
        <v>432</v>
      </c>
      <c r="AI1405" s="107" t="s">
        <v>432</v>
      </c>
      <c r="AJ1405" s="107" t="s">
        <v>432</v>
      </c>
      <c r="AK1405" s="137" t="s">
        <v>432</v>
      </c>
      <c r="AL1405" s="601" t="s">
        <v>432</v>
      </c>
      <c r="AM1405" s="137" t="s">
        <v>432</v>
      </c>
      <c r="AN1405" s="137" t="s">
        <v>432</v>
      </c>
      <c r="AO1405" s="137" t="s">
        <v>432</v>
      </c>
      <c r="AP1405" s="137" t="s">
        <v>432</v>
      </c>
      <c r="AQ1405" s="137" t="s">
        <v>432</v>
      </c>
      <c r="AR1405" s="137" t="s">
        <v>432</v>
      </c>
      <c r="AS1405" s="137" t="s">
        <v>432</v>
      </c>
      <c r="AT1405" s="137" t="s">
        <v>432</v>
      </c>
      <c r="AU1405" s="137" t="s">
        <v>432</v>
      </c>
      <c r="AV1405" s="137" t="s">
        <v>432</v>
      </c>
      <c r="AW1405" s="137" t="s">
        <v>432</v>
      </c>
      <c r="AX1405" s="137" t="s">
        <v>432</v>
      </c>
      <c r="AY1405" s="137" t="s">
        <v>432</v>
      </c>
      <c r="AZ1405" s="137" t="s">
        <v>432</v>
      </c>
      <c r="BA1405" s="137" t="s">
        <v>432</v>
      </c>
      <c r="BB1405" s="239" t="str">
        <f t="shared" si="379"/>
        <v>geralx</v>
      </c>
      <c r="BC1405" s="239" t="str">
        <f t="shared" si="380"/>
        <v>geralxsigla/verbete</v>
      </c>
      <c r="BD1405" s="239" t="str">
        <f t="shared" si="381"/>
        <v>geralsigla/verbete</v>
      </c>
    </row>
    <row r="1406" spans="1:56" s="1" customFormat="1" ht="53.25" customHeight="1" x14ac:dyDescent="0.25">
      <c r="A1406" s="262" t="s">
        <v>432</v>
      </c>
      <c r="B1406" s="252" t="s">
        <v>742</v>
      </c>
      <c r="C1406" s="167" t="s">
        <v>432</v>
      </c>
      <c r="D1406" s="324" t="s">
        <v>4961</v>
      </c>
      <c r="E1406" s="1496" t="s">
        <v>2272</v>
      </c>
      <c r="F1406" s="252" t="s">
        <v>6099</v>
      </c>
      <c r="G1406" s="167" t="s">
        <v>3507</v>
      </c>
      <c r="H1406" s="167" t="s">
        <v>2408</v>
      </c>
      <c r="I1406" s="167" t="s">
        <v>432</v>
      </c>
      <c r="J1406" s="107" t="s">
        <v>432</v>
      </c>
      <c r="K1406" s="107" t="s">
        <v>432</v>
      </c>
      <c r="L1406" s="107" t="s">
        <v>432</v>
      </c>
      <c r="M1406" s="107" t="s">
        <v>432</v>
      </c>
      <c r="N1406" s="107" t="s">
        <v>432</v>
      </c>
      <c r="O1406" s="107" t="s">
        <v>432</v>
      </c>
      <c r="P1406" s="107" t="s">
        <v>432</v>
      </c>
      <c r="Q1406" s="107" t="s">
        <v>432</v>
      </c>
      <c r="R1406" s="107" t="s">
        <v>432</v>
      </c>
      <c r="S1406" s="109" t="s">
        <v>2209</v>
      </c>
      <c r="T1406" s="107" t="s">
        <v>432</v>
      </c>
      <c r="U1406" s="107" t="s">
        <v>432</v>
      </c>
      <c r="V1406" s="109" t="s">
        <v>2209</v>
      </c>
      <c r="W1406" s="107" t="s">
        <v>432</v>
      </c>
      <c r="X1406" s="107" t="s">
        <v>432</v>
      </c>
      <c r="Y1406" s="107" t="s">
        <v>432</v>
      </c>
      <c r="Z1406" s="107" t="s">
        <v>432</v>
      </c>
      <c r="AA1406" s="107" t="s">
        <v>432</v>
      </c>
      <c r="AB1406" s="107" t="s">
        <v>432</v>
      </c>
      <c r="AC1406" s="107" t="s">
        <v>432</v>
      </c>
      <c r="AD1406" s="107" t="s">
        <v>432</v>
      </c>
      <c r="AE1406" s="107" t="s">
        <v>432</v>
      </c>
      <c r="AF1406" s="107" t="s">
        <v>432</v>
      </c>
      <c r="AG1406" s="107" t="s">
        <v>432</v>
      </c>
      <c r="AH1406" s="107" t="s">
        <v>432</v>
      </c>
      <c r="AI1406" s="107" t="s">
        <v>432</v>
      </c>
      <c r="AJ1406" s="107" t="s">
        <v>432</v>
      </c>
      <c r="AK1406" s="137" t="s">
        <v>432</v>
      </c>
      <c r="AL1406" s="601" t="s">
        <v>432</v>
      </c>
      <c r="AM1406" s="137" t="s">
        <v>432</v>
      </c>
      <c r="AN1406" s="137" t="s">
        <v>432</v>
      </c>
      <c r="AO1406" s="137" t="s">
        <v>432</v>
      </c>
      <c r="AP1406" s="137" t="s">
        <v>432</v>
      </c>
      <c r="AQ1406" s="137" t="s">
        <v>432</v>
      </c>
      <c r="AR1406" s="137" t="s">
        <v>432</v>
      </c>
      <c r="AS1406" s="137" t="s">
        <v>432</v>
      </c>
      <c r="AT1406" s="137" t="s">
        <v>432</v>
      </c>
      <c r="AU1406" s="137" t="s">
        <v>432</v>
      </c>
      <c r="AV1406" s="137" t="s">
        <v>432</v>
      </c>
      <c r="AW1406" s="137" t="s">
        <v>432</v>
      </c>
      <c r="AX1406" s="137" t="s">
        <v>432</v>
      </c>
      <c r="AY1406" s="137" t="s">
        <v>432</v>
      </c>
      <c r="AZ1406" s="137" t="s">
        <v>432</v>
      </c>
      <c r="BA1406" s="137" t="s">
        <v>432</v>
      </c>
      <c r="BB1406" s="239" t="str">
        <f t="shared" si="379"/>
        <v>geralx</v>
      </c>
      <c r="BC1406" s="239" t="str">
        <f t="shared" si="380"/>
        <v>geralxsigla/verbete</v>
      </c>
      <c r="BD1406" s="239" t="str">
        <f t="shared" si="381"/>
        <v>geralsigla/verbete</v>
      </c>
    </row>
    <row r="1407" spans="1:56" s="1" customFormat="1" ht="53.25" customHeight="1" x14ac:dyDescent="0.25">
      <c r="A1407" s="262" t="s">
        <v>432</v>
      </c>
      <c r="B1407" s="252" t="s">
        <v>742</v>
      </c>
      <c r="C1407" s="167" t="s">
        <v>432</v>
      </c>
      <c r="D1407" s="324" t="s">
        <v>4962</v>
      </c>
      <c r="E1407" s="1496" t="s">
        <v>2272</v>
      </c>
      <c r="F1407" s="252" t="s">
        <v>6100</v>
      </c>
      <c r="G1407" s="167" t="s">
        <v>3507</v>
      </c>
      <c r="H1407" s="167" t="s">
        <v>2408</v>
      </c>
      <c r="I1407" s="167" t="s">
        <v>432</v>
      </c>
      <c r="J1407" s="107" t="s">
        <v>432</v>
      </c>
      <c r="K1407" s="107" t="s">
        <v>432</v>
      </c>
      <c r="L1407" s="107" t="s">
        <v>432</v>
      </c>
      <c r="M1407" s="107" t="s">
        <v>432</v>
      </c>
      <c r="N1407" s="107" t="s">
        <v>432</v>
      </c>
      <c r="O1407" s="107" t="s">
        <v>432</v>
      </c>
      <c r="P1407" s="107" t="s">
        <v>432</v>
      </c>
      <c r="Q1407" s="107" t="s">
        <v>432</v>
      </c>
      <c r="R1407" s="107" t="s">
        <v>432</v>
      </c>
      <c r="S1407" s="109" t="s">
        <v>2209</v>
      </c>
      <c r="T1407" s="107" t="s">
        <v>432</v>
      </c>
      <c r="U1407" s="107" t="s">
        <v>432</v>
      </c>
      <c r="V1407" s="109" t="s">
        <v>2209</v>
      </c>
      <c r="W1407" s="107" t="s">
        <v>432</v>
      </c>
      <c r="X1407" s="107" t="s">
        <v>432</v>
      </c>
      <c r="Y1407" s="107" t="s">
        <v>432</v>
      </c>
      <c r="Z1407" s="107" t="s">
        <v>432</v>
      </c>
      <c r="AA1407" s="107" t="s">
        <v>432</v>
      </c>
      <c r="AB1407" s="107" t="s">
        <v>432</v>
      </c>
      <c r="AC1407" s="107" t="s">
        <v>432</v>
      </c>
      <c r="AD1407" s="107" t="s">
        <v>432</v>
      </c>
      <c r="AE1407" s="107" t="s">
        <v>432</v>
      </c>
      <c r="AF1407" s="107" t="s">
        <v>432</v>
      </c>
      <c r="AG1407" s="107" t="s">
        <v>432</v>
      </c>
      <c r="AH1407" s="107" t="s">
        <v>432</v>
      </c>
      <c r="AI1407" s="107" t="s">
        <v>432</v>
      </c>
      <c r="AJ1407" s="107" t="s">
        <v>432</v>
      </c>
      <c r="AK1407" s="137" t="s">
        <v>432</v>
      </c>
      <c r="AL1407" s="601" t="s">
        <v>432</v>
      </c>
      <c r="AM1407" s="137" t="s">
        <v>432</v>
      </c>
      <c r="AN1407" s="137" t="s">
        <v>432</v>
      </c>
      <c r="AO1407" s="137" t="s">
        <v>432</v>
      </c>
      <c r="AP1407" s="137" t="s">
        <v>432</v>
      </c>
      <c r="AQ1407" s="137" t="s">
        <v>432</v>
      </c>
      <c r="AR1407" s="137" t="s">
        <v>432</v>
      </c>
      <c r="AS1407" s="137" t="s">
        <v>432</v>
      </c>
      <c r="AT1407" s="137" t="s">
        <v>432</v>
      </c>
      <c r="AU1407" s="137" t="s">
        <v>432</v>
      </c>
      <c r="AV1407" s="137" t="s">
        <v>432</v>
      </c>
      <c r="AW1407" s="137" t="s">
        <v>432</v>
      </c>
      <c r="AX1407" s="137" t="s">
        <v>432</v>
      </c>
      <c r="AY1407" s="137" t="s">
        <v>432</v>
      </c>
      <c r="AZ1407" s="137" t="s">
        <v>432</v>
      </c>
      <c r="BA1407" s="137" t="s">
        <v>432</v>
      </c>
      <c r="BB1407" s="239" t="str">
        <f t="shared" si="379"/>
        <v>geralx</v>
      </c>
      <c r="BC1407" s="239" t="str">
        <f t="shared" si="380"/>
        <v>geralxsigla/verbete</v>
      </c>
      <c r="BD1407" s="239" t="str">
        <f t="shared" si="381"/>
        <v>geralsigla/verbete</v>
      </c>
    </row>
    <row r="1408" spans="1:56" s="1" customFormat="1" ht="139.5" customHeight="1" x14ac:dyDescent="0.25">
      <c r="A1408" s="262" t="s">
        <v>432</v>
      </c>
      <c r="B1408" s="252" t="s">
        <v>742</v>
      </c>
      <c r="C1408" s="167" t="s">
        <v>432</v>
      </c>
      <c r="D1408" s="324" t="s">
        <v>3821</v>
      </c>
      <c r="E1408" s="1496" t="s">
        <v>432</v>
      </c>
      <c r="F1408" s="252" t="s">
        <v>3822</v>
      </c>
      <c r="G1408" s="167" t="s">
        <v>3507</v>
      </c>
      <c r="H1408" s="167" t="s">
        <v>2408</v>
      </c>
      <c r="I1408" s="167" t="s">
        <v>432</v>
      </c>
      <c r="J1408" s="107" t="s">
        <v>432</v>
      </c>
      <c r="K1408" s="107" t="s">
        <v>432</v>
      </c>
      <c r="L1408" s="107" t="s">
        <v>432</v>
      </c>
      <c r="M1408" s="107" t="s">
        <v>432</v>
      </c>
      <c r="N1408" s="107" t="s">
        <v>432</v>
      </c>
      <c r="O1408" s="107" t="s">
        <v>432</v>
      </c>
      <c r="P1408" s="107" t="s">
        <v>432</v>
      </c>
      <c r="Q1408" s="107" t="s">
        <v>432</v>
      </c>
      <c r="R1408" s="107" t="s">
        <v>432</v>
      </c>
      <c r="S1408" s="109" t="s">
        <v>2209</v>
      </c>
      <c r="T1408" s="107" t="s">
        <v>432</v>
      </c>
      <c r="U1408" s="107" t="s">
        <v>432</v>
      </c>
      <c r="V1408" s="109" t="s">
        <v>2209</v>
      </c>
      <c r="W1408" s="107" t="s">
        <v>432</v>
      </c>
      <c r="X1408" s="107" t="s">
        <v>432</v>
      </c>
      <c r="Y1408" s="107" t="s">
        <v>432</v>
      </c>
      <c r="Z1408" s="107" t="s">
        <v>432</v>
      </c>
      <c r="AA1408" s="107" t="s">
        <v>432</v>
      </c>
      <c r="AB1408" s="107" t="s">
        <v>432</v>
      </c>
      <c r="AC1408" s="107" t="s">
        <v>432</v>
      </c>
      <c r="AD1408" s="107" t="s">
        <v>432</v>
      </c>
      <c r="AE1408" s="107" t="s">
        <v>432</v>
      </c>
      <c r="AF1408" s="107" t="s">
        <v>432</v>
      </c>
      <c r="AG1408" s="107" t="s">
        <v>432</v>
      </c>
      <c r="AH1408" s="107" t="s">
        <v>432</v>
      </c>
      <c r="AI1408" s="107" t="s">
        <v>432</v>
      </c>
      <c r="AJ1408" s="107" t="s">
        <v>432</v>
      </c>
      <c r="AK1408" s="137" t="s">
        <v>432</v>
      </c>
      <c r="AL1408" s="601" t="s">
        <v>432</v>
      </c>
      <c r="AM1408" s="137" t="s">
        <v>432</v>
      </c>
      <c r="AN1408" s="137" t="s">
        <v>432</v>
      </c>
      <c r="AO1408" s="137" t="s">
        <v>432</v>
      </c>
      <c r="AP1408" s="137" t="s">
        <v>432</v>
      </c>
      <c r="AQ1408" s="137" t="s">
        <v>432</v>
      </c>
      <c r="AR1408" s="137" t="s">
        <v>432</v>
      </c>
      <c r="AS1408" s="137" t="s">
        <v>432</v>
      </c>
      <c r="AT1408" s="137" t="s">
        <v>432</v>
      </c>
      <c r="AU1408" s="137" t="s">
        <v>432</v>
      </c>
      <c r="AV1408" s="137" t="s">
        <v>432</v>
      </c>
      <c r="AW1408" s="137" t="s">
        <v>432</v>
      </c>
      <c r="AX1408" s="137" t="s">
        <v>432</v>
      </c>
      <c r="AY1408" s="137" t="s">
        <v>432</v>
      </c>
      <c r="AZ1408" s="137" t="s">
        <v>432</v>
      </c>
      <c r="BA1408" s="137" t="s">
        <v>432</v>
      </c>
      <c r="BB1408" s="239" t="str">
        <f>B1408&amp;C1408</f>
        <v>geralx</v>
      </c>
      <c r="BC1408" s="239" t="str">
        <f>B1408&amp;C1408&amp;H1408</f>
        <v>geralxsigla/verbete</v>
      </c>
      <c r="BD1408" s="239" t="str">
        <f>B1408&amp;H1408</f>
        <v>geralsigla/verbete</v>
      </c>
    </row>
    <row r="1409" spans="1:56" s="1" customFormat="1" ht="47.25" x14ac:dyDescent="0.25">
      <c r="A1409" s="262" t="str">
        <f>'Q100b-totais'!B47</f>
        <v>5.5</v>
      </c>
      <c r="B1409" s="252" t="str">
        <f>'Q100b-totais'!C47</f>
        <v>Outros meio ambiente</v>
      </c>
      <c r="C1409" s="167" t="s">
        <v>432</v>
      </c>
      <c r="D1409" s="324" t="s">
        <v>5581</v>
      </c>
      <c r="E1409" s="509" t="s">
        <v>432</v>
      </c>
      <c r="F1409" s="13" t="s">
        <v>5583</v>
      </c>
      <c r="G1409" s="167" t="s">
        <v>3507</v>
      </c>
      <c r="H1409" s="167" t="s">
        <v>2408</v>
      </c>
      <c r="I1409" s="167" t="s">
        <v>432</v>
      </c>
      <c r="J1409" s="107" t="s">
        <v>432</v>
      </c>
      <c r="K1409" s="107" t="s">
        <v>432</v>
      </c>
      <c r="L1409" s="107" t="s">
        <v>432</v>
      </c>
      <c r="M1409" s="107" t="s">
        <v>432</v>
      </c>
      <c r="N1409" s="107" t="s">
        <v>432</v>
      </c>
      <c r="O1409" s="107" t="s">
        <v>432</v>
      </c>
      <c r="P1409" s="107" t="s">
        <v>432</v>
      </c>
      <c r="Q1409" s="107" t="s">
        <v>432</v>
      </c>
      <c r="R1409" s="107" t="s">
        <v>432</v>
      </c>
      <c r="S1409" s="109" t="s">
        <v>2209</v>
      </c>
      <c r="T1409" s="107" t="s">
        <v>432</v>
      </c>
      <c r="U1409" s="107" t="s">
        <v>432</v>
      </c>
      <c r="V1409" s="109" t="s">
        <v>2209</v>
      </c>
      <c r="W1409" s="107" t="s">
        <v>432</v>
      </c>
      <c r="X1409" s="107" t="s">
        <v>432</v>
      </c>
      <c r="Y1409" s="107" t="s">
        <v>432</v>
      </c>
      <c r="Z1409" s="107" t="s">
        <v>432</v>
      </c>
      <c r="AA1409" s="107" t="s">
        <v>432</v>
      </c>
      <c r="AB1409" s="107" t="s">
        <v>432</v>
      </c>
      <c r="AC1409" s="107" t="s">
        <v>432</v>
      </c>
      <c r="AD1409" s="107" t="s">
        <v>432</v>
      </c>
      <c r="AE1409" s="107" t="s">
        <v>432</v>
      </c>
      <c r="AF1409" s="107" t="s">
        <v>432</v>
      </c>
      <c r="AG1409" s="107" t="s">
        <v>432</v>
      </c>
      <c r="AH1409" s="107" t="s">
        <v>432</v>
      </c>
      <c r="AI1409" s="107" t="s">
        <v>432</v>
      </c>
      <c r="AJ1409" s="107" t="s">
        <v>432</v>
      </c>
      <c r="AK1409" s="137" t="s">
        <v>432</v>
      </c>
      <c r="AL1409" s="601" t="s">
        <v>432</v>
      </c>
      <c r="AM1409" s="137" t="s">
        <v>432</v>
      </c>
      <c r="AN1409" s="137" t="s">
        <v>432</v>
      </c>
      <c r="AO1409" s="137" t="s">
        <v>432</v>
      </c>
      <c r="AP1409" s="137" t="s">
        <v>432</v>
      </c>
      <c r="AQ1409" s="137" t="s">
        <v>432</v>
      </c>
      <c r="AR1409" s="137" t="s">
        <v>432</v>
      </c>
      <c r="AS1409" s="137" t="s">
        <v>432</v>
      </c>
      <c r="AT1409" s="137" t="s">
        <v>432</v>
      </c>
      <c r="AU1409" s="137" t="s">
        <v>432</v>
      </c>
      <c r="AV1409" s="137" t="s">
        <v>432</v>
      </c>
      <c r="AW1409" s="137" t="s">
        <v>432</v>
      </c>
      <c r="AX1409" s="137" t="s">
        <v>432</v>
      </c>
      <c r="AY1409" s="137" t="s">
        <v>432</v>
      </c>
      <c r="AZ1409" s="137" t="s">
        <v>432</v>
      </c>
      <c r="BA1409" s="137" t="s">
        <v>432</v>
      </c>
      <c r="BB1409" s="239" t="str">
        <f t="shared" ref="BB1409:BB1415" si="382">B1409&amp;C1409</f>
        <v>Outros meio ambientex</v>
      </c>
      <c r="BC1409" s="239" t="str">
        <f t="shared" ref="BC1409:BC1415" si="383">B1409&amp;C1409&amp;H1409</f>
        <v>Outros meio ambientexsigla/verbete</v>
      </c>
      <c r="BD1409" s="239" t="str">
        <f t="shared" ref="BD1409:BD1415" si="384">B1409&amp;H1409</f>
        <v>Outros meio ambientesigla/verbete</v>
      </c>
    </row>
    <row r="1410" spans="1:56" s="1" customFormat="1" ht="31.5" x14ac:dyDescent="0.25">
      <c r="A1410" s="262" t="s">
        <v>432</v>
      </c>
      <c r="B1410" s="252" t="s">
        <v>742</v>
      </c>
      <c r="C1410" s="167" t="s">
        <v>432</v>
      </c>
      <c r="D1410" s="324" t="s">
        <v>3823</v>
      </c>
      <c r="E1410" s="1496" t="s">
        <v>2272</v>
      </c>
      <c r="F1410" s="252" t="s">
        <v>3824</v>
      </c>
      <c r="G1410" s="167" t="s">
        <v>3507</v>
      </c>
      <c r="H1410" s="167" t="s">
        <v>2408</v>
      </c>
      <c r="I1410" s="167" t="s">
        <v>432</v>
      </c>
      <c r="J1410" s="107" t="s">
        <v>432</v>
      </c>
      <c r="K1410" s="107" t="s">
        <v>432</v>
      </c>
      <c r="L1410" s="107" t="s">
        <v>432</v>
      </c>
      <c r="M1410" s="107" t="s">
        <v>432</v>
      </c>
      <c r="N1410" s="107" t="s">
        <v>432</v>
      </c>
      <c r="O1410" s="107" t="s">
        <v>432</v>
      </c>
      <c r="P1410" s="107" t="s">
        <v>432</v>
      </c>
      <c r="Q1410" s="107" t="s">
        <v>432</v>
      </c>
      <c r="R1410" s="107" t="s">
        <v>432</v>
      </c>
      <c r="S1410" s="109" t="s">
        <v>2209</v>
      </c>
      <c r="T1410" s="107" t="s">
        <v>432</v>
      </c>
      <c r="U1410" s="107" t="s">
        <v>432</v>
      </c>
      <c r="V1410" s="109" t="s">
        <v>2209</v>
      </c>
      <c r="W1410" s="107" t="s">
        <v>432</v>
      </c>
      <c r="X1410" s="107" t="s">
        <v>432</v>
      </c>
      <c r="Y1410" s="107" t="s">
        <v>432</v>
      </c>
      <c r="Z1410" s="107" t="s">
        <v>432</v>
      </c>
      <c r="AA1410" s="107" t="s">
        <v>432</v>
      </c>
      <c r="AB1410" s="107" t="s">
        <v>432</v>
      </c>
      <c r="AC1410" s="107" t="s">
        <v>432</v>
      </c>
      <c r="AD1410" s="107" t="s">
        <v>432</v>
      </c>
      <c r="AE1410" s="107" t="s">
        <v>432</v>
      </c>
      <c r="AF1410" s="107" t="s">
        <v>432</v>
      </c>
      <c r="AG1410" s="107" t="s">
        <v>432</v>
      </c>
      <c r="AH1410" s="107" t="s">
        <v>432</v>
      </c>
      <c r="AI1410" s="107" t="s">
        <v>432</v>
      </c>
      <c r="AJ1410" s="107" t="s">
        <v>432</v>
      </c>
      <c r="AK1410" s="137" t="s">
        <v>432</v>
      </c>
      <c r="AL1410" s="601" t="s">
        <v>432</v>
      </c>
      <c r="AM1410" s="137" t="s">
        <v>432</v>
      </c>
      <c r="AN1410" s="137" t="s">
        <v>432</v>
      </c>
      <c r="AO1410" s="137" t="s">
        <v>432</v>
      </c>
      <c r="AP1410" s="137" t="s">
        <v>432</v>
      </c>
      <c r="AQ1410" s="137" t="s">
        <v>432</v>
      </c>
      <c r="AR1410" s="137" t="s">
        <v>432</v>
      </c>
      <c r="AS1410" s="137" t="s">
        <v>432</v>
      </c>
      <c r="AT1410" s="137" t="s">
        <v>432</v>
      </c>
      <c r="AU1410" s="137" t="s">
        <v>432</v>
      </c>
      <c r="AV1410" s="137" t="s">
        <v>432</v>
      </c>
      <c r="AW1410" s="137" t="s">
        <v>432</v>
      </c>
      <c r="AX1410" s="137" t="s">
        <v>432</v>
      </c>
      <c r="AY1410" s="137" t="s">
        <v>432</v>
      </c>
      <c r="AZ1410" s="137" t="s">
        <v>432</v>
      </c>
      <c r="BA1410" s="137" t="s">
        <v>432</v>
      </c>
      <c r="BB1410" s="239" t="str">
        <f t="shared" si="382"/>
        <v>geralx</v>
      </c>
      <c r="BC1410" s="239" t="str">
        <f t="shared" si="383"/>
        <v>geralxsigla/verbete</v>
      </c>
      <c r="BD1410" s="239" t="str">
        <f t="shared" si="384"/>
        <v>geralsigla/verbete</v>
      </c>
    </row>
    <row r="1411" spans="1:56" s="1" customFormat="1" ht="31.5" x14ac:dyDescent="0.25">
      <c r="A1411" s="262" t="s">
        <v>432</v>
      </c>
      <c r="B1411" s="252" t="s">
        <v>742</v>
      </c>
      <c r="C1411" s="167" t="s">
        <v>432</v>
      </c>
      <c r="D1411" s="324" t="s">
        <v>3797</v>
      </c>
      <c r="E1411" s="1496" t="s">
        <v>2272</v>
      </c>
      <c r="F1411" s="252" t="s">
        <v>3798</v>
      </c>
      <c r="G1411" s="167" t="s">
        <v>3507</v>
      </c>
      <c r="H1411" s="167" t="s">
        <v>2408</v>
      </c>
      <c r="I1411" s="167" t="s">
        <v>432</v>
      </c>
      <c r="J1411" s="107" t="s">
        <v>432</v>
      </c>
      <c r="K1411" s="107" t="s">
        <v>432</v>
      </c>
      <c r="L1411" s="107" t="s">
        <v>432</v>
      </c>
      <c r="M1411" s="107" t="s">
        <v>432</v>
      </c>
      <c r="N1411" s="107" t="s">
        <v>432</v>
      </c>
      <c r="O1411" s="107" t="s">
        <v>432</v>
      </c>
      <c r="P1411" s="107" t="s">
        <v>432</v>
      </c>
      <c r="Q1411" s="107" t="s">
        <v>432</v>
      </c>
      <c r="R1411" s="107" t="s">
        <v>432</v>
      </c>
      <c r="S1411" s="109" t="s">
        <v>2209</v>
      </c>
      <c r="T1411" s="107" t="s">
        <v>432</v>
      </c>
      <c r="U1411" s="107" t="s">
        <v>432</v>
      </c>
      <c r="V1411" s="109" t="s">
        <v>2209</v>
      </c>
      <c r="W1411" s="107" t="s">
        <v>432</v>
      </c>
      <c r="X1411" s="107" t="s">
        <v>432</v>
      </c>
      <c r="Y1411" s="107" t="s">
        <v>432</v>
      </c>
      <c r="Z1411" s="107" t="s">
        <v>432</v>
      </c>
      <c r="AA1411" s="107" t="s">
        <v>432</v>
      </c>
      <c r="AB1411" s="107" t="s">
        <v>432</v>
      </c>
      <c r="AC1411" s="107" t="s">
        <v>432</v>
      </c>
      <c r="AD1411" s="107" t="s">
        <v>432</v>
      </c>
      <c r="AE1411" s="107" t="s">
        <v>432</v>
      </c>
      <c r="AF1411" s="107" t="s">
        <v>432</v>
      </c>
      <c r="AG1411" s="107" t="s">
        <v>432</v>
      </c>
      <c r="AH1411" s="107" t="s">
        <v>432</v>
      </c>
      <c r="AI1411" s="107" t="s">
        <v>432</v>
      </c>
      <c r="AJ1411" s="107" t="s">
        <v>432</v>
      </c>
      <c r="AK1411" s="137" t="s">
        <v>432</v>
      </c>
      <c r="AL1411" s="601" t="s">
        <v>432</v>
      </c>
      <c r="AM1411" s="137" t="s">
        <v>432</v>
      </c>
      <c r="AN1411" s="137" t="s">
        <v>432</v>
      </c>
      <c r="AO1411" s="137" t="s">
        <v>432</v>
      </c>
      <c r="AP1411" s="137" t="s">
        <v>432</v>
      </c>
      <c r="AQ1411" s="137" t="s">
        <v>432</v>
      </c>
      <c r="AR1411" s="137" t="s">
        <v>432</v>
      </c>
      <c r="AS1411" s="137" t="s">
        <v>432</v>
      </c>
      <c r="AT1411" s="137" t="s">
        <v>432</v>
      </c>
      <c r="AU1411" s="137" t="s">
        <v>432</v>
      </c>
      <c r="AV1411" s="137" t="s">
        <v>432</v>
      </c>
      <c r="AW1411" s="137" t="s">
        <v>432</v>
      </c>
      <c r="AX1411" s="137" t="s">
        <v>432</v>
      </c>
      <c r="AY1411" s="137" t="s">
        <v>432</v>
      </c>
      <c r="AZ1411" s="137" t="s">
        <v>432</v>
      </c>
      <c r="BA1411" s="137" t="s">
        <v>432</v>
      </c>
      <c r="BB1411" s="239" t="str">
        <f t="shared" si="382"/>
        <v>geralx</v>
      </c>
      <c r="BC1411" s="239" t="str">
        <f t="shared" si="383"/>
        <v>geralxsigla/verbete</v>
      </c>
      <c r="BD1411" s="239" t="str">
        <f t="shared" si="384"/>
        <v>geralsigla/verbete</v>
      </c>
    </row>
    <row r="1412" spans="1:56" s="1" customFormat="1" ht="31.5" x14ac:dyDescent="0.25">
      <c r="A1412" s="262" t="s">
        <v>432</v>
      </c>
      <c r="B1412" s="252" t="s">
        <v>742</v>
      </c>
      <c r="C1412" s="167" t="s">
        <v>432</v>
      </c>
      <c r="D1412" s="324" t="s">
        <v>4499</v>
      </c>
      <c r="E1412" s="1496" t="s">
        <v>432</v>
      </c>
      <c r="F1412" s="252" t="s">
        <v>4500</v>
      </c>
      <c r="G1412" s="167" t="s">
        <v>3507</v>
      </c>
      <c r="H1412" s="167" t="s">
        <v>2408</v>
      </c>
      <c r="I1412" s="167" t="s">
        <v>432</v>
      </c>
      <c r="J1412" s="107" t="s">
        <v>432</v>
      </c>
      <c r="K1412" s="107" t="s">
        <v>432</v>
      </c>
      <c r="L1412" s="107" t="s">
        <v>432</v>
      </c>
      <c r="M1412" s="107" t="s">
        <v>432</v>
      </c>
      <c r="N1412" s="107" t="s">
        <v>432</v>
      </c>
      <c r="O1412" s="107" t="s">
        <v>432</v>
      </c>
      <c r="P1412" s="107" t="s">
        <v>432</v>
      </c>
      <c r="Q1412" s="107" t="s">
        <v>432</v>
      </c>
      <c r="R1412" s="107" t="s">
        <v>432</v>
      </c>
      <c r="S1412" s="109" t="s">
        <v>2209</v>
      </c>
      <c r="T1412" s="107" t="s">
        <v>432</v>
      </c>
      <c r="U1412" s="107" t="s">
        <v>432</v>
      </c>
      <c r="V1412" s="109" t="s">
        <v>2209</v>
      </c>
      <c r="W1412" s="107" t="s">
        <v>432</v>
      </c>
      <c r="X1412" s="107" t="s">
        <v>432</v>
      </c>
      <c r="Y1412" s="107" t="s">
        <v>432</v>
      </c>
      <c r="Z1412" s="107" t="s">
        <v>432</v>
      </c>
      <c r="AA1412" s="107" t="s">
        <v>432</v>
      </c>
      <c r="AB1412" s="107" t="s">
        <v>432</v>
      </c>
      <c r="AC1412" s="107" t="s">
        <v>432</v>
      </c>
      <c r="AD1412" s="107" t="s">
        <v>432</v>
      </c>
      <c r="AE1412" s="107" t="s">
        <v>432</v>
      </c>
      <c r="AF1412" s="107" t="s">
        <v>432</v>
      </c>
      <c r="AG1412" s="107" t="s">
        <v>432</v>
      </c>
      <c r="AH1412" s="107" t="s">
        <v>432</v>
      </c>
      <c r="AI1412" s="107" t="s">
        <v>432</v>
      </c>
      <c r="AJ1412" s="107" t="s">
        <v>432</v>
      </c>
      <c r="AK1412" s="137" t="s">
        <v>432</v>
      </c>
      <c r="AL1412" s="601" t="s">
        <v>432</v>
      </c>
      <c r="AM1412" s="137" t="s">
        <v>432</v>
      </c>
      <c r="AN1412" s="137" t="s">
        <v>432</v>
      </c>
      <c r="AO1412" s="137" t="s">
        <v>432</v>
      </c>
      <c r="AP1412" s="137" t="s">
        <v>432</v>
      </c>
      <c r="AQ1412" s="137" t="s">
        <v>432</v>
      </c>
      <c r="AR1412" s="137" t="s">
        <v>432</v>
      </c>
      <c r="AS1412" s="137" t="s">
        <v>432</v>
      </c>
      <c r="AT1412" s="137" t="s">
        <v>432</v>
      </c>
      <c r="AU1412" s="137" t="s">
        <v>432</v>
      </c>
      <c r="AV1412" s="137" t="s">
        <v>432</v>
      </c>
      <c r="AW1412" s="137" t="s">
        <v>432</v>
      </c>
      <c r="AX1412" s="137" t="s">
        <v>432</v>
      </c>
      <c r="AY1412" s="137" t="s">
        <v>432</v>
      </c>
      <c r="AZ1412" s="137" t="s">
        <v>432</v>
      </c>
      <c r="BA1412" s="137" t="s">
        <v>432</v>
      </c>
      <c r="BB1412" s="239" t="str">
        <f t="shared" si="382"/>
        <v>geralx</v>
      </c>
      <c r="BC1412" s="239" t="str">
        <f t="shared" si="383"/>
        <v>geralxsigla/verbete</v>
      </c>
      <c r="BD1412" s="239" t="str">
        <f t="shared" si="384"/>
        <v>geralsigla/verbete</v>
      </c>
    </row>
    <row r="1413" spans="1:56" s="373" customFormat="1" ht="31.5" x14ac:dyDescent="0.25">
      <c r="A1413" s="262" t="s">
        <v>432</v>
      </c>
      <c r="B1413" s="252" t="s">
        <v>742</v>
      </c>
      <c r="C1413" s="167" t="s">
        <v>432</v>
      </c>
      <c r="D1413" s="714" t="s">
        <v>4184</v>
      </c>
      <c r="E1413" s="1498" t="s">
        <v>432</v>
      </c>
      <c r="F1413" s="1287" t="s">
        <v>4185</v>
      </c>
      <c r="G1413" s="167" t="s">
        <v>3507</v>
      </c>
      <c r="H1413" s="167" t="s">
        <v>2408</v>
      </c>
      <c r="I1413" s="167" t="s">
        <v>432</v>
      </c>
      <c r="J1413" s="107" t="s">
        <v>432</v>
      </c>
      <c r="K1413" s="107" t="s">
        <v>432</v>
      </c>
      <c r="L1413" s="107" t="s">
        <v>432</v>
      </c>
      <c r="M1413" s="107" t="s">
        <v>432</v>
      </c>
      <c r="N1413" s="107" t="s">
        <v>432</v>
      </c>
      <c r="O1413" s="107" t="s">
        <v>432</v>
      </c>
      <c r="P1413" s="107" t="s">
        <v>432</v>
      </c>
      <c r="Q1413" s="107" t="s">
        <v>432</v>
      </c>
      <c r="R1413" s="107" t="s">
        <v>432</v>
      </c>
      <c r="S1413" s="109" t="s">
        <v>2209</v>
      </c>
      <c r="T1413" s="107" t="s">
        <v>432</v>
      </c>
      <c r="U1413" s="107" t="s">
        <v>432</v>
      </c>
      <c r="V1413" s="109" t="s">
        <v>2209</v>
      </c>
      <c r="W1413" s="107" t="s">
        <v>432</v>
      </c>
      <c r="X1413" s="107" t="s">
        <v>432</v>
      </c>
      <c r="Y1413" s="107" t="s">
        <v>432</v>
      </c>
      <c r="Z1413" s="107" t="s">
        <v>432</v>
      </c>
      <c r="AA1413" s="107" t="s">
        <v>432</v>
      </c>
      <c r="AB1413" s="107" t="s">
        <v>432</v>
      </c>
      <c r="AC1413" s="107" t="s">
        <v>432</v>
      </c>
      <c r="AD1413" s="107" t="s">
        <v>432</v>
      </c>
      <c r="AE1413" s="107" t="s">
        <v>432</v>
      </c>
      <c r="AF1413" s="107" t="s">
        <v>432</v>
      </c>
      <c r="AG1413" s="107" t="s">
        <v>432</v>
      </c>
      <c r="AH1413" s="107" t="s">
        <v>432</v>
      </c>
      <c r="AI1413" s="107" t="s">
        <v>432</v>
      </c>
      <c r="AJ1413" s="107" t="s">
        <v>432</v>
      </c>
      <c r="AK1413" s="137" t="s">
        <v>432</v>
      </c>
      <c r="AL1413" s="601" t="s">
        <v>432</v>
      </c>
      <c r="AM1413" s="137" t="s">
        <v>432</v>
      </c>
      <c r="AN1413" s="137" t="s">
        <v>432</v>
      </c>
      <c r="AO1413" s="137" t="s">
        <v>432</v>
      </c>
      <c r="AP1413" s="137" t="s">
        <v>432</v>
      </c>
      <c r="AQ1413" s="137" t="s">
        <v>432</v>
      </c>
      <c r="AR1413" s="137" t="s">
        <v>432</v>
      </c>
      <c r="AS1413" s="137" t="s">
        <v>432</v>
      </c>
      <c r="AT1413" s="137" t="s">
        <v>432</v>
      </c>
      <c r="AU1413" s="137" t="s">
        <v>432</v>
      </c>
      <c r="AV1413" s="137" t="s">
        <v>432</v>
      </c>
      <c r="AW1413" s="137" t="s">
        <v>432</v>
      </c>
      <c r="AX1413" s="137" t="s">
        <v>432</v>
      </c>
      <c r="AY1413" s="137" t="s">
        <v>432</v>
      </c>
      <c r="AZ1413" s="137" t="s">
        <v>432</v>
      </c>
      <c r="BA1413" s="137" t="s">
        <v>432</v>
      </c>
      <c r="BB1413" s="239" t="str">
        <f t="shared" si="382"/>
        <v>geralx</v>
      </c>
      <c r="BC1413" s="239" t="str">
        <f t="shared" si="383"/>
        <v>geralxsigla/verbete</v>
      </c>
      <c r="BD1413" s="239" t="str">
        <f t="shared" si="384"/>
        <v>geralsigla/verbete</v>
      </c>
    </row>
    <row r="1414" spans="1:56" s="373" customFormat="1" ht="48" customHeight="1" x14ac:dyDescent="0.25">
      <c r="A1414" s="262" t="str">
        <f>'Q100b-totais'!B47</f>
        <v>5.5</v>
      </c>
      <c r="B1414" s="252" t="str">
        <f>'Q100b-totais'!C47</f>
        <v>Outros meio ambiente</v>
      </c>
      <c r="C1414" s="167" t="s">
        <v>432</v>
      </c>
      <c r="D1414" s="324" t="s">
        <v>5582</v>
      </c>
      <c r="E1414" s="509" t="s">
        <v>432</v>
      </c>
      <c r="F1414" s="13" t="s">
        <v>5583</v>
      </c>
      <c r="G1414" s="167" t="s">
        <v>3507</v>
      </c>
      <c r="H1414" s="167" t="s">
        <v>2408</v>
      </c>
      <c r="I1414" s="167" t="s">
        <v>432</v>
      </c>
      <c r="J1414" s="107" t="s">
        <v>432</v>
      </c>
      <c r="K1414" s="107" t="s">
        <v>432</v>
      </c>
      <c r="L1414" s="107" t="s">
        <v>432</v>
      </c>
      <c r="M1414" s="107" t="s">
        <v>432</v>
      </c>
      <c r="N1414" s="107" t="s">
        <v>432</v>
      </c>
      <c r="O1414" s="107" t="s">
        <v>432</v>
      </c>
      <c r="P1414" s="107" t="s">
        <v>432</v>
      </c>
      <c r="Q1414" s="107" t="s">
        <v>432</v>
      </c>
      <c r="R1414" s="107" t="s">
        <v>432</v>
      </c>
      <c r="S1414" s="109" t="s">
        <v>2209</v>
      </c>
      <c r="T1414" s="107" t="s">
        <v>432</v>
      </c>
      <c r="U1414" s="107" t="s">
        <v>432</v>
      </c>
      <c r="V1414" s="109" t="s">
        <v>2209</v>
      </c>
      <c r="W1414" s="107" t="s">
        <v>432</v>
      </c>
      <c r="X1414" s="107" t="s">
        <v>432</v>
      </c>
      <c r="Y1414" s="107" t="s">
        <v>432</v>
      </c>
      <c r="Z1414" s="107" t="s">
        <v>432</v>
      </c>
      <c r="AA1414" s="107" t="s">
        <v>432</v>
      </c>
      <c r="AB1414" s="107" t="s">
        <v>432</v>
      </c>
      <c r="AC1414" s="107" t="s">
        <v>432</v>
      </c>
      <c r="AD1414" s="107" t="s">
        <v>432</v>
      </c>
      <c r="AE1414" s="107" t="s">
        <v>432</v>
      </c>
      <c r="AF1414" s="107" t="s">
        <v>432</v>
      </c>
      <c r="AG1414" s="107" t="s">
        <v>432</v>
      </c>
      <c r="AH1414" s="107" t="s">
        <v>432</v>
      </c>
      <c r="AI1414" s="107" t="s">
        <v>432</v>
      </c>
      <c r="AJ1414" s="107" t="s">
        <v>432</v>
      </c>
      <c r="AK1414" s="137" t="s">
        <v>432</v>
      </c>
      <c r="AL1414" s="601" t="s">
        <v>432</v>
      </c>
      <c r="AM1414" s="137" t="s">
        <v>432</v>
      </c>
      <c r="AN1414" s="137" t="s">
        <v>432</v>
      </c>
      <c r="AO1414" s="137" t="s">
        <v>432</v>
      </c>
      <c r="AP1414" s="137" t="s">
        <v>432</v>
      </c>
      <c r="AQ1414" s="137" t="s">
        <v>432</v>
      </c>
      <c r="AR1414" s="137" t="s">
        <v>432</v>
      </c>
      <c r="AS1414" s="137" t="s">
        <v>432</v>
      </c>
      <c r="AT1414" s="137" t="s">
        <v>432</v>
      </c>
      <c r="AU1414" s="137" t="s">
        <v>432</v>
      </c>
      <c r="AV1414" s="137" t="s">
        <v>432</v>
      </c>
      <c r="AW1414" s="137" t="s">
        <v>432</v>
      </c>
      <c r="AX1414" s="137" t="s">
        <v>432</v>
      </c>
      <c r="AY1414" s="137" t="s">
        <v>432</v>
      </c>
      <c r="AZ1414" s="137" t="s">
        <v>432</v>
      </c>
      <c r="BA1414" s="137" t="s">
        <v>432</v>
      </c>
      <c r="BB1414" s="239" t="str">
        <f t="shared" si="382"/>
        <v>Outros meio ambientex</v>
      </c>
      <c r="BC1414" s="239" t="str">
        <f t="shared" si="383"/>
        <v>Outros meio ambientexsigla/verbete</v>
      </c>
      <c r="BD1414" s="239" t="str">
        <f t="shared" si="384"/>
        <v>Outros meio ambientesigla/verbete</v>
      </c>
    </row>
    <row r="1415" spans="1:56" s="373" customFormat="1" ht="63" x14ac:dyDescent="0.25">
      <c r="A1415" s="262" t="str">
        <f>'Q100b-totais'!B47</f>
        <v>5.5</v>
      </c>
      <c r="B1415" s="252" t="str">
        <f>'Q100b-totais'!C47</f>
        <v>Outros meio ambiente</v>
      </c>
      <c r="C1415" s="167" t="s">
        <v>432</v>
      </c>
      <c r="D1415" s="324" t="s">
        <v>5584</v>
      </c>
      <c r="E1415" s="509" t="s">
        <v>432</v>
      </c>
      <c r="F1415" s="13" t="s">
        <v>5583</v>
      </c>
      <c r="G1415" s="167" t="s">
        <v>3507</v>
      </c>
      <c r="H1415" s="167" t="s">
        <v>2408</v>
      </c>
      <c r="I1415" s="167" t="s">
        <v>432</v>
      </c>
      <c r="J1415" s="107" t="s">
        <v>432</v>
      </c>
      <c r="K1415" s="107" t="s">
        <v>432</v>
      </c>
      <c r="L1415" s="107" t="s">
        <v>432</v>
      </c>
      <c r="M1415" s="107" t="s">
        <v>432</v>
      </c>
      <c r="N1415" s="107" t="s">
        <v>432</v>
      </c>
      <c r="O1415" s="107" t="s">
        <v>432</v>
      </c>
      <c r="P1415" s="107" t="s">
        <v>432</v>
      </c>
      <c r="Q1415" s="107" t="s">
        <v>432</v>
      </c>
      <c r="R1415" s="107" t="s">
        <v>432</v>
      </c>
      <c r="S1415" s="109" t="s">
        <v>2209</v>
      </c>
      <c r="T1415" s="107" t="s">
        <v>432</v>
      </c>
      <c r="U1415" s="107" t="s">
        <v>432</v>
      </c>
      <c r="V1415" s="109" t="s">
        <v>2209</v>
      </c>
      <c r="W1415" s="107" t="s">
        <v>432</v>
      </c>
      <c r="X1415" s="107" t="s">
        <v>432</v>
      </c>
      <c r="Y1415" s="107" t="s">
        <v>432</v>
      </c>
      <c r="Z1415" s="107" t="s">
        <v>432</v>
      </c>
      <c r="AA1415" s="107" t="s">
        <v>432</v>
      </c>
      <c r="AB1415" s="107" t="s">
        <v>432</v>
      </c>
      <c r="AC1415" s="107" t="s">
        <v>432</v>
      </c>
      <c r="AD1415" s="107" t="s">
        <v>432</v>
      </c>
      <c r="AE1415" s="107" t="s">
        <v>432</v>
      </c>
      <c r="AF1415" s="107" t="s">
        <v>432</v>
      </c>
      <c r="AG1415" s="107" t="s">
        <v>432</v>
      </c>
      <c r="AH1415" s="107" t="s">
        <v>432</v>
      </c>
      <c r="AI1415" s="107" t="s">
        <v>432</v>
      </c>
      <c r="AJ1415" s="107" t="s">
        <v>432</v>
      </c>
      <c r="AK1415" s="137" t="s">
        <v>432</v>
      </c>
      <c r="AL1415" s="601" t="s">
        <v>432</v>
      </c>
      <c r="AM1415" s="137" t="s">
        <v>432</v>
      </c>
      <c r="AN1415" s="137" t="s">
        <v>432</v>
      </c>
      <c r="AO1415" s="137" t="s">
        <v>432</v>
      </c>
      <c r="AP1415" s="137" t="s">
        <v>432</v>
      </c>
      <c r="AQ1415" s="137" t="s">
        <v>432</v>
      </c>
      <c r="AR1415" s="137" t="s">
        <v>432</v>
      </c>
      <c r="AS1415" s="137" t="s">
        <v>432</v>
      </c>
      <c r="AT1415" s="137" t="s">
        <v>432</v>
      </c>
      <c r="AU1415" s="137" t="s">
        <v>432</v>
      </c>
      <c r="AV1415" s="137" t="s">
        <v>432</v>
      </c>
      <c r="AW1415" s="137" t="s">
        <v>432</v>
      </c>
      <c r="AX1415" s="137" t="s">
        <v>432</v>
      </c>
      <c r="AY1415" s="137" t="s">
        <v>432</v>
      </c>
      <c r="AZ1415" s="137" t="s">
        <v>432</v>
      </c>
      <c r="BA1415" s="137" t="s">
        <v>432</v>
      </c>
      <c r="BB1415" s="239" t="str">
        <f t="shared" si="382"/>
        <v>Outros meio ambientex</v>
      </c>
      <c r="BC1415" s="239" t="str">
        <f t="shared" si="383"/>
        <v>Outros meio ambientexsigla/verbete</v>
      </c>
      <c r="BD1415" s="239" t="str">
        <f t="shared" si="384"/>
        <v>Outros meio ambientesigla/verbete</v>
      </c>
    </row>
    <row r="1416" spans="1:56" ht="35.25" customHeight="1" x14ac:dyDescent="0.25">
      <c r="A1416" s="262" t="s">
        <v>432</v>
      </c>
      <c r="B1416" s="252" t="s">
        <v>742</v>
      </c>
      <c r="C1416" s="167" t="s">
        <v>432</v>
      </c>
      <c r="D1416" s="323" t="s">
        <v>201</v>
      </c>
      <c r="E1416" s="1496" t="s">
        <v>432</v>
      </c>
      <c r="F1416" s="11" t="s">
        <v>202</v>
      </c>
      <c r="G1416" s="167" t="s">
        <v>3879</v>
      </c>
      <c r="H1416" s="167" t="s">
        <v>432</v>
      </c>
      <c r="I1416" s="167" t="s">
        <v>432</v>
      </c>
      <c r="J1416" s="107" t="s">
        <v>432</v>
      </c>
      <c r="K1416" s="107" t="s">
        <v>432</v>
      </c>
      <c r="L1416" s="107" t="s">
        <v>432</v>
      </c>
      <c r="M1416" s="107" t="s">
        <v>432</v>
      </c>
      <c r="N1416" s="107" t="s">
        <v>432</v>
      </c>
      <c r="O1416" s="107" t="s">
        <v>432</v>
      </c>
      <c r="P1416" s="107" t="s">
        <v>432</v>
      </c>
      <c r="Q1416" s="107" t="s">
        <v>432</v>
      </c>
      <c r="R1416" s="107" t="s">
        <v>432</v>
      </c>
      <c r="S1416" s="109" t="s">
        <v>2209</v>
      </c>
      <c r="T1416" s="107" t="s">
        <v>432</v>
      </c>
      <c r="U1416" s="107" t="s">
        <v>432</v>
      </c>
      <c r="V1416" s="109" t="s">
        <v>2209</v>
      </c>
      <c r="W1416" s="107" t="s">
        <v>432</v>
      </c>
      <c r="X1416" s="107" t="s">
        <v>432</v>
      </c>
      <c r="Y1416" s="107" t="s">
        <v>432</v>
      </c>
      <c r="Z1416" s="107" t="s">
        <v>432</v>
      </c>
      <c r="AA1416" s="107" t="s">
        <v>432</v>
      </c>
      <c r="AB1416" s="107" t="s">
        <v>432</v>
      </c>
      <c r="AC1416" s="107" t="s">
        <v>432</v>
      </c>
      <c r="AD1416" s="107" t="s">
        <v>432</v>
      </c>
      <c r="AE1416" s="107" t="s">
        <v>432</v>
      </c>
      <c r="AF1416" s="107" t="s">
        <v>432</v>
      </c>
      <c r="AG1416" s="107" t="s">
        <v>432</v>
      </c>
      <c r="AH1416" s="107" t="s">
        <v>432</v>
      </c>
      <c r="AI1416" s="107" t="s">
        <v>432</v>
      </c>
      <c r="AJ1416" s="107" t="s">
        <v>432</v>
      </c>
      <c r="AK1416" s="137" t="s">
        <v>432</v>
      </c>
      <c r="AL1416" s="601" t="s">
        <v>432</v>
      </c>
      <c r="AM1416" s="137" t="s">
        <v>432</v>
      </c>
      <c r="AN1416" s="137" t="s">
        <v>432</v>
      </c>
      <c r="AO1416" s="137" t="s">
        <v>432</v>
      </c>
      <c r="AP1416" s="137" t="s">
        <v>432</v>
      </c>
      <c r="AQ1416" s="137" t="s">
        <v>432</v>
      </c>
      <c r="AR1416" s="137" t="s">
        <v>432</v>
      </c>
      <c r="AS1416" s="137" t="s">
        <v>432</v>
      </c>
      <c r="AT1416" s="137" t="s">
        <v>432</v>
      </c>
      <c r="AU1416" s="137" t="s">
        <v>432</v>
      </c>
      <c r="AV1416" s="137" t="s">
        <v>432</v>
      </c>
      <c r="AW1416" s="137" t="s">
        <v>432</v>
      </c>
      <c r="AX1416" s="137" t="s">
        <v>432</v>
      </c>
      <c r="AY1416" s="137" t="s">
        <v>432</v>
      </c>
      <c r="AZ1416" s="137" t="s">
        <v>432</v>
      </c>
      <c r="BA1416" s="137" t="s">
        <v>432</v>
      </c>
      <c r="BB1416" s="239" t="str">
        <f>B1416&amp;C1416</f>
        <v>geralx</v>
      </c>
      <c r="BC1416" s="239" t="str">
        <f>B1416&amp;C1416&amp;H1416</f>
        <v>geralxx</v>
      </c>
      <c r="BD1416" s="239" t="str">
        <f>B1416&amp;H1416</f>
        <v>geralx</v>
      </c>
    </row>
    <row r="1417" spans="1:56" s="105" customFormat="1" ht="35.25" customHeight="1" x14ac:dyDescent="0.25">
      <c r="A1417" s="262" t="str">
        <f>'Q100b-totais'!B39</f>
        <v>4.4</v>
      </c>
      <c r="B1417" s="252" t="str">
        <f>'Q100b-totais'!C39</f>
        <v>Infrações de trânsito</v>
      </c>
      <c r="C1417" s="167" t="s">
        <v>432</v>
      </c>
      <c r="D1417" s="323" t="s">
        <v>4736</v>
      </c>
      <c r="E1417" s="1496" t="s">
        <v>1767</v>
      </c>
      <c r="F1417" s="1205" t="s">
        <v>4735</v>
      </c>
      <c r="G1417" s="230" t="s">
        <v>3507</v>
      </c>
      <c r="H1417" s="167" t="s">
        <v>2408</v>
      </c>
      <c r="I1417" s="57" t="s">
        <v>432</v>
      </c>
      <c r="J1417" s="107" t="s">
        <v>432</v>
      </c>
      <c r="K1417" s="107" t="s">
        <v>432</v>
      </c>
      <c r="L1417" s="107" t="s">
        <v>432</v>
      </c>
      <c r="M1417" s="107" t="s">
        <v>432</v>
      </c>
      <c r="N1417" s="107" t="s">
        <v>432</v>
      </c>
      <c r="O1417" s="107" t="s">
        <v>432</v>
      </c>
      <c r="P1417" s="107" t="s">
        <v>432</v>
      </c>
      <c r="Q1417" s="107" t="s">
        <v>432</v>
      </c>
      <c r="R1417" s="107" t="s">
        <v>432</v>
      </c>
      <c r="S1417" s="109" t="s">
        <v>2209</v>
      </c>
      <c r="T1417" s="107" t="s">
        <v>432</v>
      </c>
      <c r="U1417" s="107" t="s">
        <v>432</v>
      </c>
      <c r="V1417" s="109" t="s">
        <v>2209</v>
      </c>
      <c r="W1417" s="107" t="s">
        <v>432</v>
      </c>
      <c r="X1417" s="107" t="s">
        <v>432</v>
      </c>
      <c r="Y1417" s="107" t="s">
        <v>432</v>
      </c>
      <c r="Z1417" s="107" t="s">
        <v>432</v>
      </c>
      <c r="AA1417" s="107" t="s">
        <v>432</v>
      </c>
      <c r="AB1417" s="107" t="s">
        <v>432</v>
      </c>
      <c r="AC1417" s="107" t="s">
        <v>432</v>
      </c>
      <c r="AD1417" s="107" t="s">
        <v>432</v>
      </c>
      <c r="AE1417" s="107" t="s">
        <v>432</v>
      </c>
      <c r="AF1417" s="107" t="s">
        <v>432</v>
      </c>
      <c r="AG1417" s="107" t="s">
        <v>432</v>
      </c>
      <c r="AH1417" s="107" t="s">
        <v>432</v>
      </c>
      <c r="AI1417" s="107" t="s">
        <v>432</v>
      </c>
      <c r="AJ1417" s="107" t="s">
        <v>432</v>
      </c>
      <c r="AK1417" s="137" t="s">
        <v>432</v>
      </c>
      <c r="AL1417" s="601" t="s">
        <v>432</v>
      </c>
      <c r="AM1417" s="137" t="s">
        <v>432</v>
      </c>
      <c r="AN1417" s="137" t="s">
        <v>432</v>
      </c>
      <c r="AO1417" s="137" t="s">
        <v>432</v>
      </c>
      <c r="AP1417" s="137" t="s">
        <v>432</v>
      </c>
      <c r="AQ1417" s="137" t="s">
        <v>432</v>
      </c>
      <c r="AR1417" s="137" t="s">
        <v>432</v>
      </c>
      <c r="AS1417" s="137" t="s">
        <v>432</v>
      </c>
      <c r="AT1417" s="137" t="s">
        <v>432</v>
      </c>
      <c r="AU1417" s="137" t="s">
        <v>432</v>
      </c>
      <c r="AV1417" s="137" t="s">
        <v>432</v>
      </c>
      <c r="AW1417" s="137" t="s">
        <v>432</v>
      </c>
      <c r="AX1417" s="137" t="s">
        <v>432</v>
      </c>
      <c r="AY1417" s="137" t="s">
        <v>432</v>
      </c>
      <c r="AZ1417" s="137" t="s">
        <v>432</v>
      </c>
      <c r="BA1417" s="137" t="s">
        <v>432</v>
      </c>
      <c r="BB1417" s="239" t="str">
        <f>B1417&amp;C1417</f>
        <v>Infrações de trânsitox</v>
      </c>
      <c r="BC1417" s="239" t="str">
        <f>B1417&amp;C1417&amp;H1417</f>
        <v>Infrações de trânsitoxsigla/verbete</v>
      </c>
      <c r="BD1417" s="239" t="str">
        <f>B1417&amp;H1417</f>
        <v>Infrações de trânsitosigla/verbete</v>
      </c>
    </row>
    <row r="1418" spans="1:56" s="1" customFormat="1" ht="63.75" customHeight="1" x14ac:dyDescent="0.25">
      <c r="A1418" s="333" t="str">
        <f>'Q100b-totais'!$B$68</f>
        <v>9.5</v>
      </c>
      <c r="B1418" s="1172" t="str">
        <f>'Q100b-totais'!C68</f>
        <v>Sinalização semafórica</v>
      </c>
      <c r="C1418" s="167" t="s">
        <v>432</v>
      </c>
      <c r="D1418" s="324" t="s">
        <v>203</v>
      </c>
      <c r="E1418" s="254" t="s">
        <v>432</v>
      </c>
      <c r="F1418" s="11" t="s">
        <v>1679</v>
      </c>
      <c r="G1418" s="230" t="s">
        <v>3507</v>
      </c>
      <c r="H1418" s="167" t="s">
        <v>2408</v>
      </c>
      <c r="I1418" s="57" t="s">
        <v>432</v>
      </c>
      <c r="J1418" s="107" t="s">
        <v>432</v>
      </c>
      <c r="K1418" s="107" t="s">
        <v>432</v>
      </c>
      <c r="L1418" s="107" t="s">
        <v>432</v>
      </c>
      <c r="M1418" s="107" t="s">
        <v>432</v>
      </c>
      <c r="N1418" s="107" t="s">
        <v>432</v>
      </c>
      <c r="O1418" s="107" t="s">
        <v>432</v>
      </c>
      <c r="P1418" s="107" t="s">
        <v>432</v>
      </c>
      <c r="Q1418" s="107" t="s">
        <v>432</v>
      </c>
      <c r="R1418" s="107" t="s">
        <v>432</v>
      </c>
      <c r="S1418" s="109" t="s">
        <v>2209</v>
      </c>
      <c r="T1418" s="107" t="s">
        <v>432</v>
      </c>
      <c r="U1418" s="107" t="s">
        <v>432</v>
      </c>
      <c r="V1418" s="109" t="s">
        <v>2209</v>
      </c>
      <c r="W1418" s="107" t="s">
        <v>432</v>
      </c>
      <c r="X1418" s="107" t="s">
        <v>432</v>
      </c>
      <c r="Y1418" s="107" t="s">
        <v>432</v>
      </c>
      <c r="Z1418" s="107" t="s">
        <v>432</v>
      </c>
      <c r="AA1418" s="107" t="s">
        <v>432</v>
      </c>
      <c r="AB1418" s="107" t="s">
        <v>432</v>
      </c>
      <c r="AC1418" s="107" t="s">
        <v>432</v>
      </c>
      <c r="AD1418" s="107" t="s">
        <v>432</v>
      </c>
      <c r="AE1418" s="107" t="s">
        <v>432</v>
      </c>
      <c r="AF1418" s="107" t="s">
        <v>432</v>
      </c>
      <c r="AG1418" s="107" t="s">
        <v>432</v>
      </c>
      <c r="AH1418" s="107" t="s">
        <v>432</v>
      </c>
      <c r="AI1418" s="107" t="s">
        <v>432</v>
      </c>
      <c r="AJ1418" s="107" t="s">
        <v>432</v>
      </c>
      <c r="AK1418" s="137" t="s">
        <v>432</v>
      </c>
      <c r="AL1418" s="601" t="s">
        <v>432</v>
      </c>
      <c r="AM1418" s="137" t="s">
        <v>432</v>
      </c>
      <c r="AN1418" s="137" t="s">
        <v>432</v>
      </c>
      <c r="AO1418" s="137" t="s">
        <v>432</v>
      </c>
      <c r="AP1418" s="137" t="s">
        <v>432</v>
      </c>
      <c r="AQ1418" s="137" t="s">
        <v>432</v>
      </c>
      <c r="AR1418" s="137" t="s">
        <v>432</v>
      </c>
      <c r="AS1418" s="137" t="s">
        <v>432</v>
      </c>
      <c r="AT1418" s="137" t="s">
        <v>432</v>
      </c>
      <c r="AU1418" s="137" t="s">
        <v>432</v>
      </c>
      <c r="AV1418" s="137" t="s">
        <v>432</v>
      </c>
      <c r="AW1418" s="137" t="s">
        <v>432</v>
      </c>
      <c r="AX1418" s="137" t="s">
        <v>432</v>
      </c>
      <c r="AY1418" s="137" t="s">
        <v>432</v>
      </c>
      <c r="AZ1418" s="137" t="s">
        <v>432</v>
      </c>
      <c r="BA1418" s="137" t="s">
        <v>432</v>
      </c>
      <c r="BB1418" s="239" t="str">
        <f>B1418&amp;C1418</f>
        <v>Sinalização semafóricax</v>
      </c>
      <c r="BC1418" s="239" t="str">
        <f>B1418&amp;C1418&amp;H1418</f>
        <v>Sinalização semafóricaxsigla/verbete</v>
      </c>
      <c r="BD1418" s="239" t="str">
        <f>B1418&amp;H1418</f>
        <v>Sinalização semafóricasigla/verbete</v>
      </c>
    </row>
    <row r="1419" spans="1:56" s="1" customFormat="1" ht="63.75" customHeight="1" x14ac:dyDescent="0.25">
      <c r="A1419" s="333" t="str">
        <f>'Q100b-totais'!B68</f>
        <v>9.5</v>
      </c>
      <c r="B1419" s="1172" t="str">
        <f>'Q100b-totais'!C68</f>
        <v>Sinalização semafórica</v>
      </c>
      <c r="C1419" s="167" t="s">
        <v>432</v>
      </c>
      <c r="D1419" s="324" t="s">
        <v>2831</v>
      </c>
      <c r="E1419" s="254" t="s">
        <v>432</v>
      </c>
      <c r="F1419" s="11" t="s">
        <v>2832</v>
      </c>
      <c r="G1419" s="230" t="s">
        <v>3507</v>
      </c>
      <c r="H1419" s="167" t="s">
        <v>2408</v>
      </c>
      <c r="I1419" s="57" t="s">
        <v>432</v>
      </c>
      <c r="J1419" s="107" t="s">
        <v>432</v>
      </c>
      <c r="K1419" s="107" t="s">
        <v>432</v>
      </c>
      <c r="L1419" s="107" t="s">
        <v>432</v>
      </c>
      <c r="M1419" s="107" t="s">
        <v>432</v>
      </c>
      <c r="N1419" s="107" t="s">
        <v>432</v>
      </c>
      <c r="O1419" s="107" t="s">
        <v>432</v>
      </c>
      <c r="P1419" s="107" t="s">
        <v>432</v>
      </c>
      <c r="Q1419" s="107" t="s">
        <v>432</v>
      </c>
      <c r="R1419" s="107" t="s">
        <v>432</v>
      </c>
      <c r="S1419" s="109" t="s">
        <v>2209</v>
      </c>
      <c r="T1419" s="107" t="s">
        <v>432</v>
      </c>
      <c r="U1419" s="107" t="s">
        <v>432</v>
      </c>
      <c r="V1419" s="109" t="s">
        <v>2209</v>
      </c>
      <c r="W1419" s="107" t="s">
        <v>432</v>
      </c>
      <c r="X1419" s="107" t="s">
        <v>432</v>
      </c>
      <c r="Y1419" s="107" t="s">
        <v>432</v>
      </c>
      <c r="Z1419" s="107" t="s">
        <v>432</v>
      </c>
      <c r="AA1419" s="107" t="s">
        <v>432</v>
      </c>
      <c r="AB1419" s="107" t="s">
        <v>432</v>
      </c>
      <c r="AC1419" s="107" t="s">
        <v>432</v>
      </c>
      <c r="AD1419" s="107" t="s">
        <v>432</v>
      </c>
      <c r="AE1419" s="107" t="s">
        <v>432</v>
      </c>
      <c r="AF1419" s="107" t="s">
        <v>432</v>
      </c>
      <c r="AG1419" s="107" t="s">
        <v>432</v>
      </c>
      <c r="AH1419" s="107" t="s">
        <v>432</v>
      </c>
      <c r="AI1419" s="107" t="s">
        <v>432</v>
      </c>
      <c r="AJ1419" s="107" t="s">
        <v>432</v>
      </c>
      <c r="AK1419" s="137" t="s">
        <v>432</v>
      </c>
      <c r="AL1419" s="601" t="s">
        <v>432</v>
      </c>
      <c r="AM1419" s="137" t="s">
        <v>432</v>
      </c>
      <c r="AN1419" s="137" t="s">
        <v>432</v>
      </c>
      <c r="AO1419" s="137" t="s">
        <v>432</v>
      </c>
      <c r="AP1419" s="137" t="s">
        <v>432</v>
      </c>
      <c r="AQ1419" s="137" t="s">
        <v>432</v>
      </c>
      <c r="AR1419" s="137" t="s">
        <v>432</v>
      </c>
      <c r="AS1419" s="137" t="s">
        <v>432</v>
      </c>
      <c r="AT1419" s="137" t="s">
        <v>432</v>
      </c>
      <c r="AU1419" s="137" t="s">
        <v>432</v>
      </c>
      <c r="AV1419" s="137" t="s">
        <v>432</v>
      </c>
      <c r="AW1419" s="137" t="s">
        <v>432</v>
      </c>
      <c r="AX1419" s="137" t="s">
        <v>432</v>
      </c>
      <c r="AY1419" s="137" t="s">
        <v>432</v>
      </c>
      <c r="AZ1419" s="137" t="s">
        <v>432</v>
      </c>
      <c r="BA1419" s="137" t="s">
        <v>432</v>
      </c>
      <c r="BB1419" s="239" t="str">
        <f t="shared" ref="BB1419:BB1425" si="385">B1419&amp;C1419</f>
        <v>Sinalização semafóricax</v>
      </c>
      <c r="BC1419" s="239" t="str">
        <f t="shared" ref="BC1419:BC1425" si="386">B1419&amp;C1419&amp;H1419</f>
        <v>Sinalização semafóricaxsigla/verbete</v>
      </c>
      <c r="BD1419" s="239" t="str">
        <f t="shared" ref="BD1419:BD1425" si="387">B1419&amp;H1419</f>
        <v>Sinalização semafóricasigla/verbete</v>
      </c>
    </row>
    <row r="1420" spans="1:56" s="1" customFormat="1" ht="63.75" customHeight="1" x14ac:dyDescent="0.25">
      <c r="A1420" s="333" t="str">
        <f>'Q100b-totais'!B68</f>
        <v>9.5</v>
      </c>
      <c r="B1420" s="1172" t="str">
        <f>'Q100b-totais'!C68</f>
        <v>Sinalização semafórica</v>
      </c>
      <c r="C1420" s="167" t="s">
        <v>432</v>
      </c>
      <c r="D1420" s="324" t="s">
        <v>2831</v>
      </c>
      <c r="E1420" s="254" t="s">
        <v>2784</v>
      </c>
      <c r="F1420" s="11" t="s">
        <v>2813</v>
      </c>
      <c r="G1420" s="416" t="s">
        <v>77</v>
      </c>
      <c r="H1420" s="167" t="s">
        <v>1298</v>
      </c>
      <c r="I1420" s="57">
        <v>1</v>
      </c>
      <c r="J1420" s="107" t="s">
        <v>432</v>
      </c>
      <c r="K1420" s="107" t="s">
        <v>432</v>
      </c>
      <c r="L1420" s="107" t="s">
        <v>432</v>
      </c>
      <c r="M1420" s="107" t="s">
        <v>432</v>
      </c>
      <c r="N1420" s="107" t="s">
        <v>432</v>
      </c>
      <c r="O1420" s="107" t="s">
        <v>432</v>
      </c>
      <c r="P1420" s="107" t="s">
        <v>432</v>
      </c>
      <c r="Q1420" s="107" t="s">
        <v>432</v>
      </c>
      <c r="R1420" s="107" t="s">
        <v>432</v>
      </c>
      <c r="S1420" s="109" t="s">
        <v>2209</v>
      </c>
      <c r="T1420" s="107" t="s">
        <v>432</v>
      </c>
      <c r="U1420" s="107" t="s">
        <v>432</v>
      </c>
      <c r="V1420" s="109" t="s">
        <v>2209</v>
      </c>
      <c r="W1420" s="107" t="s">
        <v>432</v>
      </c>
      <c r="X1420" s="107" t="s">
        <v>432</v>
      </c>
      <c r="Y1420" s="107" t="s">
        <v>432</v>
      </c>
      <c r="Z1420" s="107" t="s">
        <v>432</v>
      </c>
      <c r="AA1420" s="107" t="s">
        <v>432</v>
      </c>
      <c r="AB1420" s="107" t="s">
        <v>432</v>
      </c>
      <c r="AC1420" s="86">
        <v>1173</v>
      </c>
      <c r="AD1420" s="107" t="s">
        <v>432</v>
      </c>
      <c r="AE1420" s="107" t="s">
        <v>432</v>
      </c>
      <c r="AF1420" s="107" t="s">
        <v>432</v>
      </c>
      <c r="AG1420" s="107" t="s">
        <v>432</v>
      </c>
      <c r="AH1420" s="107" t="s">
        <v>432</v>
      </c>
      <c r="AI1420" s="107" t="s">
        <v>432</v>
      </c>
      <c r="AJ1420" s="107" t="s">
        <v>432</v>
      </c>
      <c r="AK1420" s="137" t="s">
        <v>432</v>
      </c>
      <c r="AL1420" s="601" t="s">
        <v>432</v>
      </c>
      <c r="AM1420" s="137" t="s">
        <v>432</v>
      </c>
      <c r="AN1420" s="137" t="s">
        <v>432</v>
      </c>
      <c r="AO1420" s="137" t="s">
        <v>432</v>
      </c>
      <c r="AP1420" s="137" t="s">
        <v>432</v>
      </c>
      <c r="AQ1420" s="137" t="s">
        <v>432</v>
      </c>
      <c r="AR1420" s="137" t="s">
        <v>432</v>
      </c>
      <c r="AS1420" s="137" t="s">
        <v>432</v>
      </c>
      <c r="AT1420" s="137" t="s">
        <v>432</v>
      </c>
      <c r="AU1420" s="137" t="s">
        <v>432</v>
      </c>
      <c r="AV1420" s="137" t="s">
        <v>432</v>
      </c>
      <c r="AW1420" s="137" t="s">
        <v>432</v>
      </c>
      <c r="AX1420" s="137" t="s">
        <v>432</v>
      </c>
      <c r="AY1420" s="137" t="s">
        <v>432</v>
      </c>
      <c r="AZ1420" s="137" t="s">
        <v>432</v>
      </c>
      <c r="BA1420" s="137" t="s">
        <v>432</v>
      </c>
      <c r="BB1420" s="239" t="str">
        <f t="shared" si="385"/>
        <v>Sinalização semafóricax</v>
      </c>
      <c r="BC1420" s="239" t="str">
        <f t="shared" si="386"/>
        <v>Sinalização semafóricaxRMBH</v>
      </c>
      <c r="BD1420" s="239" t="str">
        <f t="shared" si="387"/>
        <v>Sinalização semafóricaRMBH</v>
      </c>
    </row>
    <row r="1421" spans="1:56" s="1" customFormat="1" ht="63.75" customHeight="1" x14ac:dyDescent="0.25">
      <c r="A1421" s="333" t="str">
        <f>'Q100b-totais'!B68</f>
        <v>9.5</v>
      </c>
      <c r="B1421" s="1172" t="str">
        <f>'Q100b-totais'!C68</f>
        <v>Sinalização semafórica</v>
      </c>
      <c r="C1421" s="167" t="s">
        <v>432</v>
      </c>
      <c r="D1421" s="324" t="s">
        <v>2831</v>
      </c>
      <c r="E1421" s="254" t="s">
        <v>2785</v>
      </c>
      <c r="F1421" s="11" t="s">
        <v>2813</v>
      </c>
      <c r="G1421" s="416" t="s">
        <v>77</v>
      </c>
      <c r="H1421" s="173" t="s">
        <v>819</v>
      </c>
      <c r="I1421" s="167" t="s">
        <v>432</v>
      </c>
      <c r="J1421" s="107" t="s">
        <v>432</v>
      </c>
      <c r="K1421" s="107" t="s">
        <v>432</v>
      </c>
      <c r="L1421" s="107" t="s">
        <v>432</v>
      </c>
      <c r="M1421" s="107" t="s">
        <v>432</v>
      </c>
      <c r="N1421" s="107" t="s">
        <v>432</v>
      </c>
      <c r="O1421" s="107" t="s">
        <v>432</v>
      </c>
      <c r="P1421" s="107" t="s">
        <v>432</v>
      </c>
      <c r="Q1421" s="107" t="s">
        <v>432</v>
      </c>
      <c r="R1421" s="107" t="s">
        <v>432</v>
      </c>
      <c r="S1421" s="109" t="s">
        <v>2209</v>
      </c>
      <c r="T1421" s="107" t="s">
        <v>432</v>
      </c>
      <c r="U1421" s="107" t="s">
        <v>432</v>
      </c>
      <c r="V1421" s="109" t="s">
        <v>2209</v>
      </c>
      <c r="W1421" s="107" t="s">
        <v>432</v>
      </c>
      <c r="X1421" s="107" t="s">
        <v>432</v>
      </c>
      <c r="Y1421" s="107" t="s">
        <v>432</v>
      </c>
      <c r="Z1421" s="107" t="s">
        <v>432</v>
      </c>
      <c r="AA1421" s="107" t="s">
        <v>432</v>
      </c>
      <c r="AB1421" s="107" t="s">
        <v>432</v>
      </c>
      <c r="AC1421" s="86">
        <v>1123</v>
      </c>
      <c r="AD1421" s="107" t="s">
        <v>432</v>
      </c>
      <c r="AE1421" s="107" t="s">
        <v>432</v>
      </c>
      <c r="AF1421" s="107" t="s">
        <v>432</v>
      </c>
      <c r="AG1421" s="107" t="s">
        <v>432</v>
      </c>
      <c r="AH1421" s="107" t="s">
        <v>432</v>
      </c>
      <c r="AI1421" s="107" t="s">
        <v>432</v>
      </c>
      <c r="AJ1421" s="107" t="s">
        <v>432</v>
      </c>
      <c r="AK1421" s="137" t="s">
        <v>432</v>
      </c>
      <c r="AL1421" s="601" t="s">
        <v>432</v>
      </c>
      <c r="AM1421" s="137" t="s">
        <v>432</v>
      </c>
      <c r="AN1421" s="137" t="s">
        <v>432</v>
      </c>
      <c r="AO1421" s="137" t="s">
        <v>432</v>
      </c>
      <c r="AP1421" s="137" t="s">
        <v>432</v>
      </c>
      <c r="AQ1421" s="137" t="s">
        <v>432</v>
      </c>
      <c r="AR1421" s="137" t="s">
        <v>432</v>
      </c>
      <c r="AS1421" s="137" t="s">
        <v>432</v>
      </c>
      <c r="AT1421" s="137" t="s">
        <v>432</v>
      </c>
      <c r="AU1421" s="137" t="s">
        <v>432</v>
      </c>
      <c r="AV1421" s="137" t="s">
        <v>432</v>
      </c>
      <c r="AW1421" s="137" t="s">
        <v>432</v>
      </c>
      <c r="AX1421" s="137" t="s">
        <v>432</v>
      </c>
      <c r="AY1421" s="137" t="s">
        <v>432</v>
      </c>
      <c r="AZ1421" s="137" t="s">
        <v>432</v>
      </c>
      <c r="BA1421" s="137" t="s">
        <v>432</v>
      </c>
      <c r="BB1421" s="239" t="str">
        <f t="shared" si="385"/>
        <v>Sinalização semafóricax</v>
      </c>
      <c r="BC1421" s="239" t="str">
        <f t="shared" si="386"/>
        <v>Sinalização semafóricaxbenchmarking</v>
      </c>
      <c r="BD1421" s="239" t="str">
        <f t="shared" si="387"/>
        <v>Sinalização semafóricabenchmarking</v>
      </c>
    </row>
    <row r="1422" spans="1:56" s="1" customFormat="1" ht="63.75" customHeight="1" x14ac:dyDescent="0.25">
      <c r="A1422" s="333" t="str">
        <f>'Q100b-totais'!B68</f>
        <v>9.5</v>
      </c>
      <c r="B1422" s="1172" t="str">
        <f>'Q100b-totais'!C68</f>
        <v>Sinalização semafórica</v>
      </c>
      <c r="C1422" s="167" t="s">
        <v>432</v>
      </c>
      <c r="D1422" s="324" t="s">
        <v>2831</v>
      </c>
      <c r="E1422" s="254" t="s">
        <v>2786</v>
      </c>
      <c r="F1422" s="11" t="s">
        <v>2813</v>
      </c>
      <c r="G1422" s="416" t="s">
        <v>77</v>
      </c>
      <c r="H1422" s="173" t="s">
        <v>819</v>
      </c>
      <c r="I1422" s="167" t="s">
        <v>432</v>
      </c>
      <c r="J1422" s="107" t="s">
        <v>432</v>
      </c>
      <c r="K1422" s="107" t="s">
        <v>432</v>
      </c>
      <c r="L1422" s="107" t="s">
        <v>432</v>
      </c>
      <c r="M1422" s="107" t="s">
        <v>432</v>
      </c>
      <c r="N1422" s="107" t="s">
        <v>432</v>
      </c>
      <c r="O1422" s="107" t="s">
        <v>432</v>
      </c>
      <c r="P1422" s="107" t="s">
        <v>432</v>
      </c>
      <c r="Q1422" s="107" t="s">
        <v>432</v>
      </c>
      <c r="R1422" s="107" t="s">
        <v>432</v>
      </c>
      <c r="S1422" s="109" t="s">
        <v>2209</v>
      </c>
      <c r="T1422" s="107" t="s">
        <v>432</v>
      </c>
      <c r="U1422" s="107" t="s">
        <v>432</v>
      </c>
      <c r="V1422" s="109" t="s">
        <v>2209</v>
      </c>
      <c r="W1422" s="107" t="s">
        <v>432</v>
      </c>
      <c r="X1422" s="107" t="s">
        <v>432</v>
      </c>
      <c r="Y1422" s="107" t="s">
        <v>432</v>
      </c>
      <c r="Z1422" s="107" t="s">
        <v>432</v>
      </c>
      <c r="AA1422" s="107" t="s">
        <v>432</v>
      </c>
      <c r="AB1422" s="107" t="s">
        <v>432</v>
      </c>
      <c r="AC1422" s="86">
        <v>7200</v>
      </c>
      <c r="AD1422" s="107" t="s">
        <v>432</v>
      </c>
      <c r="AE1422" s="107" t="s">
        <v>432</v>
      </c>
      <c r="AF1422" s="107" t="s">
        <v>432</v>
      </c>
      <c r="AG1422" s="107" t="s">
        <v>432</v>
      </c>
      <c r="AH1422" s="107" t="s">
        <v>432</v>
      </c>
      <c r="AI1422" s="107" t="s">
        <v>432</v>
      </c>
      <c r="AJ1422" s="107" t="s">
        <v>432</v>
      </c>
      <c r="AK1422" s="137" t="s">
        <v>432</v>
      </c>
      <c r="AL1422" s="601" t="s">
        <v>432</v>
      </c>
      <c r="AM1422" s="137" t="s">
        <v>432</v>
      </c>
      <c r="AN1422" s="137" t="s">
        <v>432</v>
      </c>
      <c r="AO1422" s="137" t="s">
        <v>432</v>
      </c>
      <c r="AP1422" s="137" t="s">
        <v>432</v>
      </c>
      <c r="AQ1422" s="137" t="s">
        <v>432</v>
      </c>
      <c r="AR1422" s="137" t="s">
        <v>432</v>
      </c>
      <c r="AS1422" s="137" t="s">
        <v>432</v>
      </c>
      <c r="AT1422" s="137" t="s">
        <v>432</v>
      </c>
      <c r="AU1422" s="137" t="s">
        <v>432</v>
      </c>
      <c r="AV1422" s="137" t="s">
        <v>432</v>
      </c>
      <c r="AW1422" s="137" t="s">
        <v>432</v>
      </c>
      <c r="AX1422" s="137" t="s">
        <v>432</v>
      </c>
      <c r="AY1422" s="137" t="s">
        <v>432</v>
      </c>
      <c r="AZ1422" s="137" t="s">
        <v>432</v>
      </c>
      <c r="BA1422" s="137" t="s">
        <v>432</v>
      </c>
      <c r="BB1422" s="239" t="str">
        <f t="shared" si="385"/>
        <v>Sinalização semafóricax</v>
      </c>
      <c r="BC1422" s="239" t="str">
        <f t="shared" si="386"/>
        <v>Sinalização semafóricaxbenchmarking</v>
      </c>
      <c r="BD1422" s="239" t="str">
        <f t="shared" si="387"/>
        <v>Sinalização semafóricabenchmarking</v>
      </c>
    </row>
    <row r="1423" spans="1:56" s="1" customFormat="1" ht="63.75" customHeight="1" x14ac:dyDescent="0.25">
      <c r="A1423" s="333" t="str">
        <f>'Q100b-totais'!B68</f>
        <v>9.5</v>
      </c>
      <c r="B1423" s="1172" t="str">
        <f>'Q100b-totais'!C68</f>
        <v>Sinalização semafórica</v>
      </c>
      <c r="C1423" s="167" t="s">
        <v>432</v>
      </c>
      <c r="D1423" s="324" t="s">
        <v>2831</v>
      </c>
      <c r="E1423" s="254" t="s">
        <v>2787</v>
      </c>
      <c r="F1423" s="11" t="s">
        <v>2813</v>
      </c>
      <c r="G1423" s="416" t="s">
        <v>77</v>
      </c>
      <c r="H1423" s="173" t="s">
        <v>819</v>
      </c>
      <c r="I1423" s="167" t="s">
        <v>432</v>
      </c>
      <c r="J1423" s="107" t="s">
        <v>432</v>
      </c>
      <c r="K1423" s="107" t="s">
        <v>432</v>
      </c>
      <c r="L1423" s="107" t="s">
        <v>432</v>
      </c>
      <c r="M1423" s="107" t="s">
        <v>432</v>
      </c>
      <c r="N1423" s="107" t="s">
        <v>432</v>
      </c>
      <c r="O1423" s="107" t="s">
        <v>432</v>
      </c>
      <c r="P1423" s="107" t="s">
        <v>432</v>
      </c>
      <c r="Q1423" s="107" t="s">
        <v>432</v>
      </c>
      <c r="R1423" s="107" t="s">
        <v>432</v>
      </c>
      <c r="S1423" s="109" t="s">
        <v>2209</v>
      </c>
      <c r="T1423" s="107" t="s">
        <v>432</v>
      </c>
      <c r="U1423" s="107" t="s">
        <v>432</v>
      </c>
      <c r="V1423" s="109" t="s">
        <v>2209</v>
      </c>
      <c r="W1423" s="107" t="s">
        <v>432</v>
      </c>
      <c r="X1423" s="107" t="s">
        <v>432</v>
      </c>
      <c r="Y1423" s="107" t="s">
        <v>432</v>
      </c>
      <c r="Z1423" s="107" t="s">
        <v>432</v>
      </c>
      <c r="AA1423" s="107" t="s">
        <v>432</v>
      </c>
      <c r="AB1423" s="107" t="s">
        <v>432</v>
      </c>
      <c r="AC1423" s="86">
        <v>496</v>
      </c>
      <c r="AD1423" s="107" t="s">
        <v>432</v>
      </c>
      <c r="AE1423" s="107" t="s">
        <v>432</v>
      </c>
      <c r="AF1423" s="107" t="s">
        <v>432</v>
      </c>
      <c r="AG1423" s="107" t="s">
        <v>432</v>
      </c>
      <c r="AH1423" s="107" t="s">
        <v>432</v>
      </c>
      <c r="AI1423" s="107" t="s">
        <v>432</v>
      </c>
      <c r="AJ1423" s="107" t="s">
        <v>432</v>
      </c>
      <c r="AK1423" s="137" t="s">
        <v>432</v>
      </c>
      <c r="AL1423" s="601" t="s">
        <v>432</v>
      </c>
      <c r="AM1423" s="137" t="s">
        <v>432</v>
      </c>
      <c r="AN1423" s="137" t="s">
        <v>432</v>
      </c>
      <c r="AO1423" s="137" t="s">
        <v>432</v>
      </c>
      <c r="AP1423" s="137" t="s">
        <v>432</v>
      </c>
      <c r="AQ1423" s="137" t="s">
        <v>432</v>
      </c>
      <c r="AR1423" s="137" t="s">
        <v>432</v>
      </c>
      <c r="AS1423" s="137" t="s">
        <v>432</v>
      </c>
      <c r="AT1423" s="137" t="s">
        <v>432</v>
      </c>
      <c r="AU1423" s="137" t="s">
        <v>432</v>
      </c>
      <c r="AV1423" s="137" t="s">
        <v>432</v>
      </c>
      <c r="AW1423" s="137" t="s">
        <v>432</v>
      </c>
      <c r="AX1423" s="137" t="s">
        <v>432</v>
      </c>
      <c r="AY1423" s="137" t="s">
        <v>432</v>
      </c>
      <c r="AZ1423" s="137" t="s">
        <v>432</v>
      </c>
      <c r="BA1423" s="137" t="s">
        <v>432</v>
      </c>
      <c r="BB1423" s="239" t="str">
        <f t="shared" si="385"/>
        <v>Sinalização semafóricax</v>
      </c>
      <c r="BC1423" s="239" t="str">
        <f t="shared" si="386"/>
        <v>Sinalização semafóricaxbenchmarking</v>
      </c>
      <c r="BD1423" s="239" t="str">
        <f t="shared" si="387"/>
        <v>Sinalização semafóricabenchmarking</v>
      </c>
    </row>
    <row r="1424" spans="1:56" s="1" customFormat="1" ht="63.75" customHeight="1" x14ac:dyDescent="0.25">
      <c r="A1424" s="333" t="str">
        <f>'Q100b-totais'!B68</f>
        <v>9.5</v>
      </c>
      <c r="B1424" s="1172" t="str">
        <f>'Q100b-totais'!C68</f>
        <v>Sinalização semafórica</v>
      </c>
      <c r="C1424" s="167" t="s">
        <v>432</v>
      </c>
      <c r="D1424" s="324" t="s">
        <v>2831</v>
      </c>
      <c r="E1424" s="254" t="s">
        <v>2788</v>
      </c>
      <c r="F1424" s="11" t="s">
        <v>2813</v>
      </c>
      <c r="G1424" s="416" t="s">
        <v>77</v>
      </c>
      <c r="H1424" s="173" t="s">
        <v>819</v>
      </c>
      <c r="I1424" s="167" t="s">
        <v>432</v>
      </c>
      <c r="J1424" s="107" t="s">
        <v>432</v>
      </c>
      <c r="K1424" s="107" t="s">
        <v>432</v>
      </c>
      <c r="L1424" s="107" t="s">
        <v>432</v>
      </c>
      <c r="M1424" s="107" t="s">
        <v>432</v>
      </c>
      <c r="N1424" s="107" t="s">
        <v>432</v>
      </c>
      <c r="O1424" s="107" t="s">
        <v>432</v>
      </c>
      <c r="P1424" s="107" t="s">
        <v>432</v>
      </c>
      <c r="Q1424" s="107" t="s">
        <v>432</v>
      </c>
      <c r="R1424" s="107" t="s">
        <v>432</v>
      </c>
      <c r="S1424" s="109" t="s">
        <v>2209</v>
      </c>
      <c r="T1424" s="107" t="s">
        <v>432</v>
      </c>
      <c r="U1424" s="107" t="s">
        <v>432</v>
      </c>
      <c r="V1424" s="109" t="s">
        <v>2209</v>
      </c>
      <c r="W1424" s="107" t="s">
        <v>432</v>
      </c>
      <c r="X1424" s="107" t="s">
        <v>432</v>
      </c>
      <c r="Y1424" s="107" t="s">
        <v>432</v>
      </c>
      <c r="Z1424" s="107" t="s">
        <v>432</v>
      </c>
      <c r="AA1424" s="107" t="s">
        <v>432</v>
      </c>
      <c r="AB1424" s="107" t="s">
        <v>432</v>
      </c>
      <c r="AC1424" s="86">
        <v>3056</v>
      </c>
      <c r="AD1424" s="107" t="s">
        <v>432</v>
      </c>
      <c r="AE1424" s="107" t="s">
        <v>432</v>
      </c>
      <c r="AF1424" s="107" t="s">
        <v>432</v>
      </c>
      <c r="AG1424" s="107" t="s">
        <v>432</v>
      </c>
      <c r="AH1424" s="107" t="s">
        <v>432</v>
      </c>
      <c r="AI1424" s="107" t="s">
        <v>432</v>
      </c>
      <c r="AJ1424" s="107" t="s">
        <v>432</v>
      </c>
      <c r="AK1424" s="137" t="s">
        <v>432</v>
      </c>
      <c r="AL1424" s="601" t="s">
        <v>432</v>
      </c>
      <c r="AM1424" s="137" t="s">
        <v>432</v>
      </c>
      <c r="AN1424" s="137" t="s">
        <v>432</v>
      </c>
      <c r="AO1424" s="137" t="s">
        <v>432</v>
      </c>
      <c r="AP1424" s="137" t="s">
        <v>432</v>
      </c>
      <c r="AQ1424" s="137" t="s">
        <v>432</v>
      </c>
      <c r="AR1424" s="137" t="s">
        <v>432</v>
      </c>
      <c r="AS1424" s="137" t="s">
        <v>432</v>
      </c>
      <c r="AT1424" s="137" t="s">
        <v>432</v>
      </c>
      <c r="AU1424" s="137" t="s">
        <v>432</v>
      </c>
      <c r="AV1424" s="137" t="s">
        <v>432</v>
      </c>
      <c r="AW1424" s="137" t="s">
        <v>432</v>
      </c>
      <c r="AX1424" s="137" t="s">
        <v>432</v>
      </c>
      <c r="AY1424" s="137" t="s">
        <v>432</v>
      </c>
      <c r="AZ1424" s="137" t="s">
        <v>432</v>
      </c>
      <c r="BA1424" s="137" t="s">
        <v>432</v>
      </c>
      <c r="BB1424" s="239" t="str">
        <f t="shared" si="385"/>
        <v>Sinalização semafóricax</v>
      </c>
      <c r="BC1424" s="239" t="str">
        <f t="shared" si="386"/>
        <v>Sinalização semafóricaxbenchmarking</v>
      </c>
      <c r="BD1424" s="239" t="str">
        <f t="shared" si="387"/>
        <v>Sinalização semafóricabenchmarking</v>
      </c>
    </row>
    <row r="1425" spans="1:56" s="1" customFormat="1" ht="63.75" customHeight="1" x14ac:dyDescent="0.25">
      <c r="A1425" s="333" t="str">
        <f>'Q100b-totais'!B68</f>
        <v>9.5</v>
      </c>
      <c r="B1425" s="1172" t="str">
        <f>'Q100b-totais'!C68</f>
        <v>Sinalização semafórica</v>
      </c>
      <c r="C1425" s="167" t="s">
        <v>432</v>
      </c>
      <c r="D1425" s="324" t="s">
        <v>2831</v>
      </c>
      <c r="E1425" s="254" t="s">
        <v>2789</v>
      </c>
      <c r="F1425" s="11" t="s">
        <v>2813</v>
      </c>
      <c r="G1425" s="416" t="s">
        <v>77</v>
      </c>
      <c r="H1425" s="173" t="s">
        <v>819</v>
      </c>
      <c r="I1425" s="167" t="s">
        <v>432</v>
      </c>
      <c r="J1425" s="107" t="s">
        <v>432</v>
      </c>
      <c r="K1425" s="107" t="s">
        <v>432</v>
      </c>
      <c r="L1425" s="107" t="s">
        <v>432</v>
      </c>
      <c r="M1425" s="107" t="s">
        <v>432</v>
      </c>
      <c r="N1425" s="107" t="s">
        <v>432</v>
      </c>
      <c r="O1425" s="107" t="s">
        <v>432</v>
      </c>
      <c r="P1425" s="107" t="s">
        <v>432</v>
      </c>
      <c r="Q1425" s="107" t="s">
        <v>432</v>
      </c>
      <c r="R1425" s="107" t="s">
        <v>432</v>
      </c>
      <c r="S1425" s="109" t="s">
        <v>2209</v>
      </c>
      <c r="T1425" s="107" t="s">
        <v>432</v>
      </c>
      <c r="U1425" s="107" t="s">
        <v>432</v>
      </c>
      <c r="V1425" s="109" t="s">
        <v>2209</v>
      </c>
      <c r="W1425" s="107" t="s">
        <v>432</v>
      </c>
      <c r="X1425" s="107" t="s">
        <v>432</v>
      </c>
      <c r="Y1425" s="107" t="s">
        <v>432</v>
      </c>
      <c r="Z1425" s="107" t="s">
        <v>432</v>
      </c>
      <c r="AA1425" s="107" t="s">
        <v>432</v>
      </c>
      <c r="AB1425" s="107" t="s">
        <v>432</v>
      </c>
      <c r="AC1425" s="86">
        <v>1116</v>
      </c>
      <c r="AD1425" s="107" t="s">
        <v>432</v>
      </c>
      <c r="AE1425" s="107" t="s">
        <v>432</v>
      </c>
      <c r="AF1425" s="107" t="s">
        <v>432</v>
      </c>
      <c r="AG1425" s="107" t="s">
        <v>432</v>
      </c>
      <c r="AH1425" s="107" t="s">
        <v>432</v>
      </c>
      <c r="AI1425" s="107" t="s">
        <v>432</v>
      </c>
      <c r="AJ1425" s="107" t="s">
        <v>432</v>
      </c>
      <c r="AK1425" s="137" t="s">
        <v>432</v>
      </c>
      <c r="AL1425" s="601" t="s">
        <v>432</v>
      </c>
      <c r="AM1425" s="137" t="s">
        <v>432</v>
      </c>
      <c r="AN1425" s="137" t="s">
        <v>432</v>
      </c>
      <c r="AO1425" s="137" t="s">
        <v>432</v>
      </c>
      <c r="AP1425" s="137" t="s">
        <v>432</v>
      </c>
      <c r="AQ1425" s="137" t="s">
        <v>432</v>
      </c>
      <c r="AR1425" s="137" t="s">
        <v>432</v>
      </c>
      <c r="AS1425" s="137" t="s">
        <v>432</v>
      </c>
      <c r="AT1425" s="137" t="s">
        <v>432</v>
      </c>
      <c r="AU1425" s="137" t="s">
        <v>432</v>
      </c>
      <c r="AV1425" s="137" t="s">
        <v>432</v>
      </c>
      <c r="AW1425" s="137" t="s">
        <v>432</v>
      </c>
      <c r="AX1425" s="137" t="s">
        <v>432</v>
      </c>
      <c r="AY1425" s="137" t="s">
        <v>432</v>
      </c>
      <c r="AZ1425" s="137" t="s">
        <v>432</v>
      </c>
      <c r="BA1425" s="137" t="s">
        <v>432</v>
      </c>
      <c r="BB1425" s="239" t="str">
        <f t="shared" si="385"/>
        <v>Sinalização semafóricax</v>
      </c>
      <c r="BC1425" s="239" t="str">
        <f t="shared" si="386"/>
        <v>Sinalização semafóricaxbenchmarking</v>
      </c>
      <c r="BD1425" s="239" t="str">
        <f t="shared" si="387"/>
        <v>Sinalização semafóricabenchmarking</v>
      </c>
    </row>
    <row r="1426" spans="1:56" s="1" customFormat="1" ht="63.75" customHeight="1" x14ac:dyDescent="0.25">
      <c r="A1426" s="333" t="str">
        <f>'Q100b-totais'!B68</f>
        <v>9.5</v>
      </c>
      <c r="B1426" s="1172" t="str">
        <f>'Q100b-totais'!C68</f>
        <v>Sinalização semafórica</v>
      </c>
      <c r="C1426" s="167" t="s">
        <v>432</v>
      </c>
      <c r="D1426" s="324" t="s">
        <v>2831</v>
      </c>
      <c r="E1426" s="254" t="s">
        <v>2790</v>
      </c>
      <c r="F1426" s="11" t="s">
        <v>2813</v>
      </c>
      <c r="G1426" s="416" t="s">
        <v>77</v>
      </c>
      <c r="H1426" s="173" t="s">
        <v>819</v>
      </c>
      <c r="I1426" s="167" t="s">
        <v>432</v>
      </c>
      <c r="J1426" s="107" t="s">
        <v>432</v>
      </c>
      <c r="K1426" s="107" t="s">
        <v>432</v>
      </c>
      <c r="L1426" s="107" t="s">
        <v>432</v>
      </c>
      <c r="M1426" s="107" t="s">
        <v>432</v>
      </c>
      <c r="N1426" s="107" t="s">
        <v>432</v>
      </c>
      <c r="O1426" s="107" t="s">
        <v>432</v>
      </c>
      <c r="P1426" s="107" t="s">
        <v>432</v>
      </c>
      <c r="Q1426" s="107" t="s">
        <v>432</v>
      </c>
      <c r="R1426" s="107" t="s">
        <v>432</v>
      </c>
      <c r="S1426" s="109" t="s">
        <v>2209</v>
      </c>
      <c r="T1426" s="107" t="s">
        <v>432</v>
      </c>
      <c r="U1426" s="107" t="s">
        <v>432</v>
      </c>
      <c r="V1426" s="109" t="s">
        <v>2209</v>
      </c>
      <c r="W1426" s="107" t="s">
        <v>432</v>
      </c>
      <c r="X1426" s="107" t="s">
        <v>432</v>
      </c>
      <c r="Y1426" s="107" t="s">
        <v>432</v>
      </c>
      <c r="Z1426" s="107" t="s">
        <v>432</v>
      </c>
      <c r="AA1426" s="107" t="s">
        <v>432</v>
      </c>
      <c r="AB1426" s="107" t="s">
        <v>432</v>
      </c>
      <c r="AC1426" s="86">
        <v>1300</v>
      </c>
      <c r="AD1426" s="107" t="s">
        <v>432</v>
      </c>
      <c r="AE1426" s="107" t="s">
        <v>432</v>
      </c>
      <c r="AF1426" s="107" t="s">
        <v>432</v>
      </c>
      <c r="AG1426" s="107" t="s">
        <v>432</v>
      </c>
      <c r="AH1426" s="107" t="s">
        <v>432</v>
      </c>
      <c r="AI1426" s="107" t="s">
        <v>432</v>
      </c>
      <c r="AJ1426" s="107" t="s">
        <v>432</v>
      </c>
      <c r="AK1426" s="137" t="s">
        <v>432</v>
      </c>
      <c r="AL1426" s="601" t="s">
        <v>432</v>
      </c>
      <c r="AM1426" s="137" t="s">
        <v>432</v>
      </c>
      <c r="AN1426" s="137" t="s">
        <v>432</v>
      </c>
      <c r="AO1426" s="137" t="s">
        <v>432</v>
      </c>
      <c r="AP1426" s="137" t="s">
        <v>432</v>
      </c>
      <c r="AQ1426" s="137" t="s">
        <v>432</v>
      </c>
      <c r="AR1426" s="137" t="s">
        <v>432</v>
      </c>
      <c r="AS1426" s="137" t="s">
        <v>432</v>
      </c>
      <c r="AT1426" s="137" t="s">
        <v>432</v>
      </c>
      <c r="AU1426" s="137" t="s">
        <v>432</v>
      </c>
      <c r="AV1426" s="137" t="s">
        <v>432</v>
      </c>
      <c r="AW1426" s="137" t="s">
        <v>432</v>
      </c>
      <c r="AX1426" s="137" t="s">
        <v>432</v>
      </c>
      <c r="AY1426" s="137" t="s">
        <v>432</v>
      </c>
      <c r="AZ1426" s="137" t="s">
        <v>432</v>
      </c>
      <c r="BA1426" s="137" t="s">
        <v>432</v>
      </c>
      <c r="BB1426" s="239" t="str">
        <f t="shared" ref="BB1426:BB1434" si="388">B1426&amp;C1426</f>
        <v>Sinalização semafóricax</v>
      </c>
      <c r="BC1426" s="239" t="str">
        <f t="shared" ref="BC1426:BC1434" si="389">B1426&amp;C1426&amp;H1426</f>
        <v>Sinalização semafóricaxbenchmarking</v>
      </c>
      <c r="BD1426" s="239" t="str">
        <f t="shared" ref="BD1426:BD1434" si="390">B1426&amp;H1426</f>
        <v>Sinalização semafóricabenchmarking</v>
      </c>
    </row>
    <row r="1427" spans="1:56" s="1" customFormat="1" ht="63.75" customHeight="1" x14ac:dyDescent="0.25">
      <c r="A1427" s="333" t="str">
        <f>'Q100b-totais'!B68</f>
        <v>9.5</v>
      </c>
      <c r="B1427" s="1172" t="str">
        <f>'Q100b-totais'!C68</f>
        <v>Sinalização semafórica</v>
      </c>
      <c r="C1427" s="167" t="s">
        <v>432</v>
      </c>
      <c r="D1427" s="324" t="s">
        <v>2831</v>
      </c>
      <c r="E1427" s="254" t="s">
        <v>2791</v>
      </c>
      <c r="F1427" s="11" t="s">
        <v>2813</v>
      </c>
      <c r="G1427" s="416" t="s">
        <v>77</v>
      </c>
      <c r="H1427" s="173" t="s">
        <v>819</v>
      </c>
      <c r="I1427" s="167" t="s">
        <v>432</v>
      </c>
      <c r="J1427" s="107" t="s">
        <v>432</v>
      </c>
      <c r="K1427" s="107" t="s">
        <v>432</v>
      </c>
      <c r="L1427" s="107" t="s">
        <v>432</v>
      </c>
      <c r="M1427" s="107" t="s">
        <v>432</v>
      </c>
      <c r="N1427" s="107" t="s">
        <v>432</v>
      </c>
      <c r="O1427" s="107" t="s">
        <v>432</v>
      </c>
      <c r="P1427" s="107" t="s">
        <v>432</v>
      </c>
      <c r="Q1427" s="107" t="s">
        <v>432</v>
      </c>
      <c r="R1427" s="107" t="s">
        <v>432</v>
      </c>
      <c r="S1427" s="109" t="s">
        <v>2209</v>
      </c>
      <c r="T1427" s="107" t="s">
        <v>432</v>
      </c>
      <c r="U1427" s="107" t="s">
        <v>432</v>
      </c>
      <c r="V1427" s="109" t="s">
        <v>2209</v>
      </c>
      <c r="W1427" s="107" t="s">
        <v>432</v>
      </c>
      <c r="X1427" s="107" t="s">
        <v>432</v>
      </c>
      <c r="Y1427" s="107" t="s">
        <v>432</v>
      </c>
      <c r="Z1427" s="107" t="s">
        <v>432</v>
      </c>
      <c r="AA1427" s="107" t="s">
        <v>432</v>
      </c>
      <c r="AB1427" s="107" t="s">
        <v>432</v>
      </c>
      <c r="AC1427" s="86">
        <v>442</v>
      </c>
      <c r="AD1427" s="107" t="s">
        <v>432</v>
      </c>
      <c r="AE1427" s="107" t="s">
        <v>432</v>
      </c>
      <c r="AF1427" s="107" t="s">
        <v>432</v>
      </c>
      <c r="AG1427" s="107" t="s">
        <v>432</v>
      </c>
      <c r="AH1427" s="107" t="s">
        <v>432</v>
      </c>
      <c r="AI1427" s="107" t="s">
        <v>432</v>
      </c>
      <c r="AJ1427" s="107" t="s">
        <v>432</v>
      </c>
      <c r="AK1427" s="137" t="s">
        <v>432</v>
      </c>
      <c r="AL1427" s="601" t="s">
        <v>432</v>
      </c>
      <c r="AM1427" s="137" t="s">
        <v>432</v>
      </c>
      <c r="AN1427" s="137" t="s">
        <v>432</v>
      </c>
      <c r="AO1427" s="137" t="s">
        <v>432</v>
      </c>
      <c r="AP1427" s="137" t="s">
        <v>432</v>
      </c>
      <c r="AQ1427" s="137" t="s">
        <v>432</v>
      </c>
      <c r="AR1427" s="137" t="s">
        <v>432</v>
      </c>
      <c r="AS1427" s="137" t="s">
        <v>432</v>
      </c>
      <c r="AT1427" s="137" t="s">
        <v>432</v>
      </c>
      <c r="AU1427" s="137" t="s">
        <v>432</v>
      </c>
      <c r="AV1427" s="137" t="s">
        <v>432</v>
      </c>
      <c r="AW1427" s="137" t="s">
        <v>432</v>
      </c>
      <c r="AX1427" s="137" t="s">
        <v>432</v>
      </c>
      <c r="AY1427" s="137" t="s">
        <v>432</v>
      </c>
      <c r="AZ1427" s="137" t="s">
        <v>432</v>
      </c>
      <c r="BA1427" s="137" t="s">
        <v>432</v>
      </c>
      <c r="BB1427" s="239" t="str">
        <f t="shared" si="388"/>
        <v>Sinalização semafóricax</v>
      </c>
      <c r="BC1427" s="239" t="str">
        <f t="shared" si="389"/>
        <v>Sinalização semafóricaxbenchmarking</v>
      </c>
      <c r="BD1427" s="239" t="str">
        <f t="shared" si="390"/>
        <v>Sinalização semafóricabenchmarking</v>
      </c>
    </row>
    <row r="1428" spans="1:56" s="1" customFormat="1" ht="63.75" customHeight="1" x14ac:dyDescent="0.25">
      <c r="A1428" s="333" t="str">
        <f>'Q100b-totais'!B68</f>
        <v>9.5</v>
      </c>
      <c r="B1428" s="1172" t="str">
        <f>'Q100b-totais'!C68</f>
        <v>Sinalização semafórica</v>
      </c>
      <c r="C1428" s="167" t="s">
        <v>432</v>
      </c>
      <c r="D1428" s="324" t="s">
        <v>2831</v>
      </c>
      <c r="E1428" s="254" t="s">
        <v>2792</v>
      </c>
      <c r="F1428" s="11" t="s">
        <v>2813</v>
      </c>
      <c r="G1428" s="416" t="s">
        <v>77</v>
      </c>
      <c r="H1428" s="173" t="s">
        <v>819</v>
      </c>
      <c r="I1428" s="167" t="s">
        <v>432</v>
      </c>
      <c r="J1428" s="107" t="s">
        <v>432</v>
      </c>
      <c r="K1428" s="107" t="s">
        <v>432</v>
      </c>
      <c r="L1428" s="107" t="s">
        <v>432</v>
      </c>
      <c r="M1428" s="107" t="s">
        <v>432</v>
      </c>
      <c r="N1428" s="107" t="s">
        <v>432</v>
      </c>
      <c r="O1428" s="107" t="s">
        <v>432</v>
      </c>
      <c r="P1428" s="107" t="s">
        <v>432</v>
      </c>
      <c r="Q1428" s="107" t="s">
        <v>432</v>
      </c>
      <c r="R1428" s="107" t="s">
        <v>432</v>
      </c>
      <c r="S1428" s="109" t="s">
        <v>2209</v>
      </c>
      <c r="T1428" s="107" t="s">
        <v>432</v>
      </c>
      <c r="U1428" s="107" t="s">
        <v>432</v>
      </c>
      <c r="V1428" s="109" t="s">
        <v>2209</v>
      </c>
      <c r="W1428" s="107" t="s">
        <v>432</v>
      </c>
      <c r="X1428" s="107" t="s">
        <v>432</v>
      </c>
      <c r="Y1428" s="107" t="s">
        <v>432</v>
      </c>
      <c r="Z1428" s="107" t="s">
        <v>432</v>
      </c>
      <c r="AA1428" s="107" t="s">
        <v>432</v>
      </c>
      <c r="AB1428" s="107" t="s">
        <v>432</v>
      </c>
      <c r="AC1428" s="86">
        <v>996</v>
      </c>
      <c r="AD1428" s="107" t="s">
        <v>432</v>
      </c>
      <c r="AE1428" s="107" t="s">
        <v>432</v>
      </c>
      <c r="AF1428" s="107" t="s">
        <v>432</v>
      </c>
      <c r="AG1428" s="107" t="s">
        <v>432</v>
      </c>
      <c r="AH1428" s="107" t="s">
        <v>432</v>
      </c>
      <c r="AI1428" s="107" t="s">
        <v>432</v>
      </c>
      <c r="AJ1428" s="107" t="s">
        <v>432</v>
      </c>
      <c r="AK1428" s="137" t="s">
        <v>432</v>
      </c>
      <c r="AL1428" s="601" t="s">
        <v>432</v>
      </c>
      <c r="AM1428" s="137" t="s">
        <v>432</v>
      </c>
      <c r="AN1428" s="137" t="s">
        <v>432</v>
      </c>
      <c r="AO1428" s="137" t="s">
        <v>432</v>
      </c>
      <c r="AP1428" s="137" t="s">
        <v>432</v>
      </c>
      <c r="AQ1428" s="137" t="s">
        <v>432</v>
      </c>
      <c r="AR1428" s="137" t="s">
        <v>432</v>
      </c>
      <c r="AS1428" s="137" t="s">
        <v>432</v>
      </c>
      <c r="AT1428" s="137" t="s">
        <v>432</v>
      </c>
      <c r="AU1428" s="137" t="s">
        <v>432</v>
      </c>
      <c r="AV1428" s="137" t="s">
        <v>432</v>
      </c>
      <c r="AW1428" s="137" t="s">
        <v>432</v>
      </c>
      <c r="AX1428" s="137" t="s">
        <v>432</v>
      </c>
      <c r="AY1428" s="137" t="s">
        <v>432</v>
      </c>
      <c r="AZ1428" s="137" t="s">
        <v>432</v>
      </c>
      <c r="BA1428" s="137" t="s">
        <v>432</v>
      </c>
      <c r="BB1428" s="239" t="str">
        <f t="shared" si="388"/>
        <v>Sinalização semafóricax</v>
      </c>
      <c r="BC1428" s="239" t="str">
        <f t="shared" si="389"/>
        <v>Sinalização semafóricaxbenchmarking</v>
      </c>
      <c r="BD1428" s="239" t="str">
        <f t="shared" si="390"/>
        <v>Sinalização semafóricabenchmarking</v>
      </c>
    </row>
    <row r="1429" spans="1:56" s="1" customFormat="1" ht="63.75" customHeight="1" x14ac:dyDescent="0.25">
      <c r="A1429" s="333" t="str">
        <f>'Q100b-totais'!B68</f>
        <v>9.5</v>
      </c>
      <c r="B1429" s="1172" t="str">
        <f>'Q100b-totais'!C68</f>
        <v>Sinalização semafórica</v>
      </c>
      <c r="C1429" s="167" t="s">
        <v>432</v>
      </c>
      <c r="D1429" s="324" t="s">
        <v>2831</v>
      </c>
      <c r="E1429" s="254" t="s">
        <v>2793</v>
      </c>
      <c r="F1429" s="11" t="s">
        <v>2813</v>
      </c>
      <c r="G1429" s="416" t="s">
        <v>77</v>
      </c>
      <c r="H1429" s="173" t="s">
        <v>819</v>
      </c>
      <c r="I1429" s="167" t="s">
        <v>432</v>
      </c>
      <c r="J1429" s="107" t="s">
        <v>432</v>
      </c>
      <c r="K1429" s="107" t="s">
        <v>432</v>
      </c>
      <c r="L1429" s="107" t="s">
        <v>432</v>
      </c>
      <c r="M1429" s="107" t="s">
        <v>432</v>
      </c>
      <c r="N1429" s="107" t="s">
        <v>432</v>
      </c>
      <c r="O1429" s="107" t="s">
        <v>432</v>
      </c>
      <c r="P1429" s="107" t="s">
        <v>432</v>
      </c>
      <c r="Q1429" s="107" t="s">
        <v>432</v>
      </c>
      <c r="R1429" s="107" t="s">
        <v>432</v>
      </c>
      <c r="S1429" s="109" t="s">
        <v>2209</v>
      </c>
      <c r="T1429" s="107" t="s">
        <v>432</v>
      </c>
      <c r="U1429" s="107" t="s">
        <v>432</v>
      </c>
      <c r="V1429" s="109" t="s">
        <v>2209</v>
      </c>
      <c r="W1429" s="107" t="s">
        <v>432</v>
      </c>
      <c r="X1429" s="107" t="s">
        <v>432</v>
      </c>
      <c r="Y1429" s="107" t="s">
        <v>432</v>
      </c>
      <c r="Z1429" s="107" t="s">
        <v>432</v>
      </c>
      <c r="AA1429" s="107" t="s">
        <v>432</v>
      </c>
      <c r="AB1429" s="107" t="s">
        <v>432</v>
      </c>
      <c r="AC1429" s="86">
        <v>500</v>
      </c>
      <c r="AD1429" s="107" t="s">
        <v>432</v>
      </c>
      <c r="AE1429" s="107" t="s">
        <v>432</v>
      </c>
      <c r="AF1429" s="107" t="s">
        <v>432</v>
      </c>
      <c r="AG1429" s="107" t="s">
        <v>432</v>
      </c>
      <c r="AH1429" s="107" t="s">
        <v>432</v>
      </c>
      <c r="AI1429" s="107" t="s">
        <v>432</v>
      </c>
      <c r="AJ1429" s="107" t="s">
        <v>432</v>
      </c>
      <c r="AK1429" s="137" t="s">
        <v>432</v>
      </c>
      <c r="AL1429" s="601" t="s">
        <v>432</v>
      </c>
      <c r="AM1429" s="137" t="s">
        <v>432</v>
      </c>
      <c r="AN1429" s="137" t="s">
        <v>432</v>
      </c>
      <c r="AO1429" s="137" t="s">
        <v>432</v>
      </c>
      <c r="AP1429" s="137" t="s">
        <v>432</v>
      </c>
      <c r="AQ1429" s="137" t="s">
        <v>432</v>
      </c>
      <c r="AR1429" s="137" t="s">
        <v>432</v>
      </c>
      <c r="AS1429" s="137" t="s">
        <v>432</v>
      </c>
      <c r="AT1429" s="137" t="s">
        <v>432</v>
      </c>
      <c r="AU1429" s="137" t="s">
        <v>432</v>
      </c>
      <c r="AV1429" s="137" t="s">
        <v>432</v>
      </c>
      <c r="AW1429" s="137" t="s">
        <v>432</v>
      </c>
      <c r="AX1429" s="137" t="s">
        <v>432</v>
      </c>
      <c r="AY1429" s="137" t="s">
        <v>432</v>
      </c>
      <c r="AZ1429" s="137" t="s">
        <v>432</v>
      </c>
      <c r="BA1429" s="137" t="s">
        <v>432</v>
      </c>
      <c r="BB1429" s="239" t="str">
        <f t="shared" si="388"/>
        <v>Sinalização semafóricax</v>
      </c>
      <c r="BC1429" s="239" t="str">
        <f t="shared" si="389"/>
        <v>Sinalização semafóricaxbenchmarking</v>
      </c>
      <c r="BD1429" s="239" t="str">
        <f t="shared" si="390"/>
        <v>Sinalização semafóricabenchmarking</v>
      </c>
    </row>
    <row r="1430" spans="1:56" s="1" customFormat="1" ht="63.75" customHeight="1" x14ac:dyDescent="0.25">
      <c r="A1430" s="333" t="str">
        <f>'Q100b-totais'!B68</f>
        <v>9.5</v>
      </c>
      <c r="B1430" s="1172" t="str">
        <f>'Q100b-totais'!C68</f>
        <v>Sinalização semafórica</v>
      </c>
      <c r="C1430" s="167" t="s">
        <v>432</v>
      </c>
      <c r="D1430" s="324" t="s">
        <v>2831</v>
      </c>
      <c r="E1430" s="254" t="s">
        <v>2794</v>
      </c>
      <c r="F1430" s="11" t="s">
        <v>2813</v>
      </c>
      <c r="G1430" s="416" t="s">
        <v>77</v>
      </c>
      <c r="H1430" s="173" t="s">
        <v>819</v>
      </c>
      <c r="I1430" s="167" t="s">
        <v>432</v>
      </c>
      <c r="J1430" s="107" t="s">
        <v>432</v>
      </c>
      <c r="K1430" s="107" t="s">
        <v>432</v>
      </c>
      <c r="L1430" s="107" t="s">
        <v>432</v>
      </c>
      <c r="M1430" s="107" t="s">
        <v>432</v>
      </c>
      <c r="N1430" s="107" t="s">
        <v>432</v>
      </c>
      <c r="O1430" s="107" t="s">
        <v>432</v>
      </c>
      <c r="P1430" s="107" t="s">
        <v>432</v>
      </c>
      <c r="Q1430" s="107" t="s">
        <v>432</v>
      </c>
      <c r="R1430" s="107" t="s">
        <v>432</v>
      </c>
      <c r="S1430" s="109" t="s">
        <v>2209</v>
      </c>
      <c r="T1430" s="107" t="s">
        <v>432</v>
      </c>
      <c r="U1430" s="107" t="s">
        <v>432</v>
      </c>
      <c r="V1430" s="109" t="s">
        <v>2209</v>
      </c>
      <c r="W1430" s="107" t="s">
        <v>432</v>
      </c>
      <c r="X1430" s="107" t="s">
        <v>432</v>
      </c>
      <c r="Y1430" s="107" t="s">
        <v>432</v>
      </c>
      <c r="Z1430" s="107" t="s">
        <v>432</v>
      </c>
      <c r="AA1430" s="107" t="s">
        <v>432</v>
      </c>
      <c r="AB1430" s="107" t="s">
        <v>432</v>
      </c>
      <c r="AC1430" s="86">
        <v>1301</v>
      </c>
      <c r="AD1430" s="107" t="s">
        <v>432</v>
      </c>
      <c r="AE1430" s="107" t="s">
        <v>432</v>
      </c>
      <c r="AF1430" s="107" t="s">
        <v>432</v>
      </c>
      <c r="AG1430" s="107" t="s">
        <v>432</v>
      </c>
      <c r="AH1430" s="107" t="s">
        <v>432</v>
      </c>
      <c r="AI1430" s="107" t="s">
        <v>432</v>
      </c>
      <c r="AJ1430" s="107" t="s">
        <v>432</v>
      </c>
      <c r="AK1430" s="137" t="s">
        <v>432</v>
      </c>
      <c r="AL1430" s="601" t="s">
        <v>432</v>
      </c>
      <c r="AM1430" s="137" t="s">
        <v>432</v>
      </c>
      <c r="AN1430" s="137" t="s">
        <v>432</v>
      </c>
      <c r="AO1430" s="137" t="s">
        <v>432</v>
      </c>
      <c r="AP1430" s="137" t="s">
        <v>432</v>
      </c>
      <c r="AQ1430" s="137" t="s">
        <v>432</v>
      </c>
      <c r="AR1430" s="137" t="s">
        <v>432</v>
      </c>
      <c r="AS1430" s="137" t="s">
        <v>432</v>
      </c>
      <c r="AT1430" s="137" t="s">
        <v>432</v>
      </c>
      <c r="AU1430" s="137" t="s">
        <v>432</v>
      </c>
      <c r="AV1430" s="137" t="s">
        <v>432</v>
      </c>
      <c r="AW1430" s="137" t="s">
        <v>432</v>
      </c>
      <c r="AX1430" s="137" t="s">
        <v>432</v>
      </c>
      <c r="AY1430" s="137" t="s">
        <v>432</v>
      </c>
      <c r="AZ1430" s="137" t="s">
        <v>432</v>
      </c>
      <c r="BA1430" s="137" t="s">
        <v>432</v>
      </c>
      <c r="BB1430" s="239" t="str">
        <f t="shared" si="388"/>
        <v>Sinalização semafóricax</v>
      </c>
      <c r="BC1430" s="239" t="str">
        <f t="shared" si="389"/>
        <v>Sinalização semafóricaxbenchmarking</v>
      </c>
      <c r="BD1430" s="239" t="str">
        <f t="shared" si="390"/>
        <v>Sinalização semafóricabenchmarking</v>
      </c>
    </row>
    <row r="1431" spans="1:56" s="1" customFormat="1" ht="63.75" customHeight="1" x14ac:dyDescent="0.25">
      <c r="A1431" s="333" t="str">
        <f>'Q100b-totais'!B68</f>
        <v>9.5</v>
      </c>
      <c r="B1431" s="1172" t="str">
        <f>'Q100b-totais'!C68</f>
        <v>Sinalização semafórica</v>
      </c>
      <c r="C1431" s="167" t="s">
        <v>432</v>
      </c>
      <c r="D1431" s="324" t="s">
        <v>2831</v>
      </c>
      <c r="E1431" s="254" t="s">
        <v>2795</v>
      </c>
      <c r="F1431" s="11" t="s">
        <v>2813</v>
      </c>
      <c r="G1431" s="416" t="s">
        <v>77</v>
      </c>
      <c r="H1431" s="173" t="s">
        <v>819</v>
      </c>
      <c r="I1431" s="167" t="s">
        <v>432</v>
      </c>
      <c r="J1431" s="107" t="s">
        <v>432</v>
      </c>
      <c r="K1431" s="107" t="s">
        <v>432</v>
      </c>
      <c r="L1431" s="107" t="s">
        <v>432</v>
      </c>
      <c r="M1431" s="107" t="s">
        <v>432</v>
      </c>
      <c r="N1431" s="107" t="s">
        <v>432</v>
      </c>
      <c r="O1431" s="107" t="s">
        <v>432</v>
      </c>
      <c r="P1431" s="107" t="s">
        <v>432</v>
      </c>
      <c r="Q1431" s="107" t="s">
        <v>432</v>
      </c>
      <c r="R1431" s="107" t="s">
        <v>432</v>
      </c>
      <c r="S1431" s="109" t="s">
        <v>2209</v>
      </c>
      <c r="T1431" s="107" t="s">
        <v>432</v>
      </c>
      <c r="U1431" s="107" t="s">
        <v>432</v>
      </c>
      <c r="V1431" s="109" t="s">
        <v>2209</v>
      </c>
      <c r="W1431" s="107" t="s">
        <v>432</v>
      </c>
      <c r="X1431" s="107" t="s">
        <v>432</v>
      </c>
      <c r="Y1431" s="107" t="s">
        <v>432</v>
      </c>
      <c r="Z1431" s="107" t="s">
        <v>432</v>
      </c>
      <c r="AA1431" s="107" t="s">
        <v>432</v>
      </c>
      <c r="AB1431" s="107" t="s">
        <v>432</v>
      </c>
      <c r="AC1431" s="86">
        <v>3683</v>
      </c>
      <c r="AD1431" s="107" t="s">
        <v>432</v>
      </c>
      <c r="AE1431" s="107" t="s">
        <v>432</v>
      </c>
      <c r="AF1431" s="107" t="s">
        <v>432</v>
      </c>
      <c r="AG1431" s="107" t="s">
        <v>432</v>
      </c>
      <c r="AH1431" s="107" t="s">
        <v>432</v>
      </c>
      <c r="AI1431" s="107" t="s">
        <v>432</v>
      </c>
      <c r="AJ1431" s="107" t="s">
        <v>432</v>
      </c>
      <c r="AK1431" s="137" t="s">
        <v>432</v>
      </c>
      <c r="AL1431" s="601" t="s">
        <v>432</v>
      </c>
      <c r="AM1431" s="137" t="s">
        <v>432</v>
      </c>
      <c r="AN1431" s="137" t="s">
        <v>432</v>
      </c>
      <c r="AO1431" s="137" t="s">
        <v>432</v>
      </c>
      <c r="AP1431" s="137" t="s">
        <v>432</v>
      </c>
      <c r="AQ1431" s="137" t="s">
        <v>432</v>
      </c>
      <c r="AR1431" s="137" t="s">
        <v>432</v>
      </c>
      <c r="AS1431" s="137" t="s">
        <v>432</v>
      </c>
      <c r="AT1431" s="137" t="s">
        <v>432</v>
      </c>
      <c r="AU1431" s="137" t="s">
        <v>432</v>
      </c>
      <c r="AV1431" s="137" t="s">
        <v>432</v>
      </c>
      <c r="AW1431" s="137" t="s">
        <v>432</v>
      </c>
      <c r="AX1431" s="137" t="s">
        <v>432</v>
      </c>
      <c r="AY1431" s="137" t="s">
        <v>432</v>
      </c>
      <c r="AZ1431" s="137" t="s">
        <v>432</v>
      </c>
      <c r="BA1431" s="137" t="s">
        <v>432</v>
      </c>
      <c r="BB1431" s="239" t="str">
        <f t="shared" si="388"/>
        <v>Sinalização semafóricax</v>
      </c>
      <c r="BC1431" s="239" t="str">
        <f t="shared" si="389"/>
        <v>Sinalização semafóricaxbenchmarking</v>
      </c>
      <c r="BD1431" s="239" t="str">
        <f t="shared" si="390"/>
        <v>Sinalização semafóricabenchmarking</v>
      </c>
    </row>
    <row r="1432" spans="1:56" s="1" customFormat="1" ht="63.75" customHeight="1" x14ac:dyDescent="0.25">
      <c r="A1432" s="333" t="str">
        <f>'Q100b-totais'!B68</f>
        <v>9.5</v>
      </c>
      <c r="B1432" s="1172" t="str">
        <f>'Q100b-totais'!C68</f>
        <v>Sinalização semafórica</v>
      </c>
      <c r="C1432" s="167" t="s">
        <v>432</v>
      </c>
      <c r="D1432" s="324" t="s">
        <v>2831</v>
      </c>
      <c r="E1432" s="254" t="s">
        <v>2796</v>
      </c>
      <c r="F1432" s="11" t="s">
        <v>2813</v>
      </c>
      <c r="G1432" s="416" t="s">
        <v>77</v>
      </c>
      <c r="H1432" s="173" t="s">
        <v>819</v>
      </c>
      <c r="I1432" s="167" t="s">
        <v>432</v>
      </c>
      <c r="J1432" s="107" t="s">
        <v>432</v>
      </c>
      <c r="K1432" s="107" t="s">
        <v>432</v>
      </c>
      <c r="L1432" s="107" t="s">
        <v>432</v>
      </c>
      <c r="M1432" s="107" t="s">
        <v>432</v>
      </c>
      <c r="N1432" s="107" t="s">
        <v>432</v>
      </c>
      <c r="O1432" s="107" t="s">
        <v>432</v>
      </c>
      <c r="P1432" s="107" t="s">
        <v>432</v>
      </c>
      <c r="Q1432" s="107" t="s">
        <v>432</v>
      </c>
      <c r="R1432" s="107" t="s">
        <v>432</v>
      </c>
      <c r="S1432" s="109" t="s">
        <v>2209</v>
      </c>
      <c r="T1432" s="107" t="s">
        <v>432</v>
      </c>
      <c r="U1432" s="107" t="s">
        <v>432</v>
      </c>
      <c r="V1432" s="109" t="s">
        <v>2209</v>
      </c>
      <c r="W1432" s="107" t="s">
        <v>432</v>
      </c>
      <c r="X1432" s="107" t="s">
        <v>432</v>
      </c>
      <c r="Y1432" s="107" t="s">
        <v>432</v>
      </c>
      <c r="Z1432" s="107" t="s">
        <v>432</v>
      </c>
      <c r="AA1432" s="107" t="s">
        <v>432</v>
      </c>
      <c r="AB1432" s="107" t="s">
        <v>432</v>
      </c>
      <c r="AC1432" s="86">
        <v>415</v>
      </c>
      <c r="AD1432" s="107" t="s">
        <v>432</v>
      </c>
      <c r="AE1432" s="107" t="s">
        <v>432</v>
      </c>
      <c r="AF1432" s="107" t="s">
        <v>432</v>
      </c>
      <c r="AG1432" s="107" t="s">
        <v>432</v>
      </c>
      <c r="AH1432" s="107" t="s">
        <v>432</v>
      </c>
      <c r="AI1432" s="107" t="s">
        <v>432</v>
      </c>
      <c r="AJ1432" s="107" t="s">
        <v>432</v>
      </c>
      <c r="AK1432" s="137" t="s">
        <v>432</v>
      </c>
      <c r="AL1432" s="601" t="s">
        <v>432</v>
      </c>
      <c r="AM1432" s="137" t="s">
        <v>432</v>
      </c>
      <c r="AN1432" s="137" t="s">
        <v>432</v>
      </c>
      <c r="AO1432" s="137" t="s">
        <v>432</v>
      </c>
      <c r="AP1432" s="137" t="s">
        <v>432</v>
      </c>
      <c r="AQ1432" s="137" t="s">
        <v>432</v>
      </c>
      <c r="AR1432" s="137" t="s">
        <v>432</v>
      </c>
      <c r="AS1432" s="137" t="s">
        <v>432</v>
      </c>
      <c r="AT1432" s="137" t="s">
        <v>432</v>
      </c>
      <c r="AU1432" s="137" t="s">
        <v>432</v>
      </c>
      <c r="AV1432" s="137" t="s">
        <v>432</v>
      </c>
      <c r="AW1432" s="137" t="s">
        <v>432</v>
      </c>
      <c r="AX1432" s="137" t="s">
        <v>432</v>
      </c>
      <c r="AY1432" s="137" t="s">
        <v>432</v>
      </c>
      <c r="AZ1432" s="137" t="s">
        <v>432</v>
      </c>
      <c r="BA1432" s="137" t="s">
        <v>432</v>
      </c>
      <c r="BB1432" s="239" t="str">
        <f t="shared" si="388"/>
        <v>Sinalização semafóricax</v>
      </c>
      <c r="BC1432" s="239" t="str">
        <f t="shared" si="389"/>
        <v>Sinalização semafóricaxbenchmarking</v>
      </c>
      <c r="BD1432" s="239" t="str">
        <f t="shared" si="390"/>
        <v>Sinalização semafóricabenchmarking</v>
      </c>
    </row>
    <row r="1433" spans="1:56" s="1" customFormat="1" ht="63.75" customHeight="1" x14ac:dyDescent="0.25">
      <c r="A1433" s="333" t="str">
        <f>'Q100b-totais'!B68</f>
        <v>9.5</v>
      </c>
      <c r="B1433" s="1172" t="str">
        <f>'Q100b-totais'!C68</f>
        <v>Sinalização semafórica</v>
      </c>
      <c r="C1433" s="167" t="s">
        <v>432</v>
      </c>
      <c r="D1433" s="324" t="s">
        <v>2831</v>
      </c>
      <c r="E1433" s="254" t="s">
        <v>2797</v>
      </c>
      <c r="F1433" s="11" t="s">
        <v>2813</v>
      </c>
      <c r="G1433" s="416" t="s">
        <v>77</v>
      </c>
      <c r="H1433" s="173" t="s">
        <v>819</v>
      </c>
      <c r="I1433" s="167" t="s">
        <v>432</v>
      </c>
      <c r="J1433" s="107" t="s">
        <v>432</v>
      </c>
      <c r="K1433" s="107" t="s">
        <v>432</v>
      </c>
      <c r="L1433" s="107" t="s">
        <v>432</v>
      </c>
      <c r="M1433" s="107" t="s">
        <v>432</v>
      </c>
      <c r="N1433" s="107" t="s">
        <v>432</v>
      </c>
      <c r="O1433" s="107" t="s">
        <v>432</v>
      </c>
      <c r="P1433" s="107" t="s">
        <v>432</v>
      </c>
      <c r="Q1433" s="107" t="s">
        <v>432</v>
      </c>
      <c r="R1433" s="107" t="s">
        <v>432</v>
      </c>
      <c r="S1433" s="109" t="s">
        <v>2209</v>
      </c>
      <c r="T1433" s="107" t="s">
        <v>432</v>
      </c>
      <c r="U1433" s="107" t="s">
        <v>432</v>
      </c>
      <c r="V1433" s="109" t="s">
        <v>2209</v>
      </c>
      <c r="W1433" s="107" t="s">
        <v>432</v>
      </c>
      <c r="X1433" s="107" t="s">
        <v>432</v>
      </c>
      <c r="Y1433" s="107" t="s">
        <v>432</v>
      </c>
      <c r="Z1433" s="107" t="s">
        <v>432</v>
      </c>
      <c r="AA1433" s="107" t="s">
        <v>432</v>
      </c>
      <c r="AB1433" s="107" t="s">
        <v>432</v>
      </c>
      <c r="AC1433" s="86">
        <v>2200</v>
      </c>
      <c r="AD1433" s="107" t="s">
        <v>432</v>
      </c>
      <c r="AE1433" s="107" t="s">
        <v>432</v>
      </c>
      <c r="AF1433" s="107" t="s">
        <v>432</v>
      </c>
      <c r="AG1433" s="107" t="s">
        <v>432</v>
      </c>
      <c r="AH1433" s="107" t="s">
        <v>432</v>
      </c>
      <c r="AI1433" s="107" t="s">
        <v>432</v>
      </c>
      <c r="AJ1433" s="107" t="s">
        <v>432</v>
      </c>
      <c r="AK1433" s="137" t="s">
        <v>432</v>
      </c>
      <c r="AL1433" s="601" t="s">
        <v>432</v>
      </c>
      <c r="AM1433" s="137" t="s">
        <v>432</v>
      </c>
      <c r="AN1433" s="137" t="s">
        <v>432</v>
      </c>
      <c r="AO1433" s="137" t="s">
        <v>432</v>
      </c>
      <c r="AP1433" s="137" t="s">
        <v>432</v>
      </c>
      <c r="AQ1433" s="137" t="s">
        <v>432</v>
      </c>
      <c r="AR1433" s="137" t="s">
        <v>432</v>
      </c>
      <c r="AS1433" s="137" t="s">
        <v>432</v>
      </c>
      <c r="AT1433" s="137" t="s">
        <v>432</v>
      </c>
      <c r="AU1433" s="137" t="s">
        <v>432</v>
      </c>
      <c r="AV1433" s="137" t="s">
        <v>432</v>
      </c>
      <c r="AW1433" s="137" t="s">
        <v>432</v>
      </c>
      <c r="AX1433" s="137" t="s">
        <v>432</v>
      </c>
      <c r="AY1433" s="137" t="s">
        <v>432</v>
      </c>
      <c r="AZ1433" s="137" t="s">
        <v>432</v>
      </c>
      <c r="BA1433" s="137" t="s">
        <v>432</v>
      </c>
      <c r="BB1433" s="239" t="str">
        <f t="shared" si="388"/>
        <v>Sinalização semafóricax</v>
      </c>
      <c r="BC1433" s="239" t="str">
        <f t="shared" si="389"/>
        <v>Sinalização semafóricaxbenchmarking</v>
      </c>
      <c r="BD1433" s="239" t="str">
        <f t="shared" si="390"/>
        <v>Sinalização semafóricabenchmarking</v>
      </c>
    </row>
    <row r="1434" spans="1:56" s="1" customFormat="1" ht="63.75" customHeight="1" x14ac:dyDescent="0.25">
      <c r="A1434" s="333" t="str">
        <f>'Q100b-totais'!B68</f>
        <v>9.5</v>
      </c>
      <c r="B1434" s="1172" t="str">
        <f>'Q100b-totais'!C68</f>
        <v>Sinalização semafórica</v>
      </c>
      <c r="C1434" s="167" t="s">
        <v>432</v>
      </c>
      <c r="D1434" s="324" t="s">
        <v>2831</v>
      </c>
      <c r="E1434" s="254" t="s">
        <v>2798</v>
      </c>
      <c r="F1434" s="11" t="s">
        <v>2813</v>
      </c>
      <c r="G1434" s="416" t="s">
        <v>77</v>
      </c>
      <c r="H1434" s="173" t="s">
        <v>819</v>
      </c>
      <c r="I1434" s="167" t="s">
        <v>432</v>
      </c>
      <c r="J1434" s="107" t="s">
        <v>432</v>
      </c>
      <c r="K1434" s="107" t="s">
        <v>432</v>
      </c>
      <c r="L1434" s="107" t="s">
        <v>432</v>
      </c>
      <c r="M1434" s="107" t="s">
        <v>432</v>
      </c>
      <c r="N1434" s="107" t="s">
        <v>432</v>
      </c>
      <c r="O1434" s="107" t="s">
        <v>432</v>
      </c>
      <c r="P1434" s="107" t="s">
        <v>432</v>
      </c>
      <c r="Q1434" s="107" t="s">
        <v>432</v>
      </c>
      <c r="R1434" s="107" t="s">
        <v>432</v>
      </c>
      <c r="S1434" s="109" t="s">
        <v>2209</v>
      </c>
      <c r="T1434" s="107" t="s">
        <v>432</v>
      </c>
      <c r="U1434" s="107" t="s">
        <v>432</v>
      </c>
      <c r="V1434" s="109" t="s">
        <v>2209</v>
      </c>
      <c r="W1434" s="107" t="s">
        <v>432</v>
      </c>
      <c r="X1434" s="107" t="s">
        <v>432</v>
      </c>
      <c r="Y1434" s="107" t="s">
        <v>432</v>
      </c>
      <c r="Z1434" s="107" t="s">
        <v>432</v>
      </c>
      <c r="AA1434" s="107" t="s">
        <v>432</v>
      </c>
      <c r="AB1434" s="107" t="s">
        <v>432</v>
      </c>
      <c r="AC1434" s="86">
        <v>7562</v>
      </c>
      <c r="AD1434" s="107" t="s">
        <v>432</v>
      </c>
      <c r="AE1434" s="107" t="s">
        <v>432</v>
      </c>
      <c r="AF1434" s="107" t="s">
        <v>432</v>
      </c>
      <c r="AG1434" s="107" t="s">
        <v>432</v>
      </c>
      <c r="AH1434" s="107" t="s">
        <v>432</v>
      </c>
      <c r="AI1434" s="107" t="s">
        <v>432</v>
      </c>
      <c r="AJ1434" s="107" t="s">
        <v>432</v>
      </c>
      <c r="AK1434" s="137" t="s">
        <v>432</v>
      </c>
      <c r="AL1434" s="601" t="s">
        <v>432</v>
      </c>
      <c r="AM1434" s="137" t="s">
        <v>432</v>
      </c>
      <c r="AN1434" s="137" t="s">
        <v>432</v>
      </c>
      <c r="AO1434" s="137" t="s">
        <v>432</v>
      </c>
      <c r="AP1434" s="137" t="s">
        <v>432</v>
      </c>
      <c r="AQ1434" s="137" t="s">
        <v>432</v>
      </c>
      <c r="AR1434" s="137" t="s">
        <v>432</v>
      </c>
      <c r="AS1434" s="137" t="s">
        <v>432</v>
      </c>
      <c r="AT1434" s="137" t="s">
        <v>432</v>
      </c>
      <c r="AU1434" s="137" t="s">
        <v>432</v>
      </c>
      <c r="AV1434" s="137" t="s">
        <v>432</v>
      </c>
      <c r="AW1434" s="137" t="s">
        <v>432</v>
      </c>
      <c r="AX1434" s="137" t="s">
        <v>432</v>
      </c>
      <c r="AY1434" s="137" t="s">
        <v>432</v>
      </c>
      <c r="AZ1434" s="137" t="s">
        <v>432</v>
      </c>
      <c r="BA1434" s="137" t="s">
        <v>432</v>
      </c>
      <c r="BB1434" s="239" t="str">
        <f t="shared" si="388"/>
        <v>Sinalização semafóricax</v>
      </c>
      <c r="BC1434" s="239" t="str">
        <f t="shared" si="389"/>
        <v>Sinalização semafóricaxbenchmarking</v>
      </c>
      <c r="BD1434" s="239" t="str">
        <f t="shared" si="390"/>
        <v>Sinalização semafóricabenchmarking</v>
      </c>
    </row>
    <row r="1435" spans="1:56" s="1" customFormat="1" ht="92.25" customHeight="1" x14ac:dyDescent="0.25">
      <c r="A1435" s="275" t="str">
        <f>'Q100b-totais'!$B$68</f>
        <v>9.5</v>
      </c>
      <c r="B1435" s="1205" t="str">
        <f>'Q100b-totais'!$C$68</f>
        <v>Sinalização semafórica</v>
      </c>
      <c r="C1435" s="167" t="s">
        <v>432</v>
      </c>
      <c r="D1435" s="324" t="s">
        <v>2833</v>
      </c>
      <c r="E1435" s="254" t="s">
        <v>432</v>
      </c>
      <c r="F1435" s="11" t="s">
        <v>2830</v>
      </c>
      <c r="G1435" s="230" t="s">
        <v>3507</v>
      </c>
      <c r="H1435" s="167" t="s">
        <v>2408</v>
      </c>
      <c r="I1435" s="57" t="s">
        <v>432</v>
      </c>
      <c r="J1435" s="109" t="s">
        <v>432</v>
      </c>
      <c r="K1435" s="109" t="s">
        <v>432</v>
      </c>
      <c r="L1435" s="109" t="s">
        <v>432</v>
      </c>
      <c r="M1435" s="109" t="s">
        <v>432</v>
      </c>
      <c r="N1435" s="109" t="s">
        <v>432</v>
      </c>
      <c r="O1435" s="109" t="s">
        <v>432</v>
      </c>
      <c r="P1435" s="109" t="s">
        <v>432</v>
      </c>
      <c r="Q1435" s="109" t="s">
        <v>432</v>
      </c>
      <c r="R1435" s="109" t="s">
        <v>432</v>
      </c>
      <c r="S1435" s="109" t="s">
        <v>2209</v>
      </c>
      <c r="T1435" s="109" t="s">
        <v>432</v>
      </c>
      <c r="U1435" s="109" t="s">
        <v>432</v>
      </c>
      <c r="V1435" s="109" t="s">
        <v>2209</v>
      </c>
      <c r="W1435" s="109" t="s">
        <v>432</v>
      </c>
      <c r="X1435" s="109" t="s">
        <v>432</v>
      </c>
      <c r="Y1435" s="109" t="s">
        <v>432</v>
      </c>
      <c r="Z1435" s="109" t="s">
        <v>432</v>
      </c>
      <c r="AA1435" s="109" t="s">
        <v>432</v>
      </c>
      <c r="AB1435" s="109" t="s">
        <v>432</v>
      </c>
      <c r="AC1435" s="107" t="s">
        <v>432</v>
      </c>
      <c r="AD1435" s="107" t="s">
        <v>432</v>
      </c>
      <c r="AE1435" s="107" t="s">
        <v>432</v>
      </c>
      <c r="AF1435" s="107" t="s">
        <v>432</v>
      </c>
      <c r="AG1435" s="107" t="s">
        <v>432</v>
      </c>
      <c r="AH1435" s="107" t="s">
        <v>432</v>
      </c>
      <c r="AI1435" s="107" t="s">
        <v>432</v>
      </c>
      <c r="AJ1435" s="107" t="s">
        <v>432</v>
      </c>
      <c r="AK1435" s="137" t="s">
        <v>432</v>
      </c>
      <c r="AL1435" s="601" t="s">
        <v>432</v>
      </c>
      <c r="AM1435" s="137" t="s">
        <v>432</v>
      </c>
      <c r="AN1435" s="137" t="s">
        <v>432</v>
      </c>
      <c r="AO1435" s="137" t="s">
        <v>432</v>
      </c>
      <c r="AP1435" s="137" t="s">
        <v>432</v>
      </c>
      <c r="AQ1435" s="137" t="s">
        <v>432</v>
      </c>
      <c r="AR1435" s="137" t="s">
        <v>432</v>
      </c>
      <c r="AS1435" s="137" t="s">
        <v>432</v>
      </c>
      <c r="AT1435" s="137" t="s">
        <v>432</v>
      </c>
      <c r="AU1435" s="137" t="s">
        <v>432</v>
      </c>
      <c r="AV1435" s="137" t="s">
        <v>432</v>
      </c>
      <c r="AW1435" s="137" t="s">
        <v>432</v>
      </c>
      <c r="AX1435" s="137" t="s">
        <v>432</v>
      </c>
      <c r="AY1435" s="137" t="s">
        <v>432</v>
      </c>
      <c r="AZ1435" s="137" t="s">
        <v>432</v>
      </c>
      <c r="BA1435" s="137" t="s">
        <v>432</v>
      </c>
      <c r="BB1435" s="239" t="str">
        <f t="shared" ref="BB1435:BB1466" si="391">B1435&amp;C1435</f>
        <v>Sinalização semafóricax</v>
      </c>
      <c r="BC1435" s="239" t="str">
        <f t="shared" ref="BC1435:BC1466" si="392">B1435&amp;C1435&amp;H1435</f>
        <v>Sinalização semafóricaxsigla/verbete</v>
      </c>
      <c r="BD1435" s="239" t="str">
        <f t="shared" ref="BD1435:BD1466" si="393">B1435&amp;H1435</f>
        <v>Sinalização semafóricasigla/verbete</v>
      </c>
    </row>
    <row r="1436" spans="1:56" s="1" customFormat="1" ht="93.75" customHeight="1" x14ac:dyDescent="0.25">
      <c r="A1436" s="275" t="str">
        <f>'Q100b-totais'!$B$68</f>
        <v>9.5</v>
      </c>
      <c r="B1436" s="1205" t="str">
        <f>'Q100b-totais'!$C$68</f>
        <v>Sinalização semafórica</v>
      </c>
      <c r="C1436" s="167" t="s">
        <v>432</v>
      </c>
      <c r="D1436" s="362" t="s">
        <v>2833</v>
      </c>
      <c r="E1436" s="1502" t="s">
        <v>2784</v>
      </c>
      <c r="F1436" s="286" t="s">
        <v>2769</v>
      </c>
      <c r="G1436" s="111" t="s">
        <v>2814</v>
      </c>
      <c r="H1436" s="221" t="s">
        <v>1298</v>
      </c>
      <c r="I1436" s="167">
        <v>1</v>
      </c>
      <c r="J1436" s="109" t="s">
        <v>432</v>
      </c>
      <c r="K1436" s="109" t="s">
        <v>432</v>
      </c>
      <c r="L1436" s="109" t="s">
        <v>432</v>
      </c>
      <c r="M1436" s="109" t="s">
        <v>432</v>
      </c>
      <c r="N1436" s="109" t="s">
        <v>432</v>
      </c>
      <c r="O1436" s="109" t="s">
        <v>432</v>
      </c>
      <c r="P1436" s="109" t="s">
        <v>432</v>
      </c>
      <c r="Q1436" s="109" t="s">
        <v>432</v>
      </c>
      <c r="R1436" s="109" t="s">
        <v>432</v>
      </c>
      <c r="S1436" s="109" t="s">
        <v>2209</v>
      </c>
      <c r="T1436" s="109" t="s">
        <v>432</v>
      </c>
      <c r="U1436" s="109" t="s">
        <v>432</v>
      </c>
      <c r="V1436" s="109" t="s">
        <v>2209</v>
      </c>
      <c r="W1436" s="109" t="s">
        <v>432</v>
      </c>
      <c r="X1436" s="109" t="s">
        <v>432</v>
      </c>
      <c r="Y1436" s="109" t="s">
        <v>432</v>
      </c>
      <c r="Z1436" s="109" t="s">
        <v>432</v>
      </c>
      <c r="AA1436" s="109" t="s">
        <v>432</v>
      </c>
      <c r="AB1436" s="109" t="s">
        <v>432</v>
      </c>
      <c r="AC1436" s="523">
        <f t="shared" ref="AC1436:AC1450" si="394">(AC1420/AC1828)*1000000</f>
        <v>244.21229355941603</v>
      </c>
      <c r="AD1436" s="107" t="s">
        <v>432</v>
      </c>
      <c r="AE1436" s="107" t="s">
        <v>432</v>
      </c>
      <c r="AF1436" s="107" t="s">
        <v>432</v>
      </c>
      <c r="AG1436" s="107" t="s">
        <v>432</v>
      </c>
      <c r="AH1436" s="107" t="s">
        <v>432</v>
      </c>
      <c r="AI1436" s="107" t="s">
        <v>432</v>
      </c>
      <c r="AJ1436" s="107" t="s">
        <v>432</v>
      </c>
      <c r="AK1436" s="137" t="s">
        <v>432</v>
      </c>
      <c r="AL1436" s="601" t="s">
        <v>432</v>
      </c>
      <c r="AM1436" s="137" t="s">
        <v>432</v>
      </c>
      <c r="AN1436" s="137" t="s">
        <v>432</v>
      </c>
      <c r="AO1436" s="137" t="s">
        <v>432</v>
      </c>
      <c r="AP1436" s="137" t="s">
        <v>432</v>
      </c>
      <c r="AQ1436" s="137" t="s">
        <v>432</v>
      </c>
      <c r="AR1436" s="137" t="s">
        <v>432</v>
      </c>
      <c r="AS1436" s="137" t="s">
        <v>432</v>
      </c>
      <c r="AT1436" s="137" t="s">
        <v>432</v>
      </c>
      <c r="AU1436" s="137" t="s">
        <v>432</v>
      </c>
      <c r="AV1436" s="137" t="s">
        <v>432</v>
      </c>
      <c r="AW1436" s="137" t="s">
        <v>432</v>
      </c>
      <c r="AX1436" s="137" t="s">
        <v>432</v>
      </c>
      <c r="AY1436" s="137" t="s">
        <v>432</v>
      </c>
      <c r="AZ1436" s="137" t="s">
        <v>432</v>
      </c>
      <c r="BA1436" s="137" t="s">
        <v>432</v>
      </c>
      <c r="BB1436" s="239" t="str">
        <f t="shared" si="391"/>
        <v>Sinalização semafóricax</v>
      </c>
      <c r="BC1436" s="239" t="str">
        <f t="shared" si="392"/>
        <v>Sinalização semafóricaxRMBH</v>
      </c>
      <c r="BD1436" s="239" t="str">
        <f t="shared" si="393"/>
        <v>Sinalização semafóricaRMBH</v>
      </c>
    </row>
    <row r="1437" spans="1:56" s="1" customFormat="1" ht="63" x14ac:dyDescent="0.25">
      <c r="A1437" s="275" t="str">
        <f>'Q100b-totais'!$B$68</f>
        <v>9.5</v>
      </c>
      <c r="B1437" s="1205" t="str">
        <f>'Q100b-totais'!$C$68</f>
        <v>Sinalização semafórica</v>
      </c>
      <c r="C1437" s="167" t="s">
        <v>432</v>
      </c>
      <c r="D1437" s="362" t="s">
        <v>2833</v>
      </c>
      <c r="E1437" s="1502" t="s">
        <v>2785</v>
      </c>
      <c r="F1437" s="286" t="s">
        <v>2770</v>
      </c>
      <c r="G1437" s="111" t="s">
        <v>2815</v>
      </c>
      <c r="H1437" s="221" t="s">
        <v>819</v>
      </c>
      <c r="I1437" s="167" t="s">
        <v>432</v>
      </c>
      <c r="J1437" s="109" t="s">
        <v>432</v>
      </c>
      <c r="K1437" s="109" t="s">
        <v>432</v>
      </c>
      <c r="L1437" s="109" t="s">
        <v>432</v>
      </c>
      <c r="M1437" s="109" t="s">
        <v>432</v>
      </c>
      <c r="N1437" s="109" t="s">
        <v>432</v>
      </c>
      <c r="O1437" s="109" t="s">
        <v>432</v>
      </c>
      <c r="P1437" s="109" t="s">
        <v>432</v>
      </c>
      <c r="Q1437" s="109" t="s">
        <v>432</v>
      </c>
      <c r="R1437" s="109" t="s">
        <v>432</v>
      </c>
      <c r="S1437" s="109" t="s">
        <v>2209</v>
      </c>
      <c r="T1437" s="109" t="s">
        <v>432</v>
      </c>
      <c r="U1437" s="109" t="s">
        <v>432</v>
      </c>
      <c r="V1437" s="109" t="s">
        <v>2209</v>
      </c>
      <c r="W1437" s="109" t="s">
        <v>432</v>
      </c>
      <c r="X1437" s="109" t="s">
        <v>432</v>
      </c>
      <c r="Y1437" s="109" t="s">
        <v>432</v>
      </c>
      <c r="Z1437" s="109" t="s">
        <v>432</v>
      </c>
      <c r="AA1437" s="109" t="s">
        <v>432</v>
      </c>
      <c r="AB1437" s="109" t="s">
        <v>432</v>
      </c>
      <c r="AC1437" s="523">
        <f t="shared" si="394"/>
        <v>143.53350868364944</v>
      </c>
      <c r="AD1437" s="107" t="s">
        <v>432</v>
      </c>
      <c r="AE1437" s="107" t="s">
        <v>432</v>
      </c>
      <c r="AF1437" s="107" t="s">
        <v>432</v>
      </c>
      <c r="AG1437" s="107" t="s">
        <v>432</v>
      </c>
      <c r="AH1437" s="107" t="s">
        <v>432</v>
      </c>
      <c r="AI1437" s="107" t="s">
        <v>432</v>
      </c>
      <c r="AJ1437" s="107" t="s">
        <v>432</v>
      </c>
      <c r="AK1437" s="137" t="s">
        <v>432</v>
      </c>
      <c r="AL1437" s="601" t="s">
        <v>432</v>
      </c>
      <c r="AM1437" s="137" t="s">
        <v>432</v>
      </c>
      <c r="AN1437" s="137" t="s">
        <v>432</v>
      </c>
      <c r="AO1437" s="137" t="s">
        <v>432</v>
      </c>
      <c r="AP1437" s="137" t="s">
        <v>432</v>
      </c>
      <c r="AQ1437" s="137" t="s">
        <v>432</v>
      </c>
      <c r="AR1437" s="137" t="s">
        <v>432</v>
      </c>
      <c r="AS1437" s="137" t="s">
        <v>432</v>
      </c>
      <c r="AT1437" s="137" t="s">
        <v>432</v>
      </c>
      <c r="AU1437" s="137" t="s">
        <v>432</v>
      </c>
      <c r="AV1437" s="137" t="s">
        <v>432</v>
      </c>
      <c r="AW1437" s="137" t="s">
        <v>432</v>
      </c>
      <c r="AX1437" s="137" t="s">
        <v>432</v>
      </c>
      <c r="AY1437" s="137" t="s">
        <v>432</v>
      </c>
      <c r="AZ1437" s="137" t="s">
        <v>432</v>
      </c>
      <c r="BA1437" s="137" t="s">
        <v>432</v>
      </c>
      <c r="BB1437" s="239" t="str">
        <f t="shared" si="391"/>
        <v>Sinalização semafóricax</v>
      </c>
      <c r="BC1437" s="239" t="str">
        <f t="shared" si="392"/>
        <v>Sinalização semafóricaxbenchmarking</v>
      </c>
      <c r="BD1437" s="239" t="str">
        <f t="shared" si="393"/>
        <v>Sinalização semafóricabenchmarking</v>
      </c>
    </row>
    <row r="1438" spans="1:56" s="1" customFormat="1" ht="63" x14ac:dyDescent="0.25">
      <c r="A1438" s="275" t="str">
        <f>'Q100b-totais'!$B$68</f>
        <v>9.5</v>
      </c>
      <c r="B1438" s="1205" t="str">
        <f>'Q100b-totais'!$C$68</f>
        <v>Sinalização semafórica</v>
      </c>
      <c r="C1438" s="167" t="s">
        <v>432</v>
      </c>
      <c r="D1438" s="362" t="s">
        <v>2833</v>
      </c>
      <c r="E1438" s="1502" t="s">
        <v>2786</v>
      </c>
      <c r="F1438" s="286" t="s">
        <v>2771</v>
      </c>
      <c r="G1438" s="111" t="s">
        <v>2816</v>
      </c>
      <c r="H1438" s="221" t="s">
        <v>819</v>
      </c>
      <c r="I1438" s="167" t="s">
        <v>432</v>
      </c>
      <c r="J1438" s="109" t="s">
        <v>432</v>
      </c>
      <c r="K1438" s="109" t="s">
        <v>432</v>
      </c>
      <c r="L1438" s="109" t="s">
        <v>432</v>
      </c>
      <c r="M1438" s="109" t="s">
        <v>432</v>
      </c>
      <c r="N1438" s="109" t="s">
        <v>432</v>
      </c>
      <c r="O1438" s="109" t="s">
        <v>432</v>
      </c>
      <c r="P1438" s="109" t="s">
        <v>432</v>
      </c>
      <c r="Q1438" s="109" t="s">
        <v>432</v>
      </c>
      <c r="R1438" s="109" t="s">
        <v>432</v>
      </c>
      <c r="S1438" s="109" t="s">
        <v>2209</v>
      </c>
      <c r="T1438" s="109" t="s">
        <v>432</v>
      </c>
      <c r="U1438" s="109" t="s">
        <v>432</v>
      </c>
      <c r="V1438" s="109" t="s">
        <v>2209</v>
      </c>
      <c r="W1438" s="109" t="s">
        <v>432</v>
      </c>
      <c r="X1438" s="109" t="s">
        <v>432</v>
      </c>
      <c r="Y1438" s="109" t="s">
        <v>432</v>
      </c>
      <c r="Z1438" s="109" t="s">
        <v>432</v>
      </c>
      <c r="AA1438" s="109" t="s">
        <v>432</v>
      </c>
      <c r="AB1438" s="109" t="s">
        <v>432</v>
      </c>
      <c r="AC1438" s="523">
        <f t="shared" si="394"/>
        <v>542.69252827710727</v>
      </c>
      <c r="AD1438" s="107" t="s">
        <v>432</v>
      </c>
      <c r="AE1438" s="107" t="s">
        <v>432</v>
      </c>
      <c r="AF1438" s="107" t="s">
        <v>432</v>
      </c>
      <c r="AG1438" s="107" t="s">
        <v>432</v>
      </c>
      <c r="AH1438" s="107" t="s">
        <v>432</v>
      </c>
      <c r="AI1438" s="107" t="s">
        <v>432</v>
      </c>
      <c r="AJ1438" s="107" t="s">
        <v>432</v>
      </c>
      <c r="AK1438" s="137" t="s">
        <v>432</v>
      </c>
      <c r="AL1438" s="601" t="s">
        <v>432</v>
      </c>
      <c r="AM1438" s="137" t="s">
        <v>432</v>
      </c>
      <c r="AN1438" s="137" t="s">
        <v>432</v>
      </c>
      <c r="AO1438" s="137" t="s">
        <v>432</v>
      </c>
      <c r="AP1438" s="137" t="s">
        <v>432</v>
      </c>
      <c r="AQ1438" s="137" t="s">
        <v>432</v>
      </c>
      <c r="AR1438" s="137" t="s">
        <v>432</v>
      </c>
      <c r="AS1438" s="137" t="s">
        <v>432</v>
      </c>
      <c r="AT1438" s="137" t="s">
        <v>432</v>
      </c>
      <c r="AU1438" s="137" t="s">
        <v>432</v>
      </c>
      <c r="AV1438" s="137" t="s">
        <v>432</v>
      </c>
      <c r="AW1438" s="137" t="s">
        <v>432</v>
      </c>
      <c r="AX1438" s="137" t="s">
        <v>432</v>
      </c>
      <c r="AY1438" s="137" t="s">
        <v>432</v>
      </c>
      <c r="AZ1438" s="137" t="s">
        <v>432</v>
      </c>
      <c r="BA1438" s="137" t="s">
        <v>432</v>
      </c>
      <c r="BB1438" s="239" t="str">
        <f t="shared" si="391"/>
        <v>Sinalização semafóricax</v>
      </c>
      <c r="BC1438" s="239" t="str">
        <f t="shared" si="392"/>
        <v>Sinalização semafóricaxbenchmarking</v>
      </c>
      <c r="BD1438" s="239" t="str">
        <f t="shared" si="393"/>
        <v>Sinalização semafóricabenchmarking</v>
      </c>
    </row>
    <row r="1439" spans="1:56" s="1" customFormat="1" ht="63" x14ac:dyDescent="0.25">
      <c r="A1439" s="275" t="str">
        <f>'Q100b-totais'!$B$68</f>
        <v>9.5</v>
      </c>
      <c r="B1439" s="1205" t="str">
        <f>'Q100b-totais'!$C$68</f>
        <v>Sinalização semafórica</v>
      </c>
      <c r="C1439" s="167" t="s">
        <v>432</v>
      </c>
      <c r="D1439" s="362" t="s">
        <v>2833</v>
      </c>
      <c r="E1439" s="1502" t="s">
        <v>2787</v>
      </c>
      <c r="F1439" s="286" t="s">
        <v>2772</v>
      </c>
      <c r="G1439" s="111" t="s">
        <v>2817</v>
      </c>
      <c r="H1439" s="221" t="s">
        <v>819</v>
      </c>
      <c r="I1439" s="167" t="s">
        <v>432</v>
      </c>
      <c r="J1439" s="109" t="s">
        <v>432</v>
      </c>
      <c r="K1439" s="109" t="s">
        <v>432</v>
      </c>
      <c r="L1439" s="109" t="s">
        <v>432</v>
      </c>
      <c r="M1439" s="109" t="s">
        <v>432</v>
      </c>
      <c r="N1439" s="109" t="s">
        <v>432</v>
      </c>
      <c r="O1439" s="109" t="s">
        <v>432</v>
      </c>
      <c r="P1439" s="109" t="s">
        <v>432</v>
      </c>
      <c r="Q1439" s="109" t="s">
        <v>432</v>
      </c>
      <c r="R1439" s="109" t="s">
        <v>432</v>
      </c>
      <c r="S1439" s="109" t="s">
        <v>2209</v>
      </c>
      <c r="T1439" s="109" t="s">
        <v>432</v>
      </c>
      <c r="U1439" s="109" t="s">
        <v>432</v>
      </c>
      <c r="V1439" s="109" t="s">
        <v>2209</v>
      </c>
      <c r="W1439" s="109" t="s">
        <v>432</v>
      </c>
      <c r="X1439" s="109" t="s">
        <v>432</v>
      </c>
      <c r="Y1439" s="109" t="s">
        <v>432</v>
      </c>
      <c r="Z1439" s="109" t="s">
        <v>432</v>
      </c>
      <c r="AA1439" s="109" t="s">
        <v>432</v>
      </c>
      <c r="AB1439" s="109" t="s">
        <v>432</v>
      </c>
      <c r="AC1439" s="523">
        <f t="shared" si="394"/>
        <v>157.95796025319132</v>
      </c>
      <c r="AD1439" s="107" t="s">
        <v>432</v>
      </c>
      <c r="AE1439" s="107" t="s">
        <v>432</v>
      </c>
      <c r="AF1439" s="107" t="s">
        <v>432</v>
      </c>
      <c r="AG1439" s="107" t="s">
        <v>432</v>
      </c>
      <c r="AH1439" s="107" t="s">
        <v>432</v>
      </c>
      <c r="AI1439" s="107" t="s">
        <v>432</v>
      </c>
      <c r="AJ1439" s="107" t="s">
        <v>432</v>
      </c>
      <c r="AK1439" s="137" t="s">
        <v>432</v>
      </c>
      <c r="AL1439" s="601" t="s">
        <v>432</v>
      </c>
      <c r="AM1439" s="137" t="s">
        <v>432</v>
      </c>
      <c r="AN1439" s="137" t="s">
        <v>432</v>
      </c>
      <c r="AO1439" s="137" t="s">
        <v>432</v>
      </c>
      <c r="AP1439" s="137" t="s">
        <v>432</v>
      </c>
      <c r="AQ1439" s="137" t="s">
        <v>432</v>
      </c>
      <c r="AR1439" s="137" t="s">
        <v>432</v>
      </c>
      <c r="AS1439" s="137" t="s">
        <v>432</v>
      </c>
      <c r="AT1439" s="137" t="s">
        <v>432</v>
      </c>
      <c r="AU1439" s="137" t="s">
        <v>432</v>
      </c>
      <c r="AV1439" s="137" t="s">
        <v>432</v>
      </c>
      <c r="AW1439" s="137" t="s">
        <v>432</v>
      </c>
      <c r="AX1439" s="137" t="s">
        <v>432</v>
      </c>
      <c r="AY1439" s="137" t="s">
        <v>432</v>
      </c>
      <c r="AZ1439" s="137" t="s">
        <v>432</v>
      </c>
      <c r="BA1439" s="137" t="s">
        <v>432</v>
      </c>
      <c r="BB1439" s="239" t="str">
        <f t="shared" si="391"/>
        <v>Sinalização semafóricax</v>
      </c>
      <c r="BC1439" s="239" t="str">
        <f t="shared" si="392"/>
        <v>Sinalização semafóricaxbenchmarking</v>
      </c>
      <c r="BD1439" s="239" t="str">
        <f t="shared" si="393"/>
        <v>Sinalização semafóricabenchmarking</v>
      </c>
    </row>
    <row r="1440" spans="1:56" s="1" customFormat="1" ht="63" x14ac:dyDescent="0.25">
      <c r="A1440" s="275" t="str">
        <f>'Q100b-totais'!$B$68</f>
        <v>9.5</v>
      </c>
      <c r="B1440" s="1205" t="str">
        <f>'Q100b-totais'!$C$68</f>
        <v>Sinalização semafórica</v>
      </c>
      <c r="C1440" s="167" t="s">
        <v>432</v>
      </c>
      <c r="D1440" s="362" t="s">
        <v>2833</v>
      </c>
      <c r="E1440" s="1502" t="s">
        <v>2788</v>
      </c>
      <c r="F1440" s="286" t="s">
        <v>2773</v>
      </c>
      <c r="G1440" s="111" t="s">
        <v>2818</v>
      </c>
      <c r="H1440" s="221" t="s">
        <v>819</v>
      </c>
      <c r="I1440" s="167" t="s">
        <v>432</v>
      </c>
      <c r="J1440" s="109" t="s">
        <v>432</v>
      </c>
      <c r="K1440" s="109" t="s">
        <v>432</v>
      </c>
      <c r="L1440" s="109" t="s">
        <v>432</v>
      </c>
      <c r="M1440" s="109" t="s">
        <v>432</v>
      </c>
      <c r="N1440" s="109" t="s">
        <v>432</v>
      </c>
      <c r="O1440" s="109" t="s">
        <v>432</v>
      </c>
      <c r="P1440" s="109" t="s">
        <v>432</v>
      </c>
      <c r="Q1440" s="109" t="s">
        <v>432</v>
      </c>
      <c r="R1440" s="109" t="s">
        <v>432</v>
      </c>
      <c r="S1440" s="109" t="s">
        <v>2209</v>
      </c>
      <c r="T1440" s="109" t="s">
        <v>432</v>
      </c>
      <c r="U1440" s="109" t="s">
        <v>432</v>
      </c>
      <c r="V1440" s="109" t="s">
        <v>2209</v>
      </c>
      <c r="W1440" s="109" t="s">
        <v>432</v>
      </c>
      <c r="X1440" s="109" t="s">
        <v>432</v>
      </c>
      <c r="Y1440" s="109" t="s">
        <v>432</v>
      </c>
      <c r="Z1440" s="109" t="s">
        <v>432</v>
      </c>
      <c r="AA1440" s="109" t="s">
        <v>432</v>
      </c>
      <c r="AB1440" s="109" t="s">
        <v>432</v>
      </c>
      <c r="AC1440" s="523">
        <f t="shared" si="394"/>
        <v>158.83650183394829</v>
      </c>
      <c r="AD1440" s="107" t="s">
        <v>432</v>
      </c>
      <c r="AE1440" s="107" t="s">
        <v>432</v>
      </c>
      <c r="AF1440" s="107" t="s">
        <v>432</v>
      </c>
      <c r="AG1440" s="107" t="s">
        <v>432</v>
      </c>
      <c r="AH1440" s="107" t="s">
        <v>432</v>
      </c>
      <c r="AI1440" s="107" t="s">
        <v>432</v>
      </c>
      <c r="AJ1440" s="107" t="s">
        <v>432</v>
      </c>
      <c r="AK1440" s="137" t="s">
        <v>432</v>
      </c>
      <c r="AL1440" s="601" t="s">
        <v>432</v>
      </c>
      <c r="AM1440" s="137" t="s">
        <v>432</v>
      </c>
      <c r="AN1440" s="137" t="s">
        <v>432</v>
      </c>
      <c r="AO1440" s="137" t="s">
        <v>432</v>
      </c>
      <c r="AP1440" s="137" t="s">
        <v>432</v>
      </c>
      <c r="AQ1440" s="137" t="s">
        <v>432</v>
      </c>
      <c r="AR1440" s="137" t="s">
        <v>432</v>
      </c>
      <c r="AS1440" s="137" t="s">
        <v>432</v>
      </c>
      <c r="AT1440" s="137" t="s">
        <v>432</v>
      </c>
      <c r="AU1440" s="137" t="s">
        <v>432</v>
      </c>
      <c r="AV1440" s="137" t="s">
        <v>432</v>
      </c>
      <c r="AW1440" s="137" t="s">
        <v>432</v>
      </c>
      <c r="AX1440" s="137" t="s">
        <v>432</v>
      </c>
      <c r="AY1440" s="137" t="s">
        <v>432</v>
      </c>
      <c r="AZ1440" s="137" t="s">
        <v>432</v>
      </c>
      <c r="BA1440" s="137" t="s">
        <v>432</v>
      </c>
      <c r="BB1440" s="239" t="str">
        <f t="shared" si="391"/>
        <v>Sinalização semafóricax</v>
      </c>
      <c r="BC1440" s="239" t="str">
        <f t="shared" si="392"/>
        <v>Sinalização semafóricaxbenchmarking</v>
      </c>
      <c r="BD1440" s="239" t="str">
        <f t="shared" si="393"/>
        <v>Sinalização semafóricabenchmarking</v>
      </c>
    </row>
    <row r="1441" spans="1:56" s="1" customFormat="1" ht="63" x14ac:dyDescent="0.25">
      <c r="A1441" s="275" t="str">
        <f>'Q100b-totais'!$B$68</f>
        <v>9.5</v>
      </c>
      <c r="B1441" s="1205" t="str">
        <f>'Q100b-totais'!$C$68</f>
        <v>Sinalização semafórica</v>
      </c>
      <c r="C1441" s="167" t="s">
        <v>432</v>
      </c>
      <c r="D1441" s="362" t="s">
        <v>2833</v>
      </c>
      <c r="E1441" s="1502" t="s">
        <v>2789</v>
      </c>
      <c r="F1441" s="286" t="s">
        <v>2774</v>
      </c>
      <c r="G1441" s="111" t="s">
        <v>2819</v>
      </c>
      <c r="H1441" s="221" t="s">
        <v>819</v>
      </c>
      <c r="I1441" s="167" t="s">
        <v>432</v>
      </c>
      <c r="J1441" s="109" t="s">
        <v>432</v>
      </c>
      <c r="K1441" s="109" t="s">
        <v>432</v>
      </c>
      <c r="L1441" s="109" t="s">
        <v>432</v>
      </c>
      <c r="M1441" s="109" t="s">
        <v>432</v>
      </c>
      <c r="N1441" s="109" t="s">
        <v>432</v>
      </c>
      <c r="O1441" s="109" t="s">
        <v>432</v>
      </c>
      <c r="P1441" s="109" t="s">
        <v>432</v>
      </c>
      <c r="Q1441" s="109" t="s">
        <v>432</v>
      </c>
      <c r="R1441" s="109" t="s">
        <v>432</v>
      </c>
      <c r="S1441" s="109" t="s">
        <v>2209</v>
      </c>
      <c r="T1441" s="109" t="s">
        <v>432</v>
      </c>
      <c r="U1441" s="109" t="s">
        <v>432</v>
      </c>
      <c r="V1441" s="109" t="s">
        <v>2209</v>
      </c>
      <c r="W1441" s="109" t="s">
        <v>432</v>
      </c>
      <c r="X1441" s="109" t="s">
        <v>432</v>
      </c>
      <c r="Y1441" s="109" t="s">
        <v>432</v>
      </c>
      <c r="Z1441" s="109" t="s">
        <v>432</v>
      </c>
      <c r="AA1441" s="109" t="s">
        <v>432</v>
      </c>
      <c r="AB1441" s="109" t="s">
        <v>432</v>
      </c>
      <c r="AC1441" s="523">
        <f t="shared" si="394"/>
        <v>388.51364288633607</v>
      </c>
      <c r="AD1441" s="107" t="s">
        <v>432</v>
      </c>
      <c r="AE1441" s="107" t="s">
        <v>432</v>
      </c>
      <c r="AF1441" s="107" t="s">
        <v>432</v>
      </c>
      <c r="AG1441" s="107" t="s">
        <v>432</v>
      </c>
      <c r="AH1441" s="107" t="s">
        <v>432</v>
      </c>
      <c r="AI1441" s="107" t="s">
        <v>432</v>
      </c>
      <c r="AJ1441" s="107" t="s">
        <v>432</v>
      </c>
      <c r="AK1441" s="137" t="s">
        <v>432</v>
      </c>
      <c r="AL1441" s="601" t="s">
        <v>432</v>
      </c>
      <c r="AM1441" s="137" t="s">
        <v>432</v>
      </c>
      <c r="AN1441" s="137" t="s">
        <v>432</v>
      </c>
      <c r="AO1441" s="137" t="s">
        <v>432</v>
      </c>
      <c r="AP1441" s="137" t="s">
        <v>432</v>
      </c>
      <c r="AQ1441" s="137" t="s">
        <v>432</v>
      </c>
      <c r="AR1441" s="137" t="s">
        <v>432</v>
      </c>
      <c r="AS1441" s="137" t="s">
        <v>432</v>
      </c>
      <c r="AT1441" s="137" t="s">
        <v>432</v>
      </c>
      <c r="AU1441" s="137" t="s">
        <v>432</v>
      </c>
      <c r="AV1441" s="137" t="s">
        <v>432</v>
      </c>
      <c r="AW1441" s="137" t="s">
        <v>432</v>
      </c>
      <c r="AX1441" s="137" t="s">
        <v>432</v>
      </c>
      <c r="AY1441" s="137" t="s">
        <v>432</v>
      </c>
      <c r="AZ1441" s="137" t="s">
        <v>432</v>
      </c>
      <c r="BA1441" s="137" t="s">
        <v>432</v>
      </c>
      <c r="BB1441" s="239" t="str">
        <f t="shared" si="391"/>
        <v>Sinalização semafóricax</v>
      </c>
      <c r="BC1441" s="239" t="str">
        <f t="shared" si="392"/>
        <v>Sinalização semafóricaxbenchmarking</v>
      </c>
      <c r="BD1441" s="239" t="str">
        <f t="shared" si="393"/>
        <v>Sinalização semafóricabenchmarking</v>
      </c>
    </row>
    <row r="1442" spans="1:56" s="1" customFormat="1" ht="79.5" customHeight="1" x14ac:dyDescent="0.25">
      <c r="A1442" s="275" t="str">
        <f>'Q100b-totais'!$B$68</f>
        <v>9.5</v>
      </c>
      <c r="B1442" s="1205" t="str">
        <f>'Q100b-totais'!$C$68</f>
        <v>Sinalização semafórica</v>
      </c>
      <c r="C1442" s="167" t="s">
        <v>432</v>
      </c>
      <c r="D1442" s="362" t="s">
        <v>2833</v>
      </c>
      <c r="E1442" s="1502" t="s">
        <v>2790</v>
      </c>
      <c r="F1442" s="286" t="s">
        <v>2775</v>
      </c>
      <c r="G1442" s="111" t="s">
        <v>2820</v>
      </c>
      <c r="H1442" s="221" t="s">
        <v>819</v>
      </c>
      <c r="I1442" s="167" t="s">
        <v>432</v>
      </c>
      <c r="J1442" s="109" t="s">
        <v>432</v>
      </c>
      <c r="K1442" s="109" t="s">
        <v>432</v>
      </c>
      <c r="L1442" s="109" t="s">
        <v>432</v>
      </c>
      <c r="M1442" s="109" t="s">
        <v>432</v>
      </c>
      <c r="N1442" s="109" t="s">
        <v>432</v>
      </c>
      <c r="O1442" s="109" t="s">
        <v>432</v>
      </c>
      <c r="P1442" s="109" t="s">
        <v>432</v>
      </c>
      <c r="Q1442" s="109" t="s">
        <v>432</v>
      </c>
      <c r="R1442" s="109" t="s">
        <v>432</v>
      </c>
      <c r="S1442" s="109" t="s">
        <v>2209</v>
      </c>
      <c r="T1442" s="109" t="s">
        <v>432</v>
      </c>
      <c r="U1442" s="109" t="s">
        <v>432</v>
      </c>
      <c r="V1442" s="109" t="s">
        <v>2209</v>
      </c>
      <c r="W1442" s="109" t="s">
        <v>432</v>
      </c>
      <c r="X1442" s="109" t="s">
        <v>432</v>
      </c>
      <c r="Y1442" s="109" t="s">
        <v>432</v>
      </c>
      <c r="Z1442" s="109" t="s">
        <v>432</v>
      </c>
      <c r="AA1442" s="109" t="s">
        <v>432</v>
      </c>
      <c r="AB1442" s="109" t="s">
        <v>432</v>
      </c>
      <c r="AC1442" s="523">
        <f t="shared" si="394"/>
        <v>297.16180757584311</v>
      </c>
      <c r="AD1442" s="107" t="s">
        <v>432</v>
      </c>
      <c r="AE1442" s="107" t="s">
        <v>432</v>
      </c>
      <c r="AF1442" s="107" t="s">
        <v>432</v>
      </c>
      <c r="AG1442" s="107" t="s">
        <v>432</v>
      </c>
      <c r="AH1442" s="107" t="s">
        <v>432</v>
      </c>
      <c r="AI1442" s="107" t="s">
        <v>432</v>
      </c>
      <c r="AJ1442" s="107" t="s">
        <v>432</v>
      </c>
      <c r="AK1442" s="137" t="s">
        <v>432</v>
      </c>
      <c r="AL1442" s="601" t="s">
        <v>432</v>
      </c>
      <c r="AM1442" s="137" t="s">
        <v>432</v>
      </c>
      <c r="AN1442" s="137" t="s">
        <v>432</v>
      </c>
      <c r="AO1442" s="137" t="s">
        <v>432</v>
      </c>
      <c r="AP1442" s="137" t="s">
        <v>432</v>
      </c>
      <c r="AQ1442" s="137" t="s">
        <v>432</v>
      </c>
      <c r="AR1442" s="137" t="s">
        <v>432</v>
      </c>
      <c r="AS1442" s="137" t="s">
        <v>432</v>
      </c>
      <c r="AT1442" s="137" t="s">
        <v>432</v>
      </c>
      <c r="AU1442" s="137" t="s">
        <v>432</v>
      </c>
      <c r="AV1442" s="137" t="s">
        <v>432</v>
      </c>
      <c r="AW1442" s="137" t="s">
        <v>432</v>
      </c>
      <c r="AX1442" s="137" t="s">
        <v>432</v>
      </c>
      <c r="AY1442" s="137" t="s">
        <v>432</v>
      </c>
      <c r="AZ1442" s="137" t="s">
        <v>432</v>
      </c>
      <c r="BA1442" s="137" t="s">
        <v>432</v>
      </c>
      <c r="BB1442" s="239" t="str">
        <f t="shared" si="391"/>
        <v>Sinalização semafóricax</v>
      </c>
      <c r="BC1442" s="239" t="str">
        <f t="shared" si="392"/>
        <v>Sinalização semafóricaxbenchmarking</v>
      </c>
      <c r="BD1442" s="239" t="str">
        <f t="shared" si="393"/>
        <v>Sinalização semafóricabenchmarking</v>
      </c>
    </row>
    <row r="1443" spans="1:56" s="1" customFormat="1" ht="63" x14ac:dyDescent="0.25">
      <c r="A1443" s="275" t="str">
        <f>'Q100b-totais'!$B$68</f>
        <v>9.5</v>
      </c>
      <c r="B1443" s="1205" t="str">
        <f>'Q100b-totais'!$C$68</f>
        <v>Sinalização semafórica</v>
      </c>
      <c r="C1443" s="167" t="s">
        <v>432</v>
      </c>
      <c r="D1443" s="362" t="s">
        <v>2833</v>
      </c>
      <c r="E1443" s="1502" t="s">
        <v>2791</v>
      </c>
      <c r="F1443" s="286" t="s">
        <v>2776</v>
      </c>
      <c r="G1443" s="111" t="s">
        <v>2821</v>
      </c>
      <c r="H1443" s="221" t="s">
        <v>819</v>
      </c>
      <c r="I1443" s="167" t="s">
        <v>432</v>
      </c>
      <c r="J1443" s="109" t="s">
        <v>432</v>
      </c>
      <c r="K1443" s="109" t="s">
        <v>432</v>
      </c>
      <c r="L1443" s="109" t="s">
        <v>432</v>
      </c>
      <c r="M1443" s="109" t="s">
        <v>432</v>
      </c>
      <c r="N1443" s="109" t="s">
        <v>432</v>
      </c>
      <c r="O1443" s="109" t="s">
        <v>432</v>
      </c>
      <c r="P1443" s="109" t="s">
        <v>432</v>
      </c>
      <c r="Q1443" s="109" t="s">
        <v>432</v>
      </c>
      <c r="R1443" s="109" t="s">
        <v>432</v>
      </c>
      <c r="S1443" s="109" t="s">
        <v>2209</v>
      </c>
      <c r="T1443" s="109" t="s">
        <v>432</v>
      </c>
      <c r="U1443" s="109" t="s">
        <v>432</v>
      </c>
      <c r="V1443" s="109" t="s">
        <v>2209</v>
      </c>
      <c r="W1443" s="109" t="s">
        <v>432</v>
      </c>
      <c r="X1443" s="109" t="s">
        <v>432</v>
      </c>
      <c r="Y1443" s="109" t="s">
        <v>432</v>
      </c>
      <c r="Z1443" s="109" t="s">
        <v>432</v>
      </c>
      <c r="AA1443" s="109" t="s">
        <v>432</v>
      </c>
      <c r="AB1443" s="109" t="s">
        <v>432</v>
      </c>
      <c r="AC1443" s="523">
        <f t="shared" si="394"/>
        <v>324.92593599988237</v>
      </c>
      <c r="AD1443" s="107" t="s">
        <v>432</v>
      </c>
      <c r="AE1443" s="107" t="s">
        <v>432</v>
      </c>
      <c r="AF1443" s="107" t="s">
        <v>432</v>
      </c>
      <c r="AG1443" s="107" t="s">
        <v>432</v>
      </c>
      <c r="AH1443" s="107" t="s">
        <v>432</v>
      </c>
      <c r="AI1443" s="107" t="s">
        <v>432</v>
      </c>
      <c r="AJ1443" s="107" t="s">
        <v>432</v>
      </c>
      <c r="AK1443" s="137" t="s">
        <v>432</v>
      </c>
      <c r="AL1443" s="601" t="s">
        <v>432</v>
      </c>
      <c r="AM1443" s="137" t="s">
        <v>432</v>
      </c>
      <c r="AN1443" s="137" t="s">
        <v>432</v>
      </c>
      <c r="AO1443" s="137" t="s">
        <v>432</v>
      </c>
      <c r="AP1443" s="137" t="s">
        <v>432</v>
      </c>
      <c r="AQ1443" s="137" t="s">
        <v>432</v>
      </c>
      <c r="AR1443" s="137" t="s">
        <v>432</v>
      </c>
      <c r="AS1443" s="137" t="s">
        <v>432</v>
      </c>
      <c r="AT1443" s="137" t="s">
        <v>432</v>
      </c>
      <c r="AU1443" s="137" t="s">
        <v>432</v>
      </c>
      <c r="AV1443" s="137" t="s">
        <v>432</v>
      </c>
      <c r="AW1443" s="137" t="s">
        <v>432</v>
      </c>
      <c r="AX1443" s="137" t="s">
        <v>432</v>
      </c>
      <c r="AY1443" s="137" t="s">
        <v>432</v>
      </c>
      <c r="AZ1443" s="137" t="s">
        <v>432</v>
      </c>
      <c r="BA1443" s="137" t="s">
        <v>432</v>
      </c>
      <c r="BB1443" s="239" t="str">
        <f t="shared" si="391"/>
        <v>Sinalização semafóricax</v>
      </c>
      <c r="BC1443" s="239" t="str">
        <f t="shared" si="392"/>
        <v>Sinalização semafóricaxbenchmarking</v>
      </c>
      <c r="BD1443" s="239" t="str">
        <f t="shared" si="393"/>
        <v>Sinalização semafóricabenchmarking</v>
      </c>
    </row>
    <row r="1444" spans="1:56" s="1" customFormat="1" ht="63" x14ac:dyDescent="0.25">
      <c r="A1444" s="275" t="str">
        <f>'Q100b-totais'!$B$68</f>
        <v>9.5</v>
      </c>
      <c r="B1444" s="1205" t="str">
        <f>'Q100b-totais'!$C$68</f>
        <v>Sinalização semafórica</v>
      </c>
      <c r="C1444" s="167" t="s">
        <v>432</v>
      </c>
      <c r="D1444" s="362" t="s">
        <v>2833</v>
      </c>
      <c r="E1444" s="1502" t="s">
        <v>2792</v>
      </c>
      <c r="F1444" s="286" t="s">
        <v>2777</v>
      </c>
      <c r="G1444" s="111" t="s">
        <v>2822</v>
      </c>
      <c r="H1444" s="221" t="s">
        <v>819</v>
      </c>
      <c r="I1444" s="167" t="s">
        <v>432</v>
      </c>
      <c r="J1444" s="109" t="s">
        <v>432</v>
      </c>
      <c r="K1444" s="109" t="s">
        <v>432</v>
      </c>
      <c r="L1444" s="109" t="s">
        <v>432</v>
      </c>
      <c r="M1444" s="109" t="s">
        <v>432</v>
      </c>
      <c r="N1444" s="109" t="s">
        <v>432</v>
      </c>
      <c r="O1444" s="109" t="s">
        <v>432</v>
      </c>
      <c r="P1444" s="109" t="s">
        <v>432</v>
      </c>
      <c r="Q1444" s="109" t="s">
        <v>432</v>
      </c>
      <c r="R1444" s="109" t="s">
        <v>432</v>
      </c>
      <c r="S1444" s="109" t="s">
        <v>2209</v>
      </c>
      <c r="T1444" s="109" t="s">
        <v>432</v>
      </c>
      <c r="U1444" s="109" t="s">
        <v>432</v>
      </c>
      <c r="V1444" s="109" t="s">
        <v>2209</v>
      </c>
      <c r="W1444" s="109" t="s">
        <v>432</v>
      </c>
      <c r="X1444" s="109" t="s">
        <v>432</v>
      </c>
      <c r="Y1444" s="109" t="s">
        <v>432</v>
      </c>
      <c r="Z1444" s="109" t="s">
        <v>432</v>
      </c>
      <c r="AA1444" s="109" t="s">
        <v>432</v>
      </c>
      <c r="AB1444" s="109" t="s">
        <v>432</v>
      </c>
      <c r="AC1444" s="523">
        <f t="shared" si="394"/>
        <v>117.41656674666162</v>
      </c>
      <c r="AD1444" s="107" t="s">
        <v>432</v>
      </c>
      <c r="AE1444" s="107" t="s">
        <v>432</v>
      </c>
      <c r="AF1444" s="107" t="s">
        <v>432</v>
      </c>
      <c r="AG1444" s="107" t="s">
        <v>432</v>
      </c>
      <c r="AH1444" s="107" t="s">
        <v>432</v>
      </c>
      <c r="AI1444" s="107" t="s">
        <v>432</v>
      </c>
      <c r="AJ1444" s="107" t="s">
        <v>432</v>
      </c>
      <c r="AK1444" s="137" t="s">
        <v>432</v>
      </c>
      <c r="AL1444" s="601" t="s">
        <v>432</v>
      </c>
      <c r="AM1444" s="137" t="s">
        <v>432</v>
      </c>
      <c r="AN1444" s="137" t="s">
        <v>432</v>
      </c>
      <c r="AO1444" s="137" t="s">
        <v>432</v>
      </c>
      <c r="AP1444" s="137" t="s">
        <v>432</v>
      </c>
      <c r="AQ1444" s="137" t="s">
        <v>432</v>
      </c>
      <c r="AR1444" s="137" t="s">
        <v>432</v>
      </c>
      <c r="AS1444" s="137" t="s">
        <v>432</v>
      </c>
      <c r="AT1444" s="137" t="s">
        <v>432</v>
      </c>
      <c r="AU1444" s="137" t="s">
        <v>432</v>
      </c>
      <c r="AV1444" s="137" t="s">
        <v>432</v>
      </c>
      <c r="AW1444" s="137" t="s">
        <v>432</v>
      </c>
      <c r="AX1444" s="137" t="s">
        <v>432</v>
      </c>
      <c r="AY1444" s="137" t="s">
        <v>432</v>
      </c>
      <c r="AZ1444" s="137" t="s">
        <v>432</v>
      </c>
      <c r="BA1444" s="137" t="s">
        <v>432</v>
      </c>
      <c r="BB1444" s="239" t="str">
        <f t="shared" si="391"/>
        <v>Sinalização semafóricax</v>
      </c>
      <c r="BC1444" s="239" t="str">
        <f t="shared" si="392"/>
        <v>Sinalização semafóricaxbenchmarking</v>
      </c>
      <c r="BD1444" s="239" t="str">
        <f t="shared" si="393"/>
        <v>Sinalização semafóricabenchmarking</v>
      </c>
    </row>
    <row r="1445" spans="1:56" s="1" customFormat="1" ht="85.5" customHeight="1" x14ac:dyDescent="0.25">
      <c r="A1445" s="275" t="str">
        <f>'Q100b-totais'!$B$68</f>
        <v>9.5</v>
      </c>
      <c r="B1445" s="1205" t="str">
        <f>'Q100b-totais'!$C$68</f>
        <v>Sinalização semafórica</v>
      </c>
      <c r="C1445" s="167" t="s">
        <v>432</v>
      </c>
      <c r="D1445" s="362" t="s">
        <v>2833</v>
      </c>
      <c r="E1445" s="1502" t="s">
        <v>2793</v>
      </c>
      <c r="F1445" s="286" t="s">
        <v>2778</v>
      </c>
      <c r="G1445" s="111" t="s">
        <v>2823</v>
      </c>
      <c r="H1445" s="221" t="s">
        <v>819</v>
      </c>
      <c r="I1445" s="167" t="s">
        <v>432</v>
      </c>
      <c r="J1445" s="109" t="s">
        <v>432</v>
      </c>
      <c r="K1445" s="109" t="s">
        <v>432</v>
      </c>
      <c r="L1445" s="109" t="s">
        <v>432</v>
      </c>
      <c r="M1445" s="109" t="s">
        <v>432</v>
      </c>
      <c r="N1445" s="109" t="s">
        <v>432</v>
      </c>
      <c r="O1445" s="109" t="s">
        <v>432</v>
      </c>
      <c r="P1445" s="109" t="s">
        <v>432</v>
      </c>
      <c r="Q1445" s="109" t="s">
        <v>432</v>
      </c>
      <c r="R1445" s="109" t="s">
        <v>432</v>
      </c>
      <c r="S1445" s="109" t="s">
        <v>2209</v>
      </c>
      <c r="T1445" s="109" t="s">
        <v>432</v>
      </c>
      <c r="U1445" s="109" t="s">
        <v>432</v>
      </c>
      <c r="V1445" s="109" t="s">
        <v>2209</v>
      </c>
      <c r="W1445" s="109" t="s">
        <v>432</v>
      </c>
      <c r="X1445" s="109" t="s">
        <v>432</v>
      </c>
      <c r="Y1445" s="109" t="s">
        <v>432</v>
      </c>
      <c r="Z1445" s="109" t="s">
        <v>432</v>
      </c>
      <c r="AA1445" s="109" t="s">
        <v>432</v>
      </c>
      <c r="AB1445" s="109" t="s">
        <v>432</v>
      </c>
      <c r="AC1445" s="523">
        <f t="shared" si="394"/>
        <v>377.08300652806105</v>
      </c>
      <c r="AD1445" s="107" t="s">
        <v>432</v>
      </c>
      <c r="AE1445" s="107" t="s">
        <v>432</v>
      </c>
      <c r="AF1445" s="107" t="s">
        <v>432</v>
      </c>
      <c r="AG1445" s="107" t="s">
        <v>432</v>
      </c>
      <c r="AH1445" s="107" t="s">
        <v>432</v>
      </c>
      <c r="AI1445" s="107" t="s">
        <v>432</v>
      </c>
      <c r="AJ1445" s="107" t="s">
        <v>432</v>
      </c>
      <c r="AK1445" s="137" t="s">
        <v>432</v>
      </c>
      <c r="AL1445" s="601" t="s">
        <v>432</v>
      </c>
      <c r="AM1445" s="137" t="s">
        <v>432</v>
      </c>
      <c r="AN1445" s="137" t="s">
        <v>432</v>
      </c>
      <c r="AO1445" s="137" t="s">
        <v>432</v>
      </c>
      <c r="AP1445" s="137" t="s">
        <v>432</v>
      </c>
      <c r="AQ1445" s="137" t="s">
        <v>432</v>
      </c>
      <c r="AR1445" s="137" t="s">
        <v>432</v>
      </c>
      <c r="AS1445" s="137" t="s">
        <v>432</v>
      </c>
      <c r="AT1445" s="137" t="s">
        <v>432</v>
      </c>
      <c r="AU1445" s="137" t="s">
        <v>432</v>
      </c>
      <c r="AV1445" s="137" t="s">
        <v>432</v>
      </c>
      <c r="AW1445" s="137" t="s">
        <v>432</v>
      </c>
      <c r="AX1445" s="137" t="s">
        <v>432</v>
      </c>
      <c r="AY1445" s="137" t="s">
        <v>432</v>
      </c>
      <c r="AZ1445" s="137" t="s">
        <v>432</v>
      </c>
      <c r="BA1445" s="137" t="s">
        <v>432</v>
      </c>
      <c r="BB1445" s="239" t="str">
        <f t="shared" si="391"/>
        <v>Sinalização semafóricax</v>
      </c>
      <c r="BC1445" s="239" t="str">
        <f t="shared" si="392"/>
        <v>Sinalização semafóricaxbenchmarking</v>
      </c>
      <c r="BD1445" s="239" t="str">
        <f t="shared" si="393"/>
        <v>Sinalização semafóricabenchmarking</v>
      </c>
    </row>
    <row r="1446" spans="1:56" s="1" customFormat="1" ht="63" x14ac:dyDescent="0.25">
      <c r="A1446" s="275" t="str">
        <f>'Q100b-totais'!$B$68</f>
        <v>9.5</v>
      </c>
      <c r="B1446" s="1205" t="str">
        <f>'Q100b-totais'!$C$68</f>
        <v>Sinalização semafórica</v>
      </c>
      <c r="C1446" s="167" t="s">
        <v>432</v>
      </c>
      <c r="D1446" s="362" t="s">
        <v>2833</v>
      </c>
      <c r="E1446" s="1502" t="s">
        <v>2794</v>
      </c>
      <c r="F1446" s="286" t="s">
        <v>2779</v>
      </c>
      <c r="G1446" s="111" t="s">
        <v>2824</v>
      </c>
      <c r="H1446" s="221" t="s">
        <v>819</v>
      </c>
      <c r="I1446" s="167" t="s">
        <v>432</v>
      </c>
      <c r="J1446" s="109" t="s">
        <v>432</v>
      </c>
      <c r="K1446" s="109" t="s">
        <v>432</v>
      </c>
      <c r="L1446" s="109" t="s">
        <v>432</v>
      </c>
      <c r="M1446" s="109" t="s">
        <v>432</v>
      </c>
      <c r="N1446" s="109" t="s">
        <v>432</v>
      </c>
      <c r="O1446" s="109" t="s">
        <v>432</v>
      </c>
      <c r="P1446" s="109" t="s">
        <v>432</v>
      </c>
      <c r="Q1446" s="109" t="s">
        <v>432</v>
      </c>
      <c r="R1446" s="109" t="s">
        <v>432</v>
      </c>
      <c r="S1446" s="109" t="s">
        <v>2209</v>
      </c>
      <c r="T1446" s="109" t="s">
        <v>432</v>
      </c>
      <c r="U1446" s="109" t="s">
        <v>432</v>
      </c>
      <c r="V1446" s="109" t="s">
        <v>2209</v>
      </c>
      <c r="W1446" s="109" t="s">
        <v>432</v>
      </c>
      <c r="X1446" s="109" t="s">
        <v>432</v>
      </c>
      <c r="Y1446" s="109" t="s">
        <v>432</v>
      </c>
      <c r="Z1446" s="109" t="s">
        <v>432</v>
      </c>
      <c r="AA1446" s="109" t="s">
        <v>432</v>
      </c>
      <c r="AB1446" s="109" t="s">
        <v>432</v>
      </c>
      <c r="AC1446" s="523">
        <f t="shared" si="394"/>
        <v>381.44930799642066</v>
      </c>
      <c r="AD1446" s="107" t="s">
        <v>432</v>
      </c>
      <c r="AE1446" s="107" t="s">
        <v>432</v>
      </c>
      <c r="AF1446" s="107" t="s">
        <v>432</v>
      </c>
      <c r="AG1446" s="107" t="s">
        <v>432</v>
      </c>
      <c r="AH1446" s="107" t="s">
        <v>432</v>
      </c>
      <c r="AI1446" s="107" t="s">
        <v>432</v>
      </c>
      <c r="AJ1446" s="107" t="s">
        <v>432</v>
      </c>
      <c r="AK1446" s="137" t="s">
        <v>432</v>
      </c>
      <c r="AL1446" s="601" t="s">
        <v>432</v>
      </c>
      <c r="AM1446" s="137" t="s">
        <v>432</v>
      </c>
      <c r="AN1446" s="137" t="s">
        <v>432</v>
      </c>
      <c r="AO1446" s="137" t="s">
        <v>432</v>
      </c>
      <c r="AP1446" s="137" t="s">
        <v>432</v>
      </c>
      <c r="AQ1446" s="137" t="s">
        <v>432</v>
      </c>
      <c r="AR1446" s="137" t="s">
        <v>432</v>
      </c>
      <c r="AS1446" s="137" t="s">
        <v>432</v>
      </c>
      <c r="AT1446" s="137" t="s">
        <v>432</v>
      </c>
      <c r="AU1446" s="137" t="s">
        <v>432</v>
      </c>
      <c r="AV1446" s="137" t="s">
        <v>432</v>
      </c>
      <c r="AW1446" s="137" t="s">
        <v>432</v>
      </c>
      <c r="AX1446" s="137" t="s">
        <v>432</v>
      </c>
      <c r="AY1446" s="137" t="s">
        <v>432</v>
      </c>
      <c r="AZ1446" s="137" t="s">
        <v>432</v>
      </c>
      <c r="BA1446" s="137" t="s">
        <v>432</v>
      </c>
      <c r="BB1446" s="239" t="str">
        <f t="shared" si="391"/>
        <v>Sinalização semafóricax</v>
      </c>
      <c r="BC1446" s="239" t="str">
        <f t="shared" si="392"/>
        <v>Sinalização semafóricaxbenchmarking</v>
      </c>
      <c r="BD1446" s="239" t="str">
        <f t="shared" si="393"/>
        <v>Sinalização semafóricabenchmarking</v>
      </c>
    </row>
    <row r="1447" spans="1:56" s="1" customFormat="1" ht="63" x14ac:dyDescent="0.25">
      <c r="A1447" s="275" t="str">
        <f>'Q100b-totais'!$B$68</f>
        <v>9.5</v>
      </c>
      <c r="B1447" s="1205" t="str">
        <f>'Q100b-totais'!$C$68</f>
        <v>Sinalização semafórica</v>
      </c>
      <c r="C1447" s="167" t="s">
        <v>432</v>
      </c>
      <c r="D1447" s="362" t="s">
        <v>2833</v>
      </c>
      <c r="E1447" s="1502" t="s">
        <v>2795</v>
      </c>
      <c r="F1447" s="286" t="s">
        <v>2780</v>
      </c>
      <c r="G1447" s="111" t="s">
        <v>2825</v>
      </c>
      <c r="H1447" s="221" t="s">
        <v>819</v>
      </c>
      <c r="I1447" s="167" t="s">
        <v>432</v>
      </c>
      <c r="J1447" s="109" t="s">
        <v>432</v>
      </c>
      <c r="K1447" s="109" t="s">
        <v>432</v>
      </c>
      <c r="L1447" s="109" t="s">
        <v>432</v>
      </c>
      <c r="M1447" s="109" t="s">
        <v>432</v>
      </c>
      <c r="N1447" s="109" t="s">
        <v>432</v>
      </c>
      <c r="O1447" s="109" t="s">
        <v>432</v>
      </c>
      <c r="P1447" s="109" t="s">
        <v>432</v>
      </c>
      <c r="Q1447" s="109" t="s">
        <v>432</v>
      </c>
      <c r="R1447" s="109" t="s">
        <v>432</v>
      </c>
      <c r="S1447" s="109" t="s">
        <v>2209</v>
      </c>
      <c r="T1447" s="109" t="s">
        <v>432</v>
      </c>
      <c r="U1447" s="109" t="s">
        <v>432</v>
      </c>
      <c r="V1447" s="109" t="s">
        <v>2209</v>
      </c>
      <c r="W1447" s="109" t="s">
        <v>432</v>
      </c>
      <c r="X1447" s="109" t="s">
        <v>432</v>
      </c>
      <c r="Y1447" s="109" t="s">
        <v>432</v>
      </c>
      <c r="Z1447" s="109" t="s">
        <v>432</v>
      </c>
      <c r="AA1447" s="109" t="s">
        <v>432</v>
      </c>
      <c r="AB1447" s="109" t="s">
        <v>432</v>
      </c>
      <c r="AC1447" s="523">
        <f t="shared" si="394"/>
        <v>344.54674095080685</v>
      </c>
      <c r="AD1447" s="107" t="s">
        <v>432</v>
      </c>
      <c r="AE1447" s="107" t="s">
        <v>432</v>
      </c>
      <c r="AF1447" s="107" t="s">
        <v>432</v>
      </c>
      <c r="AG1447" s="107" t="s">
        <v>432</v>
      </c>
      <c r="AH1447" s="107" t="s">
        <v>432</v>
      </c>
      <c r="AI1447" s="107" t="s">
        <v>432</v>
      </c>
      <c r="AJ1447" s="107" t="s">
        <v>432</v>
      </c>
      <c r="AK1447" s="137" t="s">
        <v>432</v>
      </c>
      <c r="AL1447" s="601" t="s">
        <v>432</v>
      </c>
      <c r="AM1447" s="137" t="s">
        <v>432</v>
      </c>
      <c r="AN1447" s="137" t="s">
        <v>432</v>
      </c>
      <c r="AO1447" s="137" t="s">
        <v>432</v>
      </c>
      <c r="AP1447" s="137" t="s">
        <v>432</v>
      </c>
      <c r="AQ1447" s="137" t="s">
        <v>432</v>
      </c>
      <c r="AR1447" s="137" t="s">
        <v>432</v>
      </c>
      <c r="AS1447" s="137" t="s">
        <v>432</v>
      </c>
      <c r="AT1447" s="137" t="s">
        <v>432</v>
      </c>
      <c r="AU1447" s="137" t="s">
        <v>432</v>
      </c>
      <c r="AV1447" s="137" t="s">
        <v>432</v>
      </c>
      <c r="AW1447" s="137" t="s">
        <v>432</v>
      </c>
      <c r="AX1447" s="137" t="s">
        <v>432</v>
      </c>
      <c r="AY1447" s="137" t="s">
        <v>432</v>
      </c>
      <c r="AZ1447" s="137" t="s">
        <v>432</v>
      </c>
      <c r="BA1447" s="137" t="s">
        <v>432</v>
      </c>
      <c r="BB1447" s="239" t="str">
        <f t="shared" si="391"/>
        <v>Sinalização semafóricax</v>
      </c>
      <c r="BC1447" s="239" t="str">
        <f t="shared" si="392"/>
        <v>Sinalização semafóricaxbenchmarking</v>
      </c>
      <c r="BD1447" s="239" t="str">
        <f t="shared" si="393"/>
        <v>Sinalização semafóricabenchmarking</v>
      </c>
    </row>
    <row r="1448" spans="1:56" s="1" customFormat="1" ht="85.5" customHeight="1" x14ac:dyDescent="0.25">
      <c r="A1448" s="275" t="str">
        <f>'Q100b-totais'!$B$68</f>
        <v>9.5</v>
      </c>
      <c r="B1448" s="1205" t="str">
        <f>'Q100b-totais'!$C$68</f>
        <v>Sinalização semafórica</v>
      </c>
      <c r="C1448" s="167" t="s">
        <v>432</v>
      </c>
      <c r="D1448" s="362" t="s">
        <v>2833</v>
      </c>
      <c r="E1448" s="1502" t="s">
        <v>2796</v>
      </c>
      <c r="F1448" s="286" t="s">
        <v>2781</v>
      </c>
      <c r="G1448" s="111" t="s">
        <v>2826</v>
      </c>
      <c r="H1448" s="221" t="s">
        <v>819</v>
      </c>
      <c r="I1448" s="167" t="s">
        <v>432</v>
      </c>
      <c r="J1448" s="109" t="s">
        <v>432</v>
      </c>
      <c r="K1448" s="109" t="s">
        <v>432</v>
      </c>
      <c r="L1448" s="109" t="s">
        <v>432</v>
      </c>
      <c r="M1448" s="109" t="s">
        <v>432</v>
      </c>
      <c r="N1448" s="109" t="s">
        <v>432</v>
      </c>
      <c r="O1448" s="109" t="s">
        <v>432</v>
      </c>
      <c r="P1448" s="109" t="s">
        <v>432</v>
      </c>
      <c r="Q1448" s="109" t="s">
        <v>432</v>
      </c>
      <c r="R1448" s="109" t="s">
        <v>432</v>
      </c>
      <c r="S1448" s="109" t="s">
        <v>2209</v>
      </c>
      <c r="T1448" s="109" t="s">
        <v>432</v>
      </c>
      <c r="U1448" s="109" t="s">
        <v>432</v>
      </c>
      <c r="V1448" s="109" t="s">
        <v>2209</v>
      </c>
      <c r="W1448" s="109" t="s">
        <v>432</v>
      </c>
      <c r="X1448" s="109" t="s">
        <v>432</v>
      </c>
      <c r="Y1448" s="109" t="s">
        <v>432</v>
      </c>
      <c r="Z1448" s="109" t="s">
        <v>432</v>
      </c>
      <c r="AA1448" s="109" t="s">
        <v>432</v>
      </c>
      <c r="AB1448" s="109" t="s">
        <v>432</v>
      </c>
      <c r="AC1448" s="523">
        <f t="shared" si="394"/>
        <v>322.48614280929723</v>
      </c>
      <c r="AD1448" s="107" t="s">
        <v>432</v>
      </c>
      <c r="AE1448" s="107" t="s">
        <v>432</v>
      </c>
      <c r="AF1448" s="107" t="s">
        <v>432</v>
      </c>
      <c r="AG1448" s="107" t="s">
        <v>432</v>
      </c>
      <c r="AH1448" s="107" t="s">
        <v>432</v>
      </c>
      <c r="AI1448" s="107" t="s">
        <v>432</v>
      </c>
      <c r="AJ1448" s="107" t="s">
        <v>432</v>
      </c>
      <c r="AK1448" s="137" t="s">
        <v>432</v>
      </c>
      <c r="AL1448" s="601" t="s">
        <v>432</v>
      </c>
      <c r="AM1448" s="137" t="s">
        <v>432</v>
      </c>
      <c r="AN1448" s="137" t="s">
        <v>432</v>
      </c>
      <c r="AO1448" s="137" t="s">
        <v>432</v>
      </c>
      <c r="AP1448" s="137" t="s">
        <v>432</v>
      </c>
      <c r="AQ1448" s="137" t="s">
        <v>432</v>
      </c>
      <c r="AR1448" s="137" t="s">
        <v>432</v>
      </c>
      <c r="AS1448" s="137" t="s">
        <v>432</v>
      </c>
      <c r="AT1448" s="137" t="s">
        <v>432</v>
      </c>
      <c r="AU1448" s="137" t="s">
        <v>432</v>
      </c>
      <c r="AV1448" s="137" t="s">
        <v>432</v>
      </c>
      <c r="AW1448" s="137" t="s">
        <v>432</v>
      </c>
      <c r="AX1448" s="137" t="s">
        <v>432</v>
      </c>
      <c r="AY1448" s="137" t="s">
        <v>432</v>
      </c>
      <c r="AZ1448" s="137" t="s">
        <v>432</v>
      </c>
      <c r="BA1448" s="137" t="s">
        <v>432</v>
      </c>
      <c r="BB1448" s="239" t="str">
        <f t="shared" si="391"/>
        <v>Sinalização semafóricax</v>
      </c>
      <c r="BC1448" s="239" t="str">
        <f t="shared" si="392"/>
        <v>Sinalização semafóricaxbenchmarking</v>
      </c>
      <c r="BD1448" s="239" t="str">
        <f t="shared" si="393"/>
        <v>Sinalização semafóricabenchmarking</v>
      </c>
    </row>
    <row r="1449" spans="1:56" s="1" customFormat="1" ht="90" customHeight="1" x14ac:dyDescent="0.25">
      <c r="A1449" s="275" t="str">
        <f>'Q100b-totais'!$B$68</f>
        <v>9.5</v>
      </c>
      <c r="B1449" s="1205" t="str">
        <f>'Q100b-totais'!$C$68</f>
        <v>Sinalização semafórica</v>
      </c>
      <c r="C1449" s="167" t="s">
        <v>432</v>
      </c>
      <c r="D1449" s="362" t="s">
        <v>2833</v>
      </c>
      <c r="E1449" s="1502" t="s">
        <v>2797</v>
      </c>
      <c r="F1449" s="286" t="s">
        <v>2782</v>
      </c>
      <c r="G1449" s="111" t="s">
        <v>2827</v>
      </c>
      <c r="H1449" s="221" t="s">
        <v>819</v>
      </c>
      <c r="I1449" s="167" t="s">
        <v>432</v>
      </c>
      <c r="J1449" s="109" t="s">
        <v>432</v>
      </c>
      <c r="K1449" s="109" t="s">
        <v>432</v>
      </c>
      <c r="L1449" s="109" t="s">
        <v>432</v>
      </c>
      <c r="M1449" s="109" t="s">
        <v>432</v>
      </c>
      <c r="N1449" s="109" t="s">
        <v>432</v>
      </c>
      <c r="O1449" s="109" t="s">
        <v>432</v>
      </c>
      <c r="P1449" s="109" t="s">
        <v>432</v>
      </c>
      <c r="Q1449" s="109" t="s">
        <v>432</v>
      </c>
      <c r="R1449" s="109" t="s">
        <v>432</v>
      </c>
      <c r="S1449" s="109" t="s">
        <v>2209</v>
      </c>
      <c r="T1449" s="109" t="s">
        <v>432</v>
      </c>
      <c r="U1449" s="109" t="s">
        <v>432</v>
      </c>
      <c r="V1449" s="109" t="s">
        <v>2209</v>
      </c>
      <c r="W1449" s="109" t="s">
        <v>432</v>
      </c>
      <c r="X1449" s="109" t="s">
        <v>432</v>
      </c>
      <c r="Y1449" s="109" t="s">
        <v>432</v>
      </c>
      <c r="Z1449" s="109" t="s">
        <v>432</v>
      </c>
      <c r="AA1449" s="109" t="s">
        <v>432</v>
      </c>
      <c r="AB1449" s="109" t="s">
        <v>432</v>
      </c>
      <c r="AC1449" s="523">
        <f t="shared" si="394"/>
        <v>364.30047436889498</v>
      </c>
      <c r="AD1449" s="107" t="s">
        <v>432</v>
      </c>
      <c r="AE1449" s="107" t="s">
        <v>432</v>
      </c>
      <c r="AF1449" s="107" t="s">
        <v>432</v>
      </c>
      <c r="AG1449" s="107" t="s">
        <v>432</v>
      </c>
      <c r="AH1449" s="107" t="s">
        <v>432</v>
      </c>
      <c r="AI1449" s="107" t="s">
        <v>432</v>
      </c>
      <c r="AJ1449" s="107" t="s">
        <v>432</v>
      </c>
      <c r="AK1449" s="137" t="s">
        <v>432</v>
      </c>
      <c r="AL1449" s="601" t="s">
        <v>432</v>
      </c>
      <c r="AM1449" s="137" t="s">
        <v>432</v>
      </c>
      <c r="AN1449" s="137" t="s">
        <v>432</v>
      </c>
      <c r="AO1449" s="137" t="s">
        <v>432</v>
      </c>
      <c r="AP1449" s="137" t="s">
        <v>432</v>
      </c>
      <c r="AQ1449" s="137" t="s">
        <v>432</v>
      </c>
      <c r="AR1449" s="137" t="s">
        <v>432</v>
      </c>
      <c r="AS1449" s="137" t="s">
        <v>432</v>
      </c>
      <c r="AT1449" s="137" t="s">
        <v>432</v>
      </c>
      <c r="AU1449" s="137" t="s">
        <v>432</v>
      </c>
      <c r="AV1449" s="137" t="s">
        <v>432</v>
      </c>
      <c r="AW1449" s="137" t="s">
        <v>432</v>
      </c>
      <c r="AX1449" s="137" t="s">
        <v>432</v>
      </c>
      <c r="AY1449" s="137" t="s">
        <v>432</v>
      </c>
      <c r="AZ1449" s="137" t="s">
        <v>432</v>
      </c>
      <c r="BA1449" s="137" t="s">
        <v>432</v>
      </c>
      <c r="BB1449" s="239" t="str">
        <f t="shared" si="391"/>
        <v>Sinalização semafóricax</v>
      </c>
      <c r="BC1449" s="239" t="str">
        <f t="shared" si="392"/>
        <v>Sinalização semafóricaxbenchmarking</v>
      </c>
      <c r="BD1449" s="239" t="str">
        <f t="shared" si="393"/>
        <v>Sinalização semafóricabenchmarking</v>
      </c>
    </row>
    <row r="1450" spans="1:56" s="1" customFormat="1" ht="84" customHeight="1" x14ac:dyDescent="0.25">
      <c r="A1450" s="275" t="str">
        <f>'Q100b-totais'!$B$68</f>
        <v>9.5</v>
      </c>
      <c r="B1450" s="1205" t="str">
        <f>'Q100b-totais'!$C$68</f>
        <v>Sinalização semafórica</v>
      </c>
      <c r="C1450" s="167" t="s">
        <v>432</v>
      </c>
      <c r="D1450" s="362" t="s">
        <v>2833</v>
      </c>
      <c r="E1450" s="1502" t="s">
        <v>2798</v>
      </c>
      <c r="F1450" s="286" t="s">
        <v>2783</v>
      </c>
      <c r="G1450" s="111" t="s">
        <v>2828</v>
      </c>
      <c r="H1450" s="221" t="s">
        <v>819</v>
      </c>
      <c r="I1450" s="167" t="s">
        <v>432</v>
      </c>
      <c r="J1450" s="109" t="s">
        <v>432</v>
      </c>
      <c r="K1450" s="109" t="s">
        <v>432</v>
      </c>
      <c r="L1450" s="109" t="s">
        <v>432</v>
      </c>
      <c r="M1450" s="109" t="s">
        <v>432</v>
      </c>
      <c r="N1450" s="109" t="s">
        <v>432</v>
      </c>
      <c r="O1450" s="109" t="s">
        <v>432</v>
      </c>
      <c r="P1450" s="109" t="s">
        <v>432</v>
      </c>
      <c r="Q1450" s="109" t="s">
        <v>432</v>
      </c>
      <c r="R1450" s="109" t="s">
        <v>432</v>
      </c>
      <c r="S1450" s="109" t="s">
        <v>2209</v>
      </c>
      <c r="T1450" s="109" t="s">
        <v>432</v>
      </c>
      <c r="U1450" s="109" t="s">
        <v>432</v>
      </c>
      <c r="V1450" s="109" t="s">
        <v>2209</v>
      </c>
      <c r="W1450" s="109" t="s">
        <v>432</v>
      </c>
      <c r="X1450" s="109" t="s">
        <v>432</v>
      </c>
      <c r="Y1450" s="109" t="s">
        <v>432</v>
      </c>
      <c r="Z1450" s="109" t="s">
        <v>432</v>
      </c>
      <c r="AA1450" s="109" t="s">
        <v>432</v>
      </c>
      <c r="AB1450" s="109" t="s">
        <v>432</v>
      </c>
      <c r="AC1450" s="523">
        <f t="shared" si="394"/>
        <v>402.58418372276867</v>
      </c>
      <c r="AD1450" s="107" t="s">
        <v>432</v>
      </c>
      <c r="AE1450" s="107" t="s">
        <v>432</v>
      </c>
      <c r="AF1450" s="107" t="s">
        <v>432</v>
      </c>
      <c r="AG1450" s="107" t="s">
        <v>432</v>
      </c>
      <c r="AH1450" s="107" t="s">
        <v>432</v>
      </c>
      <c r="AI1450" s="107" t="s">
        <v>432</v>
      </c>
      <c r="AJ1450" s="107" t="s">
        <v>432</v>
      </c>
      <c r="AK1450" s="137" t="s">
        <v>432</v>
      </c>
      <c r="AL1450" s="601" t="s">
        <v>432</v>
      </c>
      <c r="AM1450" s="137" t="s">
        <v>432</v>
      </c>
      <c r="AN1450" s="137" t="s">
        <v>432</v>
      </c>
      <c r="AO1450" s="137" t="s">
        <v>432</v>
      </c>
      <c r="AP1450" s="137" t="s">
        <v>432</v>
      </c>
      <c r="AQ1450" s="137" t="s">
        <v>432</v>
      </c>
      <c r="AR1450" s="137" t="s">
        <v>432</v>
      </c>
      <c r="AS1450" s="137" t="s">
        <v>432</v>
      </c>
      <c r="AT1450" s="137" t="s">
        <v>432</v>
      </c>
      <c r="AU1450" s="137" t="s">
        <v>432</v>
      </c>
      <c r="AV1450" s="137" t="s">
        <v>432</v>
      </c>
      <c r="AW1450" s="137" t="s">
        <v>432</v>
      </c>
      <c r="AX1450" s="137" t="s">
        <v>432</v>
      </c>
      <c r="AY1450" s="137" t="s">
        <v>432</v>
      </c>
      <c r="AZ1450" s="137" t="s">
        <v>432</v>
      </c>
      <c r="BA1450" s="137" t="s">
        <v>432</v>
      </c>
      <c r="BB1450" s="239" t="str">
        <f t="shared" si="391"/>
        <v>Sinalização semafóricax</v>
      </c>
      <c r="BC1450" s="239" t="str">
        <f t="shared" si="392"/>
        <v>Sinalização semafóricaxbenchmarking</v>
      </c>
      <c r="BD1450" s="239" t="str">
        <f t="shared" si="393"/>
        <v>Sinalização semafóricabenchmarking</v>
      </c>
    </row>
    <row r="1451" spans="1:56" s="1" customFormat="1" ht="63" x14ac:dyDescent="0.25">
      <c r="A1451" s="275" t="str">
        <f>'Q100b-totais'!$B$68</f>
        <v>9.5</v>
      </c>
      <c r="B1451" s="1205" t="str">
        <f>'Q100b-totais'!$C$68</f>
        <v>Sinalização semafórica</v>
      </c>
      <c r="C1451" s="167" t="s">
        <v>432</v>
      </c>
      <c r="D1451" s="324" t="s">
        <v>1012</v>
      </c>
      <c r="E1451" s="254" t="s">
        <v>432</v>
      </c>
      <c r="F1451" s="11" t="s">
        <v>1903</v>
      </c>
      <c r="G1451" s="230" t="s">
        <v>3507</v>
      </c>
      <c r="H1451" s="167" t="s">
        <v>2408</v>
      </c>
      <c r="I1451" s="57" t="s">
        <v>432</v>
      </c>
      <c r="J1451" s="107" t="s">
        <v>432</v>
      </c>
      <c r="K1451" s="107" t="s">
        <v>432</v>
      </c>
      <c r="L1451" s="107" t="s">
        <v>432</v>
      </c>
      <c r="M1451" s="107" t="s">
        <v>432</v>
      </c>
      <c r="N1451" s="107" t="s">
        <v>432</v>
      </c>
      <c r="O1451" s="107" t="s">
        <v>432</v>
      </c>
      <c r="P1451" s="107" t="s">
        <v>432</v>
      </c>
      <c r="Q1451" s="107" t="s">
        <v>432</v>
      </c>
      <c r="R1451" s="107" t="s">
        <v>432</v>
      </c>
      <c r="S1451" s="109" t="s">
        <v>2209</v>
      </c>
      <c r="T1451" s="107" t="s">
        <v>432</v>
      </c>
      <c r="U1451" s="107" t="s">
        <v>432</v>
      </c>
      <c r="V1451" s="109" t="s">
        <v>2209</v>
      </c>
      <c r="W1451" s="107" t="s">
        <v>432</v>
      </c>
      <c r="X1451" s="107" t="s">
        <v>432</v>
      </c>
      <c r="Y1451" s="107" t="s">
        <v>432</v>
      </c>
      <c r="Z1451" s="107" t="s">
        <v>432</v>
      </c>
      <c r="AA1451" s="107" t="s">
        <v>432</v>
      </c>
      <c r="AB1451" s="107" t="s">
        <v>432</v>
      </c>
      <c r="AC1451" s="107" t="s">
        <v>432</v>
      </c>
      <c r="AD1451" s="107" t="s">
        <v>432</v>
      </c>
      <c r="AE1451" s="107" t="s">
        <v>432</v>
      </c>
      <c r="AF1451" s="107" t="s">
        <v>432</v>
      </c>
      <c r="AG1451" s="107" t="s">
        <v>432</v>
      </c>
      <c r="AH1451" s="107" t="s">
        <v>432</v>
      </c>
      <c r="AI1451" s="107" t="s">
        <v>432</v>
      </c>
      <c r="AJ1451" s="107" t="s">
        <v>432</v>
      </c>
      <c r="AK1451" s="137" t="s">
        <v>432</v>
      </c>
      <c r="AL1451" s="601" t="s">
        <v>432</v>
      </c>
      <c r="AM1451" s="137" t="s">
        <v>432</v>
      </c>
      <c r="AN1451" s="137" t="s">
        <v>432</v>
      </c>
      <c r="AO1451" s="137" t="s">
        <v>432</v>
      </c>
      <c r="AP1451" s="137" t="s">
        <v>432</v>
      </c>
      <c r="AQ1451" s="137" t="s">
        <v>432</v>
      </c>
      <c r="AR1451" s="137" t="s">
        <v>432</v>
      </c>
      <c r="AS1451" s="137" t="s">
        <v>432</v>
      </c>
      <c r="AT1451" s="137" t="s">
        <v>432</v>
      </c>
      <c r="AU1451" s="137" t="s">
        <v>432</v>
      </c>
      <c r="AV1451" s="137" t="s">
        <v>432</v>
      </c>
      <c r="AW1451" s="137" t="s">
        <v>432</v>
      </c>
      <c r="AX1451" s="137" t="s">
        <v>432</v>
      </c>
      <c r="AY1451" s="137" t="s">
        <v>432</v>
      </c>
      <c r="AZ1451" s="137" t="s">
        <v>432</v>
      </c>
      <c r="BA1451" s="137" t="s">
        <v>432</v>
      </c>
      <c r="BB1451" s="239" t="str">
        <f t="shared" si="391"/>
        <v>Sinalização semafóricax</v>
      </c>
      <c r="BC1451" s="239" t="str">
        <f t="shared" si="392"/>
        <v>Sinalização semafóricaxsigla/verbete</v>
      </c>
      <c r="BD1451" s="239" t="str">
        <f t="shared" si="393"/>
        <v>Sinalização semafóricasigla/verbete</v>
      </c>
    </row>
    <row r="1452" spans="1:56" s="1" customFormat="1" ht="69" customHeight="1" x14ac:dyDescent="0.25">
      <c r="A1452" s="275" t="str">
        <f>'Q100b-totais'!$B$68</f>
        <v>9.5</v>
      </c>
      <c r="B1452" s="1205" t="str">
        <f>'Q100b-totais'!$C$68</f>
        <v>Sinalização semafórica</v>
      </c>
      <c r="C1452" s="167" t="s">
        <v>432</v>
      </c>
      <c r="D1452" s="896" t="s">
        <v>1012</v>
      </c>
      <c r="E1452" s="1530" t="s">
        <v>2799</v>
      </c>
      <c r="F1452" s="286" t="s">
        <v>2741</v>
      </c>
      <c r="G1452" s="110" t="s">
        <v>77</v>
      </c>
      <c r="H1452" s="221" t="s">
        <v>819</v>
      </c>
      <c r="I1452" s="167" t="s">
        <v>432</v>
      </c>
      <c r="J1452" s="109" t="s">
        <v>432</v>
      </c>
      <c r="K1452" s="109" t="s">
        <v>432</v>
      </c>
      <c r="L1452" s="109" t="s">
        <v>432</v>
      </c>
      <c r="M1452" s="109" t="s">
        <v>432</v>
      </c>
      <c r="N1452" s="109" t="s">
        <v>432</v>
      </c>
      <c r="O1452" s="109" t="s">
        <v>432</v>
      </c>
      <c r="P1452" s="109" t="s">
        <v>432</v>
      </c>
      <c r="Q1452" s="109" t="s">
        <v>432</v>
      </c>
      <c r="R1452" s="109" t="s">
        <v>432</v>
      </c>
      <c r="S1452" s="109" t="s">
        <v>2209</v>
      </c>
      <c r="T1452" s="109" t="s">
        <v>432</v>
      </c>
      <c r="U1452" s="109" t="s">
        <v>432</v>
      </c>
      <c r="V1452" s="109" t="s">
        <v>2209</v>
      </c>
      <c r="W1452" s="109" t="s">
        <v>432</v>
      </c>
      <c r="X1452" s="109" t="s">
        <v>432</v>
      </c>
      <c r="Y1452" s="109" t="s">
        <v>432</v>
      </c>
      <c r="Z1452" s="109" t="s">
        <v>432</v>
      </c>
      <c r="AA1452" s="109" t="s">
        <v>432</v>
      </c>
      <c r="AB1452" s="109" t="s">
        <v>432</v>
      </c>
      <c r="AC1452" s="110">
        <v>385</v>
      </c>
      <c r="AD1452" s="109" t="s">
        <v>432</v>
      </c>
      <c r="AE1452" s="109" t="s">
        <v>432</v>
      </c>
      <c r="AF1452" s="109" t="s">
        <v>432</v>
      </c>
      <c r="AG1452" s="109" t="s">
        <v>432</v>
      </c>
      <c r="AH1452" s="93">
        <v>396</v>
      </c>
      <c r="AI1452" s="107" t="s">
        <v>432</v>
      </c>
      <c r="AJ1452" s="107" t="s">
        <v>432</v>
      </c>
      <c r="AK1452" s="137"/>
      <c r="AL1452" s="601" t="s">
        <v>432</v>
      </c>
      <c r="AM1452" s="137"/>
      <c r="AN1452" s="137"/>
      <c r="AO1452" s="137"/>
      <c r="AP1452" s="137"/>
      <c r="AQ1452" s="137"/>
      <c r="AR1452" s="137"/>
      <c r="AS1452" s="137"/>
      <c r="AT1452" s="137"/>
      <c r="AU1452" s="137"/>
      <c r="AV1452" s="137" t="s">
        <v>432</v>
      </c>
      <c r="AW1452" s="137" t="s">
        <v>432</v>
      </c>
      <c r="AX1452" s="137" t="s">
        <v>432</v>
      </c>
      <c r="AY1452" s="137" t="s">
        <v>432</v>
      </c>
      <c r="AZ1452" s="137" t="s">
        <v>432</v>
      </c>
      <c r="BA1452" s="137" t="s">
        <v>432</v>
      </c>
      <c r="BB1452" s="239" t="str">
        <f t="shared" si="391"/>
        <v>Sinalização semafóricax</v>
      </c>
      <c r="BC1452" s="239" t="str">
        <f t="shared" si="392"/>
        <v>Sinalização semafóricaxbenchmarking</v>
      </c>
      <c r="BD1452" s="239" t="str">
        <f t="shared" si="393"/>
        <v>Sinalização semafóricabenchmarking</v>
      </c>
    </row>
    <row r="1453" spans="1:56" s="1" customFormat="1" ht="63" x14ac:dyDescent="0.25">
      <c r="A1453" s="275" t="str">
        <f>'Q100b-totais'!$B$68</f>
        <v>9.5</v>
      </c>
      <c r="B1453" s="1205" t="str">
        <f>'Q100b-totais'!$C$68</f>
        <v>Sinalização semafórica</v>
      </c>
      <c r="C1453" s="167" t="s">
        <v>432</v>
      </c>
      <c r="D1453" s="896" t="s">
        <v>1012</v>
      </c>
      <c r="E1453" s="1530" t="s">
        <v>2800</v>
      </c>
      <c r="F1453" s="286" t="s">
        <v>2742</v>
      </c>
      <c r="G1453" s="110" t="s">
        <v>77</v>
      </c>
      <c r="H1453" s="221" t="s">
        <v>819</v>
      </c>
      <c r="I1453" s="167" t="s">
        <v>432</v>
      </c>
      <c r="J1453" s="109" t="s">
        <v>432</v>
      </c>
      <c r="K1453" s="109" t="s">
        <v>432</v>
      </c>
      <c r="L1453" s="109" t="s">
        <v>432</v>
      </c>
      <c r="M1453" s="109" t="s">
        <v>432</v>
      </c>
      <c r="N1453" s="109" t="s">
        <v>432</v>
      </c>
      <c r="O1453" s="109" t="s">
        <v>432</v>
      </c>
      <c r="P1453" s="109" t="s">
        <v>432</v>
      </c>
      <c r="Q1453" s="109" t="s">
        <v>432</v>
      </c>
      <c r="R1453" s="109" t="s">
        <v>432</v>
      </c>
      <c r="S1453" s="109" t="s">
        <v>2209</v>
      </c>
      <c r="T1453" s="109" t="s">
        <v>432</v>
      </c>
      <c r="U1453" s="109" t="s">
        <v>432</v>
      </c>
      <c r="V1453" s="109" t="s">
        <v>2209</v>
      </c>
      <c r="W1453" s="109" t="s">
        <v>432</v>
      </c>
      <c r="X1453" s="109" t="s">
        <v>432</v>
      </c>
      <c r="Y1453" s="109" t="s">
        <v>432</v>
      </c>
      <c r="Z1453" s="109" t="s">
        <v>432</v>
      </c>
      <c r="AA1453" s="109" t="s">
        <v>432</v>
      </c>
      <c r="AB1453" s="109" t="s">
        <v>432</v>
      </c>
      <c r="AC1453" s="110">
        <v>301</v>
      </c>
      <c r="AD1453" s="109" t="s">
        <v>432</v>
      </c>
      <c r="AE1453" s="109" t="s">
        <v>432</v>
      </c>
      <c r="AF1453" s="109" t="s">
        <v>432</v>
      </c>
      <c r="AG1453" s="109" t="s">
        <v>432</v>
      </c>
      <c r="AH1453" s="93">
        <v>350</v>
      </c>
      <c r="AI1453" s="107" t="s">
        <v>432</v>
      </c>
      <c r="AJ1453" s="107" t="s">
        <v>432</v>
      </c>
      <c r="AK1453" s="137"/>
      <c r="AL1453" s="601" t="s">
        <v>432</v>
      </c>
      <c r="AM1453" s="137"/>
      <c r="AN1453" s="137"/>
      <c r="AO1453" s="137"/>
      <c r="AP1453" s="137"/>
      <c r="AQ1453" s="137"/>
      <c r="AR1453" s="137"/>
      <c r="AS1453" s="137"/>
      <c r="AT1453" s="137"/>
      <c r="AU1453" s="137"/>
      <c r="AV1453" s="137" t="s">
        <v>432</v>
      </c>
      <c r="AW1453" s="137" t="s">
        <v>432</v>
      </c>
      <c r="AX1453" s="137" t="s">
        <v>432</v>
      </c>
      <c r="AY1453" s="137" t="s">
        <v>432</v>
      </c>
      <c r="AZ1453" s="137" t="s">
        <v>432</v>
      </c>
      <c r="BA1453" s="137" t="s">
        <v>432</v>
      </c>
      <c r="BB1453" s="239" t="str">
        <f t="shared" si="391"/>
        <v>Sinalização semafóricax</v>
      </c>
      <c r="BC1453" s="239" t="str">
        <f t="shared" si="392"/>
        <v>Sinalização semafóricaxbenchmarking</v>
      </c>
      <c r="BD1453" s="239" t="str">
        <f t="shared" si="393"/>
        <v>Sinalização semafóricabenchmarking</v>
      </c>
    </row>
    <row r="1454" spans="1:56" s="1" customFormat="1" ht="63" x14ac:dyDescent="0.25">
      <c r="A1454" s="275" t="str">
        <f>'Q100b-totais'!$B$68</f>
        <v>9.5</v>
      </c>
      <c r="B1454" s="1205" t="str">
        <f>'Q100b-totais'!$C$68</f>
        <v>Sinalização semafórica</v>
      </c>
      <c r="C1454" s="167" t="s">
        <v>432</v>
      </c>
      <c r="D1454" s="896" t="s">
        <v>1012</v>
      </c>
      <c r="E1454" s="1530" t="s">
        <v>2801</v>
      </c>
      <c r="F1454" s="286" t="s">
        <v>2743</v>
      </c>
      <c r="G1454" s="110" t="s">
        <v>77</v>
      </c>
      <c r="H1454" s="221" t="s">
        <v>819</v>
      </c>
      <c r="I1454" s="167" t="s">
        <v>432</v>
      </c>
      <c r="J1454" s="109" t="s">
        <v>432</v>
      </c>
      <c r="K1454" s="109" t="s">
        <v>432</v>
      </c>
      <c r="L1454" s="109" t="s">
        <v>432</v>
      </c>
      <c r="M1454" s="109" t="s">
        <v>432</v>
      </c>
      <c r="N1454" s="109" t="s">
        <v>432</v>
      </c>
      <c r="O1454" s="109" t="s">
        <v>432</v>
      </c>
      <c r="P1454" s="109" t="s">
        <v>432</v>
      </c>
      <c r="Q1454" s="109" t="s">
        <v>432</v>
      </c>
      <c r="R1454" s="109" t="s">
        <v>432</v>
      </c>
      <c r="S1454" s="109" t="s">
        <v>2209</v>
      </c>
      <c r="T1454" s="109" t="s">
        <v>432</v>
      </c>
      <c r="U1454" s="109" t="s">
        <v>432</v>
      </c>
      <c r="V1454" s="109" t="s">
        <v>2209</v>
      </c>
      <c r="W1454" s="109" t="s">
        <v>432</v>
      </c>
      <c r="X1454" s="109" t="s">
        <v>432</v>
      </c>
      <c r="Y1454" s="109" t="s">
        <v>432</v>
      </c>
      <c r="Z1454" s="109" t="s">
        <v>432</v>
      </c>
      <c r="AA1454" s="109" t="s">
        <v>432</v>
      </c>
      <c r="AB1454" s="109" t="s">
        <v>432</v>
      </c>
      <c r="AC1454" s="110">
        <v>201</v>
      </c>
      <c r="AD1454" s="109" t="s">
        <v>432</v>
      </c>
      <c r="AE1454" s="109" t="s">
        <v>432</v>
      </c>
      <c r="AF1454" s="109" t="s">
        <v>432</v>
      </c>
      <c r="AG1454" s="109" t="s">
        <v>432</v>
      </c>
      <c r="AH1454" s="93">
        <v>211</v>
      </c>
      <c r="AI1454" s="107" t="s">
        <v>432</v>
      </c>
      <c r="AJ1454" s="107" t="s">
        <v>432</v>
      </c>
      <c r="AK1454" s="137"/>
      <c r="AL1454" s="601" t="s">
        <v>432</v>
      </c>
      <c r="AM1454" s="137"/>
      <c r="AN1454" s="137"/>
      <c r="AO1454" s="137"/>
      <c r="AP1454" s="137"/>
      <c r="AQ1454" s="137"/>
      <c r="AR1454" s="137"/>
      <c r="AS1454" s="137"/>
      <c r="AT1454" s="137"/>
      <c r="AU1454" s="137"/>
      <c r="AV1454" s="137" t="s">
        <v>432</v>
      </c>
      <c r="AW1454" s="137" t="s">
        <v>432</v>
      </c>
      <c r="AX1454" s="137" t="s">
        <v>432</v>
      </c>
      <c r="AY1454" s="137" t="s">
        <v>432</v>
      </c>
      <c r="AZ1454" s="137" t="s">
        <v>432</v>
      </c>
      <c r="BA1454" s="137" t="s">
        <v>432</v>
      </c>
      <c r="BB1454" s="239" t="str">
        <f t="shared" si="391"/>
        <v>Sinalização semafóricax</v>
      </c>
      <c r="BC1454" s="239" t="str">
        <f t="shared" si="392"/>
        <v>Sinalização semafóricaxbenchmarking</v>
      </c>
      <c r="BD1454" s="239" t="str">
        <f t="shared" si="393"/>
        <v>Sinalização semafóricabenchmarking</v>
      </c>
    </row>
    <row r="1455" spans="1:56" s="1" customFormat="1" ht="63" x14ac:dyDescent="0.25">
      <c r="A1455" s="275" t="str">
        <f>'Q100b-totais'!$B$68</f>
        <v>9.5</v>
      </c>
      <c r="B1455" s="1205" t="str">
        <f>'Q100b-totais'!$C$68</f>
        <v>Sinalização semafórica</v>
      </c>
      <c r="C1455" s="167" t="s">
        <v>432</v>
      </c>
      <c r="D1455" s="896" t="s">
        <v>1012</v>
      </c>
      <c r="E1455" s="1530" t="s">
        <v>2802</v>
      </c>
      <c r="F1455" s="286" t="s">
        <v>2744</v>
      </c>
      <c r="G1455" s="110" t="s">
        <v>77</v>
      </c>
      <c r="H1455" s="221" t="s">
        <v>819</v>
      </c>
      <c r="I1455" s="167" t="s">
        <v>432</v>
      </c>
      <c r="J1455" s="109" t="s">
        <v>432</v>
      </c>
      <c r="K1455" s="109" t="s">
        <v>432</v>
      </c>
      <c r="L1455" s="109" t="s">
        <v>432</v>
      </c>
      <c r="M1455" s="109" t="s">
        <v>432</v>
      </c>
      <c r="N1455" s="109" t="s">
        <v>432</v>
      </c>
      <c r="O1455" s="109" t="s">
        <v>432</v>
      </c>
      <c r="P1455" s="109" t="s">
        <v>432</v>
      </c>
      <c r="Q1455" s="109" t="s">
        <v>432</v>
      </c>
      <c r="R1455" s="109" t="s">
        <v>432</v>
      </c>
      <c r="S1455" s="109" t="s">
        <v>2209</v>
      </c>
      <c r="T1455" s="109" t="s">
        <v>432</v>
      </c>
      <c r="U1455" s="109" t="s">
        <v>432</v>
      </c>
      <c r="V1455" s="109" t="s">
        <v>2209</v>
      </c>
      <c r="W1455" s="109" t="s">
        <v>432</v>
      </c>
      <c r="X1455" s="109" t="s">
        <v>432</v>
      </c>
      <c r="Y1455" s="109" t="s">
        <v>432</v>
      </c>
      <c r="Z1455" s="109" t="s">
        <v>432</v>
      </c>
      <c r="AA1455" s="109" t="s">
        <v>432</v>
      </c>
      <c r="AB1455" s="109" t="s">
        <v>432</v>
      </c>
      <c r="AC1455" s="110">
        <v>161</v>
      </c>
      <c r="AD1455" s="109" t="s">
        <v>432</v>
      </c>
      <c r="AE1455" s="109" t="s">
        <v>432</v>
      </c>
      <c r="AF1455" s="109" t="s">
        <v>432</v>
      </c>
      <c r="AG1455" s="109" t="s">
        <v>432</v>
      </c>
      <c r="AH1455" s="93">
        <v>172</v>
      </c>
      <c r="AI1455" s="107" t="s">
        <v>432</v>
      </c>
      <c r="AJ1455" s="107" t="s">
        <v>432</v>
      </c>
      <c r="AK1455" s="137"/>
      <c r="AL1455" s="601" t="s">
        <v>432</v>
      </c>
      <c r="AM1455" s="137"/>
      <c r="AN1455" s="137"/>
      <c r="AO1455" s="137"/>
      <c r="AP1455" s="137"/>
      <c r="AQ1455" s="137"/>
      <c r="AR1455" s="137"/>
      <c r="AS1455" s="137"/>
      <c r="AT1455" s="137"/>
      <c r="AU1455" s="137"/>
      <c r="AV1455" s="137" t="s">
        <v>432</v>
      </c>
      <c r="AW1455" s="137" t="s">
        <v>432</v>
      </c>
      <c r="AX1455" s="137" t="s">
        <v>432</v>
      </c>
      <c r="AY1455" s="137" t="s">
        <v>432</v>
      </c>
      <c r="AZ1455" s="137" t="s">
        <v>432</v>
      </c>
      <c r="BA1455" s="137" t="s">
        <v>432</v>
      </c>
      <c r="BB1455" s="239" t="str">
        <f t="shared" si="391"/>
        <v>Sinalização semafóricax</v>
      </c>
      <c r="BC1455" s="239" t="str">
        <f t="shared" si="392"/>
        <v>Sinalização semafóricaxbenchmarking</v>
      </c>
      <c r="BD1455" s="239" t="str">
        <f t="shared" si="393"/>
        <v>Sinalização semafóricabenchmarking</v>
      </c>
    </row>
    <row r="1456" spans="1:56" s="1" customFormat="1" ht="63" x14ac:dyDescent="0.25">
      <c r="A1456" s="275" t="str">
        <f>'Q100b-totais'!$B$68</f>
        <v>9.5</v>
      </c>
      <c r="B1456" s="1205" t="str">
        <f>'Q100b-totais'!$C$68</f>
        <v>Sinalização semafórica</v>
      </c>
      <c r="C1456" s="167" t="s">
        <v>432</v>
      </c>
      <c r="D1456" s="896" t="s">
        <v>1012</v>
      </c>
      <c r="E1456" s="1530" t="s">
        <v>2803</v>
      </c>
      <c r="F1456" s="286" t="s">
        <v>2745</v>
      </c>
      <c r="G1456" s="110" t="s">
        <v>77</v>
      </c>
      <c r="H1456" s="221" t="s">
        <v>819</v>
      </c>
      <c r="I1456" s="167" t="s">
        <v>432</v>
      </c>
      <c r="J1456" s="109" t="s">
        <v>432</v>
      </c>
      <c r="K1456" s="109" t="s">
        <v>432</v>
      </c>
      <c r="L1456" s="109" t="s">
        <v>432</v>
      </c>
      <c r="M1456" s="109" t="s">
        <v>432</v>
      </c>
      <c r="N1456" s="109" t="s">
        <v>432</v>
      </c>
      <c r="O1456" s="109" t="s">
        <v>432</v>
      </c>
      <c r="P1456" s="109" t="s">
        <v>432</v>
      </c>
      <c r="Q1456" s="109" t="s">
        <v>432</v>
      </c>
      <c r="R1456" s="109" t="s">
        <v>432</v>
      </c>
      <c r="S1456" s="109" t="s">
        <v>2209</v>
      </c>
      <c r="T1456" s="109" t="s">
        <v>432</v>
      </c>
      <c r="U1456" s="109" t="s">
        <v>432</v>
      </c>
      <c r="V1456" s="109" t="s">
        <v>2209</v>
      </c>
      <c r="W1456" s="109" t="s">
        <v>432</v>
      </c>
      <c r="X1456" s="109" t="s">
        <v>432</v>
      </c>
      <c r="Y1456" s="109" t="s">
        <v>432</v>
      </c>
      <c r="Z1456" s="109" t="s">
        <v>432</v>
      </c>
      <c r="AA1456" s="109" t="s">
        <v>432</v>
      </c>
      <c r="AB1456" s="109" t="s">
        <v>432</v>
      </c>
      <c r="AC1456" s="110">
        <v>135</v>
      </c>
      <c r="AD1456" s="109" t="s">
        <v>432</v>
      </c>
      <c r="AE1456" s="109" t="s">
        <v>432</v>
      </c>
      <c r="AF1456" s="109" t="s">
        <v>432</v>
      </c>
      <c r="AG1456" s="109" t="s">
        <v>432</v>
      </c>
      <c r="AH1456" s="93">
        <v>157</v>
      </c>
      <c r="AI1456" s="107" t="s">
        <v>432</v>
      </c>
      <c r="AJ1456" s="107" t="s">
        <v>432</v>
      </c>
      <c r="AK1456" s="137"/>
      <c r="AL1456" s="601" t="s">
        <v>432</v>
      </c>
      <c r="AM1456" s="137"/>
      <c r="AN1456" s="137"/>
      <c r="AO1456" s="137"/>
      <c r="AP1456" s="137"/>
      <c r="AQ1456" s="137"/>
      <c r="AR1456" s="137"/>
      <c r="AS1456" s="137"/>
      <c r="AT1456" s="137"/>
      <c r="AU1456" s="137"/>
      <c r="AV1456" s="137" t="s">
        <v>432</v>
      </c>
      <c r="AW1456" s="137" t="s">
        <v>432</v>
      </c>
      <c r="AX1456" s="137" t="s">
        <v>432</v>
      </c>
      <c r="AY1456" s="137" t="s">
        <v>432</v>
      </c>
      <c r="AZ1456" s="137" t="s">
        <v>432</v>
      </c>
      <c r="BA1456" s="137" t="s">
        <v>432</v>
      </c>
      <c r="BB1456" s="239" t="str">
        <f t="shared" si="391"/>
        <v>Sinalização semafóricax</v>
      </c>
      <c r="BC1456" s="239" t="str">
        <f t="shared" si="392"/>
        <v>Sinalização semafóricaxbenchmarking</v>
      </c>
      <c r="BD1456" s="239" t="str">
        <f t="shared" si="393"/>
        <v>Sinalização semafóricabenchmarking</v>
      </c>
    </row>
    <row r="1457" spans="1:56" s="1" customFormat="1" ht="63" x14ac:dyDescent="0.25">
      <c r="A1457" s="275" t="str">
        <f>'Q100b-totais'!$B$68</f>
        <v>9.5</v>
      </c>
      <c r="B1457" s="1205" t="str">
        <f>'Q100b-totais'!$C$68</f>
        <v>Sinalização semafórica</v>
      </c>
      <c r="C1457" s="167" t="s">
        <v>432</v>
      </c>
      <c r="D1457" s="896" t="s">
        <v>1012</v>
      </c>
      <c r="E1457" s="1530" t="s">
        <v>1767</v>
      </c>
      <c r="F1457" s="286" t="s">
        <v>2746</v>
      </c>
      <c r="G1457" s="110" t="s">
        <v>77</v>
      </c>
      <c r="H1457" s="221" t="s">
        <v>819</v>
      </c>
      <c r="I1457" s="167" t="s">
        <v>432</v>
      </c>
      <c r="J1457" s="109" t="s">
        <v>432</v>
      </c>
      <c r="K1457" s="109" t="s">
        <v>432</v>
      </c>
      <c r="L1457" s="109" t="s">
        <v>432</v>
      </c>
      <c r="M1457" s="109" t="s">
        <v>432</v>
      </c>
      <c r="N1457" s="109" t="s">
        <v>432</v>
      </c>
      <c r="O1457" s="109" t="s">
        <v>432</v>
      </c>
      <c r="P1457" s="109" t="s">
        <v>432</v>
      </c>
      <c r="Q1457" s="109" t="s">
        <v>432</v>
      </c>
      <c r="R1457" s="109" t="s">
        <v>432</v>
      </c>
      <c r="S1457" s="109" t="s">
        <v>2209</v>
      </c>
      <c r="T1457" s="109" t="s">
        <v>432</v>
      </c>
      <c r="U1457" s="109" t="s">
        <v>432</v>
      </c>
      <c r="V1457" s="109" t="s">
        <v>2209</v>
      </c>
      <c r="W1457" s="109" t="s">
        <v>432</v>
      </c>
      <c r="X1457" s="109" t="s">
        <v>432</v>
      </c>
      <c r="Y1457" s="109" t="s">
        <v>432</v>
      </c>
      <c r="Z1457" s="109" t="s">
        <v>432</v>
      </c>
      <c r="AA1457" s="109" t="s">
        <v>432</v>
      </c>
      <c r="AB1457" s="109" t="s">
        <v>432</v>
      </c>
      <c r="AC1457" s="110">
        <v>261</v>
      </c>
      <c r="AD1457" s="109" t="s">
        <v>432</v>
      </c>
      <c r="AE1457" s="109" t="s">
        <v>432</v>
      </c>
      <c r="AF1457" s="109" t="s">
        <v>432</v>
      </c>
      <c r="AG1457" s="109" t="s">
        <v>432</v>
      </c>
      <c r="AH1457" s="93">
        <v>279</v>
      </c>
      <c r="AI1457" s="107" t="s">
        <v>432</v>
      </c>
      <c r="AJ1457" s="107" t="s">
        <v>432</v>
      </c>
      <c r="AK1457" s="137"/>
      <c r="AL1457" s="601" t="s">
        <v>432</v>
      </c>
      <c r="AM1457" s="137"/>
      <c r="AN1457" s="137"/>
      <c r="AO1457" s="137"/>
      <c r="AP1457" s="137"/>
      <c r="AQ1457" s="137"/>
      <c r="AR1457" s="137"/>
      <c r="AS1457" s="137"/>
      <c r="AT1457" s="137"/>
      <c r="AU1457" s="137"/>
      <c r="AV1457" s="137" t="s">
        <v>432</v>
      </c>
      <c r="AW1457" s="137" t="s">
        <v>432</v>
      </c>
      <c r="AX1457" s="137" t="s">
        <v>432</v>
      </c>
      <c r="AY1457" s="137" t="s">
        <v>432</v>
      </c>
      <c r="AZ1457" s="137" t="s">
        <v>432</v>
      </c>
      <c r="BA1457" s="137" t="s">
        <v>432</v>
      </c>
      <c r="BB1457" s="239" t="str">
        <f t="shared" si="391"/>
        <v>Sinalização semafóricax</v>
      </c>
      <c r="BC1457" s="239" t="str">
        <f t="shared" si="392"/>
        <v>Sinalização semafóricaxbenchmarking</v>
      </c>
      <c r="BD1457" s="239" t="str">
        <f t="shared" si="393"/>
        <v>Sinalização semafóricabenchmarking</v>
      </c>
    </row>
    <row r="1458" spans="1:56" s="1" customFormat="1" ht="65.25" customHeight="1" x14ac:dyDescent="0.25">
      <c r="A1458" s="275" t="str">
        <f>'Q100b-totais'!$B$57</f>
        <v>8.5</v>
      </c>
      <c r="B1458" s="54" t="str">
        <f>'Q100b-totais'!$C$57</f>
        <v>Transporte convencional</v>
      </c>
      <c r="C1458" s="230" t="s">
        <v>432</v>
      </c>
      <c r="D1458" s="901" t="s">
        <v>952</v>
      </c>
      <c r="E1458" s="1498" t="s">
        <v>1306</v>
      </c>
      <c r="F1458" s="102" t="s">
        <v>2808</v>
      </c>
      <c r="G1458" s="58" t="s">
        <v>963</v>
      </c>
      <c r="H1458" s="173" t="s">
        <v>432</v>
      </c>
      <c r="I1458" s="167">
        <v>1</v>
      </c>
      <c r="J1458" s="107" t="s">
        <v>432</v>
      </c>
      <c r="K1458" s="107" t="s">
        <v>432</v>
      </c>
      <c r="L1458" s="107" t="s">
        <v>432</v>
      </c>
      <c r="M1458" s="84">
        <v>2.95</v>
      </c>
      <c r="N1458" s="84">
        <v>3.22</v>
      </c>
      <c r="O1458" s="84">
        <v>3.11</v>
      </c>
      <c r="P1458" s="64">
        <f>P1725/P2152</f>
        <v>3.0450636382446858</v>
      </c>
      <c r="Q1458" s="64">
        <f>Q1725/Q2152</f>
        <v>2.881640200097074</v>
      </c>
      <c r="R1458" s="64">
        <f>R1725/R2152</f>
        <v>2.6066613260012885</v>
      </c>
      <c r="S1458" s="109" t="s">
        <v>2209</v>
      </c>
      <c r="T1458" s="64">
        <f>T1725/T2152</f>
        <v>2.4128755596973721</v>
      </c>
      <c r="U1458" s="64">
        <f>U1725/U2152</f>
        <v>2.2363282417879344</v>
      </c>
      <c r="V1458" s="109" t="s">
        <v>2209</v>
      </c>
      <c r="W1458" s="64">
        <f t="shared" ref="W1458:AK1458" si="395">W1725/W2152</f>
        <v>2.072038760385968</v>
      </c>
      <c r="X1458" s="64">
        <f t="shared" si="395"/>
        <v>2.0967144378688372</v>
      </c>
      <c r="Y1458" s="64">
        <f t="shared" si="395"/>
        <v>2.0823869873004748</v>
      </c>
      <c r="Z1458" s="64">
        <f t="shared" si="395"/>
        <v>2.1813061636376001</v>
      </c>
      <c r="AA1458" s="64">
        <f t="shared" si="395"/>
        <v>2.2462708926472423</v>
      </c>
      <c r="AB1458" s="64">
        <f t="shared" si="395"/>
        <v>2.2932298934597095</v>
      </c>
      <c r="AC1458" s="64">
        <f t="shared" si="395"/>
        <v>2.2880753360686863</v>
      </c>
      <c r="AD1458" s="64">
        <f t="shared" si="395"/>
        <v>2.262214313961747</v>
      </c>
      <c r="AE1458" s="64">
        <f t="shared" si="395"/>
        <v>2.2613529214419628</v>
      </c>
      <c r="AF1458" s="64">
        <f t="shared" si="395"/>
        <v>2.4463643654456222</v>
      </c>
      <c r="AG1458" s="64">
        <f t="shared" si="395"/>
        <v>2.4569652179674049</v>
      </c>
      <c r="AH1458" s="64">
        <f t="shared" si="395"/>
        <v>2.4441166210705987</v>
      </c>
      <c r="AI1458" s="64" t="e">
        <f t="shared" si="395"/>
        <v>#VALUE!</v>
      </c>
      <c r="AJ1458" s="64" t="e">
        <f t="shared" si="395"/>
        <v>#VALUE!</v>
      </c>
      <c r="AK1458" s="64" t="e">
        <f t="shared" si="395"/>
        <v>#VALUE!</v>
      </c>
      <c r="AL1458" s="601" t="s">
        <v>432</v>
      </c>
      <c r="AM1458" s="137" t="s">
        <v>432</v>
      </c>
      <c r="AN1458" s="137" t="s">
        <v>432</v>
      </c>
      <c r="AO1458" s="137" t="s">
        <v>432</v>
      </c>
      <c r="AP1458" s="137" t="s">
        <v>432</v>
      </c>
      <c r="AQ1458" s="137" t="s">
        <v>432</v>
      </c>
      <c r="AR1458" s="137" t="s">
        <v>432</v>
      </c>
      <c r="AS1458" s="137" t="s">
        <v>432</v>
      </c>
      <c r="AT1458" s="137" t="s">
        <v>432</v>
      </c>
      <c r="AU1458" s="137" t="s">
        <v>432</v>
      </c>
      <c r="AV1458" s="137" t="s">
        <v>432</v>
      </c>
      <c r="AW1458" s="137" t="s">
        <v>432</v>
      </c>
      <c r="AX1458" s="137" t="s">
        <v>432</v>
      </c>
      <c r="AY1458" s="137" t="s">
        <v>432</v>
      </c>
      <c r="AZ1458" s="137" t="s">
        <v>432</v>
      </c>
      <c r="BA1458" s="137" t="s">
        <v>432</v>
      </c>
      <c r="BB1458" s="239" t="str">
        <f t="shared" si="391"/>
        <v>Transporte convencionalx</v>
      </c>
      <c r="BC1458" s="239" t="str">
        <f t="shared" si="392"/>
        <v>Transporte convencionalxx</v>
      </c>
      <c r="BD1458" s="239" t="str">
        <f t="shared" si="393"/>
        <v>Transporte convencionalx</v>
      </c>
    </row>
    <row r="1459" spans="1:56" s="1" customFormat="1" ht="76.5" customHeight="1" x14ac:dyDescent="0.25">
      <c r="A1459" s="275" t="str">
        <f>'Q100b-totais'!$B$64</f>
        <v>9.1</v>
      </c>
      <c r="B1459" s="1205" t="str">
        <f>'Q100b-totais'!$C$64</f>
        <v>Acidentes de trânsito</v>
      </c>
      <c r="C1459" s="57" t="s">
        <v>432</v>
      </c>
      <c r="D1459" s="324" t="s">
        <v>204</v>
      </c>
      <c r="E1459" s="254" t="s">
        <v>432</v>
      </c>
      <c r="F1459" s="11" t="s">
        <v>2809</v>
      </c>
      <c r="G1459" s="230" t="s">
        <v>3507</v>
      </c>
      <c r="H1459" s="667" t="s">
        <v>2408</v>
      </c>
      <c r="I1459" s="57" t="s">
        <v>432</v>
      </c>
      <c r="J1459" s="109" t="s">
        <v>432</v>
      </c>
      <c r="K1459" s="109" t="s">
        <v>432</v>
      </c>
      <c r="L1459" s="109" t="s">
        <v>432</v>
      </c>
      <c r="M1459" s="109" t="s">
        <v>432</v>
      </c>
      <c r="N1459" s="109" t="s">
        <v>432</v>
      </c>
      <c r="O1459" s="109" t="s">
        <v>432</v>
      </c>
      <c r="P1459" s="109" t="s">
        <v>432</v>
      </c>
      <c r="Q1459" s="109" t="s">
        <v>432</v>
      </c>
      <c r="R1459" s="109" t="s">
        <v>432</v>
      </c>
      <c r="S1459" s="109" t="s">
        <v>2209</v>
      </c>
      <c r="T1459" s="109" t="s">
        <v>432</v>
      </c>
      <c r="U1459" s="109" t="s">
        <v>432</v>
      </c>
      <c r="V1459" s="109" t="s">
        <v>2209</v>
      </c>
      <c r="W1459" s="109" t="s">
        <v>432</v>
      </c>
      <c r="X1459" s="109" t="s">
        <v>432</v>
      </c>
      <c r="Y1459" s="109" t="s">
        <v>432</v>
      </c>
      <c r="Z1459" s="109" t="s">
        <v>432</v>
      </c>
      <c r="AA1459" s="109" t="s">
        <v>432</v>
      </c>
      <c r="AB1459" s="109" t="s">
        <v>432</v>
      </c>
      <c r="AC1459" s="109" t="s">
        <v>432</v>
      </c>
      <c r="AD1459" s="109" t="s">
        <v>432</v>
      </c>
      <c r="AE1459" s="109" t="s">
        <v>432</v>
      </c>
      <c r="AF1459" s="109" t="s">
        <v>432</v>
      </c>
      <c r="AG1459" s="109" t="s">
        <v>432</v>
      </c>
      <c r="AH1459" s="109" t="s">
        <v>432</v>
      </c>
      <c r="AI1459" s="109" t="s">
        <v>432</v>
      </c>
      <c r="AJ1459" s="109" t="s">
        <v>432</v>
      </c>
      <c r="AK1459" s="137" t="s">
        <v>432</v>
      </c>
      <c r="AL1459" s="601" t="s">
        <v>432</v>
      </c>
      <c r="AM1459" s="137" t="s">
        <v>432</v>
      </c>
      <c r="AN1459" s="137" t="s">
        <v>432</v>
      </c>
      <c r="AO1459" s="137" t="s">
        <v>432</v>
      </c>
      <c r="AP1459" s="137" t="s">
        <v>432</v>
      </c>
      <c r="AQ1459" s="137" t="s">
        <v>432</v>
      </c>
      <c r="AR1459" s="137" t="s">
        <v>432</v>
      </c>
      <c r="AS1459" s="137" t="s">
        <v>432</v>
      </c>
      <c r="AT1459" s="137" t="s">
        <v>432</v>
      </c>
      <c r="AU1459" s="137" t="s">
        <v>432</v>
      </c>
      <c r="AV1459" s="137" t="s">
        <v>432</v>
      </c>
      <c r="AW1459" s="137" t="s">
        <v>432</v>
      </c>
      <c r="AX1459" s="137" t="s">
        <v>432</v>
      </c>
      <c r="AY1459" s="137" t="s">
        <v>432</v>
      </c>
      <c r="AZ1459" s="137" t="s">
        <v>432</v>
      </c>
      <c r="BA1459" s="137" t="s">
        <v>432</v>
      </c>
      <c r="BB1459" s="239" t="str">
        <f t="shared" si="391"/>
        <v>Acidentes de trânsitox</v>
      </c>
      <c r="BC1459" s="239" t="str">
        <f t="shared" si="392"/>
        <v>Acidentes de trânsitoxsigla/verbete</v>
      </c>
      <c r="BD1459" s="239" t="str">
        <f t="shared" si="393"/>
        <v>Acidentes de trânsitosigla/verbete</v>
      </c>
    </row>
    <row r="1460" spans="1:56" s="1" customFormat="1" ht="76.5" customHeight="1" x14ac:dyDescent="0.25">
      <c r="A1460" s="275" t="str">
        <f>'Q100b-totais'!$B$64</f>
        <v>9.1</v>
      </c>
      <c r="B1460" s="1205" t="str">
        <f>'Q100b-totais'!$C$64</f>
        <v>Acidentes de trânsito</v>
      </c>
      <c r="C1460" s="57" t="s">
        <v>432</v>
      </c>
      <c r="D1460" s="324" t="s">
        <v>205</v>
      </c>
      <c r="E1460" s="254" t="s">
        <v>432</v>
      </c>
      <c r="F1460" s="11" t="s">
        <v>2810</v>
      </c>
      <c r="G1460" s="230" t="s">
        <v>3507</v>
      </c>
      <c r="H1460" s="667" t="s">
        <v>2408</v>
      </c>
      <c r="I1460" s="57" t="s">
        <v>432</v>
      </c>
      <c r="J1460" s="109" t="s">
        <v>432</v>
      </c>
      <c r="K1460" s="109" t="s">
        <v>432</v>
      </c>
      <c r="L1460" s="109" t="s">
        <v>432</v>
      </c>
      <c r="M1460" s="109" t="s">
        <v>432</v>
      </c>
      <c r="N1460" s="109" t="s">
        <v>432</v>
      </c>
      <c r="O1460" s="109" t="s">
        <v>432</v>
      </c>
      <c r="P1460" s="109" t="s">
        <v>432</v>
      </c>
      <c r="Q1460" s="109" t="s">
        <v>432</v>
      </c>
      <c r="R1460" s="109" t="s">
        <v>432</v>
      </c>
      <c r="S1460" s="109" t="s">
        <v>2209</v>
      </c>
      <c r="T1460" s="109" t="s">
        <v>432</v>
      </c>
      <c r="U1460" s="109" t="s">
        <v>432</v>
      </c>
      <c r="V1460" s="109" t="s">
        <v>2209</v>
      </c>
      <c r="W1460" s="109" t="s">
        <v>432</v>
      </c>
      <c r="X1460" s="109" t="s">
        <v>432</v>
      </c>
      <c r="Y1460" s="109" t="s">
        <v>432</v>
      </c>
      <c r="Z1460" s="109" t="s">
        <v>432</v>
      </c>
      <c r="AA1460" s="109" t="s">
        <v>432</v>
      </c>
      <c r="AB1460" s="109" t="s">
        <v>432</v>
      </c>
      <c r="AC1460" s="109" t="s">
        <v>432</v>
      </c>
      <c r="AD1460" s="109" t="s">
        <v>432</v>
      </c>
      <c r="AE1460" s="109" t="s">
        <v>432</v>
      </c>
      <c r="AF1460" s="109" t="s">
        <v>432</v>
      </c>
      <c r="AG1460" s="109" t="s">
        <v>432</v>
      </c>
      <c r="AH1460" s="109" t="s">
        <v>432</v>
      </c>
      <c r="AI1460" s="109" t="s">
        <v>432</v>
      </c>
      <c r="AJ1460" s="109" t="s">
        <v>432</v>
      </c>
      <c r="AK1460" s="137" t="s">
        <v>432</v>
      </c>
      <c r="AL1460" s="601" t="s">
        <v>432</v>
      </c>
      <c r="AM1460" s="137" t="s">
        <v>432</v>
      </c>
      <c r="AN1460" s="137" t="s">
        <v>432</v>
      </c>
      <c r="AO1460" s="137" t="s">
        <v>432</v>
      </c>
      <c r="AP1460" s="137" t="s">
        <v>432</v>
      </c>
      <c r="AQ1460" s="137" t="s">
        <v>432</v>
      </c>
      <c r="AR1460" s="137" t="s">
        <v>432</v>
      </c>
      <c r="AS1460" s="137" t="s">
        <v>432</v>
      </c>
      <c r="AT1460" s="137" t="s">
        <v>432</v>
      </c>
      <c r="AU1460" s="137" t="s">
        <v>432</v>
      </c>
      <c r="AV1460" s="137" t="s">
        <v>432</v>
      </c>
      <c r="AW1460" s="137" t="s">
        <v>432</v>
      </c>
      <c r="AX1460" s="137" t="s">
        <v>432</v>
      </c>
      <c r="AY1460" s="137" t="s">
        <v>432</v>
      </c>
      <c r="AZ1460" s="137" t="s">
        <v>432</v>
      </c>
      <c r="BA1460" s="137" t="s">
        <v>432</v>
      </c>
      <c r="BB1460" s="239" t="str">
        <f t="shared" si="391"/>
        <v>Acidentes de trânsitox</v>
      </c>
      <c r="BC1460" s="239" t="str">
        <f t="shared" si="392"/>
        <v>Acidentes de trânsitoxsigla/verbete</v>
      </c>
      <c r="BD1460" s="239" t="str">
        <f t="shared" si="393"/>
        <v>Acidentes de trânsitosigla/verbete</v>
      </c>
    </row>
    <row r="1461" spans="1:56" s="1" customFormat="1" ht="127.5" customHeight="1" x14ac:dyDescent="0.25">
      <c r="A1461" s="275" t="str">
        <f>'Q100b-totais'!$B$44</f>
        <v>5.2</v>
      </c>
      <c r="B1461" s="54" t="str">
        <f>'Q100b-totais'!$C$44</f>
        <v>Poluição do ar</v>
      </c>
      <c r="C1461" s="229" t="s">
        <v>432</v>
      </c>
      <c r="D1461" s="324" t="s">
        <v>206</v>
      </c>
      <c r="E1461" s="1402" t="s">
        <v>432</v>
      </c>
      <c r="F1461" s="14" t="s">
        <v>1302</v>
      </c>
      <c r="G1461" s="173" t="s">
        <v>1924</v>
      </c>
      <c r="H1461" s="173" t="s">
        <v>2408</v>
      </c>
      <c r="I1461" s="57" t="s">
        <v>432</v>
      </c>
      <c r="J1461" s="107" t="s">
        <v>432</v>
      </c>
      <c r="K1461" s="107" t="s">
        <v>432</v>
      </c>
      <c r="L1461" s="107" t="s">
        <v>432</v>
      </c>
      <c r="M1461" s="107" t="s">
        <v>432</v>
      </c>
      <c r="N1461" s="107" t="s">
        <v>432</v>
      </c>
      <c r="O1461" s="107" t="s">
        <v>432</v>
      </c>
      <c r="P1461" s="107" t="s">
        <v>432</v>
      </c>
      <c r="Q1461" s="107" t="s">
        <v>432</v>
      </c>
      <c r="R1461" s="107" t="s">
        <v>432</v>
      </c>
      <c r="S1461" s="109" t="s">
        <v>2209</v>
      </c>
      <c r="T1461" s="107" t="s">
        <v>432</v>
      </c>
      <c r="U1461" s="107" t="s">
        <v>432</v>
      </c>
      <c r="V1461" s="109" t="s">
        <v>2209</v>
      </c>
      <c r="W1461" s="107" t="s">
        <v>432</v>
      </c>
      <c r="X1461" s="107" t="s">
        <v>432</v>
      </c>
      <c r="Y1461" s="107" t="s">
        <v>432</v>
      </c>
      <c r="Z1461" s="107" t="s">
        <v>432</v>
      </c>
      <c r="AA1461" s="107" t="s">
        <v>432</v>
      </c>
      <c r="AB1461" s="107" t="s">
        <v>432</v>
      </c>
      <c r="AC1461" s="107" t="s">
        <v>432</v>
      </c>
      <c r="AD1461" s="107" t="s">
        <v>432</v>
      </c>
      <c r="AE1461" s="107" t="s">
        <v>432</v>
      </c>
      <c r="AF1461" s="107" t="s">
        <v>432</v>
      </c>
      <c r="AG1461" s="107" t="s">
        <v>432</v>
      </c>
      <c r="AH1461" s="107" t="s">
        <v>432</v>
      </c>
      <c r="AI1461" s="107" t="s">
        <v>432</v>
      </c>
      <c r="AJ1461" s="107" t="s">
        <v>432</v>
      </c>
      <c r="AK1461" s="137" t="s">
        <v>432</v>
      </c>
      <c r="AL1461" s="601" t="s">
        <v>432</v>
      </c>
      <c r="AM1461" s="137" t="s">
        <v>432</v>
      </c>
      <c r="AN1461" s="137" t="s">
        <v>432</v>
      </c>
      <c r="AO1461" s="137" t="s">
        <v>432</v>
      </c>
      <c r="AP1461" s="137" t="s">
        <v>432</v>
      </c>
      <c r="AQ1461" s="137" t="s">
        <v>432</v>
      </c>
      <c r="AR1461" s="137" t="s">
        <v>432</v>
      </c>
      <c r="AS1461" s="137" t="s">
        <v>432</v>
      </c>
      <c r="AT1461" s="137" t="s">
        <v>432</v>
      </c>
      <c r="AU1461" s="137" t="s">
        <v>432</v>
      </c>
      <c r="AV1461" s="137" t="s">
        <v>432</v>
      </c>
      <c r="AW1461" s="137" t="s">
        <v>432</v>
      </c>
      <c r="AX1461" s="137" t="s">
        <v>432</v>
      </c>
      <c r="AY1461" s="137" t="s">
        <v>432</v>
      </c>
      <c r="AZ1461" s="137" t="s">
        <v>432</v>
      </c>
      <c r="BA1461" s="137" t="s">
        <v>432</v>
      </c>
      <c r="BB1461" s="239" t="str">
        <f t="shared" si="391"/>
        <v>Poluição do arx</v>
      </c>
      <c r="BC1461" s="239" t="str">
        <f t="shared" si="392"/>
        <v>Poluição do arxsigla/verbete</v>
      </c>
      <c r="BD1461" s="239" t="str">
        <f t="shared" si="393"/>
        <v>Poluição do arsigla/verbete</v>
      </c>
    </row>
    <row r="1462" spans="1:56" s="1" customFormat="1" ht="114.75" customHeight="1" x14ac:dyDescent="0.25">
      <c r="A1462" s="275" t="s">
        <v>432</v>
      </c>
      <c r="B1462" s="54" t="s">
        <v>742</v>
      </c>
      <c r="C1462" s="229" t="s">
        <v>432</v>
      </c>
      <c r="D1462" s="324" t="s">
        <v>5309</v>
      </c>
      <c r="E1462" s="1402" t="s">
        <v>1306</v>
      </c>
      <c r="F1462" s="14" t="s">
        <v>5312</v>
      </c>
      <c r="G1462" s="230" t="s">
        <v>3507</v>
      </c>
      <c r="H1462" s="667" t="s">
        <v>2408</v>
      </c>
      <c r="I1462" s="57" t="s">
        <v>432</v>
      </c>
      <c r="J1462" s="109" t="s">
        <v>432</v>
      </c>
      <c r="K1462" s="109" t="s">
        <v>432</v>
      </c>
      <c r="L1462" s="109" t="s">
        <v>432</v>
      </c>
      <c r="M1462" s="109" t="s">
        <v>432</v>
      </c>
      <c r="N1462" s="109" t="s">
        <v>432</v>
      </c>
      <c r="O1462" s="109" t="s">
        <v>432</v>
      </c>
      <c r="P1462" s="109" t="s">
        <v>432</v>
      </c>
      <c r="Q1462" s="109" t="s">
        <v>432</v>
      </c>
      <c r="R1462" s="109" t="s">
        <v>432</v>
      </c>
      <c r="S1462" s="109" t="s">
        <v>2209</v>
      </c>
      <c r="T1462" s="109" t="s">
        <v>432</v>
      </c>
      <c r="U1462" s="109" t="s">
        <v>432</v>
      </c>
      <c r="V1462" s="109" t="s">
        <v>2209</v>
      </c>
      <c r="W1462" s="109" t="s">
        <v>432</v>
      </c>
      <c r="X1462" s="109" t="s">
        <v>432</v>
      </c>
      <c r="Y1462" s="109" t="s">
        <v>432</v>
      </c>
      <c r="Z1462" s="109" t="s">
        <v>432</v>
      </c>
      <c r="AA1462" s="109" t="s">
        <v>432</v>
      </c>
      <c r="AB1462" s="109" t="s">
        <v>432</v>
      </c>
      <c r="AC1462" s="109" t="s">
        <v>432</v>
      </c>
      <c r="AD1462" s="109" t="s">
        <v>432</v>
      </c>
      <c r="AE1462" s="109" t="s">
        <v>432</v>
      </c>
      <c r="AF1462" s="109" t="s">
        <v>432</v>
      </c>
      <c r="AG1462" s="109" t="s">
        <v>432</v>
      </c>
      <c r="AH1462" s="109" t="s">
        <v>432</v>
      </c>
      <c r="AI1462" s="109" t="s">
        <v>432</v>
      </c>
      <c r="AJ1462" s="109" t="s">
        <v>432</v>
      </c>
      <c r="AK1462" s="137" t="s">
        <v>432</v>
      </c>
      <c r="AL1462" s="601" t="s">
        <v>432</v>
      </c>
      <c r="AM1462" s="137" t="s">
        <v>432</v>
      </c>
      <c r="AN1462" s="137" t="s">
        <v>432</v>
      </c>
      <c r="AO1462" s="137" t="s">
        <v>432</v>
      </c>
      <c r="AP1462" s="137" t="s">
        <v>432</v>
      </c>
      <c r="AQ1462" s="137" t="s">
        <v>432</v>
      </c>
      <c r="AR1462" s="137" t="s">
        <v>432</v>
      </c>
      <c r="AS1462" s="137" t="s">
        <v>432</v>
      </c>
      <c r="AT1462" s="137" t="s">
        <v>432</v>
      </c>
      <c r="AU1462" s="137" t="s">
        <v>432</v>
      </c>
      <c r="AV1462" s="137" t="s">
        <v>432</v>
      </c>
      <c r="AW1462" s="137" t="s">
        <v>432</v>
      </c>
      <c r="AX1462" s="137" t="s">
        <v>432</v>
      </c>
      <c r="AY1462" s="137" t="s">
        <v>432</v>
      </c>
      <c r="AZ1462" s="137" t="s">
        <v>432</v>
      </c>
      <c r="BA1462" s="137" t="s">
        <v>432</v>
      </c>
      <c r="BB1462" s="239" t="str">
        <f t="shared" si="391"/>
        <v>geralx</v>
      </c>
      <c r="BC1462" s="239" t="str">
        <f t="shared" si="392"/>
        <v>geralxsigla/verbete</v>
      </c>
      <c r="BD1462" s="239" t="str">
        <f t="shared" si="393"/>
        <v>geralsigla/verbete</v>
      </c>
    </row>
    <row r="1463" spans="1:56" s="1" customFormat="1" ht="122.25" customHeight="1" x14ac:dyDescent="0.25">
      <c r="A1463" s="275" t="s">
        <v>432</v>
      </c>
      <c r="B1463" s="54" t="s">
        <v>742</v>
      </c>
      <c r="C1463" s="229" t="s">
        <v>432</v>
      </c>
      <c r="D1463" s="324" t="s">
        <v>5310</v>
      </c>
      <c r="E1463" s="1402" t="s">
        <v>1767</v>
      </c>
      <c r="F1463" s="14" t="s">
        <v>5311</v>
      </c>
      <c r="G1463" s="230" t="s">
        <v>3507</v>
      </c>
      <c r="H1463" s="667" t="s">
        <v>2408</v>
      </c>
      <c r="I1463" s="57" t="s">
        <v>432</v>
      </c>
      <c r="J1463" s="109" t="s">
        <v>432</v>
      </c>
      <c r="K1463" s="109" t="s">
        <v>432</v>
      </c>
      <c r="L1463" s="109" t="s">
        <v>432</v>
      </c>
      <c r="M1463" s="109" t="s">
        <v>432</v>
      </c>
      <c r="N1463" s="109" t="s">
        <v>432</v>
      </c>
      <c r="O1463" s="109" t="s">
        <v>432</v>
      </c>
      <c r="P1463" s="109" t="s">
        <v>432</v>
      </c>
      <c r="Q1463" s="109" t="s">
        <v>432</v>
      </c>
      <c r="R1463" s="109" t="s">
        <v>432</v>
      </c>
      <c r="S1463" s="109" t="s">
        <v>2209</v>
      </c>
      <c r="T1463" s="109" t="s">
        <v>432</v>
      </c>
      <c r="U1463" s="109" t="s">
        <v>432</v>
      </c>
      <c r="V1463" s="109" t="s">
        <v>2209</v>
      </c>
      <c r="W1463" s="109" t="s">
        <v>432</v>
      </c>
      <c r="X1463" s="109" t="s">
        <v>432</v>
      </c>
      <c r="Y1463" s="109" t="s">
        <v>432</v>
      </c>
      <c r="Z1463" s="109" t="s">
        <v>432</v>
      </c>
      <c r="AA1463" s="109" t="s">
        <v>432</v>
      </c>
      <c r="AB1463" s="109" t="s">
        <v>432</v>
      </c>
      <c r="AC1463" s="109" t="s">
        <v>432</v>
      </c>
      <c r="AD1463" s="109" t="s">
        <v>432</v>
      </c>
      <c r="AE1463" s="109" t="s">
        <v>432</v>
      </c>
      <c r="AF1463" s="109" t="s">
        <v>432</v>
      </c>
      <c r="AG1463" s="109" t="s">
        <v>432</v>
      </c>
      <c r="AH1463" s="109" t="s">
        <v>432</v>
      </c>
      <c r="AI1463" s="109" t="s">
        <v>432</v>
      </c>
      <c r="AJ1463" s="109" t="s">
        <v>432</v>
      </c>
      <c r="AK1463" s="137" t="s">
        <v>432</v>
      </c>
      <c r="AL1463" s="601" t="s">
        <v>432</v>
      </c>
      <c r="AM1463" s="137" t="s">
        <v>432</v>
      </c>
      <c r="AN1463" s="137" t="s">
        <v>432</v>
      </c>
      <c r="AO1463" s="137" t="s">
        <v>432</v>
      </c>
      <c r="AP1463" s="137" t="s">
        <v>432</v>
      </c>
      <c r="AQ1463" s="137" t="s">
        <v>432</v>
      </c>
      <c r="AR1463" s="137" t="s">
        <v>432</v>
      </c>
      <c r="AS1463" s="137" t="s">
        <v>432</v>
      </c>
      <c r="AT1463" s="137" t="s">
        <v>432</v>
      </c>
      <c r="AU1463" s="137" t="s">
        <v>432</v>
      </c>
      <c r="AV1463" s="137" t="s">
        <v>432</v>
      </c>
      <c r="AW1463" s="137" t="s">
        <v>432</v>
      </c>
      <c r="AX1463" s="137" t="s">
        <v>432</v>
      </c>
      <c r="AY1463" s="137" t="s">
        <v>432</v>
      </c>
      <c r="AZ1463" s="137" t="s">
        <v>432</v>
      </c>
      <c r="BA1463" s="137" t="s">
        <v>432</v>
      </c>
      <c r="BB1463" s="239" t="str">
        <f t="shared" si="391"/>
        <v>geralx</v>
      </c>
      <c r="BC1463" s="239" t="str">
        <f t="shared" si="392"/>
        <v>geralxsigla/verbete</v>
      </c>
      <c r="BD1463" s="239" t="str">
        <f t="shared" si="393"/>
        <v>geralsigla/verbete</v>
      </c>
    </row>
    <row r="1464" spans="1:56" s="1" customFormat="1" ht="86.25" customHeight="1" x14ac:dyDescent="0.25">
      <c r="A1464" s="275" t="str">
        <f>'Q100b-totais'!$B$11</f>
        <v>1.2</v>
      </c>
      <c r="B1464" s="54" t="str">
        <f>'Q100b-totais'!$C$11</f>
        <v>Atendimento ao usuário em geral</v>
      </c>
      <c r="C1464" s="57" t="s">
        <v>432</v>
      </c>
      <c r="D1464" s="939" t="s">
        <v>1887</v>
      </c>
      <c r="E1464" s="509" t="s">
        <v>1306</v>
      </c>
      <c r="F1464" s="11" t="s">
        <v>1943</v>
      </c>
      <c r="G1464" s="5" t="s">
        <v>1886</v>
      </c>
      <c r="H1464" s="444" t="s">
        <v>678</v>
      </c>
      <c r="I1464" s="57">
        <v>1</v>
      </c>
      <c r="J1464" s="109" t="s">
        <v>432</v>
      </c>
      <c r="K1464" s="110" t="s">
        <v>432</v>
      </c>
      <c r="L1464" s="110" t="s">
        <v>432</v>
      </c>
      <c r="M1464" s="110" t="s">
        <v>432</v>
      </c>
      <c r="N1464" s="110" t="s">
        <v>432</v>
      </c>
      <c r="O1464" s="110" t="s">
        <v>432</v>
      </c>
      <c r="P1464" s="110" t="s">
        <v>432</v>
      </c>
      <c r="Q1464" s="110" t="s">
        <v>432</v>
      </c>
      <c r="R1464" s="110" t="s">
        <v>432</v>
      </c>
      <c r="S1464" s="109" t="s">
        <v>2209</v>
      </c>
      <c r="T1464" s="110" t="s">
        <v>432</v>
      </c>
      <c r="U1464" s="110" t="s">
        <v>432</v>
      </c>
      <c r="V1464" s="109" t="s">
        <v>2209</v>
      </c>
      <c r="W1464" s="110" t="s">
        <v>432</v>
      </c>
      <c r="X1464" s="110" t="s">
        <v>432</v>
      </c>
      <c r="Y1464" s="110" t="s">
        <v>432</v>
      </c>
      <c r="Z1464" s="110" t="s">
        <v>432</v>
      </c>
      <c r="AA1464" s="110" t="s">
        <v>432</v>
      </c>
      <c r="AB1464" s="110" t="s">
        <v>432</v>
      </c>
      <c r="AC1464" s="110" t="s">
        <v>432</v>
      </c>
      <c r="AD1464" s="110" t="s">
        <v>432</v>
      </c>
      <c r="AE1464" s="110" t="s">
        <v>432</v>
      </c>
      <c r="AF1464" s="110" t="s">
        <v>432</v>
      </c>
      <c r="AG1464" s="110" t="s">
        <v>432</v>
      </c>
      <c r="AH1464" s="110" t="s">
        <v>432</v>
      </c>
      <c r="AI1464" s="110" t="s">
        <v>432</v>
      </c>
      <c r="AJ1464" s="110" t="s">
        <v>432</v>
      </c>
      <c r="AK1464" s="137" t="s">
        <v>432</v>
      </c>
      <c r="AL1464" s="601" t="s">
        <v>432</v>
      </c>
      <c r="AM1464" s="137" t="s">
        <v>432</v>
      </c>
      <c r="AN1464" s="137" t="s">
        <v>432</v>
      </c>
      <c r="AO1464" s="137" t="s">
        <v>432</v>
      </c>
      <c r="AP1464" s="137" t="s">
        <v>432</v>
      </c>
      <c r="AQ1464" s="137" t="s">
        <v>432</v>
      </c>
      <c r="AR1464" s="137" t="s">
        <v>432</v>
      </c>
      <c r="AS1464" s="137" t="s">
        <v>432</v>
      </c>
      <c r="AT1464" s="137" t="s">
        <v>432</v>
      </c>
      <c r="AU1464" s="137" t="s">
        <v>432</v>
      </c>
      <c r="AV1464" s="137" t="s">
        <v>432</v>
      </c>
      <c r="AW1464" s="137" t="s">
        <v>432</v>
      </c>
      <c r="AX1464" s="137" t="s">
        <v>432</v>
      </c>
      <c r="AY1464" s="137" t="s">
        <v>432</v>
      </c>
      <c r="AZ1464" s="137" t="s">
        <v>432</v>
      </c>
      <c r="BA1464" s="137" t="s">
        <v>432</v>
      </c>
      <c r="BB1464" s="239" t="str">
        <f t="shared" si="391"/>
        <v>Atendimento ao usuário em geralx</v>
      </c>
      <c r="BC1464" s="239" t="str">
        <f t="shared" si="392"/>
        <v>Atendimento ao usuário em geralxainda não incorporado ao SisMob-BH</v>
      </c>
      <c r="BD1464" s="239" t="str">
        <f t="shared" si="393"/>
        <v>Atendimento ao usuário em geralainda não incorporado ao SisMob-BH</v>
      </c>
    </row>
    <row r="1465" spans="1:56" s="1" customFormat="1" ht="114.75" customHeight="1" x14ac:dyDescent="0.25">
      <c r="A1465" s="275" t="str">
        <f>'Q100b-totais'!$B$11</f>
        <v>1.2</v>
      </c>
      <c r="B1465" s="54" t="str">
        <f>'Q100b-totais'!$C$11</f>
        <v>Atendimento ao usuário em geral</v>
      </c>
      <c r="C1465" s="57" t="s">
        <v>432</v>
      </c>
      <c r="D1465" s="939" t="s">
        <v>207</v>
      </c>
      <c r="E1465" s="509" t="s">
        <v>432</v>
      </c>
      <c r="F1465" s="11" t="s">
        <v>1944</v>
      </c>
      <c r="G1465" s="57" t="s">
        <v>1925</v>
      </c>
      <c r="H1465" s="173" t="s">
        <v>2408</v>
      </c>
      <c r="I1465" s="57" t="s">
        <v>432</v>
      </c>
      <c r="J1465" s="109" t="s">
        <v>432</v>
      </c>
      <c r="K1465" s="110" t="s">
        <v>432</v>
      </c>
      <c r="L1465" s="110" t="s">
        <v>432</v>
      </c>
      <c r="M1465" s="110" t="s">
        <v>432</v>
      </c>
      <c r="N1465" s="110" t="s">
        <v>432</v>
      </c>
      <c r="O1465" s="110" t="s">
        <v>432</v>
      </c>
      <c r="P1465" s="110" t="s">
        <v>432</v>
      </c>
      <c r="Q1465" s="110" t="s">
        <v>432</v>
      </c>
      <c r="R1465" s="110" t="s">
        <v>432</v>
      </c>
      <c r="S1465" s="109" t="s">
        <v>2209</v>
      </c>
      <c r="T1465" s="110" t="s">
        <v>432</v>
      </c>
      <c r="U1465" s="110" t="s">
        <v>432</v>
      </c>
      <c r="V1465" s="109" t="s">
        <v>2209</v>
      </c>
      <c r="W1465" s="110" t="s">
        <v>432</v>
      </c>
      <c r="X1465" s="110" t="s">
        <v>432</v>
      </c>
      <c r="Y1465" s="110" t="s">
        <v>432</v>
      </c>
      <c r="Z1465" s="110" t="s">
        <v>432</v>
      </c>
      <c r="AA1465" s="110" t="s">
        <v>432</v>
      </c>
      <c r="AB1465" s="110" t="s">
        <v>432</v>
      </c>
      <c r="AC1465" s="110" t="s">
        <v>432</v>
      </c>
      <c r="AD1465" s="110" t="s">
        <v>432</v>
      </c>
      <c r="AE1465" s="110" t="s">
        <v>432</v>
      </c>
      <c r="AF1465" s="110" t="s">
        <v>432</v>
      </c>
      <c r="AG1465" s="110" t="s">
        <v>432</v>
      </c>
      <c r="AH1465" s="110" t="s">
        <v>432</v>
      </c>
      <c r="AI1465" s="110" t="s">
        <v>432</v>
      </c>
      <c r="AJ1465" s="110" t="s">
        <v>432</v>
      </c>
      <c r="AK1465" s="137" t="s">
        <v>432</v>
      </c>
      <c r="AL1465" s="601" t="s">
        <v>432</v>
      </c>
      <c r="AM1465" s="137" t="s">
        <v>432</v>
      </c>
      <c r="AN1465" s="137" t="s">
        <v>432</v>
      </c>
      <c r="AO1465" s="137" t="s">
        <v>432</v>
      </c>
      <c r="AP1465" s="137" t="s">
        <v>432</v>
      </c>
      <c r="AQ1465" s="137" t="s">
        <v>432</v>
      </c>
      <c r="AR1465" s="137" t="s">
        <v>432</v>
      </c>
      <c r="AS1465" s="137" t="s">
        <v>432</v>
      </c>
      <c r="AT1465" s="137" t="s">
        <v>432</v>
      </c>
      <c r="AU1465" s="137" t="s">
        <v>432</v>
      </c>
      <c r="AV1465" s="137" t="s">
        <v>432</v>
      </c>
      <c r="AW1465" s="137" t="s">
        <v>432</v>
      </c>
      <c r="AX1465" s="137" t="s">
        <v>432</v>
      </c>
      <c r="AY1465" s="137" t="s">
        <v>432</v>
      </c>
      <c r="AZ1465" s="137" t="s">
        <v>432</v>
      </c>
      <c r="BA1465" s="137" t="s">
        <v>432</v>
      </c>
      <c r="BB1465" s="239" t="str">
        <f t="shared" si="391"/>
        <v>Atendimento ao usuário em geralx</v>
      </c>
      <c r="BC1465" s="239" t="str">
        <f t="shared" si="392"/>
        <v>Atendimento ao usuário em geralxsigla/verbete</v>
      </c>
      <c r="BD1465" s="239" t="str">
        <f t="shared" si="393"/>
        <v>Atendimento ao usuário em geralsigla/verbete</v>
      </c>
    </row>
    <row r="1466" spans="1:56" s="1" customFormat="1" ht="114.75" customHeight="1" x14ac:dyDescent="0.25">
      <c r="A1466" s="275" t="str">
        <f>'Q100b-totais'!B11</f>
        <v>1.2</v>
      </c>
      <c r="B1466" s="54" t="str">
        <f>'Q100b-totais'!C11</f>
        <v>Atendimento ao usuário em geral</v>
      </c>
      <c r="C1466" s="230"/>
      <c r="D1466" s="939" t="s">
        <v>208</v>
      </c>
      <c r="E1466" s="509" t="s">
        <v>432</v>
      </c>
      <c r="F1466" s="11" t="s">
        <v>1945</v>
      </c>
      <c r="G1466" s="5" t="s">
        <v>1892</v>
      </c>
      <c r="H1466" s="444" t="s">
        <v>678</v>
      </c>
      <c r="I1466" s="57">
        <v>1</v>
      </c>
      <c r="J1466" s="107" t="s">
        <v>432</v>
      </c>
      <c r="K1466" s="107" t="s">
        <v>432</v>
      </c>
      <c r="L1466" s="107" t="s">
        <v>432</v>
      </c>
      <c r="M1466" s="107" t="s">
        <v>432</v>
      </c>
      <c r="N1466" s="107" t="s">
        <v>432</v>
      </c>
      <c r="O1466" s="107" t="s">
        <v>432</v>
      </c>
      <c r="P1466" s="107" t="s">
        <v>432</v>
      </c>
      <c r="Q1466" s="107" t="s">
        <v>432</v>
      </c>
      <c r="R1466" s="107" t="s">
        <v>432</v>
      </c>
      <c r="S1466" s="109" t="s">
        <v>2209</v>
      </c>
      <c r="T1466" s="107" t="s">
        <v>432</v>
      </c>
      <c r="U1466" s="107" t="s">
        <v>432</v>
      </c>
      <c r="V1466" s="109" t="s">
        <v>2209</v>
      </c>
      <c r="W1466" s="107" t="s">
        <v>432</v>
      </c>
      <c r="X1466" s="107" t="s">
        <v>432</v>
      </c>
      <c r="Y1466" s="107" t="s">
        <v>432</v>
      </c>
      <c r="Z1466" s="107" t="s">
        <v>432</v>
      </c>
      <c r="AA1466" s="107" t="s">
        <v>432</v>
      </c>
      <c r="AB1466" s="107" t="s">
        <v>432</v>
      </c>
      <c r="AC1466" s="107" t="s">
        <v>432</v>
      </c>
      <c r="AD1466" s="107" t="s">
        <v>432</v>
      </c>
      <c r="AE1466" s="107" t="s">
        <v>432</v>
      </c>
      <c r="AF1466" s="107" t="s">
        <v>432</v>
      </c>
      <c r="AG1466" s="107" t="s">
        <v>432</v>
      </c>
      <c r="AH1466" s="107" t="s">
        <v>432</v>
      </c>
      <c r="AI1466" s="107" t="s">
        <v>432</v>
      </c>
      <c r="AJ1466" s="107" t="s">
        <v>432</v>
      </c>
      <c r="AK1466" s="107" t="s">
        <v>432</v>
      </c>
      <c r="AL1466" s="601" t="s">
        <v>432</v>
      </c>
      <c r="AM1466" s="137" t="s">
        <v>432</v>
      </c>
      <c r="AN1466" s="137" t="s">
        <v>432</v>
      </c>
      <c r="AO1466" s="137" t="s">
        <v>432</v>
      </c>
      <c r="AP1466" s="137" t="s">
        <v>432</v>
      </c>
      <c r="AQ1466" s="137" t="s">
        <v>432</v>
      </c>
      <c r="AR1466" s="137" t="s">
        <v>432</v>
      </c>
      <c r="AS1466" s="137" t="s">
        <v>432</v>
      </c>
      <c r="AT1466" s="137" t="s">
        <v>432</v>
      </c>
      <c r="AU1466" s="137" t="s">
        <v>432</v>
      </c>
      <c r="AV1466" s="137" t="s">
        <v>432</v>
      </c>
      <c r="AW1466" s="137" t="s">
        <v>432</v>
      </c>
      <c r="AX1466" s="137" t="s">
        <v>432</v>
      </c>
      <c r="AY1466" s="137" t="s">
        <v>432</v>
      </c>
      <c r="AZ1466" s="137" t="s">
        <v>432</v>
      </c>
      <c r="BA1466" s="137" t="s">
        <v>432</v>
      </c>
      <c r="BB1466" s="239" t="str">
        <f t="shared" si="391"/>
        <v>Atendimento ao usuário em geral</v>
      </c>
      <c r="BC1466" s="239" t="str">
        <f t="shared" si="392"/>
        <v>Atendimento ao usuário em geralainda não incorporado ao SisMob-BH</v>
      </c>
      <c r="BD1466" s="239" t="str">
        <f t="shared" si="393"/>
        <v>Atendimento ao usuário em geralainda não incorporado ao SisMob-BH</v>
      </c>
    </row>
    <row r="1467" spans="1:56" ht="88.5" customHeight="1" x14ac:dyDescent="0.25">
      <c r="A1467" s="275" t="str">
        <f>'Q100b-totais'!$B$65</f>
        <v>9.2</v>
      </c>
      <c r="B1467" s="53" t="str">
        <f>'Q100b-totais'!$C$65</f>
        <v>Estacionamento</v>
      </c>
      <c r="C1467" s="229" t="s">
        <v>432</v>
      </c>
      <c r="D1467" s="325" t="s">
        <v>208</v>
      </c>
      <c r="E1467" s="1512" t="s">
        <v>432</v>
      </c>
      <c r="F1467" s="15" t="s">
        <v>3002</v>
      </c>
      <c r="G1467" s="230" t="s">
        <v>3507</v>
      </c>
      <c r="H1467" s="813" t="s">
        <v>2408</v>
      </c>
      <c r="I1467" s="167" t="s">
        <v>432</v>
      </c>
      <c r="J1467" s="107" t="s">
        <v>432</v>
      </c>
      <c r="K1467" s="107" t="s">
        <v>432</v>
      </c>
      <c r="L1467" s="107" t="s">
        <v>432</v>
      </c>
      <c r="M1467" s="107" t="s">
        <v>432</v>
      </c>
      <c r="N1467" s="107" t="s">
        <v>432</v>
      </c>
      <c r="O1467" s="107" t="s">
        <v>432</v>
      </c>
      <c r="P1467" s="107" t="s">
        <v>432</v>
      </c>
      <c r="Q1467" s="107" t="s">
        <v>432</v>
      </c>
      <c r="R1467" s="107" t="s">
        <v>432</v>
      </c>
      <c r="S1467" s="109" t="s">
        <v>2209</v>
      </c>
      <c r="T1467" s="107" t="s">
        <v>432</v>
      </c>
      <c r="U1467" s="107" t="s">
        <v>432</v>
      </c>
      <c r="V1467" s="109" t="s">
        <v>2209</v>
      </c>
      <c r="W1467" s="107" t="s">
        <v>432</v>
      </c>
      <c r="X1467" s="107" t="s">
        <v>432</v>
      </c>
      <c r="Y1467" s="107" t="s">
        <v>432</v>
      </c>
      <c r="Z1467" s="107" t="s">
        <v>432</v>
      </c>
      <c r="AA1467" s="107" t="s">
        <v>432</v>
      </c>
      <c r="AB1467" s="107" t="s">
        <v>432</v>
      </c>
      <c r="AC1467" s="107" t="s">
        <v>432</v>
      </c>
      <c r="AD1467" s="107" t="s">
        <v>432</v>
      </c>
      <c r="AE1467" s="107" t="s">
        <v>432</v>
      </c>
      <c r="AF1467" s="107" t="s">
        <v>432</v>
      </c>
      <c r="AG1467" s="107" t="s">
        <v>432</v>
      </c>
      <c r="AH1467" s="107" t="s">
        <v>432</v>
      </c>
      <c r="AI1467" s="107" t="s">
        <v>432</v>
      </c>
      <c r="AJ1467" s="107" t="s">
        <v>432</v>
      </c>
      <c r="AK1467" s="137" t="s">
        <v>432</v>
      </c>
      <c r="AL1467" s="601" t="s">
        <v>432</v>
      </c>
      <c r="AM1467" s="137" t="s">
        <v>432</v>
      </c>
      <c r="AN1467" s="137" t="s">
        <v>432</v>
      </c>
      <c r="AO1467" s="137" t="s">
        <v>432</v>
      </c>
      <c r="AP1467" s="137" t="s">
        <v>432</v>
      </c>
      <c r="AQ1467" s="137" t="s">
        <v>432</v>
      </c>
      <c r="AR1467" s="137" t="s">
        <v>432</v>
      </c>
      <c r="AS1467" s="137" t="s">
        <v>432</v>
      </c>
      <c r="AT1467" s="137" t="s">
        <v>432</v>
      </c>
      <c r="AU1467" s="137" t="s">
        <v>432</v>
      </c>
      <c r="AV1467" s="137" t="s">
        <v>432</v>
      </c>
      <c r="AW1467" s="137" t="s">
        <v>432</v>
      </c>
      <c r="AX1467" s="137" t="s">
        <v>432</v>
      </c>
      <c r="AY1467" s="137" t="s">
        <v>432</v>
      </c>
      <c r="AZ1467" s="137" t="s">
        <v>432</v>
      </c>
      <c r="BA1467" s="137" t="s">
        <v>432</v>
      </c>
      <c r="BB1467" s="239" t="str">
        <f t="shared" ref="BB1467:BB1522" si="396">B1467&amp;C1467</f>
        <v>Estacionamentox</v>
      </c>
      <c r="BC1467" s="239" t="str">
        <f t="shared" ref="BC1467:BC1522" si="397">B1467&amp;C1467&amp;H1467</f>
        <v>Estacionamentoxsigla/verbete</v>
      </c>
      <c r="BD1467" s="239" t="str">
        <f t="shared" ref="BD1467:BD1522" si="398">B1467&amp;H1467</f>
        <v>Estacionamentosigla/verbete</v>
      </c>
    </row>
    <row r="1468" spans="1:56" s="1" customFormat="1" ht="104.25" customHeight="1" x14ac:dyDescent="0.25">
      <c r="A1468" s="275" t="str">
        <f>'Q100b-totais'!$B$46</f>
        <v>5.4</v>
      </c>
      <c r="B1468" s="54" t="str">
        <f>'Q100b-totais'!$C$46</f>
        <v>Resíduos e efluentes</v>
      </c>
      <c r="C1468" s="230" t="s">
        <v>432</v>
      </c>
      <c r="D1468" s="324" t="s">
        <v>1888</v>
      </c>
      <c r="E1468" s="254" t="s">
        <v>432</v>
      </c>
      <c r="F1468" s="11" t="s">
        <v>3003</v>
      </c>
      <c r="G1468" s="230" t="s">
        <v>3507</v>
      </c>
      <c r="H1468" s="813" t="s">
        <v>2408</v>
      </c>
      <c r="I1468" s="57" t="s">
        <v>432</v>
      </c>
      <c r="J1468" s="109" t="s">
        <v>432</v>
      </c>
      <c r="K1468" s="109" t="s">
        <v>432</v>
      </c>
      <c r="L1468" s="109" t="s">
        <v>432</v>
      </c>
      <c r="M1468" s="109" t="s">
        <v>432</v>
      </c>
      <c r="N1468" s="109" t="s">
        <v>432</v>
      </c>
      <c r="O1468" s="109" t="s">
        <v>432</v>
      </c>
      <c r="P1468" s="109" t="s">
        <v>432</v>
      </c>
      <c r="Q1468" s="109" t="s">
        <v>432</v>
      </c>
      <c r="R1468" s="109" t="s">
        <v>432</v>
      </c>
      <c r="S1468" s="109" t="s">
        <v>2209</v>
      </c>
      <c r="T1468" s="109" t="s">
        <v>432</v>
      </c>
      <c r="U1468" s="109" t="s">
        <v>432</v>
      </c>
      <c r="V1468" s="109" t="s">
        <v>2209</v>
      </c>
      <c r="W1468" s="109" t="s">
        <v>432</v>
      </c>
      <c r="X1468" s="109" t="s">
        <v>432</v>
      </c>
      <c r="Y1468" s="109" t="s">
        <v>432</v>
      </c>
      <c r="Z1468" s="109" t="s">
        <v>432</v>
      </c>
      <c r="AA1468" s="109" t="s">
        <v>432</v>
      </c>
      <c r="AB1468" s="109" t="s">
        <v>432</v>
      </c>
      <c r="AC1468" s="109" t="s">
        <v>432</v>
      </c>
      <c r="AD1468" s="109" t="s">
        <v>432</v>
      </c>
      <c r="AE1468" s="109" t="s">
        <v>432</v>
      </c>
      <c r="AF1468" s="109" t="s">
        <v>432</v>
      </c>
      <c r="AG1468" s="109" t="s">
        <v>432</v>
      </c>
      <c r="AH1468" s="109" t="s">
        <v>432</v>
      </c>
      <c r="AI1468" s="109" t="s">
        <v>432</v>
      </c>
      <c r="AJ1468" s="109" t="s">
        <v>432</v>
      </c>
      <c r="AK1468" s="137" t="s">
        <v>432</v>
      </c>
      <c r="AL1468" s="601" t="s">
        <v>432</v>
      </c>
      <c r="AM1468" s="137" t="s">
        <v>432</v>
      </c>
      <c r="AN1468" s="137" t="s">
        <v>432</v>
      </c>
      <c r="AO1468" s="137" t="s">
        <v>432</v>
      </c>
      <c r="AP1468" s="137" t="s">
        <v>432</v>
      </c>
      <c r="AQ1468" s="137" t="s">
        <v>432</v>
      </c>
      <c r="AR1468" s="137" t="s">
        <v>432</v>
      </c>
      <c r="AS1468" s="137" t="s">
        <v>432</v>
      </c>
      <c r="AT1468" s="137" t="s">
        <v>432</v>
      </c>
      <c r="AU1468" s="137" t="s">
        <v>432</v>
      </c>
      <c r="AV1468" s="137" t="s">
        <v>432</v>
      </c>
      <c r="AW1468" s="137" t="s">
        <v>432</v>
      </c>
      <c r="AX1468" s="137" t="s">
        <v>432</v>
      </c>
      <c r="AY1468" s="137" t="s">
        <v>432</v>
      </c>
      <c r="AZ1468" s="137" t="s">
        <v>432</v>
      </c>
      <c r="BA1468" s="137" t="s">
        <v>432</v>
      </c>
      <c r="BB1468" s="239" t="str">
        <f t="shared" si="396"/>
        <v>Resíduos e efluentesx</v>
      </c>
      <c r="BC1468" s="239" t="str">
        <f t="shared" si="397"/>
        <v>Resíduos e efluentesxsigla/verbete</v>
      </c>
      <c r="BD1468" s="239" t="str">
        <f t="shared" si="398"/>
        <v>Resíduos e efluentessigla/verbete</v>
      </c>
    </row>
    <row r="1469" spans="1:56" s="1" customFormat="1" ht="63.75" customHeight="1" x14ac:dyDescent="0.25">
      <c r="A1469" s="275" t="str">
        <f>'Q100b-totais'!$B$68</f>
        <v>9.5</v>
      </c>
      <c r="B1469" s="1205" t="str">
        <f>'Q100b-totais'!$C$68</f>
        <v>Sinalização semafórica</v>
      </c>
      <c r="C1469" s="230" t="s">
        <v>432</v>
      </c>
      <c r="D1469" s="324" t="s">
        <v>209</v>
      </c>
      <c r="E1469" s="254" t="s">
        <v>1306</v>
      </c>
      <c r="F1469" s="11" t="s">
        <v>530</v>
      </c>
      <c r="G1469" s="58" t="s">
        <v>531</v>
      </c>
      <c r="H1469" s="173" t="s">
        <v>432</v>
      </c>
      <c r="I1469" s="57">
        <v>1</v>
      </c>
      <c r="J1469" s="107" t="s">
        <v>432</v>
      </c>
      <c r="K1469" s="58" t="s">
        <v>432</v>
      </c>
      <c r="L1469" s="58" t="s">
        <v>432</v>
      </c>
      <c r="M1469" s="58" t="s">
        <v>432</v>
      </c>
      <c r="N1469" s="58" t="s">
        <v>432</v>
      </c>
      <c r="O1469" s="58" t="s">
        <v>432</v>
      </c>
      <c r="P1469" s="58" t="s">
        <v>432</v>
      </c>
      <c r="Q1469" s="58" t="s">
        <v>432</v>
      </c>
      <c r="R1469" s="58" t="s">
        <v>432</v>
      </c>
      <c r="S1469" s="109" t="s">
        <v>2209</v>
      </c>
      <c r="T1469" s="58" t="s">
        <v>432</v>
      </c>
      <c r="U1469" s="58" t="s">
        <v>432</v>
      </c>
      <c r="V1469" s="109" t="s">
        <v>2209</v>
      </c>
      <c r="W1469" s="58" t="s">
        <v>432</v>
      </c>
      <c r="X1469" s="58" t="s">
        <v>432</v>
      </c>
      <c r="Y1469" s="72">
        <f t="shared" ref="Y1469:AJ1469" si="399">Y1473+Y1345</f>
        <v>566</v>
      </c>
      <c r="Z1469" s="72">
        <f t="shared" si="399"/>
        <v>602</v>
      </c>
      <c r="AA1469" s="72">
        <f t="shared" si="399"/>
        <v>609</v>
      </c>
      <c r="AB1469" s="72">
        <f t="shared" si="399"/>
        <v>634</v>
      </c>
      <c r="AC1469" s="72">
        <f t="shared" si="399"/>
        <v>648</v>
      </c>
      <c r="AD1469" s="72">
        <f t="shared" si="399"/>
        <v>666</v>
      </c>
      <c r="AE1469" s="72">
        <f t="shared" si="399"/>
        <v>675</v>
      </c>
      <c r="AF1469" s="72">
        <f t="shared" si="399"/>
        <v>691</v>
      </c>
      <c r="AG1469" s="72">
        <f t="shared" si="399"/>
        <v>718</v>
      </c>
      <c r="AH1469" s="72">
        <f t="shared" si="399"/>
        <v>743</v>
      </c>
      <c r="AI1469" s="72">
        <f t="shared" si="399"/>
        <v>769</v>
      </c>
      <c r="AJ1469" s="72">
        <f t="shared" si="399"/>
        <v>803</v>
      </c>
      <c r="AK1469" s="137" t="s">
        <v>432</v>
      </c>
      <c r="AL1469" s="601" t="s">
        <v>432</v>
      </c>
      <c r="AM1469" s="137" t="s">
        <v>432</v>
      </c>
      <c r="AN1469" s="137" t="s">
        <v>432</v>
      </c>
      <c r="AO1469" s="137" t="s">
        <v>432</v>
      </c>
      <c r="AP1469" s="137" t="s">
        <v>432</v>
      </c>
      <c r="AQ1469" s="137" t="s">
        <v>432</v>
      </c>
      <c r="AR1469" s="137" t="s">
        <v>432</v>
      </c>
      <c r="AS1469" s="137" t="s">
        <v>432</v>
      </c>
      <c r="AT1469" s="137" t="s">
        <v>432</v>
      </c>
      <c r="AU1469" s="137" t="s">
        <v>432</v>
      </c>
      <c r="AV1469" s="137" t="s">
        <v>432</v>
      </c>
      <c r="AW1469" s="137" t="s">
        <v>432</v>
      </c>
      <c r="AX1469" s="137" t="s">
        <v>432</v>
      </c>
      <c r="AY1469" s="137" t="s">
        <v>432</v>
      </c>
      <c r="AZ1469" s="137" t="s">
        <v>432</v>
      </c>
      <c r="BA1469" s="137" t="s">
        <v>432</v>
      </c>
      <c r="BB1469" s="239" t="str">
        <f t="shared" si="396"/>
        <v>Sinalização semafóricax</v>
      </c>
      <c r="BC1469" s="239" t="str">
        <f t="shared" si="397"/>
        <v>Sinalização semafóricaxx</v>
      </c>
      <c r="BD1469" s="239" t="str">
        <f t="shared" si="398"/>
        <v>Sinalização semafóricax</v>
      </c>
    </row>
    <row r="1470" spans="1:56" s="1" customFormat="1" ht="63.75" customHeight="1" x14ac:dyDescent="0.25">
      <c r="A1470" s="275" t="str">
        <f>'Q100b-totais'!$B$68</f>
        <v>9.5</v>
      </c>
      <c r="B1470" s="1205" t="str">
        <f>'Q100b-totais'!$C$68</f>
        <v>Sinalização semafórica</v>
      </c>
      <c r="C1470" s="230" t="s">
        <v>432</v>
      </c>
      <c r="D1470" s="324" t="s">
        <v>210</v>
      </c>
      <c r="E1470" s="254" t="s">
        <v>1306</v>
      </c>
      <c r="F1470" s="11" t="s">
        <v>532</v>
      </c>
      <c r="G1470" s="58" t="s">
        <v>533</v>
      </c>
      <c r="H1470" s="173" t="s">
        <v>432</v>
      </c>
      <c r="I1470" s="57">
        <v>1</v>
      </c>
      <c r="J1470" s="107" t="s">
        <v>432</v>
      </c>
      <c r="K1470" s="58" t="s">
        <v>432</v>
      </c>
      <c r="L1470" s="58" t="s">
        <v>432</v>
      </c>
      <c r="M1470" s="58" t="s">
        <v>432</v>
      </c>
      <c r="N1470" s="58" t="s">
        <v>432</v>
      </c>
      <c r="O1470" s="58" t="s">
        <v>432</v>
      </c>
      <c r="P1470" s="58" t="s">
        <v>432</v>
      </c>
      <c r="Q1470" s="58" t="s">
        <v>432</v>
      </c>
      <c r="R1470" s="58" t="s">
        <v>432</v>
      </c>
      <c r="S1470" s="109" t="s">
        <v>2209</v>
      </c>
      <c r="T1470" s="58" t="s">
        <v>432</v>
      </c>
      <c r="U1470" s="58" t="s">
        <v>432</v>
      </c>
      <c r="V1470" s="109" t="s">
        <v>2209</v>
      </c>
      <c r="W1470" s="58" t="s">
        <v>432</v>
      </c>
      <c r="X1470" s="58" t="s">
        <v>432</v>
      </c>
      <c r="Y1470" s="21">
        <f t="shared" ref="Y1470:AJ1470" si="400">Y1469/Y1522</f>
        <v>0.8788819875776398</v>
      </c>
      <c r="Z1470" s="21">
        <f t="shared" si="400"/>
        <v>0.86868686868686873</v>
      </c>
      <c r="AA1470" s="21">
        <f t="shared" si="400"/>
        <v>0.85654008438818563</v>
      </c>
      <c r="AB1470" s="21">
        <f t="shared" si="400"/>
        <v>0.85791610284167796</v>
      </c>
      <c r="AC1470" s="21">
        <f t="shared" si="400"/>
        <v>0.85039370078740162</v>
      </c>
      <c r="AD1470" s="21">
        <f t="shared" si="400"/>
        <v>0.84303797468354436</v>
      </c>
      <c r="AE1470" s="21">
        <f t="shared" si="400"/>
        <v>0.83128078817733986</v>
      </c>
      <c r="AF1470" s="21">
        <f t="shared" si="400"/>
        <v>0.82754491017964071</v>
      </c>
      <c r="AG1470" s="21">
        <f t="shared" si="400"/>
        <v>0.83101851851851849</v>
      </c>
      <c r="AH1470" s="21">
        <f t="shared" si="400"/>
        <v>0.82647385984427146</v>
      </c>
      <c r="AI1470" s="21">
        <f t="shared" si="400"/>
        <v>0.82777179763186226</v>
      </c>
      <c r="AJ1470" s="21">
        <f t="shared" si="400"/>
        <v>0.8261316872427984</v>
      </c>
      <c r="AK1470" s="137" t="s">
        <v>432</v>
      </c>
      <c r="AL1470" s="601" t="s">
        <v>432</v>
      </c>
      <c r="AM1470" s="137" t="s">
        <v>432</v>
      </c>
      <c r="AN1470" s="137" t="s">
        <v>432</v>
      </c>
      <c r="AO1470" s="137" t="s">
        <v>432</v>
      </c>
      <c r="AP1470" s="137" t="s">
        <v>432</v>
      </c>
      <c r="AQ1470" s="137" t="s">
        <v>432</v>
      </c>
      <c r="AR1470" s="137" t="s">
        <v>432</v>
      </c>
      <c r="AS1470" s="137" t="s">
        <v>432</v>
      </c>
      <c r="AT1470" s="137" t="s">
        <v>432</v>
      </c>
      <c r="AU1470" s="137" t="s">
        <v>432</v>
      </c>
      <c r="AV1470" s="137" t="s">
        <v>432</v>
      </c>
      <c r="AW1470" s="137" t="s">
        <v>432</v>
      </c>
      <c r="AX1470" s="137" t="s">
        <v>432</v>
      </c>
      <c r="AY1470" s="137" t="s">
        <v>432</v>
      </c>
      <c r="AZ1470" s="137" t="s">
        <v>432</v>
      </c>
      <c r="BA1470" s="137" t="s">
        <v>432</v>
      </c>
      <c r="BB1470" s="239" t="str">
        <f t="shared" si="396"/>
        <v>Sinalização semafóricax</v>
      </c>
      <c r="BC1470" s="239" t="str">
        <f t="shared" si="397"/>
        <v>Sinalização semafóricaxx</v>
      </c>
      <c r="BD1470" s="239" t="str">
        <f t="shared" si="398"/>
        <v>Sinalização semafóricax</v>
      </c>
    </row>
    <row r="1471" spans="1:56" s="1" customFormat="1" ht="63.75" customHeight="1" x14ac:dyDescent="0.25">
      <c r="A1471" s="275" t="str">
        <f>'Q100b-totais'!$B$68</f>
        <v>9.5</v>
      </c>
      <c r="B1471" s="1205" t="str">
        <f>'Q100b-totais'!$C$68</f>
        <v>Sinalização semafórica</v>
      </c>
      <c r="C1471" s="230" t="s">
        <v>432</v>
      </c>
      <c r="D1471" s="324" t="s">
        <v>211</v>
      </c>
      <c r="E1471" s="254" t="s">
        <v>1306</v>
      </c>
      <c r="F1471" s="11" t="s">
        <v>534</v>
      </c>
      <c r="G1471" s="58" t="s">
        <v>535</v>
      </c>
      <c r="H1471" s="173" t="s">
        <v>432</v>
      </c>
      <c r="I1471" s="57">
        <v>1</v>
      </c>
      <c r="J1471" s="107" t="s">
        <v>432</v>
      </c>
      <c r="K1471" s="58" t="s">
        <v>432</v>
      </c>
      <c r="L1471" s="58" t="s">
        <v>432</v>
      </c>
      <c r="M1471" s="58" t="s">
        <v>432</v>
      </c>
      <c r="N1471" s="58" t="s">
        <v>432</v>
      </c>
      <c r="O1471" s="58" t="s">
        <v>432</v>
      </c>
      <c r="P1471" s="58" t="s">
        <v>432</v>
      </c>
      <c r="Q1471" s="58" t="s">
        <v>432</v>
      </c>
      <c r="R1471" s="58" t="s">
        <v>432</v>
      </c>
      <c r="S1471" s="109" t="s">
        <v>2209</v>
      </c>
      <c r="T1471" s="58" t="s">
        <v>432</v>
      </c>
      <c r="U1471" s="58" t="s">
        <v>432</v>
      </c>
      <c r="V1471" s="109" t="s">
        <v>2209</v>
      </c>
      <c r="W1471" s="58" t="s">
        <v>432</v>
      </c>
      <c r="X1471" s="58" t="s">
        <v>432</v>
      </c>
      <c r="Y1471" s="64">
        <f t="shared" ref="Y1471:AJ1471" si="401">(Y1469/Y814)*1000</f>
        <v>0.71595633931270719</v>
      </c>
      <c r="Z1471" s="64">
        <f t="shared" si="401"/>
        <v>0.73258022787869348</v>
      </c>
      <c r="AA1471" s="64">
        <f t="shared" si="401"/>
        <v>0.70574574379691213</v>
      </c>
      <c r="AB1471" s="64">
        <f t="shared" si="401"/>
        <v>0.68077832075396738</v>
      </c>
      <c r="AC1471" s="64">
        <f t="shared" si="401"/>
        <v>0.63500463024209552</v>
      </c>
      <c r="AD1471" s="64">
        <f t="shared" si="401"/>
        <v>0.60148528934964629</v>
      </c>
      <c r="AE1471" s="64">
        <f t="shared" si="401"/>
        <v>0.55322200594201421</v>
      </c>
      <c r="AF1471" s="64">
        <f t="shared" si="401"/>
        <v>0.51862042463829783</v>
      </c>
      <c r="AG1471" s="64">
        <f t="shared" si="401"/>
        <v>0.50214530742412744</v>
      </c>
      <c r="AH1471" s="64">
        <f t="shared" si="401"/>
        <v>0.49292294015597066</v>
      </c>
      <c r="AI1471" s="64">
        <f t="shared" si="401"/>
        <v>0.48651640964808224</v>
      </c>
      <c r="AJ1471" s="64">
        <f t="shared" si="401"/>
        <v>0.49196950156688912</v>
      </c>
      <c r="AK1471" s="137" t="s">
        <v>432</v>
      </c>
      <c r="AL1471" s="601" t="s">
        <v>432</v>
      </c>
      <c r="AM1471" s="137" t="s">
        <v>432</v>
      </c>
      <c r="AN1471" s="137" t="s">
        <v>432</v>
      </c>
      <c r="AO1471" s="137" t="s">
        <v>432</v>
      </c>
      <c r="AP1471" s="137" t="s">
        <v>432</v>
      </c>
      <c r="AQ1471" s="137" t="s">
        <v>432</v>
      </c>
      <c r="AR1471" s="137" t="s">
        <v>432</v>
      </c>
      <c r="AS1471" s="137" t="s">
        <v>432</v>
      </c>
      <c r="AT1471" s="137" t="s">
        <v>432</v>
      </c>
      <c r="AU1471" s="137" t="s">
        <v>432</v>
      </c>
      <c r="AV1471" s="137" t="s">
        <v>432</v>
      </c>
      <c r="AW1471" s="137" t="s">
        <v>432</v>
      </c>
      <c r="AX1471" s="137" t="s">
        <v>432</v>
      </c>
      <c r="AY1471" s="137" t="s">
        <v>432</v>
      </c>
      <c r="AZ1471" s="137" t="s">
        <v>432</v>
      </c>
      <c r="BA1471" s="137" t="s">
        <v>432</v>
      </c>
      <c r="BB1471" s="239" t="str">
        <f t="shared" si="396"/>
        <v>Sinalização semafóricax</v>
      </c>
      <c r="BC1471" s="239" t="str">
        <f t="shared" si="397"/>
        <v>Sinalização semafóricaxx</v>
      </c>
      <c r="BD1471" s="239" t="str">
        <f t="shared" si="398"/>
        <v>Sinalização semafóricax</v>
      </c>
    </row>
    <row r="1472" spans="1:56" s="1" customFormat="1" ht="63.75" customHeight="1" x14ac:dyDescent="0.25">
      <c r="A1472" s="275" t="str">
        <f>'Q100b-totais'!$B$68</f>
        <v>9.5</v>
      </c>
      <c r="B1472" s="1205" t="str">
        <f>'Q100b-totais'!$C$68</f>
        <v>Sinalização semafórica</v>
      </c>
      <c r="C1472" s="230" t="s">
        <v>432</v>
      </c>
      <c r="D1472" s="362" t="s">
        <v>212</v>
      </c>
      <c r="E1472" s="1502" t="s">
        <v>1306</v>
      </c>
      <c r="F1472" s="286" t="s">
        <v>536</v>
      </c>
      <c r="G1472" s="58" t="s">
        <v>537</v>
      </c>
      <c r="H1472" s="173" t="s">
        <v>432</v>
      </c>
      <c r="I1472" s="57">
        <v>1</v>
      </c>
      <c r="J1472" s="107" t="s">
        <v>432</v>
      </c>
      <c r="K1472" s="58" t="s">
        <v>432</v>
      </c>
      <c r="L1472" s="58" t="s">
        <v>432</v>
      </c>
      <c r="M1472" s="58" t="s">
        <v>432</v>
      </c>
      <c r="N1472" s="58" t="s">
        <v>432</v>
      </c>
      <c r="O1472" s="58" t="s">
        <v>432</v>
      </c>
      <c r="P1472" s="58" t="s">
        <v>432</v>
      </c>
      <c r="Q1472" s="58" t="s">
        <v>432</v>
      </c>
      <c r="R1472" s="58" t="s">
        <v>432</v>
      </c>
      <c r="S1472" s="109" t="s">
        <v>2209</v>
      </c>
      <c r="T1472" s="58" t="s">
        <v>432</v>
      </c>
      <c r="U1472" s="58" t="s">
        <v>432</v>
      </c>
      <c r="V1472" s="109" t="s">
        <v>2209</v>
      </c>
      <c r="W1472" s="58" t="s">
        <v>432</v>
      </c>
      <c r="X1472" s="58" t="s">
        <v>432</v>
      </c>
      <c r="Y1472" s="72">
        <f t="shared" ref="Y1472:AJ1472" si="402">(Y1469/Y1855)*1000000</f>
        <v>245.46667291175518</v>
      </c>
      <c r="Z1472" s="72">
        <f t="shared" si="402"/>
        <v>256.10874666675738</v>
      </c>
      <c r="AA1472" s="72">
        <f t="shared" si="402"/>
        <v>256.38553648778759</v>
      </c>
      <c r="AB1472" s="72">
        <f t="shared" si="402"/>
        <v>264.17547251575053</v>
      </c>
      <c r="AC1472" s="72">
        <f t="shared" si="402"/>
        <v>268.55239071720484</v>
      </c>
      <c r="AD1472" s="72">
        <f t="shared" si="402"/>
        <v>273.55151188552571</v>
      </c>
      <c r="AE1472" s="72">
        <f t="shared" si="402"/>
        <v>275.21622821663556</v>
      </c>
      <c r="AF1472" s="72">
        <f t="shared" si="402"/>
        <v>290.92887146964551</v>
      </c>
      <c r="AG1472" s="72">
        <f t="shared" si="402"/>
        <v>300.96745527405642</v>
      </c>
      <c r="AH1472" s="72">
        <f t="shared" si="402"/>
        <v>310.1279956256509</v>
      </c>
      <c r="AI1472" s="72">
        <f t="shared" si="402"/>
        <v>310.18508247736639</v>
      </c>
      <c r="AJ1472" s="72">
        <f t="shared" si="402"/>
        <v>322.34639271103754</v>
      </c>
      <c r="AK1472" s="137" t="s">
        <v>432</v>
      </c>
      <c r="AL1472" s="601" t="s">
        <v>432</v>
      </c>
      <c r="AM1472" s="137" t="s">
        <v>432</v>
      </c>
      <c r="AN1472" s="137" t="s">
        <v>432</v>
      </c>
      <c r="AO1472" s="137" t="s">
        <v>432</v>
      </c>
      <c r="AP1472" s="137" t="s">
        <v>432</v>
      </c>
      <c r="AQ1472" s="137" t="s">
        <v>432</v>
      </c>
      <c r="AR1472" s="137" t="s">
        <v>432</v>
      </c>
      <c r="AS1472" s="137" t="s">
        <v>432</v>
      </c>
      <c r="AT1472" s="137" t="s">
        <v>432</v>
      </c>
      <c r="AU1472" s="137" t="s">
        <v>432</v>
      </c>
      <c r="AV1472" s="137" t="s">
        <v>432</v>
      </c>
      <c r="AW1472" s="137" t="s">
        <v>432</v>
      </c>
      <c r="AX1472" s="137" t="s">
        <v>432</v>
      </c>
      <c r="AY1472" s="137" t="s">
        <v>432</v>
      </c>
      <c r="AZ1472" s="137" t="s">
        <v>432</v>
      </c>
      <c r="BA1472" s="137" t="s">
        <v>432</v>
      </c>
      <c r="BB1472" s="239" t="str">
        <f t="shared" si="396"/>
        <v>Sinalização semafóricax</v>
      </c>
      <c r="BC1472" s="239" t="str">
        <f t="shared" si="397"/>
        <v>Sinalização semafóricaxx</v>
      </c>
      <c r="BD1472" s="239" t="str">
        <f t="shared" si="398"/>
        <v>Sinalização semafóricax</v>
      </c>
    </row>
    <row r="1473" spans="1:56" s="1" customFormat="1" ht="90" customHeight="1" x14ac:dyDescent="0.25">
      <c r="A1473" s="275" t="str">
        <f>'Q100b-totais'!$B$68</f>
        <v>9.5</v>
      </c>
      <c r="B1473" s="1205" t="str">
        <f>'Q100b-totais'!$C$68</f>
        <v>Sinalização semafórica</v>
      </c>
      <c r="C1473" s="230" t="s">
        <v>432</v>
      </c>
      <c r="D1473" s="324" t="s">
        <v>213</v>
      </c>
      <c r="E1473" s="254" t="s">
        <v>1306</v>
      </c>
      <c r="F1473" s="11" t="s">
        <v>1597</v>
      </c>
      <c r="G1473" s="110" t="s">
        <v>77</v>
      </c>
      <c r="H1473" s="173" t="s">
        <v>432</v>
      </c>
      <c r="I1473" s="57">
        <v>1</v>
      </c>
      <c r="J1473" s="107" t="s">
        <v>432</v>
      </c>
      <c r="K1473" s="93" t="s">
        <v>432</v>
      </c>
      <c r="L1473" s="93" t="s">
        <v>432</v>
      </c>
      <c r="M1473" s="93" t="s">
        <v>432</v>
      </c>
      <c r="N1473" s="93" t="s">
        <v>432</v>
      </c>
      <c r="O1473" s="93" t="s">
        <v>432</v>
      </c>
      <c r="P1473" s="93" t="s">
        <v>432</v>
      </c>
      <c r="Q1473" s="93" t="s">
        <v>432</v>
      </c>
      <c r="R1473" s="93" t="s">
        <v>432</v>
      </c>
      <c r="S1473" s="109" t="s">
        <v>2209</v>
      </c>
      <c r="T1473" s="93" t="s">
        <v>432</v>
      </c>
      <c r="U1473" s="93" t="s">
        <v>432</v>
      </c>
      <c r="V1473" s="109" t="s">
        <v>2209</v>
      </c>
      <c r="W1473" s="93" t="s">
        <v>432</v>
      </c>
      <c r="X1473" s="93" t="s">
        <v>432</v>
      </c>
      <c r="Y1473" s="84">
        <v>152</v>
      </c>
      <c r="Z1473" s="84">
        <v>150</v>
      </c>
      <c r="AA1473" s="84">
        <v>143</v>
      </c>
      <c r="AB1473" s="84">
        <v>148</v>
      </c>
      <c r="AC1473" s="84">
        <v>148</v>
      </c>
      <c r="AD1473" s="84">
        <v>149</v>
      </c>
      <c r="AE1473" s="84">
        <v>148</v>
      </c>
      <c r="AF1473" s="84">
        <v>148</v>
      </c>
      <c r="AG1473" s="84">
        <v>154</v>
      </c>
      <c r="AH1473" s="84">
        <v>153</v>
      </c>
      <c r="AI1473" s="84">
        <v>150</v>
      </c>
      <c r="AJ1473" s="84">
        <v>160</v>
      </c>
      <c r="AK1473" s="137" t="s">
        <v>432</v>
      </c>
      <c r="AL1473" s="601" t="s">
        <v>432</v>
      </c>
      <c r="AM1473" s="137" t="s">
        <v>432</v>
      </c>
      <c r="AN1473" s="137" t="s">
        <v>432</v>
      </c>
      <c r="AO1473" s="137" t="s">
        <v>432</v>
      </c>
      <c r="AP1473" s="137" t="s">
        <v>432</v>
      </c>
      <c r="AQ1473" s="137" t="s">
        <v>432</v>
      </c>
      <c r="AR1473" s="137" t="s">
        <v>432</v>
      </c>
      <c r="AS1473" s="137" t="s">
        <v>432</v>
      </c>
      <c r="AT1473" s="137" t="s">
        <v>432</v>
      </c>
      <c r="AU1473" s="137" t="s">
        <v>432</v>
      </c>
      <c r="AV1473" s="137" t="s">
        <v>432</v>
      </c>
      <c r="AW1473" s="137" t="s">
        <v>432</v>
      </c>
      <c r="AX1473" s="137" t="s">
        <v>432</v>
      </c>
      <c r="AY1473" s="137" t="s">
        <v>432</v>
      </c>
      <c r="AZ1473" s="137" t="s">
        <v>432</v>
      </c>
      <c r="BA1473" s="137" t="s">
        <v>432</v>
      </c>
      <c r="BB1473" s="239" t="str">
        <f t="shared" si="396"/>
        <v>Sinalização semafóricax</v>
      </c>
      <c r="BC1473" s="239" t="str">
        <f t="shared" si="397"/>
        <v>Sinalização semafóricaxx</v>
      </c>
      <c r="BD1473" s="239" t="str">
        <f t="shared" si="398"/>
        <v>Sinalização semafóricax</v>
      </c>
    </row>
    <row r="1474" spans="1:56" s="1" customFormat="1" ht="63.75" customHeight="1" x14ac:dyDescent="0.25">
      <c r="A1474" s="275" t="str">
        <f>'Q100b-totais'!$B$68</f>
        <v>9.5</v>
      </c>
      <c r="B1474" s="1205" t="str">
        <f>'Q100b-totais'!$C$68</f>
        <v>Sinalização semafórica</v>
      </c>
      <c r="C1474" s="230" t="s">
        <v>432</v>
      </c>
      <c r="D1474" s="324" t="s">
        <v>214</v>
      </c>
      <c r="E1474" s="254" t="s">
        <v>1306</v>
      </c>
      <c r="F1474" s="11" t="s">
        <v>538</v>
      </c>
      <c r="G1474" s="58" t="s">
        <v>539</v>
      </c>
      <c r="H1474" s="173" t="s">
        <v>432</v>
      </c>
      <c r="I1474" s="57">
        <v>1</v>
      </c>
      <c r="J1474" s="107" t="s">
        <v>432</v>
      </c>
      <c r="K1474" s="58" t="s">
        <v>432</v>
      </c>
      <c r="L1474" s="58" t="s">
        <v>432</v>
      </c>
      <c r="M1474" s="58" t="s">
        <v>432</v>
      </c>
      <c r="N1474" s="58" t="s">
        <v>432</v>
      </c>
      <c r="O1474" s="58" t="s">
        <v>432</v>
      </c>
      <c r="P1474" s="58" t="s">
        <v>432</v>
      </c>
      <c r="Q1474" s="58" t="s">
        <v>432</v>
      </c>
      <c r="R1474" s="58" t="s">
        <v>432</v>
      </c>
      <c r="S1474" s="109" t="s">
        <v>2209</v>
      </c>
      <c r="T1474" s="58" t="s">
        <v>432</v>
      </c>
      <c r="U1474" s="58" t="s">
        <v>432</v>
      </c>
      <c r="V1474" s="109" t="s">
        <v>2209</v>
      </c>
      <c r="W1474" s="58" t="s">
        <v>432</v>
      </c>
      <c r="X1474" s="58" t="s">
        <v>432</v>
      </c>
      <c r="Y1474" s="21">
        <f>Y1473/Y1469</f>
        <v>0.26855123674911663</v>
      </c>
      <c r="Z1474" s="21">
        <f t="shared" ref="Z1474:AJ1474" si="403">Z1473/Z1469</f>
        <v>0.24916943521594684</v>
      </c>
      <c r="AA1474" s="21">
        <f t="shared" si="403"/>
        <v>0.2348111658456486</v>
      </c>
      <c r="AB1474" s="21">
        <f t="shared" si="403"/>
        <v>0.2334384858044164</v>
      </c>
      <c r="AC1474" s="21">
        <f t="shared" si="403"/>
        <v>0.22839506172839505</v>
      </c>
      <c r="AD1474" s="21">
        <f t="shared" si="403"/>
        <v>0.22372372372372373</v>
      </c>
      <c r="AE1474" s="21">
        <f t="shared" si="403"/>
        <v>0.21925925925925926</v>
      </c>
      <c r="AF1474" s="21">
        <f t="shared" si="403"/>
        <v>0.2141823444283647</v>
      </c>
      <c r="AG1474" s="21">
        <f t="shared" si="403"/>
        <v>0.21448467966573817</v>
      </c>
      <c r="AH1474" s="21">
        <f t="shared" si="403"/>
        <v>0.20592193808882908</v>
      </c>
      <c r="AI1474" s="21">
        <f t="shared" si="403"/>
        <v>0.19505851755526657</v>
      </c>
      <c r="AJ1474" s="21">
        <f t="shared" si="403"/>
        <v>0.19925280199252801</v>
      </c>
      <c r="AK1474" s="137" t="s">
        <v>432</v>
      </c>
      <c r="AL1474" s="601" t="s">
        <v>432</v>
      </c>
      <c r="AM1474" s="137" t="s">
        <v>432</v>
      </c>
      <c r="AN1474" s="137" t="s">
        <v>432</v>
      </c>
      <c r="AO1474" s="137" t="s">
        <v>432</v>
      </c>
      <c r="AP1474" s="137" t="s">
        <v>432</v>
      </c>
      <c r="AQ1474" s="137" t="s">
        <v>432</v>
      </c>
      <c r="AR1474" s="137" t="s">
        <v>432</v>
      </c>
      <c r="AS1474" s="137" t="s">
        <v>432</v>
      </c>
      <c r="AT1474" s="137" t="s">
        <v>432</v>
      </c>
      <c r="AU1474" s="137" t="s">
        <v>432</v>
      </c>
      <c r="AV1474" s="137" t="s">
        <v>432</v>
      </c>
      <c r="AW1474" s="137" t="s">
        <v>432</v>
      </c>
      <c r="AX1474" s="137" t="s">
        <v>432</v>
      </c>
      <c r="AY1474" s="137" t="s">
        <v>432</v>
      </c>
      <c r="AZ1474" s="137" t="s">
        <v>432</v>
      </c>
      <c r="BA1474" s="137" t="s">
        <v>432</v>
      </c>
      <c r="BB1474" s="239" t="str">
        <f t="shared" si="396"/>
        <v>Sinalização semafóricax</v>
      </c>
      <c r="BC1474" s="239" t="str">
        <f t="shared" si="397"/>
        <v>Sinalização semafóricaxx</v>
      </c>
      <c r="BD1474" s="239" t="str">
        <f t="shared" si="398"/>
        <v>Sinalização semafóricax</v>
      </c>
    </row>
    <row r="1475" spans="1:56" s="1" customFormat="1" ht="63.75" customHeight="1" x14ac:dyDescent="0.25">
      <c r="A1475" s="275" t="str">
        <f>'Q100b-totais'!$B$68</f>
        <v>9.5</v>
      </c>
      <c r="B1475" s="1205" t="str">
        <f>'Q100b-totais'!$C$68</f>
        <v>Sinalização semafórica</v>
      </c>
      <c r="C1475" s="230" t="s">
        <v>432</v>
      </c>
      <c r="D1475" s="324" t="s">
        <v>215</v>
      </c>
      <c r="E1475" s="254" t="s">
        <v>1306</v>
      </c>
      <c r="F1475" s="11" t="s">
        <v>540</v>
      </c>
      <c r="G1475" s="58" t="s">
        <v>541</v>
      </c>
      <c r="H1475" s="173" t="s">
        <v>432</v>
      </c>
      <c r="I1475" s="57">
        <v>1</v>
      </c>
      <c r="J1475" s="107" t="s">
        <v>432</v>
      </c>
      <c r="K1475" s="58" t="s">
        <v>432</v>
      </c>
      <c r="L1475" s="58" t="s">
        <v>432</v>
      </c>
      <c r="M1475" s="58" t="s">
        <v>432</v>
      </c>
      <c r="N1475" s="58" t="s">
        <v>432</v>
      </c>
      <c r="O1475" s="58" t="s">
        <v>432</v>
      </c>
      <c r="P1475" s="58" t="s">
        <v>432</v>
      </c>
      <c r="Q1475" s="58" t="s">
        <v>432</v>
      </c>
      <c r="R1475" s="58" t="s">
        <v>432</v>
      </c>
      <c r="S1475" s="109" t="s">
        <v>2209</v>
      </c>
      <c r="T1475" s="58" t="s">
        <v>432</v>
      </c>
      <c r="U1475" s="58" t="s">
        <v>432</v>
      </c>
      <c r="V1475" s="109" t="s">
        <v>2209</v>
      </c>
      <c r="W1475" s="58" t="s">
        <v>432</v>
      </c>
      <c r="X1475" s="58" t="s">
        <v>432</v>
      </c>
      <c r="Y1475" s="21">
        <f t="shared" ref="Y1475:AJ1475" si="404">Y1473/Y1522</f>
        <v>0.2360248447204969</v>
      </c>
      <c r="Z1475" s="21">
        <f t="shared" si="404"/>
        <v>0.21645021645021645</v>
      </c>
      <c r="AA1475" s="21">
        <f t="shared" si="404"/>
        <v>0.20112517580872011</v>
      </c>
      <c r="AB1475" s="21">
        <f t="shared" si="404"/>
        <v>0.20027063599458728</v>
      </c>
      <c r="AC1475" s="21">
        <f t="shared" si="404"/>
        <v>0.1942257217847769</v>
      </c>
      <c r="AD1475" s="21">
        <f t="shared" si="404"/>
        <v>0.18860759493670887</v>
      </c>
      <c r="AE1475" s="21">
        <f t="shared" si="404"/>
        <v>0.18226600985221675</v>
      </c>
      <c r="AF1475" s="21">
        <f t="shared" si="404"/>
        <v>0.17724550898203592</v>
      </c>
      <c r="AG1475" s="21">
        <f t="shared" si="404"/>
        <v>0.17824074074074073</v>
      </c>
      <c r="AH1475" s="21">
        <f t="shared" si="404"/>
        <v>0.17018909899888765</v>
      </c>
      <c r="AI1475" s="21">
        <f t="shared" si="404"/>
        <v>0.16146393972012918</v>
      </c>
      <c r="AJ1475" s="21">
        <f t="shared" si="404"/>
        <v>0.16460905349794239</v>
      </c>
      <c r="AK1475" s="137" t="s">
        <v>432</v>
      </c>
      <c r="AL1475" s="601" t="s">
        <v>432</v>
      </c>
      <c r="AM1475" s="137" t="s">
        <v>432</v>
      </c>
      <c r="AN1475" s="137" t="s">
        <v>432</v>
      </c>
      <c r="AO1475" s="137" t="s">
        <v>432</v>
      </c>
      <c r="AP1475" s="137" t="s">
        <v>432</v>
      </c>
      <c r="AQ1475" s="137" t="s">
        <v>432</v>
      </c>
      <c r="AR1475" s="137" t="s">
        <v>432</v>
      </c>
      <c r="AS1475" s="137" t="s">
        <v>432</v>
      </c>
      <c r="AT1475" s="137" t="s">
        <v>432</v>
      </c>
      <c r="AU1475" s="137" t="s">
        <v>432</v>
      </c>
      <c r="AV1475" s="137" t="s">
        <v>432</v>
      </c>
      <c r="AW1475" s="137" t="s">
        <v>432</v>
      </c>
      <c r="AX1475" s="137" t="s">
        <v>432</v>
      </c>
      <c r="AY1475" s="137" t="s">
        <v>432</v>
      </c>
      <c r="AZ1475" s="137" t="s">
        <v>432</v>
      </c>
      <c r="BA1475" s="137" t="s">
        <v>432</v>
      </c>
      <c r="BB1475" s="239" t="str">
        <f t="shared" si="396"/>
        <v>Sinalização semafóricax</v>
      </c>
      <c r="BC1475" s="239" t="str">
        <f t="shared" si="397"/>
        <v>Sinalização semafóricaxx</v>
      </c>
      <c r="BD1475" s="239" t="str">
        <f t="shared" si="398"/>
        <v>Sinalização semafóricax</v>
      </c>
    </row>
    <row r="1476" spans="1:56" s="105" customFormat="1" ht="25.5" x14ac:dyDescent="0.25">
      <c r="A1476" s="275" t="str">
        <f>'Q100b-totais'!B21</f>
        <v>2.6</v>
      </c>
      <c r="B1476" s="53" t="str">
        <f>'Q100b-totais'!C21</f>
        <v>Cidades da RMBH</v>
      </c>
      <c r="C1476" s="167" t="s">
        <v>432</v>
      </c>
      <c r="D1476" s="323" t="s">
        <v>1745</v>
      </c>
      <c r="E1476" s="1491" t="s">
        <v>1745</v>
      </c>
      <c r="F1476" s="468" t="str">
        <f>pend!C193</f>
        <v>município da RMBH (faltando completar)</v>
      </c>
      <c r="G1476" s="230" t="s">
        <v>3507</v>
      </c>
      <c r="H1476" s="167" t="s">
        <v>2408</v>
      </c>
      <c r="I1476" s="167" t="s">
        <v>432</v>
      </c>
      <c r="J1476" s="107" t="s">
        <v>432</v>
      </c>
      <c r="K1476" s="107" t="s">
        <v>432</v>
      </c>
      <c r="L1476" s="107" t="s">
        <v>432</v>
      </c>
      <c r="M1476" s="107" t="s">
        <v>432</v>
      </c>
      <c r="N1476" s="107" t="s">
        <v>432</v>
      </c>
      <c r="O1476" s="107" t="s">
        <v>432</v>
      </c>
      <c r="P1476" s="107" t="s">
        <v>432</v>
      </c>
      <c r="Q1476" s="107" t="s">
        <v>432</v>
      </c>
      <c r="R1476" s="107" t="s">
        <v>432</v>
      </c>
      <c r="S1476" s="109" t="s">
        <v>2209</v>
      </c>
      <c r="T1476" s="107" t="s">
        <v>432</v>
      </c>
      <c r="U1476" s="107" t="s">
        <v>432</v>
      </c>
      <c r="V1476" s="109" t="s">
        <v>2209</v>
      </c>
      <c r="W1476" s="107" t="s">
        <v>432</v>
      </c>
      <c r="X1476" s="107" t="s">
        <v>432</v>
      </c>
      <c r="Y1476" s="107" t="s">
        <v>432</v>
      </c>
      <c r="Z1476" s="107" t="s">
        <v>432</v>
      </c>
      <c r="AA1476" s="107" t="s">
        <v>432</v>
      </c>
      <c r="AB1476" s="107" t="s">
        <v>432</v>
      </c>
      <c r="AC1476" s="107" t="s">
        <v>432</v>
      </c>
      <c r="AD1476" s="107" t="s">
        <v>432</v>
      </c>
      <c r="AE1476" s="107" t="s">
        <v>432</v>
      </c>
      <c r="AF1476" s="107" t="s">
        <v>432</v>
      </c>
      <c r="AG1476" s="107" t="s">
        <v>432</v>
      </c>
      <c r="AH1476" s="107" t="s">
        <v>432</v>
      </c>
      <c r="AI1476" s="107" t="s">
        <v>432</v>
      </c>
      <c r="AJ1476" s="107" t="s">
        <v>432</v>
      </c>
      <c r="AK1476" s="137" t="s">
        <v>432</v>
      </c>
      <c r="AL1476" s="601" t="s">
        <v>432</v>
      </c>
      <c r="AM1476" s="137" t="s">
        <v>432</v>
      </c>
      <c r="AN1476" s="137" t="s">
        <v>432</v>
      </c>
      <c r="AO1476" s="137" t="s">
        <v>432</v>
      </c>
      <c r="AP1476" s="137" t="s">
        <v>432</v>
      </c>
      <c r="AQ1476" s="137" t="s">
        <v>432</v>
      </c>
      <c r="AR1476" s="137" t="s">
        <v>432</v>
      </c>
      <c r="AS1476" s="137" t="s">
        <v>432</v>
      </c>
      <c r="AT1476" s="137" t="s">
        <v>432</v>
      </c>
      <c r="AU1476" s="137" t="s">
        <v>432</v>
      </c>
      <c r="AV1476" s="137" t="s">
        <v>432</v>
      </c>
      <c r="AW1476" s="137" t="s">
        <v>432</v>
      </c>
      <c r="AX1476" s="137" t="s">
        <v>432</v>
      </c>
      <c r="AY1476" s="137" t="s">
        <v>432</v>
      </c>
      <c r="AZ1476" s="137" t="s">
        <v>432</v>
      </c>
      <c r="BA1476" s="137" t="s">
        <v>432</v>
      </c>
      <c r="BB1476" s="239" t="str">
        <f t="shared" si="396"/>
        <v>Cidades da RMBHx</v>
      </c>
      <c r="BC1476" s="239" t="str">
        <f t="shared" si="397"/>
        <v>Cidades da RMBHxsigla/verbete</v>
      </c>
      <c r="BD1476" s="239" t="str">
        <f t="shared" si="398"/>
        <v>Cidades da RMBHsigla/verbete</v>
      </c>
    </row>
    <row r="1477" spans="1:56" s="1" customFormat="1" ht="89.25" x14ac:dyDescent="0.25">
      <c r="A1477" s="275" t="str">
        <f>'Q100b-totais'!$B$68</f>
        <v>9.5</v>
      </c>
      <c r="B1477" s="1205" t="str">
        <f>'Q100b-totais'!$C$68</f>
        <v>Sinalização semafórica</v>
      </c>
      <c r="C1477" s="230" t="s">
        <v>432</v>
      </c>
      <c r="D1477" s="324" t="s">
        <v>216</v>
      </c>
      <c r="E1477" s="254" t="s">
        <v>1306</v>
      </c>
      <c r="F1477" s="11" t="s">
        <v>1598</v>
      </c>
      <c r="G1477" s="110" t="s">
        <v>77</v>
      </c>
      <c r="H1477" s="173" t="s">
        <v>432</v>
      </c>
      <c r="I1477" s="57">
        <v>1</v>
      </c>
      <c r="J1477" s="107" t="s">
        <v>432</v>
      </c>
      <c r="K1477" s="93" t="s">
        <v>432</v>
      </c>
      <c r="L1477" s="93" t="s">
        <v>432</v>
      </c>
      <c r="M1477" s="93" t="s">
        <v>432</v>
      </c>
      <c r="N1477" s="93" t="s">
        <v>432</v>
      </c>
      <c r="O1477" s="93" t="s">
        <v>432</v>
      </c>
      <c r="P1477" s="93" t="s">
        <v>432</v>
      </c>
      <c r="Q1477" s="93" t="s">
        <v>432</v>
      </c>
      <c r="R1477" s="93" t="s">
        <v>432</v>
      </c>
      <c r="S1477" s="109" t="s">
        <v>2209</v>
      </c>
      <c r="T1477" s="93" t="s">
        <v>432</v>
      </c>
      <c r="U1477" s="93" t="s">
        <v>432</v>
      </c>
      <c r="V1477" s="109" t="s">
        <v>2209</v>
      </c>
      <c r="W1477" s="93" t="s">
        <v>432</v>
      </c>
      <c r="X1477" s="93" t="s">
        <v>432</v>
      </c>
      <c r="Y1477" s="96">
        <v>216</v>
      </c>
      <c r="Z1477" s="97">
        <v>228</v>
      </c>
      <c r="AA1477" s="97">
        <v>239</v>
      </c>
      <c r="AB1477" s="97">
        <v>250</v>
      </c>
      <c r="AC1477" s="97">
        <v>262</v>
      </c>
      <c r="AD1477" s="97">
        <v>275</v>
      </c>
      <c r="AE1477" s="97">
        <v>279</v>
      </c>
      <c r="AF1477" s="97">
        <v>284</v>
      </c>
      <c r="AG1477" s="97">
        <v>296</v>
      </c>
      <c r="AH1477" s="97">
        <v>307</v>
      </c>
      <c r="AI1477" s="97">
        <v>314</v>
      </c>
      <c r="AJ1477" s="97">
        <v>329</v>
      </c>
      <c r="AK1477" s="137" t="s">
        <v>432</v>
      </c>
      <c r="AL1477" s="601" t="s">
        <v>432</v>
      </c>
      <c r="AM1477" s="137" t="s">
        <v>432</v>
      </c>
      <c r="AN1477" s="137" t="s">
        <v>432</v>
      </c>
      <c r="AO1477" s="137" t="s">
        <v>432</v>
      </c>
      <c r="AP1477" s="137" t="s">
        <v>432</v>
      </c>
      <c r="AQ1477" s="137" t="s">
        <v>432</v>
      </c>
      <c r="AR1477" s="137" t="s">
        <v>432</v>
      </c>
      <c r="AS1477" s="137" t="s">
        <v>432</v>
      </c>
      <c r="AT1477" s="137" t="s">
        <v>432</v>
      </c>
      <c r="AU1477" s="137" t="s">
        <v>432</v>
      </c>
      <c r="AV1477" s="137" t="s">
        <v>432</v>
      </c>
      <c r="AW1477" s="137" t="s">
        <v>432</v>
      </c>
      <c r="AX1477" s="137" t="s">
        <v>432</v>
      </c>
      <c r="AY1477" s="137" t="s">
        <v>432</v>
      </c>
      <c r="AZ1477" s="137" t="s">
        <v>432</v>
      </c>
      <c r="BA1477" s="137" t="s">
        <v>432</v>
      </c>
      <c r="BB1477" s="239" t="str">
        <f t="shared" si="396"/>
        <v>Sinalização semafóricax</v>
      </c>
      <c r="BC1477" s="239" t="str">
        <f t="shared" si="397"/>
        <v>Sinalização semafóricaxx</v>
      </c>
      <c r="BD1477" s="239" t="str">
        <f t="shared" si="398"/>
        <v>Sinalização semafóricax</v>
      </c>
    </row>
    <row r="1478" spans="1:56" s="1" customFormat="1" ht="38.25" customHeight="1" x14ac:dyDescent="0.25">
      <c r="A1478" s="275" t="str">
        <f>'Q100b-totais'!$B$68</f>
        <v>9.5</v>
      </c>
      <c r="B1478" s="1205" t="str">
        <f>'Q100b-totais'!$C$68</f>
        <v>Sinalização semafórica</v>
      </c>
      <c r="C1478" s="230" t="s">
        <v>432</v>
      </c>
      <c r="D1478" s="324" t="s">
        <v>217</v>
      </c>
      <c r="E1478" s="254" t="s">
        <v>1306</v>
      </c>
      <c r="F1478" s="11" t="s">
        <v>542</v>
      </c>
      <c r="G1478" s="58" t="s">
        <v>543</v>
      </c>
      <c r="H1478" s="173" t="s">
        <v>432</v>
      </c>
      <c r="I1478" s="57">
        <v>1</v>
      </c>
      <c r="J1478" s="107" t="s">
        <v>432</v>
      </c>
      <c r="K1478" s="58" t="s">
        <v>432</v>
      </c>
      <c r="L1478" s="58" t="s">
        <v>432</v>
      </c>
      <c r="M1478" s="58" t="s">
        <v>432</v>
      </c>
      <c r="N1478" s="58" t="s">
        <v>432</v>
      </c>
      <c r="O1478" s="58" t="s">
        <v>432</v>
      </c>
      <c r="P1478" s="58" t="s">
        <v>432</v>
      </c>
      <c r="Q1478" s="58" t="s">
        <v>432</v>
      </c>
      <c r="R1478" s="58" t="s">
        <v>432</v>
      </c>
      <c r="S1478" s="109" t="s">
        <v>2209</v>
      </c>
      <c r="T1478" s="58" t="s">
        <v>432</v>
      </c>
      <c r="U1478" s="58" t="s">
        <v>432</v>
      </c>
      <c r="V1478" s="109" t="s">
        <v>2209</v>
      </c>
      <c r="W1478" s="58" t="s">
        <v>432</v>
      </c>
      <c r="X1478" s="58" t="s">
        <v>432</v>
      </c>
      <c r="Y1478" s="21">
        <f t="shared" ref="Y1478:AJ1478" si="405">Y1477/Y1345</f>
        <v>0.52173913043478259</v>
      </c>
      <c r="Z1478" s="21">
        <f t="shared" si="405"/>
        <v>0.50442477876106195</v>
      </c>
      <c r="AA1478" s="21">
        <f t="shared" si="405"/>
        <v>0.51287553648068673</v>
      </c>
      <c r="AB1478" s="21">
        <f t="shared" si="405"/>
        <v>0.51440329218106995</v>
      </c>
      <c r="AC1478" s="21">
        <f t="shared" si="405"/>
        <v>0.52400000000000002</v>
      </c>
      <c r="AD1478" s="21">
        <f t="shared" si="405"/>
        <v>0.53191489361702127</v>
      </c>
      <c r="AE1478" s="21">
        <f t="shared" si="405"/>
        <v>0.52941176470588236</v>
      </c>
      <c r="AF1478" s="21">
        <f t="shared" si="405"/>
        <v>0.52302025782688766</v>
      </c>
      <c r="AG1478" s="21">
        <f t="shared" si="405"/>
        <v>0.52482269503546097</v>
      </c>
      <c r="AH1478" s="21">
        <f t="shared" si="405"/>
        <v>0.52033898305084747</v>
      </c>
      <c r="AI1478" s="21">
        <f t="shared" si="405"/>
        <v>0.50726978998384487</v>
      </c>
      <c r="AJ1478" s="21">
        <f t="shared" si="405"/>
        <v>0.51166407465007779</v>
      </c>
      <c r="AK1478" s="137" t="s">
        <v>432</v>
      </c>
      <c r="AL1478" s="601" t="s">
        <v>432</v>
      </c>
      <c r="AM1478" s="137" t="s">
        <v>432</v>
      </c>
      <c r="AN1478" s="137" t="s">
        <v>432</v>
      </c>
      <c r="AO1478" s="137" t="s">
        <v>432</v>
      </c>
      <c r="AP1478" s="137" t="s">
        <v>432</v>
      </c>
      <c r="AQ1478" s="137" t="s">
        <v>432</v>
      </c>
      <c r="AR1478" s="137" t="s">
        <v>432</v>
      </c>
      <c r="AS1478" s="137" t="s">
        <v>432</v>
      </c>
      <c r="AT1478" s="137" t="s">
        <v>432</v>
      </c>
      <c r="AU1478" s="137" t="s">
        <v>432</v>
      </c>
      <c r="AV1478" s="137" t="s">
        <v>432</v>
      </c>
      <c r="AW1478" s="137" t="s">
        <v>432</v>
      </c>
      <c r="AX1478" s="137" t="s">
        <v>432</v>
      </c>
      <c r="AY1478" s="137" t="s">
        <v>432</v>
      </c>
      <c r="AZ1478" s="137" t="s">
        <v>432</v>
      </c>
      <c r="BA1478" s="137" t="s">
        <v>432</v>
      </c>
      <c r="BB1478" s="239" t="str">
        <f t="shared" si="396"/>
        <v>Sinalização semafóricax</v>
      </c>
      <c r="BC1478" s="239" t="str">
        <f t="shared" si="397"/>
        <v>Sinalização semafóricaxx</v>
      </c>
      <c r="BD1478" s="239" t="str">
        <f t="shared" si="398"/>
        <v>Sinalização semafóricax</v>
      </c>
    </row>
    <row r="1479" spans="1:56" s="1" customFormat="1" ht="38.25" x14ac:dyDescent="0.25">
      <c r="A1479" s="275" t="str">
        <f>'Q100b-totais'!$B$68</f>
        <v>9.5</v>
      </c>
      <c r="B1479" s="1205" t="str">
        <f>'Q100b-totais'!$C$68</f>
        <v>Sinalização semafórica</v>
      </c>
      <c r="C1479" s="230" t="s">
        <v>432</v>
      </c>
      <c r="D1479" s="324" t="s">
        <v>218</v>
      </c>
      <c r="E1479" s="254" t="s">
        <v>1306</v>
      </c>
      <c r="F1479" s="11" t="s">
        <v>1596</v>
      </c>
      <c r="G1479" s="110" t="s">
        <v>77</v>
      </c>
      <c r="H1479" s="173" t="s">
        <v>432</v>
      </c>
      <c r="I1479" s="57">
        <v>1</v>
      </c>
      <c r="J1479" s="107" t="s">
        <v>432</v>
      </c>
      <c r="K1479" s="93" t="s">
        <v>432</v>
      </c>
      <c r="L1479" s="93" t="s">
        <v>432</v>
      </c>
      <c r="M1479" s="93" t="s">
        <v>432</v>
      </c>
      <c r="N1479" s="93" t="s">
        <v>432</v>
      </c>
      <c r="O1479" s="93" t="s">
        <v>432</v>
      </c>
      <c r="P1479" s="93" t="s">
        <v>432</v>
      </c>
      <c r="Q1479" s="93" t="s">
        <v>432</v>
      </c>
      <c r="R1479" s="93" t="s">
        <v>432</v>
      </c>
      <c r="S1479" s="109" t="s">
        <v>2209</v>
      </c>
      <c r="T1479" s="93" t="s">
        <v>432</v>
      </c>
      <c r="U1479" s="93" t="s">
        <v>432</v>
      </c>
      <c r="V1479" s="109" t="s">
        <v>2209</v>
      </c>
      <c r="W1479" s="93" t="s">
        <v>432</v>
      </c>
      <c r="X1479" s="93" t="s">
        <v>432</v>
      </c>
      <c r="Y1479" s="96">
        <v>134</v>
      </c>
      <c r="Z1479" s="97">
        <v>153</v>
      </c>
      <c r="AA1479" s="97">
        <v>153</v>
      </c>
      <c r="AB1479" s="97">
        <v>160</v>
      </c>
      <c r="AC1479" s="97">
        <v>158</v>
      </c>
      <c r="AD1479" s="97">
        <v>161</v>
      </c>
      <c r="AE1479" s="97">
        <v>166</v>
      </c>
      <c r="AF1479" s="97">
        <v>172</v>
      </c>
      <c r="AG1479" s="97">
        <v>179</v>
      </c>
      <c r="AH1479" s="97">
        <v>186</v>
      </c>
      <c r="AI1479" s="97">
        <v>197</v>
      </c>
      <c r="AJ1479" s="97">
        <v>205</v>
      </c>
      <c r="AK1479" s="137" t="s">
        <v>432</v>
      </c>
      <c r="AL1479" s="601" t="s">
        <v>432</v>
      </c>
      <c r="AM1479" s="137" t="s">
        <v>432</v>
      </c>
      <c r="AN1479" s="137" t="s">
        <v>432</v>
      </c>
      <c r="AO1479" s="137" t="s">
        <v>432</v>
      </c>
      <c r="AP1479" s="137" t="s">
        <v>432</v>
      </c>
      <c r="AQ1479" s="137" t="s">
        <v>432</v>
      </c>
      <c r="AR1479" s="137" t="s">
        <v>432</v>
      </c>
      <c r="AS1479" s="137" t="s">
        <v>432</v>
      </c>
      <c r="AT1479" s="137" t="s">
        <v>432</v>
      </c>
      <c r="AU1479" s="137" t="s">
        <v>432</v>
      </c>
      <c r="AV1479" s="137" t="s">
        <v>432</v>
      </c>
      <c r="AW1479" s="137" t="s">
        <v>432</v>
      </c>
      <c r="AX1479" s="137" t="s">
        <v>432</v>
      </c>
      <c r="AY1479" s="137" t="s">
        <v>432</v>
      </c>
      <c r="AZ1479" s="137" t="s">
        <v>432</v>
      </c>
      <c r="BA1479" s="137" t="s">
        <v>432</v>
      </c>
      <c r="BB1479" s="239" t="str">
        <f t="shared" si="396"/>
        <v>Sinalização semafóricax</v>
      </c>
      <c r="BC1479" s="239" t="str">
        <f t="shared" si="397"/>
        <v>Sinalização semafóricaxx</v>
      </c>
      <c r="BD1479" s="239" t="str">
        <f t="shared" si="398"/>
        <v>Sinalização semafóricax</v>
      </c>
    </row>
    <row r="1480" spans="1:56" s="1" customFormat="1" ht="63.75" customHeight="1" x14ac:dyDescent="0.25">
      <c r="A1480" s="275" t="str">
        <f>'Q100b-totais'!$B$68</f>
        <v>9.5</v>
      </c>
      <c r="B1480" s="1205" t="str">
        <f>'Q100b-totais'!$C$68</f>
        <v>Sinalização semafórica</v>
      </c>
      <c r="C1480" s="230" t="s">
        <v>432</v>
      </c>
      <c r="D1480" s="324" t="s">
        <v>219</v>
      </c>
      <c r="E1480" s="254" t="s">
        <v>1306</v>
      </c>
      <c r="F1480" s="11" t="s">
        <v>544</v>
      </c>
      <c r="G1480" s="58" t="s">
        <v>545</v>
      </c>
      <c r="H1480" s="173" t="s">
        <v>432</v>
      </c>
      <c r="I1480" s="57">
        <v>1</v>
      </c>
      <c r="J1480" s="107" t="s">
        <v>432</v>
      </c>
      <c r="K1480" s="58" t="s">
        <v>432</v>
      </c>
      <c r="L1480" s="58" t="s">
        <v>432</v>
      </c>
      <c r="M1480" s="58" t="s">
        <v>432</v>
      </c>
      <c r="N1480" s="58" t="s">
        <v>432</v>
      </c>
      <c r="O1480" s="58" t="s">
        <v>432</v>
      </c>
      <c r="P1480" s="58" t="s">
        <v>432</v>
      </c>
      <c r="Q1480" s="58" t="s">
        <v>432</v>
      </c>
      <c r="R1480" s="58" t="s">
        <v>432</v>
      </c>
      <c r="S1480" s="109" t="s">
        <v>2209</v>
      </c>
      <c r="T1480" s="58" t="s">
        <v>432</v>
      </c>
      <c r="U1480" s="58" t="s">
        <v>432</v>
      </c>
      <c r="V1480" s="109" t="s">
        <v>2209</v>
      </c>
      <c r="W1480" s="58" t="s">
        <v>432</v>
      </c>
      <c r="X1480" s="58" t="s">
        <v>432</v>
      </c>
      <c r="Y1480" s="21">
        <f t="shared" ref="Y1480:AJ1480" si="406">Y1479/Y1345</f>
        <v>0.32367149758454106</v>
      </c>
      <c r="Z1480" s="21">
        <f t="shared" si="406"/>
        <v>0.33849557522123896</v>
      </c>
      <c r="AA1480" s="21">
        <f t="shared" si="406"/>
        <v>0.3283261802575107</v>
      </c>
      <c r="AB1480" s="21">
        <f t="shared" si="406"/>
        <v>0.32921810699588477</v>
      </c>
      <c r="AC1480" s="21">
        <f t="shared" si="406"/>
        <v>0.316</v>
      </c>
      <c r="AD1480" s="21">
        <f t="shared" si="406"/>
        <v>0.3114119922630561</v>
      </c>
      <c r="AE1480" s="21">
        <f t="shared" si="406"/>
        <v>0.31499051233396586</v>
      </c>
      <c r="AF1480" s="21">
        <f t="shared" si="406"/>
        <v>0.31675874769797424</v>
      </c>
      <c r="AG1480" s="21">
        <f t="shared" si="406"/>
        <v>0.31737588652482268</v>
      </c>
      <c r="AH1480" s="21">
        <f t="shared" si="406"/>
        <v>0.31525423728813562</v>
      </c>
      <c r="AI1480" s="21">
        <f t="shared" si="406"/>
        <v>0.3182552504038772</v>
      </c>
      <c r="AJ1480" s="21">
        <f t="shared" si="406"/>
        <v>0.3188180404354588</v>
      </c>
      <c r="AK1480" s="137" t="s">
        <v>432</v>
      </c>
      <c r="AL1480" s="601" t="s">
        <v>432</v>
      </c>
      <c r="AM1480" s="137" t="s">
        <v>432</v>
      </c>
      <c r="AN1480" s="137" t="s">
        <v>432</v>
      </c>
      <c r="AO1480" s="137" t="s">
        <v>432</v>
      </c>
      <c r="AP1480" s="137" t="s">
        <v>432</v>
      </c>
      <c r="AQ1480" s="137" t="s">
        <v>432</v>
      </c>
      <c r="AR1480" s="137" t="s">
        <v>432</v>
      </c>
      <c r="AS1480" s="137" t="s">
        <v>432</v>
      </c>
      <c r="AT1480" s="137" t="s">
        <v>432</v>
      </c>
      <c r="AU1480" s="137" t="s">
        <v>432</v>
      </c>
      <c r="AV1480" s="137" t="s">
        <v>432</v>
      </c>
      <c r="AW1480" s="137" t="s">
        <v>432</v>
      </c>
      <c r="AX1480" s="137" t="s">
        <v>432</v>
      </c>
      <c r="AY1480" s="137" t="s">
        <v>432</v>
      </c>
      <c r="AZ1480" s="137" t="s">
        <v>432</v>
      </c>
      <c r="BA1480" s="137" t="s">
        <v>432</v>
      </c>
      <c r="BB1480" s="239" t="str">
        <f t="shared" si="396"/>
        <v>Sinalização semafóricax</v>
      </c>
      <c r="BC1480" s="239" t="str">
        <f t="shared" si="397"/>
        <v>Sinalização semafóricaxx</v>
      </c>
      <c r="BD1480" s="239" t="str">
        <f t="shared" si="398"/>
        <v>Sinalização semafóricax</v>
      </c>
    </row>
    <row r="1481" spans="1:56" s="105" customFormat="1" ht="25.5" x14ac:dyDescent="0.25">
      <c r="A1481" s="275" t="str">
        <f>'Q100b-totais'!B21</f>
        <v>2.6</v>
      </c>
      <c r="B1481" s="53" t="str">
        <f>'Q100b-totais'!C21</f>
        <v>Cidades da RMBH</v>
      </c>
      <c r="C1481" s="167" t="s">
        <v>432</v>
      </c>
      <c r="D1481" s="323" t="s">
        <v>1746</v>
      </c>
      <c r="E1481" s="1491" t="s">
        <v>1746</v>
      </c>
      <c r="F1481" s="468" t="str">
        <f>pend!C194</f>
        <v>município da RMBH (faltando completar)</v>
      </c>
      <c r="G1481" s="230" t="s">
        <v>3507</v>
      </c>
      <c r="H1481" s="167" t="s">
        <v>2408</v>
      </c>
      <c r="I1481" s="167" t="s">
        <v>432</v>
      </c>
      <c r="J1481" s="107" t="s">
        <v>432</v>
      </c>
      <c r="K1481" s="107" t="s">
        <v>432</v>
      </c>
      <c r="L1481" s="107" t="s">
        <v>432</v>
      </c>
      <c r="M1481" s="107" t="s">
        <v>432</v>
      </c>
      <c r="N1481" s="107" t="s">
        <v>432</v>
      </c>
      <c r="O1481" s="107" t="s">
        <v>432</v>
      </c>
      <c r="P1481" s="107" t="s">
        <v>432</v>
      </c>
      <c r="Q1481" s="107" t="s">
        <v>432</v>
      </c>
      <c r="R1481" s="107" t="s">
        <v>432</v>
      </c>
      <c r="S1481" s="109" t="s">
        <v>2209</v>
      </c>
      <c r="T1481" s="107" t="s">
        <v>432</v>
      </c>
      <c r="U1481" s="107" t="s">
        <v>432</v>
      </c>
      <c r="V1481" s="109" t="s">
        <v>2209</v>
      </c>
      <c r="W1481" s="107" t="s">
        <v>432</v>
      </c>
      <c r="X1481" s="107" t="s">
        <v>432</v>
      </c>
      <c r="Y1481" s="107" t="s">
        <v>432</v>
      </c>
      <c r="Z1481" s="107" t="s">
        <v>432</v>
      </c>
      <c r="AA1481" s="107" t="s">
        <v>432</v>
      </c>
      <c r="AB1481" s="107" t="s">
        <v>432</v>
      </c>
      <c r="AC1481" s="107" t="s">
        <v>432</v>
      </c>
      <c r="AD1481" s="107" t="s">
        <v>432</v>
      </c>
      <c r="AE1481" s="107" t="s">
        <v>432</v>
      </c>
      <c r="AF1481" s="107" t="s">
        <v>432</v>
      </c>
      <c r="AG1481" s="107" t="s">
        <v>432</v>
      </c>
      <c r="AH1481" s="107" t="s">
        <v>432</v>
      </c>
      <c r="AI1481" s="107" t="s">
        <v>432</v>
      </c>
      <c r="AJ1481" s="107" t="s">
        <v>432</v>
      </c>
      <c r="AK1481" s="137" t="s">
        <v>432</v>
      </c>
      <c r="AL1481" s="601" t="s">
        <v>432</v>
      </c>
      <c r="AM1481" s="137" t="s">
        <v>432</v>
      </c>
      <c r="AN1481" s="137" t="s">
        <v>432</v>
      </c>
      <c r="AO1481" s="137" t="s">
        <v>432</v>
      </c>
      <c r="AP1481" s="137" t="s">
        <v>432</v>
      </c>
      <c r="AQ1481" s="137" t="s">
        <v>432</v>
      </c>
      <c r="AR1481" s="137" t="s">
        <v>432</v>
      </c>
      <c r="AS1481" s="137" t="s">
        <v>432</v>
      </c>
      <c r="AT1481" s="137" t="s">
        <v>432</v>
      </c>
      <c r="AU1481" s="137" t="s">
        <v>432</v>
      </c>
      <c r="AV1481" s="137" t="s">
        <v>432</v>
      </c>
      <c r="AW1481" s="137" t="s">
        <v>432</v>
      </c>
      <c r="AX1481" s="137" t="s">
        <v>432</v>
      </c>
      <c r="AY1481" s="137" t="s">
        <v>432</v>
      </c>
      <c r="AZ1481" s="137" t="s">
        <v>432</v>
      </c>
      <c r="BA1481" s="137" t="s">
        <v>432</v>
      </c>
      <c r="BB1481" s="239" t="str">
        <f t="shared" si="396"/>
        <v>Cidades da RMBHx</v>
      </c>
      <c r="BC1481" s="239" t="str">
        <f t="shared" si="397"/>
        <v>Cidades da RMBHxsigla/verbete</v>
      </c>
      <c r="BD1481" s="239" t="str">
        <f t="shared" si="398"/>
        <v>Cidades da RMBHsigla/verbete</v>
      </c>
    </row>
    <row r="1482" spans="1:56" s="1" customFormat="1" ht="111.75" customHeight="1" x14ac:dyDescent="0.25">
      <c r="A1482" s="275" t="str">
        <f>'Q100b-totais'!$B$68</f>
        <v>9.5</v>
      </c>
      <c r="B1482" s="1205" t="str">
        <f>'Q100b-totais'!$C$68</f>
        <v>Sinalização semafórica</v>
      </c>
      <c r="C1482" s="230" t="s">
        <v>743</v>
      </c>
      <c r="D1482" s="324" t="s">
        <v>220</v>
      </c>
      <c r="E1482" s="254" t="s">
        <v>1306</v>
      </c>
      <c r="F1482" s="11" t="s">
        <v>1599</v>
      </c>
      <c r="G1482" s="110" t="s">
        <v>77</v>
      </c>
      <c r="H1482" s="173" t="s">
        <v>432</v>
      </c>
      <c r="I1482" s="57">
        <v>1</v>
      </c>
      <c r="J1482" s="107" t="s">
        <v>432</v>
      </c>
      <c r="K1482" s="93" t="s">
        <v>432</v>
      </c>
      <c r="L1482" s="93" t="s">
        <v>432</v>
      </c>
      <c r="M1482" s="93" t="s">
        <v>432</v>
      </c>
      <c r="N1482" s="93" t="s">
        <v>432</v>
      </c>
      <c r="O1482" s="93" t="s">
        <v>432</v>
      </c>
      <c r="P1482" s="93" t="s">
        <v>432</v>
      </c>
      <c r="Q1482" s="93" t="s">
        <v>432</v>
      </c>
      <c r="R1482" s="93" t="s">
        <v>432</v>
      </c>
      <c r="S1482" s="109" t="s">
        <v>2209</v>
      </c>
      <c r="T1482" s="93" t="s">
        <v>432</v>
      </c>
      <c r="U1482" s="93" t="s">
        <v>432</v>
      </c>
      <c r="V1482" s="109" t="s">
        <v>2209</v>
      </c>
      <c r="W1482" s="93" t="s">
        <v>432</v>
      </c>
      <c r="X1482" s="93" t="s">
        <v>432</v>
      </c>
      <c r="Y1482" s="96">
        <v>64</v>
      </c>
      <c r="Z1482" s="97">
        <v>71</v>
      </c>
      <c r="AA1482" s="97">
        <v>74</v>
      </c>
      <c r="AB1482" s="97">
        <v>76</v>
      </c>
      <c r="AC1482" s="97">
        <v>80</v>
      </c>
      <c r="AD1482" s="97">
        <v>81</v>
      </c>
      <c r="AE1482" s="97">
        <v>82</v>
      </c>
      <c r="AF1482" s="97">
        <v>87</v>
      </c>
      <c r="AG1482" s="97">
        <v>89</v>
      </c>
      <c r="AH1482" s="97">
        <v>97</v>
      </c>
      <c r="AI1482" s="97">
        <v>108</v>
      </c>
      <c r="AJ1482" s="97">
        <v>109</v>
      </c>
      <c r="AK1482" s="137" t="s">
        <v>432</v>
      </c>
      <c r="AL1482" s="601" t="s">
        <v>432</v>
      </c>
      <c r="AM1482" s="137" t="s">
        <v>432</v>
      </c>
      <c r="AN1482" s="137" t="s">
        <v>432</v>
      </c>
      <c r="AO1482" s="137" t="s">
        <v>432</v>
      </c>
      <c r="AP1482" s="137" t="s">
        <v>432</v>
      </c>
      <c r="AQ1482" s="137" t="s">
        <v>432</v>
      </c>
      <c r="AR1482" s="137" t="s">
        <v>432</v>
      </c>
      <c r="AS1482" s="137" t="s">
        <v>432</v>
      </c>
      <c r="AT1482" s="137" t="s">
        <v>432</v>
      </c>
      <c r="AU1482" s="137" t="s">
        <v>432</v>
      </c>
      <c r="AV1482" s="137" t="s">
        <v>432</v>
      </c>
      <c r="AW1482" s="137" t="s">
        <v>432</v>
      </c>
      <c r="AX1482" s="137" t="s">
        <v>432</v>
      </c>
      <c r="AY1482" s="137" t="s">
        <v>432</v>
      </c>
      <c r="AZ1482" s="137" t="s">
        <v>432</v>
      </c>
      <c r="BA1482" s="137" t="s">
        <v>432</v>
      </c>
      <c r="BB1482" s="239" t="str">
        <f t="shared" si="396"/>
        <v>Sinalização semafóricaacessibilidade</v>
      </c>
      <c r="BC1482" s="239" t="str">
        <f t="shared" si="397"/>
        <v>Sinalização semafóricaacessibilidadex</v>
      </c>
      <c r="BD1482" s="239" t="str">
        <f t="shared" si="398"/>
        <v>Sinalização semafóricax</v>
      </c>
    </row>
    <row r="1483" spans="1:56" s="1" customFormat="1" ht="94.5" x14ac:dyDescent="0.25">
      <c r="A1483" s="275" t="str">
        <f>'Q100b-totais'!$B$68</f>
        <v>9.5</v>
      </c>
      <c r="B1483" s="1205" t="str">
        <f>'Q100b-totais'!$C$68</f>
        <v>Sinalização semafórica</v>
      </c>
      <c r="C1483" s="230" t="s">
        <v>743</v>
      </c>
      <c r="D1483" s="362" t="s">
        <v>3139</v>
      </c>
      <c r="E1483" s="1502" t="s">
        <v>1306</v>
      </c>
      <c r="F1483" s="431" t="s">
        <v>546</v>
      </c>
      <c r="G1483" s="58" t="s">
        <v>547</v>
      </c>
      <c r="H1483" s="173" t="s">
        <v>432</v>
      </c>
      <c r="I1483" s="57">
        <v>1</v>
      </c>
      <c r="J1483" s="107" t="s">
        <v>432</v>
      </c>
      <c r="K1483" s="58" t="s">
        <v>432</v>
      </c>
      <c r="L1483" s="58" t="s">
        <v>432</v>
      </c>
      <c r="M1483" s="58" t="s">
        <v>432</v>
      </c>
      <c r="N1483" s="58" t="s">
        <v>432</v>
      </c>
      <c r="O1483" s="58" t="s">
        <v>432</v>
      </c>
      <c r="P1483" s="58" t="s">
        <v>432</v>
      </c>
      <c r="Q1483" s="58" t="s">
        <v>432</v>
      </c>
      <c r="R1483" s="58" t="s">
        <v>432</v>
      </c>
      <c r="S1483" s="109" t="s">
        <v>2209</v>
      </c>
      <c r="T1483" s="58" t="s">
        <v>432</v>
      </c>
      <c r="U1483" s="58" t="s">
        <v>432</v>
      </c>
      <c r="V1483" s="109" t="s">
        <v>2209</v>
      </c>
      <c r="W1483" s="58" t="s">
        <v>432</v>
      </c>
      <c r="X1483" s="58" t="s">
        <v>432</v>
      </c>
      <c r="Y1483" s="21">
        <f t="shared" ref="Y1483:AJ1483" si="407">Y1482/Y1345</f>
        <v>0.15458937198067632</v>
      </c>
      <c r="Z1483" s="21">
        <f t="shared" si="407"/>
        <v>0.15707964601769911</v>
      </c>
      <c r="AA1483" s="21">
        <f t="shared" si="407"/>
        <v>0.15879828326180256</v>
      </c>
      <c r="AB1483" s="21">
        <f t="shared" si="407"/>
        <v>0.15637860082304528</v>
      </c>
      <c r="AC1483" s="21">
        <f t="shared" si="407"/>
        <v>0.16</v>
      </c>
      <c r="AD1483" s="21">
        <f t="shared" si="407"/>
        <v>0.15667311411992263</v>
      </c>
      <c r="AE1483" s="21">
        <f t="shared" si="407"/>
        <v>0.15559772296015181</v>
      </c>
      <c r="AF1483" s="21">
        <f t="shared" si="407"/>
        <v>0.16022099447513813</v>
      </c>
      <c r="AG1483" s="21">
        <f t="shared" si="407"/>
        <v>0.15780141843971632</v>
      </c>
      <c r="AH1483" s="21">
        <f t="shared" si="407"/>
        <v>0.16440677966101694</v>
      </c>
      <c r="AI1483" s="21">
        <f t="shared" si="407"/>
        <v>0.17447495961227788</v>
      </c>
      <c r="AJ1483" s="21">
        <f t="shared" si="407"/>
        <v>0.16951788491446346</v>
      </c>
      <c r="AK1483" s="137" t="s">
        <v>432</v>
      </c>
      <c r="AL1483" s="601" t="s">
        <v>432</v>
      </c>
      <c r="AM1483" s="137" t="s">
        <v>432</v>
      </c>
      <c r="AN1483" s="137" t="s">
        <v>432</v>
      </c>
      <c r="AO1483" s="137" t="s">
        <v>432</v>
      </c>
      <c r="AP1483" s="137" t="s">
        <v>432</v>
      </c>
      <c r="AQ1483" s="137" t="s">
        <v>432</v>
      </c>
      <c r="AR1483" s="137" t="s">
        <v>432</v>
      </c>
      <c r="AS1483" s="137" t="s">
        <v>432</v>
      </c>
      <c r="AT1483" s="137" t="s">
        <v>432</v>
      </c>
      <c r="AU1483" s="137" t="s">
        <v>432</v>
      </c>
      <c r="AV1483" s="137" t="s">
        <v>432</v>
      </c>
      <c r="AW1483" s="137" t="s">
        <v>432</v>
      </c>
      <c r="AX1483" s="137" t="s">
        <v>432</v>
      </c>
      <c r="AY1483" s="137" t="s">
        <v>432</v>
      </c>
      <c r="AZ1483" s="137" t="s">
        <v>432</v>
      </c>
      <c r="BA1483" s="137" t="s">
        <v>432</v>
      </c>
      <c r="BB1483" s="239" t="str">
        <f t="shared" si="396"/>
        <v>Sinalização semafóricaacessibilidade</v>
      </c>
      <c r="BC1483" s="239" t="str">
        <f t="shared" si="397"/>
        <v>Sinalização semafóricaacessibilidadex</v>
      </c>
      <c r="BD1483" s="239" t="str">
        <f t="shared" si="398"/>
        <v>Sinalização semafóricax</v>
      </c>
    </row>
    <row r="1484" spans="1:56" s="1" customFormat="1" ht="76.5" customHeight="1" x14ac:dyDescent="0.25">
      <c r="A1484" s="275" t="str">
        <f>'Q100b-totais'!$B$68</f>
        <v>9.5</v>
      </c>
      <c r="B1484" s="1205" t="str">
        <f>'Q100b-totais'!$C$68</f>
        <v>Sinalização semafórica</v>
      </c>
      <c r="C1484" s="230" t="s">
        <v>743</v>
      </c>
      <c r="D1484" s="324" t="s">
        <v>629</v>
      </c>
      <c r="E1484" s="254" t="s">
        <v>1306</v>
      </c>
      <c r="F1484" s="11" t="s">
        <v>632</v>
      </c>
      <c r="G1484" s="252" t="s">
        <v>77</v>
      </c>
      <c r="H1484" s="444" t="s">
        <v>678</v>
      </c>
      <c r="I1484" s="57">
        <v>1</v>
      </c>
      <c r="J1484" s="107" t="s">
        <v>432</v>
      </c>
      <c r="K1484" s="93" t="s">
        <v>432</v>
      </c>
      <c r="L1484" s="93" t="s">
        <v>432</v>
      </c>
      <c r="M1484" s="93" t="s">
        <v>432</v>
      </c>
      <c r="N1484" s="93" t="s">
        <v>432</v>
      </c>
      <c r="O1484" s="93" t="s">
        <v>432</v>
      </c>
      <c r="P1484" s="93" t="s">
        <v>432</v>
      </c>
      <c r="Q1484" s="93" t="s">
        <v>432</v>
      </c>
      <c r="R1484" s="93" t="s">
        <v>432</v>
      </c>
      <c r="S1484" s="109" t="s">
        <v>2209</v>
      </c>
      <c r="T1484" s="93" t="s">
        <v>432</v>
      </c>
      <c r="U1484" s="93" t="s">
        <v>432</v>
      </c>
      <c r="V1484" s="109" t="s">
        <v>2209</v>
      </c>
      <c r="W1484" s="93" t="s">
        <v>432</v>
      </c>
      <c r="X1484" s="93" t="s">
        <v>432</v>
      </c>
      <c r="Y1484" s="93" t="s">
        <v>432</v>
      </c>
      <c r="Z1484" s="93" t="s">
        <v>432</v>
      </c>
      <c r="AA1484" s="93" t="s">
        <v>432</v>
      </c>
      <c r="AB1484" s="93" t="s">
        <v>432</v>
      </c>
      <c r="AC1484" s="93" t="s">
        <v>432</v>
      </c>
      <c r="AD1484" s="93" t="s">
        <v>432</v>
      </c>
      <c r="AE1484" s="93" t="s">
        <v>432</v>
      </c>
      <c r="AF1484" s="93" t="s">
        <v>432</v>
      </c>
      <c r="AG1484" s="93" t="s">
        <v>432</v>
      </c>
      <c r="AH1484" s="93" t="s">
        <v>432</v>
      </c>
      <c r="AI1484" s="93" t="s">
        <v>432</v>
      </c>
      <c r="AJ1484" s="93" t="s">
        <v>432</v>
      </c>
      <c r="AK1484" s="137" t="s">
        <v>432</v>
      </c>
      <c r="AL1484" s="601" t="s">
        <v>432</v>
      </c>
      <c r="AM1484" s="137" t="s">
        <v>432</v>
      </c>
      <c r="AN1484" s="137" t="s">
        <v>432</v>
      </c>
      <c r="AO1484" s="137" t="s">
        <v>432</v>
      </c>
      <c r="AP1484" s="137" t="s">
        <v>432</v>
      </c>
      <c r="AQ1484" s="137" t="s">
        <v>432</v>
      </c>
      <c r="AR1484" s="137" t="s">
        <v>432</v>
      </c>
      <c r="AS1484" s="137" t="s">
        <v>432</v>
      </c>
      <c r="AT1484" s="137" t="s">
        <v>432</v>
      </c>
      <c r="AU1484" s="137" t="s">
        <v>432</v>
      </c>
      <c r="AV1484" s="137" t="s">
        <v>432</v>
      </c>
      <c r="AW1484" s="137" t="s">
        <v>432</v>
      </c>
      <c r="AX1484" s="137" t="s">
        <v>432</v>
      </c>
      <c r="AY1484" s="137" t="s">
        <v>432</v>
      </c>
      <c r="AZ1484" s="137" t="s">
        <v>432</v>
      </c>
      <c r="BA1484" s="137" t="s">
        <v>432</v>
      </c>
      <c r="BB1484" s="239" t="str">
        <f t="shared" si="396"/>
        <v>Sinalização semafóricaacessibilidade</v>
      </c>
      <c r="BC1484" s="239" t="str">
        <f t="shared" si="397"/>
        <v>Sinalização semafóricaacessibilidadeainda não incorporado ao SisMob-BH</v>
      </c>
      <c r="BD1484" s="239" t="str">
        <f t="shared" si="398"/>
        <v>Sinalização semafóricaainda não incorporado ao SisMob-BH</v>
      </c>
    </row>
    <row r="1485" spans="1:56" s="1" customFormat="1" ht="74.25" customHeight="1" x14ac:dyDescent="0.25">
      <c r="A1485" s="275" t="str">
        <f>'Q100b-totais'!$B$68</f>
        <v>9.5</v>
      </c>
      <c r="B1485" s="1205" t="str">
        <f>'Q100b-totais'!$C$68</f>
        <v>Sinalização semafórica</v>
      </c>
      <c r="C1485" s="230" t="s">
        <v>743</v>
      </c>
      <c r="D1485" s="324" t="s">
        <v>628</v>
      </c>
      <c r="E1485" s="254" t="s">
        <v>1306</v>
      </c>
      <c r="F1485" s="11" t="s">
        <v>633</v>
      </c>
      <c r="G1485" s="11" t="s">
        <v>756</v>
      </c>
      <c r="H1485" s="444" t="s">
        <v>678</v>
      </c>
      <c r="I1485" s="57">
        <v>1</v>
      </c>
      <c r="J1485" s="107" t="s">
        <v>432</v>
      </c>
      <c r="K1485" s="58" t="s">
        <v>432</v>
      </c>
      <c r="L1485" s="58" t="s">
        <v>432</v>
      </c>
      <c r="M1485" s="58" t="s">
        <v>432</v>
      </c>
      <c r="N1485" s="58" t="s">
        <v>432</v>
      </c>
      <c r="O1485" s="58" t="s">
        <v>432</v>
      </c>
      <c r="P1485" s="58" t="s">
        <v>432</v>
      </c>
      <c r="Q1485" s="58" t="s">
        <v>432</v>
      </c>
      <c r="R1485" s="58" t="s">
        <v>432</v>
      </c>
      <c r="S1485" s="109" t="s">
        <v>2209</v>
      </c>
      <c r="T1485" s="58" t="s">
        <v>432</v>
      </c>
      <c r="U1485" s="58" t="s">
        <v>432</v>
      </c>
      <c r="V1485" s="109" t="s">
        <v>2209</v>
      </c>
      <c r="W1485" s="58" t="s">
        <v>432</v>
      </c>
      <c r="X1485" s="58" t="s">
        <v>432</v>
      </c>
      <c r="Y1485" s="58" t="s">
        <v>432</v>
      </c>
      <c r="Z1485" s="58" t="s">
        <v>432</v>
      </c>
      <c r="AA1485" s="58" t="s">
        <v>432</v>
      </c>
      <c r="AB1485" s="58" t="s">
        <v>432</v>
      </c>
      <c r="AC1485" s="58" t="s">
        <v>432</v>
      </c>
      <c r="AD1485" s="58" t="s">
        <v>432</v>
      </c>
      <c r="AE1485" s="58" t="s">
        <v>432</v>
      </c>
      <c r="AF1485" s="58" t="s">
        <v>432</v>
      </c>
      <c r="AG1485" s="58" t="s">
        <v>432</v>
      </c>
      <c r="AH1485" s="58" t="s">
        <v>432</v>
      </c>
      <c r="AI1485" s="58" t="s">
        <v>432</v>
      </c>
      <c r="AJ1485" s="58" t="s">
        <v>432</v>
      </c>
      <c r="AK1485" s="137" t="s">
        <v>432</v>
      </c>
      <c r="AL1485" s="601" t="s">
        <v>432</v>
      </c>
      <c r="AM1485" s="137" t="s">
        <v>432</v>
      </c>
      <c r="AN1485" s="137" t="s">
        <v>432</v>
      </c>
      <c r="AO1485" s="137" t="s">
        <v>432</v>
      </c>
      <c r="AP1485" s="137" t="s">
        <v>432</v>
      </c>
      <c r="AQ1485" s="137" t="s">
        <v>432</v>
      </c>
      <c r="AR1485" s="137" t="s">
        <v>432</v>
      </c>
      <c r="AS1485" s="137" t="s">
        <v>432</v>
      </c>
      <c r="AT1485" s="137" t="s">
        <v>432</v>
      </c>
      <c r="AU1485" s="137" t="s">
        <v>432</v>
      </c>
      <c r="AV1485" s="137" t="s">
        <v>432</v>
      </c>
      <c r="AW1485" s="137" t="s">
        <v>432</v>
      </c>
      <c r="AX1485" s="137" t="s">
        <v>432</v>
      </c>
      <c r="AY1485" s="137" t="s">
        <v>432</v>
      </c>
      <c r="AZ1485" s="137" t="s">
        <v>432</v>
      </c>
      <c r="BA1485" s="137" t="s">
        <v>432</v>
      </c>
      <c r="BB1485" s="239" t="str">
        <f t="shared" si="396"/>
        <v>Sinalização semafóricaacessibilidade</v>
      </c>
      <c r="BC1485" s="239" t="str">
        <f t="shared" si="397"/>
        <v>Sinalização semafóricaacessibilidadeainda não incorporado ao SisMob-BH</v>
      </c>
      <c r="BD1485" s="239" t="str">
        <f t="shared" si="398"/>
        <v>Sinalização semafóricaainda não incorporado ao SisMob-BH</v>
      </c>
    </row>
    <row r="1486" spans="1:56" s="1" customFormat="1" ht="153" customHeight="1" x14ac:dyDescent="0.25">
      <c r="A1486" s="275" t="str">
        <f>'Q100b-totais'!$B$68</f>
        <v>9.5</v>
      </c>
      <c r="B1486" s="1205" t="str">
        <f>'Q100b-totais'!$C$68</f>
        <v>Sinalização semafórica</v>
      </c>
      <c r="C1486" s="57" t="s">
        <v>432</v>
      </c>
      <c r="D1486" s="324" t="s">
        <v>221</v>
      </c>
      <c r="E1486" s="254" t="s">
        <v>1306</v>
      </c>
      <c r="F1486" s="11" t="s">
        <v>1642</v>
      </c>
      <c r="G1486" s="58" t="s">
        <v>548</v>
      </c>
      <c r="H1486" s="173" t="s">
        <v>432</v>
      </c>
      <c r="I1486" s="57">
        <v>1</v>
      </c>
      <c r="J1486" s="107" t="s">
        <v>432</v>
      </c>
      <c r="K1486" s="58" t="s">
        <v>432</v>
      </c>
      <c r="L1486" s="58" t="s">
        <v>432</v>
      </c>
      <c r="M1486" s="58" t="s">
        <v>432</v>
      </c>
      <c r="N1486" s="58" t="s">
        <v>432</v>
      </c>
      <c r="O1486" s="58" t="s">
        <v>432</v>
      </c>
      <c r="P1486" s="58" t="s">
        <v>432</v>
      </c>
      <c r="Q1486" s="58" t="s">
        <v>432</v>
      </c>
      <c r="R1486" s="58" t="s">
        <v>432</v>
      </c>
      <c r="S1486" s="109" t="s">
        <v>2209</v>
      </c>
      <c r="T1486" s="58" t="s">
        <v>432</v>
      </c>
      <c r="U1486" s="58" t="s">
        <v>432</v>
      </c>
      <c r="V1486" s="109" t="s">
        <v>2209</v>
      </c>
      <c r="W1486" s="58" t="s">
        <v>432</v>
      </c>
      <c r="X1486" s="58" t="s">
        <v>432</v>
      </c>
      <c r="Y1486" s="21">
        <f t="shared" ref="Y1486:AJ1486" si="408">Y1482/Y1469</f>
        <v>0.11307420494699646</v>
      </c>
      <c r="Z1486" s="21">
        <f t="shared" si="408"/>
        <v>0.11794019933554817</v>
      </c>
      <c r="AA1486" s="21">
        <f t="shared" si="408"/>
        <v>0.12151067323481117</v>
      </c>
      <c r="AB1486" s="21">
        <f t="shared" si="408"/>
        <v>0.11987381703470032</v>
      </c>
      <c r="AC1486" s="21">
        <f t="shared" si="408"/>
        <v>0.12345679012345678</v>
      </c>
      <c r="AD1486" s="21">
        <f t="shared" si="408"/>
        <v>0.12162162162162163</v>
      </c>
      <c r="AE1486" s="21">
        <f t="shared" si="408"/>
        <v>0.12148148148148148</v>
      </c>
      <c r="AF1486" s="21">
        <f t="shared" si="408"/>
        <v>0.12590448625180897</v>
      </c>
      <c r="AG1486" s="21">
        <f t="shared" si="408"/>
        <v>0.12395543175487465</v>
      </c>
      <c r="AH1486" s="21">
        <f t="shared" si="408"/>
        <v>0.13055181695827725</v>
      </c>
      <c r="AI1486" s="21">
        <f t="shared" si="408"/>
        <v>0.14044213263979194</v>
      </c>
      <c r="AJ1486" s="21">
        <f t="shared" si="408"/>
        <v>0.1357409713574097</v>
      </c>
      <c r="AK1486" s="137" t="s">
        <v>432</v>
      </c>
      <c r="AL1486" s="601" t="s">
        <v>432</v>
      </c>
      <c r="AM1486" s="137" t="s">
        <v>432</v>
      </c>
      <c r="AN1486" s="137" t="s">
        <v>432</v>
      </c>
      <c r="AO1486" s="137" t="s">
        <v>432</v>
      </c>
      <c r="AP1486" s="137" t="s">
        <v>432</v>
      </c>
      <c r="AQ1486" s="137" t="s">
        <v>432</v>
      </c>
      <c r="AR1486" s="137" t="s">
        <v>432</v>
      </c>
      <c r="AS1486" s="137" t="s">
        <v>432</v>
      </c>
      <c r="AT1486" s="137" t="s">
        <v>432</v>
      </c>
      <c r="AU1486" s="137" t="s">
        <v>432</v>
      </c>
      <c r="AV1486" s="137" t="s">
        <v>432</v>
      </c>
      <c r="AW1486" s="137" t="s">
        <v>432</v>
      </c>
      <c r="AX1486" s="137" t="s">
        <v>432</v>
      </c>
      <c r="AY1486" s="137" t="s">
        <v>432</v>
      </c>
      <c r="AZ1486" s="137" t="s">
        <v>432</v>
      </c>
      <c r="BA1486" s="137" t="s">
        <v>432</v>
      </c>
      <c r="BB1486" s="239" t="str">
        <f t="shared" si="396"/>
        <v>Sinalização semafóricax</v>
      </c>
      <c r="BC1486" s="239" t="str">
        <f t="shared" si="397"/>
        <v>Sinalização semafóricaxx</v>
      </c>
      <c r="BD1486" s="239" t="str">
        <f t="shared" si="398"/>
        <v>Sinalização semafóricax</v>
      </c>
    </row>
    <row r="1487" spans="1:56" s="1" customFormat="1" ht="63.75" customHeight="1" x14ac:dyDescent="0.25">
      <c r="A1487" s="275" t="str">
        <f>'Q100b-totais'!$B$64</f>
        <v>9.1</v>
      </c>
      <c r="B1487" s="1205" t="str">
        <f>'Q100b-totais'!$C$64</f>
        <v>Acidentes de trânsito</v>
      </c>
      <c r="C1487" s="57" t="s">
        <v>432</v>
      </c>
      <c r="D1487" s="324" t="s">
        <v>222</v>
      </c>
      <c r="E1487" s="254" t="s">
        <v>432</v>
      </c>
      <c r="F1487" s="11" t="s">
        <v>1946</v>
      </c>
      <c r="G1487" s="57" t="s">
        <v>1926</v>
      </c>
      <c r="H1487" s="173" t="s">
        <v>2408</v>
      </c>
      <c r="I1487" s="57" t="s">
        <v>432</v>
      </c>
      <c r="J1487" s="109" t="s">
        <v>432</v>
      </c>
      <c r="K1487" s="109" t="s">
        <v>432</v>
      </c>
      <c r="L1487" s="109" t="s">
        <v>432</v>
      </c>
      <c r="M1487" s="109" t="s">
        <v>432</v>
      </c>
      <c r="N1487" s="109" t="s">
        <v>432</v>
      </c>
      <c r="O1487" s="109" t="s">
        <v>432</v>
      </c>
      <c r="P1487" s="109" t="s">
        <v>432</v>
      </c>
      <c r="Q1487" s="109" t="s">
        <v>432</v>
      </c>
      <c r="R1487" s="109" t="s">
        <v>432</v>
      </c>
      <c r="S1487" s="109" t="s">
        <v>2209</v>
      </c>
      <c r="T1487" s="109" t="s">
        <v>432</v>
      </c>
      <c r="U1487" s="109" t="s">
        <v>432</v>
      </c>
      <c r="V1487" s="109" t="s">
        <v>2209</v>
      </c>
      <c r="W1487" s="109" t="s">
        <v>432</v>
      </c>
      <c r="X1487" s="109" t="s">
        <v>432</v>
      </c>
      <c r="Y1487" s="109" t="s">
        <v>432</v>
      </c>
      <c r="Z1487" s="109" t="s">
        <v>432</v>
      </c>
      <c r="AA1487" s="109" t="s">
        <v>432</v>
      </c>
      <c r="AB1487" s="109" t="s">
        <v>432</v>
      </c>
      <c r="AC1487" s="109" t="s">
        <v>432</v>
      </c>
      <c r="AD1487" s="109" t="s">
        <v>432</v>
      </c>
      <c r="AE1487" s="109" t="s">
        <v>432</v>
      </c>
      <c r="AF1487" s="109" t="s">
        <v>432</v>
      </c>
      <c r="AG1487" s="109" t="s">
        <v>432</v>
      </c>
      <c r="AH1487" s="109" t="s">
        <v>432</v>
      </c>
      <c r="AI1487" s="109" t="s">
        <v>432</v>
      </c>
      <c r="AJ1487" s="109" t="s">
        <v>432</v>
      </c>
      <c r="AK1487" s="137" t="s">
        <v>432</v>
      </c>
      <c r="AL1487" s="601" t="s">
        <v>432</v>
      </c>
      <c r="AM1487" s="137" t="s">
        <v>432</v>
      </c>
      <c r="AN1487" s="137" t="s">
        <v>432</v>
      </c>
      <c r="AO1487" s="137" t="s">
        <v>432</v>
      </c>
      <c r="AP1487" s="137" t="s">
        <v>432</v>
      </c>
      <c r="AQ1487" s="137" t="s">
        <v>432</v>
      </c>
      <c r="AR1487" s="137" t="s">
        <v>432</v>
      </c>
      <c r="AS1487" s="137" t="s">
        <v>432</v>
      </c>
      <c r="AT1487" s="137" t="s">
        <v>432</v>
      </c>
      <c r="AU1487" s="137" t="s">
        <v>432</v>
      </c>
      <c r="AV1487" s="137" t="s">
        <v>432</v>
      </c>
      <c r="AW1487" s="137" t="s">
        <v>432</v>
      </c>
      <c r="AX1487" s="137" t="s">
        <v>432</v>
      </c>
      <c r="AY1487" s="137" t="s">
        <v>432</v>
      </c>
      <c r="AZ1487" s="137" t="s">
        <v>432</v>
      </c>
      <c r="BA1487" s="137" t="s">
        <v>432</v>
      </c>
      <c r="BB1487" s="239" t="str">
        <f t="shared" si="396"/>
        <v>Acidentes de trânsitox</v>
      </c>
      <c r="BC1487" s="239" t="str">
        <f t="shared" si="397"/>
        <v>Acidentes de trânsitoxsigla/verbete</v>
      </c>
      <c r="BD1487" s="239" t="str">
        <f t="shared" si="398"/>
        <v>Acidentes de trânsitosigla/verbete</v>
      </c>
    </row>
    <row r="1488" spans="1:56" ht="127.5" customHeight="1" x14ac:dyDescent="0.25">
      <c r="A1488" s="275" t="str">
        <f>'Q100b-totais'!$B$65</f>
        <v>9.2</v>
      </c>
      <c r="B1488" s="53" t="str">
        <f>'Q100b-totais'!$C$65</f>
        <v>Estacionamento</v>
      </c>
      <c r="C1488" s="229" t="s">
        <v>432</v>
      </c>
      <c r="D1488" s="325" t="s">
        <v>223</v>
      </c>
      <c r="E1488" s="1512" t="s">
        <v>432</v>
      </c>
      <c r="F1488" s="15" t="s">
        <v>1947</v>
      </c>
      <c r="G1488" s="15" t="s">
        <v>423</v>
      </c>
      <c r="H1488" s="444" t="s">
        <v>678</v>
      </c>
      <c r="I1488" s="167" t="s">
        <v>432</v>
      </c>
      <c r="J1488" s="107" t="s">
        <v>432</v>
      </c>
      <c r="K1488" s="107" t="s">
        <v>432</v>
      </c>
      <c r="L1488" s="107" t="s">
        <v>432</v>
      </c>
      <c r="M1488" s="107" t="s">
        <v>432</v>
      </c>
      <c r="N1488" s="107" t="s">
        <v>432</v>
      </c>
      <c r="O1488" s="107" t="s">
        <v>432</v>
      </c>
      <c r="P1488" s="107" t="s">
        <v>432</v>
      </c>
      <c r="Q1488" s="107" t="s">
        <v>432</v>
      </c>
      <c r="R1488" s="107" t="s">
        <v>432</v>
      </c>
      <c r="S1488" s="109" t="s">
        <v>2209</v>
      </c>
      <c r="T1488" s="107" t="s">
        <v>432</v>
      </c>
      <c r="U1488" s="107" t="s">
        <v>432</v>
      </c>
      <c r="V1488" s="109" t="s">
        <v>2209</v>
      </c>
      <c r="W1488" s="107" t="s">
        <v>432</v>
      </c>
      <c r="X1488" s="107" t="s">
        <v>432</v>
      </c>
      <c r="Y1488" s="107" t="s">
        <v>432</v>
      </c>
      <c r="Z1488" s="107" t="s">
        <v>432</v>
      </c>
      <c r="AA1488" s="107" t="s">
        <v>432</v>
      </c>
      <c r="AB1488" s="107" t="s">
        <v>432</v>
      </c>
      <c r="AC1488" s="107" t="s">
        <v>432</v>
      </c>
      <c r="AD1488" s="107" t="s">
        <v>432</v>
      </c>
      <c r="AE1488" s="107" t="s">
        <v>432</v>
      </c>
      <c r="AF1488" s="107" t="s">
        <v>432</v>
      </c>
      <c r="AG1488" s="107" t="s">
        <v>432</v>
      </c>
      <c r="AH1488" s="107" t="s">
        <v>432</v>
      </c>
      <c r="AI1488" s="107" t="s">
        <v>432</v>
      </c>
      <c r="AJ1488" s="107" t="s">
        <v>432</v>
      </c>
      <c r="AK1488" s="137" t="s">
        <v>432</v>
      </c>
      <c r="AL1488" s="601" t="s">
        <v>432</v>
      </c>
      <c r="AM1488" s="137" t="s">
        <v>432</v>
      </c>
      <c r="AN1488" s="137" t="s">
        <v>432</v>
      </c>
      <c r="AO1488" s="137" t="s">
        <v>432</v>
      </c>
      <c r="AP1488" s="137" t="s">
        <v>432</v>
      </c>
      <c r="AQ1488" s="137" t="s">
        <v>432</v>
      </c>
      <c r="AR1488" s="137" t="s">
        <v>432</v>
      </c>
      <c r="AS1488" s="137" t="s">
        <v>432</v>
      </c>
      <c r="AT1488" s="137" t="s">
        <v>432</v>
      </c>
      <c r="AU1488" s="137" t="s">
        <v>432</v>
      </c>
      <c r="AV1488" s="137" t="s">
        <v>432</v>
      </c>
      <c r="AW1488" s="137" t="s">
        <v>432</v>
      </c>
      <c r="AX1488" s="137" t="s">
        <v>432</v>
      </c>
      <c r="AY1488" s="137" t="s">
        <v>432</v>
      </c>
      <c r="AZ1488" s="137" t="s">
        <v>432</v>
      </c>
      <c r="BA1488" s="137" t="s">
        <v>432</v>
      </c>
      <c r="BB1488" s="239" t="str">
        <f t="shared" si="396"/>
        <v>Estacionamentox</v>
      </c>
      <c r="BC1488" s="239" t="str">
        <f t="shared" si="397"/>
        <v>Estacionamentoxainda não incorporado ao SisMob-BH</v>
      </c>
      <c r="BD1488" s="239" t="str">
        <f t="shared" si="398"/>
        <v>Estacionamentoainda não incorporado ao SisMob-BH</v>
      </c>
    </row>
    <row r="1489" spans="1:56" s="373" customFormat="1" x14ac:dyDescent="0.25">
      <c r="A1489" s="383"/>
      <c r="B1489" s="384"/>
      <c r="C1489" s="384"/>
      <c r="D1489" s="719"/>
      <c r="E1489" s="1519"/>
      <c r="F1489" s="385"/>
      <c r="G1489" s="385"/>
      <c r="H1489" s="389"/>
      <c r="I1489" s="385"/>
      <c r="J1489" s="385"/>
      <c r="K1489" s="385"/>
      <c r="L1489" s="385"/>
      <c r="M1489" s="385"/>
      <c r="N1489" s="385"/>
      <c r="O1489" s="385"/>
      <c r="P1489" s="385"/>
      <c r="Q1489" s="385"/>
      <c r="R1489" s="385"/>
      <c r="S1489" s="385"/>
      <c r="T1489" s="385"/>
      <c r="U1489" s="385"/>
      <c r="V1489" s="385"/>
      <c r="W1489" s="385"/>
      <c r="X1489" s="385"/>
      <c r="Y1489" s="385"/>
      <c r="Z1489" s="385"/>
      <c r="AA1489" s="385"/>
      <c r="AB1489" s="385"/>
      <c r="AC1489" s="385"/>
      <c r="AD1489" s="385"/>
      <c r="AE1489" s="385"/>
      <c r="AF1489" s="385"/>
      <c r="AG1489" s="385"/>
      <c r="AH1489" s="385"/>
      <c r="AI1489" s="385"/>
      <c r="AJ1489" s="385"/>
      <c r="AK1489" s="385"/>
      <c r="AL1489" s="385"/>
      <c r="AM1489" s="385"/>
      <c r="AN1489" s="387"/>
      <c r="AO1489" s="387"/>
      <c r="AP1489" s="387"/>
      <c r="AQ1489" s="387"/>
      <c r="AR1489" s="387"/>
      <c r="AS1489" s="387"/>
      <c r="AT1489" s="387"/>
      <c r="AU1489" s="387"/>
      <c r="AV1489" s="387"/>
      <c r="AW1489" s="387"/>
      <c r="AX1489" s="387"/>
      <c r="AY1489" s="387"/>
      <c r="AZ1489" s="387"/>
      <c r="BA1489" s="387"/>
      <c r="BB1489" s="388"/>
      <c r="BC1489" s="388"/>
      <c r="BD1489" s="388"/>
    </row>
    <row r="1490" spans="1:56" s="1" customFormat="1" ht="25.5" x14ac:dyDescent="0.25">
      <c r="A1490" s="262" t="str">
        <f>'Q100b-totais'!B21</f>
        <v>2.6</v>
      </c>
      <c r="B1490" s="252" t="str">
        <f>'Q100b-totais'!C21</f>
        <v>Cidades da RMBH</v>
      </c>
      <c r="C1490" s="167" t="s">
        <v>432</v>
      </c>
      <c r="D1490" s="323" t="s">
        <v>1747</v>
      </c>
      <c r="E1490" s="1491" t="s">
        <v>1747</v>
      </c>
      <c r="F1490" s="468" t="str">
        <f>pend!C195</f>
        <v>município da RMBH (faltando completar)</v>
      </c>
      <c r="G1490" s="230" t="s">
        <v>3507</v>
      </c>
      <c r="H1490" s="167" t="s">
        <v>2408</v>
      </c>
      <c r="I1490" s="167" t="s">
        <v>432</v>
      </c>
      <c r="J1490" s="107" t="s">
        <v>432</v>
      </c>
      <c r="K1490" s="107" t="s">
        <v>432</v>
      </c>
      <c r="L1490" s="107" t="s">
        <v>432</v>
      </c>
      <c r="M1490" s="107" t="s">
        <v>432</v>
      </c>
      <c r="N1490" s="107" t="s">
        <v>432</v>
      </c>
      <c r="O1490" s="107" t="s">
        <v>432</v>
      </c>
      <c r="P1490" s="107" t="s">
        <v>432</v>
      </c>
      <c r="Q1490" s="107" t="s">
        <v>432</v>
      </c>
      <c r="R1490" s="107" t="s">
        <v>432</v>
      </c>
      <c r="S1490" s="109" t="s">
        <v>2209</v>
      </c>
      <c r="T1490" s="107" t="s">
        <v>432</v>
      </c>
      <c r="U1490" s="107" t="s">
        <v>432</v>
      </c>
      <c r="V1490" s="109" t="s">
        <v>2209</v>
      </c>
      <c r="W1490" s="107" t="s">
        <v>432</v>
      </c>
      <c r="X1490" s="107" t="s">
        <v>432</v>
      </c>
      <c r="Y1490" s="107" t="s">
        <v>432</v>
      </c>
      <c r="Z1490" s="107" t="s">
        <v>432</v>
      </c>
      <c r="AA1490" s="107" t="s">
        <v>432</v>
      </c>
      <c r="AB1490" s="107" t="s">
        <v>432</v>
      </c>
      <c r="AC1490" s="107" t="s">
        <v>432</v>
      </c>
      <c r="AD1490" s="107" t="s">
        <v>432</v>
      </c>
      <c r="AE1490" s="107" t="s">
        <v>432</v>
      </c>
      <c r="AF1490" s="107" t="s">
        <v>432</v>
      </c>
      <c r="AG1490" s="107" t="s">
        <v>432</v>
      </c>
      <c r="AH1490" s="107" t="s">
        <v>432</v>
      </c>
      <c r="AI1490" s="107" t="s">
        <v>432</v>
      </c>
      <c r="AJ1490" s="107" t="s">
        <v>432</v>
      </c>
      <c r="AK1490" s="137" t="s">
        <v>432</v>
      </c>
      <c r="AL1490" s="601" t="s">
        <v>432</v>
      </c>
      <c r="AM1490" s="137" t="s">
        <v>432</v>
      </c>
      <c r="AN1490" s="137" t="s">
        <v>432</v>
      </c>
      <c r="AO1490" s="137" t="s">
        <v>432</v>
      </c>
      <c r="AP1490" s="137" t="s">
        <v>432</v>
      </c>
      <c r="AQ1490" s="137" t="s">
        <v>432</v>
      </c>
      <c r="AR1490" s="137" t="s">
        <v>432</v>
      </c>
      <c r="AS1490" s="137" t="s">
        <v>432</v>
      </c>
      <c r="AT1490" s="137" t="s">
        <v>432</v>
      </c>
      <c r="AU1490" s="137" t="s">
        <v>432</v>
      </c>
      <c r="AV1490" s="137" t="s">
        <v>432</v>
      </c>
      <c r="AW1490" s="137" t="s">
        <v>432</v>
      </c>
      <c r="AX1490" s="137" t="s">
        <v>432</v>
      </c>
      <c r="AY1490" s="137" t="s">
        <v>432</v>
      </c>
      <c r="AZ1490" s="137" t="s">
        <v>432</v>
      </c>
      <c r="BA1490" s="137" t="s">
        <v>432</v>
      </c>
      <c r="BB1490" s="239" t="str">
        <f t="shared" ref="BB1490" si="409">B1490&amp;C1490</f>
        <v>Cidades da RMBHx</v>
      </c>
      <c r="BC1490" s="239" t="str">
        <f t="shared" ref="BC1490" si="410">B1490&amp;C1490&amp;H1490</f>
        <v>Cidades da RMBHxsigla/verbete</v>
      </c>
      <c r="BD1490" s="239" t="str">
        <f t="shared" ref="BD1490" si="411">B1490&amp;H1490</f>
        <v>Cidades da RMBHsigla/verbete</v>
      </c>
    </row>
    <row r="1491" spans="1:56" s="1" customFormat="1" ht="51" customHeight="1" x14ac:dyDescent="0.25">
      <c r="A1491" s="262" t="s">
        <v>432</v>
      </c>
      <c r="B1491" s="252" t="s">
        <v>742</v>
      </c>
      <c r="C1491" s="167" t="s">
        <v>432</v>
      </c>
      <c r="D1491" s="324" t="s">
        <v>224</v>
      </c>
      <c r="E1491" s="1445" t="s">
        <v>432</v>
      </c>
      <c r="F1491" s="11" t="s">
        <v>676</v>
      </c>
      <c r="G1491" s="167" t="s">
        <v>3879</v>
      </c>
      <c r="H1491" s="167" t="s">
        <v>432</v>
      </c>
      <c r="I1491" s="167" t="s">
        <v>432</v>
      </c>
      <c r="J1491" s="107" t="s">
        <v>432</v>
      </c>
      <c r="K1491" s="107" t="s">
        <v>432</v>
      </c>
      <c r="L1491" s="107" t="s">
        <v>432</v>
      </c>
      <c r="M1491" s="107" t="s">
        <v>432</v>
      </c>
      <c r="N1491" s="107" t="s">
        <v>432</v>
      </c>
      <c r="O1491" s="107" t="s">
        <v>432</v>
      </c>
      <c r="P1491" s="107" t="s">
        <v>432</v>
      </c>
      <c r="Q1491" s="107" t="s">
        <v>432</v>
      </c>
      <c r="R1491" s="107" t="s">
        <v>432</v>
      </c>
      <c r="S1491" s="109" t="s">
        <v>2209</v>
      </c>
      <c r="T1491" s="107" t="s">
        <v>432</v>
      </c>
      <c r="U1491" s="107" t="s">
        <v>432</v>
      </c>
      <c r="V1491" s="109" t="s">
        <v>2209</v>
      </c>
      <c r="W1491" s="107" t="s">
        <v>432</v>
      </c>
      <c r="X1491" s="107" t="s">
        <v>432</v>
      </c>
      <c r="Y1491" s="107" t="s">
        <v>432</v>
      </c>
      <c r="Z1491" s="107" t="s">
        <v>432</v>
      </c>
      <c r="AA1491" s="107" t="s">
        <v>432</v>
      </c>
      <c r="AB1491" s="107" t="s">
        <v>432</v>
      </c>
      <c r="AC1491" s="107" t="s">
        <v>432</v>
      </c>
      <c r="AD1491" s="107" t="s">
        <v>432</v>
      </c>
      <c r="AE1491" s="107" t="s">
        <v>432</v>
      </c>
      <c r="AF1491" s="107" t="s">
        <v>432</v>
      </c>
      <c r="AG1491" s="107" t="s">
        <v>432</v>
      </c>
      <c r="AH1491" s="107" t="s">
        <v>432</v>
      </c>
      <c r="AI1491" s="107" t="s">
        <v>432</v>
      </c>
      <c r="AJ1491" s="107" t="s">
        <v>432</v>
      </c>
      <c r="AK1491" s="137" t="s">
        <v>432</v>
      </c>
      <c r="AL1491" s="601" t="s">
        <v>432</v>
      </c>
      <c r="AM1491" s="137" t="s">
        <v>432</v>
      </c>
      <c r="AN1491" s="137" t="s">
        <v>432</v>
      </c>
      <c r="AO1491" s="137" t="s">
        <v>432</v>
      </c>
      <c r="AP1491" s="137" t="s">
        <v>432</v>
      </c>
      <c r="AQ1491" s="137" t="s">
        <v>432</v>
      </c>
      <c r="AR1491" s="137" t="s">
        <v>432</v>
      </c>
      <c r="AS1491" s="137" t="s">
        <v>432</v>
      </c>
      <c r="AT1491" s="137" t="s">
        <v>432</v>
      </c>
      <c r="AU1491" s="137" t="s">
        <v>432</v>
      </c>
      <c r="AV1491" s="137" t="s">
        <v>432</v>
      </c>
      <c r="AW1491" s="137" t="s">
        <v>432</v>
      </c>
      <c r="AX1491" s="137" t="s">
        <v>432</v>
      </c>
      <c r="AY1491" s="137" t="s">
        <v>432</v>
      </c>
      <c r="AZ1491" s="137" t="s">
        <v>432</v>
      </c>
      <c r="BA1491" s="137" t="s">
        <v>432</v>
      </c>
      <c r="BB1491" s="239" t="str">
        <f t="shared" si="396"/>
        <v>geralx</v>
      </c>
      <c r="BC1491" s="239" t="str">
        <f t="shared" si="397"/>
        <v>geralxx</v>
      </c>
      <c r="BD1491" s="239" t="str">
        <f t="shared" si="398"/>
        <v>geralx</v>
      </c>
    </row>
    <row r="1492" spans="1:56" s="1" customFormat="1" ht="51" customHeight="1" x14ac:dyDescent="0.25">
      <c r="A1492" s="262" t="str">
        <f>'Q100b-totais'!B22</f>
        <v>2.7</v>
      </c>
      <c r="B1492" s="252" t="str">
        <f>'Q100b-totais'!C22</f>
        <v>Outras cidades/regiões</v>
      </c>
      <c r="C1492" s="167" t="s">
        <v>432</v>
      </c>
      <c r="D1492" s="325" t="s">
        <v>2056</v>
      </c>
      <c r="E1492" s="1445" t="s">
        <v>2056</v>
      </c>
      <c r="F1492" s="1151" t="s">
        <v>4531</v>
      </c>
      <c r="G1492" s="230" t="s">
        <v>3507</v>
      </c>
      <c r="H1492" s="667" t="s">
        <v>2408</v>
      </c>
      <c r="I1492" s="167" t="s">
        <v>432</v>
      </c>
      <c r="J1492" s="107" t="s">
        <v>432</v>
      </c>
      <c r="K1492" s="107" t="s">
        <v>432</v>
      </c>
      <c r="L1492" s="107" t="s">
        <v>432</v>
      </c>
      <c r="M1492" s="107" t="s">
        <v>432</v>
      </c>
      <c r="N1492" s="107" t="s">
        <v>432</v>
      </c>
      <c r="O1492" s="107" t="s">
        <v>432</v>
      </c>
      <c r="P1492" s="107" t="s">
        <v>432</v>
      </c>
      <c r="Q1492" s="107" t="s">
        <v>432</v>
      </c>
      <c r="R1492" s="107" t="s">
        <v>432</v>
      </c>
      <c r="S1492" s="109" t="s">
        <v>2209</v>
      </c>
      <c r="T1492" s="107" t="s">
        <v>432</v>
      </c>
      <c r="U1492" s="107" t="s">
        <v>432</v>
      </c>
      <c r="V1492" s="109" t="s">
        <v>2209</v>
      </c>
      <c r="W1492" s="107" t="s">
        <v>432</v>
      </c>
      <c r="X1492" s="107" t="s">
        <v>432</v>
      </c>
      <c r="Y1492" s="107" t="s">
        <v>432</v>
      </c>
      <c r="Z1492" s="107" t="s">
        <v>432</v>
      </c>
      <c r="AA1492" s="107" t="s">
        <v>432</v>
      </c>
      <c r="AB1492" s="107" t="s">
        <v>432</v>
      </c>
      <c r="AC1492" s="107" t="s">
        <v>432</v>
      </c>
      <c r="AD1492" s="107" t="s">
        <v>432</v>
      </c>
      <c r="AE1492" s="107" t="s">
        <v>432</v>
      </c>
      <c r="AF1492" s="107" t="s">
        <v>432</v>
      </c>
      <c r="AG1492" s="107" t="s">
        <v>432</v>
      </c>
      <c r="AH1492" s="107" t="s">
        <v>432</v>
      </c>
      <c r="AI1492" s="107" t="s">
        <v>432</v>
      </c>
      <c r="AJ1492" s="107" t="s">
        <v>432</v>
      </c>
      <c r="AK1492" s="137" t="s">
        <v>432</v>
      </c>
      <c r="AL1492" s="601" t="s">
        <v>432</v>
      </c>
      <c r="AM1492" s="137" t="s">
        <v>432</v>
      </c>
      <c r="AN1492" s="137" t="s">
        <v>432</v>
      </c>
      <c r="AO1492" s="137" t="s">
        <v>432</v>
      </c>
      <c r="AP1492" s="137" t="s">
        <v>432</v>
      </c>
      <c r="AQ1492" s="137" t="s">
        <v>432</v>
      </c>
      <c r="AR1492" s="137" t="s">
        <v>432</v>
      </c>
      <c r="AS1492" s="137" t="s">
        <v>432</v>
      </c>
      <c r="AT1492" s="137" t="s">
        <v>432</v>
      </c>
      <c r="AU1492" s="137" t="s">
        <v>432</v>
      </c>
      <c r="AV1492" s="137" t="s">
        <v>432</v>
      </c>
      <c r="AW1492" s="137" t="s">
        <v>432</v>
      </c>
      <c r="AX1492" s="137" t="s">
        <v>432</v>
      </c>
      <c r="AY1492" s="137" t="s">
        <v>432</v>
      </c>
      <c r="AZ1492" s="137" t="s">
        <v>432</v>
      </c>
      <c r="BA1492" s="137" t="s">
        <v>432</v>
      </c>
      <c r="BB1492" s="239" t="str">
        <f>B1492&amp;C1492</f>
        <v>Outras cidades/regiõesx</v>
      </c>
      <c r="BC1492" s="239" t="str">
        <f>B1492&amp;C1492&amp;H1492</f>
        <v>Outras cidades/regiõesxsigla/verbete</v>
      </c>
      <c r="BD1492" s="239" t="str">
        <f>B1492&amp;H1492</f>
        <v>Outras cidades/regiõessigla/verbete</v>
      </c>
    </row>
    <row r="1493" spans="1:56" s="1" customFormat="1" ht="51" customHeight="1" x14ac:dyDescent="0.25">
      <c r="A1493" s="262" t="str">
        <f>'Q100b-totais'!B20</f>
        <v>2.5</v>
      </c>
      <c r="B1493" s="252" t="str">
        <f>'Q100b-totais'!C20</f>
        <v>Distribuição modal em pesquisas origem/destino</v>
      </c>
      <c r="C1493" s="167" t="s">
        <v>432</v>
      </c>
      <c r="D1493" s="325" t="s">
        <v>5245</v>
      </c>
      <c r="E1493" s="1445" t="s">
        <v>432</v>
      </c>
      <c r="F1493" s="1151" t="s">
        <v>5247</v>
      </c>
      <c r="G1493" s="230" t="s">
        <v>3507</v>
      </c>
      <c r="H1493" s="667" t="s">
        <v>2408</v>
      </c>
      <c r="I1493" s="167" t="s">
        <v>432</v>
      </c>
      <c r="J1493" s="107" t="s">
        <v>432</v>
      </c>
      <c r="K1493" s="107" t="s">
        <v>432</v>
      </c>
      <c r="L1493" s="107" t="s">
        <v>432</v>
      </c>
      <c r="M1493" s="107" t="s">
        <v>432</v>
      </c>
      <c r="N1493" s="107" t="s">
        <v>432</v>
      </c>
      <c r="O1493" s="107" t="s">
        <v>432</v>
      </c>
      <c r="P1493" s="107" t="s">
        <v>432</v>
      </c>
      <c r="Q1493" s="107" t="s">
        <v>432</v>
      </c>
      <c r="R1493" s="107" t="s">
        <v>432</v>
      </c>
      <c r="S1493" s="109" t="s">
        <v>2209</v>
      </c>
      <c r="T1493" s="107" t="s">
        <v>432</v>
      </c>
      <c r="U1493" s="107" t="s">
        <v>432</v>
      </c>
      <c r="V1493" s="109" t="s">
        <v>2209</v>
      </c>
      <c r="W1493" s="107" t="s">
        <v>432</v>
      </c>
      <c r="X1493" s="107" t="s">
        <v>432</v>
      </c>
      <c r="Y1493" s="107" t="s">
        <v>432</v>
      </c>
      <c r="Z1493" s="107" t="s">
        <v>432</v>
      </c>
      <c r="AA1493" s="107" t="s">
        <v>432</v>
      </c>
      <c r="AB1493" s="107" t="s">
        <v>432</v>
      </c>
      <c r="AC1493" s="107" t="s">
        <v>432</v>
      </c>
      <c r="AD1493" s="107" t="s">
        <v>432</v>
      </c>
      <c r="AE1493" s="107" t="s">
        <v>432</v>
      </c>
      <c r="AF1493" s="107" t="s">
        <v>432</v>
      </c>
      <c r="AG1493" s="107" t="s">
        <v>432</v>
      </c>
      <c r="AH1493" s="107" t="s">
        <v>432</v>
      </c>
      <c r="AI1493" s="107" t="s">
        <v>432</v>
      </c>
      <c r="AJ1493" s="107" t="s">
        <v>432</v>
      </c>
      <c r="AK1493" s="137" t="s">
        <v>432</v>
      </c>
      <c r="AL1493" s="601" t="s">
        <v>432</v>
      </c>
      <c r="AM1493" s="137" t="s">
        <v>432</v>
      </c>
      <c r="AN1493" s="137" t="s">
        <v>432</v>
      </c>
      <c r="AO1493" s="137" t="s">
        <v>432</v>
      </c>
      <c r="AP1493" s="137" t="s">
        <v>432</v>
      </c>
      <c r="AQ1493" s="137" t="s">
        <v>432</v>
      </c>
      <c r="AR1493" s="137" t="s">
        <v>432</v>
      </c>
      <c r="AS1493" s="137" t="s">
        <v>432</v>
      </c>
      <c r="AT1493" s="137" t="s">
        <v>432</v>
      </c>
      <c r="AU1493" s="137" t="s">
        <v>432</v>
      </c>
      <c r="AV1493" s="137" t="s">
        <v>432</v>
      </c>
      <c r="AW1493" s="137" t="s">
        <v>432</v>
      </c>
      <c r="AX1493" s="137" t="s">
        <v>432</v>
      </c>
      <c r="AY1493" s="137" t="s">
        <v>432</v>
      </c>
      <c r="AZ1493" s="137" t="s">
        <v>432</v>
      </c>
      <c r="BA1493" s="137" t="s">
        <v>432</v>
      </c>
      <c r="BB1493" s="239" t="str">
        <f>B1493&amp;C1493</f>
        <v>Distribuição modal em pesquisas origem/destinox</v>
      </c>
      <c r="BC1493" s="239" t="str">
        <f>B1493&amp;C1493&amp;H1493</f>
        <v>Distribuição modal em pesquisas origem/destinoxsigla/verbete</v>
      </c>
      <c r="BD1493" s="239" t="str">
        <f>B1493&amp;H1493</f>
        <v>Distribuição modal em pesquisas origem/destinosigla/verbete</v>
      </c>
    </row>
    <row r="1494" spans="1:56" s="1" customFormat="1" ht="51" customHeight="1" x14ac:dyDescent="0.25">
      <c r="A1494" s="262" t="str">
        <f>'Q100b-totais'!B20</f>
        <v>2.5</v>
      </c>
      <c r="B1494" s="252" t="str">
        <f>'Q100b-totais'!C20</f>
        <v>Distribuição modal em pesquisas origem/destino</v>
      </c>
      <c r="C1494" s="167" t="s">
        <v>432</v>
      </c>
      <c r="D1494" s="325" t="s">
        <v>5246</v>
      </c>
      <c r="E1494" s="1445" t="s">
        <v>432</v>
      </c>
      <c r="F1494" s="1151" t="s">
        <v>5248</v>
      </c>
      <c r="G1494" s="230" t="s">
        <v>3507</v>
      </c>
      <c r="H1494" s="667" t="s">
        <v>2408</v>
      </c>
      <c r="I1494" s="167" t="s">
        <v>432</v>
      </c>
      <c r="J1494" s="107" t="s">
        <v>432</v>
      </c>
      <c r="K1494" s="107" t="s">
        <v>432</v>
      </c>
      <c r="L1494" s="107" t="s">
        <v>432</v>
      </c>
      <c r="M1494" s="107" t="s">
        <v>432</v>
      </c>
      <c r="N1494" s="107" t="s">
        <v>432</v>
      </c>
      <c r="O1494" s="107" t="s">
        <v>432</v>
      </c>
      <c r="P1494" s="107" t="s">
        <v>432</v>
      </c>
      <c r="Q1494" s="107" t="s">
        <v>432</v>
      </c>
      <c r="R1494" s="107" t="s">
        <v>432</v>
      </c>
      <c r="S1494" s="109" t="s">
        <v>2209</v>
      </c>
      <c r="T1494" s="107" t="s">
        <v>432</v>
      </c>
      <c r="U1494" s="107" t="s">
        <v>432</v>
      </c>
      <c r="V1494" s="109" t="s">
        <v>2209</v>
      </c>
      <c r="W1494" s="107" t="s">
        <v>432</v>
      </c>
      <c r="X1494" s="107" t="s">
        <v>432</v>
      </c>
      <c r="Y1494" s="107" t="s">
        <v>432</v>
      </c>
      <c r="Z1494" s="107" t="s">
        <v>432</v>
      </c>
      <c r="AA1494" s="107" t="s">
        <v>432</v>
      </c>
      <c r="AB1494" s="107" t="s">
        <v>432</v>
      </c>
      <c r="AC1494" s="107" t="s">
        <v>432</v>
      </c>
      <c r="AD1494" s="107" t="s">
        <v>432</v>
      </c>
      <c r="AE1494" s="107" t="s">
        <v>432</v>
      </c>
      <c r="AF1494" s="107" t="s">
        <v>432</v>
      </c>
      <c r="AG1494" s="107" t="s">
        <v>432</v>
      </c>
      <c r="AH1494" s="107" t="s">
        <v>432</v>
      </c>
      <c r="AI1494" s="107" t="s">
        <v>432</v>
      </c>
      <c r="AJ1494" s="107" t="s">
        <v>432</v>
      </c>
      <c r="AK1494" s="137" t="s">
        <v>432</v>
      </c>
      <c r="AL1494" s="601" t="s">
        <v>432</v>
      </c>
      <c r="AM1494" s="137" t="s">
        <v>432</v>
      </c>
      <c r="AN1494" s="137" t="s">
        <v>432</v>
      </c>
      <c r="AO1494" s="137" t="s">
        <v>432</v>
      </c>
      <c r="AP1494" s="137" t="s">
        <v>432</v>
      </c>
      <c r="AQ1494" s="137" t="s">
        <v>432</v>
      </c>
      <c r="AR1494" s="137" t="s">
        <v>432</v>
      </c>
      <c r="AS1494" s="137" t="s">
        <v>432</v>
      </c>
      <c r="AT1494" s="137" t="s">
        <v>432</v>
      </c>
      <c r="AU1494" s="137" t="s">
        <v>432</v>
      </c>
      <c r="AV1494" s="137" t="s">
        <v>432</v>
      </c>
      <c r="AW1494" s="137" t="s">
        <v>432</v>
      </c>
      <c r="AX1494" s="137" t="s">
        <v>432</v>
      </c>
      <c r="AY1494" s="137" t="s">
        <v>432</v>
      </c>
      <c r="AZ1494" s="137" t="s">
        <v>432</v>
      </c>
      <c r="BA1494" s="137" t="s">
        <v>432</v>
      </c>
      <c r="BB1494" s="239" t="str">
        <f>B1494&amp;C1494</f>
        <v>Distribuição modal em pesquisas origem/destinox</v>
      </c>
      <c r="BC1494" s="239" t="str">
        <f>B1494&amp;C1494&amp;H1494</f>
        <v>Distribuição modal em pesquisas origem/destinoxsigla/verbete</v>
      </c>
      <c r="BD1494" s="239" t="str">
        <f>B1494&amp;H1494</f>
        <v>Distribuição modal em pesquisas origem/destinosigla/verbete</v>
      </c>
    </row>
    <row r="1495" spans="1:56" s="1" customFormat="1" ht="25.5" x14ac:dyDescent="0.25">
      <c r="A1495" s="262" t="str">
        <f>'Q100b-totais'!B21</f>
        <v>2.6</v>
      </c>
      <c r="B1495" s="252" t="str">
        <f>'Q100b-totais'!C21</f>
        <v>Cidades da RMBH</v>
      </c>
      <c r="C1495" s="167" t="s">
        <v>432</v>
      </c>
      <c r="D1495" s="323" t="s">
        <v>1748</v>
      </c>
      <c r="E1495" s="1491" t="s">
        <v>1748</v>
      </c>
      <c r="F1495" s="468" t="str">
        <f>pend!C196</f>
        <v>município da RMBH (faltando completar)</v>
      </c>
      <c r="G1495" s="230" t="s">
        <v>3507</v>
      </c>
      <c r="H1495" s="167" t="s">
        <v>2408</v>
      </c>
      <c r="I1495" s="167" t="s">
        <v>432</v>
      </c>
      <c r="J1495" s="107" t="s">
        <v>432</v>
      </c>
      <c r="K1495" s="107" t="s">
        <v>432</v>
      </c>
      <c r="L1495" s="107" t="s">
        <v>432</v>
      </c>
      <c r="M1495" s="107" t="s">
        <v>432</v>
      </c>
      <c r="N1495" s="107" t="s">
        <v>432</v>
      </c>
      <c r="O1495" s="107" t="s">
        <v>432</v>
      </c>
      <c r="P1495" s="107" t="s">
        <v>432</v>
      </c>
      <c r="Q1495" s="107" t="s">
        <v>432</v>
      </c>
      <c r="R1495" s="107" t="s">
        <v>432</v>
      </c>
      <c r="S1495" s="109" t="s">
        <v>2209</v>
      </c>
      <c r="T1495" s="107" t="s">
        <v>432</v>
      </c>
      <c r="U1495" s="107" t="s">
        <v>432</v>
      </c>
      <c r="V1495" s="109" t="s">
        <v>2209</v>
      </c>
      <c r="W1495" s="107" t="s">
        <v>432</v>
      </c>
      <c r="X1495" s="107" t="s">
        <v>432</v>
      </c>
      <c r="Y1495" s="107" t="s">
        <v>432</v>
      </c>
      <c r="Z1495" s="107" t="s">
        <v>432</v>
      </c>
      <c r="AA1495" s="107" t="s">
        <v>432</v>
      </c>
      <c r="AB1495" s="107" t="s">
        <v>432</v>
      </c>
      <c r="AC1495" s="107" t="s">
        <v>432</v>
      </c>
      <c r="AD1495" s="107" t="s">
        <v>432</v>
      </c>
      <c r="AE1495" s="107" t="s">
        <v>432</v>
      </c>
      <c r="AF1495" s="107" t="s">
        <v>432</v>
      </c>
      <c r="AG1495" s="107" t="s">
        <v>432</v>
      </c>
      <c r="AH1495" s="107" t="s">
        <v>432</v>
      </c>
      <c r="AI1495" s="107" t="s">
        <v>432</v>
      </c>
      <c r="AJ1495" s="107" t="s">
        <v>432</v>
      </c>
      <c r="AK1495" s="137" t="s">
        <v>432</v>
      </c>
      <c r="AL1495" s="601" t="s">
        <v>432</v>
      </c>
      <c r="AM1495" s="137" t="s">
        <v>432</v>
      </c>
      <c r="AN1495" s="137" t="s">
        <v>432</v>
      </c>
      <c r="AO1495" s="137" t="s">
        <v>432</v>
      </c>
      <c r="AP1495" s="137" t="s">
        <v>432</v>
      </c>
      <c r="AQ1495" s="137" t="s">
        <v>432</v>
      </c>
      <c r="AR1495" s="137" t="s">
        <v>432</v>
      </c>
      <c r="AS1495" s="137" t="s">
        <v>432</v>
      </c>
      <c r="AT1495" s="137" t="s">
        <v>432</v>
      </c>
      <c r="AU1495" s="137" t="s">
        <v>432</v>
      </c>
      <c r="AV1495" s="137" t="s">
        <v>432</v>
      </c>
      <c r="AW1495" s="137" t="s">
        <v>432</v>
      </c>
      <c r="AX1495" s="137" t="s">
        <v>432</v>
      </c>
      <c r="AY1495" s="137" t="s">
        <v>432</v>
      </c>
      <c r="AZ1495" s="137" t="s">
        <v>432</v>
      </c>
      <c r="BA1495" s="137" t="s">
        <v>432</v>
      </c>
      <c r="BB1495" s="239" t="str">
        <f t="shared" ref="BB1495" si="412">B1495&amp;C1495</f>
        <v>Cidades da RMBHx</v>
      </c>
      <c r="BC1495" s="239" t="str">
        <f t="shared" ref="BC1495" si="413">B1495&amp;C1495&amp;H1495</f>
        <v>Cidades da RMBHxsigla/verbete</v>
      </c>
      <c r="BD1495" s="239" t="str">
        <f t="shared" ref="BD1495" si="414">B1495&amp;H1495</f>
        <v>Cidades da RMBHsigla/verbete</v>
      </c>
    </row>
    <row r="1496" spans="1:56" s="1" customFormat="1" ht="45" customHeight="1" x14ac:dyDescent="0.25">
      <c r="A1496" s="262" t="str">
        <f>'Q100b-totais'!B22</f>
        <v>2.7</v>
      </c>
      <c r="B1496" s="252" t="str">
        <f>'Q100b-totais'!C22</f>
        <v>Outras cidades/regiões</v>
      </c>
      <c r="C1496" s="167" t="s">
        <v>432</v>
      </c>
      <c r="D1496" s="1570" t="s">
        <v>6325</v>
      </c>
      <c r="E1496" s="1499" t="s">
        <v>6325</v>
      </c>
      <c r="F1496" s="252" t="s">
        <v>6336</v>
      </c>
      <c r="G1496" s="230" t="s">
        <v>3507</v>
      </c>
      <c r="H1496" s="167" t="s">
        <v>2408</v>
      </c>
      <c r="I1496" s="167" t="s">
        <v>432</v>
      </c>
      <c r="J1496" s="107" t="s">
        <v>432</v>
      </c>
      <c r="K1496" s="107" t="s">
        <v>432</v>
      </c>
      <c r="L1496" s="107" t="s">
        <v>432</v>
      </c>
      <c r="M1496" s="107" t="s">
        <v>432</v>
      </c>
      <c r="N1496" s="107" t="s">
        <v>432</v>
      </c>
      <c r="O1496" s="107" t="s">
        <v>432</v>
      </c>
      <c r="P1496" s="107" t="s">
        <v>432</v>
      </c>
      <c r="Q1496" s="107" t="s">
        <v>432</v>
      </c>
      <c r="R1496" s="107" t="s">
        <v>432</v>
      </c>
      <c r="S1496" s="109" t="s">
        <v>2209</v>
      </c>
      <c r="T1496" s="107" t="s">
        <v>432</v>
      </c>
      <c r="U1496" s="107" t="s">
        <v>432</v>
      </c>
      <c r="V1496" s="109" t="s">
        <v>2209</v>
      </c>
      <c r="W1496" s="107" t="s">
        <v>432</v>
      </c>
      <c r="X1496" s="107" t="s">
        <v>432</v>
      </c>
      <c r="Y1496" s="107" t="s">
        <v>432</v>
      </c>
      <c r="Z1496" s="107" t="s">
        <v>432</v>
      </c>
      <c r="AA1496" s="107" t="s">
        <v>432</v>
      </c>
      <c r="AB1496" s="107" t="s">
        <v>432</v>
      </c>
      <c r="AC1496" s="107" t="s">
        <v>432</v>
      </c>
      <c r="AD1496" s="107" t="s">
        <v>432</v>
      </c>
      <c r="AE1496" s="107" t="s">
        <v>432</v>
      </c>
      <c r="AF1496" s="107" t="s">
        <v>432</v>
      </c>
      <c r="AG1496" s="107" t="s">
        <v>432</v>
      </c>
      <c r="AH1496" s="107" t="s">
        <v>432</v>
      </c>
      <c r="AI1496" s="107" t="s">
        <v>432</v>
      </c>
      <c r="AJ1496" s="107" t="s">
        <v>432</v>
      </c>
      <c r="AK1496" s="137" t="s">
        <v>432</v>
      </c>
      <c r="AL1496" s="601" t="s">
        <v>432</v>
      </c>
      <c r="AM1496" s="137" t="s">
        <v>432</v>
      </c>
      <c r="AN1496" s="137" t="s">
        <v>432</v>
      </c>
      <c r="AO1496" s="137" t="s">
        <v>432</v>
      </c>
      <c r="AP1496" s="137" t="s">
        <v>432</v>
      </c>
      <c r="AQ1496" s="137" t="s">
        <v>432</v>
      </c>
      <c r="AR1496" s="137" t="s">
        <v>432</v>
      </c>
      <c r="AS1496" s="137" t="s">
        <v>432</v>
      </c>
      <c r="AT1496" s="137" t="s">
        <v>432</v>
      </c>
      <c r="AU1496" s="137" t="s">
        <v>432</v>
      </c>
      <c r="AV1496" s="137" t="s">
        <v>432</v>
      </c>
      <c r="AW1496" s="137" t="s">
        <v>432</v>
      </c>
      <c r="AX1496" s="137" t="s">
        <v>432</v>
      </c>
      <c r="AY1496" s="137" t="s">
        <v>432</v>
      </c>
      <c r="AZ1496" s="137" t="s">
        <v>432</v>
      </c>
      <c r="BA1496" s="137" t="s">
        <v>432</v>
      </c>
      <c r="BB1496" s="239" t="str">
        <f t="shared" ref="BB1496" si="415">B1496&amp;C1496</f>
        <v>Outras cidades/regiõesx</v>
      </c>
      <c r="BC1496" s="239" t="str">
        <f t="shared" ref="BC1496" si="416">B1496&amp;C1496&amp;H1496</f>
        <v>Outras cidades/regiõesxsigla/verbete</v>
      </c>
      <c r="BD1496" s="239" t="str">
        <f t="shared" ref="BD1496" si="417">B1496&amp;H1496</f>
        <v>Outras cidades/regiõessigla/verbete</v>
      </c>
    </row>
    <row r="1497" spans="1:56" s="373" customFormat="1" x14ac:dyDescent="0.25">
      <c r="A1497" s="383"/>
      <c r="B1497" s="384"/>
      <c r="C1497" s="384"/>
      <c r="D1497" s="719"/>
      <c r="E1497" s="1519"/>
      <c r="F1497" s="385"/>
      <c r="G1497" s="385"/>
      <c r="H1497" s="389"/>
      <c r="I1497" s="385"/>
      <c r="J1497" s="385"/>
      <c r="K1497" s="385"/>
      <c r="L1497" s="385"/>
      <c r="M1497" s="385"/>
      <c r="N1497" s="385"/>
      <c r="O1497" s="385"/>
      <c r="P1497" s="385"/>
      <c r="Q1497" s="385"/>
      <c r="R1497" s="385"/>
      <c r="S1497" s="385"/>
      <c r="T1497" s="385"/>
      <c r="U1497" s="385"/>
      <c r="V1497" s="385"/>
      <c r="W1497" s="385"/>
      <c r="X1497" s="385"/>
      <c r="Y1497" s="385"/>
      <c r="Z1497" s="385"/>
      <c r="AA1497" s="385"/>
      <c r="AB1497" s="385"/>
      <c r="AC1497" s="385"/>
      <c r="AD1497" s="385"/>
      <c r="AE1497" s="385"/>
      <c r="AF1497" s="385"/>
      <c r="AG1497" s="385"/>
      <c r="AH1497" s="385"/>
      <c r="AI1497" s="385"/>
      <c r="AJ1497" s="385"/>
      <c r="AK1497" s="385"/>
      <c r="AL1497" s="385"/>
      <c r="AM1497" s="385"/>
      <c r="AN1497" s="387"/>
      <c r="AO1497" s="387"/>
      <c r="AP1497" s="387"/>
      <c r="AQ1497" s="387"/>
      <c r="AR1497" s="387"/>
      <c r="AS1497" s="387"/>
      <c r="AT1497" s="387"/>
      <c r="AU1497" s="387"/>
      <c r="AV1497" s="387"/>
      <c r="AW1497" s="387"/>
      <c r="AX1497" s="387"/>
      <c r="AY1497" s="387"/>
      <c r="AZ1497" s="387"/>
      <c r="BA1497" s="387"/>
      <c r="BB1497" s="388"/>
      <c r="BC1497" s="388"/>
      <c r="BD1497" s="388"/>
    </row>
    <row r="1498" spans="1:56" s="1" customFormat="1" ht="25.5" customHeight="1" x14ac:dyDescent="0.25">
      <c r="A1498" s="262" t="s">
        <v>432</v>
      </c>
      <c r="B1498" s="252" t="s">
        <v>742</v>
      </c>
      <c r="C1498" s="167" t="s">
        <v>432</v>
      </c>
      <c r="D1498" s="324" t="s">
        <v>693</v>
      </c>
      <c r="E1498" s="1445" t="s">
        <v>432</v>
      </c>
      <c r="F1498" s="11" t="s">
        <v>712</v>
      </c>
      <c r="G1498" s="167" t="s">
        <v>3879</v>
      </c>
      <c r="H1498" s="167" t="s">
        <v>432</v>
      </c>
      <c r="I1498" s="167" t="s">
        <v>432</v>
      </c>
      <c r="J1498" s="107" t="s">
        <v>432</v>
      </c>
      <c r="K1498" s="107" t="s">
        <v>432</v>
      </c>
      <c r="L1498" s="154" t="s">
        <v>432</v>
      </c>
      <c r="M1498" s="154" t="s">
        <v>432</v>
      </c>
      <c r="N1498" s="154" t="s">
        <v>432</v>
      </c>
      <c r="O1498" s="154" t="s">
        <v>432</v>
      </c>
      <c r="P1498" s="154" t="s">
        <v>432</v>
      </c>
      <c r="Q1498" s="154" t="s">
        <v>432</v>
      </c>
      <c r="R1498" s="154" t="s">
        <v>432</v>
      </c>
      <c r="S1498" s="109" t="s">
        <v>2209</v>
      </c>
      <c r="T1498" s="107" t="s">
        <v>432</v>
      </c>
      <c r="U1498" s="107" t="s">
        <v>432</v>
      </c>
      <c r="V1498" s="109" t="s">
        <v>2209</v>
      </c>
      <c r="W1498" s="180" t="s">
        <v>432</v>
      </c>
      <c r="X1498" s="180" t="s">
        <v>432</v>
      </c>
      <c r="Y1498" s="180" t="s">
        <v>432</v>
      </c>
      <c r="Z1498" s="180" t="s">
        <v>432</v>
      </c>
      <c r="AA1498" s="180" t="s">
        <v>432</v>
      </c>
      <c r="AB1498" s="180" t="s">
        <v>432</v>
      </c>
      <c r="AC1498" s="180" t="s">
        <v>432</v>
      </c>
      <c r="AD1498" s="180" t="s">
        <v>432</v>
      </c>
      <c r="AE1498" s="180" t="s">
        <v>432</v>
      </c>
      <c r="AF1498" s="180" t="s">
        <v>432</v>
      </c>
      <c r="AG1498" s="180" t="s">
        <v>432</v>
      </c>
      <c r="AH1498" s="180" t="s">
        <v>432</v>
      </c>
      <c r="AI1498" s="180" t="s">
        <v>432</v>
      </c>
      <c r="AJ1498" s="180" t="s">
        <v>432</v>
      </c>
      <c r="AK1498" s="137" t="s">
        <v>432</v>
      </c>
      <c r="AL1498" s="601" t="s">
        <v>432</v>
      </c>
      <c r="AM1498" s="137" t="s">
        <v>432</v>
      </c>
      <c r="AN1498" s="137" t="s">
        <v>432</v>
      </c>
      <c r="AO1498" s="137" t="s">
        <v>432</v>
      </c>
      <c r="AP1498" s="137" t="s">
        <v>432</v>
      </c>
      <c r="AQ1498" s="137" t="s">
        <v>432</v>
      </c>
      <c r="AR1498" s="137" t="s">
        <v>432</v>
      </c>
      <c r="AS1498" s="137" t="s">
        <v>432</v>
      </c>
      <c r="AT1498" s="137" t="s">
        <v>432</v>
      </c>
      <c r="AU1498" s="137" t="s">
        <v>432</v>
      </c>
      <c r="AV1498" s="137" t="s">
        <v>432</v>
      </c>
      <c r="AW1498" s="137" t="s">
        <v>432</v>
      </c>
      <c r="AX1498" s="137" t="s">
        <v>432</v>
      </c>
      <c r="AY1498" s="137" t="s">
        <v>432</v>
      </c>
      <c r="AZ1498" s="137" t="s">
        <v>432</v>
      </c>
      <c r="BA1498" s="137" t="s">
        <v>432</v>
      </c>
      <c r="BB1498" s="239" t="str">
        <f t="shared" si="396"/>
        <v>geralx</v>
      </c>
      <c r="BC1498" s="239" t="str">
        <f t="shared" si="397"/>
        <v>geralxx</v>
      </c>
      <c r="BD1498" s="239" t="str">
        <f t="shared" si="398"/>
        <v>geralx</v>
      </c>
    </row>
    <row r="1499" spans="1:56" s="1" customFormat="1" ht="213" customHeight="1" x14ac:dyDescent="0.25">
      <c r="A1499" s="262" t="str">
        <f>'Q100b-totais'!B22</f>
        <v>2.7</v>
      </c>
      <c r="B1499" s="252" t="str">
        <f>'Q100b-totais'!C22</f>
        <v>Outras cidades/regiões</v>
      </c>
      <c r="C1499" s="167" t="s">
        <v>743</v>
      </c>
      <c r="D1499" s="716" t="s">
        <v>6173</v>
      </c>
      <c r="E1499" s="509" t="s">
        <v>6173</v>
      </c>
      <c r="F1499" s="252" t="s">
        <v>6221</v>
      </c>
      <c r="G1499" s="230" t="s">
        <v>3507</v>
      </c>
      <c r="H1499" s="667" t="s">
        <v>2408</v>
      </c>
      <c r="I1499" s="167" t="s">
        <v>432</v>
      </c>
      <c r="J1499" s="107" t="s">
        <v>432</v>
      </c>
      <c r="K1499" s="107" t="s">
        <v>432</v>
      </c>
      <c r="L1499" s="107" t="s">
        <v>432</v>
      </c>
      <c r="M1499" s="107" t="s">
        <v>432</v>
      </c>
      <c r="N1499" s="107" t="s">
        <v>432</v>
      </c>
      <c r="O1499" s="107" t="s">
        <v>432</v>
      </c>
      <c r="P1499" s="107" t="s">
        <v>432</v>
      </c>
      <c r="Q1499" s="107" t="s">
        <v>432</v>
      </c>
      <c r="R1499" s="107" t="s">
        <v>432</v>
      </c>
      <c r="S1499" s="109" t="s">
        <v>2209</v>
      </c>
      <c r="T1499" s="107" t="s">
        <v>432</v>
      </c>
      <c r="U1499" s="107" t="s">
        <v>432</v>
      </c>
      <c r="V1499" s="109" t="s">
        <v>2209</v>
      </c>
      <c r="W1499" s="107" t="s">
        <v>432</v>
      </c>
      <c r="X1499" s="107" t="s">
        <v>432</v>
      </c>
      <c r="Y1499" s="107" t="s">
        <v>432</v>
      </c>
      <c r="Z1499" s="107" t="s">
        <v>432</v>
      </c>
      <c r="AA1499" s="107" t="s">
        <v>432</v>
      </c>
      <c r="AB1499" s="107" t="s">
        <v>432</v>
      </c>
      <c r="AC1499" s="107" t="s">
        <v>432</v>
      </c>
      <c r="AD1499" s="107" t="s">
        <v>432</v>
      </c>
      <c r="AE1499" s="107" t="s">
        <v>432</v>
      </c>
      <c r="AF1499" s="107" t="s">
        <v>432</v>
      </c>
      <c r="AG1499" s="107" t="s">
        <v>432</v>
      </c>
      <c r="AH1499" s="107" t="s">
        <v>432</v>
      </c>
      <c r="AI1499" s="107" t="s">
        <v>432</v>
      </c>
      <c r="AJ1499" s="107" t="s">
        <v>432</v>
      </c>
      <c r="AK1499" s="137" t="s">
        <v>432</v>
      </c>
      <c r="AL1499" s="601" t="s">
        <v>432</v>
      </c>
      <c r="AM1499" s="137" t="s">
        <v>432</v>
      </c>
      <c r="AN1499" s="137" t="s">
        <v>432</v>
      </c>
      <c r="AO1499" s="137" t="s">
        <v>432</v>
      </c>
      <c r="AP1499" s="137" t="s">
        <v>432</v>
      </c>
      <c r="AQ1499" s="137" t="s">
        <v>432</v>
      </c>
      <c r="AR1499" s="137" t="s">
        <v>432</v>
      </c>
      <c r="AS1499" s="137" t="s">
        <v>432</v>
      </c>
      <c r="AT1499" s="137" t="s">
        <v>432</v>
      </c>
      <c r="AU1499" s="137" t="s">
        <v>432</v>
      </c>
      <c r="AV1499" s="137" t="s">
        <v>432</v>
      </c>
      <c r="AW1499" s="137" t="s">
        <v>432</v>
      </c>
      <c r="AX1499" s="137" t="s">
        <v>432</v>
      </c>
      <c r="AY1499" s="137" t="s">
        <v>432</v>
      </c>
      <c r="AZ1499" s="137" t="s">
        <v>432</v>
      </c>
      <c r="BA1499" s="137" t="s">
        <v>432</v>
      </c>
      <c r="BB1499" s="239" t="str">
        <f>B1499&amp;C1499</f>
        <v>Outras cidades/regiõesacessibilidade</v>
      </c>
      <c r="BC1499" s="239" t="str">
        <f>B1499&amp;C1499&amp;H1499</f>
        <v>Outras cidades/regiõesacessibilidadesigla/verbete</v>
      </c>
      <c r="BD1499" s="239" t="str">
        <f>B1499&amp;H1499</f>
        <v>Outras cidades/regiõessigla/verbete</v>
      </c>
    </row>
    <row r="1500" spans="1:56" s="1" customFormat="1" ht="41.25" x14ac:dyDescent="0.25">
      <c r="A1500" s="275" t="str">
        <f>'Q100b-totais'!$B$64</f>
        <v>9.1</v>
      </c>
      <c r="B1500" s="1205" t="str">
        <f>'Q100b-totais'!$C$64</f>
        <v>Acidentes de trânsito</v>
      </c>
      <c r="C1500" s="57" t="s">
        <v>432</v>
      </c>
      <c r="D1500" s="324" t="s">
        <v>225</v>
      </c>
      <c r="E1500" s="254" t="s">
        <v>432</v>
      </c>
      <c r="F1500" s="11" t="s">
        <v>1948</v>
      </c>
      <c r="G1500" s="188" t="s">
        <v>1891</v>
      </c>
      <c r="H1500" s="444" t="s">
        <v>678</v>
      </c>
      <c r="I1500" s="57" t="s">
        <v>432</v>
      </c>
      <c r="J1500" s="109" t="s">
        <v>432</v>
      </c>
      <c r="K1500" s="109" t="s">
        <v>432</v>
      </c>
      <c r="L1500" s="109" t="s">
        <v>432</v>
      </c>
      <c r="M1500" s="109" t="s">
        <v>432</v>
      </c>
      <c r="N1500" s="109" t="s">
        <v>432</v>
      </c>
      <c r="O1500" s="109" t="s">
        <v>432</v>
      </c>
      <c r="P1500" s="109" t="s">
        <v>432</v>
      </c>
      <c r="Q1500" s="109" t="s">
        <v>432</v>
      </c>
      <c r="R1500" s="109" t="s">
        <v>432</v>
      </c>
      <c r="S1500" s="109" t="s">
        <v>2209</v>
      </c>
      <c r="T1500" s="109" t="s">
        <v>432</v>
      </c>
      <c r="U1500" s="109" t="s">
        <v>432</v>
      </c>
      <c r="V1500" s="109" t="s">
        <v>2209</v>
      </c>
      <c r="W1500" s="109" t="s">
        <v>432</v>
      </c>
      <c r="X1500" s="109" t="s">
        <v>432</v>
      </c>
      <c r="Y1500" s="109" t="s">
        <v>432</v>
      </c>
      <c r="Z1500" s="109" t="s">
        <v>432</v>
      </c>
      <c r="AA1500" s="109" t="s">
        <v>432</v>
      </c>
      <c r="AB1500" s="109" t="s">
        <v>432</v>
      </c>
      <c r="AC1500" s="109" t="s">
        <v>432</v>
      </c>
      <c r="AD1500" s="109" t="s">
        <v>432</v>
      </c>
      <c r="AE1500" s="109" t="s">
        <v>432</v>
      </c>
      <c r="AF1500" s="109" t="s">
        <v>432</v>
      </c>
      <c r="AG1500" s="109" t="s">
        <v>432</v>
      </c>
      <c r="AH1500" s="109" t="s">
        <v>432</v>
      </c>
      <c r="AI1500" s="109" t="s">
        <v>432</v>
      </c>
      <c r="AJ1500" s="109" t="s">
        <v>432</v>
      </c>
      <c r="AK1500" s="137" t="s">
        <v>432</v>
      </c>
      <c r="AL1500" s="601" t="s">
        <v>432</v>
      </c>
      <c r="AM1500" s="137" t="s">
        <v>432</v>
      </c>
      <c r="AN1500" s="137" t="s">
        <v>432</v>
      </c>
      <c r="AO1500" s="137" t="s">
        <v>432</v>
      </c>
      <c r="AP1500" s="137" t="s">
        <v>432</v>
      </c>
      <c r="AQ1500" s="137" t="s">
        <v>432</v>
      </c>
      <c r="AR1500" s="137" t="s">
        <v>432</v>
      </c>
      <c r="AS1500" s="137" t="s">
        <v>432</v>
      </c>
      <c r="AT1500" s="137" t="s">
        <v>432</v>
      </c>
      <c r="AU1500" s="137" t="s">
        <v>432</v>
      </c>
      <c r="AV1500" s="137" t="s">
        <v>432</v>
      </c>
      <c r="AW1500" s="137" t="s">
        <v>432</v>
      </c>
      <c r="AX1500" s="137" t="s">
        <v>432</v>
      </c>
      <c r="AY1500" s="137" t="s">
        <v>432</v>
      </c>
      <c r="AZ1500" s="137" t="s">
        <v>432</v>
      </c>
      <c r="BA1500" s="137" t="s">
        <v>432</v>
      </c>
      <c r="BB1500" s="239" t="str">
        <f t="shared" si="396"/>
        <v>Acidentes de trânsitox</v>
      </c>
      <c r="BC1500" s="239" t="str">
        <f t="shared" si="397"/>
        <v>Acidentes de trânsitoxainda não incorporado ao SisMob-BH</v>
      </c>
      <c r="BD1500" s="239" t="str">
        <f t="shared" si="398"/>
        <v>Acidentes de trânsitoainda não incorporado ao SisMob-BH</v>
      </c>
    </row>
    <row r="1501" spans="1:56" s="1" customFormat="1" ht="246.75" customHeight="1" x14ac:dyDescent="0.25">
      <c r="A1501" s="275" t="str">
        <f>'Q100b-totais'!B62</f>
        <v>8.10</v>
      </c>
      <c r="B1501" s="1205" t="str">
        <f>'Q100b-totais'!C62</f>
        <v>Sistema de transporte coletivo com um todo</v>
      </c>
      <c r="C1501" s="57" t="s">
        <v>743</v>
      </c>
      <c r="D1501" s="939" t="s">
        <v>3479</v>
      </c>
      <c r="E1501" s="254" t="s">
        <v>432</v>
      </c>
      <c r="F1501" s="5" t="s">
        <v>3483</v>
      </c>
      <c r="G1501" s="230" t="s">
        <v>3507</v>
      </c>
      <c r="H1501" s="667" t="s">
        <v>2408</v>
      </c>
      <c r="I1501" s="57" t="s">
        <v>432</v>
      </c>
      <c r="J1501" s="109" t="s">
        <v>432</v>
      </c>
      <c r="K1501" s="109" t="s">
        <v>432</v>
      </c>
      <c r="L1501" s="109" t="s">
        <v>432</v>
      </c>
      <c r="M1501" s="109" t="s">
        <v>432</v>
      </c>
      <c r="N1501" s="109" t="s">
        <v>432</v>
      </c>
      <c r="O1501" s="109" t="s">
        <v>432</v>
      </c>
      <c r="P1501" s="109" t="s">
        <v>432</v>
      </c>
      <c r="Q1501" s="109" t="s">
        <v>432</v>
      </c>
      <c r="R1501" s="109" t="s">
        <v>432</v>
      </c>
      <c r="S1501" s="109" t="s">
        <v>2209</v>
      </c>
      <c r="T1501" s="109" t="s">
        <v>432</v>
      </c>
      <c r="U1501" s="109" t="s">
        <v>432</v>
      </c>
      <c r="V1501" s="109" t="s">
        <v>2209</v>
      </c>
      <c r="W1501" s="109" t="s">
        <v>432</v>
      </c>
      <c r="X1501" s="109" t="s">
        <v>432</v>
      </c>
      <c r="Y1501" s="109" t="s">
        <v>432</v>
      </c>
      <c r="Z1501" s="109" t="s">
        <v>432</v>
      </c>
      <c r="AA1501" s="109" t="s">
        <v>432</v>
      </c>
      <c r="AB1501" s="109" t="s">
        <v>432</v>
      </c>
      <c r="AC1501" s="109" t="s">
        <v>432</v>
      </c>
      <c r="AD1501" s="109" t="s">
        <v>432</v>
      </c>
      <c r="AE1501" s="109" t="s">
        <v>432</v>
      </c>
      <c r="AF1501" s="109" t="s">
        <v>432</v>
      </c>
      <c r="AG1501" s="109" t="s">
        <v>432</v>
      </c>
      <c r="AH1501" s="109" t="s">
        <v>432</v>
      </c>
      <c r="AI1501" s="109" t="s">
        <v>432</v>
      </c>
      <c r="AJ1501" s="109" t="s">
        <v>432</v>
      </c>
      <c r="AK1501" s="137" t="s">
        <v>432</v>
      </c>
      <c r="AL1501" s="601" t="s">
        <v>432</v>
      </c>
      <c r="AM1501" s="137" t="s">
        <v>432</v>
      </c>
      <c r="AN1501" s="137" t="s">
        <v>432</v>
      </c>
      <c r="AO1501" s="137" t="s">
        <v>432</v>
      </c>
      <c r="AP1501" s="137" t="s">
        <v>432</v>
      </c>
      <c r="AQ1501" s="137" t="s">
        <v>432</v>
      </c>
      <c r="AR1501" s="137" t="s">
        <v>432</v>
      </c>
      <c r="AS1501" s="137" t="s">
        <v>432</v>
      </c>
      <c r="AT1501" s="137" t="s">
        <v>432</v>
      </c>
      <c r="AU1501" s="137" t="s">
        <v>432</v>
      </c>
      <c r="AV1501" s="137" t="s">
        <v>432</v>
      </c>
      <c r="AW1501" s="137" t="s">
        <v>432</v>
      </c>
      <c r="AX1501" s="137" t="s">
        <v>432</v>
      </c>
      <c r="AY1501" s="137" t="s">
        <v>432</v>
      </c>
      <c r="AZ1501" s="137" t="s">
        <v>432</v>
      </c>
      <c r="BA1501" s="137" t="s">
        <v>432</v>
      </c>
      <c r="BB1501" s="239" t="str">
        <f t="shared" si="396"/>
        <v>Sistema de transporte coletivo com um todoacessibilidade</v>
      </c>
      <c r="BC1501" s="239" t="str">
        <f t="shared" si="397"/>
        <v>Sistema de transporte coletivo com um todoacessibilidadesigla/verbete</v>
      </c>
      <c r="BD1501" s="239" t="str">
        <f t="shared" si="398"/>
        <v>Sistema de transporte coletivo com um todosigla/verbete</v>
      </c>
    </row>
    <row r="1502" spans="1:56" s="373" customFormat="1" x14ac:dyDescent="0.25">
      <c r="A1502" s="383"/>
      <c r="B1502" s="384"/>
      <c r="C1502" s="384"/>
      <c r="D1502" s="719"/>
      <c r="E1502" s="1519"/>
      <c r="F1502" s="385"/>
      <c r="G1502" s="385"/>
      <c r="H1502" s="389"/>
      <c r="I1502" s="385"/>
      <c r="J1502" s="385"/>
      <c r="K1502" s="385"/>
      <c r="L1502" s="385"/>
      <c r="M1502" s="385"/>
      <c r="N1502" s="385"/>
      <c r="O1502" s="385"/>
      <c r="P1502" s="385"/>
      <c r="Q1502" s="385"/>
      <c r="R1502" s="385"/>
      <c r="S1502" s="385"/>
      <c r="T1502" s="385"/>
      <c r="U1502" s="385"/>
      <c r="V1502" s="385"/>
      <c r="W1502" s="385"/>
      <c r="X1502" s="385"/>
      <c r="Y1502" s="385"/>
      <c r="Z1502" s="385"/>
      <c r="AA1502" s="385"/>
      <c r="AB1502" s="385"/>
      <c r="AC1502" s="385"/>
      <c r="AD1502" s="385"/>
      <c r="AE1502" s="385"/>
      <c r="AF1502" s="385"/>
      <c r="AG1502" s="385"/>
      <c r="AH1502" s="385"/>
      <c r="AI1502" s="385"/>
      <c r="AJ1502" s="385"/>
      <c r="AK1502" s="385"/>
      <c r="AL1502" s="385"/>
      <c r="AM1502" s="385"/>
      <c r="AN1502" s="387"/>
      <c r="AO1502" s="387"/>
      <c r="AP1502" s="387"/>
      <c r="AQ1502" s="387"/>
      <c r="AR1502" s="387"/>
      <c r="AS1502" s="387"/>
      <c r="AT1502" s="387"/>
      <c r="AU1502" s="387"/>
      <c r="AV1502" s="387"/>
      <c r="AW1502" s="387"/>
      <c r="AX1502" s="387"/>
      <c r="AY1502" s="387"/>
      <c r="AZ1502" s="387"/>
      <c r="BA1502" s="387"/>
      <c r="BB1502" s="388"/>
      <c r="BC1502" s="388"/>
      <c r="BD1502" s="388"/>
    </row>
    <row r="1503" spans="1:56" s="1" customFormat="1" ht="63.75" customHeight="1" x14ac:dyDescent="0.25">
      <c r="A1503" s="275" t="str">
        <f>'Q100b-totais'!$B$64</f>
        <v>9.1</v>
      </c>
      <c r="B1503" s="1205" t="str">
        <f>'Q100b-totais'!$C$64</f>
        <v>Acidentes de trânsito</v>
      </c>
      <c r="C1503" s="57" t="s">
        <v>432</v>
      </c>
      <c r="D1503" s="324" t="s">
        <v>226</v>
      </c>
      <c r="E1503" s="254" t="s">
        <v>432</v>
      </c>
      <c r="F1503" s="11" t="s">
        <v>1949</v>
      </c>
      <c r="G1503" s="188" t="s">
        <v>1894</v>
      </c>
      <c r="H1503" s="445" t="s">
        <v>678</v>
      </c>
      <c r="I1503" s="57" t="s">
        <v>432</v>
      </c>
      <c r="J1503" s="109" t="s">
        <v>432</v>
      </c>
      <c r="K1503" s="109" t="s">
        <v>432</v>
      </c>
      <c r="L1503" s="109" t="s">
        <v>432</v>
      </c>
      <c r="M1503" s="109" t="s">
        <v>432</v>
      </c>
      <c r="N1503" s="109" t="s">
        <v>432</v>
      </c>
      <c r="O1503" s="109" t="s">
        <v>432</v>
      </c>
      <c r="P1503" s="109" t="s">
        <v>432</v>
      </c>
      <c r="Q1503" s="109" t="s">
        <v>432</v>
      </c>
      <c r="R1503" s="109" t="s">
        <v>432</v>
      </c>
      <c r="S1503" s="109" t="s">
        <v>2209</v>
      </c>
      <c r="T1503" s="109" t="s">
        <v>432</v>
      </c>
      <c r="U1503" s="109" t="s">
        <v>432</v>
      </c>
      <c r="V1503" s="109" t="s">
        <v>2209</v>
      </c>
      <c r="W1503" s="109" t="s">
        <v>432</v>
      </c>
      <c r="X1503" s="109" t="s">
        <v>432</v>
      </c>
      <c r="Y1503" s="109" t="s">
        <v>432</v>
      </c>
      <c r="Z1503" s="109" t="s">
        <v>432</v>
      </c>
      <c r="AA1503" s="109" t="s">
        <v>432</v>
      </c>
      <c r="AB1503" s="109" t="s">
        <v>432</v>
      </c>
      <c r="AC1503" s="109" t="s">
        <v>432</v>
      </c>
      <c r="AD1503" s="109" t="s">
        <v>432</v>
      </c>
      <c r="AE1503" s="109" t="s">
        <v>432</v>
      </c>
      <c r="AF1503" s="109" t="s">
        <v>432</v>
      </c>
      <c r="AG1503" s="109" t="s">
        <v>432</v>
      </c>
      <c r="AH1503" s="109" t="s">
        <v>432</v>
      </c>
      <c r="AI1503" s="109" t="s">
        <v>432</v>
      </c>
      <c r="AJ1503" s="109" t="s">
        <v>432</v>
      </c>
      <c r="AK1503" s="137" t="s">
        <v>432</v>
      </c>
      <c r="AL1503" s="601" t="s">
        <v>432</v>
      </c>
      <c r="AM1503" s="137" t="s">
        <v>432</v>
      </c>
      <c r="AN1503" s="137" t="s">
        <v>432</v>
      </c>
      <c r="AO1503" s="137" t="s">
        <v>432</v>
      </c>
      <c r="AP1503" s="137" t="s">
        <v>432</v>
      </c>
      <c r="AQ1503" s="137" t="s">
        <v>432</v>
      </c>
      <c r="AR1503" s="137" t="s">
        <v>432</v>
      </c>
      <c r="AS1503" s="137" t="s">
        <v>432</v>
      </c>
      <c r="AT1503" s="137" t="s">
        <v>432</v>
      </c>
      <c r="AU1503" s="137" t="s">
        <v>432</v>
      </c>
      <c r="AV1503" s="137" t="s">
        <v>432</v>
      </c>
      <c r="AW1503" s="137" t="s">
        <v>432</v>
      </c>
      <c r="AX1503" s="137" t="s">
        <v>432</v>
      </c>
      <c r="AY1503" s="137" t="s">
        <v>432</v>
      </c>
      <c r="AZ1503" s="137" t="s">
        <v>432</v>
      </c>
      <c r="BA1503" s="137" t="s">
        <v>432</v>
      </c>
      <c r="BB1503" s="239" t="str">
        <f t="shared" si="396"/>
        <v>Acidentes de trânsitox</v>
      </c>
      <c r="BC1503" s="239" t="str">
        <f t="shared" si="397"/>
        <v>Acidentes de trânsitoxainda não incorporado ao SisMob-BH</v>
      </c>
      <c r="BD1503" s="239" t="str">
        <f t="shared" si="398"/>
        <v>Acidentes de trânsitoainda não incorporado ao SisMob-BH</v>
      </c>
    </row>
    <row r="1504" spans="1:56" s="1" customFormat="1" ht="25.5" x14ac:dyDescent="0.25">
      <c r="A1504" s="275" t="str">
        <f>'Q100b-totais'!B21</f>
        <v>2.6</v>
      </c>
      <c r="B1504" s="1205" t="str">
        <f>'Q100b-totais'!C21</f>
        <v>Cidades da RMBH</v>
      </c>
      <c r="C1504" s="167" t="s">
        <v>432</v>
      </c>
      <c r="D1504" s="323" t="s">
        <v>1749</v>
      </c>
      <c r="E1504" s="1491" t="s">
        <v>1749</v>
      </c>
      <c r="F1504" s="468" t="str">
        <f>pend!C197</f>
        <v>município da RMBH (faltando completar)</v>
      </c>
      <c r="G1504" s="230" t="s">
        <v>3507</v>
      </c>
      <c r="H1504" s="167" t="s">
        <v>2408</v>
      </c>
      <c r="I1504" s="57" t="s">
        <v>432</v>
      </c>
      <c r="J1504" s="109" t="s">
        <v>432</v>
      </c>
      <c r="K1504" s="109" t="s">
        <v>432</v>
      </c>
      <c r="L1504" s="109" t="s">
        <v>432</v>
      </c>
      <c r="M1504" s="109" t="s">
        <v>432</v>
      </c>
      <c r="N1504" s="109" t="s">
        <v>432</v>
      </c>
      <c r="O1504" s="109" t="s">
        <v>432</v>
      </c>
      <c r="P1504" s="109" t="s">
        <v>432</v>
      </c>
      <c r="Q1504" s="109" t="s">
        <v>432</v>
      </c>
      <c r="R1504" s="109" t="s">
        <v>432</v>
      </c>
      <c r="S1504" s="109" t="s">
        <v>2209</v>
      </c>
      <c r="T1504" s="109" t="s">
        <v>432</v>
      </c>
      <c r="U1504" s="109" t="s">
        <v>432</v>
      </c>
      <c r="V1504" s="109" t="s">
        <v>2209</v>
      </c>
      <c r="W1504" s="109" t="s">
        <v>432</v>
      </c>
      <c r="X1504" s="109" t="s">
        <v>432</v>
      </c>
      <c r="Y1504" s="109" t="s">
        <v>432</v>
      </c>
      <c r="Z1504" s="109" t="s">
        <v>432</v>
      </c>
      <c r="AA1504" s="109" t="s">
        <v>432</v>
      </c>
      <c r="AB1504" s="109" t="s">
        <v>432</v>
      </c>
      <c r="AC1504" s="109" t="s">
        <v>432</v>
      </c>
      <c r="AD1504" s="109" t="s">
        <v>432</v>
      </c>
      <c r="AE1504" s="109" t="s">
        <v>432</v>
      </c>
      <c r="AF1504" s="109" t="s">
        <v>432</v>
      </c>
      <c r="AG1504" s="109" t="s">
        <v>432</v>
      </c>
      <c r="AH1504" s="109" t="s">
        <v>432</v>
      </c>
      <c r="AI1504" s="109" t="s">
        <v>432</v>
      </c>
      <c r="AJ1504" s="109" t="s">
        <v>432</v>
      </c>
      <c r="AK1504" s="137" t="s">
        <v>432</v>
      </c>
      <c r="AL1504" s="601" t="s">
        <v>432</v>
      </c>
      <c r="AM1504" s="137" t="s">
        <v>432</v>
      </c>
      <c r="AN1504" s="137" t="s">
        <v>432</v>
      </c>
      <c r="AO1504" s="137" t="s">
        <v>432</v>
      </c>
      <c r="AP1504" s="137" t="s">
        <v>432</v>
      </c>
      <c r="AQ1504" s="137" t="s">
        <v>432</v>
      </c>
      <c r="AR1504" s="137" t="s">
        <v>432</v>
      </c>
      <c r="AS1504" s="137" t="s">
        <v>432</v>
      </c>
      <c r="AT1504" s="137" t="s">
        <v>432</v>
      </c>
      <c r="AU1504" s="137" t="s">
        <v>432</v>
      </c>
      <c r="AV1504" s="137" t="s">
        <v>432</v>
      </c>
      <c r="AW1504" s="137" t="s">
        <v>432</v>
      </c>
      <c r="AX1504" s="137" t="s">
        <v>432</v>
      </c>
      <c r="AY1504" s="137" t="s">
        <v>432</v>
      </c>
      <c r="AZ1504" s="137" t="s">
        <v>432</v>
      </c>
      <c r="BA1504" s="137" t="s">
        <v>432</v>
      </c>
      <c r="BB1504" s="239" t="str">
        <f t="shared" si="396"/>
        <v>Cidades da RMBHx</v>
      </c>
      <c r="BC1504" s="239" t="str">
        <f t="shared" si="397"/>
        <v>Cidades da RMBHxsigla/verbete</v>
      </c>
      <c r="BD1504" s="239" t="str">
        <f t="shared" si="398"/>
        <v>Cidades da RMBHsigla/verbete</v>
      </c>
    </row>
    <row r="1505" spans="1:56" s="1" customFormat="1" ht="63.75" customHeight="1" x14ac:dyDescent="0.25">
      <c r="A1505" s="275" t="str">
        <f>'Q100b-totais'!$B$68</f>
        <v>9.5</v>
      </c>
      <c r="B1505" s="1205" t="str">
        <f>'Q100b-totais'!$C$68</f>
        <v>Sinalização semafórica</v>
      </c>
      <c r="C1505" s="57" t="s">
        <v>432</v>
      </c>
      <c r="D1505" s="324" t="s">
        <v>227</v>
      </c>
      <c r="E1505" s="254" t="s">
        <v>1306</v>
      </c>
      <c r="F1505" s="11" t="s">
        <v>549</v>
      </c>
      <c r="G1505" s="58" t="s">
        <v>550</v>
      </c>
      <c r="H1505" s="173" t="s">
        <v>432</v>
      </c>
      <c r="I1505" s="57">
        <v>1</v>
      </c>
      <c r="J1505" s="107" t="s">
        <v>432</v>
      </c>
      <c r="K1505" s="58" t="s">
        <v>432</v>
      </c>
      <c r="L1505" s="58" t="s">
        <v>432</v>
      </c>
      <c r="M1505" s="58" t="s">
        <v>432</v>
      </c>
      <c r="N1505" s="58" t="s">
        <v>432</v>
      </c>
      <c r="O1505" s="58" t="s">
        <v>432</v>
      </c>
      <c r="P1505" s="58" t="s">
        <v>432</v>
      </c>
      <c r="Q1505" s="58" t="s">
        <v>432</v>
      </c>
      <c r="R1505" s="58" t="s">
        <v>432</v>
      </c>
      <c r="S1505" s="109" t="s">
        <v>2209</v>
      </c>
      <c r="T1505" s="58" t="s">
        <v>432</v>
      </c>
      <c r="U1505" s="58" t="s">
        <v>432</v>
      </c>
      <c r="V1505" s="109" t="s">
        <v>2209</v>
      </c>
      <c r="W1505" s="58" t="s">
        <v>432</v>
      </c>
      <c r="X1505" s="58" t="s">
        <v>432</v>
      </c>
      <c r="Y1505" s="72">
        <f t="shared" ref="Y1505:AJ1505" si="418">Y1507+Y1345</f>
        <v>492</v>
      </c>
      <c r="Z1505" s="72">
        <f t="shared" si="418"/>
        <v>543</v>
      </c>
      <c r="AA1505" s="72">
        <f t="shared" si="418"/>
        <v>568</v>
      </c>
      <c r="AB1505" s="72">
        <f t="shared" si="418"/>
        <v>591</v>
      </c>
      <c r="AC1505" s="72">
        <f t="shared" si="418"/>
        <v>614</v>
      </c>
      <c r="AD1505" s="72">
        <f t="shared" si="418"/>
        <v>641</v>
      </c>
      <c r="AE1505" s="72">
        <f t="shared" si="418"/>
        <v>664</v>
      </c>
      <c r="AF1505" s="72">
        <f t="shared" si="418"/>
        <v>687</v>
      </c>
      <c r="AG1505" s="72">
        <f t="shared" si="418"/>
        <v>710</v>
      </c>
      <c r="AH1505" s="72">
        <f t="shared" si="418"/>
        <v>746</v>
      </c>
      <c r="AI1505" s="72">
        <f t="shared" si="418"/>
        <v>779</v>
      </c>
      <c r="AJ1505" s="72">
        <f t="shared" si="418"/>
        <v>812</v>
      </c>
      <c r="AK1505" s="137" t="s">
        <v>432</v>
      </c>
      <c r="AL1505" s="601" t="s">
        <v>432</v>
      </c>
      <c r="AM1505" s="137" t="s">
        <v>432</v>
      </c>
      <c r="AN1505" s="137" t="s">
        <v>432</v>
      </c>
      <c r="AO1505" s="137" t="s">
        <v>432</v>
      </c>
      <c r="AP1505" s="137" t="s">
        <v>432</v>
      </c>
      <c r="AQ1505" s="137" t="s">
        <v>432</v>
      </c>
      <c r="AR1505" s="137" t="s">
        <v>432</v>
      </c>
      <c r="AS1505" s="137" t="s">
        <v>432</v>
      </c>
      <c r="AT1505" s="137" t="s">
        <v>432</v>
      </c>
      <c r="AU1505" s="137" t="s">
        <v>432</v>
      </c>
      <c r="AV1505" s="137" t="s">
        <v>432</v>
      </c>
      <c r="AW1505" s="137" t="s">
        <v>432</v>
      </c>
      <c r="AX1505" s="137" t="s">
        <v>432</v>
      </c>
      <c r="AY1505" s="137" t="s">
        <v>432</v>
      </c>
      <c r="AZ1505" s="137" t="s">
        <v>432</v>
      </c>
      <c r="BA1505" s="137" t="s">
        <v>432</v>
      </c>
      <c r="BB1505" s="239" t="str">
        <f t="shared" si="396"/>
        <v>Sinalização semafóricax</v>
      </c>
      <c r="BC1505" s="239" t="str">
        <f t="shared" si="397"/>
        <v>Sinalização semafóricaxx</v>
      </c>
      <c r="BD1505" s="239" t="str">
        <f t="shared" si="398"/>
        <v>Sinalização semafóricax</v>
      </c>
    </row>
    <row r="1506" spans="1:56" s="1" customFormat="1" ht="38.25" customHeight="1" x14ac:dyDescent="0.25">
      <c r="A1506" s="275" t="str">
        <f>'Q100b-totais'!$B$68</f>
        <v>9.5</v>
      </c>
      <c r="B1506" s="1205" t="str">
        <f>'Q100b-totais'!$C$68</f>
        <v>Sinalização semafórica</v>
      </c>
      <c r="C1506" s="57" t="s">
        <v>432</v>
      </c>
      <c r="D1506" s="324" t="s">
        <v>228</v>
      </c>
      <c r="E1506" s="254" t="s">
        <v>1306</v>
      </c>
      <c r="F1506" s="11" t="s">
        <v>551</v>
      </c>
      <c r="G1506" s="58" t="s">
        <v>552</v>
      </c>
      <c r="H1506" s="173" t="s">
        <v>432</v>
      </c>
      <c r="I1506" s="57">
        <v>1</v>
      </c>
      <c r="J1506" s="107" t="s">
        <v>432</v>
      </c>
      <c r="K1506" s="58" t="s">
        <v>432</v>
      </c>
      <c r="L1506" s="58" t="s">
        <v>432</v>
      </c>
      <c r="M1506" s="58" t="s">
        <v>432</v>
      </c>
      <c r="N1506" s="58" t="s">
        <v>432</v>
      </c>
      <c r="O1506" s="58" t="s">
        <v>432</v>
      </c>
      <c r="P1506" s="58" t="s">
        <v>432</v>
      </c>
      <c r="Q1506" s="58" t="s">
        <v>432</v>
      </c>
      <c r="R1506" s="58" t="s">
        <v>432</v>
      </c>
      <c r="S1506" s="109" t="s">
        <v>2209</v>
      </c>
      <c r="T1506" s="58" t="s">
        <v>432</v>
      </c>
      <c r="U1506" s="58" t="s">
        <v>432</v>
      </c>
      <c r="V1506" s="109" t="s">
        <v>2209</v>
      </c>
      <c r="W1506" s="58" t="s">
        <v>432</v>
      </c>
      <c r="X1506" s="58" t="s">
        <v>432</v>
      </c>
      <c r="Y1506" s="21">
        <f t="shared" ref="Y1506:AJ1506" si="419">Y1505/Y1522</f>
        <v>0.7639751552795031</v>
      </c>
      <c r="Z1506" s="21">
        <f t="shared" si="419"/>
        <v>0.78354978354978355</v>
      </c>
      <c r="AA1506" s="21">
        <f t="shared" si="419"/>
        <v>0.79887482419127986</v>
      </c>
      <c r="AB1506" s="21">
        <f t="shared" si="419"/>
        <v>0.79972936400541272</v>
      </c>
      <c r="AC1506" s="21">
        <f t="shared" si="419"/>
        <v>0.80577427821522307</v>
      </c>
      <c r="AD1506" s="21">
        <f t="shared" si="419"/>
        <v>0.81139240506329113</v>
      </c>
      <c r="AE1506" s="21">
        <f t="shared" si="419"/>
        <v>0.81773399014778325</v>
      </c>
      <c r="AF1506" s="21">
        <f t="shared" si="419"/>
        <v>0.82275449101796405</v>
      </c>
      <c r="AG1506" s="21">
        <f t="shared" si="419"/>
        <v>0.8217592592592593</v>
      </c>
      <c r="AH1506" s="21">
        <f t="shared" si="419"/>
        <v>0.82981090100111232</v>
      </c>
      <c r="AI1506" s="21">
        <f t="shared" si="419"/>
        <v>0.83853606027987082</v>
      </c>
      <c r="AJ1506" s="21">
        <f t="shared" si="419"/>
        <v>0.83539094650205759</v>
      </c>
      <c r="AK1506" s="137" t="s">
        <v>432</v>
      </c>
      <c r="AL1506" s="601" t="s">
        <v>432</v>
      </c>
      <c r="AM1506" s="137" t="s">
        <v>432</v>
      </c>
      <c r="AN1506" s="137" t="s">
        <v>432</v>
      </c>
      <c r="AO1506" s="137" t="s">
        <v>432</v>
      </c>
      <c r="AP1506" s="137" t="s">
        <v>432</v>
      </c>
      <c r="AQ1506" s="137" t="s">
        <v>432</v>
      </c>
      <c r="AR1506" s="137" t="s">
        <v>432</v>
      </c>
      <c r="AS1506" s="137" t="s">
        <v>432</v>
      </c>
      <c r="AT1506" s="137" t="s">
        <v>432</v>
      </c>
      <c r="AU1506" s="137" t="s">
        <v>432</v>
      </c>
      <c r="AV1506" s="137" t="s">
        <v>432</v>
      </c>
      <c r="AW1506" s="137" t="s">
        <v>432</v>
      </c>
      <c r="AX1506" s="137" t="s">
        <v>432</v>
      </c>
      <c r="AY1506" s="137" t="s">
        <v>432</v>
      </c>
      <c r="AZ1506" s="137" t="s">
        <v>432</v>
      </c>
      <c r="BA1506" s="137" t="s">
        <v>432</v>
      </c>
      <c r="BB1506" s="239" t="str">
        <f t="shared" si="396"/>
        <v>Sinalização semafóricax</v>
      </c>
      <c r="BC1506" s="239" t="str">
        <f t="shared" si="397"/>
        <v>Sinalização semafóricaxx</v>
      </c>
      <c r="BD1506" s="239" t="str">
        <f t="shared" si="398"/>
        <v>Sinalização semafóricax</v>
      </c>
    </row>
    <row r="1507" spans="1:56" s="1" customFormat="1" ht="108.75" customHeight="1" x14ac:dyDescent="0.25">
      <c r="A1507" s="275" t="str">
        <f>'Q100b-totais'!$B$68</f>
        <v>9.5</v>
      </c>
      <c r="B1507" s="1205" t="str">
        <f>'Q100b-totais'!$C$68</f>
        <v>Sinalização semafórica</v>
      </c>
      <c r="C1507" s="57" t="s">
        <v>432</v>
      </c>
      <c r="D1507" s="324" t="s">
        <v>229</v>
      </c>
      <c r="E1507" s="254" t="s">
        <v>1306</v>
      </c>
      <c r="F1507" s="11" t="s">
        <v>1600</v>
      </c>
      <c r="G1507" s="110" t="s">
        <v>77</v>
      </c>
      <c r="H1507" s="173" t="s">
        <v>432</v>
      </c>
      <c r="I1507" s="57">
        <v>1</v>
      </c>
      <c r="J1507" s="107" t="s">
        <v>432</v>
      </c>
      <c r="K1507" s="93" t="s">
        <v>432</v>
      </c>
      <c r="L1507" s="93" t="s">
        <v>432</v>
      </c>
      <c r="M1507" s="93" t="s">
        <v>432</v>
      </c>
      <c r="N1507" s="93" t="s">
        <v>432</v>
      </c>
      <c r="O1507" s="93" t="s">
        <v>432</v>
      </c>
      <c r="P1507" s="93" t="s">
        <v>432</v>
      </c>
      <c r="Q1507" s="93" t="s">
        <v>432</v>
      </c>
      <c r="R1507" s="93" t="s">
        <v>432</v>
      </c>
      <c r="S1507" s="109" t="s">
        <v>2209</v>
      </c>
      <c r="T1507" s="93" t="s">
        <v>432</v>
      </c>
      <c r="U1507" s="93" t="s">
        <v>432</v>
      </c>
      <c r="V1507" s="109" t="s">
        <v>2209</v>
      </c>
      <c r="W1507" s="93" t="s">
        <v>432</v>
      </c>
      <c r="X1507" s="93" t="s">
        <v>432</v>
      </c>
      <c r="Y1507" s="84">
        <v>78</v>
      </c>
      <c r="Z1507" s="84">
        <v>91</v>
      </c>
      <c r="AA1507" s="84">
        <v>102</v>
      </c>
      <c r="AB1507" s="84">
        <v>105</v>
      </c>
      <c r="AC1507" s="84">
        <v>114</v>
      </c>
      <c r="AD1507" s="84">
        <v>124</v>
      </c>
      <c r="AE1507" s="84">
        <v>137</v>
      </c>
      <c r="AF1507" s="84">
        <v>144</v>
      </c>
      <c r="AG1507" s="84">
        <v>146</v>
      </c>
      <c r="AH1507" s="84">
        <v>156</v>
      </c>
      <c r="AI1507" s="84">
        <v>160</v>
      </c>
      <c r="AJ1507" s="84">
        <v>169</v>
      </c>
      <c r="AK1507" s="137" t="s">
        <v>432</v>
      </c>
      <c r="AL1507" s="601" t="s">
        <v>432</v>
      </c>
      <c r="AM1507" s="137" t="s">
        <v>432</v>
      </c>
      <c r="AN1507" s="137" t="s">
        <v>432</v>
      </c>
      <c r="AO1507" s="137" t="s">
        <v>432</v>
      </c>
      <c r="AP1507" s="137" t="s">
        <v>432</v>
      </c>
      <c r="AQ1507" s="137" t="s">
        <v>432</v>
      </c>
      <c r="AR1507" s="137" t="s">
        <v>432</v>
      </c>
      <c r="AS1507" s="137" t="s">
        <v>432</v>
      </c>
      <c r="AT1507" s="137" t="s">
        <v>432</v>
      </c>
      <c r="AU1507" s="137" t="s">
        <v>432</v>
      </c>
      <c r="AV1507" s="137" t="s">
        <v>432</v>
      </c>
      <c r="AW1507" s="137" t="s">
        <v>432</v>
      </c>
      <c r="AX1507" s="137" t="s">
        <v>432</v>
      </c>
      <c r="AY1507" s="137" t="s">
        <v>432</v>
      </c>
      <c r="AZ1507" s="137" t="s">
        <v>432</v>
      </c>
      <c r="BA1507" s="137" t="s">
        <v>432</v>
      </c>
      <c r="BB1507" s="239" t="str">
        <f t="shared" si="396"/>
        <v>Sinalização semafóricax</v>
      </c>
      <c r="BC1507" s="239" t="str">
        <f t="shared" si="397"/>
        <v>Sinalização semafóricaxx</v>
      </c>
      <c r="BD1507" s="239" t="str">
        <f t="shared" si="398"/>
        <v>Sinalização semafóricax</v>
      </c>
    </row>
    <row r="1508" spans="1:56" s="1" customFormat="1" ht="63" customHeight="1" x14ac:dyDescent="0.25">
      <c r="A1508" s="275" t="str">
        <f>'Q100b-totais'!$B$68</f>
        <v>9.5</v>
      </c>
      <c r="B1508" s="1205" t="str">
        <f>'Q100b-totais'!$C$68</f>
        <v>Sinalização semafórica</v>
      </c>
      <c r="C1508" s="57" t="s">
        <v>432</v>
      </c>
      <c r="D1508" s="324" t="s">
        <v>230</v>
      </c>
      <c r="E1508" s="254" t="s">
        <v>1306</v>
      </c>
      <c r="F1508" s="11" t="s">
        <v>553</v>
      </c>
      <c r="G1508" s="58" t="s">
        <v>554</v>
      </c>
      <c r="H1508" s="173" t="s">
        <v>432</v>
      </c>
      <c r="I1508" s="57">
        <v>1</v>
      </c>
      <c r="J1508" s="107" t="s">
        <v>432</v>
      </c>
      <c r="K1508" s="58" t="s">
        <v>432</v>
      </c>
      <c r="L1508" s="58" t="s">
        <v>432</v>
      </c>
      <c r="M1508" s="58" t="s">
        <v>432</v>
      </c>
      <c r="N1508" s="58" t="s">
        <v>432</v>
      </c>
      <c r="O1508" s="58" t="s">
        <v>432</v>
      </c>
      <c r="P1508" s="58" t="s">
        <v>432</v>
      </c>
      <c r="Q1508" s="58" t="s">
        <v>432</v>
      </c>
      <c r="R1508" s="58" t="s">
        <v>432</v>
      </c>
      <c r="S1508" s="109" t="s">
        <v>2209</v>
      </c>
      <c r="T1508" s="58" t="s">
        <v>432</v>
      </c>
      <c r="U1508" s="58" t="s">
        <v>432</v>
      </c>
      <c r="V1508" s="109" t="s">
        <v>2209</v>
      </c>
      <c r="W1508" s="58" t="s">
        <v>432</v>
      </c>
      <c r="X1508" s="58" t="s">
        <v>432</v>
      </c>
      <c r="Y1508" s="21">
        <f>Y1507/Y1505</f>
        <v>0.15853658536585366</v>
      </c>
      <c r="Z1508" s="21">
        <f t="shared" ref="Z1508:AJ1508" si="420">Z1507/Z1505</f>
        <v>0.16758747697974216</v>
      </c>
      <c r="AA1508" s="21">
        <f t="shared" si="420"/>
        <v>0.1795774647887324</v>
      </c>
      <c r="AB1508" s="21">
        <f t="shared" si="420"/>
        <v>0.17766497461928935</v>
      </c>
      <c r="AC1508" s="21">
        <f t="shared" si="420"/>
        <v>0.18566775244299674</v>
      </c>
      <c r="AD1508" s="21">
        <f t="shared" si="420"/>
        <v>0.19344773790951639</v>
      </c>
      <c r="AE1508" s="21">
        <f t="shared" si="420"/>
        <v>0.20632530120481929</v>
      </c>
      <c r="AF1508" s="21">
        <f t="shared" si="420"/>
        <v>0.20960698689956331</v>
      </c>
      <c r="AG1508" s="21">
        <f t="shared" si="420"/>
        <v>0.20563380281690141</v>
      </c>
      <c r="AH1508" s="21">
        <f t="shared" si="420"/>
        <v>0.20911528150134048</v>
      </c>
      <c r="AI1508" s="21">
        <f t="shared" si="420"/>
        <v>0.20539152759948653</v>
      </c>
      <c r="AJ1508" s="21">
        <f t="shared" si="420"/>
        <v>0.20812807881773399</v>
      </c>
      <c r="AK1508" s="137" t="s">
        <v>432</v>
      </c>
      <c r="AL1508" s="601" t="s">
        <v>432</v>
      </c>
      <c r="AM1508" s="137" t="s">
        <v>432</v>
      </c>
      <c r="AN1508" s="137" t="s">
        <v>432</v>
      </c>
      <c r="AO1508" s="137" t="s">
        <v>432</v>
      </c>
      <c r="AP1508" s="137" t="s">
        <v>432</v>
      </c>
      <c r="AQ1508" s="137" t="s">
        <v>432</v>
      </c>
      <c r="AR1508" s="137" t="s">
        <v>432</v>
      </c>
      <c r="AS1508" s="137" t="s">
        <v>432</v>
      </c>
      <c r="AT1508" s="137" t="s">
        <v>432</v>
      </c>
      <c r="AU1508" s="137" t="s">
        <v>432</v>
      </c>
      <c r="AV1508" s="137" t="s">
        <v>432</v>
      </c>
      <c r="AW1508" s="137" t="s">
        <v>432</v>
      </c>
      <c r="AX1508" s="137" t="s">
        <v>432</v>
      </c>
      <c r="AY1508" s="137" t="s">
        <v>432</v>
      </c>
      <c r="AZ1508" s="137" t="s">
        <v>432</v>
      </c>
      <c r="BA1508" s="137" t="s">
        <v>432</v>
      </c>
      <c r="BB1508" s="239" t="str">
        <f t="shared" si="396"/>
        <v>Sinalização semafóricax</v>
      </c>
      <c r="BC1508" s="239" t="str">
        <f t="shared" si="397"/>
        <v>Sinalização semafóricaxx</v>
      </c>
      <c r="BD1508" s="239" t="str">
        <f t="shared" si="398"/>
        <v>Sinalização semafóricax</v>
      </c>
    </row>
    <row r="1509" spans="1:56" s="1" customFormat="1" ht="63" customHeight="1" x14ac:dyDescent="0.25">
      <c r="A1509" s="275" t="str">
        <f>'Q100b-totais'!$B$68</f>
        <v>9.5</v>
      </c>
      <c r="B1509" s="1205" t="str">
        <f>'Q100b-totais'!$C$68</f>
        <v>Sinalização semafórica</v>
      </c>
      <c r="C1509" s="57" t="s">
        <v>432</v>
      </c>
      <c r="D1509" s="324" t="s">
        <v>231</v>
      </c>
      <c r="E1509" s="254" t="s">
        <v>1306</v>
      </c>
      <c r="F1509" s="11" t="s">
        <v>555</v>
      </c>
      <c r="G1509" s="58" t="s">
        <v>556</v>
      </c>
      <c r="H1509" s="173" t="s">
        <v>432</v>
      </c>
      <c r="I1509" s="57">
        <v>1</v>
      </c>
      <c r="J1509" s="107" t="s">
        <v>432</v>
      </c>
      <c r="K1509" s="58" t="s">
        <v>432</v>
      </c>
      <c r="L1509" s="58" t="s">
        <v>432</v>
      </c>
      <c r="M1509" s="58" t="s">
        <v>432</v>
      </c>
      <c r="N1509" s="58" t="s">
        <v>432</v>
      </c>
      <c r="O1509" s="58" t="s">
        <v>432</v>
      </c>
      <c r="P1509" s="58" t="s">
        <v>432</v>
      </c>
      <c r="Q1509" s="58" t="s">
        <v>432</v>
      </c>
      <c r="R1509" s="58" t="s">
        <v>432</v>
      </c>
      <c r="S1509" s="109" t="s">
        <v>2209</v>
      </c>
      <c r="T1509" s="58" t="s">
        <v>432</v>
      </c>
      <c r="U1509" s="58" t="s">
        <v>432</v>
      </c>
      <c r="V1509" s="109" t="s">
        <v>2209</v>
      </c>
      <c r="W1509" s="58" t="s">
        <v>432</v>
      </c>
      <c r="X1509" s="58" t="s">
        <v>432</v>
      </c>
      <c r="Y1509" s="21">
        <f t="shared" ref="Y1509:AJ1509" si="421">Y1507/Y1522</f>
        <v>0.12111801242236025</v>
      </c>
      <c r="Z1509" s="21">
        <f t="shared" si="421"/>
        <v>0.13131313131313133</v>
      </c>
      <c r="AA1509" s="21">
        <f t="shared" si="421"/>
        <v>0.14345991561181434</v>
      </c>
      <c r="AB1509" s="21">
        <f t="shared" si="421"/>
        <v>0.14208389715832206</v>
      </c>
      <c r="AC1509" s="21">
        <f t="shared" si="421"/>
        <v>0.14960629921259844</v>
      </c>
      <c r="AD1509" s="21">
        <f t="shared" si="421"/>
        <v>0.1569620253164557</v>
      </c>
      <c r="AE1509" s="21">
        <f t="shared" si="421"/>
        <v>0.16871921182266009</v>
      </c>
      <c r="AF1509" s="21">
        <f t="shared" si="421"/>
        <v>0.17245508982035929</v>
      </c>
      <c r="AG1509" s="21">
        <f t="shared" si="421"/>
        <v>0.16898148148148148</v>
      </c>
      <c r="AH1509" s="21">
        <f t="shared" si="421"/>
        <v>0.17352614015572859</v>
      </c>
      <c r="AI1509" s="21">
        <f t="shared" si="421"/>
        <v>0.17222820236813779</v>
      </c>
      <c r="AJ1509" s="21">
        <f t="shared" si="421"/>
        <v>0.17386831275720166</v>
      </c>
      <c r="AK1509" s="137" t="s">
        <v>432</v>
      </c>
      <c r="AL1509" s="601" t="s">
        <v>432</v>
      </c>
      <c r="AM1509" s="137" t="s">
        <v>432</v>
      </c>
      <c r="AN1509" s="137" t="s">
        <v>432</v>
      </c>
      <c r="AO1509" s="137" t="s">
        <v>432</v>
      </c>
      <c r="AP1509" s="137" t="s">
        <v>432</v>
      </c>
      <c r="AQ1509" s="137" t="s">
        <v>432</v>
      </c>
      <c r="AR1509" s="137" t="s">
        <v>432</v>
      </c>
      <c r="AS1509" s="137" t="s">
        <v>432</v>
      </c>
      <c r="AT1509" s="137" t="s">
        <v>432</v>
      </c>
      <c r="AU1509" s="137" t="s">
        <v>432</v>
      </c>
      <c r="AV1509" s="137" t="s">
        <v>432</v>
      </c>
      <c r="AW1509" s="137" t="s">
        <v>432</v>
      </c>
      <c r="AX1509" s="137" t="s">
        <v>432</v>
      </c>
      <c r="AY1509" s="137" t="s">
        <v>432</v>
      </c>
      <c r="AZ1509" s="137" t="s">
        <v>432</v>
      </c>
      <c r="BA1509" s="137" t="s">
        <v>432</v>
      </c>
      <c r="BB1509" s="239" t="str">
        <f t="shared" si="396"/>
        <v>Sinalização semafóricax</v>
      </c>
      <c r="BC1509" s="239" t="str">
        <f t="shared" si="397"/>
        <v>Sinalização semafóricaxx</v>
      </c>
      <c r="BD1509" s="239" t="str">
        <f t="shared" si="398"/>
        <v>Sinalização semafóricax</v>
      </c>
    </row>
    <row r="1510" spans="1:56" s="3" customFormat="1" ht="38.25" x14ac:dyDescent="0.25">
      <c r="A1510" s="262" t="str">
        <f>'Q100b-totais'!B22</f>
        <v>2.7</v>
      </c>
      <c r="B1510" s="252" t="str">
        <f>'Q100b-totais'!C22</f>
        <v>Outras cidades/regiões</v>
      </c>
      <c r="C1510" s="167" t="s">
        <v>743</v>
      </c>
      <c r="D1510" s="325" t="s">
        <v>3019</v>
      </c>
      <c r="E1510" s="1445" t="s">
        <v>3019</v>
      </c>
      <c r="F1510" s="1327" t="s">
        <v>4246</v>
      </c>
      <c r="G1510" s="230" t="s">
        <v>3507</v>
      </c>
      <c r="H1510" s="167" t="s">
        <v>2408</v>
      </c>
      <c r="I1510" s="167" t="s">
        <v>432</v>
      </c>
      <c r="J1510" s="107" t="s">
        <v>432</v>
      </c>
      <c r="K1510" s="107" t="s">
        <v>432</v>
      </c>
      <c r="L1510" s="107" t="s">
        <v>432</v>
      </c>
      <c r="M1510" s="107" t="s">
        <v>432</v>
      </c>
      <c r="N1510" s="107" t="s">
        <v>432</v>
      </c>
      <c r="O1510" s="107" t="s">
        <v>432</v>
      </c>
      <c r="P1510" s="107" t="s">
        <v>432</v>
      </c>
      <c r="Q1510" s="107" t="s">
        <v>432</v>
      </c>
      <c r="R1510" s="107" t="s">
        <v>432</v>
      </c>
      <c r="S1510" s="109" t="s">
        <v>2209</v>
      </c>
      <c r="T1510" s="107" t="s">
        <v>432</v>
      </c>
      <c r="U1510" s="107" t="s">
        <v>432</v>
      </c>
      <c r="V1510" s="109" t="s">
        <v>2209</v>
      </c>
      <c r="W1510" s="107" t="s">
        <v>432</v>
      </c>
      <c r="X1510" s="107" t="s">
        <v>432</v>
      </c>
      <c r="Y1510" s="107" t="s">
        <v>432</v>
      </c>
      <c r="Z1510" s="107" t="s">
        <v>432</v>
      </c>
      <c r="AA1510" s="107" t="s">
        <v>432</v>
      </c>
      <c r="AB1510" s="107" t="s">
        <v>432</v>
      </c>
      <c r="AC1510" s="107" t="s">
        <v>432</v>
      </c>
      <c r="AD1510" s="107" t="s">
        <v>432</v>
      </c>
      <c r="AE1510" s="107" t="s">
        <v>432</v>
      </c>
      <c r="AF1510" s="107" t="s">
        <v>432</v>
      </c>
      <c r="AG1510" s="107" t="s">
        <v>432</v>
      </c>
      <c r="AH1510" s="107" t="s">
        <v>432</v>
      </c>
      <c r="AI1510" s="107" t="s">
        <v>432</v>
      </c>
      <c r="AJ1510" s="107" t="s">
        <v>432</v>
      </c>
      <c r="AK1510" s="107" t="s">
        <v>432</v>
      </c>
      <c r="AL1510" s="601" t="s">
        <v>432</v>
      </c>
      <c r="AM1510" s="137" t="s">
        <v>432</v>
      </c>
      <c r="AN1510" s="137" t="s">
        <v>432</v>
      </c>
      <c r="AO1510" s="137" t="s">
        <v>432</v>
      </c>
      <c r="AP1510" s="137" t="s">
        <v>432</v>
      </c>
      <c r="AQ1510" s="137" t="s">
        <v>432</v>
      </c>
      <c r="AR1510" s="137" t="s">
        <v>432</v>
      </c>
      <c r="AS1510" s="137" t="s">
        <v>432</v>
      </c>
      <c r="AT1510" s="137" t="s">
        <v>432</v>
      </c>
      <c r="AU1510" s="137" t="s">
        <v>432</v>
      </c>
      <c r="AV1510" s="137" t="s">
        <v>432</v>
      </c>
      <c r="AW1510" s="137" t="s">
        <v>432</v>
      </c>
      <c r="AX1510" s="137" t="s">
        <v>432</v>
      </c>
      <c r="AY1510" s="137" t="s">
        <v>432</v>
      </c>
      <c r="AZ1510" s="137" t="s">
        <v>432</v>
      </c>
      <c r="BA1510" s="137" t="s">
        <v>432</v>
      </c>
      <c r="BB1510" s="239" t="str">
        <f>B1510&amp;C1510</f>
        <v>Outras cidades/regiõesacessibilidade</v>
      </c>
      <c r="BC1510" s="239" t="str">
        <f>B1510&amp;C1510&amp;H1510</f>
        <v>Outras cidades/regiõesacessibilidadesigla/verbete</v>
      </c>
      <c r="BD1510" s="239" t="str">
        <f>B1510&amp;H1510</f>
        <v>Outras cidades/regiõessigla/verbete</v>
      </c>
    </row>
    <row r="1511" spans="1:56" s="3" customFormat="1" ht="61.5" customHeight="1" x14ac:dyDescent="0.25">
      <c r="A1511" s="262" t="s">
        <v>432</v>
      </c>
      <c r="B1511" s="252" t="s">
        <v>742</v>
      </c>
      <c r="C1511" s="167" t="s">
        <v>743</v>
      </c>
      <c r="D1511" s="939" t="s">
        <v>3392</v>
      </c>
      <c r="E1511" s="1445" t="s">
        <v>1767</v>
      </c>
      <c r="F1511" s="1094" t="s">
        <v>3486</v>
      </c>
      <c r="G1511" s="230" t="s">
        <v>3507</v>
      </c>
      <c r="H1511" s="167" t="s">
        <v>2408</v>
      </c>
      <c r="I1511" s="167" t="s">
        <v>432</v>
      </c>
      <c r="J1511" s="107" t="s">
        <v>432</v>
      </c>
      <c r="K1511" s="107" t="s">
        <v>432</v>
      </c>
      <c r="L1511" s="107" t="s">
        <v>432</v>
      </c>
      <c r="M1511" s="107" t="s">
        <v>432</v>
      </c>
      <c r="N1511" s="107" t="s">
        <v>432</v>
      </c>
      <c r="O1511" s="107" t="s">
        <v>432</v>
      </c>
      <c r="P1511" s="107" t="s">
        <v>432</v>
      </c>
      <c r="Q1511" s="107" t="s">
        <v>432</v>
      </c>
      <c r="R1511" s="107" t="s">
        <v>432</v>
      </c>
      <c r="S1511" s="109" t="s">
        <v>2209</v>
      </c>
      <c r="T1511" s="107" t="s">
        <v>432</v>
      </c>
      <c r="U1511" s="107" t="s">
        <v>432</v>
      </c>
      <c r="V1511" s="109" t="s">
        <v>2209</v>
      </c>
      <c r="W1511" s="107" t="s">
        <v>432</v>
      </c>
      <c r="X1511" s="107" t="s">
        <v>432</v>
      </c>
      <c r="Y1511" s="107" t="s">
        <v>432</v>
      </c>
      <c r="Z1511" s="107" t="s">
        <v>432</v>
      </c>
      <c r="AA1511" s="107" t="s">
        <v>432</v>
      </c>
      <c r="AB1511" s="107" t="s">
        <v>432</v>
      </c>
      <c r="AC1511" s="107" t="s">
        <v>432</v>
      </c>
      <c r="AD1511" s="107" t="s">
        <v>432</v>
      </c>
      <c r="AE1511" s="107" t="s">
        <v>432</v>
      </c>
      <c r="AF1511" s="107" t="s">
        <v>432</v>
      </c>
      <c r="AG1511" s="107" t="s">
        <v>432</v>
      </c>
      <c r="AH1511" s="107" t="s">
        <v>432</v>
      </c>
      <c r="AI1511" s="107" t="s">
        <v>432</v>
      </c>
      <c r="AJ1511" s="107" t="s">
        <v>432</v>
      </c>
      <c r="AK1511" s="107" t="s">
        <v>432</v>
      </c>
      <c r="AL1511" s="601" t="s">
        <v>432</v>
      </c>
      <c r="AM1511" s="137" t="s">
        <v>432</v>
      </c>
      <c r="AN1511" s="137" t="s">
        <v>432</v>
      </c>
      <c r="AO1511" s="137" t="s">
        <v>432</v>
      </c>
      <c r="AP1511" s="137" t="s">
        <v>432</v>
      </c>
      <c r="AQ1511" s="137" t="s">
        <v>432</v>
      </c>
      <c r="AR1511" s="137" t="s">
        <v>432</v>
      </c>
      <c r="AS1511" s="137" t="s">
        <v>432</v>
      </c>
      <c r="AT1511" s="137" t="s">
        <v>432</v>
      </c>
      <c r="AU1511" s="137" t="s">
        <v>432</v>
      </c>
      <c r="AV1511" s="137" t="s">
        <v>432</v>
      </c>
      <c r="AW1511" s="137" t="s">
        <v>432</v>
      </c>
      <c r="AX1511" s="137" t="s">
        <v>432</v>
      </c>
      <c r="AY1511" s="137" t="s">
        <v>432</v>
      </c>
      <c r="AZ1511" s="137" t="s">
        <v>432</v>
      </c>
      <c r="BA1511" s="137" t="s">
        <v>432</v>
      </c>
      <c r="BB1511" s="239" t="str">
        <f>B1511&amp;C1511</f>
        <v>geralacessibilidade</v>
      </c>
      <c r="BC1511" s="239" t="str">
        <f>B1511&amp;C1511&amp;H1511</f>
        <v>geralacessibilidadesigla/verbete</v>
      </c>
      <c r="BD1511" s="239" t="str">
        <f>B1511&amp;H1511</f>
        <v>geralsigla/verbete</v>
      </c>
    </row>
    <row r="1512" spans="1:56" s="373" customFormat="1" ht="25.5" x14ac:dyDescent="0.25">
      <c r="A1512" s="262" t="s">
        <v>432</v>
      </c>
      <c r="B1512" s="252" t="s">
        <v>742</v>
      </c>
      <c r="C1512" s="167" t="s">
        <v>432</v>
      </c>
      <c r="D1512" s="714" t="s">
        <v>4179</v>
      </c>
      <c r="E1512" s="1498" t="s">
        <v>432</v>
      </c>
      <c r="F1512" s="1287" t="s">
        <v>4182</v>
      </c>
      <c r="G1512" s="57" t="s">
        <v>3507</v>
      </c>
      <c r="H1512" s="167" t="s">
        <v>2408</v>
      </c>
      <c r="I1512" s="167" t="s">
        <v>432</v>
      </c>
      <c r="J1512" s="107" t="s">
        <v>432</v>
      </c>
      <c r="K1512" s="107" t="s">
        <v>432</v>
      </c>
      <c r="L1512" s="107" t="s">
        <v>432</v>
      </c>
      <c r="M1512" s="107" t="s">
        <v>432</v>
      </c>
      <c r="N1512" s="107" t="s">
        <v>432</v>
      </c>
      <c r="O1512" s="107" t="s">
        <v>432</v>
      </c>
      <c r="P1512" s="107" t="s">
        <v>432</v>
      </c>
      <c r="Q1512" s="107" t="s">
        <v>432</v>
      </c>
      <c r="R1512" s="107" t="s">
        <v>432</v>
      </c>
      <c r="S1512" s="109" t="s">
        <v>2209</v>
      </c>
      <c r="T1512" s="107" t="s">
        <v>432</v>
      </c>
      <c r="U1512" s="107" t="s">
        <v>432</v>
      </c>
      <c r="V1512" s="109" t="s">
        <v>2209</v>
      </c>
      <c r="W1512" s="107" t="s">
        <v>432</v>
      </c>
      <c r="X1512" s="107" t="s">
        <v>432</v>
      </c>
      <c r="Y1512" s="107" t="s">
        <v>432</v>
      </c>
      <c r="Z1512" s="107" t="s">
        <v>432</v>
      </c>
      <c r="AA1512" s="107" t="s">
        <v>432</v>
      </c>
      <c r="AB1512" s="107" t="s">
        <v>432</v>
      </c>
      <c r="AC1512" s="107" t="s">
        <v>432</v>
      </c>
      <c r="AD1512" s="107" t="s">
        <v>432</v>
      </c>
      <c r="AE1512" s="107" t="s">
        <v>432</v>
      </c>
      <c r="AF1512" s="107" t="s">
        <v>432</v>
      </c>
      <c r="AG1512" s="107" t="s">
        <v>432</v>
      </c>
      <c r="AH1512" s="107" t="s">
        <v>432</v>
      </c>
      <c r="AI1512" s="107" t="s">
        <v>432</v>
      </c>
      <c r="AJ1512" s="107" t="s">
        <v>432</v>
      </c>
      <c r="AK1512" s="107" t="s">
        <v>432</v>
      </c>
      <c r="AL1512" s="601" t="s">
        <v>432</v>
      </c>
      <c r="AM1512" s="137" t="s">
        <v>432</v>
      </c>
      <c r="AN1512" s="137" t="s">
        <v>432</v>
      </c>
      <c r="AO1512" s="137" t="s">
        <v>432</v>
      </c>
      <c r="AP1512" s="137" t="s">
        <v>432</v>
      </c>
      <c r="AQ1512" s="137" t="s">
        <v>432</v>
      </c>
      <c r="AR1512" s="137" t="s">
        <v>432</v>
      </c>
      <c r="AS1512" s="137" t="s">
        <v>432</v>
      </c>
      <c r="AT1512" s="137" t="s">
        <v>432</v>
      </c>
      <c r="AU1512" s="137" t="s">
        <v>432</v>
      </c>
      <c r="AV1512" s="137" t="s">
        <v>432</v>
      </c>
      <c r="AW1512" s="137" t="s">
        <v>432</v>
      </c>
      <c r="AX1512" s="137" t="s">
        <v>432</v>
      </c>
      <c r="AY1512" s="137" t="s">
        <v>432</v>
      </c>
      <c r="AZ1512" s="137" t="s">
        <v>432</v>
      </c>
      <c r="BA1512" s="137" t="s">
        <v>432</v>
      </c>
      <c r="BB1512" s="239" t="str">
        <f>B1512&amp;C1512</f>
        <v>geralx</v>
      </c>
      <c r="BC1512" s="239" t="str">
        <f>B1512&amp;C1512&amp;H1512</f>
        <v>geralxsigla/verbete</v>
      </c>
      <c r="BD1512" s="239" t="str">
        <f>B1512&amp;H1512</f>
        <v>geralsigla/verbete</v>
      </c>
    </row>
    <row r="1513" spans="1:56" s="373" customFormat="1" ht="31.5" x14ac:dyDescent="0.25">
      <c r="A1513" s="262" t="s">
        <v>432</v>
      </c>
      <c r="B1513" s="252" t="s">
        <v>742</v>
      </c>
      <c r="C1513" s="167" t="s">
        <v>432</v>
      </c>
      <c r="D1513" s="714" t="s">
        <v>4180</v>
      </c>
      <c r="E1513" s="1498" t="s">
        <v>432</v>
      </c>
      <c r="F1513" s="1287" t="s">
        <v>4181</v>
      </c>
      <c r="G1513" s="57" t="s">
        <v>3507</v>
      </c>
      <c r="H1513" s="167" t="s">
        <v>2408</v>
      </c>
      <c r="I1513" s="167" t="s">
        <v>432</v>
      </c>
      <c r="J1513" s="107" t="s">
        <v>432</v>
      </c>
      <c r="K1513" s="107" t="s">
        <v>432</v>
      </c>
      <c r="L1513" s="107" t="s">
        <v>432</v>
      </c>
      <c r="M1513" s="107" t="s">
        <v>432</v>
      </c>
      <c r="N1513" s="107" t="s">
        <v>432</v>
      </c>
      <c r="O1513" s="107" t="s">
        <v>432</v>
      </c>
      <c r="P1513" s="107" t="s">
        <v>432</v>
      </c>
      <c r="Q1513" s="107" t="s">
        <v>432</v>
      </c>
      <c r="R1513" s="107" t="s">
        <v>432</v>
      </c>
      <c r="S1513" s="109" t="s">
        <v>2209</v>
      </c>
      <c r="T1513" s="107" t="s">
        <v>432</v>
      </c>
      <c r="U1513" s="107" t="s">
        <v>432</v>
      </c>
      <c r="V1513" s="109" t="s">
        <v>2209</v>
      </c>
      <c r="W1513" s="107" t="s">
        <v>432</v>
      </c>
      <c r="X1513" s="107" t="s">
        <v>432</v>
      </c>
      <c r="Y1513" s="107" t="s">
        <v>432</v>
      </c>
      <c r="Z1513" s="107" t="s">
        <v>432</v>
      </c>
      <c r="AA1513" s="107" t="s">
        <v>432</v>
      </c>
      <c r="AB1513" s="107" t="s">
        <v>432</v>
      </c>
      <c r="AC1513" s="107" t="s">
        <v>432</v>
      </c>
      <c r="AD1513" s="107" t="s">
        <v>432</v>
      </c>
      <c r="AE1513" s="107" t="s">
        <v>432</v>
      </c>
      <c r="AF1513" s="107" t="s">
        <v>432</v>
      </c>
      <c r="AG1513" s="107" t="s">
        <v>432</v>
      </c>
      <c r="AH1513" s="107" t="s">
        <v>432</v>
      </c>
      <c r="AI1513" s="107" t="s">
        <v>432</v>
      </c>
      <c r="AJ1513" s="107" t="s">
        <v>432</v>
      </c>
      <c r="AK1513" s="107" t="s">
        <v>432</v>
      </c>
      <c r="AL1513" s="601" t="s">
        <v>432</v>
      </c>
      <c r="AM1513" s="137" t="s">
        <v>432</v>
      </c>
      <c r="AN1513" s="137" t="s">
        <v>432</v>
      </c>
      <c r="AO1513" s="137" t="s">
        <v>432</v>
      </c>
      <c r="AP1513" s="137" t="s">
        <v>432</v>
      </c>
      <c r="AQ1513" s="137" t="s">
        <v>432</v>
      </c>
      <c r="AR1513" s="137" t="s">
        <v>432</v>
      </c>
      <c r="AS1513" s="137" t="s">
        <v>432</v>
      </c>
      <c r="AT1513" s="137" t="s">
        <v>432</v>
      </c>
      <c r="AU1513" s="137" t="s">
        <v>432</v>
      </c>
      <c r="AV1513" s="137" t="s">
        <v>432</v>
      </c>
      <c r="AW1513" s="137" t="s">
        <v>432</v>
      </c>
      <c r="AX1513" s="137" t="s">
        <v>432</v>
      </c>
      <c r="AY1513" s="137" t="s">
        <v>432</v>
      </c>
      <c r="AZ1513" s="137" t="s">
        <v>432</v>
      </c>
      <c r="BA1513" s="137" t="s">
        <v>432</v>
      </c>
      <c r="BB1513" s="239" t="str">
        <f>B1513&amp;C1513</f>
        <v>geralx</v>
      </c>
      <c r="BC1513" s="239" t="str">
        <f>B1513&amp;C1513&amp;H1513</f>
        <v>geralxsigla/verbete</v>
      </c>
      <c r="BD1513" s="239" t="str">
        <f>B1513&amp;H1513</f>
        <v>geralsigla/verbete</v>
      </c>
    </row>
    <row r="1514" spans="1:56" s="373" customFormat="1" ht="95.25" customHeight="1" x14ac:dyDescent="0.25">
      <c r="A1514" s="262" t="s">
        <v>432</v>
      </c>
      <c r="B1514" s="252" t="s">
        <v>742</v>
      </c>
      <c r="C1514" s="167" t="s">
        <v>432</v>
      </c>
      <c r="D1514" s="714" t="s">
        <v>4183</v>
      </c>
      <c r="E1514" s="1498"/>
      <c r="F1514" s="1287" t="s">
        <v>4186</v>
      </c>
      <c r="G1514" s="57" t="s">
        <v>3507</v>
      </c>
      <c r="H1514" s="167" t="s">
        <v>2408</v>
      </c>
      <c r="I1514" s="167" t="s">
        <v>432</v>
      </c>
      <c r="J1514" s="107" t="s">
        <v>432</v>
      </c>
      <c r="K1514" s="107" t="s">
        <v>432</v>
      </c>
      <c r="L1514" s="107" t="s">
        <v>432</v>
      </c>
      <c r="M1514" s="107" t="s">
        <v>432</v>
      </c>
      <c r="N1514" s="107" t="s">
        <v>432</v>
      </c>
      <c r="O1514" s="107" t="s">
        <v>432</v>
      </c>
      <c r="P1514" s="107" t="s">
        <v>432</v>
      </c>
      <c r="Q1514" s="107" t="s">
        <v>432</v>
      </c>
      <c r="R1514" s="107" t="s">
        <v>432</v>
      </c>
      <c r="S1514" s="109" t="s">
        <v>2209</v>
      </c>
      <c r="T1514" s="107" t="s">
        <v>432</v>
      </c>
      <c r="U1514" s="107" t="s">
        <v>432</v>
      </c>
      <c r="V1514" s="109" t="s">
        <v>2209</v>
      </c>
      <c r="W1514" s="107" t="s">
        <v>432</v>
      </c>
      <c r="X1514" s="107" t="s">
        <v>432</v>
      </c>
      <c r="Y1514" s="107" t="s">
        <v>432</v>
      </c>
      <c r="Z1514" s="107" t="s">
        <v>432</v>
      </c>
      <c r="AA1514" s="107" t="s">
        <v>432</v>
      </c>
      <c r="AB1514" s="107" t="s">
        <v>432</v>
      </c>
      <c r="AC1514" s="107" t="s">
        <v>432</v>
      </c>
      <c r="AD1514" s="107" t="s">
        <v>432</v>
      </c>
      <c r="AE1514" s="107" t="s">
        <v>432</v>
      </c>
      <c r="AF1514" s="107" t="s">
        <v>432</v>
      </c>
      <c r="AG1514" s="107" t="s">
        <v>432</v>
      </c>
      <c r="AH1514" s="107" t="s">
        <v>432</v>
      </c>
      <c r="AI1514" s="107" t="s">
        <v>432</v>
      </c>
      <c r="AJ1514" s="107" t="s">
        <v>432</v>
      </c>
      <c r="AK1514" s="107" t="s">
        <v>432</v>
      </c>
      <c r="AL1514" s="601" t="s">
        <v>432</v>
      </c>
      <c r="AM1514" s="137" t="s">
        <v>432</v>
      </c>
      <c r="AN1514" s="137" t="s">
        <v>432</v>
      </c>
      <c r="AO1514" s="137" t="s">
        <v>432</v>
      </c>
      <c r="AP1514" s="137" t="s">
        <v>432</v>
      </c>
      <c r="AQ1514" s="137" t="s">
        <v>432</v>
      </c>
      <c r="AR1514" s="137" t="s">
        <v>432</v>
      </c>
      <c r="AS1514" s="137" t="s">
        <v>432</v>
      </c>
      <c r="AT1514" s="137" t="s">
        <v>432</v>
      </c>
      <c r="AU1514" s="137" t="s">
        <v>432</v>
      </c>
      <c r="AV1514" s="137" t="s">
        <v>432</v>
      </c>
      <c r="AW1514" s="137" t="s">
        <v>432</v>
      </c>
      <c r="AX1514" s="137" t="s">
        <v>432</v>
      </c>
      <c r="AY1514" s="137" t="s">
        <v>432</v>
      </c>
      <c r="AZ1514" s="137" t="s">
        <v>432</v>
      </c>
      <c r="BA1514" s="137" t="s">
        <v>432</v>
      </c>
      <c r="BB1514" s="239" t="str">
        <f>B1514&amp;C1514</f>
        <v>geralx</v>
      </c>
      <c r="BC1514" s="239" t="str">
        <f>B1514&amp;C1514&amp;H1514</f>
        <v>geralxsigla/verbete</v>
      </c>
      <c r="BD1514" s="239" t="str">
        <f>B1514&amp;H1514</f>
        <v>geralsigla/verbete</v>
      </c>
    </row>
    <row r="1515" spans="1:56" s="1" customFormat="1" ht="78.75" customHeight="1" x14ac:dyDescent="0.25">
      <c r="A1515" s="262" t="s">
        <v>432</v>
      </c>
      <c r="B1515" s="252" t="s">
        <v>742</v>
      </c>
      <c r="C1515" s="57" t="s">
        <v>432</v>
      </c>
      <c r="D1515" s="324" t="s">
        <v>232</v>
      </c>
      <c r="E1515" s="1496" t="s">
        <v>432</v>
      </c>
      <c r="F1515" s="165" t="s">
        <v>887</v>
      </c>
      <c r="G1515" s="167" t="s">
        <v>3879</v>
      </c>
      <c r="H1515" s="167" t="s">
        <v>432</v>
      </c>
      <c r="I1515" s="167" t="s">
        <v>432</v>
      </c>
      <c r="J1515" s="107" t="s">
        <v>432</v>
      </c>
      <c r="K1515" s="107" t="s">
        <v>432</v>
      </c>
      <c r="L1515" s="107" t="s">
        <v>432</v>
      </c>
      <c r="M1515" s="107" t="s">
        <v>432</v>
      </c>
      <c r="N1515" s="107" t="s">
        <v>432</v>
      </c>
      <c r="O1515" s="107" t="s">
        <v>432</v>
      </c>
      <c r="P1515" s="107" t="s">
        <v>432</v>
      </c>
      <c r="Q1515" s="107" t="s">
        <v>432</v>
      </c>
      <c r="R1515" s="107" t="s">
        <v>432</v>
      </c>
      <c r="S1515" s="109" t="s">
        <v>2209</v>
      </c>
      <c r="T1515" s="107" t="s">
        <v>432</v>
      </c>
      <c r="U1515" s="107" t="s">
        <v>432</v>
      </c>
      <c r="V1515" s="109" t="s">
        <v>2209</v>
      </c>
      <c r="W1515" s="107" t="s">
        <v>432</v>
      </c>
      <c r="X1515" s="107" t="s">
        <v>432</v>
      </c>
      <c r="Y1515" s="107" t="s">
        <v>432</v>
      </c>
      <c r="Z1515" s="107" t="s">
        <v>432</v>
      </c>
      <c r="AA1515" s="107" t="s">
        <v>432</v>
      </c>
      <c r="AB1515" s="107" t="s">
        <v>432</v>
      </c>
      <c r="AC1515" s="107" t="s">
        <v>432</v>
      </c>
      <c r="AD1515" s="107" t="s">
        <v>432</v>
      </c>
      <c r="AE1515" s="107" t="s">
        <v>432</v>
      </c>
      <c r="AF1515" s="107" t="s">
        <v>432</v>
      </c>
      <c r="AG1515" s="107" t="s">
        <v>432</v>
      </c>
      <c r="AH1515" s="107" t="s">
        <v>432</v>
      </c>
      <c r="AI1515" s="107" t="s">
        <v>432</v>
      </c>
      <c r="AJ1515" s="107" t="s">
        <v>432</v>
      </c>
      <c r="AK1515" s="137" t="s">
        <v>432</v>
      </c>
      <c r="AL1515" s="601" t="s">
        <v>432</v>
      </c>
      <c r="AM1515" s="137" t="s">
        <v>432</v>
      </c>
      <c r="AN1515" s="137" t="s">
        <v>432</v>
      </c>
      <c r="AO1515" s="137" t="s">
        <v>432</v>
      </c>
      <c r="AP1515" s="137" t="s">
        <v>432</v>
      </c>
      <c r="AQ1515" s="137" t="s">
        <v>432</v>
      </c>
      <c r="AR1515" s="137" t="s">
        <v>432</v>
      </c>
      <c r="AS1515" s="137" t="s">
        <v>432</v>
      </c>
      <c r="AT1515" s="137" t="s">
        <v>432</v>
      </c>
      <c r="AU1515" s="137" t="s">
        <v>432</v>
      </c>
      <c r="AV1515" s="137" t="s">
        <v>432</v>
      </c>
      <c r="AW1515" s="137" t="s">
        <v>432</v>
      </c>
      <c r="AX1515" s="137" t="s">
        <v>432</v>
      </c>
      <c r="AY1515" s="137" t="s">
        <v>432</v>
      </c>
      <c r="AZ1515" s="137" t="s">
        <v>432</v>
      </c>
      <c r="BA1515" s="137" t="s">
        <v>432</v>
      </c>
      <c r="BB1515" s="239" t="str">
        <f t="shared" si="396"/>
        <v>geralx</v>
      </c>
      <c r="BC1515" s="239" t="str">
        <f t="shared" si="397"/>
        <v>geralxx</v>
      </c>
      <c r="BD1515" s="239" t="str">
        <f t="shared" si="398"/>
        <v>geralx</v>
      </c>
    </row>
    <row r="1516" spans="1:56" s="3" customFormat="1" ht="38.25" x14ac:dyDescent="0.25">
      <c r="A1516" s="262" t="str">
        <f>'Q100b-totais'!B22</f>
        <v>2.7</v>
      </c>
      <c r="B1516" s="252" t="str">
        <f>'Q100b-totais'!C22</f>
        <v>Outras cidades/regiões</v>
      </c>
      <c r="C1516" s="167" t="s">
        <v>743</v>
      </c>
      <c r="D1516" s="1323" t="s">
        <v>3020</v>
      </c>
      <c r="E1516" s="1499" t="s">
        <v>3020</v>
      </c>
      <c r="F1516" s="252" t="s">
        <v>4247</v>
      </c>
      <c r="G1516" s="230" t="s">
        <v>3507</v>
      </c>
      <c r="H1516" s="167" t="s">
        <v>2408</v>
      </c>
      <c r="I1516" s="167" t="s">
        <v>432</v>
      </c>
      <c r="J1516" s="107" t="s">
        <v>432</v>
      </c>
      <c r="K1516" s="107" t="s">
        <v>432</v>
      </c>
      <c r="L1516" s="107" t="s">
        <v>432</v>
      </c>
      <c r="M1516" s="107" t="s">
        <v>432</v>
      </c>
      <c r="N1516" s="107" t="s">
        <v>432</v>
      </c>
      <c r="O1516" s="107" t="s">
        <v>432</v>
      </c>
      <c r="P1516" s="107" t="s">
        <v>432</v>
      </c>
      <c r="Q1516" s="107" t="s">
        <v>432</v>
      </c>
      <c r="R1516" s="107" t="s">
        <v>432</v>
      </c>
      <c r="S1516" s="109" t="s">
        <v>2209</v>
      </c>
      <c r="T1516" s="107" t="s">
        <v>432</v>
      </c>
      <c r="U1516" s="107" t="s">
        <v>432</v>
      </c>
      <c r="V1516" s="109" t="s">
        <v>2209</v>
      </c>
      <c r="W1516" s="107" t="s">
        <v>432</v>
      </c>
      <c r="X1516" s="107" t="s">
        <v>432</v>
      </c>
      <c r="Y1516" s="107" t="s">
        <v>432</v>
      </c>
      <c r="Z1516" s="107" t="s">
        <v>432</v>
      </c>
      <c r="AA1516" s="107" t="s">
        <v>432</v>
      </c>
      <c r="AB1516" s="107" t="s">
        <v>432</v>
      </c>
      <c r="AC1516" s="107" t="s">
        <v>432</v>
      </c>
      <c r="AD1516" s="107" t="s">
        <v>432</v>
      </c>
      <c r="AE1516" s="107" t="s">
        <v>432</v>
      </c>
      <c r="AF1516" s="107" t="s">
        <v>432</v>
      </c>
      <c r="AG1516" s="107" t="s">
        <v>432</v>
      </c>
      <c r="AH1516" s="107" t="s">
        <v>432</v>
      </c>
      <c r="AI1516" s="107" t="s">
        <v>432</v>
      </c>
      <c r="AJ1516" s="107" t="s">
        <v>432</v>
      </c>
      <c r="AK1516" s="107" t="s">
        <v>432</v>
      </c>
      <c r="AL1516" s="601" t="s">
        <v>432</v>
      </c>
      <c r="AM1516" s="137" t="s">
        <v>432</v>
      </c>
      <c r="AN1516" s="137" t="s">
        <v>432</v>
      </c>
      <c r="AO1516" s="137" t="s">
        <v>432</v>
      </c>
      <c r="AP1516" s="137" t="s">
        <v>432</v>
      </c>
      <c r="AQ1516" s="137" t="s">
        <v>432</v>
      </c>
      <c r="AR1516" s="137" t="s">
        <v>432</v>
      </c>
      <c r="AS1516" s="137" t="s">
        <v>432</v>
      </c>
      <c r="AT1516" s="137" t="s">
        <v>432</v>
      </c>
      <c r="AU1516" s="137" t="s">
        <v>432</v>
      </c>
      <c r="AV1516" s="137" t="s">
        <v>432</v>
      </c>
      <c r="AW1516" s="137" t="s">
        <v>432</v>
      </c>
      <c r="AX1516" s="137" t="s">
        <v>432</v>
      </c>
      <c r="AY1516" s="137" t="s">
        <v>432</v>
      </c>
      <c r="AZ1516" s="137" t="s">
        <v>432</v>
      </c>
      <c r="BA1516" s="137" t="s">
        <v>432</v>
      </c>
      <c r="BB1516" s="239" t="str">
        <f>B1516&amp;C1516</f>
        <v>Outras cidades/regiõesacessibilidade</v>
      </c>
      <c r="BC1516" s="239" t="str">
        <f>B1516&amp;C1516&amp;H1516</f>
        <v>Outras cidades/regiõesacessibilidadesigla/verbete</v>
      </c>
      <c r="BD1516" s="239" t="str">
        <f>B1516&amp;H1516</f>
        <v>Outras cidades/regiõessigla/verbete</v>
      </c>
    </row>
    <row r="1517" spans="1:56" s="3" customFormat="1" ht="25.5" x14ac:dyDescent="0.25">
      <c r="A1517" s="262" t="s">
        <v>432</v>
      </c>
      <c r="B1517" s="252" t="s">
        <v>742</v>
      </c>
      <c r="C1517" s="167" t="s">
        <v>432</v>
      </c>
      <c r="D1517" s="325" t="s">
        <v>1769</v>
      </c>
      <c r="E1517" s="1445" t="s">
        <v>1769</v>
      </c>
      <c r="F1517" s="1205" t="s">
        <v>4205</v>
      </c>
      <c r="G1517" s="230" t="s">
        <v>3507</v>
      </c>
      <c r="H1517" s="167" t="s">
        <v>2408</v>
      </c>
      <c r="I1517" s="167" t="s">
        <v>432</v>
      </c>
      <c r="J1517" s="107" t="s">
        <v>432</v>
      </c>
      <c r="K1517" s="107" t="s">
        <v>432</v>
      </c>
      <c r="L1517" s="107" t="s">
        <v>432</v>
      </c>
      <c r="M1517" s="107" t="s">
        <v>432</v>
      </c>
      <c r="N1517" s="107" t="s">
        <v>432</v>
      </c>
      <c r="O1517" s="107" t="s">
        <v>432</v>
      </c>
      <c r="P1517" s="107" t="s">
        <v>432</v>
      </c>
      <c r="Q1517" s="107" t="s">
        <v>432</v>
      </c>
      <c r="R1517" s="107" t="s">
        <v>432</v>
      </c>
      <c r="S1517" s="109" t="s">
        <v>2209</v>
      </c>
      <c r="T1517" s="107" t="s">
        <v>432</v>
      </c>
      <c r="U1517" s="107" t="s">
        <v>432</v>
      </c>
      <c r="V1517" s="109" t="s">
        <v>2209</v>
      </c>
      <c r="W1517" s="107" t="s">
        <v>432</v>
      </c>
      <c r="X1517" s="107" t="s">
        <v>432</v>
      </c>
      <c r="Y1517" s="107" t="s">
        <v>432</v>
      </c>
      <c r="Z1517" s="107" t="s">
        <v>432</v>
      </c>
      <c r="AA1517" s="107" t="s">
        <v>432</v>
      </c>
      <c r="AB1517" s="107" t="s">
        <v>432</v>
      </c>
      <c r="AC1517" s="107" t="s">
        <v>432</v>
      </c>
      <c r="AD1517" s="107" t="s">
        <v>432</v>
      </c>
      <c r="AE1517" s="107" t="s">
        <v>432</v>
      </c>
      <c r="AF1517" s="107" t="s">
        <v>432</v>
      </c>
      <c r="AG1517" s="107" t="s">
        <v>432</v>
      </c>
      <c r="AH1517" s="107" t="s">
        <v>432</v>
      </c>
      <c r="AI1517" s="107" t="s">
        <v>432</v>
      </c>
      <c r="AJ1517" s="107" t="s">
        <v>432</v>
      </c>
      <c r="AK1517" s="107" t="s">
        <v>432</v>
      </c>
      <c r="AL1517" s="601" t="s">
        <v>432</v>
      </c>
      <c r="AM1517" s="137" t="s">
        <v>432</v>
      </c>
      <c r="AN1517" s="137" t="s">
        <v>432</v>
      </c>
      <c r="AO1517" s="137" t="s">
        <v>432</v>
      </c>
      <c r="AP1517" s="137" t="s">
        <v>432</v>
      </c>
      <c r="AQ1517" s="137" t="s">
        <v>432</v>
      </c>
      <c r="AR1517" s="137" t="s">
        <v>432</v>
      </c>
      <c r="AS1517" s="137" t="s">
        <v>432</v>
      </c>
      <c r="AT1517" s="137" t="s">
        <v>432</v>
      </c>
      <c r="AU1517" s="137" t="s">
        <v>432</v>
      </c>
      <c r="AV1517" s="137" t="s">
        <v>432</v>
      </c>
      <c r="AW1517" s="137" t="s">
        <v>432</v>
      </c>
      <c r="AX1517" s="137" t="s">
        <v>432</v>
      </c>
      <c r="AY1517" s="137" t="s">
        <v>432</v>
      </c>
      <c r="AZ1517" s="137" t="s">
        <v>432</v>
      </c>
      <c r="BA1517" s="137" t="s">
        <v>432</v>
      </c>
      <c r="BB1517" s="239" t="str">
        <f>B1517&amp;C1517</f>
        <v>geralx</v>
      </c>
      <c r="BC1517" s="239" t="str">
        <f>B1517&amp;C1517&amp;H1517</f>
        <v>geralxsigla/verbete</v>
      </c>
      <c r="BD1517" s="239" t="str">
        <f>B1517&amp;H1517</f>
        <v>geralsigla/verbete</v>
      </c>
    </row>
    <row r="1518" spans="1:56" s="1" customFormat="1" ht="63" customHeight="1" x14ac:dyDescent="0.25">
      <c r="A1518" s="262" t="s">
        <v>432</v>
      </c>
      <c r="B1518" s="252" t="s">
        <v>742</v>
      </c>
      <c r="C1518" s="57" t="s">
        <v>432</v>
      </c>
      <c r="D1518" s="324" t="s">
        <v>233</v>
      </c>
      <c r="E1518" s="1496" t="s">
        <v>432</v>
      </c>
      <c r="F1518" s="11" t="s">
        <v>747</v>
      </c>
      <c r="G1518" s="167" t="s">
        <v>3879</v>
      </c>
      <c r="H1518" s="167" t="s">
        <v>432</v>
      </c>
      <c r="I1518" s="167" t="s">
        <v>432</v>
      </c>
      <c r="J1518" s="107" t="s">
        <v>432</v>
      </c>
      <c r="K1518" s="107" t="s">
        <v>432</v>
      </c>
      <c r="L1518" s="107" t="s">
        <v>432</v>
      </c>
      <c r="M1518" s="107" t="s">
        <v>432</v>
      </c>
      <c r="N1518" s="107" t="s">
        <v>432</v>
      </c>
      <c r="O1518" s="107" t="s">
        <v>432</v>
      </c>
      <c r="P1518" s="107" t="s">
        <v>432</v>
      </c>
      <c r="Q1518" s="107" t="s">
        <v>432</v>
      </c>
      <c r="R1518" s="107" t="s">
        <v>432</v>
      </c>
      <c r="S1518" s="109" t="s">
        <v>2209</v>
      </c>
      <c r="T1518" s="107" t="s">
        <v>432</v>
      </c>
      <c r="U1518" s="107" t="s">
        <v>432</v>
      </c>
      <c r="V1518" s="109" t="s">
        <v>2209</v>
      </c>
      <c r="W1518" s="107" t="s">
        <v>432</v>
      </c>
      <c r="X1518" s="107" t="s">
        <v>432</v>
      </c>
      <c r="Y1518" s="107" t="s">
        <v>432</v>
      </c>
      <c r="Z1518" s="107" t="s">
        <v>432</v>
      </c>
      <c r="AA1518" s="107" t="s">
        <v>432</v>
      </c>
      <c r="AB1518" s="107" t="s">
        <v>432</v>
      </c>
      <c r="AC1518" s="107" t="s">
        <v>432</v>
      </c>
      <c r="AD1518" s="107" t="s">
        <v>432</v>
      </c>
      <c r="AE1518" s="107" t="s">
        <v>432</v>
      </c>
      <c r="AF1518" s="107" t="s">
        <v>432</v>
      </c>
      <c r="AG1518" s="107" t="s">
        <v>432</v>
      </c>
      <c r="AH1518" s="107" t="s">
        <v>432</v>
      </c>
      <c r="AI1518" s="107" t="s">
        <v>432</v>
      </c>
      <c r="AJ1518" s="107" t="s">
        <v>432</v>
      </c>
      <c r="AK1518" s="137" t="s">
        <v>432</v>
      </c>
      <c r="AL1518" s="601" t="s">
        <v>432</v>
      </c>
      <c r="AM1518" s="137" t="s">
        <v>432</v>
      </c>
      <c r="AN1518" s="137" t="s">
        <v>432</v>
      </c>
      <c r="AO1518" s="137" t="s">
        <v>432</v>
      </c>
      <c r="AP1518" s="137" t="s">
        <v>432</v>
      </c>
      <c r="AQ1518" s="137" t="s">
        <v>432</v>
      </c>
      <c r="AR1518" s="137" t="s">
        <v>432</v>
      </c>
      <c r="AS1518" s="137" t="s">
        <v>432</v>
      </c>
      <c r="AT1518" s="137" t="s">
        <v>432</v>
      </c>
      <c r="AU1518" s="137" t="s">
        <v>432</v>
      </c>
      <c r="AV1518" s="137" t="s">
        <v>432</v>
      </c>
      <c r="AW1518" s="137" t="s">
        <v>432</v>
      </c>
      <c r="AX1518" s="137" t="s">
        <v>432</v>
      </c>
      <c r="AY1518" s="137" t="s">
        <v>432</v>
      </c>
      <c r="AZ1518" s="137" t="s">
        <v>432</v>
      </c>
      <c r="BA1518" s="137" t="s">
        <v>432</v>
      </c>
      <c r="BB1518" s="239" t="str">
        <f t="shared" si="396"/>
        <v>geralx</v>
      </c>
      <c r="BC1518" s="239" t="str">
        <f t="shared" si="397"/>
        <v>geralxx</v>
      </c>
      <c r="BD1518" s="239" t="str">
        <f t="shared" si="398"/>
        <v>geralx</v>
      </c>
    </row>
    <row r="1519" spans="1:56" s="1" customFormat="1" ht="78" customHeight="1" x14ac:dyDescent="0.25">
      <c r="A1519" s="262" t="s">
        <v>432</v>
      </c>
      <c r="B1519" s="252" t="s">
        <v>742</v>
      </c>
      <c r="C1519" s="57" t="s">
        <v>743</v>
      </c>
      <c r="D1519" s="324" t="s">
        <v>3202</v>
      </c>
      <c r="E1519" s="1496" t="s">
        <v>432</v>
      </c>
      <c r="F1519" s="11" t="s">
        <v>3379</v>
      </c>
      <c r="G1519" s="230" t="s">
        <v>3507</v>
      </c>
      <c r="H1519" s="167" t="s">
        <v>2408</v>
      </c>
      <c r="I1519" s="167" t="s">
        <v>432</v>
      </c>
      <c r="J1519" s="107" t="s">
        <v>432</v>
      </c>
      <c r="K1519" s="107" t="s">
        <v>432</v>
      </c>
      <c r="L1519" s="107" t="s">
        <v>432</v>
      </c>
      <c r="M1519" s="107" t="s">
        <v>432</v>
      </c>
      <c r="N1519" s="107" t="s">
        <v>432</v>
      </c>
      <c r="O1519" s="107" t="s">
        <v>432</v>
      </c>
      <c r="P1519" s="107" t="s">
        <v>432</v>
      </c>
      <c r="Q1519" s="107" t="s">
        <v>432</v>
      </c>
      <c r="R1519" s="107" t="s">
        <v>432</v>
      </c>
      <c r="S1519" s="109" t="s">
        <v>2209</v>
      </c>
      <c r="T1519" s="107" t="s">
        <v>432</v>
      </c>
      <c r="U1519" s="107" t="s">
        <v>432</v>
      </c>
      <c r="V1519" s="109" t="s">
        <v>2209</v>
      </c>
      <c r="W1519" s="107" t="s">
        <v>432</v>
      </c>
      <c r="X1519" s="107" t="s">
        <v>432</v>
      </c>
      <c r="Y1519" s="107" t="s">
        <v>432</v>
      </c>
      <c r="Z1519" s="107" t="s">
        <v>432</v>
      </c>
      <c r="AA1519" s="107" t="s">
        <v>432</v>
      </c>
      <c r="AB1519" s="107" t="s">
        <v>432</v>
      </c>
      <c r="AC1519" s="107" t="s">
        <v>432</v>
      </c>
      <c r="AD1519" s="107" t="s">
        <v>432</v>
      </c>
      <c r="AE1519" s="107" t="s">
        <v>432</v>
      </c>
      <c r="AF1519" s="107" t="s">
        <v>432</v>
      </c>
      <c r="AG1519" s="107" t="s">
        <v>432</v>
      </c>
      <c r="AH1519" s="107" t="s">
        <v>432</v>
      </c>
      <c r="AI1519" s="107" t="s">
        <v>432</v>
      </c>
      <c r="AJ1519" s="107" t="s">
        <v>432</v>
      </c>
      <c r="AK1519" s="107" t="s">
        <v>432</v>
      </c>
      <c r="AL1519" s="601" t="s">
        <v>432</v>
      </c>
      <c r="AM1519" s="137" t="s">
        <v>432</v>
      </c>
      <c r="AN1519" s="137" t="s">
        <v>432</v>
      </c>
      <c r="AO1519" s="137" t="s">
        <v>432</v>
      </c>
      <c r="AP1519" s="137" t="s">
        <v>432</v>
      </c>
      <c r="AQ1519" s="137" t="s">
        <v>432</v>
      </c>
      <c r="AR1519" s="137" t="s">
        <v>432</v>
      </c>
      <c r="AS1519" s="137" t="s">
        <v>432</v>
      </c>
      <c r="AT1519" s="137" t="s">
        <v>432</v>
      </c>
      <c r="AU1519" s="137" t="s">
        <v>432</v>
      </c>
      <c r="AV1519" s="137" t="s">
        <v>432</v>
      </c>
      <c r="AW1519" s="137" t="s">
        <v>432</v>
      </c>
      <c r="AX1519" s="137" t="s">
        <v>432</v>
      </c>
      <c r="AY1519" s="137" t="s">
        <v>432</v>
      </c>
      <c r="AZ1519" s="137" t="s">
        <v>432</v>
      </c>
      <c r="BA1519" s="137" t="s">
        <v>432</v>
      </c>
      <c r="BB1519" s="239" t="str">
        <f>B1519&amp;C1519</f>
        <v>geralacessibilidade</v>
      </c>
      <c r="BC1519" s="239" t="str">
        <f>B1519&amp;C1519&amp;H1519</f>
        <v>geralacessibilidadesigla/verbete</v>
      </c>
      <c r="BD1519" s="239" t="str">
        <f>B1519&amp;H1519</f>
        <v>geralsigla/verbete</v>
      </c>
    </row>
    <row r="1520" spans="1:56" s="1" customFormat="1" ht="175.5" customHeight="1" x14ac:dyDescent="0.25">
      <c r="A1520" s="262" t="s">
        <v>432</v>
      </c>
      <c r="B1520" s="252" t="s">
        <v>742</v>
      </c>
      <c r="C1520" s="57" t="s">
        <v>743</v>
      </c>
      <c r="D1520" s="324" t="s">
        <v>3202</v>
      </c>
      <c r="E1520" s="1445" t="s">
        <v>3010</v>
      </c>
      <c r="F1520" s="11" t="s">
        <v>3382</v>
      </c>
      <c r="G1520" s="110" t="s">
        <v>77</v>
      </c>
      <c r="H1520" s="221" t="s">
        <v>819</v>
      </c>
      <c r="I1520" s="167" t="s">
        <v>432</v>
      </c>
      <c r="J1520" s="107" t="s">
        <v>432</v>
      </c>
      <c r="K1520" s="107" t="s">
        <v>432</v>
      </c>
      <c r="L1520" s="107" t="s">
        <v>432</v>
      </c>
      <c r="M1520" s="107" t="s">
        <v>432</v>
      </c>
      <c r="N1520" s="107" t="s">
        <v>432</v>
      </c>
      <c r="O1520" s="107" t="s">
        <v>432</v>
      </c>
      <c r="P1520" s="107" t="s">
        <v>432</v>
      </c>
      <c r="Q1520" s="107" t="s">
        <v>432</v>
      </c>
      <c r="R1520" s="107" t="s">
        <v>432</v>
      </c>
      <c r="S1520" s="109" t="s">
        <v>2209</v>
      </c>
      <c r="T1520" s="107" t="s">
        <v>432</v>
      </c>
      <c r="U1520" s="107" t="s">
        <v>432</v>
      </c>
      <c r="V1520" s="109" t="s">
        <v>2209</v>
      </c>
      <c r="W1520" s="107" t="s">
        <v>432</v>
      </c>
      <c r="X1520" s="107" t="s">
        <v>432</v>
      </c>
      <c r="Y1520" s="107" t="s">
        <v>432</v>
      </c>
      <c r="Z1520" s="107" t="s">
        <v>432</v>
      </c>
      <c r="AA1520" s="107" t="s">
        <v>432</v>
      </c>
      <c r="AB1520" s="107" t="s">
        <v>432</v>
      </c>
      <c r="AC1520" s="107" t="s">
        <v>432</v>
      </c>
      <c r="AD1520" s="107" t="s">
        <v>432</v>
      </c>
      <c r="AE1520" s="107" t="s">
        <v>432</v>
      </c>
      <c r="AF1520" s="107" t="s">
        <v>432</v>
      </c>
      <c r="AG1520" s="107" t="s">
        <v>432</v>
      </c>
      <c r="AH1520" s="174">
        <v>0.8</v>
      </c>
      <c r="AI1520" s="107" t="s">
        <v>432</v>
      </c>
      <c r="AJ1520" s="107" t="s">
        <v>432</v>
      </c>
      <c r="AK1520" s="107" t="s">
        <v>432</v>
      </c>
      <c r="AL1520" s="601" t="s">
        <v>432</v>
      </c>
      <c r="AM1520" s="137" t="s">
        <v>432</v>
      </c>
      <c r="AN1520" s="137" t="s">
        <v>432</v>
      </c>
      <c r="AO1520" s="137" t="s">
        <v>432</v>
      </c>
      <c r="AP1520" s="137" t="s">
        <v>432</v>
      </c>
      <c r="AQ1520" s="137" t="s">
        <v>432</v>
      </c>
      <c r="AR1520" s="137" t="s">
        <v>432</v>
      </c>
      <c r="AS1520" s="137" t="s">
        <v>432</v>
      </c>
      <c r="AT1520" s="137" t="s">
        <v>432</v>
      </c>
      <c r="AU1520" s="137" t="s">
        <v>432</v>
      </c>
      <c r="AV1520" s="137" t="s">
        <v>432</v>
      </c>
      <c r="AW1520" s="137" t="s">
        <v>432</v>
      </c>
      <c r="AX1520" s="137" t="s">
        <v>432</v>
      </c>
      <c r="AY1520" s="137" t="s">
        <v>432</v>
      </c>
      <c r="AZ1520" s="137" t="s">
        <v>432</v>
      </c>
      <c r="BA1520" s="137" t="s">
        <v>432</v>
      </c>
      <c r="BB1520" s="239" t="str">
        <f>B1520&amp;C1520</f>
        <v>geralacessibilidade</v>
      </c>
      <c r="BC1520" s="239" t="str">
        <f>B1520&amp;C1520&amp;H1520</f>
        <v>geralacessibilidadebenchmarking</v>
      </c>
      <c r="BD1520" s="239" t="str">
        <f>B1520&amp;H1520</f>
        <v>geralbenchmarking</v>
      </c>
    </row>
    <row r="1521" spans="1:56" s="1" customFormat="1" ht="31.5" x14ac:dyDescent="0.25">
      <c r="A1521" s="262" t="s">
        <v>432</v>
      </c>
      <c r="B1521" s="54" t="s">
        <v>742</v>
      </c>
      <c r="C1521" s="167" t="s">
        <v>743</v>
      </c>
      <c r="D1521" s="324" t="s">
        <v>5198</v>
      </c>
      <c r="E1521" s="1364" t="s">
        <v>432</v>
      </c>
      <c r="F1521" s="1205" t="s">
        <v>5199</v>
      </c>
      <c r="G1521" s="230" t="s">
        <v>3507</v>
      </c>
      <c r="H1521" s="167" t="s">
        <v>2408</v>
      </c>
      <c r="I1521" s="167" t="s">
        <v>432</v>
      </c>
      <c r="J1521" s="107" t="s">
        <v>432</v>
      </c>
      <c r="K1521" s="107" t="s">
        <v>432</v>
      </c>
      <c r="L1521" s="107" t="s">
        <v>432</v>
      </c>
      <c r="M1521" s="107" t="s">
        <v>432</v>
      </c>
      <c r="N1521" s="107" t="s">
        <v>432</v>
      </c>
      <c r="O1521" s="107" t="s">
        <v>432</v>
      </c>
      <c r="P1521" s="107" t="s">
        <v>432</v>
      </c>
      <c r="Q1521" s="107" t="s">
        <v>432</v>
      </c>
      <c r="R1521" s="107" t="s">
        <v>432</v>
      </c>
      <c r="S1521" s="109" t="s">
        <v>2209</v>
      </c>
      <c r="T1521" s="107" t="s">
        <v>432</v>
      </c>
      <c r="U1521" s="107" t="s">
        <v>432</v>
      </c>
      <c r="V1521" s="109" t="s">
        <v>2209</v>
      </c>
      <c r="W1521" s="107" t="s">
        <v>432</v>
      </c>
      <c r="X1521" s="107" t="s">
        <v>432</v>
      </c>
      <c r="Y1521" s="107" t="s">
        <v>432</v>
      </c>
      <c r="Z1521" s="107" t="s">
        <v>432</v>
      </c>
      <c r="AA1521" s="107" t="s">
        <v>432</v>
      </c>
      <c r="AB1521" s="107" t="s">
        <v>432</v>
      </c>
      <c r="AC1521" s="107" t="s">
        <v>432</v>
      </c>
      <c r="AD1521" s="107" t="s">
        <v>432</v>
      </c>
      <c r="AE1521" s="107" t="s">
        <v>432</v>
      </c>
      <c r="AF1521" s="107" t="s">
        <v>432</v>
      </c>
      <c r="AG1521" s="107" t="s">
        <v>432</v>
      </c>
      <c r="AH1521" s="107" t="s">
        <v>432</v>
      </c>
      <c r="AI1521" s="107" t="s">
        <v>432</v>
      </c>
      <c r="AJ1521" s="107" t="s">
        <v>432</v>
      </c>
      <c r="AK1521" s="107" t="s">
        <v>432</v>
      </c>
      <c r="AL1521" s="601" t="s">
        <v>432</v>
      </c>
      <c r="AM1521" s="137" t="s">
        <v>432</v>
      </c>
      <c r="AN1521" s="137" t="s">
        <v>432</v>
      </c>
      <c r="AO1521" s="137" t="s">
        <v>432</v>
      </c>
      <c r="AP1521" s="137" t="s">
        <v>432</v>
      </c>
      <c r="AQ1521" s="137" t="s">
        <v>432</v>
      </c>
      <c r="AR1521" s="137" t="s">
        <v>432</v>
      </c>
      <c r="AS1521" s="137" t="s">
        <v>432</v>
      </c>
      <c r="AT1521" s="137" t="s">
        <v>432</v>
      </c>
      <c r="AU1521" s="137" t="s">
        <v>432</v>
      </c>
      <c r="AV1521" s="137" t="s">
        <v>432</v>
      </c>
      <c r="AW1521" s="137" t="s">
        <v>432</v>
      </c>
      <c r="AX1521" s="137" t="s">
        <v>432</v>
      </c>
      <c r="AY1521" s="137" t="s">
        <v>432</v>
      </c>
      <c r="AZ1521" s="137" t="s">
        <v>432</v>
      </c>
      <c r="BA1521" s="137" t="s">
        <v>432</v>
      </c>
      <c r="BB1521" s="239" t="str">
        <f>B1521&amp;C1521</f>
        <v>geralacessibilidade</v>
      </c>
      <c r="BC1521" s="239" t="str">
        <f>B1521&amp;C1521&amp;H1521</f>
        <v>geralacessibilidadesigla/verbete</v>
      </c>
      <c r="BD1521" s="239" t="str">
        <f>B1521&amp;H1521</f>
        <v>geralsigla/verbete</v>
      </c>
    </row>
    <row r="1522" spans="1:56" s="1" customFormat="1" ht="76.5" customHeight="1" x14ac:dyDescent="0.25">
      <c r="A1522" s="275" t="str">
        <f>'Q100b-totais'!$B$68</f>
        <v>9.5</v>
      </c>
      <c r="B1522" s="1205" t="str">
        <f>'Q100b-totais'!$C$68</f>
        <v>Sinalização semafórica</v>
      </c>
      <c r="C1522" s="57" t="s">
        <v>432</v>
      </c>
      <c r="D1522" s="362" t="s">
        <v>234</v>
      </c>
      <c r="E1522" s="1502" t="s">
        <v>1306</v>
      </c>
      <c r="F1522" s="286" t="s">
        <v>635</v>
      </c>
      <c r="G1522" s="58" t="s">
        <v>575</v>
      </c>
      <c r="H1522" s="173" t="s">
        <v>432</v>
      </c>
      <c r="I1522" s="57">
        <v>1</v>
      </c>
      <c r="J1522" s="107" t="s">
        <v>432</v>
      </c>
      <c r="K1522" s="58" t="s">
        <v>432</v>
      </c>
      <c r="L1522" s="58" t="s">
        <v>432</v>
      </c>
      <c r="M1522" s="58" t="s">
        <v>432</v>
      </c>
      <c r="N1522" s="58" t="s">
        <v>432</v>
      </c>
      <c r="O1522" s="58" t="s">
        <v>432</v>
      </c>
      <c r="P1522" s="58" t="s">
        <v>432</v>
      </c>
      <c r="Q1522" s="58" t="s">
        <v>432</v>
      </c>
      <c r="R1522" s="58" t="s">
        <v>432</v>
      </c>
      <c r="S1522" s="109" t="s">
        <v>2209</v>
      </c>
      <c r="T1522" s="58" t="s">
        <v>432</v>
      </c>
      <c r="U1522" s="58" t="s">
        <v>432</v>
      </c>
      <c r="V1522" s="109" t="s">
        <v>2209</v>
      </c>
      <c r="W1522" s="58" t="s">
        <v>432</v>
      </c>
      <c r="X1522" s="58" t="s">
        <v>432</v>
      </c>
      <c r="Y1522" s="72">
        <f t="shared" ref="Y1522:AJ1522" si="422">Y1469+Y1507</f>
        <v>644</v>
      </c>
      <c r="Z1522" s="72">
        <f t="shared" si="422"/>
        <v>693</v>
      </c>
      <c r="AA1522" s="72">
        <f t="shared" si="422"/>
        <v>711</v>
      </c>
      <c r="AB1522" s="72">
        <f t="shared" si="422"/>
        <v>739</v>
      </c>
      <c r="AC1522" s="72">
        <f t="shared" si="422"/>
        <v>762</v>
      </c>
      <c r="AD1522" s="72">
        <f t="shared" si="422"/>
        <v>790</v>
      </c>
      <c r="AE1522" s="72">
        <f t="shared" si="422"/>
        <v>812</v>
      </c>
      <c r="AF1522" s="72">
        <f t="shared" si="422"/>
        <v>835</v>
      </c>
      <c r="AG1522" s="72">
        <f t="shared" si="422"/>
        <v>864</v>
      </c>
      <c r="AH1522" s="72">
        <f t="shared" si="422"/>
        <v>899</v>
      </c>
      <c r="AI1522" s="72">
        <f t="shared" si="422"/>
        <v>929</v>
      </c>
      <c r="AJ1522" s="72">
        <f t="shared" si="422"/>
        <v>972</v>
      </c>
      <c r="AK1522" s="137" t="s">
        <v>432</v>
      </c>
      <c r="AL1522" s="601" t="s">
        <v>432</v>
      </c>
      <c r="AM1522" s="137" t="s">
        <v>432</v>
      </c>
      <c r="AN1522" s="137" t="s">
        <v>432</v>
      </c>
      <c r="AO1522" s="137" t="s">
        <v>432</v>
      </c>
      <c r="AP1522" s="137" t="s">
        <v>432</v>
      </c>
      <c r="AQ1522" s="137" t="s">
        <v>432</v>
      </c>
      <c r="AR1522" s="137" t="s">
        <v>432</v>
      </c>
      <c r="AS1522" s="137" t="s">
        <v>432</v>
      </c>
      <c r="AT1522" s="137" t="s">
        <v>432</v>
      </c>
      <c r="AU1522" s="137" t="s">
        <v>432</v>
      </c>
      <c r="AV1522" s="137" t="s">
        <v>432</v>
      </c>
      <c r="AW1522" s="137" t="s">
        <v>432</v>
      </c>
      <c r="AX1522" s="137" t="s">
        <v>432</v>
      </c>
      <c r="AY1522" s="137" t="s">
        <v>432</v>
      </c>
      <c r="AZ1522" s="137" t="s">
        <v>432</v>
      </c>
      <c r="BA1522" s="137" t="s">
        <v>432</v>
      </c>
      <c r="BB1522" s="239" t="str">
        <f t="shared" si="396"/>
        <v>Sinalização semafóricax</v>
      </c>
      <c r="BC1522" s="239" t="str">
        <f t="shared" si="397"/>
        <v>Sinalização semafóricaxx</v>
      </c>
      <c r="BD1522" s="239" t="str">
        <f t="shared" si="398"/>
        <v>Sinalização semafóricax</v>
      </c>
    </row>
    <row r="1523" spans="1:56" s="1" customFormat="1" ht="63.75" customHeight="1" x14ac:dyDescent="0.25">
      <c r="A1523" s="275" t="str">
        <f>'Q100b-totais'!$B$68</f>
        <v>9.5</v>
      </c>
      <c r="B1523" s="1205" t="str">
        <f>'Q100b-totais'!$C$68</f>
        <v>Sinalização semafórica</v>
      </c>
      <c r="C1523" s="57" t="s">
        <v>432</v>
      </c>
      <c r="D1523" s="324" t="s">
        <v>235</v>
      </c>
      <c r="E1523" s="254" t="s">
        <v>1306</v>
      </c>
      <c r="F1523" s="11" t="s">
        <v>557</v>
      </c>
      <c r="G1523" s="58" t="s">
        <v>558</v>
      </c>
      <c r="H1523" s="173" t="s">
        <v>432</v>
      </c>
      <c r="I1523" s="57">
        <v>1</v>
      </c>
      <c r="J1523" s="107" t="s">
        <v>432</v>
      </c>
      <c r="K1523" s="58" t="s">
        <v>432</v>
      </c>
      <c r="L1523" s="58" t="s">
        <v>432</v>
      </c>
      <c r="M1523" s="58" t="s">
        <v>432</v>
      </c>
      <c r="N1523" s="58" t="s">
        <v>432</v>
      </c>
      <c r="O1523" s="58" t="s">
        <v>432</v>
      </c>
      <c r="P1523" s="58" t="s">
        <v>432</v>
      </c>
      <c r="Q1523" s="58" t="s">
        <v>432</v>
      </c>
      <c r="R1523" s="58" t="s">
        <v>432</v>
      </c>
      <c r="S1523" s="109" t="s">
        <v>2209</v>
      </c>
      <c r="T1523" s="58" t="s">
        <v>432</v>
      </c>
      <c r="U1523" s="58" t="s">
        <v>432</v>
      </c>
      <c r="V1523" s="109" t="s">
        <v>2209</v>
      </c>
      <c r="W1523" s="58" t="s">
        <v>432</v>
      </c>
      <c r="X1523" s="58" t="s">
        <v>432</v>
      </c>
      <c r="Y1523" s="64">
        <f t="shared" ref="Y1523:AJ1523" si="423">(Y1522/Y814)*1000</f>
        <v>0.81462170056074812</v>
      </c>
      <c r="Z1523" s="64">
        <f t="shared" si="423"/>
        <v>0.84331909953477513</v>
      </c>
      <c r="AA1523" s="64">
        <f t="shared" si="423"/>
        <v>0.82394946443284811</v>
      </c>
      <c r="AB1523" s="64">
        <f t="shared" si="423"/>
        <v>0.79352551898609125</v>
      </c>
      <c r="AC1523" s="64">
        <f t="shared" si="423"/>
        <v>0.74671840778468634</v>
      </c>
      <c r="AD1523" s="64">
        <f t="shared" si="423"/>
        <v>0.71347354142075159</v>
      </c>
      <c r="AE1523" s="64">
        <f t="shared" si="423"/>
        <v>0.66550558344431932</v>
      </c>
      <c r="AF1523" s="64">
        <f t="shared" si="423"/>
        <v>0.62669761877420949</v>
      </c>
      <c r="AG1523" s="64">
        <f t="shared" si="423"/>
        <v>0.60425284904518961</v>
      </c>
      <c r="AH1523" s="64">
        <f t="shared" si="423"/>
        <v>0.59641685491280971</v>
      </c>
      <c r="AI1523" s="64">
        <f t="shared" si="423"/>
        <v>0.58774219058916566</v>
      </c>
      <c r="AJ1523" s="64">
        <f t="shared" si="423"/>
        <v>0.59550978271857569</v>
      </c>
      <c r="AK1523" s="137" t="s">
        <v>432</v>
      </c>
      <c r="AL1523" s="601" t="s">
        <v>432</v>
      </c>
      <c r="AM1523" s="137" t="s">
        <v>432</v>
      </c>
      <c r="AN1523" s="137" t="s">
        <v>432</v>
      </c>
      <c r="AO1523" s="137" t="s">
        <v>432</v>
      </c>
      <c r="AP1523" s="137" t="s">
        <v>432</v>
      </c>
      <c r="AQ1523" s="137" t="s">
        <v>432</v>
      </c>
      <c r="AR1523" s="137" t="s">
        <v>432</v>
      </c>
      <c r="AS1523" s="137" t="s">
        <v>432</v>
      </c>
      <c r="AT1523" s="137" t="s">
        <v>432</v>
      </c>
      <c r="AU1523" s="137" t="s">
        <v>432</v>
      </c>
      <c r="AV1523" s="137" t="s">
        <v>432</v>
      </c>
      <c r="AW1523" s="137" t="s">
        <v>432</v>
      </c>
      <c r="AX1523" s="137" t="s">
        <v>432</v>
      </c>
      <c r="AY1523" s="137" t="s">
        <v>432</v>
      </c>
      <c r="AZ1523" s="137" t="s">
        <v>432</v>
      </c>
      <c r="BA1523" s="137" t="s">
        <v>432</v>
      </c>
      <c r="BB1523" s="239" t="str">
        <f t="shared" ref="BB1523:BB1548" si="424">B1523&amp;C1523</f>
        <v>Sinalização semafóricax</v>
      </c>
      <c r="BC1523" s="239" t="str">
        <f t="shared" ref="BC1523:BC1548" si="425">B1523&amp;C1523&amp;H1523</f>
        <v>Sinalização semafóricaxx</v>
      </c>
      <c r="BD1523" s="239" t="str">
        <f t="shared" ref="BD1523:BD1548" si="426">B1523&amp;H1523</f>
        <v>Sinalização semafóricax</v>
      </c>
    </row>
    <row r="1524" spans="1:56" s="1" customFormat="1" ht="63.75" customHeight="1" x14ac:dyDescent="0.25">
      <c r="A1524" s="275" t="str">
        <f>'Q100b-totais'!$B$68</f>
        <v>9.5</v>
      </c>
      <c r="B1524" s="1205" t="str">
        <f>'Q100b-totais'!$C$68</f>
        <v>Sinalização semafórica</v>
      </c>
      <c r="C1524" s="57" t="s">
        <v>432</v>
      </c>
      <c r="D1524" s="362" t="s">
        <v>236</v>
      </c>
      <c r="E1524" s="1502" t="s">
        <v>1306</v>
      </c>
      <c r="F1524" s="286" t="s">
        <v>559</v>
      </c>
      <c r="G1524" s="58" t="s">
        <v>560</v>
      </c>
      <c r="H1524" s="173" t="s">
        <v>432</v>
      </c>
      <c r="I1524" s="57">
        <v>1</v>
      </c>
      <c r="J1524" s="107" t="s">
        <v>432</v>
      </c>
      <c r="K1524" s="58" t="s">
        <v>432</v>
      </c>
      <c r="L1524" s="58" t="s">
        <v>432</v>
      </c>
      <c r="M1524" s="58" t="s">
        <v>432</v>
      </c>
      <c r="N1524" s="58" t="s">
        <v>432</v>
      </c>
      <c r="O1524" s="58" t="s">
        <v>432</v>
      </c>
      <c r="P1524" s="58" t="s">
        <v>432</v>
      </c>
      <c r="Q1524" s="58" t="s">
        <v>432</v>
      </c>
      <c r="R1524" s="58" t="s">
        <v>432</v>
      </c>
      <c r="S1524" s="109" t="s">
        <v>2209</v>
      </c>
      <c r="T1524" s="58" t="s">
        <v>432</v>
      </c>
      <c r="U1524" s="58" t="s">
        <v>432</v>
      </c>
      <c r="V1524" s="109" t="s">
        <v>2209</v>
      </c>
      <c r="W1524" s="58" t="s">
        <v>432</v>
      </c>
      <c r="X1524" s="58" t="s">
        <v>432</v>
      </c>
      <c r="Y1524" s="72">
        <f t="shared" ref="Y1524:AJ1524" si="427">(Y1522/Y1855)*1000000</f>
        <v>279.29423560984156</v>
      </c>
      <c r="Z1524" s="72">
        <f t="shared" si="427"/>
        <v>294.8228595349882</v>
      </c>
      <c r="AA1524" s="72">
        <f t="shared" si="427"/>
        <v>299.32695639214609</v>
      </c>
      <c r="AB1524" s="72">
        <f t="shared" si="427"/>
        <v>307.92693089769659</v>
      </c>
      <c r="AC1524" s="72">
        <f t="shared" si="427"/>
        <v>315.79771871375004</v>
      </c>
      <c r="AD1524" s="72">
        <f t="shared" si="427"/>
        <v>324.4830246089569</v>
      </c>
      <c r="AE1524" s="72">
        <f t="shared" si="427"/>
        <v>331.07492935097491</v>
      </c>
      <c r="AF1524" s="72">
        <f t="shared" si="427"/>
        <v>351.55659577012153</v>
      </c>
      <c r="AG1524" s="72">
        <f t="shared" si="427"/>
        <v>362.16696567797322</v>
      </c>
      <c r="AH1524" s="72">
        <f t="shared" si="427"/>
        <v>375.24235271528954</v>
      </c>
      <c r="AI1524" s="72">
        <f t="shared" si="427"/>
        <v>374.72294099021241</v>
      </c>
      <c r="AJ1524" s="72">
        <f t="shared" si="427"/>
        <v>390.18766340613757</v>
      </c>
      <c r="AK1524" s="137" t="s">
        <v>432</v>
      </c>
      <c r="AL1524" s="601" t="s">
        <v>432</v>
      </c>
      <c r="AM1524" s="137" t="s">
        <v>432</v>
      </c>
      <c r="AN1524" s="137" t="s">
        <v>432</v>
      </c>
      <c r="AO1524" s="137" t="s">
        <v>432</v>
      </c>
      <c r="AP1524" s="137" t="s">
        <v>432</v>
      </c>
      <c r="AQ1524" s="137" t="s">
        <v>432</v>
      </c>
      <c r="AR1524" s="137" t="s">
        <v>432</v>
      </c>
      <c r="AS1524" s="137" t="s">
        <v>432</v>
      </c>
      <c r="AT1524" s="137" t="s">
        <v>432</v>
      </c>
      <c r="AU1524" s="137" t="s">
        <v>432</v>
      </c>
      <c r="AV1524" s="137" t="s">
        <v>432</v>
      </c>
      <c r="AW1524" s="137" t="s">
        <v>432</v>
      </c>
      <c r="AX1524" s="137" t="s">
        <v>432</v>
      </c>
      <c r="AY1524" s="137" t="s">
        <v>432</v>
      </c>
      <c r="AZ1524" s="137" t="s">
        <v>432</v>
      </c>
      <c r="BA1524" s="137" t="s">
        <v>432</v>
      </c>
      <c r="BB1524" s="239" t="str">
        <f t="shared" si="424"/>
        <v>Sinalização semafóricax</v>
      </c>
      <c r="BC1524" s="239" t="str">
        <f t="shared" si="425"/>
        <v>Sinalização semafóricaxx</v>
      </c>
      <c r="BD1524" s="239" t="str">
        <f t="shared" si="426"/>
        <v>Sinalização semafóricax</v>
      </c>
    </row>
    <row r="1525" spans="1:56" s="1" customFormat="1" ht="140.25" x14ac:dyDescent="0.25">
      <c r="A1525" s="275" t="str">
        <f>'Q100b-totais'!$B$68</f>
        <v>9.5</v>
      </c>
      <c r="B1525" s="1205" t="str">
        <f>'Q100b-totais'!$C$68</f>
        <v>Sinalização semafórica</v>
      </c>
      <c r="C1525" s="57" t="s">
        <v>432</v>
      </c>
      <c r="D1525" s="324" t="s">
        <v>237</v>
      </c>
      <c r="E1525" s="254" t="s">
        <v>1306</v>
      </c>
      <c r="F1525" s="11" t="s">
        <v>1601</v>
      </c>
      <c r="G1525" s="110" t="s">
        <v>77</v>
      </c>
      <c r="H1525" s="173" t="s">
        <v>432</v>
      </c>
      <c r="I1525" s="57">
        <v>1</v>
      </c>
      <c r="J1525" s="107" t="s">
        <v>432</v>
      </c>
      <c r="K1525" s="93" t="s">
        <v>432</v>
      </c>
      <c r="L1525" s="93" t="s">
        <v>432</v>
      </c>
      <c r="M1525" s="93" t="s">
        <v>432</v>
      </c>
      <c r="N1525" s="93" t="s">
        <v>432</v>
      </c>
      <c r="O1525" s="93" t="s">
        <v>432</v>
      </c>
      <c r="P1525" s="93" t="s">
        <v>432</v>
      </c>
      <c r="Q1525" s="93" t="s">
        <v>432</v>
      </c>
      <c r="R1525" s="93" t="s">
        <v>432</v>
      </c>
      <c r="S1525" s="109" t="s">
        <v>2209</v>
      </c>
      <c r="T1525" s="87" t="s">
        <v>432</v>
      </c>
      <c r="U1525" s="87" t="s">
        <v>432</v>
      </c>
      <c r="V1525" s="109" t="s">
        <v>2209</v>
      </c>
      <c r="W1525" s="87" t="s">
        <v>432</v>
      </c>
      <c r="X1525" s="87" t="s">
        <v>432</v>
      </c>
      <c r="Y1525" s="87" t="s">
        <v>432</v>
      </c>
      <c r="Z1525" s="84">
        <v>49</v>
      </c>
      <c r="AA1525" s="84">
        <v>156</v>
      </c>
      <c r="AB1525" s="84">
        <v>260</v>
      </c>
      <c r="AC1525" s="84">
        <v>0</v>
      </c>
      <c r="AD1525" s="84">
        <v>25</v>
      </c>
      <c r="AE1525" s="84">
        <v>35</v>
      </c>
      <c r="AF1525" s="84">
        <v>4</v>
      </c>
      <c r="AG1525" s="84">
        <v>4</v>
      </c>
      <c r="AH1525" s="84">
        <v>0</v>
      </c>
      <c r="AI1525" s="84">
        <v>0</v>
      </c>
      <c r="AJ1525" s="84">
        <v>0</v>
      </c>
      <c r="AK1525" s="137" t="s">
        <v>432</v>
      </c>
      <c r="AL1525" s="601" t="s">
        <v>432</v>
      </c>
      <c r="AM1525" s="137" t="s">
        <v>432</v>
      </c>
      <c r="AN1525" s="137" t="s">
        <v>432</v>
      </c>
      <c r="AO1525" s="137" t="s">
        <v>432</v>
      </c>
      <c r="AP1525" s="137" t="s">
        <v>432</v>
      </c>
      <c r="AQ1525" s="137" t="s">
        <v>432</v>
      </c>
      <c r="AR1525" s="137" t="s">
        <v>432</v>
      </c>
      <c r="AS1525" s="137" t="s">
        <v>432</v>
      </c>
      <c r="AT1525" s="137" t="s">
        <v>432</v>
      </c>
      <c r="AU1525" s="137" t="s">
        <v>432</v>
      </c>
      <c r="AV1525" s="137" t="s">
        <v>432</v>
      </c>
      <c r="AW1525" s="137" t="s">
        <v>432</v>
      </c>
      <c r="AX1525" s="137" t="s">
        <v>432</v>
      </c>
      <c r="AY1525" s="137" t="s">
        <v>432</v>
      </c>
      <c r="AZ1525" s="137" t="s">
        <v>432</v>
      </c>
      <c r="BA1525" s="137" t="s">
        <v>432</v>
      </c>
      <c r="BB1525" s="239" t="str">
        <f t="shared" si="424"/>
        <v>Sinalização semafóricax</v>
      </c>
      <c r="BC1525" s="239" t="str">
        <f t="shared" si="425"/>
        <v>Sinalização semafóricaxx</v>
      </c>
      <c r="BD1525" s="239" t="str">
        <f t="shared" si="426"/>
        <v>Sinalização semafóricax</v>
      </c>
    </row>
    <row r="1526" spans="1:56" s="1" customFormat="1" ht="63.75" customHeight="1" x14ac:dyDescent="0.25">
      <c r="A1526" s="275" t="str">
        <f>'Q100b-totais'!$B$68</f>
        <v>9.5</v>
      </c>
      <c r="B1526" s="1205" t="str">
        <f>'Q100b-totais'!$C$68</f>
        <v>Sinalização semafórica</v>
      </c>
      <c r="C1526" s="57" t="s">
        <v>432</v>
      </c>
      <c r="D1526" s="983" t="s">
        <v>238</v>
      </c>
      <c r="E1526" s="254" t="s">
        <v>1306</v>
      </c>
      <c r="F1526" s="70" t="s">
        <v>561</v>
      </c>
      <c r="G1526" s="432" t="s">
        <v>562</v>
      </c>
      <c r="H1526" s="234" t="s">
        <v>432</v>
      </c>
      <c r="I1526" s="57">
        <v>1</v>
      </c>
      <c r="J1526" s="107" t="s">
        <v>432</v>
      </c>
      <c r="K1526" s="58" t="s">
        <v>432</v>
      </c>
      <c r="L1526" s="58" t="s">
        <v>432</v>
      </c>
      <c r="M1526" s="58" t="s">
        <v>432</v>
      </c>
      <c r="N1526" s="58" t="s">
        <v>432</v>
      </c>
      <c r="O1526" s="58" t="s">
        <v>432</v>
      </c>
      <c r="P1526" s="58" t="s">
        <v>432</v>
      </c>
      <c r="Q1526" s="58" t="s">
        <v>432</v>
      </c>
      <c r="R1526" s="58" t="s">
        <v>432</v>
      </c>
      <c r="S1526" s="109" t="s">
        <v>2209</v>
      </c>
      <c r="T1526" s="20" t="s">
        <v>432</v>
      </c>
      <c r="U1526" s="20" t="s">
        <v>432</v>
      </c>
      <c r="V1526" s="109" t="s">
        <v>2209</v>
      </c>
      <c r="W1526" s="20" t="s">
        <v>432</v>
      </c>
      <c r="X1526" s="20" t="s">
        <v>432</v>
      </c>
      <c r="Y1526" s="20" t="s">
        <v>432</v>
      </c>
      <c r="Z1526" s="21">
        <f t="shared" ref="Z1526:AJ1526" si="428">Z1525/Z1522</f>
        <v>7.0707070707070704E-2</v>
      </c>
      <c r="AA1526" s="21">
        <f t="shared" si="428"/>
        <v>0.21940928270042195</v>
      </c>
      <c r="AB1526" s="21">
        <f t="shared" si="428"/>
        <v>0.35182679296346414</v>
      </c>
      <c r="AC1526" s="21">
        <f t="shared" si="428"/>
        <v>0</v>
      </c>
      <c r="AD1526" s="21">
        <f t="shared" si="428"/>
        <v>3.1645569620253167E-2</v>
      </c>
      <c r="AE1526" s="21">
        <f t="shared" si="428"/>
        <v>4.3103448275862072E-2</v>
      </c>
      <c r="AF1526" s="21">
        <f t="shared" si="428"/>
        <v>4.7904191616766467E-3</v>
      </c>
      <c r="AG1526" s="21">
        <f t="shared" si="428"/>
        <v>4.6296296296296294E-3</v>
      </c>
      <c r="AH1526" s="21">
        <f t="shared" si="428"/>
        <v>0</v>
      </c>
      <c r="AI1526" s="21">
        <f t="shared" si="428"/>
        <v>0</v>
      </c>
      <c r="AJ1526" s="21">
        <f t="shared" si="428"/>
        <v>0</v>
      </c>
      <c r="AK1526" s="137" t="s">
        <v>432</v>
      </c>
      <c r="AL1526" s="601" t="s">
        <v>432</v>
      </c>
      <c r="AM1526" s="137" t="s">
        <v>432</v>
      </c>
      <c r="AN1526" s="137" t="s">
        <v>432</v>
      </c>
      <c r="AO1526" s="137" t="s">
        <v>432</v>
      </c>
      <c r="AP1526" s="137" t="s">
        <v>432</v>
      </c>
      <c r="AQ1526" s="137" t="s">
        <v>432</v>
      </c>
      <c r="AR1526" s="137" t="s">
        <v>432</v>
      </c>
      <c r="AS1526" s="137" t="s">
        <v>432</v>
      </c>
      <c r="AT1526" s="137" t="s">
        <v>432</v>
      </c>
      <c r="AU1526" s="137" t="s">
        <v>432</v>
      </c>
      <c r="AV1526" s="137" t="s">
        <v>432</v>
      </c>
      <c r="AW1526" s="137" t="s">
        <v>432</v>
      </c>
      <c r="AX1526" s="137" t="s">
        <v>432</v>
      </c>
      <c r="AY1526" s="137" t="s">
        <v>432</v>
      </c>
      <c r="AZ1526" s="137" t="s">
        <v>432</v>
      </c>
      <c r="BA1526" s="137" t="s">
        <v>432</v>
      </c>
      <c r="BB1526" s="239" t="str">
        <f t="shared" si="424"/>
        <v>Sinalização semafóricax</v>
      </c>
      <c r="BC1526" s="239" t="str">
        <f t="shared" si="425"/>
        <v>Sinalização semafóricaxx</v>
      </c>
      <c r="BD1526" s="239" t="str">
        <f t="shared" si="426"/>
        <v>Sinalização semafóricax</v>
      </c>
    </row>
    <row r="1527" spans="1:56" s="1" customFormat="1" ht="72" customHeight="1" x14ac:dyDescent="0.25">
      <c r="A1527" s="275" t="str">
        <f>'Q100b-totais'!$B$68</f>
        <v>9.5</v>
      </c>
      <c r="B1527" s="1205" t="str">
        <f>'Q100b-totais'!$C$68</f>
        <v>Sinalização semafórica</v>
      </c>
      <c r="C1527" s="230" t="s">
        <v>743</v>
      </c>
      <c r="D1527" s="325" t="s">
        <v>630</v>
      </c>
      <c r="E1527" s="254" t="s">
        <v>1306</v>
      </c>
      <c r="F1527" s="12" t="s">
        <v>634</v>
      </c>
      <c r="G1527" s="241" t="s">
        <v>77</v>
      </c>
      <c r="H1527" s="445" t="s">
        <v>678</v>
      </c>
      <c r="I1527" s="167">
        <v>1</v>
      </c>
      <c r="J1527" s="109" t="s">
        <v>432</v>
      </c>
      <c r="K1527" s="93" t="s">
        <v>432</v>
      </c>
      <c r="L1527" s="93" t="s">
        <v>432</v>
      </c>
      <c r="M1527" s="93" t="s">
        <v>432</v>
      </c>
      <c r="N1527" s="93" t="s">
        <v>432</v>
      </c>
      <c r="O1527" s="93" t="s">
        <v>432</v>
      </c>
      <c r="P1527" s="93" t="s">
        <v>432</v>
      </c>
      <c r="Q1527" s="93" t="s">
        <v>432</v>
      </c>
      <c r="R1527" s="93" t="s">
        <v>432</v>
      </c>
      <c r="S1527" s="109" t="s">
        <v>2209</v>
      </c>
      <c r="T1527" s="93" t="s">
        <v>432</v>
      </c>
      <c r="U1527" s="93" t="s">
        <v>432</v>
      </c>
      <c r="V1527" s="109" t="s">
        <v>2209</v>
      </c>
      <c r="W1527" s="93" t="s">
        <v>432</v>
      </c>
      <c r="X1527" s="93" t="s">
        <v>432</v>
      </c>
      <c r="Y1527" s="93" t="s">
        <v>432</v>
      </c>
      <c r="Z1527" s="93" t="s">
        <v>432</v>
      </c>
      <c r="AA1527" s="93" t="s">
        <v>432</v>
      </c>
      <c r="AB1527" s="93" t="s">
        <v>432</v>
      </c>
      <c r="AC1527" s="93" t="s">
        <v>432</v>
      </c>
      <c r="AD1527" s="93" t="s">
        <v>432</v>
      </c>
      <c r="AE1527" s="93" t="s">
        <v>432</v>
      </c>
      <c r="AF1527" s="93" t="s">
        <v>432</v>
      </c>
      <c r="AG1527" s="93" t="s">
        <v>432</v>
      </c>
      <c r="AH1527" s="93" t="s">
        <v>432</v>
      </c>
      <c r="AI1527" s="93" t="s">
        <v>432</v>
      </c>
      <c r="AJ1527" s="93" t="s">
        <v>432</v>
      </c>
      <c r="AK1527" s="137" t="s">
        <v>432</v>
      </c>
      <c r="AL1527" s="601" t="s">
        <v>432</v>
      </c>
      <c r="AM1527" s="137" t="s">
        <v>432</v>
      </c>
      <c r="AN1527" s="137" t="s">
        <v>432</v>
      </c>
      <c r="AO1527" s="137" t="s">
        <v>432</v>
      </c>
      <c r="AP1527" s="137" t="s">
        <v>432</v>
      </c>
      <c r="AQ1527" s="137" t="s">
        <v>432</v>
      </c>
      <c r="AR1527" s="137" t="s">
        <v>432</v>
      </c>
      <c r="AS1527" s="137" t="s">
        <v>432</v>
      </c>
      <c r="AT1527" s="137" t="s">
        <v>432</v>
      </c>
      <c r="AU1527" s="137" t="s">
        <v>432</v>
      </c>
      <c r="AV1527" s="137" t="s">
        <v>432</v>
      </c>
      <c r="AW1527" s="137" t="s">
        <v>432</v>
      </c>
      <c r="AX1527" s="137" t="s">
        <v>432</v>
      </c>
      <c r="AY1527" s="137" t="s">
        <v>432</v>
      </c>
      <c r="AZ1527" s="137" t="s">
        <v>432</v>
      </c>
      <c r="BA1527" s="137" t="s">
        <v>432</v>
      </c>
      <c r="BB1527" s="239" t="str">
        <f t="shared" si="424"/>
        <v>Sinalização semafóricaacessibilidade</v>
      </c>
      <c r="BC1527" s="239" t="str">
        <f t="shared" si="425"/>
        <v>Sinalização semafóricaacessibilidadeainda não incorporado ao SisMob-BH</v>
      </c>
      <c r="BD1527" s="239" t="str">
        <f t="shared" si="426"/>
        <v>Sinalização semafóricaainda não incorporado ao SisMob-BH</v>
      </c>
    </row>
    <row r="1528" spans="1:56" s="1" customFormat="1" ht="66" customHeight="1" x14ac:dyDescent="0.25">
      <c r="A1528" s="275" t="str">
        <f>'Q100b-totais'!$B$68</f>
        <v>9.5</v>
      </c>
      <c r="B1528" s="1205" t="str">
        <f>'Q100b-totais'!$C$68</f>
        <v>Sinalização semafórica</v>
      </c>
      <c r="C1528" s="230" t="s">
        <v>743</v>
      </c>
      <c r="D1528" s="325" t="s">
        <v>631</v>
      </c>
      <c r="E1528" s="254" t="s">
        <v>1306</v>
      </c>
      <c r="F1528" s="12" t="s">
        <v>636</v>
      </c>
      <c r="G1528" s="11" t="s">
        <v>757</v>
      </c>
      <c r="H1528" s="444" t="s">
        <v>678</v>
      </c>
      <c r="I1528" s="167">
        <v>1</v>
      </c>
      <c r="J1528" s="109" t="s">
        <v>432</v>
      </c>
      <c r="K1528" s="58" t="s">
        <v>432</v>
      </c>
      <c r="L1528" s="58" t="s">
        <v>432</v>
      </c>
      <c r="M1528" s="58" t="s">
        <v>432</v>
      </c>
      <c r="N1528" s="58" t="s">
        <v>432</v>
      </c>
      <c r="O1528" s="58" t="s">
        <v>432</v>
      </c>
      <c r="P1528" s="58" t="s">
        <v>432</v>
      </c>
      <c r="Q1528" s="58" t="s">
        <v>432</v>
      </c>
      <c r="R1528" s="58" t="s">
        <v>432</v>
      </c>
      <c r="S1528" s="109" t="s">
        <v>2209</v>
      </c>
      <c r="T1528" s="58" t="s">
        <v>432</v>
      </c>
      <c r="U1528" s="58" t="s">
        <v>432</v>
      </c>
      <c r="V1528" s="109" t="s">
        <v>2209</v>
      </c>
      <c r="W1528" s="58" t="s">
        <v>432</v>
      </c>
      <c r="X1528" s="58" t="s">
        <v>432</v>
      </c>
      <c r="Y1528" s="58" t="s">
        <v>432</v>
      </c>
      <c r="Z1528" s="58" t="s">
        <v>432</v>
      </c>
      <c r="AA1528" s="58" t="s">
        <v>432</v>
      </c>
      <c r="AB1528" s="58" t="s">
        <v>432</v>
      </c>
      <c r="AC1528" s="58" t="s">
        <v>432</v>
      </c>
      <c r="AD1528" s="58" t="s">
        <v>432</v>
      </c>
      <c r="AE1528" s="58" t="s">
        <v>432</v>
      </c>
      <c r="AF1528" s="58" t="s">
        <v>432</v>
      </c>
      <c r="AG1528" s="58" t="s">
        <v>432</v>
      </c>
      <c r="AH1528" s="58" t="s">
        <v>432</v>
      </c>
      <c r="AI1528" s="58" t="s">
        <v>432</v>
      </c>
      <c r="AJ1528" s="58" t="s">
        <v>432</v>
      </c>
      <c r="AK1528" s="137" t="s">
        <v>432</v>
      </c>
      <c r="AL1528" s="601" t="s">
        <v>432</v>
      </c>
      <c r="AM1528" s="137" t="s">
        <v>432</v>
      </c>
      <c r="AN1528" s="137" t="s">
        <v>432</v>
      </c>
      <c r="AO1528" s="137" t="s">
        <v>432</v>
      </c>
      <c r="AP1528" s="137" t="s">
        <v>432</v>
      </c>
      <c r="AQ1528" s="137" t="s">
        <v>432</v>
      </c>
      <c r="AR1528" s="137" t="s">
        <v>432</v>
      </c>
      <c r="AS1528" s="137" t="s">
        <v>432</v>
      </c>
      <c r="AT1528" s="137" t="s">
        <v>432</v>
      </c>
      <c r="AU1528" s="137" t="s">
        <v>432</v>
      </c>
      <c r="AV1528" s="137" t="s">
        <v>432</v>
      </c>
      <c r="AW1528" s="137" t="s">
        <v>432</v>
      </c>
      <c r="AX1528" s="137" t="s">
        <v>432</v>
      </c>
      <c r="AY1528" s="137" t="s">
        <v>432</v>
      </c>
      <c r="AZ1528" s="137" t="s">
        <v>432</v>
      </c>
      <c r="BA1528" s="137" t="s">
        <v>432</v>
      </c>
      <c r="BB1528" s="239" t="str">
        <f t="shared" si="424"/>
        <v>Sinalização semafóricaacessibilidade</v>
      </c>
      <c r="BC1528" s="239" t="str">
        <f t="shared" si="425"/>
        <v>Sinalização semafóricaacessibilidadeainda não incorporado ao SisMob-BH</v>
      </c>
      <c r="BD1528" s="239" t="str">
        <f t="shared" si="426"/>
        <v>Sinalização semafóricaainda não incorporado ao SisMob-BH</v>
      </c>
    </row>
    <row r="1529" spans="1:56" s="1" customFormat="1" ht="63" customHeight="1" x14ac:dyDescent="0.25">
      <c r="A1529" s="275" t="str">
        <f>'Q100b-totais'!$B$68</f>
        <v>9.5</v>
      </c>
      <c r="B1529" s="1205" t="str">
        <f>'Q100b-totais'!$C$68</f>
        <v>Sinalização semafórica</v>
      </c>
      <c r="C1529" s="57" t="s">
        <v>432</v>
      </c>
      <c r="D1529" s="325" t="s">
        <v>239</v>
      </c>
      <c r="E1529" s="254" t="s">
        <v>1306</v>
      </c>
      <c r="F1529" s="12" t="s">
        <v>240</v>
      </c>
      <c r="G1529" s="241" t="s">
        <v>77</v>
      </c>
      <c r="H1529" s="444" t="s">
        <v>678</v>
      </c>
      <c r="I1529" s="167">
        <v>1</v>
      </c>
      <c r="J1529" s="107" t="s">
        <v>432</v>
      </c>
      <c r="K1529" s="93" t="s">
        <v>432</v>
      </c>
      <c r="L1529" s="93" t="s">
        <v>432</v>
      </c>
      <c r="M1529" s="93" t="s">
        <v>432</v>
      </c>
      <c r="N1529" s="93" t="s">
        <v>432</v>
      </c>
      <c r="O1529" s="93" t="s">
        <v>432</v>
      </c>
      <c r="P1529" s="93" t="s">
        <v>432</v>
      </c>
      <c r="Q1529" s="93" t="s">
        <v>432</v>
      </c>
      <c r="R1529" s="93" t="s">
        <v>432</v>
      </c>
      <c r="S1529" s="109" t="s">
        <v>2209</v>
      </c>
      <c r="T1529" s="93" t="s">
        <v>432</v>
      </c>
      <c r="U1529" s="93" t="s">
        <v>432</v>
      </c>
      <c r="V1529" s="109" t="s">
        <v>2209</v>
      </c>
      <c r="W1529" s="93" t="s">
        <v>432</v>
      </c>
      <c r="X1529" s="93" t="s">
        <v>432</v>
      </c>
      <c r="Y1529" s="93" t="s">
        <v>432</v>
      </c>
      <c r="Z1529" s="93" t="s">
        <v>432</v>
      </c>
      <c r="AA1529" s="93" t="s">
        <v>432</v>
      </c>
      <c r="AB1529" s="93" t="s">
        <v>432</v>
      </c>
      <c r="AC1529" s="93" t="s">
        <v>432</v>
      </c>
      <c r="AD1529" s="93" t="s">
        <v>432</v>
      </c>
      <c r="AE1529" s="93" t="s">
        <v>432</v>
      </c>
      <c r="AF1529" s="93" t="s">
        <v>432</v>
      </c>
      <c r="AG1529" s="93" t="s">
        <v>432</v>
      </c>
      <c r="AH1529" s="93" t="s">
        <v>432</v>
      </c>
      <c r="AI1529" s="93" t="s">
        <v>432</v>
      </c>
      <c r="AJ1529" s="93" t="s">
        <v>432</v>
      </c>
      <c r="AK1529" s="137" t="s">
        <v>432</v>
      </c>
      <c r="AL1529" s="601" t="s">
        <v>432</v>
      </c>
      <c r="AM1529" s="137" t="s">
        <v>432</v>
      </c>
      <c r="AN1529" s="137" t="s">
        <v>432</v>
      </c>
      <c r="AO1529" s="137" t="s">
        <v>432</v>
      </c>
      <c r="AP1529" s="137" t="s">
        <v>432</v>
      </c>
      <c r="AQ1529" s="137" t="s">
        <v>432</v>
      </c>
      <c r="AR1529" s="137" t="s">
        <v>432</v>
      </c>
      <c r="AS1529" s="137" t="s">
        <v>432</v>
      </c>
      <c r="AT1529" s="137" t="s">
        <v>432</v>
      </c>
      <c r="AU1529" s="137" t="s">
        <v>432</v>
      </c>
      <c r="AV1529" s="137" t="s">
        <v>432</v>
      </c>
      <c r="AW1529" s="137" t="s">
        <v>432</v>
      </c>
      <c r="AX1529" s="137" t="s">
        <v>432</v>
      </c>
      <c r="AY1529" s="137" t="s">
        <v>432</v>
      </c>
      <c r="AZ1529" s="137" t="s">
        <v>432</v>
      </c>
      <c r="BA1529" s="137" t="s">
        <v>432</v>
      </c>
      <c r="BB1529" s="239" t="str">
        <f t="shared" si="424"/>
        <v>Sinalização semafóricax</v>
      </c>
      <c r="BC1529" s="239" t="str">
        <f t="shared" si="425"/>
        <v>Sinalização semafóricaxainda não incorporado ao SisMob-BH</v>
      </c>
      <c r="BD1529" s="239" t="str">
        <f t="shared" si="426"/>
        <v>Sinalização semafóricaainda não incorporado ao SisMob-BH</v>
      </c>
    </row>
    <row r="1530" spans="1:56" s="1" customFormat="1" ht="71.25" customHeight="1" x14ac:dyDescent="0.25">
      <c r="A1530" s="275" t="str">
        <f>'Q100b-totais'!$B$68</f>
        <v>9.5</v>
      </c>
      <c r="B1530" s="1205" t="str">
        <f>'Q100b-totais'!$C$68</f>
        <v>Sinalização semafórica</v>
      </c>
      <c r="C1530" s="57" t="s">
        <v>432</v>
      </c>
      <c r="D1530" s="325" t="s">
        <v>241</v>
      </c>
      <c r="E1530" s="254" t="s">
        <v>1306</v>
      </c>
      <c r="F1530" s="12" t="s">
        <v>242</v>
      </c>
      <c r="G1530" s="252" t="s">
        <v>243</v>
      </c>
      <c r="H1530" s="444" t="s">
        <v>678</v>
      </c>
      <c r="I1530" s="167">
        <v>1</v>
      </c>
      <c r="J1530" s="107" t="s">
        <v>432</v>
      </c>
      <c r="K1530" s="58" t="s">
        <v>432</v>
      </c>
      <c r="L1530" s="58" t="s">
        <v>432</v>
      </c>
      <c r="M1530" s="58" t="s">
        <v>432</v>
      </c>
      <c r="N1530" s="58" t="s">
        <v>432</v>
      </c>
      <c r="O1530" s="58" t="s">
        <v>432</v>
      </c>
      <c r="P1530" s="58" t="s">
        <v>432</v>
      </c>
      <c r="Q1530" s="58" t="s">
        <v>432</v>
      </c>
      <c r="R1530" s="58" t="s">
        <v>432</v>
      </c>
      <c r="S1530" s="109" t="s">
        <v>2209</v>
      </c>
      <c r="T1530" s="58" t="s">
        <v>432</v>
      </c>
      <c r="U1530" s="58" t="s">
        <v>432</v>
      </c>
      <c r="V1530" s="109" t="s">
        <v>2209</v>
      </c>
      <c r="W1530" s="58" t="s">
        <v>432</v>
      </c>
      <c r="X1530" s="58" t="s">
        <v>432</v>
      </c>
      <c r="Y1530" s="58" t="s">
        <v>432</v>
      </c>
      <c r="Z1530" s="58" t="s">
        <v>432</v>
      </c>
      <c r="AA1530" s="58" t="s">
        <v>432</v>
      </c>
      <c r="AB1530" s="58" t="s">
        <v>432</v>
      </c>
      <c r="AC1530" s="58" t="s">
        <v>432</v>
      </c>
      <c r="AD1530" s="58" t="s">
        <v>432</v>
      </c>
      <c r="AE1530" s="58" t="s">
        <v>432</v>
      </c>
      <c r="AF1530" s="58" t="s">
        <v>432</v>
      </c>
      <c r="AG1530" s="58" t="s">
        <v>432</v>
      </c>
      <c r="AH1530" s="58" t="s">
        <v>432</v>
      </c>
      <c r="AI1530" s="58" t="s">
        <v>432</v>
      </c>
      <c r="AJ1530" s="58" t="s">
        <v>432</v>
      </c>
      <c r="AK1530" s="137" t="s">
        <v>432</v>
      </c>
      <c r="AL1530" s="601" t="s">
        <v>432</v>
      </c>
      <c r="AM1530" s="137" t="s">
        <v>432</v>
      </c>
      <c r="AN1530" s="137" t="s">
        <v>432</v>
      </c>
      <c r="AO1530" s="137" t="s">
        <v>432</v>
      </c>
      <c r="AP1530" s="137" t="s">
        <v>432</v>
      </c>
      <c r="AQ1530" s="137" t="s">
        <v>432</v>
      </c>
      <c r="AR1530" s="137" t="s">
        <v>432</v>
      </c>
      <c r="AS1530" s="137" t="s">
        <v>432</v>
      </c>
      <c r="AT1530" s="137" t="s">
        <v>432</v>
      </c>
      <c r="AU1530" s="137" t="s">
        <v>432</v>
      </c>
      <c r="AV1530" s="137" t="s">
        <v>432</v>
      </c>
      <c r="AW1530" s="137" t="s">
        <v>432</v>
      </c>
      <c r="AX1530" s="137" t="s">
        <v>432</v>
      </c>
      <c r="AY1530" s="137" t="s">
        <v>432</v>
      </c>
      <c r="AZ1530" s="137" t="s">
        <v>432</v>
      </c>
      <c r="BA1530" s="137" t="s">
        <v>432</v>
      </c>
      <c r="BB1530" s="239" t="str">
        <f t="shared" si="424"/>
        <v>Sinalização semafóricax</v>
      </c>
      <c r="BC1530" s="239" t="str">
        <f t="shared" si="425"/>
        <v>Sinalização semafóricaxainda não incorporado ao SisMob-BH</v>
      </c>
      <c r="BD1530" s="239" t="str">
        <f t="shared" si="426"/>
        <v>Sinalização semafóricaainda não incorporado ao SisMob-BH</v>
      </c>
    </row>
    <row r="1531" spans="1:56" s="1" customFormat="1" ht="89.25" customHeight="1" x14ac:dyDescent="0.25">
      <c r="A1531" s="275" t="str">
        <f>'Q100b-totais'!$B$68</f>
        <v>9.5</v>
      </c>
      <c r="B1531" s="1205" t="str">
        <f>'Q100b-totais'!$C$68</f>
        <v>Sinalização semafórica</v>
      </c>
      <c r="C1531" s="230" t="s">
        <v>743</v>
      </c>
      <c r="D1531" s="325" t="s">
        <v>637</v>
      </c>
      <c r="E1531" s="254" t="s">
        <v>1306</v>
      </c>
      <c r="F1531" s="12" t="s">
        <v>640</v>
      </c>
      <c r="G1531" s="241" t="s">
        <v>77</v>
      </c>
      <c r="H1531" s="444" t="s">
        <v>678</v>
      </c>
      <c r="I1531" s="167">
        <v>1</v>
      </c>
      <c r="J1531" s="109" t="s">
        <v>432</v>
      </c>
      <c r="K1531" s="93" t="s">
        <v>432</v>
      </c>
      <c r="L1531" s="93" t="s">
        <v>432</v>
      </c>
      <c r="M1531" s="93" t="s">
        <v>432</v>
      </c>
      <c r="N1531" s="93" t="s">
        <v>432</v>
      </c>
      <c r="O1531" s="93" t="s">
        <v>432</v>
      </c>
      <c r="P1531" s="93" t="s">
        <v>432</v>
      </c>
      <c r="Q1531" s="93" t="s">
        <v>432</v>
      </c>
      <c r="R1531" s="93" t="s">
        <v>432</v>
      </c>
      <c r="S1531" s="109" t="s">
        <v>2209</v>
      </c>
      <c r="T1531" s="93" t="s">
        <v>432</v>
      </c>
      <c r="U1531" s="93" t="s">
        <v>432</v>
      </c>
      <c r="V1531" s="109" t="s">
        <v>2209</v>
      </c>
      <c r="W1531" s="93" t="s">
        <v>432</v>
      </c>
      <c r="X1531" s="93" t="s">
        <v>432</v>
      </c>
      <c r="Y1531" s="93" t="s">
        <v>432</v>
      </c>
      <c r="Z1531" s="93" t="s">
        <v>432</v>
      </c>
      <c r="AA1531" s="93" t="s">
        <v>432</v>
      </c>
      <c r="AB1531" s="93" t="s">
        <v>432</v>
      </c>
      <c r="AC1531" s="93" t="s">
        <v>432</v>
      </c>
      <c r="AD1531" s="93" t="s">
        <v>432</v>
      </c>
      <c r="AE1531" s="93" t="s">
        <v>432</v>
      </c>
      <c r="AF1531" s="93" t="s">
        <v>432</v>
      </c>
      <c r="AG1531" s="93" t="s">
        <v>432</v>
      </c>
      <c r="AH1531" s="93" t="s">
        <v>432</v>
      </c>
      <c r="AI1531" s="93" t="s">
        <v>432</v>
      </c>
      <c r="AJ1531" s="93" t="s">
        <v>432</v>
      </c>
      <c r="AK1531" s="137" t="s">
        <v>432</v>
      </c>
      <c r="AL1531" s="601" t="s">
        <v>432</v>
      </c>
      <c r="AM1531" s="137" t="s">
        <v>432</v>
      </c>
      <c r="AN1531" s="137" t="s">
        <v>432</v>
      </c>
      <c r="AO1531" s="137" t="s">
        <v>432</v>
      </c>
      <c r="AP1531" s="137" t="s">
        <v>432</v>
      </c>
      <c r="AQ1531" s="137" t="s">
        <v>432</v>
      </c>
      <c r="AR1531" s="137" t="s">
        <v>432</v>
      </c>
      <c r="AS1531" s="137" t="s">
        <v>432</v>
      </c>
      <c r="AT1531" s="137" t="s">
        <v>432</v>
      </c>
      <c r="AU1531" s="137" t="s">
        <v>432</v>
      </c>
      <c r="AV1531" s="137" t="s">
        <v>432</v>
      </c>
      <c r="AW1531" s="137" t="s">
        <v>432</v>
      </c>
      <c r="AX1531" s="137" t="s">
        <v>432</v>
      </c>
      <c r="AY1531" s="137" t="s">
        <v>432</v>
      </c>
      <c r="AZ1531" s="137" t="s">
        <v>432</v>
      </c>
      <c r="BA1531" s="137" t="s">
        <v>432</v>
      </c>
      <c r="BB1531" s="239" t="str">
        <f t="shared" si="424"/>
        <v>Sinalização semafóricaacessibilidade</v>
      </c>
      <c r="BC1531" s="239" t="str">
        <f t="shared" si="425"/>
        <v>Sinalização semafóricaacessibilidadeainda não incorporado ao SisMob-BH</v>
      </c>
      <c r="BD1531" s="239" t="str">
        <f t="shared" si="426"/>
        <v>Sinalização semafóricaainda não incorporado ao SisMob-BH</v>
      </c>
    </row>
    <row r="1532" spans="1:56" s="1" customFormat="1" ht="78" customHeight="1" x14ac:dyDescent="0.25">
      <c r="A1532" s="275" t="str">
        <f>'Q100b-totais'!$B$68</f>
        <v>9.5</v>
      </c>
      <c r="B1532" s="1205" t="str">
        <f>'Q100b-totais'!$C$68</f>
        <v>Sinalização semafórica</v>
      </c>
      <c r="C1532" s="230" t="s">
        <v>743</v>
      </c>
      <c r="D1532" s="325" t="s">
        <v>638</v>
      </c>
      <c r="E1532" s="254" t="s">
        <v>1306</v>
      </c>
      <c r="F1532" s="12" t="s">
        <v>639</v>
      </c>
      <c r="G1532" s="252" t="s">
        <v>758</v>
      </c>
      <c r="H1532" s="444" t="s">
        <v>678</v>
      </c>
      <c r="I1532" s="167">
        <v>1</v>
      </c>
      <c r="J1532" s="109" t="s">
        <v>432</v>
      </c>
      <c r="K1532" s="58" t="s">
        <v>432</v>
      </c>
      <c r="L1532" s="58" t="s">
        <v>432</v>
      </c>
      <c r="M1532" s="58" t="s">
        <v>432</v>
      </c>
      <c r="N1532" s="58" t="s">
        <v>432</v>
      </c>
      <c r="O1532" s="58" t="s">
        <v>432</v>
      </c>
      <c r="P1532" s="58" t="s">
        <v>432</v>
      </c>
      <c r="Q1532" s="58" t="s">
        <v>432</v>
      </c>
      <c r="R1532" s="58" t="s">
        <v>432</v>
      </c>
      <c r="S1532" s="109" t="s">
        <v>2209</v>
      </c>
      <c r="T1532" s="58" t="s">
        <v>432</v>
      </c>
      <c r="U1532" s="58" t="s">
        <v>432</v>
      </c>
      <c r="V1532" s="109" t="s">
        <v>2209</v>
      </c>
      <c r="W1532" s="58" t="s">
        <v>432</v>
      </c>
      <c r="X1532" s="58" t="s">
        <v>432</v>
      </c>
      <c r="Y1532" s="58" t="s">
        <v>432</v>
      </c>
      <c r="Z1532" s="58" t="s">
        <v>432</v>
      </c>
      <c r="AA1532" s="58" t="s">
        <v>432</v>
      </c>
      <c r="AB1532" s="58" t="s">
        <v>432</v>
      </c>
      <c r="AC1532" s="58" t="s">
        <v>432</v>
      </c>
      <c r="AD1532" s="58" t="s">
        <v>432</v>
      </c>
      <c r="AE1532" s="58" t="s">
        <v>432</v>
      </c>
      <c r="AF1532" s="58" t="s">
        <v>432</v>
      </c>
      <c r="AG1532" s="58" t="s">
        <v>432</v>
      </c>
      <c r="AH1532" s="58" t="s">
        <v>432</v>
      </c>
      <c r="AI1532" s="58" t="s">
        <v>432</v>
      </c>
      <c r="AJ1532" s="58" t="s">
        <v>432</v>
      </c>
      <c r="AK1532" s="137" t="s">
        <v>432</v>
      </c>
      <c r="AL1532" s="601" t="s">
        <v>432</v>
      </c>
      <c r="AM1532" s="137" t="s">
        <v>432</v>
      </c>
      <c r="AN1532" s="137" t="s">
        <v>432</v>
      </c>
      <c r="AO1532" s="137" t="s">
        <v>432</v>
      </c>
      <c r="AP1532" s="137" t="s">
        <v>432</v>
      </c>
      <c r="AQ1532" s="137" t="s">
        <v>432</v>
      </c>
      <c r="AR1532" s="137" t="s">
        <v>432</v>
      </c>
      <c r="AS1532" s="137" t="s">
        <v>432</v>
      </c>
      <c r="AT1532" s="137" t="s">
        <v>432</v>
      </c>
      <c r="AU1532" s="137" t="s">
        <v>432</v>
      </c>
      <c r="AV1532" s="137" t="s">
        <v>432</v>
      </c>
      <c r="AW1532" s="137" t="s">
        <v>432</v>
      </c>
      <c r="AX1532" s="137" t="s">
        <v>432</v>
      </c>
      <c r="AY1532" s="137" t="s">
        <v>432</v>
      </c>
      <c r="AZ1532" s="137" t="s">
        <v>432</v>
      </c>
      <c r="BA1532" s="137" t="s">
        <v>432</v>
      </c>
      <c r="BB1532" s="239" t="str">
        <f t="shared" si="424"/>
        <v>Sinalização semafóricaacessibilidade</v>
      </c>
      <c r="BC1532" s="239" t="str">
        <f t="shared" si="425"/>
        <v>Sinalização semafóricaacessibilidadeainda não incorporado ao SisMob-BH</v>
      </c>
      <c r="BD1532" s="239" t="str">
        <f t="shared" si="426"/>
        <v>Sinalização semafóricaainda não incorporado ao SisMob-BH</v>
      </c>
    </row>
    <row r="1533" spans="1:56" s="1" customFormat="1" ht="63" customHeight="1" x14ac:dyDescent="0.25">
      <c r="A1533" s="275" t="str">
        <f>'Q100b-totais'!$B$68</f>
        <v>9.5</v>
      </c>
      <c r="B1533" s="1205" t="str">
        <f>'Q100b-totais'!$C$68</f>
        <v>Sinalização semafórica</v>
      </c>
      <c r="C1533" s="57" t="s">
        <v>432</v>
      </c>
      <c r="D1533" s="968" t="s">
        <v>244</v>
      </c>
      <c r="E1533" s="254" t="s">
        <v>1306</v>
      </c>
      <c r="F1533" s="54" t="s">
        <v>563</v>
      </c>
      <c r="G1533" s="370" t="s">
        <v>564</v>
      </c>
      <c r="H1533" s="169" t="s">
        <v>432</v>
      </c>
      <c r="I1533" s="57">
        <v>1</v>
      </c>
      <c r="J1533" s="107" t="s">
        <v>432</v>
      </c>
      <c r="K1533" s="93" t="s">
        <v>432</v>
      </c>
      <c r="L1533" s="93" t="s">
        <v>432</v>
      </c>
      <c r="M1533" s="93" t="s">
        <v>432</v>
      </c>
      <c r="N1533" s="93" t="s">
        <v>432</v>
      </c>
      <c r="O1533" s="93" t="s">
        <v>432</v>
      </c>
      <c r="P1533" s="93" t="s">
        <v>432</v>
      </c>
      <c r="Q1533" s="93" t="s">
        <v>432</v>
      </c>
      <c r="R1533" s="93" t="s">
        <v>432</v>
      </c>
      <c r="S1533" s="109" t="s">
        <v>2209</v>
      </c>
      <c r="T1533" s="93" t="s">
        <v>432</v>
      </c>
      <c r="U1533" s="93" t="s">
        <v>432</v>
      </c>
      <c r="V1533" s="109" t="s">
        <v>2209</v>
      </c>
      <c r="W1533" s="93" t="s">
        <v>432</v>
      </c>
      <c r="X1533" s="93" t="s">
        <v>432</v>
      </c>
      <c r="Y1533" s="58" t="s">
        <v>432</v>
      </c>
      <c r="Z1533" s="23">
        <f t="shared" ref="Z1533:AJ1533" si="429">Z1525+Z1537+Z1539</f>
        <v>584</v>
      </c>
      <c r="AA1533" s="23">
        <f t="shared" si="429"/>
        <v>610</v>
      </c>
      <c r="AB1533" s="23">
        <f t="shared" si="429"/>
        <v>639</v>
      </c>
      <c r="AC1533" s="23">
        <f t="shared" si="429"/>
        <v>662</v>
      </c>
      <c r="AD1533" s="23">
        <f t="shared" si="429"/>
        <v>695</v>
      </c>
      <c r="AE1533" s="23">
        <f t="shared" si="429"/>
        <v>710</v>
      </c>
      <c r="AF1533" s="23">
        <f t="shared" si="429"/>
        <v>724</v>
      </c>
      <c r="AG1533" s="23">
        <f t="shared" si="429"/>
        <v>747</v>
      </c>
      <c r="AH1533" s="23">
        <f t="shared" si="429"/>
        <v>778</v>
      </c>
      <c r="AI1533" s="23">
        <f t="shared" si="429"/>
        <v>808</v>
      </c>
      <c r="AJ1533" s="23">
        <f t="shared" si="429"/>
        <v>861</v>
      </c>
      <c r="AK1533" s="137" t="s">
        <v>432</v>
      </c>
      <c r="AL1533" s="601" t="s">
        <v>432</v>
      </c>
      <c r="AM1533" s="137" t="s">
        <v>432</v>
      </c>
      <c r="AN1533" s="137" t="s">
        <v>432</v>
      </c>
      <c r="AO1533" s="137" t="s">
        <v>432</v>
      </c>
      <c r="AP1533" s="137" t="s">
        <v>432</v>
      </c>
      <c r="AQ1533" s="137" t="s">
        <v>432</v>
      </c>
      <c r="AR1533" s="137" t="s">
        <v>432</v>
      </c>
      <c r="AS1533" s="137" t="s">
        <v>432</v>
      </c>
      <c r="AT1533" s="137" t="s">
        <v>432</v>
      </c>
      <c r="AU1533" s="137" t="s">
        <v>432</v>
      </c>
      <c r="AV1533" s="137" t="s">
        <v>432</v>
      </c>
      <c r="AW1533" s="137" t="s">
        <v>432</v>
      </c>
      <c r="AX1533" s="137" t="s">
        <v>432</v>
      </c>
      <c r="AY1533" s="137" t="s">
        <v>432</v>
      </c>
      <c r="AZ1533" s="137" t="s">
        <v>432</v>
      </c>
      <c r="BA1533" s="137" t="s">
        <v>432</v>
      </c>
      <c r="BB1533" s="239" t="str">
        <f t="shared" si="424"/>
        <v>Sinalização semafóricax</v>
      </c>
      <c r="BC1533" s="239" t="str">
        <f t="shared" si="425"/>
        <v>Sinalização semafóricaxx</v>
      </c>
      <c r="BD1533" s="239" t="str">
        <f t="shared" si="426"/>
        <v>Sinalização semafóricax</v>
      </c>
    </row>
    <row r="1534" spans="1:56" s="1" customFormat="1" ht="63" customHeight="1" x14ac:dyDescent="0.25">
      <c r="A1534" s="275" t="str">
        <f>'Q100b-totais'!$B$68</f>
        <v>9.5</v>
      </c>
      <c r="B1534" s="1205" t="str">
        <f>'Q100b-totais'!$C$68</f>
        <v>Sinalização semafórica</v>
      </c>
      <c r="C1534" s="57" t="s">
        <v>432</v>
      </c>
      <c r="D1534" s="324" t="s">
        <v>245</v>
      </c>
      <c r="E1534" s="254" t="s">
        <v>1306</v>
      </c>
      <c r="F1534" s="11" t="s">
        <v>565</v>
      </c>
      <c r="G1534" s="58" t="s">
        <v>566</v>
      </c>
      <c r="H1534" s="173" t="s">
        <v>432</v>
      </c>
      <c r="I1534" s="57">
        <v>1</v>
      </c>
      <c r="J1534" s="107" t="s">
        <v>432</v>
      </c>
      <c r="K1534" s="93" t="s">
        <v>432</v>
      </c>
      <c r="L1534" s="93" t="s">
        <v>432</v>
      </c>
      <c r="M1534" s="93" t="s">
        <v>432</v>
      </c>
      <c r="N1534" s="93" t="s">
        <v>432</v>
      </c>
      <c r="O1534" s="93" t="s">
        <v>432</v>
      </c>
      <c r="P1534" s="93" t="s">
        <v>432</v>
      </c>
      <c r="Q1534" s="93" t="s">
        <v>432</v>
      </c>
      <c r="R1534" s="93" t="s">
        <v>432</v>
      </c>
      <c r="S1534" s="109" t="s">
        <v>2209</v>
      </c>
      <c r="T1534" s="93" t="s">
        <v>432</v>
      </c>
      <c r="U1534" s="93" t="s">
        <v>432</v>
      </c>
      <c r="V1534" s="109" t="s">
        <v>2209</v>
      </c>
      <c r="W1534" s="93" t="s">
        <v>432</v>
      </c>
      <c r="X1534" s="93" t="s">
        <v>432</v>
      </c>
      <c r="Y1534" s="58" t="s">
        <v>432</v>
      </c>
      <c r="Z1534" s="21">
        <f t="shared" ref="Z1534:AJ1534" si="430">Z1533/Z1522</f>
        <v>0.84271284271284275</v>
      </c>
      <c r="AA1534" s="21">
        <f t="shared" si="430"/>
        <v>0.85794655414908583</v>
      </c>
      <c r="AB1534" s="21">
        <f t="shared" si="430"/>
        <v>0.86468200270635998</v>
      </c>
      <c r="AC1534" s="21">
        <f t="shared" si="430"/>
        <v>0.86876640419947504</v>
      </c>
      <c r="AD1534" s="21">
        <f t="shared" si="430"/>
        <v>0.879746835443038</v>
      </c>
      <c r="AE1534" s="21">
        <f t="shared" si="430"/>
        <v>0.87438423645320196</v>
      </c>
      <c r="AF1534" s="21">
        <f t="shared" si="430"/>
        <v>0.86706586826347309</v>
      </c>
      <c r="AG1534" s="21">
        <f t="shared" si="430"/>
        <v>0.86458333333333337</v>
      </c>
      <c r="AH1534" s="21">
        <f t="shared" si="430"/>
        <v>0.8654060066740823</v>
      </c>
      <c r="AI1534" s="21">
        <f t="shared" si="430"/>
        <v>0.86975242195909586</v>
      </c>
      <c r="AJ1534" s="21">
        <f t="shared" si="430"/>
        <v>0.88580246913580252</v>
      </c>
      <c r="AK1534" s="137" t="s">
        <v>432</v>
      </c>
      <c r="AL1534" s="601" t="s">
        <v>432</v>
      </c>
      <c r="AM1534" s="137" t="s">
        <v>432</v>
      </c>
      <c r="AN1534" s="137" t="s">
        <v>432</v>
      </c>
      <c r="AO1534" s="137" t="s">
        <v>432</v>
      </c>
      <c r="AP1534" s="137" t="s">
        <v>432</v>
      </c>
      <c r="AQ1534" s="137" t="s">
        <v>432</v>
      </c>
      <c r="AR1534" s="137" t="s">
        <v>432</v>
      </c>
      <c r="AS1534" s="137" t="s">
        <v>432</v>
      </c>
      <c r="AT1534" s="137" t="s">
        <v>432</v>
      </c>
      <c r="AU1534" s="137" t="s">
        <v>432</v>
      </c>
      <c r="AV1534" s="137" t="s">
        <v>432</v>
      </c>
      <c r="AW1534" s="137" t="s">
        <v>432</v>
      </c>
      <c r="AX1534" s="137" t="s">
        <v>432</v>
      </c>
      <c r="AY1534" s="137" t="s">
        <v>432</v>
      </c>
      <c r="AZ1534" s="137" t="s">
        <v>432</v>
      </c>
      <c r="BA1534" s="137" t="s">
        <v>432</v>
      </c>
      <c r="BB1534" s="239" t="str">
        <f t="shared" si="424"/>
        <v>Sinalização semafóricax</v>
      </c>
      <c r="BC1534" s="239" t="str">
        <f t="shared" si="425"/>
        <v>Sinalização semafóricaxx</v>
      </c>
      <c r="BD1534" s="239" t="str">
        <f t="shared" si="426"/>
        <v>Sinalização semafóricax</v>
      </c>
    </row>
    <row r="1535" spans="1:56" s="1" customFormat="1" ht="63" customHeight="1" x14ac:dyDescent="0.25">
      <c r="A1535" s="275" t="str">
        <f>'Q100b-totais'!$B$68</f>
        <v>9.5</v>
      </c>
      <c r="B1535" s="1205" t="str">
        <f>'Q100b-totais'!$C$68</f>
        <v>Sinalização semafórica</v>
      </c>
      <c r="C1535" s="57" t="s">
        <v>432</v>
      </c>
      <c r="D1535" s="325" t="s">
        <v>246</v>
      </c>
      <c r="E1535" s="254" t="s">
        <v>1306</v>
      </c>
      <c r="F1535" s="12" t="s">
        <v>247</v>
      </c>
      <c r="G1535" s="252" t="s">
        <v>77</v>
      </c>
      <c r="H1535" s="444" t="s">
        <v>678</v>
      </c>
      <c r="I1535" s="167">
        <v>1</v>
      </c>
      <c r="J1535" s="107" t="s">
        <v>432</v>
      </c>
      <c r="K1535" s="93" t="s">
        <v>432</v>
      </c>
      <c r="L1535" s="93" t="s">
        <v>432</v>
      </c>
      <c r="M1535" s="93" t="s">
        <v>432</v>
      </c>
      <c r="N1535" s="93" t="s">
        <v>432</v>
      </c>
      <c r="O1535" s="93" t="s">
        <v>432</v>
      </c>
      <c r="P1535" s="93" t="s">
        <v>432</v>
      </c>
      <c r="Q1535" s="93" t="s">
        <v>432</v>
      </c>
      <c r="R1535" s="93" t="s">
        <v>432</v>
      </c>
      <c r="S1535" s="109" t="s">
        <v>2209</v>
      </c>
      <c r="T1535" s="93" t="s">
        <v>432</v>
      </c>
      <c r="U1535" s="93" t="s">
        <v>432</v>
      </c>
      <c r="V1535" s="109" t="s">
        <v>2209</v>
      </c>
      <c r="W1535" s="93" t="s">
        <v>432</v>
      </c>
      <c r="X1535" s="93" t="s">
        <v>432</v>
      </c>
      <c r="Y1535" s="93" t="s">
        <v>432</v>
      </c>
      <c r="Z1535" s="93" t="s">
        <v>432</v>
      </c>
      <c r="AA1535" s="93" t="s">
        <v>432</v>
      </c>
      <c r="AB1535" s="93" t="s">
        <v>432</v>
      </c>
      <c r="AC1535" s="93" t="s">
        <v>432</v>
      </c>
      <c r="AD1535" s="93" t="s">
        <v>432</v>
      </c>
      <c r="AE1535" s="93" t="s">
        <v>432</v>
      </c>
      <c r="AF1535" s="93" t="s">
        <v>432</v>
      </c>
      <c r="AG1535" s="93" t="s">
        <v>432</v>
      </c>
      <c r="AH1535" s="93" t="s">
        <v>432</v>
      </c>
      <c r="AI1535" s="93" t="s">
        <v>432</v>
      </c>
      <c r="AJ1535" s="93" t="s">
        <v>432</v>
      </c>
      <c r="AK1535" s="137" t="s">
        <v>432</v>
      </c>
      <c r="AL1535" s="601" t="s">
        <v>432</v>
      </c>
      <c r="AM1535" s="137" t="s">
        <v>432</v>
      </c>
      <c r="AN1535" s="137" t="s">
        <v>432</v>
      </c>
      <c r="AO1535" s="137" t="s">
        <v>432</v>
      </c>
      <c r="AP1535" s="137" t="s">
        <v>432</v>
      </c>
      <c r="AQ1535" s="137" t="s">
        <v>432</v>
      </c>
      <c r="AR1535" s="137" t="s">
        <v>432</v>
      </c>
      <c r="AS1535" s="137" t="s">
        <v>432</v>
      </c>
      <c r="AT1535" s="137" t="s">
        <v>432</v>
      </c>
      <c r="AU1535" s="137" t="s">
        <v>432</v>
      </c>
      <c r="AV1535" s="137" t="s">
        <v>432</v>
      </c>
      <c r="AW1535" s="137" t="s">
        <v>432</v>
      </c>
      <c r="AX1535" s="137" t="s">
        <v>432</v>
      </c>
      <c r="AY1535" s="137" t="s">
        <v>432</v>
      </c>
      <c r="AZ1535" s="137" t="s">
        <v>432</v>
      </c>
      <c r="BA1535" s="137" t="s">
        <v>432</v>
      </c>
      <c r="BB1535" s="239" t="str">
        <f t="shared" si="424"/>
        <v>Sinalização semafóricax</v>
      </c>
      <c r="BC1535" s="239" t="str">
        <f t="shared" si="425"/>
        <v>Sinalização semafóricaxainda não incorporado ao SisMob-BH</v>
      </c>
      <c r="BD1535" s="239" t="str">
        <f t="shared" si="426"/>
        <v>Sinalização semafóricaainda não incorporado ao SisMob-BH</v>
      </c>
    </row>
    <row r="1536" spans="1:56" s="1" customFormat="1" ht="63" customHeight="1" x14ac:dyDescent="0.25">
      <c r="A1536" s="275" t="str">
        <f>'Q100b-totais'!$B$68</f>
        <v>9.5</v>
      </c>
      <c r="B1536" s="1205" t="str">
        <f>'Q100b-totais'!$C$68</f>
        <v>Sinalização semafórica</v>
      </c>
      <c r="C1536" s="57" t="s">
        <v>432</v>
      </c>
      <c r="D1536" s="325" t="s">
        <v>248</v>
      </c>
      <c r="E1536" s="254" t="s">
        <v>1306</v>
      </c>
      <c r="F1536" s="12" t="s">
        <v>249</v>
      </c>
      <c r="G1536" s="252" t="s">
        <v>250</v>
      </c>
      <c r="H1536" s="444" t="s">
        <v>678</v>
      </c>
      <c r="I1536" s="167">
        <v>1</v>
      </c>
      <c r="J1536" s="107" t="s">
        <v>432</v>
      </c>
      <c r="K1536" s="93" t="s">
        <v>432</v>
      </c>
      <c r="L1536" s="93" t="s">
        <v>432</v>
      </c>
      <c r="M1536" s="93" t="s">
        <v>432</v>
      </c>
      <c r="N1536" s="93" t="s">
        <v>432</v>
      </c>
      <c r="O1536" s="93" t="s">
        <v>432</v>
      </c>
      <c r="P1536" s="93" t="s">
        <v>432</v>
      </c>
      <c r="Q1536" s="93" t="s">
        <v>432</v>
      </c>
      <c r="R1536" s="93" t="s">
        <v>432</v>
      </c>
      <c r="S1536" s="109" t="s">
        <v>2209</v>
      </c>
      <c r="T1536" s="93" t="s">
        <v>432</v>
      </c>
      <c r="U1536" s="93" t="s">
        <v>432</v>
      </c>
      <c r="V1536" s="109" t="s">
        <v>2209</v>
      </c>
      <c r="W1536" s="93" t="s">
        <v>432</v>
      </c>
      <c r="X1536" s="93" t="s">
        <v>432</v>
      </c>
      <c r="Y1536" s="93" t="s">
        <v>432</v>
      </c>
      <c r="Z1536" s="93" t="s">
        <v>432</v>
      </c>
      <c r="AA1536" s="93" t="s">
        <v>432</v>
      </c>
      <c r="AB1536" s="93" t="s">
        <v>432</v>
      </c>
      <c r="AC1536" s="93" t="s">
        <v>432</v>
      </c>
      <c r="AD1536" s="93" t="s">
        <v>432</v>
      </c>
      <c r="AE1536" s="93" t="s">
        <v>432</v>
      </c>
      <c r="AF1536" s="93" t="s">
        <v>432</v>
      </c>
      <c r="AG1536" s="93" t="s">
        <v>432</v>
      </c>
      <c r="AH1536" s="93" t="s">
        <v>432</v>
      </c>
      <c r="AI1536" s="93" t="s">
        <v>432</v>
      </c>
      <c r="AJ1536" s="93" t="s">
        <v>432</v>
      </c>
      <c r="AK1536" s="137" t="s">
        <v>432</v>
      </c>
      <c r="AL1536" s="601" t="s">
        <v>432</v>
      </c>
      <c r="AM1536" s="137" t="s">
        <v>432</v>
      </c>
      <c r="AN1536" s="137" t="s">
        <v>432</v>
      </c>
      <c r="AO1536" s="137" t="s">
        <v>432</v>
      </c>
      <c r="AP1536" s="137" t="s">
        <v>432</v>
      </c>
      <c r="AQ1536" s="137" t="s">
        <v>432</v>
      </c>
      <c r="AR1536" s="137" t="s">
        <v>432</v>
      </c>
      <c r="AS1536" s="137" t="s">
        <v>432</v>
      </c>
      <c r="AT1536" s="137" t="s">
        <v>432</v>
      </c>
      <c r="AU1536" s="137" t="s">
        <v>432</v>
      </c>
      <c r="AV1536" s="137" t="s">
        <v>432</v>
      </c>
      <c r="AW1536" s="137" t="s">
        <v>432</v>
      </c>
      <c r="AX1536" s="137" t="s">
        <v>432</v>
      </c>
      <c r="AY1536" s="137" t="s">
        <v>432</v>
      </c>
      <c r="AZ1536" s="137" t="s">
        <v>432</v>
      </c>
      <c r="BA1536" s="137" t="s">
        <v>432</v>
      </c>
      <c r="BB1536" s="239" t="str">
        <f t="shared" si="424"/>
        <v>Sinalização semafóricax</v>
      </c>
      <c r="BC1536" s="239" t="str">
        <f t="shared" si="425"/>
        <v>Sinalização semafóricaxainda não incorporado ao SisMob-BH</v>
      </c>
      <c r="BD1536" s="239" t="str">
        <f t="shared" si="426"/>
        <v>Sinalização semafóricaainda não incorporado ao SisMob-BH</v>
      </c>
    </row>
    <row r="1537" spans="1:67" s="1" customFormat="1" ht="102" x14ac:dyDescent="0.25">
      <c r="A1537" s="275" t="str">
        <f>'Q100b-totais'!$B$68</f>
        <v>9.5</v>
      </c>
      <c r="B1537" s="1205" t="str">
        <f>'Q100b-totais'!$C$68</f>
        <v>Sinalização semafórica</v>
      </c>
      <c r="C1537" s="57" t="s">
        <v>432</v>
      </c>
      <c r="D1537" s="324" t="s">
        <v>251</v>
      </c>
      <c r="E1537" s="254" t="s">
        <v>1306</v>
      </c>
      <c r="F1537" s="11" t="s">
        <v>1602</v>
      </c>
      <c r="G1537" s="110" t="s">
        <v>77</v>
      </c>
      <c r="H1537" s="173" t="s">
        <v>432</v>
      </c>
      <c r="I1537" s="57">
        <v>1</v>
      </c>
      <c r="J1537" s="107" t="s">
        <v>432</v>
      </c>
      <c r="K1537" s="93" t="s">
        <v>432</v>
      </c>
      <c r="L1537" s="93" t="s">
        <v>432</v>
      </c>
      <c r="M1537" s="93" t="s">
        <v>432</v>
      </c>
      <c r="N1537" s="93" t="s">
        <v>432</v>
      </c>
      <c r="O1537" s="93" t="s">
        <v>432</v>
      </c>
      <c r="P1537" s="93" t="s">
        <v>432</v>
      </c>
      <c r="Q1537" s="93" t="s">
        <v>432</v>
      </c>
      <c r="R1537" s="93" t="s">
        <v>432</v>
      </c>
      <c r="S1537" s="109" t="s">
        <v>2209</v>
      </c>
      <c r="T1537" s="93" t="s">
        <v>432</v>
      </c>
      <c r="U1537" s="93" t="s">
        <v>432</v>
      </c>
      <c r="V1537" s="109" t="s">
        <v>2209</v>
      </c>
      <c r="W1537" s="93" t="s">
        <v>432</v>
      </c>
      <c r="X1537" s="93" t="s">
        <v>432</v>
      </c>
      <c r="Y1537" s="84">
        <v>174</v>
      </c>
      <c r="Z1537" s="84">
        <v>491</v>
      </c>
      <c r="AA1537" s="84">
        <v>396</v>
      </c>
      <c r="AB1537" s="84">
        <v>331</v>
      </c>
      <c r="AC1537" s="84">
        <v>607</v>
      </c>
      <c r="AD1537" s="84">
        <v>597</v>
      </c>
      <c r="AE1537" s="84">
        <v>600</v>
      </c>
      <c r="AF1537" s="84">
        <v>544</v>
      </c>
      <c r="AG1537" s="84">
        <v>654</v>
      </c>
      <c r="AH1537" s="84">
        <v>702</v>
      </c>
      <c r="AI1537" s="84">
        <v>753</v>
      </c>
      <c r="AJ1537" s="84">
        <v>780</v>
      </c>
      <c r="AK1537" s="137" t="s">
        <v>432</v>
      </c>
      <c r="AL1537" s="601" t="s">
        <v>432</v>
      </c>
      <c r="AM1537" s="137" t="s">
        <v>432</v>
      </c>
      <c r="AN1537" s="137" t="s">
        <v>432</v>
      </c>
      <c r="AO1537" s="137" t="s">
        <v>432</v>
      </c>
      <c r="AP1537" s="137" t="s">
        <v>432</v>
      </c>
      <c r="AQ1537" s="137" t="s">
        <v>432</v>
      </c>
      <c r="AR1537" s="137" t="s">
        <v>432</v>
      </c>
      <c r="AS1537" s="137" t="s">
        <v>432</v>
      </c>
      <c r="AT1537" s="137" t="s">
        <v>432</v>
      </c>
      <c r="AU1537" s="137" t="s">
        <v>432</v>
      </c>
      <c r="AV1537" s="137" t="s">
        <v>432</v>
      </c>
      <c r="AW1537" s="137" t="s">
        <v>432</v>
      </c>
      <c r="AX1537" s="137" t="s">
        <v>432</v>
      </c>
      <c r="AY1537" s="137" t="s">
        <v>432</v>
      </c>
      <c r="AZ1537" s="137" t="s">
        <v>432</v>
      </c>
      <c r="BA1537" s="137" t="s">
        <v>432</v>
      </c>
      <c r="BB1537" s="239" t="str">
        <f t="shared" si="424"/>
        <v>Sinalização semafóricax</v>
      </c>
      <c r="BC1537" s="239" t="str">
        <f t="shared" si="425"/>
        <v>Sinalização semafóricaxx</v>
      </c>
      <c r="BD1537" s="239" t="str">
        <f t="shared" si="426"/>
        <v>Sinalização semafóricax</v>
      </c>
    </row>
    <row r="1538" spans="1:67" s="1" customFormat="1" ht="38.25" customHeight="1" x14ac:dyDescent="0.25">
      <c r="A1538" s="275" t="str">
        <f>'Q100b-totais'!$B$68</f>
        <v>9.5</v>
      </c>
      <c r="B1538" s="1205" t="str">
        <f>'Q100b-totais'!$C$68</f>
        <v>Sinalização semafórica</v>
      </c>
      <c r="C1538" s="57" t="s">
        <v>432</v>
      </c>
      <c r="D1538" s="324" t="s">
        <v>252</v>
      </c>
      <c r="E1538" s="254" t="s">
        <v>1306</v>
      </c>
      <c r="F1538" s="11" t="s">
        <v>567</v>
      </c>
      <c r="G1538" s="58" t="s">
        <v>568</v>
      </c>
      <c r="H1538" s="173" t="s">
        <v>432</v>
      </c>
      <c r="I1538" s="57">
        <v>1</v>
      </c>
      <c r="J1538" s="107" t="s">
        <v>432</v>
      </c>
      <c r="K1538" s="93" t="s">
        <v>432</v>
      </c>
      <c r="L1538" s="93" t="s">
        <v>432</v>
      </c>
      <c r="M1538" s="93" t="s">
        <v>432</v>
      </c>
      <c r="N1538" s="93" t="s">
        <v>432</v>
      </c>
      <c r="O1538" s="93" t="s">
        <v>432</v>
      </c>
      <c r="P1538" s="93" t="s">
        <v>432</v>
      </c>
      <c r="Q1538" s="93" t="s">
        <v>432</v>
      </c>
      <c r="R1538" s="93" t="s">
        <v>432</v>
      </c>
      <c r="S1538" s="109" t="s">
        <v>2209</v>
      </c>
      <c r="T1538" s="93" t="s">
        <v>432</v>
      </c>
      <c r="U1538" s="93" t="s">
        <v>432</v>
      </c>
      <c r="V1538" s="109" t="s">
        <v>2209</v>
      </c>
      <c r="W1538" s="93" t="s">
        <v>432</v>
      </c>
      <c r="X1538" s="93" t="s">
        <v>432</v>
      </c>
      <c r="Y1538" s="21">
        <f t="shared" ref="Y1538:AJ1538" si="431">Y1537/Y1522</f>
        <v>0.27018633540372672</v>
      </c>
      <c r="Z1538" s="21">
        <f t="shared" si="431"/>
        <v>0.70851370851370854</v>
      </c>
      <c r="AA1538" s="21">
        <f t="shared" si="431"/>
        <v>0.55696202531645567</v>
      </c>
      <c r="AB1538" s="21">
        <f t="shared" si="431"/>
        <v>0.44790257104194858</v>
      </c>
      <c r="AC1538" s="21">
        <f t="shared" si="431"/>
        <v>0.79658792650918631</v>
      </c>
      <c r="AD1538" s="21">
        <f t="shared" si="431"/>
        <v>0.7556962025316456</v>
      </c>
      <c r="AE1538" s="21">
        <f t="shared" si="431"/>
        <v>0.73891625615763545</v>
      </c>
      <c r="AF1538" s="21">
        <f t="shared" si="431"/>
        <v>0.65149700598802396</v>
      </c>
      <c r="AG1538" s="21">
        <f t="shared" si="431"/>
        <v>0.75694444444444442</v>
      </c>
      <c r="AH1538" s="21">
        <f t="shared" si="431"/>
        <v>0.78086763070077869</v>
      </c>
      <c r="AI1538" s="21">
        <f t="shared" si="431"/>
        <v>0.81054897739504839</v>
      </c>
      <c r="AJ1538" s="21">
        <f t="shared" si="431"/>
        <v>0.80246913580246915</v>
      </c>
      <c r="AK1538" s="137" t="s">
        <v>432</v>
      </c>
      <c r="AL1538" s="601" t="s">
        <v>432</v>
      </c>
      <c r="AM1538" s="137" t="s">
        <v>432</v>
      </c>
      <c r="AN1538" s="137" t="s">
        <v>432</v>
      </c>
      <c r="AO1538" s="137" t="s">
        <v>432</v>
      </c>
      <c r="AP1538" s="137" t="s">
        <v>432</v>
      </c>
      <c r="AQ1538" s="137" t="s">
        <v>432</v>
      </c>
      <c r="AR1538" s="137" t="s">
        <v>432</v>
      </c>
      <c r="AS1538" s="137" t="s">
        <v>432</v>
      </c>
      <c r="AT1538" s="137" t="s">
        <v>432</v>
      </c>
      <c r="AU1538" s="137" t="s">
        <v>432</v>
      </c>
      <c r="AV1538" s="137" t="s">
        <v>432</v>
      </c>
      <c r="AW1538" s="137" t="s">
        <v>432</v>
      </c>
      <c r="AX1538" s="137" t="s">
        <v>432</v>
      </c>
      <c r="AY1538" s="137" t="s">
        <v>432</v>
      </c>
      <c r="AZ1538" s="137" t="s">
        <v>432</v>
      </c>
      <c r="BA1538" s="137" t="s">
        <v>432</v>
      </c>
      <c r="BB1538" s="239" t="str">
        <f t="shared" si="424"/>
        <v>Sinalização semafóricax</v>
      </c>
      <c r="BC1538" s="239" t="str">
        <f t="shared" si="425"/>
        <v>Sinalização semafóricaxx</v>
      </c>
      <c r="BD1538" s="239" t="str">
        <f t="shared" si="426"/>
        <v>Sinalização semafóricax</v>
      </c>
    </row>
    <row r="1539" spans="1:67" s="1" customFormat="1" ht="114.75" x14ac:dyDescent="0.25">
      <c r="A1539" s="275" t="str">
        <f>'Q100b-totais'!$B$68</f>
        <v>9.5</v>
      </c>
      <c r="B1539" s="1205" t="str">
        <f>'Q100b-totais'!$C$68</f>
        <v>Sinalização semafórica</v>
      </c>
      <c r="C1539" s="57" t="s">
        <v>432</v>
      </c>
      <c r="D1539" s="324" t="s">
        <v>253</v>
      </c>
      <c r="E1539" s="254" t="s">
        <v>1306</v>
      </c>
      <c r="F1539" s="11" t="s">
        <v>1603</v>
      </c>
      <c r="G1539" s="110" t="s">
        <v>77</v>
      </c>
      <c r="H1539" s="173" t="s">
        <v>432</v>
      </c>
      <c r="I1539" s="57">
        <v>1</v>
      </c>
      <c r="J1539" s="107" t="s">
        <v>432</v>
      </c>
      <c r="K1539" s="93" t="s">
        <v>432</v>
      </c>
      <c r="L1539" s="93" t="s">
        <v>432</v>
      </c>
      <c r="M1539" s="93" t="s">
        <v>432</v>
      </c>
      <c r="N1539" s="93" t="s">
        <v>432</v>
      </c>
      <c r="O1539" s="93" t="s">
        <v>432</v>
      </c>
      <c r="P1539" s="93" t="s">
        <v>432</v>
      </c>
      <c r="Q1539" s="93" t="s">
        <v>432</v>
      </c>
      <c r="R1539" s="93" t="s">
        <v>432</v>
      </c>
      <c r="S1539" s="109" t="s">
        <v>2209</v>
      </c>
      <c r="T1539" s="93" t="s">
        <v>432</v>
      </c>
      <c r="U1539" s="93" t="s">
        <v>432</v>
      </c>
      <c r="V1539" s="109" t="s">
        <v>2209</v>
      </c>
      <c r="W1539" s="93" t="s">
        <v>432</v>
      </c>
      <c r="X1539" s="93" t="s">
        <v>432</v>
      </c>
      <c r="Y1539" s="84">
        <v>79</v>
      </c>
      <c r="Z1539" s="84">
        <v>44</v>
      </c>
      <c r="AA1539" s="84">
        <v>58</v>
      </c>
      <c r="AB1539" s="84">
        <v>48</v>
      </c>
      <c r="AC1539" s="84">
        <v>55</v>
      </c>
      <c r="AD1539" s="84">
        <v>73</v>
      </c>
      <c r="AE1539" s="84">
        <v>75</v>
      </c>
      <c r="AF1539" s="84">
        <v>176</v>
      </c>
      <c r="AG1539" s="84">
        <v>89</v>
      </c>
      <c r="AH1539" s="84">
        <v>76</v>
      </c>
      <c r="AI1539" s="84">
        <v>55</v>
      </c>
      <c r="AJ1539" s="84">
        <v>81</v>
      </c>
      <c r="AK1539" s="137" t="s">
        <v>432</v>
      </c>
      <c r="AL1539" s="601" t="s">
        <v>432</v>
      </c>
      <c r="AM1539" s="137" t="s">
        <v>432</v>
      </c>
      <c r="AN1539" s="137" t="s">
        <v>432</v>
      </c>
      <c r="AO1539" s="137" t="s">
        <v>432</v>
      </c>
      <c r="AP1539" s="137" t="s">
        <v>432</v>
      </c>
      <c r="AQ1539" s="137" t="s">
        <v>432</v>
      </c>
      <c r="AR1539" s="137" t="s">
        <v>432</v>
      </c>
      <c r="AS1539" s="137" t="s">
        <v>432</v>
      </c>
      <c r="AT1539" s="137" t="s">
        <v>432</v>
      </c>
      <c r="AU1539" s="137" t="s">
        <v>432</v>
      </c>
      <c r="AV1539" s="137" t="s">
        <v>432</v>
      </c>
      <c r="AW1539" s="137" t="s">
        <v>432</v>
      </c>
      <c r="AX1539" s="137" t="s">
        <v>432</v>
      </c>
      <c r="AY1539" s="137" t="s">
        <v>432</v>
      </c>
      <c r="AZ1539" s="137" t="s">
        <v>432</v>
      </c>
      <c r="BA1539" s="137" t="s">
        <v>432</v>
      </c>
      <c r="BB1539" s="239" t="str">
        <f t="shared" si="424"/>
        <v>Sinalização semafóricax</v>
      </c>
      <c r="BC1539" s="239" t="str">
        <f t="shared" si="425"/>
        <v>Sinalização semafóricaxx</v>
      </c>
      <c r="BD1539" s="239" t="str">
        <f t="shared" si="426"/>
        <v>Sinalização semafóricax</v>
      </c>
    </row>
    <row r="1540" spans="1:67" s="1" customFormat="1" ht="38.25" customHeight="1" x14ac:dyDescent="0.25">
      <c r="A1540" s="275" t="str">
        <f>'Q100b-totais'!$B$68</f>
        <v>9.5</v>
      </c>
      <c r="B1540" s="1205" t="str">
        <f>'Q100b-totais'!$C$68</f>
        <v>Sinalização semafórica</v>
      </c>
      <c r="C1540" s="57" t="s">
        <v>432</v>
      </c>
      <c r="D1540" s="324" t="s">
        <v>254</v>
      </c>
      <c r="E1540" s="254" t="s">
        <v>1306</v>
      </c>
      <c r="F1540" s="11" t="s">
        <v>569</v>
      </c>
      <c r="G1540" s="58" t="s">
        <v>570</v>
      </c>
      <c r="H1540" s="173" t="s">
        <v>432</v>
      </c>
      <c r="I1540" s="57">
        <v>1</v>
      </c>
      <c r="J1540" s="107" t="s">
        <v>432</v>
      </c>
      <c r="K1540" s="93" t="s">
        <v>432</v>
      </c>
      <c r="L1540" s="93" t="s">
        <v>432</v>
      </c>
      <c r="M1540" s="93" t="s">
        <v>432</v>
      </c>
      <c r="N1540" s="93" t="s">
        <v>432</v>
      </c>
      <c r="O1540" s="93" t="s">
        <v>432</v>
      </c>
      <c r="P1540" s="93" t="s">
        <v>432</v>
      </c>
      <c r="Q1540" s="93" t="s">
        <v>432</v>
      </c>
      <c r="R1540" s="93" t="s">
        <v>432</v>
      </c>
      <c r="S1540" s="109" t="s">
        <v>2209</v>
      </c>
      <c r="T1540" s="93" t="s">
        <v>432</v>
      </c>
      <c r="U1540" s="93" t="s">
        <v>432</v>
      </c>
      <c r="V1540" s="109" t="s">
        <v>2209</v>
      </c>
      <c r="W1540" s="93" t="s">
        <v>432</v>
      </c>
      <c r="X1540" s="93" t="s">
        <v>432</v>
      </c>
      <c r="Y1540" s="21">
        <f t="shared" ref="Y1540:AJ1540" si="432">Y1539/Y1522</f>
        <v>0.12267080745341614</v>
      </c>
      <c r="Z1540" s="21">
        <f t="shared" si="432"/>
        <v>6.3492063492063489E-2</v>
      </c>
      <c r="AA1540" s="21">
        <f t="shared" si="432"/>
        <v>8.1575246132208151E-2</v>
      </c>
      <c r="AB1540" s="21">
        <f t="shared" si="432"/>
        <v>6.4952638700947224E-2</v>
      </c>
      <c r="AC1540" s="21">
        <f t="shared" si="432"/>
        <v>7.217847769028872E-2</v>
      </c>
      <c r="AD1540" s="21">
        <f t="shared" si="432"/>
        <v>9.2405063291139247E-2</v>
      </c>
      <c r="AE1540" s="21">
        <f t="shared" si="432"/>
        <v>9.2364532019704432E-2</v>
      </c>
      <c r="AF1540" s="21">
        <f t="shared" si="432"/>
        <v>0.21077844311377245</v>
      </c>
      <c r="AG1540" s="21">
        <f t="shared" si="432"/>
        <v>0.10300925925925926</v>
      </c>
      <c r="AH1540" s="21">
        <f t="shared" si="432"/>
        <v>8.4538375973303673E-2</v>
      </c>
      <c r="AI1540" s="21">
        <f t="shared" si="432"/>
        <v>5.9203444564047365E-2</v>
      </c>
      <c r="AJ1540" s="21">
        <f t="shared" si="432"/>
        <v>8.3333333333333329E-2</v>
      </c>
      <c r="AK1540" s="137" t="s">
        <v>432</v>
      </c>
      <c r="AL1540" s="601" t="s">
        <v>432</v>
      </c>
      <c r="AM1540" s="137" t="s">
        <v>432</v>
      </c>
      <c r="AN1540" s="137" t="s">
        <v>432</v>
      </c>
      <c r="AO1540" s="137" t="s">
        <v>432</v>
      </c>
      <c r="AP1540" s="137" t="s">
        <v>432</v>
      </c>
      <c r="AQ1540" s="137" t="s">
        <v>432</v>
      </c>
      <c r="AR1540" s="137" t="s">
        <v>432</v>
      </c>
      <c r="AS1540" s="137" t="s">
        <v>432</v>
      </c>
      <c r="AT1540" s="137" t="s">
        <v>432</v>
      </c>
      <c r="AU1540" s="137" t="s">
        <v>432</v>
      </c>
      <c r="AV1540" s="137" t="s">
        <v>432</v>
      </c>
      <c r="AW1540" s="137" t="s">
        <v>432</v>
      </c>
      <c r="AX1540" s="137" t="s">
        <v>432</v>
      </c>
      <c r="AY1540" s="137" t="s">
        <v>432</v>
      </c>
      <c r="AZ1540" s="137" t="s">
        <v>432</v>
      </c>
      <c r="BA1540" s="137" t="s">
        <v>432</v>
      </c>
      <c r="BB1540" s="239" t="str">
        <f t="shared" si="424"/>
        <v>Sinalização semafóricax</v>
      </c>
      <c r="BC1540" s="239" t="str">
        <f t="shared" si="425"/>
        <v>Sinalização semafóricaxx</v>
      </c>
      <c r="BD1540" s="239" t="str">
        <f t="shared" si="426"/>
        <v>Sinalização semafóricax</v>
      </c>
    </row>
    <row r="1541" spans="1:67" s="1" customFormat="1" ht="63" customHeight="1" x14ac:dyDescent="0.25">
      <c r="A1541" s="275" t="str">
        <f>'Q100b-totais'!$B$68</f>
        <v>9.5</v>
      </c>
      <c r="B1541" s="1205" t="str">
        <f>'Q100b-totais'!$C$68</f>
        <v>Sinalização semafórica</v>
      </c>
      <c r="C1541" s="57" t="s">
        <v>432</v>
      </c>
      <c r="D1541" s="325" t="s">
        <v>255</v>
      </c>
      <c r="E1541" s="254" t="s">
        <v>1306</v>
      </c>
      <c r="F1541" s="12" t="s">
        <v>256</v>
      </c>
      <c r="G1541" s="241" t="s">
        <v>77</v>
      </c>
      <c r="H1541" s="444" t="s">
        <v>678</v>
      </c>
      <c r="I1541" s="167">
        <v>1</v>
      </c>
      <c r="J1541" s="109" t="s">
        <v>432</v>
      </c>
      <c r="K1541" s="109" t="s">
        <v>432</v>
      </c>
      <c r="L1541" s="109" t="s">
        <v>432</v>
      </c>
      <c r="M1541" s="109" t="s">
        <v>432</v>
      </c>
      <c r="N1541" s="109" t="s">
        <v>432</v>
      </c>
      <c r="O1541" s="109" t="s">
        <v>432</v>
      </c>
      <c r="P1541" s="109" t="s">
        <v>432</v>
      </c>
      <c r="Q1541" s="109" t="s">
        <v>432</v>
      </c>
      <c r="R1541" s="109" t="s">
        <v>432</v>
      </c>
      <c r="S1541" s="109" t="s">
        <v>2209</v>
      </c>
      <c r="T1541" s="109" t="s">
        <v>432</v>
      </c>
      <c r="U1541" s="109" t="s">
        <v>432</v>
      </c>
      <c r="V1541" s="109" t="s">
        <v>2209</v>
      </c>
      <c r="W1541" s="109" t="s">
        <v>432</v>
      </c>
      <c r="X1541" s="109" t="s">
        <v>432</v>
      </c>
      <c r="Y1541" s="109" t="s">
        <v>432</v>
      </c>
      <c r="Z1541" s="109" t="s">
        <v>432</v>
      </c>
      <c r="AA1541" s="109" t="s">
        <v>432</v>
      </c>
      <c r="AB1541" s="109" t="s">
        <v>432</v>
      </c>
      <c r="AC1541" s="109" t="s">
        <v>432</v>
      </c>
      <c r="AD1541" s="109" t="s">
        <v>432</v>
      </c>
      <c r="AE1541" s="109" t="s">
        <v>432</v>
      </c>
      <c r="AF1541" s="109" t="s">
        <v>432</v>
      </c>
      <c r="AG1541" s="109" t="s">
        <v>432</v>
      </c>
      <c r="AH1541" s="109" t="s">
        <v>432</v>
      </c>
      <c r="AI1541" s="109" t="s">
        <v>432</v>
      </c>
      <c r="AJ1541" s="109" t="s">
        <v>432</v>
      </c>
      <c r="AK1541" s="137" t="s">
        <v>432</v>
      </c>
      <c r="AL1541" s="601" t="s">
        <v>432</v>
      </c>
      <c r="AM1541" s="137" t="s">
        <v>432</v>
      </c>
      <c r="AN1541" s="137" t="s">
        <v>432</v>
      </c>
      <c r="AO1541" s="137" t="s">
        <v>432</v>
      </c>
      <c r="AP1541" s="137" t="s">
        <v>432</v>
      </c>
      <c r="AQ1541" s="137" t="s">
        <v>432</v>
      </c>
      <c r="AR1541" s="137" t="s">
        <v>432</v>
      </c>
      <c r="AS1541" s="137" t="s">
        <v>432</v>
      </c>
      <c r="AT1541" s="137" t="s">
        <v>432</v>
      </c>
      <c r="AU1541" s="137" t="s">
        <v>432</v>
      </c>
      <c r="AV1541" s="137" t="s">
        <v>432</v>
      </c>
      <c r="AW1541" s="137" t="s">
        <v>432</v>
      </c>
      <c r="AX1541" s="137" t="s">
        <v>432</v>
      </c>
      <c r="AY1541" s="137" t="s">
        <v>432</v>
      </c>
      <c r="AZ1541" s="137" t="s">
        <v>432</v>
      </c>
      <c r="BA1541" s="137" t="s">
        <v>432</v>
      </c>
      <c r="BB1541" s="239" t="str">
        <f t="shared" si="424"/>
        <v>Sinalização semafóricax</v>
      </c>
      <c r="BC1541" s="239" t="str">
        <f t="shared" si="425"/>
        <v>Sinalização semafóricaxainda não incorporado ao SisMob-BH</v>
      </c>
      <c r="BD1541" s="239" t="str">
        <f t="shared" si="426"/>
        <v>Sinalização semafóricaainda não incorporado ao SisMob-BH</v>
      </c>
    </row>
    <row r="1542" spans="1:67" s="1" customFormat="1" ht="94.5" customHeight="1" x14ac:dyDescent="0.25">
      <c r="A1542" s="275" t="str">
        <f>'Q100b-totais'!$B$68</f>
        <v>9.5</v>
      </c>
      <c r="B1542" s="1205" t="str">
        <f>'Q100b-totais'!$C$68</f>
        <v>Sinalização semafórica</v>
      </c>
      <c r="C1542" s="57" t="s">
        <v>432</v>
      </c>
      <c r="D1542" s="325" t="s">
        <v>257</v>
      </c>
      <c r="E1542" s="254" t="s">
        <v>1306</v>
      </c>
      <c r="F1542" s="12" t="s">
        <v>258</v>
      </c>
      <c r="G1542" s="252" t="s">
        <v>259</v>
      </c>
      <c r="H1542" s="444" t="s">
        <v>678</v>
      </c>
      <c r="I1542" s="167">
        <v>1</v>
      </c>
      <c r="J1542" s="107" t="s">
        <v>432</v>
      </c>
      <c r="K1542" s="84" t="s">
        <v>432</v>
      </c>
      <c r="L1542" s="84" t="s">
        <v>432</v>
      </c>
      <c r="M1542" s="84" t="s">
        <v>432</v>
      </c>
      <c r="N1542" s="84" t="s">
        <v>432</v>
      </c>
      <c r="O1542" s="84" t="s">
        <v>432</v>
      </c>
      <c r="P1542" s="84" t="s">
        <v>432</v>
      </c>
      <c r="Q1542" s="84" t="s">
        <v>432</v>
      </c>
      <c r="R1542" s="84" t="s">
        <v>432</v>
      </c>
      <c r="S1542" s="109" t="s">
        <v>2209</v>
      </c>
      <c r="T1542" s="84" t="s">
        <v>432</v>
      </c>
      <c r="U1542" s="84" t="s">
        <v>432</v>
      </c>
      <c r="V1542" s="109" t="s">
        <v>2209</v>
      </c>
      <c r="W1542" s="84" t="s">
        <v>432</v>
      </c>
      <c r="X1542" s="84" t="s">
        <v>432</v>
      </c>
      <c r="Y1542" s="84" t="s">
        <v>432</v>
      </c>
      <c r="Z1542" s="84" t="s">
        <v>432</v>
      </c>
      <c r="AA1542" s="84" t="s">
        <v>432</v>
      </c>
      <c r="AB1542" s="84" t="s">
        <v>432</v>
      </c>
      <c r="AC1542" s="84" t="s">
        <v>432</v>
      </c>
      <c r="AD1542" s="84" t="s">
        <v>432</v>
      </c>
      <c r="AE1542" s="84" t="s">
        <v>432</v>
      </c>
      <c r="AF1542" s="84" t="s">
        <v>432</v>
      </c>
      <c r="AG1542" s="84" t="s">
        <v>432</v>
      </c>
      <c r="AH1542" s="84" t="s">
        <v>432</v>
      </c>
      <c r="AI1542" s="84" t="s">
        <v>432</v>
      </c>
      <c r="AJ1542" s="84" t="s">
        <v>432</v>
      </c>
      <c r="AK1542" s="137" t="s">
        <v>432</v>
      </c>
      <c r="AL1542" s="601" t="s">
        <v>432</v>
      </c>
      <c r="AM1542" s="137" t="s">
        <v>432</v>
      </c>
      <c r="AN1542" s="137" t="s">
        <v>432</v>
      </c>
      <c r="AO1542" s="137" t="s">
        <v>432</v>
      </c>
      <c r="AP1542" s="137" t="s">
        <v>432</v>
      </c>
      <c r="AQ1542" s="137" t="s">
        <v>432</v>
      </c>
      <c r="AR1542" s="137" t="s">
        <v>432</v>
      </c>
      <c r="AS1542" s="137" t="s">
        <v>432</v>
      </c>
      <c r="AT1542" s="137" t="s">
        <v>432</v>
      </c>
      <c r="AU1542" s="137" t="s">
        <v>432</v>
      </c>
      <c r="AV1542" s="137" t="s">
        <v>432</v>
      </c>
      <c r="AW1542" s="137" t="s">
        <v>432</v>
      </c>
      <c r="AX1542" s="137" t="s">
        <v>432</v>
      </c>
      <c r="AY1542" s="137" t="s">
        <v>432</v>
      </c>
      <c r="AZ1542" s="137" t="s">
        <v>432</v>
      </c>
      <c r="BA1542" s="137" t="s">
        <v>432</v>
      </c>
      <c r="BB1542" s="239" t="str">
        <f t="shared" si="424"/>
        <v>Sinalização semafóricax</v>
      </c>
      <c r="BC1542" s="239" t="str">
        <f t="shared" si="425"/>
        <v>Sinalização semafóricaxainda não incorporado ao SisMob-BH</v>
      </c>
      <c r="BD1542" s="239" t="str">
        <f t="shared" si="426"/>
        <v>Sinalização semafóricaainda não incorporado ao SisMob-BH</v>
      </c>
    </row>
    <row r="1543" spans="1:67" s="1" customFormat="1" ht="51" customHeight="1" x14ac:dyDescent="0.25">
      <c r="A1543" s="275" t="str">
        <f>'Q100b-totais'!$B$68</f>
        <v>9.5</v>
      </c>
      <c r="B1543" s="1205" t="str">
        <f>'Q100b-totais'!$C$68</f>
        <v>Sinalização semafórica</v>
      </c>
      <c r="C1543" s="57" t="s">
        <v>432</v>
      </c>
      <c r="D1543" s="324" t="s">
        <v>260</v>
      </c>
      <c r="E1543" s="254" t="s">
        <v>1306</v>
      </c>
      <c r="F1543" s="11" t="s">
        <v>571</v>
      </c>
      <c r="G1543" s="58" t="s">
        <v>572</v>
      </c>
      <c r="H1543" s="173" t="s">
        <v>432</v>
      </c>
      <c r="I1543" s="57">
        <v>1</v>
      </c>
      <c r="J1543" s="107" t="s">
        <v>432</v>
      </c>
      <c r="K1543" s="93" t="s">
        <v>432</v>
      </c>
      <c r="L1543" s="93" t="s">
        <v>432</v>
      </c>
      <c r="M1543" s="93" t="s">
        <v>432</v>
      </c>
      <c r="N1543" s="93" t="s">
        <v>432</v>
      </c>
      <c r="O1543" s="93" t="s">
        <v>432</v>
      </c>
      <c r="P1543" s="93" t="s">
        <v>432</v>
      </c>
      <c r="Q1543" s="93" t="s">
        <v>432</v>
      </c>
      <c r="R1543" s="93" t="s">
        <v>432</v>
      </c>
      <c r="S1543" s="109" t="s">
        <v>2209</v>
      </c>
      <c r="T1543" s="93" t="s">
        <v>432</v>
      </c>
      <c r="U1543" s="93" t="s">
        <v>432</v>
      </c>
      <c r="V1543" s="109" t="s">
        <v>2209</v>
      </c>
      <c r="W1543" s="93" t="s">
        <v>432</v>
      </c>
      <c r="X1543" s="93" t="s">
        <v>432</v>
      </c>
      <c r="Y1543" s="58" t="s">
        <v>432</v>
      </c>
      <c r="Z1543" s="72">
        <f t="shared" ref="Z1543:AJ1543" si="433">Z1522-Z1533</f>
        <v>109</v>
      </c>
      <c r="AA1543" s="72">
        <f t="shared" si="433"/>
        <v>101</v>
      </c>
      <c r="AB1543" s="72">
        <f t="shared" si="433"/>
        <v>100</v>
      </c>
      <c r="AC1543" s="72">
        <f t="shared" si="433"/>
        <v>100</v>
      </c>
      <c r="AD1543" s="72">
        <f t="shared" si="433"/>
        <v>95</v>
      </c>
      <c r="AE1543" s="72">
        <f t="shared" si="433"/>
        <v>102</v>
      </c>
      <c r="AF1543" s="72">
        <f t="shared" si="433"/>
        <v>111</v>
      </c>
      <c r="AG1543" s="72">
        <f t="shared" si="433"/>
        <v>117</v>
      </c>
      <c r="AH1543" s="72">
        <f t="shared" si="433"/>
        <v>121</v>
      </c>
      <c r="AI1543" s="72">
        <f t="shared" si="433"/>
        <v>121</v>
      </c>
      <c r="AJ1543" s="72">
        <f t="shared" si="433"/>
        <v>111</v>
      </c>
      <c r="AK1543" s="137" t="s">
        <v>432</v>
      </c>
      <c r="AL1543" s="601" t="s">
        <v>432</v>
      </c>
      <c r="AM1543" s="137" t="s">
        <v>432</v>
      </c>
      <c r="AN1543" s="137" t="s">
        <v>432</v>
      </c>
      <c r="AO1543" s="137" t="s">
        <v>432</v>
      </c>
      <c r="AP1543" s="137" t="s">
        <v>432</v>
      </c>
      <c r="AQ1543" s="137" t="s">
        <v>432</v>
      </c>
      <c r="AR1543" s="137" t="s">
        <v>432</v>
      </c>
      <c r="AS1543" s="137" t="s">
        <v>432</v>
      </c>
      <c r="AT1543" s="137" t="s">
        <v>432</v>
      </c>
      <c r="AU1543" s="137" t="s">
        <v>432</v>
      </c>
      <c r="AV1543" s="137" t="s">
        <v>432</v>
      </c>
      <c r="AW1543" s="137" t="s">
        <v>432</v>
      </c>
      <c r="AX1543" s="137" t="s">
        <v>432</v>
      </c>
      <c r="AY1543" s="137" t="s">
        <v>432</v>
      </c>
      <c r="AZ1543" s="137" t="s">
        <v>432</v>
      </c>
      <c r="BA1543" s="137" t="s">
        <v>432</v>
      </c>
      <c r="BB1543" s="239" t="str">
        <f t="shared" si="424"/>
        <v>Sinalização semafóricax</v>
      </c>
      <c r="BC1543" s="239" t="str">
        <f t="shared" si="425"/>
        <v>Sinalização semafóricaxx</v>
      </c>
      <c r="BD1543" s="239" t="str">
        <f t="shared" si="426"/>
        <v>Sinalização semafóricax</v>
      </c>
    </row>
    <row r="1544" spans="1:67" s="1" customFormat="1" ht="38.25" customHeight="1" x14ac:dyDescent="0.25">
      <c r="A1544" s="275" t="str">
        <f>'Q100b-totais'!$B$68</f>
        <v>9.5</v>
      </c>
      <c r="B1544" s="1205" t="str">
        <f>'Q100b-totais'!$C$68</f>
        <v>Sinalização semafórica</v>
      </c>
      <c r="C1544" s="57" t="s">
        <v>432</v>
      </c>
      <c r="D1544" s="324" t="s">
        <v>261</v>
      </c>
      <c r="E1544" s="254" t="s">
        <v>1306</v>
      </c>
      <c r="F1544" s="11" t="s">
        <v>573</v>
      </c>
      <c r="G1544" s="58" t="s">
        <v>574</v>
      </c>
      <c r="H1544" s="173" t="s">
        <v>432</v>
      </c>
      <c r="I1544" s="57">
        <v>1</v>
      </c>
      <c r="J1544" s="107" t="s">
        <v>432</v>
      </c>
      <c r="K1544" s="93" t="s">
        <v>432</v>
      </c>
      <c r="L1544" s="93" t="s">
        <v>432</v>
      </c>
      <c r="M1544" s="93" t="s">
        <v>432</v>
      </c>
      <c r="N1544" s="93" t="s">
        <v>432</v>
      </c>
      <c r="O1544" s="93" t="s">
        <v>432</v>
      </c>
      <c r="P1544" s="93" t="s">
        <v>432</v>
      </c>
      <c r="Q1544" s="93" t="s">
        <v>432</v>
      </c>
      <c r="R1544" s="93" t="s">
        <v>432</v>
      </c>
      <c r="S1544" s="109" t="s">
        <v>2209</v>
      </c>
      <c r="T1544" s="93" t="s">
        <v>432</v>
      </c>
      <c r="U1544" s="93" t="s">
        <v>432</v>
      </c>
      <c r="V1544" s="109" t="s">
        <v>2209</v>
      </c>
      <c r="W1544" s="93" t="s">
        <v>432</v>
      </c>
      <c r="X1544" s="93" t="s">
        <v>432</v>
      </c>
      <c r="Y1544" s="58" t="s">
        <v>432</v>
      </c>
      <c r="Z1544" s="21">
        <f t="shared" ref="Z1544:AJ1544" si="434">Z1543/Z1522</f>
        <v>0.15728715728715728</v>
      </c>
      <c r="AA1544" s="21">
        <f t="shared" si="434"/>
        <v>0.1420534458509142</v>
      </c>
      <c r="AB1544" s="21">
        <f t="shared" si="434"/>
        <v>0.13531799729364005</v>
      </c>
      <c r="AC1544" s="21">
        <f t="shared" si="434"/>
        <v>0.13123359580052493</v>
      </c>
      <c r="AD1544" s="21">
        <f t="shared" si="434"/>
        <v>0.12025316455696203</v>
      </c>
      <c r="AE1544" s="21">
        <f t="shared" si="434"/>
        <v>0.12561576354679804</v>
      </c>
      <c r="AF1544" s="21">
        <f t="shared" si="434"/>
        <v>0.13293413173652693</v>
      </c>
      <c r="AG1544" s="21">
        <f t="shared" si="434"/>
        <v>0.13541666666666666</v>
      </c>
      <c r="AH1544" s="21">
        <f t="shared" si="434"/>
        <v>0.13459399332591768</v>
      </c>
      <c r="AI1544" s="21">
        <f t="shared" si="434"/>
        <v>0.1302475780409042</v>
      </c>
      <c r="AJ1544" s="21">
        <f t="shared" si="434"/>
        <v>0.11419753086419752</v>
      </c>
      <c r="AK1544" s="137" t="s">
        <v>432</v>
      </c>
      <c r="AL1544" s="601" t="s">
        <v>432</v>
      </c>
      <c r="AM1544" s="137" t="s">
        <v>432</v>
      </c>
      <c r="AN1544" s="137" t="s">
        <v>432</v>
      </c>
      <c r="AO1544" s="137" t="s">
        <v>432</v>
      </c>
      <c r="AP1544" s="137" t="s">
        <v>432</v>
      </c>
      <c r="AQ1544" s="137" t="s">
        <v>432</v>
      </c>
      <c r="AR1544" s="137" t="s">
        <v>432</v>
      </c>
      <c r="AS1544" s="137" t="s">
        <v>432</v>
      </c>
      <c r="AT1544" s="137" t="s">
        <v>432</v>
      </c>
      <c r="AU1544" s="137" t="s">
        <v>432</v>
      </c>
      <c r="AV1544" s="137" t="s">
        <v>432</v>
      </c>
      <c r="AW1544" s="137" t="s">
        <v>432</v>
      </c>
      <c r="AX1544" s="137" t="s">
        <v>432</v>
      </c>
      <c r="AY1544" s="137" t="s">
        <v>432</v>
      </c>
      <c r="AZ1544" s="137" t="s">
        <v>432</v>
      </c>
      <c r="BA1544" s="137" t="s">
        <v>432</v>
      </c>
      <c r="BB1544" s="239" t="str">
        <f t="shared" si="424"/>
        <v>Sinalização semafóricax</v>
      </c>
      <c r="BC1544" s="239" t="str">
        <f t="shared" si="425"/>
        <v>Sinalização semafóricaxx</v>
      </c>
      <c r="BD1544" s="239" t="str">
        <f t="shared" si="426"/>
        <v>Sinalização semafóricax</v>
      </c>
    </row>
    <row r="1545" spans="1:67" s="1" customFormat="1" ht="38.25" x14ac:dyDescent="0.25">
      <c r="A1545" s="262" t="str">
        <f>'Q100b-totais'!B22</f>
        <v>2.7</v>
      </c>
      <c r="B1545" s="252" t="str">
        <f>'Q100b-totais'!C22</f>
        <v>Outras cidades/regiões</v>
      </c>
      <c r="C1545" s="167" t="s">
        <v>432</v>
      </c>
      <c r="D1545" s="1570" t="s">
        <v>6321</v>
      </c>
      <c r="E1545" s="1499" t="s">
        <v>6321</v>
      </c>
      <c r="F1545" s="252" t="s">
        <v>6337</v>
      </c>
      <c r="G1545" s="230" t="s">
        <v>3507</v>
      </c>
      <c r="H1545" s="167" t="s">
        <v>2408</v>
      </c>
      <c r="I1545" s="167" t="s">
        <v>432</v>
      </c>
      <c r="J1545" s="109" t="s">
        <v>432</v>
      </c>
      <c r="K1545" s="109" t="s">
        <v>432</v>
      </c>
      <c r="L1545" s="109" t="s">
        <v>432</v>
      </c>
      <c r="M1545" s="109" t="s">
        <v>432</v>
      </c>
      <c r="N1545" s="109" t="s">
        <v>432</v>
      </c>
      <c r="O1545" s="109" t="s">
        <v>432</v>
      </c>
      <c r="P1545" s="109" t="s">
        <v>432</v>
      </c>
      <c r="Q1545" s="109" t="s">
        <v>432</v>
      </c>
      <c r="R1545" s="109" t="s">
        <v>432</v>
      </c>
      <c r="S1545" s="109" t="s">
        <v>2209</v>
      </c>
      <c r="T1545" s="109" t="s">
        <v>432</v>
      </c>
      <c r="U1545" s="109" t="s">
        <v>432</v>
      </c>
      <c r="V1545" s="109" t="s">
        <v>2209</v>
      </c>
      <c r="W1545" s="109" t="s">
        <v>432</v>
      </c>
      <c r="X1545" s="109" t="s">
        <v>432</v>
      </c>
      <c r="Y1545" s="109" t="s">
        <v>432</v>
      </c>
      <c r="Z1545" s="109" t="s">
        <v>432</v>
      </c>
      <c r="AA1545" s="109" t="s">
        <v>432</v>
      </c>
      <c r="AB1545" s="109" t="s">
        <v>432</v>
      </c>
      <c r="AC1545" s="109" t="s">
        <v>432</v>
      </c>
      <c r="AD1545" s="109" t="s">
        <v>432</v>
      </c>
      <c r="AE1545" s="109" t="s">
        <v>432</v>
      </c>
      <c r="AF1545" s="109" t="s">
        <v>432</v>
      </c>
      <c r="AG1545" s="109" t="s">
        <v>432</v>
      </c>
      <c r="AH1545" s="109" t="s">
        <v>432</v>
      </c>
      <c r="AI1545" s="109" t="s">
        <v>432</v>
      </c>
      <c r="AJ1545" s="109" t="s">
        <v>432</v>
      </c>
      <c r="AK1545" s="109" t="s">
        <v>432</v>
      </c>
      <c r="AL1545" s="601" t="s">
        <v>432</v>
      </c>
      <c r="AM1545" s="109" t="s">
        <v>432</v>
      </c>
      <c r="AN1545" s="109" t="s">
        <v>432</v>
      </c>
      <c r="AO1545" s="109" t="s">
        <v>432</v>
      </c>
      <c r="AP1545" s="109" t="s">
        <v>432</v>
      </c>
      <c r="AQ1545" s="109" t="s">
        <v>432</v>
      </c>
      <c r="AR1545" s="109" t="s">
        <v>432</v>
      </c>
      <c r="AS1545" s="109" t="s">
        <v>432</v>
      </c>
      <c r="AT1545" s="109" t="s">
        <v>432</v>
      </c>
      <c r="AU1545" s="109" t="s">
        <v>432</v>
      </c>
      <c r="AV1545" s="109" t="s">
        <v>432</v>
      </c>
      <c r="AW1545" s="109" t="s">
        <v>432</v>
      </c>
      <c r="AX1545" s="109" t="s">
        <v>432</v>
      </c>
      <c r="AY1545" s="109" t="s">
        <v>432</v>
      </c>
      <c r="AZ1545" s="109" t="s">
        <v>432</v>
      </c>
      <c r="BA1545" s="109" t="s">
        <v>432</v>
      </c>
      <c r="BB1545" s="239" t="str">
        <f>B1545&amp;C1545</f>
        <v>Outras cidades/regiõesx</v>
      </c>
      <c r="BC1545" s="239" t="str">
        <f>B1545&amp;C1545&amp;H1545</f>
        <v>Outras cidades/regiõesxsigla/verbete</v>
      </c>
      <c r="BD1545" s="239" t="str">
        <f>B1545&amp;H1545</f>
        <v>Outras cidades/regiõessigla/verbete</v>
      </c>
      <c r="BM1545" s="1573"/>
      <c r="BN1545" s="1573"/>
      <c r="BO1545" s="1573"/>
    </row>
    <row r="1546" spans="1:67" s="1" customFormat="1" ht="63" customHeight="1" x14ac:dyDescent="0.25">
      <c r="A1546" s="262" t="s">
        <v>432</v>
      </c>
      <c r="B1546" s="252" t="s">
        <v>742</v>
      </c>
      <c r="C1546" s="57" t="s">
        <v>432</v>
      </c>
      <c r="D1546" s="324" t="s">
        <v>262</v>
      </c>
      <c r="E1546" s="1496" t="s">
        <v>432</v>
      </c>
      <c r="F1546" s="165" t="s">
        <v>888</v>
      </c>
      <c r="G1546" s="167" t="s">
        <v>3879</v>
      </c>
      <c r="H1546" s="167" t="s">
        <v>432</v>
      </c>
      <c r="I1546" s="167" t="s">
        <v>432</v>
      </c>
      <c r="J1546" s="107" t="s">
        <v>432</v>
      </c>
      <c r="K1546" s="107" t="s">
        <v>432</v>
      </c>
      <c r="L1546" s="107" t="s">
        <v>432</v>
      </c>
      <c r="M1546" s="107" t="s">
        <v>432</v>
      </c>
      <c r="N1546" s="107" t="s">
        <v>432</v>
      </c>
      <c r="O1546" s="107" t="s">
        <v>432</v>
      </c>
      <c r="P1546" s="107" t="s">
        <v>432</v>
      </c>
      <c r="Q1546" s="107" t="s">
        <v>432</v>
      </c>
      <c r="R1546" s="107" t="s">
        <v>432</v>
      </c>
      <c r="S1546" s="109" t="s">
        <v>2209</v>
      </c>
      <c r="T1546" s="107" t="s">
        <v>432</v>
      </c>
      <c r="U1546" s="107" t="s">
        <v>432</v>
      </c>
      <c r="V1546" s="109" t="s">
        <v>2209</v>
      </c>
      <c r="W1546" s="107" t="s">
        <v>432</v>
      </c>
      <c r="X1546" s="107" t="s">
        <v>432</v>
      </c>
      <c r="Y1546" s="107" t="s">
        <v>432</v>
      </c>
      <c r="Z1546" s="107" t="s">
        <v>432</v>
      </c>
      <c r="AA1546" s="107" t="s">
        <v>432</v>
      </c>
      <c r="AB1546" s="107" t="s">
        <v>432</v>
      </c>
      <c r="AC1546" s="107" t="s">
        <v>432</v>
      </c>
      <c r="AD1546" s="107" t="s">
        <v>432</v>
      </c>
      <c r="AE1546" s="107" t="s">
        <v>432</v>
      </c>
      <c r="AF1546" s="107" t="s">
        <v>432</v>
      </c>
      <c r="AG1546" s="107" t="s">
        <v>432</v>
      </c>
      <c r="AH1546" s="107" t="s">
        <v>432</v>
      </c>
      <c r="AI1546" s="107" t="s">
        <v>432</v>
      </c>
      <c r="AJ1546" s="107" t="s">
        <v>432</v>
      </c>
      <c r="AK1546" s="137" t="s">
        <v>432</v>
      </c>
      <c r="AL1546" s="601" t="s">
        <v>432</v>
      </c>
      <c r="AM1546" s="137" t="s">
        <v>432</v>
      </c>
      <c r="AN1546" s="137" t="s">
        <v>432</v>
      </c>
      <c r="AO1546" s="137" t="s">
        <v>432</v>
      </c>
      <c r="AP1546" s="137" t="s">
        <v>432</v>
      </c>
      <c r="AQ1546" s="137" t="s">
        <v>432</v>
      </c>
      <c r="AR1546" s="137" t="s">
        <v>432</v>
      </c>
      <c r="AS1546" s="137" t="s">
        <v>432</v>
      </c>
      <c r="AT1546" s="137" t="s">
        <v>432</v>
      </c>
      <c r="AU1546" s="137" t="s">
        <v>432</v>
      </c>
      <c r="AV1546" s="137" t="s">
        <v>432</v>
      </c>
      <c r="AW1546" s="137" t="s">
        <v>432</v>
      </c>
      <c r="AX1546" s="137" t="s">
        <v>432</v>
      </c>
      <c r="AY1546" s="137" t="s">
        <v>432</v>
      </c>
      <c r="AZ1546" s="137" t="s">
        <v>432</v>
      </c>
      <c r="BA1546" s="137" t="s">
        <v>432</v>
      </c>
      <c r="BB1546" s="239" t="str">
        <f t="shared" si="424"/>
        <v>geralx</v>
      </c>
      <c r="BC1546" s="239" t="str">
        <f t="shared" si="425"/>
        <v>geralxx</v>
      </c>
      <c r="BD1546" s="239" t="str">
        <f t="shared" si="426"/>
        <v>geralx</v>
      </c>
    </row>
    <row r="1547" spans="1:67" s="373" customFormat="1" x14ac:dyDescent="0.25">
      <c r="A1547" s="383"/>
      <c r="B1547" s="384"/>
      <c r="C1547" s="384"/>
      <c r="D1547" s="719"/>
      <c r="E1547" s="1519"/>
      <c r="F1547" s="385"/>
      <c r="G1547" s="385"/>
      <c r="H1547" s="389"/>
      <c r="I1547" s="385"/>
      <c r="J1547" s="385"/>
      <c r="K1547" s="385"/>
      <c r="L1547" s="385"/>
      <c r="M1547" s="385"/>
      <c r="N1547" s="385"/>
      <c r="O1547" s="385"/>
      <c r="P1547" s="385"/>
      <c r="Q1547" s="385"/>
      <c r="R1547" s="385"/>
      <c r="S1547" s="385"/>
      <c r="T1547" s="385"/>
      <c r="U1547" s="385"/>
      <c r="V1547" s="385"/>
      <c r="W1547" s="385"/>
      <c r="X1547" s="385"/>
      <c r="Y1547" s="385"/>
      <c r="Z1547" s="385"/>
      <c r="AA1547" s="385"/>
      <c r="AB1547" s="385"/>
      <c r="AC1547" s="385"/>
      <c r="AD1547" s="385"/>
      <c r="AE1547" s="385"/>
      <c r="AF1547" s="385"/>
      <c r="AG1547" s="385"/>
      <c r="AH1547" s="385"/>
      <c r="AI1547" s="385"/>
      <c r="AJ1547" s="385"/>
      <c r="AK1547" s="385"/>
      <c r="AL1547" s="385"/>
      <c r="AM1547" s="385"/>
      <c r="AN1547" s="387"/>
      <c r="AO1547" s="387"/>
      <c r="AP1547" s="387"/>
      <c r="AQ1547" s="387"/>
      <c r="AR1547" s="387"/>
      <c r="AS1547" s="387"/>
      <c r="AT1547" s="387"/>
      <c r="AU1547" s="387"/>
      <c r="AV1547" s="387"/>
      <c r="AW1547" s="387"/>
      <c r="AX1547" s="387"/>
      <c r="AY1547" s="387"/>
      <c r="AZ1547" s="387"/>
      <c r="BA1547" s="387"/>
      <c r="BB1547" s="388"/>
      <c r="BC1547" s="388"/>
      <c r="BD1547" s="388"/>
    </row>
    <row r="1548" spans="1:67" ht="25.5" x14ac:dyDescent="0.25">
      <c r="A1548" s="262" t="s">
        <v>432</v>
      </c>
      <c r="B1548" s="252" t="s">
        <v>742</v>
      </c>
      <c r="C1548" s="167" t="s">
        <v>432</v>
      </c>
      <c r="D1548" s="324" t="s">
        <v>263</v>
      </c>
      <c r="E1548" s="1445" t="s">
        <v>432</v>
      </c>
      <c r="F1548" s="165" t="s">
        <v>673</v>
      </c>
      <c r="G1548" s="167" t="s">
        <v>3879</v>
      </c>
      <c r="H1548" s="167" t="s">
        <v>432</v>
      </c>
      <c r="I1548" s="167" t="s">
        <v>432</v>
      </c>
      <c r="J1548" s="107" t="s">
        <v>432</v>
      </c>
      <c r="K1548" s="107" t="s">
        <v>432</v>
      </c>
      <c r="L1548" s="107" t="s">
        <v>432</v>
      </c>
      <c r="M1548" s="107" t="s">
        <v>432</v>
      </c>
      <c r="N1548" s="107" t="s">
        <v>432</v>
      </c>
      <c r="O1548" s="107" t="s">
        <v>432</v>
      </c>
      <c r="P1548" s="107" t="s">
        <v>432</v>
      </c>
      <c r="Q1548" s="107" t="s">
        <v>432</v>
      </c>
      <c r="R1548" s="107" t="s">
        <v>432</v>
      </c>
      <c r="S1548" s="109" t="s">
        <v>2209</v>
      </c>
      <c r="T1548" s="107" t="s">
        <v>432</v>
      </c>
      <c r="U1548" s="107" t="s">
        <v>432</v>
      </c>
      <c r="V1548" s="109" t="s">
        <v>2209</v>
      </c>
      <c r="W1548" s="107" t="s">
        <v>432</v>
      </c>
      <c r="X1548" s="107" t="s">
        <v>432</v>
      </c>
      <c r="Y1548" s="107" t="s">
        <v>432</v>
      </c>
      <c r="Z1548" s="107" t="s">
        <v>432</v>
      </c>
      <c r="AA1548" s="107" t="s">
        <v>432</v>
      </c>
      <c r="AB1548" s="107" t="s">
        <v>432</v>
      </c>
      <c r="AC1548" s="107" t="s">
        <v>432</v>
      </c>
      <c r="AD1548" s="107" t="s">
        <v>432</v>
      </c>
      <c r="AE1548" s="107" t="s">
        <v>432</v>
      </c>
      <c r="AF1548" s="107" t="s">
        <v>432</v>
      </c>
      <c r="AG1548" s="107" t="s">
        <v>432</v>
      </c>
      <c r="AH1548" s="107" t="s">
        <v>432</v>
      </c>
      <c r="AI1548" s="107" t="s">
        <v>432</v>
      </c>
      <c r="AJ1548" s="107" t="s">
        <v>432</v>
      </c>
      <c r="AK1548" s="137" t="s">
        <v>432</v>
      </c>
      <c r="AL1548" s="601" t="s">
        <v>432</v>
      </c>
      <c r="AM1548" s="137" t="s">
        <v>432</v>
      </c>
      <c r="AN1548" s="137" t="s">
        <v>432</v>
      </c>
      <c r="AO1548" s="137" t="s">
        <v>432</v>
      </c>
      <c r="AP1548" s="137" t="s">
        <v>432</v>
      </c>
      <c r="AQ1548" s="137" t="s">
        <v>432</v>
      </c>
      <c r="AR1548" s="137" t="s">
        <v>432</v>
      </c>
      <c r="AS1548" s="137" t="s">
        <v>432</v>
      </c>
      <c r="AT1548" s="137" t="s">
        <v>432</v>
      </c>
      <c r="AU1548" s="137" t="s">
        <v>432</v>
      </c>
      <c r="AV1548" s="137" t="s">
        <v>432</v>
      </c>
      <c r="AW1548" s="137" t="s">
        <v>432</v>
      </c>
      <c r="AX1548" s="137" t="s">
        <v>432</v>
      </c>
      <c r="AY1548" s="137" t="s">
        <v>432</v>
      </c>
      <c r="AZ1548" s="137" t="s">
        <v>432</v>
      </c>
      <c r="BA1548" s="137" t="s">
        <v>432</v>
      </c>
      <c r="BB1548" s="239" t="str">
        <f t="shared" si="424"/>
        <v>geralx</v>
      </c>
      <c r="BC1548" s="239" t="str">
        <f t="shared" si="425"/>
        <v>geralxx</v>
      </c>
      <c r="BD1548" s="239" t="str">
        <f t="shared" si="426"/>
        <v>geralx</v>
      </c>
    </row>
    <row r="1549" spans="1:67" s="1" customFormat="1" ht="51" x14ac:dyDescent="0.25">
      <c r="A1549" s="262" t="str">
        <f>'Q100b-totais'!B62</f>
        <v>8.10</v>
      </c>
      <c r="B1549" s="252" t="str">
        <f>'Q100b-totais'!C62</f>
        <v>Sistema de transporte coletivo com um todo</v>
      </c>
      <c r="C1549" s="167" t="s">
        <v>432</v>
      </c>
      <c r="D1549" s="324" t="s">
        <v>3366</v>
      </c>
      <c r="E1549" s="1402" t="s">
        <v>1767</v>
      </c>
      <c r="F1549" s="151" t="s">
        <v>5084</v>
      </c>
      <c r="G1549" s="230" t="s">
        <v>3507</v>
      </c>
      <c r="H1549" s="167" t="s">
        <v>2408</v>
      </c>
      <c r="I1549" s="167" t="s">
        <v>432</v>
      </c>
      <c r="J1549" s="109" t="s">
        <v>432</v>
      </c>
      <c r="K1549" s="109" t="s">
        <v>432</v>
      </c>
      <c r="L1549" s="109" t="s">
        <v>432</v>
      </c>
      <c r="M1549" s="109" t="s">
        <v>432</v>
      </c>
      <c r="N1549" s="109" t="s">
        <v>432</v>
      </c>
      <c r="O1549" s="109" t="s">
        <v>432</v>
      </c>
      <c r="P1549" s="109" t="s">
        <v>432</v>
      </c>
      <c r="Q1549" s="109" t="s">
        <v>432</v>
      </c>
      <c r="R1549" s="109" t="s">
        <v>432</v>
      </c>
      <c r="S1549" s="109" t="s">
        <v>2209</v>
      </c>
      <c r="T1549" s="109" t="s">
        <v>432</v>
      </c>
      <c r="U1549" s="109" t="s">
        <v>432</v>
      </c>
      <c r="V1549" s="109" t="s">
        <v>2209</v>
      </c>
      <c r="W1549" s="109" t="s">
        <v>432</v>
      </c>
      <c r="X1549" s="109" t="s">
        <v>432</v>
      </c>
      <c r="Y1549" s="109" t="s">
        <v>432</v>
      </c>
      <c r="Z1549" s="109" t="s">
        <v>432</v>
      </c>
      <c r="AA1549" s="109" t="s">
        <v>432</v>
      </c>
      <c r="AB1549" s="109" t="s">
        <v>432</v>
      </c>
      <c r="AC1549" s="109" t="s">
        <v>432</v>
      </c>
      <c r="AD1549" s="109" t="s">
        <v>432</v>
      </c>
      <c r="AE1549" s="109" t="s">
        <v>432</v>
      </c>
      <c r="AF1549" s="109" t="s">
        <v>432</v>
      </c>
      <c r="AG1549" s="109" t="s">
        <v>432</v>
      </c>
      <c r="AH1549" s="109" t="s">
        <v>432</v>
      </c>
      <c r="AI1549" s="109" t="s">
        <v>432</v>
      </c>
      <c r="AJ1549" s="109" t="s">
        <v>432</v>
      </c>
      <c r="AK1549" s="109" t="s">
        <v>432</v>
      </c>
      <c r="AL1549" s="601" t="s">
        <v>432</v>
      </c>
      <c r="AM1549" s="109" t="s">
        <v>432</v>
      </c>
      <c r="AN1549" s="109" t="s">
        <v>432</v>
      </c>
      <c r="AO1549" s="109" t="s">
        <v>432</v>
      </c>
      <c r="AP1549" s="109" t="s">
        <v>432</v>
      </c>
      <c r="AQ1549" s="109" t="s">
        <v>432</v>
      </c>
      <c r="AR1549" s="109" t="s">
        <v>432</v>
      </c>
      <c r="AS1549" s="109" t="s">
        <v>432</v>
      </c>
      <c r="AT1549" s="109" t="s">
        <v>432</v>
      </c>
      <c r="AU1549" s="109" t="s">
        <v>432</v>
      </c>
      <c r="AV1549" s="109" t="s">
        <v>432</v>
      </c>
      <c r="AW1549" s="109" t="s">
        <v>432</v>
      </c>
      <c r="AX1549" s="109" t="s">
        <v>432</v>
      </c>
      <c r="AY1549" s="109" t="s">
        <v>432</v>
      </c>
      <c r="AZ1549" s="109" t="s">
        <v>432</v>
      </c>
      <c r="BA1549" s="109" t="s">
        <v>432</v>
      </c>
      <c r="BB1549" s="239" t="str">
        <f>B1549&amp;C1549</f>
        <v>Sistema de transporte coletivo com um todox</v>
      </c>
      <c r="BC1549" s="239" t="str">
        <f>B1549&amp;C1549&amp;H1549</f>
        <v>Sistema de transporte coletivo com um todoxsigla/verbete</v>
      </c>
      <c r="BD1549" s="239" t="str">
        <f>B1549&amp;H1549</f>
        <v>Sistema de transporte coletivo com um todosigla/verbete</v>
      </c>
      <c r="BM1549" s="1394"/>
      <c r="BN1549" s="1394"/>
      <c r="BO1549" s="1394"/>
    </row>
    <row r="1550" spans="1:67" s="1" customFormat="1" ht="51" x14ac:dyDescent="0.25">
      <c r="A1550" s="262" t="str">
        <f>'Q100b-totais'!B62</f>
        <v>8.10</v>
      </c>
      <c r="B1550" s="252" t="str">
        <f>'Q100b-totais'!C62</f>
        <v>Sistema de transporte coletivo com um todo</v>
      </c>
      <c r="C1550" s="167" t="s">
        <v>432</v>
      </c>
      <c r="D1550" s="324" t="s">
        <v>3367</v>
      </c>
      <c r="E1550" s="1402" t="s">
        <v>1767</v>
      </c>
      <c r="F1550" s="151" t="s">
        <v>5085</v>
      </c>
      <c r="G1550" s="230" t="s">
        <v>3507</v>
      </c>
      <c r="H1550" s="167" t="s">
        <v>2408</v>
      </c>
      <c r="I1550" s="167" t="s">
        <v>432</v>
      </c>
      <c r="J1550" s="109" t="s">
        <v>432</v>
      </c>
      <c r="K1550" s="109" t="s">
        <v>432</v>
      </c>
      <c r="L1550" s="109" t="s">
        <v>432</v>
      </c>
      <c r="M1550" s="109" t="s">
        <v>432</v>
      </c>
      <c r="N1550" s="109" t="s">
        <v>432</v>
      </c>
      <c r="O1550" s="109" t="s">
        <v>432</v>
      </c>
      <c r="P1550" s="109" t="s">
        <v>432</v>
      </c>
      <c r="Q1550" s="109" t="s">
        <v>432</v>
      </c>
      <c r="R1550" s="109" t="s">
        <v>432</v>
      </c>
      <c r="S1550" s="109" t="s">
        <v>2209</v>
      </c>
      <c r="T1550" s="109" t="s">
        <v>432</v>
      </c>
      <c r="U1550" s="109" t="s">
        <v>432</v>
      </c>
      <c r="V1550" s="109" t="s">
        <v>2209</v>
      </c>
      <c r="W1550" s="109" t="s">
        <v>432</v>
      </c>
      <c r="X1550" s="109" t="s">
        <v>432</v>
      </c>
      <c r="Y1550" s="109" t="s">
        <v>432</v>
      </c>
      <c r="Z1550" s="109" t="s">
        <v>432</v>
      </c>
      <c r="AA1550" s="109" t="s">
        <v>432</v>
      </c>
      <c r="AB1550" s="109" t="s">
        <v>432</v>
      </c>
      <c r="AC1550" s="109" t="s">
        <v>432</v>
      </c>
      <c r="AD1550" s="109" t="s">
        <v>432</v>
      </c>
      <c r="AE1550" s="109" t="s">
        <v>432</v>
      </c>
      <c r="AF1550" s="109" t="s">
        <v>432</v>
      </c>
      <c r="AG1550" s="109" t="s">
        <v>432</v>
      </c>
      <c r="AH1550" s="109" t="s">
        <v>432</v>
      </c>
      <c r="AI1550" s="109" t="s">
        <v>432</v>
      </c>
      <c r="AJ1550" s="109" t="s">
        <v>432</v>
      </c>
      <c r="AK1550" s="109" t="s">
        <v>432</v>
      </c>
      <c r="AL1550" s="601" t="s">
        <v>432</v>
      </c>
      <c r="AM1550" s="109" t="s">
        <v>432</v>
      </c>
      <c r="AN1550" s="109" t="s">
        <v>432</v>
      </c>
      <c r="AO1550" s="109" t="s">
        <v>432</v>
      </c>
      <c r="AP1550" s="109" t="s">
        <v>432</v>
      </c>
      <c r="AQ1550" s="109" t="s">
        <v>432</v>
      </c>
      <c r="AR1550" s="109" t="s">
        <v>432</v>
      </c>
      <c r="AS1550" s="109" t="s">
        <v>432</v>
      </c>
      <c r="AT1550" s="109" t="s">
        <v>432</v>
      </c>
      <c r="AU1550" s="109" t="s">
        <v>432</v>
      </c>
      <c r="AV1550" s="109" t="s">
        <v>432</v>
      </c>
      <c r="AW1550" s="109" t="s">
        <v>432</v>
      </c>
      <c r="AX1550" s="109" t="s">
        <v>432</v>
      </c>
      <c r="AY1550" s="109" t="s">
        <v>432</v>
      </c>
      <c r="AZ1550" s="109" t="s">
        <v>432</v>
      </c>
      <c r="BA1550" s="109" t="s">
        <v>432</v>
      </c>
      <c r="BB1550" s="239" t="str">
        <f>B1550&amp;C1550</f>
        <v>Sistema de transporte coletivo com um todox</v>
      </c>
      <c r="BC1550" s="239" t="str">
        <f>B1550&amp;C1550&amp;H1550</f>
        <v>Sistema de transporte coletivo com um todoxsigla/verbete</v>
      </c>
      <c r="BD1550" s="239" t="str">
        <f>B1550&amp;H1550</f>
        <v>Sistema de transporte coletivo com um todosigla/verbete</v>
      </c>
      <c r="BM1550" s="1394"/>
      <c r="BN1550" s="1394"/>
      <c r="BO1550" s="1394"/>
    </row>
    <row r="1551" spans="1:67" s="1" customFormat="1" ht="51" x14ac:dyDescent="0.25">
      <c r="A1551" s="262" t="str">
        <f>'Q100b-totais'!B62</f>
        <v>8.10</v>
      </c>
      <c r="B1551" s="252" t="str">
        <f>'Q100b-totais'!C62</f>
        <v>Sistema de transporte coletivo com um todo</v>
      </c>
      <c r="C1551" s="167" t="s">
        <v>432</v>
      </c>
      <c r="D1551" s="324" t="s">
        <v>5087</v>
      </c>
      <c r="E1551" s="1402" t="s">
        <v>1767</v>
      </c>
      <c r="F1551" s="151" t="s">
        <v>5086</v>
      </c>
      <c r="G1551" s="230" t="s">
        <v>3507</v>
      </c>
      <c r="H1551" s="167" t="s">
        <v>2408</v>
      </c>
      <c r="I1551" s="167" t="s">
        <v>432</v>
      </c>
      <c r="J1551" s="109" t="s">
        <v>432</v>
      </c>
      <c r="K1551" s="109" t="s">
        <v>432</v>
      </c>
      <c r="L1551" s="109" t="s">
        <v>432</v>
      </c>
      <c r="M1551" s="109" t="s">
        <v>432</v>
      </c>
      <c r="N1551" s="109" t="s">
        <v>432</v>
      </c>
      <c r="O1551" s="109" t="s">
        <v>432</v>
      </c>
      <c r="P1551" s="109" t="s">
        <v>432</v>
      </c>
      <c r="Q1551" s="109" t="s">
        <v>432</v>
      </c>
      <c r="R1551" s="109" t="s">
        <v>432</v>
      </c>
      <c r="S1551" s="109" t="s">
        <v>2209</v>
      </c>
      <c r="T1551" s="109" t="s">
        <v>432</v>
      </c>
      <c r="U1551" s="109" t="s">
        <v>432</v>
      </c>
      <c r="V1551" s="109" t="s">
        <v>2209</v>
      </c>
      <c r="W1551" s="109" t="s">
        <v>432</v>
      </c>
      <c r="X1551" s="109" t="s">
        <v>432</v>
      </c>
      <c r="Y1551" s="109" t="s">
        <v>432</v>
      </c>
      <c r="Z1551" s="109" t="s">
        <v>432</v>
      </c>
      <c r="AA1551" s="109" t="s">
        <v>432</v>
      </c>
      <c r="AB1551" s="109" t="s">
        <v>432</v>
      </c>
      <c r="AC1551" s="109" t="s">
        <v>432</v>
      </c>
      <c r="AD1551" s="109" t="s">
        <v>432</v>
      </c>
      <c r="AE1551" s="109" t="s">
        <v>432</v>
      </c>
      <c r="AF1551" s="109" t="s">
        <v>432</v>
      </c>
      <c r="AG1551" s="109" t="s">
        <v>432</v>
      </c>
      <c r="AH1551" s="109" t="s">
        <v>432</v>
      </c>
      <c r="AI1551" s="109" t="s">
        <v>432</v>
      </c>
      <c r="AJ1551" s="109" t="s">
        <v>432</v>
      </c>
      <c r="AK1551" s="109" t="s">
        <v>432</v>
      </c>
      <c r="AL1551" s="601" t="s">
        <v>432</v>
      </c>
      <c r="AM1551" s="109" t="s">
        <v>432</v>
      </c>
      <c r="AN1551" s="109" t="s">
        <v>432</v>
      </c>
      <c r="AO1551" s="109" t="s">
        <v>432</v>
      </c>
      <c r="AP1551" s="109" t="s">
        <v>432</v>
      </c>
      <c r="AQ1551" s="109" t="s">
        <v>432</v>
      </c>
      <c r="AR1551" s="109" t="s">
        <v>432</v>
      </c>
      <c r="AS1551" s="109" t="s">
        <v>432</v>
      </c>
      <c r="AT1551" s="109" t="s">
        <v>432</v>
      </c>
      <c r="AU1551" s="109" t="s">
        <v>432</v>
      </c>
      <c r="AV1551" s="109" t="s">
        <v>432</v>
      </c>
      <c r="AW1551" s="109" t="s">
        <v>432</v>
      </c>
      <c r="AX1551" s="109" t="s">
        <v>432</v>
      </c>
      <c r="AY1551" s="109" t="s">
        <v>432</v>
      </c>
      <c r="AZ1551" s="109" t="s">
        <v>432</v>
      </c>
      <c r="BA1551" s="109" t="s">
        <v>432</v>
      </c>
      <c r="BB1551" s="239" t="str">
        <f>B1551&amp;C1551</f>
        <v>Sistema de transporte coletivo com um todox</v>
      </c>
      <c r="BC1551" s="239" t="str">
        <f>B1551&amp;C1551&amp;H1551</f>
        <v>Sistema de transporte coletivo com um todoxsigla/verbete</v>
      </c>
      <c r="BD1551" s="239" t="str">
        <f>B1551&amp;H1551</f>
        <v>Sistema de transporte coletivo com um todosigla/verbete</v>
      </c>
      <c r="BM1551" s="1394"/>
      <c r="BN1551" s="1394"/>
      <c r="BO1551" s="1394"/>
    </row>
    <row r="1552" spans="1:67" s="373" customFormat="1" x14ac:dyDescent="0.25">
      <c r="A1552" s="383"/>
      <c r="B1552" s="384"/>
      <c r="C1552" s="384"/>
      <c r="D1552" s="719"/>
      <c r="E1552" s="1519"/>
      <c r="F1552" s="385"/>
      <c r="G1552" s="385"/>
      <c r="H1552" s="389"/>
      <c r="I1552" s="385"/>
      <c r="J1552" s="385"/>
      <c r="K1552" s="385"/>
      <c r="L1552" s="385"/>
      <c r="M1552" s="385"/>
      <c r="N1552" s="385"/>
      <c r="O1552" s="385"/>
      <c r="P1552" s="385"/>
      <c r="Q1552" s="385"/>
      <c r="R1552" s="385"/>
      <c r="S1552" s="385"/>
      <c r="T1552" s="385"/>
      <c r="U1552" s="385"/>
      <c r="V1552" s="385"/>
      <c r="W1552" s="385"/>
      <c r="X1552" s="385"/>
      <c r="Y1552" s="385"/>
      <c r="Z1552" s="385"/>
      <c r="AA1552" s="385"/>
      <c r="AB1552" s="385"/>
      <c r="AC1552" s="385"/>
      <c r="AD1552" s="385"/>
      <c r="AE1552" s="385"/>
      <c r="AF1552" s="385"/>
      <c r="AG1552" s="385"/>
      <c r="AH1552" s="385"/>
      <c r="AI1552" s="385"/>
      <c r="AJ1552" s="385"/>
      <c r="AK1552" s="385"/>
      <c r="AL1552" s="385"/>
      <c r="AM1552" s="385"/>
      <c r="AN1552" s="387"/>
      <c r="AO1552" s="387"/>
      <c r="AP1552" s="387"/>
      <c r="AQ1552" s="387"/>
      <c r="AR1552" s="387"/>
      <c r="AS1552" s="387"/>
      <c r="AT1552" s="387"/>
      <c r="AU1552" s="387"/>
      <c r="AV1552" s="387"/>
      <c r="AW1552" s="387"/>
      <c r="AX1552" s="387"/>
      <c r="AY1552" s="387"/>
      <c r="AZ1552" s="387"/>
      <c r="BA1552" s="387"/>
      <c r="BB1552" s="388"/>
      <c r="BC1552" s="388"/>
      <c r="BD1552" s="388"/>
    </row>
    <row r="1553" spans="1:56" s="1" customFormat="1" ht="129.75" customHeight="1" x14ac:dyDescent="0.25">
      <c r="A1553" s="275" t="str">
        <f>'Q100b-totais'!$B$64</f>
        <v>9.1</v>
      </c>
      <c r="B1553" s="1205" t="str">
        <f>'Q100b-totais'!$C$64</f>
        <v>Acidentes de trânsito</v>
      </c>
      <c r="C1553" s="57" t="s">
        <v>432</v>
      </c>
      <c r="D1553" s="362" t="s">
        <v>264</v>
      </c>
      <c r="E1553" s="1502" t="s">
        <v>1306</v>
      </c>
      <c r="F1553" s="355" t="s">
        <v>1734</v>
      </c>
      <c r="G1553" s="93" t="s">
        <v>77</v>
      </c>
      <c r="H1553" s="173" t="s">
        <v>432</v>
      </c>
      <c r="I1553" s="57">
        <v>1</v>
      </c>
      <c r="J1553" s="107" t="s">
        <v>432</v>
      </c>
      <c r="K1553" s="98">
        <v>374</v>
      </c>
      <c r="L1553" s="98">
        <v>481</v>
      </c>
      <c r="M1553" s="98">
        <v>551</v>
      </c>
      <c r="N1553" s="98">
        <v>446</v>
      </c>
      <c r="O1553" s="98">
        <v>508</v>
      </c>
      <c r="P1553" s="98">
        <v>418</v>
      </c>
      <c r="Q1553" s="98">
        <v>383</v>
      </c>
      <c r="R1553" s="98">
        <v>307</v>
      </c>
      <c r="S1553" s="109" t="s">
        <v>2209</v>
      </c>
      <c r="T1553" s="98">
        <v>392</v>
      </c>
      <c r="U1553" s="98">
        <v>297</v>
      </c>
      <c r="V1553" s="109" t="s">
        <v>2209</v>
      </c>
      <c r="W1553" s="98">
        <v>315</v>
      </c>
      <c r="X1553" s="98">
        <v>155</v>
      </c>
      <c r="Y1553" s="98">
        <v>238</v>
      </c>
      <c r="Z1553" s="159">
        <v>217</v>
      </c>
      <c r="AA1553" s="159">
        <v>177</v>
      </c>
      <c r="AB1553" s="159">
        <v>210</v>
      </c>
      <c r="AC1553" s="159">
        <v>227</v>
      </c>
      <c r="AD1553" s="159">
        <v>273</v>
      </c>
      <c r="AE1553" s="159">
        <v>288</v>
      </c>
      <c r="AF1553" s="159">
        <v>262</v>
      </c>
      <c r="AG1553" s="159">
        <v>217</v>
      </c>
      <c r="AH1553" s="159">
        <v>179</v>
      </c>
      <c r="AI1553" s="159">
        <v>170</v>
      </c>
      <c r="AJ1553" s="159">
        <v>177</v>
      </c>
      <c r="AK1553" s="137" t="s">
        <v>432</v>
      </c>
      <c r="AL1553" s="601" t="s">
        <v>432</v>
      </c>
      <c r="AM1553" s="137" t="s">
        <v>432</v>
      </c>
      <c r="AN1553" s="137" t="s">
        <v>432</v>
      </c>
      <c r="AO1553" s="137" t="s">
        <v>432</v>
      </c>
      <c r="AP1553" s="137" t="s">
        <v>432</v>
      </c>
      <c r="AQ1553" s="137" t="s">
        <v>432</v>
      </c>
      <c r="AR1553" s="137" t="s">
        <v>432</v>
      </c>
      <c r="AS1553" s="137" t="s">
        <v>432</v>
      </c>
      <c r="AT1553" s="137" t="s">
        <v>432</v>
      </c>
      <c r="AU1553" s="137" t="s">
        <v>432</v>
      </c>
      <c r="AV1553" s="137" t="s">
        <v>432</v>
      </c>
      <c r="AW1553" s="137" t="s">
        <v>432</v>
      </c>
      <c r="AX1553" s="137" t="s">
        <v>432</v>
      </c>
      <c r="AY1553" s="137" t="s">
        <v>432</v>
      </c>
      <c r="AZ1553" s="137" t="s">
        <v>432</v>
      </c>
      <c r="BA1553" s="137" t="s">
        <v>432</v>
      </c>
      <c r="BB1553" s="239" t="str">
        <f t="shared" ref="BB1553:BB1558" si="435">B1553&amp;C1553</f>
        <v>Acidentes de trânsitox</v>
      </c>
      <c r="BC1553" s="239" t="str">
        <f t="shared" ref="BC1553:BC1558" si="436">B1553&amp;C1553&amp;H1553</f>
        <v>Acidentes de trânsitoxx</v>
      </c>
      <c r="BD1553" s="239" t="str">
        <f t="shared" ref="BD1553:BD1558" si="437">B1553&amp;H1553</f>
        <v>Acidentes de trânsitox</v>
      </c>
    </row>
    <row r="1554" spans="1:56" s="1" customFormat="1" ht="231.75" customHeight="1" x14ac:dyDescent="0.25">
      <c r="A1554" s="275" t="str">
        <f>'Q100b-totais'!$B$64</f>
        <v>9.1</v>
      </c>
      <c r="B1554" s="1205" t="str">
        <f>'Q100b-totais'!$C$64</f>
        <v>Acidentes de trânsito</v>
      </c>
      <c r="C1554" s="57" t="s">
        <v>432</v>
      </c>
      <c r="D1554" s="362" t="s">
        <v>1882</v>
      </c>
      <c r="E1554" s="1502" t="s">
        <v>1306</v>
      </c>
      <c r="F1554" s="355" t="s">
        <v>5296</v>
      </c>
      <c r="G1554" s="58" t="s">
        <v>1883</v>
      </c>
      <c r="H1554" s="173" t="s">
        <v>765</v>
      </c>
      <c r="I1554" s="167" t="s">
        <v>432</v>
      </c>
      <c r="J1554" s="109" t="s">
        <v>432</v>
      </c>
      <c r="K1554" s="109" t="s">
        <v>432</v>
      </c>
      <c r="L1554" s="109" t="s">
        <v>432</v>
      </c>
      <c r="M1554" s="109" t="s">
        <v>432</v>
      </c>
      <c r="N1554" s="109" t="s">
        <v>432</v>
      </c>
      <c r="O1554" s="109" t="s">
        <v>432</v>
      </c>
      <c r="P1554" s="109" t="s">
        <v>432</v>
      </c>
      <c r="Q1554" s="109" t="s">
        <v>432</v>
      </c>
      <c r="R1554" s="109" t="s">
        <v>432</v>
      </c>
      <c r="S1554" s="109" t="s">
        <v>2209</v>
      </c>
      <c r="T1554" s="109" t="s">
        <v>432</v>
      </c>
      <c r="U1554" s="109" t="s">
        <v>432</v>
      </c>
      <c r="V1554" s="109" t="s">
        <v>2209</v>
      </c>
      <c r="W1554" s="109" t="s">
        <v>432</v>
      </c>
      <c r="X1554" s="109" t="s">
        <v>432</v>
      </c>
      <c r="Y1554" s="109" t="s">
        <v>432</v>
      </c>
      <c r="Z1554" s="109" t="s">
        <v>432</v>
      </c>
      <c r="AA1554" s="109" t="s">
        <v>432</v>
      </c>
      <c r="AB1554" s="109" t="s">
        <v>432</v>
      </c>
      <c r="AC1554" s="109" t="s">
        <v>432</v>
      </c>
      <c r="AD1554" s="109" t="s">
        <v>432</v>
      </c>
      <c r="AE1554" s="109" t="s">
        <v>432</v>
      </c>
      <c r="AF1554" s="109" t="s">
        <v>432</v>
      </c>
      <c r="AG1554" s="302">
        <f>AF1553-(AF1553*0.05)</f>
        <v>248.9</v>
      </c>
      <c r="AH1554" s="302">
        <f>AG1554-(AF1553*0.05)</f>
        <v>235.8</v>
      </c>
      <c r="AI1554" s="302">
        <f>AH1554-(AF1553*0.05)</f>
        <v>222.70000000000002</v>
      </c>
      <c r="AJ1554" s="302">
        <f>AI1554-(AF1553*0.05)</f>
        <v>209.60000000000002</v>
      </c>
      <c r="AK1554" s="302">
        <f>AJ1554-(AF1553*0.05)</f>
        <v>196.50000000000003</v>
      </c>
      <c r="AL1554" s="601" t="s">
        <v>432</v>
      </c>
      <c r="AM1554" s="302">
        <f>AK1554-(AF1553*0.05)</f>
        <v>183.40000000000003</v>
      </c>
      <c r="AN1554" s="302">
        <f>AM1554-(AF1553*0.05)</f>
        <v>170.30000000000004</v>
      </c>
      <c r="AO1554" s="302">
        <f>AN1554-(AF1553*0.05)</f>
        <v>157.20000000000005</v>
      </c>
      <c r="AP1554" s="302">
        <f>AO1554-(AF1553*0.05)</f>
        <v>144.10000000000005</v>
      </c>
      <c r="AQ1554" s="302">
        <f>AP1554-(AF1553*0.05)</f>
        <v>131.00000000000006</v>
      </c>
      <c r="AR1554" s="302"/>
      <c r="AS1554" s="302"/>
      <c r="AT1554" s="302"/>
      <c r="AU1554" s="302"/>
      <c r="AV1554" s="302">
        <f>AQ1554-(AQ1554*0.05*5)</f>
        <v>98.250000000000043</v>
      </c>
      <c r="AW1554" s="137" t="s">
        <v>432</v>
      </c>
      <c r="AX1554" s="137" t="s">
        <v>432</v>
      </c>
      <c r="AY1554" s="137" t="s">
        <v>432</v>
      </c>
      <c r="AZ1554" s="137" t="s">
        <v>432</v>
      </c>
      <c r="BA1554" s="302">
        <f>AV1554-(AQ1554*0.05*5)</f>
        <v>65.500000000000028</v>
      </c>
      <c r="BB1554" s="239" t="str">
        <f t="shared" si="435"/>
        <v>Acidentes de trânsitox</v>
      </c>
      <c r="BC1554" s="239" t="str">
        <f t="shared" si="436"/>
        <v>Acidentes de trânsitoxmeta/RPI</v>
      </c>
      <c r="BD1554" s="239" t="str">
        <f t="shared" si="437"/>
        <v>Acidentes de trânsitometa/RPI</v>
      </c>
    </row>
    <row r="1555" spans="1:56" s="1" customFormat="1" ht="81.75" customHeight="1" x14ac:dyDescent="0.25">
      <c r="A1555" s="275" t="str">
        <f>'Q100b-totais'!$B$64</f>
        <v>9.1</v>
      </c>
      <c r="B1555" s="1205" t="str">
        <f>'Q100b-totais'!$C$64</f>
        <v>Acidentes de trânsito</v>
      </c>
      <c r="C1555" s="57" t="s">
        <v>432</v>
      </c>
      <c r="D1555" s="378" t="s">
        <v>265</v>
      </c>
      <c r="E1555" s="1502" t="s">
        <v>1306</v>
      </c>
      <c r="F1555" s="286" t="s">
        <v>1732</v>
      </c>
      <c r="G1555" s="58" t="s">
        <v>777</v>
      </c>
      <c r="H1555" s="173" t="s">
        <v>432</v>
      </c>
      <c r="I1555" s="57">
        <v>1</v>
      </c>
      <c r="J1555" s="107" t="s">
        <v>432</v>
      </c>
      <c r="K1555" s="64">
        <f t="shared" ref="K1555:R1555" si="438">(K1553/K814)*10000</f>
        <v>7.7948333177019835</v>
      </c>
      <c r="L1555" s="64">
        <f t="shared" si="438"/>
        <v>9.8129821060985343</v>
      </c>
      <c r="M1555" s="64">
        <f t="shared" si="438"/>
        <v>10.826529910499376</v>
      </c>
      <c r="N1555" s="64">
        <f t="shared" si="438"/>
        <v>8.3073495829561494</v>
      </c>
      <c r="O1555" s="64">
        <f t="shared" si="438"/>
        <v>8.9309102672065066</v>
      </c>
      <c r="P1555" s="64">
        <f t="shared" si="438"/>
        <v>6.9806745536042323</v>
      </c>
      <c r="Q1555" s="64">
        <f t="shared" si="438"/>
        <v>6.2585994463672341</v>
      </c>
      <c r="R1555" s="64">
        <f t="shared" si="438"/>
        <v>4.9205893808231647</v>
      </c>
      <c r="S1555" s="109" t="s">
        <v>2209</v>
      </c>
      <c r="T1555" s="64">
        <f>(T1553/T814)*10000</f>
        <v>5.982659444742052</v>
      </c>
      <c r="U1555" s="64">
        <f>(U1553/U814)*10000</f>
        <v>4.3694012449115602</v>
      </c>
      <c r="V1555" s="109" t="s">
        <v>2209</v>
      </c>
      <c r="W1555" s="64">
        <f t="shared" ref="W1555:AJ1555" si="439">(W1553/W814)*10000</f>
        <v>4.3879505484938184</v>
      </c>
      <c r="X1555" s="64">
        <f t="shared" si="439"/>
        <v>2.0626486271409958</v>
      </c>
      <c r="Y1555" s="64">
        <f t="shared" si="439"/>
        <v>3.0105584585940695</v>
      </c>
      <c r="Z1555" s="64">
        <f t="shared" si="439"/>
        <v>2.6406961702604068</v>
      </c>
      <c r="AA1555" s="64">
        <f t="shared" si="439"/>
        <v>2.0511822110353601</v>
      </c>
      <c r="AB1555" s="64">
        <f t="shared" si="439"/>
        <v>2.2549439646424787</v>
      </c>
      <c r="AC1555" s="64">
        <f t="shared" si="439"/>
        <v>2.224476096681415</v>
      </c>
      <c r="AD1555" s="64">
        <f t="shared" si="439"/>
        <v>2.4655478076944961</v>
      </c>
      <c r="AE1555" s="64">
        <f t="shared" si="439"/>
        <v>2.3604138920192606</v>
      </c>
      <c r="AF1555" s="64">
        <f t="shared" si="439"/>
        <v>1.9664045044172802</v>
      </c>
      <c r="AG1555" s="64">
        <f t="shared" si="439"/>
        <v>1.5176257898472933</v>
      </c>
      <c r="AH1555" s="64">
        <f t="shared" si="439"/>
        <v>1.1875263295816789</v>
      </c>
      <c r="AI1555" s="64">
        <f t="shared" si="439"/>
        <v>1.0755239224990114</v>
      </c>
      <c r="AJ1555" s="64">
        <f t="shared" si="439"/>
        <v>1.0844159623579002</v>
      </c>
      <c r="AK1555" s="137" t="s">
        <v>432</v>
      </c>
      <c r="AL1555" s="601" t="s">
        <v>432</v>
      </c>
      <c r="AM1555" s="137" t="s">
        <v>432</v>
      </c>
      <c r="AN1555" s="137" t="s">
        <v>432</v>
      </c>
      <c r="AO1555" s="137" t="s">
        <v>432</v>
      </c>
      <c r="AP1555" s="137" t="s">
        <v>432</v>
      </c>
      <c r="AQ1555" s="137" t="s">
        <v>432</v>
      </c>
      <c r="AR1555" s="137" t="s">
        <v>432</v>
      </c>
      <c r="AS1555" s="137" t="s">
        <v>432</v>
      </c>
      <c r="AT1555" s="137" t="s">
        <v>432</v>
      </c>
      <c r="AU1555" s="137" t="s">
        <v>432</v>
      </c>
      <c r="AV1555" s="137" t="s">
        <v>432</v>
      </c>
      <c r="AW1555" s="137" t="s">
        <v>432</v>
      </c>
      <c r="AX1555" s="137" t="s">
        <v>432</v>
      </c>
      <c r="AY1555" s="137" t="s">
        <v>432</v>
      </c>
      <c r="AZ1555" s="137" t="s">
        <v>432</v>
      </c>
      <c r="BA1555" s="137" t="s">
        <v>432</v>
      </c>
      <c r="BB1555" s="239" t="str">
        <f t="shared" si="435"/>
        <v>Acidentes de trânsitox</v>
      </c>
      <c r="BC1555" s="239" t="str">
        <f t="shared" si="436"/>
        <v>Acidentes de trânsitoxx</v>
      </c>
      <c r="BD1555" s="239" t="str">
        <f t="shared" si="437"/>
        <v>Acidentes de trânsitox</v>
      </c>
    </row>
    <row r="1556" spans="1:56" s="1" customFormat="1" ht="147.75" customHeight="1" x14ac:dyDescent="0.25">
      <c r="A1556" s="275" t="str">
        <f>'Q100b-totais'!$B$64</f>
        <v>9.1</v>
      </c>
      <c r="B1556" s="1205" t="str">
        <f>'Q100b-totais'!$C$64</f>
        <v>Acidentes de trânsito</v>
      </c>
      <c r="C1556" s="57" t="s">
        <v>432</v>
      </c>
      <c r="D1556" s="378" t="s">
        <v>771</v>
      </c>
      <c r="E1556" s="1502" t="s">
        <v>1306</v>
      </c>
      <c r="F1556" s="286" t="s">
        <v>6101</v>
      </c>
      <c r="G1556" s="58" t="s">
        <v>778</v>
      </c>
      <c r="H1556" s="173" t="s">
        <v>432</v>
      </c>
      <c r="I1556" s="57">
        <v>1</v>
      </c>
      <c r="J1556" s="107" t="s">
        <v>432</v>
      </c>
      <c r="K1556" s="64">
        <f t="shared" ref="K1556:R1556" si="440">(K1553/K1855)*100000</f>
        <v>18.513375914097935</v>
      </c>
      <c r="L1556" s="64">
        <f t="shared" si="440"/>
        <v>23.715118807321808</v>
      </c>
      <c r="M1556" s="64">
        <f t="shared" si="440"/>
        <v>27.058150469834583</v>
      </c>
      <c r="N1556" s="64">
        <f t="shared" si="440"/>
        <v>21.814624602592321</v>
      </c>
      <c r="O1556" s="64">
        <f t="shared" si="440"/>
        <v>24.748158259600384</v>
      </c>
      <c r="P1556" s="64">
        <f t="shared" si="440"/>
        <v>19.986153134096568</v>
      </c>
      <c r="Q1556" s="64">
        <f t="shared" si="440"/>
        <v>18.239710755333569</v>
      </c>
      <c r="R1556" s="64">
        <f t="shared" si="440"/>
        <v>14.562095955199974</v>
      </c>
      <c r="S1556" s="109" t="s">
        <v>2209</v>
      </c>
      <c r="T1556" s="64">
        <f>(T1553/T1855)*100000</f>
        <v>18.519865863257248</v>
      </c>
      <c r="U1556" s="64">
        <f>(U1553/U1855)*100000</f>
        <v>13.267659165004114</v>
      </c>
      <c r="V1556" s="109" t="s">
        <v>2209</v>
      </c>
      <c r="W1556" s="64">
        <f t="shared" ref="W1556:AJ1556" si="441">(W1553/W1855)*100000</f>
        <v>13.946525920393229</v>
      </c>
      <c r="X1556" s="64">
        <f t="shared" si="441"/>
        <v>6.784949493711447</v>
      </c>
      <c r="Y1556" s="64">
        <f t="shared" si="441"/>
        <v>10.321743489928927</v>
      </c>
      <c r="Z1556" s="64">
        <f t="shared" si="441"/>
        <v>9.231826914731954</v>
      </c>
      <c r="AA1556" s="64">
        <f t="shared" si="441"/>
        <v>7.4515993363445663</v>
      </c>
      <c r="AB1556" s="64">
        <f t="shared" si="441"/>
        <v>8.750291676389212</v>
      </c>
      <c r="AC1556" s="64">
        <f t="shared" si="441"/>
        <v>9.4076223291366503</v>
      </c>
      <c r="AD1556" s="64">
        <f t="shared" si="441"/>
        <v>11.213147559271547</v>
      </c>
      <c r="AE1556" s="64">
        <f t="shared" si="441"/>
        <v>11.74255907057645</v>
      </c>
      <c r="AF1556" s="64">
        <f t="shared" si="441"/>
        <v>11.03087761578106</v>
      </c>
      <c r="AG1556" s="64">
        <f t="shared" si="441"/>
        <v>9.0960916148287243</v>
      </c>
      <c r="AH1556" s="64">
        <f t="shared" si="441"/>
        <v>7.4714550763111047</v>
      </c>
      <c r="AI1556" s="64">
        <f t="shared" si="441"/>
        <v>6.8571474669898933</v>
      </c>
      <c r="AJ1556" s="64">
        <f t="shared" si="441"/>
        <v>7.1052691793092952</v>
      </c>
      <c r="AK1556" s="137" t="s">
        <v>432</v>
      </c>
      <c r="AL1556" s="601" t="s">
        <v>432</v>
      </c>
      <c r="AM1556" s="137" t="s">
        <v>432</v>
      </c>
      <c r="AN1556" s="137" t="s">
        <v>432</v>
      </c>
      <c r="AO1556" s="137" t="s">
        <v>432</v>
      </c>
      <c r="AP1556" s="137" t="s">
        <v>432</v>
      </c>
      <c r="AQ1556" s="137" t="s">
        <v>432</v>
      </c>
      <c r="AR1556" s="137" t="s">
        <v>432</v>
      </c>
      <c r="AS1556" s="137" t="s">
        <v>432</v>
      </c>
      <c r="AT1556" s="137" t="s">
        <v>432</v>
      </c>
      <c r="AU1556" s="137" t="s">
        <v>432</v>
      </c>
      <c r="AV1556" s="137" t="s">
        <v>432</v>
      </c>
      <c r="AW1556" s="137" t="s">
        <v>432</v>
      </c>
      <c r="AX1556" s="137" t="s">
        <v>432</v>
      </c>
      <c r="AY1556" s="137" t="s">
        <v>432</v>
      </c>
      <c r="AZ1556" s="137" t="s">
        <v>432</v>
      </c>
      <c r="BA1556" s="137" t="s">
        <v>432</v>
      </c>
      <c r="BB1556" s="239" t="str">
        <f t="shared" si="435"/>
        <v>Acidentes de trânsitox</v>
      </c>
      <c r="BC1556" s="239" t="str">
        <f t="shared" si="436"/>
        <v>Acidentes de trânsitoxx</v>
      </c>
      <c r="BD1556" s="239" t="str">
        <f t="shared" si="437"/>
        <v>Acidentes de trânsitox</v>
      </c>
    </row>
    <row r="1557" spans="1:56" s="1" customFormat="1" ht="104.25" customHeight="1" x14ac:dyDescent="0.25">
      <c r="A1557" s="275" t="str">
        <f>'Q100b-totais'!$B$64</f>
        <v>9.1</v>
      </c>
      <c r="B1557" s="1205" t="str">
        <f>'Q100b-totais'!$C$64</f>
        <v>Acidentes de trânsito</v>
      </c>
      <c r="C1557" s="57" t="s">
        <v>432</v>
      </c>
      <c r="D1557" s="378" t="s">
        <v>770</v>
      </c>
      <c r="E1557" s="1502" t="s">
        <v>1306</v>
      </c>
      <c r="F1557" s="286" t="s">
        <v>5143</v>
      </c>
      <c r="G1557" s="110" t="s">
        <v>768</v>
      </c>
      <c r="H1557" s="167" t="s">
        <v>765</v>
      </c>
      <c r="I1557" s="167" t="s">
        <v>432</v>
      </c>
      <c r="J1557" s="107" t="s">
        <v>432</v>
      </c>
      <c r="K1557" s="107" t="s">
        <v>432</v>
      </c>
      <c r="L1557" s="107" t="s">
        <v>432</v>
      </c>
      <c r="M1557" s="107" t="s">
        <v>432</v>
      </c>
      <c r="N1557" s="107" t="s">
        <v>432</v>
      </c>
      <c r="O1557" s="107" t="s">
        <v>432</v>
      </c>
      <c r="P1557" s="107" t="s">
        <v>432</v>
      </c>
      <c r="Q1557" s="107" t="s">
        <v>432</v>
      </c>
      <c r="R1557" s="107" t="s">
        <v>432</v>
      </c>
      <c r="S1557" s="109" t="s">
        <v>2209</v>
      </c>
      <c r="T1557" s="107" t="s">
        <v>432</v>
      </c>
      <c r="U1557" s="107" t="s">
        <v>432</v>
      </c>
      <c r="V1557" s="109" t="s">
        <v>2209</v>
      </c>
      <c r="W1557" s="107" t="s">
        <v>432</v>
      </c>
      <c r="X1557" s="107" t="s">
        <v>432</v>
      </c>
      <c r="Y1557" s="107" t="s">
        <v>432</v>
      </c>
      <c r="Z1557" s="107" t="s">
        <v>432</v>
      </c>
      <c r="AA1557" s="107" t="s">
        <v>432</v>
      </c>
      <c r="AB1557" s="107" t="s">
        <v>432</v>
      </c>
      <c r="AC1557" s="107" t="s">
        <v>432</v>
      </c>
      <c r="AD1557" s="107" t="s">
        <v>432</v>
      </c>
      <c r="AE1557" s="107" t="s">
        <v>432</v>
      </c>
      <c r="AF1557" s="107" t="s">
        <v>432</v>
      </c>
      <c r="AG1557" s="107" t="s">
        <v>432</v>
      </c>
      <c r="AH1557" s="107" t="s">
        <v>432</v>
      </c>
      <c r="AI1557" s="107" t="s">
        <v>432</v>
      </c>
      <c r="AJ1557" s="174" t="s">
        <v>1204</v>
      </c>
      <c r="AK1557" s="137" t="s">
        <v>432</v>
      </c>
      <c r="AL1557" s="601" t="s">
        <v>432</v>
      </c>
      <c r="AM1557" s="84" t="s">
        <v>1046</v>
      </c>
      <c r="AN1557" s="137" t="s">
        <v>432</v>
      </c>
      <c r="AO1557" s="137" t="s">
        <v>432</v>
      </c>
      <c r="AP1557" s="137" t="s">
        <v>432</v>
      </c>
      <c r="AQ1557" s="93" t="s">
        <v>1205</v>
      </c>
      <c r="AR1557" s="137" t="s">
        <v>432</v>
      </c>
      <c r="AS1557" s="137" t="s">
        <v>432</v>
      </c>
      <c r="AT1557" s="137" t="s">
        <v>432</v>
      </c>
      <c r="AU1557" s="137" t="s">
        <v>432</v>
      </c>
      <c r="AV1557" s="137" t="s">
        <v>432</v>
      </c>
      <c r="AW1557" s="137" t="s">
        <v>432</v>
      </c>
      <c r="AX1557" s="137" t="s">
        <v>432</v>
      </c>
      <c r="AY1557" s="137" t="s">
        <v>432</v>
      </c>
      <c r="AZ1557" s="137" t="s">
        <v>432</v>
      </c>
      <c r="BA1557" s="84" t="s">
        <v>1697</v>
      </c>
      <c r="BB1557" s="239" t="str">
        <f t="shared" si="435"/>
        <v>Acidentes de trânsitox</v>
      </c>
      <c r="BC1557" s="239" t="str">
        <f t="shared" si="436"/>
        <v>Acidentes de trânsitoxmeta/RPI</v>
      </c>
      <c r="BD1557" s="239" t="str">
        <f t="shared" si="437"/>
        <v>Acidentes de trânsitometa/RPI</v>
      </c>
    </row>
    <row r="1558" spans="1:56" s="1" customFormat="1" ht="38.25" x14ac:dyDescent="0.25">
      <c r="A1558" s="275" t="str">
        <f>'Q100b-totais'!$B$64</f>
        <v>9.1</v>
      </c>
      <c r="B1558" s="1205" t="str">
        <f>'Q100b-totais'!$C$64</f>
        <v>Acidentes de trânsito</v>
      </c>
      <c r="C1558" s="57" t="s">
        <v>432</v>
      </c>
      <c r="D1558" s="378" t="s">
        <v>266</v>
      </c>
      <c r="E1558" s="1502" t="s">
        <v>1306</v>
      </c>
      <c r="F1558" s="286" t="s">
        <v>1733</v>
      </c>
      <c r="G1558" s="58" t="s">
        <v>779</v>
      </c>
      <c r="H1558" s="173" t="s">
        <v>432</v>
      </c>
      <c r="I1558" s="57">
        <v>1</v>
      </c>
      <c r="J1558" s="107" t="s">
        <v>432</v>
      </c>
      <c r="K1558" s="64">
        <f t="shared" ref="K1558:R1558" si="442">(K1553/K277)*1000</f>
        <v>10.985460420032309</v>
      </c>
      <c r="L1558" s="64">
        <f t="shared" si="442"/>
        <v>12.209981215413515</v>
      </c>
      <c r="M1558" s="64">
        <f t="shared" si="442"/>
        <v>12.815443656239097</v>
      </c>
      <c r="N1558" s="64">
        <f t="shared" si="442"/>
        <v>11.680590838854988</v>
      </c>
      <c r="O1558" s="64">
        <f t="shared" si="442"/>
        <v>13.178716891068047</v>
      </c>
      <c r="P1558" s="64">
        <f t="shared" si="442"/>
        <v>16.73271686481726</v>
      </c>
      <c r="Q1558" s="64">
        <f t="shared" si="442"/>
        <v>34.337457414380488</v>
      </c>
      <c r="R1558" s="64">
        <f t="shared" si="442"/>
        <v>27.543513368024406</v>
      </c>
      <c r="S1558" s="109" t="s">
        <v>2209</v>
      </c>
      <c r="T1558" s="64">
        <f>(T1553/T277)*1000</f>
        <v>34.131475838049631</v>
      </c>
      <c r="U1558" s="64">
        <f>(U1553/U277)*1000</f>
        <v>25.884608680495031</v>
      </c>
      <c r="V1558" s="109" t="s">
        <v>2209</v>
      </c>
      <c r="W1558" s="64">
        <f t="shared" ref="W1558:AJ1558" si="443">(W1553/W277)*1000</f>
        <v>28.86994775914215</v>
      </c>
      <c r="X1558" s="64">
        <f t="shared" si="443"/>
        <v>15.923566878980891</v>
      </c>
      <c r="Y1558" s="64">
        <f t="shared" si="443"/>
        <v>20.018504499957945</v>
      </c>
      <c r="Z1558" s="64">
        <f t="shared" si="443"/>
        <v>16.599097376271704</v>
      </c>
      <c r="AA1558" s="64">
        <f t="shared" si="443"/>
        <v>13.020450198617038</v>
      </c>
      <c r="AB1558" s="64">
        <f t="shared" si="443"/>
        <v>15.219597043049719</v>
      </c>
      <c r="AC1558" s="64">
        <f t="shared" si="443"/>
        <v>15.142418784604097</v>
      </c>
      <c r="AD1558" s="64">
        <f t="shared" si="443"/>
        <v>17.367517017621985</v>
      </c>
      <c r="AE1558" s="64">
        <f t="shared" si="443"/>
        <v>17.585638395310497</v>
      </c>
      <c r="AF1558" s="64">
        <f t="shared" si="443"/>
        <v>15.574842468196408</v>
      </c>
      <c r="AG1558" s="64">
        <f t="shared" si="443"/>
        <v>13.317785687983307</v>
      </c>
      <c r="AH1558" s="64">
        <f t="shared" si="443"/>
        <v>11.730013106159895</v>
      </c>
      <c r="AI1558" s="64">
        <f t="shared" si="443"/>
        <v>12.018381053375752</v>
      </c>
      <c r="AJ1558" s="64">
        <f t="shared" si="443"/>
        <v>11.827597728032075</v>
      </c>
      <c r="AK1558" s="137" t="s">
        <v>432</v>
      </c>
      <c r="AL1558" s="601" t="s">
        <v>432</v>
      </c>
      <c r="AM1558" s="137" t="s">
        <v>432</v>
      </c>
      <c r="AN1558" s="137" t="s">
        <v>432</v>
      </c>
      <c r="AO1558" s="137" t="s">
        <v>432</v>
      </c>
      <c r="AP1558" s="137" t="s">
        <v>432</v>
      </c>
      <c r="AQ1558" s="137" t="s">
        <v>432</v>
      </c>
      <c r="AR1558" s="137" t="s">
        <v>432</v>
      </c>
      <c r="AS1558" s="137" t="s">
        <v>432</v>
      </c>
      <c r="AT1558" s="137" t="s">
        <v>432</v>
      </c>
      <c r="AU1558" s="137" t="s">
        <v>432</v>
      </c>
      <c r="AV1558" s="137" t="s">
        <v>432</v>
      </c>
      <c r="AW1558" s="137" t="s">
        <v>432</v>
      </c>
      <c r="AX1558" s="137" t="s">
        <v>432</v>
      </c>
      <c r="AY1558" s="137" t="s">
        <v>432</v>
      </c>
      <c r="AZ1558" s="137" t="s">
        <v>432</v>
      </c>
      <c r="BA1558" s="137" t="s">
        <v>432</v>
      </c>
      <c r="BB1558" s="239" t="str">
        <f t="shared" si="435"/>
        <v>Acidentes de trânsitox</v>
      </c>
      <c r="BC1558" s="239" t="str">
        <f t="shared" si="436"/>
        <v>Acidentes de trânsitoxx</v>
      </c>
      <c r="BD1558" s="239" t="str">
        <f t="shared" si="437"/>
        <v>Acidentes de trânsitox</v>
      </c>
    </row>
    <row r="1559" spans="1:56" s="373" customFormat="1" x14ac:dyDescent="0.25">
      <c r="A1559" s="383"/>
      <c r="B1559" s="384"/>
      <c r="C1559" s="384"/>
      <c r="D1559" s="719"/>
      <c r="E1559" s="1519"/>
      <c r="F1559" s="494"/>
      <c r="G1559" s="494"/>
      <c r="H1559" s="494"/>
      <c r="I1559" s="494"/>
      <c r="J1559" s="494"/>
      <c r="K1559" s="494"/>
      <c r="L1559" s="494"/>
      <c r="M1559" s="494"/>
      <c r="N1559" s="494"/>
      <c r="O1559" s="494"/>
      <c r="P1559" s="494"/>
      <c r="Q1559" s="494"/>
      <c r="R1559" s="494"/>
      <c r="S1559" s="494"/>
      <c r="T1559" s="494"/>
      <c r="U1559" s="494"/>
      <c r="V1559" s="494"/>
      <c r="W1559" s="494"/>
      <c r="X1559" s="494"/>
      <c r="Y1559" s="494"/>
      <c r="Z1559" s="494"/>
      <c r="AA1559" s="494"/>
      <c r="AB1559" s="494"/>
      <c r="AC1559" s="494"/>
      <c r="AD1559" s="494"/>
      <c r="AE1559" s="494"/>
      <c r="AF1559" s="494"/>
      <c r="AG1559" s="494"/>
      <c r="AH1559" s="494"/>
      <c r="AI1559" s="494"/>
      <c r="AJ1559" s="494"/>
      <c r="AK1559" s="494"/>
      <c r="AL1559" s="494"/>
      <c r="AM1559" s="494"/>
      <c r="AN1559" s="494"/>
      <c r="AO1559" s="494"/>
      <c r="AP1559" s="494"/>
      <c r="AQ1559" s="494"/>
      <c r="AR1559" s="494"/>
      <c r="AS1559" s="494"/>
      <c r="AT1559" s="494"/>
      <c r="AU1559" s="494"/>
      <c r="AV1559" s="387"/>
      <c r="AW1559" s="387"/>
      <c r="AX1559" s="387"/>
      <c r="AY1559" s="387"/>
      <c r="AZ1559" s="387"/>
      <c r="BA1559" s="387"/>
      <c r="BB1559" s="388"/>
      <c r="BC1559" s="388"/>
      <c r="BD1559" s="388"/>
    </row>
    <row r="1560" spans="1:56" s="373" customFormat="1" ht="249" customHeight="1" x14ac:dyDescent="0.25">
      <c r="A1560" s="275" t="str">
        <f>'Q100b-totais'!$B$64</f>
        <v>9.1</v>
      </c>
      <c r="B1560" s="1205" t="str">
        <f>'Q100b-totais'!$C$64</f>
        <v>Acidentes de trânsito</v>
      </c>
      <c r="C1560" s="57" t="s">
        <v>432</v>
      </c>
      <c r="D1560" s="715" t="s">
        <v>1708</v>
      </c>
      <c r="E1560" s="1502" t="s">
        <v>1306</v>
      </c>
      <c r="F1560" s="355" t="s">
        <v>1884</v>
      </c>
      <c r="G1560" s="110" t="s">
        <v>77</v>
      </c>
      <c r="H1560" s="455" t="s">
        <v>432</v>
      </c>
      <c r="I1560" s="455">
        <v>1</v>
      </c>
      <c r="J1560" s="107" t="s">
        <v>432</v>
      </c>
      <c r="K1560" s="107" t="s">
        <v>432</v>
      </c>
      <c r="L1560" s="107" t="s">
        <v>432</v>
      </c>
      <c r="M1560" s="107" t="s">
        <v>432</v>
      </c>
      <c r="N1560" s="107" t="s">
        <v>432</v>
      </c>
      <c r="O1560" s="107" t="s">
        <v>432</v>
      </c>
      <c r="P1560" s="107" t="s">
        <v>432</v>
      </c>
      <c r="Q1560" s="107" t="s">
        <v>432</v>
      </c>
      <c r="R1560" s="107" t="s">
        <v>432</v>
      </c>
      <c r="S1560" s="109" t="s">
        <v>2209</v>
      </c>
      <c r="T1560" s="107" t="s">
        <v>432</v>
      </c>
      <c r="U1560" s="94">
        <v>381</v>
      </c>
      <c r="V1560" s="109" t="s">
        <v>2209</v>
      </c>
      <c r="W1560" s="94">
        <v>417</v>
      </c>
      <c r="X1560" s="94">
        <v>382</v>
      </c>
      <c r="Y1560" s="94">
        <v>393</v>
      </c>
      <c r="Z1560" s="94">
        <v>410</v>
      </c>
      <c r="AA1560" s="94">
        <v>400</v>
      </c>
      <c r="AB1560" s="94">
        <v>491</v>
      </c>
      <c r="AC1560" s="94">
        <v>451</v>
      </c>
      <c r="AD1560" s="107" t="s">
        <v>432</v>
      </c>
      <c r="AE1560" s="107" t="s">
        <v>432</v>
      </c>
      <c r="AF1560" s="107" t="s">
        <v>432</v>
      </c>
      <c r="AG1560" s="107" t="s">
        <v>432</v>
      </c>
      <c r="AH1560" s="94">
        <v>539</v>
      </c>
      <c r="AI1560" s="107" t="s">
        <v>432</v>
      </c>
      <c r="AJ1560" s="107" t="s">
        <v>432</v>
      </c>
      <c r="AK1560" s="107" t="s">
        <v>432</v>
      </c>
      <c r="AL1560" s="601" t="s">
        <v>432</v>
      </c>
      <c r="AM1560" s="107" t="s">
        <v>432</v>
      </c>
      <c r="AN1560" s="107" t="s">
        <v>432</v>
      </c>
      <c r="AO1560" s="107" t="s">
        <v>432</v>
      </c>
      <c r="AP1560" s="107" t="s">
        <v>432</v>
      </c>
      <c r="AQ1560" s="107" t="s">
        <v>432</v>
      </c>
      <c r="AR1560" s="107" t="s">
        <v>432</v>
      </c>
      <c r="AS1560" s="107" t="s">
        <v>432</v>
      </c>
      <c r="AT1560" s="107" t="s">
        <v>432</v>
      </c>
      <c r="AU1560" s="107" t="s">
        <v>432</v>
      </c>
      <c r="AV1560" s="107" t="s">
        <v>432</v>
      </c>
      <c r="AW1560" s="107" t="s">
        <v>432</v>
      </c>
      <c r="AX1560" s="107" t="s">
        <v>432</v>
      </c>
      <c r="AY1560" s="107" t="s">
        <v>432</v>
      </c>
      <c r="AZ1560" s="107" t="s">
        <v>432</v>
      </c>
      <c r="BA1560" s="107" t="s">
        <v>432</v>
      </c>
      <c r="BB1560" s="239" t="str">
        <f t="shared" ref="BB1560:BB1570" si="444">B1560&amp;C1560</f>
        <v>Acidentes de trânsitox</v>
      </c>
      <c r="BC1560" s="239" t="str">
        <f t="shared" ref="BC1560:BC1570" si="445">B1560&amp;C1560&amp;H1560</f>
        <v>Acidentes de trânsitoxx</v>
      </c>
      <c r="BD1560" s="239" t="str">
        <f t="shared" ref="BD1560:BD1570" si="446">B1560&amp;H1560</f>
        <v>Acidentes de trânsitox</v>
      </c>
    </row>
    <row r="1561" spans="1:56" s="373" customFormat="1" ht="141.75" customHeight="1" x14ac:dyDescent="0.25">
      <c r="A1561" s="275" t="str">
        <f>'Q100b-totais'!$B$64</f>
        <v>9.1</v>
      </c>
      <c r="B1561" s="1205" t="str">
        <f>'Q100b-totais'!$C$64</f>
        <v>Acidentes de trânsito</v>
      </c>
      <c r="C1561" s="57" t="s">
        <v>432</v>
      </c>
      <c r="D1561" s="714" t="s">
        <v>3728</v>
      </c>
      <c r="E1561" s="254" t="s">
        <v>1306</v>
      </c>
      <c r="F1561" s="252" t="s">
        <v>6104</v>
      </c>
      <c r="G1561" s="111" t="s">
        <v>1707</v>
      </c>
      <c r="H1561" s="455" t="s">
        <v>432</v>
      </c>
      <c r="I1561" s="455">
        <v>1</v>
      </c>
      <c r="J1561" s="107" t="s">
        <v>432</v>
      </c>
      <c r="K1561" s="107" t="s">
        <v>432</v>
      </c>
      <c r="L1561" s="107" t="s">
        <v>432</v>
      </c>
      <c r="M1561" s="107" t="s">
        <v>432</v>
      </c>
      <c r="N1561" s="107" t="s">
        <v>432</v>
      </c>
      <c r="O1561" s="107" t="s">
        <v>432</v>
      </c>
      <c r="P1561" s="107" t="s">
        <v>432</v>
      </c>
      <c r="Q1561" s="107" t="s">
        <v>432</v>
      </c>
      <c r="R1561" s="107" t="s">
        <v>432</v>
      </c>
      <c r="S1561" s="109" t="s">
        <v>2209</v>
      </c>
      <c r="T1561" s="107" t="s">
        <v>432</v>
      </c>
      <c r="U1561" s="314">
        <f>(U1560/U1855)*100000</f>
        <v>17.020128423793157</v>
      </c>
      <c r="V1561" s="109" t="s">
        <v>2209</v>
      </c>
      <c r="W1561" s="314">
        <f t="shared" ref="W1561:AC1561" si="447">(W1560/W1855)*100000</f>
        <v>18.462543837472943</v>
      </c>
      <c r="X1561" s="314">
        <f t="shared" si="447"/>
        <v>16.721617461921113</v>
      </c>
      <c r="Y1561" s="314">
        <f t="shared" si="447"/>
        <v>17.043887359420456</v>
      </c>
      <c r="Z1561" s="314">
        <f t="shared" si="447"/>
        <v>17.442622281290788</v>
      </c>
      <c r="AA1561" s="314">
        <f t="shared" si="447"/>
        <v>16.839772511513143</v>
      </c>
      <c r="AB1561" s="314">
        <f t="shared" si="447"/>
        <v>20.459015300510018</v>
      </c>
      <c r="AC1561" s="314">
        <f t="shared" si="447"/>
        <v>18.690914847756076</v>
      </c>
      <c r="AD1561" s="107" t="s">
        <v>432</v>
      </c>
      <c r="AE1561" s="107" t="s">
        <v>432</v>
      </c>
      <c r="AF1561" s="107" t="s">
        <v>432</v>
      </c>
      <c r="AG1561" s="107" t="s">
        <v>432</v>
      </c>
      <c r="AH1561" s="314">
        <f>(AH1560/AH1855)*100000</f>
        <v>22.49784517392003</v>
      </c>
      <c r="AI1561" s="107" t="s">
        <v>432</v>
      </c>
      <c r="AJ1561" s="107" t="s">
        <v>432</v>
      </c>
      <c r="AK1561" s="107" t="s">
        <v>432</v>
      </c>
      <c r="AL1561" s="601" t="s">
        <v>432</v>
      </c>
      <c r="AM1561" s="107" t="s">
        <v>432</v>
      </c>
      <c r="AN1561" s="107" t="s">
        <v>432</v>
      </c>
      <c r="AO1561" s="107" t="s">
        <v>432</v>
      </c>
      <c r="AP1561" s="107" t="s">
        <v>432</v>
      </c>
      <c r="AQ1561" s="107" t="s">
        <v>432</v>
      </c>
      <c r="AR1561" s="107" t="s">
        <v>432</v>
      </c>
      <c r="AS1561" s="107" t="s">
        <v>432</v>
      </c>
      <c r="AT1561" s="107" t="s">
        <v>432</v>
      </c>
      <c r="AU1561" s="107" t="s">
        <v>432</v>
      </c>
      <c r="AV1561" s="107" t="s">
        <v>432</v>
      </c>
      <c r="AW1561" s="107" t="s">
        <v>432</v>
      </c>
      <c r="AX1561" s="107" t="s">
        <v>432</v>
      </c>
      <c r="AY1561" s="107" t="s">
        <v>432</v>
      </c>
      <c r="AZ1561" s="107" t="s">
        <v>432</v>
      </c>
      <c r="BA1561" s="107" t="s">
        <v>432</v>
      </c>
      <c r="BB1561" s="239" t="str">
        <f t="shared" si="444"/>
        <v>Acidentes de trânsitox</v>
      </c>
      <c r="BC1561" s="239" t="str">
        <f t="shared" si="445"/>
        <v>Acidentes de trânsitoxx</v>
      </c>
      <c r="BD1561" s="239" t="str">
        <f t="shared" si="446"/>
        <v>Acidentes de trânsitox</v>
      </c>
    </row>
    <row r="1562" spans="1:56" s="373" customFormat="1" ht="78" customHeight="1" x14ac:dyDescent="0.25">
      <c r="A1562" s="275" t="str">
        <f>'Q100b-totais'!$B$64</f>
        <v>9.1</v>
      </c>
      <c r="B1562" s="1205" t="str">
        <f>'Q100b-totais'!$C$64</f>
        <v>Acidentes de trânsito</v>
      </c>
      <c r="C1562" s="57" t="s">
        <v>432</v>
      </c>
      <c r="D1562" s="714" t="s">
        <v>1710</v>
      </c>
      <c r="E1562" s="1498" t="s">
        <v>1700</v>
      </c>
      <c r="F1562" s="252" t="s">
        <v>1719</v>
      </c>
      <c r="G1562" s="110" t="s">
        <v>77</v>
      </c>
      <c r="H1562" s="173" t="s">
        <v>819</v>
      </c>
      <c r="I1562" s="167" t="s">
        <v>432</v>
      </c>
      <c r="J1562" s="107" t="s">
        <v>432</v>
      </c>
      <c r="K1562" s="107" t="s">
        <v>432</v>
      </c>
      <c r="L1562" s="107" t="s">
        <v>432</v>
      </c>
      <c r="M1562" s="107" t="s">
        <v>432</v>
      </c>
      <c r="N1562" s="107" t="s">
        <v>432</v>
      </c>
      <c r="O1562" s="107" t="s">
        <v>432</v>
      </c>
      <c r="P1562" s="107" t="s">
        <v>432</v>
      </c>
      <c r="Q1562" s="107" t="s">
        <v>432</v>
      </c>
      <c r="R1562" s="107" t="s">
        <v>432</v>
      </c>
      <c r="S1562" s="109" t="s">
        <v>2209</v>
      </c>
      <c r="T1562" s="107" t="s">
        <v>432</v>
      </c>
      <c r="U1562" s="107" t="s">
        <v>432</v>
      </c>
      <c r="V1562" s="109" t="s">
        <v>2209</v>
      </c>
      <c r="W1562" s="107" t="s">
        <v>432</v>
      </c>
      <c r="X1562" s="107" t="s">
        <v>432</v>
      </c>
      <c r="Y1562" s="107" t="s">
        <v>432</v>
      </c>
      <c r="Z1562" s="107" t="s">
        <v>432</v>
      </c>
      <c r="AA1562" s="107" t="s">
        <v>432</v>
      </c>
      <c r="AB1562" s="107" t="s">
        <v>432</v>
      </c>
      <c r="AC1562" s="107" t="s">
        <v>432</v>
      </c>
      <c r="AD1562" s="107" t="s">
        <v>432</v>
      </c>
      <c r="AE1562" s="107" t="s">
        <v>432</v>
      </c>
      <c r="AF1562" s="107" t="s">
        <v>432</v>
      </c>
      <c r="AG1562" s="107" t="s">
        <v>432</v>
      </c>
      <c r="AH1562" s="366">
        <v>20.9</v>
      </c>
      <c r="AI1562" s="107" t="s">
        <v>432</v>
      </c>
      <c r="AJ1562" s="107" t="s">
        <v>432</v>
      </c>
      <c r="AK1562" s="107" t="s">
        <v>432</v>
      </c>
      <c r="AL1562" s="601" t="s">
        <v>432</v>
      </c>
      <c r="AM1562" s="107" t="s">
        <v>432</v>
      </c>
      <c r="AN1562" s="107" t="s">
        <v>432</v>
      </c>
      <c r="AO1562" s="107" t="s">
        <v>432</v>
      </c>
      <c r="AP1562" s="107" t="s">
        <v>432</v>
      </c>
      <c r="AQ1562" s="107" t="s">
        <v>432</v>
      </c>
      <c r="AR1562" s="107" t="s">
        <v>432</v>
      </c>
      <c r="AS1562" s="107" t="s">
        <v>432</v>
      </c>
      <c r="AT1562" s="107" t="s">
        <v>432</v>
      </c>
      <c r="AU1562" s="107" t="s">
        <v>432</v>
      </c>
      <c r="AV1562" s="107" t="s">
        <v>432</v>
      </c>
      <c r="AW1562" s="107" t="s">
        <v>432</v>
      </c>
      <c r="AX1562" s="107" t="s">
        <v>432</v>
      </c>
      <c r="AY1562" s="107" t="s">
        <v>432</v>
      </c>
      <c r="AZ1562" s="107" t="s">
        <v>432</v>
      </c>
      <c r="BA1562" s="107" t="s">
        <v>432</v>
      </c>
      <c r="BB1562" s="239" t="str">
        <f t="shared" si="444"/>
        <v>Acidentes de trânsitox</v>
      </c>
      <c r="BC1562" s="239" t="str">
        <f t="shared" si="445"/>
        <v>Acidentes de trânsitoxbenchmarking</v>
      </c>
      <c r="BD1562" s="239" t="str">
        <f t="shared" si="446"/>
        <v>Acidentes de trânsitobenchmarking</v>
      </c>
    </row>
    <row r="1563" spans="1:56" s="373" customFormat="1" ht="72.75" customHeight="1" x14ac:dyDescent="0.25">
      <c r="A1563" s="275" t="str">
        <f>'Q100b-totais'!$B$64</f>
        <v>9.1</v>
      </c>
      <c r="B1563" s="1205" t="str">
        <f>'Q100b-totais'!$C$64</f>
        <v>Acidentes de trânsito</v>
      </c>
      <c r="C1563" s="57" t="s">
        <v>432</v>
      </c>
      <c r="D1563" s="714" t="s">
        <v>1711</v>
      </c>
      <c r="E1563" s="1498" t="s">
        <v>1266</v>
      </c>
      <c r="F1563" s="252" t="s">
        <v>1720</v>
      </c>
      <c r="G1563" s="110" t="s">
        <v>77</v>
      </c>
      <c r="H1563" s="173" t="s">
        <v>819</v>
      </c>
      <c r="I1563" s="167" t="s">
        <v>432</v>
      </c>
      <c r="J1563" s="107" t="s">
        <v>432</v>
      </c>
      <c r="K1563" s="107" t="s">
        <v>432</v>
      </c>
      <c r="L1563" s="107" t="s">
        <v>432</v>
      </c>
      <c r="M1563" s="107" t="s">
        <v>432</v>
      </c>
      <c r="N1563" s="107" t="s">
        <v>432</v>
      </c>
      <c r="O1563" s="107" t="s">
        <v>432</v>
      </c>
      <c r="P1563" s="107" t="s">
        <v>432</v>
      </c>
      <c r="Q1563" s="107" t="s">
        <v>432</v>
      </c>
      <c r="R1563" s="107" t="s">
        <v>432</v>
      </c>
      <c r="S1563" s="109" t="s">
        <v>2209</v>
      </c>
      <c r="T1563" s="107" t="s">
        <v>432</v>
      </c>
      <c r="U1563" s="107" t="s">
        <v>432</v>
      </c>
      <c r="V1563" s="109" t="s">
        <v>2209</v>
      </c>
      <c r="W1563" s="107" t="s">
        <v>432</v>
      </c>
      <c r="X1563" s="107" t="s">
        <v>432</v>
      </c>
      <c r="Y1563" s="107" t="s">
        <v>432</v>
      </c>
      <c r="Z1563" s="107" t="s">
        <v>432</v>
      </c>
      <c r="AA1563" s="107" t="s">
        <v>432</v>
      </c>
      <c r="AB1563" s="107" t="s">
        <v>432</v>
      </c>
      <c r="AC1563" s="107" t="s">
        <v>432</v>
      </c>
      <c r="AD1563" s="107" t="s">
        <v>432</v>
      </c>
      <c r="AE1563" s="107" t="s">
        <v>432</v>
      </c>
      <c r="AF1563" s="107" t="s">
        <v>432</v>
      </c>
      <c r="AG1563" s="107" t="s">
        <v>432</v>
      </c>
      <c r="AH1563" s="366">
        <v>20</v>
      </c>
      <c r="AI1563" s="107" t="s">
        <v>432</v>
      </c>
      <c r="AJ1563" s="107" t="s">
        <v>432</v>
      </c>
      <c r="AK1563" s="107" t="s">
        <v>432</v>
      </c>
      <c r="AL1563" s="601" t="s">
        <v>432</v>
      </c>
      <c r="AM1563" s="107" t="s">
        <v>432</v>
      </c>
      <c r="AN1563" s="107" t="s">
        <v>432</v>
      </c>
      <c r="AO1563" s="107" t="s">
        <v>432</v>
      </c>
      <c r="AP1563" s="107" t="s">
        <v>432</v>
      </c>
      <c r="AQ1563" s="107" t="s">
        <v>432</v>
      </c>
      <c r="AR1563" s="107" t="s">
        <v>432</v>
      </c>
      <c r="AS1563" s="107" t="s">
        <v>432</v>
      </c>
      <c r="AT1563" s="107" t="s">
        <v>432</v>
      </c>
      <c r="AU1563" s="107" t="s">
        <v>432</v>
      </c>
      <c r="AV1563" s="107" t="s">
        <v>432</v>
      </c>
      <c r="AW1563" s="107" t="s">
        <v>432</v>
      </c>
      <c r="AX1563" s="107" t="s">
        <v>432</v>
      </c>
      <c r="AY1563" s="107" t="s">
        <v>432</v>
      </c>
      <c r="AZ1563" s="107" t="s">
        <v>432</v>
      </c>
      <c r="BA1563" s="107" t="s">
        <v>432</v>
      </c>
      <c r="BB1563" s="239" t="str">
        <f t="shared" si="444"/>
        <v>Acidentes de trânsitox</v>
      </c>
      <c r="BC1563" s="239" t="str">
        <f t="shared" si="445"/>
        <v>Acidentes de trânsitoxbenchmarking</v>
      </c>
      <c r="BD1563" s="239" t="str">
        <f t="shared" si="446"/>
        <v>Acidentes de trânsitobenchmarking</v>
      </c>
    </row>
    <row r="1564" spans="1:56" s="373" customFormat="1" ht="70.5" customHeight="1" x14ac:dyDescent="0.25">
      <c r="A1564" s="275" t="str">
        <f>'Q100b-totais'!$B$64</f>
        <v>9.1</v>
      </c>
      <c r="B1564" s="1205" t="str">
        <f>'Q100b-totais'!$C$64</f>
        <v>Acidentes de trânsito</v>
      </c>
      <c r="C1564" s="57" t="s">
        <v>432</v>
      </c>
      <c r="D1564" s="714" t="s">
        <v>1712</v>
      </c>
      <c r="E1564" s="1498" t="s">
        <v>1701</v>
      </c>
      <c r="F1564" s="252" t="s">
        <v>1721</v>
      </c>
      <c r="G1564" s="110" t="s">
        <v>77</v>
      </c>
      <c r="H1564" s="173" t="s">
        <v>819</v>
      </c>
      <c r="I1564" s="167" t="s">
        <v>432</v>
      </c>
      <c r="J1564" s="107" t="s">
        <v>432</v>
      </c>
      <c r="K1564" s="107" t="s">
        <v>432</v>
      </c>
      <c r="L1564" s="107" t="s">
        <v>432</v>
      </c>
      <c r="M1564" s="107" t="s">
        <v>432</v>
      </c>
      <c r="N1564" s="107" t="s">
        <v>432</v>
      </c>
      <c r="O1564" s="107" t="s">
        <v>432</v>
      </c>
      <c r="P1564" s="107" t="s">
        <v>432</v>
      </c>
      <c r="Q1564" s="107" t="s">
        <v>432</v>
      </c>
      <c r="R1564" s="107" t="s">
        <v>432</v>
      </c>
      <c r="S1564" s="109" t="s">
        <v>2209</v>
      </c>
      <c r="T1564" s="107" t="s">
        <v>432</v>
      </c>
      <c r="U1564" s="107" t="s">
        <v>432</v>
      </c>
      <c r="V1564" s="109" t="s">
        <v>2209</v>
      </c>
      <c r="W1564" s="107" t="s">
        <v>432</v>
      </c>
      <c r="X1564" s="107" t="s">
        <v>432</v>
      </c>
      <c r="Y1564" s="107" t="s">
        <v>432</v>
      </c>
      <c r="Z1564" s="107" t="s">
        <v>432</v>
      </c>
      <c r="AA1564" s="107" t="s">
        <v>432</v>
      </c>
      <c r="AB1564" s="107" t="s">
        <v>432</v>
      </c>
      <c r="AC1564" s="107" t="s">
        <v>432</v>
      </c>
      <c r="AD1564" s="107" t="s">
        <v>432</v>
      </c>
      <c r="AE1564" s="107" t="s">
        <v>432</v>
      </c>
      <c r="AF1564" s="107" t="s">
        <v>432</v>
      </c>
      <c r="AG1564" s="107" t="s">
        <v>432</v>
      </c>
      <c r="AH1564" s="366">
        <v>27.1</v>
      </c>
      <c r="AI1564" s="107" t="s">
        <v>432</v>
      </c>
      <c r="AJ1564" s="107" t="s">
        <v>432</v>
      </c>
      <c r="AK1564" s="107" t="s">
        <v>432</v>
      </c>
      <c r="AL1564" s="601" t="s">
        <v>432</v>
      </c>
      <c r="AM1564" s="107" t="s">
        <v>432</v>
      </c>
      <c r="AN1564" s="107" t="s">
        <v>432</v>
      </c>
      <c r="AO1564" s="107" t="s">
        <v>432</v>
      </c>
      <c r="AP1564" s="107" t="s">
        <v>432</v>
      </c>
      <c r="AQ1564" s="107" t="s">
        <v>432</v>
      </c>
      <c r="AR1564" s="107" t="s">
        <v>432</v>
      </c>
      <c r="AS1564" s="107" t="s">
        <v>432</v>
      </c>
      <c r="AT1564" s="107" t="s">
        <v>432</v>
      </c>
      <c r="AU1564" s="107" t="s">
        <v>432</v>
      </c>
      <c r="AV1564" s="107" t="s">
        <v>432</v>
      </c>
      <c r="AW1564" s="107" t="s">
        <v>432</v>
      </c>
      <c r="AX1564" s="107" t="s">
        <v>432</v>
      </c>
      <c r="AY1564" s="107" t="s">
        <v>432</v>
      </c>
      <c r="AZ1564" s="107" t="s">
        <v>432</v>
      </c>
      <c r="BA1564" s="107" t="s">
        <v>432</v>
      </c>
      <c r="BB1564" s="239" t="str">
        <f t="shared" si="444"/>
        <v>Acidentes de trânsitox</v>
      </c>
      <c r="BC1564" s="239" t="str">
        <f t="shared" si="445"/>
        <v>Acidentes de trânsitoxbenchmarking</v>
      </c>
      <c r="BD1564" s="239" t="str">
        <f t="shared" si="446"/>
        <v>Acidentes de trânsitobenchmarking</v>
      </c>
    </row>
    <row r="1565" spans="1:56" s="373" customFormat="1" ht="63" x14ac:dyDescent="0.25">
      <c r="A1565" s="275" t="str">
        <f>'Q100b-totais'!$B$64</f>
        <v>9.1</v>
      </c>
      <c r="B1565" s="1205" t="str">
        <f>'Q100b-totais'!$C$64</f>
        <v>Acidentes de trânsito</v>
      </c>
      <c r="C1565" s="57" t="s">
        <v>432</v>
      </c>
      <c r="D1565" s="714" t="s">
        <v>1713</v>
      </c>
      <c r="E1565" s="1498" t="s">
        <v>1702</v>
      </c>
      <c r="F1565" s="252" t="s">
        <v>1722</v>
      </c>
      <c r="G1565" s="110" t="s">
        <v>77</v>
      </c>
      <c r="H1565" s="173" t="s">
        <v>819</v>
      </c>
      <c r="I1565" s="167" t="s">
        <v>432</v>
      </c>
      <c r="J1565" s="107" t="s">
        <v>432</v>
      </c>
      <c r="K1565" s="107" t="s">
        <v>432</v>
      </c>
      <c r="L1565" s="107" t="s">
        <v>432</v>
      </c>
      <c r="M1565" s="107" t="s">
        <v>432</v>
      </c>
      <c r="N1565" s="107" t="s">
        <v>432</v>
      </c>
      <c r="O1565" s="107" t="s">
        <v>432</v>
      </c>
      <c r="P1565" s="107" t="s">
        <v>432</v>
      </c>
      <c r="Q1565" s="107" t="s">
        <v>432</v>
      </c>
      <c r="R1565" s="107" t="s">
        <v>432</v>
      </c>
      <c r="S1565" s="109" t="s">
        <v>2209</v>
      </c>
      <c r="T1565" s="107" t="s">
        <v>432</v>
      </c>
      <c r="U1565" s="107" t="s">
        <v>432</v>
      </c>
      <c r="V1565" s="109" t="s">
        <v>2209</v>
      </c>
      <c r="W1565" s="107" t="s">
        <v>432</v>
      </c>
      <c r="X1565" s="107" t="s">
        <v>432</v>
      </c>
      <c r="Y1565" s="107" t="s">
        <v>432</v>
      </c>
      <c r="Z1565" s="107" t="s">
        <v>432</v>
      </c>
      <c r="AA1565" s="107" t="s">
        <v>432</v>
      </c>
      <c r="AB1565" s="107" t="s">
        <v>432</v>
      </c>
      <c r="AC1565" s="107" t="s">
        <v>432</v>
      </c>
      <c r="AD1565" s="107" t="s">
        <v>432</v>
      </c>
      <c r="AE1565" s="107" t="s">
        <v>432</v>
      </c>
      <c r="AF1565" s="107" t="s">
        <v>432</v>
      </c>
      <c r="AG1565" s="107" t="s">
        <v>432</v>
      </c>
      <c r="AH1565" s="366">
        <v>17.2</v>
      </c>
      <c r="AI1565" s="107" t="s">
        <v>432</v>
      </c>
      <c r="AJ1565" s="107" t="s">
        <v>432</v>
      </c>
      <c r="AK1565" s="107" t="s">
        <v>432</v>
      </c>
      <c r="AL1565" s="601" t="s">
        <v>432</v>
      </c>
      <c r="AM1565" s="107" t="s">
        <v>432</v>
      </c>
      <c r="AN1565" s="107" t="s">
        <v>432</v>
      </c>
      <c r="AO1565" s="107" t="s">
        <v>432</v>
      </c>
      <c r="AP1565" s="107" t="s">
        <v>432</v>
      </c>
      <c r="AQ1565" s="107" t="s">
        <v>432</v>
      </c>
      <c r="AR1565" s="107" t="s">
        <v>432</v>
      </c>
      <c r="AS1565" s="107" t="s">
        <v>432</v>
      </c>
      <c r="AT1565" s="107" t="s">
        <v>432</v>
      </c>
      <c r="AU1565" s="107" t="s">
        <v>432</v>
      </c>
      <c r="AV1565" s="107" t="s">
        <v>432</v>
      </c>
      <c r="AW1565" s="107" t="s">
        <v>432</v>
      </c>
      <c r="AX1565" s="107" t="s">
        <v>432</v>
      </c>
      <c r="AY1565" s="107" t="s">
        <v>432</v>
      </c>
      <c r="AZ1565" s="107" t="s">
        <v>432</v>
      </c>
      <c r="BA1565" s="107" t="s">
        <v>432</v>
      </c>
      <c r="BB1565" s="239" t="str">
        <f t="shared" si="444"/>
        <v>Acidentes de trânsitox</v>
      </c>
      <c r="BC1565" s="239" t="str">
        <f t="shared" si="445"/>
        <v>Acidentes de trânsitoxbenchmarking</v>
      </c>
      <c r="BD1565" s="239" t="str">
        <f t="shared" si="446"/>
        <v>Acidentes de trânsitobenchmarking</v>
      </c>
    </row>
    <row r="1566" spans="1:56" s="373" customFormat="1" ht="72.75" customHeight="1" x14ac:dyDescent="0.25">
      <c r="A1566" s="275" t="str">
        <f>'Q100b-totais'!$B$64</f>
        <v>9.1</v>
      </c>
      <c r="B1566" s="1205" t="str">
        <f>'Q100b-totais'!$C$64</f>
        <v>Acidentes de trânsito</v>
      </c>
      <c r="C1566" s="57" t="s">
        <v>432</v>
      </c>
      <c r="D1566" s="714" t="s">
        <v>1714</v>
      </c>
      <c r="E1566" s="1498" t="s">
        <v>1703</v>
      </c>
      <c r="F1566" s="252" t="s">
        <v>1723</v>
      </c>
      <c r="G1566" s="110" t="s">
        <v>77</v>
      </c>
      <c r="H1566" s="173" t="s">
        <v>819</v>
      </c>
      <c r="I1566" s="167" t="s">
        <v>432</v>
      </c>
      <c r="J1566" s="107" t="s">
        <v>432</v>
      </c>
      <c r="K1566" s="107" t="s">
        <v>432</v>
      </c>
      <c r="L1566" s="107" t="s">
        <v>432</v>
      </c>
      <c r="M1566" s="107" t="s">
        <v>432</v>
      </c>
      <c r="N1566" s="107" t="s">
        <v>432</v>
      </c>
      <c r="O1566" s="107" t="s">
        <v>432</v>
      </c>
      <c r="P1566" s="107" t="s">
        <v>432</v>
      </c>
      <c r="Q1566" s="107" t="s">
        <v>432</v>
      </c>
      <c r="R1566" s="107" t="s">
        <v>432</v>
      </c>
      <c r="S1566" s="109" t="s">
        <v>2209</v>
      </c>
      <c r="T1566" s="107" t="s">
        <v>432</v>
      </c>
      <c r="U1566" s="107" t="s">
        <v>432</v>
      </c>
      <c r="V1566" s="109" t="s">
        <v>2209</v>
      </c>
      <c r="W1566" s="107" t="s">
        <v>432</v>
      </c>
      <c r="X1566" s="107" t="s">
        <v>432</v>
      </c>
      <c r="Y1566" s="107" t="s">
        <v>432</v>
      </c>
      <c r="Z1566" s="107" t="s">
        <v>432</v>
      </c>
      <c r="AA1566" s="107" t="s">
        <v>432</v>
      </c>
      <c r="AB1566" s="107" t="s">
        <v>432</v>
      </c>
      <c r="AC1566" s="107" t="s">
        <v>432</v>
      </c>
      <c r="AD1566" s="107" t="s">
        <v>432</v>
      </c>
      <c r="AE1566" s="107" t="s">
        <v>432</v>
      </c>
      <c r="AF1566" s="107" t="s">
        <v>432</v>
      </c>
      <c r="AG1566" s="107" t="s">
        <v>432</v>
      </c>
      <c r="AH1566" s="366">
        <v>11.7</v>
      </c>
      <c r="AI1566" s="107" t="s">
        <v>432</v>
      </c>
      <c r="AJ1566" s="107" t="s">
        <v>432</v>
      </c>
      <c r="AK1566" s="107" t="s">
        <v>432</v>
      </c>
      <c r="AL1566" s="601" t="s">
        <v>432</v>
      </c>
      <c r="AM1566" s="107" t="s">
        <v>432</v>
      </c>
      <c r="AN1566" s="107" t="s">
        <v>432</v>
      </c>
      <c r="AO1566" s="107" t="s">
        <v>432</v>
      </c>
      <c r="AP1566" s="107" t="s">
        <v>432</v>
      </c>
      <c r="AQ1566" s="107" t="s">
        <v>432</v>
      </c>
      <c r="AR1566" s="107" t="s">
        <v>432</v>
      </c>
      <c r="AS1566" s="107" t="s">
        <v>432</v>
      </c>
      <c r="AT1566" s="107" t="s">
        <v>432</v>
      </c>
      <c r="AU1566" s="107" t="s">
        <v>432</v>
      </c>
      <c r="AV1566" s="107" t="s">
        <v>432</v>
      </c>
      <c r="AW1566" s="107" t="s">
        <v>432</v>
      </c>
      <c r="AX1566" s="107" t="s">
        <v>432</v>
      </c>
      <c r="AY1566" s="107" t="s">
        <v>432</v>
      </c>
      <c r="AZ1566" s="107" t="s">
        <v>432</v>
      </c>
      <c r="BA1566" s="107" t="s">
        <v>432</v>
      </c>
      <c r="BB1566" s="239" t="str">
        <f t="shared" si="444"/>
        <v>Acidentes de trânsitox</v>
      </c>
      <c r="BC1566" s="239" t="str">
        <f t="shared" si="445"/>
        <v>Acidentes de trânsitoxbenchmarking</v>
      </c>
      <c r="BD1566" s="239" t="str">
        <f t="shared" si="446"/>
        <v>Acidentes de trânsitobenchmarking</v>
      </c>
    </row>
    <row r="1567" spans="1:56" s="373" customFormat="1" ht="73.5" customHeight="1" x14ac:dyDescent="0.25">
      <c r="A1567" s="275" t="str">
        <f>'Q100b-totais'!$B$64</f>
        <v>9.1</v>
      </c>
      <c r="B1567" s="1205" t="str">
        <f>'Q100b-totais'!$C$64</f>
        <v>Acidentes de trânsito</v>
      </c>
      <c r="C1567" s="57" t="s">
        <v>432</v>
      </c>
      <c r="D1567" s="714" t="s">
        <v>1715</v>
      </c>
      <c r="E1567" s="1498" t="s">
        <v>1704</v>
      </c>
      <c r="F1567" s="252" t="s">
        <v>1724</v>
      </c>
      <c r="G1567" s="110" t="s">
        <v>77</v>
      </c>
      <c r="H1567" s="173" t="s">
        <v>819</v>
      </c>
      <c r="I1567" s="167" t="s">
        <v>432</v>
      </c>
      <c r="J1567" s="107" t="s">
        <v>432</v>
      </c>
      <c r="K1567" s="107" t="s">
        <v>432</v>
      </c>
      <c r="L1567" s="107" t="s">
        <v>432</v>
      </c>
      <c r="M1567" s="107" t="s">
        <v>432</v>
      </c>
      <c r="N1567" s="107" t="s">
        <v>432</v>
      </c>
      <c r="O1567" s="107" t="s">
        <v>432</v>
      </c>
      <c r="P1567" s="107" t="s">
        <v>432</v>
      </c>
      <c r="Q1567" s="107" t="s">
        <v>432</v>
      </c>
      <c r="R1567" s="107" t="s">
        <v>432</v>
      </c>
      <c r="S1567" s="109" t="s">
        <v>2209</v>
      </c>
      <c r="T1567" s="107" t="s">
        <v>432</v>
      </c>
      <c r="U1567" s="107" t="s">
        <v>432</v>
      </c>
      <c r="V1567" s="109" t="s">
        <v>2209</v>
      </c>
      <c r="W1567" s="107" t="s">
        <v>432</v>
      </c>
      <c r="X1567" s="107" t="s">
        <v>432</v>
      </c>
      <c r="Y1567" s="107" t="s">
        <v>432</v>
      </c>
      <c r="Z1567" s="107" t="s">
        <v>432</v>
      </c>
      <c r="AA1567" s="107" t="s">
        <v>432</v>
      </c>
      <c r="AB1567" s="107" t="s">
        <v>432</v>
      </c>
      <c r="AC1567" s="107" t="s">
        <v>432</v>
      </c>
      <c r="AD1567" s="107" t="s">
        <v>432</v>
      </c>
      <c r="AE1567" s="107" t="s">
        <v>432</v>
      </c>
      <c r="AF1567" s="107" t="s">
        <v>432</v>
      </c>
      <c r="AG1567" s="107" t="s">
        <v>432</v>
      </c>
      <c r="AH1567" s="366">
        <v>34.700000000000003</v>
      </c>
      <c r="AI1567" s="107" t="s">
        <v>432</v>
      </c>
      <c r="AJ1567" s="107" t="s">
        <v>432</v>
      </c>
      <c r="AK1567" s="107" t="s">
        <v>432</v>
      </c>
      <c r="AL1567" s="601" t="s">
        <v>432</v>
      </c>
      <c r="AM1567" s="107" t="s">
        <v>432</v>
      </c>
      <c r="AN1567" s="107" t="s">
        <v>432</v>
      </c>
      <c r="AO1567" s="107" t="s">
        <v>432</v>
      </c>
      <c r="AP1567" s="107" t="s">
        <v>432</v>
      </c>
      <c r="AQ1567" s="107" t="s">
        <v>432</v>
      </c>
      <c r="AR1567" s="107" t="s">
        <v>432</v>
      </c>
      <c r="AS1567" s="107" t="s">
        <v>432</v>
      </c>
      <c r="AT1567" s="107" t="s">
        <v>432</v>
      </c>
      <c r="AU1567" s="107" t="s">
        <v>432</v>
      </c>
      <c r="AV1567" s="107" t="s">
        <v>432</v>
      </c>
      <c r="AW1567" s="107" t="s">
        <v>432</v>
      </c>
      <c r="AX1567" s="107" t="s">
        <v>432</v>
      </c>
      <c r="AY1567" s="107" t="s">
        <v>432</v>
      </c>
      <c r="AZ1567" s="107" t="s">
        <v>432</v>
      </c>
      <c r="BA1567" s="107" t="s">
        <v>432</v>
      </c>
      <c r="BB1567" s="239" t="str">
        <f t="shared" si="444"/>
        <v>Acidentes de trânsitox</v>
      </c>
      <c r="BC1567" s="239" t="str">
        <f t="shared" si="445"/>
        <v>Acidentes de trânsitoxbenchmarking</v>
      </c>
      <c r="BD1567" s="239" t="str">
        <f t="shared" si="446"/>
        <v>Acidentes de trânsitobenchmarking</v>
      </c>
    </row>
    <row r="1568" spans="1:56" s="373" customFormat="1" ht="71.25" customHeight="1" x14ac:dyDescent="0.25">
      <c r="A1568" s="275" t="str">
        <f>'Q100b-totais'!$B$64</f>
        <v>9.1</v>
      </c>
      <c r="B1568" s="1205" t="str">
        <f>'Q100b-totais'!$C$64</f>
        <v>Acidentes de trânsito</v>
      </c>
      <c r="C1568" s="57" t="s">
        <v>432</v>
      </c>
      <c r="D1568" s="714" t="s">
        <v>1716</v>
      </c>
      <c r="E1568" s="1498" t="s">
        <v>1283</v>
      </c>
      <c r="F1568" s="252" t="s">
        <v>1725</v>
      </c>
      <c r="G1568" s="110" t="s">
        <v>77</v>
      </c>
      <c r="H1568" s="173" t="s">
        <v>819</v>
      </c>
      <c r="I1568" s="167" t="s">
        <v>432</v>
      </c>
      <c r="J1568" s="107" t="s">
        <v>432</v>
      </c>
      <c r="K1568" s="107" t="s">
        <v>432</v>
      </c>
      <c r="L1568" s="107" t="s">
        <v>432</v>
      </c>
      <c r="M1568" s="107" t="s">
        <v>432</v>
      </c>
      <c r="N1568" s="107" t="s">
        <v>432</v>
      </c>
      <c r="O1568" s="107" t="s">
        <v>432</v>
      </c>
      <c r="P1568" s="107" t="s">
        <v>432</v>
      </c>
      <c r="Q1568" s="107" t="s">
        <v>432</v>
      </c>
      <c r="R1568" s="107" t="s">
        <v>432</v>
      </c>
      <c r="S1568" s="109" t="s">
        <v>2209</v>
      </c>
      <c r="T1568" s="107" t="s">
        <v>432</v>
      </c>
      <c r="U1568" s="107" t="s">
        <v>432</v>
      </c>
      <c r="V1568" s="109" t="s">
        <v>2209</v>
      </c>
      <c r="W1568" s="107" t="s">
        <v>432</v>
      </c>
      <c r="X1568" s="107" t="s">
        <v>432</v>
      </c>
      <c r="Y1568" s="107" t="s">
        <v>432</v>
      </c>
      <c r="Z1568" s="107" t="s">
        <v>432</v>
      </c>
      <c r="AA1568" s="107" t="s">
        <v>432</v>
      </c>
      <c r="AB1568" s="107" t="s">
        <v>432</v>
      </c>
      <c r="AC1568" s="107" t="s">
        <v>432</v>
      </c>
      <c r="AD1568" s="107" t="s">
        <v>432</v>
      </c>
      <c r="AE1568" s="107" t="s">
        <v>432</v>
      </c>
      <c r="AF1568" s="107" t="s">
        <v>432</v>
      </c>
      <c r="AG1568" s="107" t="s">
        <v>432</v>
      </c>
      <c r="AH1568" s="366">
        <v>16.600000000000001</v>
      </c>
      <c r="AI1568" s="107" t="s">
        <v>432</v>
      </c>
      <c r="AJ1568" s="107" t="s">
        <v>432</v>
      </c>
      <c r="AK1568" s="107" t="s">
        <v>432</v>
      </c>
      <c r="AL1568" s="601" t="s">
        <v>432</v>
      </c>
      <c r="AM1568" s="107" t="s">
        <v>432</v>
      </c>
      <c r="AN1568" s="107" t="s">
        <v>432</v>
      </c>
      <c r="AO1568" s="107" t="s">
        <v>432</v>
      </c>
      <c r="AP1568" s="107" t="s">
        <v>432</v>
      </c>
      <c r="AQ1568" s="107" t="s">
        <v>432</v>
      </c>
      <c r="AR1568" s="107" t="s">
        <v>432</v>
      </c>
      <c r="AS1568" s="107" t="s">
        <v>432</v>
      </c>
      <c r="AT1568" s="107" t="s">
        <v>432</v>
      </c>
      <c r="AU1568" s="107" t="s">
        <v>432</v>
      </c>
      <c r="AV1568" s="107" t="s">
        <v>432</v>
      </c>
      <c r="AW1568" s="107" t="s">
        <v>432</v>
      </c>
      <c r="AX1568" s="107" t="s">
        <v>432</v>
      </c>
      <c r="AY1568" s="107" t="s">
        <v>432</v>
      </c>
      <c r="AZ1568" s="107" t="s">
        <v>432</v>
      </c>
      <c r="BA1568" s="107" t="s">
        <v>432</v>
      </c>
      <c r="BB1568" s="239" t="str">
        <f t="shared" si="444"/>
        <v>Acidentes de trânsitox</v>
      </c>
      <c r="BC1568" s="239" t="str">
        <f t="shared" si="445"/>
        <v>Acidentes de trânsitoxbenchmarking</v>
      </c>
      <c r="BD1568" s="239" t="str">
        <f t="shared" si="446"/>
        <v>Acidentes de trânsitobenchmarking</v>
      </c>
    </row>
    <row r="1569" spans="1:56" s="373" customFormat="1" ht="69.75" customHeight="1" x14ac:dyDescent="0.25">
      <c r="A1569" s="275" t="str">
        <f>'Q100b-totais'!$B$64</f>
        <v>9.1</v>
      </c>
      <c r="B1569" s="1205" t="str">
        <f>'Q100b-totais'!$C$64</f>
        <v>Acidentes de trânsito</v>
      </c>
      <c r="C1569" s="57" t="s">
        <v>432</v>
      </c>
      <c r="D1569" s="714" t="s">
        <v>1717</v>
      </c>
      <c r="E1569" s="1498" t="s">
        <v>1284</v>
      </c>
      <c r="F1569" s="252" t="s">
        <v>1726</v>
      </c>
      <c r="G1569" s="110" t="s">
        <v>77</v>
      </c>
      <c r="H1569" s="173" t="s">
        <v>819</v>
      </c>
      <c r="I1569" s="167" t="s">
        <v>432</v>
      </c>
      <c r="J1569" s="107" t="s">
        <v>432</v>
      </c>
      <c r="K1569" s="107" t="s">
        <v>432</v>
      </c>
      <c r="L1569" s="107" t="s">
        <v>432</v>
      </c>
      <c r="M1569" s="107" t="s">
        <v>432</v>
      </c>
      <c r="N1569" s="107" t="s">
        <v>432</v>
      </c>
      <c r="O1569" s="107" t="s">
        <v>432</v>
      </c>
      <c r="P1569" s="107" t="s">
        <v>432</v>
      </c>
      <c r="Q1569" s="107" t="s">
        <v>432</v>
      </c>
      <c r="R1569" s="107" t="s">
        <v>432</v>
      </c>
      <c r="S1569" s="109" t="s">
        <v>2209</v>
      </c>
      <c r="T1569" s="107" t="s">
        <v>432</v>
      </c>
      <c r="U1569" s="107" t="s">
        <v>432</v>
      </c>
      <c r="V1569" s="109" t="s">
        <v>2209</v>
      </c>
      <c r="W1569" s="107" t="s">
        <v>432</v>
      </c>
      <c r="X1569" s="107" t="s">
        <v>432</v>
      </c>
      <c r="Y1569" s="107" t="s">
        <v>432</v>
      </c>
      <c r="Z1569" s="107" t="s">
        <v>432</v>
      </c>
      <c r="AA1569" s="107" t="s">
        <v>432</v>
      </c>
      <c r="AB1569" s="107" t="s">
        <v>432</v>
      </c>
      <c r="AC1569" s="107" t="s">
        <v>432</v>
      </c>
      <c r="AD1569" s="107" t="s">
        <v>432</v>
      </c>
      <c r="AE1569" s="107" t="s">
        <v>432</v>
      </c>
      <c r="AF1569" s="107" t="s">
        <v>432</v>
      </c>
      <c r="AG1569" s="107" t="s">
        <v>432</v>
      </c>
      <c r="AH1569" s="366">
        <v>16.5</v>
      </c>
      <c r="AI1569" s="107" t="s">
        <v>432</v>
      </c>
      <c r="AJ1569" s="107" t="s">
        <v>432</v>
      </c>
      <c r="AK1569" s="107" t="s">
        <v>432</v>
      </c>
      <c r="AL1569" s="601" t="s">
        <v>432</v>
      </c>
      <c r="AM1569" s="107" t="s">
        <v>432</v>
      </c>
      <c r="AN1569" s="107" t="s">
        <v>432</v>
      </c>
      <c r="AO1569" s="107" t="s">
        <v>432</v>
      </c>
      <c r="AP1569" s="107" t="s">
        <v>432</v>
      </c>
      <c r="AQ1569" s="107" t="s">
        <v>432</v>
      </c>
      <c r="AR1569" s="107" t="s">
        <v>432</v>
      </c>
      <c r="AS1569" s="107" t="s">
        <v>432</v>
      </c>
      <c r="AT1569" s="107" t="s">
        <v>432</v>
      </c>
      <c r="AU1569" s="107" t="s">
        <v>432</v>
      </c>
      <c r="AV1569" s="107" t="s">
        <v>432</v>
      </c>
      <c r="AW1569" s="107" t="s">
        <v>432</v>
      </c>
      <c r="AX1569" s="107" t="s">
        <v>432</v>
      </c>
      <c r="AY1569" s="107" t="s">
        <v>432</v>
      </c>
      <c r="AZ1569" s="107" t="s">
        <v>432</v>
      </c>
      <c r="BA1569" s="107" t="s">
        <v>432</v>
      </c>
      <c r="BB1569" s="239" t="str">
        <f t="shared" si="444"/>
        <v>Acidentes de trânsitox</v>
      </c>
      <c r="BC1569" s="239" t="str">
        <f t="shared" si="445"/>
        <v>Acidentes de trânsitoxbenchmarking</v>
      </c>
      <c r="BD1569" s="239" t="str">
        <f t="shared" si="446"/>
        <v>Acidentes de trânsitobenchmarking</v>
      </c>
    </row>
    <row r="1570" spans="1:56" s="373" customFormat="1" ht="73.5" customHeight="1" x14ac:dyDescent="0.25">
      <c r="A1570" s="275" t="str">
        <f>'Q100b-totais'!$B$64</f>
        <v>9.1</v>
      </c>
      <c r="B1570" s="1205" t="str">
        <f>'Q100b-totais'!$C$64</f>
        <v>Acidentes de trânsito</v>
      </c>
      <c r="C1570" s="57" t="s">
        <v>432</v>
      </c>
      <c r="D1570" s="714" t="s">
        <v>1718</v>
      </c>
      <c r="E1570" s="1498" t="s">
        <v>1705</v>
      </c>
      <c r="F1570" s="252" t="s">
        <v>1727</v>
      </c>
      <c r="G1570" s="110" t="s">
        <v>77</v>
      </c>
      <c r="H1570" s="173" t="s">
        <v>819</v>
      </c>
      <c r="I1570" s="167" t="s">
        <v>432</v>
      </c>
      <c r="J1570" s="107" t="s">
        <v>432</v>
      </c>
      <c r="K1570" s="107" t="s">
        <v>432</v>
      </c>
      <c r="L1570" s="107" t="s">
        <v>432</v>
      </c>
      <c r="M1570" s="107" t="s">
        <v>432</v>
      </c>
      <c r="N1570" s="107" t="s">
        <v>432</v>
      </c>
      <c r="O1570" s="107" t="s">
        <v>432</v>
      </c>
      <c r="P1570" s="107" t="s">
        <v>432</v>
      </c>
      <c r="Q1570" s="107" t="s">
        <v>432</v>
      </c>
      <c r="R1570" s="107" t="s">
        <v>432</v>
      </c>
      <c r="S1570" s="109" t="s">
        <v>2209</v>
      </c>
      <c r="T1570" s="107" t="s">
        <v>432</v>
      </c>
      <c r="U1570" s="107" t="s">
        <v>432</v>
      </c>
      <c r="V1570" s="109" t="s">
        <v>2209</v>
      </c>
      <c r="W1570" s="107" t="s">
        <v>432</v>
      </c>
      <c r="X1570" s="107" t="s">
        <v>432</v>
      </c>
      <c r="Y1570" s="107" t="s">
        <v>432</v>
      </c>
      <c r="Z1570" s="107" t="s">
        <v>432</v>
      </c>
      <c r="AA1570" s="107" t="s">
        <v>432</v>
      </c>
      <c r="AB1570" s="107" t="s">
        <v>432</v>
      </c>
      <c r="AC1570" s="107" t="s">
        <v>432</v>
      </c>
      <c r="AD1570" s="107" t="s">
        <v>432</v>
      </c>
      <c r="AE1570" s="107" t="s">
        <v>432</v>
      </c>
      <c r="AF1570" s="107" t="s">
        <v>432</v>
      </c>
      <c r="AG1570" s="107" t="s">
        <v>432</v>
      </c>
      <c r="AH1570" s="366">
        <v>11.8</v>
      </c>
      <c r="AI1570" s="107" t="s">
        <v>432</v>
      </c>
      <c r="AJ1570" s="107" t="s">
        <v>432</v>
      </c>
      <c r="AK1570" s="107" t="s">
        <v>432</v>
      </c>
      <c r="AL1570" s="601" t="s">
        <v>432</v>
      </c>
      <c r="AM1570" s="107" t="s">
        <v>432</v>
      </c>
      <c r="AN1570" s="107" t="s">
        <v>432</v>
      </c>
      <c r="AO1570" s="107" t="s">
        <v>432</v>
      </c>
      <c r="AP1570" s="107" t="s">
        <v>432</v>
      </c>
      <c r="AQ1570" s="107" t="s">
        <v>432</v>
      </c>
      <c r="AR1570" s="107" t="s">
        <v>432</v>
      </c>
      <c r="AS1570" s="107" t="s">
        <v>432</v>
      </c>
      <c r="AT1570" s="107" t="s">
        <v>432</v>
      </c>
      <c r="AU1570" s="107" t="s">
        <v>432</v>
      </c>
      <c r="AV1570" s="107" t="s">
        <v>432</v>
      </c>
      <c r="AW1570" s="107" t="s">
        <v>432</v>
      </c>
      <c r="AX1570" s="107" t="s">
        <v>432</v>
      </c>
      <c r="AY1570" s="107" t="s">
        <v>432</v>
      </c>
      <c r="AZ1570" s="107" t="s">
        <v>432</v>
      </c>
      <c r="BA1570" s="107" t="s">
        <v>432</v>
      </c>
      <c r="BB1570" s="239" t="str">
        <f t="shared" si="444"/>
        <v>Acidentes de trânsitox</v>
      </c>
      <c r="BC1570" s="239" t="str">
        <f t="shared" si="445"/>
        <v>Acidentes de trânsitoxbenchmarking</v>
      </c>
      <c r="BD1570" s="239" t="str">
        <f t="shared" si="446"/>
        <v>Acidentes de trânsitobenchmarking</v>
      </c>
    </row>
    <row r="1571" spans="1:56" s="373" customFormat="1" x14ac:dyDescent="0.25">
      <c r="A1571" s="383"/>
      <c r="B1571" s="384"/>
      <c r="C1571" s="384"/>
      <c r="D1571" s="719"/>
      <c r="E1571" s="1519"/>
      <c r="F1571" s="385"/>
      <c r="G1571" s="385"/>
      <c r="H1571" s="389"/>
      <c r="I1571" s="385"/>
      <c r="J1571" s="385"/>
      <c r="K1571" s="385"/>
      <c r="L1571" s="385"/>
      <c r="M1571" s="385"/>
      <c r="N1571" s="385"/>
      <c r="O1571" s="385"/>
      <c r="P1571" s="385"/>
      <c r="Q1571" s="385"/>
      <c r="R1571" s="385"/>
      <c r="S1571" s="385"/>
      <c r="T1571" s="385"/>
      <c r="U1571" s="385"/>
      <c r="V1571" s="385"/>
      <c r="W1571" s="385"/>
      <c r="X1571" s="385"/>
      <c r="Y1571" s="385"/>
      <c r="Z1571" s="385"/>
      <c r="AA1571" s="385"/>
      <c r="AB1571" s="385"/>
      <c r="AC1571" s="385"/>
      <c r="AD1571" s="385"/>
      <c r="AE1571" s="385"/>
      <c r="AF1571" s="385"/>
      <c r="AG1571" s="385"/>
      <c r="AH1571" s="385"/>
      <c r="AI1571" s="385"/>
      <c r="AJ1571" s="385"/>
      <c r="AK1571" s="385"/>
      <c r="AL1571" s="601" t="s">
        <v>432</v>
      </c>
      <c r="AM1571" s="387"/>
      <c r="AN1571" s="387"/>
      <c r="AO1571" s="387"/>
      <c r="AP1571" s="387"/>
      <c r="AQ1571" s="387"/>
      <c r="AR1571" s="387"/>
      <c r="AS1571" s="387"/>
      <c r="AT1571" s="387"/>
      <c r="AU1571" s="387"/>
      <c r="AV1571" s="387"/>
      <c r="AW1571" s="387"/>
      <c r="AX1571" s="387"/>
      <c r="AY1571" s="387"/>
      <c r="AZ1571" s="387"/>
      <c r="BA1571" s="387"/>
      <c r="BB1571" s="388"/>
      <c r="BC1571" s="388"/>
      <c r="BD1571" s="388"/>
    </row>
    <row r="1572" spans="1:56" s="1" customFormat="1" ht="69.75" customHeight="1" x14ac:dyDescent="0.25">
      <c r="A1572" s="275" t="str">
        <f>'Q100b-totais'!$B$64</f>
        <v>9.1</v>
      </c>
      <c r="B1572" s="1205" t="str">
        <f>'Q100b-totais'!$C$64</f>
        <v>Acidentes de trânsito</v>
      </c>
      <c r="C1572" s="57" t="s">
        <v>935</v>
      </c>
      <c r="D1572" s="362" t="s">
        <v>816</v>
      </c>
      <c r="E1572" s="1502" t="s">
        <v>1306</v>
      </c>
      <c r="F1572" s="355" t="s">
        <v>1737</v>
      </c>
      <c r="G1572" s="93" t="s">
        <v>77</v>
      </c>
      <c r="H1572" s="173" t="s">
        <v>432</v>
      </c>
      <c r="I1572" s="57">
        <v>1</v>
      </c>
      <c r="J1572" s="107" t="s">
        <v>432</v>
      </c>
      <c r="K1572" s="84" t="s">
        <v>432</v>
      </c>
      <c r="L1572" s="84" t="s">
        <v>432</v>
      </c>
      <c r="M1572" s="84" t="s">
        <v>432</v>
      </c>
      <c r="N1572" s="84" t="s">
        <v>432</v>
      </c>
      <c r="O1572" s="84" t="s">
        <v>432</v>
      </c>
      <c r="P1572" s="84" t="s">
        <v>432</v>
      </c>
      <c r="Q1572" s="84" t="s">
        <v>432</v>
      </c>
      <c r="R1572" s="84" t="s">
        <v>432</v>
      </c>
      <c r="S1572" s="109" t="s">
        <v>2209</v>
      </c>
      <c r="T1572" s="84" t="s">
        <v>432</v>
      </c>
      <c r="U1572" s="84" t="s">
        <v>432</v>
      </c>
      <c r="V1572" s="109" t="s">
        <v>2209</v>
      </c>
      <c r="W1572" s="84" t="s">
        <v>432</v>
      </c>
      <c r="X1572" s="84" t="s">
        <v>432</v>
      </c>
      <c r="Y1572" s="84" t="s">
        <v>432</v>
      </c>
      <c r="Z1572" s="84" t="s">
        <v>432</v>
      </c>
      <c r="AA1572" s="84" t="s">
        <v>432</v>
      </c>
      <c r="AB1572" s="84" t="s">
        <v>432</v>
      </c>
      <c r="AC1572" s="84" t="s">
        <v>432</v>
      </c>
      <c r="AD1572" s="84" t="s">
        <v>432</v>
      </c>
      <c r="AE1572" s="84" t="s">
        <v>432</v>
      </c>
      <c r="AF1572" s="84" t="s">
        <v>432</v>
      </c>
      <c r="AG1572" s="86">
        <v>338</v>
      </c>
      <c r="AH1572" s="86">
        <v>248</v>
      </c>
      <c r="AI1572" s="86">
        <v>231</v>
      </c>
      <c r="AJ1572" s="330" t="s">
        <v>772</v>
      </c>
      <c r="AK1572" s="137" t="s">
        <v>432</v>
      </c>
      <c r="AL1572" s="601" t="s">
        <v>432</v>
      </c>
      <c r="AM1572" s="137" t="s">
        <v>432</v>
      </c>
      <c r="AN1572" s="137" t="s">
        <v>432</v>
      </c>
      <c r="AO1572" s="137" t="s">
        <v>432</v>
      </c>
      <c r="AP1572" s="137" t="s">
        <v>432</v>
      </c>
      <c r="AQ1572" s="137" t="s">
        <v>432</v>
      </c>
      <c r="AR1572" s="137" t="s">
        <v>432</v>
      </c>
      <c r="AS1572" s="137" t="s">
        <v>432</v>
      </c>
      <c r="AT1572" s="137" t="s">
        <v>432</v>
      </c>
      <c r="AU1572" s="137" t="s">
        <v>432</v>
      </c>
      <c r="AV1572" s="137" t="s">
        <v>432</v>
      </c>
      <c r="AW1572" s="137" t="s">
        <v>432</v>
      </c>
      <c r="AX1572" s="137" t="s">
        <v>432</v>
      </c>
      <c r="AY1572" s="137" t="s">
        <v>432</v>
      </c>
      <c r="AZ1572" s="137" t="s">
        <v>432</v>
      </c>
      <c r="BA1572" s="137" t="s">
        <v>432</v>
      </c>
      <c r="BB1572" s="239" t="str">
        <f t="shared" ref="BB1572:BB1583" si="448">B1572&amp;C1572</f>
        <v>Acidentes de trânsitoCMMCE</v>
      </c>
      <c r="BC1572" s="239" t="str">
        <f t="shared" ref="BC1572:BC1583" si="449">B1572&amp;C1572&amp;H1572</f>
        <v>Acidentes de trânsitoCMMCEx</v>
      </c>
      <c r="BD1572" s="239" t="str">
        <f t="shared" ref="BD1572:BD1583" si="450">B1572&amp;H1572</f>
        <v>Acidentes de trânsitox</v>
      </c>
    </row>
    <row r="1573" spans="1:56" s="1" customFormat="1" ht="42.75" customHeight="1" x14ac:dyDescent="0.25">
      <c r="A1573" s="275" t="str">
        <f>'Q100b-totais'!$B$64</f>
        <v>9.1</v>
      </c>
      <c r="B1573" s="1205" t="str">
        <f>'Q100b-totais'!$C$64</f>
        <v>Acidentes de trânsito</v>
      </c>
      <c r="C1573" s="57" t="s">
        <v>935</v>
      </c>
      <c r="D1573" s="362" t="s">
        <v>817</v>
      </c>
      <c r="E1573" s="1502" t="s">
        <v>1306</v>
      </c>
      <c r="F1573" s="286" t="s">
        <v>1735</v>
      </c>
      <c r="G1573" s="58" t="s">
        <v>780</v>
      </c>
      <c r="H1573" s="173" t="s">
        <v>432</v>
      </c>
      <c r="I1573" s="57">
        <v>1</v>
      </c>
      <c r="J1573" s="107" t="s">
        <v>432</v>
      </c>
      <c r="K1573" s="84" t="s">
        <v>432</v>
      </c>
      <c r="L1573" s="84" t="s">
        <v>432</v>
      </c>
      <c r="M1573" s="84" t="s">
        <v>432</v>
      </c>
      <c r="N1573" s="84" t="s">
        <v>432</v>
      </c>
      <c r="O1573" s="84" t="s">
        <v>432</v>
      </c>
      <c r="P1573" s="84" t="s">
        <v>432</v>
      </c>
      <c r="Q1573" s="84" t="s">
        <v>432</v>
      </c>
      <c r="R1573" s="84" t="s">
        <v>432</v>
      </c>
      <c r="S1573" s="109" t="s">
        <v>2209</v>
      </c>
      <c r="T1573" s="84" t="s">
        <v>432</v>
      </c>
      <c r="U1573" s="84" t="s">
        <v>432</v>
      </c>
      <c r="V1573" s="109" t="s">
        <v>2209</v>
      </c>
      <c r="W1573" s="84" t="s">
        <v>432</v>
      </c>
      <c r="X1573" s="84" t="s">
        <v>432</v>
      </c>
      <c r="Y1573" s="84" t="s">
        <v>432</v>
      </c>
      <c r="Z1573" s="84" t="s">
        <v>432</v>
      </c>
      <c r="AA1573" s="84" t="s">
        <v>432</v>
      </c>
      <c r="AB1573" s="84" t="s">
        <v>432</v>
      </c>
      <c r="AC1573" s="84" t="s">
        <v>432</v>
      </c>
      <c r="AD1573" s="84" t="s">
        <v>432</v>
      </c>
      <c r="AE1573" s="84" t="s">
        <v>432</v>
      </c>
      <c r="AF1573" s="84" t="s">
        <v>432</v>
      </c>
      <c r="AG1573" s="64">
        <f>(AG1572/AG814)*10000</f>
        <v>2.3638595251999313</v>
      </c>
      <c r="AH1573" s="64">
        <f>(AH1572/AH814)*10000</f>
        <v>1.6452878756215441</v>
      </c>
      <c r="AI1573" s="64">
        <f>(AI1572/AI814)*10000</f>
        <v>1.4614472123368922</v>
      </c>
      <c r="AJ1573" s="328" t="s">
        <v>772</v>
      </c>
      <c r="AK1573" s="137" t="s">
        <v>432</v>
      </c>
      <c r="AL1573" s="601" t="s">
        <v>432</v>
      </c>
      <c r="AM1573" s="137" t="s">
        <v>432</v>
      </c>
      <c r="AN1573" s="137" t="s">
        <v>432</v>
      </c>
      <c r="AO1573" s="137" t="s">
        <v>432</v>
      </c>
      <c r="AP1573" s="137" t="s">
        <v>432</v>
      </c>
      <c r="AQ1573" s="137" t="s">
        <v>432</v>
      </c>
      <c r="AR1573" s="137" t="s">
        <v>432</v>
      </c>
      <c r="AS1573" s="137" t="s">
        <v>432</v>
      </c>
      <c r="AT1573" s="137" t="s">
        <v>432</v>
      </c>
      <c r="AU1573" s="137" t="s">
        <v>432</v>
      </c>
      <c r="AV1573" s="137" t="s">
        <v>432</v>
      </c>
      <c r="AW1573" s="137" t="s">
        <v>432</v>
      </c>
      <c r="AX1573" s="137" t="s">
        <v>432</v>
      </c>
      <c r="AY1573" s="137" t="s">
        <v>432</v>
      </c>
      <c r="AZ1573" s="137" t="s">
        <v>432</v>
      </c>
      <c r="BA1573" s="137" t="s">
        <v>432</v>
      </c>
      <c r="BB1573" s="239" t="str">
        <f t="shared" si="448"/>
        <v>Acidentes de trânsitoCMMCE</v>
      </c>
      <c r="BC1573" s="239" t="str">
        <f t="shared" si="449"/>
        <v>Acidentes de trânsitoCMMCEx</v>
      </c>
      <c r="BD1573" s="239" t="str">
        <f t="shared" si="450"/>
        <v>Acidentes de trânsitox</v>
      </c>
    </row>
    <row r="1574" spans="1:56" s="1" customFormat="1" ht="87" customHeight="1" x14ac:dyDescent="0.25">
      <c r="A1574" s="275" t="str">
        <f>'Q100b-totais'!$B$64</f>
        <v>9.1</v>
      </c>
      <c r="B1574" s="1205" t="str">
        <f>'Q100b-totais'!$C$64</f>
        <v>Acidentes de trânsito</v>
      </c>
      <c r="C1574" s="57" t="s">
        <v>935</v>
      </c>
      <c r="D1574" s="362" t="s">
        <v>3727</v>
      </c>
      <c r="E1574" s="1502" t="s">
        <v>1306</v>
      </c>
      <c r="F1574" s="286" t="s">
        <v>6102</v>
      </c>
      <c r="G1574" s="58" t="s">
        <v>781</v>
      </c>
      <c r="H1574" s="173" t="s">
        <v>432</v>
      </c>
      <c r="I1574" s="57">
        <v>1</v>
      </c>
      <c r="J1574" s="107" t="s">
        <v>432</v>
      </c>
      <c r="K1574" s="84" t="s">
        <v>432</v>
      </c>
      <c r="L1574" s="84" t="s">
        <v>432</v>
      </c>
      <c r="M1574" s="84" t="s">
        <v>432</v>
      </c>
      <c r="N1574" s="84" t="s">
        <v>432</v>
      </c>
      <c r="O1574" s="84" t="s">
        <v>432</v>
      </c>
      <c r="P1574" s="84" t="s">
        <v>432</v>
      </c>
      <c r="Q1574" s="84" t="s">
        <v>432</v>
      </c>
      <c r="R1574" s="84" t="s">
        <v>432</v>
      </c>
      <c r="S1574" s="109" t="s">
        <v>2209</v>
      </c>
      <c r="T1574" s="84" t="s">
        <v>432</v>
      </c>
      <c r="U1574" s="84" t="s">
        <v>432</v>
      </c>
      <c r="V1574" s="109" t="s">
        <v>2209</v>
      </c>
      <c r="W1574" s="84" t="s">
        <v>432</v>
      </c>
      <c r="X1574" s="84" t="s">
        <v>432</v>
      </c>
      <c r="Y1574" s="84" t="s">
        <v>432</v>
      </c>
      <c r="Z1574" s="84" t="s">
        <v>432</v>
      </c>
      <c r="AA1574" s="84" t="s">
        <v>432</v>
      </c>
      <c r="AB1574" s="84" t="s">
        <v>432</v>
      </c>
      <c r="AC1574" s="84" t="s">
        <v>432</v>
      </c>
      <c r="AD1574" s="84" t="s">
        <v>432</v>
      </c>
      <c r="AE1574" s="84" t="s">
        <v>432</v>
      </c>
      <c r="AF1574" s="84" t="s">
        <v>432</v>
      </c>
      <c r="AG1574" s="64">
        <f>(AG1572/AG1855)*100000</f>
        <v>14.168105833235526</v>
      </c>
      <c r="AH1574" s="64">
        <f>(AH1572/AH1855)*100000</f>
        <v>10.351513178352816</v>
      </c>
      <c r="AI1574" s="64">
        <f>(AI1572/AI1855)*100000</f>
        <v>9.3176533227921503</v>
      </c>
      <c r="AJ1574" s="328" t="s">
        <v>772</v>
      </c>
      <c r="AK1574" s="137" t="s">
        <v>432</v>
      </c>
      <c r="AL1574" s="601" t="s">
        <v>432</v>
      </c>
      <c r="AM1574" s="137" t="s">
        <v>432</v>
      </c>
      <c r="AN1574" s="137" t="s">
        <v>432</v>
      </c>
      <c r="AO1574" s="137" t="s">
        <v>432</v>
      </c>
      <c r="AP1574" s="137" t="s">
        <v>432</v>
      </c>
      <c r="AQ1574" s="137" t="s">
        <v>432</v>
      </c>
      <c r="AR1574" s="137" t="s">
        <v>432</v>
      </c>
      <c r="AS1574" s="137" t="s">
        <v>432</v>
      </c>
      <c r="AT1574" s="137" t="s">
        <v>432</v>
      </c>
      <c r="AU1574" s="137" t="s">
        <v>432</v>
      </c>
      <c r="AV1574" s="137" t="s">
        <v>432</v>
      </c>
      <c r="AW1574" s="137" t="s">
        <v>432</v>
      </c>
      <c r="AX1574" s="137" t="s">
        <v>432</v>
      </c>
      <c r="AY1574" s="137" t="s">
        <v>432</v>
      </c>
      <c r="AZ1574" s="137" t="s">
        <v>432</v>
      </c>
      <c r="BA1574" s="137" t="s">
        <v>432</v>
      </c>
      <c r="BB1574" s="239" t="str">
        <f t="shared" si="448"/>
        <v>Acidentes de trânsitoCMMCE</v>
      </c>
      <c r="BC1574" s="239" t="str">
        <f t="shared" si="449"/>
        <v>Acidentes de trânsitoCMMCEx</v>
      </c>
      <c r="BD1574" s="239" t="str">
        <f t="shared" si="450"/>
        <v>Acidentes de trânsitox</v>
      </c>
    </row>
    <row r="1575" spans="1:56" s="1" customFormat="1" ht="30.75" customHeight="1" x14ac:dyDescent="0.25">
      <c r="A1575" s="275" t="str">
        <f>'Q100b-totais'!$B$64</f>
        <v>9.1</v>
      </c>
      <c r="B1575" s="1205" t="str">
        <f>'Q100b-totais'!$C$64</f>
        <v>Acidentes de trânsito</v>
      </c>
      <c r="C1575" s="57" t="s">
        <v>935</v>
      </c>
      <c r="D1575" s="324" t="s">
        <v>818</v>
      </c>
      <c r="E1575" s="254" t="s">
        <v>1306</v>
      </c>
      <c r="F1575" s="11" t="s">
        <v>1736</v>
      </c>
      <c r="G1575" s="58" t="s">
        <v>782</v>
      </c>
      <c r="H1575" s="173" t="s">
        <v>432</v>
      </c>
      <c r="I1575" s="57">
        <v>1</v>
      </c>
      <c r="J1575" s="107" t="s">
        <v>432</v>
      </c>
      <c r="K1575" s="84" t="s">
        <v>432</v>
      </c>
      <c r="L1575" s="84" t="s">
        <v>432</v>
      </c>
      <c r="M1575" s="84" t="s">
        <v>432</v>
      </c>
      <c r="N1575" s="84" t="s">
        <v>432</v>
      </c>
      <c r="O1575" s="84" t="s">
        <v>432</v>
      </c>
      <c r="P1575" s="84" t="s">
        <v>432</v>
      </c>
      <c r="Q1575" s="84" t="s">
        <v>432</v>
      </c>
      <c r="R1575" s="84" t="s">
        <v>432</v>
      </c>
      <c r="S1575" s="109" t="s">
        <v>2209</v>
      </c>
      <c r="T1575" s="84" t="s">
        <v>432</v>
      </c>
      <c r="U1575" s="84" t="s">
        <v>432</v>
      </c>
      <c r="V1575" s="109" t="s">
        <v>2209</v>
      </c>
      <c r="W1575" s="84" t="s">
        <v>432</v>
      </c>
      <c r="X1575" s="84" t="s">
        <v>432</v>
      </c>
      <c r="Y1575" s="84" t="s">
        <v>432</v>
      </c>
      <c r="Z1575" s="84" t="s">
        <v>432</v>
      </c>
      <c r="AA1575" s="84" t="s">
        <v>432</v>
      </c>
      <c r="AB1575" s="84" t="s">
        <v>432</v>
      </c>
      <c r="AC1575" s="84" t="s">
        <v>432</v>
      </c>
      <c r="AD1575" s="84" t="s">
        <v>432</v>
      </c>
      <c r="AE1575" s="84" t="s">
        <v>432</v>
      </c>
      <c r="AF1575" s="84" t="s">
        <v>432</v>
      </c>
      <c r="AG1575" s="64">
        <f>(AG1572/AG277)*1000</f>
        <v>20.743832085430217</v>
      </c>
      <c r="AH1575" s="64">
        <f>(AH1572/AH277)*1000</f>
        <v>16.251638269986891</v>
      </c>
      <c r="AI1575" s="64">
        <f>(AI1572/AI277)*1000</f>
        <v>16.330858960763521</v>
      </c>
      <c r="AJ1575" s="328" t="s">
        <v>772</v>
      </c>
      <c r="AK1575" s="137" t="s">
        <v>432</v>
      </c>
      <c r="AL1575" s="601" t="s">
        <v>432</v>
      </c>
      <c r="AM1575" s="137" t="s">
        <v>432</v>
      </c>
      <c r="AN1575" s="137" t="s">
        <v>432</v>
      </c>
      <c r="AO1575" s="137" t="s">
        <v>432</v>
      </c>
      <c r="AP1575" s="137" t="s">
        <v>432</v>
      </c>
      <c r="AQ1575" s="137" t="s">
        <v>432</v>
      </c>
      <c r="AR1575" s="137" t="s">
        <v>432</v>
      </c>
      <c r="AS1575" s="137" t="s">
        <v>432</v>
      </c>
      <c r="AT1575" s="137" t="s">
        <v>432</v>
      </c>
      <c r="AU1575" s="137" t="s">
        <v>432</v>
      </c>
      <c r="AV1575" s="137" t="s">
        <v>432</v>
      </c>
      <c r="AW1575" s="137" t="s">
        <v>432</v>
      </c>
      <c r="AX1575" s="137" t="s">
        <v>432</v>
      </c>
      <c r="AY1575" s="137" t="s">
        <v>432</v>
      </c>
      <c r="AZ1575" s="137" t="s">
        <v>432</v>
      </c>
      <c r="BA1575" s="137" t="s">
        <v>432</v>
      </c>
      <c r="BB1575" s="239" t="str">
        <f t="shared" si="448"/>
        <v>Acidentes de trânsitoCMMCE</v>
      </c>
      <c r="BC1575" s="239" t="str">
        <f t="shared" si="449"/>
        <v>Acidentes de trânsitoCMMCEx</v>
      </c>
      <c r="BD1575" s="239" t="str">
        <f t="shared" si="450"/>
        <v>Acidentes de trânsitox</v>
      </c>
    </row>
    <row r="1576" spans="1:56" s="373" customFormat="1" x14ac:dyDescent="0.25">
      <c r="A1576" s="383"/>
      <c r="B1576" s="384"/>
      <c r="C1576" s="384"/>
      <c r="D1576" s="719"/>
      <c r="E1576" s="1519"/>
      <c r="F1576" s="385"/>
      <c r="G1576" s="385"/>
      <c r="H1576" s="389"/>
      <c r="I1576" s="385"/>
      <c r="J1576" s="385"/>
      <c r="K1576" s="385"/>
      <c r="L1576" s="385"/>
      <c r="M1576" s="385"/>
      <c r="N1576" s="385"/>
      <c r="O1576" s="385"/>
      <c r="P1576" s="385"/>
      <c r="Q1576" s="385"/>
      <c r="R1576" s="385"/>
      <c r="S1576" s="385"/>
      <c r="T1576" s="385"/>
      <c r="U1576" s="385"/>
      <c r="V1576" s="385"/>
      <c r="W1576" s="385"/>
      <c r="X1576" s="385"/>
      <c r="Y1576" s="385"/>
      <c r="Z1576" s="385"/>
      <c r="AA1576" s="385"/>
      <c r="AB1576" s="385"/>
      <c r="AC1576" s="385"/>
      <c r="AD1576" s="385"/>
      <c r="AE1576" s="385"/>
      <c r="AF1576" s="385"/>
      <c r="AG1576" s="385"/>
      <c r="AH1576" s="385"/>
      <c r="AI1576" s="385"/>
      <c r="AJ1576" s="385"/>
      <c r="AK1576" s="385"/>
      <c r="AL1576" s="601" t="s">
        <v>432</v>
      </c>
      <c r="AM1576" s="387"/>
      <c r="AN1576" s="387"/>
      <c r="AO1576" s="387"/>
      <c r="AP1576" s="387"/>
      <c r="AQ1576" s="387"/>
      <c r="AR1576" s="387"/>
      <c r="AS1576" s="387"/>
      <c r="AT1576" s="387"/>
      <c r="AU1576" s="387"/>
      <c r="AV1576" s="387"/>
      <c r="AW1576" s="387"/>
      <c r="AX1576" s="387"/>
      <c r="AY1576" s="387"/>
      <c r="AZ1576" s="387"/>
      <c r="BA1576" s="387"/>
      <c r="BB1576" s="388"/>
      <c r="BC1576" s="388"/>
      <c r="BD1576" s="388"/>
    </row>
    <row r="1577" spans="1:56" s="373" customFormat="1" ht="25.5" x14ac:dyDescent="0.25">
      <c r="A1577" s="262" t="str">
        <f>'Q100b-totais'!B21</f>
        <v>2.6</v>
      </c>
      <c r="B1577" s="252" t="str">
        <f>'Q100b-totais'!C21</f>
        <v>Cidades da RMBH</v>
      </c>
      <c r="C1577" s="167" t="s">
        <v>432</v>
      </c>
      <c r="D1577" s="323" t="s">
        <v>1750</v>
      </c>
      <c r="E1577" s="1491" t="s">
        <v>1750</v>
      </c>
      <c r="F1577" s="468" t="str">
        <f>pend!C198</f>
        <v>município da RMBH (faltando completar)</v>
      </c>
      <c r="G1577" s="230" t="s">
        <v>3507</v>
      </c>
      <c r="H1577" s="167" t="s">
        <v>2408</v>
      </c>
      <c r="I1577" s="167" t="s">
        <v>432</v>
      </c>
      <c r="J1577" s="107" t="s">
        <v>432</v>
      </c>
      <c r="K1577" s="107" t="s">
        <v>432</v>
      </c>
      <c r="L1577" s="107" t="s">
        <v>432</v>
      </c>
      <c r="M1577" s="107" t="s">
        <v>432</v>
      </c>
      <c r="N1577" s="107" t="s">
        <v>432</v>
      </c>
      <c r="O1577" s="107" t="s">
        <v>432</v>
      </c>
      <c r="P1577" s="107" t="s">
        <v>432</v>
      </c>
      <c r="Q1577" s="107" t="s">
        <v>432</v>
      </c>
      <c r="R1577" s="107" t="s">
        <v>432</v>
      </c>
      <c r="S1577" s="109" t="s">
        <v>2209</v>
      </c>
      <c r="T1577" s="107" t="s">
        <v>432</v>
      </c>
      <c r="U1577" s="107" t="s">
        <v>432</v>
      </c>
      <c r="V1577" s="109" t="s">
        <v>2209</v>
      </c>
      <c r="W1577" s="107" t="s">
        <v>432</v>
      </c>
      <c r="X1577" s="107" t="s">
        <v>432</v>
      </c>
      <c r="Y1577" s="107" t="s">
        <v>432</v>
      </c>
      <c r="Z1577" s="107" t="s">
        <v>432</v>
      </c>
      <c r="AA1577" s="107" t="s">
        <v>432</v>
      </c>
      <c r="AB1577" s="107" t="s">
        <v>432</v>
      </c>
      <c r="AC1577" s="107" t="s">
        <v>432</v>
      </c>
      <c r="AD1577" s="107" t="s">
        <v>432</v>
      </c>
      <c r="AE1577" s="107" t="s">
        <v>432</v>
      </c>
      <c r="AF1577" s="107" t="s">
        <v>432</v>
      </c>
      <c r="AG1577" s="107" t="s">
        <v>432</v>
      </c>
      <c r="AH1577" s="107" t="s">
        <v>432</v>
      </c>
      <c r="AI1577" s="107" t="s">
        <v>432</v>
      </c>
      <c r="AJ1577" s="107" t="s">
        <v>432</v>
      </c>
      <c r="AK1577" s="107" t="s">
        <v>432</v>
      </c>
      <c r="AL1577" s="601" t="s">
        <v>432</v>
      </c>
      <c r="AM1577" s="137" t="s">
        <v>432</v>
      </c>
      <c r="AN1577" s="137" t="s">
        <v>432</v>
      </c>
      <c r="AO1577" s="137" t="s">
        <v>432</v>
      </c>
      <c r="AP1577" s="137" t="s">
        <v>432</v>
      </c>
      <c r="AQ1577" s="137" t="s">
        <v>432</v>
      </c>
      <c r="AR1577" s="137" t="s">
        <v>432</v>
      </c>
      <c r="AS1577" s="137" t="s">
        <v>432</v>
      </c>
      <c r="AT1577" s="137" t="s">
        <v>432</v>
      </c>
      <c r="AU1577" s="137" t="s">
        <v>432</v>
      </c>
      <c r="AV1577" s="137" t="s">
        <v>432</v>
      </c>
      <c r="AW1577" s="137" t="s">
        <v>432</v>
      </c>
      <c r="AX1577" s="137" t="s">
        <v>432</v>
      </c>
      <c r="AY1577" s="137" t="s">
        <v>432</v>
      </c>
      <c r="AZ1577" s="137" t="s">
        <v>432</v>
      </c>
      <c r="BA1577" s="137" t="s">
        <v>432</v>
      </c>
      <c r="BB1577" s="239" t="str">
        <f t="shared" ref="BB1577:BB1579" si="451">B1577&amp;C1577</f>
        <v>Cidades da RMBHx</v>
      </c>
      <c r="BC1577" s="239" t="str">
        <f t="shared" ref="BC1577:BC1579" si="452">B1577&amp;C1577&amp;H1577</f>
        <v>Cidades da RMBHxsigla/verbete</v>
      </c>
      <c r="BD1577" s="239" t="str">
        <f t="shared" ref="BD1577:BD1579" si="453">B1577&amp;H1577</f>
        <v>Cidades da RMBHsigla/verbete</v>
      </c>
    </row>
    <row r="1578" spans="1:56" s="373" customFormat="1" ht="25.5" x14ac:dyDescent="0.25">
      <c r="A1578" s="262" t="str">
        <f>'Q100b-totais'!B21</f>
        <v>2.6</v>
      </c>
      <c r="B1578" s="252" t="str">
        <f>'Q100b-totais'!C21</f>
        <v>Cidades da RMBH</v>
      </c>
      <c r="C1578" s="167" t="s">
        <v>432</v>
      </c>
      <c r="D1578" s="323" t="s">
        <v>1751</v>
      </c>
      <c r="E1578" s="1491" t="s">
        <v>1751</v>
      </c>
      <c r="F1578" s="468" t="str">
        <f>pend!C199</f>
        <v>município da RMBH (faltando completar)</v>
      </c>
      <c r="G1578" s="230" t="s">
        <v>3507</v>
      </c>
      <c r="H1578" s="167" t="s">
        <v>2408</v>
      </c>
      <c r="I1578" s="167" t="s">
        <v>432</v>
      </c>
      <c r="J1578" s="107" t="s">
        <v>432</v>
      </c>
      <c r="K1578" s="107" t="s">
        <v>432</v>
      </c>
      <c r="L1578" s="107" t="s">
        <v>432</v>
      </c>
      <c r="M1578" s="107" t="s">
        <v>432</v>
      </c>
      <c r="N1578" s="107" t="s">
        <v>432</v>
      </c>
      <c r="O1578" s="107" t="s">
        <v>432</v>
      </c>
      <c r="P1578" s="107" t="s">
        <v>432</v>
      </c>
      <c r="Q1578" s="107" t="s">
        <v>432</v>
      </c>
      <c r="R1578" s="107" t="s">
        <v>432</v>
      </c>
      <c r="S1578" s="109" t="s">
        <v>2209</v>
      </c>
      <c r="T1578" s="107" t="s">
        <v>432</v>
      </c>
      <c r="U1578" s="107" t="s">
        <v>432</v>
      </c>
      <c r="V1578" s="109" t="s">
        <v>2209</v>
      </c>
      <c r="W1578" s="107" t="s">
        <v>432</v>
      </c>
      <c r="X1578" s="107" t="s">
        <v>432</v>
      </c>
      <c r="Y1578" s="107" t="s">
        <v>432</v>
      </c>
      <c r="Z1578" s="107" t="s">
        <v>432</v>
      </c>
      <c r="AA1578" s="107" t="s">
        <v>432</v>
      </c>
      <c r="AB1578" s="107" t="s">
        <v>432</v>
      </c>
      <c r="AC1578" s="107" t="s">
        <v>432</v>
      </c>
      <c r="AD1578" s="107" t="s">
        <v>432</v>
      </c>
      <c r="AE1578" s="107" t="s">
        <v>432</v>
      </c>
      <c r="AF1578" s="107" t="s">
        <v>432</v>
      </c>
      <c r="AG1578" s="107" t="s">
        <v>432</v>
      </c>
      <c r="AH1578" s="107" t="s">
        <v>432</v>
      </c>
      <c r="AI1578" s="107" t="s">
        <v>432</v>
      </c>
      <c r="AJ1578" s="107" t="s">
        <v>432</v>
      </c>
      <c r="AK1578" s="107" t="s">
        <v>432</v>
      </c>
      <c r="AL1578" s="601" t="s">
        <v>432</v>
      </c>
      <c r="AM1578" s="137" t="s">
        <v>432</v>
      </c>
      <c r="AN1578" s="137" t="s">
        <v>432</v>
      </c>
      <c r="AO1578" s="137" t="s">
        <v>432</v>
      </c>
      <c r="AP1578" s="137" t="s">
        <v>432</v>
      </c>
      <c r="AQ1578" s="137" t="s">
        <v>432</v>
      </c>
      <c r="AR1578" s="137" t="s">
        <v>432</v>
      </c>
      <c r="AS1578" s="137" t="s">
        <v>432</v>
      </c>
      <c r="AT1578" s="137" t="s">
        <v>432</v>
      </c>
      <c r="AU1578" s="137" t="s">
        <v>432</v>
      </c>
      <c r="AV1578" s="137" t="s">
        <v>432</v>
      </c>
      <c r="AW1578" s="137" t="s">
        <v>432</v>
      </c>
      <c r="AX1578" s="137" t="s">
        <v>432</v>
      </c>
      <c r="AY1578" s="137" t="s">
        <v>432</v>
      </c>
      <c r="AZ1578" s="137" t="s">
        <v>432</v>
      </c>
      <c r="BA1578" s="137" t="s">
        <v>432</v>
      </c>
      <c r="BB1578" s="239" t="str">
        <f t="shared" si="451"/>
        <v>Cidades da RMBHx</v>
      </c>
      <c r="BC1578" s="239" t="str">
        <f t="shared" si="452"/>
        <v>Cidades da RMBHxsigla/verbete</v>
      </c>
      <c r="BD1578" s="239" t="str">
        <f t="shared" si="453"/>
        <v>Cidades da RMBHsigla/verbete</v>
      </c>
    </row>
    <row r="1579" spans="1:56" s="373" customFormat="1" ht="25.5" x14ac:dyDescent="0.25">
      <c r="A1579" s="262" t="str">
        <f>'Q100b-totais'!B21</f>
        <v>2.6</v>
      </c>
      <c r="B1579" s="252" t="str">
        <f>'Q100b-totais'!C21</f>
        <v>Cidades da RMBH</v>
      </c>
      <c r="C1579" s="167" t="s">
        <v>432</v>
      </c>
      <c r="D1579" s="323" t="s">
        <v>1752</v>
      </c>
      <c r="E1579" s="1491" t="s">
        <v>1752</v>
      </c>
      <c r="F1579" s="468" t="str">
        <f>pend!C200</f>
        <v>município da RMBH (faltando completar)</v>
      </c>
      <c r="G1579" s="230" t="s">
        <v>3507</v>
      </c>
      <c r="H1579" s="167" t="s">
        <v>2408</v>
      </c>
      <c r="I1579" s="167" t="s">
        <v>432</v>
      </c>
      <c r="J1579" s="107" t="s">
        <v>432</v>
      </c>
      <c r="K1579" s="107" t="s">
        <v>432</v>
      </c>
      <c r="L1579" s="107" t="s">
        <v>432</v>
      </c>
      <c r="M1579" s="107" t="s">
        <v>432</v>
      </c>
      <c r="N1579" s="107" t="s">
        <v>432</v>
      </c>
      <c r="O1579" s="107" t="s">
        <v>432</v>
      </c>
      <c r="P1579" s="107" t="s">
        <v>432</v>
      </c>
      <c r="Q1579" s="107" t="s">
        <v>432</v>
      </c>
      <c r="R1579" s="107" t="s">
        <v>432</v>
      </c>
      <c r="S1579" s="109" t="s">
        <v>2209</v>
      </c>
      <c r="T1579" s="107" t="s">
        <v>432</v>
      </c>
      <c r="U1579" s="107" t="s">
        <v>432</v>
      </c>
      <c r="V1579" s="109" t="s">
        <v>2209</v>
      </c>
      <c r="W1579" s="107" t="s">
        <v>432</v>
      </c>
      <c r="X1579" s="107" t="s">
        <v>432</v>
      </c>
      <c r="Y1579" s="107" t="s">
        <v>432</v>
      </c>
      <c r="Z1579" s="107" t="s">
        <v>432</v>
      </c>
      <c r="AA1579" s="107" t="s">
        <v>432</v>
      </c>
      <c r="AB1579" s="107" t="s">
        <v>432</v>
      </c>
      <c r="AC1579" s="107" t="s">
        <v>432</v>
      </c>
      <c r="AD1579" s="107" t="s">
        <v>432</v>
      </c>
      <c r="AE1579" s="107" t="s">
        <v>432</v>
      </c>
      <c r="AF1579" s="107" t="s">
        <v>432</v>
      </c>
      <c r="AG1579" s="107" t="s">
        <v>432</v>
      </c>
      <c r="AH1579" s="107" t="s">
        <v>432</v>
      </c>
      <c r="AI1579" s="107" t="s">
        <v>432</v>
      </c>
      <c r="AJ1579" s="107" t="s">
        <v>432</v>
      </c>
      <c r="AK1579" s="107" t="s">
        <v>432</v>
      </c>
      <c r="AL1579" s="601" t="s">
        <v>432</v>
      </c>
      <c r="AM1579" s="137" t="s">
        <v>432</v>
      </c>
      <c r="AN1579" s="137" t="s">
        <v>432</v>
      </c>
      <c r="AO1579" s="137" t="s">
        <v>432</v>
      </c>
      <c r="AP1579" s="137" t="s">
        <v>432</v>
      </c>
      <c r="AQ1579" s="137" t="s">
        <v>432</v>
      </c>
      <c r="AR1579" s="137" t="s">
        <v>432</v>
      </c>
      <c r="AS1579" s="137" t="s">
        <v>432</v>
      </c>
      <c r="AT1579" s="137" t="s">
        <v>432</v>
      </c>
      <c r="AU1579" s="137" t="s">
        <v>432</v>
      </c>
      <c r="AV1579" s="137" t="s">
        <v>432</v>
      </c>
      <c r="AW1579" s="137" t="s">
        <v>432</v>
      </c>
      <c r="AX1579" s="137" t="s">
        <v>432</v>
      </c>
      <c r="AY1579" s="137" t="s">
        <v>432</v>
      </c>
      <c r="AZ1579" s="137" t="s">
        <v>432</v>
      </c>
      <c r="BA1579" s="137" t="s">
        <v>432</v>
      </c>
      <c r="BB1579" s="239" t="str">
        <f t="shared" si="451"/>
        <v>Cidades da RMBHx</v>
      </c>
      <c r="BC1579" s="239" t="str">
        <f t="shared" si="452"/>
        <v>Cidades da RMBHxsigla/verbete</v>
      </c>
      <c r="BD1579" s="239" t="str">
        <f t="shared" si="453"/>
        <v>Cidades da RMBHsigla/verbete</v>
      </c>
    </row>
    <row r="1580" spans="1:56" s="1" customFormat="1" ht="102.75" customHeight="1" x14ac:dyDescent="0.25">
      <c r="A1580" s="275" t="str">
        <f>'Q100b-totais'!$B$64</f>
        <v>9.1</v>
      </c>
      <c r="B1580" s="1205" t="str">
        <f>'Q100b-totais'!$C$64</f>
        <v>Acidentes de trânsito</v>
      </c>
      <c r="C1580" s="57" t="s">
        <v>432</v>
      </c>
      <c r="D1580" s="324" t="s">
        <v>3140</v>
      </c>
      <c r="E1580" s="254" t="s">
        <v>1705</v>
      </c>
      <c r="F1580" s="11" t="s">
        <v>1829</v>
      </c>
      <c r="G1580" s="110" t="s">
        <v>77</v>
      </c>
      <c r="H1580" s="57" t="s">
        <v>819</v>
      </c>
      <c r="I1580" s="167" t="s">
        <v>432</v>
      </c>
      <c r="J1580" s="84" t="s">
        <v>432</v>
      </c>
      <c r="K1580" s="84" t="s">
        <v>432</v>
      </c>
      <c r="L1580" s="84" t="s">
        <v>432</v>
      </c>
      <c r="M1580" s="84" t="s">
        <v>432</v>
      </c>
      <c r="N1580" s="84" t="s">
        <v>432</v>
      </c>
      <c r="O1580" s="84" t="s">
        <v>432</v>
      </c>
      <c r="P1580" s="84" t="s">
        <v>432</v>
      </c>
      <c r="Q1580" s="84" t="s">
        <v>432</v>
      </c>
      <c r="R1580" s="84" t="s">
        <v>432</v>
      </c>
      <c r="S1580" s="109" t="s">
        <v>2209</v>
      </c>
      <c r="T1580" s="84" t="s">
        <v>432</v>
      </c>
      <c r="U1580" s="84" t="s">
        <v>432</v>
      </c>
      <c r="V1580" s="109" t="s">
        <v>2209</v>
      </c>
      <c r="W1580" s="84" t="s">
        <v>432</v>
      </c>
      <c r="X1580" s="84" t="s">
        <v>432</v>
      </c>
      <c r="Y1580" s="84" t="s">
        <v>432</v>
      </c>
      <c r="Z1580" s="84" t="s">
        <v>432</v>
      </c>
      <c r="AA1580" s="84" t="s">
        <v>432</v>
      </c>
      <c r="AB1580" s="84" t="s">
        <v>432</v>
      </c>
      <c r="AC1580" s="84" t="s">
        <v>432</v>
      </c>
      <c r="AD1580" s="175">
        <v>1463</v>
      </c>
      <c r="AE1580" s="175">
        <v>1382</v>
      </c>
      <c r="AF1580" s="175">
        <v>1357</v>
      </c>
      <c r="AG1580" s="175">
        <v>1365</v>
      </c>
      <c r="AH1580" s="175">
        <v>1231</v>
      </c>
      <c r="AI1580" s="175">
        <v>1152</v>
      </c>
      <c r="AJ1580" s="175">
        <v>1249</v>
      </c>
      <c r="AK1580" s="137" t="s">
        <v>432</v>
      </c>
      <c r="AL1580" s="601" t="s">
        <v>432</v>
      </c>
      <c r="AM1580" s="137" t="s">
        <v>432</v>
      </c>
      <c r="AN1580" s="137" t="s">
        <v>432</v>
      </c>
      <c r="AO1580" s="137" t="s">
        <v>432</v>
      </c>
      <c r="AP1580" s="137" t="s">
        <v>432</v>
      </c>
      <c r="AQ1580" s="137" t="s">
        <v>432</v>
      </c>
      <c r="AR1580" s="137" t="s">
        <v>432</v>
      </c>
      <c r="AS1580" s="137" t="s">
        <v>432</v>
      </c>
      <c r="AT1580" s="137" t="s">
        <v>432</v>
      </c>
      <c r="AU1580" s="137" t="s">
        <v>432</v>
      </c>
      <c r="AV1580" s="137" t="s">
        <v>432</v>
      </c>
      <c r="AW1580" s="137" t="s">
        <v>432</v>
      </c>
      <c r="AX1580" s="137" t="s">
        <v>432</v>
      </c>
      <c r="AY1580" s="137" t="s">
        <v>432</v>
      </c>
      <c r="AZ1580" s="137" t="s">
        <v>432</v>
      </c>
      <c r="BA1580" s="137" t="s">
        <v>432</v>
      </c>
      <c r="BB1580" s="239" t="str">
        <f t="shared" si="448"/>
        <v>Acidentes de trânsitox</v>
      </c>
      <c r="BC1580" s="239" t="str">
        <f t="shared" si="449"/>
        <v>Acidentes de trânsitoxbenchmarking</v>
      </c>
      <c r="BD1580" s="239" t="str">
        <f t="shared" si="450"/>
        <v>Acidentes de trânsitobenchmarking</v>
      </c>
    </row>
    <row r="1581" spans="1:56" s="1" customFormat="1" ht="81.75" customHeight="1" x14ac:dyDescent="0.25">
      <c r="A1581" s="275" t="str">
        <f>'Q100b-totais'!$B$64</f>
        <v>9.1</v>
      </c>
      <c r="B1581" s="1205" t="str">
        <f>'Q100b-totais'!$C$64</f>
        <v>Acidentes de trânsito</v>
      </c>
      <c r="C1581" s="57" t="s">
        <v>432</v>
      </c>
      <c r="D1581" s="362" t="s">
        <v>3141</v>
      </c>
      <c r="E1581" s="1502" t="s">
        <v>1705</v>
      </c>
      <c r="F1581" s="286" t="s">
        <v>1830</v>
      </c>
      <c r="G1581" s="58" t="s">
        <v>821</v>
      </c>
      <c r="H1581" s="169" t="s">
        <v>819</v>
      </c>
      <c r="I1581" s="167" t="s">
        <v>432</v>
      </c>
      <c r="J1581" s="84" t="s">
        <v>432</v>
      </c>
      <c r="K1581" s="84" t="s">
        <v>432</v>
      </c>
      <c r="L1581" s="84" t="s">
        <v>432</v>
      </c>
      <c r="M1581" s="84" t="s">
        <v>432</v>
      </c>
      <c r="N1581" s="84" t="s">
        <v>432</v>
      </c>
      <c r="O1581" s="84" t="s">
        <v>432</v>
      </c>
      <c r="P1581" s="84" t="s">
        <v>432</v>
      </c>
      <c r="Q1581" s="84" t="s">
        <v>432</v>
      </c>
      <c r="R1581" s="84" t="s">
        <v>432</v>
      </c>
      <c r="S1581" s="109" t="s">
        <v>2209</v>
      </c>
      <c r="T1581" s="84" t="s">
        <v>432</v>
      </c>
      <c r="U1581" s="84" t="s">
        <v>432</v>
      </c>
      <c r="V1581" s="109" t="s">
        <v>2209</v>
      </c>
      <c r="W1581" s="84" t="s">
        <v>432</v>
      </c>
      <c r="X1581" s="84" t="s">
        <v>432</v>
      </c>
      <c r="Y1581" s="84" t="s">
        <v>432</v>
      </c>
      <c r="Z1581" s="84" t="s">
        <v>432</v>
      </c>
      <c r="AA1581" s="84" t="s">
        <v>432</v>
      </c>
      <c r="AB1581" s="84" t="s">
        <v>432</v>
      </c>
      <c r="AC1581" s="84" t="s">
        <v>432</v>
      </c>
      <c r="AD1581" s="81">
        <f t="shared" ref="AD1581:AJ1581" si="454">(AD1580/AD816)*10000</f>
        <v>2.3022913227851776</v>
      </c>
      <c r="AE1581" s="81">
        <f t="shared" si="454"/>
        <v>2.0712184414575803</v>
      </c>
      <c r="AF1581" s="81">
        <f t="shared" si="454"/>
        <v>1.966068013203516</v>
      </c>
      <c r="AG1581" s="81">
        <f t="shared" si="454"/>
        <v>1.8993354969524363</v>
      </c>
      <c r="AH1581" s="81">
        <f t="shared" si="454"/>
        <v>1.6718251958045471</v>
      </c>
      <c r="AI1581" s="81">
        <f t="shared" si="454"/>
        <v>1.5203473148977145</v>
      </c>
      <c r="AJ1581" s="81">
        <f t="shared" si="454"/>
        <v>1.5834602066561363</v>
      </c>
      <c r="AK1581" s="137" t="s">
        <v>432</v>
      </c>
      <c r="AL1581" s="601" t="s">
        <v>432</v>
      </c>
      <c r="AM1581" s="137" t="s">
        <v>432</v>
      </c>
      <c r="AN1581" s="137" t="s">
        <v>432</v>
      </c>
      <c r="AO1581" s="137" t="s">
        <v>432</v>
      </c>
      <c r="AP1581" s="137" t="s">
        <v>432</v>
      </c>
      <c r="AQ1581" s="137" t="s">
        <v>432</v>
      </c>
      <c r="AR1581" s="137" t="s">
        <v>432</v>
      </c>
      <c r="AS1581" s="137" t="s">
        <v>432</v>
      </c>
      <c r="AT1581" s="137" t="s">
        <v>432</v>
      </c>
      <c r="AU1581" s="137" t="s">
        <v>432</v>
      </c>
      <c r="AV1581" s="137" t="s">
        <v>432</v>
      </c>
      <c r="AW1581" s="137" t="s">
        <v>432</v>
      </c>
      <c r="AX1581" s="137" t="s">
        <v>432</v>
      </c>
      <c r="AY1581" s="137" t="s">
        <v>432</v>
      </c>
      <c r="AZ1581" s="137" t="s">
        <v>432</v>
      </c>
      <c r="BA1581" s="137" t="s">
        <v>432</v>
      </c>
      <c r="BB1581" s="239" t="str">
        <f t="shared" si="448"/>
        <v>Acidentes de trânsitox</v>
      </c>
      <c r="BC1581" s="239" t="str">
        <f t="shared" si="449"/>
        <v>Acidentes de trânsitoxbenchmarking</v>
      </c>
      <c r="BD1581" s="239" t="str">
        <f t="shared" si="450"/>
        <v>Acidentes de trânsitobenchmarking</v>
      </c>
    </row>
    <row r="1582" spans="1:56" s="1" customFormat="1" ht="111" customHeight="1" x14ac:dyDescent="0.25">
      <c r="A1582" s="275" t="str">
        <f>'Q100b-totais'!$B$64</f>
        <v>9.1</v>
      </c>
      <c r="B1582" s="1205" t="str">
        <f>'Q100b-totais'!$C$64</f>
        <v>Acidentes de trânsito</v>
      </c>
      <c r="C1582" s="57" t="s">
        <v>432</v>
      </c>
      <c r="D1582" s="362" t="s">
        <v>3142</v>
      </c>
      <c r="E1582" s="1502" t="s">
        <v>1705</v>
      </c>
      <c r="F1582" s="286" t="s">
        <v>1973</v>
      </c>
      <c r="G1582" s="58" t="s">
        <v>822</v>
      </c>
      <c r="H1582" s="169" t="s">
        <v>819</v>
      </c>
      <c r="I1582" s="167" t="s">
        <v>432</v>
      </c>
      <c r="J1582" s="84" t="s">
        <v>432</v>
      </c>
      <c r="K1582" s="84" t="s">
        <v>432</v>
      </c>
      <c r="L1582" s="84" t="s">
        <v>432</v>
      </c>
      <c r="M1582" s="84" t="s">
        <v>432</v>
      </c>
      <c r="N1582" s="84" t="s">
        <v>432</v>
      </c>
      <c r="O1582" s="84" t="s">
        <v>432</v>
      </c>
      <c r="P1582" s="84" t="s">
        <v>432</v>
      </c>
      <c r="Q1582" s="84" t="s">
        <v>432</v>
      </c>
      <c r="R1582" s="84" t="s">
        <v>432</v>
      </c>
      <c r="S1582" s="109" t="s">
        <v>2209</v>
      </c>
      <c r="T1582" s="84" t="s">
        <v>432</v>
      </c>
      <c r="U1582" s="84" t="s">
        <v>432</v>
      </c>
      <c r="V1582" s="109" t="s">
        <v>2209</v>
      </c>
      <c r="W1582" s="84" t="s">
        <v>432</v>
      </c>
      <c r="X1582" s="84" t="s">
        <v>432</v>
      </c>
      <c r="Y1582" s="84" t="s">
        <v>432</v>
      </c>
      <c r="Z1582" s="84" t="s">
        <v>432</v>
      </c>
      <c r="AA1582" s="84" t="s">
        <v>432</v>
      </c>
      <c r="AB1582" s="84" t="s">
        <v>432</v>
      </c>
      <c r="AC1582" s="84" t="s">
        <v>432</v>
      </c>
      <c r="AD1582" s="81">
        <f t="shared" ref="AD1582:AJ1582" si="455">(AD1580/AD1851)*100000</f>
        <v>13.192478898345955</v>
      </c>
      <c r="AE1582" s="81">
        <f t="shared" si="455"/>
        <v>12.370678520080153</v>
      </c>
      <c r="AF1582" s="81">
        <f t="shared" si="455"/>
        <v>12.058467483413832</v>
      </c>
      <c r="AG1582" s="81" t="e">
        <f t="shared" si="455"/>
        <v>#VALUE!</v>
      </c>
      <c r="AH1582" s="81" t="e">
        <f t="shared" si="455"/>
        <v>#VALUE!</v>
      </c>
      <c r="AI1582" s="81" t="e">
        <f t="shared" si="455"/>
        <v>#VALUE!</v>
      </c>
      <c r="AJ1582" s="81" t="e">
        <f t="shared" si="455"/>
        <v>#VALUE!</v>
      </c>
      <c r="AK1582" s="137" t="s">
        <v>432</v>
      </c>
      <c r="AL1582" s="601" t="s">
        <v>432</v>
      </c>
      <c r="AM1582" s="137" t="s">
        <v>432</v>
      </c>
      <c r="AN1582" s="137" t="s">
        <v>432</v>
      </c>
      <c r="AO1582" s="137" t="s">
        <v>432</v>
      </c>
      <c r="AP1582" s="137" t="s">
        <v>432</v>
      </c>
      <c r="AQ1582" s="137" t="s">
        <v>432</v>
      </c>
      <c r="AR1582" s="137" t="s">
        <v>432</v>
      </c>
      <c r="AS1582" s="137" t="s">
        <v>432</v>
      </c>
      <c r="AT1582" s="137" t="s">
        <v>432</v>
      </c>
      <c r="AU1582" s="137" t="s">
        <v>432</v>
      </c>
      <c r="AV1582" s="137" t="s">
        <v>432</v>
      </c>
      <c r="AW1582" s="137" t="s">
        <v>432</v>
      </c>
      <c r="AX1582" s="137" t="s">
        <v>432</v>
      </c>
      <c r="AY1582" s="137" t="s">
        <v>432</v>
      </c>
      <c r="AZ1582" s="137" t="s">
        <v>432</v>
      </c>
      <c r="BA1582" s="137" t="s">
        <v>432</v>
      </c>
      <c r="BB1582" s="239" t="str">
        <f t="shared" si="448"/>
        <v>Acidentes de trânsitox</v>
      </c>
      <c r="BC1582" s="239" t="str">
        <f t="shared" si="449"/>
        <v>Acidentes de trânsitoxbenchmarking</v>
      </c>
      <c r="BD1582" s="239" t="str">
        <f t="shared" si="450"/>
        <v>Acidentes de trânsitobenchmarking</v>
      </c>
    </row>
    <row r="1583" spans="1:56" s="347" customFormat="1" ht="96" customHeight="1" x14ac:dyDescent="0.25">
      <c r="A1583" s="413" t="str">
        <f>'Q100b-totais'!$B$64</f>
        <v>9.1</v>
      </c>
      <c r="B1583" s="1205" t="str">
        <f>'Q100b-totais'!$C$64</f>
        <v>Acidentes de trânsito</v>
      </c>
      <c r="C1583" s="11" t="s">
        <v>432</v>
      </c>
      <c r="D1583" s="324" t="s">
        <v>3143</v>
      </c>
      <c r="E1583" s="254" t="s">
        <v>1705</v>
      </c>
      <c r="F1583" s="11" t="s">
        <v>1976</v>
      </c>
      <c r="G1583" s="110" t="s">
        <v>1975</v>
      </c>
      <c r="H1583" s="167" t="s">
        <v>765</v>
      </c>
      <c r="I1583" s="167" t="s">
        <v>432</v>
      </c>
      <c r="J1583" s="109" t="s">
        <v>432</v>
      </c>
      <c r="K1583" s="109" t="s">
        <v>432</v>
      </c>
      <c r="L1583" s="109" t="s">
        <v>432</v>
      </c>
      <c r="M1583" s="109" t="s">
        <v>432</v>
      </c>
      <c r="N1583" s="109" t="s">
        <v>432</v>
      </c>
      <c r="O1583" s="109" t="s">
        <v>432</v>
      </c>
      <c r="P1583" s="109" t="s">
        <v>432</v>
      </c>
      <c r="Q1583" s="109" t="s">
        <v>432</v>
      </c>
      <c r="R1583" s="109" t="s">
        <v>432</v>
      </c>
      <c r="S1583" s="109" t="s">
        <v>2209</v>
      </c>
      <c r="T1583" s="109" t="s">
        <v>432</v>
      </c>
      <c r="U1583" s="109" t="s">
        <v>432</v>
      </c>
      <c r="V1583" s="109" t="s">
        <v>2209</v>
      </c>
      <c r="W1583" s="109" t="s">
        <v>432</v>
      </c>
      <c r="X1583" s="109" t="s">
        <v>432</v>
      </c>
      <c r="Y1583" s="109" t="s">
        <v>432</v>
      </c>
      <c r="Z1583" s="109" t="s">
        <v>432</v>
      </c>
      <c r="AA1583" s="109" t="s">
        <v>432</v>
      </c>
      <c r="AB1583" s="109" t="s">
        <v>432</v>
      </c>
      <c r="AC1583" s="109" t="s">
        <v>432</v>
      </c>
      <c r="AD1583" s="109" t="s">
        <v>432</v>
      </c>
      <c r="AE1583" s="109" t="s">
        <v>432</v>
      </c>
      <c r="AF1583" s="109" t="s">
        <v>432</v>
      </c>
      <c r="AG1583" s="109" t="s">
        <v>432</v>
      </c>
      <c r="AH1583" s="109" t="s">
        <v>432</v>
      </c>
      <c r="AI1583" s="109" t="s">
        <v>432</v>
      </c>
      <c r="AJ1583" s="109" t="s">
        <v>432</v>
      </c>
      <c r="AK1583" s="109" t="s">
        <v>432</v>
      </c>
      <c r="AL1583" s="601" t="s">
        <v>432</v>
      </c>
      <c r="AM1583" s="137" t="s">
        <v>432</v>
      </c>
      <c r="AN1583" s="137" t="s">
        <v>432</v>
      </c>
      <c r="AO1583" s="137" t="s">
        <v>432</v>
      </c>
      <c r="AP1583" s="137" t="s">
        <v>432</v>
      </c>
      <c r="AQ1583" s="83">
        <v>6</v>
      </c>
      <c r="AR1583" s="137" t="s">
        <v>432</v>
      </c>
      <c r="AS1583" s="137" t="s">
        <v>432</v>
      </c>
      <c r="AT1583" s="137" t="s">
        <v>432</v>
      </c>
      <c r="AU1583" s="137" t="s">
        <v>432</v>
      </c>
      <c r="AV1583" s="137" t="s">
        <v>432</v>
      </c>
      <c r="AW1583" s="137" t="s">
        <v>432</v>
      </c>
      <c r="AX1583" s="137" t="s">
        <v>432</v>
      </c>
      <c r="AY1583" s="137" t="s">
        <v>432</v>
      </c>
      <c r="AZ1583" s="137" t="s">
        <v>432</v>
      </c>
      <c r="BA1583" s="137" t="s">
        <v>432</v>
      </c>
      <c r="BB1583" s="239" t="str">
        <f t="shared" si="448"/>
        <v>Acidentes de trânsitox</v>
      </c>
      <c r="BC1583" s="239" t="str">
        <f t="shared" si="449"/>
        <v>Acidentes de trânsitoxmeta/RPI</v>
      </c>
      <c r="BD1583" s="239" t="str">
        <f t="shared" si="450"/>
        <v>Acidentes de trânsitometa/RPI</v>
      </c>
    </row>
    <row r="1584" spans="1:56" s="373" customFormat="1" x14ac:dyDescent="0.25">
      <c r="A1584" s="383"/>
      <c r="B1584" s="384"/>
      <c r="C1584" s="384"/>
      <c r="D1584" s="719"/>
      <c r="E1584" s="1519"/>
      <c r="F1584" s="385"/>
      <c r="G1584" s="385"/>
      <c r="H1584" s="389"/>
      <c r="I1584" s="385"/>
      <c r="J1584" s="385"/>
      <c r="K1584" s="385"/>
      <c r="L1584" s="385"/>
      <c r="M1584" s="385"/>
      <c r="N1584" s="385"/>
      <c r="O1584" s="385"/>
      <c r="P1584" s="385"/>
      <c r="Q1584" s="385"/>
      <c r="R1584" s="385"/>
      <c r="S1584" s="385"/>
      <c r="T1584" s="385"/>
      <c r="U1584" s="385"/>
      <c r="V1584" s="385"/>
      <c r="W1584" s="385"/>
      <c r="X1584" s="385"/>
      <c r="Y1584" s="385"/>
      <c r="Z1584" s="385"/>
      <c r="AA1584" s="385"/>
      <c r="AB1584" s="385"/>
      <c r="AC1584" s="385"/>
      <c r="AD1584" s="385"/>
      <c r="AE1584" s="385"/>
      <c r="AF1584" s="385"/>
      <c r="AG1584" s="385"/>
      <c r="AH1584" s="385"/>
      <c r="AI1584" s="385"/>
      <c r="AJ1584" s="385"/>
      <c r="AK1584" s="385"/>
      <c r="AL1584" s="601" t="s">
        <v>432</v>
      </c>
      <c r="AM1584" s="387"/>
      <c r="AN1584" s="387"/>
      <c r="AO1584" s="387"/>
      <c r="AP1584" s="387"/>
      <c r="AQ1584" s="387"/>
      <c r="AR1584" s="387"/>
      <c r="AS1584" s="387"/>
      <c r="AT1584" s="387"/>
      <c r="AU1584" s="387"/>
      <c r="AV1584" s="387"/>
      <c r="AW1584" s="387"/>
      <c r="AX1584" s="387"/>
      <c r="AY1584" s="387"/>
      <c r="AZ1584" s="387"/>
      <c r="BA1584" s="387"/>
      <c r="BB1584" s="388"/>
      <c r="BC1584" s="388"/>
      <c r="BD1584" s="388"/>
    </row>
    <row r="1585" spans="1:56" s="1" customFormat="1" ht="38.25" x14ac:dyDescent="0.25">
      <c r="A1585" s="275" t="str">
        <f>'Q100b-totais'!$B$64</f>
        <v>9.1</v>
      </c>
      <c r="B1585" s="1205" t="str">
        <f>'Q100b-totais'!$C$64</f>
        <v>Acidentes de trânsito</v>
      </c>
      <c r="C1585" s="57" t="s">
        <v>432</v>
      </c>
      <c r="D1585" s="324" t="s">
        <v>3048</v>
      </c>
      <c r="E1585" s="1402" t="s">
        <v>1306</v>
      </c>
      <c r="F1585" s="14" t="s">
        <v>1538</v>
      </c>
      <c r="G1585" s="409" t="s">
        <v>77</v>
      </c>
      <c r="H1585" s="173" t="s">
        <v>432</v>
      </c>
      <c r="I1585" s="57">
        <v>1</v>
      </c>
      <c r="J1585" s="107" t="s">
        <v>432</v>
      </c>
      <c r="K1585" s="84" t="s">
        <v>432</v>
      </c>
      <c r="L1585" s="84" t="s">
        <v>432</v>
      </c>
      <c r="M1585" s="84" t="s">
        <v>432</v>
      </c>
      <c r="N1585" s="84" t="s">
        <v>432</v>
      </c>
      <c r="O1585" s="84" t="s">
        <v>432</v>
      </c>
      <c r="P1585" s="84" t="s">
        <v>432</v>
      </c>
      <c r="Q1585" s="84" t="s">
        <v>432</v>
      </c>
      <c r="R1585" s="84" t="s">
        <v>432</v>
      </c>
      <c r="S1585" s="109" t="s">
        <v>2209</v>
      </c>
      <c r="T1585" s="84" t="s">
        <v>432</v>
      </c>
      <c r="U1585" s="84" t="s">
        <v>432</v>
      </c>
      <c r="V1585" s="109" t="s">
        <v>2209</v>
      </c>
      <c r="W1585" s="84" t="s">
        <v>432</v>
      </c>
      <c r="X1585" s="84" t="s">
        <v>432</v>
      </c>
      <c r="Y1585" s="84" t="s">
        <v>432</v>
      </c>
      <c r="Z1585" s="159">
        <v>17</v>
      </c>
      <c r="AA1585" s="159">
        <v>9</v>
      </c>
      <c r="AB1585" s="159">
        <v>8</v>
      </c>
      <c r="AC1585" s="159">
        <v>10</v>
      </c>
      <c r="AD1585" s="159">
        <v>10</v>
      </c>
      <c r="AE1585" s="159">
        <v>9</v>
      </c>
      <c r="AF1585" s="159">
        <v>3</v>
      </c>
      <c r="AG1585" s="159">
        <v>8</v>
      </c>
      <c r="AH1585" s="159">
        <v>5</v>
      </c>
      <c r="AI1585" s="159">
        <v>6</v>
      </c>
      <c r="AJ1585" s="159">
        <v>3</v>
      </c>
      <c r="AK1585" s="137" t="s">
        <v>432</v>
      </c>
      <c r="AL1585" s="601" t="s">
        <v>432</v>
      </c>
      <c r="AM1585" s="137" t="s">
        <v>432</v>
      </c>
      <c r="AN1585" s="137" t="s">
        <v>432</v>
      </c>
      <c r="AO1585" s="137" t="s">
        <v>432</v>
      </c>
      <c r="AP1585" s="137" t="s">
        <v>432</v>
      </c>
      <c r="AQ1585" s="137" t="s">
        <v>432</v>
      </c>
      <c r="AR1585" s="137" t="s">
        <v>432</v>
      </c>
      <c r="AS1585" s="137" t="s">
        <v>432</v>
      </c>
      <c r="AT1585" s="137" t="s">
        <v>432</v>
      </c>
      <c r="AU1585" s="137" t="s">
        <v>432</v>
      </c>
      <c r="AV1585" s="137" t="s">
        <v>432</v>
      </c>
      <c r="AW1585" s="137" t="s">
        <v>432</v>
      </c>
      <c r="AX1585" s="137" t="s">
        <v>432</v>
      </c>
      <c r="AY1585" s="137" t="s">
        <v>432</v>
      </c>
      <c r="AZ1585" s="137" t="s">
        <v>432</v>
      </c>
      <c r="BA1585" s="137" t="s">
        <v>432</v>
      </c>
      <c r="BB1585" s="239" t="str">
        <f>B1585&amp;C1585</f>
        <v>Acidentes de trânsitox</v>
      </c>
      <c r="BC1585" s="239" t="str">
        <f>B1585&amp;C1585&amp;H1585</f>
        <v>Acidentes de trânsitoxx</v>
      </c>
      <c r="BD1585" s="239" t="str">
        <f>B1585&amp;H1585</f>
        <v>Acidentes de trânsitox</v>
      </c>
    </row>
    <row r="1586" spans="1:56" s="1" customFormat="1" ht="63.75" customHeight="1" x14ac:dyDescent="0.25">
      <c r="A1586" s="275" t="str">
        <f>'Q100b-totais'!$B$64</f>
        <v>9.1</v>
      </c>
      <c r="B1586" s="1205" t="str">
        <f>'Q100b-totais'!$C$64</f>
        <v>Acidentes de trânsito</v>
      </c>
      <c r="C1586" s="57" t="s">
        <v>432</v>
      </c>
      <c r="D1586" s="323" t="s">
        <v>3047</v>
      </c>
      <c r="E1586" s="1402" t="s">
        <v>1306</v>
      </c>
      <c r="F1586" s="25" t="s">
        <v>806</v>
      </c>
      <c r="G1586" s="404" t="s">
        <v>783</v>
      </c>
      <c r="H1586" s="173" t="s">
        <v>432</v>
      </c>
      <c r="I1586" s="57">
        <v>1</v>
      </c>
      <c r="J1586" s="107" t="s">
        <v>432</v>
      </c>
      <c r="K1586" s="23" t="s">
        <v>432</v>
      </c>
      <c r="L1586" s="23" t="s">
        <v>432</v>
      </c>
      <c r="M1586" s="23" t="s">
        <v>432</v>
      </c>
      <c r="N1586" s="23" t="s">
        <v>432</v>
      </c>
      <c r="O1586" s="23" t="s">
        <v>432</v>
      </c>
      <c r="P1586" s="23" t="s">
        <v>432</v>
      </c>
      <c r="Q1586" s="23" t="s">
        <v>432</v>
      </c>
      <c r="R1586" s="23" t="s">
        <v>432</v>
      </c>
      <c r="S1586" s="109" t="s">
        <v>2209</v>
      </c>
      <c r="T1586" s="23" t="s">
        <v>432</v>
      </c>
      <c r="U1586" s="23" t="s">
        <v>432</v>
      </c>
      <c r="V1586" s="109" t="s">
        <v>2209</v>
      </c>
      <c r="W1586" s="23" t="s">
        <v>432</v>
      </c>
      <c r="X1586" s="23" t="s">
        <v>432</v>
      </c>
      <c r="Y1586" s="23" t="s">
        <v>432</v>
      </c>
      <c r="Z1586" s="44">
        <f t="shared" ref="Z1586:AJ1586" si="456">(Z1585/Z814)*10000</f>
        <v>0.20687481518169085</v>
      </c>
      <c r="AA1586" s="44">
        <f t="shared" si="456"/>
        <v>0.10429740056112001</v>
      </c>
      <c r="AB1586" s="44">
        <f t="shared" si="456"/>
        <v>8.5902627224475378E-2</v>
      </c>
      <c r="AC1586" s="44">
        <f t="shared" si="456"/>
        <v>9.7994541704027077E-2</v>
      </c>
      <c r="AD1586" s="44">
        <f t="shared" si="456"/>
        <v>9.0313106508955909E-2</v>
      </c>
      <c r="AE1586" s="44">
        <f t="shared" si="456"/>
        <v>7.3762934125601892E-2</v>
      </c>
      <c r="AF1586" s="44">
        <f t="shared" si="456"/>
        <v>2.2516082111648246E-2</v>
      </c>
      <c r="AG1586" s="44">
        <f t="shared" si="456"/>
        <v>5.594933787455459E-2</v>
      </c>
      <c r="AH1586" s="44">
        <f t="shared" si="456"/>
        <v>3.3171126524627899E-2</v>
      </c>
      <c r="AI1586" s="44">
        <f t="shared" si="456"/>
        <v>3.795966785290629E-2</v>
      </c>
      <c r="AJ1586" s="44">
        <f t="shared" si="456"/>
        <v>1.8379931565388138E-2</v>
      </c>
      <c r="AK1586" s="137" t="s">
        <v>432</v>
      </c>
      <c r="AL1586" s="601" t="s">
        <v>432</v>
      </c>
      <c r="AM1586" s="137" t="s">
        <v>432</v>
      </c>
      <c r="AN1586" s="137" t="s">
        <v>432</v>
      </c>
      <c r="AO1586" s="137" t="s">
        <v>432</v>
      </c>
      <c r="AP1586" s="137" t="s">
        <v>432</v>
      </c>
      <c r="AQ1586" s="137" t="s">
        <v>432</v>
      </c>
      <c r="AR1586" s="137" t="s">
        <v>432</v>
      </c>
      <c r="AS1586" s="137" t="s">
        <v>432</v>
      </c>
      <c r="AT1586" s="137" t="s">
        <v>432</v>
      </c>
      <c r="AU1586" s="137" t="s">
        <v>432</v>
      </c>
      <c r="AV1586" s="137" t="s">
        <v>432</v>
      </c>
      <c r="AW1586" s="137" t="s">
        <v>432</v>
      </c>
      <c r="AX1586" s="137" t="s">
        <v>432</v>
      </c>
      <c r="AY1586" s="137" t="s">
        <v>432</v>
      </c>
      <c r="AZ1586" s="137" t="s">
        <v>432</v>
      </c>
      <c r="BA1586" s="137" t="s">
        <v>432</v>
      </c>
      <c r="BB1586" s="239" t="str">
        <f>B1586&amp;C1586</f>
        <v>Acidentes de trânsitox</v>
      </c>
      <c r="BC1586" s="239" t="str">
        <f>B1586&amp;C1586&amp;H1586</f>
        <v>Acidentes de trânsitoxx</v>
      </c>
      <c r="BD1586" s="239" t="str">
        <f>B1586&amp;H1586</f>
        <v>Acidentes de trânsitox</v>
      </c>
    </row>
    <row r="1587" spans="1:56" s="1" customFormat="1" ht="78.75" customHeight="1" x14ac:dyDescent="0.25">
      <c r="A1587" s="275" t="str">
        <f>'Q100b-totais'!$B$64</f>
        <v>9.1</v>
      </c>
      <c r="B1587" s="1205" t="str">
        <f>'Q100b-totais'!$C$64</f>
        <v>Acidentes de trânsito</v>
      </c>
      <c r="C1587" s="57" t="s">
        <v>432</v>
      </c>
      <c r="D1587" s="323" t="s">
        <v>3046</v>
      </c>
      <c r="E1587" s="1402" t="s">
        <v>1306</v>
      </c>
      <c r="F1587" s="14" t="s">
        <v>807</v>
      </c>
      <c r="G1587" s="404" t="s">
        <v>784</v>
      </c>
      <c r="H1587" s="173" t="s">
        <v>432</v>
      </c>
      <c r="I1587" s="57">
        <v>1</v>
      </c>
      <c r="J1587" s="107" t="s">
        <v>432</v>
      </c>
      <c r="K1587" s="23" t="s">
        <v>432</v>
      </c>
      <c r="L1587" s="23" t="s">
        <v>432</v>
      </c>
      <c r="M1587" s="23" t="s">
        <v>432</v>
      </c>
      <c r="N1587" s="23" t="s">
        <v>432</v>
      </c>
      <c r="O1587" s="23" t="s">
        <v>432</v>
      </c>
      <c r="P1587" s="23" t="s">
        <v>432</v>
      </c>
      <c r="Q1587" s="23" t="s">
        <v>432</v>
      </c>
      <c r="R1587" s="23" t="s">
        <v>432</v>
      </c>
      <c r="S1587" s="109" t="s">
        <v>2209</v>
      </c>
      <c r="T1587" s="23" t="s">
        <v>432</v>
      </c>
      <c r="U1587" s="23" t="s">
        <v>432</v>
      </c>
      <c r="V1587" s="109" t="s">
        <v>2209</v>
      </c>
      <c r="W1587" s="23" t="s">
        <v>432</v>
      </c>
      <c r="X1587" s="23" t="s">
        <v>432</v>
      </c>
      <c r="Y1587" s="23" t="s">
        <v>432</v>
      </c>
      <c r="Z1587" s="64">
        <f t="shared" ref="Z1587:AJ1587" si="457">(Z1585/Z1855)*100000</f>
        <v>0.72323067995595947</v>
      </c>
      <c r="AA1587" s="64">
        <f t="shared" si="457"/>
        <v>0.37889488150904566</v>
      </c>
      <c r="AB1587" s="64">
        <f t="shared" si="457"/>
        <v>0.33334444481482717</v>
      </c>
      <c r="AC1587" s="64">
        <f t="shared" si="457"/>
        <v>0.41443270172408153</v>
      </c>
      <c r="AD1587" s="64">
        <f t="shared" si="457"/>
        <v>0.41073800583412268</v>
      </c>
      <c r="AE1587" s="64">
        <f t="shared" si="457"/>
        <v>0.36695497095551405</v>
      </c>
      <c r="AF1587" s="64">
        <f t="shared" si="457"/>
        <v>0.12630775895932511</v>
      </c>
      <c r="AG1587" s="64">
        <f t="shared" si="457"/>
        <v>0.33533978303516038</v>
      </c>
      <c r="AH1587" s="64">
        <f t="shared" si="457"/>
        <v>0.20869986246679065</v>
      </c>
      <c r="AI1587" s="64">
        <f t="shared" si="457"/>
        <v>0.24201696942317272</v>
      </c>
      <c r="AJ1587" s="64">
        <f t="shared" si="457"/>
        <v>0.12042829117473382</v>
      </c>
      <c r="AK1587" s="137" t="s">
        <v>432</v>
      </c>
      <c r="AL1587" s="601" t="s">
        <v>432</v>
      </c>
      <c r="AM1587" s="137" t="s">
        <v>432</v>
      </c>
      <c r="AN1587" s="137" t="s">
        <v>432</v>
      </c>
      <c r="AO1587" s="137" t="s">
        <v>432</v>
      </c>
      <c r="AP1587" s="137" t="s">
        <v>432</v>
      </c>
      <c r="AQ1587" s="137" t="s">
        <v>432</v>
      </c>
      <c r="AR1587" s="137" t="s">
        <v>432</v>
      </c>
      <c r="AS1587" s="137" t="s">
        <v>432</v>
      </c>
      <c r="AT1587" s="137" t="s">
        <v>432</v>
      </c>
      <c r="AU1587" s="137" t="s">
        <v>432</v>
      </c>
      <c r="AV1587" s="137" t="s">
        <v>432</v>
      </c>
      <c r="AW1587" s="137" t="s">
        <v>432</v>
      </c>
      <c r="AX1587" s="137" t="s">
        <v>432</v>
      </c>
      <c r="AY1587" s="137" t="s">
        <v>432</v>
      </c>
      <c r="AZ1587" s="137" t="s">
        <v>432</v>
      </c>
      <c r="BA1587" s="137" t="s">
        <v>432</v>
      </c>
      <c r="BB1587" s="239" t="str">
        <f>B1587&amp;C1587</f>
        <v>Acidentes de trânsitox</v>
      </c>
      <c r="BC1587" s="239" t="str">
        <f>B1587&amp;C1587&amp;H1587</f>
        <v>Acidentes de trânsitoxx</v>
      </c>
      <c r="BD1587" s="239" t="str">
        <f>B1587&amp;H1587</f>
        <v>Acidentes de trânsitox</v>
      </c>
    </row>
    <row r="1588" spans="1:56" s="1" customFormat="1" ht="78.75" customHeight="1" x14ac:dyDescent="0.25">
      <c r="A1588" s="275" t="str">
        <f>'Q100b-totais'!$B$64</f>
        <v>9.1</v>
      </c>
      <c r="B1588" s="1205" t="str">
        <f>'Q100b-totais'!$C$64</f>
        <v>Acidentes de trânsito</v>
      </c>
      <c r="C1588" s="57" t="s">
        <v>432</v>
      </c>
      <c r="D1588" s="323" t="s">
        <v>3045</v>
      </c>
      <c r="E1588" s="1402" t="s">
        <v>1306</v>
      </c>
      <c r="F1588" s="25" t="s">
        <v>808</v>
      </c>
      <c r="G1588" s="404" t="s">
        <v>785</v>
      </c>
      <c r="H1588" s="173" t="s">
        <v>432</v>
      </c>
      <c r="I1588" s="57">
        <v>1</v>
      </c>
      <c r="J1588" s="107" t="s">
        <v>432</v>
      </c>
      <c r="K1588" s="23" t="s">
        <v>432</v>
      </c>
      <c r="L1588" s="23" t="s">
        <v>432</v>
      </c>
      <c r="M1588" s="23" t="s">
        <v>432</v>
      </c>
      <c r="N1588" s="23" t="s">
        <v>432</v>
      </c>
      <c r="O1588" s="23" t="s">
        <v>432</v>
      </c>
      <c r="P1588" s="23" t="s">
        <v>432</v>
      </c>
      <c r="Q1588" s="23" t="s">
        <v>432</v>
      </c>
      <c r="R1588" s="23" t="s">
        <v>432</v>
      </c>
      <c r="S1588" s="109" t="s">
        <v>2209</v>
      </c>
      <c r="T1588" s="23" t="s">
        <v>432</v>
      </c>
      <c r="U1588" s="23" t="s">
        <v>432</v>
      </c>
      <c r="V1588" s="109" t="s">
        <v>2209</v>
      </c>
      <c r="W1588" s="23" t="s">
        <v>432</v>
      </c>
      <c r="X1588" s="23" t="s">
        <v>432</v>
      </c>
      <c r="Y1588" s="23" t="s">
        <v>432</v>
      </c>
      <c r="Z1588" s="64">
        <f t="shared" ref="Z1588:AI1588" si="458">(Z1585/Z280)*1000</f>
        <v>17.580144777662873</v>
      </c>
      <c r="AA1588" s="64">
        <f t="shared" si="458"/>
        <v>11.097410604192355</v>
      </c>
      <c r="AB1588" s="64">
        <f t="shared" si="458"/>
        <v>9.5693779904306222</v>
      </c>
      <c r="AC1588" s="64">
        <f t="shared" si="458"/>
        <v>12.330456226880395</v>
      </c>
      <c r="AD1588" s="64">
        <f t="shared" si="458"/>
        <v>26.246719160104988</v>
      </c>
      <c r="AE1588" s="64">
        <f t="shared" si="458"/>
        <v>14.150943396226415</v>
      </c>
      <c r="AF1588" s="64">
        <f t="shared" si="458"/>
        <v>5.7251908396946565</v>
      </c>
      <c r="AG1588" s="64">
        <f t="shared" si="458"/>
        <v>19.607843137254903</v>
      </c>
      <c r="AH1588" s="64">
        <f t="shared" si="458"/>
        <v>12.254901960784313</v>
      </c>
      <c r="AI1588" s="64">
        <f t="shared" si="458"/>
        <v>15.957446808510637</v>
      </c>
      <c r="AJ1588" s="328" t="s">
        <v>772</v>
      </c>
      <c r="AK1588" s="137" t="s">
        <v>432</v>
      </c>
      <c r="AL1588" s="601" t="s">
        <v>432</v>
      </c>
      <c r="AM1588" s="137" t="s">
        <v>432</v>
      </c>
      <c r="AN1588" s="137" t="s">
        <v>432</v>
      </c>
      <c r="AO1588" s="137" t="s">
        <v>432</v>
      </c>
      <c r="AP1588" s="137" t="s">
        <v>432</v>
      </c>
      <c r="AQ1588" s="137" t="s">
        <v>432</v>
      </c>
      <c r="AR1588" s="137" t="s">
        <v>432</v>
      </c>
      <c r="AS1588" s="137" t="s">
        <v>432</v>
      </c>
      <c r="AT1588" s="137" t="s">
        <v>432</v>
      </c>
      <c r="AU1588" s="137" t="s">
        <v>432</v>
      </c>
      <c r="AV1588" s="137" t="s">
        <v>432</v>
      </c>
      <c r="AW1588" s="137" t="s">
        <v>432</v>
      </c>
      <c r="AX1588" s="137" t="s">
        <v>432</v>
      </c>
      <c r="AY1588" s="137" t="s">
        <v>432</v>
      </c>
      <c r="AZ1588" s="137" t="s">
        <v>432</v>
      </c>
      <c r="BA1588" s="137" t="s">
        <v>432</v>
      </c>
      <c r="BB1588" s="239" t="str">
        <f>B1588&amp;C1588</f>
        <v>Acidentes de trânsitox</v>
      </c>
      <c r="BC1588" s="239" t="str">
        <f>B1588&amp;C1588&amp;H1588</f>
        <v>Acidentes de trânsitoxx</v>
      </c>
      <c r="BD1588" s="239" t="str">
        <f>B1588&amp;H1588</f>
        <v>Acidentes de trânsitox</v>
      </c>
    </row>
    <row r="1589" spans="1:56" s="373" customFormat="1" x14ac:dyDescent="0.25">
      <c r="A1589" s="383"/>
      <c r="B1589" s="384"/>
      <c r="C1589" s="384"/>
      <c r="D1589" s="719"/>
      <c r="E1589" s="1519"/>
      <c r="F1589" s="385"/>
      <c r="G1589" s="385"/>
      <c r="H1589" s="389"/>
      <c r="I1589" s="385"/>
      <c r="J1589" s="385"/>
      <c r="K1589" s="385"/>
      <c r="L1589" s="385"/>
      <c r="M1589" s="385"/>
      <c r="N1589" s="385"/>
      <c r="O1589" s="385"/>
      <c r="P1589" s="385"/>
      <c r="Q1589" s="385"/>
      <c r="R1589" s="385"/>
      <c r="S1589" s="385"/>
      <c r="T1589" s="385"/>
      <c r="U1589" s="385"/>
      <c r="V1589" s="385"/>
      <c r="W1589" s="385"/>
      <c r="X1589" s="385"/>
      <c r="Y1589" s="385"/>
      <c r="Z1589" s="385"/>
      <c r="AA1589" s="385"/>
      <c r="AB1589" s="385"/>
      <c r="AC1589" s="385"/>
      <c r="AD1589" s="385"/>
      <c r="AE1589" s="385"/>
      <c r="AF1589" s="385"/>
      <c r="AG1589" s="385"/>
      <c r="AH1589" s="385"/>
      <c r="AI1589" s="385"/>
      <c r="AJ1589" s="385"/>
      <c r="AK1589" s="387"/>
      <c r="AL1589" s="387"/>
      <c r="AM1589" s="387"/>
      <c r="AN1589" s="387"/>
      <c r="AO1589" s="387"/>
      <c r="AP1589" s="387"/>
      <c r="AQ1589" s="387"/>
      <c r="AR1589" s="387"/>
      <c r="AS1589" s="387"/>
      <c r="AT1589" s="387"/>
      <c r="AU1589" s="387"/>
      <c r="AV1589" s="387"/>
      <c r="AW1589" s="387"/>
      <c r="AX1589" s="387"/>
      <c r="AY1589" s="387"/>
      <c r="AZ1589" s="387"/>
      <c r="BA1589" s="387"/>
      <c r="BB1589" s="388"/>
      <c r="BC1589" s="388"/>
      <c r="BD1589" s="388"/>
    </row>
    <row r="1590" spans="1:56" s="373" customFormat="1" ht="38.25" x14ac:dyDescent="0.25">
      <c r="A1590" s="262" t="str">
        <f>'Q100b-totais'!B22</f>
        <v>2.7</v>
      </c>
      <c r="B1590" s="252" t="str">
        <f>'Q100b-totais'!C22</f>
        <v>Outras cidades/regiões</v>
      </c>
      <c r="C1590" s="167" t="s">
        <v>743</v>
      </c>
      <c r="D1590" s="325" t="s">
        <v>3292</v>
      </c>
      <c r="E1590" s="1445" t="s">
        <v>3292</v>
      </c>
      <c r="F1590" s="1205" t="s">
        <v>4206</v>
      </c>
      <c r="G1590" s="57" t="s">
        <v>3507</v>
      </c>
      <c r="H1590" s="167" t="s">
        <v>2408</v>
      </c>
      <c r="I1590" s="167" t="s">
        <v>432</v>
      </c>
      <c r="J1590" s="107" t="s">
        <v>432</v>
      </c>
      <c r="K1590" s="107" t="s">
        <v>432</v>
      </c>
      <c r="L1590" s="107" t="s">
        <v>432</v>
      </c>
      <c r="M1590" s="107" t="s">
        <v>432</v>
      </c>
      <c r="N1590" s="107" t="s">
        <v>432</v>
      </c>
      <c r="O1590" s="107" t="s">
        <v>432</v>
      </c>
      <c r="P1590" s="107" t="s">
        <v>432</v>
      </c>
      <c r="Q1590" s="107" t="s">
        <v>432</v>
      </c>
      <c r="R1590" s="107" t="s">
        <v>432</v>
      </c>
      <c r="S1590" s="109" t="s">
        <v>2209</v>
      </c>
      <c r="T1590" s="107" t="s">
        <v>432</v>
      </c>
      <c r="U1590" s="107" t="s">
        <v>432</v>
      </c>
      <c r="V1590" s="109" t="s">
        <v>2209</v>
      </c>
      <c r="W1590" s="107" t="s">
        <v>432</v>
      </c>
      <c r="X1590" s="107" t="s">
        <v>432</v>
      </c>
      <c r="Y1590" s="107" t="s">
        <v>432</v>
      </c>
      <c r="Z1590" s="107" t="s">
        <v>432</v>
      </c>
      <c r="AA1590" s="107" t="s">
        <v>432</v>
      </c>
      <c r="AB1590" s="107" t="s">
        <v>432</v>
      </c>
      <c r="AC1590" s="107" t="s">
        <v>432</v>
      </c>
      <c r="AD1590" s="107" t="s">
        <v>432</v>
      </c>
      <c r="AE1590" s="107" t="s">
        <v>432</v>
      </c>
      <c r="AF1590" s="107" t="s">
        <v>432</v>
      </c>
      <c r="AG1590" s="107" t="s">
        <v>432</v>
      </c>
      <c r="AH1590" s="107" t="s">
        <v>432</v>
      </c>
      <c r="AI1590" s="107" t="s">
        <v>432</v>
      </c>
      <c r="AJ1590" s="107" t="s">
        <v>432</v>
      </c>
      <c r="AK1590" s="107" t="s">
        <v>432</v>
      </c>
      <c r="AL1590" s="601" t="s">
        <v>432</v>
      </c>
      <c r="AM1590" s="137" t="s">
        <v>432</v>
      </c>
      <c r="AN1590" s="137" t="s">
        <v>432</v>
      </c>
      <c r="AO1590" s="137" t="s">
        <v>432</v>
      </c>
      <c r="AP1590" s="137" t="s">
        <v>432</v>
      </c>
      <c r="AQ1590" s="137" t="s">
        <v>432</v>
      </c>
      <c r="AR1590" s="137" t="s">
        <v>432</v>
      </c>
      <c r="AS1590" s="137" t="s">
        <v>432</v>
      </c>
      <c r="AT1590" s="137" t="s">
        <v>432</v>
      </c>
      <c r="AU1590" s="137" t="s">
        <v>432</v>
      </c>
      <c r="AV1590" s="137" t="s">
        <v>432</v>
      </c>
      <c r="AW1590" s="137" t="s">
        <v>432</v>
      </c>
      <c r="AX1590" s="137" t="s">
        <v>432</v>
      </c>
      <c r="AY1590" s="137" t="s">
        <v>432</v>
      </c>
      <c r="AZ1590" s="137" t="s">
        <v>432</v>
      </c>
      <c r="BA1590" s="137" t="s">
        <v>432</v>
      </c>
      <c r="BB1590" s="239" t="str">
        <f t="shared" ref="BB1590:BB1597" si="459">B1590&amp;C1590</f>
        <v>Outras cidades/regiõesacessibilidade</v>
      </c>
      <c r="BC1590" s="239" t="str">
        <f t="shared" ref="BC1590:BC1597" si="460">B1590&amp;C1590&amp;H1590</f>
        <v>Outras cidades/regiõesacessibilidadesigla/verbete</v>
      </c>
      <c r="BD1590" s="239" t="str">
        <f t="shared" ref="BD1590:BD1597" si="461">B1590&amp;H1590</f>
        <v>Outras cidades/regiõessigla/verbete</v>
      </c>
    </row>
    <row r="1591" spans="1:56" s="3" customFormat="1" ht="38.25" x14ac:dyDescent="0.25">
      <c r="A1591" s="262" t="str">
        <f>'Q100b-totais'!B22</f>
        <v>2.7</v>
      </c>
      <c r="B1591" s="252" t="str">
        <f>'Q100b-totais'!C22</f>
        <v>Outras cidades/regiões</v>
      </c>
      <c r="C1591" s="167" t="s">
        <v>743</v>
      </c>
      <c r="D1591" s="325" t="s">
        <v>3034</v>
      </c>
      <c r="E1591" s="1445" t="s">
        <v>3034</v>
      </c>
      <c r="F1591" s="1151" t="s">
        <v>4248</v>
      </c>
      <c r="G1591" s="57" t="s">
        <v>3507</v>
      </c>
      <c r="H1591" s="167" t="s">
        <v>2408</v>
      </c>
      <c r="I1591" s="167" t="s">
        <v>432</v>
      </c>
      <c r="J1591" s="107" t="s">
        <v>432</v>
      </c>
      <c r="K1591" s="107" t="s">
        <v>432</v>
      </c>
      <c r="L1591" s="107" t="s">
        <v>432</v>
      </c>
      <c r="M1591" s="107" t="s">
        <v>432</v>
      </c>
      <c r="N1591" s="107" t="s">
        <v>432</v>
      </c>
      <c r="O1591" s="107" t="s">
        <v>432</v>
      </c>
      <c r="P1591" s="107" t="s">
        <v>432</v>
      </c>
      <c r="Q1591" s="107" t="s">
        <v>432</v>
      </c>
      <c r="R1591" s="107" t="s">
        <v>432</v>
      </c>
      <c r="S1591" s="109" t="s">
        <v>2209</v>
      </c>
      <c r="T1591" s="107" t="s">
        <v>432</v>
      </c>
      <c r="U1591" s="107" t="s">
        <v>432</v>
      </c>
      <c r="V1591" s="109" t="s">
        <v>2209</v>
      </c>
      <c r="W1591" s="107" t="s">
        <v>432</v>
      </c>
      <c r="X1591" s="107" t="s">
        <v>432</v>
      </c>
      <c r="Y1591" s="107" t="s">
        <v>432</v>
      </c>
      <c r="Z1591" s="107" t="s">
        <v>432</v>
      </c>
      <c r="AA1591" s="107" t="s">
        <v>432</v>
      </c>
      <c r="AB1591" s="107" t="s">
        <v>432</v>
      </c>
      <c r="AC1591" s="107" t="s">
        <v>432</v>
      </c>
      <c r="AD1591" s="107" t="s">
        <v>432</v>
      </c>
      <c r="AE1591" s="107" t="s">
        <v>432</v>
      </c>
      <c r="AF1591" s="107" t="s">
        <v>432</v>
      </c>
      <c r="AG1591" s="107" t="s">
        <v>432</v>
      </c>
      <c r="AH1591" s="107" t="s">
        <v>432</v>
      </c>
      <c r="AI1591" s="107" t="s">
        <v>432</v>
      </c>
      <c r="AJ1591" s="107" t="s">
        <v>432</v>
      </c>
      <c r="AK1591" s="107" t="s">
        <v>432</v>
      </c>
      <c r="AL1591" s="601" t="s">
        <v>432</v>
      </c>
      <c r="AM1591" s="137" t="s">
        <v>432</v>
      </c>
      <c r="AN1591" s="137" t="s">
        <v>432</v>
      </c>
      <c r="AO1591" s="137" t="s">
        <v>432</v>
      </c>
      <c r="AP1591" s="137" t="s">
        <v>432</v>
      </c>
      <c r="AQ1591" s="137" t="s">
        <v>432</v>
      </c>
      <c r="AR1591" s="137" t="s">
        <v>432</v>
      </c>
      <c r="AS1591" s="137" t="s">
        <v>432</v>
      </c>
      <c r="AT1591" s="137" t="s">
        <v>432</v>
      </c>
      <c r="AU1591" s="137" t="s">
        <v>432</v>
      </c>
      <c r="AV1591" s="137" t="s">
        <v>432</v>
      </c>
      <c r="AW1591" s="137" t="s">
        <v>432</v>
      </c>
      <c r="AX1591" s="137" t="s">
        <v>432</v>
      </c>
      <c r="AY1591" s="137" t="s">
        <v>432</v>
      </c>
      <c r="AZ1591" s="137" t="s">
        <v>432</v>
      </c>
      <c r="BA1591" s="137" t="s">
        <v>432</v>
      </c>
      <c r="BB1591" s="239" t="str">
        <f t="shared" si="459"/>
        <v>Outras cidades/regiõesacessibilidade</v>
      </c>
      <c r="BC1591" s="239" t="str">
        <f t="shared" si="460"/>
        <v>Outras cidades/regiõesacessibilidadesigla/verbete</v>
      </c>
      <c r="BD1591" s="239" t="str">
        <f t="shared" si="461"/>
        <v>Outras cidades/regiõessigla/verbete</v>
      </c>
    </row>
    <row r="1592" spans="1:56" s="1" customFormat="1" ht="41.25" x14ac:dyDescent="0.25">
      <c r="A1592" s="275" t="str">
        <f>'Q100b-totais'!$B$11</f>
        <v>1.2</v>
      </c>
      <c r="B1592" s="1205" t="str">
        <f>'Q100b-totais'!$C$11</f>
        <v>Atendimento ao usuário em geral</v>
      </c>
      <c r="C1592" s="57" t="s">
        <v>432</v>
      </c>
      <c r="D1592" s="939" t="s">
        <v>267</v>
      </c>
      <c r="E1592" s="509" t="s">
        <v>1306</v>
      </c>
      <c r="F1592" s="11" t="s">
        <v>1950</v>
      </c>
      <c r="G1592" s="241" t="s">
        <v>1895</v>
      </c>
      <c r="H1592" s="445" t="s">
        <v>678</v>
      </c>
      <c r="I1592" s="57">
        <v>1</v>
      </c>
      <c r="J1592" s="109" t="s">
        <v>432</v>
      </c>
      <c r="K1592" s="110" t="s">
        <v>432</v>
      </c>
      <c r="L1592" s="110" t="s">
        <v>432</v>
      </c>
      <c r="M1592" s="110" t="s">
        <v>432</v>
      </c>
      <c r="N1592" s="110" t="s">
        <v>432</v>
      </c>
      <c r="O1592" s="110" t="s">
        <v>432</v>
      </c>
      <c r="P1592" s="110" t="s">
        <v>432</v>
      </c>
      <c r="Q1592" s="110" t="s">
        <v>432</v>
      </c>
      <c r="R1592" s="110" t="s">
        <v>432</v>
      </c>
      <c r="S1592" s="109" t="s">
        <v>2209</v>
      </c>
      <c r="T1592" s="110" t="s">
        <v>432</v>
      </c>
      <c r="U1592" s="110" t="s">
        <v>432</v>
      </c>
      <c r="V1592" s="109" t="s">
        <v>2209</v>
      </c>
      <c r="W1592" s="110" t="s">
        <v>432</v>
      </c>
      <c r="X1592" s="110" t="s">
        <v>432</v>
      </c>
      <c r="Y1592" s="110" t="s">
        <v>432</v>
      </c>
      <c r="Z1592" s="110" t="s">
        <v>432</v>
      </c>
      <c r="AA1592" s="110" t="s">
        <v>432</v>
      </c>
      <c r="AB1592" s="110" t="s">
        <v>432</v>
      </c>
      <c r="AC1592" s="110" t="s">
        <v>432</v>
      </c>
      <c r="AD1592" s="110" t="s">
        <v>432</v>
      </c>
      <c r="AE1592" s="110" t="s">
        <v>432</v>
      </c>
      <c r="AF1592" s="110" t="s">
        <v>432</v>
      </c>
      <c r="AG1592" s="110" t="s">
        <v>432</v>
      </c>
      <c r="AH1592" s="110" t="s">
        <v>432</v>
      </c>
      <c r="AI1592" s="110" t="s">
        <v>432</v>
      </c>
      <c r="AJ1592" s="110" t="s">
        <v>432</v>
      </c>
      <c r="AK1592" s="137" t="s">
        <v>432</v>
      </c>
      <c r="AL1592" s="601" t="s">
        <v>432</v>
      </c>
      <c r="AM1592" s="137" t="s">
        <v>432</v>
      </c>
      <c r="AN1592" s="137" t="s">
        <v>432</v>
      </c>
      <c r="AO1592" s="137" t="s">
        <v>432</v>
      </c>
      <c r="AP1592" s="137" t="s">
        <v>432</v>
      </c>
      <c r="AQ1592" s="137" t="s">
        <v>432</v>
      </c>
      <c r="AR1592" s="137" t="s">
        <v>432</v>
      </c>
      <c r="AS1592" s="137" t="s">
        <v>432</v>
      </c>
      <c r="AT1592" s="137" t="s">
        <v>432</v>
      </c>
      <c r="AU1592" s="137" t="s">
        <v>432</v>
      </c>
      <c r="AV1592" s="137" t="s">
        <v>432</v>
      </c>
      <c r="AW1592" s="137" t="s">
        <v>432</v>
      </c>
      <c r="AX1592" s="137" t="s">
        <v>432</v>
      </c>
      <c r="AY1592" s="137" t="s">
        <v>432</v>
      </c>
      <c r="AZ1592" s="137" t="s">
        <v>432</v>
      </c>
      <c r="BA1592" s="137" t="s">
        <v>432</v>
      </c>
      <c r="BB1592" s="239" t="str">
        <f t="shared" si="459"/>
        <v>Atendimento ao usuário em geralx</v>
      </c>
      <c r="BC1592" s="239" t="str">
        <f t="shared" si="460"/>
        <v>Atendimento ao usuário em geralxainda não incorporado ao SisMob-BH</v>
      </c>
      <c r="BD1592" s="239" t="str">
        <f t="shared" si="461"/>
        <v>Atendimento ao usuário em geralainda não incorporado ao SisMob-BH</v>
      </c>
    </row>
    <row r="1593" spans="1:56" s="1" customFormat="1" ht="87.75" customHeight="1" x14ac:dyDescent="0.25">
      <c r="A1593" s="275" t="str">
        <f>'Q100b-totais'!B49</f>
        <v>6.1</v>
      </c>
      <c r="B1593" s="1172" t="str">
        <f>'Q100b-totais'!C49</f>
        <v>Calçadas e passarelas</v>
      </c>
      <c r="C1593" s="57" t="s">
        <v>743</v>
      </c>
      <c r="D1593" s="939" t="s">
        <v>4622</v>
      </c>
      <c r="E1593" s="509" t="s">
        <v>1306</v>
      </c>
      <c r="F1593" s="1205" t="s">
        <v>5631</v>
      </c>
      <c r="G1593" s="230" t="s">
        <v>3507</v>
      </c>
      <c r="H1593" s="167" t="s">
        <v>2408</v>
      </c>
      <c r="I1593" s="167" t="s">
        <v>432</v>
      </c>
      <c r="J1593" s="107" t="s">
        <v>432</v>
      </c>
      <c r="K1593" s="107" t="s">
        <v>432</v>
      </c>
      <c r="L1593" s="107" t="s">
        <v>432</v>
      </c>
      <c r="M1593" s="107" t="s">
        <v>432</v>
      </c>
      <c r="N1593" s="107" t="s">
        <v>432</v>
      </c>
      <c r="O1593" s="107" t="s">
        <v>432</v>
      </c>
      <c r="P1593" s="107" t="s">
        <v>432</v>
      </c>
      <c r="Q1593" s="107" t="s">
        <v>432</v>
      </c>
      <c r="R1593" s="107" t="s">
        <v>432</v>
      </c>
      <c r="S1593" s="109" t="s">
        <v>2209</v>
      </c>
      <c r="T1593" s="107" t="s">
        <v>432</v>
      </c>
      <c r="U1593" s="107" t="s">
        <v>432</v>
      </c>
      <c r="V1593" s="109" t="s">
        <v>2209</v>
      </c>
      <c r="W1593" s="107" t="s">
        <v>432</v>
      </c>
      <c r="X1593" s="107" t="s">
        <v>432</v>
      </c>
      <c r="Y1593" s="107" t="s">
        <v>432</v>
      </c>
      <c r="Z1593" s="107" t="s">
        <v>432</v>
      </c>
      <c r="AA1593" s="107" t="s">
        <v>432</v>
      </c>
      <c r="AB1593" s="107" t="s">
        <v>432</v>
      </c>
      <c r="AC1593" s="107" t="s">
        <v>432</v>
      </c>
      <c r="AD1593" s="107" t="s">
        <v>432</v>
      </c>
      <c r="AE1593" s="107" t="s">
        <v>432</v>
      </c>
      <c r="AF1593" s="107" t="s">
        <v>432</v>
      </c>
      <c r="AG1593" s="107" t="s">
        <v>432</v>
      </c>
      <c r="AH1593" s="107" t="s">
        <v>432</v>
      </c>
      <c r="AI1593" s="107" t="s">
        <v>432</v>
      </c>
      <c r="AJ1593" s="107" t="s">
        <v>432</v>
      </c>
      <c r="AK1593" s="137" t="s">
        <v>432</v>
      </c>
      <c r="AL1593" s="601" t="s">
        <v>432</v>
      </c>
      <c r="AM1593" s="137" t="s">
        <v>432</v>
      </c>
      <c r="AN1593" s="137" t="s">
        <v>432</v>
      </c>
      <c r="AO1593" s="137" t="s">
        <v>432</v>
      </c>
      <c r="AP1593" s="137" t="s">
        <v>432</v>
      </c>
      <c r="AQ1593" s="137" t="s">
        <v>432</v>
      </c>
      <c r="AR1593" s="137" t="s">
        <v>432</v>
      </c>
      <c r="AS1593" s="137" t="s">
        <v>432</v>
      </c>
      <c r="AT1593" s="137" t="s">
        <v>432</v>
      </c>
      <c r="AU1593" s="137" t="s">
        <v>432</v>
      </c>
      <c r="AV1593" s="137" t="s">
        <v>432</v>
      </c>
      <c r="AW1593" s="137" t="s">
        <v>432</v>
      </c>
      <c r="AX1593" s="137" t="s">
        <v>432</v>
      </c>
      <c r="AY1593" s="137" t="s">
        <v>432</v>
      </c>
      <c r="AZ1593" s="137" t="s">
        <v>432</v>
      </c>
      <c r="BA1593" s="137" t="s">
        <v>432</v>
      </c>
      <c r="BB1593" s="239" t="str">
        <f>B1593&amp;C1593</f>
        <v>Calçadas e passarelasacessibilidade</v>
      </c>
      <c r="BC1593" s="239" t="str">
        <f>B1593&amp;C1593&amp;H1593</f>
        <v>Calçadas e passarelasacessibilidadesigla/verbete</v>
      </c>
      <c r="BD1593" s="239" t="str">
        <f>B1593&amp;H1593</f>
        <v>Calçadas e passarelassigla/verbete</v>
      </c>
    </row>
    <row r="1594" spans="1:56" s="3" customFormat="1" ht="91.5" customHeight="1" x14ac:dyDescent="0.25">
      <c r="A1594" s="275" t="str">
        <f>'Q100b-totais'!B18</f>
        <v>2.3</v>
      </c>
      <c r="B1594" s="1205" t="str">
        <f>'Q100b-totais'!C18</f>
        <v>Rede viária</v>
      </c>
      <c r="C1594" s="167" t="s">
        <v>743</v>
      </c>
      <c r="D1594" s="324" t="s">
        <v>3236</v>
      </c>
      <c r="E1594" s="254" t="s">
        <v>1306</v>
      </c>
      <c r="F1594" s="11" t="s">
        <v>5221</v>
      </c>
      <c r="G1594" s="230" t="s">
        <v>3507</v>
      </c>
      <c r="H1594" s="167" t="s">
        <v>2408</v>
      </c>
      <c r="I1594" s="167" t="s">
        <v>432</v>
      </c>
      <c r="J1594" s="107" t="s">
        <v>432</v>
      </c>
      <c r="K1594" s="107" t="s">
        <v>432</v>
      </c>
      <c r="L1594" s="107" t="s">
        <v>432</v>
      </c>
      <c r="M1594" s="107" t="s">
        <v>432</v>
      </c>
      <c r="N1594" s="107" t="s">
        <v>432</v>
      </c>
      <c r="O1594" s="107" t="s">
        <v>432</v>
      </c>
      <c r="P1594" s="107" t="s">
        <v>432</v>
      </c>
      <c r="Q1594" s="107" t="s">
        <v>432</v>
      </c>
      <c r="R1594" s="107" t="s">
        <v>432</v>
      </c>
      <c r="S1594" s="109" t="s">
        <v>2209</v>
      </c>
      <c r="T1594" s="107" t="s">
        <v>432</v>
      </c>
      <c r="U1594" s="107" t="s">
        <v>432</v>
      </c>
      <c r="V1594" s="109" t="s">
        <v>2209</v>
      </c>
      <c r="W1594" s="107" t="s">
        <v>432</v>
      </c>
      <c r="X1594" s="107" t="s">
        <v>432</v>
      </c>
      <c r="Y1594" s="107" t="s">
        <v>432</v>
      </c>
      <c r="Z1594" s="107" t="s">
        <v>432</v>
      </c>
      <c r="AA1594" s="107" t="s">
        <v>432</v>
      </c>
      <c r="AB1594" s="107" t="s">
        <v>432</v>
      </c>
      <c r="AC1594" s="107" t="s">
        <v>432</v>
      </c>
      <c r="AD1594" s="107" t="s">
        <v>432</v>
      </c>
      <c r="AE1594" s="107" t="s">
        <v>432</v>
      </c>
      <c r="AF1594" s="107" t="s">
        <v>432</v>
      </c>
      <c r="AG1594" s="107" t="s">
        <v>432</v>
      </c>
      <c r="AH1594" s="107" t="s">
        <v>432</v>
      </c>
      <c r="AI1594" s="107" t="s">
        <v>432</v>
      </c>
      <c r="AJ1594" s="107" t="s">
        <v>432</v>
      </c>
      <c r="AK1594" s="137" t="s">
        <v>432</v>
      </c>
      <c r="AL1594" s="601" t="s">
        <v>432</v>
      </c>
      <c r="AM1594" s="137" t="s">
        <v>432</v>
      </c>
      <c r="AN1594" s="137" t="s">
        <v>432</v>
      </c>
      <c r="AO1594" s="137" t="s">
        <v>432</v>
      </c>
      <c r="AP1594" s="137" t="s">
        <v>432</v>
      </c>
      <c r="AQ1594" s="137" t="s">
        <v>432</v>
      </c>
      <c r="AR1594" s="137" t="s">
        <v>432</v>
      </c>
      <c r="AS1594" s="137" t="s">
        <v>432</v>
      </c>
      <c r="AT1594" s="137" t="s">
        <v>432</v>
      </c>
      <c r="AU1594" s="137" t="s">
        <v>432</v>
      </c>
      <c r="AV1594" s="137" t="s">
        <v>432</v>
      </c>
      <c r="AW1594" s="137" t="s">
        <v>432</v>
      </c>
      <c r="AX1594" s="137" t="s">
        <v>432</v>
      </c>
      <c r="AY1594" s="137" t="s">
        <v>432</v>
      </c>
      <c r="AZ1594" s="137" t="s">
        <v>432</v>
      </c>
      <c r="BA1594" s="137" t="s">
        <v>432</v>
      </c>
      <c r="BB1594" s="239" t="str">
        <f t="shared" si="459"/>
        <v>Rede viáriaacessibilidade</v>
      </c>
      <c r="BC1594" s="239" t="str">
        <f t="shared" si="460"/>
        <v>Rede viáriaacessibilidadesigla/verbete</v>
      </c>
      <c r="BD1594" s="239" t="str">
        <f t="shared" si="461"/>
        <v>Rede viáriasigla/verbete</v>
      </c>
    </row>
    <row r="1595" spans="1:56" s="3" customFormat="1" ht="53.25" customHeight="1" x14ac:dyDescent="0.25">
      <c r="A1595" s="275" t="str">
        <f>'Q100b-totais'!B18</f>
        <v>2.3</v>
      </c>
      <c r="B1595" s="1205" t="str">
        <f>'Q100b-totais'!C18</f>
        <v>Rede viária</v>
      </c>
      <c r="C1595" s="167" t="s">
        <v>743</v>
      </c>
      <c r="D1595" s="324" t="s">
        <v>3236</v>
      </c>
      <c r="E1595" s="254" t="s">
        <v>1298</v>
      </c>
      <c r="F1595" s="1174" t="s">
        <v>3815</v>
      </c>
      <c r="G1595" s="230" t="s">
        <v>3507</v>
      </c>
      <c r="H1595" s="167" t="s">
        <v>2408</v>
      </c>
      <c r="I1595" s="167" t="s">
        <v>432</v>
      </c>
      <c r="J1595" s="107" t="s">
        <v>432</v>
      </c>
      <c r="K1595" s="107" t="s">
        <v>432</v>
      </c>
      <c r="L1595" s="107" t="s">
        <v>432</v>
      </c>
      <c r="M1595" s="107" t="s">
        <v>432</v>
      </c>
      <c r="N1595" s="107" t="s">
        <v>432</v>
      </c>
      <c r="O1595" s="107" t="s">
        <v>432</v>
      </c>
      <c r="P1595" s="107" t="s">
        <v>432</v>
      </c>
      <c r="Q1595" s="107" t="s">
        <v>432</v>
      </c>
      <c r="R1595" s="107" t="s">
        <v>432</v>
      </c>
      <c r="S1595" s="109" t="s">
        <v>2209</v>
      </c>
      <c r="T1595" s="107" t="s">
        <v>432</v>
      </c>
      <c r="U1595" s="107" t="s">
        <v>432</v>
      </c>
      <c r="V1595" s="109" t="s">
        <v>2209</v>
      </c>
      <c r="W1595" s="107" t="s">
        <v>432</v>
      </c>
      <c r="X1595" s="107" t="s">
        <v>432</v>
      </c>
      <c r="Y1595" s="107" t="s">
        <v>432</v>
      </c>
      <c r="Z1595" s="107" t="s">
        <v>432</v>
      </c>
      <c r="AA1595" s="107" t="s">
        <v>432</v>
      </c>
      <c r="AB1595" s="107" t="s">
        <v>432</v>
      </c>
      <c r="AC1595" s="107" t="s">
        <v>432</v>
      </c>
      <c r="AD1595" s="107" t="s">
        <v>432</v>
      </c>
      <c r="AE1595" s="107" t="s">
        <v>432</v>
      </c>
      <c r="AF1595" s="107" t="s">
        <v>432</v>
      </c>
      <c r="AG1595" s="107" t="s">
        <v>432</v>
      </c>
      <c r="AH1595" s="107" t="s">
        <v>432</v>
      </c>
      <c r="AI1595" s="107" t="s">
        <v>432</v>
      </c>
      <c r="AJ1595" s="107" t="s">
        <v>432</v>
      </c>
      <c r="AK1595" s="137" t="s">
        <v>432</v>
      </c>
      <c r="AL1595" s="601" t="s">
        <v>432</v>
      </c>
      <c r="AM1595" s="137" t="s">
        <v>432</v>
      </c>
      <c r="AN1595" s="137" t="s">
        <v>432</v>
      </c>
      <c r="AO1595" s="137" t="s">
        <v>432</v>
      </c>
      <c r="AP1595" s="137" t="s">
        <v>432</v>
      </c>
      <c r="AQ1595" s="137" t="s">
        <v>432</v>
      </c>
      <c r="AR1595" s="137" t="s">
        <v>432</v>
      </c>
      <c r="AS1595" s="137" t="s">
        <v>432</v>
      </c>
      <c r="AT1595" s="137" t="s">
        <v>432</v>
      </c>
      <c r="AU1595" s="137" t="s">
        <v>432</v>
      </c>
      <c r="AV1595" s="137" t="s">
        <v>432</v>
      </c>
      <c r="AW1595" s="137" t="s">
        <v>432</v>
      </c>
      <c r="AX1595" s="137" t="s">
        <v>432</v>
      </c>
      <c r="AY1595" s="137" t="s">
        <v>432</v>
      </c>
      <c r="AZ1595" s="137" t="s">
        <v>432</v>
      </c>
      <c r="BA1595" s="137" t="s">
        <v>432</v>
      </c>
      <c r="BB1595" s="239" t="str">
        <f t="shared" si="459"/>
        <v>Rede viáriaacessibilidade</v>
      </c>
      <c r="BC1595" s="239" t="str">
        <f t="shared" si="460"/>
        <v>Rede viáriaacessibilidadesigla/verbete</v>
      </c>
      <c r="BD1595" s="239" t="str">
        <f t="shared" si="461"/>
        <v>Rede viáriasigla/verbete</v>
      </c>
    </row>
    <row r="1596" spans="1:56" s="3" customFormat="1" ht="58.5" customHeight="1" x14ac:dyDescent="0.25">
      <c r="A1596" s="275" t="str">
        <f>'Q100b-totais'!B65</f>
        <v>9.2</v>
      </c>
      <c r="B1596" s="1205" t="str">
        <f>'Q100b-totais'!C65</f>
        <v>Estacionamento</v>
      </c>
      <c r="C1596" s="167" t="s">
        <v>743</v>
      </c>
      <c r="D1596" s="324" t="s">
        <v>4381</v>
      </c>
      <c r="E1596" s="254" t="s">
        <v>1771</v>
      </c>
      <c r="F1596" s="1205" t="s">
        <v>4382</v>
      </c>
      <c r="G1596" s="230" t="s">
        <v>3507</v>
      </c>
      <c r="H1596" s="167" t="s">
        <v>2408</v>
      </c>
      <c r="I1596" s="167" t="s">
        <v>432</v>
      </c>
      <c r="J1596" s="107" t="s">
        <v>432</v>
      </c>
      <c r="K1596" s="107" t="s">
        <v>432</v>
      </c>
      <c r="L1596" s="107" t="s">
        <v>432</v>
      </c>
      <c r="M1596" s="107" t="s">
        <v>432</v>
      </c>
      <c r="N1596" s="107" t="s">
        <v>432</v>
      </c>
      <c r="O1596" s="107" t="s">
        <v>432</v>
      </c>
      <c r="P1596" s="107" t="s">
        <v>432</v>
      </c>
      <c r="Q1596" s="107" t="s">
        <v>432</v>
      </c>
      <c r="R1596" s="107" t="s">
        <v>432</v>
      </c>
      <c r="S1596" s="109" t="s">
        <v>2209</v>
      </c>
      <c r="T1596" s="107" t="s">
        <v>432</v>
      </c>
      <c r="U1596" s="107" t="s">
        <v>432</v>
      </c>
      <c r="V1596" s="109" t="s">
        <v>2209</v>
      </c>
      <c r="W1596" s="107" t="s">
        <v>432</v>
      </c>
      <c r="X1596" s="107" t="s">
        <v>432</v>
      </c>
      <c r="Y1596" s="107" t="s">
        <v>432</v>
      </c>
      <c r="Z1596" s="107" t="s">
        <v>432</v>
      </c>
      <c r="AA1596" s="107" t="s">
        <v>432</v>
      </c>
      <c r="AB1596" s="107" t="s">
        <v>432</v>
      </c>
      <c r="AC1596" s="107" t="s">
        <v>432</v>
      </c>
      <c r="AD1596" s="107" t="s">
        <v>432</v>
      </c>
      <c r="AE1596" s="107" t="s">
        <v>432</v>
      </c>
      <c r="AF1596" s="107" t="s">
        <v>432</v>
      </c>
      <c r="AG1596" s="107" t="s">
        <v>432</v>
      </c>
      <c r="AH1596" s="107" t="s">
        <v>432</v>
      </c>
      <c r="AI1596" s="107" t="s">
        <v>432</v>
      </c>
      <c r="AJ1596" s="107" t="s">
        <v>432</v>
      </c>
      <c r="AK1596" s="137" t="s">
        <v>432</v>
      </c>
      <c r="AL1596" s="601" t="s">
        <v>432</v>
      </c>
      <c r="AM1596" s="137" t="s">
        <v>432</v>
      </c>
      <c r="AN1596" s="137" t="s">
        <v>432</v>
      </c>
      <c r="AO1596" s="137" t="s">
        <v>432</v>
      </c>
      <c r="AP1596" s="137" t="s">
        <v>432</v>
      </c>
      <c r="AQ1596" s="137" t="s">
        <v>432</v>
      </c>
      <c r="AR1596" s="137" t="s">
        <v>432</v>
      </c>
      <c r="AS1596" s="137" t="s">
        <v>432</v>
      </c>
      <c r="AT1596" s="137" t="s">
        <v>432</v>
      </c>
      <c r="AU1596" s="137" t="s">
        <v>432</v>
      </c>
      <c r="AV1596" s="137" t="s">
        <v>432</v>
      </c>
      <c r="AW1596" s="137" t="s">
        <v>432</v>
      </c>
      <c r="AX1596" s="137" t="s">
        <v>432</v>
      </c>
      <c r="AY1596" s="137" t="s">
        <v>432</v>
      </c>
      <c r="AZ1596" s="137" t="s">
        <v>432</v>
      </c>
      <c r="BA1596" s="137" t="s">
        <v>432</v>
      </c>
      <c r="BB1596" s="239" t="str">
        <f>B1596&amp;C1596</f>
        <v>Estacionamentoacessibilidade</v>
      </c>
      <c r="BC1596" s="239" t="str">
        <f>B1596&amp;C1596&amp;H1596</f>
        <v>Estacionamentoacessibilidadesigla/verbete</v>
      </c>
      <c r="BD1596" s="239" t="str">
        <f>B1596&amp;H1596</f>
        <v>Estacionamentosigla/verbete</v>
      </c>
    </row>
    <row r="1597" spans="1:56" s="3" customFormat="1" ht="58.5" customHeight="1" x14ac:dyDescent="0.25">
      <c r="A1597" s="262" t="str">
        <f>'Q100b-totais'!B22</f>
        <v>2.7</v>
      </c>
      <c r="B1597" s="252" t="str">
        <f>'Q100b-totais'!C22</f>
        <v>Outras cidades/regiões</v>
      </c>
      <c r="C1597" s="167" t="s">
        <v>743</v>
      </c>
      <c r="D1597" s="325" t="s">
        <v>3037</v>
      </c>
      <c r="E1597" s="1445" t="s">
        <v>3037</v>
      </c>
      <c r="F1597" s="252" t="s">
        <v>4249</v>
      </c>
      <c r="G1597" s="230" t="s">
        <v>3507</v>
      </c>
      <c r="H1597" s="167" t="s">
        <v>2408</v>
      </c>
      <c r="I1597" s="167" t="s">
        <v>432</v>
      </c>
      <c r="J1597" s="107" t="s">
        <v>432</v>
      </c>
      <c r="K1597" s="107" t="s">
        <v>432</v>
      </c>
      <c r="L1597" s="107" t="s">
        <v>432</v>
      </c>
      <c r="M1597" s="107" t="s">
        <v>432</v>
      </c>
      <c r="N1597" s="107" t="s">
        <v>432</v>
      </c>
      <c r="O1597" s="107" t="s">
        <v>432</v>
      </c>
      <c r="P1597" s="107" t="s">
        <v>432</v>
      </c>
      <c r="Q1597" s="107" t="s">
        <v>432</v>
      </c>
      <c r="R1597" s="107" t="s">
        <v>432</v>
      </c>
      <c r="S1597" s="109" t="s">
        <v>2209</v>
      </c>
      <c r="T1597" s="107" t="s">
        <v>432</v>
      </c>
      <c r="U1597" s="107" t="s">
        <v>432</v>
      </c>
      <c r="V1597" s="109" t="s">
        <v>2209</v>
      </c>
      <c r="W1597" s="107" t="s">
        <v>432</v>
      </c>
      <c r="X1597" s="107" t="s">
        <v>432</v>
      </c>
      <c r="Y1597" s="107" t="s">
        <v>432</v>
      </c>
      <c r="Z1597" s="107" t="s">
        <v>432</v>
      </c>
      <c r="AA1597" s="107" t="s">
        <v>432</v>
      </c>
      <c r="AB1597" s="107" t="s">
        <v>432</v>
      </c>
      <c r="AC1597" s="107" t="s">
        <v>432</v>
      </c>
      <c r="AD1597" s="107" t="s">
        <v>432</v>
      </c>
      <c r="AE1597" s="107" t="s">
        <v>432</v>
      </c>
      <c r="AF1597" s="107" t="s">
        <v>432</v>
      </c>
      <c r="AG1597" s="107" t="s">
        <v>432</v>
      </c>
      <c r="AH1597" s="107" t="s">
        <v>432</v>
      </c>
      <c r="AI1597" s="107" t="s">
        <v>432</v>
      </c>
      <c r="AJ1597" s="107" t="s">
        <v>432</v>
      </c>
      <c r="AK1597" s="107" t="s">
        <v>432</v>
      </c>
      <c r="AL1597" s="601" t="s">
        <v>432</v>
      </c>
      <c r="AM1597" s="137" t="s">
        <v>432</v>
      </c>
      <c r="AN1597" s="137" t="s">
        <v>432</v>
      </c>
      <c r="AO1597" s="137" t="s">
        <v>432</v>
      </c>
      <c r="AP1597" s="137" t="s">
        <v>432</v>
      </c>
      <c r="AQ1597" s="137" t="s">
        <v>432</v>
      </c>
      <c r="AR1597" s="137" t="s">
        <v>432</v>
      </c>
      <c r="AS1597" s="137" t="s">
        <v>432</v>
      </c>
      <c r="AT1597" s="137" t="s">
        <v>432</v>
      </c>
      <c r="AU1597" s="137" t="s">
        <v>432</v>
      </c>
      <c r="AV1597" s="137" t="s">
        <v>432</v>
      </c>
      <c r="AW1597" s="137" t="s">
        <v>432</v>
      </c>
      <c r="AX1597" s="137" t="s">
        <v>432</v>
      </c>
      <c r="AY1597" s="137" t="s">
        <v>432</v>
      </c>
      <c r="AZ1597" s="137" t="s">
        <v>432</v>
      </c>
      <c r="BA1597" s="137" t="s">
        <v>432</v>
      </c>
      <c r="BB1597" s="239" t="str">
        <f t="shared" si="459"/>
        <v>Outras cidades/regiõesacessibilidade</v>
      </c>
      <c r="BC1597" s="239" t="str">
        <f t="shared" si="460"/>
        <v>Outras cidades/regiõesacessibilidadesigla/verbete</v>
      </c>
      <c r="BD1597" s="239" t="str">
        <f t="shared" si="461"/>
        <v>Outras cidades/regiõessigla/verbete</v>
      </c>
    </row>
    <row r="1598" spans="1:56" s="3" customFormat="1" ht="179.25" customHeight="1" x14ac:dyDescent="0.25">
      <c r="A1598" s="262" t="s">
        <v>432</v>
      </c>
      <c r="B1598" s="252" t="s">
        <v>742</v>
      </c>
      <c r="C1598" s="167" t="s">
        <v>743</v>
      </c>
      <c r="D1598" s="325" t="s">
        <v>5130</v>
      </c>
      <c r="E1598" s="1512" t="s">
        <v>1767</v>
      </c>
      <c r="F1598" s="252" t="s">
        <v>5362</v>
      </c>
      <c r="G1598" s="230" t="s">
        <v>3507</v>
      </c>
      <c r="H1598" s="167" t="s">
        <v>2408</v>
      </c>
      <c r="I1598" s="167" t="s">
        <v>432</v>
      </c>
      <c r="J1598" s="107" t="s">
        <v>432</v>
      </c>
      <c r="K1598" s="107" t="s">
        <v>432</v>
      </c>
      <c r="L1598" s="107" t="s">
        <v>432</v>
      </c>
      <c r="M1598" s="107" t="s">
        <v>432</v>
      </c>
      <c r="N1598" s="107" t="s">
        <v>432</v>
      </c>
      <c r="O1598" s="107" t="s">
        <v>432</v>
      </c>
      <c r="P1598" s="107" t="s">
        <v>432</v>
      </c>
      <c r="Q1598" s="107" t="s">
        <v>432</v>
      </c>
      <c r="R1598" s="107" t="s">
        <v>432</v>
      </c>
      <c r="S1598" s="109" t="s">
        <v>2209</v>
      </c>
      <c r="T1598" s="107" t="s">
        <v>432</v>
      </c>
      <c r="U1598" s="107" t="s">
        <v>432</v>
      </c>
      <c r="V1598" s="109" t="s">
        <v>2209</v>
      </c>
      <c r="W1598" s="107" t="s">
        <v>432</v>
      </c>
      <c r="X1598" s="107" t="s">
        <v>432</v>
      </c>
      <c r="Y1598" s="107" t="s">
        <v>432</v>
      </c>
      <c r="Z1598" s="107" t="s">
        <v>432</v>
      </c>
      <c r="AA1598" s="107" t="s">
        <v>432</v>
      </c>
      <c r="AB1598" s="107" t="s">
        <v>432</v>
      </c>
      <c r="AC1598" s="107" t="s">
        <v>432</v>
      </c>
      <c r="AD1598" s="107" t="s">
        <v>432</v>
      </c>
      <c r="AE1598" s="107" t="s">
        <v>432</v>
      </c>
      <c r="AF1598" s="107" t="s">
        <v>432</v>
      </c>
      <c r="AG1598" s="107" t="s">
        <v>432</v>
      </c>
      <c r="AH1598" s="107" t="s">
        <v>432</v>
      </c>
      <c r="AI1598" s="107" t="s">
        <v>432</v>
      </c>
      <c r="AJ1598" s="107" t="s">
        <v>432</v>
      </c>
      <c r="AK1598" s="107" t="s">
        <v>432</v>
      </c>
      <c r="AL1598" s="601" t="s">
        <v>432</v>
      </c>
      <c r="AM1598" s="137" t="s">
        <v>432</v>
      </c>
      <c r="AN1598" s="137" t="s">
        <v>432</v>
      </c>
      <c r="AO1598" s="137" t="s">
        <v>432</v>
      </c>
      <c r="AP1598" s="137" t="s">
        <v>432</v>
      </c>
      <c r="AQ1598" s="137" t="s">
        <v>432</v>
      </c>
      <c r="AR1598" s="137" t="s">
        <v>432</v>
      </c>
      <c r="AS1598" s="137" t="s">
        <v>432</v>
      </c>
      <c r="AT1598" s="137" t="s">
        <v>432</v>
      </c>
      <c r="AU1598" s="137" t="s">
        <v>432</v>
      </c>
      <c r="AV1598" s="137" t="s">
        <v>432</v>
      </c>
      <c r="AW1598" s="137" t="s">
        <v>432</v>
      </c>
      <c r="AX1598" s="137" t="s">
        <v>432</v>
      </c>
      <c r="AY1598" s="137" t="s">
        <v>432</v>
      </c>
      <c r="AZ1598" s="137" t="s">
        <v>432</v>
      </c>
      <c r="BA1598" s="137" t="s">
        <v>432</v>
      </c>
      <c r="BB1598" s="239" t="str">
        <f t="shared" ref="BB1598:BB1603" si="462">B1598&amp;C1598</f>
        <v>geralacessibilidade</v>
      </c>
      <c r="BC1598" s="239" t="str">
        <f t="shared" ref="BC1598:BC1603" si="463">B1598&amp;C1598&amp;H1598</f>
        <v>geralacessibilidadesigla/verbete</v>
      </c>
      <c r="BD1598" s="239" t="str">
        <f t="shared" ref="BD1598:BD1603" si="464">B1598&amp;H1598</f>
        <v>geralsigla/verbete</v>
      </c>
    </row>
    <row r="1599" spans="1:56" s="1" customFormat="1" ht="25.5" customHeight="1" x14ac:dyDescent="0.25">
      <c r="A1599" s="275" t="str">
        <f>'Q100b-totais'!$B$57</f>
        <v>8.5</v>
      </c>
      <c r="B1599" s="1205" t="s">
        <v>932</v>
      </c>
      <c r="C1599" s="57" t="s">
        <v>432</v>
      </c>
      <c r="D1599" s="324" t="s">
        <v>942</v>
      </c>
      <c r="E1599" s="1402" t="s">
        <v>1306</v>
      </c>
      <c r="F1599" s="11" t="s">
        <v>941</v>
      </c>
      <c r="G1599" s="167" t="s">
        <v>3719</v>
      </c>
      <c r="H1599" s="168" t="s">
        <v>2408</v>
      </c>
      <c r="I1599" s="57" t="s">
        <v>432</v>
      </c>
      <c r="J1599" s="109" t="s">
        <v>432</v>
      </c>
      <c r="K1599" s="109" t="s">
        <v>432</v>
      </c>
      <c r="L1599" s="109" t="s">
        <v>432</v>
      </c>
      <c r="M1599" s="109" t="s">
        <v>432</v>
      </c>
      <c r="N1599" s="109" t="s">
        <v>432</v>
      </c>
      <c r="O1599" s="109" t="s">
        <v>432</v>
      </c>
      <c r="P1599" s="109" t="s">
        <v>432</v>
      </c>
      <c r="Q1599" s="109" t="s">
        <v>432</v>
      </c>
      <c r="R1599" s="109" t="s">
        <v>432</v>
      </c>
      <c r="S1599" s="109" t="s">
        <v>2209</v>
      </c>
      <c r="T1599" s="109" t="s">
        <v>432</v>
      </c>
      <c r="U1599" s="109" t="s">
        <v>432</v>
      </c>
      <c r="V1599" s="109" t="s">
        <v>2209</v>
      </c>
      <c r="W1599" s="109" t="s">
        <v>432</v>
      </c>
      <c r="X1599" s="109" t="s">
        <v>432</v>
      </c>
      <c r="Y1599" s="109" t="s">
        <v>432</v>
      </c>
      <c r="Z1599" s="109" t="s">
        <v>432</v>
      </c>
      <c r="AA1599" s="109" t="s">
        <v>432</v>
      </c>
      <c r="AB1599" s="109" t="s">
        <v>432</v>
      </c>
      <c r="AC1599" s="109" t="s">
        <v>432</v>
      </c>
      <c r="AD1599" s="109" t="s">
        <v>432</v>
      </c>
      <c r="AE1599" s="109" t="s">
        <v>432</v>
      </c>
      <c r="AF1599" s="109" t="s">
        <v>432</v>
      </c>
      <c r="AG1599" s="109" t="s">
        <v>432</v>
      </c>
      <c r="AH1599" s="109" t="s">
        <v>432</v>
      </c>
      <c r="AI1599" s="109" t="s">
        <v>432</v>
      </c>
      <c r="AJ1599" s="109" t="s">
        <v>432</v>
      </c>
      <c r="AK1599" s="109" t="s">
        <v>432</v>
      </c>
      <c r="AL1599" s="601" t="s">
        <v>432</v>
      </c>
      <c r="AM1599" s="109" t="s">
        <v>432</v>
      </c>
      <c r="AN1599" s="109" t="s">
        <v>432</v>
      </c>
      <c r="AO1599" s="109" t="s">
        <v>432</v>
      </c>
      <c r="AP1599" s="109" t="s">
        <v>432</v>
      </c>
      <c r="AQ1599" s="109" t="s">
        <v>432</v>
      </c>
      <c r="AR1599" s="109" t="s">
        <v>432</v>
      </c>
      <c r="AS1599" s="109" t="s">
        <v>432</v>
      </c>
      <c r="AT1599" s="109" t="s">
        <v>432</v>
      </c>
      <c r="AU1599" s="109" t="s">
        <v>432</v>
      </c>
      <c r="AV1599" s="109" t="s">
        <v>432</v>
      </c>
      <c r="AW1599" s="109" t="s">
        <v>432</v>
      </c>
      <c r="AX1599" s="109" t="s">
        <v>432</v>
      </c>
      <c r="AY1599" s="109" t="s">
        <v>432</v>
      </c>
      <c r="AZ1599" s="109" t="s">
        <v>432</v>
      </c>
      <c r="BA1599" s="109" t="s">
        <v>432</v>
      </c>
      <c r="BB1599" s="239" t="str">
        <f t="shared" si="462"/>
        <v>Transporte convencionalx</v>
      </c>
      <c r="BC1599" s="239" t="str">
        <f t="shared" si="463"/>
        <v>Transporte convencionalxsigla/verbete</v>
      </c>
      <c r="BD1599" s="239" t="str">
        <f t="shared" si="464"/>
        <v>Transporte convencionalsigla/verbete</v>
      </c>
    </row>
    <row r="1600" spans="1:56" s="1" customFormat="1" ht="139.5" customHeight="1" x14ac:dyDescent="0.25">
      <c r="A1600" s="262" t="str">
        <f>'Q100b-totais'!B22</f>
        <v>2.7</v>
      </c>
      <c r="B1600" s="252" t="str">
        <f>'Q100b-totais'!C22</f>
        <v>Outras cidades/regiões</v>
      </c>
      <c r="C1600" s="167" t="s">
        <v>432</v>
      </c>
      <c r="D1600" s="325" t="s">
        <v>5561</v>
      </c>
      <c r="E1600" s="1445" t="s">
        <v>5561</v>
      </c>
      <c r="F1600" s="1205" t="s">
        <v>5563</v>
      </c>
      <c r="G1600" s="230" t="s">
        <v>3507</v>
      </c>
      <c r="H1600" s="167" t="s">
        <v>2408</v>
      </c>
      <c r="I1600" s="167" t="s">
        <v>432</v>
      </c>
      <c r="J1600" s="107" t="s">
        <v>432</v>
      </c>
      <c r="K1600" s="107" t="s">
        <v>432</v>
      </c>
      <c r="L1600" s="107" t="s">
        <v>432</v>
      </c>
      <c r="M1600" s="107" t="s">
        <v>432</v>
      </c>
      <c r="N1600" s="107" t="s">
        <v>432</v>
      </c>
      <c r="O1600" s="107" t="s">
        <v>432</v>
      </c>
      <c r="P1600" s="107" t="s">
        <v>432</v>
      </c>
      <c r="Q1600" s="107" t="s">
        <v>432</v>
      </c>
      <c r="R1600" s="107" t="s">
        <v>432</v>
      </c>
      <c r="S1600" s="109" t="s">
        <v>2209</v>
      </c>
      <c r="T1600" s="107" t="s">
        <v>432</v>
      </c>
      <c r="U1600" s="107" t="s">
        <v>432</v>
      </c>
      <c r="V1600" s="109" t="s">
        <v>2209</v>
      </c>
      <c r="W1600" s="107" t="s">
        <v>432</v>
      </c>
      <c r="X1600" s="107" t="s">
        <v>432</v>
      </c>
      <c r="Y1600" s="107" t="s">
        <v>432</v>
      </c>
      <c r="Z1600" s="107" t="s">
        <v>432</v>
      </c>
      <c r="AA1600" s="107" t="s">
        <v>432</v>
      </c>
      <c r="AB1600" s="107" t="s">
        <v>432</v>
      </c>
      <c r="AC1600" s="107" t="s">
        <v>432</v>
      </c>
      <c r="AD1600" s="107" t="s">
        <v>432</v>
      </c>
      <c r="AE1600" s="107" t="s">
        <v>432</v>
      </c>
      <c r="AF1600" s="107" t="s">
        <v>432</v>
      </c>
      <c r="AG1600" s="107" t="s">
        <v>432</v>
      </c>
      <c r="AH1600" s="107" t="s">
        <v>432</v>
      </c>
      <c r="AI1600" s="107" t="s">
        <v>432</v>
      </c>
      <c r="AJ1600" s="107" t="s">
        <v>432</v>
      </c>
      <c r="AK1600" s="107" t="s">
        <v>432</v>
      </c>
      <c r="AL1600" s="601" t="s">
        <v>432</v>
      </c>
      <c r="AM1600" s="137" t="s">
        <v>432</v>
      </c>
      <c r="AN1600" s="137" t="s">
        <v>432</v>
      </c>
      <c r="AO1600" s="137" t="s">
        <v>432</v>
      </c>
      <c r="AP1600" s="137" t="s">
        <v>432</v>
      </c>
      <c r="AQ1600" s="137" t="s">
        <v>432</v>
      </c>
      <c r="AR1600" s="137" t="s">
        <v>432</v>
      </c>
      <c r="AS1600" s="137" t="s">
        <v>432</v>
      </c>
      <c r="AT1600" s="137" t="s">
        <v>432</v>
      </c>
      <c r="AU1600" s="137" t="s">
        <v>432</v>
      </c>
      <c r="AV1600" s="137" t="s">
        <v>432</v>
      </c>
      <c r="AW1600" s="137" t="s">
        <v>432</v>
      </c>
      <c r="AX1600" s="137" t="s">
        <v>432</v>
      </c>
      <c r="AY1600" s="137" t="s">
        <v>432</v>
      </c>
      <c r="AZ1600" s="137" t="s">
        <v>432</v>
      </c>
      <c r="BA1600" s="137" t="s">
        <v>432</v>
      </c>
      <c r="BB1600" s="239" t="str">
        <f t="shared" si="462"/>
        <v>Outras cidades/regiõesx</v>
      </c>
      <c r="BC1600" s="239" t="str">
        <f t="shared" si="463"/>
        <v>Outras cidades/regiõesxsigla/verbete</v>
      </c>
      <c r="BD1600" s="239" t="str">
        <f t="shared" si="464"/>
        <v>Outras cidades/regiõessigla/verbete</v>
      </c>
    </row>
    <row r="1601" spans="1:56" s="1" customFormat="1" ht="69" customHeight="1" x14ac:dyDescent="0.25">
      <c r="A1601" s="262" t="str">
        <f>'Q100b-totais'!B22</f>
        <v>2.7</v>
      </c>
      <c r="B1601" s="252" t="str">
        <f>'Q100b-totais'!C22</f>
        <v>Outras cidades/regiões</v>
      </c>
      <c r="C1601" s="167" t="s">
        <v>432</v>
      </c>
      <c r="D1601" s="325" t="s">
        <v>4189</v>
      </c>
      <c r="E1601" s="1445" t="s">
        <v>4189</v>
      </c>
      <c r="F1601" s="1205" t="s">
        <v>4194</v>
      </c>
      <c r="G1601" s="230" t="s">
        <v>3507</v>
      </c>
      <c r="H1601" s="167" t="s">
        <v>2408</v>
      </c>
      <c r="I1601" s="167" t="s">
        <v>432</v>
      </c>
      <c r="J1601" s="107" t="s">
        <v>432</v>
      </c>
      <c r="K1601" s="107" t="s">
        <v>432</v>
      </c>
      <c r="L1601" s="107" t="s">
        <v>432</v>
      </c>
      <c r="M1601" s="107" t="s">
        <v>432</v>
      </c>
      <c r="N1601" s="107" t="s">
        <v>432</v>
      </c>
      <c r="O1601" s="107" t="s">
        <v>432</v>
      </c>
      <c r="P1601" s="107" t="s">
        <v>432</v>
      </c>
      <c r="Q1601" s="107" t="s">
        <v>432</v>
      </c>
      <c r="R1601" s="107" t="s">
        <v>432</v>
      </c>
      <c r="S1601" s="109" t="s">
        <v>2209</v>
      </c>
      <c r="T1601" s="107" t="s">
        <v>432</v>
      </c>
      <c r="U1601" s="107" t="s">
        <v>432</v>
      </c>
      <c r="V1601" s="109" t="s">
        <v>2209</v>
      </c>
      <c r="W1601" s="107" t="s">
        <v>432</v>
      </c>
      <c r="X1601" s="107" t="s">
        <v>432</v>
      </c>
      <c r="Y1601" s="107" t="s">
        <v>432</v>
      </c>
      <c r="Z1601" s="107" t="s">
        <v>432</v>
      </c>
      <c r="AA1601" s="107" t="s">
        <v>432</v>
      </c>
      <c r="AB1601" s="107" t="s">
        <v>432</v>
      </c>
      <c r="AC1601" s="107" t="s">
        <v>432</v>
      </c>
      <c r="AD1601" s="107" t="s">
        <v>432</v>
      </c>
      <c r="AE1601" s="107" t="s">
        <v>432</v>
      </c>
      <c r="AF1601" s="107" t="s">
        <v>432</v>
      </c>
      <c r="AG1601" s="107" t="s">
        <v>432</v>
      </c>
      <c r="AH1601" s="107" t="s">
        <v>432</v>
      </c>
      <c r="AI1601" s="107" t="s">
        <v>432</v>
      </c>
      <c r="AJ1601" s="107" t="s">
        <v>432</v>
      </c>
      <c r="AK1601" s="107" t="s">
        <v>432</v>
      </c>
      <c r="AL1601" s="601" t="s">
        <v>432</v>
      </c>
      <c r="AM1601" s="137" t="s">
        <v>432</v>
      </c>
      <c r="AN1601" s="137" t="s">
        <v>432</v>
      </c>
      <c r="AO1601" s="137" t="s">
        <v>432</v>
      </c>
      <c r="AP1601" s="137" t="s">
        <v>432</v>
      </c>
      <c r="AQ1601" s="137" t="s">
        <v>432</v>
      </c>
      <c r="AR1601" s="137" t="s">
        <v>432</v>
      </c>
      <c r="AS1601" s="137" t="s">
        <v>432</v>
      </c>
      <c r="AT1601" s="137" t="s">
        <v>432</v>
      </c>
      <c r="AU1601" s="137" t="s">
        <v>432</v>
      </c>
      <c r="AV1601" s="137" t="s">
        <v>432</v>
      </c>
      <c r="AW1601" s="137" t="s">
        <v>432</v>
      </c>
      <c r="AX1601" s="137" t="s">
        <v>432</v>
      </c>
      <c r="AY1601" s="137" t="s">
        <v>432</v>
      </c>
      <c r="AZ1601" s="137" t="s">
        <v>432</v>
      </c>
      <c r="BA1601" s="137" t="s">
        <v>432</v>
      </c>
      <c r="BB1601" s="239" t="str">
        <f t="shared" si="462"/>
        <v>Outras cidades/regiõesx</v>
      </c>
      <c r="BC1601" s="239" t="str">
        <f t="shared" si="463"/>
        <v>Outras cidades/regiõesxsigla/verbete</v>
      </c>
      <c r="BD1601" s="239" t="str">
        <f t="shared" si="464"/>
        <v>Outras cidades/regiõessigla/verbete</v>
      </c>
    </row>
    <row r="1602" spans="1:56" s="1" customFormat="1" ht="92.25" customHeight="1" x14ac:dyDescent="0.25">
      <c r="A1602" s="262" t="s">
        <v>432</v>
      </c>
      <c r="B1602" s="252" t="s">
        <v>742</v>
      </c>
      <c r="C1602" s="230" t="s">
        <v>432</v>
      </c>
      <c r="D1602" s="325" t="s">
        <v>5136</v>
      </c>
      <c r="E1602" s="1496" t="s">
        <v>1306</v>
      </c>
      <c r="F1602" s="54" t="s">
        <v>5162</v>
      </c>
      <c r="G1602" s="230" t="s">
        <v>3507</v>
      </c>
      <c r="H1602" s="167" t="s">
        <v>2408</v>
      </c>
      <c r="I1602" s="167" t="s">
        <v>432</v>
      </c>
      <c r="J1602" s="107" t="s">
        <v>432</v>
      </c>
      <c r="K1602" s="107" t="s">
        <v>432</v>
      </c>
      <c r="L1602" s="107" t="s">
        <v>432</v>
      </c>
      <c r="M1602" s="107" t="s">
        <v>432</v>
      </c>
      <c r="N1602" s="107" t="s">
        <v>432</v>
      </c>
      <c r="O1602" s="107" t="s">
        <v>432</v>
      </c>
      <c r="P1602" s="107" t="s">
        <v>432</v>
      </c>
      <c r="Q1602" s="107" t="s">
        <v>432</v>
      </c>
      <c r="R1602" s="107" t="s">
        <v>432</v>
      </c>
      <c r="S1602" s="109" t="s">
        <v>2209</v>
      </c>
      <c r="T1602" s="107" t="s">
        <v>432</v>
      </c>
      <c r="U1602" s="107" t="s">
        <v>432</v>
      </c>
      <c r="V1602" s="109" t="s">
        <v>2209</v>
      </c>
      <c r="W1602" s="107" t="s">
        <v>432</v>
      </c>
      <c r="X1602" s="107" t="s">
        <v>432</v>
      </c>
      <c r="Y1602" s="107" t="s">
        <v>432</v>
      </c>
      <c r="Z1602" s="107" t="s">
        <v>432</v>
      </c>
      <c r="AA1602" s="107" t="s">
        <v>432</v>
      </c>
      <c r="AB1602" s="107" t="s">
        <v>432</v>
      </c>
      <c r="AC1602" s="107" t="s">
        <v>432</v>
      </c>
      <c r="AD1602" s="107" t="s">
        <v>432</v>
      </c>
      <c r="AE1602" s="107" t="s">
        <v>432</v>
      </c>
      <c r="AF1602" s="107" t="s">
        <v>432</v>
      </c>
      <c r="AG1602" s="107" t="s">
        <v>432</v>
      </c>
      <c r="AH1602" s="107" t="s">
        <v>432</v>
      </c>
      <c r="AI1602" s="107" t="s">
        <v>432</v>
      </c>
      <c r="AJ1602" s="107" t="s">
        <v>432</v>
      </c>
      <c r="AK1602" s="107" t="s">
        <v>432</v>
      </c>
      <c r="AL1602" s="601" t="s">
        <v>432</v>
      </c>
      <c r="AM1602" s="137" t="s">
        <v>432</v>
      </c>
      <c r="AN1602" s="137" t="s">
        <v>432</v>
      </c>
      <c r="AO1602" s="137" t="s">
        <v>432</v>
      </c>
      <c r="AP1602" s="137" t="s">
        <v>432</v>
      </c>
      <c r="AQ1602" s="137" t="s">
        <v>432</v>
      </c>
      <c r="AR1602" s="137" t="s">
        <v>432</v>
      </c>
      <c r="AS1602" s="137" t="s">
        <v>432</v>
      </c>
      <c r="AT1602" s="137" t="s">
        <v>432</v>
      </c>
      <c r="AU1602" s="137" t="s">
        <v>432</v>
      </c>
      <c r="AV1602" s="137" t="s">
        <v>432</v>
      </c>
      <c r="AW1602" s="137" t="s">
        <v>432</v>
      </c>
      <c r="AX1602" s="137" t="s">
        <v>432</v>
      </c>
      <c r="AY1602" s="137" t="s">
        <v>432</v>
      </c>
      <c r="AZ1602" s="137" t="s">
        <v>432</v>
      </c>
      <c r="BA1602" s="137" t="s">
        <v>432</v>
      </c>
      <c r="BB1602" s="239" t="str">
        <f t="shared" si="462"/>
        <v>geralx</v>
      </c>
      <c r="BC1602" s="239" t="str">
        <f t="shared" si="463"/>
        <v>geralxsigla/verbete</v>
      </c>
      <c r="BD1602" s="239" t="str">
        <f t="shared" si="464"/>
        <v>geralsigla/verbete</v>
      </c>
    </row>
    <row r="1603" spans="1:56" s="1" customFormat="1" ht="92.25" customHeight="1" x14ac:dyDescent="0.25">
      <c r="A1603" s="262" t="s">
        <v>432</v>
      </c>
      <c r="B1603" s="252" t="s">
        <v>742</v>
      </c>
      <c r="C1603" s="230" t="s">
        <v>432</v>
      </c>
      <c r="D1603" s="325" t="s">
        <v>5136</v>
      </c>
      <c r="E1603" s="1496" t="s">
        <v>2272</v>
      </c>
      <c r="F1603" s="54" t="s">
        <v>5138</v>
      </c>
      <c r="G1603" s="230" t="s">
        <v>3507</v>
      </c>
      <c r="H1603" s="167" t="s">
        <v>2408</v>
      </c>
      <c r="I1603" s="167" t="s">
        <v>432</v>
      </c>
      <c r="J1603" s="107" t="s">
        <v>432</v>
      </c>
      <c r="K1603" s="107" t="s">
        <v>432</v>
      </c>
      <c r="L1603" s="107" t="s">
        <v>432</v>
      </c>
      <c r="M1603" s="107" t="s">
        <v>432</v>
      </c>
      <c r="N1603" s="107" t="s">
        <v>432</v>
      </c>
      <c r="O1603" s="107" t="s">
        <v>432</v>
      </c>
      <c r="P1603" s="107" t="s">
        <v>432</v>
      </c>
      <c r="Q1603" s="107" t="s">
        <v>432</v>
      </c>
      <c r="R1603" s="107" t="s">
        <v>432</v>
      </c>
      <c r="S1603" s="109" t="s">
        <v>2209</v>
      </c>
      <c r="T1603" s="107" t="s">
        <v>432</v>
      </c>
      <c r="U1603" s="107" t="s">
        <v>432</v>
      </c>
      <c r="V1603" s="109" t="s">
        <v>2209</v>
      </c>
      <c r="W1603" s="107" t="s">
        <v>432</v>
      </c>
      <c r="X1603" s="107" t="s">
        <v>432</v>
      </c>
      <c r="Y1603" s="107" t="s">
        <v>432</v>
      </c>
      <c r="Z1603" s="107" t="s">
        <v>432</v>
      </c>
      <c r="AA1603" s="107" t="s">
        <v>432</v>
      </c>
      <c r="AB1603" s="107" t="s">
        <v>432</v>
      </c>
      <c r="AC1603" s="107" t="s">
        <v>432</v>
      </c>
      <c r="AD1603" s="107" t="s">
        <v>432</v>
      </c>
      <c r="AE1603" s="107" t="s">
        <v>432</v>
      </c>
      <c r="AF1603" s="107" t="s">
        <v>432</v>
      </c>
      <c r="AG1603" s="107" t="s">
        <v>432</v>
      </c>
      <c r="AH1603" s="107" t="s">
        <v>432</v>
      </c>
      <c r="AI1603" s="107" t="s">
        <v>432</v>
      </c>
      <c r="AJ1603" s="107" t="s">
        <v>432</v>
      </c>
      <c r="AK1603" s="107" t="s">
        <v>432</v>
      </c>
      <c r="AL1603" s="601" t="s">
        <v>432</v>
      </c>
      <c r="AM1603" s="137" t="s">
        <v>432</v>
      </c>
      <c r="AN1603" s="137" t="s">
        <v>432</v>
      </c>
      <c r="AO1603" s="137" t="s">
        <v>432</v>
      </c>
      <c r="AP1603" s="137" t="s">
        <v>432</v>
      </c>
      <c r="AQ1603" s="137" t="s">
        <v>432</v>
      </c>
      <c r="AR1603" s="137" t="s">
        <v>432</v>
      </c>
      <c r="AS1603" s="137" t="s">
        <v>432</v>
      </c>
      <c r="AT1603" s="137" t="s">
        <v>432</v>
      </c>
      <c r="AU1603" s="137" t="s">
        <v>432</v>
      </c>
      <c r="AV1603" s="137" t="s">
        <v>432</v>
      </c>
      <c r="AW1603" s="137" t="s">
        <v>432</v>
      </c>
      <c r="AX1603" s="137" t="s">
        <v>432</v>
      </c>
      <c r="AY1603" s="137" t="s">
        <v>432</v>
      </c>
      <c r="AZ1603" s="137" t="s">
        <v>432</v>
      </c>
      <c r="BA1603" s="137" t="s">
        <v>432</v>
      </c>
      <c r="BB1603" s="239" t="str">
        <f t="shared" si="462"/>
        <v>geralx</v>
      </c>
      <c r="BC1603" s="239" t="str">
        <f t="shared" si="463"/>
        <v>geralxsigla/verbete</v>
      </c>
      <c r="BD1603" s="239" t="str">
        <f t="shared" si="464"/>
        <v>geralsigla/verbete</v>
      </c>
    </row>
    <row r="1604" spans="1:56" s="1" customFormat="1" ht="92.25" customHeight="1" x14ac:dyDescent="0.25">
      <c r="A1604" s="262" t="s">
        <v>432</v>
      </c>
      <c r="B1604" s="252" t="s">
        <v>742</v>
      </c>
      <c r="C1604" s="230" t="s">
        <v>432</v>
      </c>
      <c r="D1604" s="325" t="s">
        <v>5150</v>
      </c>
      <c r="E1604" s="1496" t="s">
        <v>1306</v>
      </c>
      <c r="F1604" s="54" t="s">
        <v>5160</v>
      </c>
      <c r="G1604" s="230"/>
      <c r="H1604" s="167"/>
      <c r="I1604" s="167"/>
      <c r="J1604" s="107"/>
      <c r="K1604" s="107"/>
      <c r="L1604" s="107"/>
      <c r="M1604" s="107"/>
      <c r="N1604" s="107"/>
      <c r="O1604" s="107"/>
      <c r="P1604" s="107"/>
      <c r="Q1604" s="107"/>
      <c r="R1604" s="107"/>
      <c r="S1604" s="109"/>
      <c r="T1604" s="107"/>
      <c r="U1604" s="107"/>
      <c r="V1604" s="109"/>
      <c r="W1604" s="107"/>
      <c r="X1604" s="107"/>
      <c r="Y1604" s="107"/>
      <c r="Z1604" s="107"/>
      <c r="AA1604" s="107"/>
      <c r="AB1604" s="107"/>
      <c r="AC1604" s="107"/>
      <c r="AD1604" s="107"/>
      <c r="AE1604" s="107"/>
      <c r="AF1604" s="107"/>
      <c r="AG1604" s="107"/>
      <c r="AH1604" s="107"/>
      <c r="AI1604" s="107"/>
      <c r="AJ1604" s="107"/>
      <c r="AK1604" s="107"/>
      <c r="AL1604" s="601"/>
      <c r="AM1604" s="137"/>
      <c r="AN1604" s="137"/>
      <c r="AO1604" s="137"/>
      <c r="AP1604" s="137"/>
      <c r="AQ1604" s="137"/>
      <c r="AR1604" s="137"/>
      <c r="AS1604" s="137"/>
      <c r="AT1604" s="137"/>
      <c r="AU1604" s="137"/>
      <c r="AV1604" s="137"/>
      <c r="AW1604" s="137"/>
      <c r="AX1604" s="137"/>
      <c r="AY1604" s="137"/>
      <c r="AZ1604" s="137"/>
      <c r="BA1604" s="137"/>
      <c r="BB1604" s="239"/>
      <c r="BC1604" s="239"/>
      <c r="BD1604" s="239"/>
    </row>
    <row r="1605" spans="1:56" s="1" customFormat="1" ht="102" customHeight="1" x14ac:dyDescent="0.25">
      <c r="A1605" s="262" t="s">
        <v>432</v>
      </c>
      <c r="B1605" s="252" t="s">
        <v>742</v>
      </c>
      <c r="C1605" s="230" t="s">
        <v>432</v>
      </c>
      <c r="D1605" s="325" t="s">
        <v>5141</v>
      </c>
      <c r="E1605" s="1496" t="s">
        <v>1306</v>
      </c>
      <c r="F1605" s="54" t="s">
        <v>5161</v>
      </c>
      <c r="G1605" s="230" t="s">
        <v>3507</v>
      </c>
      <c r="H1605" s="167" t="s">
        <v>2408</v>
      </c>
      <c r="I1605" s="167" t="s">
        <v>432</v>
      </c>
      <c r="J1605" s="107" t="s">
        <v>432</v>
      </c>
      <c r="K1605" s="107" t="s">
        <v>432</v>
      </c>
      <c r="L1605" s="107" t="s">
        <v>432</v>
      </c>
      <c r="M1605" s="107" t="s">
        <v>432</v>
      </c>
      <c r="N1605" s="107" t="s">
        <v>432</v>
      </c>
      <c r="O1605" s="107" t="s">
        <v>432</v>
      </c>
      <c r="P1605" s="107" t="s">
        <v>432</v>
      </c>
      <c r="Q1605" s="107" t="s">
        <v>432</v>
      </c>
      <c r="R1605" s="107" t="s">
        <v>432</v>
      </c>
      <c r="S1605" s="109" t="s">
        <v>2209</v>
      </c>
      <c r="T1605" s="107" t="s">
        <v>432</v>
      </c>
      <c r="U1605" s="107" t="s">
        <v>432</v>
      </c>
      <c r="V1605" s="109" t="s">
        <v>2209</v>
      </c>
      <c r="W1605" s="107" t="s">
        <v>432</v>
      </c>
      <c r="X1605" s="107" t="s">
        <v>432</v>
      </c>
      <c r="Y1605" s="107" t="s">
        <v>432</v>
      </c>
      <c r="Z1605" s="107" t="s">
        <v>432</v>
      </c>
      <c r="AA1605" s="107" t="s">
        <v>432</v>
      </c>
      <c r="AB1605" s="107" t="s">
        <v>432</v>
      </c>
      <c r="AC1605" s="107" t="s">
        <v>432</v>
      </c>
      <c r="AD1605" s="107" t="s">
        <v>432</v>
      </c>
      <c r="AE1605" s="107" t="s">
        <v>432</v>
      </c>
      <c r="AF1605" s="107" t="s">
        <v>432</v>
      </c>
      <c r="AG1605" s="107" t="s">
        <v>432</v>
      </c>
      <c r="AH1605" s="107" t="s">
        <v>432</v>
      </c>
      <c r="AI1605" s="107" t="s">
        <v>432</v>
      </c>
      <c r="AJ1605" s="107" t="s">
        <v>432</v>
      </c>
      <c r="AK1605" s="107" t="s">
        <v>432</v>
      </c>
      <c r="AL1605" s="601" t="s">
        <v>432</v>
      </c>
      <c r="AM1605" s="137" t="s">
        <v>432</v>
      </c>
      <c r="AN1605" s="137" t="s">
        <v>432</v>
      </c>
      <c r="AO1605" s="137" t="s">
        <v>432</v>
      </c>
      <c r="AP1605" s="137" t="s">
        <v>432</v>
      </c>
      <c r="AQ1605" s="137" t="s">
        <v>432</v>
      </c>
      <c r="AR1605" s="137" t="s">
        <v>432</v>
      </c>
      <c r="AS1605" s="137" t="s">
        <v>432</v>
      </c>
      <c r="AT1605" s="137" t="s">
        <v>432</v>
      </c>
      <c r="AU1605" s="137" t="s">
        <v>432</v>
      </c>
      <c r="AV1605" s="137" t="s">
        <v>432</v>
      </c>
      <c r="AW1605" s="137" t="s">
        <v>432</v>
      </c>
      <c r="AX1605" s="137" t="s">
        <v>432</v>
      </c>
      <c r="AY1605" s="137" t="s">
        <v>432</v>
      </c>
      <c r="AZ1605" s="137" t="s">
        <v>432</v>
      </c>
      <c r="BA1605" s="137" t="s">
        <v>432</v>
      </c>
      <c r="BB1605" s="239" t="str">
        <f t="shared" ref="BB1605:BB1619" si="465">B1605&amp;C1605</f>
        <v>geralx</v>
      </c>
      <c r="BC1605" s="239" t="str">
        <f t="shared" ref="BC1605:BC1619" si="466">B1605&amp;C1605&amp;H1605</f>
        <v>geralxsigla/verbete</v>
      </c>
      <c r="BD1605" s="239" t="str">
        <f t="shared" ref="BD1605:BD1619" si="467">B1605&amp;H1605</f>
        <v>geralsigla/verbete</v>
      </c>
    </row>
    <row r="1606" spans="1:56" s="105" customFormat="1" ht="25.5" x14ac:dyDescent="0.25">
      <c r="A1606" s="262" t="s">
        <v>432</v>
      </c>
      <c r="B1606" s="252" t="s">
        <v>742</v>
      </c>
      <c r="C1606" s="230" t="s">
        <v>432</v>
      </c>
      <c r="D1606" s="325" t="s">
        <v>5164</v>
      </c>
      <c r="E1606" s="509" t="s">
        <v>432</v>
      </c>
      <c r="F1606" s="54" t="s">
        <v>5165</v>
      </c>
      <c r="G1606" s="230" t="s">
        <v>3507</v>
      </c>
      <c r="H1606" s="167" t="s">
        <v>2408</v>
      </c>
      <c r="I1606" s="167" t="s">
        <v>432</v>
      </c>
      <c r="J1606" s="107" t="s">
        <v>432</v>
      </c>
      <c r="K1606" s="107" t="s">
        <v>432</v>
      </c>
      <c r="L1606" s="107" t="s">
        <v>432</v>
      </c>
      <c r="M1606" s="107" t="s">
        <v>432</v>
      </c>
      <c r="N1606" s="107" t="s">
        <v>432</v>
      </c>
      <c r="O1606" s="107" t="s">
        <v>432</v>
      </c>
      <c r="P1606" s="107" t="s">
        <v>432</v>
      </c>
      <c r="Q1606" s="107" t="s">
        <v>432</v>
      </c>
      <c r="R1606" s="107" t="s">
        <v>432</v>
      </c>
      <c r="S1606" s="109" t="s">
        <v>2209</v>
      </c>
      <c r="T1606" s="107" t="s">
        <v>432</v>
      </c>
      <c r="U1606" s="107" t="s">
        <v>432</v>
      </c>
      <c r="V1606" s="109" t="s">
        <v>2209</v>
      </c>
      <c r="W1606" s="107" t="s">
        <v>432</v>
      </c>
      <c r="X1606" s="107" t="s">
        <v>432</v>
      </c>
      <c r="Y1606" s="107" t="s">
        <v>432</v>
      </c>
      <c r="Z1606" s="107" t="s">
        <v>432</v>
      </c>
      <c r="AA1606" s="107" t="s">
        <v>432</v>
      </c>
      <c r="AB1606" s="107" t="s">
        <v>432</v>
      </c>
      <c r="AC1606" s="107" t="s">
        <v>432</v>
      </c>
      <c r="AD1606" s="107" t="s">
        <v>432</v>
      </c>
      <c r="AE1606" s="107" t="s">
        <v>432</v>
      </c>
      <c r="AF1606" s="107" t="s">
        <v>432</v>
      </c>
      <c r="AG1606" s="107" t="s">
        <v>432</v>
      </c>
      <c r="AH1606" s="107" t="s">
        <v>432</v>
      </c>
      <c r="AI1606" s="107" t="s">
        <v>432</v>
      </c>
      <c r="AJ1606" s="107" t="s">
        <v>432</v>
      </c>
      <c r="AK1606" s="107" t="s">
        <v>432</v>
      </c>
      <c r="AL1606" s="601" t="s">
        <v>432</v>
      </c>
      <c r="AM1606" s="137" t="s">
        <v>432</v>
      </c>
      <c r="AN1606" s="137" t="s">
        <v>432</v>
      </c>
      <c r="AO1606" s="137" t="s">
        <v>432</v>
      </c>
      <c r="AP1606" s="137" t="s">
        <v>432</v>
      </c>
      <c r="AQ1606" s="137" t="s">
        <v>432</v>
      </c>
      <c r="AR1606" s="137" t="s">
        <v>432</v>
      </c>
      <c r="AS1606" s="137" t="s">
        <v>432</v>
      </c>
      <c r="AT1606" s="137" t="s">
        <v>432</v>
      </c>
      <c r="AU1606" s="137" t="s">
        <v>432</v>
      </c>
      <c r="AV1606" s="137" t="s">
        <v>432</v>
      </c>
      <c r="AW1606" s="137" t="s">
        <v>432</v>
      </c>
      <c r="AX1606" s="137" t="s">
        <v>432</v>
      </c>
      <c r="AY1606" s="137" t="s">
        <v>432</v>
      </c>
      <c r="AZ1606" s="137" t="s">
        <v>432</v>
      </c>
      <c r="BA1606" s="137" t="s">
        <v>432</v>
      </c>
      <c r="BB1606" s="239" t="str">
        <f t="shared" si="465"/>
        <v>geralx</v>
      </c>
      <c r="BC1606" s="239" t="str">
        <f t="shared" si="466"/>
        <v>geralxsigla/verbete</v>
      </c>
      <c r="BD1606" s="239" t="str">
        <f t="shared" si="467"/>
        <v>geralsigla/verbete</v>
      </c>
    </row>
    <row r="1607" spans="1:56" ht="25.5" x14ac:dyDescent="0.25">
      <c r="A1607" s="262" t="s">
        <v>432</v>
      </c>
      <c r="B1607" s="252" t="s">
        <v>742</v>
      </c>
      <c r="C1607" s="230" t="s">
        <v>432</v>
      </c>
      <c r="D1607" s="325" t="s">
        <v>5163</v>
      </c>
      <c r="E1607" s="509" t="s">
        <v>432</v>
      </c>
      <c r="F1607" s="54" t="s">
        <v>5138</v>
      </c>
      <c r="G1607" s="230" t="s">
        <v>3507</v>
      </c>
      <c r="H1607" s="167" t="s">
        <v>2408</v>
      </c>
      <c r="I1607" s="167" t="s">
        <v>432</v>
      </c>
      <c r="J1607" s="107" t="s">
        <v>432</v>
      </c>
      <c r="K1607" s="107" t="s">
        <v>432</v>
      </c>
      <c r="L1607" s="107" t="s">
        <v>432</v>
      </c>
      <c r="M1607" s="107" t="s">
        <v>432</v>
      </c>
      <c r="N1607" s="107" t="s">
        <v>432</v>
      </c>
      <c r="O1607" s="107" t="s">
        <v>432</v>
      </c>
      <c r="P1607" s="107" t="s">
        <v>432</v>
      </c>
      <c r="Q1607" s="107" t="s">
        <v>432</v>
      </c>
      <c r="R1607" s="107" t="s">
        <v>432</v>
      </c>
      <c r="S1607" s="109" t="s">
        <v>2209</v>
      </c>
      <c r="T1607" s="107" t="s">
        <v>432</v>
      </c>
      <c r="U1607" s="107" t="s">
        <v>432</v>
      </c>
      <c r="V1607" s="109" t="s">
        <v>2209</v>
      </c>
      <c r="W1607" s="107" t="s">
        <v>432</v>
      </c>
      <c r="X1607" s="107" t="s">
        <v>432</v>
      </c>
      <c r="Y1607" s="107" t="s">
        <v>432</v>
      </c>
      <c r="Z1607" s="107" t="s">
        <v>432</v>
      </c>
      <c r="AA1607" s="107" t="s">
        <v>432</v>
      </c>
      <c r="AB1607" s="107" t="s">
        <v>432</v>
      </c>
      <c r="AC1607" s="107" t="s">
        <v>432</v>
      </c>
      <c r="AD1607" s="107" t="s">
        <v>432</v>
      </c>
      <c r="AE1607" s="107" t="s">
        <v>432</v>
      </c>
      <c r="AF1607" s="107" t="s">
        <v>432</v>
      </c>
      <c r="AG1607" s="107" t="s">
        <v>432</v>
      </c>
      <c r="AH1607" s="107" t="s">
        <v>432</v>
      </c>
      <c r="AI1607" s="107" t="s">
        <v>432</v>
      </c>
      <c r="AJ1607" s="107" t="s">
        <v>432</v>
      </c>
      <c r="AK1607" s="107" t="s">
        <v>432</v>
      </c>
      <c r="AL1607" s="601" t="s">
        <v>432</v>
      </c>
      <c r="AM1607" s="137" t="s">
        <v>432</v>
      </c>
      <c r="AN1607" s="137" t="s">
        <v>432</v>
      </c>
      <c r="AO1607" s="137" t="s">
        <v>432</v>
      </c>
      <c r="AP1607" s="137" t="s">
        <v>432</v>
      </c>
      <c r="AQ1607" s="137" t="s">
        <v>432</v>
      </c>
      <c r="AR1607" s="137" t="s">
        <v>432</v>
      </c>
      <c r="AS1607" s="137" t="s">
        <v>432</v>
      </c>
      <c r="AT1607" s="137" t="s">
        <v>432</v>
      </c>
      <c r="AU1607" s="137" t="s">
        <v>432</v>
      </c>
      <c r="AV1607" s="137" t="s">
        <v>432</v>
      </c>
      <c r="AW1607" s="137" t="s">
        <v>432</v>
      </c>
      <c r="AX1607" s="137" t="s">
        <v>432</v>
      </c>
      <c r="AY1607" s="137" t="s">
        <v>432</v>
      </c>
      <c r="AZ1607" s="137" t="s">
        <v>432</v>
      </c>
      <c r="BA1607" s="137" t="s">
        <v>432</v>
      </c>
      <c r="BB1607" s="239" t="str">
        <f t="shared" si="465"/>
        <v>geralx</v>
      </c>
      <c r="BC1607" s="239" t="str">
        <f t="shared" si="466"/>
        <v>geralxsigla/verbete</v>
      </c>
      <c r="BD1607" s="239" t="str">
        <f t="shared" si="467"/>
        <v>geralsigla/verbete</v>
      </c>
    </row>
    <row r="1608" spans="1:56" s="1" customFormat="1" ht="78.75" customHeight="1" x14ac:dyDescent="0.25">
      <c r="A1608" s="262" t="s">
        <v>432</v>
      </c>
      <c r="B1608" s="252" t="s">
        <v>742</v>
      </c>
      <c r="C1608" s="230" t="s">
        <v>432</v>
      </c>
      <c r="D1608" s="323" t="s">
        <v>841</v>
      </c>
      <c r="E1608" s="1496" t="s">
        <v>432</v>
      </c>
      <c r="F1608" s="53" t="s">
        <v>842</v>
      </c>
      <c r="G1608" s="167" t="s">
        <v>3879</v>
      </c>
      <c r="H1608" s="167" t="s">
        <v>432</v>
      </c>
      <c r="I1608" s="167" t="s">
        <v>432</v>
      </c>
      <c r="J1608" s="109" t="s">
        <v>432</v>
      </c>
      <c r="K1608" s="109" t="s">
        <v>432</v>
      </c>
      <c r="L1608" s="109" t="s">
        <v>432</v>
      </c>
      <c r="M1608" s="109" t="s">
        <v>432</v>
      </c>
      <c r="N1608" s="109" t="s">
        <v>432</v>
      </c>
      <c r="O1608" s="109" t="s">
        <v>432</v>
      </c>
      <c r="P1608" s="109" t="s">
        <v>432</v>
      </c>
      <c r="Q1608" s="109" t="s">
        <v>432</v>
      </c>
      <c r="R1608" s="109" t="s">
        <v>432</v>
      </c>
      <c r="S1608" s="109" t="s">
        <v>2209</v>
      </c>
      <c r="T1608" s="109" t="s">
        <v>432</v>
      </c>
      <c r="U1608" s="109" t="s">
        <v>432</v>
      </c>
      <c r="V1608" s="109" t="s">
        <v>2209</v>
      </c>
      <c r="W1608" s="109" t="s">
        <v>432</v>
      </c>
      <c r="X1608" s="109" t="s">
        <v>432</v>
      </c>
      <c r="Y1608" s="109" t="s">
        <v>432</v>
      </c>
      <c r="Z1608" s="109" t="s">
        <v>432</v>
      </c>
      <c r="AA1608" s="109" t="s">
        <v>432</v>
      </c>
      <c r="AB1608" s="109" t="s">
        <v>432</v>
      </c>
      <c r="AC1608" s="109" t="s">
        <v>432</v>
      </c>
      <c r="AD1608" s="109" t="s">
        <v>432</v>
      </c>
      <c r="AE1608" s="109" t="s">
        <v>432</v>
      </c>
      <c r="AF1608" s="109" t="s">
        <v>432</v>
      </c>
      <c r="AG1608" s="109" t="s">
        <v>432</v>
      </c>
      <c r="AH1608" s="109" t="s">
        <v>432</v>
      </c>
      <c r="AI1608" s="109" t="s">
        <v>432</v>
      </c>
      <c r="AJ1608" s="109" t="s">
        <v>432</v>
      </c>
      <c r="AK1608" s="137" t="s">
        <v>432</v>
      </c>
      <c r="AL1608" s="601" t="s">
        <v>432</v>
      </c>
      <c r="AM1608" s="137" t="s">
        <v>432</v>
      </c>
      <c r="AN1608" s="137" t="s">
        <v>432</v>
      </c>
      <c r="AO1608" s="137" t="s">
        <v>432</v>
      </c>
      <c r="AP1608" s="137" t="s">
        <v>432</v>
      </c>
      <c r="AQ1608" s="137" t="s">
        <v>432</v>
      </c>
      <c r="AR1608" s="137" t="s">
        <v>432</v>
      </c>
      <c r="AS1608" s="137" t="s">
        <v>432</v>
      </c>
      <c r="AT1608" s="137" t="s">
        <v>432</v>
      </c>
      <c r="AU1608" s="137" t="s">
        <v>432</v>
      </c>
      <c r="AV1608" s="137" t="s">
        <v>432</v>
      </c>
      <c r="AW1608" s="137" t="s">
        <v>432</v>
      </c>
      <c r="AX1608" s="137" t="s">
        <v>432</v>
      </c>
      <c r="AY1608" s="137" t="s">
        <v>432</v>
      </c>
      <c r="AZ1608" s="137" t="s">
        <v>432</v>
      </c>
      <c r="BA1608" s="137" t="s">
        <v>432</v>
      </c>
      <c r="BB1608" s="239" t="str">
        <f t="shared" si="465"/>
        <v>geralx</v>
      </c>
      <c r="BC1608" s="239" t="str">
        <f t="shared" si="466"/>
        <v>geralxx</v>
      </c>
      <c r="BD1608" s="239" t="str">
        <f t="shared" si="467"/>
        <v>geralx</v>
      </c>
    </row>
    <row r="1609" spans="1:56" s="1" customFormat="1" ht="89.25" x14ac:dyDescent="0.25">
      <c r="A1609" s="262" t="str">
        <f>'Q100b-totais'!B61</f>
        <v>8.9</v>
      </c>
      <c r="B1609" s="252" t="str">
        <f>'Q100b-totais'!C61</f>
        <v>Metrô</v>
      </c>
      <c r="C1609" s="230" t="s">
        <v>432</v>
      </c>
      <c r="D1609" s="323" t="s">
        <v>841</v>
      </c>
      <c r="E1609" s="1496" t="s">
        <v>5561</v>
      </c>
      <c r="F1609" s="53" t="s">
        <v>5566</v>
      </c>
      <c r="G1609" s="230" t="s">
        <v>3507</v>
      </c>
      <c r="H1609" s="167" t="s">
        <v>2408</v>
      </c>
      <c r="I1609" s="167" t="s">
        <v>432</v>
      </c>
      <c r="J1609" s="109" t="s">
        <v>432</v>
      </c>
      <c r="K1609" s="109" t="s">
        <v>432</v>
      </c>
      <c r="L1609" s="109" t="s">
        <v>432</v>
      </c>
      <c r="M1609" s="109" t="s">
        <v>432</v>
      </c>
      <c r="N1609" s="109" t="s">
        <v>432</v>
      </c>
      <c r="O1609" s="109" t="s">
        <v>432</v>
      </c>
      <c r="P1609" s="109" t="s">
        <v>432</v>
      </c>
      <c r="Q1609" s="109" t="s">
        <v>432</v>
      </c>
      <c r="R1609" s="109" t="s">
        <v>432</v>
      </c>
      <c r="S1609" s="109" t="s">
        <v>2209</v>
      </c>
      <c r="T1609" s="109" t="s">
        <v>432</v>
      </c>
      <c r="U1609" s="109" t="s">
        <v>432</v>
      </c>
      <c r="V1609" s="109" t="s">
        <v>2209</v>
      </c>
      <c r="W1609" s="109" t="s">
        <v>432</v>
      </c>
      <c r="X1609" s="109" t="s">
        <v>432</v>
      </c>
      <c r="Y1609" s="109" t="s">
        <v>432</v>
      </c>
      <c r="Z1609" s="109" t="s">
        <v>432</v>
      </c>
      <c r="AA1609" s="109" t="s">
        <v>432</v>
      </c>
      <c r="AB1609" s="109" t="s">
        <v>432</v>
      </c>
      <c r="AC1609" s="109" t="s">
        <v>432</v>
      </c>
      <c r="AD1609" s="109" t="s">
        <v>432</v>
      </c>
      <c r="AE1609" s="109" t="s">
        <v>432</v>
      </c>
      <c r="AF1609" s="109" t="s">
        <v>432</v>
      </c>
      <c r="AG1609" s="109" t="s">
        <v>432</v>
      </c>
      <c r="AH1609" s="109" t="s">
        <v>432</v>
      </c>
      <c r="AI1609" s="109" t="s">
        <v>432</v>
      </c>
      <c r="AJ1609" s="109" t="s">
        <v>432</v>
      </c>
      <c r="AK1609" s="137" t="s">
        <v>432</v>
      </c>
      <c r="AL1609" s="601" t="s">
        <v>432</v>
      </c>
      <c r="AM1609" s="137" t="s">
        <v>432</v>
      </c>
      <c r="AN1609" s="137" t="s">
        <v>432</v>
      </c>
      <c r="AO1609" s="137" t="s">
        <v>432</v>
      </c>
      <c r="AP1609" s="137" t="s">
        <v>432</v>
      </c>
      <c r="AQ1609" s="137" t="s">
        <v>432</v>
      </c>
      <c r="AR1609" s="137" t="s">
        <v>432</v>
      </c>
      <c r="AS1609" s="137" t="s">
        <v>432</v>
      </c>
      <c r="AT1609" s="137" t="s">
        <v>432</v>
      </c>
      <c r="AU1609" s="137" t="s">
        <v>432</v>
      </c>
      <c r="AV1609" s="137" t="s">
        <v>432</v>
      </c>
      <c r="AW1609" s="137" t="s">
        <v>432</v>
      </c>
      <c r="AX1609" s="137" t="s">
        <v>432</v>
      </c>
      <c r="AY1609" s="137" t="s">
        <v>432</v>
      </c>
      <c r="AZ1609" s="137" t="s">
        <v>432</v>
      </c>
      <c r="BA1609" s="137" t="s">
        <v>432</v>
      </c>
      <c r="BB1609" s="239" t="str">
        <f>B1609&amp;C1609</f>
        <v>Metrôx</v>
      </c>
      <c r="BC1609" s="239" t="str">
        <f>B1609&amp;C1609&amp;H1609</f>
        <v>Metrôxsigla/verbete</v>
      </c>
      <c r="BD1609" s="239" t="str">
        <f>B1609&amp;H1609</f>
        <v>Metrôsigla/verbete</v>
      </c>
    </row>
    <row r="1610" spans="1:56" s="1" customFormat="1" ht="51" x14ac:dyDescent="0.25">
      <c r="A1610" s="262" t="str">
        <f>'Q100b-totais'!B62</f>
        <v>8.10</v>
      </c>
      <c r="B1610" s="252" t="str">
        <f>'Q100b-totais'!C62</f>
        <v>Sistema de transporte coletivo com um todo</v>
      </c>
      <c r="C1610" s="230" t="s">
        <v>432</v>
      </c>
      <c r="D1610" s="323" t="s">
        <v>5568</v>
      </c>
      <c r="E1610" s="1496" t="s">
        <v>432</v>
      </c>
      <c r="F1610" s="53" t="s">
        <v>5569</v>
      </c>
      <c r="G1610" s="230" t="s">
        <v>3507</v>
      </c>
      <c r="H1610" s="167" t="s">
        <v>2408</v>
      </c>
      <c r="I1610" s="167" t="s">
        <v>432</v>
      </c>
      <c r="J1610" s="109" t="s">
        <v>432</v>
      </c>
      <c r="K1610" s="109" t="s">
        <v>432</v>
      </c>
      <c r="L1610" s="109" t="s">
        <v>432</v>
      </c>
      <c r="M1610" s="109" t="s">
        <v>432</v>
      </c>
      <c r="N1610" s="109" t="s">
        <v>432</v>
      </c>
      <c r="O1610" s="109" t="s">
        <v>432</v>
      </c>
      <c r="P1610" s="109" t="s">
        <v>432</v>
      </c>
      <c r="Q1610" s="109" t="s">
        <v>432</v>
      </c>
      <c r="R1610" s="109" t="s">
        <v>432</v>
      </c>
      <c r="S1610" s="109" t="s">
        <v>2209</v>
      </c>
      <c r="T1610" s="109" t="s">
        <v>432</v>
      </c>
      <c r="U1610" s="109" t="s">
        <v>432</v>
      </c>
      <c r="V1610" s="109" t="s">
        <v>2209</v>
      </c>
      <c r="W1610" s="109" t="s">
        <v>432</v>
      </c>
      <c r="X1610" s="109" t="s">
        <v>432</v>
      </c>
      <c r="Y1610" s="109" t="s">
        <v>432</v>
      </c>
      <c r="Z1610" s="109" t="s">
        <v>432</v>
      </c>
      <c r="AA1610" s="109" t="s">
        <v>432</v>
      </c>
      <c r="AB1610" s="109" t="s">
        <v>432</v>
      </c>
      <c r="AC1610" s="109" t="s">
        <v>432</v>
      </c>
      <c r="AD1610" s="109" t="s">
        <v>432</v>
      </c>
      <c r="AE1610" s="109" t="s">
        <v>432</v>
      </c>
      <c r="AF1610" s="109" t="s">
        <v>432</v>
      </c>
      <c r="AG1610" s="109" t="s">
        <v>432</v>
      </c>
      <c r="AH1610" s="109" t="s">
        <v>432</v>
      </c>
      <c r="AI1610" s="109" t="s">
        <v>432</v>
      </c>
      <c r="AJ1610" s="109" t="s">
        <v>432</v>
      </c>
      <c r="AK1610" s="137" t="s">
        <v>432</v>
      </c>
      <c r="AL1610" s="601" t="s">
        <v>432</v>
      </c>
      <c r="AM1610" s="137" t="s">
        <v>432</v>
      </c>
      <c r="AN1610" s="137" t="s">
        <v>432</v>
      </c>
      <c r="AO1610" s="137" t="s">
        <v>432</v>
      </c>
      <c r="AP1610" s="137" t="s">
        <v>432</v>
      </c>
      <c r="AQ1610" s="137" t="s">
        <v>432</v>
      </c>
      <c r="AR1610" s="137" t="s">
        <v>432</v>
      </c>
      <c r="AS1610" s="137" t="s">
        <v>432</v>
      </c>
      <c r="AT1610" s="137" t="s">
        <v>432</v>
      </c>
      <c r="AU1610" s="137" t="s">
        <v>432</v>
      </c>
      <c r="AV1610" s="137" t="s">
        <v>432</v>
      </c>
      <c r="AW1610" s="137" t="s">
        <v>432</v>
      </c>
      <c r="AX1610" s="137" t="s">
        <v>432</v>
      </c>
      <c r="AY1610" s="137" t="s">
        <v>432</v>
      </c>
      <c r="AZ1610" s="137" t="s">
        <v>432</v>
      </c>
      <c r="BA1610" s="137" t="s">
        <v>432</v>
      </c>
      <c r="BB1610" s="239" t="str">
        <f>B1610&amp;C1610</f>
        <v>Sistema de transporte coletivo com um todox</v>
      </c>
      <c r="BC1610" s="239" t="str">
        <f>B1610&amp;C1610&amp;H1610</f>
        <v>Sistema de transporte coletivo com um todoxsigla/verbete</v>
      </c>
      <c r="BD1610" s="239" t="str">
        <f>B1610&amp;H1610</f>
        <v>Sistema de transporte coletivo com um todosigla/verbete</v>
      </c>
    </row>
    <row r="1611" spans="1:56" s="1" customFormat="1" ht="51" customHeight="1" x14ac:dyDescent="0.25">
      <c r="A1611" s="262" t="s">
        <v>432</v>
      </c>
      <c r="B1611" s="252" t="s">
        <v>742</v>
      </c>
      <c r="C1611" s="230" t="s">
        <v>432</v>
      </c>
      <c r="D1611" s="323" t="s">
        <v>4284</v>
      </c>
      <c r="E1611" s="1496" t="s">
        <v>432</v>
      </c>
      <c r="F1611" s="53" t="s">
        <v>4285</v>
      </c>
      <c r="G1611" s="230" t="s">
        <v>3507</v>
      </c>
      <c r="H1611" s="167" t="s">
        <v>2408</v>
      </c>
      <c r="I1611" s="167" t="s">
        <v>432</v>
      </c>
      <c r="J1611" s="109" t="s">
        <v>432</v>
      </c>
      <c r="K1611" s="109" t="s">
        <v>432</v>
      </c>
      <c r="L1611" s="109" t="s">
        <v>432</v>
      </c>
      <c r="M1611" s="109" t="s">
        <v>432</v>
      </c>
      <c r="N1611" s="109" t="s">
        <v>432</v>
      </c>
      <c r="O1611" s="109" t="s">
        <v>432</v>
      </c>
      <c r="P1611" s="109" t="s">
        <v>432</v>
      </c>
      <c r="Q1611" s="109" t="s">
        <v>432</v>
      </c>
      <c r="R1611" s="109" t="s">
        <v>432</v>
      </c>
      <c r="S1611" s="109" t="s">
        <v>2209</v>
      </c>
      <c r="T1611" s="109" t="s">
        <v>432</v>
      </c>
      <c r="U1611" s="109" t="s">
        <v>432</v>
      </c>
      <c r="V1611" s="109" t="s">
        <v>2209</v>
      </c>
      <c r="W1611" s="109" t="s">
        <v>432</v>
      </c>
      <c r="X1611" s="109" t="s">
        <v>432</v>
      </c>
      <c r="Y1611" s="109" t="s">
        <v>432</v>
      </c>
      <c r="Z1611" s="109" t="s">
        <v>432</v>
      </c>
      <c r="AA1611" s="109" t="s">
        <v>432</v>
      </c>
      <c r="AB1611" s="109" t="s">
        <v>432</v>
      </c>
      <c r="AC1611" s="109" t="s">
        <v>432</v>
      </c>
      <c r="AD1611" s="109" t="s">
        <v>432</v>
      </c>
      <c r="AE1611" s="109" t="s">
        <v>432</v>
      </c>
      <c r="AF1611" s="109" t="s">
        <v>432</v>
      </c>
      <c r="AG1611" s="109" t="s">
        <v>432</v>
      </c>
      <c r="AH1611" s="109" t="s">
        <v>432</v>
      </c>
      <c r="AI1611" s="109" t="s">
        <v>432</v>
      </c>
      <c r="AJ1611" s="109" t="s">
        <v>432</v>
      </c>
      <c r="AK1611" s="137" t="s">
        <v>432</v>
      </c>
      <c r="AL1611" s="601" t="s">
        <v>432</v>
      </c>
      <c r="AM1611" s="137" t="s">
        <v>432</v>
      </c>
      <c r="AN1611" s="137" t="s">
        <v>432</v>
      </c>
      <c r="AO1611" s="137" t="s">
        <v>432</v>
      </c>
      <c r="AP1611" s="137" t="s">
        <v>432</v>
      </c>
      <c r="AQ1611" s="137" t="s">
        <v>432</v>
      </c>
      <c r="AR1611" s="137" t="s">
        <v>432</v>
      </c>
      <c r="AS1611" s="137" t="s">
        <v>432</v>
      </c>
      <c r="AT1611" s="137" t="s">
        <v>432</v>
      </c>
      <c r="AU1611" s="137" t="s">
        <v>432</v>
      </c>
      <c r="AV1611" s="137" t="s">
        <v>432</v>
      </c>
      <c r="AW1611" s="137" t="s">
        <v>432</v>
      </c>
      <c r="AX1611" s="137" t="s">
        <v>432</v>
      </c>
      <c r="AY1611" s="137" t="s">
        <v>432</v>
      </c>
      <c r="AZ1611" s="137" t="s">
        <v>432</v>
      </c>
      <c r="BA1611" s="137" t="s">
        <v>432</v>
      </c>
      <c r="BB1611" s="239" t="str">
        <f t="shared" si="465"/>
        <v>geralx</v>
      </c>
      <c r="BC1611" s="239" t="str">
        <f t="shared" si="466"/>
        <v>geralxsigla/verbete</v>
      </c>
      <c r="BD1611" s="239" t="str">
        <f t="shared" si="467"/>
        <v>geralsigla/verbete</v>
      </c>
    </row>
    <row r="1612" spans="1:56" s="1" customFormat="1" ht="90.75" customHeight="1" x14ac:dyDescent="0.25">
      <c r="A1612" s="262" t="str">
        <f>'Q100b-totais'!B22</f>
        <v>2.7</v>
      </c>
      <c r="B1612" s="252" t="str">
        <f>'Q100b-totais'!C22</f>
        <v>Outras cidades/regiões</v>
      </c>
      <c r="C1612" s="230" t="s">
        <v>432</v>
      </c>
      <c r="D1612" s="939" t="s">
        <v>6021</v>
      </c>
      <c r="E1612" s="509" t="s">
        <v>6021</v>
      </c>
      <c r="F1612" s="1205" t="s">
        <v>6251</v>
      </c>
      <c r="G1612" s="230" t="s">
        <v>3507</v>
      </c>
      <c r="H1612" s="167" t="s">
        <v>2408</v>
      </c>
      <c r="I1612" s="167" t="s">
        <v>432</v>
      </c>
      <c r="J1612" s="109" t="s">
        <v>432</v>
      </c>
      <c r="K1612" s="109" t="s">
        <v>432</v>
      </c>
      <c r="L1612" s="109" t="s">
        <v>432</v>
      </c>
      <c r="M1612" s="109" t="s">
        <v>432</v>
      </c>
      <c r="N1612" s="109" t="s">
        <v>432</v>
      </c>
      <c r="O1612" s="109" t="s">
        <v>432</v>
      </c>
      <c r="P1612" s="109" t="s">
        <v>432</v>
      </c>
      <c r="Q1612" s="109" t="s">
        <v>432</v>
      </c>
      <c r="R1612" s="109" t="s">
        <v>432</v>
      </c>
      <c r="S1612" s="109" t="s">
        <v>2209</v>
      </c>
      <c r="T1612" s="109" t="s">
        <v>432</v>
      </c>
      <c r="U1612" s="109" t="s">
        <v>432</v>
      </c>
      <c r="V1612" s="109" t="s">
        <v>2209</v>
      </c>
      <c r="W1612" s="109" t="s">
        <v>432</v>
      </c>
      <c r="X1612" s="109" t="s">
        <v>432</v>
      </c>
      <c r="Y1612" s="109" t="s">
        <v>432</v>
      </c>
      <c r="Z1612" s="109" t="s">
        <v>432</v>
      </c>
      <c r="AA1612" s="109" t="s">
        <v>432</v>
      </c>
      <c r="AB1612" s="109" t="s">
        <v>432</v>
      </c>
      <c r="AC1612" s="109" t="s">
        <v>432</v>
      </c>
      <c r="AD1612" s="109" t="s">
        <v>432</v>
      </c>
      <c r="AE1612" s="109" t="s">
        <v>432</v>
      </c>
      <c r="AF1612" s="109" t="s">
        <v>432</v>
      </c>
      <c r="AG1612" s="109" t="s">
        <v>432</v>
      </c>
      <c r="AH1612" s="109" t="s">
        <v>432</v>
      </c>
      <c r="AI1612" s="109" t="s">
        <v>432</v>
      </c>
      <c r="AJ1612" s="109" t="s">
        <v>432</v>
      </c>
      <c r="AK1612" s="137" t="s">
        <v>432</v>
      </c>
      <c r="AL1612" s="601" t="s">
        <v>432</v>
      </c>
      <c r="AM1612" s="137" t="s">
        <v>432</v>
      </c>
      <c r="AN1612" s="137" t="s">
        <v>432</v>
      </c>
      <c r="AO1612" s="137" t="s">
        <v>432</v>
      </c>
      <c r="AP1612" s="137" t="s">
        <v>432</v>
      </c>
      <c r="AQ1612" s="137" t="s">
        <v>432</v>
      </c>
      <c r="AR1612" s="137" t="s">
        <v>432</v>
      </c>
      <c r="AS1612" s="137" t="s">
        <v>432</v>
      </c>
      <c r="AT1612" s="137" t="s">
        <v>432</v>
      </c>
      <c r="AU1612" s="137" t="s">
        <v>432</v>
      </c>
      <c r="AV1612" s="137" t="s">
        <v>432</v>
      </c>
      <c r="AW1612" s="137" t="s">
        <v>432</v>
      </c>
      <c r="AX1612" s="137" t="s">
        <v>432</v>
      </c>
      <c r="AY1612" s="137" t="s">
        <v>432</v>
      </c>
      <c r="AZ1612" s="137" t="s">
        <v>432</v>
      </c>
      <c r="BA1612" s="137" t="s">
        <v>432</v>
      </c>
      <c r="BB1612" s="239" t="str">
        <f t="shared" ref="BB1612" si="468">B1612&amp;C1612</f>
        <v>Outras cidades/regiõesx</v>
      </c>
      <c r="BC1612" s="239" t="str">
        <f t="shared" ref="BC1612" si="469">B1612&amp;C1612&amp;H1612</f>
        <v>Outras cidades/regiõesxsigla/verbete</v>
      </c>
      <c r="BD1612" s="239" t="str">
        <f t="shared" ref="BD1612" si="470">B1612&amp;H1612</f>
        <v>Outras cidades/regiõessigla/verbete</v>
      </c>
    </row>
    <row r="1613" spans="1:56" s="373" customFormat="1" ht="63.75" x14ac:dyDescent="0.25">
      <c r="A1613" s="262" t="s">
        <v>432</v>
      </c>
      <c r="B1613" s="252" t="s">
        <v>742</v>
      </c>
      <c r="C1613" s="167" t="s">
        <v>432</v>
      </c>
      <c r="D1613" s="1354" t="str">
        <f>atualiz_assinaturas!A52</f>
        <v>MFO</v>
      </c>
      <c r="E1613" s="1356" t="str">
        <f>atualiz_assinaturas!B52</f>
        <v>x</v>
      </c>
      <c r="F1613" s="1172" t="str">
        <f>atualiz_assinaturas!C52</f>
        <v>verbete assinado por Marcos Fontoura de Oliveira
graduado em Engenharia Civil pela EE-UFMG (1983); especialista em Urbanismo pela EA-UFMG (1988), especialista em Percepção Ambiental e Espaço Urbano pelo IGC-UFMG (1996), pós-graduado em Desenvolvimento Gerencial pela FIA/USP (2000), mestre em Administração Pública pela EG-FJP (2000), doutor em Ciências Sociais pela PUC Minas (2014); atualmente é analista de transportes e trânsito lotado na Diretoria de Planejamento da BHTrans</v>
      </c>
      <c r="G1613" s="57" t="s">
        <v>4516</v>
      </c>
      <c r="H1613" s="167" t="s">
        <v>4516</v>
      </c>
      <c r="I1613" s="167" t="s">
        <v>432</v>
      </c>
      <c r="J1613" s="107" t="s">
        <v>432</v>
      </c>
      <c r="K1613" s="107" t="s">
        <v>432</v>
      </c>
      <c r="L1613" s="107" t="s">
        <v>432</v>
      </c>
      <c r="M1613" s="107" t="s">
        <v>432</v>
      </c>
      <c r="N1613" s="107" t="s">
        <v>432</v>
      </c>
      <c r="O1613" s="107" t="s">
        <v>432</v>
      </c>
      <c r="P1613" s="107" t="s">
        <v>432</v>
      </c>
      <c r="Q1613" s="107" t="s">
        <v>432</v>
      </c>
      <c r="R1613" s="107" t="s">
        <v>432</v>
      </c>
      <c r="S1613" s="109" t="s">
        <v>2209</v>
      </c>
      <c r="T1613" s="107" t="s">
        <v>432</v>
      </c>
      <c r="U1613" s="107" t="s">
        <v>432</v>
      </c>
      <c r="V1613" s="109" t="s">
        <v>2209</v>
      </c>
      <c r="W1613" s="107" t="s">
        <v>432</v>
      </c>
      <c r="X1613" s="107" t="s">
        <v>432</v>
      </c>
      <c r="Y1613" s="107" t="s">
        <v>432</v>
      </c>
      <c r="Z1613" s="107" t="s">
        <v>432</v>
      </c>
      <c r="AA1613" s="107" t="s">
        <v>432</v>
      </c>
      <c r="AB1613" s="107" t="s">
        <v>432</v>
      </c>
      <c r="AC1613" s="107" t="s">
        <v>432</v>
      </c>
      <c r="AD1613" s="107" t="s">
        <v>432</v>
      </c>
      <c r="AE1613" s="107" t="s">
        <v>432</v>
      </c>
      <c r="AF1613" s="107" t="s">
        <v>432</v>
      </c>
      <c r="AG1613" s="107" t="s">
        <v>432</v>
      </c>
      <c r="AH1613" s="107" t="s">
        <v>432</v>
      </c>
      <c r="AI1613" s="107" t="s">
        <v>432</v>
      </c>
      <c r="AJ1613" s="107" t="s">
        <v>432</v>
      </c>
      <c r="AK1613" s="107" t="s">
        <v>432</v>
      </c>
      <c r="AL1613" s="601" t="s">
        <v>432</v>
      </c>
      <c r="AM1613" s="137" t="s">
        <v>432</v>
      </c>
      <c r="AN1613" s="137" t="s">
        <v>432</v>
      </c>
      <c r="AO1613" s="137" t="s">
        <v>432</v>
      </c>
      <c r="AP1613" s="137" t="s">
        <v>432</v>
      </c>
      <c r="AQ1613" s="137" t="s">
        <v>432</v>
      </c>
      <c r="AR1613" s="137" t="s">
        <v>432</v>
      </c>
      <c r="AS1613" s="137" t="s">
        <v>432</v>
      </c>
      <c r="AT1613" s="137" t="s">
        <v>432</v>
      </c>
      <c r="AU1613" s="137" t="s">
        <v>432</v>
      </c>
      <c r="AV1613" s="137" t="s">
        <v>432</v>
      </c>
      <c r="AW1613" s="137" t="s">
        <v>432</v>
      </c>
      <c r="AX1613" s="137" t="s">
        <v>432</v>
      </c>
      <c r="AY1613" s="137" t="s">
        <v>432</v>
      </c>
      <c r="AZ1613" s="137" t="s">
        <v>432</v>
      </c>
      <c r="BA1613" s="137" t="s">
        <v>432</v>
      </c>
      <c r="BB1613" s="239" t="str">
        <f t="shared" si="465"/>
        <v>geralx</v>
      </c>
      <c r="BC1613" s="239" t="str">
        <f t="shared" si="466"/>
        <v>geralxassinatura</v>
      </c>
      <c r="BD1613" s="239" t="str">
        <f t="shared" si="467"/>
        <v>geralassinatura</v>
      </c>
    </row>
    <row r="1614" spans="1:56" s="1" customFormat="1" ht="78.75" customHeight="1" x14ac:dyDescent="0.25">
      <c r="A1614" s="262" t="s">
        <v>432</v>
      </c>
      <c r="B1614" s="252" t="s">
        <v>742</v>
      </c>
      <c r="C1614" s="167" t="s">
        <v>432</v>
      </c>
      <c r="D1614" s="325" t="s">
        <v>4550</v>
      </c>
      <c r="E1614" s="1445" t="s">
        <v>432</v>
      </c>
      <c r="F1614" s="252" t="s">
        <v>4734</v>
      </c>
      <c r="G1614" s="57" t="s">
        <v>3507</v>
      </c>
      <c r="H1614" s="167" t="s">
        <v>2408</v>
      </c>
      <c r="I1614" s="167" t="s">
        <v>432</v>
      </c>
      <c r="J1614" s="109" t="s">
        <v>432</v>
      </c>
      <c r="K1614" s="109" t="s">
        <v>432</v>
      </c>
      <c r="L1614" s="109" t="s">
        <v>432</v>
      </c>
      <c r="M1614" s="109" t="s">
        <v>432</v>
      </c>
      <c r="N1614" s="109" t="s">
        <v>432</v>
      </c>
      <c r="O1614" s="109" t="s">
        <v>432</v>
      </c>
      <c r="P1614" s="109" t="s">
        <v>432</v>
      </c>
      <c r="Q1614" s="109" t="s">
        <v>432</v>
      </c>
      <c r="R1614" s="109" t="s">
        <v>432</v>
      </c>
      <c r="S1614" s="109" t="s">
        <v>2209</v>
      </c>
      <c r="T1614" s="109" t="s">
        <v>432</v>
      </c>
      <c r="U1614" s="109" t="s">
        <v>432</v>
      </c>
      <c r="V1614" s="109" t="s">
        <v>2209</v>
      </c>
      <c r="W1614" s="109" t="s">
        <v>432</v>
      </c>
      <c r="X1614" s="109" t="s">
        <v>432</v>
      </c>
      <c r="Y1614" s="109" t="s">
        <v>432</v>
      </c>
      <c r="Z1614" s="109" t="s">
        <v>432</v>
      </c>
      <c r="AA1614" s="109" t="s">
        <v>432</v>
      </c>
      <c r="AB1614" s="109" t="s">
        <v>432</v>
      </c>
      <c r="AC1614" s="109" t="s">
        <v>432</v>
      </c>
      <c r="AD1614" s="109" t="s">
        <v>432</v>
      </c>
      <c r="AE1614" s="109" t="s">
        <v>432</v>
      </c>
      <c r="AF1614" s="109" t="s">
        <v>432</v>
      </c>
      <c r="AG1614" s="109" t="s">
        <v>432</v>
      </c>
      <c r="AH1614" s="109" t="s">
        <v>432</v>
      </c>
      <c r="AI1614" s="109" t="s">
        <v>432</v>
      </c>
      <c r="AJ1614" s="109" t="s">
        <v>432</v>
      </c>
      <c r="AK1614" s="137" t="s">
        <v>432</v>
      </c>
      <c r="AL1614" s="601" t="s">
        <v>432</v>
      </c>
      <c r="AM1614" s="137" t="s">
        <v>432</v>
      </c>
      <c r="AN1614" s="137" t="s">
        <v>432</v>
      </c>
      <c r="AO1614" s="137" t="s">
        <v>432</v>
      </c>
      <c r="AP1614" s="137" t="s">
        <v>432</v>
      </c>
      <c r="AQ1614" s="137" t="s">
        <v>432</v>
      </c>
      <c r="AR1614" s="137" t="s">
        <v>432</v>
      </c>
      <c r="AS1614" s="137" t="s">
        <v>432</v>
      </c>
      <c r="AT1614" s="137" t="s">
        <v>432</v>
      </c>
      <c r="AU1614" s="137" t="s">
        <v>432</v>
      </c>
      <c r="AV1614" s="137" t="s">
        <v>432</v>
      </c>
      <c r="AW1614" s="137" t="s">
        <v>432</v>
      </c>
      <c r="AX1614" s="137" t="s">
        <v>432</v>
      </c>
      <c r="AY1614" s="137" t="s">
        <v>432</v>
      </c>
      <c r="AZ1614" s="137" t="s">
        <v>432</v>
      </c>
      <c r="BA1614" s="137" t="s">
        <v>432</v>
      </c>
      <c r="BB1614" s="239" t="str">
        <f t="shared" si="465"/>
        <v>geralx</v>
      </c>
      <c r="BC1614" s="239" t="str">
        <f t="shared" si="466"/>
        <v>geralxsigla/verbete</v>
      </c>
      <c r="BD1614" s="239" t="str">
        <f t="shared" si="467"/>
        <v>geralsigla/verbete</v>
      </c>
    </row>
    <row r="1615" spans="1:56" s="1" customFormat="1" ht="179.25" customHeight="1" x14ac:dyDescent="0.25">
      <c r="A1615" s="262" t="str">
        <f>'Q100b-totais'!B22</f>
        <v>2.7</v>
      </c>
      <c r="B1615" s="252" t="str">
        <f>'Q100b-totais'!C22</f>
        <v>Outras cidades/regiões</v>
      </c>
      <c r="C1615" s="167" t="s">
        <v>743</v>
      </c>
      <c r="D1615" s="716" t="s">
        <v>6166</v>
      </c>
      <c r="E1615" s="509" t="s">
        <v>6166</v>
      </c>
      <c r="F1615" s="252" t="s">
        <v>6227</v>
      </c>
      <c r="G1615" s="57" t="s">
        <v>3507</v>
      </c>
      <c r="H1615" s="167" t="s">
        <v>2408</v>
      </c>
      <c r="I1615" s="167" t="s">
        <v>432</v>
      </c>
      <c r="J1615" s="109" t="s">
        <v>432</v>
      </c>
      <c r="K1615" s="109" t="s">
        <v>432</v>
      </c>
      <c r="L1615" s="109" t="s">
        <v>432</v>
      </c>
      <c r="M1615" s="109" t="s">
        <v>432</v>
      </c>
      <c r="N1615" s="109" t="s">
        <v>432</v>
      </c>
      <c r="O1615" s="109" t="s">
        <v>432</v>
      </c>
      <c r="P1615" s="109" t="s">
        <v>432</v>
      </c>
      <c r="Q1615" s="109" t="s">
        <v>432</v>
      </c>
      <c r="R1615" s="109" t="s">
        <v>432</v>
      </c>
      <c r="S1615" s="109" t="s">
        <v>2209</v>
      </c>
      <c r="T1615" s="109" t="s">
        <v>432</v>
      </c>
      <c r="U1615" s="109" t="s">
        <v>432</v>
      </c>
      <c r="V1615" s="109" t="s">
        <v>2209</v>
      </c>
      <c r="W1615" s="109" t="s">
        <v>432</v>
      </c>
      <c r="X1615" s="109" t="s">
        <v>432</v>
      </c>
      <c r="Y1615" s="109" t="s">
        <v>432</v>
      </c>
      <c r="Z1615" s="109" t="s">
        <v>432</v>
      </c>
      <c r="AA1615" s="109" t="s">
        <v>432</v>
      </c>
      <c r="AB1615" s="109" t="s">
        <v>432</v>
      </c>
      <c r="AC1615" s="109" t="s">
        <v>432</v>
      </c>
      <c r="AD1615" s="109" t="s">
        <v>432</v>
      </c>
      <c r="AE1615" s="109" t="s">
        <v>432</v>
      </c>
      <c r="AF1615" s="109" t="s">
        <v>432</v>
      </c>
      <c r="AG1615" s="109" t="s">
        <v>432</v>
      </c>
      <c r="AH1615" s="109" t="s">
        <v>432</v>
      </c>
      <c r="AI1615" s="109" t="s">
        <v>432</v>
      </c>
      <c r="AJ1615" s="109" t="s">
        <v>432</v>
      </c>
      <c r="AK1615" s="137" t="s">
        <v>432</v>
      </c>
      <c r="AL1615" s="601" t="s">
        <v>432</v>
      </c>
      <c r="AM1615" s="137" t="s">
        <v>432</v>
      </c>
      <c r="AN1615" s="137" t="s">
        <v>432</v>
      </c>
      <c r="AO1615" s="137" t="s">
        <v>432</v>
      </c>
      <c r="AP1615" s="137" t="s">
        <v>432</v>
      </c>
      <c r="AQ1615" s="137" t="s">
        <v>432</v>
      </c>
      <c r="AR1615" s="137" t="s">
        <v>432</v>
      </c>
      <c r="AS1615" s="137" t="s">
        <v>432</v>
      </c>
      <c r="AT1615" s="137" t="s">
        <v>432</v>
      </c>
      <c r="AU1615" s="137" t="s">
        <v>432</v>
      </c>
      <c r="AV1615" s="137" t="s">
        <v>432</v>
      </c>
      <c r="AW1615" s="137" t="s">
        <v>432</v>
      </c>
      <c r="AX1615" s="137" t="s">
        <v>432</v>
      </c>
      <c r="AY1615" s="137" t="s">
        <v>432</v>
      </c>
      <c r="AZ1615" s="137" t="s">
        <v>432</v>
      </c>
      <c r="BA1615" s="137" t="s">
        <v>432</v>
      </c>
      <c r="BB1615" s="239" t="str">
        <f t="shared" ref="BB1615" si="471">B1615&amp;C1615</f>
        <v>Outras cidades/regiõesacessibilidade</v>
      </c>
      <c r="BC1615" s="239" t="str">
        <f t="shared" ref="BC1615" si="472">B1615&amp;C1615&amp;H1615</f>
        <v>Outras cidades/regiõesacessibilidadesigla/verbete</v>
      </c>
      <c r="BD1615" s="239" t="str">
        <f t="shared" ref="BD1615" si="473">B1615&amp;H1615</f>
        <v>Outras cidades/regiõessigla/verbete</v>
      </c>
    </row>
    <row r="1616" spans="1:56" s="1" customFormat="1" ht="55.5" customHeight="1" x14ac:dyDescent="0.25">
      <c r="A1616" s="262" t="str">
        <f>'Q100b-totais'!B24</f>
        <v>3.1</v>
      </c>
      <c r="B1616" s="252" t="str">
        <f>'Q100b-totais'!C24</f>
        <v>Normas produzidas</v>
      </c>
      <c r="C1616" s="167" t="s">
        <v>432</v>
      </c>
      <c r="D1616" s="716" t="s">
        <v>6167</v>
      </c>
      <c r="E1616" s="509" t="s">
        <v>6166</v>
      </c>
      <c r="F1616" s="1172" t="s">
        <v>6168</v>
      </c>
      <c r="G1616" s="57" t="s">
        <v>3507</v>
      </c>
      <c r="H1616" s="167" t="s">
        <v>2408</v>
      </c>
      <c r="I1616" s="167" t="s">
        <v>432</v>
      </c>
      <c r="J1616" s="109" t="s">
        <v>432</v>
      </c>
      <c r="K1616" s="109" t="s">
        <v>432</v>
      </c>
      <c r="L1616" s="109" t="s">
        <v>432</v>
      </c>
      <c r="M1616" s="109" t="s">
        <v>432</v>
      </c>
      <c r="N1616" s="109" t="s">
        <v>432</v>
      </c>
      <c r="O1616" s="109" t="s">
        <v>432</v>
      </c>
      <c r="P1616" s="109" t="s">
        <v>432</v>
      </c>
      <c r="Q1616" s="109" t="s">
        <v>432</v>
      </c>
      <c r="R1616" s="109" t="s">
        <v>432</v>
      </c>
      <c r="S1616" s="109" t="s">
        <v>2209</v>
      </c>
      <c r="T1616" s="109" t="s">
        <v>432</v>
      </c>
      <c r="U1616" s="109" t="s">
        <v>432</v>
      </c>
      <c r="V1616" s="109" t="s">
        <v>2209</v>
      </c>
      <c r="W1616" s="109" t="s">
        <v>432</v>
      </c>
      <c r="X1616" s="109" t="s">
        <v>432</v>
      </c>
      <c r="Y1616" s="109" t="s">
        <v>432</v>
      </c>
      <c r="Z1616" s="109" t="s">
        <v>432</v>
      </c>
      <c r="AA1616" s="109" t="s">
        <v>432</v>
      </c>
      <c r="AB1616" s="109" t="s">
        <v>432</v>
      </c>
      <c r="AC1616" s="109" t="s">
        <v>432</v>
      </c>
      <c r="AD1616" s="109" t="s">
        <v>432</v>
      </c>
      <c r="AE1616" s="109" t="s">
        <v>432</v>
      </c>
      <c r="AF1616" s="109" t="s">
        <v>432</v>
      </c>
      <c r="AG1616" s="109" t="s">
        <v>432</v>
      </c>
      <c r="AH1616" s="109" t="s">
        <v>432</v>
      </c>
      <c r="AI1616" s="109" t="s">
        <v>432</v>
      </c>
      <c r="AJ1616" s="109" t="s">
        <v>432</v>
      </c>
      <c r="AK1616" s="137" t="s">
        <v>432</v>
      </c>
      <c r="AL1616" s="601" t="s">
        <v>432</v>
      </c>
      <c r="AM1616" s="137" t="s">
        <v>432</v>
      </c>
      <c r="AN1616" s="137" t="s">
        <v>432</v>
      </c>
      <c r="AO1616" s="137" t="s">
        <v>432</v>
      </c>
      <c r="AP1616" s="137" t="s">
        <v>432</v>
      </c>
      <c r="AQ1616" s="137" t="s">
        <v>432</v>
      </c>
      <c r="AR1616" s="137" t="s">
        <v>432</v>
      </c>
      <c r="AS1616" s="137" t="s">
        <v>432</v>
      </c>
      <c r="AT1616" s="137" t="s">
        <v>432</v>
      </c>
      <c r="AU1616" s="137" t="s">
        <v>432</v>
      </c>
      <c r="AV1616" s="137" t="s">
        <v>432</v>
      </c>
      <c r="AW1616" s="137" t="s">
        <v>432</v>
      </c>
      <c r="AX1616" s="137" t="s">
        <v>432</v>
      </c>
      <c r="AY1616" s="137" t="s">
        <v>432</v>
      </c>
      <c r="AZ1616" s="137" t="s">
        <v>432</v>
      </c>
      <c r="BA1616" s="137" t="s">
        <v>432</v>
      </c>
      <c r="BB1616" s="239" t="str">
        <f t="shared" ref="BB1616" si="474">B1616&amp;C1616</f>
        <v>Normas produzidasx</v>
      </c>
      <c r="BC1616" s="239" t="str">
        <f t="shared" ref="BC1616" si="475">B1616&amp;C1616&amp;H1616</f>
        <v>Normas produzidasxsigla/verbete</v>
      </c>
      <c r="BD1616" s="239" t="str">
        <f t="shared" ref="BD1616" si="476">B1616&amp;H1616</f>
        <v>Normas produzidassigla/verbete</v>
      </c>
    </row>
    <row r="1617" spans="1:67" s="1" customFormat="1" ht="78.75" customHeight="1" x14ac:dyDescent="0.25">
      <c r="A1617" s="262" t="s">
        <v>432</v>
      </c>
      <c r="B1617" s="252" t="s">
        <v>742</v>
      </c>
      <c r="C1617" s="230" t="s">
        <v>432</v>
      </c>
      <c r="D1617" s="323" t="s">
        <v>268</v>
      </c>
      <c r="E1617" s="1496" t="s">
        <v>432</v>
      </c>
      <c r="F1617" s="24" t="s">
        <v>847</v>
      </c>
      <c r="G1617" s="167" t="s">
        <v>3879</v>
      </c>
      <c r="H1617" s="167" t="s">
        <v>432</v>
      </c>
      <c r="I1617" s="167" t="s">
        <v>432</v>
      </c>
      <c r="J1617" s="107" t="s">
        <v>432</v>
      </c>
      <c r="K1617" s="107" t="s">
        <v>432</v>
      </c>
      <c r="L1617" s="107" t="s">
        <v>432</v>
      </c>
      <c r="M1617" s="107" t="s">
        <v>432</v>
      </c>
      <c r="N1617" s="107" t="s">
        <v>432</v>
      </c>
      <c r="O1617" s="107" t="s">
        <v>432</v>
      </c>
      <c r="P1617" s="107" t="s">
        <v>432</v>
      </c>
      <c r="Q1617" s="107" t="s">
        <v>432</v>
      </c>
      <c r="R1617" s="107" t="s">
        <v>432</v>
      </c>
      <c r="S1617" s="109" t="s">
        <v>2209</v>
      </c>
      <c r="T1617" s="107" t="s">
        <v>432</v>
      </c>
      <c r="U1617" s="107" t="s">
        <v>432</v>
      </c>
      <c r="V1617" s="109" t="s">
        <v>2209</v>
      </c>
      <c r="W1617" s="107" t="s">
        <v>432</v>
      </c>
      <c r="X1617" s="107" t="s">
        <v>432</v>
      </c>
      <c r="Y1617" s="107" t="s">
        <v>432</v>
      </c>
      <c r="Z1617" s="107" t="s">
        <v>432</v>
      </c>
      <c r="AA1617" s="107" t="s">
        <v>432</v>
      </c>
      <c r="AB1617" s="107" t="s">
        <v>432</v>
      </c>
      <c r="AC1617" s="107" t="s">
        <v>432</v>
      </c>
      <c r="AD1617" s="107" t="s">
        <v>432</v>
      </c>
      <c r="AE1617" s="107" t="s">
        <v>432</v>
      </c>
      <c r="AF1617" s="107" t="s">
        <v>432</v>
      </c>
      <c r="AG1617" s="107" t="s">
        <v>432</v>
      </c>
      <c r="AH1617" s="107" t="s">
        <v>432</v>
      </c>
      <c r="AI1617" s="107" t="s">
        <v>432</v>
      </c>
      <c r="AJ1617" s="107" t="s">
        <v>432</v>
      </c>
      <c r="AK1617" s="137" t="s">
        <v>432</v>
      </c>
      <c r="AL1617" s="601" t="s">
        <v>432</v>
      </c>
      <c r="AM1617" s="137" t="s">
        <v>432</v>
      </c>
      <c r="AN1617" s="137" t="s">
        <v>432</v>
      </c>
      <c r="AO1617" s="137" t="s">
        <v>432</v>
      </c>
      <c r="AP1617" s="137" t="s">
        <v>432</v>
      </c>
      <c r="AQ1617" s="137" t="s">
        <v>432</v>
      </c>
      <c r="AR1617" s="137" t="s">
        <v>432</v>
      </c>
      <c r="AS1617" s="137" t="s">
        <v>432</v>
      </c>
      <c r="AT1617" s="137" t="s">
        <v>432</v>
      </c>
      <c r="AU1617" s="137" t="s">
        <v>432</v>
      </c>
      <c r="AV1617" s="137" t="s">
        <v>432</v>
      </c>
      <c r="AW1617" s="137" t="s">
        <v>432</v>
      </c>
      <c r="AX1617" s="137" t="s">
        <v>432</v>
      </c>
      <c r="AY1617" s="137" t="s">
        <v>432</v>
      </c>
      <c r="AZ1617" s="137" t="s">
        <v>432</v>
      </c>
      <c r="BA1617" s="137" t="s">
        <v>432</v>
      </c>
      <c r="BB1617" s="239" t="str">
        <f t="shared" si="465"/>
        <v>geralx</v>
      </c>
      <c r="BC1617" s="239" t="str">
        <f t="shared" si="466"/>
        <v>geralxx</v>
      </c>
      <c r="BD1617" s="239" t="str">
        <f t="shared" si="467"/>
        <v>geralx</v>
      </c>
    </row>
    <row r="1618" spans="1:67" s="1" customFormat="1" ht="78.75" customHeight="1" x14ac:dyDescent="0.25">
      <c r="A1618" s="262" t="s">
        <v>432</v>
      </c>
      <c r="B1618" s="252" t="s">
        <v>742</v>
      </c>
      <c r="C1618" s="167" t="s">
        <v>432</v>
      </c>
      <c r="D1618" s="323" t="s">
        <v>269</v>
      </c>
      <c r="E1618" s="1496" t="s">
        <v>432</v>
      </c>
      <c r="F1618" s="11" t="s">
        <v>270</v>
      </c>
      <c r="G1618" s="167" t="s">
        <v>3879</v>
      </c>
      <c r="H1618" s="167" t="s">
        <v>432</v>
      </c>
      <c r="I1618" s="167" t="s">
        <v>432</v>
      </c>
      <c r="J1618" s="107" t="s">
        <v>432</v>
      </c>
      <c r="K1618" s="107" t="s">
        <v>432</v>
      </c>
      <c r="L1618" s="107" t="s">
        <v>432</v>
      </c>
      <c r="M1618" s="107" t="s">
        <v>432</v>
      </c>
      <c r="N1618" s="107" t="s">
        <v>432</v>
      </c>
      <c r="O1618" s="107" t="s">
        <v>432</v>
      </c>
      <c r="P1618" s="107" t="s">
        <v>432</v>
      </c>
      <c r="Q1618" s="107" t="s">
        <v>432</v>
      </c>
      <c r="R1618" s="107" t="s">
        <v>432</v>
      </c>
      <c r="S1618" s="109" t="s">
        <v>2209</v>
      </c>
      <c r="T1618" s="107" t="s">
        <v>432</v>
      </c>
      <c r="U1618" s="107" t="s">
        <v>432</v>
      </c>
      <c r="V1618" s="109" t="s">
        <v>2209</v>
      </c>
      <c r="W1618" s="107" t="s">
        <v>432</v>
      </c>
      <c r="X1618" s="107" t="s">
        <v>432</v>
      </c>
      <c r="Y1618" s="107" t="s">
        <v>432</v>
      </c>
      <c r="Z1618" s="107" t="s">
        <v>432</v>
      </c>
      <c r="AA1618" s="107" t="s">
        <v>432</v>
      </c>
      <c r="AB1618" s="107" t="s">
        <v>432</v>
      </c>
      <c r="AC1618" s="107" t="s">
        <v>432</v>
      </c>
      <c r="AD1618" s="107" t="s">
        <v>432</v>
      </c>
      <c r="AE1618" s="107" t="s">
        <v>432</v>
      </c>
      <c r="AF1618" s="107" t="s">
        <v>432</v>
      </c>
      <c r="AG1618" s="107" t="s">
        <v>432</v>
      </c>
      <c r="AH1618" s="107" t="s">
        <v>432</v>
      </c>
      <c r="AI1618" s="107" t="s">
        <v>432</v>
      </c>
      <c r="AJ1618" s="107" t="s">
        <v>432</v>
      </c>
      <c r="AK1618" s="137" t="s">
        <v>432</v>
      </c>
      <c r="AL1618" s="601" t="s">
        <v>432</v>
      </c>
      <c r="AM1618" s="137" t="s">
        <v>432</v>
      </c>
      <c r="AN1618" s="137" t="s">
        <v>432</v>
      </c>
      <c r="AO1618" s="137" t="s">
        <v>432</v>
      </c>
      <c r="AP1618" s="137" t="s">
        <v>432</v>
      </c>
      <c r="AQ1618" s="137" t="s">
        <v>432</v>
      </c>
      <c r="AR1618" s="137" t="s">
        <v>432</v>
      </c>
      <c r="AS1618" s="137" t="s">
        <v>432</v>
      </c>
      <c r="AT1618" s="137" t="s">
        <v>432</v>
      </c>
      <c r="AU1618" s="137" t="s">
        <v>432</v>
      </c>
      <c r="AV1618" s="137" t="s">
        <v>432</v>
      </c>
      <c r="AW1618" s="137" t="s">
        <v>432</v>
      </c>
      <c r="AX1618" s="137" t="s">
        <v>432</v>
      </c>
      <c r="AY1618" s="137" t="s">
        <v>432</v>
      </c>
      <c r="AZ1618" s="137" t="s">
        <v>432</v>
      </c>
      <c r="BA1618" s="137" t="s">
        <v>432</v>
      </c>
      <c r="BB1618" s="239" t="str">
        <f t="shared" si="465"/>
        <v>geralx</v>
      </c>
      <c r="BC1618" s="239" t="str">
        <f t="shared" si="466"/>
        <v>geralxx</v>
      </c>
      <c r="BD1618" s="239" t="str">
        <f t="shared" si="467"/>
        <v>geralx</v>
      </c>
    </row>
    <row r="1619" spans="1:67" s="1" customFormat="1" ht="78.75" customHeight="1" x14ac:dyDescent="0.25">
      <c r="A1619" s="262" t="s">
        <v>432</v>
      </c>
      <c r="B1619" s="252" t="s">
        <v>742</v>
      </c>
      <c r="C1619" s="167" t="s">
        <v>432</v>
      </c>
      <c r="D1619" s="325" t="s">
        <v>271</v>
      </c>
      <c r="E1619" s="1496" t="s">
        <v>432</v>
      </c>
      <c r="F1619" s="11" t="s">
        <v>272</v>
      </c>
      <c r="G1619" s="167" t="s">
        <v>3879</v>
      </c>
      <c r="H1619" s="167" t="s">
        <v>432</v>
      </c>
      <c r="I1619" s="167" t="s">
        <v>432</v>
      </c>
      <c r="J1619" s="107" t="s">
        <v>432</v>
      </c>
      <c r="K1619" s="107" t="s">
        <v>432</v>
      </c>
      <c r="L1619" s="107" t="s">
        <v>432</v>
      </c>
      <c r="M1619" s="107" t="s">
        <v>432</v>
      </c>
      <c r="N1619" s="107" t="s">
        <v>432</v>
      </c>
      <c r="O1619" s="107" t="s">
        <v>432</v>
      </c>
      <c r="P1619" s="107" t="s">
        <v>432</v>
      </c>
      <c r="Q1619" s="107" t="s">
        <v>432</v>
      </c>
      <c r="R1619" s="107" t="s">
        <v>432</v>
      </c>
      <c r="S1619" s="109" t="s">
        <v>2209</v>
      </c>
      <c r="T1619" s="107" t="s">
        <v>432</v>
      </c>
      <c r="U1619" s="107" t="s">
        <v>432</v>
      </c>
      <c r="V1619" s="109" t="s">
        <v>2209</v>
      </c>
      <c r="W1619" s="107" t="s">
        <v>432</v>
      </c>
      <c r="X1619" s="107" t="s">
        <v>432</v>
      </c>
      <c r="Y1619" s="107" t="s">
        <v>432</v>
      </c>
      <c r="Z1619" s="107" t="s">
        <v>432</v>
      </c>
      <c r="AA1619" s="107" t="s">
        <v>432</v>
      </c>
      <c r="AB1619" s="107" t="s">
        <v>432</v>
      </c>
      <c r="AC1619" s="107" t="s">
        <v>432</v>
      </c>
      <c r="AD1619" s="107" t="s">
        <v>432</v>
      </c>
      <c r="AE1619" s="107" t="s">
        <v>432</v>
      </c>
      <c r="AF1619" s="107" t="s">
        <v>432</v>
      </c>
      <c r="AG1619" s="107" t="s">
        <v>432</v>
      </c>
      <c r="AH1619" s="107" t="s">
        <v>432</v>
      </c>
      <c r="AI1619" s="107" t="s">
        <v>432</v>
      </c>
      <c r="AJ1619" s="107" t="s">
        <v>432</v>
      </c>
      <c r="AK1619" s="137" t="s">
        <v>432</v>
      </c>
      <c r="AL1619" s="601" t="s">
        <v>432</v>
      </c>
      <c r="AM1619" s="137" t="s">
        <v>432</v>
      </c>
      <c r="AN1619" s="137" t="s">
        <v>432</v>
      </c>
      <c r="AO1619" s="137" t="s">
        <v>432</v>
      </c>
      <c r="AP1619" s="137" t="s">
        <v>432</v>
      </c>
      <c r="AQ1619" s="137" t="s">
        <v>432</v>
      </c>
      <c r="AR1619" s="137" t="s">
        <v>432</v>
      </c>
      <c r="AS1619" s="137" t="s">
        <v>432</v>
      </c>
      <c r="AT1619" s="137" t="s">
        <v>432</v>
      </c>
      <c r="AU1619" s="137" t="s">
        <v>432</v>
      </c>
      <c r="AV1619" s="137" t="s">
        <v>432</v>
      </c>
      <c r="AW1619" s="137" t="s">
        <v>432</v>
      </c>
      <c r="AX1619" s="137" t="s">
        <v>432</v>
      </c>
      <c r="AY1619" s="137" t="s">
        <v>432</v>
      </c>
      <c r="AZ1619" s="137" t="s">
        <v>432</v>
      </c>
      <c r="BA1619" s="137" t="s">
        <v>432</v>
      </c>
      <c r="BB1619" s="239" t="str">
        <f t="shared" si="465"/>
        <v>geralx</v>
      </c>
      <c r="BC1619" s="239" t="str">
        <f t="shared" si="466"/>
        <v>geralxx</v>
      </c>
      <c r="BD1619" s="239" t="str">
        <f t="shared" si="467"/>
        <v>geralx</v>
      </c>
    </row>
    <row r="1620" spans="1:67" s="1" customFormat="1" ht="78.75" customHeight="1" x14ac:dyDescent="0.25">
      <c r="A1620" s="262" t="s">
        <v>432</v>
      </c>
      <c r="B1620" s="252" t="s">
        <v>742</v>
      </c>
      <c r="C1620" s="167" t="s">
        <v>432</v>
      </c>
      <c r="D1620" s="325" t="s">
        <v>4659</v>
      </c>
      <c r="E1620" s="1496" t="s">
        <v>1767</v>
      </c>
      <c r="F1620" s="1205" t="s">
        <v>4658</v>
      </c>
      <c r="G1620" s="230" t="s">
        <v>3507</v>
      </c>
      <c r="H1620" s="167" t="s">
        <v>2408</v>
      </c>
      <c r="I1620" s="167" t="s">
        <v>432</v>
      </c>
      <c r="J1620" s="107" t="s">
        <v>432</v>
      </c>
      <c r="K1620" s="107" t="s">
        <v>432</v>
      </c>
      <c r="L1620" s="107" t="s">
        <v>432</v>
      </c>
      <c r="M1620" s="107" t="s">
        <v>432</v>
      </c>
      <c r="N1620" s="107" t="s">
        <v>432</v>
      </c>
      <c r="O1620" s="107" t="s">
        <v>432</v>
      </c>
      <c r="P1620" s="107" t="s">
        <v>432</v>
      </c>
      <c r="Q1620" s="107" t="s">
        <v>432</v>
      </c>
      <c r="R1620" s="107" t="s">
        <v>432</v>
      </c>
      <c r="S1620" s="109" t="s">
        <v>2209</v>
      </c>
      <c r="T1620" s="107" t="s">
        <v>432</v>
      </c>
      <c r="U1620" s="107" t="s">
        <v>432</v>
      </c>
      <c r="V1620" s="109" t="s">
        <v>2209</v>
      </c>
      <c r="W1620" s="107" t="s">
        <v>432</v>
      </c>
      <c r="X1620" s="107" t="s">
        <v>432</v>
      </c>
      <c r="Y1620" s="107" t="s">
        <v>432</v>
      </c>
      <c r="Z1620" s="107" t="s">
        <v>432</v>
      </c>
      <c r="AA1620" s="107" t="s">
        <v>432</v>
      </c>
      <c r="AB1620" s="107" t="s">
        <v>432</v>
      </c>
      <c r="AC1620" s="107" t="s">
        <v>432</v>
      </c>
      <c r="AD1620" s="107" t="s">
        <v>432</v>
      </c>
      <c r="AE1620" s="107" t="s">
        <v>432</v>
      </c>
      <c r="AF1620" s="107" t="s">
        <v>432</v>
      </c>
      <c r="AG1620" s="107" t="s">
        <v>432</v>
      </c>
      <c r="AH1620" s="107" t="s">
        <v>432</v>
      </c>
      <c r="AI1620" s="107" t="s">
        <v>432</v>
      </c>
      <c r="AJ1620" s="107" t="s">
        <v>432</v>
      </c>
      <c r="AK1620" s="137" t="s">
        <v>432</v>
      </c>
      <c r="AL1620" s="601" t="s">
        <v>432</v>
      </c>
      <c r="AM1620" s="137" t="s">
        <v>432</v>
      </c>
      <c r="AN1620" s="137" t="s">
        <v>432</v>
      </c>
      <c r="AO1620" s="137" t="s">
        <v>432</v>
      </c>
      <c r="AP1620" s="137" t="s">
        <v>432</v>
      </c>
      <c r="AQ1620" s="137" t="s">
        <v>432</v>
      </c>
      <c r="AR1620" s="137" t="s">
        <v>432</v>
      </c>
      <c r="AS1620" s="137" t="s">
        <v>432</v>
      </c>
      <c r="AT1620" s="137" t="s">
        <v>432</v>
      </c>
      <c r="AU1620" s="137" t="s">
        <v>432</v>
      </c>
      <c r="AV1620" s="137" t="s">
        <v>432</v>
      </c>
      <c r="AW1620" s="137" t="s">
        <v>432</v>
      </c>
      <c r="AX1620" s="137" t="s">
        <v>432</v>
      </c>
      <c r="AY1620" s="137" t="s">
        <v>432</v>
      </c>
      <c r="AZ1620" s="137" t="s">
        <v>432</v>
      </c>
      <c r="BA1620" s="137" t="s">
        <v>432</v>
      </c>
      <c r="BB1620" s="239" t="str">
        <f t="shared" ref="BB1620:BB1626" si="477">B1620&amp;C1620</f>
        <v>geralx</v>
      </c>
      <c r="BC1620" s="239" t="str">
        <f t="shared" ref="BC1620:BC1626" si="478">B1620&amp;C1620&amp;H1620</f>
        <v>geralxsigla/verbete</v>
      </c>
      <c r="BD1620" s="239" t="str">
        <f t="shared" ref="BD1620:BD1626" si="479">B1620&amp;H1620</f>
        <v>geralsigla/verbete</v>
      </c>
    </row>
    <row r="1621" spans="1:67" s="1" customFormat="1" ht="74.25" customHeight="1" x14ac:dyDescent="0.25">
      <c r="A1621" s="262" t="s">
        <v>432</v>
      </c>
      <c r="B1621" s="252" t="s">
        <v>742</v>
      </c>
      <c r="C1621" s="167" t="s">
        <v>432</v>
      </c>
      <c r="D1621" s="939" t="s">
        <v>4406</v>
      </c>
      <c r="E1621" s="509" t="s">
        <v>432</v>
      </c>
      <c r="F1621" s="1151" t="s">
        <v>5293</v>
      </c>
      <c r="G1621" s="230" t="s">
        <v>3507</v>
      </c>
      <c r="H1621" s="167" t="s">
        <v>2408</v>
      </c>
      <c r="I1621" s="167" t="s">
        <v>432</v>
      </c>
      <c r="J1621" s="107" t="s">
        <v>432</v>
      </c>
      <c r="K1621" s="107" t="s">
        <v>432</v>
      </c>
      <c r="L1621" s="107" t="s">
        <v>432</v>
      </c>
      <c r="M1621" s="107" t="s">
        <v>432</v>
      </c>
      <c r="N1621" s="107" t="s">
        <v>432</v>
      </c>
      <c r="O1621" s="107" t="s">
        <v>432</v>
      </c>
      <c r="P1621" s="107" t="s">
        <v>432</v>
      </c>
      <c r="Q1621" s="107" t="s">
        <v>432</v>
      </c>
      <c r="R1621" s="107" t="s">
        <v>432</v>
      </c>
      <c r="S1621" s="109" t="s">
        <v>2209</v>
      </c>
      <c r="T1621" s="107" t="s">
        <v>432</v>
      </c>
      <c r="U1621" s="107" t="s">
        <v>432</v>
      </c>
      <c r="V1621" s="109" t="s">
        <v>2209</v>
      </c>
      <c r="W1621" s="107" t="s">
        <v>432</v>
      </c>
      <c r="X1621" s="107" t="s">
        <v>432</v>
      </c>
      <c r="Y1621" s="107" t="s">
        <v>432</v>
      </c>
      <c r="Z1621" s="107" t="s">
        <v>432</v>
      </c>
      <c r="AA1621" s="107" t="s">
        <v>432</v>
      </c>
      <c r="AB1621" s="107" t="s">
        <v>432</v>
      </c>
      <c r="AC1621" s="107" t="s">
        <v>432</v>
      </c>
      <c r="AD1621" s="107" t="s">
        <v>432</v>
      </c>
      <c r="AE1621" s="107" t="s">
        <v>432</v>
      </c>
      <c r="AF1621" s="107" t="s">
        <v>432</v>
      </c>
      <c r="AG1621" s="107" t="s">
        <v>432</v>
      </c>
      <c r="AH1621" s="107" t="s">
        <v>432</v>
      </c>
      <c r="AI1621" s="107" t="s">
        <v>432</v>
      </c>
      <c r="AJ1621" s="107" t="s">
        <v>432</v>
      </c>
      <c r="AK1621" s="137" t="s">
        <v>432</v>
      </c>
      <c r="AL1621" s="601" t="s">
        <v>432</v>
      </c>
      <c r="AM1621" s="137" t="s">
        <v>432</v>
      </c>
      <c r="AN1621" s="137" t="s">
        <v>432</v>
      </c>
      <c r="AO1621" s="137" t="s">
        <v>432</v>
      </c>
      <c r="AP1621" s="137" t="s">
        <v>432</v>
      </c>
      <c r="AQ1621" s="137" t="s">
        <v>432</v>
      </c>
      <c r="AR1621" s="137" t="s">
        <v>432</v>
      </c>
      <c r="AS1621" s="137" t="s">
        <v>432</v>
      </c>
      <c r="AT1621" s="137" t="s">
        <v>432</v>
      </c>
      <c r="AU1621" s="137" t="s">
        <v>432</v>
      </c>
      <c r="AV1621" s="137" t="s">
        <v>432</v>
      </c>
      <c r="AW1621" s="137" t="s">
        <v>432</v>
      </c>
      <c r="AX1621" s="137" t="s">
        <v>432</v>
      </c>
      <c r="AY1621" s="137" t="s">
        <v>432</v>
      </c>
      <c r="AZ1621" s="137" t="s">
        <v>432</v>
      </c>
      <c r="BA1621" s="137" t="s">
        <v>432</v>
      </c>
      <c r="BB1621" s="239" t="str">
        <f t="shared" si="477"/>
        <v>geralx</v>
      </c>
      <c r="BC1621" s="239" t="str">
        <f t="shared" si="478"/>
        <v>geralxsigla/verbete</v>
      </c>
      <c r="BD1621" s="239" t="str">
        <f t="shared" si="479"/>
        <v>geralsigla/verbete</v>
      </c>
    </row>
    <row r="1622" spans="1:67" s="3" customFormat="1" ht="48" customHeight="1" x14ac:dyDescent="0.25">
      <c r="A1622" s="262" t="s">
        <v>432</v>
      </c>
      <c r="B1622" s="252" t="s">
        <v>742</v>
      </c>
      <c r="C1622" s="167" t="s">
        <v>743</v>
      </c>
      <c r="D1622" s="968" t="s">
        <v>2519</v>
      </c>
      <c r="E1622" s="1509" t="s">
        <v>1307</v>
      </c>
      <c r="F1622" s="53" t="s">
        <v>4263</v>
      </c>
      <c r="G1622" s="230" t="s">
        <v>3507</v>
      </c>
      <c r="H1622" s="167" t="s">
        <v>2408</v>
      </c>
      <c r="I1622" s="167" t="s">
        <v>432</v>
      </c>
      <c r="J1622" s="107" t="s">
        <v>432</v>
      </c>
      <c r="K1622" s="107" t="s">
        <v>432</v>
      </c>
      <c r="L1622" s="107" t="s">
        <v>432</v>
      </c>
      <c r="M1622" s="107" t="s">
        <v>432</v>
      </c>
      <c r="N1622" s="107" t="s">
        <v>432</v>
      </c>
      <c r="O1622" s="107" t="s">
        <v>432</v>
      </c>
      <c r="P1622" s="107" t="s">
        <v>432</v>
      </c>
      <c r="Q1622" s="107" t="s">
        <v>432</v>
      </c>
      <c r="R1622" s="107" t="s">
        <v>432</v>
      </c>
      <c r="S1622" s="109" t="s">
        <v>2209</v>
      </c>
      <c r="T1622" s="107" t="s">
        <v>432</v>
      </c>
      <c r="U1622" s="107" t="s">
        <v>432</v>
      </c>
      <c r="V1622" s="109" t="s">
        <v>2209</v>
      </c>
      <c r="W1622" s="107" t="s">
        <v>432</v>
      </c>
      <c r="X1622" s="107" t="s">
        <v>432</v>
      </c>
      <c r="Y1622" s="107" t="s">
        <v>432</v>
      </c>
      <c r="Z1622" s="107" t="s">
        <v>432</v>
      </c>
      <c r="AA1622" s="107" t="s">
        <v>432</v>
      </c>
      <c r="AB1622" s="107" t="s">
        <v>432</v>
      </c>
      <c r="AC1622" s="107" t="s">
        <v>432</v>
      </c>
      <c r="AD1622" s="107" t="s">
        <v>432</v>
      </c>
      <c r="AE1622" s="107" t="s">
        <v>432</v>
      </c>
      <c r="AF1622" s="107" t="s">
        <v>432</v>
      </c>
      <c r="AG1622" s="107" t="s">
        <v>432</v>
      </c>
      <c r="AH1622" s="107" t="s">
        <v>432</v>
      </c>
      <c r="AI1622" s="107" t="s">
        <v>432</v>
      </c>
      <c r="AJ1622" s="107" t="s">
        <v>432</v>
      </c>
      <c r="AK1622" s="137" t="s">
        <v>432</v>
      </c>
      <c r="AL1622" s="601" t="s">
        <v>432</v>
      </c>
      <c r="AM1622" s="137" t="s">
        <v>432</v>
      </c>
      <c r="AN1622" s="137" t="s">
        <v>432</v>
      </c>
      <c r="AO1622" s="137" t="s">
        <v>432</v>
      </c>
      <c r="AP1622" s="137" t="s">
        <v>432</v>
      </c>
      <c r="AQ1622" s="137" t="s">
        <v>432</v>
      </c>
      <c r="AR1622" s="137" t="s">
        <v>432</v>
      </c>
      <c r="AS1622" s="137" t="s">
        <v>432</v>
      </c>
      <c r="AT1622" s="137" t="s">
        <v>432</v>
      </c>
      <c r="AU1622" s="137" t="s">
        <v>432</v>
      </c>
      <c r="AV1622" s="137" t="s">
        <v>432</v>
      </c>
      <c r="AW1622" s="137" t="s">
        <v>432</v>
      </c>
      <c r="AX1622" s="137" t="s">
        <v>432</v>
      </c>
      <c r="AY1622" s="137" t="s">
        <v>432</v>
      </c>
      <c r="AZ1622" s="137" t="s">
        <v>432</v>
      </c>
      <c r="BA1622" s="137" t="s">
        <v>432</v>
      </c>
      <c r="BB1622" s="239" t="str">
        <f t="shared" si="477"/>
        <v>geralacessibilidade</v>
      </c>
      <c r="BC1622" s="239" t="str">
        <f t="shared" si="478"/>
        <v>geralacessibilidadesigla/verbete</v>
      </c>
      <c r="BD1622" s="239" t="str">
        <f t="shared" si="479"/>
        <v>geralsigla/verbete</v>
      </c>
    </row>
    <row r="1623" spans="1:67" s="373" customFormat="1" ht="31.5" x14ac:dyDescent="0.25">
      <c r="A1623" s="262" t="s">
        <v>432</v>
      </c>
      <c r="B1623" s="252" t="s">
        <v>742</v>
      </c>
      <c r="C1623" s="167" t="s">
        <v>743</v>
      </c>
      <c r="D1623" s="714" t="s">
        <v>2534</v>
      </c>
      <c r="E1623" s="1498" t="s">
        <v>1767</v>
      </c>
      <c r="F1623" s="252" t="s">
        <v>5034</v>
      </c>
      <c r="G1623" s="230" t="s">
        <v>3507</v>
      </c>
      <c r="H1623" s="167" t="s">
        <v>2408</v>
      </c>
      <c r="I1623" s="167" t="s">
        <v>432</v>
      </c>
      <c r="J1623" s="107" t="s">
        <v>432</v>
      </c>
      <c r="K1623" s="107" t="s">
        <v>432</v>
      </c>
      <c r="L1623" s="107" t="s">
        <v>432</v>
      </c>
      <c r="M1623" s="107" t="s">
        <v>432</v>
      </c>
      <c r="N1623" s="107" t="s">
        <v>432</v>
      </c>
      <c r="O1623" s="107" t="s">
        <v>432</v>
      </c>
      <c r="P1623" s="107" t="s">
        <v>432</v>
      </c>
      <c r="Q1623" s="107" t="s">
        <v>432</v>
      </c>
      <c r="R1623" s="107" t="s">
        <v>432</v>
      </c>
      <c r="S1623" s="109" t="s">
        <v>2209</v>
      </c>
      <c r="T1623" s="107" t="s">
        <v>432</v>
      </c>
      <c r="U1623" s="107" t="s">
        <v>432</v>
      </c>
      <c r="V1623" s="109" t="s">
        <v>2209</v>
      </c>
      <c r="W1623" s="107" t="s">
        <v>432</v>
      </c>
      <c r="X1623" s="107" t="s">
        <v>432</v>
      </c>
      <c r="Y1623" s="107" t="s">
        <v>432</v>
      </c>
      <c r="Z1623" s="107" t="s">
        <v>432</v>
      </c>
      <c r="AA1623" s="107" t="s">
        <v>432</v>
      </c>
      <c r="AB1623" s="107" t="s">
        <v>432</v>
      </c>
      <c r="AC1623" s="107" t="s">
        <v>432</v>
      </c>
      <c r="AD1623" s="107" t="s">
        <v>432</v>
      </c>
      <c r="AE1623" s="107" t="s">
        <v>432</v>
      </c>
      <c r="AF1623" s="107" t="s">
        <v>432</v>
      </c>
      <c r="AG1623" s="107" t="s">
        <v>432</v>
      </c>
      <c r="AH1623" s="107" t="s">
        <v>432</v>
      </c>
      <c r="AI1623" s="107" t="s">
        <v>432</v>
      </c>
      <c r="AJ1623" s="107" t="s">
        <v>432</v>
      </c>
      <c r="AK1623" s="137" t="s">
        <v>432</v>
      </c>
      <c r="AL1623" s="601" t="s">
        <v>432</v>
      </c>
      <c r="AM1623" s="137" t="s">
        <v>432</v>
      </c>
      <c r="AN1623" s="137" t="s">
        <v>432</v>
      </c>
      <c r="AO1623" s="137" t="s">
        <v>432</v>
      </c>
      <c r="AP1623" s="137" t="s">
        <v>432</v>
      </c>
      <c r="AQ1623" s="137" t="s">
        <v>432</v>
      </c>
      <c r="AR1623" s="137" t="s">
        <v>432</v>
      </c>
      <c r="AS1623" s="137" t="s">
        <v>432</v>
      </c>
      <c r="AT1623" s="137" t="s">
        <v>432</v>
      </c>
      <c r="AU1623" s="137" t="s">
        <v>432</v>
      </c>
      <c r="AV1623" s="137" t="s">
        <v>432</v>
      </c>
      <c r="AW1623" s="137" t="s">
        <v>432</v>
      </c>
      <c r="AX1623" s="137" t="s">
        <v>432</v>
      </c>
      <c r="AY1623" s="137" t="s">
        <v>432</v>
      </c>
      <c r="AZ1623" s="137" t="s">
        <v>432</v>
      </c>
      <c r="BA1623" s="137" t="s">
        <v>432</v>
      </c>
      <c r="BB1623" s="239" t="str">
        <f t="shared" si="477"/>
        <v>geralacessibilidade</v>
      </c>
      <c r="BC1623" s="239" t="str">
        <f t="shared" si="478"/>
        <v>geralacessibilidadesigla/verbete</v>
      </c>
      <c r="BD1623" s="239" t="str">
        <f t="shared" si="479"/>
        <v>geralsigla/verbete</v>
      </c>
    </row>
    <row r="1624" spans="1:67" s="373" customFormat="1" ht="51" x14ac:dyDescent="0.25">
      <c r="A1624" s="262" t="str">
        <f>'Q100b-totais'!B20</f>
        <v>2.5</v>
      </c>
      <c r="B1624" s="252" t="str">
        <f>'Q100b-totais'!C20</f>
        <v>Distribuição modal em pesquisas origem/destino</v>
      </c>
      <c r="C1624" s="167" t="s">
        <v>432</v>
      </c>
      <c r="D1624" s="714" t="s">
        <v>5239</v>
      </c>
      <c r="E1624" s="1498" t="s">
        <v>432</v>
      </c>
      <c r="F1624" s="252" t="s">
        <v>5240</v>
      </c>
      <c r="G1624" s="230" t="s">
        <v>3507</v>
      </c>
      <c r="H1624" s="167" t="s">
        <v>2408</v>
      </c>
      <c r="I1624" s="167" t="s">
        <v>432</v>
      </c>
      <c r="J1624" s="107" t="s">
        <v>432</v>
      </c>
      <c r="K1624" s="107" t="s">
        <v>432</v>
      </c>
      <c r="L1624" s="107" t="s">
        <v>432</v>
      </c>
      <c r="M1624" s="107" t="s">
        <v>432</v>
      </c>
      <c r="N1624" s="107" t="s">
        <v>432</v>
      </c>
      <c r="O1624" s="107" t="s">
        <v>432</v>
      </c>
      <c r="P1624" s="107" t="s">
        <v>432</v>
      </c>
      <c r="Q1624" s="107" t="s">
        <v>432</v>
      </c>
      <c r="R1624" s="107" t="s">
        <v>432</v>
      </c>
      <c r="S1624" s="109" t="s">
        <v>2209</v>
      </c>
      <c r="T1624" s="107" t="s">
        <v>432</v>
      </c>
      <c r="U1624" s="107" t="s">
        <v>432</v>
      </c>
      <c r="V1624" s="109" t="s">
        <v>2209</v>
      </c>
      <c r="W1624" s="107" t="s">
        <v>432</v>
      </c>
      <c r="X1624" s="107" t="s">
        <v>432</v>
      </c>
      <c r="Y1624" s="107" t="s">
        <v>432</v>
      </c>
      <c r="Z1624" s="107" t="s">
        <v>432</v>
      </c>
      <c r="AA1624" s="107" t="s">
        <v>432</v>
      </c>
      <c r="AB1624" s="107" t="s">
        <v>432</v>
      </c>
      <c r="AC1624" s="107" t="s">
        <v>432</v>
      </c>
      <c r="AD1624" s="107" t="s">
        <v>432</v>
      </c>
      <c r="AE1624" s="107" t="s">
        <v>432</v>
      </c>
      <c r="AF1624" s="107" t="s">
        <v>432</v>
      </c>
      <c r="AG1624" s="107" t="s">
        <v>432</v>
      </c>
      <c r="AH1624" s="107" t="s">
        <v>432</v>
      </c>
      <c r="AI1624" s="107" t="s">
        <v>432</v>
      </c>
      <c r="AJ1624" s="107" t="s">
        <v>432</v>
      </c>
      <c r="AK1624" s="137" t="s">
        <v>432</v>
      </c>
      <c r="AL1624" s="601" t="s">
        <v>432</v>
      </c>
      <c r="AM1624" s="137" t="s">
        <v>432</v>
      </c>
      <c r="AN1624" s="137" t="s">
        <v>432</v>
      </c>
      <c r="AO1624" s="137" t="s">
        <v>432</v>
      </c>
      <c r="AP1624" s="137" t="s">
        <v>432</v>
      </c>
      <c r="AQ1624" s="137" t="s">
        <v>432</v>
      </c>
      <c r="AR1624" s="137" t="s">
        <v>432</v>
      </c>
      <c r="AS1624" s="137" t="s">
        <v>432</v>
      </c>
      <c r="AT1624" s="137" t="s">
        <v>432</v>
      </c>
      <c r="AU1624" s="137" t="s">
        <v>432</v>
      </c>
      <c r="AV1624" s="137" t="s">
        <v>432</v>
      </c>
      <c r="AW1624" s="137" t="s">
        <v>432</v>
      </c>
      <c r="AX1624" s="137" t="s">
        <v>432</v>
      </c>
      <c r="AY1624" s="137" t="s">
        <v>432</v>
      </c>
      <c r="AZ1624" s="137" t="s">
        <v>432</v>
      </c>
      <c r="BA1624" s="137" t="s">
        <v>432</v>
      </c>
      <c r="BB1624" s="239" t="str">
        <f>B1624&amp;C1624</f>
        <v>Distribuição modal em pesquisas origem/destinox</v>
      </c>
      <c r="BC1624" s="239" t="str">
        <f>B1624&amp;C1624&amp;H1624</f>
        <v>Distribuição modal em pesquisas origem/destinoxsigla/verbete</v>
      </c>
      <c r="BD1624" s="239" t="str">
        <f>B1624&amp;H1624</f>
        <v>Distribuição modal em pesquisas origem/destinosigla/verbete</v>
      </c>
    </row>
    <row r="1625" spans="1:67" s="3" customFormat="1" ht="40.5" customHeight="1" x14ac:dyDescent="0.25">
      <c r="A1625" s="262" t="s">
        <v>432</v>
      </c>
      <c r="B1625" s="252" t="s">
        <v>742</v>
      </c>
      <c r="C1625" s="167" t="s">
        <v>743</v>
      </c>
      <c r="D1625" s="324" t="s">
        <v>2522</v>
      </c>
      <c r="E1625" s="1445" t="s">
        <v>1773</v>
      </c>
      <c r="F1625" s="252" t="s">
        <v>4379</v>
      </c>
      <c r="G1625" s="230" t="s">
        <v>3507</v>
      </c>
      <c r="H1625" s="167" t="s">
        <v>2408</v>
      </c>
      <c r="I1625" s="167" t="s">
        <v>432</v>
      </c>
      <c r="J1625" s="107" t="s">
        <v>432</v>
      </c>
      <c r="K1625" s="107" t="s">
        <v>432</v>
      </c>
      <c r="L1625" s="107" t="s">
        <v>432</v>
      </c>
      <c r="M1625" s="107" t="s">
        <v>432</v>
      </c>
      <c r="N1625" s="107" t="s">
        <v>432</v>
      </c>
      <c r="O1625" s="107" t="s">
        <v>432</v>
      </c>
      <c r="P1625" s="107" t="s">
        <v>432</v>
      </c>
      <c r="Q1625" s="107" t="s">
        <v>432</v>
      </c>
      <c r="R1625" s="107" t="s">
        <v>432</v>
      </c>
      <c r="S1625" s="109" t="s">
        <v>2209</v>
      </c>
      <c r="T1625" s="107" t="s">
        <v>432</v>
      </c>
      <c r="U1625" s="107" t="s">
        <v>432</v>
      </c>
      <c r="V1625" s="109" t="s">
        <v>2209</v>
      </c>
      <c r="W1625" s="107" t="s">
        <v>432</v>
      </c>
      <c r="X1625" s="107" t="s">
        <v>432</v>
      </c>
      <c r="Y1625" s="107" t="s">
        <v>432</v>
      </c>
      <c r="Z1625" s="107" t="s">
        <v>432</v>
      </c>
      <c r="AA1625" s="107" t="s">
        <v>432</v>
      </c>
      <c r="AB1625" s="107" t="s">
        <v>432</v>
      </c>
      <c r="AC1625" s="107" t="s">
        <v>432</v>
      </c>
      <c r="AD1625" s="107" t="s">
        <v>432</v>
      </c>
      <c r="AE1625" s="107" t="s">
        <v>432</v>
      </c>
      <c r="AF1625" s="107" t="s">
        <v>432</v>
      </c>
      <c r="AG1625" s="107" t="s">
        <v>432</v>
      </c>
      <c r="AH1625" s="107" t="s">
        <v>432</v>
      </c>
      <c r="AI1625" s="107" t="s">
        <v>432</v>
      </c>
      <c r="AJ1625" s="107" t="s">
        <v>432</v>
      </c>
      <c r="AK1625" s="137" t="s">
        <v>432</v>
      </c>
      <c r="AL1625" s="601" t="s">
        <v>432</v>
      </c>
      <c r="AM1625" s="137" t="s">
        <v>432</v>
      </c>
      <c r="AN1625" s="137" t="s">
        <v>432</v>
      </c>
      <c r="AO1625" s="137" t="s">
        <v>432</v>
      </c>
      <c r="AP1625" s="137" t="s">
        <v>432</v>
      </c>
      <c r="AQ1625" s="137" t="s">
        <v>432</v>
      </c>
      <c r="AR1625" s="137" t="s">
        <v>432</v>
      </c>
      <c r="AS1625" s="137" t="s">
        <v>432</v>
      </c>
      <c r="AT1625" s="137" t="s">
        <v>432</v>
      </c>
      <c r="AU1625" s="137" t="s">
        <v>432</v>
      </c>
      <c r="AV1625" s="137" t="s">
        <v>432</v>
      </c>
      <c r="AW1625" s="137" t="s">
        <v>432</v>
      </c>
      <c r="AX1625" s="137" t="s">
        <v>432</v>
      </c>
      <c r="AY1625" s="137" t="s">
        <v>432</v>
      </c>
      <c r="AZ1625" s="137" t="s">
        <v>432</v>
      </c>
      <c r="BA1625" s="137" t="s">
        <v>432</v>
      </c>
      <c r="BB1625" s="239" t="str">
        <f t="shared" si="477"/>
        <v>geralacessibilidade</v>
      </c>
      <c r="BC1625" s="239" t="str">
        <f t="shared" si="478"/>
        <v>geralacessibilidadesigla/verbete</v>
      </c>
      <c r="BD1625" s="239" t="str">
        <f t="shared" si="479"/>
        <v>geralsigla/verbete</v>
      </c>
    </row>
    <row r="1626" spans="1:67" s="1" customFormat="1" ht="81" customHeight="1" x14ac:dyDescent="0.25">
      <c r="A1626" s="262" t="str">
        <f>'Q100b-totais'!B67</f>
        <v>9.4</v>
      </c>
      <c r="B1626" s="252" t="str">
        <f>'Q100b-totais'!C67</f>
        <v>Sinalização estatigráfica</v>
      </c>
      <c r="C1626" s="167"/>
      <c r="D1626" s="325" t="s">
        <v>2472</v>
      </c>
      <c r="E1626" s="1496" t="s">
        <v>1306</v>
      </c>
      <c r="F1626" s="54" t="s">
        <v>2474</v>
      </c>
      <c r="G1626" s="230" t="s">
        <v>3507</v>
      </c>
      <c r="H1626" s="167" t="s">
        <v>2408</v>
      </c>
      <c r="I1626" s="167" t="s">
        <v>432</v>
      </c>
      <c r="J1626" s="107" t="s">
        <v>432</v>
      </c>
      <c r="K1626" s="107" t="s">
        <v>432</v>
      </c>
      <c r="L1626" s="107" t="s">
        <v>432</v>
      </c>
      <c r="M1626" s="107" t="s">
        <v>432</v>
      </c>
      <c r="N1626" s="107" t="s">
        <v>432</v>
      </c>
      <c r="O1626" s="107" t="s">
        <v>432</v>
      </c>
      <c r="P1626" s="107" t="s">
        <v>432</v>
      </c>
      <c r="Q1626" s="107" t="s">
        <v>432</v>
      </c>
      <c r="R1626" s="107" t="s">
        <v>432</v>
      </c>
      <c r="S1626" s="109" t="s">
        <v>2209</v>
      </c>
      <c r="T1626" s="107" t="s">
        <v>432</v>
      </c>
      <c r="U1626" s="107" t="s">
        <v>432</v>
      </c>
      <c r="V1626" s="109" t="s">
        <v>2209</v>
      </c>
      <c r="W1626" s="107" t="s">
        <v>432</v>
      </c>
      <c r="X1626" s="107" t="s">
        <v>432</v>
      </c>
      <c r="Y1626" s="107" t="s">
        <v>432</v>
      </c>
      <c r="Z1626" s="107" t="s">
        <v>432</v>
      </c>
      <c r="AA1626" s="107" t="s">
        <v>432</v>
      </c>
      <c r="AB1626" s="107" t="s">
        <v>432</v>
      </c>
      <c r="AC1626" s="107" t="s">
        <v>432</v>
      </c>
      <c r="AD1626" s="107" t="s">
        <v>432</v>
      </c>
      <c r="AE1626" s="107" t="s">
        <v>432</v>
      </c>
      <c r="AF1626" s="107" t="s">
        <v>432</v>
      </c>
      <c r="AG1626" s="107" t="s">
        <v>432</v>
      </c>
      <c r="AH1626" s="107" t="s">
        <v>432</v>
      </c>
      <c r="AI1626" s="107" t="s">
        <v>432</v>
      </c>
      <c r="AJ1626" s="107" t="s">
        <v>432</v>
      </c>
      <c r="AK1626" s="137" t="s">
        <v>432</v>
      </c>
      <c r="AL1626" s="601" t="s">
        <v>432</v>
      </c>
      <c r="AM1626" s="137" t="s">
        <v>432</v>
      </c>
      <c r="AN1626" s="137" t="s">
        <v>432</v>
      </c>
      <c r="AO1626" s="137" t="s">
        <v>432</v>
      </c>
      <c r="AP1626" s="137" t="s">
        <v>432</v>
      </c>
      <c r="AQ1626" s="137" t="s">
        <v>432</v>
      </c>
      <c r="AR1626" s="137" t="s">
        <v>432</v>
      </c>
      <c r="AS1626" s="137" t="s">
        <v>432</v>
      </c>
      <c r="AT1626" s="137" t="s">
        <v>432</v>
      </c>
      <c r="AU1626" s="137" t="s">
        <v>432</v>
      </c>
      <c r="AV1626" s="137" t="s">
        <v>432</v>
      </c>
      <c r="AW1626" s="137" t="s">
        <v>432</v>
      </c>
      <c r="AX1626" s="137" t="s">
        <v>432</v>
      </c>
      <c r="AY1626" s="137" t="s">
        <v>432</v>
      </c>
      <c r="AZ1626" s="137" t="s">
        <v>432</v>
      </c>
      <c r="BA1626" s="137" t="s">
        <v>432</v>
      </c>
      <c r="BB1626" s="239" t="str">
        <f t="shared" si="477"/>
        <v>Sinalização estatigráfica</v>
      </c>
      <c r="BC1626" s="239" t="str">
        <f t="shared" si="478"/>
        <v>Sinalização estatigráficasigla/verbete</v>
      </c>
      <c r="BD1626" s="239" t="str">
        <f t="shared" si="479"/>
        <v>Sinalização estatigráficasigla/verbete</v>
      </c>
    </row>
    <row r="1627" spans="1:67" s="1" customFormat="1" ht="60.75" customHeight="1" x14ac:dyDescent="0.25">
      <c r="A1627" s="262" t="s">
        <v>432</v>
      </c>
      <c r="B1627" s="252" t="s">
        <v>742</v>
      </c>
      <c r="C1627" s="167" t="s">
        <v>432</v>
      </c>
      <c r="D1627" s="984" t="s">
        <v>4808</v>
      </c>
      <c r="E1627" s="1505" t="s">
        <v>432</v>
      </c>
      <c r="F1627" s="14" t="s">
        <v>4806</v>
      </c>
      <c r="G1627" s="230" t="s">
        <v>3507</v>
      </c>
      <c r="H1627" s="167" t="s">
        <v>2408</v>
      </c>
      <c r="I1627" s="167" t="s">
        <v>432</v>
      </c>
      <c r="J1627" s="107" t="s">
        <v>432</v>
      </c>
      <c r="K1627" s="107" t="s">
        <v>432</v>
      </c>
      <c r="L1627" s="107" t="s">
        <v>432</v>
      </c>
      <c r="M1627" s="107" t="s">
        <v>432</v>
      </c>
      <c r="N1627" s="107" t="s">
        <v>432</v>
      </c>
      <c r="O1627" s="107" t="s">
        <v>432</v>
      </c>
      <c r="P1627" s="107" t="s">
        <v>432</v>
      </c>
      <c r="Q1627" s="107" t="s">
        <v>432</v>
      </c>
      <c r="R1627" s="107" t="s">
        <v>432</v>
      </c>
      <c r="S1627" s="109" t="s">
        <v>2209</v>
      </c>
      <c r="T1627" s="107" t="s">
        <v>432</v>
      </c>
      <c r="U1627" s="107" t="s">
        <v>432</v>
      </c>
      <c r="V1627" s="109" t="s">
        <v>2209</v>
      </c>
      <c r="W1627" s="107" t="s">
        <v>432</v>
      </c>
      <c r="X1627" s="107" t="s">
        <v>432</v>
      </c>
      <c r="Y1627" s="107" t="s">
        <v>432</v>
      </c>
      <c r="Z1627" s="107" t="s">
        <v>432</v>
      </c>
      <c r="AA1627" s="107" t="s">
        <v>432</v>
      </c>
      <c r="AB1627" s="107" t="s">
        <v>432</v>
      </c>
      <c r="AC1627" s="107" t="s">
        <v>432</v>
      </c>
      <c r="AD1627" s="107" t="s">
        <v>432</v>
      </c>
      <c r="AE1627" s="107" t="s">
        <v>432</v>
      </c>
      <c r="AF1627" s="107" t="s">
        <v>432</v>
      </c>
      <c r="AG1627" s="107" t="s">
        <v>432</v>
      </c>
      <c r="AH1627" s="107" t="s">
        <v>432</v>
      </c>
      <c r="AI1627" s="107" t="s">
        <v>432</v>
      </c>
      <c r="AJ1627" s="107" t="s">
        <v>432</v>
      </c>
      <c r="AK1627" s="137" t="s">
        <v>432</v>
      </c>
      <c r="AL1627" s="601" t="s">
        <v>432</v>
      </c>
      <c r="AM1627" s="137" t="s">
        <v>432</v>
      </c>
      <c r="AN1627" s="137" t="s">
        <v>432</v>
      </c>
      <c r="AO1627" s="137" t="s">
        <v>432</v>
      </c>
      <c r="AP1627" s="137" t="s">
        <v>432</v>
      </c>
      <c r="AQ1627" s="137" t="s">
        <v>432</v>
      </c>
      <c r="AR1627" s="137" t="s">
        <v>432</v>
      </c>
      <c r="AS1627" s="137" t="s">
        <v>432</v>
      </c>
      <c r="AT1627" s="137" t="s">
        <v>432</v>
      </c>
      <c r="AU1627" s="137" t="s">
        <v>432</v>
      </c>
      <c r="AV1627" s="137" t="s">
        <v>432</v>
      </c>
      <c r="AW1627" s="137" t="s">
        <v>432</v>
      </c>
      <c r="AX1627" s="137" t="s">
        <v>432</v>
      </c>
      <c r="AY1627" s="137" t="s">
        <v>432</v>
      </c>
      <c r="AZ1627" s="137" t="s">
        <v>432</v>
      </c>
      <c r="BA1627" s="137" t="s">
        <v>432</v>
      </c>
      <c r="BB1627" s="239" t="str">
        <f t="shared" ref="BB1627:BB1656" si="480">B1627&amp;C1627</f>
        <v>geralx</v>
      </c>
      <c r="BC1627" s="239" t="str">
        <f t="shared" ref="BC1627:BC1656" si="481">B1627&amp;C1627&amp;H1627</f>
        <v>geralxsigla/verbete</v>
      </c>
      <c r="BD1627" s="239" t="str">
        <f t="shared" ref="BD1627:BD1656" si="482">B1627&amp;H1627</f>
        <v>geralsigla/verbete</v>
      </c>
    </row>
    <row r="1628" spans="1:67" s="1" customFormat="1" ht="45" customHeight="1" x14ac:dyDescent="0.25">
      <c r="A1628" s="262" t="s">
        <v>432</v>
      </c>
      <c r="B1628" s="252" t="s">
        <v>742</v>
      </c>
      <c r="C1628" s="167" t="s">
        <v>432</v>
      </c>
      <c r="D1628" s="948" t="s">
        <v>1684</v>
      </c>
      <c r="E1628" s="1512" t="s">
        <v>432</v>
      </c>
      <c r="F1628" s="14" t="s">
        <v>1686</v>
      </c>
      <c r="G1628" s="230" t="s">
        <v>3507</v>
      </c>
      <c r="H1628" s="167" t="s">
        <v>2408</v>
      </c>
      <c r="I1628" s="167" t="s">
        <v>432</v>
      </c>
      <c r="J1628" s="107" t="s">
        <v>432</v>
      </c>
      <c r="K1628" s="107" t="s">
        <v>432</v>
      </c>
      <c r="L1628" s="107" t="s">
        <v>432</v>
      </c>
      <c r="M1628" s="107" t="s">
        <v>432</v>
      </c>
      <c r="N1628" s="107" t="s">
        <v>432</v>
      </c>
      <c r="O1628" s="107" t="s">
        <v>432</v>
      </c>
      <c r="P1628" s="107" t="s">
        <v>432</v>
      </c>
      <c r="Q1628" s="107" t="s">
        <v>432</v>
      </c>
      <c r="R1628" s="107" t="s">
        <v>432</v>
      </c>
      <c r="S1628" s="109" t="s">
        <v>2209</v>
      </c>
      <c r="T1628" s="107" t="s">
        <v>432</v>
      </c>
      <c r="U1628" s="107" t="s">
        <v>432</v>
      </c>
      <c r="V1628" s="109" t="s">
        <v>2209</v>
      </c>
      <c r="W1628" s="107" t="s">
        <v>432</v>
      </c>
      <c r="X1628" s="107" t="s">
        <v>432</v>
      </c>
      <c r="Y1628" s="107" t="s">
        <v>432</v>
      </c>
      <c r="Z1628" s="107" t="s">
        <v>432</v>
      </c>
      <c r="AA1628" s="107" t="s">
        <v>432</v>
      </c>
      <c r="AB1628" s="107" t="s">
        <v>432</v>
      </c>
      <c r="AC1628" s="107" t="s">
        <v>432</v>
      </c>
      <c r="AD1628" s="107" t="s">
        <v>432</v>
      </c>
      <c r="AE1628" s="107" t="s">
        <v>432</v>
      </c>
      <c r="AF1628" s="107" t="s">
        <v>432</v>
      </c>
      <c r="AG1628" s="107" t="s">
        <v>432</v>
      </c>
      <c r="AH1628" s="107" t="s">
        <v>432</v>
      </c>
      <c r="AI1628" s="107" t="s">
        <v>432</v>
      </c>
      <c r="AJ1628" s="107" t="s">
        <v>432</v>
      </c>
      <c r="AK1628" s="107" t="s">
        <v>432</v>
      </c>
      <c r="AL1628" s="601" t="s">
        <v>432</v>
      </c>
      <c r="AM1628" s="137" t="s">
        <v>432</v>
      </c>
      <c r="AN1628" s="137" t="s">
        <v>432</v>
      </c>
      <c r="AO1628" s="137" t="s">
        <v>432</v>
      </c>
      <c r="AP1628" s="137" t="s">
        <v>432</v>
      </c>
      <c r="AQ1628" s="137" t="s">
        <v>432</v>
      </c>
      <c r="AR1628" s="137" t="s">
        <v>432</v>
      </c>
      <c r="AS1628" s="137" t="s">
        <v>432</v>
      </c>
      <c r="AT1628" s="137" t="s">
        <v>432</v>
      </c>
      <c r="AU1628" s="137" t="s">
        <v>432</v>
      </c>
      <c r="AV1628" s="137" t="s">
        <v>432</v>
      </c>
      <c r="AW1628" s="137" t="s">
        <v>432</v>
      </c>
      <c r="AX1628" s="137" t="s">
        <v>432</v>
      </c>
      <c r="AY1628" s="137" t="s">
        <v>432</v>
      </c>
      <c r="AZ1628" s="137" t="s">
        <v>432</v>
      </c>
      <c r="BA1628" s="137" t="s">
        <v>432</v>
      </c>
      <c r="BB1628" s="239" t="str">
        <f t="shared" si="480"/>
        <v>geralx</v>
      </c>
      <c r="BC1628" s="239" t="str">
        <f t="shared" si="481"/>
        <v>geralxsigla/verbete</v>
      </c>
      <c r="BD1628" s="239" t="str">
        <f t="shared" si="482"/>
        <v>geralsigla/verbete</v>
      </c>
    </row>
    <row r="1629" spans="1:67" s="1" customFormat="1" ht="45" customHeight="1" x14ac:dyDescent="0.25">
      <c r="A1629" s="262" t="s">
        <v>432</v>
      </c>
      <c r="B1629" s="252" t="s">
        <v>742</v>
      </c>
      <c r="C1629" s="167" t="s">
        <v>432</v>
      </c>
      <c r="D1629" s="948" t="s">
        <v>4801</v>
      </c>
      <c r="E1629" s="1512" t="s">
        <v>1767</v>
      </c>
      <c r="F1629" s="14" t="s">
        <v>4803</v>
      </c>
      <c r="G1629" s="230" t="s">
        <v>3507</v>
      </c>
      <c r="H1629" s="167" t="s">
        <v>2408</v>
      </c>
      <c r="I1629" s="167" t="s">
        <v>432</v>
      </c>
      <c r="J1629" s="107" t="s">
        <v>432</v>
      </c>
      <c r="K1629" s="107" t="s">
        <v>432</v>
      </c>
      <c r="L1629" s="107" t="s">
        <v>432</v>
      </c>
      <c r="M1629" s="107" t="s">
        <v>432</v>
      </c>
      <c r="N1629" s="107" t="s">
        <v>432</v>
      </c>
      <c r="O1629" s="107" t="s">
        <v>432</v>
      </c>
      <c r="P1629" s="107" t="s">
        <v>432</v>
      </c>
      <c r="Q1629" s="107" t="s">
        <v>432</v>
      </c>
      <c r="R1629" s="107" t="s">
        <v>432</v>
      </c>
      <c r="S1629" s="109" t="s">
        <v>2209</v>
      </c>
      <c r="T1629" s="107" t="s">
        <v>432</v>
      </c>
      <c r="U1629" s="107" t="s">
        <v>432</v>
      </c>
      <c r="V1629" s="109" t="s">
        <v>2209</v>
      </c>
      <c r="W1629" s="107" t="s">
        <v>432</v>
      </c>
      <c r="X1629" s="107" t="s">
        <v>432</v>
      </c>
      <c r="Y1629" s="107" t="s">
        <v>432</v>
      </c>
      <c r="Z1629" s="107" t="s">
        <v>432</v>
      </c>
      <c r="AA1629" s="107" t="s">
        <v>432</v>
      </c>
      <c r="AB1629" s="107" t="s">
        <v>432</v>
      </c>
      <c r="AC1629" s="107" t="s">
        <v>432</v>
      </c>
      <c r="AD1629" s="107" t="s">
        <v>432</v>
      </c>
      <c r="AE1629" s="107" t="s">
        <v>432</v>
      </c>
      <c r="AF1629" s="107" t="s">
        <v>432</v>
      </c>
      <c r="AG1629" s="107" t="s">
        <v>432</v>
      </c>
      <c r="AH1629" s="107" t="s">
        <v>432</v>
      </c>
      <c r="AI1629" s="107" t="s">
        <v>432</v>
      </c>
      <c r="AJ1629" s="107" t="s">
        <v>432</v>
      </c>
      <c r="AK1629" s="137" t="s">
        <v>432</v>
      </c>
      <c r="AL1629" s="601" t="s">
        <v>432</v>
      </c>
      <c r="AM1629" s="137" t="s">
        <v>432</v>
      </c>
      <c r="AN1629" s="137" t="s">
        <v>432</v>
      </c>
      <c r="AO1629" s="137" t="s">
        <v>432</v>
      </c>
      <c r="AP1629" s="137" t="s">
        <v>432</v>
      </c>
      <c r="AQ1629" s="137" t="s">
        <v>432</v>
      </c>
      <c r="AR1629" s="137" t="s">
        <v>432</v>
      </c>
      <c r="AS1629" s="137" t="s">
        <v>432</v>
      </c>
      <c r="AT1629" s="137" t="s">
        <v>432</v>
      </c>
      <c r="AU1629" s="137" t="s">
        <v>432</v>
      </c>
      <c r="AV1629" s="137" t="s">
        <v>432</v>
      </c>
      <c r="AW1629" s="137" t="s">
        <v>432</v>
      </c>
      <c r="AX1629" s="137" t="s">
        <v>432</v>
      </c>
      <c r="AY1629" s="137" t="s">
        <v>432</v>
      </c>
      <c r="AZ1629" s="137" t="s">
        <v>432</v>
      </c>
      <c r="BA1629" s="137" t="s">
        <v>432</v>
      </c>
      <c r="BB1629" s="239" t="str">
        <f t="shared" si="480"/>
        <v>geralx</v>
      </c>
      <c r="BC1629" s="239" t="str">
        <f t="shared" si="481"/>
        <v>geralxsigla/verbete</v>
      </c>
      <c r="BD1629" s="239" t="str">
        <f t="shared" si="482"/>
        <v>geralsigla/verbete</v>
      </c>
    </row>
    <row r="1630" spans="1:67" s="105" customFormat="1" ht="31.5" customHeight="1" x14ac:dyDescent="0.25">
      <c r="A1630" s="275" t="str">
        <f>'Q100b-totais'!$B$65</f>
        <v>9.2</v>
      </c>
      <c r="B1630" s="53" t="str">
        <f>'Q100b-totais'!$C$65</f>
        <v>Estacionamento</v>
      </c>
      <c r="C1630" s="230" t="s">
        <v>432</v>
      </c>
      <c r="D1630" s="325" t="s">
        <v>4351</v>
      </c>
      <c r="E1630" s="1512" t="s">
        <v>1306</v>
      </c>
      <c r="F1630" s="188" t="s">
        <v>4356</v>
      </c>
      <c r="G1630" s="230" t="s">
        <v>3507</v>
      </c>
      <c r="H1630" s="167" t="s">
        <v>2408</v>
      </c>
      <c r="I1630" s="167" t="s">
        <v>432</v>
      </c>
      <c r="J1630" s="107" t="s">
        <v>432</v>
      </c>
      <c r="K1630" s="107" t="s">
        <v>432</v>
      </c>
      <c r="L1630" s="107" t="s">
        <v>432</v>
      </c>
      <c r="M1630" s="107" t="s">
        <v>432</v>
      </c>
      <c r="N1630" s="107" t="s">
        <v>432</v>
      </c>
      <c r="O1630" s="107" t="s">
        <v>432</v>
      </c>
      <c r="P1630" s="107" t="s">
        <v>432</v>
      </c>
      <c r="Q1630" s="107" t="s">
        <v>432</v>
      </c>
      <c r="R1630" s="107" t="s">
        <v>432</v>
      </c>
      <c r="S1630" s="109" t="s">
        <v>2209</v>
      </c>
      <c r="T1630" s="107" t="s">
        <v>432</v>
      </c>
      <c r="U1630" s="107" t="s">
        <v>432</v>
      </c>
      <c r="V1630" s="109" t="s">
        <v>2209</v>
      </c>
      <c r="W1630" s="107" t="s">
        <v>432</v>
      </c>
      <c r="X1630" s="107" t="s">
        <v>432</v>
      </c>
      <c r="Y1630" s="107" t="s">
        <v>432</v>
      </c>
      <c r="Z1630" s="107" t="s">
        <v>432</v>
      </c>
      <c r="AA1630" s="107" t="s">
        <v>432</v>
      </c>
      <c r="AB1630" s="107" t="s">
        <v>432</v>
      </c>
      <c r="AC1630" s="107" t="s">
        <v>432</v>
      </c>
      <c r="AD1630" s="107" t="s">
        <v>432</v>
      </c>
      <c r="AE1630" s="107" t="s">
        <v>432</v>
      </c>
      <c r="AF1630" s="107" t="s">
        <v>432</v>
      </c>
      <c r="AG1630" s="107" t="s">
        <v>432</v>
      </c>
      <c r="AH1630" s="107" t="s">
        <v>432</v>
      </c>
      <c r="AI1630" s="107" t="s">
        <v>432</v>
      </c>
      <c r="AJ1630" s="107" t="s">
        <v>432</v>
      </c>
      <c r="AK1630" s="137" t="s">
        <v>432</v>
      </c>
      <c r="AL1630" s="601" t="s">
        <v>432</v>
      </c>
      <c r="AM1630" s="137" t="s">
        <v>432</v>
      </c>
      <c r="AN1630" s="137" t="s">
        <v>432</v>
      </c>
      <c r="AO1630" s="137" t="s">
        <v>432</v>
      </c>
      <c r="AP1630" s="137" t="s">
        <v>432</v>
      </c>
      <c r="AQ1630" s="137" t="s">
        <v>432</v>
      </c>
      <c r="AR1630" s="137" t="s">
        <v>432</v>
      </c>
      <c r="AS1630" s="137" t="s">
        <v>432</v>
      </c>
      <c r="AT1630" s="137" t="s">
        <v>432</v>
      </c>
      <c r="AU1630" s="137" t="s">
        <v>432</v>
      </c>
      <c r="AV1630" s="137" t="s">
        <v>432</v>
      </c>
      <c r="AW1630" s="137" t="s">
        <v>432</v>
      </c>
      <c r="AX1630" s="137" t="s">
        <v>432</v>
      </c>
      <c r="AY1630" s="137" t="s">
        <v>432</v>
      </c>
      <c r="AZ1630" s="137" t="s">
        <v>432</v>
      </c>
      <c r="BA1630" s="137" t="s">
        <v>432</v>
      </c>
      <c r="BB1630" s="239" t="str">
        <f t="shared" si="480"/>
        <v>Estacionamentox</v>
      </c>
      <c r="BC1630" s="239" t="str">
        <f t="shared" si="481"/>
        <v>Estacionamentoxsigla/verbete</v>
      </c>
      <c r="BD1630" s="239" t="str">
        <f t="shared" si="482"/>
        <v>Estacionamentosigla/verbete</v>
      </c>
      <c r="BM1630" s="68"/>
      <c r="BN1630" s="68"/>
      <c r="BO1630" s="68"/>
    </row>
    <row r="1631" spans="1:67" s="1" customFormat="1" ht="29.25" customHeight="1" x14ac:dyDescent="0.25">
      <c r="A1631" s="262" t="s">
        <v>432</v>
      </c>
      <c r="B1631" s="252" t="s">
        <v>742</v>
      </c>
      <c r="C1631" s="167" t="s">
        <v>432</v>
      </c>
      <c r="D1631" s="948" t="s">
        <v>1685</v>
      </c>
      <c r="E1631" s="1512" t="s">
        <v>432</v>
      </c>
      <c r="F1631" s="14" t="s">
        <v>1687</v>
      </c>
      <c r="G1631" s="230" t="s">
        <v>3507</v>
      </c>
      <c r="H1631" s="167" t="s">
        <v>2408</v>
      </c>
      <c r="I1631" s="167" t="s">
        <v>432</v>
      </c>
      <c r="J1631" s="107" t="s">
        <v>432</v>
      </c>
      <c r="K1631" s="107" t="s">
        <v>432</v>
      </c>
      <c r="L1631" s="107" t="s">
        <v>432</v>
      </c>
      <c r="M1631" s="107" t="s">
        <v>432</v>
      </c>
      <c r="N1631" s="107" t="s">
        <v>432</v>
      </c>
      <c r="O1631" s="107" t="s">
        <v>432</v>
      </c>
      <c r="P1631" s="107" t="s">
        <v>432</v>
      </c>
      <c r="Q1631" s="107" t="s">
        <v>432</v>
      </c>
      <c r="R1631" s="107" t="s">
        <v>432</v>
      </c>
      <c r="S1631" s="109" t="s">
        <v>2209</v>
      </c>
      <c r="T1631" s="107" t="s">
        <v>432</v>
      </c>
      <c r="U1631" s="107" t="s">
        <v>432</v>
      </c>
      <c r="V1631" s="109" t="s">
        <v>2209</v>
      </c>
      <c r="W1631" s="107" t="s">
        <v>432</v>
      </c>
      <c r="X1631" s="107" t="s">
        <v>432</v>
      </c>
      <c r="Y1631" s="107" t="s">
        <v>432</v>
      </c>
      <c r="Z1631" s="107" t="s">
        <v>432</v>
      </c>
      <c r="AA1631" s="107" t="s">
        <v>432</v>
      </c>
      <c r="AB1631" s="107" t="s">
        <v>432</v>
      </c>
      <c r="AC1631" s="107" t="s">
        <v>432</v>
      </c>
      <c r="AD1631" s="107" t="s">
        <v>432</v>
      </c>
      <c r="AE1631" s="107" t="s">
        <v>432</v>
      </c>
      <c r="AF1631" s="107" t="s">
        <v>432</v>
      </c>
      <c r="AG1631" s="107" t="s">
        <v>432</v>
      </c>
      <c r="AH1631" s="107" t="s">
        <v>432</v>
      </c>
      <c r="AI1631" s="107" t="s">
        <v>432</v>
      </c>
      <c r="AJ1631" s="107" t="s">
        <v>432</v>
      </c>
      <c r="AK1631" s="107" t="s">
        <v>432</v>
      </c>
      <c r="AL1631" s="601" t="s">
        <v>432</v>
      </c>
      <c r="AM1631" s="137" t="s">
        <v>432</v>
      </c>
      <c r="AN1631" s="137" t="s">
        <v>432</v>
      </c>
      <c r="AO1631" s="137" t="s">
        <v>432</v>
      </c>
      <c r="AP1631" s="137" t="s">
        <v>432</v>
      </c>
      <c r="AQ1631" s="137" t="s">
        <v>432</v>
      </c>
      <c r="AR1631" s="137" t="s">
        <v>432</v>
      </c>
      <c r="AS1631" s="137" t="s">
        <v>432</v>
      </c>
      <c r="AT1631" s="137" t="s">
        <v>432</v>
      </c>
      <c r="AU1631" s="137" t="s">
        <v>432</v>
      </c>
      <c r="AV1631" s="137" t="s">
        <v>432</v>
      </c>
      <c r="AW1631" s="137" t="s">
        <v>432</v>
      </c>
      <c r="AX1631" s="137" t="s">
        <v>432</v>
      </c>
      <c r="AY1631" s="137" t="s">
        <v>432</v>
      </c>
      <c r="AZ1631" s="137" t="s">
        <v>432</v>
      </c>
      <c r="BA1631" s="137" t="s">
        <v>432</v>
      </c>
      <c r="BB1631" s="239" t="str">
        <f t="shared" si="480"/>
        <v>geralx</v>
      </c>
      <c r="BC1631" s="239" t="str">
        <f t="shared" si="481"/>
        <v>geralxsigla/verbete</v>
      </c>
      <c r="BD1631" s="239" t="str">
        <f t="shared" si="482"/>
        <v>geralsigla/verbete</v>
      </c>
    </row>
    <row r="1632" spans="1:67" s="1" customFormat="1" ht="78.75" customHeight="1" x14ac:dyDescent="0.25">
      <c r="A1632" s="262" t="s">
        <v>432</v>
      </c>
      <c r="B1632" s="252" t="s">
        <v>742</v>
      </c>
      <c r="C1632" s="167" t="s">
        <v>432</v>
      </c>
      <c r="D1632" s="325" t="s">
        <v>455</v>
      </c>
      <c r="E1632" s="1496" t="s">
        <v>432</v>
      </c>
      <c r="F1632" s="53" t="s">
        <v>481</v>
      </c>
      <c r="G1632" s="167" t="s">
        <v>3879</v>
      </c>
      <c r="H1632" s="167" t="s">
        <v>432</v>
      </c>
      <c r="I1632" s="167" t="s">
        <v>432</v>
      </c>
      <c r="J1632" s="107" t="s">
        <v>432</v>
      </c>
      <c r="K1632" s="107" t="s">
        <v>432</v>
      </c>
      <c r="L1632" s="107" t="s">
        <v>432</v>
      </c>
      <c r="M1632" s="107" t="s">
        <v>432</v>
      </c>
      <c r="N1632" s="107" t="s">
        <v>432</v>
      </c>
      <c r="O1632" s="107" t="s">
        <v>432</v>
      </c>
      <c r="P1632" s="107" t="s">
        <v>432</v>
      </c>
      <c r="Q1632" s="107" t="s">
        <v>432</v>
      </c>
      <c r="R1632" s="107" t="s">
        <v>432</v>
      </c>
      <c r="S1632" s="109" t="s">
        <v>2209</v>
      </c>
      <c r="T1632" s="107" t="s">
        <v>432</v>
      </c>
      <c r="U1632" s="107" t="s">
        <v>432</v>
      </c>
      <c r="V1632" s="109" t="s">
        <v>2209</v>
      </c>
      <c r="W1632" s="107" t="s">
        <v>432</v>
      </c>
      <c r="X1632" s="107" t="s">
        <v>432</v>
      </c>
      <c r="Y1632" s="107" t="s">
        <v>432</v>
      </c>
      <c r="Z1632" s="107" t="s">
        <v>432</v>
      </c>
      <c r="AA1632" s="107" t="s">
        <v>432</v>
      </c>
      <c r="AB1632" s="107" t="s">
        <v>432</v>
      </c>
      <c r="AC1632" s="107" t="s">
        <v>432</v>
      </c>
      <c r="AD1632" s="107" t="s">
        <v>432</v>
      </c>
      <c r="AE1632" s="107" t="s">
        <v>432</v>
      </c>
      <c r="AF1632" s="107" t="s">
        <v>432</v>
      </c>
      <c r="AG1632" s="107" t="s">
        <v>432</v>
      </c>
      <c r="AH1632" s="107" t="s">
        <v>432</v>
      </c>
      <c r="AI1632" s="107" t="s">
        <v>432</v>
      </c>
      <c r="AJ1632" s="107" t="s">
        <v>432</v>
      </c>
      <c r="AK1632" s="137" t="s">
        <v>432</v>
      </c>
      <c r="AL1632" s="601" t="s">
        <v>432</v>
      </c>
      <c r="AM1632" s="137" t="s">
        <v>432</v>
      </c>
      <c r="AN1632" s="137" t="s">
        <v>432</v>
      </c>
      <c r="AO1632" s="137" t="s">
        <v>432</v>
      </c>
      <c r="AP1632" s="137" t="s">
        <v>432</v>
      </c>
      <c r="AQ1632" s="137" t="s">
        <v>432</v>
      </c>
      <c r="AR1632" s="137" t="s">
        <v>432</v>
      </c>
      <c r="AS1632" s="137" t="s">
        <v>432</v>
      </c>
      <c r="AT1632" s="137" t="s">
        <v>432</v>
      </c>
      <c r="AU1632" s="137" t="s">
        <v>432</v>
      </c>
      <c r="AV1632" s="137" t="s">
        <v>432</v>
      </c>
      <c r="AW1632" s="137" t="s">
        <v>432</v>
      </c>
      <c r="AX1632" s="137" t="s">
        <v>432</v>
      </c>
      <c r="AY1632" s="137" t="s">
        <v>432</v>
      </c>
      <c r="AZ1632" s="137" t="s">
        <v>432</v>
      </c>
      <c r="BA1632" s="137" t="s">
        <v>432</v>
      </c>
      <c r="BB1632" s="239" t="str">
        <f t="shared" si="480"/>
        <v>geralx</v>
      </c>
      <c r="BC1632" s="239" t="str">
        <f t="shared" si="481"/>
        <v>geralxx</v>
      </c>
      <c r="BD1632" s="239" t="str">
        <f t="shared" si="482"/>
        <v>geralx</v>
      </c>
    </row>
    <row r="1633" spans="1:56" s="1" customFormat="1" ht="51" customHeight="1" x14ac:dyDescent="0.25">
      <c r="A1633" s="275" t="str">
        <f>'Q100b-totais'!$B$17</f>
        <v>2.2</v>
      </c>
      <c r="B1633" s="54" t="str">
        <f>'Q100b-totais'!$C$17</f>
        <v>Frota e condutores de veículos automotores</v>
      </c>
      <c r="C1633" s="167" t="s">
        <v>432</v>
      </c>
      <c r="D1633" s="984" t="s">
        <v>273</v>
      </c>
      <c r="E1633" s="1505" t="s">
        <v>432</v>
      </c>
      <c r="F1633" s="25" t="s">
        <v>432</v>
      </c>
      <c r="G1633" s="233" t="s">
        <v>461</v>
      </c>
      <c r="H1633" s="173" t="s">
        <v>2408</v>
      </c>
      <c r="I1633" s="167" t="s">
        <v>432</v>
      </c>
      <c r="J1633" s="107" t="s">
        <v>432</v>
      </c>
      <c r="K1633" s="109" t="s">
        <v>432</v>
      </c>
      <c r="L1633" s="109" t="s">
        <v>432</v>
      </c>
      <c r="M1633" s="109" t="s">
        <v>432</v>
      </c>
      <c r="N1633" s="109" t="s">
        <v>432</v>
      </c>
      <c r="O1633" s="109" t="s">
        <v>432</v>
      </c>
      <c r="P1633" s="107" t="s">
        <v>432</v>
      </c>
      <c r="Q1633" s="109" t="s">
        <v>432</v>
      </c>
      <c r="R1633" s="109" t="s">
        <v>432</v>
      </c>
      <c r="S1633" s="109" t="s">
        <v>2209</v>
      </c>
      <c r="T1633" s="109" t="s">
        <v>432</v>
      </c>
      <c r="U1633" s="109" t="s">
        <v>432</v>
      </c>
      <c r="V1633" s="109" t="s">
        <v>2209</v>
      </c>
      <c r="W1633" s="109" t="s">
        <v>432</v>
      </c>
      <c r="X1633" s="108" t="s">
        <v>432</v>
      </c>
      <c r="Y1633" s="108" t="s">
        <v>432</v>
      </c>
      <c r="Z1633" s="108" t="s">
        <v>432</v>
      </c>
      <c r="AA1633" s="108" t="s">
        <v>432</v>
      </c>
      <c r="AB1633" s="108" t="s">
        <v>432</v>
      </c>
      <c r="AC1633" s="108" t="s">
        <v>432</v>
      </c>
      <c r="AD1633" s="108" t="s">
        <v>432</v>
      </c>
      <c r="AE1633" s="108" t="s">
        <v>432</v>
      </c>
      <c r="AF1633" s="108" t="s">
        <v>432</v>
      </c>
      <c r="AG1633" s="108" t="s">
        <v>432</v>
      </c>
      <c r="AH1633" s="108" t="s">
        <v>432</v>
      </c>
      <c r="AI1633" s="108" t="s">
        <v>432</v>
      </c>
      <c r="AJ1633" s="108" t="s">
        <v>432</v>
      </c>
      <c r="AK1633" s="137" t="s">
        <v>432</v>
      </c>
      <c r="AL1633" s="601" t="s">
        <v>432</v>
      </c>
      <c r="AM1633" s="137" t="s">
        <v>432</v>
      </c>
      <c r="AN1633" s="137" t="s">
        <v>432</v>
      </c>
      <c r="AO1633" s="137" t="s">
        <v>432</v>
      </c>
      <c r="AP1633" s="137" t="s">
        <v>432</v>
      </c>
      <c r="AQ1633" s="137" t="s">
        <v>432</v>
      </c>
      <c r="AR1633" s="137" t="s">
        <v>432</v>
      </c>
      <c r="AS1633" s="137" t="s">
        <v>432</v>
      </c>
      <c r="AT1633" s="137" t="s">
        <v>432</v>
      </c>
      <c r="AU1633" s="137" t="s">
        <v>432</v>
      </c>
      <c r="AV1633" s="137" t="s">
        <v>432</v>
      </c>
      <c r="AW1633" s="137" t="s">
        <v>432</v>
      </c>
      <c r="AX1633" s="137" t="s">
        <v>432</v>
      </c>
      <c r="AY1633" s="137" t="s">
        <v>432</v>
      </c>
      <c r="AZ1633" s="137" t="s">
        <v>432</v>
      </c>
      <c r="BA1633" s="137" t="s">
        <v>432</v>
      </c>
      <c r="BB1633" s="239" t="str">
        <f t="shared" si="480"/>
        <v>Frota e condutores de veículos automotoresx</v>
      </c>
      <c r="BC1633" s="239" t="str">
        <f t="shared" si="481"/>
        <v>Frota e condutores de veículos automotoresxsigla/verbete</v>
      </c>
      <c r="BD1633" s="239" t="str">
        <f t="shared" si="482"/>
        <v>Frota e condutores de veículos automotoressigla/verbete</v>
      </c>
    </row>
    <row r="1634" spans="1:56" s="1" customFormat="1" ht="51" customHeight="1" x14ac:dyDescent="0.25">
      <c r="A1634" s="275" t="str">
        <f>'Q100b-totais'!$B$17</f>
        <v>2.2</v>
      </c>
      <c r="B1634" s="54" t="str">
        <f>'Q100b-totais'!$C$17</f>
        <v>Frota e condutores de veículos automotores</v>
      </c>
      <c r="C1634" s="229" t="s">
        <v>432</v>
      </c>
      <c r="D1634" s="984" t="s">
        <v>274</v>
      </c>
      <c r="E1634" s="1505" t="s">
        <v>432</v>
      </c>
      <c r="F1634" s="25" t="s">
        <v>432</v>
      </c>
      <c r="G1634" s="233" t="s">
        <v>462</v>
      </c>
      <c r="H1634" s="173" t="s">
        <v>2408</v>
      </c>
      <c r="I1634" s="167" t="s">
        <v>432</v>
      </c>
      <c r="J1634" s="107" t="s">
        <v>432</v>
      </c>
      <c r="K1634" s="109" t="s">
        <v>432</v>
      </c>
      <c r="L1634" s="109" t="s">
        <v>432</v>
      </c>
      <c r="M1634" s="109" t="s">
        <v>432</v>
      </c>
      <c r="N1634" s="109" t="s">
        <v>432</v>
      </c>
      <c r="O1634" s="109" t="s">
        <v>432</v>
      </c>
      <c r="P1634" s="107" t="s">
        <v>432</v>
      </c>
      <c r="Q1634" s="109" t="s">
        <v>432</v>
      </c>
      <c r="R1634" s="109" t="s">
        <v>432</v>
      </c>
      <c r="S1634" s="109" t="s">
        <v>2209</v>
      </c>
      <c r="T1634" s="109" t="s">
        <v>432</v>
      </c>
      <c r="U1634" s="109" t="s">
        <v>432</v>
      </c>
      <c r="V1634" s="109" t="s">
        <v>2209</v>
      </c>
      <c r="W1634" s="109" t="s">
        <v>432</v>
      </c>
      <c r="X1634" s="108" t="s">
        <v>432</v>
      </c>
      <c r="Y1634" s="108" t="s">
        <v>432</v>
      </c>
      <c r="Z1634" s="108" t="s">
        <v>432</v>
      </c>
      <c r="AA1634" s="108" t="s">
        <v>432</v>
      </c>
      <c r="AB1634" s="108" t="s">
        <v>432</v>
      </c>
      <c r="AC1634" s="108" t="s">
        <v>432</v>
      </c>
      <c r="AD1634" s="108" t="s">
        <v>432</v>
      </c>
      <c r="AE1634" s="108" t="s">
        <v>432</v>
      </c>
      <c r="AF1634" s="108" t="s">
        <v>432</v>
      </c>
      <c r="AG1634" s="108" t="s">
        <v>432</v>
      </c>
      <c r="AH1634" s="108" t="s">
        <v>432</v>
      </c>
      <c r="AI1634" s="108" t="s">
        <v>432</v>
      </c>
      <c r="AJ1634" s="108" t="s">
        <v>432</v>
      </c>
      <c r="AK1634" s="137" t="s">
        <v>432</v>
      </c>
      <c r="AL1634" s="601" t="s">
        <v>432</v>
      </c>
      <c r="AM1634" s="137" t="s">
        <v>432</v>
      </c>
      <c r="AN1634" s="137" t="s">
        <v>432</v>
      </c>
      <c r="AO1634" s="137" t="s">
        <v>432</v>
      </c>
      <c r="AP1634" s="137" t="s">
        <v>432</v>
      </c>
      <c r="AQ1634" s="137" t="s">
        <v>432</v>
      </c>
      <c r="AR1634" s="137" t="s">
        <v>432</v>
      </c>
      <c r="AS1634" s="137" t="s">
        <v>432</v>
      </c>
      <c r="AT1634" s="137" t="s">
        <v>432</v>
      </c>
      <c r="AU1634" s="137" t="s">
        <v>432</v>
      </c>
      <c r="AV1634" s="137" t="s">
        <v>432</v>
      </c>
      <c r="AW1634" s="137" t="s">
        <v>432</v>
      </c>
      <c r="AX1634" s="137" t="s">
        <v>432</v>
      </c>
      <c r="AY1634" s="137" t="s">
        <v>432</v>
      </c>
      <c r="AZ1634" s="137" t="s">
        <v>432</v>
      </c>
      <c r="BA1634" s="137" t="s">
        <v>432</v>
      </c>
      <c r="BB1634" s="239" t="str">
        <f t="shared" si="480"/>
        <v>Frota e condutores de veículos automotoresx</v>
      </c>
      <c r="BC1634" s="239" t="str">
        <f t="shared" si="481"/>
        <v>Frota e condutores de veículos automotoresxsigla/verbete</v>
      </c>
      <c r="BD1634" s="239" t="str">
        <f t="shared" si="482"/>
        <v>Frota e condutores de veículos automotoressigla/verbete</v>
      </c>
    </row>
    <row r="1635" spans="1:56" s="1" customFormat="1" ht="51" customHeight="1" x14ac:dyDescent="0.25">
      <c r="A1635" s="262" t="s">
        <v>432</v>
      </c>
      <c r="B1635" s="252" t="s">
        <v>742</v>
      </c>
      <c r="C1635" s="167" t="s">
        <v>432</v>
      </c>
      <c r="D1635" s="984" t="s">
        <v>4804</v>
      </c>
      <c r="E1635" s="1505" t="s">
        <v>432</v>
      </c>
      <c r="F1635" s="14" t="s">
        <v>4803</v>
      </c>
      <c r="G1635" s="230" t="s">
        <v>3507</v>
      </c>
      <c r="H1635" s="167" t="s">
        <v>2408</v>
      </c>
      <c r="I1635" s="167" t="s">
        <v>432</v>
      </c>
      <c r="J1635" s="107" t="s">
        <v>432</v>
      </c>
      <c r="K1635" s="107" t="s">
        <v>432</v>
      </c>
      <c r="L1635" s="107" t="s">
        <v>432</v>
      </c>
      <c r="M1635" s="107" t="s">
        <v>432</v>
      </c>
      <c r="N1635" s="107" t="s">
        <v>432</v>
      </c>
      <c r="O1635" s="107" t="s">
        <v>432</v>
      </c>
      <c r="P1635" s="107" t="s">
        <v>432</v>
      </c>
      <c r="Q1635" s="107" t="s">
        <v>432</v>
      </c>
      <c r="R1635" s="107" t="s">
        <v>432</v>
      </c>
      <c r="S1635" s="109" t="s">
        <v>2209</v>
      </c>
      <c r="T1635" s="107" t="s">
        <v>432</v>
      </c>
      <c r="U1635" s="107" t="s">
        <v>432</v>
      </c>
      <c r="V1635" s="109" t="s">
        <v>2209</v>
      </c>
      <c r="W1635" s="107" t="s">
        <v>432</v>
      </c>
      <c r="X1635" s="107" t="s">
        <v>432</v>
      </c>
      <c r="Y1635" s="107" t="s">
        <v>432</v>
      </c>
      <c r="Z1635" s="107" t="s">
        <v>432</v>
      </c>
      <c r="AA1635" s="107" t="s">
        <v>432</v>
      </c>
      <c r="AB1635" s="107" t="s">
        <v>432</v>
      </c>
      <c r="AC1635" s="107" t="s">
        <v>432</v>
      </c>
      <c r="AD1635" s="107" t="s">
        <v>432</v>
      </c>
      <c r="AE1635" s="107" t="s">
        <v>432</v>
      </c>
      <c r="AF1635" s="107" t="s">
        <v>432</v>
      </c>
      <c r="AG1635" s="107" t="s">
        <v>432</v>
      </c>
      <c r="AH1635" s="107" t="s">
        <v>432</v>
      </c>
      <c r="AI1635" s="107" t="s">
        <v>432</v>
      </c>
      <c r="AJ1635" s="107" t="s">
        <v>432</v>
      </c>
      <c r="AK1635" s="137" t="s">
        <v>432</v>
      </c>
      <c r="AL1635" s="601" t="s">
        <v>432</v>
      </c>
      <c r="AM1635" s="137" t="s">
        <v>432</v>
      </c>
      <c r="AN1635" s="137" t="s">
        <v>432</v>
      </c>
      <c r="AO1635" s="137" t="s">
        <v>432</v>
      </c>
      <c r="AP1635" s="137" t="s">
        <v>432</v>
      </c>
      <c r="AQ1635" s="137" t="s">
        <v>432</v>
      </c>
      <c r="AR1635" s="137" t="s">
        <v>432</v>
      </c>
      <c r="AS1635" s="137" t="s">
        <v>432</v>
      </c>
      <c r="AT1635" s="137" t="s">
        <v>432</v>
      </c>
      <c r="AU1635" s="137" t="s">
        <v>432</v>
      </c>
      <c r="AV1635" s="137" t="s">
        <v>432</v>
      </c>
      <c r="AW1635" s="137" t="s">
        <v>432</v>
      </c>
      <c r="AX1635" s="137" t="s">
        <v>432</v>
      </c>
      <c r="AY1635" s="137" t="s">
        <v>432</v>
      </c>
      <c r="AZ1635" s="137" t="s">
        <v>432</v>
      </c>
      <c r="BA1635" s="137" t="s">
        <v>432</v>
      </c>
      <c r="BB1635" s="239" t="str">
        <f t="shared" si="480"/>
        <v>geralx</v>
      </c>
      <c r="BC1635" s="239" t="str">
        <f t="shared" si="481"/>
        <v>geralxsigla/verbete</v>
      </c>
      <c r="BD1635" s="239" t="str">
        <f t="shared" si="482"/>
        <v>geralsigla/verbete</v>
      </c>
    </row>
    <row r="1636" spans="1:56" s="1" customFormat="1" ht="60.75" customHeight="1" x14ac:dyDescent="0.25">
      <c r="A1636" s="262" t="s">
        <v>432</v>
      </c>
      <c r="B1636" s="252" t="s">
        <v>742</v>
      </c>
      <c r="C1636" s="167" t="s">
        <v>432</v>
      </c>
      <c r="D1636" s="984" t="s">
        <v>4807</v>
      </c>
      <c r="E1636" s="1505" t="s">
        <v>432</v>
      </c>
      <c r="F1636" s="14" t="s">
        <v>4806</v>
      </c>
      <c r="G1636" s="230" t="s">
        <v>3507</v>
      </c>
      <c r="H1636" s="167" t="s">
        <v>2408</v>
      </c>
      <c r="I1636" s="167" t="s">
        <v>432</v>
      </c>
      <c r="J1636" s="107" t="s">
        <v>432</v>
      </c>
      <c r="K1636" s="107" t="s">
        <v>432</v>
      </c>
      <c r="L1636" s="107" t="s">
        <v>432</v>
      </c>
      <c r="M1636" s="107" t="s">
        <v>432</v>
      </c>
      <c r="N1636" s="107" t="s">
        <v>432</v>
      </c>
      <c r="O1636" s="107" t="s">
        <v>432</v>
      </c>
      <c r="P1636" s="107" t="s">
        <v>432</v>
      </c>
      <c r="Q1636" s="107" t="s">
        <v>432</v>
      </c>
      <c r="R1636" s="107" t="s">
        <v>432</v>
      </c>
      <c r="S1636" s="109" t="s">
        <v>2209</v>
      </c>
      <c r="T1636" s="107" t="s">
        <v>432</v>
      </c>
      <c r="U1636" s="107" t="s">
        <v>432</v>
      </c>
      <c r="V1636" s="109" t="s">
        <v>2209</v>
      </c>
      <c r="W1636" s="107" t="s">
        <v>432</v>
      </c>
      <c r="X1636" s="107" t="s">
        <v>432</v>
      </c>
      <c r="Y1636" s="107" t="s">
        <v>432</v>
      </c>
      <c r="Z1636" s="107" t="s">
        <v>432</v>
      </c>
      <c r="AA1636" s="107" t="s">
        <v>432</v>
      </c>
      <c r="AB1636" s="107" t="s">
        <v>432</v>
      </c>
      <c r="AC1636" s="107" t="s">
        <v>432</v>
      </c>
      <c r="AD1636" s="107" t="s">
        <v>432</v>
      </c>
      <c r="AE1636" s="107" t="s">
        <v>432</v>
      </c>
      <c r="AF1636" s="107" t="s">
        <v>432</v>
      </c>
      <c r="AG1636" s="107" t="s">
        <v>432</v>
      </c>
      <c r="AH1636" s="107" t="s">
        <v>432</v>
      </c>
      <c r="AI1636" s="107" t="s">
        <v>432</v>
      </c>
      <c r="AJ1636" s="107" t="s">
        <v>432</v>
      </c>
      <c r="AK1636" s="137" t="s">
        <v>432</v>
      </c>
      <c r="AL1636" s="601" t="s">
        <v>432</v>
      </c>
      <c r="AM1636" s="137" t="s">
        <v>432</v>
      </c>
      <c r="AN1636" s="137" t="s">
        <v>432</v>
      </c>
      <c r="AO1636" s="137" t="s">
        <v>432</v>
      </c>
      <c r="AP1636" s="137" t="s">
        <v>432</v>
      </c>
      <c r="AQ1636" s="137" t="s">
        <v>432</v>
      </c>
      <c r="AR1636" s="137" t="s">
        <v>432</v>
      </c>
      <c r="AS1636" s="137" t="s">
        <v>432</v>
      </c>
      <c r="AT1636" s="137" t="s">
        <v>432</v>
      </c>
      <c r="AU1636" s="137" t="s">
        <v>432</v>
      </c>
      <c r="AV1636" s="137" t="s">
        <v>432</v>
      </c>
      <c r="AW1636" s="137" t="s">
        <v>432</v>
      </c>
      <c r="AX1636" s="137" t="s">
        <v>432</v>
      </c>
      <c r="AY1636" s="137" t="s">
        <v>432</v>
      </c>
      <c r="AZ1636" s="137" t="s">
        <v>432</v>
      </c>
      <c r="BA1636" s="137" t="s">
        <v>432</v>
      </c>
      <c r="BB1636" s="239" t="str">
        <f t="shared" si="480"/>
        <v>geralx</v>
      </c>
      <c r="BC1636" s="239" t="str">
        <f t="shared" si="481"/>
        <v>geralxsigla/verbete</v>
      </c>
      <c r="BD1636" s="239" t="str">
        <f t="shared" si="482"/>
        <v>geralsigla/verbete</v>
      </c>
    </row>
    <row r="1637" spans="1:56" s="1" customFormat="1" ht="129.75" customHeight="1" x14ac:dyDescent="0.25">
      <c r="A1637" s="262" t="str">
        <f>'Q100b-totais'!B54</f>
        <v>8.2</v>
      </c>
      <c r="B1637" s="252" t="str">
        <f>'Q100b-totais'!C54</f>
        <v>BRT</v>
      </c>
      <c r="C1637" s="167" t="s">
        <v>432</v>
      </c>
      <c r="D1637" s="984" t="s">
        <v>5592</v>
      </c>
      <c r="E1637" s="1505" t="s">
        <v>1306</v>
      </c>
      <c r="F1637" s="14" t="s">
        <v>5742</v>
      </c>
      <c r="G1637" s="230" t="s">
        <v>3507</v>
      </c>
      <c r="H1637" s="167" t="s">
        <v>2408</v>
      </c>
      <c r="I1637" s="167" t="s">
        <v>432</v>
      </c>
      <c r="J1637" s="107" t="s">
        <v>432</v>
      </c>
      <c r="K1637" s="107" t="s">
        <v>432</v>
      </c>
      <c r="L1637" s="107" t="s">
        <v>432</v>
      </c>
      <c r="M1637" s="107" t="s">
        <v>432</v>
      </c>
      <c r="N1637" s="107" t="s">
        <v>432</v>
      </c>
      <c r="O1637" s="107" t="s">
        <v>432</v>
      </c>
      <c r="P1637" s="107" t="s">
        <v>432</v>
      </c>
      <c r="Q1637" s="107" t="s">
        <v>432</v>
      </c>
      <c r="R1637" s="107" t="s">
        <v>432</v>
      </c>
      <c r="S1637" s="109" t="s">
        <v>2209</v>
      </c>
      <c r="T1637" s="107" t="s">
        <v>432</v>
      </c>
      <c r="U1637" s="107" t="s">
        <v>432</v>
      </c>
      <c r="V1637" s="109" t="s">
        <v>2209</v>
      </c>
      <c r="W1637" s="107" t="s">
        <v>432</v>
      </c>
      <c r="X1637" s="107" t="s">
        <v>432</v>
      </c>
      <c r="Y1637" s="107" t="s">
        <v>432</v>
      </c>
      <c r="Z1637" s="107" t="s">
        <v>432</v>
      </c>
      <c r="AA1637" s="107" t="s">
        <v>432</v>
      </c>
      <c r="AB1637" s="107" t="s">
        <v>432</v>
      </c>
      <c r="AC1637" s="107" t="s">
        <v>432</v>
      </c>
      <c r="AD1637" s="107" t="s">
        <v>432</v>
      </c>
      <c r="AE1637" s="107" t="s">
        <v>432</v>
      </c>
      <c r="AF1637" s="107" t="s">
        <v>432</v>
      </c>
      <c r="AG1637" s="107" t="s">
        <v>432</v>
      </c>
      <c r="AH1637" s="107" t="s">
        <v>432</v>
      </c>
      <c r="AI1637" s="107" t="s">
        <v>432</v>
      </c>
      <c r="AJ1637" s="107" t="s">
        <v>432</v>
      </c>
      <c r="AK1637" s="137" t="s">
        <v>432</v>
      </c>
      <c r="AL1637" s="601" t="s">
        <v>432</v>
      </c>
      <c r="AM1637" s="137" t="s">
        <v>432</v>
      </c>
      <c r="AN1637" s="137" t="s">
        <v>432</v>
      </c>
      <c r="AO1637" s="137" t="s">
        <v>432</v>
      </c>
      <c r="AP1637" s="137" t="s">
        <v>432</v>
      </c>
      <c r="AQ1637" s="137" t="s">
        <v>432</v>
      </c>
      <c r="AR1637" s="137" t="s">
        <v>432</v>
      </c>
      <c r="AS1637" s="137" t="s">
        <v>432</v>
      </c>
      <c r="AT1637" s="137" t="s">
        <v>432</v>
      </c>
      <c r="AU1637" s="137" t="s">
        <v>432</v>
      </c>
      <c r="AV1637" s="137" t="s">
        <v>432</v>
      </c>
      <c r="AW1637" s="137" t="s">
        <v>432</v>
      </c>
      <c r="AX1637" s="137" t="s">
        <v>432</v>
      </c>
      <c r="AY1637" s="137" t="s">
        <v>432</v>
      </c>
      <c r="AZ1637" s="137" t="s">
        <v>432</v>
      </c>
      <c r="BA1637" s="137" t="s">
        <v>432</v>
      </c>
      <c r="BB1637" s="239" t="str">
        <f>B1637&amp;C1637</f>
        <v>BRTx</v>
      </c>
      <c r="BC1637" s="239" t="str">
        <f>B1637&amp;C1637&amp;H1637</f>
        <v>BRTxsigla/verbete</v>
      </c>
      <c r="BD1637" s="239" t="str">
        <f>B1637&amp;H1637</f>
        <v>BRTsigla/verbete</v>
      </c>
    </row>
    <row r="1638" spans="1:56" s="1" customFormat="1" ht="71.25" customHeight="1" x14ac:dyDescent="0.25">
      <c r="A1638" s="262" t="str">
        <f>'Q100b-totais'!B47</f>
        <v>5.5</v>
      </c>
      <c r="B1638" s="252" t="str">
        <f>'Q100b-totais'!C47</f>
        <v>Outros meio ambiente</v>
      </c>
      <c r="C1638" s="167" t="s">
        <v>432</v>
      </c>
      <c r="D1638" s="984" t="s">
        <v>5592</v>
      </c>
      <c r="E1638" s="1505" t="s">
        <v>1306</v>
      </c>
      <c r="F1638" s="1172" t="s">
        <v>5586</v>
      </c>
      <c r="G1638" s="230" t="s">
        <v>3507</v>
      </c>
      <c r="H1638" s="167" t="s">
        <v>2408</v>
      </c>
      <c r="I1638" s="167" t="s">
        <v>432</v>
      </c>
      <c r="J1638" s="107" t="s">
        <v>432</v>
      </c>
      <c r="K1638" s="107" t="s">
        <v>432</v>
      </c>
      <c r="L1638" s="107" t="s">
        <v>432</v>
      </c>
      <c r="M1638" s="107" t="s">
        <v>432</v>
      </c>
      <c r="N1638" s="107" t="s">
        <v>432</v>
      </c>
      <c r="O1638" s="107" t="s">
        <v>432</v>
      </c>
      <c r="P1638" s="107" t="s">
        <v>432</v>
      </c>
      <c r="Q1638" s="107" t="s">
        <v>432</v>
      </c>
      <c r="R1638" s="107" t="s">
        <v>432</v>
      </c>
      <c r="S1638" s="109" t="s">
        <v>2209</v>
      </c>
      <c r="T1638" s="107" t="s">
        <v>432</v>
      </c>
      <c r="U1638" s="107" t="s">
        <v>432</v>
      </c>
      <c r="V1638" s="109" t="s">
        <v>2209</v>
      </c>
      <c r="W1638" s="107" t="s">
        <v>432</v>
      </c>
      <c r="X1638" s="107" t="s">
        <v>432</v>
      </c>
      <c r="Y1638" s="107" t="s">
        <v>432</v>
      </c>
      <c r="Z1638" s="107" t="s">
        <v>432</v>
      </c>
      <c r="AA1638" s="107" t="s">
        <v>432</v>
      </c>
      <c r="AB1638" s="107" t="s">
        <v>432</v>
      </c>
      <c r="AC1638" s="107" t="s">
        <v>432</v>
      </c>
      <c r="AD1638" s="107" t="s">
        <v>432</v>
      </c>
      <c r="AE1638" s="107" t="s">
        <v>432</v>
      </c>
      <c r="AF1638" s="107" t="s">
        <v>432</v>
      </c>
      <c r="AG1638" s="107" t="s">
        <v>432</v>
      </c>
      <c r="AH1638" s="107" t="s">
        <v>432</v>
      </c>
      <c r="AI1638" s="107" t="s">
        <v>432</v>
      </c>
      <c r="AJ1638" s="107" t="s">
        <v>432</v>
      </c>
      <c r="AK1638" s="137" t="s">
        <v>432</v>
      </c>
      <c r="AL1638" s="601" t="s">
        <v>432</v>
      </c>
      <c r="AM1638" s="137" t="s">
        <v>432</v>
      </c>
      <c r="AN1638" s="137" t="s">
        <v>432</v>
      </c>
      <c r="AO1638" s="137" t="s">
        <v>432</v>
      </c>
      <c r="AP1638" s="137" t="s">
        <v>432</v>
      </c>
      <c r="AQ1638" s="137" t="s">
        <v>432</v>
      </c>
      <c r="AR1638" s="137" t="s">
        <v>432</v>
      </c>
      <c r="AS1638" s="137" t="s">
        <v>432</v>
      </c>
      <c r="AT1638" s="137" t="s">
        <v>432</v>
      </c>
      <c r="AU1638" s="137" t="s">
        <v>432</v>
      </c>
      <c r="AV1638" s="137" t="s">
        <v>432</v>
      </c>
      <c r="AW1638" s="137" t="s">
        <v>432</v>
      </c>
      <c r="AX1638" s="137" t="s">
        <v>432</v>
      </c>
      <c r="AY1638" s="137" t="s">
        <v>432</v>
      </c>
      <c r="AZ1638" s="137" t="s">
        <v>432</v>
      </c>
      <c r="BA1638" s="137" t="s">
        <v>432</v>
      </c>
      <c r="BB1638" s="239" t="str">
        <f>B1638&amp;C1638</f>
        <v>Outros meio ambientex</v>
      </c>
      <c r="BC1638" s="239" t="str">
        <f>B1638&amp;C1638&amp;H1638</f>
        <v>Outros meio ambientexsigla/verbete</v>
      </c>
      <c r="BD1638" s="239" t="str">
        <f>B1638&amp;H1638</f>
        <v>Outros meio ambientesigla/verbete</v>
      </c>
    </row>
    <row r="1639" spans="1:56" s="1" customFormat="1" ht="62.25" customHeight="1" x14ac:dyDescent="0.25">
      <c r="A1639" s="275" t="str">
        <f>'Q100b-totais'!$B$44</f>
        <v>5.2</v>
      </c>
      <c r="B1639" s="1205" t="str">
        <f>'Q100b-totais'!$C$44</f>
        <v>Poluição do ar</v>
      </c>
      <c r="C1639" s="167" t="s">
        <v>432</v>
      </c>
      <c r="D1639" s="948" t="s">
        <v>1248</v>
      </c>
      <c r="E1639" s="1512" t="s">
        <v>432</v>
      </c>
      <c r="F1639" s="11" t="s">
        <v>1303</v>
      </c>
      <c r="G1639" s="57" t="s">
        <v>1927</v>
      </c>
      <c r="H1639" s="173" t="s">
        <v>2408</v>
      </c>
      <c r="I1639" s="167" t="s">
        <v>432</v>
      </c>
      <c r="J1639" s="109" t="s">
        <v>432</v>
      </c>
      <c r="K1639" s="109" t="s">
        <v>432</v>
      </c>
      <c r="L1639" s="109" t="s">
        <v>432</v>
      </c>
      <c r="M1639" s="109" t="s">
        <v>432</v>
      </c>
      <c r="N1639" s="109" t="s">
        <v>432</v>
      </c>
      <c r="O1639" s="109" t="s">
        <v>432</v>
      </c>
      <c r="P1639" s="109" t="s">
        <v>432</v>
      </c>
      <c r="Q1639" s="109" t="s">
        <v>432</v>
      </c>
      <c r="R1639" s="109" t="s">
        <v>432</v>
      </c>
      <c r="S1639" s="109" t="s">
        <v>2209</v>
      </c>
      <c r="T1639" s="109" t="s">
        <v>432</v>
      </c>
      <c r="U1639" s="109" t="s">
        <v>432</v>
      </c>
      <c r="V1639" s="109" t="s">
        <v>2209</v>
      </c>
      <c r="W1639" s="109" t="s">
        <v>432</v>
      </c>
      <c r="X1639" s="109" t="s">
        <v>432</v>
      </c>
      <c r="Y1639" s="109" t="s">
        <v>432</v>
      </c>
      <c r="Z1639" s="109" t="s">
        <v>432</v>
      </c>
      <c r="AA1639" s="109" t="s">
        <v>432</v>
      </c>
      <c r="AB1639" s="109" t="s">
        <v>432</v>
      </c>
      <c r="AC1639" s="109" t="s">
        <v>432</v>
      </c>
      <c r="AD1639" s="109" t="s">
        <v>432</v>
      </c>
      <c r="AE1639" s="109" t="s">
        <v>432</v>
      </c>
      <c r="AF1639" s="109" t="s">
        <v>432</v>
      </c>
      <c r="AG1639" s="109" t="s">
        <v>432</v>
      </c>
      <c r="AH1639" s="109" t="s">
        <v>432</v>
      </c>
      <c r="AI1639" s="109" t="s">
        <v>432</v>
      </c>
      <c r="AJ1639" s="109" t="s">
        <v>432</v>
      </c>
      <c r="AK1639" s="109" t="s">
        <v>432</v>
      </c>
      <c r="AL1639" s="601" t="s">
        <v>432</v>
      </c>
      <c r="AM1639" s="137" t="s">
        <v>432</v>
      </c>
      <c r="AN1639" s="137" t="s">
        <v>432</v>
      </c>
      <c r="AO1639" s="137" t="s">
        <v>432</v>
      </c>
      <c r="AP1639" s="137" t="s">
        <v>432</v>
      </c>
      <c r="AQ1639" s="137" t="s">
        <v>432</v>
      </c>
      <c r="AR1639" s="137" t="s">
        <v>432</v>
      </c>
      <c r="AS1639" s="137" t="s">
        <v>432</v>
      </c>
      <c r="AT1639" s="137" t="s">
        <v>432</v>
      </c>
      <c r="AU1639" s="137" t="s">
        <v>432</v>
      </c>
      <c r="AV1639" s="137" t="s">
        <v>432</v>
      </c>
      <c r="AW1639" s="137" t="s">
        <v>432</v>
      </c>
      <c r="AX1639" s="137" t="s">
        <v>432</v>
      </c>
      <c r="AY1639" s="137" t="s">
        <v>432</v>
      </c>
      <c r="AZ1639" s="137" t="s">
        <v>432</v>
      </c>
      <c r="BA1639" s="137" t="s">
        <v>432</v>
      </c>
      <c r="BB1639" s="239" t="str">
        <f t="shared" si="480"/>
        <v>Poluição do arx</v>
      </c>
      <c r="BC1639" s="239" t="str">
        <f t="shared" si="481"/>
        <v>Poluição do arxsigla/verbete</v>
      </c>
      <c r="BD1639" s="239" t="str">
        <f t="shared" si="482"/>
        <v>Poluição do arsigla/verbete</v>
      </c>
    </row>
    <row r="1640" spans="1:56" s="127" customFormat="1" ht="25.5" x14ac:dyDescent="0.25">
      <c r="A1640" s="262" t="s">
        <v>432</v>
      </c>
      <c r="B1640" s="53" t="s">
        <v>742</v>
      </c>
      <c r="C1640" s="229" t="s">
        <v>743</v>
      </c>
      <c r="D1640" s="847" t="s">
        <v>2261</v>
      </c>
      <c r="E1640" s="1496" t="s">
        <v>1767</v>
      </c>
      <c r="F1640" s="53" t="s">
        <v>2260</v>
      </c>
      <c r="G1640" s="167" t="s">
        <v>3719</v>
      </c>
      <c r="H1640" s="168" t="s">
        <v>2408</v>
      </c>
      <c r="I1640" s="167" t="s">
        <v>432</v>
      </c>
      <c r="J1640" s="109" t="s">
        <v>432</v>
      </c>
      <c r="K1640" s="109" t="s">
        <v>432</v>
      </c>
      <c r="L1640" s="109" t="s">
        <v>432</v>
      </c>
      <c r="M1640" s="109" t="s">
        <v>432</v>
      </c>
      <c r="N1640" s="109" t="s">
        <v>432</v>
      </c>
      <c r="O1640" s="109" t="s">
        <v>432</v>
      </c>
      <c r="P1640" s="109" t="s">
        <v>432</v>
      </c>
      <c r="Q1640" s="109" t="s">
        <v>432</v>
      </c>
      <c r="R1640" s="109" t="s">
        <v>432</v>
      </c>
      <c r="S1640" s="109" t="s">
        <v>2209</v>
      </c>
      <c r="T1640" s="109" t="s">
        <v>432</v>
      </c>
      <c r="U1640" s="109" t="s">
        <v>432</v>
      </c>
      <c r="V1640" s="109" t="s">
        <v>2209</v>
      </c>
      <c r="W1640" s="109" t="s">
        <v>432</v>
      </c>
      <c r="X1640" s="109" t="s">
        <v>432</v>
      </c>
      <c r="Y1640" s="109" t="s">
        <v>432</v>
      </c>
      <c r="Z1640" s="109" t="s">
        <v>432</v>
      </c>
      <c r="AA1640" s="109" t="s">
        <v>432</v>
      </c>
      <c r="AB1640" s="109" t="s">
        <v>432</v>
      </c>
      <c r="AC1640" s="109" t="s">
        <v>432</v>
      </c>
      <c r="AD1640" s="109" t="s">
        <v>432</v>
      </c>
      <c r="AE1640" s="109" t="s">
        <v>432</v>
      </c>
      <c r="AF1640" s="109" t="s">
        <v>432</v>
      </c>
      <c r="AG1640" s="109" t="s">
        <v>432</v>
      </c>
      <c r="AH1640" s="109" t="s">
        <v>432</v>
      </c>
      <c r="AI1640" s="109" t="s">
        <v>432</v>
      </c>
      <c r="AJ1640" s="109" t="s">
        <v>432</v>
      </c>
      <c r="AK1640" s="137" t="s">
        <v>432</v>
      </c>
      <c r="AL1640" s="601" t="s">
        <v>432</v>
      </c>
      <c r="AM1640" s="137" t="s">
        <v>432</v>
      </c>
      <c r="AN1640" s="137" t="s">
        <v>432</v>
      </c>
      <c r="AO1640" s="137" t="s">
        <v>432</v>
      </c>
      <c r="AP1640" s="137" t="s">
        <v>432</v>
      </c>
      <c r="AQ1640" s="137" t="s">
        <v>432</v>
      </c>
      <c r="AR1640" s="137" t="s">
        <v>432</v>
      </c>
      <c r="AS1640" s="137" t="s">
        <v>432</v>
      </c>
      <c r="AT1640" s="137" t="s">
        <v>432</v>
      </c>
      <c r="AU1640" s="137" t="s">
        <v>432</v>
      </c>
      <c r="AV1640" s="137" t="s">
        <v>432</v>
      </c>
      <c r="AW1640" s="137" t="s">
        <v>432</v>
      </c>
      <c r="AX1640" s="137" t="s">
        <v>432</v>
      </c>
      <c r="AY1640" s="137" t="s">
        <v>432</v>
      </c>
      <c r="AZ1640" s="137" t="s">
        <v>432</v>
      </c>
      <c r="BA1640" s="137" t="s">
        <v>432</v>
      </c>
      <c r="BB1640" s="239" t="str">
        <f t="shared" si="480"/>
        <v>geralacessibilidade</v>
      </c>
      <c r="BC1640" s="239" t="str">
        <f t="shared" si="481"/>
        <v>geralacessibilidadesigla/verbete</v>
      </c>
      <c r="BD1640" s="239" t="str">
        <f t="shared" si="482"/>
        <v>geralsigla/verbete</v>
      </c>
    </row>
    <row r="1641" spans="1:56" s="1" customFormat="1" ht="51" customHeight="1" x14ac:dyDescent="0.25">
      <c r="A1641" s="262" t="s">
        <v>432</v>
      </c>
      <c r="B1641" s="252" t="s">
        <v>742</v>
      </c>
      <c r="C1641" s="167" t="s">
        <v>432</v>
      </c>
      <c r="D1641" s="325" t="s">
        <v>275</v>
      </c>
      <c r="E1641" s="1496" t="s">
        <v>432</v>
      </c>
      <c r="F1641" s="11" t="s">
        <v>276</v>
      </c>
      <c r="G1641" s="167" t="s">
        <v>3879</v>
      </c>
      <c r="H1641" s="167" t="s">
        <v>432</v>
      </c>
      <c r="I1641" s="167" t="s">
        <v>432</v>
      </c>
      <c r="J1641" s="107" t="s">
        <v>432</v>
      </c>
      <c r="K1641" s="107" t="s">
        <v>432</v>
      </c>
      <c r="L1641" s="107" t="s">
        <v>432</v>
      </c>
      <c r="M1641" s="107" t="s">
        <v>432</v>
      </c>
      <c r="N1641" s="107" t="s">
        <v>432</v>
      </c>
      <c r="O1641" s="107" t="s">
        <v>432</v>
      </c>
      <c r="P1641" s="107" t="s">
        <v>432</v>
      </c>
      <c r="Q1641" s="107" t="s">
        <v>432</v>
      </c>
      <c r="R1641" s="107" t="s">
        <v>432</v>
      </c>
      <c r="S1641" s="109" t="s">
        <v>2209</v>
      </c>
      <c r="T1641" s="107" t="s">
        <v>432</v>
      </c>
      <c r="U1641" s="107" t="s">
        <v>432</v>
      </c>
      <c r="V1641" s="109" t="s">
        <v>2209</v>
      </c>
      <c r="W1641" s="107" t="s">
        <v>432</v>
      </c>
      <c r="X1641" s="107" t="s">
        <v>432</v>
      </c>
      <c r="Y1641" s="107" t="s">
        <v>432</v>
      </c>
      <c r="Z1641" s="107" t="s">
        <v>432</v>
      </c>
      <c r="AA1641" s="107" t="s">
        <v>432</v>
      </c>
      <c r="AB1641" s="107" t="s">
        <v>432</v>
      </c>
      <c r="AC1641" s="107" t="s">
        <v>432</v>
      </c>
      <c r="AD1641" s="107" t="s">
        <v>432</v>
      </c>
      <c r="AE1641" s="107" t="s">
        <v>432</v>
      </c>
      <c r="AF1641" s="107" t="s">
        <v>432</v>
      </c>
      <c r="AG1641" s="107" t="s">
        <v>432</v>
      </c>
      <c r="AH1641" s="107" t="s">
        <v>432</v>
      </c>
      <c r="AI1641" s="107" t="s">
        <v>432</v>
      </c>
      <c r="AJ1641" s="107" t="s">
        <v>432</v>
      </c>
      <c r="AK1641" s="137" t="s">
        <v>432</v>
      </c>
      <c r="AL1641" s="601" t="s">
        <v>432</v>
      </c>
      <c r="AM1641" s="137" t="s">
        <v>432</v>
      </c>
      <c r="AN1641" s="137" t="s">
        <v>432</v>
      </c>
      <c r="AO1641" s="137" t="s">
        <v>432</v>
      </c>
      <c r="AP1641" s="137" t="s">
        <v>432</v>
      </c>
      <c r="AQ1641" s="137" t="s">
        <v>432</v>
      </c>
      <c r="AR1641" s="137" t="s">
        <v>432</v>
      </c>
      <c r="AS1641" s="137" t="s">
        <v>432</v>
      </c>
      <c r="AT1641" s="137" t="s">
        <v>432</v>
      </c>
      <c r="AU1641" s="137" t="s">
        <v>432</v>
      </c>
      <c r="AV1641" s="137" t="s">
        <v>432</v>
      </c>
      <c r="AW1641" s="137" t="s">
        <v>432</v>
      </c>
      <c r="AX1641" s="137" t="s">
        <v>432</v>
      </c>
      <c r="AY1641" s="137" t="s">
        <v>432</v>
      </c>
      <c r="AZ1641" s="137" t="s">
        <v>432</v>
      </c>
      <c r="BA1641" s="137" t="s">
        <v>432</v>
      </c>
      <c r="BB1641" s="239" t="str">
        <f t="shared" si="480"/>
        <v>geralx</v>
      </c>
      <c r="BC1641" s="239" t="str">
        <f t="shared" si="481"/>
        <v>geralxx</v>
      </c>
      <c r="BD1641" s="239" t="str">
        <f t="shared" si="482"/>
        <v>geralx</v>
      </c>
    </row>
    <row r="1642" spans="1:56" s="1" customFormat="1" ht="51" customHeight="1" x14ac:dyDescent="0.25">
      <c r="A1642" s="262" t="s">
        <v>432</v>
      </c>
      <c r="B1642" s="252" t="s">
        <v>742</v>
      </c>
      <c r="C1642" s="167" t="s">
        <v>432</v>
      </c>
      <c r="D1642" s="325" t="s">
        <v>277</v>
      </c>
      <c r="E1642" s="1496" t="s">
        <v>432</v>
      </c>
      <c r="F1642" s="11" t="s">
        <v>278</v>
      </c>
      <c r="G1642" s="167" t="s">
        <v>3879</v>
      </c>
      <c r="H1642" s="167" t="s">
        <v>432</v>
      </c>
      <c r="I1642" s="167" t="s">
        <v>432</v>
      </c>
      <c r="J1642" s="107" t="s">
        <v>432</v>
      </c>
      <c r="K1642" s="107" t="s">
        <v>432</v>
      </c>
      <c r="L1642" s="107" t="s">
        <v>432</v>
      </c>
      <c r="M1642" s="107" t="s">
        <v>432</v>
      </c>
      <c r="N1642" s="107" t="s">
        <v>432</v>
      </c>
      <c r="O1642" s="107" t="s">
        <v>432</v>
      </c>
      <c r="P1642" s="107" t="s">
        <v>432</v>
      </c>
      <c r="Q1642" s="107" t="s">
        <v>432</v>
      </c>
      <c r="R1642" s="107" t="s">
        <v>432</v>
      </c>
      <c r="S1642" s="109" t="s">
        <v>2209</v>
      </c>
      <c r="T1642" s="107" t="s">
        <v>432</v>
      </c>
      <c r="U1642" s="107" t="s">
        <v>432</v>
      </c>
      <c r="V1642" s="109" t="s">
        <v>2209</v>
      </c>
      <c r="W1642" s="107" t="s">
        <v>432</v>
      </c>
      <c r="X1642" s="107" t="s">
        <v>432</v>
      </c>
      <c r="Y1642" s="107" t="s">
        <v>432</v>
      </c>
      <c r="Z1642" s="107" t="s">
        <v>432</v>
      </c>
      <c r="AA1642" s="107" t="s">
        <v>432</v>
      </c>
      <c r="AB1642" s="107" t="s">
        <v>432</v>
      </c>
      <c r="AC1642" s="107" t="s">
        <v>432</v>
      </c>
      <c r="AD1642" s="107" t="s">
        <v>432</v>
      </c>
      <c r="AE1642" s="107" t="s">
        <v>432</v>
      </c>
      <c r="AF1642" s="107" t="s">
        <v>432</v>
      </c>
      <c r="AG1642" s="107" t="s">
        <v>432</v>
      </c>
      <c r="AH1642" s="107" t="s">
        <v>432</v>
      </c>
      <c r="AI1642" s="107" t="s">
        <v>432</v>
      </c>
      <c r="AJ1642" s="107" t="s">
        <v>432</v>
      </c>
      <c r="AK1642" s="137" t="s">
        <v>432</v>
      </c>
      <c r="AL1642" s="601" t="s">
        <v>432</v>
      </c>
      <c r="AM1642" s="137" t="s">
        <v>432</v>
      </c>
      <c r="AN1642" s="137" t="s">
        <v>432</v>
      </c>
      <c r="AO1642" s="137" t="s">
        <v>432</v>
      </c>
      <c r="AP1642" s="137" t="s">
        <v>432</v>
      </c>
      <c r="AQ1642" s="137" t="s">
        <v>432</v>
      </c>
      <c r="AR1642" s="137" t="s">
        <v>432</v>
      </c>
      <c r="AS1642" s="137" t="s">
        <v>432</v>
      </c>
      <c r="AT1642" s="137" t="s">
        <v>432</v>
      </c>
      <c r="AU1642" s="137" t="s">
        <v>432</v>
      </c>
      <c r="AV1642" s="137" t="s">
        <v>432</v>
      </c>
      <c r="AW1642" s="137" t="s">
        <v>432</v>
      </c>
      <c r="AX1642" s="137" t="s">
        <v>432</v>
      </c>
      <c r="AY1642" s="137" t="s">
        <v>432</v>
      </c>
      <c r="AZ1642" s="137" t="s">
        <v>432</v>
      </c>
      <c r="BA1642" s="137" t="s">
        <v>432</v>
      </c>
      <c r="BB1642" s="239" t="str">
        <f t="shared" si="480"/>
        <v>geralx</v>
      </c>
      <c r="BC1642" s="239" t="str">
        <f t="shared" si="481"/>
        <v>geralxx</v>
      </c>
      <c r="BD1642" s="239" t="str">
        <f t="shared" si="482"/>
        <v>geralx</v>
      </c>
    </row>
    <row r="1643" spans="1:56" s="1" customFormat="1" ht="25.5" x14ac:dyDescent="0.25">
      <c r="A1643" s="262" t="s">
        <v>432</v>
      </c>
      <c r="B1643" s="252" t="s">
        <v>742</v>
      </c>
      <c r="C1643" s="167" t="s">
        <v>432</v>
      </c>
      <c r="D1643" s="948" t="s">
        <v>1832</v>
      </c>
      <c r="E1643" s="1496" t="s">
        <v>432</v>
      </c>
      <c r="F1643" s="11" t="s">
        <v>432</v>
      </c>
      <c r="G1643" s="57" t="s">
        <v>1833</v>
      </c>
      <c r="H1643" s="173" t="s">
        <v>2408</v>
      </c>
      <c r="I1643" s="167" t="s">
        <v>432</v>
      </c>
      <c r="J1643" s="109" t="s">
        <v>432</v>
      </c>
      <c r="K1643" s="109" t="s">
        <v>432</v>
      </c>
      <c r="L1643" s="109" t="s">
        <v>432</v>
      </c>
      <c r="M1643" s="109" t="s">
        <v>432</v>
      </c>
      <c r="N1643" s="109" t="s">
        <v>432</v>
      </c>
      <c r="O1643" s="109" t="s">
        <v>432</v>
      </c>
      <c r="P1643" s="109" t="s">
        <v>432</v>
      </c>
      <c r="Q1643" s="109" t="s">
        <v>432</v>
      </c>
      <c r="R1643" s="109" t="s">
        <v>432</v>
      </c>
      <c r="S1643" s="109" t="s">
        <v>2209</v>
      </c>
      <c r="T1643" s="109" t="s">
        <v>432</v>
      </c>
      <c r="U1643" s="109" t="s">
        <v>432</v>
      </c>
      <c r="V1643" s="109" t="s">
        <v>2209</v>
      </c>
      <c r="W1643" s="109" t="s">
        <v>432</v>
      </c>
      <c r="X1643" s="109" t="s">
        <v>432</v>
      </c>
      <c r="Y1643" s="109" t="s">
        <v>432</v>
      </c>
      <c r="Z1643" s="109" t="s">
        <v>432</v>
      </c>
      <c r="AA1643" s="109" t="s">
        <v>432</v>
      </c>
      <c r="AB1643" s="109" t="s">
        <v>432</v>
      </c>
      <c r="AC1643" s="109" t="s">
        <v>432</v>
      </c>
      <c r="AD1643" s="109" t="s">
        <v>432</v>
      </c>
      <c r="AE1643" s="109" t="s">
        <v>432</v>
      </c>
      <c r="AF1643" s="109" t="s">
        <v>432</v>
      </c>
      <c r="AG1643" s="109" t="s">
        <v>432</v>
      </c>
      <c r="AH1643" s="109" t="s">
        <v>432</v>
      </c>
      <c r="AI1643" s="109" t="s">
        <v>432</v>
      </c>
      <c r="AJ1643" s="109" t="s">
        <v>432</v>
      </c>
      <c r="AK1643" s="109" t="s">
        <v>432</v>
      </c>
      <c r="AL1643" s="601" t="s">
        <v>432</v>
      </c>
      <c r="AM1643" s="137" t="s">
        <v>432</v>
      </c>
      <c r="AN1643" s="137" t="s">
        <v>432</v>
      </c>
      <c r="AO1643" s="137" t="s">
        <v>432</v>
      </c>
      <c r="AP1643" s="137" t="s">
        <v>432</v>
      </c>
      <c r="AQ1643" s="137" t="s">
        <v>432</v>
      </c>
      <c r="AR1643" s="137" t="s">
        <v>432</v>
      </c>
      <c r="AS1643" s="137" t="s">
        <v>432</v>
      </c>
      <c r="AT1643" s="137" t="s">
        <v>432</v>
      </c>
      <c r="AU1643" s="137" t="s">
        <v>432</v>
      </c>
      <c r="AV1643" s="137" t="s">
        <v>432</v>
      </c>
      <c r="AW1643" s="137" t="s">
        <v>432</v>
      </c>
      <c r="AX1643" s="137" t="s">
        <v>432</v>
      </c>
      <c r="AY1643" s="137" t="s">
        <v>432</v>
      </c>
      <c r="AZ1643" s="137" t="s">
        <v>432</v>
      </c>
      <c r="BA1643" s="137" t="s">
        <v>432</v>
      </c>
      <c r="BB1643" s="239" t="str">
        <f t="shared" si="480"/>
        <v>geralx</v>
      </c>
      <c r="BC1643" s="239" t="str">
        <f t="shared" si="481"/>
        <v>geralxsigla/verbete</v>
      </c>
      <c r="BD1643" s="239" t="str">
        <f t="shared" si="482"/>
        <v>geralsigla/verbete</v>
      </c>
    </row>
    <row r="1644" spans="1:56" s="1" customFormat="1" ht="82.5" customHeight="1" x14ac:dyDescent="0.25">
      <c r="A1644" s="262" t="s">
        <v>432</v>
      </c>
      <c r="B1644" s="252" t="s">
        <v>742</v>
      </c>
      <c r="C1644" s="230" t="s">
        <v>432</v>
      </c>
      <c r="D1644" s="948" t="s">
        <v>5459</v>
      </c>
      <c r="E1644" s="1496" t="s">
        <v>3373</v>
      </c>
      <c r="F1644" s="1205" t="s">
        <v>5463</v>
      </c>
      <c r="G1644" s="230" t="s">
        <v>3507</v>
      </c>
      <c r="H1644" s="167" t="s">
        <v>2408</v>
      </c>
      <c r="I1644" s="167" t="s">
        <v>432</v>
      </c>
      <c r="J1644" s="107" t="s">
        <v>432</v>
      </c>
      <c r="K1644" s="107" t="s">
        <v>432</v>
      </c>
      <c r="L1644" s="107" t="s">
        <v>432</v>
      </c>
      <c r="M1644" s="107" t="s">
        <v>432</v>
      </c>
      <c r="N1644" s="107" t="s">
        <v>432</v>
      </c>
      <c r="O1644" s="107" t="s">
        <v>432</v>
      </c>
      <c r="P1644" s="107" t="s">
        <v>432</v>
      </c>
      <c r="Q1644" s="107" t="s">
        <v>432</v>
      </c>
      <c r="R1644" s="107" t="s">
        <v>432</v>
      </c>
      <c r="S1644" s="109" t="s">
        <v>2209</v>
      </c>
      <c r="T1644" s="107" t="s">
        <v>432</v>
      </c>
      <c r="U1644" s="107" t="s">
        <v>432</v>
      </c>
      <c r="V1644" s="109" t="s">
        <v>2209</v>
      </c>
      <c r="W1644" s="107" t="s">
        <v>432</v>
      </c>
      <c r="X1644" s="107" t="s">
        <v>432</v>
      </c>
      <c r="Y1644" s="107" t="s">
        <v>432</v>
      </c>
      <c r="Z1644" s="107" t="s">
        <v>432</v>
      </c>
      <c r="AA1644" s="107" t="s">
        <v>432</v>
      </c>
      <c r="AB1644" s="107" t="s">
        <v>432</v>
      </c>
      <c r="AC1644" s="107" t="s">
        <v>432</v>
      </c>
      <c r="AD1644" s="107" t="s">
        <v>432</v>
      </c>
      <c r="AE1644" s="107" t="s">
        <v>432</v>
      </c>
      <c r="AF1644" s="107" t="s">
        <v>432</v>
      </c>
      <c r="AG1644" s="107" t="s">
        <v>432</v>
      </c>
      <c r="AH1644" s="107" t="s">
        <v>432</v>
      </c>
      <c r="AI1644" s="107" t="s">
        <v>432</v>
      </c>
      <c r="AJ1644" s="107" t="s">
        <v>432</v>
      </c>
      <c r="AK1644" s="137" t="s">
        <v>432</v>
      </c>
      <c r="AL1644" s="601" t="s">
        <v>432</v>
      </c>
      <c r="AM1644" s="137" t="s">
        <v>432</v>
      </c>
      <c r="AN1644" s="137" t="s">
        <v>432</v>
      </c>
      <c r="AO1644" s="137" t="s">
        <v>432</v>
      </c>
      <c r="AP1644" s="137" t="s">
        <v>432</v>
      </c>
      <c r="AQ1644" s="137" t="s">
        <v>432</v>
      </c>
      <c r="AR1644" s="137" t="s">
        <v>432</v>
      </c>
      <c r="AS1644" s="137" t="s">
        <v>432</v>
      </c>
      <c r="AT1644" s="137" t="s">
        <v>432</v>
      </c>
      <c r="AU1644" s="137" t="s">
        <v>432</v>
      </c>
      <c r="AV1644" s="137" t="s">
        <v>432</v>
      </c>
      <c r="AW1644" s="137" t="s">
        <v>432</v>
      </c>
      <c r="AX1644" s="137" t="s">
        <v>432</v>
      </c>
      <c r="AY1644" s="137" t="s">
        <v>432</v>
      </c>
      <c r="AZ1644" s="137" t="s">
        <v>432</v>
      </c>
      <c r="BA1644" s="137" t="s">
        <v>432</v>
      </c>
      <c r="BB1644" s="239" t="str">
        <f>B1644&amp;C1644</f>
        <v>geralx</v>
      </c>
      <c r="BC1644" s="239" t="str">
        <f>B1644&amp;C1644&amp;H1644</f>
        <v>geralxsigla/verbete</v>
      </c>
      <c r="BD1644" s="239" t="str">
        <f>B1644&amp;H1644</f>
        <v>geralsigla/verbete</v>
      </c>
    </row>
    <row r="1645" spans="1:56" s="1" customFormat="1" ht="99.75" customHeight="1" x14ac:dyDescent="0.25">
      <c r="A1645" s="262" t="str">
        <f>'Q100b-totais'!B13</f>
        <v>1.4</v>
      </c>
      <c r="B1645" s="252" t="str">
        <f>'Q100b-totais'!C13</f>
        <v>Relacionamento com a sociedade organizada</v>
      </c>
      <c r="C1645" s="167" t="s">
        <v>743</v>
      </c>
      <c r="D1645" s="325" t="s">
        <v>3226</v>
      </c>
      <c r="E1645" s="1531" t="s">
        <v>1306</v>
      </c>
      <c r="F1645" s="102" t="s">
        <v>3493</v>
      </c>
      <c r="G1645" s="230" t="s">
        <v>3507</v>
      </c>
      <c r="H1645" s="173" t="s">
        <v>2408</v>
      </c>
      <c r="I1645" s="167" t="s">
        <v>432</v>
      </c>
      <c r="J1645" s="109" t="s">
        <v>432</v>
      </c>
      <c r="K1645" s="109" t="s">
        <v>432</v>
      </c>
      <c r="L1645" s="109" t="s">
        <v>432</v>
      </c>
      <c r="M1645" s="109" t="s">
        <v>432</v>
      </c>
      <c r="N1645" s="109" t="s">
        <v>432</v>
      </c>
      <c r="O1645" s="109" t="s">
        <v>432</v>
      </c>
      <c r="P1645" s="109" t="s">
        <v>432</v>
      </c>
      <c r="Q1645" s="109" t="s">
        <v>432</v>
      </c>
      <c r="R1645" s="109" t="s">
        <v>432</v>
      </c>
      <c r="S1645" s="109" t="s">
        <v>2209</v>
      </c>
      <c r="T1645" s="109" t="s">
        <v>432</v>
      </c>
      <c r="U1645" s="109" t="s">
        <v>432</v>
      </c>
      <c r="V1645" s="109" t="s">
        <v>2209</v>
      </c>
      <c r="W1645" s="109" t="s">
        <v>432</v>
      </c>
      <c r="X1645" s="109" t="s">
        <v>432</v>
      </c>
      <c r="Y1645" s="109" t="s">
        <v>432</v>
      </c>
      <c r="Z1645" s="109" t="s">
        <v>432</v>
      </c>
      <c r="AA1645" s="109" t="s">
        <v>432</v>
      </c>
      <c r="AB1645" s="109" t="s">
        <v>432</v>
      </c>
      <c r="AC1645" s="109" t="s">
        <v>432</v>
      </c>
      <c r="AD1645" s="109" t="s">
        <v>432</v>
      </c>
      <c r="AE1645" s="109" t="s">
        <v>432</v>
      </c>
      <c r="AF1645" s="109" t="s">
        <v>432</v>
      </c>
      <c r="AG1645" s="109" t="s">
        <v>432</v>
      </c>
      <c r="AH1645" s="109" t="s">
        <v>432</v>
      </c>
      <c r="AI1645" s="109" t="s">
        <v>432</v>
      </c>
      <c r="AJ1645" s="109" t="s">
        <v>432</v>
      </c>
      <c r="AK1645" s="109" t="s">
        <v>432</v>
      </c>
      <c r="AL1645" s="601" t="s">
        <v>432</v>
      </c>
      <c r="AM1645" s="137" t="s">
        <v>432</v>
      </c>
      <c r="AN1645" s="137" t="s">
        <v>432</v>
      </c>
      <c r="AO1645" s="137" t="s">
        <v>432</v>
      </c>
      <c r="AP1645" s="137" t="s">
        <v>432</v>
      </c>
      <c r="AQ1645" s="137" t="s">
        <v>432</v>
      </c>
      <c r="AR1645" s="137" t="s">
        <v>432</v>
      </c>
      <c r="AS1645" s="137" t="s">
        <v>432</v>
      </c>
      <c r="AT1645" s="137" t="s">
        <v>432</v>
      </c>
      <c r="AU1645" s="137" t="s">
        <v>432</v>
      </c>
      <c r="AV1645" s="137" t="s">
        <v>432</v>
      </c>
      <c r="AW1645" s="137" t="s">
        <v>432</v>
      </c>
      <c r="AX1645" s="137" t="s">
        <v>432</v>
      </c>
      <c r="AY1645" s="137" t="s">
        <v>432</v>
      </c>
      <c r="AZ1645" s="137" t="s">
        <v>432</v>
      </c>
      <c r="BA1645" s="137" t="s">
        <v>432</v>
      </c>
      <c r="BB1645" s="239" t="str">
        <f t="shared" si="480"/>
        <v>Relacionamento com a sociedade organizadaacessibilidade</v>
      </c>
      <c r="BC1645" s="239" t="str">
        <f t="shared" si="481"/>
        <v>Relacionamento com a sociedade organizadaacessibilidadesigla/verbete</v>
      </c>
      <c r="BD1645" s="239" t="str">
        <f t="shared" si="482"/>
        <v>Relacionamento com a sociedade organizadasigla/verbete</v>
      </c>
    </row>
    <row r="1646" spans="1:56" s="1" customFormat="1" ht="57" customHeight="1" x14ac:dyDescent="0.25">
      <c r="A1646" s="262" t="str">
        <f>'Q100b-totais'!B13</f>
        <v>1.4</v>
      </c>
      <c r="B1646" s="252" t="str">
        <f>'Q100b-totais'!C13</f>
        <v>Relacionamento com a sociedade organizada</v>
      </c>
      <c r="C1646" s="167" t="s">
        <v>743</v>
      </c>
      <c r="D1646" s="325" t="s">
        <v>3226</v>
      </c>
      <c r="E1646" s="1496" t="s">
        <v>3459</v>
      </c>
      <c r="F1646" s="102" t="s">
        <v>3495</v>
      </c>
      <c r="G1646" s="230" t="s">
        <v>3507</v>
      </c>
      <c r="H1646" s="173" t="s">
        <v>2408</v>
      </c>
      <c r="I1646" s="167" t="s">
        <v>432</v>
      </c>
      <c r="J1646" s="109" t="s">
        <v>432</v>
      </c>
      <c r="K1646" s="109" t="s">
        <v>432</v>
      </c>
      <c r="L1646" s="109" t="s">
        <v>432</v>
      </c>
      <c r="M1646" s="109" t="s">
        <v>432</v>
      </c>
      <c r="N1646" s="109" t="s">
        <v>432</v>
      </c>
      <c r="O1646" s="109" t="s">
        <v>432</v>
      </c>
      <c r="P1646" s="109" t="s">
        <v>432</v>
      </c>
      <c r="Q1646" s="109" t="s">
        <v>432</v>
      </c>
      <c r="R1646" s="109" t="s">
        <v>432</v>
      </c>
      <c r="S1646" s="109" t="s">
        <v>2209</v>
      </c>
      <c r="T1646" s="109" t="s">
        <v>432</v>
      </c>
      <c r="U1646" s="109" t="s">
        <v>432</v>
      </c>
      <c r="V1646" s="109" t="s">
        <v>2209</v>
      </c>
      <c r="W1646" s="109" t="s">
        <v>432</v>
      </c>
      <c r="X1646" s="109" t="s">
        <v>432</v>
      </c>
      <c r="Y1646" s="109" t="s">
        <v>432</v>
      </c>
      <c r="Z1646" s="109" t="s">
        <v>432</v>
      </c>
      <c r="AA1646" s="109" t="s">
        <v>432</v>
      </c>
      <c r="AB1646" s="109" t="s">
        <v>432</v>
      </c>
      <c r="AC1646" s="109" t="s">
        <v>432</v>
      </c>
      <c r="AD1646" s="109" t="s">
        <v>432</v>
      </c>
      <c r="AE1646" s="109" t="s">
        <v>432</v>
      </c>
      <c r="AF1646" s="109" t="s">
        <v>432</v>
      </c>
      <c r="AG1646" s="109" t="s">
        <v>432</v>
      </c>
      <c r="AH1646" s="109" t="s">
        <v>432</v>
      </c>
      <c r="AI1646" s="109" t="s">
        <v>432</v>
      </c>
      <c r="AJ1646" s="109" t="s">
        <v>432</v>
      </c>
      <c r="AK1646" s="109" t="s">
        <v>432</v>
      </c>
      <c r="AL1646" s="601" t="s">
        <v>432</v>
      </c>
      <c r="AM1646" s="137" t="s">
        <v>432</v>
      </c>
      <c r="AN1646" s="137" t="s">
        <v>432</v>
      </c>
      <c r="AO1646" s="137" t="s">
        <v>432</v>
      </c>
      <c r="AP1646" s="137" t="s">
        <v>432</v>
      </c>
      <c r="AQ1646" s="137" t="s">
        <v>432</v>
      </c>
      <c r="AR1646" s="137" t="s">
        <v>432</v>
      </c>
      <c r="AS1646" s="137" t="s">
        <v>432</v>
      </c>
      <c r="AT1646" s="137" t="s">
        <v>432</v>
      </c>
      <c r="AU1646" s="137" t="s">
        <v>432</v>
      </c>
      <c r="AV1646" s="137" t="s">
        <v>432</v>
      </c>
      <c r="AW1646" s="137" t="s">
        <v>432</v>
      </c>
      <c r="AX1646" s="137" t="s">
        <v>432</v>
      </c>
      <c r="AY1646" s="137" t="s">
        <v>432</v>
      </c>
      <c r="AZ1646" s="137" t="s">
        <v>432</v>
      </c>
      <c r="BA1646" s="137" t="s">
        <v>432</v>
      </c>
      <c r="BB1646" s="239" t="str">
        <f t="shared" si="480"/>
        <v>Relacionamento com a sociedade organizadaacessibilidade</v>
      </c>
      <c r="BC1646" s="239" t="str">
        <f t="shared" si="481"/>
        <v>Relacionamento com a sociedade organizadaacessibilidadesigla/verbete</v>
      </c>
      <c r="BD1646" s="239" t="str">
        <f t="shared" si="482"/>
        <v>Relacionamento com a sociedade organizadasigla/verbete</v>
      </c>
    </row>
    <row r="1647" spans="1:56" s="1" customFormat="1" ht="25.5" customHeight="1" x14ac:dyDescent="0.25">
      <c r="A1647" s="262" t="s">
        <v>432</v>
      </c>
      <c r="B1647" s="252" t="s">
        <v>742</v>
      </c>
      <c r="C1647" s="167" t="s">
        <v>432</v>
      </c>
      <c r="D1647" s="948" t="s">
        <v>694</v>
      </c>
      <c r="E1647" s="1496" t="s">
        <v>432</v>
      </c>
      <c r="F1647" s="11" t="s">
        <v>4551</v>
      </c>
      <c r="G1647" s="167" t="s">
        <v>3879</v>
      </c>
      <c r="H1647" s="167" t="s">
        <v>432</v>
      </c>
      <c r="I1647" s="167" t="s">
        <v>432</v>
      </c>
      <c r="J1647" s="107" t="s">
        <v>432</v>
      </c>
      <c r="K1647" s="107" t="s">
        <v>432</v>
      </c>
      <c r="L1647" s="154" t="s">
        <v>432</v>
      </c>
      <c r="M1647" s="154" t="s">
        <v>432</v>
      </c>
      <c r="N1647" s="154" t="s">
        <v>432</v>
      </c>
      <c r="O1647" s="154" t="s">
        <v>432</v>
      </c>
      <c r="P1647" s="154" t="s">
        <v>432</v>
      </c>
      <c r="Q1647" s="154" t="s">
        <v>432</v>
      </c>
      <c r="R1647" s="154" t="s">
        <v>432</v>
      </c>
      <c r="S1647" s="109" t="s">
        <v>2209</v>
      </c>
      <c r="T1647" s="107" t="s">
        <v>432</v>
      </c>
      <c r="U1647" s="107" t="s">
        <v>432</v>
      </c>
      <c r="V1647" s="109" t="s">
        <v>2209</v>
      </c>
      <c r="W1647" s="180" t="s">
        <v>432</v>
      </c>
      <c r="X1647" s="180" t="s">
        <v>432</v>
      </c>
      <c r="Y1647" s="180" t="s">
        <v>432</v>
      </c>
      <c r="Z1647" s="180" t="s">
        <v>432</v>
      </c>
      <c r="AA1647" s="180" t="s">
        <v>432</v>
      </c>
      <c r="AB1647" s="180" t="s">
        <v>432</v>
      </c>
      <c r="AC1647" s="180" t="s">
        <v>432</v>
      </c>
      <c r="AD1647" s="180" t="s">
        <v>432</v>
      </c>
      <c r="AE1647" s="180" t="s">
        <v>432</v>
      </c>
      <c r="AF1647" s="180" t="s">
        <v>432</v>
      </c>
      <c r="AG1647" s="180" t="s">
        <v>432</v>
      </c>
      <c r="AH1647" s="180" t="s">
        <v>432</v>
      </c>
      <c r="AI1647" s="180" t="s">
        <v>432</v>
      </c>
      <c r="AJ1647" s="180" t="s">
        <v>432</v>
      </c>
      <c r="AK1647" s="137" t="s">
        <v>432</v>
      </c>
      <c r="AL1647" s="601" t="s">
        <v>432</v>
      </c>
      <c r="AM1647" s="137" t="s">
        <v>432</v>
      </c>
      <c r="AN1647" s="137" t="s">
        <v>432</v>
      </c>
      <c r="AO1647" s="137" t="s">
        <v>432</v>
      </c>
      <c r="AP1647" s="137" t="s">
        <v>432</v>
      </c>
      <c r="AQ1647" s="137" t="s">
        <v>432</v>
      </c>
      <c r="AR1647" s="137" t="s">
        <v>432</v>
      </c>
      <c r="AS1647" s="137" t="s">
        <v>432</v>
      </c>
      <c r="AT1647" s="137" t="s">
        <v>432</v>
      </c>
      <c r="AU1647" s="137" t="s">
        <v>432</v>
      </c>
      <c r="AV1647" s="137" t="s">
        <v>432</v>
      </c>
      <c r="AW1647" s="137" t="s">
        <v>432</v>
      </c>
      <c r="AX1647" s="137" t="s">
        <v>432</v>
      </c>
      <c r="AY1647" s="137" t="s">
        <v>432</v>
      </c>
      <c r="AZ1647" s="137" t="s">
        <v>432</v>
      </c>
      <c r="BA1647" s="137" t="s">
        <v>432</v>
      </c>
      <c r="BB1647" s="239" t="str">
        <f t="shared" si="480"/>
        <v>geralx</v>
      </c>
      <c r="BC1647" s="239" t="str">
        <f t="shared" si="481"/>
        <v>geralxx</v>
      </c>
      <c r="BD1647" s="239" t="str">
        <f t="shared" si="482"/>
        <v>geralx</v>
      </c>
    </row>
    <row r="1648" spans="1:56" s="1" customFormat="1" x14ac:dyDescent="0.25">
      <c r="A1648" s="402"/>
      <c r="B1648" s="399"/>
      <c r="C1648" s="399"/>
      <c r="D1648" s="1431"/>
      <c r="E1648" s="1493"/>
      <c r="F1648" s="221"/>
      <c r="G1648" s="221"/>
      <c r="H1648" s="399"/>
      <c r="I1648" s="399"/>
      <c r="J1648" s="221"/>
      <c r="K1648" s="221"/>
      <c r="L1648" s="221"/>
      <c r="M1648" s="221"/>
      <c r="N1648" s="221"/>
      <c r="O1648" s="221"/>
      <c r="P1648" s="221"/>
      <c r="Q1648" s="221"/>
      <c r="R1648" s="221"/>
      <c r="S1648" s="221"/>
      <c r="T1648" s="221"/>
      <c r="U1648" s="221"/>
      <c r="V1648" s="221"/>
      <c r="W1648" s="221"/>
      <c r="X1648" s="221"/>
      <c r="Y1648" s="221"/>
      <c r="Z1648" s="221"/>
      <c r="AA1648" s="221"/>
      <c r="AB1648" s="221"/>
      <c r="AC1648" s="221"/>
      <c r="AD1648" s="221"/>
      <c r="AE1648" s="221"/>
      <c r="AF1648" s="221"/>
      <c r="AG1648" s="221"/>
      <c r="AH1648" s="221"/>
      <c r="AI1648" s="221"/>
      <c r="AJ1648" s="221"/>
      <c r="AK1648" s="223"/>
      <c r="AL1648" s="601" t="s">
        <v>432</v>
      </c>
      <c r="AM1648" s="223"/>
      <c r="AN1648" s="223"/>
      <c r="AO1648" s="223"/>
      <c r="AP1648" s="223"/>
      <c r="AQ1648" s="223"/>
      <c r="AR1648" s="223"/>
      <c r="AS1648" s="223"/>
      <c r="AT1648" s="223"/>
      <c r="AU1648" s="223"/>
      <c r="AV1648" s="223"/>
      <c r="AW1648" s="223"/>
      <c r="AX1648" s="223"/>
      <c r="AY1648" s="223"/>
      <c r="AZ1648" s="223"/>
      <c r="BA1648" s="223"/>
      <c r="BB1648" s="400"/>
      <c r="BC1648" s="400"/>
      <c r="BD1648" s="400"/>
    </row>
    <row r="1649" spans="1:56" s="1" customFormat="1" ht="25.5" customHeight="1" x14ac:dyDescent="0.25">
      <c r="A1649" s="262" t="s">
        <v>432</v>
      </c>
      <c r="B1649" s="252" t="s">
        <v>742</v>
      </c>
      <c r="C1649" s="167" t="s">
        <v>743</v>
      </c>
      <c r="D1649" s="325" t="s">
        <v>2627</v>
      </c>
      <c r="E1649" s="1445" t="s">
        <v>432</v>
      </c>
      <c r="F1649" s="252" t="s">
        <v>2629</v>
      </c>
      <c r="G1649" s="167" t="s">
        <v>3879</v>
      </c>
      <c r="H1649" s="167" t="s">
        <v>432</v>
      </c>
      <c r="I1649" s="167" t="s">
        <v>432</v>
      </c>
      <c r="J1649" s="109" t="s">
        <v>432</v>
      </c>
      <c r="K1649" s="109" t="s">
        <v>432</v>
      </c>
      <c r="L1649" s="109" t="s">
        <v>432</v>
      </c>
      <c r="M1649" s="109" t="s">
        <v>432</v>
      </c>
      <c r="N1649" s="109" t="s">
        <v>432</v>
      </c>
      <c r="O1649" s="109" t="s">
        <v>432</v>
      </c>
      <c r="P1649" s="109" t="s">
        <v>432</v>
      </c>
      <c r="Q1649" s="109" t="s">
        <v>432</v>
      </c>
      <c r="R1649" s="109" t="s">
        <v>432</v>
      </c>
      <c r="S1649" s="109" t="s">
        <v>2209</v>
      </c>
      <c r="T1649" s="109" t="s">
        <v>432</v>
      </c>
      <c r="U1649" s="109" t="s">
        <v>432</v>
      </c>
      <c r="V1649" s="109" t="s">
        <v>2209</v>
      </c>
      <c r="W1649" s="109" t="s">
        <v>432</v>
      </c>
      <c r="X1649" s="109" t="s">
        <v>432</v>
      </c>
      <c r="Y1649" s="109" t="s">
        <v>432</v>
      </c>
      <c r="Z1649" s="109" t="s">
        <v>432</v>
      </c>
      <c r="AA1649" s="109" t="s">
        <v>432</v>
      </c>
      <c r="AB1649" s="109" t="s">
        <v>432</v>
      </c>
      <c r="AC1649" s="109" t="s">
        <v>432</v>
      </c>
      <c r="AD1649" s="109" t="s">
        <v>432</v>
      </c>
      <c r="AE1649" s="109" t="s">
        <v>432</v>
      </c>
      <c r="AF1649" s="109" t="s">
        <v>432</v>
      </c>
      <c r="AG1649" s="109" t="s">
        <v>432</v>
      </c>
      <c r="AH1649" s="109" t="s">
        <v>432</v>
      </c>
      <c r="AI1649" s="109" t="s">
        <v>432</v>
      </c>
      <c r="AJ1649" s="109" t="s">
        <v>432</v>
      </c>
      <c r="AK1649" s="877" t="s">
        <v>432</v>
      </c>
      <c r="AL1649" s="884" t="s">
        <v>432</v>
      </c>
      <c r="AM1649" s="877" t="s">
        <v>432</v>
      </c>
      <c r="AN1649" s="877" t="s">
        <v>432</v>
      </c>
      <c r="AO1649" s="877" t="s">
        <v>432</v>
      </c>
      <c r="AP1649" s="877" t="s">
        <v>432</v>
      </c>
      <c r="AQ1649" s="877" t="s">
        <v>432</v>
      </c>
      <c r="AR1649" s="877" t="s">
        <v>432</v>
      </c>
      <c r="AS1649" s="877" t="s">
        <v>432</v>
      </c>
      <c r="AT1649" s="877" t="s">
        <v>432</v>
      </c>
      <c r="AU1649" s="877" t="s">
        <v>432</v>
      </c>
      <c r="AV1649" s="877" t="s">
        <v>432</v>
      </c>
      <c r="AW1649" s="877" t="s">
        <v>432</v>
      </c>
      <c r="AX1649" s="877" t="s">
        <v>432</v>
      </c>
      <c r="AY1649" s="877" t="s">
        <v>432</v>
      </c>
      <c r="AZ1649" s="877" t="s">
        <v>432</v>
      </c>
      <c r="BA1649" s="877" t="s">
        <v>432</v>
      </c>
      <c r="BB1649" s="879" t="str">
        <f t="shared" si="480"/>
        <v>geralacessibilidade</v>
      </c>
      <c r="BC1649" s="879" t="str">
        <f t="shared" si="481"/>
        <v>geralacessibilidadex</v>
      </c>
      <c r="BD1649" s="879" t="str">
        <f t="shared" si="482"/>
        <v>geralx</v>
      </c>
    </row>
    <row r="1650" spans="1:56" s="1" customFormat="1" ht="25.5" x14ac:dyDescent="0.25">
      <c r="A1650" s="262" t="s">
        <v>432</v>
      </c>
      <c r="B1650" s="252" t="s">
        <v>742</v>
      </c>
      <c r="C1650" s="167" t="s">
        <v>743</v>
      </c>
      <c r="D1650" s="325" t="s">
        <v>5506</v>
      </c>
      <c r="E1650" s="1445" t="s">
        <v>432</v>
      </c>
      <c r="F1650" s="252" t="s">
        <v>5509</v>
      </c>
      <c r="G1650" s="167" t="s">
        <v>3879</v>
      </c>
      <c r="H1650" s="167" t="s">
        <v>432</v>
      </c>
      <c r="I1650" s="167" t="s">
        <v>432</v>
      </c>
      <c r="J1650" s="107" t="s">
        <v>432</v>
      </c>
      <c r="K1650" s="107" t="s">
        <v>432</v>
      </c>
      <c r="L1650" s="107" t="s">
        <v>432</v>
      </c>
      <c r="M1650" s="107" t="s">
        <v>432</v>
      </c>
      <c r="N1650" s="107" t="s">
        <v>432</v>
      </c>
      <c r="O1650" s="107" t="s">
        <v>432</v>
      </c>
      <c r="P1650" s="107" t="s">
        <v>432</v>
      </c>
      <c r="Q1650" s="107" t="s">
        <v>432</v>
      </c>
      <c r="R1650" s="107" t="s">
        <v>432</v>
      </c>
      <c r="S1650" s="109" t="s">
        <v>2209</v>
      </c>
      <c r="T1650" s="107" t="s">
        <v>432</v>
      </c>
      <c r="U1650" s="107" t="s">
        <v>432</v>
      </c>
      <c r="V1650" s="109" t="s">
        <v>2209</v>
      </c>
      <c r="W1650" s="107" t="s">
        <v>432</v>
      </c>
      <c r="X1650" s="107" t="s">
        <v>432</v>
      </c>
      <c r="Y1650" s="107" t="s">
        <v>432</v>
      </c>
      <c r="Z1650" s="107" t="s">
        <v>432</v>
      </c>
      <c r="AA1650" s="107" t="s">
        <v>432</v>
      </c>
      <c r="AB1650" s="107" t="s">
        <v>432</v>
      </c>
      <c r="AC1650" s="107" t="s">
        <v>432</v>
      </c>
      <c r="AD1650" s="107" t="s">
        <v>432</v>
      </c>
      <c r="AE1650" s="107" t="s">
        <v>432</v>
      </c>
      <c r="AF1650" s="107" t="s">
        <v>432</v>
      </c>
      <c r="AG1650" s="107" t="s">
        <v>432</v>
      </c>
      <c r="AH1650" s="107" t="s">
        <v>432</v>
      </c>
      <c r="AI1650" s="107" t="s">
        <v>432</v>
      </c>
      <c r="AJ1650" s="107" t="s">
        <v>432</v>
      </c>
      <c r="AK1650" s="137" t="s">
        <v>432</v>
      </c>
      <c r="AL1650" s="601" t="s">
        <v>432</v>
      </c>
      <c r="AM1650" s="137" t="s">
        <v>432</v>
      </c>
      <c r="AN1650" s="137" t="s">
        <v>432</v>
      </c>
      <c r="AO1650" s="137" t="s">
        <v>432</v>
      </c>
      <c r="AP1650" s="137" t="s">
        <v>432</v>
      </c>
      <c r="AQ1650" s="137" t="s">
        <v>432</v>
      </c>
      <c r="AR1650" s="137" t="s">
        <v>432</v>
      </c>
      <c r="AS1650" s="137" t="s">
        <v>432</v>
      </c>
      <c r="AT1650" s="137" t="s">
        <v>432</v>
      </c>
      <c r="AU1650" s="137" t="s">
        <v>432</v>
      </c>
      <c r="AV1650" s="137" t="s">
        <v>432</v>
      </c>
      <c r="AW1650" s="137" t="s">
        <v>432</v>
      </c>
      <c r="AX1650" s="137" t="s">
        <v>432</v>
      </c>
      <c r="AY1650" s="137" t="s">
        <v>432</v>
      </c>
      <c r="AZ1650" s="137" t="s">
        <v>432</v>
      </c>
      <c r="BA1650" s="137" t="s">
        <v>432</v>
      </c>
      <c r="BB1650" s="239" t="str">
        <f>B1650&amp;C1650</f>
        <v>geralacessibilidade</v>
      </c>
      <c r="BC1650" s="239" t="str">
        <f>B1650&amp;C1650&amp;H1650</f>
        <v>geralacessibilidadex</v>
      </c>
      <c r="BD1650" s="239" t="str">
        <f>B1650&amp;H1650</f>
        <v>geralx</v>
      </c>
    </row>
    <row r="1651" spans="1:56" s="1" customFormat="1" ht="63.75" x14ac:dyDescent="0.25">
      <c r="A1651" s="262" t="s">
        <v>432</v>
      </c>
      <c r="B1651" s="252" t="s">
        <v>742</v>
      </c>
      <c r="C1651" s="167" t="s">
        <v>743</v>
      </c>
      <c r="D1651" s="325" t="s">
        <v>2710</v>
      </c>
      <c r="E1651" s="1445" t="s">
        <v>432</v>
      </c>
      <c r="F1651" s="252" t="s">
        <v>2709</v>
      </c>
      <c r="G1651" s="230" t="s">
        <v>3507</v>
      </c>
      <c r="H1651" s="167" t="s">
        <v>2408</v>
      </c>
      <c r="I1651" s="167" t="s">
        <v>432</v>
      </c>
      <c r="J1651" s="109" t="s">
        <v>432</v>
      </c>
      <c r="K1651" s="109" t="s">
        <v>432</v>
      </c>
      <c r="L1651" s="109" t="s">
        <v>432</v>
      </c>
      <c r="M1651" s="109" t="s">
        <v>432</v>
      </c>
      <c r="N1651" s="109" t="s">
        <v>432</v>
      </c>
      <c r="O1651" s="109" t="s">
        <v>432</v>
      </c>
      <c r="P1651" s="109" t="s">
        <v>432</v>
      </c>
      <c r="Q1651" s="109" t="s">
        <v>432</v>
      </c>
      <c r="R1651" s="109" t="s">
        <v>432</v>
      </c>
      <c r="S1651" s="109" t="s">
        <v>2209</v>
      </c>
      <c r="T1651" s="109" t="s">
        <v>432</v>
      </c>
      <c r="U1651" s="109" t="s">
        <v>432</v>
      </c>
      <c r="V1651" s="109" t="s">
        <v>2209</v>
      </c>
      <c r="W1651" s="109" t="s">
        <v>432</v>
      </c>
      <c r="X1651" s="109" t="s">
        <v>432</v>
      </c>
      <c r="Y1651" s="109" t="s">
        <v>432</v>
      </c>
      <c r="Z1651" s="109" t="s">
        <v>432</v>
      </c>
      <c r="AA1651" s="109" t="s">
        <v>432</v>
      </c>
      <c r="AB1651" s="109" t="s">
        <v>432</v>
      </c>
      <c r="AC1651" s="109" t="s">
        <v>432</v>
      </c>
      <c r="AD1651" s="109" t="s">
        <v>432</v>
      </c>
      <c r="AE1651" s="109" t="s">
        <v>432</v>
      </c>
      <c r="AF1651" s="109" t="s">
        <v>432</v>
      </c>
      <c r="AG1651" s="109" t="s">
        <v>432</v>
      </c>
      <c r="AH1651" s="109" t="s">
        <v>432</v>
      </c>
      <c r="AI1651" s="109" t="s">
        <v>432</v>
      </c>
      <c r="AJ1651" s="109" t="s">
        <v>432</v>
      </c>
      <c r="AK1651" s="877" t="s">
        <v>432</v>
      </c>
      <c r="AL1651" s="884" t="s">
        <v>432</v>
      </c>
      <c r="AM1651" s="877" t="s">
        <v>432</v>
      </c>
      <c r="AN1651" s="877" t="s">
        <v>432</v>
      </c>
      <c r="AO1651" s="877" t="s">
        <v>432</v>
      </c>
      <c r="AP1651" s="877" t="s">
        <v>432</v>
      </c>
      <c r="AQ1651" s="877" t="s">
        <v>432</v>
      </c>
      <c r="AR1651" s="877" t="s">
        <v>432</v>
      </c>
      <c r="AS1651" s="877" t="s">
        <v>432</v>
      </c>
      <c r="AT1651" s="877" t="s">
        <v>432</v>
      </c>
      <c r="AU1651" s="877" t="s">
        <v>432</v>
      </c>
      <c r="AV1651" s="877" t="s">
        <v>432</v>
      </c>
      <c r="AW1651" s="877" t="s">
        <v>432</v>
      </c>
      <c r="AX1651" s="877" t="s">
        <v>432</v>
      </c>
      <c r="AY1651" s="877" t="s">
        <v>432</v>
      </c>
      <c r="AZ1651" s="877" t="s">
        <v>432</v>
      </c>
      <c r="BA1651" s="877" t="s">
        <v>432</v>
      </c>
      <c r="BB1651" s="879" t="str">
        <f t="shared" si="480"/>
        <v>geralacessibilidade</v>
      </c>
      <c r="BC1651" s="879" t="str">
        <f t="shared" si="481"/>
        <v>geralacessibilidadesigla/verbete</v>
      </c>
      <c r="BD1651" s="879" t="str">
        <f t="shared" si="482"/>
        <v>geralsigla/verbete</v>
      </c>
    </row>
    <row r="1652" spans="1:56" s="1" customFormat="1" ht="25.5" x14ac:dyDescent="0.25">
      <c r="A1652" s="262" t="s">
        <v>432</v>
      </c>
      <c r="B1652" s="252" t="s">
        <v>742</v>
      </c>
      <c r="C1652" s="167" t="s">
        <v>743</v>
      </c>
      <c r="D1652" s="325" t="s">
        <v>5507</v>
      </c>
      <c r="E1652" s="1445" t="s">
        <v>432</v>
      </c>
      <c r="F1652" s="252" t="s">
        <v>5508</v>
      </c>
      <c r="G1652" s="167" t="s">
        <v>3879</v>
      </c>
      <c r="H1652" s="167" t="s">
        <v>432</v>
      </c>
      <c r="I1652" s="167" t="s">
        <v>432</v>
      </c>
      <c r="J1652" s="107" t="s">
        <v>432</v>
      </c>
      <c r="K1652" s="107" t="s">
        <v>432</v>
      </c>
      <c r="L1652" s="107" t="s">
        <v>432</v>
      </c>
      <c r="M1652" s="107" t="s">
        <v>432</v>
      </c>
      <c r="N1652" s="107" t="s">
        <v>432</v>
      </c>
      <c r="O1652" s="107" t="s">
        <v>432</v>
      </c>
      <c r="P1652" s="107" t="s">
        <v>432</v>
      </c>
      <c r="Q1652" s="107" t="s">
        <v>432</v>
      </c>
      <c r="R1652" s="107" t="s">
        <v>432</v>
      </c>
      <c r="S1652" s="109" t="s">
        <v>2209</v>
      </c>
      <c r="T1652" s="107" t="s">
        <v>432</v>
      </c>
      <c r="U1652" s="107" t="s">
        <v>432</v>
      </c>
      <c r="V1652" s="109" t="s">
        <v>2209</v>
      </c>
      <c r="W1652" s="107" t="s">
        <v>432</v>
      </c>
      <c r="X1652" s="107" t="s">
        <v>432</v>
      </c>
      <c r="Y1652" s="107" t="s">
        <v>432</v>
      </c>
      <c r="Z1652" s="107" t="s">
        <v>432</v>
      </c>
      <c r="AA1652" s="107" t="s">
        <v>432</v>
      </c>
      <c r="AB1652" s="107" t="s">
        <v>432</v>
      </c>
      <c r="AC1652" s="107" t="s">
        <v>432</v>
      </c>
      <c r="AD1652" s="107" t="s">
        <v>432</v>
      </c>
      <c r="AE1652" s="107" t="s">
        <v>432</v>
      </c>
      <c r="AF1652" s="107" t="s">
        <v>432</v>
      </c>
      <c r="AG1652" s="107" t="s">
        <v>432</v>
      </c>
      <c r="AH1652" s="107" t="s">
        <v>432</v>
      </c>
      <c r="AI1652" s="107" t="s">
        <v>432</v>
      </c>
      <c r="AJ1652" s="107" t="s">
        <v>432</v>
      </c>
      <c r="AK1652" s="137" t="s">
        <v>432</v>
      </c>
      <c r="AL1652" s="601" t="s">
        <v>432</v>
      </c>
      <c r="AM1652" s="137" t="s">
        <v>432</v>
      </c>
      <c r="AN1652" s="137" t="s">
        <v>432</v>
      </c>
      <c r="AO1652" s="137" t="s">
        <v>432</v>
      </c>
      <c r="AP1652" s="137" t="s">
        <v>432</v>
      </c>
      <c r="AQ1652" s="137" t="s">
        <v>432</v>
      </c>
      <c r="AR1652" s="137" t="s">
        <v>432</v>
      </c>
      <c r="AS1652" s="137" t="s">
        <v>432</v>
      </c>
      <c r="AT1652" s="137" t="s">
        <v>432</v>
      </c>
      <c r="AU1652" s="137" t="s">
        <v>432</v>
      </c>
      <c r="AV1652" s="137" t="s">
        <v>432</v>
      </c>
      <c r="AW1652" s="137" t="s">
        <v>432</v>
      </c>
      <c r="AX1652" s="137" t="s">
        <v>432</v>
      </c>
      <c r="AY1652" s="137" t="s">
        <v>432</v>
      </c>
      <c r="AZ1652" s="137" t="s">
        <v>432</v>
      </c>
      <c r="BA1652" s="137" t="s">
        <v>432</v>
      </c>
      <c r="BB1652" s="239" t="str">
        <f t="shared" si="480"/>
        <v>geralacessibilidade</v>
      </c>
      <c r="BC1652" s="239" t="str">
        <f t="shared" si="481"/>
        <v>geralacessibilidadex</v>
      </c>
      <c r="BD1652" s="239" t="str">
        <f t="shared" si="482"/>
        <v>geralx</v>
      </c>
    </row>
    <row r="1653" spans="1:56" s="1" customFormat="1" ht="25.5" x14ac:dyDescent="0.25">
      <c r="A1653" s="262" t="s">
        <v>432</v>
      </c>
      <c r="B1653" s="252" t="s">
        <v>742</v>
      </c>
      <c r="C1653" s="167" t="s">
        <v>743</v>
      </c>
      <c r="D1653" s="325" t="s">
        <v>5498</v>
      </c>
      <c r="E1653" s="1445" t="s">
        <v>432</v>
      </c>
      <c r="F1653" s="252" t="s">
        <v>5505</v>
      </c>
      <c r="G1653" s="167" t="s">
        <v>3879</v>
      </c>
      <c r="H1653" s="167" t="s">
        <v>432</v>
      </c>
      <c r="I1653" s="167" t="s">
        <v>432</v>
      </c>
      <c r="J1653" s="107" t="s">
        <v>432</v>
      </c>
      <c r="K1653" s="107" t="s">
        <v>432</v>
      </c>
      <c r="L1653" s="107" t="s">
        <v>432</v>
      </c>
      <c r="M1653" s="107" t="s">
        <v>432</v>
      </c>
      <c r="N1653" s="107" t="s">
        <v>432</v>
      </c>
      <c r="O1653" s="107" t="s">
        <v>432</v>
      </c>
      <c r="P1653" s="107" t="s">
        <v>432</v>
      </c>
      <c r="Q1653" s="107" t="s">
        <v>432</v>
      </c>
      <c r="R1653" s="107" t="s">
        <v>432</v>
      </c>
      <c r="S1653" s="109" t="s">
        <v>2209</v>
      </c>
      <c r="T1653" s="107" t="s">
        <v>432</v>
      </c>
      <c r="U1653" s="107" t="s">
        <v>432</v>
      </c>
      <c r="V1653" s="109" t="s">
        <v>2209</v>
      </c>
      <c r="W1653" s="107" t="s">
        <v>432</v>
      </c>
      <c r="X1653" s="107" t="s">
        <v>432</v>
      </c>
      <c r="Y1653" s="107" t="s">
        <v>432</v>
      </c>
      <c r="Z1653" s="107" t="s">
        <v>432</v>
      </c>
      <c r="AA1653" s="107" t="s">
        <v>432</v>
      </c>
      <c r="AB1653" s="107" t="s">
        <v>432</v>
      </c>
      <c r="AC1653" s="107" t="s">
        <v>432</v>
      </c>
      <c r="AD1653" s="107" t="s">
        <v>432</v>
      </c>
      <c r="AE1653" s="107" t="s">
        <v>432</v>
      </c>
      <c r="AF1653" s="107" t="s">
        <v>432</v>
      </c>
      <c r="AG1653" s="107" t="s">
        <v>432</v>
      </c>
      <c r="AH1653" s="107" t="s">
        <v>432</v>
      </c>
      <c r="AI1653" s="107" t="s">
        <v>432</v>
      </c>
      <c r="AJ1653" s="107" t="s">
        <v>432</v>
      </c>
      <c r="AK1653" s="137" t="s">
        <v>432</v>
      </c>
      <c r="AL1653" s="601" t="s">
        <v>432</v>
      </c>
      <c r="AM1653" s="137" t="s">
        <v>432</v>
      </c>
      <c r="AN1653" s="137" t="s">
        <v>432</v>
      </c>
      <c r="AO1653" s="137" t="s">
        <v>432</v>
      </c>
      <c r="AP1653" s="137" t="s">
        <v>432</v>
      </c>
      <c r="AQ1653" s="137" t="s">
        <v>432</v>
      </c>
      <c r="AR1653" s="137" t="s">
        <v>432</v>
      </c>
      <c r="AS1653" s="137" t="s">
        <v>432</v>
      </c>
      <c r="AT1653" s="137" t="s">
        <v>432</v>
      </c>
      <c r="AU1653" s="137" t="s">
        <v>432</v>
      </c>
      <c r="AV1653" s="137" t="s">
        <v>432</v>
      </c>
      <c r="AW1653" s="137" t="s">
        <v>432</v>
      </c>
      <c r="AX1653" s="137" t="s">
        <v>432</v>
      </c>
      <c r="AY1653" s="137" t="s">
        <v>432</v>
      </c>
      <c r="AZ1653" s="137" t="s">
        <v>432</v>
      </c>
      <c r="BA1653" s="137" t="s">
        <v>432</v>
      </c>
      <c r="BB1653" s="239" t="str">
        <f>B1653&amp;C1653</f>
        <v>geralacessibilidade</v>
      </c>
      <c r="BC1653" s="239" t="str">
        <f>B1653&amp;C1653&amp;H1653</f>
        <v>geralacessibilidadex</v>
      </c>
      <c r="BD1653" s="239" t="str">
        <f>B1653&amp;H1653</f>
        <v>geralx</v>
      </c>
    </row>
    <row r="1654" spans="1:56" s="3" customFormat="1" ht="38.25" x14ac:dyDescent="0.25">
      <c r="A1654" s="262" t="str">
        <f>'Q100b-totais'!B22</f>
        <v>2.7</v>
      </c>
      <c r="B1654" s="252" t="str">
        <f>'Q100b-totais'!C22</f>
        <v>Outras cidades/regiões</v>
      </c>
      <c r="C1654" s="167" t="s">
        <v>743</v>
      </c>
      <c r="D1654" s="716" t="s">
        <v>3024</v>
      </c>
      <c r="E1654" s="1499" t="s">
        <v>3024</v>
      </c>
      <c r="F1654" s="252" t="s">
        <v>4251</v>
      </c>
      <c r="G1654" s="230" t="s">
        <v>3507</v>
      </c>
      <c r="H1654" s="167" t="s">
        <v>2408</v>
      </c>
      <c r="I1654" s="167" t="s">
        <v>432</v>
      </c>
      <c r="J1654" s="107" t="s">
        <v>432</v>
      </c>
      <c r="K1654" s="107" t="s">
        <v>432</v>
      </c>
      <c r="L1654" s="107" t="s">
        <v>432</v>
      </c>
      <c r="M1654" s="107" t="s">
        <v>432</v>
      </c>
      <c r="N1654" s="107" t="s">
        <v>432</v>
      </c>
      <c r="O1654" s="107" t="s">
        <v>432</v>
      </c>
      <c r="P1654" s="107" t="s">
        <v>432</v>
      </c>
      <c r="Q1654" s="107" t="s">
        <v>432</v>
      </c>
      <c r="R1654" s="107" t="s">
        <v>432</v>
      </c>
      <c r="S1654" s="109" t="s">
        <v>2209</v>
      </c>
      <c r="T1654" s="107" t="s">
        <v>432</v>
      </c>
      <c r="U1654" s="107" t="s">
        <v>432</v>
      </c>
      <c r="V1654" s="109" t="s">
        <v>2209</v>
      </c>
      <c r="W1654" s="107" t="s">
        <v>432</v>
      </c>
      <c r="X1654" s="107" t="s">
        <v>432</v>
      </c>
      <c r="Y1654" s="107" t="s">
        <v>432</v>
      </c>
      <c r="Z1654" s="107" t="s">
        <v>432</v>
      </c>
      <c r="AA1654" s="107" t="s">
        <v>432</v>
      </c>
      <c r="AB1654" s="107" t="s">
        <v>432</v>
      </c>
      <c r="AC1654" s="107" t="s">
        <v>432</v>
      </c>
      <c r="AD1654" s="107" t="s">
        <v>432</v>
      </c>
      <c r="AE1654" s="107" t="s">
        <v>432</v>
      </c>
      <c r="AF1654" s="107" t="s">
        <v>432</v>
      </c>
      <c r="AG1654" s="107" t="s">
        <v>432</v>
      </c>
      <c r="AH1654" s="107" t="s">
        <v>432</v>
      </c>
      <c r="AI1654" s="107" t="s">
        <v>432</v>
      </c>
      <c r="AJ1654" s="107" t="s">
        <v>432</v>
      </c>
      <c r="AK1654" s="107" t="s">
        <v>432</v>
      </c>
      <c r="AL1654" s="601" t="s">
        <v>432</v>
      </c>
      <c r="AM1654" s="137" t="s">
        <v>432</v>
      </c>
      <c r="AN1654" s="137" t="s">
        <v>432</v>
      </c>
      <c r="AO1654" s="137" t="s">
        <v>432</v>
      </c>
      <c r="AP1654" s="137" t="s">
        <v>432</v>
      </c>
      <c r="AQ1654" s="137" t="s">
        <v>432</v>
      </c>
      <c r="AR1654" s="137" t="s">
        <v>432</v>
      </c>
      <c r="AS1654" s="137" t="s">
        <v>432</v>
      </c>
      <c r="AT1654" s="137" t="s">
        <v>432</v>
      </c>
      <c r="AU1654" s="137" t="s">
        <v>432</v>
      </c>
      <c r="AV1654" s="137" t="s">
        <v>432</v>
      </c>
      <c r="AW1654" s="137" t="s">
        <v>432</v>
      </c>
      <c r="AX1654" s="137" t="s">
        <v>432</v>
      </c>
      <c r="AY1654" s="137" t="s">
        <v>432</v>
      </c>
      <c r="AZ1654" s="137" t="s">
        <v>432</v>
      </c>
      <c r="BA1654" s="137" t="s">
        <v>432</v>
      </c>
      <c r="BB1654" s="239" t="str">
        <f t="shared" si="480"/>
        <v>Outras cidades/regiõesacessibilidade</v>
      </c>
      <c r="BC1654" s="239" t="str">
        <f t="shared" si="481"/>
        <v>Outras cidades/regiõesacessibilidadesigla/verbete</v>
      </c>
      <c r="BD1654" s="239" t="str">
        <f t="shared" si="482"/>
        <v>Outras cidades/regiõessigla/verbete</v>
      </c>
    </row>
    <row r="1655" spans="1:56" s="1" customFormat="1" ht="121.5" customHeight="1" x14ac:dyDescent="0.25">
      <c r="A1655" s="262" t="s">
        <v>432</v>
      </c>
      <c r="B1655" s="252" t="s">
        <v>742</v>
      </c>
      <c r="C1655" s="167" t="s">
        <v>743</v>
      </c>
      <c r="D1655" s="714" t="s">
        <v>2628</v>
      </c>
      <c r="E1655" s="1445" t="s">
        <v>432</v>
      </c>
      <c r="F1655" s="252" t="s">
        <v>2630</v>
      </c>
      <c r="G1655" s="230" t="s">
        <v>3507</v>
      </c>
      <c r="H1655" s="167" t="s">
        <v>2408</v>
      </c>
      <c r="I1655" s="167" t="s">
        <v>432</v>
      </c>
      <c r="J1655" s="109" t="s">
        <v>432</v>
      </c>
      <c r="K1655" s="109" t="s">
        <v>432</v>
      </c>
      <c r="L1655" s="109" t="s">
        <v>432</v>
      </c>
      <c r="M1655" s="109" t="s">
        <v>432</v>
      </c>
      <c r="N1655" s="109" t="s">
        <v>432</v>
      </c>
      <c r="O1655" s="109" t="s">
        <v>432</v>
      </c>
      <c r="P1655" s="109" t="s">
        <v>432</v>
      </c>
      <c r="Q1655" s="109" t="s">
        <v>432</v>
      </c>
      <c r="R1655" s="109" t="s">
        <v>432</v>
      </c>
      <c r="S1655" s="109" t="s">
        <v>2209</v>
      </c>
      <c r="T1655" s="109" t="s">
        <v>432</v>
      </c>
      <c r="U1655" s="109" t="s">
        <v>432</v>
      </c>
      <c r="V1655" s="109" t="s">
        <v>2209</v>
      </c>
      <c r="W1655" s="109" t="s">
        <v>432</v>
      </c>
      <c r="X1655" s="109" t="s">
        <v>432</v>
      </c>
      <c r="Y1655" s="109" t="s">
        <v>432</v>
      </c>
      <c r="Z1655" s="109" t="s">
        <v>432</v>
      </c>
      <c r="AA1655" s="109" t="s">
        <v>432</v>
      </c>
      <c r="AB1655" s="109" t="s">
        <v>432</v>
      </c>
      <c r="AC1655" s="109" t="s">
        <v>432</v>
      </c>
      <c r="AD1655" s="109" t="s">
        <v>432</v>
      </c>
      <c r="AE1655" s="109" t="s">
        <v>432</v>
      </c>
      <c r="AF1655" s="109" t="s">
        <v>432</v>
      </c>
      <c r="AG1655" s="109" t="s">
        <v>432</v>
      </c>
      <c r="AH1655" s="109" t="s">
        <v>432</v>
      </c>
      <c r="AI1655" s="109" t="s">
        <v>432</v>
      </c>
      <c r="AJ1655" s="109" t="s">
        <v>432</v>
      </c>
      <c r="AK1655" s="877" t="s">
        <v>432</v>
      </c>
      <c r="AL1655" s="884" t="s">
        <v>432</v>
      </c>
      <c r="AM1655" s="877" t="s">
        <v>432</v>
      </c>
      <c r="AN1655" s="877" t="s">
        <v>432</v>
      </c>
      <c r="AO1655" s="877" t="s">
        <v>432</v>
      </c>
      <c r="AP1655" s="877" t="s">
        <v>432</v>
      </c>
      <c r="AQ1655" s="877" t="s">
        <v>432</v>
      </c>
      <c r="AR1655" s="877" t="s">
        <v>432</v>
      </c>
      <c r="AS1655" s="877" t="s">
        <v>432</v>
      </c>
      <c r="AT1655" s="877" t="s">
        <v>432</v>
      </c>
      <c r="AU1655" s="877" t="s">
        <v>432</v>
      </c>
      <c r="AV1655" s="877" t="s">
        <v>432</v>
      </c>
      <c r="AW1655" s="877" t="s">
        <v>432</v>
      </c>
      <c r="AX1655" s="877" t="s">
        <v>432</v>
      </c>
      <c r="AY1655" s="877" t="s">
        <v>432</v>
      </c>
      <c r="AZ1655" s="877" t="s">
        <v>432</v>
      </c>
      <c r="BA1655" s="877" t="s">
        <v>432</v>
      </c>
      <c r="BB1655" s="879" t="str">
        <f t="shared" si="480"/>
        <v>geralacessibilidade</v>
      </c>
      <c r="BC1655" s="879" t="str">
        <f t="shared" si="481"/>
        <v>geralacessibilidadesigla/verbete</v>
      </c>
      <c r="BD1655" s="879" t="str">
        <f t="shared" si="482"/>
        <v>geralsigla/verbete</v>
      </c>
    </row>
    <row r="1656" spans="1:56" s="1" customFormat="1" ht="51" customHeight="1" x14ac:dyDescent="0.25">
      <c r="A1656" s="262" t="s">
        <v>432</v>
      </c>
      <c r="B1656" s="252" t="s">
        <v>742</v>
      </c>
      <c r="C1656" s="167" t="s">
        <v>432</v>
      </c>
      <c r="D1656" s="325" t="s">
        <v>483</v>
      </c>
      <c r="E1656" s="1496" t="s">
        <v>432</v>
      </c>
      <c r="F1656" s="53" t="s">
        <v>482</v>
      </c>
      <c r="G1656" s="167" t="s">
        <v>3879</v>
      </c>
      <c r="H1656" s="167" t="s">
        <v>432</v>
      </c>
      <c r="I1656" s="167" t="s">
        <v>432</v>
      </c>
      <c r="J1656" s="107" t="s">
        <v>432</v>
      </c>
      <c r="K1656" s="107" t="s">
        <v>432</v>
      </c>
      <c r="L1656" s="107" t="s">
        <v>432</v>
      </c>
      <c r="M1656" s="107" t="s">
        <v>432</v>
      </c>
      <c r="N1656" s="107" t="s">
        <v>432</v>
      </c>
      <c r="O1656" s="107" t="s">
        <v>432</v>
      </c>
      <c r="P1656" s="107" t="s">
        <v>432</v>
      </c>
      <c r="Q1656" s="107" t="s">
        <v>432</v>
      </c>
      <c r="R1656" s="107" t="s">
        <v>432</v>
      </c>
      <c r="S1656" s="109" t="s">
        <v>2209</v>
      </c>
      <c r="T1656" s="107" t="s">
        <v>432</v>
      </c>
      <c r="U1656" s="107" t="s">
        <v>432</v>
      </c>
      <c r="V1656" s="109" t="s">
        <v>2209</v>
      </c>
      <c r="W1656" s="107" t="s">
        <v>432</v>
      </c>
      <c r="X1656" s="107" t="s">
        <v>432</v>
      </c>
      <c r="Y1656" s="107" t="s">
        <v>432</v>
      </c>
      <c r="Z1656" s="107" t="s">
        <v>432</v>
      </c>
      <c r="AA1656" s="107" t="s">
        <v>432</v>
      </c>
      <c r="AB1656" s="107" t="s">
        <v>432</v>
      </c>
      <c r="AC1656" s="107" t="s">
        <v>432</v>
      </c>
      <c r="AD1656" s="107" t="s">
        <v>432</v>
      </c>
      <c r="AE1656" s="107" t="s">
        <v>432</v>
      </c>
      <c r="AF1656" s="107" t="s">
        <v>432</v>
      </c>
      <c r="AG1656" s="107" t="s">
        <v>432</v>
      </c>
      <c r="AH1656" s="107" t="s">
        <v>432</v>
      </c>
      <c r="AI1656" s="107" t="s">
        <v>432</v>
      </c>
      <c r="AJ1656" s="107" t="s">
        <v>432</v>
      </c>
      <c r="AK1656" s="137" t="s">
        <v>432</v>
      </c>
      <c r="AL1656" s="601" t="s">
        <v>432</v>
      </c>
      <c r="AM1656" s="137" t="s">
        <v>432</v>
      </c>
      <c r="AN1656" s="137" t="s">
        <v>432</v>
      </c>
      <c r="AO1656" s="137" t="s">
        <v>432</v>
      </c>
      <c r="AP1656" s="137" t="s">
        <v>432</v>
      </c>
      <c r="AQ1656" s="137" t="s">
        <v>432</v>
      </c>
      <c r="AR1656" s="137" t="s">
        <v>432</v>
      </c>
      <c r="AS1656" s="137" t="s">
        <v>432</v>
      </c>
      <c r="AT1656" s="137" t="s">
        <v>432</v>
      </c>
      <c r="AU1656" s="137" t="s">
        <v>432</v>
      </c>
      <c r="AV1656" s="137" t="s">
        <v>432</v>
      </c>
      <c r="AW1656" s="137" t="s">
        <v>432</v>
      </c>
      <c r="AX1656" s="137" t="s">
        <v>432</v>
      </c>
      <c r="AY1656" s="137" t="s">
        <v>432</v>
      </c>
      <c r="AZ1656" s="137" t="s">
        <v>432</v>
      </c>
      <c r="BA1656" s="137" t="s">
        <v>432</v>
      </c>
      <c r="BB1656" s="239" t="str">
        <f t="shared" si="480"/>
        <v>geralx</v>
      </c>
      <c r="BC1656" s="239" t="str">
        <f t="shared" si="481"/>
        <v>geralxx</v>
      </c>
      <c r="BD1656" s="239" t="str">
        <f t="shared" si="482"/>
        <v>geralx</v>
      </c>
    </row>
    <row r="1657" spans="1:56" s="1" customFormat="1" x14ac:dyDescent="0.25">
      <c r="A1657" s="402"/>
      <c r="B1657" s="399"/>
      <c r="C1657" s="399"/>
      <c r="D1657" s="959"/>
      <c r="E1657" s="1493"/>
      <c r="F1657" s="221"/>
      <c r="G1657" s="221"/>
      <c r="H1657" s="399"/>
      <c r="I1657" s="399"/>
      <c r="J1657" s="221"/>
      <c r="K1657" s="221"/>
      <c r="L1657" s="221"/>
      <c r="M1657" s="221"/>
      <c r="N1657" s="221"/>
      <c r="O1657" s="221"/>
      <c r="P1657" s="221"/>
      <c r="Q1657" s="221"/>
      <c r="R1657" s="221"/>
      <c r="S1657" s="221"/>
      <c r="T1657" s="221"/>
      <c r="U1657" s="221"/>
      <c r="V1657" s="221"/>
      <c r="W1657" s="221"/>
      <c r="X1657" s="221"/>
      <c r="Y1657" s="221"/>
      <c r="Z1657" s="221"/>
      <c r="AA1657" s="221"/>
      <c r="AB1657" s="221"/>
      <c r="AC1657" s="221"/>
      <c r="AD1657" s="221"/>
      <c r="AE1657" s="221"/>
      <c r="AF1657" s="221"/>
      <c r="AG1657" s="221"/>
      <c r="AH1657" s="221"/>
      <c r="AI1657" s="221"/>
      <c r="AJ1657" s="221"/>
      <c r="AK1657" s="223"/>
      <c r="AL1657" s="601" t="s">
        <v>432</v>
      </c>
      <c r="AM1657" s="223"/>
      <c r="AN1657" s="223"/>
      <c r="AO1657" s="223"/>
      <c r="AP1657" s="223"/>
      <c r="AQ1657" s="223"/>
      <c r="AR1657" s="223"/>
      <c r="AS1657" s="223"/>
      <c r="AT1657" s="223"/>
      <c r="AU1657" s="223"/>
      <c r="AV1657" s="223"/>
      <c r="AW1657" s="223"/>
      <c r="AX1657" s="223"/>
      <c r="AY1657" s="223"/>
      <c r="AZ1657" s="223"/>
      <c r="BA1657" s="223"/>
      <c r="BB1657" s="400"/>
      <c r="BC1657" s="400"/>
      <c r="BD1657" s="400"/>
    </row>
    <row r="1658" spans="1:56" s="1" customFormat="1" ht="41.25" x14ac:dyDescent="0.25">
      <c r="A1658" s="275" t="str">
        <f>'Q100b-totais'!$B$39</f>
        <v>4.4</v>
      </c>
      <c r="B1658" s="54" t="str">
        <f>'Q100b-totais'!$C$39</f>
        <v>Infrações de trânsito</v>
      </c>
      <c r="C1658" s="230" t="s">
        <v>432</v>
      </c>
      <c r="D1658" s="939" t="s">
        <v>279</v>
      </c>
      <c r="E1658" s="509" t="s">
        <v>1306</v>
      </c>
      <c r="F1658" s="5" t="s">
        <v>1831</v>
      </c>
      <c r="G1658" s="5" t="s">
        <v>1834</v>
      </c>
      <c r="H1658" s="444" t="s">
        <v>678</v>
      </c>
      <c r="I1658" s="57">
        <v>1</v>
      </c>
      <c r="J1658" s="109" t="s">
        <v>432</v>
      </c>
      <c r="K1658" s="111" t="s">
        <v>432</v>
      </c>
      <c r="L1658" s="111" t="s">
        <v>432</v>
      </c>
      <c r="M1658" s="111" t="s">
        <v>432</v>
      </c>
      <c r="N1658" s="111" t="s">
        <v>432</v>
      </c>
      <c r="O1658" s="111" t="s">
        <v>432</v>
      </c>
      <c r="P1658" s="111" t="s">
        <v>432</v>
      </c>
      <c r="Q1658" s="111" t="s">
        <v>432</v>
      </c>
      <c r="R1658" s="111" t="s">
        <v>432</v>
      </c>
      <c r="S1658" s="109" t="s">
        <v>2209</v>
      </c>
      <c r="T1658" s="111" t="s">
        <v>432</v>
      </c>
      <c r="U1658" s="111" t="s">
        <v>432</v>
      </c>
      <c r="V1658" s="109" t="s">
        <v>2209</v>
      </c>
      <c r="W1658" s="111" t="s">
        <v>432</v>
      </c>
      <c r="X1658" s="111" t="s">
        <v>432</v>
      </c>
      <c r="Y1658" s="111" t="s">
        <v>432</v>
      </c>
      <c r="Z1658" s="111" t="s">
        <v>432</v>
      </c>
      <c r="AA1658" s="111" t="s">
        <v>432</v>
      </c>
      <c r="AB1658" s="111" t="s">
        <v>432</v>
      </c>
      <c r="AC1658" s="111" t="s">
        <v>432</v>
      </c>
      <c r="AD1658" s="111" t="s">
        <v>432</v>
      </c>
      <c r="AE1658" s="111" t="s">
        <v>432</v>
      </c>
      <c r="AF1658" s="111" t="s">
        <v>432</v>
      </c>
      <c r="AG1658" s="111" t="s">
        <v>432</v>
      </c>
      <c r="AH1658" s="111" t="s">
        <v>432</v>
      </c>
      <c r="AI1658" s="111" t="s">
        <v>432</v>
      </c>
      <c r="AJ1658" s="111" t="s">
        <v>432</v>
      </c>
      <c r="AK1658" s="137" t="s">
        <v>432</v>
      </c>
      <c r="AL1658" s="601" t="s">
        <v>432</v>
      </c>
      <c r="AM1658" s="137" t="s">
        <v>432</v>
      </c>
      <c r="AN1658" s="137" t="s">
        <v>432</v>
      </c>
      <c r="AO1658" s="137" t="s">
        <v>432</v>
      </c>
      <c r="AP1658" s="137" t="s">
        <v>432</v>
      </c>
      <c r="AQ1658" s="137" t="s">
        <v>432</v>
      </c>
      <c r="AR1658" s="137" t="s">
        <v>432</v>
      </c>
      <c r="AS1658" s="137" t="s">
        <v>432</v>
      </c>
      <c r="AT1658" s="137" t="s">
        <v>432</v>
      </c>
      <c r="AU1658" s="137" t="s">
        <v>432</v>
      </c>
      <c r="AV1658" s="137" t="s">
        <v>432</v>
      </c>
      <c r="AW1658" s="137" t="s">
        <v>432</v>
      </c>
      <c r="AX1658" s="137" t="s">
        <v>432</v>
      </c>
      <c r="AY1658" s="137" t="s">
        <v>432</v>
      </c>
      <c r="AZ1658" s="137" t="s">
        <v>432</v>
      </c>
      <c r="BA1658" s="137" t="s">
        <v>432</v>
      </c>
      <c r="BB1658" s="239" t="str">
        <f t="shared" ref="BB1658:BB1677" si="483">B1658&amp;C1658</f>
        <v>Infrações de trânsitox</v>
      </c>
      <c r="BC1658" s="239" t="str">
        <f t="shared" ref="BC1658:BC1677" si="484">B1658&amp;C1658&amp;H1658</f>
        <v>Infrações de trânsitoxainda não incorporado ao SisMob-BH</v>
      </c>
      <c r="BD1658" s="239" t="str">
        <f t="shared" ref="BD1658:BD1677" si="485">B1658&amp;H1658</f>
        <v>Infrações de trânsitoainda não incorporado ao SisMob-BH</v>
      </c>
    </row>
    <row r="1659" spans="1:56" s="1" customFormat="1" ht="34.5" customHeight="1" x14ac:dyDescent="0.25">
      <c r="A1659" s="275" t="str">
        <f>'Q100b-totais'!$B$39</f>
        <v>4.4</v>
      </c>
      <c r="B1659" s="54" t="str">
        <f>'Q100b-totais'!$C$39</f>
        <v>Infrações de trânsito</v>
      </c>
      <c r="C1659" s="230" t="s">
        <v>432</v>
      </c>
      <c r="D1659" s="939" t="s">
        <v>279</v>
      </c>
      <c r="E1659" s="509" t="s">
        <v>1705</v>
      </c>
      <c r="F1659" s="5" t="s">
        <v>1827</v>
      </c>
      <c r="G1659" s="230" t="s">
        <v>3507</v>
      </c>
      <c r="H1659" s="167" t="s">
        <v>2408</v>
      </c>
      <c r="I1659" s="57" t="s">
        <v>432</v>
      </c>
      <c r="J1659" s="109" t="s">
        <v>432</v>
      </c>
      <c r="K1659" s="109" t="s">
        <v>432</v>
      </c>
      <c r="L1659" s="109" t="s">
        <v>432</v>
      </c>
      <c r="M1659" s="109" t="s">
        <v>432</v>
      </c>
      <c r="N1659" s="109" t="s">
        <v>432</v>
      </c>
      <c r="O1659" s="109" t="s">
        <v>432</v>
      </c>
      <c r="P1659" s="109" t="s">
        <v>432</v>
      </c>
      <c r="Q1659" s="109" t="s">
        <v>432</v>
      </c>
      <c r="R1659" s="109" t="s">
        <v>432</v>
      </c>
      <c r="S1659" s="109" t="s">
        <v>2209</v>
      </c>
      <c r="T1659" s="109" t="s">
        <v>432</v>
      </c>
      <c r="U1659" s="109" t="s">
        <v>432</v>
      </c>
      <c r="V1659" s="109" t="s">
        <v>2209</v>
      </c>
      <c r="W1659" s="109" t="s">
        <v>432</v>
      </c>
      <c r="X1659" s="109" t="s">
        <v>432</v>
      </c>
      <c r="Y1659" s="109" t="s">
        <v>432</v>
      </c>
      <c r="Z1659" s="109" t="s">
        <v>432</v>
      </c>
      <c r="AA1659" s="109" t="s">
        <v>432</v>
      </c>
      <c r="AB1659" s="109" t="s">
        <v>432</v>
      </c>
      <c r="AC1659" s="109" t="s">
        <v>432</v>
      </c>
      <c r="AD1659" s="109" t="s">
        <v>432</v>
      </c>
      <c r="AE1659" s="109" t="s">
        <v>432</v>
      </c>
      <c r="AF1659" s="109" t="s">
        <v>432</v>
      </c>
      <c r="AG1659" s="109" t="s">
        <v>432</v>
      </c>
      <c r="AH1659" s="109" t="s">
        <v>432</v>
      </c>
      <c r="AI1659" s="109" t="s">
        <v>432</v>
      </c>
      <c r="AJ1659" s="109" t="s">
        <v>432</v>
      </c>
      <c r="AK1659" s="137" t="s">
        <v>432</v>
      </c>
      <c r="AL1659" s="601" t="s">
        <v>432</v>
      </c>
      <c r="AM1659" s="137" t="s">
        <v>432</v>
      </c>
      <c r="AN1659" s="137" t="s">
        <v>432</v>
      </c>
      <c r="AO1659" s="137" t="s">
        <v>432</v>
      </c>
      <c r="AP1659" s="137" t="s">
        <v>432</v>
      </c>
      <c r="AQ1659" s="137" t="s">
        <v>432</v>
      </c>
      <c r="AR1659" s="137" t="s">
        <v>432</v>
      </c>
      <c r="AS1659" s="137" t="s">
        <v>432</v>
      </c>
      <c r="AT1659" s="137" t="s">
        <v>432</v>
      </c>
      <c r="AU1659" s="137" t="s">
        <v>432</v>
      </c>
      <c r="AV1659" s="137" t="s">
        <v>432</v>
      </c>
      <c r="AW1659" s="137" t="s">
        <v>432</v>
      </c>
      <c r="AX1659" s="137" t="s">
        <v>432</v>
      </c>
      <c r="AY1659" s="137" t="s">
        <v>432</v>
      </c>
      <c r="AZ1659" s="137" t="s">
        <v>432</v>
      </c>
      <c r="BA1659" s="137" t="s">
        <v>432</v>
      </c>
      <c r="BB1659" s="239" t="str">
        <f t="shared" si="483"/>
        <v>Infrações de trânsitox</v>
      </c>
      <c r="BC1659" s="239" t="str">
        <f t="shared" si="484"/>
        <v>Infrações de trânsitoxsigla/verbete</v>
      </c>
      <c r="BD1659" s="239" t="str">
        <f t="shared" si="485"/>
        <v>Infrações de trânsitosigla/verbete</v>
      </c>
    </row>
    <row r="1660" spans="1:56" s="1" customFormat="1" ht="34.5" customHeight="1" x14ac:dyDescent="0.25">
      <c r="A1660" s="275" t="str">
        <f>'Q100b-totais'!$B$39</f>
        <v>4.4</v>
      </c>
      <c r="B1660" s="54" t="str">
        <f>'Q100b-totais'!$C$39</f>
        <v>Infrações de trânsito</v>
      </c>
      <c r="C1660" s="230" t="s">
        <v>432</v>
      </c>
      <c r="D1660" s="324" t="s">
        <v>1854</v>
      </c>
      <c r="E1660" s="254" t="s">
        <v>1306</v>
      </c>
      <c r="F1660" s="11" t="s">
        <v>1839</v>
      </c>
      <c r="G1660" s="58" t="s">
        <v>1838</v>
      </c>
      <c r="H1660" s="169" t="s">
        <v>432</v>
      </c>
      <c r="I1660" s="57">
        <v>1</v>
      </c>
      <c r="J1660" s="109" t="s">
        <v>432</v>
      </c>
      <c r="K1660" s="109" t="s">
        <v>432</v>
      </c>
      <c r="L1660" s="109" t="s">
        <v>432</v>
      </c>
      <c r="M1660" s="109" t="s">
        <v>432</v>
      </c>
      <c r="N1660" s="109" t="s">
        <v>432</v>
      </c>
      <c r="O1660" s="109" t="s">
        <v>432</v>
      </c>
      <c r="P1660" s="109" t="s">
        <v>432</v>
      </c>
      <c r="Q1660" s="109" t="s">
        <v>432</v>
      </c>
      <c r="R1660" s="109" t="s">
        <v>432</v>
      </c>
      <c r="S1660" s="109" t="s">
        <v>2209</v>
      </c>
      <c r="T1660" s="109" t="s">
        <v>432</v>
      </c>
      <c r="U1660" s="109" t="s">
        <v>432</v>
      </c>
      <c r="V1660" s="109" t="s">
        <v>2209</v>
      </c>
      <c r="W1660" s="507">
        <f>100%-W1661</f>
        <v>0.30000000000000004</v>
      </c>
      <c r="X1660" s="507">
        <f t="shared" ref="X1660:AG1660" si="486">100%-X1661</f>
        <v>0.27</v>
      </c>
      <c r="Y1660" s="507">
        <f t="shared" si="486"/>
        <v>0.33999999999999997</v>
      </c>
      <c r="Z1660" s="507">
        <f t="shared" si="486"/>
        <v>0.37</v>
      </c>
      <c r="AA1660" s="507">
        <f t="shared" si="486"/>
        <v>0.31999999999999995</v>
      </c>
      <c r="AB1660" s="507">
        <f t="shared" si="486"/>
        <v>0.30000000000000004</v>
      </c>
      <c r="AC1660" s="507">
        <f t="shared" si="486"/>
        <v>0.30000000000000004</v>
      </c>
      <c r="AD1660" s="507">
        <f t="shared" si="486"/>
        <v>0.32999999999999996</v>
      </c>
      <c r="AE1660" s="507">
        <f t="shared" si="486"/>
        <v>0.30000000000000004</v>
      </c>
      <c r="AF1660" s="507">
        <f t="shared" si="486"/>
        <v>0.30000000000000004</v>
      </c>
      <c r="AG1660" s="507">
        <f t="shared" si="486"/>
        <v>0.31000000000000005</v>
      </c>
      <c r="AH1660" s="109" t="s">
        <v>432</v>
      </c>
      <c r="AI1660" s="109" t="s">
        <v>432</v>
      </c>
      <c r="AJ1660" s="109" t="s">
        <v>432</v>
      </c>
      <c r="AK1660" s="109" t="s">
        <v>432</v>
      </c>
      <c r="AL1660" s="601" t="s">
        <v>432</v>
      </c>
      <c r="AM1660" s="137" t="s">
        <v>432</v>
      </c>
      <c r="AN1660" s="137" t="s">
        <v>432</v>
      </c>
      <c r="AO1660" s="137" t="s">
        <v>432</v>
      </c>
      <c r="AP1660" s="137" t="s">
        <v>432</v>
      </c>
      <c r="AQ1660" s="137" t="s">
        <v>432</v>
      </c>
      <c r="AR1660" s="137" t="s">
        <v>432</v>
      </c>
      <c r="AS1660" s="137" t="s">
        <v>432</v>
      </c>
      <c r="AT1660" s="137" t="s">
        <v>432</v>
      </c>
      <c r="AU1660" s="137" t="s">
        <v>432</v>
      </c>
      <c r="AV1660" s="137" t="s">
        <v>432</v>
      </c>
      <c r="AW1660" s="137" t="s">
        <v>432</v>
      </c>
      <c r="AX1660" s="137" t="s">
        <v>432</v>
      </c>
      <c r="AY1660" s="137" t="s">
        <v>432</v>
      </c>
      <c r="AZ1660" s="137" t="s">
        <v>432</v>
      </c>
      <c r="BA1660" s="137" t="s">
        <v>432</v>
      </c>
      <c r="BB1660" s="239" t="str">
        <f t="shared" si="483"/>
        <v>Infrações de trânsitox</v>
      </c>
      <c r="BC1660" s="239" t="str">
        <f t="shared" si="484"/>
        <v>Infrações de trânsitoxx</v>
      </c>
      <c r="BD1660" s="239" t="str">
        <f t="shared" si="485"/>
        <v>Infrações de trânsitox</v>
      </c>
    </row>
    <row r="1661" spans="1:56" s="1" customFormat="1" ht="49.5" customHeight="1" x14ac:dyDescent="0.25">
      <c r="A1661" s="275" t="str">
        <f>'Q100b-totais'!$B$39</f>
        <v>4.4</v>
      </c>
      <c r="B1661" s="54" t="str">
        <f>'Q100b-totais'!$C$39</f>
        <v>Infrações de trânsito</v>
      </c>
      <c r="C1661" s="230" t="s">
        <v>432</v>
      </c>
      <c r="D1661" s="362" t="s">
        <v>1849</v>
      </c>
      <c r="E1661" s="1502" t="s">
        <v>1306</v>
      </c>
      <c r="F1661" s="504" t="s">
        <v>1836</v>
      </c>
      <c r="G1661" s="93" t="s">
        <v>77</v>
      </c>
      <c r="H1661" s="169" t="s">
        <v>432</v>
      </c>
      <c r="I1661" s="57">
        <v>1</v>
      </c>
      <c r="J1661" s="109" t="s">
        <v>432</v>
      </c>
      <c r="K1661" s="109" t="s">
        <v>432</v>
      </c>
      <c r="L1661" s="109" t="s">
        <v>432</v>
      </c>
      <c r="M1661" s="109" t="s">
        <v>432</v>
      </c>
      <c r="N1661" s="109" t="s">
        <v>432</v>
      </c>
      <c r="O1661" s="109" t="s">
        <v>432</v>
      </c>
      <c r="P1661" s="109" t="s">
        <v>432</v>
      </c>
      <c r="Q1661" s="109" t="s">
        <v>432</v>
      </c>
      <c r="R1661" s="109" t="s">
        <v>432</v>
      </c>
      <c r="S1661" s="109" t="s">
        <v>2209</v>
      </c>
      <c r="T1661" s="109" t="s">
        <v>432</v>
      </c>
      <c r="U1661" s="109" t="s">
        <v>432</v>
      </c>
      <c r="V1661" s="109" t="s">
        <v>2209</v>
      </c>
      <c r="W1661" s="192">
        <v>0.7</v>
      </c>
      <c r="X1661" s="192">
        <v>0.73</v>
      </c>
      <c r="Y1661" s="192">
        <v>0.66</v>
      </c>
      <c r="Z1661" s="192">
        <v>0.63</v>
      </c>
      <c r="AA1661" s="192">
        <v>0.68</v>
      </c>
      <c r="AB1661" s="192">
        <v>0.7</v>
      </c>
      <c r="AC1661" s="192">
        <v>0.7</v>
      </c>
      <c r="AD1661" s="192">
        <v>0.67</v>
      </c>
      <c r="AE1661" s="192">
        <v>0.7</v>
      </c>
      <c r="AF1661" s="192">
        <v>0.7</v>
      </c>
      <c r="AG1661" s="192">
        <v>0.69</v>
      </c>
      <c r="AH1661" s="109" t="s">
        <v>432</v>
      </c>
      <c r="AI1661" s="109" t="s">
        <v>432</v>
      </c>
      <c r="AJ1661" s="109" t="s">
        <v>432</v>
      </c>
      <c r="AK1661" s="109" t="s">
        <v>432</v>
      </c>
      <c r="AL1661" s="601" t="s">
        <v>432</v>
      </c>
      <c r="AM1661" s="137" t="s">
        <v>432</v>
      </c>
      <c r="AN1661" s="137" t="s">
        <v>432</v>
      </c>
      <c r="AO1661" s="137" t="s">
        <v>432</v>
      </c>
      <c r="AP1661" s="137" t="s">
        <v>432</v>
      </c>
      <c r="AQ1661" s="137" t="s">
        <v>432</v>
      </c>
      <c r="AR1661" s="137" t="s">
        <v>432</v>
      </c>
      <c r="AS1661" s="137" t="s">
        <v>432</v>
      </c>
      <c r="AT1661" s="137" t="s">
        <v>432</v>
      </c>
      <c r="AU1661" s="137" t="s">
        <v>432</v>
      </c>
      <c r="AV1661" s="137" t="s">
        <v>432</v>
      </c>
      <c r="AW1661" s="137" t="s">
        <v>432</v>
      </c>
      <c r="AX1661" s="137" t="s">
        <v>432</v>
      </c>
      <c r="AY1661" s="137" t="s">
        <v>432</v>
      </c>
      <c r="AZ1661" s="137" t="s">
        <v>432</v>
      </c>
      <c r="BA1661" s="137" t="s">
        <v>432</v>
      </c>
      <c r="BB1661" s="239" t="str">
        <f t="shared" si="483"/>
        <v>Infrações de trânsitox</v>
      </c>
      <c r="BC1661" s="239" t="str">
        <f t="shared" si="484"/>
        <v>Infrações de trânsitoxx</v>
      </c>
      <c r="BD1661" s="239" t="str">
        <f t="shared" si="485"/>
        <v>Infrações de trânsitox</v>
      </c>
    </row>
    <row r="1662" spans="1:56" s="1" customFormat="1" ht="57.75" customHeight="1" x14ac:dyDescent="0.25">
      <c r="A1662" s="275" t="str">
        <f>'Q100b-totais'!$B$39</f>
        <v>4.4</v>
      </c>
      <c r="B1662" s="54" t="str">
        <f>'Q100b-totais'!$C$39</f>
        <v>Infrações de trânsito</v>
      </c>
      <c r="C1662" s="230" t="s">
        <v>432</v>
      </c>
      <c r="D1662" s="939" t="s">
        <v>1850</v>
      </c>
      <c r="E1662" s="509" t="s">
        <v>1306</v>
      </c>
      <c r="F1662" s="5" t="s">
        <v>1841</v>
      </c>
      <c r="G1662" s="93" t="s">
        <v>77</v>
      </c>
      <c r="H1662" s="169" t="s">
        <v>432</v>
      </c>
      <c r="I1662" s="57">
        <v>1</v>
      </c>
      <c r="J1662" s="109" t="s">
        <v>432</v>
      </c>
      <c r="K1662" s="109" t="s">
        <v>432</v>
      </c>
      <c r="L1662" s="109" t="s">
        <v>432</v>
      </c>
      <c r="M1662" s="109" t="s">
        <v>432</v>
      </c>
      <c r="N1662" s="109" t="s">
        <v>432</v>
      </c>
      <c r="O1662" s="109" t="s">
        <v>432</v>
      </c>
      <c r="P1662" s="109" t="s">
        <v>432</v>
      </c>
      <c r="Q1662" s="109" t="s">
        <v>432</v>
      </c>
      <c r="R1662" s="109" t="s">
        <v>432</v>
      </c>
      <c r="S1662" s="109" t="s">
        <v>2209</v>
      </c>
      <c r="T1662" s="109" t="s">
        <v>432</v>
      </c>
      <c r="U1662" s="109" t="s">
        <v>432</v>
      </c>
      <c r="V1662" s="109" t="s">
        <v>2209</v>
      </c>
      <c r="W1662" s="192">
        <v>0.2</v>
      </c>
      <c r="X1662" s="192">
        <v>0.19</v>
      </c>
      <c r="Y1662" s="192">
        <v>0.19</v>
      </c>
      <c r="Z1662" s="192">
        <v>0.24</v>
      </c>
      <c r="AA1662" s="192">
        <v>0.22</v>
      </c>
      <c r="AB1662" s="192">
        <v>0.2</v>
      </c>
      <c r="AC1662" s="192">
        <v>0.2</v>
      </c>
      <c r="AD1662" s="192">
        <v>0.21</v>
      </c>
      <c r="AE1662" s="192">
        <v>0.2</v>
      </c>
      <c r="AF1662" s="192">
        <v>0.2</v>
      </c>
      <c r="AG1662" s="192">
        <v>0.21</v>
      </c>
      <c r="AH1662" s="109" t="s">
        <v>432</v>
      </c>
      <c r="AI1662" s="109" t="s">
        <v>432</v>
      </c>
      <c r="AJ1662" s="109" t="s">
        <v>432</v>
      </c>
      <c r="AK1662" s="109" t="s">
        <v>432</v>
      </c>
      <c r="AL1662" s="601" t="s">
        <v>432</v>
      </c>
      <c r="AM1662" s="137" t="s">
        <v>432</v>
      </c>
      <c r="AN1662" s="137" t="s">
        <v>432</v>
      </c>
      <c r="AO1662" s="137" t="s">
        <v>432</v>
      </c>
      <c r="AP1662" s="137" t="s">
        <v>432</v>
      </c>
      <c r="AQ1662" s="137" t="s">
        <v>432</v>
      </c>
      <c r="AR1662" s="137" t="s">
        <v>432</v>
      </c>
      <c r="AS1662" s="137" t="s">
        <v>432</v>
      </c>
      <c r="AT1662" s="137" t="s">
        <v>432</v>
      </c>
      <c r="AU1662" s="137" t="s">
        <v>432</v>
      </c>
      <c r="AV1662" s="137" t="s">
        <v>432</v>
      </c>
      <c r="AW1662" s="137" t="s">
        <v>432</v>
      </c>
      <c r="AX1662" s="137" t="s">
        <v>432</v>
      </c>
      <c r="AY1662" s="137" t="s">
        <v>432</v>
      </c>
      <c r="AZ1662" s="137" t="s">
        <v>432</v>
      </c>
      <c r="BA1662" s="137" t="s">
        <v>432</v>
      </c>
      <c r="BB1662" s="239" t="str">
        <f t="shared" si="483"/>
        <v>Infrações de trânsitox</v>
      </c>
      <c r="BC1662" s="239" t="str">
        <f t="shared" si="484"/>
        <v>Infrações de trânsitoxx</v>
      </c>
      <c r="BD1662" s="239" t="str">
        <f t="shared" si="485"/>
        <v>Infrações de trânsitox</v>
      </c>
    </row>
    <row r="1663" spans="1:56" s="1" customFormat="1" ht="51" x14ac:dyDescent="0.25">
      <c r="A1663" s="275" t="str">
        <f>'Q100b-totais'!$B$39</f>
        <v>4.4</v>
      </c>
      <c r="B1663" s="54" t="str">
        <f>'Q100b-totais'!$C$39</f>
        <v>Infrações de trânsito</v>
      </c>
      <c r="C1663" s="230" t="s">
        <v>432</v>
      </c>
      <c r="D1663" s="939" t="s">
        <v>1851</v>
      </c>
      <c r="E1663" s="509" t="s">
        <v>1306</v>
      </c>
      <c r="F1663" s="5" t="s">
        <v>1842</v>
      </c>
      <c r="G1663" s="93" t="s">
        <v>77</v>
      </c>
      <c r="H1663" s="169" t="s">
        <v>432</v>
      </c>
      <c r="I1663" s="57">
        <v>1</v>
      </c>
      <c r="J1663" s="109" t="s">
        <v>432</v>
      </c>
      <c r="K1663" s="109" t="s">
        <v>432</v>
      </c>
      <c r="L1663" s="109" t="s">
        <v>432</v>
      </c>
      <c r="M1663" s="109" t="s">
        <v>432</v>
      </c>
      <c r="N1663" s="109" t="s">
        <v>432</v>
      </c>
      <c r="O1663" s="109" t="s">
        <v>432</v>
      </c>
      <c r="P1663" s="109" t="s">
        <v>432</v>
      </c>
      <c r="Q1663" s="109" t="s">
        <v>432</v>
      </c>
      <c r="R1663" s="109" t="s">
        <v>432</v>
      </c>
      <c r="S1663" s="109" t="s">
        <v>2209</v>
      </c>
      <c r="T1663" s="109" t="s">
        <v>432</v>
      </c>
      <c r="U1663" s="109" t="s">
        <v>432</v>
      </c>
      <c r="V1663" s="109" t="s">
        <v>2209</v>
      </c>
      <c r="W1663" s="192">
        <v>0.06</v>
      </c>
      <c r="X1663" s="192">
        <v>0.05</v>
      </c>
      <c r="Y1663" s="192">
        <v>0.05</v>
      </c>
      <c r="Z1663" s="192">
        <v>7.0000000000000007E-2</v>
      </c>
      <c r="AA1663" s="192">
        <v>0.06</v>
      </c>
      <c r="AB1663" s="192">
        <v>0.06</v>
      </c>
      <c r="AC1663" s="192">
        <v>0.06</v>
      </c>
      <c r="AD1663" s="192">
        <v>7.0000000000000007E-2</v>
      </c>
      <c r="AE1663" s="192">
        <v>0.06</v>
      </c>
      <c r="AF1663" s="192">
        <v>0.06</v>
      </c>
      <c r="AG1663" s="192">
        <v>0.06</v>
      </c>
      <c r="AH1663" s="109" t="s">
        <v>432</v>
      </c>
      <c r="AI1663" s="109" t="s">
        <v>432</v>
      </c>
      <c r="AJ1663" s="109" t="s">
        <v>432</v>
      </c>
      <c r="AK1663" s="109" t="s">
        <v>432</v>
      </c>
      <c r="AL1663" s="601" t="s">
        <v>432</v>
      </c>
      <c r="AM1663" s="137" t="s">
        <v>432</v>
      </c>
      <c r="AN1663" s="137" t="s">
        <v>432</v>
      </c>
      <c r="AO1663" s="137" t="s">
        <v>432</v>
      </c>
      <c r="AP1663" s="137" t="s">
        <v>432</v>
      </c>
      <c r="AQ1663" s="137" t="s">
        <v>432</v>
      </c>
      <c r="AR1663" s="137" t="s">
        <v>432</v>
      </c>
      <c r="AS1663" s="137" t="s">
        <v>432</v>
      </c>
      <c r="AT1663" s="137" t="s">
        <v>432</v>
      </c>
      <c r="AU1663" s="137" t="s">
        <v>432</v>
      </c>
      <c r="AV1663" s="137" t="s">
        <v>432</v>
      </c>
      <c r="AW1663" s="137" t="s">
        <v>432</v>
      </c>
      <c r="AX1663" s="137" t="s">
        <v>432</v>
      </c>
      <c r="AY1663" s="137" t="s">
        <v>432</v>
      </c>
      <c r="AZ1663" s="137" t="s">
        <v>432</v>
      </c>
      <c r="BA1663" s="137" t="s">
        <v>432</v>
      </c>
      <c r="BB1663" s="239" t="str">
        <f t="shared" si="483"/>
        <v>Infrações de trânsitox</v>
      </c>
      <c r="BC1663" s="239" t="str">
        <f t="shared" si="484"/>
        <v>Infrações de trânsitoxx</v>
      </c>
      <c r="BD1663" s="239" t="str">
        <f t="shared" si="485"/>
        <v>Infrações de trânsitox</v>
      </c>
    </row>
    <row r="1664" spans="1:56" s="1" customFormat="1" ht="51" x14ac:dyDescent="0.25">
      <c r="A1664" s="275" t="str">
        <f>'Q100b-totais'!$B$39</f>
        <v>4.4</v>
      </c>
      <c r="B1664" s="54" t="str">
        <f>'Q100b-totais'!$C$39</f>
        <v>Infrações de trânsito</v>
      </c>
      <c r="C1664" s="230" t="s">
        <v>432</v>
      </c>
      <c r="D1664" s="939" t="s">
        <v>1852</v>
      </c>
      <c r="E1664" s="509" t="s">
        <v>1306</v>
      </c>
      <c r="F1664" s="5" t="s">
        <v>1843</v>
      </c>
      <c r="G1664" s="93" t="s">
        <v>77</v>
      </c>
      <c r="H1664" s="169" t="s">
        <v>432</v>
      </c>
      <c r="I1664" s="57">
        <v>1</v>
      </c>
      <c r="J1664" s="109" t="s">
        <v>432</v>
      </c>
      <c r="K1664" s="109" t="s">
        <v>432</v>
      </c>
      <c r="L1664" s="109" t="s">
        <v>432</v>
      </c>
      <c r="M1664" s="109" t="s">
        <v>432</v>
      </c>
      <c r="N1664" s="109" t="s">
        <v>432</v>
      </c>
      <c r="O1664" s="109" t="s">
        <v>432</v>
      </c>
      <c r="P1664" s="109" t="s">
        <v>432</v>
      </c>
      <c r="Q1664" s="109" t="s">
        <v>432</v>
      </c>
      <c r="R1664" s="109" t="s">
        <v>432</v>
      </c>
      <c r="S1664" s="109" t="s">
        <v>2209</v>
      </c>
      <c r="T1664" s="109" t="s">
        <v>432</v>
      </c>
      <c r="U1664" s="109" t="s">
        <v>432</v>
      </c>
      <c r="V1664" s="109" t="s">
        <v>2209</v>
      </c>
      <c r="W1664" s="192">
        <v>0.02</v>
      </c>
      <c r="X1664" s="192">
        <v>0.03</v>
      </c>
      <c r="Y1664" s="192">
        <v>0.02</v>
      </c>
      <c r="Z1664" s="192">
        <v>0.03</v>
      </c>
      <c r="AA1664" s="192">
        <v>0.02</v>
      </c>
      <c r="AB1664" s="192">
        <v>0.02</v>
      </c>
      <c r="AC1664" s="192">
        <v>0.02</v>
      </c>
      <c r="AD1664" s="192">
        <v>0.02</v>
      </c>
      <c r="AE1664" s="192">
        <v>0.02</v>
      </c>
      <c r="AF1664" s="192">
        <v>0.02</v>
      </c>
      <c r="AG1664" s="192">
        <v>0.02</v>
      </c>
      <c r="AH1664" s="109" t="s">
        <v>432</v>
      </c>
      <c r="AI1664" s="109" t="s">
        <v>432</v>
      </c>
      <c r="AJ1664" s="109" t="s">
        <v>432</v>
      </c>
      <c r="AK1664" s="109" t="s">
        <v>432</v>
      </c>
      <c r="AL1664" s="601" t="s">
        <v>432</v>
      </c>
      <c r="AM1664" s="137" t="s">
        <v>432</v>
      </c>
      <c r="AN1664" s="137" t="s">
        <v>432</v>
      </c>
      <c r="AO1664" s="137" t="s">
        <v>432</v>
      </c>
      <c r="AP1664" s="137" t="s">
        <v>432</v>
      </c>
      <c r="AQ1664" s="137" t="s">
        <v>432</v>
      </c>
      <c r="AR1664" s="137" t="s">
        <v>432</v>
      </c>
      <c r="AS1664" s="137" t="s">
        <v>432</v>
      </c>
      <c r="AT1664" s="137" t="s">
        <v>432</v>
      </c>
      <c r="AU1664" s="137" t="s">
        <v>432</v>
      </c>
      <c r="AV1664" s="137" t="s">
        <v>432</v>
      </c>
      <c r="AW1664" s="137" t="s">
        <v>432</v>
      </c>
      <c r="AX1664" s="137" t="s">
        <v>432</v>
      </c>
      <c r="AY1664" s="137" t="s">
        <v>432</v>
      </c>
      <c r="AZ1664" s="137" t="s">
        <v>432</v>
      </c>
      <c r="BA1664" s="137" t="s">
        <v>432</v>
      </c>
      <c r="BB1664" s="239" t="str">
        <f t="shared" si="483"/>
        <v>Infrações de trânsitox</v>
      </c>
      <c r="BC1664" s="239" t="str">
        <f t="shared" si="484"/>
        <v>Infrações de trânsitoxx</v>
      </c>
      <c r="BD1664" s="239" t="str">
        <f t="shared" si="485"/>
        <v>Infrações de trânsitox</v>
      </c>
    </row>
    <row r="1665" spans="1:67" s="1" customFormat="1" ht="51" x14ac:dyDescent="0.25">
      <c r="A1665" s="275" t="str">
        <f>'Q100b-totais'!$B$39</f>
        <v>4.4</v>
      </c>
      <c r="B1665" s="54" t="str">
        <f>'Q100b-totais'!$C$39</f>
        <v>Infrações de trânsito</v>
      </c>
      <c r="C1665" s="230" t="s">
        <v>432</v>
      </c>
      <c r="D1665" s="939" t="s">
        <v>1853</v>
      </c>
      <c r="E1665" s="509" t="s">
        <v>1306</v>
      </c>
      <c r="F1665" s="5" t="s">
        <v>1844</v>
      </c>
      <c r="G1665" s="93" t="s">
        <v>77</v>
      </c>
      <c r="H1665" s="169" t="s">
        <v>432</v>
      </c>
      <c r="I1665" s="57">
        <v>1</v>
      </c>
      <c r="J1665" s="109" t="s">
        <v>432</v>
      </c>
      <c r="K1665" s="109" t="s">
        <v>432</v>
      </c>
      <c r="L1665" s="109" t="s">
        <v>432</v>
      </c>
      <c r="M1665" s="109" t="s">
        <v>432</v>
      </c>
      <c r="N1665" s="109" t="s">
        <v>432</v>
      </c>
      <c r="O1665" s="109" t="s">
        <v>432</v>
      </c>
      <c r="P1665" s="109" t="s">
        <v>432</v>
      </c>
      <c r="Q1665" s="109" t="s">
        <v>432</v>
      </c>
      <c r="R1665" s="109" t="s">
        <v>432</v>
      </c>
      <c r="S1665" s="109" t="s">
        <v>2209</v>
      </c>
      <c r="T1665" s="109" t="s">
        <v>432</v>
      </c>
      <c r="U1665" s="109" t="s">
        <v>432</v>
      </c>
      <c r="V1665" s="109" t="s">
        <v>2209</v>
      </c>
      <c r="W1665" s="192">
        <v>0.02</v>
      </c>
      <c r="X1665" s="192">
        <v>0.03</v>
      </c>
      <c r="Y1665" s="192">
        <v>0.08</v>
      </c>
      <c r="Z1665" s="192">
        <v>0.03</v>
      </c>
      <c r="AA1665" s="192">
        <v>0.02</v>
      </c>
      <c r="AB1665" s="192">
        <v>0.02</v>
      </c>
      <c r="AC1665" s="192">
        <v>0.02</v>
      </c>
      <c r="AD1665" s="192">
        <v>0.03</v>
      </c>
      <c r="AE1665" s="192">
        <v>0.02</v>
      </c>
      <c r="AF1665" s="192">
        <v>0.02</v>
      </c>
      <c r="AG1665" s="192">
        <v>0.02</v>
      </c>
      <c r="AH1665" s="109" t="s">
        <v>432</v>
      </c>
      <c r="AI1665" s="109" t="s">
        <v>432</v>
      </c>
      <c r="AJ1665" s="109" t="s">
        <v>432</v>
      </c>
      <c r="AK1665" s="109" t="s">
        <v>432</v>
      </c>
      <c r="AL1665" s="601" t="s">
        <v>432</v>
      </c>
      <c r="AM1665" s="137" t="s">
        <v>432</v>
      </c>
      <c r="AN1665" s="137" t="s">
        <v>432</v>
      </c>
      <c r="AO1665" s="137" t="s">
        <v>432</v>
      </c>
      <c r="AP1665" s="137" t="s">
        <v>432</v>
      </c>
      <c r="AQ1665" s="137" t="s">
        <v>432</v>
      </c>
      <c r="AR1665" s="137" t="s">
        <v>432</v>
      </c>
      <c r="AS1665" s="137" t="s">
        <v>432</v>
      </c>
      <c r="AT1665" s="137" t="s">
        <v>432</v>
      </c>
      <c r="AU1665" s="137" t="s">
        <v>432</v>
      </c>
      <c r="AV1665" s="137" t="s">
        <v>432</v>
      </c>
      <c r="AW1665" s="137" t="s">
        <v>432</v>
      </c>
      <c r="AX1665" s="137" t="s">
        <v>432</v>
      </c>
      <c r="AY1665" s="137" t="s">
        <v>432</v>
      </c>
      <c r="AZ1665" s="137" t="s">
        <v>432</v>
      </c>
      <c r="BA1665" s="137" t="s">
        <v>432</v>
      </c>
      <c r="BB1665" s="239" t="str">
        <f t="shared" si="483"/>
        <v>Infrações de trânsitox</v>
      </c>
      <c r="BC1665" s="239" t="str">
        <f t="shared" si="484"/>
        <v>Infrações de trânsitoxx</v>
      </c>
      <c r="BD1665" s="239" t="str">
        <f t="shared" si="485"/>
        <v>Infrações de trânsitox</v>
      </c>
    </row>
    <row r="1666" spans="1:67" s="1" customFormat="1" ht="38.25" x14ac:dyDescent="0.25">
      <c r="A1666" s="275" t="str">
        <f>'Q100b-totais'!$B$39</f>
        <v>4.4</v>
      </c>
      <c r="B1666" s="54" t="str">
        <f>'Q100b-totais'!$C$39</f>
        <v>Infrações de trânsito</v>
      </c>
      <c r="C1666" s="230" t="s">
        <v>432</v>
      </c>
      <c r="D1666" s="324" t="s">
        <v>1854</v>
      </c>
      <c r="E1666" s="254" t="s">
        <v>1705</v>
      </c>
      <c r="F1666" s="11" t="s">
        <v>1840</v>
      </c>
      <c r="G1666" s="58" t="s">
        <v>1838</v>
      </c>
      <c r="H1666" s="169" t="s">
        <v>432</v>
      </c>
      <c r="I1666" s="57">
        <v>1</v>
      </c>
      <c r="J1666" s="109" t="s">
        <v>432</v>
      </c>
      <c r="K1666" s="109" t="s">
        <v>432</v>
      </c>
      <c r="L1666" s="109" t="s">
        <v>432</v>
      </c>
      <c r="M1666" s="109" t="s">
        <v>432</v>
      </c>
      <c r="N1666" s="109" t="s">
        <v>432</v>
      </c>
      <c r="O1666" s="109" t="s">
        <v>432</v>
      </c>
      <c r="P1666" s="109" t="s">
        <v>432</v>
      </c>
      <c r="Q1666" s="109" t="s">
        <v>432</v>
      </c>
      <c r="R1666" s="109" t="s">
        <v>432</v>
      </c>
      <c r="S1666" s="109" t="s">
        <v>2209</v>
      </c>
      <c r="T1666" s="109" t="s">
        <v>432</v>
      </c>
      <c r="U1666" s="109" t="s">
        <v>432</v>
      </c>
      <c r="V1666" s="109" t="s">
        <v>2209</v>
      </c>
      <c r="W1666" s="109" t="s">
        <v>432</v>
      </c>
      <c r="X1666" s="109" t="s">
        <v>432</v>
      </c>
      <c r="Y1666" s="109" t="s">
        <v>432</v>
      </c>
      <c r="Z1666" s="109" t="s">
        <v>432</v>
      </c>
      <c r="AA1666" s="109" t="s">
        <v>432</v>
      </c>
      <c r="AB1666" s="109" t="s">
        <v>432</v>
      </c>
      <c r="AC1666" s="109" t="s">
        <v>432</v>
      </c>
      <c r="AD1666" s="109" t="s">
        <v>432</v>
      </c>
      <c r="AE1666" s="109" t="s">
        <v>432</v>
      </c>
      <c r="AF1666" s="109" t="s">
        <v>432</v>
      </c>
      <c r="AG1666" s="109" t="s">
        <v>432</v>
      </c>
      <c r="AH1666" s="109" t="s">
        <v>432</v>
      </c>
      <c r="AI1666" s="112">
        <f>100%-AI1667</f>
        <v>0.28549999999999998</v>
      </c>
      <c r="AJ1666" s="112">
        <f>100%-AJ1667</f>
        <v>0.28849999999999998</v>
      </c>
      <c r="AK1666" s="109" t="s">
        <v>432</v>
      </c>
      <c r="AL1666" s="601" t="s">
        <v>432</v>
      </c>
      <c r="AM1666" s="137" t="s">
        <v>432</v>
      </c>
      <c r="AN1666" s="137" t="s">
        <v>432</v>
      </c>
      <c r="AO1666" s="137" t="s">
        <v>432</v>
      </c>
      <c r="AP1666" s="137" t="s">
        <v>432</v>
      </c>
      <c r="AQ1666" s="137" t="s">
        <v>432</v>
      </c>
      <c r="AR1666" s="137" t="s">
        <v>432</v>
      </c>
      <c r="AS1666" s="137" t="s">
        <v>432</v>
      </c>
      <c r="AT1666" s="137" t="s">
        <v>432</v>
      </c>
      <c r="AU1666" s="137" t="s">
        <v>432</v>
      </c>
      <c r="AV1666" s="137" t="s">
        <v>432</v>
      </c>
      <c r="AW1666" s="137" t="s">
        <v>432</v>
      </c>
      <c r="AX1666" s="137" t="s">
        <v>432</v>
      </c>
      <c r="AY1666" s="137" t="s">
        <v>432</v>
      </c>
      <c r="AZ1666" s="137" t="s">
        <v>432</v>
      </c>
      <c r="BA1666" s="137" t="s">
        <v>432</v>
      </c>
      <c r="BB1666" s="239" t="str">
        <f t="shared" si="483"/>
        <v>Infrações de trânsitox</v>
      </c>
      <c r="BC1666" s="239" t="str">
        <f t="shared" si="484"/>
        <v>Infrações de trânsitoxx</v>
      </c>
      <c r="BD1666" s="239" t="str">
        <f t="shared" si="485"/>
        <v>Infrações de trânsitox</v>
      </c>
    </row>
    <row r="1667" spans="1:67" s="1" customFormat="1" ht="38.25" x14ac:dyDescent="0.25">
      <c r="A1667" s="275" t="str">
        <f>'Q100b-totais'!$B$39</f>
        <v>4.4</v>
      </c>
      <c r="B1667" s="54" t="str">
        <f>'Q100b-totais'!$C$39</f>
        <v>Infrações de trânsito</v>
      </c>
      <c r="C1667" s="230" t="s">
        <v>432</v>
      </c>
      <c r="D1667" s="362" t="s">
        <v>1849</v>
      </c>
      <c r="E1667" s="1502" t="s">
        <v>1705</v>
      </c>
      <c r="F1667" s="504" t="s">
        <v>1837</v>
      </c>
      <c r="G1667" s="93" t="s">
        <v>77</v>
      </c>
      <c r="H1667" s="169" t="s">
        <v>819</v>
      </c>
      <c r="I1667" s="167" t="s">
        <v>432</v>
      </c>
      <c r="J1667" s="109" t="s">
        <v>432</v>
      </c>
      <c r="K1667" s="109" t="s">
        <v>432</v>
      </c>
      <c r="L1667" s="109" t="s">
        <v>432</v>
      </c>
      <c r="M1667" s="109" t="s">
        <v>432</v>
      </c>
      <c r="N1667" s="109" t="s">
        <v>432</v>
      </c>
      <c r="O1667" s="109" t="s">
        <v>432</v>
      </c>
      <c r="P1667" s="109" t="s">
        <v>432</v>
      </c>
      <c r="Q1667" s="109" t="s">
        <v>432</v>
      </c>
      <c r="R1667" s="109" t="s">
        <v>432</v>
      </c>
      <c r="S1667" s="109" t="s">
        <v>2209</v>
      </c>
      <c r="T1667" s="109" t="s">
        <v>432</v>
      </c>
      <c r="U1667" s="109" t="s">
        <v>432</v>
      </c>
      <c r="V1667" s="109" t="s">
        <v>2209</v>
      </c>
      <c r="W1667" s="109" t="s">
        <v>432</v>
      </c>
      <c r="X1667" s="109" t="s">
        <v>432</v>
      </c>
      <c r="Y1667" s="109" t="s">
        <v>432</v>
      </c>
      <c r="Z1667" s="109" t="s">
        <v>432</v>
      </c>
      <c r="AA1667" s="109" t="s">
        <v>432</v>
      </c>
      <c r="AB1667" s="109" t="s">
        <v>432</v>
      </c>
      <c r="AC1667" s="109" t="s">
        <v>432</v>
      </c>
      <c r="AD1667" s="109" t="s">
        <v>432</v>
      </c>
      <c r="AE1667" s="109" t="s">
        <v>432</v>
      </c>
      <c r="AF1667" s="109" t="s">
        <v>432</v>
      </c>
      <c r="AG1667" s="109" t="s">
        <v>432</v>
      </c>
      <c r="AH1667" s="109" t="s">
        <v>432</v>
      </c>
      <c r="AI1667" s="299">
        <v>0.71450000000000002</v>
      </c>
      <c r="AJ1667" s="299">
        <v>0.71150000000000002</v>
      </c>
      <c r="AK1667" s="109" t="s">
        <v>432</v>
      </c>
      <c r="AL1667" s="601" t="s">
        <v>432</v>
      </c>
      <c r="AM1667" s="137" t="s">
        <v>432</v>
      </c>
      <c r="AN1667" s="137" t="s">
        <v>432</v>
      </c>
      <c r="AO1667" s="137" t="s">
        <v>432</v>
      </c>
      <c r="AP1667" s="137" t="s">
        <v>432</v>
      </c>
      <c r="AQ1667" s="137" t="s">
        <v>432</v>
      </c>
      <c r="AR1667" s="137" t="s">
        <v>432</v>
      </c>
      <c r="AS1667" s="137" t="s">
        <v>432</v>
      </c>
      <c r="AT1667" s="137" t="s">
        <v>432</v>
      </c>
      <c r="AU1667" s="137" t="s">
        <v>432</v>
      </c>
      <c r="AV1667" s="137" t="s">
        <v>432</v>
      </c>
      <c r="AW1667" s="137" t="s">
        <v>432</v>
      </c>
      <c r="AX1667" s="137" t="s">
        <v>432</v>
      </c>
      <c r="AY1667" s="137" t="s">
        <v>432</v>
      </c>
      <c r="AZ1667" s="137" t="s">
        <v>432</v>
      </c>
      <c r="BA1667" s="137" t="s">
        <v>432</v>
      </c>
      <c r="BB1667" s="239" t="str">
        <f t="shared" si="483"/>
        <v>Infrações de trânsitox</v>
      </c>
      <c r="BC1667" s="239" t="str">
        <f t="shared" si="484"/>
        <v>Infrações de trânsitoxbenchmarking</v>
      </c>
      <c r="BD1667" s="239" t="str">
        <f t="shared" si="485"/>
        <v>Infrações de trânsitobenchmarking</v>
      </c>
    </row>
    <row r="1668" spans="1:67" s="1" customFormat="1" ht="51" x14ac:dyDescent="0.25">
      <c r="A1668" s="275" t="str">
        <f>'Q100b-totais'!$B$39</f>
        <v>4.4</v>
      </c>
      <c r="B1668" s="54" t="str">
        <f>'Q100b-totais'!$C$39</f>
        <v>Infrações de trânsito</v>
      </c>
      <c r="C1668" s="230" t="s">
        <v>432</v>
      </c>
      <c r="D1668" s="939" t="s">
        <v>1855</v>
      </c>
      <c r="E1668" s="509" t="s">
        <v>1705</v>
      </c>
      <c r="F1668" s="5" t="s">
        <v>1845</v>
      </c>
      <c r="G1668" s="93" t="s">
        <v>77</v>
      </c>
      <c r="H1668" s="169" t="s">
        <v>819</v>
      </c>
      <c r="I1668" s="167" t="s">
        <v>432</v>
      </c>
      <c r="J1668" s="109" t="s">
        <v>432</v>
      </c>
      <c r="K1668" s="109" t="s">
        <v>432</v>
      </c>
      <c r="L1668" s="109" t="s">
        <v>432</v>
      </c>
      <c r="M1668" s="109" t="s">
        <v>432</v>
      </c>
      <c r="N1668" s="109" t="s">
        <v>432</v>
      </c>
      <c r="O1668" s="109" t="s">
        <v>432</v>
      </c>
      <c r="P1668" s="109" t="s">
        <v>432</v>
      </c>
      <c r="Q1668" s="109" t="s">
        <v>432</v>
      </c>
      <c r="R1668" s="109" t="s">
        <v>432</v>
      </c>
      <c r="S1668" s="109" t="s">
        <v>2209</v>
      </c>
      <c r="T1668" s="109" t="s">
        <v>432</v>
      </c>
      <c r="U1668" s="109" t="s">
        <v>432</v>
      </c>
      <c r="V1668" s="109" t="s">
        <v>2209</v>
      </c>
      <c r="W1668" s="109" t="s">
        <v>432</v>
      </c>
      <c r="X1668" s="109" t="s">
        <v>432</v>
      </c>
      <c r="Y1668" s="109" t="s">
        <v>432</v>
      </c>
      <c r="Z1668" s="109" t="s">
        <v>432</v>
      </c>
      <c r="AA1668" s="109" t="s">
        <v>432</v>
      </c>
      <c r="AB1668" s="109" t="s">
        <v>432</v>
      </c>
      <c r="AC1668" s="109" t="s">
        <v>432</v>
      </c>
      <c r="AD1668" s="109" t="s">
        <v>432</v>
      </c>
      <c r="AE1668" s="109" t="s">
        <v>432</v>
      </c>
      <c r="AF1668" s="109" t="s">
        <v>432</v>
      </c>
      <c r="AG1668" s="109" t="s">
        <v>432</v>
      </c>
      <c r="AH1668" s="109" t="s">
        <v>432</v>
      </c>
      <c r="AI1668" s="299">
        <v>0.4526</v>
      </c>
      <c r="AJ1668" s="299">
        <v>0.437</v>
      </c>
      <c r="AK1668" s="109" t="s">
        <v>432</v>
      </c>
      <c r="AL1668" s="601" t="s">
        <v>432</v>
      </c>
      <c r="AM1668" s="137" t="s">
        <v>432</v>
      </c>
      <c r="AN1668" s="137" t="s">
        <v>432</v>
      </c>
      <c r="AO1668" s="137" t="s">
        <v>432</v>
      </c>
      <c r="AP1668" s="137" t="s">
        <v>432</v>
      </c>
      <c r="AQ1668" s="137" t="s">
        <v>432</v>
      </c>
      <c r="AR1668" s="137" t="s">
        <v>432</v>
      </c>
      <c r="AS1668" s="137" t="s">
        <v>432</v>
      </c>
      <c r="AT1668" s="137" t="s">
        <v>432</v>
      </c>
      <c r="AU1668" s="137" t="s">
        <v>432</v>
      </c>
      <c r="AV1668" s="137" t="s">
        <v>432</v>
      </c>
      <c r="AW1668" s="137" t="s">
        <v>432</v>
      </c>
      <c r="AX1668" s="137" t="s">
        <v>432</v>
      </c>
      <c r="AY1668" s="137" t="s">
        <v>432</v>
      </c>
      <c r="AZ1668" s="137" t="s">
        <v>432</v>
      </c>
      <c r="BA1668" s="137" t="s">
        <v>432</v>
      </c>
      <c r="BB1668" s="239" t="str">
        <f t="shared" si="483"/>
        <v>Infrações de trânsitox</v>
      </c>
      <c r="BC1668" s="239" t="str">
        <f t="shared" si="484"/>
        <v>Infrações de trânsitoxbenchmarking</v>
      </c>
      <c r="BD1668" s="239" t="str">
        <f t="shared" si="485"/>
        <v>Infrações de trânsitobenchmarking</v>
      </c>
    </row>
    <row r="1669" spans="1:67" s="1" customFormat="1" ht="51" x14ac:dyDescent="0.25">
      <c r="A1669" s="275" t="str">
        <f>'Q100b-totais'!$B$39</f>
        <v>4.4</v>
      </c>
      <c r="B1669" s="54" t="str">
        <f>'Q100b-totais'!$C$39</f>
        <v>Infrações de trânsito</v>
      </c>
      <c r="C1669" s="230" t="s">
        <v>432</v>
      </c>
      <c r="D1669" s="939" t="s">
        <v>1856</v>
      </c>
      <c r="E1669" s="509" t="s">
        <v>1705</v>
      </c>
      <c r="F1669" s="5" t="s">
        <v>1846</v>
      </c>
      <c r="G1669" s="93" t="s">
        <v>77</v>
      </c>
      <c r="H1669" s="169" t="s">
        <v>819</v>
      </c>
      <c r="I1669" s="167" t="s">
        <v>432</v>
      </c>
      <c r="J1669" s="109" t="s">
        <v>432</v>
      </c>
      <c r="K1669" s="109" t="s">
        <v>432</v>
      </c>
      <c r="L1669" s="109" t="s">
        <v>432</v>
      </c>
      <c r="M1669" s="109" t="s">
        <v>432</v>
      </c>
      <c r="N1669" s="109" t="s">
        <v>432</v>
      </c>
      <c r="O1669" s="109" t="s">
        <v>432</v>
      </c>
      <c r="P1669" s="109" t="s">
        <v>432</v>
      </c>
      <c r="Q1669" s="109" t="s">
        <v>432</v>
      </c>
      <c r="R1669" s="109" t="s">
        <v>432</v>
      </c>
      <c r="S1669" s="109" t="s">
        <v>2209</v>
      </c>
      <c r="T1669" s="109" t="s">
        <v>432</v>
      </c>
      <c r="U1669" s="109" t="s">
        <v>432</v>
      </c>
      <c r="V1669" s="109" t="s">
        <v>2209</v>
      </c>
      <c r="W1669" s="109" t="s">
        <v>432</v>
      </c>
      <c r="X1669" s="109" t="s">
        <v>432</v>
      </c>
      <c r="Y1669" s="109" t="s">
        <v>432</v>
      </c>
      <c r="Z1669" s="109" t="s">
        <v>432</v>
      </c>
      <c r="AA1669" s="109" t="s">
        <v>432</v>
      </c>
      <c r="AB1669" s="109" t="s">
        <v>432</v>
      </c>
      <c r="AC1669" s="109" t="s">
        <v>432</v>
      </c>
      <c r="AD1669" s="109" t="s">
        <v>432</v>
      </c>
      <c r="AE1669" s="109" t="s">
        <v>432</v>
      </c>
      <c r="AF1669" s="109" t="s">
        <v>432</v>
      </c>
      <c r="AG1669" s="109" t="s">
        <v>432</v>
      </c>
      <c r="AH1669" s="109" t="s">
        <v>432</v>
      </c>
      <c r="AI1669" s="299">
        <v>0.22450000000000001</v>
      </c>
      <c r="AJ1669" s="299">
        <v>0.2233</v>
      </c>
      <c r="AK1669" s="109" t="s">
        <v>432</v>
      </c>
      <c r="AL1669" s="601" t="s">
        <v>432</v>
      </c>
      <c r="AM1669" s="137" t="s">
        <v>432</v>
      </c>
      <c r="AN1669" s="137" t="s">
        <v>432</v>
      </c>
      <c r="AO1669" s="137" t="s">
        <v>432</v>
      </c>
      <c r="AP1669" s="137" t="s">
        <v>432</v>
      </c>
      <c r="AQ1669" s="137" t="s">
        <v>432</v>
      </c>
      <c r="AR1669" s="137" t="s">
        <v>432</v>
      </c>
      <c r="AS1669" s="137" t="s">
        <v>432</v>
      </c>
      <c r="AT1669" s="137" t="s">
        <v>432</v>
      </c>
      <c r="AU1669" s="137" t="s">
        <v>432</v>
      </c>
      <c r="AV1669" s="137" t="s">
        <v>432</v>
      </c>
      <c r="AW1669" s="137" t="s">
        <v>432</v>
      </c>
      <c r="AX1669" s="137" t="s">
        <v>432</v>
      </c>
      <c r="AY1669" s="137" t="s">
        <v>432</v>
      </c>
      <c r="AZ1669" s="137" t="s">
        <v>432</v>
      </c>
      <c r="BA1669" s="137" t="s">
        <v>432</v>
      </c>
      <c r="BB1669" s="239" t="str">
        <f t="shared" si="483"/>
        <v>Infrações de trânsitox</v>
      </c>
      <c r="BC1669" s="239" t="str">
        <f t="shared" si="484"/>
        <v>Infrações de trânsitoxbenchmarking</v>
      </c>
      <c r="BD1669" s="239" t="str">
        <f t="shared" si="485"/>
        <v>Infrações de trânsitobenchmarking</v>
      </c>
    </row>
    <row r="1670" spans="1:67" s="1" customFormat="1" ht="51" x14ac:dyDescent="0.25">
      <c r="A1670" s="275" t="str">
        <f>'Q100b-totais'!$B$39</f>
        <v>4.4</v>
      </c>
      <c r="B1670" s="54" t="str">
        <f>'Q100b-totais'!$C$39</f>
        <v>Infrações de trânsito</v>
      </c>
      <c r="C1670" s="230" t="s">
        <v>432</v>
      </c>
      <c r="D1670" s="939" t="s">
        <v>1857</v>
      </c>
      <c r="E1670" s="509" t="s">
        <v>1705</v>
      </c>
      <c r="F1670" s="5" t="s">
        <v>1847</v>
      </c>
      <c r="G1670" s="93" t="s">
        <v>77</v>
      </c>
      <c r="H1670" s="169" t="s">
        <v>819</v>
      </c>
      <c r="I1670" s="167" t="s">
        <v>432</v>
      </c>
      <c r="J1670" s="109" t="s">
        <v>432</v>
      </c>
      <c r="K1670" s="109" t="s">
        <v>432</v>
      </c>
      <c r="L1670" s="109" t="s">
        <v>432</v>
      </c>
      <c r="M1670" s="109" t="s">
        <v>432</v>
      </c>
      <c r="N1670" s="109" t="s">
        <v>432</v>
      </c>
      <c r="O1670" s="109" t="s">
        <v>432</v>
      </c>
      <c r="P1670" s="109" t="s">
        <v>432</v>
      </c>
      <c r="Q1670" s="109" t="s">
        <v>432</v>
      </c>
      <c r="R1670" s="109" t="s">
        <v>432</v>
      </c>
      <c r="S1670" s="109" t="s">
        <v>2209</v>
      </c>
      <c r="T1670" s="109" t="s">
        <v>432</v>
      </c>
      <c r="U1670" s="109" t="s">
        <v>432</v>
      </c>
      <c r="V1670" s="109" t="s">
        <v>2209</v>
      </c>
      <c r="W1670" s="109" t="s">
        <v>432</v>
      </c>
      <c r="X1670" s="109" t="s">
        <v>432</v>
      </c>
      <c r="Y1670" s="109" t="s">
        <v>432</v>
      </c>
      <c r="Z1670" s="109" t="s">
        <v>432</v>
      </c>
      <c r="AA1670" s="109" t="s">
        <v>432</v>
      </c>
      <c r="AB1670" s="109" t="s">
        <v>432</v>
      </c>
      <c r="AC1670" s="109" t="s">
        <v>432</v>
      </c>
      <c r="AD1670" s="109" t="s">
        <v>432</v>
      </c>
      <c r="AE1670" s="109" t="s">
        <v>432</v>
      </c>
      <c r="AF1670" s="109" t="s">
        <v>432</v>
      </c>
      <c r="AG1670" s="109" t="s">
        <v>432</v>
      </c>
      <c r="AH1670" s="109" t="s">
        <v>432</v>
      </c>
      <c r="AI1670" s="299">
        <v>0.1202</v>
      </c>
      <c r="AJ1670" s="299">
        <v>0.1234</v>
      </c>
      <c r="AK1670" s="109" t="s">
        <v>432</v>
      </c>
      <c r="AL1670" s="601" t="s">
        <v>432</v>
      </c>
      <c r="AM1670" s="137" t="s">
        <v>432</v>
      </c>
      <c r="AN1670" s="137" t="s">
        <v>432</v>
      </c>
      <c r="AO1670" s="137" t="s">
        <v>432</v>
      </c>
      <c r="AP1670" s="137" t="s">
        <v>432</v>
      </c>
      <c r="AQ1670" s="137" t="s">
        <v>432</v>
      </c>
      <c r="AR1670" s="137" t="s">
        <v>432</v>
      </c>
      <c r="AS1670" s="137" t="s">
        <v>432</v>
      </c>
      <c r="AT1670" s="137" t="s">
        <v>432</v>
      </c>
      <c r="AU1670" s="137" t="s">
        <v>432</v>
      </c>
      <c r="AV1670" s="137" t="s">
        <v>432</v>
      </c>
      <c r="AW1670" s="137" t="s">
        <v>432</v>
      </c>
      <c r="AX1670" s="137" t="s">
        <v>432</v>
      </c>
      <c r="AY1670" s="137" t="s">
        <v>432</v>
      </c>
      <c r="AZ1670" s="137" t="s">
        <v>432</v>
      </c>
      <c r="BA1670" s="137" t="s">
        <v>432</v>
      </c>
      <c r="BB1670" s="239" t="str">
        <f t="shared" si="483"/>
        <v>Infrações de trânsitox</v>
      </c>
      <c r="BC1670" s="239" t="str">
        <f t="shared" si="484"/>
        <v>Infrações de trânsitoxbenchmarking</v>
      </c>
      <c r="BD1670" s="239" t="str">
        <f t="shared" si="485"/>
        <v>Infrações de trânsitobenchmarking</v>
      </c>
    </row>
    <row r="1671" spans="1:67" s="1" customFormat="1" ht="51" x14ac:dyDescent="0.25">
      <c r="A1671" s="275" t="str">
        <f>'Q100b-totais'!$B$39</f>
        <v>4.4</v>
      </c>
      <c r="B1671" s="54" t="str">
        <f>'Q100b-totais'!$C$39</f>
        <v>Infrações de trânsito</v>
      </c>
      <c r="C1671" s="230" t="s">
        <v>432</v>
      </c>
      <c r="D1671" s="939" t="s">
        <v>1858</v>
      </c>
      <c r="E1671" s="509" t="s">
        <v>1705</v>
      </c>
      <c r="F1671" s="5" t="s">
        <v>1848</v>
      </c>
      <c r="G1671" s="93" t="s">
        <v>77</v>
      </c>
      <c r="H1671" s="169" t="s">
        <v>819</v>
      </c>
      <c r="I1671" s="167" t="s">
        <v>432</v>
      </c>
      <c r="J1671" s="109" t="s">
        <v>432</v>
      </c>
      <c r="K1671" s="109" t="s">
        <v>432</v>
      </c>
      <c r="L1671" s="109" t="s">
        <v>432</v>
      </c>
      <c r="M1671" s="109" t="s">
        <v>432</v>
      </c>
      <c r="N1671" s="109" t="s">
        <v>432</v>
      </c>
      <c r="O1671" s="109" t="s">
        <v>432</v>
      </c>
      <c r="P1671" s="109" t="s">
        <v>432</v>
      </c>
      <c r="Q1671" s="109" t="s">
        <v>432</v>
      </c>
      <c r="R1671" s="109" t="s">
        <v>432</v>
      </c>
      <c r="S1671" s="109" t="s">
        <v>2209</v>
      </c>
      <c r="T1671" s="109" t="s">
        <v>432</v>
      </c>
      <c r="U1671" s="109" t="s">
        <v>432</v>
      </c>
      <c r="V1671" s="109" t="s">
        <v>2209</v>
      </c>
      <c r="W1671" s="109" t="s">
        <v>432</v>
      </c>
      <c r="X1671" s="109" t="s">
        <v>432</v>
      </c>
      <c r="Y1671" s="109" t="s">
        <v>432</v>
      </c>
      <c r="Z1671" s="109" t="s">
        <v>432</v>
      </c>
      <c r="AA1671" s="109" t="s">
        <v>432</v>
      </c>
      <c r="AB1671" s="109" t="s">
        <v>432</v>
      </c>
      <c r="AC1671" s="109" t="s">
        <v>432</v>
      </c>
      <c r="AD1671" s="109" t="s">
        <v>432</v>
      </c>
      <c r="AE1671" s="109" t="s">
        <v>432</v>
      </c>
      <c r="AF1671" s="109" t="s">
        <v>432</v>
      </c>
      <c r="AG1671" s="109" t="s">
        <v>432</v>
      </c>
      <c r="AH1671" s="109" t="s">
        <v>432</v>
      </c>
      <c r="AI1671" s="299">
        <v>0.2026</v>
      </c>
      <c r="AJ1671" s="299">
        <v>0.21629999999999999</v>
      </c>
      <c r="AK1671" s="109" t="s">
        <v>432</v>
      </c>
      <c r="AL1671" s="601" t="s">
        <v>432</v>
      </c>
      <c r="AM1671" s="137" t="s">
        <v>432</v>
      </c>
      <c r="AN1671" s="137" t="s">
        <v>432</v>
      </c>
      <c r="AO1671" s="137" t="s">
        <v>432</v>
      </c>
      <c r="AP1671" s="137" t="s">
        <v>432</v>
      </c>
      <c r="AQ1671" s="137" t="s">
        <v>432</v>
      </c>
      <c r="AR1671" s="137" t="s">
        <v>432</v>
      </c>
      <c r="AS1671" s="137" t="s">
        <v>432</v>
      </c>
      <c r="AT1671" s="137" t="s">
        <v>432</v>
      </c>
      <c r="AU1671" s="137" t="s">
        <v>432</v>
      </c>
      <c r="AV1671" s="137" t="s">
        <v>432</v>
      </c>
      <c r="AW1671" s="137" t="s">
        <v>432</v>
      </c>
      <c r="AX1671" s="137" t="s">
        <v>432</v>
      </c>
      <c r="AY1671" s="137" t="s">
        <v>432</v>
      </c>
      <c r="AZ1671" s="137" t="s">
        <v>432</v>
      </c>
      <c r="BA1671" s="137" t="s">
        <v>432</v>
      </c>
      <c r="BB1671" s="239" t="str">
        <f t="shared" si="483"/>
        <v>Infrações de trânsitox</v>
      </c>
      <c r="BC1671" s="239" t="str">
        <f t="shared" si="484"/>
        <v>Infrações de trânsitoxbenchmarking</v>
      </c>
      <c r="BD1671" s="239" t="str">
        <f t="shared" si="485"/>
        <v>Infrações de trânsitobenchmarking</v>
      </c>
    </row>
    <row r="1672" spans="1:67" s="1" customFormat="1" ht="51" customHeight="1" x14ac:dyDescent="0.25">
      <c r="A1672" s="275" t="str">
        <f>'Q100b-totais'!$B$39</f>
        <v>4.4</v>
      </c>
      <c r="B1672" s="54" t="str">
        <f>'Q100b-totais'!$C$39</f>
        <v>Infrações de trânsito</v>
      </c>
      <c r="C1672" s="230" t="s">
        <v>432</v>
      </c>
      <c r="D1672" s="939" t="s">
        <v>280</v>
      </c>
      <c r="E1672" s="509" t="s">
        <v>1306</v>
      </c>
      <c r="F1672" s="5" t="s">
        <v>281</v>
      </c>
      <c r="G1672" s="5" t="s">
        <v>1828</v>
      </c>
      <c r="H1672" s="444" t="s">
        <v>678</v>
      </c>
      <c r="I1672" s="57">
        <v>1</v>
      </c>
      <c r="J1672" s="109" t="s">
        <v>432</v>
      </c>
      <c r="K1672" s="111" t="s">
        <v>432</v>
      </c>
      <c r="L1672" s="111" t="s">
        <v>432</v>
      </c>
      <c r="M1672" s="111" t="s">
        <v>432</v>
      </c>
      <c r="N1672" s="111" t="s">
        <v>432</v>
      </c>
      <c r="O1672" s="111" t="s">
        <v>432</v>
      </c>
      <c r="P1672" s="111" t="s">
        <v>432</v>
      </c>
      <c r="Q1672" s="111" t="s">
        <v>432</v>
      </c>
      <c r="R1672" s="111" t="s">
        <v>432</v>
      </c>
      <c r="S1672" s="109" t="s">
        <v>2209</v>
      </c>
      <c r="T1672" s="111" t="s">
        <v>432</v>
      </c>
      <c r="U1672" s="111" t="s">
        <v>432</v>
      </c>
      <c r="V1672" s="109" t="s">
        <v>2209</v>
      </c>
      <c r="W1672" s="111" t="s">
        <v>432</v>
      </c>
      <c r="X1672" s="111" t="s">
        <v>432</v>
      </c>
      <c r="Y1672" s="111" t="s">
        <v>432</v>
      </c>
      <c r="Z1672" s="111" t="s">
        <v>432</v>
      </c>
      <c r="AA1672" s="111" t="s">
        <v>432</v>
      </c>
      <c r="AB1672" s="111" t="s">
        <v>432</v>
      </c>
      <c r="AC1672" s="111" t="s">
        <v>432</v>
      </c>
      <c r="AD1672" s="111" t="s">
        <v>432</v>
      </c>
      <c r="AE1672" s="111" t="s">
        <v>432</v>
      </c>
      <c r="AF1672" s="111" t="s">
        <v>432</v>
      </c>
      <c r="AG1672" s="111" t="s">
        <v>432</v>
      </c>
      <c r="AH1672" s="111" t="s">
        <v>432</v>
      </c>
      <c r="AI1672" s="111" t="s">
        <v>432</v>
      </c>
      <c r="AJ1672" s="111" t="s">
        <v>432</v>
      </c>
      <c r="AK1672" s="137" t="s">
        <v>432</v>
      </c>
      <c r="AL1672" s="601" t="s">
        <v>432</v>
      </c>
      <c r="AM1672" s="137" t="s">
        <v>432</v>
      </c>
      <c r="AN1672" s="137" t="s">
        <v>432</v>
      </c>
      <c r="AO1672" s="137" t="s">
        <v>432</v>
      </c>
      <c r="AP1672" s="137" t="s">
        <v>432</v>
      </c>
      <c r="AQ1672" s="137" t="s">
        <v>432</v>
      </c>
      <c r="AR1672" s="137" t="s">
        <v>432</v>
      </c>
      <c r="AS1672" s="137" t="s">
        <v>432</v>
      </c>
      <c r="AT1672" s="137" t="s">
        <v>432</v>
      </c>
      <c r="AU1672" s="137" t="s">
        <v>432</v>
      </c>
      <c r="AV1672" s="137" t="s">
        <v>432</v>
      </c>
      <c r="AW1672" s="137" t="s">
        <v>432</v>
      </c>
      <c r="AX1672" s="137" t="s">
        <v>432</v>
      </c>
      <c r="AY1672" s="137" t="s">
        <v>432</v>
      </c>
      <c r="AZ1672" s="137" t="s">
        <v>432</v>
      </c>
      <c r="BA1672" s="137" t="s">
        <v>432</v>
      </c>
      <c r="BB1672" s="239" t="str">
        <f t="shared" si="483"/>
        <v>Infrações de trânsitox</v>
      </c>
      <c r="BC1672" s="239" t="str">
        <f t="shared" si="484"/>
        <v>Infrações de trânsitoxainda não incorporado ao SisMob-BH</v>
      </c>
      <c r="BD1672" s="239" t="str">
        <f t="shared" si="485"/>
        <v>Infrações de trânsitoainda não incorporado ao SisMob-BH</v>
      </c>
    </row>
    <row r="1673" spans="1:67" s="1" customFormat="1" ht="41.25" x14ac:dyDescent="0.25">
      <c r="A1673" s="275" t="str">
        <f>'Q100b-totais'!$B$39</f>
        <v>4.4</v>
      </c>
      <c r="B1673" s="54" t="str">
        <f>'Q100b-totais'!$C$39</f>
        <v>Infrações de trânsito</v>
      </c>
      <c r="C1673" s="230" t="s">
        <v>432</v>
      </c>
      <c r="D1673" s="939" t="s">
        <v>282</v>
      </c>
      <c r="E1673" s="509" t="s">
        <v>1306</v>
      </c>
      <c r="F1673" s="5" t="s">
        <v>283</v>
      </c>
      <c r="G1673" s="5" t="s">
        <v>284</v>
      </c>
      <c r="H1673" s="444" t="s">
        <v>678</v>
      </c>
      <c r="I1673" s="57">
        <v>1</v>
      </c>
      <c r="J1673" s="109" t="s">
        <v>432</v>
      </c>
      <c r="K1673" s="111" t="s">
        <v>432</v>
      </c>
      <c r="L1673" s="111" t="s">
        <v>432</v>
      </c>
      <c r="M1673" s="111" t="s">
        <v>432</v>
      </c>
      <c r="N1673" s="111" t="s">
        <v>432</v>
      </c>
      <c r="O1673" s="111" t="s">
        <v>432</v>
      </c>
      <c r="P1673" s="111" t="s">
        <v>432</v>
      </c>
      <c r="Q1673" s="111" t="s">
        <v>432</v>
      </c>
      <c r="R1673" s="111" t="s">
        <v>432</v>
      </c>
      <c r="S1673" s="109" t="s">
        <v>2209</v>
      </c>
      <c r="T1673" s="111" t="s">
        <v>432</v>
      </c>
      <c r="U1673" s="111" t="s">
        <v>432</v>
      </c>
      <c r="V1673" s="109" t="s">
        <v>2209</v>
      </c>
      <c r="W1673" s="111" t="s">
        <v>432</v>
      </c>
      <c r="X1673" s="111" t="s">
        <v>432</v>
      </c>
      <c r="Y1673" s="111" t="s">
        <v>432</v>
      </c>
      <c r="Z1673" s="111" t="s">
        <v>432</v>
      </c>
      <c r="AA1673" s="111" t="s">
        <v>432</v>
      </c>
      <c r="AB1673" s="111" t="s">
        <v>432</v>
      </c>
      <c r="AC1673" s="111" t="s">
        <v>432</v>
      </c>
      <c r="AD1673" s="111" t="s">
        <v>432</v>
      </c>
      <c r="AE1673" s="111" t="s">
        <v>432</v>
      </c>
      <c r="AF1673" s="111" t="s">
        <v>432</v>
      </c>
      <c r="AG1673" s="111" t="s">
        <v>432</v>
      </c>
      <c r="AH1673" s="111" t="s">
        <v>432</v>
      </c>
      <c r="AI1673" s="111" t="s">
        <v>432</v>
      </c>
      <c r="AJ1673" s="111" t="s">
        <v>432</v>
      </c>
      <c r="AK1673" s="137" t="s">
        <v>432</v>
      </c>
      <c r="AL1673" s="601" t="s">
        <v>432</v>
      </c>
      <c r="AM1673" s="137" t="s">
        <v>432</v>
      </c>
      <c r="AN1673" s="137" t="s">
        <v>432</v>
      </c>
      <c r="AO1673" s="137" t="s">
        <v>432</v>
      </c>
      <c r="AP1673" s="137" t="s">
        <v>432</v>
      </c>
      <c r="AQ1673" s="137" t="s">
        <v>432</v>
      </c>
      <c r="AR1673" s="137" t="s">
        <v>432</v>
      </c>
      <c r="AS1673" s="137" t="s">
        <v>432</v>
      </c>
      <c r="AT1673" s="137" t="s">
        <v>432</v>
      </c>
      <c r="AU1673" s="137" t="s">
        <v>432</v>
      </c>
      <c r="AV1673" s="137" t="s">
        <v>432</v>
      </c>
      <c r="AW1673" s="137" t="s">
        <v>432</v>
      </c>
      <c r="AX1673" s="137" t="s">
        <v>432</v>
      </c>
      <c r="AY1673" s="137" t="s">
        <v>432</v>
      </c>
      <c r="AZ1673" s="137" t="s">
        <v>432</v>
      </c>
      <c r="BA1673" s="137" t="s">
        <v>432</v>
      </c>
      <c r="BB1673" s="239" t="str">
        <f t="shared" si="483"/>
        <v>Infrações de trânsitox</v>
      </c>
      <c r="BC1673" s="239" t="str">
        <f t="shared" si="484"/>
        <v>Infrações de trânsitoxainda não incorporado ao SisMob-BH</v>
      </c>
      <c r="BD1673" s="239" t="str">
        <f t="shared" si="485"/>
        <v>Infrações de trânsitoainda não incorporado ao SisMob-BH</v>
      </c>
    </row>
    <row r="1674" spans="1:67" s="1" customFormat="1" ht="41.25" x14ac:dyDescent="0.25">
      <c r="A1674" s="275" t="str">
        <f>'Q100b-totais'!$B$39</f>
        <v>4.4</v>
      </c>
      <c r="B1674" s="54" t="str">
        <f>'Q100b-totais'!$C$39</f>
        <v>Infrações de trânsito</v>
      </c>
      <c r="C1674" s="229" t="s">
        <v>432</v>
      </c>
      <c r="D1674" s="939" t="s">
        <v>285</v>
      </c>
      <c r="E1674" s="509" t="s">
        <v>1306</v>
      </c>
      <c r="F1674" s="5" t="s">
        <v>286</v>
      </c>
      <c r="G1674" s="241" t="s">
        <v>77</v>
      </c>
      <c r="H1674" s="444" t="s">
        <v>678</v>
      </c>
      <c r="I1674" s="57">
        <v>1</v>
      </c>
      <c r="J1674" s="109" t="s">
        <v>432</v>
      </c>
      <c r="K1674" s="110" t="s">
        <v>432</v>
      </c>
      <c r="L1674" s="110" t="s">
        <v>432</v>
      </c>
      <c r="M1674" s="110" t="s">
        <v>432</v>
      </c>
      <c r="N1674" s="110" t="s">
        <v>432</v>
      </c>
      <c r="O1674" s="110" t="s">
        <v>432</v>
      </c>
      <c r="P1674" s="110" t="s">
        <v>432</v>
      </c>
      <c r="Q1674" s="110" t="s">
        <v>432</v>
      </c>
      <c r="R1674" s="110" t="s">
        <v>432</v>
      </c>
      <c r="S1674" s="109" t="s">
        <v>2209</v>
      </c>
      <c r="T1674" s="110" t="s">
        <v>432</v>
      </c>
      <c r="U1674" s="110" t="s">
        <v>432</v>
      </c>
      <c r="V1674" s="109" t="s">
        <v>2209</v>
      </c>
      <c r="W1674" s="110" t="s">
        <v>432</v>
      </c>
      <c r="X1674" s="110" t="s">
        <v>432</v>
      </c>
      <c r="Y1674" s="110" t="s">
        <v>432</v>
      </c>
      <c r="Z1674" s="110" t="s">
        <v>432</v>
      </c>
      <c r="AA1674" s="110" t="s">
        <v>432</v>
      </c>
      <c r="AB1674" s="110" t="s">
        <v>432</v>
      </c>
      <c r="AC1674" s="110" t="s">
        <v>432</v>
      </c>
      <c r="AD1674" s="110" t="s">
        <v>432</v>
      </c>
      <c r="AE1674" s="110" t="s">
        <v>432</v>
      </c>
      <c r="AF1674" s="110" t="s">
        <v>432</v>
      </c>
      <c r="AG1674" s="110" t="s">
        <v>432</v>
      </c>
      <c r="AH1674" s="110" t="s">
        <v>432</v>
      </c>
      <c r="AI1674" s="110" t="s">
        <v>432</v>
      </c>
      <c r="AJ1674" s="110" t="s">
        <v>432</v>
      </c>
      <c r="AK1674" s="137" t="s">
        <v>432</v>
      </c>
      <c r="AL1674" s="601" t="s">
        <v>432</v>
      </c>
      <c r="AM1674" s="137" t="s">
        <v>432</v>
      </c>
      <c r="AN1674" s="137" t="s">
        <v>432</v>
      </c>
      <c r="AO1674" s="137" t="s">
        <v>432</v>
      </c>
      <c r="AP1674" s="137" t="s">
        <v>432</v>
      </c>
      <c r="AQ1674" s="137" t="s">
        <v>432</v>
      </c>
      <c r="AR1674" s="137" t="s">
        <v>432</v>
      </c>
      <c r="AS1674" s="137" t="s">
        <v>432</v>
      </c>
      <c r="AT1674" s="137" t="s">
        <v>432</v>
      </c>
      <c r="AU1674" s="137" t="s">
        <v>432</v>
      </c>
      <c r="AV1674" s="137" t="s">
        <v>432</v>
      </c>
      <c r="AW1674" s="137" t="s">
        <v>432</v>
      </c>
      <c r="AX1674" s="137" t="s">
        <v>432</v>
      </c>
      <c r="AY1674" s="137" t="s">
        <v>432</v>
      </c>
      <c r="AZ1674" s="137" t="s">
        <v>432</v>
      </c>
      <c r="BA1674" s="137" t="s">
        <v>432</v>
      </c>
      <c r="BB1674" s="239" t="str">
        <f t="shared" si="483"/>
        <v>Infrações de trânsitox</v>
      </c>
      <c r="BC1674" s="239" t="str">
        <f t="shared" si="484"/>
        <v>Infrações de trânsitoxainda não incorporado ao SisMob-BH</v>
      </c>
      <c r="BD1674" s="239" t="str">
        <f t="shared" si="485"/>
        <v>Infrações de trânsitoainda não incorporado ao SisMob-BH</v>
      </c>
    </row>
    <row r="1675" spans="1:67" s="1" customFormat="1" ht="41.25" x14ac:dyDescent="0.25">
      <c r="A1675" s="275" t="str">
        <f>'Q100b-totais'!$B$39</f>
        <v>4.4</v>
      </c>
      <c r="B1675" s="54" t="str">
        <f>'Q100b-totais'!$C$39</f>
        <v>Infrações de trânsito</v>
      </c>
      <c r="C1675" s="229" t="s">
        <v>432</v>
      </c>
      <c r="D1675" s="939" t="s">
        <v>1820</v>
      </c>
      <c r="E1675" s="509" t="s">
        <v>1306</v>
      </c>
      <c r="F1675" s="5" t="s">
        <v>916</v>
      </c>
      <c r="G1675" s="241" t="s">
        <v>77</v>
      </c>
      <c r="H1675" s="444" t="s">
        <v>678</v>
      </c>
      <c r="I1675" s="57">
        <v>1</v>
      </c>
      <c r="J1675" s="109" t="s">
        <v>432</v>
      </c>
      <c r="K1675" s="110" t="s">
        <v>432</v>
      </c>
      <c r="L1675" s="110" t="s">
        <v>432</v>
      </c>
      <c r="M1675" s="110" t="s">
        <v>432</v>
      </c>
      <c r="N1675" s="110" t="s">
        <v>432</v>
      </c>
      <c r="O1675" s="110" t="s">
        <v>432</v>
      </c>
      <c r="P1675" s="110" t="s">
        <v>432</v>
      </c>
      <c r="Q1675" s="110" t="s">
        <v>432</v>
      </c>
      <c r="R1675" s="110" t="s">
        <v>432</v>
      </c>
      <c r="S1675" s="109" t="s">
        <v>2209</v>
      </c>
      <c r="T1675" s="110" t="s">
        <v>432</v>
      </c>
      <c r="U1675" s="110" t="s">
        <v>432</v>
      </c>
      <c r="V1675" s="109" t="s">
        <v>2209</v>
      </c>
      <c r="W1675" s="110" t="s">
        <v>432</v>
      </c>
      <c r="X1675" s="110" t="s">
        <v>432</v>
      </c>
      <c r="Y1675" s="110" t="s">
        <v>432</v>
      </c>
      <c r="Z1675" s="110" t="s">
        <v>432</v>
      </c>
      <c r="AA1675" s="110" t="s">
        <v>432</v>
      </c>
      <c r="AB1675" s="110" t="s">
        <v>432</v>
      </c>
      <c r="AC1675" s="110" t="s">
        <v>432</v>
      </c>
      <c r="AD1675" s="110" t="s">
        <v>432</v>
      </c>
      <c r="AE1675" s="110" t="s">
        <v>432</v>
      </c>
      <c r="AF1675" s="110" t="s">
        <v>432</v>
      </c>
      <c r="AG1675" s="110" t="s">
        <v>432</v>
      </c>
      <c r="AH1675" s="110" t="s">
        <v>432</v>
      </c>
      <c r="AI1675" s="110" t="s">
        <v>432</v>
      </c>
      <c r="AJ1675" s="110" t="s">
        <v>432</v>
      </c>
      <c r="AK1675" s="137" t="s">
        <v>432</v>
      </c>
      <c r="AL1675" s="601" t="s">
        <v>432</v>
      </c>
      <c r="AM1675" s="137" t="s">
        <v>432</v>
      </c>
      <c r="AN1675" s="137" t="s">
        <v>432</v>
      </c>
      <c r="AO1675" s="137" t="s">
        <v>432</v>
      </c>
      <c r="AP1675" s="137" t="s">
        <v>432</v>
      </c>
      <c r="AQ1675" s="137" t="s">
        <v>432</v>
      </c>
      <c r="AR1675" s="137" t="s">
        <v>432</v>
      </c>
      <c r="AS1675" s="137" t="s">
        <v>432</v>
      </c>
      <c r="AT1675" s="137" t="s">
        <v>432</v>
      </c>
      <c r="AU1675" s="137" t="s">
        <v>432</v>
      </c>
      <c r="AV1675" s="137" t="s">
        <v>432</v>
      </c>
      <c r="AW1675" s="137" t="s">
        <v>432</v>
      </c>
      <c r="AX1675" s="137" t="s">
        <v>432</v>
      </c>
      <c r="AY1675" s="137" t="s">
        <v>432</v>
      </c>
      <c r="AZ1675" s="137" t="s">
        <v>432</v>
      </c>
      <c r="BA1675" s="137" t="s">
        <v>432</v>
      </c>
      <c r="BB1675" s="239" t="str">
        <f t="shared" si="483"/>
        <v>Infrações de trânsitox</v>
      </c>
      <c r="BC1675" s="239" t="str">
        <f t="shared" si="484"/>
        <v>Infrações de trânsitoxainda não incorporado ao SisMob-BH</v>
      </c>
      <c r="BD1675" s="239" t="str">
        <f t="shared" si="485"/>
        <v>Infrações de trânsitoainda não incorporado ao SisMob-BH</v>
      </c>
    </row>
    <row r="1676" spans="1:67" s="1" customFormat="1" ht="41.25" x14ac:dyDescent="0.25">
      <c r="A1676" s="275" t="str">
        <f>'Q100b-totais'!$B$39</f>
        <v>4.4</v>
      </c>
      <c r="B1676" s="54" t="str">
        <f>'Q100b-totais'!$C$39</f>
        <v>Infrações de trânsito</v>
      </c>
      <c r="C1676" s="229" t="s">
        <v>432</v>
      </c>
      <c r="D1676" s="939" t="s">
        <v>1821</v>
      </c>
      <c r="E1676" s="509" t="s">
        <v>1306</v>
      </c>
      <c r="F1676" s="5" t="s">
        <v>917</v>
      </c>
      <c r="G1676" s="241" t="s">
        <v>77</v>
      </c>
      <c r="H1676" s="444" t="s">
        <v>678</v>
      </c>
      <c r="I1676" s="57">
        <v>1</v>
      </c>
      <c r="J1676" s="109" t="s">
        <v>432</v>
      </c>
      <c r="K1676" s="110" t="s">
        <v>432</v>
      </c>
      <c r="L1676" s="110" t="s">
        <v>432</v>
      </c>
      <c r="M1676" s="110" t="s">
        <v>432</v>
      </c>
      <c r="N1676" s="110" t="s">
        <v>432</v>
      </c>
      <c r="O1676" s="110" t="s">
        <v>432</v>
      </c>
      <c r="P1676" s="110" t="s">
        <v>432</v>
      </c>
      <c r="Q1676" s="110" t="s">
        <v>432</v>
      </c>
      <c r="R1676" s="110" t="s">
        <v>432</v>
      </c>
      <c r="S1676" s="109" t="s">
        <v>2209</v>
      </c>
      <c r="T1676" s="110" t="s">
        <v>432</v>
      </c>
      <c r="U1676" s="110" t="s">
        <v>432</v>
      </c>
      <c r="V1676" s="109" t="s">
        <v>2209</v>
      </c>
      <c r="W1676" s="110" t="s">
        <v>432</v>
      </c>
      <c r="X1676" s="110" t="s">
        <v>432</v>
      </c>
      <c r="Y1676" s="110" t="s">
        <v>432</v>
      </c>
      <c r="Z1676" s="110" t="s">
        <v>432</v>
      </c>
      <c r="AA1676" s="110" t="s">
        <v>432</v>
      </c>
      <c r="AB1676" s="110" t="s">
        <v>432</v>
      </c>
      <c r="AC1676" s="110" t="s">
        <v>432</v>
      </c>
      <c r="AD1676" s="110" t="s">
        <v>432</v>
      </c>
      <c r="AE1676" s="110" t="s">
        <v>432</v>
      </c>
      <c r="AF1676" s="110" t="s">
        <v>432</v>
      </c>
      <c r="AG1676" s="110" t="s">
        <v>432</v>
      </c>
      <c r="AH1676" s="110" t="s">
        <v>432</v>
      </c>
      <c r="AI1676" s="110" t="s">
        <v>432</v>
      </c>
      <c r="AJ1676" s="110" t="s">
        <v>432</v>
      </c>
      <c r="AK1676" s="137" t="s">
        <v>432</v>
      </c>
      <c r="AL1676" s="601" t="s">
        <v>432</v>
      </c>
      <c r="AM1676" s="137" t="s">
        <v>432</v>
      </c>
      <c r="AN1676" s="137" t="s">
        <v>432</v>
      </c>
      <c r="AO1676" s="137" t="s">
        <v>432</v>
      </c>
      <c r="AP1676" s="137" t="s">
        <v>432</v>
      </c>
      <c r="AQ1676" s="137" t="s">
        <v>432</v>
      </c>
      <c r="AR1676" s="137" t="s">
        <v>432</v>
      </c>
      <c r="AS1676" s="137" t="s">
        <v>432</v>
      </c>
      <c r="AT1676" s="137" t="s">
        <v>432</v>
      </c>
      <c r="AU1676" s="137" t="s">
        <v>432</v>
      </c>
      <c r="AV1676" s="137" t="s">
        <v>432</v>
      </c>
      <c r="AW1676" s="137" t="s">
        <v>432</v>
      </c>
      <c r="AX1676" s="137" t="s">
        <v>432</v>
      </c>
      <c r="AY1676" s="137" t="s">
        <v>432</v>
      </c>
      <c r="AZ1676" s="137" t="s">
        <v>432</v>
      </c>
      <c r="BA1676" s="137" t="s">
        <v>432</v>
      </c>
      <c r="BB1676" s="239" t="str">
        <f t="shared" si="483"/>
        <v>Infrações de trânsitox</v>
      </c>
      <c r="BC1676" s="239" t="str">
        <f t="shared" si="484"/>
        <v>Infrações de trânsitoxainda não incorporado ao SisMob-BH</v>
      </c>
      <c r="BD1676" s="239" t="str">
        <f t="shared" si="485"/>
        <v>Infrações de trânsitoainda não incorporado ao SisMob-BH</v>
      </c>
    </row>
    <row r="1677" spans="1:67" s="1" customFormat="1" ht="41.25" x14ac:dyDescent="0.25">
      <c r="A1677" s="275" t="str">
        <f>'Q100b-totais'!$B$39</f>
        <v>4.4</v>
      </c>
      <c r="B1677" s="54" t="str">
        <f>'Q100b-totais'!$C$39</f>
        <v>Infrações de trânsito</v>
      </c>
      <c r="C1677" s="229" t="s">
        <v>432</v>
      </c>
      <c r="D1677" s="939" t="s">
        <v>1822</v>
      </c>
      <c r="E1677" s="509" t="s">
        <v>1306</v>
      </c>
      <c r="F1677" s="5" t="s">
        <v>918</v>
      </c>
      <c r="G1677" s="241" t="s">
        <v>77</v>
      </c>
      <c r="H1677" s="444" t="s">
        <v>678</v>
      </c>
      <c r="I1677" s="57">
        <v>1</v>
      </c>
      <c r="J1677" s="109" t="s">
        <v>432</v>
      </c>
      <c r="K1677" s="110" t="s">
        <v>432</v>
      </c>
      <c r="L1677" s="110" t="s">
        <v>432</v>
      </c>
      <c r="M1677" s="110" t="s">
        <v>432</v>
      </c>
      <c r="N1677" s="110" t="s">
        <v>432</v>
      </c>
      <c r="O1677" s="110" t="s">
        <v>432</v>
      </c>
      <c r="P1677" s="110" t="s">
        <v>432</v>
      </c>
      <c r="Q1677" s="110" t="s">
        <v>432</v>
      </c>
      <c r="R1677" s="110" t="s">
        <v>432</v>
      </c>
      <c r="S1677" s="109" t="s">
        <v>2209</v>
      </c>
      <c r="T1677" s="110" t="s">
        <v>432</v>
      </c>
      <c r="U1677" s="110" t="s">
        <v>432</v>
      </c>
      <c r="V1677" s="109" t="s">
        <v>2209</v>
      </c>
      <c r="W1677" s="110" t="s">
        <v>432</v>
      </c>
      <c r="X1677" s="110" t="s">
        <v>432</v>
      </c>
      <c r="Y1677" s="110" t="s">
        <v>432</v>
      </c>
      <c r="Z1677" s="110" t="s">
        <v>432</v>
      </c>
      <c r="AA1677" s="110" t="s">
        <v>432</v>
      </c>
      <c r="AB1677" s="110" t="s">
        <v>432</v>
      </c>
      <c r="AC1677" s="110" t="s">
        <v>432</v>
      </c>
      <c r="AD1677" s="110" t="s">
        <v>432</v>
      </c>
      <c r="AE1677" s="110" t="s">
        <v>432</v>
      </c>
      <c r="AF1677" s="110" t="s">
        <v>432</v>
      </c>
      <c r="AG1677" s="110" t="s">
        <v>432</v>
      </c>
      <c r="AH1677" s="110" t="s">
        <v>432</v>
      </c>
      <c r="AI1677" s="110" t="s">
        <v>432</v>
      </c>
      <c r="AJ1677" s="110" t="s">
        <v>432</v>
      </c>
      <c r="AK1677" s="137" t="s">
        <v>432</v>
      </c>
      <c r="AL1677" s="601" t="s">
        <v>432</v>
      </c>
      <c r="AM1677" s="137" t="s">
        <v>432</v>
      </c>
      <c r="AN1677" s="137" t="s">
        <v>432</v>
      </c>
      <c r="AO1677" s="137" t="s">
        <v>432</v>
      </c>
      <c r="AP1677" s="137" t="s">
        <v>432</v>
      </c>
      <c r="AQ1677" s="137" t="s">
        <v>432</v>
      </c>
      <c r="AR1677" s="137" t="s">
        <v>432</v>
      </c>
      <c r="AS1677" s="137" t="s">
        <v>432</v>
      </c>
      <c r="AT1677" s="137" t="s">
        <v>432</v>
      </c>
      <c r="AU1677" s="137" t="s">
        <v>432</v>
      </c>
      <c r="AV1677" s="137" t="s">
        <v>432</v>
      </c>
      <c r="AW1677" s="137" t="s">
        <v>432</v>
      </c>
      <c r="AX1677" s="137" t="s">
        <v>432</v>
      </c>
      <c r="AY1677" s="137" t="s">
        <v>432</v>
      </c>
      <c r="AZ1677" s="137" t="s">
        <v>432</v>
      </c>
      <c r="BA1677" s="137" t="s">
        <v>432</v>
      </c>
      <c r="BB1677" s="239" t="str">
        <f t="shared" si="483"/>
        <v>Infrações de trânsitox</v>
      </c>
      <c r="BC1677" s="239" t="str">
        <f t="shared" si="484"/>
        <v>Infrações de trânsitoxainda não incorporado ao SisMob-BH</v>
      </c>
      <c r="BD1677" s="239" t="str">
        <f t="shared" si="485"/>
        <v>Infrações de trânsitoainda não incorporado ao SisMob-BH</v>
      </c>
    </row>
    <row r="1678" spans="1:67" s="1" customFormat="1" x14ac:dyDescent="0.25">
      <c r="A1678" s="402"/>
      <c r="B1678" s="399"/>
      <c r="C1678" s="399"/>
      <c r="D1678" s="959"/>
      <c r="E1678" s="1493"/>
      <c r="F1678" s="221"/>
      <c r="G1678" s="221"/>
      <c r="H1678" s="399"/>
      <c r="I1678" s="399"/>
      <c r="J1678" s="221"/>
      <c r="K1678" s="221"/>
      <c r="L1678" s="221"/>
      <c r="M1678" s="221"/>
      <c r="N1678" s="221"/>
      <c r="O1678" s="221"/>
      <c r="P1678" s="221"/>
      <c r="Q1678" s="221"/>
      <c r="R1678" s="221"/>
      <c r="S1678" s="221"/>
      <c r="T1678" s="221"/>
      <c r="U1678" s="221"/>
      <c r="V1678" s="221"/>
      <c r="W1678" s="221"/>
      <c r="X1678" s="221"/>
      <c r="Y1678" s="221"/>
      <c r="Z1678" s="221"/>
      <c r="AA1678" s="221"/>
      <c r="AB1678" s="221"/>
      <c r="AC1678" s="221"/>
      <c r="AD1678" s="221"/>
      <c r="AE1678" s="221"/>
      <c r="AF1678" s="221"/>
      <c r="AG1678" s="221"/>
      <c r="AH1678" s="221"/>
      <c r="AI1678" s="221"/>
      <c r="AJ1678" s="221"/>
      <c r="AK1678" s="223"/>
      <c r="AL1678" s="601" t="s">
        <v>432</v>
      </c>
      <c r="AM1678" s="223"/>
      <c r="AN1678" s="223"/>
      <c r="AO1678" s="223"/>
      <c r="AP1678" s="223"/>
      <c r="AQ1678" s="223"/>
      <c r="AR1678" s="223"/>
      <c r="AS1678" s="223"/>
      <c r="AT1678" s="223"/>
      <c r="AU1678" s="223"/>
      <c r="AV1678" s="223"/>
      <c r="AW1678" s="223"/>
      <c r="AX1678" s="223"/>
      <c r="AY1678" s="223"/>
      <c r="AZ1678" s="223"/>
      <c r="BA1678" s="223"/>
      <c r="BB1678" s="400"/>
      <c r="BC1678" s="400"/>
      <c r="BD1678" s="400"/>
    </row>
    <row r="1679" spans="1:67" s="1" customFormat="1" ht="47.25" customHeight="1" x14ac:dyDescent="0.25">
      <c r="A1679" s="262" t="s">
        <v>432</v>
      </c>
      <c r="B1679" s="252" t="s">
        <v>742</v>
      </c>
      <c r="C1679" s="167" t="s">
        <v>743</v>
      </c>
      <c r="D1679" s="324" t="s">
        <v>4016</v>
      </c>
      <c r="E1679" s="254"/>
      <c r="F1679" s="1205" t="s">
        <v>4017</v>
      </c>
      <c r="G1679" s="167" t="s">
        <v>3719</v>
      </c>
      <c r="H1679" s="167" t="s">
        <v>2408</v>
      </c>
      <c r="I1679" s="167" t="s">
        <v>432</v>
      </c>
      <c r="J1679" s="107" t="s">
        <v>432</v>
      </c>
      <c r="K1679" s="107" t="s">
        <v>432</v>
      </c>
      <c r="L1679" s="107" t="s">
        <v>432</v>
      </c>
      <c r="M1679" s="107" t="s">
        <v>432</v>
      </c>
      <c r="N1679" s="107" t="s">
        <v>432</v>
      </c>
      <c r="O1679" s="107" t="s">
        <v>432</v>
      </c>
      <c r="P1679" s="107" t="s">
        <v>432</v>
      </c>
      <c r="Q1679" s="107" t="s">
        <v>432</v>
      </c>
      <c r="R1679" s="107" t="s">
        <v>432</v>
      </c>
      <c r="S1679" s="109" t="s">
        <v>2209</v>
      </c>
      <c r="T1679" s="107" t="s">
        <v>432</v>
      </c>
      <c r="U1679" s="107" t="s">
        <v>432</v>
      </c>
      <c r="V1679" s="109" t="s">
        <v>2209</v>
      </c>
      <c r="W1679" s="107" t="s">
        <v>432</v>
      </c>
      <c r="X1679" s="107" t="s">
        <v>432</v>
      </c>
      <c r="Y1679" s="107" t="s">
        <v>432</v>
      </c>
      <c r="Z1679" s="107" t="s">
        <v>432</v>
      </c>
      <c r="AA1679" s="107" t="s">
        <v>432</v>
      </c>
      <c r="AB1679" s="107" t="s">
        <v>432</v>
      </c>
      <c r="AC1679" s="107" t="s">
        <v>432</v>
      </c>
      <c r="AD1679" s="107" t="s">
        <v>432</v>
      </c>
      <c r="AE1679" s="107" t="s">
        <v>432</v>
      </c>
      <c r="AF1679" s="107" t="s">
        <v>432</v>
      </c>
      <c r="AG1679" s="107" t="s">
        <v>432</v>
      </c>
      <c r="AH1679" s="107" t="s">
        <v>432</v>
      </c>
      <c r="AI1679" s="107" t="s">
        <v>432</v>
      </c>
      <c r="AJ1679" s="107" t="s">
        <v>432</v>
      </c>
      <c r="AK1679" s="137" t="s">
        <v>432</v>
      </c>
      <c r="AL1679" s="601" t="s">
        <v>432</v>
      </c>
      <c r="AM1679" s="137" t="s">
        <v>432</v>
      </c>
      <c r="AN1679" s="137" t="s">
        <v>432</v>
      </c>
      <c r="AO1679" s="137" t="s">
        <v>432</v>
      </c>
      <c r="AP1679" s="137" t="s">
        <v>432</v>
      </c>
      <c r="AQ1679" s="137" t="s">
        <v>432</v>
      </c>
      <c r="AR1679" s="137" t="s">
        <v>432</v>
      </c>
      <c r="AS1679" s="137" t="s">
        <v>432</v>
      </c>
      <c r="AT1679" s="137" t="s">
        <v>432</v>
      </c>
      <c r="AU1679" s="137" t="s">
        <v>432</v>
      </c>
      <c r="AV1679" s="137" t="s">
        <v>432</v>
      </c>
      <c r="AW1679" s="137" t="s">
        <v>432</v>
      </c>
      <c r="AX1679" s="137" t="s">
        <v>432</v>
      </c>
      <c r="AY1679" s="137" t="s">
        <v>432</v>
      </c>
      <c r="AZ1679" s="137" t="s">
        <v>432</v>
      </c>
      <c r="BA1679" s="137" t="s">
        <v>432</v>
      </c>
      <c r="BB1679" s="239" t="str">
        <f t="shared" ref="BB1679:BB1685" si="487">B1679&amp;C1679</f>
        <v>geralacessibilidade</v>
      </c>
      <c r="BC1679" s="239" t="str">
        <f t="shared" ref="BC1679:BC1685" si="488">B1679&amp;C1679&amp;H1679</f>
        <v>geralacessibilidadesigla/verbete</v>
      </c>
      <c r="BD1679" s="239" t="str">
        <f t="shared" ref="BD1679:BD1685" si="489">B1679&amp;H1679</f>
        <v>geralsigla/verbete</v>
      </c>
    </row>
    <row r="1680" spans="1:67" s="105" customFormat="1" ht="78.75" customHeight="1" x14ac:dyDescent="0.25">
      <c r="A1680" s="275" t="s">
        <v>581</v>
      </c>
      <c r="B1680" s="54" t="s">
        <v>825</v>
      </c>
      <c r="C1680" s="303" t="s">
        <v>432</v>
      </c>
      <c r="D1680" s="939" t="s">
        <v>4140</v>
      </c>
      <c r="E1680" s="1496" t="s">
        <v>1306</v>
      </c>
      <c r="F1680" s="59" t="s">
        <v>4135</v>
      </c>
      <c r="G1680" s="642" t="s">
        <v>77</v>
      </c>
      <c r="H1680" s="167" t="s">
        <v>432</v>
      </c>
      <c r="I1680" s="167">
        <v>1</v>
      </c>
      <c r="J1680" s="107" t="s">
        <v>432</v>
      </c>
      <c r="K1680" s="107" t="s">
        <v>432</v>
      </c>
      <c r="L1680" s="107" t="s">
        <v>432</v>
      </c>
      <c r="M1680" s="107" t="s">
        <v>432</v>
      </c>
      <c r="N1680" s="107" t="s">
        <v>432</v>
      </c>
      <c r="O1680" s="107" t="s">
        <v>432</v>
      </c>
      <c r="P1680" s="107" t="s">
        <v>432</v>
      </c>
      <c r="Q1680" s="107" t="s">
        <v>432</v>
      </c>
      <c r="R1680" s="107" t="s">
        <v>432</v>
      </c>
      <c r="S1680" s="109" t="s">
        <v>2209</v>
      </c>
      <c r="T1680" s="107" t="s">
        <v>432</v>
      </c>
      <c r="U1680" s="107" t="s">
        <v>432</v>
      </c>
      <c r="V1680" s="109" t="s">
        <v>2209</v>
      </c>
      <c r="W1680" s="107" t="s">
        <v>432</v>
      </c>
      <c r="X1680" s="107" t="s">
        <v>432</v>
      </c>
      <c r="Y1680" s="107" t="s">
        <v>432</v>
      </c>
      <c r="Z1680" s="107" t="s">
        <v>432</v>
      </c>
      <c r="AA1680" s="107" t="s">
        <v>432</v>
      </c>
      <c r="AB1680" s="107" t="s">
        <v>432</v>
      </c>
      <c r="AC1680" s="107" t="s">
        <v>432</v>
      </c>
      <c r="AD1680" s="107" t="s">
        <v>432</v>
      </c>
      <c r="AE1680" s="107" t="s">
        <v>432</v>
      </c>
      <c r="AF1680" s="107" t="s">
        <v>432</v>
      </c>
      <c r="AG1680" s="107" t="s">
        <v>432</v>
      </c>
      <c r="AH1680" s="107" t="s">
        <v>432</v>
      </c>
      <c r="AI1680" s="107" t="s">
        <v>432</v>
      </c>
      <c r="AJ1680" s="174">
        <v>0.6</v>
      </c>
      <c r="AK1680" s="174">
        <v>0.69</v>
      </c>
      <c r="AL1680" s="601" t="s">
        <v>432</v>
      </c>
      <c r="AM1680" s="137" t="s">
        <v>432</v>
      </c>
      <c r="AN1680" s="137" t="s">
        <v>432</v>
      </c>
      <c r="AO1680" s="137" t="s">
        <v>432</v>
      </c>
      <c r="AP1680" s="137" t="s">
        <v>432</v>
      </c>
      <c r="AQ1680" s="137" t="s">
        <v>432</v>
      </c>
      <c r="AR1680" s="137" t="s">
        <v>432</v>
      </c>
      <c r="AS1680" s="137" t="s">
        <v>432</v>
      </c>
      <c r="AT1680" s="137" t="s">
        <v>432</v>
      </c>
      <c r="AU1680" s="137" t="s">
        <v>432</v>
      </c>
      <c r="AV1680" s="137" t="s">
        <v>432</v>
      </c>
      <c r="AW1680" s="137" t="s">
        <v>432</v>
      </c>
      <c r="AX1680" s="137" t="s">
        <v>432</v>
      </c>
      <c r="AY1680" s="137" t="s">
        <v>432</v>
      </c>
      <c r="AZ1680" s="137" t="s">
        <v>432</v>
      </c>
      <c r="BA1680" s="137" t="s">
        <v>432</v>
      </c>
      <c r="BB1680" s="239" t="str">
        <f t="shared" si="487"/>
        <v>Ações educativasx</v>
      </c>
      <c r="BC1680" s="239" t="str">
        <f t="shared" si="488"/>
        <v>Ações educativasxx</v>
      </c>
      <c r="BD1680" s="239" t="str">
        <f t="shared" si="489"/>
        <v>Ações educativasx</v>
      </c>
      <c r="BM1680" s="372"/>
      <c r="BN1680" s="372"/>
      <c r="BO1680" s="372"/>
    </row>
    <row r="1681" spans="1:67" s="105" customFormat="1" ht="48" customHeight="1" x14ac:dyDescent="0.25">
      <c r="A1681" s="275" t="s">
        <v>581</v>
      </c>
      <c r="B1681" s="54" t="s">
        <v>825</v>
      </c>
      <c r="C1681" s="303" t="s">
        <v>432</v>
      </c>
      <c r="D1681" s="939" t="s">
        <v>4136</v>
      </c>
      <c r="E1681" s="1496" t="s">
        <v>1306</v>
      </c>
      <c r="F1681" s="59" t="s">
        <v>4138</v>
      </c>
      <c r="G1681" s="642" t="s">
        <v>77</v>
      </c>
      <c r="H1681" s="167" t="s">
        <v>432</v>
      </c>
      <c r="I1681" s="167">
        <v>1</v>
      </c>
      <c r="J1681" s="107" t="s">
        <v>432</v>
      </c>
      <c r="K1681" s="107" t="s">
        <v>432</v>
      </c>
      <c r="L1681" s="107" t="s">
        <v>432</v>
      </c>
      <c r="M1681" s="107" t="s">
        <v>432</v>
      </c>
      <c r="N1681" s="107" t="s">
        <v>432</v>
      </c>
      <c r="O1681" s="107" t="s">
        <v>432</v>
      </c>
      <c r="P1681" s="107" t="s">
        <v>432</v>
      </c>
      <c r="Q1681" s="107" t="s">
        <v>432</v>
      </c>
      <c r="R1681" s="107" t="s">
        <v>432</v>
      </c>
      <c r="S1681" s="109" t="s">
        <v>2209</v>
      </c>
      <c r="T1681" s="107" t="s">
        <v>432</v>
      </c>
      <c r="U1681" s="107" t="s">
        <v>432</v>
      </c>
      <c r="V1681" s="109" t="s">
        <v>2209</v>
      </c>
      <c r="W1681" s="107" t="s">
        <v>432</v>
      </c>
      <c r="X1681" s="107" t="s">
        <v>432</v>
      </c>
      <c r="Y1681" s="107" t="s">
        <v>432</v>
      </c>
      <c r="Z1681" s="107" t="s">
        <v>432</v>
      </c>
      <c r="AA1681" s="107" t="s">
        <v>432</v>
      </c>
      <c r="AB1681" s="107" t="s">
        <v>432</v>
      </c>
      <c r="AC1681" s="107" t="s">
        <v>432</v>
      </c>
      <c r="AD1681" s="107" t="s">
        <v>432</v>
      </c>
      <c r="AE1681" s="107" t="s">
        <v>432</v>
      </c>
      <c r="AF1681" s="107" t="s">
        <v>432</v>
      </c>
      <c r="AG1681" s="107" t="s">
        <v>432</v>
      </c>
      <c r="AH1681" s="107" t="s">
        <v>432</v>
      </c>
      <c r="AI1681" s="107" t="s">
        <v>432</v>
      </c>
      <c r="AJ1681" s="1310">
        <v>1</v>
      </c>
      <c r="AK1681" s="1310">
        <v>1</v>
      </c>
      <c r="AL1681" s="601" t="s">
        <v>432</v>
      </c>
      <c r="AM1681" s="137" t="s">
        <v>432</v>
      </c>
      <c r="AN1681" s="137" t="s">
        <v>432</v>
      </c>
      <c r="AO1681" s="137" t="s">
        <v>432</v>
      </c>
      <c r="AP1681" s="137" t="s">
        <v>432</v>
      </c>
      <c r="AQ1681" s="137" t="s">
        <v>432</v>
      </c>
      <c r="AR1681" s="137" t="s">
        <v>432</v>
      </c>
      <c r="AS1681" s="137" t="s">
        <v>432</v>
      </c>
      <c r="AT1681" s="137" t="s">
        <v>432</v>
      </c>
      <c r="AU1681" s="137" t="s">
        <v>432</v>
      </c>
      <c r="AV1681" s="137" t="s">
        <v>432</v>
      </c>
      <c r="AW1681" s="137" t="s">
        <v>432</v>
      </c>
      <c r="AX1681" s="137" t="s">
        <v>432</v>
      </c>
      <c r="AY1681" s="137" t="s">
        <v>432</v>
      </c>
      <c r="AZ1681" s="137" t="s">
        <v>432</v>
      </c>
      <c r="BA1681" s="137" t="s">
        <v>432</v>
      </c>
      <c r="BB1681" s="239" t="str">
        <f t="shared" si="487"/>
        <v>Ações educativasx</v>
      </c>
      <c r="BC1681" s="239" t="str">
        <f t="shared" si="488"/>
        <v>Ações educativasxx</v>
      </c>
      <c r="BD1681" s="239" t="str">
        <f t="shared" si="489"/>
        <v>Ações educativasx</v>
      </c>
      <c r="BM1681" s="372"/>
      <c r="BN1681" s="372"/>
      <c r="BO1681" s="372"/>
    </row>
    <row r="1682" spans="1:67" s="105" customFormat="1" ht="47.25" customHeight="1" x14ac:dyDescent="0.25">
      <c r="A1682" s="275" t="s">
        <v>581</v>
      </c>
      <c r="B1682" s="54" t="s">
        <v>825</v>
      </c>
      <c r="C1682" s="303" t="s">
        <v>432</v>
      </c>
      <c r="D1682" s="939" t="s">
        <v>4137</v>
      </c>
      <c r="E1682" s="1496" t="s">
        <v>1306</v>
      </c>
      <c r="F1682" s="59" t="s">
        <v>4139</v>
      </c>
      <c r="G1682" s="642" t="s">
        <v>77</v>
      </c>
      <c r="H1682" s="167" t="s">
        <v>432</v>
      </c>
      <c r="I1682" s="167">
        <v>1</v>
      </c>
      <c r="J1682" s="107" t="s">
        <v>432</v>
      </c>
      <c r="K1682" s="107" t="s">
        <v>432</v>
      </c>
      <c r="L1682" s="107" t="s">
        <v>432</v>
      </c>
      <c r="M1682" s="107" t="s">
        <v>432</v>
      </c>
      <c r="N1682" s="107" t="s">
        <v>432</v>
      </c>
      <c r="O1682" s="107" t="s">
        <v>432</v>
      </c>
      <c r="P1682" s="107" t="s">
        <v>432</v>
      </c>
      <c r="Q1682" s="107" t="s">
        <v>432</v>
      </c>
      <c r="R1682" s="107" t="s">
        <v>432</v>
      </c>
      <c r="S1682" s="109" t="s">
        <v>2209</v>
      </c>
      <c r="T1682" s="107" t="s">
        <v>432</v>
      </c>
      <c r="U1682" s="107" t="s">
        <v>432</v>
      </c>
      <c r="V1682" s="109" t="s">
        <v>2209</v>
      </c>
      <c r="W1682" s="107" t="s">
        <v>432</v>
      </c>
      <c r="X1682" s="107" t="s">
        <v>432</v>
      </c>
      <c r="Y1682" s="107" t="s">
        <v>432</v>
      </c>
      <c r="Z1682" s="107" t="s">
        <v>432</v>
      </c>
      <c r="AA1682" s="107" t="s">
        <v>432</v>
      </c>
      <c r="AB1682" s="107" t="s">
        <v>432</v>
      </c>
      <c r="AC1682" s="107" t="s">
        <v>432</v>
      </c>
      <c r="AD1682" s="107" t="s">
        <v>432</v>
      </c>
      <c r="AE1682" s="107" t="s">
        <v>432</v>
      </c>
      <c r="AF1682" s="107" t="s">
        <v>432</v>
      </c>
      <c r="AG1682" s="107" t="s">
        <v>432</v>
      </c>
      <c r="AH1682" s="107" t="s">
        <v>432</v>
      </c>
      <c r="AI1682" s="107" t="s">
        <v>432</v>
      </c>
      <c r="AJ1682" s="1310">
        <v>1</v>
      </c>
      <c r="AK1682" s="1310">
        <v>1</v>
      </c>
      <c r="AL1682" s="601" t="s">
        <v>432</v>
      </c>
      <c r="AM1682" s="137" t="s">
        <v>432</v>
      </c>
      <c r="AN1682" s="137" t="s">
        <v>432</v>
      </c>
      <c r="AO1682" s="137" t="s">
        <v>432</v>
      </c>
      <c r="AP1682" s="137" t="s">
        <v>432</v>
      </c>
      <c r="AQ1682" s="137" t="s">
        <v>432</v>
      </c>
      <c r="AR1682" s="137" t="s">
        <v>432</v>
      </c>
      <c r="AS1682" s="137" t="s">
        <v>432</v>
      </c>
      <c r="AT1682" s="137" t="s">
        <v>432</v>
      </c>
      <c r="AU1682" s="137" t="s">
        <v>432</v>
      </c>
      <c r="AV1682" s="137" t="s">
        <v>432</v>
      </c>
      <c r="AW1682" s="137" t="s">
        <v>432</v>
      </c>
      <c r="AX1682" s="137" t="s">
        <v>432</v>
      </c>
      <c r="AY1682" s="137" t="s">
        <v>432</v>
      </c>
      <c r="AZ1682" s="137" t="s">
        <v>432</v>
      </c>
      <c r="BA1682" s="137" t="s">
        <v>432</v>
      </c>
      <c r="BB1682" s="239" t="str">
        <f t="shared" si="487"/>
        <v>Ações educativasx</v>
      </c>
      <c r="BC1682" s="239" t="str">
        <f t="shared" si="488"/>
        <v>Ações educativasxx</v>
      </c>
      <c r="BD1682" s="239" t="str">
        <f t="shared" si="489"/>
        <v>Ações educativasx</v>
      </c>
      <c r="BM1682" s="372"/>
      <c r="BN1682" s="372"/>
      <c r="BO1682" s="372"/>
    </row>
    <row r="1683" spans="1:67" s="1" customFormat="1" ht="25.5" customHeight="1" x14ac:dyDescent="0.25">
      <c r="A1683" s="262" t="s">
        <v>432</v>
      </c>
      <c r="B1683" s="252" t="s">
        <v>742</v>
      </c>
      <c r="C1683" s="167" t="s">
        <v>432</v>
      </c>
      <c r="D1683" s="324" t="s">
        <v>287</v>
      </c>
      <c r="E1683" s="1496" t="s">
        <v>432</v>
      </c>
      <c r="F1683" s="11" t="s">
        <v>4440</v>
      </c>
      <c r="G1683" s="167" t="s">
        <v>3879</v>
      </c>
      <c r="H1683" s="167" t="s">
        <v>432</v>
      </c>
      <c r="I1683" s="167" t="s">
        <v>432</v>
      </c>
      <c r="J1683" s="107" t="s">
        <v>432</v>
      </c>
      <c r="K1683" s="107" t="s">
        <v>432</v>
      </c>
      <c r="L1683" s="107" t="s">
        <v>432</v>
      </c>
      <c r="M1683" s="107" t="s">
        <v>432</v>
      </c>
      <c r="N1683" s="107" t="s">
        <v>432</v>
      </c>
      <c r="O1683" s="107" t="s">
        <v>432</v>
      </c>
      <c r="P1683" s="107" t="s">
        <v>432</v>
      </c>
      <c r="Q1683" s="107" t="s">
        <v>432</v>
      </c>
      <c r="R1683" s="107" t="s">
        <v>432</v>
      </c>
      <c r="S1683" s="109" t="s">
        <v>2209</v>
      </c>
      <c r="T1683" s="107" t="s">
        <v>432</v>
      </c>
      <c r="U1683" s="107" t="s">
        <v>432</v>
      </c>
      <c r="V1683" s="109" t="s">
        <v>2209</v>
      </c>
      <c r="W1683" s="107" t="s">
        <v>432</v>
      </c>
      <c r="X1683" s="107" t="s">
        <v>432</v>
      </c>
      <c r="Y1683" s="107" t="s">
        <v>432</v>
      </c>
      <c r="Z1683" s="107" t="s">
        <v>432</v>
      </c>
      <c r="AA1683" s="107" t="s">
        <v>432</v>
      </c>
      <c r="AB1683" s="107" t="s">
        <v>432</v>
      </c>
      <c r="AC1683" s="107" t="s">
        <v>432</v>
      </c>
      <c r="AD1683" s="107" t="s">
        <v>432</v>
      </c>
      <c r="AE1683" s="107" t="s">
        <v>432</v>
      </c>
      <c r="AF1683" s="107" t="s">
        <v>432</v>
      </c>
      <c r="AG1683" s="107" t="s">
        <v>432</v>
      </c>
      <c r="AH1683" s="107" t="s">
        <v>432</v>
      </c>
      <c r="AI1683" s="107" t="s">
        <v>432</v>
      </c>
      <c r="AJ1683" s="107" t="s">
        <v>432</v>
      </c>
      <c r="AK1683" s="137" t="s">
        <v>432</v>
      </c>
      <c r="AL1683" s="601" t="s">
        <v>432</v>
      </c>
      <c r="AM1683" s="137" t="s">
        <v>432</v>
      </c>
      <c r="AN1683" s="137" t="s">
        <v>432</v>
      </c>
      <c r="AO1683" s="137" t="s">
        <v>432</v>
      </c>
      <c r="AP1683" s="137" t="s">
        <v>432</v>
      </c>
      <c r="AQ1683" s="137" t="s">
        <v>432</v>
      </c>
      <c r="AR1683" s="137" t="s">
        <v>432</v>
      </c>
      <c r="AS1683" s="137" t="s">
        <v>432</v>
      </c>
      <c r="AT1683" s="137" t="s">
        <v>432</v>
      </c>
      <c r="AU1683" s="137" t="s">
        <v>432</v>
      </c>
      <c r="AV1683" s="137" t="s">
        <v>432</v>
      </c>
      <c r="AW1683" s="137" t="s">
        <v>432</v>
      </c>
      <c r="AX1683" s="137" t="s">
        <v>432</v>
      </c>
      <c r="AY1683" s="137" t="s">
        <v>432</v>
      </c>
      <c r="AZ1683" s="137" t="s">
        <v>432</v>
      </c>
      <c r="BA1683" s="137" t="s">
        <v>432</v>
      </c>
      <c r="BB1683" s="239" t="str">
        <f t="shared" si="487"/>
        <v>geralx</v>
      </c>
      <c r="BC1683" s="239" t="str">
        <f t="shared" si="488"/>
        <v>geralxx</v>
      </c>
      <c r="BD1683" s="239" t="str">
        <f t="shared" si="489"/>
        <v>geralx</v>
      </c>
    </row>
    <row r="1684" spans="1:67" s="4" customFormat="1" ht="25.5" x14ac:dyDescent="0.25">
      <c r="A1684" s="262" t="s">
        <v>432</v>
      </c>
      <c r="B1684" s="53" t="s">
        <v>742</v>
      </c>
      <c r="C1684" s="57" t="s">
        <v>432</v>
      </c>
      <c r="D1684" s="1432" t="s">
        <v>5495</v>
      </c>
      <c r="E1684" s="254" t="s">
        <v>432</v>
      </c>
      <c r="F1684" s="1205" t="s">
        <v>5501</v>
      </c>
      <c r="G1684" s="221" t="s">
        <v>3719</v>
      </c>
      <c r="H1684" s="167" t="s">
        <v>2408</v>
      </c>
      <c r="I1684" s="167" t="s">
        <v>432</v>
      </c>
      <c r="J1684" s="109" t="s">
        <v>432</v>
      </c>
      <c r="K1684" s="109" t="s">
        <v>432</v>
      </c>
      <c r="L1684" s="109" t="s">
        <v>432</v>
      </c>
      <c r="M1684" s="109" t="s">
        <v>432</v>
      </c>
      <c r="N1684" s="109" t="s">
        <v>432</v>
      </c>
      <c r="O1684" s="109" t="s">
        <v>432</v>
      </c>
      <c r="P1684" s="109" t="s">
        <v>432</v>
      </c>
      <c r="Q1684" s="109" t="s">
        <v>432</v>
      </c>
      <c r="R1684" s="109" t="s">
        <v>432</v>
      </c>
      <c r="S1684" s="109" t="s">
        <v>2209</v>
      </c>
      <c r="T1684" s="109" t="s">
        <v>432</v>
      </c>
      <c r="U1684" s="109" t="s">
        <v>432</v>
      </c>
      <c r="V1684" s="109" t="s">
        <v>2209</v>
      </c>
      <c r="W1684" s="109" t="s">
        <v>432</v>
      </c>
      <c r="X1684" s="109" t="s">
        <v>432</v>
      </c>
      <c r="Y1684" s="109" t="s">
        <v>432</v>
      </c>
      <c r="Z1684" s="109" t="s">
        <v>432</v>
      </c>
      <c r="AA1684" s="109" t="s">
        <v>432</v>
      </c>
      <c r="AB1684" s="109" t="s">
        <v>432</v>
      </c>
      <c r="AC1684" s="109" t="s">
        <v>432</v>
      </c>
      <c r="AD1684" s="109" t="s">
        <v>432</v>
      </c>
      <c r="AE1684" s="109" t="s">
        <v>432</v>
      </c>
      <c r="AF1684" s="109" t="s">
        <v>432</v>
      </c>
      <c r="AG1684" s="109" t="s">
        <v>432</v>
      </c>
      <c r="AH1684" s="109" t="s">
        <v>432</v>
      </c>
      <c r="AI1684" s="109" t="s">
        <v>432</v>
      </c>
      <c r="AJ1684" s="136" t="s">
        <v>432</v>
      </c>
      <c r="AK1684" s="136" t="s">
        <v>432</v>
      </c>
      <c r="AL1684" s="601" t="s">
        <v>432</v>
      </c>
      <c r="AM1684" s="109" t="s">
        <v>432</v>
      </c>
      <c r="AN1684" s="109" t="s">
        <v>432</v>
      </c>
      <c r="AO1684" s="109" t="s">
        <v>432</v>
      </c>
      <c r="AP1684" s="109" t="s">
        <v>432</v>
      </c>
      <c r="AQ1684" s="109" t="s">
        <v>432</v>
      </c>
      <c r="AR1684" s="109" t="s">
        <v>432</v>
      </c>
      <c r="AS1684" s="109" t="s">
        <v>432</v>
      </c>
      <c r="AT1684" s="109" t="s">
        <v>432</v>
      </c>
      <c r="AU1684" s="109" t="s">
        <v>432</v>
      </c>
      <c r="AV1684" s="109" t="s">
        <v>432</v>
      </c>
      <c r="AW1684" s="137" t="s">
        <v>432</v>
      </c>
      <c r="AX1684" s="109" t="s">
        <v>432</v>
      </c>
      <c r="AY1684" s="109" t="s">
        <v>432</v>
      </c>
      <c r="AZ1684" s="109" t="s">
        <v>432</v>
      </c>
      <c r="BA1684" s="109" t="s">
        <v>432</v>
      </c>
      <c r="BB1684" s="239" t="str">
        <f>B1684&amp;C1684</f>
        <v>geralx</v>
      </c>
      <c r="BC1684" s="239" t="str">
        <f>B1684&amp;C1684&amp;H1684</f>
        <v>geralxsigla/verbete</v>
      </c>
      <c r="BD1684" s="239" t="str">
        <f>B1684&amp;H1684</f>
        <v>geralsigla/verbete</v>
      </c>
    </row>
    <row r="1685" spans="1:67" s="3" customFormat="1" ht="46.5" customHeight="1" x14ac:dyDescent="0.25">
      <c r="A1685" s="262" t="str">
        <f>'Q100b-totais'!B50</f>
        <v>6.2</v>
      </c>
      <c r="B1685" s="252" t="str">
        <f>'Q100b-totais'!C50</f>
        <v>Sistema de bicicleta</v>
      </c>
      <c r="C1685" s="167" t="s">
        <v>432</v>
      </c>
      <c r="D1685" s="325" t="s">
        <v>5500</v>
      </c>
      <c r="E1685" s="1496" t="s">
        <v>432</v>
      </c>
      <c r="F1685" s="11" t="s">
        <v>2997</v>
      </c>
      <c r="G1685" s="230" t="s">
        <v>4610</v>
      </c>
      <c r="H1685" s="167" t="s">
        <v>2408</v>
      </c>
      <c r="I1685" s="167" t="s">
        <v>432</v>
      </c>
      <c r="J1685" s="109" t="s">
        <v>432</v>
      </c>
      <c r="K1685" s="109" t="s">
        <v>432</v>
      </c>
      <c r="L1685" s="109" t="s">
        <v>432</v>
      </c>
      <c r="M1685" s="109" t="s">
        <v>432</v>
      </c>
      <c r="N1685" s="109" t="s">
        <v>432</v>
      </c>
      <c r="O1685" s="109" t="s">
        <v>432</v>
      </c>
      <c r="P1685" s="109" t="s">
        <v>432</v>
      </c>
      <c r="Q1685" s="109" t="s">
        <v>432</v>
      </c>
      <c r="R1685" s="109" t="s">
        <v>432</v>
      </c>
      <c r="S1685" s="109" t="s">
        <v>2209</v>
      </c>
      <c r="T1685" s="109" t="s">
        <v>432</v>
      </c>
      <c r="U1685" s="109" t="s">
        <v>432</v>
      </c>
      <c r="V1685" s="109" t="s">
        <v>2209</v>
      </c>
      <c r="W1685" s="109" t="s">
        <v>432</v>
      </c>
      <c r="X1685" s="109" t="s">
        <v>432</v>
      </c>
      <c r="Y1685" s="109" t="s">
        <v>432</v>
      </c>
      <c r="Z1685" s="109" t="s">
        <v>432</v>
      </c>
      <c r="AA1685" s="109" t="s">
        <v>432</v>
      </c>
      <c r="AB1685" s="109" t="s">
        <v>432</v>
      </c>
      <c r="AC1685" s="109" t="s">
        <v>432</v>
      </c>
      <c r="AD1685" s="109" t="s">
        <v>432</v>
      </c>
      <c r="AE1685" s="109" t="s">
        <v>432</v>
      </c>
      <c r="AF1685" s="109" t="s">
        <v>432</v>
      </c>
      <c r="AG1685" s="109" t="s">
        <v>432</v>
      </c>
      <c r="AH1685" s="109" t="s">
        <v>432</v>
      </c>
      <c r="AI1685" s="109" t="s">
        <v>432</v>
      </c>
      <c r="AJ1685" s="136" t="s">
        <v>432</v>
      </c>
      <c r="AK1685" s="136" t="s">
        <v>432</v>
      </c>
      <c r="AL1685" s="601" t="s">
        <v>432</v>
      </c>
      <c r="AM1685" s="109" t="s">
        <v>432</v>
      </c>
      <c r="AN1685" s="109" t="s">
        <v>432</v>
      </c>
      <c r="AO1685" s="109" t="s">
        <v>432</v>
      </c>
      <c r="AP1685" s="109" t="s">
        <v>432</v>
      </c>
      <c r="AQ1685" s="109" t="s">
        <v>432</v>
      </c>
      <c r="AR1685" s="109" t="s">
        <v>432</v>
      </c>
      <c r="AS1685" s="109" t="s">
        <v>432</v>
      </c>
      <c r="AT1685" s="109" t="s">
        <v>432</v>
      </c>
      <c r="AU1685" s="109" t="s">
        <v>432</v>
      </c>
      <c r="AV1685" s="109" t="s">
        <v>432</v>
      </c>
      <c r="AW1685" s="137" t="s">
        <v>432</v>
      </c>
      <c r="AX1685" s="109" t="s">
        <v>432</v>
      </c>
      <c r="AY1685" s="109" t="s">
        <v>432</v>
      </c>
      <c r="AZ1685" s="109" t="s">
        <v>432</v>
      </c>
      <c r="BA1685" s="109" t="s">
        <v>432</v>
      </c>
      <c r="BB1685" s="239" t="str">
        <f t="shared" si="487"/>
        <v>Sistema de bicicletax</v>
      </c>
      <c r="BC1685" s="239" t="str">
        <f t="shared" si="488"/>
        <v>Sistema de bicicletaxsigla/verbete</v>
      </c>
      <c r="BD1685" s="239" t="str">
        <f t="shared" si="489"/>
        <v>Sistema de bicicletasigla/verbete</v>
      </c>
    </row>
    <row r="1686" spans="1:67" s="1" customFormat="1" ht="117.75" customHeight="1" x14ac:dyDescent="0.25">
      <c r="A1686" s="275" t="str">
        <f>'Q100b-totais'!$B$18</f>
        <v>2.3</v>
      </c>
      <c r="B1686" s="1205" t="str">
        <f>'Q100b-totais'!$C$18</f>
        <v>Rede viária</v>
      </c>
      <c r="C1686" s="167" t="s">
        <v>432</v>
      </c>
      <c r="D1686" s="324" t="s">
        <v>3840</v>
      </c>
      <c r="E1686" s="509" t="s">
        <v>1306</v>
      </c>
      <c r="F1686" s="1177" t="s">
        <v>5502</v>
      </c>
      <c r="G1686" s="1176" t="s">
        <v>77</v>
      </c>
      <c r="H1686" s="173" t="s">
        <v>432</v>
      </c>
      <c r="I1686" s="167">
        <v>1</v>
      </c>
      <c r="J1686" s="88">
        <v>7</v>
      </c>
      <c r="K1686" s="88">
        <v>7</v>
      </c>
      <c r="L1686" s="88">
        <v>9</v>
      </c>
      <c r="M1686" s="88">
        <v>10</v>
      </c>
      <c r="N1686" s="88">
        <v>11</v>
      </c>
      <c r="O1686" s="88">
        <v>11</v>
      </c>
      <c r="P1686" s="88">
        <v>11</v>
      </c>
      <c r="Q1686" s="88">
        <v>13</v>
      </c>
      <c r="R1686" s="88">
        <v>11</v>
      </c>
      <c r="S1686" s="109" t="s">
        <v>2209</v>
      </c>
      <c r="T1686" s="88">
        <v>14</v>
      </c>
      <c r="U1686" s="88">
        <v>14</v>
      </c>
      <c r="V1686" s="109" t="s">
        <v>2209</v>
      </c>
      <c r="W1686" s="88">
        <v>14</v>
      </c>
      <c r="X1686" s="88">
        <v>19</v>
      </c>
      <c r="Y1686" s="88">
        <v>19</v>
      </c>
      <c r="Z1686" s="88">
        <v>19</v>
      </c>
      <c r="AA1686" s="88">
        <v>19</v>
      </c>
      <c r="AB1686" s="88">
        <v>19</v>
      </c>
      <c r="AC1686" s="88">
        <v>19</v>
      </c>
      <c r="AD1686" s="88">
        <v>19</v>
      </c>
      <c r="AE1686" s="88">
        <v>19</v>
      </c>
      <c r="AF1686" s="88">
        <v>19</v>
      </c>
      <c r="AG1686" s="88">
        <v>19</v>
      </c>
      <c r="AH1686" s="88">
        <v>19</v>
      </c>
      <c r="AI1686" s="88">
        <v>19</v>
      </c>
      <c r="AJ1686" s="88">
        <v>19</v>
      </c>
      <c r="AK1686" s="88">
        <v>19</v>
      </c>
      <c r="AL1686" s="601"/>
      <c r="AM1686" s="109" t="s">
        <v>432</v>
      </c>
      <c r="AN1686" s="109" t="s">
        <v>432</v>
      </c>
      <c r="AO1686" s="109" t="s">
        <v>432</v>
      </c>
      <c r="AP1686" s="109" t="s">
        <v>432</v>
      </c>
      <c r="AQ1686" s="109" t="s">
        <v>432</v>
      </c>
      <c r="AR1686" s="109" t="s">
        <v>432</v>
      </c>
      <c r="AS1686" s="109" t="s">
        <v>432</v>
      </c>
      <c r="AT1686" s="109" t="s">
        <v>432</v>
      </c>
      <c r="AU1686" s="109" t="s">
        <v>432</v>
      </c>
      <c r="AV1686" s="109" t="s">
        <v>432</v>
      </c>
      <c r="AW1686" s="137" t="s">
        <v>432</v>
      </c>
      <c r="AX1686" s="109" t="s">
        <v>432</v>
      </c>
      <c r="AY1686" s="109" t="s">
        <v>432</v>
      </c>
      <c r="AZ1686" s="109" t="s">
        <v>432</v>
      </c>
      <c r="BA1686" s="109" t="s">
        <v>432</v>
      </c>
      <c r="BB1686" s="239" t="str">
        <f t="shared" ref="BB1686:BB1691" si="490">B1686&amp;C1686</f>
        <v>Rede viáriax</v>
      </c>
      <c r="BC1686" s="239" t="str">
        <f t="shared" ref="BC1686:BC1691" si="491">B1686&amp;C1686&amp;H1686</f>
        <v>Rede viáriaxx</v>
      </c>
      <c r="BD1686" s="239" t="str">
        <f t="shared" ref="BD1686:BD1691" si="492">B1686&amp;H1686</f>
        <v>Rede viáriax</v>
      </c>
    </row>
    <row r="1687" spans="1:67" s="1" customFormat="1" ht="38.25" x14ac:dyDescent="0.25">
      <c r="A1687" s="275" t="str">
        <f>'Q100b-totais'!B54</f>
        <v>8.2</v>
      </c>
      <c r="B1687" s="1205" t="str">
        <f>'Q100b-totais'!C54</f>
        <v>BRT</v>
      </c>
      <c r="C1687" s="167" t="s">
        <v>432</v>
      </c>
      <c r="D1687" s="324" t="s">
        <v>5721</v>
      </c>
      <c r="E1687" s="1491" t="s">
        <v>1306</v>
      </c>
      <c r="F1687" s="1205" t="s">
        <v>5722</v>
      </c>
      <c r="G1687" s="1442" t="s">
        <v>2957</v>
      </c>
      <c r="H1687" s="173" t="s">
        <v>432</v>
      </c>
      <c r="I1687" s="57">
        <v>1</v>
      </c>
      <c r="J1687" s="107" t="s">
        <v>432</v>
      </c>
      <c r="K1687" s="107" t="s">
        <v>432</v>
      </c>
      <c r="L1687" s="107" t="s">
        <v>432</v>
      </c>
      <c r="M1687" s="107" t="s">
        <v>432</v>
      </c>
      <c r="N1687" s="107" t="s">
        <v>432</v>
      </c>
      <c r="O1687" s="107" t="s">
        <v>432</v>
      </c>
      <c r="P1687" s="107" t="s">
        <v>432</v>
      </c>
      <c r="Q1687" s="107" t="s">
        <v>432</v>
      </c>
      <c r="R1687" s="107" t="s">
        <v>432</v>
      </c>
      <c r="S1687" s="109" t="s">
        <v>2209</v>
      </c>
      <c r="T1687" s="107" t="s">
        <v>432</v>
      </c>
      <c r="U1687" s="107" t="s">
        <v>432</v>
      </c>
      <c r="V1687" s="109" t="s">
        <v>2209</v>
      </c>
      <c r="W1687" s="107" t="s">
        <v>432</v>
      </c>
      <c r="X1687" s="107" t="s">
        <v>432</v>
      </c>
      <c r="Y1687" s="107" t="s">
        <v>432</v>
      </c>
      <c r="Z1687" s="107" t="s">
        <v>432</v>
      </c>
      <c r="AA1687" s="107" t="s">
        <v>432</v>
      </c>
      <c r="AB1687" s="107" t="s">
        <v>432</v>
      </c>
      <c r="AC1687" s="107" t="s">
        <v>432</v>
      </c>
      <c r="AD1687" s="107" t="s">
        <v>432</v>
      </c>
      <c r="AE1687" s="107" t="s">
        <v>432</v>
      </c>
      <c r="AF1687" s="107" t="s">
        <v>432</v>
      </c>
      <c r="AG1687" s="107" t="s">
        <v>432</v>
      </c>
      <c r="AH1687" s="107" t="s">
        <v>432</v>
      </c>
      <c r="AI1687" s="107" t="s">
        <v>432</v>
      </c>
      <c r="AJ1687" s="107" t="s">
        <v>432</v>
      </c>
      <c r="AK1687" s="107" t="s">
        <v>432</v>
      </c>
      <c r="AL1687" s="600" t="s">
        <v>432</v>
      </c>
      <c r="AM1687" s="137" t="s">
        <v>432</v>
      </c>
      <c r="AN1687" s="137" t="s">
        <v>432</v>
      </c>
      <c r="AO1687" s="137" t="s">
        <v>432</v>
      </c>
      <c r="AP1687" s="137" t="s">
        <v>432</v>
      </c>
      <c r="AQ1687" s="137" t="s">
        <v>432</v>
      </c>
      <c r="AR1687" s="137" t="s">
        <v>432</v>
      </c>
      <c r="AS1687" s="137" t="s">
        <v>432</v>
      </c>
      <c r="AT1687" s="137" t="s">
        <v>432</v>
      </c>
      <c r="AU1687" s="137" t="s">
        <v>432</v>
      </c>
      <c r="AV1687" s="137" t="s">
        <v>432</v>
      </c>
      <c r="AW1687" s="137" t="s">
        <v>432</v>
      </c>
      <c r="AX1687" s="137" t="s">
        <v>432</v>
      </c>
      <c r="AY1687" s="137" t="s">
        <v>432</v>
      </c>
      <c r="AZ1687" s="137" t="s">
        <v>432</v>
      </c>
      <c r="BA1687" s="137" t="s">
        <v>432</v>
      </c>
      <c r="BB1687" s="239" t="str">
        <f t="shared" si="490"/>
        <v>BRTx</v>
      </c>
      <c r="BC1687" s="239" t="str">
        <f t="shared" si="491"/>
        <v>BRTxx</v>
      </c>
      <c r="BD1687" s="239" t="str">
        <f t="shared" si="492"/>
        <v>BRTx</v>
      </c>
    </row>
    <row r="1688" spans="1:67" s="1" customFormat="1" ht="38.25" x14ac:dyDescent="0.25">
      <c r="A1688" s="275" t="str">
        <f>'Q100b-totais'!B54</f>
        <v>8.2</v>
      </c>
      <c r="B1688" s="1205" t="str">
        <f>'Q100b-totais'!C54</f>
        <v>BRT</v>
      </c>
      <c r="C1688" s="167" t="s">
        <v>432</v>
      </c>
      <c r="D1688" s="324" t="s">
        <v>5717</v>
      </c>
      <c r="E1688" s="1491" t="s">
        <v>1306</v>
      </c>
      <c r="F1688" s="1205" t="s">
        <v>5723</v>
      </c>
      <c r="G1688" s="370" t="s">
        <v>5472</v>
      </c>
      <c r="H1688" s="173" t="s">
        <v>432</v>
      </c>
      <c r="I1688" s="57">
        <v>1</v>
      </c>
      <c r="J1688" s="107" t="s">
        <v>432</v>
      </c>
      <c r="K1688" s="107" t="s">
        <v>432</v>
      </c>
      <c r="L1688" s="107" t="s">
        <v>432</v>
      </c>
      <c r="M1688" s="107" t="s">
        <v>432</v>
      </c>
      <c r="N1688" s="107" t="s">
        <v>432</v>
      </c>
      <c r="O1688" s="107" t="s">
        <v>432</v>
      </c>
      <c r="P1688" s="107" t="s">
        <v>432</v>
      </c>
      <c r="Q1688" s="107" t="s">
        <v>432</v>
      </c>
      <c r="R1688" s="107" t="s">
        <v>432</v>
      </c>
      <c r="S1688" s="109" t="s">
        <v>2209</v>
      </c>
      <c r="T1688" s="107" t="s">
        <v>432</v>
      </c>
      <c r="U1688" s="107" t="s">
        <v>432</v>
      </c>
      <c r="V1688" s="109" t="s">
        <v>2209</v>
      </c>
      <c r="W1688" s="107" t="s">
        <v>432</v>
      </c>
      <c r="X1688" s="107" t="s">
        <v>432</v>
      </c>
      <c r="Y1688" s="107" t="s">
        <v>432</v>
      </c>
      <c r="Z1688" s="107" t="s">
        <v>432</v>
      </c>
      <c r="AA1688" s="107" t="s">
        <v>432</v>
      </c>
      <c r="AB1688" s="107" t="s">
        <v>432</v>
      </c>
      <c r="AC1688" s="107" t="s">
        <v>432</v>
      </c>
      <c r="AD1688" s="107" t="s">
        <v>432</v>
      </c>
      <c r="AE1688" s="107" t="s">
        <v>432</v>
      </c>
      <c r="AF1688" s="107" t="s">
        <v>432</v>
      </c>
      <c r="AG1688" s="107" t="s">
        <v>432</v>
      </c>
      <c r="AH1688" s="107" t="s">
        <v>432</v>
      </c>
      <c r="AI1688" s="107" t="s">
        <v>432</v>
      </c>
      <c r="AJ1688" s="23">
        <f>SUM(AJ1689+AJ1690+AJ1691)</f>
        <v>41</v>
      </c>
      <c r="AK1688" s="23">
        <f>SUM(AK1689+AK1690+AK1691)</f>
        <v>41</v>
      </c>
      <c r="AL1688" s="600" t="s">
        <v>432</v>
      </c>
      <c r="AM1688" s="137" t="s">
        <v>432</v>
      </c>
      <c r="AN1688" s="137" t="s">
        <v>432</v>
      </c>
      <c r="AO1688" s="137" t="s">
        <v>432</v>
      </c>
      <c r="AP1688" s="137" t="s">
        <v>432</v>
      </c>
      <c r="AQ1688" s="137" t="s">
        <v>432</v>
      </c>
      <c r="AR1688" s="137" t="s">
        <v>432</v>
      </c>
      <c r="AS1688" s="137" t="s">
        <v>432</v>
      </c>
      <c r="AT1688" s="137" t="s">
        <v>432</v>
      </c>
      <c r="AU1688" s="137" t="s">
        <v>432</v>
      </c>
      <c r="AV1688" s="137" t="s">
        <v>432</v>
      </c>
      <c r="AW1688" s="137" t="s">
        <v>432</v>
      </c>
      <c r="AX1688" s="137" t="s">
        <v>432</v>
      </c>
      <c r="AY1688" s="137" t="s">
        <v>432</v>
      </c>
      <c r="AZ1688" s="137" t="s">
        <v>432</v>
      </c>
      <c r="BA1688" s="137" t="s">
        <v>432</v>
      </c>
      <c r="BB1688" s="239" t="str">
        <f t="shared" si="490"/>
        <v>BRTx</v>
      </c>
      <c r="BC1688" s="239" t="str">
        <f t="shared" si="491"/>
        <v>BRTxx</v>
      </c>
      <c r="BD1688" s="239" t="str">
        <f t="shared" si="492"/>
        <v>BRTx</v>
      </c>
    </row>
    <row r="1689" spans="1:67" s="1" customFormat="1" ht="45" customHeight="1" x14ac:dyDescent="0.25">
      <c r="A1689" s="275" t="str">
        <f>'Q100b-totais'!B54</f>
        <v>8.2</v>
      </c>
      <c r="B1689" s="1205" t="str">
        <f>'Q100b-totais'!C54</f>
        <v>BRT</v>
      </c>
      <c r="C1689" s="167" t="s">
        <v>432</v>
      </c>
      <c r="D1689" s="324" t="s">
        <v>5718</v>
      </c>
      <c r="E1689" s="1491" t="s">
        <v>1306</v>
      </c>
      <c r="F1689" s="1205" t="s">
        <v>5724</v>
      </c>
      <c r="G1689" s="110" t="s">
        <v>77</v>
      </c>
      <c r="H1689" s="173" t="s">
        <v>432</v>
      </c>
      <c r="I1689" s="57">
        <v>1</v>
      </c>
      <c r="J1689" s="107" t="s">
        <v>432</v>
      </c>
      <c r="K1689" s="107" t="s">
        <v>432</v>
      </c>
      <c r="L1689" s="107" t="s">
        <v>432</v>
      </c>
      <c r="M1689" s="107" t="s">
        <v>432</v>
      </c>
      <c r="N1689" s="107" t="s">
        <v>432</v>
      </c>
      <c r="O1689" s="107" t="s">
        <v>432</v>
      </c>
      <c r="P1689" s="107" t="s">
        <v>432</v>
      </c>
      <c r="Q1689" s="107" t="s">
        <v>432</v>
      </c>
      <c r="R1689" s="107" t="s">
        <v>432</v>
      </c>
      <c r="S1689" s="109" t="s">
        <v>2209</v>
      </c>
      <c r="T1689" s="107" t="s">
        <v>432</v>
      </c>
      <c r="U1689" s="107" t="s">
        <v>432</v>
      </c>
      <c r="V1689" s="109" t="s">
        <v>2209</v>
      </c>
      <c r="W1689" s="107" t="s">
        <v>432</v>
      </c>
      <c r="X1689" s="107" t="s">
        <v>432</v>
      </c>
      <c r="Y1689" s="107" t="s">
        <v>432</v>
      </c>
      <c r="Z1689" s="107" t="s">
        <v>432</v>
      </c>
      <c r="AA1689" s="107" t="s">
        <v>432</v>
      </c>
      <c r="AB1689" s="107" t="s">
        <v>432</v>
      </c>
      <c r="AC1689" s="107" t="s">
        <v>432</v>
      </c>
      <c r="AD1689" s="107" t="s">
        <v>432</v>
      </c>
      <c r="AE1689" s="107" t="s">
        <v>432</v>
      </c>
      <c r="AF1689" s="107" t="s">
        <v>432</v>
      </c>
      <c r="AG1689" s="107" t="s">
        <v>432</v>
      </c>
      <c r="AH1689" s="107" t="s">
        <v>432</v>
      </c>
      <c r="AI1689" s="107" t="s">
        <v>432</v>
      </c>
      <c r="AJ1689" s="84">
        <f>3+3</f>
        <v>6</v>
      </c>
      <c r="AK1689" s="84">
        <f>3+3</f>
        <v>6</v>
      </c>
      <c r="AL1689" s="600" t="s">
        <v>432</v>
      </c>
      <c r="AM1689" s="137" t="s">
        <v>432</v>
      </c>
      <c r="AN1689" s="137" t="s">
        <v>432</v>
      </c>
      <c r="AO1689" s="137" t="s">
        <v>432</v>
      </c>
      <c r="AP1689" s="137" t="s">
        <v>432</v>
      </c>
      <c r="AQ1689" s="137" t="s">
        <v>432</v>
      </c>
      <c r="AR1689" s="137" t="s">
        <v>432</v>
      </c>
      <c r="AS1689" s="137" t="s">
        <v>432</v>
      </c>
      <c r="AT1689" s="137" t="s">
        <v>432</v>
      </c>
      <c r="AU1689" s="137" t="s">
        <v>432</v>
      </c>
      <c r="AV1689" s="137" t="s">
        <v>432</v>
      </c>
      <c r="AW1689" s="137" t="s">
        <v>432</v>
      </c>
      <c r="AX1689" s="137" t="s">
        <v>432</v>
      </c>
      <c r="AY1689" s="137" t="s">
        <v>432</v>
      </c>
      <c r="AZ1689" s="137" t="s">
        <v>432</v>
      </c>
      <c r="BA1689" s="137" t="s">
        <v>432</v>
      </c>
      <c r="BB1689" s="239" t="str">
        <f t="shared" si="490"/>
        <v>BRTx</v>
      </c>
      <c r="BC1689" s="239" t="str">
        <f t="shared" si="491"/>
        <v>BRTxx</v>
      </c>
      <c r="BD1689" s="239" t="str">
        <f t="shared" si="492"/>
        <v>BRTx</v>
      </c>
    </row>
    <row r="1690" spans="1:67" s="1" customFormat="1" ht="38.25" x14ac:dyDescent="0.25">
      <c r="A1690" s="275" t="str">
        <f>'Q100b-totais'!B54</f>
        <v>8.2</v>
      </c>
      <c r="B1690" s="1205" t="str">
        <f>'Q100b-totais'!C54</f>
        <v>BRT</v>
      </c>
      <c r="C1690" s="167" t="s">
        <v>432</v>
      </c>
      <c r="D1690" s="324" t="s">
        <v>5719</v>
      </c>
      <c r="E1690" s="1491" t="s">
        <v>1306</v>
      </c>
      <c r="F1690" s="1205" t="s">
        <v>5725</v>
      </c>
      <c r="G1690" s="110" t="s">
        <v>77</v>
      </c>
      <c r="H1690" s="173" t="s">
        <v>432</v>
      </c>
      <c r="I1690" s="57">
        <v>1</v>
      </c>
      <c r="J1690" s="107" t="s">
        <v>432</v>
      </c>
      <c r="K1690" s="107" t="s">
        <v>432</v>
      </c>
      <c r="L1690" s="107" t="s">
        <v>432</v>
      </c>
      <c r="M1690" s="107" t="s">
        <v>432</v>
      </c>
      <c r="N1690" s="107" t="s">
        <v>432</v>
      </c>
      <c r="O1690" s="107" t="s">
        <v>432</v>
      </c>
      <c r="P1690" s="107" t="s">
        <v>432</v>
      </c>
      <c r="Q1690" s="107" t="s">
        <v>432</v>
      </c>
      <c r="R1690" s="107" t="s">
        <v>432</v>
      </c>
      <c r="S1690" s="109" t="s">
        <v>2209</v>
      </c>
      <c r="T1690" s="107" t="s">
        <v>432</v>
      </c>
      <c r="U1690" s="107" t="s">
        <v>432</v>
      </c>
      <c r="V1690" s="109" t="s">
        <v>2209</v>
      </c>
      <c r="W1690" s="107" t="s">
        <v>432</v>
      </c>
      <c r="X1690" s="107" t="s">
        <v>432</v>
      </c>
      <c r="Y1690" s="107" t="s">
        <v>432</v>
      </c>
      <c r="Z1690" s="107" t="s">
        <v>432</v>
      </c>
      <c r="AA1690" s="107" t="s">
        <v>432</v>
      </c>
      <c r="AB1690" s="107" t="s">
        <v>432</v>
      </c>
      <c r="AC1690" s="107" t="s">
        <v>432</v>
      </c>
      <c r="AD1690" s="107" t="s">
        <v>432</v>
      </c>
      <c r="AE1690" s="107" t="s">
        <v>432</v>
      </c>
      <c r="AF1690" s="107" t="s">
        <v>432</v>
      </c>
      <c r="AG1690" s="107" t="s">
        <v>432</v>
      </c>
      <c r="AH1690" s="107" t="s">
        <v>432</v>
      </c>
      <c r="AI1690" s="107" t="s">
        <v>432</v>
      </c>
      <c r="AJ1690" s="84">
        <f>14+6+4</f>
        <v>24</v>
      </c>
      <c r="AK1690" s="84">
        <f>14+6+4</f>
        <v>24</v>
      </c>
      <c r="AL1690" s="600" t="s">
        <v>432</v>
      </c>
      <c r="AM1690" s="137" t="s">
        <v>432</v>
      </c>
      <c r="AN1690" s="137" t="s">
        <v>432</v>
      </c>
      <c r="AO1690" s="137" t="s">
        <v>432</v>
      </c>
      <c r="AP1690" s="137" t="s">
        <v>432</v>
      </c>
      <c r="AQ1690" s="137" t="s">
        <v>432</v>
      </c>
      <c r="AR1690" s="137" t="s">
        <v>432</v>
      </c>
      <c r="AS1690" s="137" t="s">
        <v>432</v>
      </c>
      <c r="AT1690" s="137" t="s">
        <v>432</v>
      </c>
      <c r="AU1690" s="137" t="s">
        <v>432</v>
      </c>
      <c r="AV1690" s="137" t="s">
        <v>432</v>
      </c>
      <c r="AW1690" s="137" t="s">
        <v>432</v>
      </c>
      <c r="AX1690" s="137" t="s">
        <v>432</v>
      </c>
      <c r="AY1690" s="137" t="s">
        <v>432</v>
      </c>
      <c r="AZ1690" s="137" t="s">
        <v>432</v>
      </c>
      <c r="BA1690" s="137" t="s">
        <v>432</v>
      </c>
      <c r="BB1690" s="239" t="str">
        <f t="shared" si="490"/>
        <v>BRTx</v>
      </c>
      <c r="BC1690" s="239" t="str">
        <f t="shared" si="491"/>
        <v>BRTxx</v>
      </c>
      <c r="BD1690" s="239" t="str">
        <f t="shared" si="492"/>
        <v>BRTx</v>
      </c>
    </row>
    <row r="1691" spans="1:67" s="1" customFormat="1" ht="25.5" x14ac:dyDescent="0.25">
      <c r="A1691" s="275" t="str">
        <f>'Q100b-totais'!B54</f>
        <v>8.2</v>
      </c>
      <c r="B1691" s="1205" t="str">
        <f>'Q100b-totais'!C54</f>
        <v>BRT</v>
      </c>
      <c r="C1691" s="167" t="s">
        <v>432</v>
      </c>
      <c r="D1691" s="324" t="s">
        <v>5720</v>
      </c>
      <c r="E1691" s="1491" t="s">
        <v>1306</v>
      </c>
      <c r="F1691" s="1205" t="s">
        <v>5726</v>
      </c>
      <c r="G1691" s="110" t="s">
        <v>77</v>
      </c>
      <c r="H1691" s="173" t="s">
        <v>432</v>
      </c>
      <c r="I1691" s="57">
        <v>1</v>
      </c>
      <c r="J1691" s="107" t="s">
        <v>432</v>
      </c>
      <c r="K1691" s="107" t="s">
        <v>432</v>
      </c>
      <c r="L1691" s="107" t="s">
        <v>432</v>
      </c>
      <c r="M1691" s="107" t="s">
        <v>432</v>
      </c>
      <c r="N1691" s="107" t="s">
        <v>432</v>
      </c>
      <c r="O1691" s="107" t="s">
        <v>432</v>
      </c>
      <c r="P1691" s="107" t="s">
        <v>432</v>
      </c>
      <c r="Q1691" s="107" t="s">
        <v>432</v>
      </c>
      <c r="R1691" s="107" t="s">
        <v>432</v>
      </c>
      <c r="S1691" s="109" t="s">
        <v>2209</v>
      </c>
      <c r="T1691" s="107" t="s">
        <v>432</v>
      </c>
      <c r="U1691" s="107" t="s">
        <v>432</v>
      </c>
      <c r="V1691" s="109" t="s">
        <v>2209</v>
      </c>
      <c r="W1691" s="107" t="s">
        <v>432</v>
      </c>
      <c r="X1691" s="107" t="s">
        <v>432</v>
      </c>
      <c r="Y1691" s="107" t="s">
        <v>432</v>
      </c>
      <c r="Z1691" s="107" t="s">
        <v>432</v>
      </c>
      <c r="AA1691" s="107" t="s">
        <v>432</v>
      </c>
      <c r="AB1691" s="107" t="s">
        <v>432</v>
      </c>
      <c r="AC1691" s="107" t="s">
        <v>432</v>
      </c>
      <c r="AD1691" s="107" t="s">
        <v>432</v>
      </c>
      <c r="AE1691" s="107" t="s">
        <v>432</v>
      </c>
      <c r="AF1691" s="107" t="s">
        <v>432</v>
      </c>
      <c r="AG1691" s="107" t="s">
        <v>432</v>
      </c>
      <c r="AH1691" s="107" t="s">
        <v>432</v>
      </c>
      <c r="AI1691" s="107" t="s">
        <v>432</v>
      </c>
      <c r="AJ1691" s="84">
        <v>11</v>
      </c>
      <c r="AK1691" s="84">
        <v>11</v>
      </c>
      <c r="AL1691" s="600" t="s">
        <v>432</v>
      </c>
      <c r="AM1691" s="137" t="s">
        <v>432</v>
      </c>
      <c r="AN1691" s="137" t="s">
        <v>432</v>
      </c>
      <c r="AO1691" s="137" t="s">
        <v>432</v>
      </c>
      <c r="AP1691" s="137" t="s">
        <v>432</v>
      </c>
      <c r="AQ1691" s="137" t="s">
        <v>432</v>
      </c>
      <c r="AR1691" s="137" t="s">
        <v>432</v>
      </c>
      <c r="AS1691" s="137" t="s">
        <v>432</v>
      </c>
      <c r="AT1691" s="137" t="s">
        <v>432</v>
      </c>
      <c r="AU1691" s="137" t="s">
        <v>432</v>
      </c>
      <c r="AV1691" s="137" t="s">
        <v>432</v>
      </c>
      <c r="AW1691" s="137" t="s">
        <v>432</v>
      </c>
      <c r="AX1691" s="137" t="s">
        <v>432</v>
      </c>
      <c r="AY1691" s="137" t="s">
        <v>432</v>
      </c>
      <c r="AZ1691" s="137" t="s">
        <v>432</v>
      </c>
      <c r="BA1691" s="137" t="s">
        <v>432</v>
      </c>
      <c r="BB1691" s="239" t="str">
        <f t="shared" si="490"/>
        <v>BRTx</v>
      </c>
      <c r="BC1691" s="239" t="str">
        <f t="shared" si="491"/>
        <v>BRTxx</v>
      </c>
      <c r="BD1691" s="239" t="str">
        <f t="shared" si="492"/>
        <v>BRTx</v>
      </c>
    </row>
    <row r="1692" spans="1:67" s="4" customFormat="1" ht="104.25" customHeight="1" x14ac:dyDescent="0.25">
      <c r="A1692" s="275" t="str">
        <f>'Q100b-totais'!$B$64</f>
        <v>9.1</v>
      </c>
      <c r="B1692" s="1205" t="str">
        <f>'Q100b-totais'!$C$64</f>
        <v>Acidentes de trânsito</v>
      </c>
      <c r="C1692" s="57" t="s">
        <v>432</v>
      </c>
      <c r="D1692" s="324" t="s">
        <v>288</v>
      </c>
      <c r="E1692" s="1402" t="s">
        <v>1306</v>
      </c>
      <c r="F1692" s="151" t="s">
        <v>1533</v>
      </c>
      <c r="G1692" s="409" t="s">
        <v>77</v>
      </c>
      <c r="H1692" s="173" t="s">
        <v>432</v>
      </c>
      <c r="I1692" s="57">
        <v>1</v>
      </c>
      <c r="J1692" s="107" t="s">
        <v>432</v>
      </c>
      <c r="K1692" s="161">
        <v>10403</v>
      </c>
      <c r="L1692" s="161">
        <v>9269</v>
      </c>
      <c r="M1692" s="161">
        <v>11691</v>
      </c>
      <c r="N1692" s="161">
        <v>12392</v>
      </c>
      <c r="O1692" s="161">
        <v>12007</v>
      </c>
      <c r="P1692" s="161">
        <v>12645</v>
      </c>
      <c r="Q1692" s="161">
        <v>13265</v>
      </c>
      <c r="R1692" s="161">
        <v>13088</v>
      </c>
      <c r="S1692" s="109" t="s">
        <v>2209</v>
      </c>
      <c r="T1692" s="161">
        <v>13256</v>
      </c>
      <c r="U1692" s="161">
        <v>13049</v>
      </c>
      <c r="V1692" s="109" t="s">
        <v>2209</v>
      </c>
      <c r="W1692" s="161">
        <v>12778</v>
      </c>
      <c r="X1692" s="161">
        <v>11657</v>
      </c>
      <c r="Y1692" s="161">
        <v>14630</v>
      </c>
      <c r="Z1692" s="162">
        <v>15972</v>
      </c>
      <c r="AA1692" s="162">
        <v>16831</v>
      </c>
      <c r="AB1692" s="162">
        <v>17420</v>
      </c>
      <c r="AC1692" s="162">
        <v>19082</v>
      </c>
      <c r="AD1692" s="162">
        <v>19675</v>
      </c>
      <c r="AE1692" s="162">
        <v>20586</v>
      </c>
      <c r="AF1692" s="162">
        <v>20875</v>
      </c>
      <c r="AG1692" s="162">
        <v>20110</v>
      </c>
      <c r="AH1692" s="162">
        <v>18719</v>
      </c>
      <c r="AI1692" s="162">
        <v>17519</v>
      </c>
      <c r="AJ1692" s="162">
        <v>18300</v>
      </c>
      <c r="AK1692" s="137" t="s">
        <v>432</v>
      </c>
      <c r="AL1692" s="601" t="s">
        <v>432</v>
      </c>
      <c r="AM1692" s="137" t="s">
        <v>432</v>
      </c>
      <c r="AN1692" s="137" t="s">
        <v>432</v>
      </c>
      <c r="AO1692" s="137" t="s">
        <v>432</v>
      </c>
      <c r="AP1692" s="137" t="s">
        <v>432</v>
      </c>
      <c r="AQ1692" s="137" t="s">
        <v>432</v>
      </c>
      <c r="AR1692" s="137" t="s">
        <v>432</v>
      </c>
      <c r="AS1692" s="137" t="s">
        <v>432</v>
      </c>
      <c r="AT1692" s="137" t="s">
        <v>432</v>
      </c>
      <c r="AU1692" s="137" t="s">
        <v>432</v>
      </c>
      <c r="AV1692" s="137" t="s">
        <v>432</v>
      </c>
      <c r="AW1692" s="137" t="s">
        <v>432</v>
      </c>
      <c r="AX1692" s="137" t="s">
        <v>432</v>
      </c>
      <c r="AY1692" s="137" t="s">
        <v>432</v>
      </c>
      <c r="AZ1692" s="137" t="s">
        <v>432</v>
      </c>
      <c r="BA1692" s="137" t="s">
        <v>432</v>
      </c>
      <c r="BB1692" s="239" t="str">
        <f t="shared" ref="BB1692:BB1702" si="493">B1692&amp;C1692</f>
        <v>Acidentes de trânsitox</v>
      </c>
      <c r="BC1692" s="239" t="str">
        <f t="shared" ref="BC1692:BC1702" si="494">B1692&amp;C1692&amp;H1692</f>
        <v>Acidentes de trânsitoxx</v>
      </c>
      <c r="BD1692" s="239" t="str">
        <f t="shared" ref="BD1692:BD1702" si="495">B1692&amp;H1692</f>
        <v>Acidentes de trânsitox</v>
      </c>
    </row>
    <row r="1693" spans="1:67" s="4" customFormat="1" ht="81" customHeight="1" x14ac:dyDescent="0.25">
      <c r="A1693" s="275" t="str">
        <f>'Q100b-totais'!$B$64</f>
        <v>9.1</v>
      </c>
      <c r="B1693" s="1205" t="str">
        <f>'Q100b-totais'!$C$64</f>
        <v>Acidentes de trânsito</v>
      </c>
      <c r="C1693" s="57" t="s">
        <v>432</v>
      </c>
      <c r="D1693" s="323" t="s">
        <v>289</v>
      </c>
      <c r="E1693" s="1402" t="s">
        <v>1306</v>
      </c>
      <c r="F1693" s="14" t="s">
        <v>1447</v>
      </c>
      <c r="G1693" s="404" t="s">
        <v>786</v>
      </c>
      <c r="H1693" s="173" t="s">
        <v>432</v>
      </c>
      <c r="I1693" s="57">
        <v>1</v>
      </c>
      <c r="J1693" s="107" t="s">
        <v>432</v>
      </c>
      <c r="K1693" s="64">
        <f t="shared" ref="K1693:R1693" si="496">(K1692/K814)*10000</f>
        <v>216.81724867394044</v>
      </c>
      <c r="L1693" s="64">
        <f t="shared" si="496"/>
        <v>189.09881734184472</v>
      </c>
      <c r="M1693" s="64">
        <f t="shared" si="496"/>
        <v>229.71499307377169</v>
      </c>
      <c r="N1693" s="64">
        <f t="shared" si="496"/>
        <v>230.81765926455742</v>
      </c>
      <c r="O1693" s="64">
        <f t="shared" si="496"/>
        <v>211.08944798887504</v>
      </c>
      <c r="P1693" s="64">
        <f t="shared" si="496"/>
        <v>211.173755335707</v>
      </c>
      <c r="Q1693" s="64">
        <f t="shared" si="496"/>
        <v>216.76324192183125</v>
      </c>
      <c r="R1693" s="64">
        <f t="shared" si="496"/>
        <v>209.77418181177063</v>
      </c>
      <c r="S1693" s="109" t="s">
        <v>2209</v>
      </c>
      <c r="T1693" s="64">
        <f>(T1692/T814)*10000</f>
        <v>202.31156530484853</v>
      </c>
      <c r="U1693" s="64">
        <f>(U1692/U814)*10000</f>
        <v>191.97413079074394</v>
      </c>
      <c r="V1693" s="109" t="s">
        <v>2209</v>
      </c>
      <c r="W1693" s="64">
        <f t="shared" ref="W1693:AJ1693" si="497">(W1692/W814)*10000</f>
        <v>177.99756224969528</v>
      </c>
      <c r="X1693" s="64">
        <f t="shared" si="497"/>
        <v>155.1244841715006</v>
      </c>
      <c r="Y1693" s="64">
        <f t="shared" si="497"/>
        <v>185.06079936651778</v>
      </c>
      <c r="Z1693" s="64">
        <f t="shared" si="497"/>
        <v>194.36497341658625</v>
      </c>
      <c r="AA1693" s="64">
        <f t="shared" si="497"/>
        <v>195.04772764935677</v>
      </c>
      <c r="AB1693" s="64">
        <f t="shared" si="497"/>
        <v>187.05297078129513</v>
      </c>
      <c r="AC1693" s="64">
        <f t="shared" si="497"/>
        <v>186.99318447962449</v>
      </c>
      <c r="AD1693" s="64">
        <f t="shared" si="497"/>
        <v>177.69103705637073</v>
      </c>
      <c r="AE1693" s="64">
        <f t="shared" si="497"/>
        <v>168.72041798996005</v>
      </c>
      <c r="AF1693" s="64">
        <f t="shared" si="497"/>
        <v>156.67440469355236</v>
      </c>
      <c r="AG1693" s="64">
        <f t="shared" si="497"/>
        <v>140.6426480821616</v>
      </c>
      <c r="AH1693" s="64">
        <f t="shared" si="497"/>
        <v>124.18606348290194</v>
      </c>
      <c r="AI1693" s="64">
        <f t="shared" si="497"/>
        <v>110.83590351917755</v>
      </c>
      <c r="AJ1693" s="64">
        <f t="shared" si="497"/>
        <v>112.11758254886765</v>
      </c>
      <c r="AK1693" s="137" t="s">
        <v>432</v>
      </c>
      <c r="AL1693" s="601" t="s">
        <v>432</v>
      </c>
      <c r="AM1693" s="137" t="s">
        <v>432</v>
      </c>
      <c r="AN1693" s="137" t="s">
        <v>432</v>
      </c>
      <c r="AO1693" s="137" t="s">
        <v>432</v>
      </c>
      <c r="AP1693" s="137" t="s">
        <v>432</v>
      </c>
      <c r="AQ1693" s="137" t="s">
        <v>432</v>
      </c>
      <c r="AR1693" s="137" t="s">
        <v>432</v>
      </c>
      <c r="AS1693" s="137" t="s">
        <v>432</v>
      </c>
      <c r="AT1693" s="137" t="s">
        <v>432</v>
      </c>
      <c r="AU1693" s="137" t="s">
        <v>432</v>
      </c>
      <c r="AV1693" s="137" t="s">
        <v>432</v>
      </c>
      <c r="AW1693" s="137" t="s">
        <v>432</v>
      </c>
      <c r="AX1693" s="137" t="s">
        <v>432</v>
      </c>
      <c r="AY1693" s="137" t="s">
        <v>432</v>
      </c>
      <c r="AZ1693" s="137" t="s">
        <v>432</v>
      </c>
      <c r="BA1693" s="137" t="s">
        <v>432</v>
      </c>
      <c r="BB1693" s="239" t="str">
        <f t="shared" si="493"/>
        <v>Acidentes de trânsitox</v>
      </c>
      <c r="BC1693" s="239" t="str">
        <f t="shared" si="494"/>
        <v>Acidentes de trânsitoxx</v>
      </c>
      <c r="BD1693" s="239" t="str">
        <f t="shared" si="495"/>
        <v>Acidentes de trânsitox</v>
      </c>
    </row>
    <row r="1694" spans="1:67" s="4" customFormat="1" ht="51" customHeight="1" x14ac:dyDescent="0.25">
      <c r="A1694" s="275" t="str">
        <f>'Q100b-totais'!$B$64</f>
        <v>9.1</v>
      </c>
      <c r="B1694" s="1205" t="str">
        <f>'Q100b-totais'!$C$64</f>
        <v>Acidentes de trânsito</v>
      </c>
      <c r="C1694" s="57" t="s">
        <v>432</v>
      </c>
      <c r="D1694" s="323" t="s">
        <v>290</v>
      </c>
      <c r="E1694" s="1402" t="s">
        <v>1306</v>
      </c>
      <c r="F1694" s="25" t="s">
        <v>1446</v>
      </c>
      <c r="G1694" s="404" t="s">
        <v>787</v>
      </c>
      <c r="H1694" s="173" t="s">
        <v>432</v>
      </c>
      <c r="I1694" s="57">
        <v>1</v>
      </c>
      <c r="J1694" s="107" t="s">
        <v>432</v>
      </c>
      <c r="K1694" s="64">
        <f t="shared" ref="K1694:R1694" si="498">(K1692/K1855)*100000</f>
        <v>514.95895624160642</v>
      </c>
      <c r="L1694" s="64">
        <f t="shared" si="498"/>
        <v>456.99674890866083</v>
      </c>
      <c r="M1694" s="64">
        <f t="shared" si="498"/>
        <v>574.11404200151742</v>
      </c>
      <c r="N1694" s="64">
        <f t="shared" si="498"/>
        <v>606.11396429444846</v>
      </c>
      <c r="O1694" s="64">
        <f t="shared" si="498"/>
        <v>584.94318154138159</v>
      </c>
      <c r="P1694" s="64">
        <f t="shared" si="498"/>
        <v>604.6050391881605</v>
      </c>
      <c r="Q1694" s="64">
        <f t="shared" si="498"/>
        <v>631.72261924151383</v>
      </c>
      <c r="R1694" s="64">
        <f t="shared" si="498"/>
        <v>620.81013635718966</v>
      </c>
      <c r="S1694" s="109" t="s">
        <v>2209</v>
      </c>
      <c r="T1694" s="64">
        <f>(T1692/T1855)*100000</f>
        <v>626.27383133504611</v>
      </c>
      <c r="U1694" s="64">
        <f>(U1692/U1855)*100000</f>
        <v>582.92823045164539</v>
      </c>
      <c r="V1694" s="109" t="s">
        <v>2209</v>
      </c>
      <c r="W1694" s="64">
        <f t="shared" ref="W1694:AJ1694" si="499">(W1692/W1855)*100000</f>
        <v>565.74193082788793</v>
      </c>
      <c r="X1694" s="64">
        <f t="shared" si="499"/>
        <v>510.27197579480213</v>
      </c>
      <c r="Y1694" s="64">
        <f t="shared" si="499"/>
        <v>634.48364393974873</v>
      </c>
      <c r="Z1694" s="64">
        <f t="shared" si="499"/>
        <v>679.4964953092109</v>
      </c>
      <c r="AA1694" s="64">
        <f t="shared" si="499"/>
        <v>708.57552785319422</v>
      </c>
      <c r="AB1694" s="64">
        <f t="shared" si="499"/>
        <v>725.85752858428611</v>
      </c>
      <c r="AC1694" s="64">
        <f t="shared" si="499"/>
        <v>790.82048142989242</v>
      </c>
      <c r="AD1694" s="64">
        <f t="shared" si="499"/>
        <v>808.12702647863625</v>
      </c>
      <c r="AE1694" s="64">
        <f t="shared" si="499"/>
        <v>839.34833689891241</v>
      </c>
      <c r="AF1694" s="64">
        <f t="shared" si="499"/>
        <v>878.89148942530403</v>
      </c>
      <c r="AG1694" s="64">
        <f t="shared" si="499"/>
        <v>842.96037960463445</v>
      </c>
      <c r="AH1694" s="64">
        <f t="shared" si="499"/>
        <v>781.33054510317083</v>
      </c>
      <c r="AI1694" s="64">
        <f t="shared" si="499"/>
        <v>706.64921455409387</v>
      </c>
      <c r="AJ1694" s="64">
        <f t="shared" si="499"/>
        <v>734.61257616587636</v>
      </c>
      <c r="AK1694" s="137" t="s">
        <v>432</v>
      </c>
      <c r="AL1694" s="601" t="s">
        <v>432</v>
      </c>
      <c r="AM1694" s="137" t="s">
        <v>432</v>
      </c>
      <c r="AN1694" s="137" t="s">
        <v>432</v>
      </c>
      <c r="AO1694" s="137" t="s">
        <v>432</v>
      </c>
      <c r="AP1694" s="137" t="s">
        <v>432</v>
      </c>
      <c r="AQ1694" s="137" t="s">
        <v>432</v>
      </c>
      <c r="AR1694" s="137" t="s">
        <v>432</v>
      </c>
      <c r="AS1694" s="137" t="s">
        <v>432</v>
      </c>
      <c r="AT1694" s="137" t="s">
        <v>432</v>
      </c>
      <c r="AU1694" s="137" t="s">
        <v>432</v>
      </c>
      <c r="AV1694" s="137" t="s">
        <v>432</v>
      </c>
      <c r="AW1694" s="137" t="s">
        <v>432</v>
      </c>
      <c r="AX1694" s="137" t="s">
        <v>432</v>
      </c>
      <c r="AY1694" s="137" t="s">
        <v>432</v>
      </c>
      <c r="AZ1694" s="137" t="s">
        <v>432</v>
      </c>
      <c r="BA1694" s="137" t="s">
        <v>432</v>
      </c>
      <c r="BB1694" s="239" t="str">
        <f t="shared" si="493"/>
        <v>Acidentes de trânsitox</v>
      </c>
      <c r="BC1694" s="239" t="str">
        <f t="shared" si="494"/>
        <v>Acidentes de trânsitoxx</v>
      </c>
      <c r="BD1694" s="239" t="str">
        <f t="shared" si="495"/>
        <v>Acidentes de trânsitox</v>
      </c>
    </row>
    <row r="1695" spans="1:67" s="4" customFormat="1" ht="25.5" customHeight="1" x14ac:dyDescent="0.25">
      <c r="A1695" s="275" t="str">
        <f>'Q100b-totais'!$B$64</f>
        <v>9.1</v>
      </c>
      <c r="B1695" s="1205" t="str">
        <f>'Q100b-totais'!$C$64</f>
        <v>Acidentes de trânsito</v>
      </c>
      <c r="C1695" s="57" t="s">
        <v>432</v>
      </c>
      <c r="D1695" s="323" t="s">
        <v>291</v>
      </c>
      <c r="E1695" s="1402" t="s">
        <v>1306</v>
      </c>
      <c r="F1695" s="25" t="s">
        <v>788</v>
      </c>
      <c r="G1695" s="404" t="s">
        <v>789</v>
      </c>
      <c r="H1695" s="173" t="s">
        <v>432</v>
      </c>
      <c r="I1695" s="57">
        <v>1</v>
      </c>
      <c r="J1695" s="107" t="s">
        <v>432</v>
      </c>
      <c r="K1695" s="64">
        <f t="shared" ref="K1695:R1695" si="500">(K1692/K277)*1000</f>
        <v>305.5661624320752</v>
      </c>
      <c r="L1695" s="64">
        <f t="shared" si="500"/>
        <v>235.28963801594153</v>
      </c>
      <c r="M1695" s="64">
        <f t="shared" si="500"/>
        <v>271.91533899290613</v>
      </c>
      <c r="N1695" s="64">
        <f t="shared" si="500"/>
        <v>324.54233559437444</v>
      </c>
      <c r="O1695" s="64">
        <f t="shared" si="500"/>
        <v>311.4898695099489</v>
      </c>
      <c r="P1695" s="64">
        <f t="shared" si="500"/>
        <v>506.18470037228292</v>
      </c>
      <c r="Q1695" s="20">
        <f t="shared" si="500"/>
        <v>1189.2594584902276</v>
      </c>
      <c r="R1695" s="20">
        <f t="shared" si="500"/>
        <v>1174.2329086667862</v>
      </c>
      <c r="S1695" s="109" t="s">
        <v>2209</v>
      </c>
      <c r="T1695" s="20">
        <f>(T1692/T277)*1000</f>
        <v>1154.2011319111884</v>
      </c>
      <c r="U1695" s="20">
        <f>(U1692/U277)*1000</f>
        <v>1137.2668642147464</v>
      </c>
      <c r="V1695" s="109" t="s">
        <v>2209</v>
      </c>
      <c r="W1695" s="20">
        <f t="shared" ref="W1695:AJ1695" si="501">(W1692/W277)*1000</f>
        <v>1171.1117221152965</v>
      </c>
      <c r="X1695" s="20">
        <f t="shared" si="501"/>
        <v>1197.5549619889048</v>
      </c>
      <c r="Y1695" s="20">
        <f t="shared" si="501"/>
        <v>1230.549247203297</v>
      </c>
      <c r="Z1695" s="20">
        <f t="shared" si="501"/>
        <v>1221.7547617226346</v>
      </c>
      <c r="AA1695" s="20">
        <f t="shared" si="501"/>
        <v>1238.1197587170811</v>
      </c>
      <c r="AB1695" s="20">
        <f t="shared" si="501"/>
        <v>1262.5018118567907</v>
      </c>
      <c r="AC1695" s="20">
        <f t="shared" si="501"/>
        <v>1272.8970715762791</v>
      </c>
      <c r="AD1695" s="20">
        <f t="shared" si="501"/>
        <v>1251.6699535593866</v>
      </c>
      <c r="AE1695" s="20">
        <f t="shared" si="501"/>
        <v>1257.0067777981315</v>
      </c>
      <c r="AF1695" s="20">
        <f t="shared" si="501"/>
        <v>1240.9344905480916</v>
      </c>
      <c r="AG1695" s="20">
        <f t="shared" si="501"/>
        <v>1234.1966367988218</v>
      </c>
      <c r="AH1695" s="20">
        <f t="shared" si="501"/>
        <v>1226.6710353866317</v>
      </c>
      <c r="AI1695" s="20">
        <f t="shared" si="501"/>
        <v>1238.5295157299399</v>
      </c>
      <c r="AJ1695" s="20">
        <f t="shared" si="501"/>
        <v>1222.8533244236553</v>
      </c>
      <c r="AK1695" s="137" t="s">
        <v>432</v>
      </c>
      <c r="AL1695" s="601" t="s">
        <v>432</v>
      </c>
      <c r="AM1695" s="137" t="s">
        <v>432</v>
      </c>
      <c r="AN1695" s="137" t="s">
        <v>432</v>
      </c>
      <c r="AO1695" s="137" t="s">
        <v>432</v>
      </c>
      <c r="AP1695" s="137" t="s">
        <v>432</v>
      </c>
      <c r="AQ1695" s="137" t="s">
        <v>432</v>
      </c>
      <c r="AR1695" s="137" t="s">
        <v>432</v>
      </c>
      <c r="AS1695" s="137" t="s">
        <v>432</v>
      </c>
      <c r="AT1695" s="137" t="s">
        <v>432</v>
      </c>
      <c r="AU1695" s="137" t="s">
        <v>432</v>
      </c>
      <c r="AV1695" s="137" t="s">
        <v>432</v>
      </c>
      <c r="AW1695" s="137" t="s">
        <v>432</v>
      </c>
      <c r="AX1695" s="137" t="s">
        <v>432</v>
      </c>
      <c r="AY1695" s="137" t="s">
        <v>432</v>
      </c>
      <c r="AZ1695" s="137" t="s">
        <v>432</v>
      </c>
      <c r="BA1695" s="137" t="s">
        <v>432</v>
      </c>
      <c r="BB1695" s="239" t="str">
        <f t="shared" si="493"/>
        <v>Acidentes de trânsitox</v>
      </c>
      <c r="BC1695" s="239" t="str">
        <f t="shared" si="494"/>
        <v>Acidentes de trânsitoxx</v>
      </c>
      <c r="BD1695" s="239" t="str">
        <f t="shared" si="495"/>
        <v>Acidentes de trânsitox</v>
      </c>
    </row>
    <row r="1696" spans="1:67" s="4" customFormat="1" ht="51" customHeight="1" x14ac:dyDescent="0.25">
      <c r="A1696" s="275" t="str">
        <f>'Q100b-totais'!$B$64</f>
        <v>9.1</v>
      </c>
      <c r="B1696" s="1205" t="str">
        <f>'Q100b-totais'!$C$64</f>
        <v>Acidentes de trânsito</v>
      </c>
      <c r="C1696" s="57" t="s">
        <v>432</v>
      </c>
      <c r="D1696" s="324" t="s">
        <v>292</v>
      </c>
      <c r="E1696" s="1402" t="s">
        <v>1306</v>
      </c>
      <c r="F1696" s="14" t="s">
        <v>1539</v>
      </c>
      <c r="G1696" s="409" t="s">
        <v>77</v>
      </c>
      <c r="H1696" s="173" t="s">
        <v>432</v>
      </c>
      <c r="I1696" s="57">
        <v>1</v>
      </c>
      <c r="J1696" s="107" t="s">
        <v>432</v>
      </c>
      <c r="K1696" s="84" t="s">
        <v>432</v>
      </c>
      <c r="L1696" s="84" t="s">
        <v>432</v>
      </c>
      <c r="M1696" s="84" t="s">
        <v>432</v>
      </c>
      <c r="N1696" s="84" t="s">
        <v>432</v>
      </c>
      <c r="O1696" s="84" t="s">
        <v>432</v>
      </c>
      <c r="P1696" s="84" t="s">
        <v>432</v>
      </c>
      <c r="Q1696" s="84" t="s">
        <v>432</v>
      </c>
      <c r="R1696" s="84" t="s">
        <v>432</v>
      </c>
      <c r="S1696" s="109" t="s">
        <v>2209</v>
      </c>
      <c r="T1696" s="84" t="s">
        <v>432</v>
      </c>
      <c r="U1696" s="84" t="s">
        <v>432</v>
      </c>
      <c r="V1696" s="109" t="s">
        <v>2209</v>
      </c>
      <c r="W1696" s="84" t="s">
        <v>432</v>
      </c>
      <c r="X1696" s="84" t="s">
        <v>432</v>
      </c>
      <c r="Y1696" s="84" t="s">
        <v>432</v>
      </c>
      <c r="Z1696" s="159">
        <v>868</v>
      </c>
      <c r="AA1696" s="159">
        <v>761</v>
      </c>
      <c r="AB1696" s="159">
        <v>793</v>
      </c>
      <c r="AC1696" s="159">
        <v>761</v>
      </c>
      <c r="AD1696" s="159">
        <v>361</v>
      </c>
      <c r="AE1696" s="159">
        <v>598</v>
      </c>
      <c r="AF1696" s="159">
        <v>498</v>
      </c>
      <c r="AG1696" s="159">
        <v>375</v>
      </c>
      <c r="AH1696" s="159">
        <v>394</v>
      </c>
      <c r="AI1696" s="159">
        <v>358</v>
      </c>
      <c r="AJ1696" s="159">
        <v>380</v>
      </c>
      <c r="AK1696" s="137" t="s">
        <v>432</v>
      </c>
      <c r="AL1696" s="601" t="s">
        <v>432</v>
      </c>
      <c r="AM1696" s="137" t="s">
        <v>432</v>
      </c>
      <c r="AN1696" s="137" t="s">
        <v>432</v>
      </c>
      <c r="AO1696" s="137" t="s">
        <v>432</v>
      </c>
      <c r="AP1696" s="137" t="s">
        <v>432</v>
      </c>
      <c r="AQ1696" s="137" t="s">
        <v>432</v>
      </c>
      <c r="AR1696" s="137" t="s">
        <v>432</v>
      </c>
      <c r="AS1696" s="137" t="s">
        <v>432</v>
      </c>
      <c r="AT1696" s="137" t="s">
        <v>432</v>
      </c>
      <c r="AU1696" s="137" t="s">
        <v>432</v>
      </c>
      <c r="AV1696" s="137" t="s">
        <v>432</v>
      </c>
      <c r="AW1696" s="137" t="s">
        <v>432</v>
      </c>
      <c r="AX1696" s="137" t="s">
        <v>432</v>
      </c>
      <c r="AY1696" s="137" t="s">
        <v>432</v>
      </c>
      <c r="AZ1696" s="137" t="s">
        <v>432</v>
      </c>
      <c r="BA1696" s="137" t="s">
        <v>432</v>
      </c>
      <c r="BB1696" s="239" t="str">
        <f t="shared" si="493"/>
        <v>Acidentes de trânsitox</v>
      </c>
      <c r="BC1696" s="239" t="str">
        <f t="shared" si="494"/>
        <v>Acidentes de trânsitoxx</v>
      </c>
      <c r="BD1696" s="239" t="str">
        <f t="shared" si="495"/>
        <v>Acidentes de trânsitox</v>
      </c>
    </row>
    <row r="1697" spans="1:67" s="4" customFormat="1" ht="78.75" customHeight="1" x14ac:dyDescent="0.25">
      <c r="A1697" s="275" t="str">
        <f>'Q100b-totais'!$B$64</f>
        <v>9.1</v>
      </c>
      <c r="B1697" s="1205" t="str">
        <f>'Q100b-totais'!$C$64</f>
        <v>Acidentes de trânsito</v>
      </c>
      <c r="C1697" s="57" t="s">
        <v>432</v>
      </c>
      <c r="D1697" s="323" t="s">
        <v>293</v>
      </c>
      <c r="E1697" s="1402" t="s">
        <v>1306</v>
      </c>
      <c r="F1697" s="14" t="s">
        <v>809</v>
      </c>
      <c r="G1697" s="404" t="s">
        <v>790</v>
      </c>
      <c r="H1697" s="173" t="s">
        <v>432</v>
      </c>
      <c r="I1697" s="57">
        <v>1</v>
      </c>
      <c r="J1697" s="107" t="s">
        <v>432</v>
      </c>
      <c r="K1697" s="84" t="s">
        <v>432</v>
      </c>
      <c r="L1697" s="84" t="s">
        <v>432</v>
      </c>
      <c r="M1697" s="84" t="s">
        <v>432</v>
      </c>
      <c r="N1697" s="84" t="s">
        <v>432</v>
      </c>
      <c r="O1697" s="84" t="s">
        <v>432</v>
      </c>
      <c r="P1697" s="84" t="s">
        <v>432</v>
      </c>
      <c r="Q1697" s="84" t="s">
        <v>432</v>
      </c>
      <c r="R1697" s="84" t="s">
        <v>432</v>
      </c>
      <c r="S1697" s="109" t="s">
        <v>2209</v>
      </c>
      <c r="T1697" s="84" t="s">
        <v>432</v>
      </c>
      <c r="U1697" s="84" t="s">
        <v>432</v>
      </c>
      <c r="V1697" s="109" t="s">
        <v>2209</v>
      </c>
      <c r="W1697" s="84" t="s">
        <v>432</v>
      </c>
      <c r="X1697" s="84" t="s">
        <v>432</v>
      </c>
      <c r="Y1697" s="84" t="s">
        <v>432</v>
      </c>
      <c r="Z1697" s="64">
        <f t="shared" ref="Z1697:AJ1697" si="502">(Z1696/Z814)*10000</f>
        <v>10.562784681041627</v>
      </c>
      <c r="AA1697" s="64">
        <f t="shared" si="502"/>
        <v>8.8189246474458152</v>
      </c>
      <c r="AB1697" s="64">
        <f t="shared" si="502"/>
        <v>8.5150979236261204</v>
      </c>
      <c r="AC1697" s="64">
        <f t="shared" si="502"/>
        <v>7.4573846236764618</v>
      </c>
      <c r="AD1697" s="64">
        <f t="shared" si="502"/>
        <v>3.260303144973308</v>
      </c>
      <c r="AE1697" s="64">
        <f t="shared" si="502"/>
        <v>4.9011371785677698</v>
      </c>
      <c r="AF1697" s="64">
        <f t="shared" si="502"/>
        <v>3.7376696305336083</v>
      </c>
      <c r="AG1697" s="64">
        <f t="shared" si="502"/>
        <v>2.6226252128697465</v>
      </c>
      <c r="AH1697" s="64">
        <f t="shared" si="502"/>
        <v>2.6138847701406789</v>
      </c>
      <c r="AI1697" s="64">
        <f t="shared" si="502"/>
        <v>2.2649268485567418</v>
      </c>
      <c r="AJ1697" s="64">
        <f t="shared" si="502"/>
        <v>2.328124664949164</v>
      </c>
      <c r="AK1697" s="137" t="s">
        <v>432</v>
      </c>
      <c r="AL1697" s="601" t="s">
        <v>432</v>
      </c>
      <c r="AM1697" s="137" t="s">
        <v>432</v>
      </c>
      <c r="AN1697" s="137" t="s">
        <v>432</v>
      </c>
      <c r="AO1697" s="137" t="s">
        <v>432</v>
      </c>
      <c r="AP1697" s="137" t="s">
        <v>432</v>
      </c>
      <c r="AQ1697" s="137" t="s">
        <v>432</v>
      </c>
      <c r="AR1697" s="137" t="s">
        <v>432</v>
      </c>
      <c r="AS1697" s="137" t="s">
        <v>432</v>
      </c>
      <c r="AT1697" s="137" t="s">
        <v>432</v>
      </c>
      <c r="AU1697" s="137" t="s">
        <v>432</v>
      </c>
      <c r="AV1697" s="137" t="s">
        <v>432</v>
      </c>
      <c r="AW1697" s="137" t="s">
        <v>432</v>
      </c>
      <c r="AX1697" s="137" t="s">
        <v>432</v>
      </c>
      <c r="AY1697" s="137" t="s">
        <v>432</v>
      </c>
      <c r="AZ1697" s="137" t="s">
        <v>432</v>
      </c>
      <c r="BA1697" s="137" t="s">
        <v>432</v>
      </c>
      <c r="BB1697" s="239" t="str">
        <f t="shared" si="493"/>
        <v>Acidentes de trânsitox</v>
      </c>
      <c r="BC1697" s="239" t="str">
        <f t="shared" si="494"/>
        <v>Acidentes de trânsitoxx</v>
      </c>
      <c r="BD1697" s="239" t="str">
        <f t="shared" si="495"/>
        <v>Acidentes de trânsitox</v>
      </c>
    </row>
    <row r="1698" spans="1:67" s="4" customFormat="1" ht="43.5" customHeight="1" x14ac:dyDescent="0.25">
      <c r="A1698" s="275" t="str">
        <f>'Q100b-totais'!$B$64</f>
        <v>9.1</v>
      </c>
      <c r="B1698" s="1205" t="str">
        <f>'Q100b-totais'!$C$64</f>
        <v>Acidentes de trânsito</v>
      </c>
      <c r="C1698" s="57" t="s">
        <v>432</v>
      </c>
      <c r="D1698" s="323" t="s">
        <v>294</v>
      </c>
      <c r="E1698" s="1402" t="s">
        <v>1306</v>
      </c>
      <c r="F1698" s="14" t="s">
        <v>791</v>
      </c>
      <c r="G1698" s="404" t="s">
        <v>792</v>
      </c>
      <c r="H1698" s="173" t="s">
        <v>432</v>
      </c>
      <c r="I1698" s="57">
        <v>1</v>
      </c>
      <c r="J1698" s="107" t="s">
        <v>432</v>
      </c>
      <c r="K1698" s="84" t="s">
        <v>432</v>
      </c>
      <c r="L1698" s="84" t="s">
        <v>432</v>
      </c>
      <c r="M1698" s="84" t="s">
        <v>432</v>
      </c>
      <c r="N1698" s="84" t="s">
        <v>432</v>
      </c>
      <c r="O1698" s="84" t="s">
        <v>432</v>
      </c>
      <c r="P1698" s="84" t="s">
        <v>432</v>
      </c>
      <c r="Q1698" s="84" t="s">
        <v>432</v>
      </c>
      <c r="R1698" s="84" t="s">
        <v>432</v>
      </c>
      <c r="S1698" s="109" t="s">
        <v>2209</v>
      </c>
      <c r="T1698" s="84" t="s">
        <v>432</v>
      </c>
      <c r="U1698" s="84" t="s">
        <v>432</v>
      </c>
      <c r="V1698" s="109" t="s">
        <v>2209</v>
      </c>
      <c r="W1698" s="84" t="s">
        <v>432</v>
      </c>
      <c r="X1698" s="84" t="s">
        <v>432</v>
      </c>
      <c r="Y1698" s="84" t="s">
        <v>432</v>
      </c>
      <c r="Z1698" s="64">
        <f t="shared" ref="Z1698:AJ1698" si="503">(Z1696/Z1855)*100000</f>
        <v>36.927307658927816</v>
      </c>
      <c r="AA1698" s="64">
        <f t="shared" si="503"/>
        <v>32.037667203153752</v>
      </c>
      <c r="AB1698" s="64">
        <f t="shared" si="503"/>
        <v>33.042768092269739</v>
      </c>
      <c r="AC1698" s="64">
        <f t="shared" si="503"/>
        <v>31.538328601202601</v>
      </c>
      <c r="AD1698" s="64">
        <f t="shared" si="503"/>
        <v>14.827642010611827</v>
      </c>
      <c r="AE1698" s="64">
        <f t="shared" si="503"/>
        <v>24.382119181266379</v>
      </c>
      <c r="AF1698" s="64">
        <f t="shared" si="503"/>
        <v>20.967087987247968</v>
      </c>
      <c r="AG1698" s="64">
        <f t="shared" si="503"/>
        <v>15.719052329773143</v>
      </c>
      <c r="AH1698" s="64">
        <f t="shared" si="503"/>
        <v>16.445549162383102</v>
      </c>
      <c r="AI1698" s="64">
        <f t="shared" si="503"/>
        <v>14.440345842249306</v>
      </c>
      <c r="AJ1698" s="64">
        <f t="shared" si="503"/>
        <v>15.254250215466286</v>
      </c>
      <c r="AK1698" s="137" t="s">
        <v>432</v>
      </c>
      <c r="AL1698" s="601" t="s">
        <v>432</v>
      </c>
      <c r="AM1698" s="137" t="s">
        <v>432</v>
      </c>
      <c r="AN1698" s="137" t="s">
        <v>432</v>
      </c>
      <c r="AO1698" s="137" t="s">
        <v>432</v>
      </c>
      <c r="AP1698" s="137" t="s">
        <v>432</v>
      </c>
      <c r="AQ1698" s="137" t="s">
        <v>432</v>
      </c>
      <c r="AR1698" s="137" t="s">
        <v>432</v>
      </c>
      <c r="AS1698" s="137" t="s">
        <v>432</v>
      </c>
      <c r="AT1698" s="137" t="s">
        <v>432</v>
      </c>
      <c r="AU1698" s="137" t="s">
        <v>432</v>
      </c>
      <c r="AV1698" s="137" t="s">
        <v>432</v>
      </c>
      <c r="AW1698" s="137" t="s">
        <v>432</v>
      </c>
      <c r="AX1698" s="137" t="s">
        <v>432</v>
      </c>
      <c r="AY1698" s="137" t="s">
        <v>432</v>
      </c>
      <c r="AZ1698" s="137" t="s">
        <v>432</v>
      </c>
      <c r="BA1698" s="137" t="s">
        <v>432</v>
      </c>
      <c r="BB1698" s="239" t="str">
        <f t="shared" si="493"/>
        <v>Acidentes de trânsitox</v>
      </c>
      <c r="BC1698" s="239" t="str">
        <f t="shared" si="494"/>
        <v>Acidentes de trânsitoxx</v>
      </c>
      <c r="BD1698" s="239" t="str">
        <f t="shared" si="495"/>
        <v>Acidentes de trânsitox</v>
      </c>
    </row>
    <row r="1699" spans="1:67" s="4" customFormat="1" ht="25.5" customHeight="1" x14ac:dyDescent="0.25">
      <c r="A1699" s="275" t="str">
        <f>'Q100b-totais'!$B$64</f>
        <v>9.1</v>
      </c>
      <c r="B1699" s="1205" t="str">
        <f>'Q100b-totais'!$C$64</f>
        <v>Acidentes de trânsito</v>
      </c>
      <c r="C1699" s="57" t="s">
        <v>432</v>
      </c>
      <c r="D1699" s="323" t="s">
        <v>295</v>
      </c>
      <c r="E1699" s="1402" t="s">
        <v>1306</v>
      </c>
      <c r="F1699" s="14" t="s">
        <v>793</v>
      </c>
      <c r="G1699" s="404" t="s">
        <v>794</v>
      </c>
      <c r="H1699" s="173" t="s">
        <v>432</v>
      </c>
      <c r="I1699" s="57">
        <v>1</v>
      </c>
      <c r="J1699" s="107" t="s">
        <v>432</v>
      </c>
      <c r="K1699" s="84" t="s">
        <v>432</v>
      </c>
      <c r="L1699" s="84" t="s">
        <v>432</v>
      </c>
      <c r="M1699" s="84" t="s">
        <v>432</v>
      </c>
      <c r="N1699" s="84" t="s">
        <v>432</v>
      </c>
      <c r="O1699" s="84" t="s">
        <v>432</v>
      </c>
      <c r="P1699" s="84" t="s">
        <v>432</v>
      </c>
      <c r="Q1699" s="84" t="s">
        <v>432</v>
      </c>
      <c r="R1699" s="84" t="s">
        <v>432</v>
      </c>
      <c r="S1699" s="109" t="s">
        <v>2209</v>
      </c>
      <c r="T1699" s="84" t="s">
        <v>432</v>
      </c>
      <c r="U1699" s="84" t="s">
        <v>432</v>
      </c>
      <c r="V1699" s="109" t="s">
        <v>2209</v>
      </c>
      <c r="W1699" s="84" t="s">
        <v>432</v>
      </c>
      <c r="X1699" s="84" t="s">
        <v>432</v>
      </c>
      <c r="Y1699" s="84" t="s">
        <v>432</v>
      </c>
      <c r="Z1699" s="72">
        <f t="shared" ref="Z1699:AI1699" si="504">(Z1696/Z280)*1000</f>
        <v>897.62150982419848</v>
      </c>
      <c r="AA1699" s="72">
        <f t="shared" si="504"/>
        <v>938.34771886559793</v>
      </c>
      <c r="AB1699" s="72">
        <f t="shared" si="504"/>
        <v>948.56459330143537</v>
      </c>
      <c r="AC1699" s="72">
        <f t="shared" si="504"/>
        <v>938.34771886559793</v>
      </c>
      <c r="AD1699" s="72">
        <f t="shared" si="504"/>
        <v>947.50656167979002</v>
      </c>
      <c r="AE1699" s="72">
        <f t="shared" si="504"/>
        <v>940.25157232704407</v>
      </c>
      <c r="AF1699" s="72">
        <f t="shared" si="504"/>
        <v>950.38167938931292</v>
      </c>
      <c r="AG1699" s="72">
        <f t="shared" si="504"/>
        <v>919.11764705882354</v>
      </c>
      <c r="AH1699" s="72">
        <f t="shared" si="504"/>
        <v>965.68627450980398</v>
      </c>
      <c r="AI1699" s="72">
        <f t="shared" si="504"/>
        <v>952.12765957446811</v>
      </c>
      <c r="AJ1699" s="328" t="s">
        <v>772</v>
      </c>
      <c r="AK1699" s="137" t="s">
        <v>432</v>
      </c>
      <c r="AL1699" s="601" t="s">
        <v>432</v>
      </c>
      <c r="AM1699" s="137" t="s">
        <v>432</v>
      </c>
      <c r="AN1699" s="137" t="s">
        <v>432</v>
      </c>
      <c r="AO1699" s="137" t="s">
        <v>432</v>
      </c>
      <c r="AP1699" s="137" t="s">
        <v>432</v>
      </c>
      <c r="AQ1699" s="137" t="s">
        <v>432</v>
      </c>
      <c r="AR1699" s="137" t="s">
        <v>432</v>
      </c>
      <c r="AS1699" s="137" t="s">
        <v>432</v>
      </c>
      <c r="AT1699" s="137" t="s">
        <v>432</v>
      </c>
      <c r="AU1699" s="137" t="s">
        <v>432</v>
      </c>
      <c r="AV1699" s="137" t="s">
        <v>432</v>
      </c>
      <c r="AW1699" s="137" t="s">
        <v>432</v>
      </c>
      <c r="AX1699" s="137" t="s">
        <v>432</v>
      </c>
      <c r="AY1699" s="137" t="s">
        <v>432</v>
      </c>
      <c r="AZ1699" s="137" t="s">
        <v>432</v>
      </c>
      <c r="BA1699" s="137" t="s">
        <v>432</v>
      </c>
      <c r="BB1699" s="239" t="str">
        <f t="shared" si="493"/>
        <v>Acidentes de trânsitox</v>
      </c>
      <c r="BC1699" s="239" t="str">
        <f t="shared" si="494"/>
        <v>Acidentes de trânsitoxx</v>
      </c>
      <c r="BD1699" s="239" t="str">
        <f t="shared" si="495"/>
        <v>Acidentes de trânsitox</v>
      </c>
    </row>
    <row r="1700" spans="1:67" s="4" customFormat="1" ht="86.25" customHeight="1" x14ac:dyDescent="0.25">
      <c r="A1700" s="275" t="str">
        <f>'Q100b-totais'!$B$64</f>
        <v>9.1</v>
      </c>
      <c r="B1700" s="1205" t="str">
        <f>'Q100b-totais'!$C$64</f>
        <v>Acidentes de trânsito</v>
      </c>
      <c r="C1700" s="57" t="s">
        <v>432</v>
      </c>
      <c r="D1700" s="324" t="s">
        <v>296</v>
      </c>
      <c r="E1700" s="1402" t="s">
        <v>1306</v>
      </c>
      <c r="F1700" s="14" t="s">
        <v>1530</v>
      </c>
      <c r="G1700" s="408" t="s">
        <v>1529</v>
      </c>
      <c r="H1700" s="173" t="s">
        <v>432</v>
      </c>
      <c r="I1700" s="57">
        <v>1</v>
      </c>
      <c r="J1700" s="107" t="s">
        <v>432</v>
      </c>
      <c r="K1700" s="20">
        <f t="shared" ref="K1700:R1700" si="505">K2486-K1553-K1692</f>
        <v>0</v>
      </c>
      <c r="L1700" s="20">
        <f t="shared" si="505"/>
        <v>0</v>
      </c>
      <c r="M1700" s="20">
        <f t="shared" si="505"/>
        <v>0</v>
      </c>
      <c r="N1700" s="20">
        <f t="shared" si="505"/>
        <v>0</v>
      </c>
      <c r="O1700" s="20">
        <f t="shared" si="505"/>
        <v>0</v>
      </c>
      <c r="P1700" s="20">
        <f t="shared" si="505"/>
        <v>0</v>
      </c>
      <c r="Q1700" s="20">
        <f t="shared" si="505"/>
        <v>0</v>
      </c>
      <c r="R1700" s="20">
        <f t="shared" si="505"/>
        <v>0</v>
      </c>
      <c r="S1700" s="109" t="s">
        <v>2209</v>
      </c>
      <c r="T1700" s="20">
        <f>T2486-T1553-T1692</f>
        <v>0</v>
      </c>
      <c r="U1700" s="20">
        <f>U2486-U1553-U1692</f>
        <v>0</v>
      </c>
      <c r="V1700" s="109" t="s">
        <v>2209</v>
      </c>
      <c r="W1700" s="20">
        <f t="shared" ref="W1700:AJ1700" si="506">W2486-W1553-W1692</f>
        <v>0</v>
      </c>
      <c r="X1700" s="20">
        <f t="shared" si="506"/>
        <v>0</v>
      </c>
      <c r="Y1700" s="20">
        <f t="shared" si="506"/>
        <v>16</v>
      </c>
      <c r="Z1700" s="20">
        <f t="shared" si="506"/>
        <v>815</v>
      </c>
      <c r="AA1700" s="20">
        <f t="shared" si="506"/>
        <v>628</v>
      </c>
      <c r="AB1700" s="20">
        <f t="shared" si="506"/>
        <v>579</v>
      </c>
      <c r="AC1700" s="20">
        <f t="shared" si="506"/>
        <v>746</v>
      </c>
      <c r="AD1700" s="20">
        <f t="shared" si="506"/>
        <v>851</v>
      </c>
      <c r="AE1700" s="20">
        <f t="shared" si="506"/>
        <v>1071</v>
      </c>
      <c r="AF1700" s="20">
        <f t="shared" si="506"/>
        <v>1030</v>
      </c>
      <c r="AG1700" s="20">
        <f t="shared" si="506"/>
        <v>1447</v>
      </c>
      <c r="AH1700" s="20">
        <f t="shared" si="506"/>
        <v>1471</v>
      </c>
      <c r="AI1700" s="20">
        <f t="shared" si="506"/>
        <v>2182</v>
      </c>
      <c r="AJ1700" s="20">
        <f t="shared" si="506"/>
        <v>2280</v>
      </c>
      <c r="AK1700" s="137" t="s">
        <v>432</v>
      </c>
      <c r="AL1700" s="601" t="s">
        <v>432</v>
      </c>
      <c r="AM1700" s="137" t="s">
        <v>432</v>
      </c>
      <c r="AN1700" s="137" t="s">
        <v>432</v>
      </c>
      <c r="AO1700" s="137" t="s">
        <v>432</v>
      </c>
      <c r="AP1700" s="137" t="s">
        <v>432</v>
      </c>
      <c r="AQ1700" s="137" t="s">
        <v>432</v>
      </c>
      <c r="AR1700" s="137" t="s">
        <v>432</v>
      </c>
      <c r="AS1700" s="137" t="s">
        <v>432</v>
      </c>
      <c r="AT1700" s="137" t="s">
        <v>432</v>
      </c>
      <c r="AU1700" s="137" t="s">
        <v>432</v>
      </c>
      <c r="AV1700" s="137" t="s">
        <v>432</v>
      </c>
      <c r="AW1700" s="137" t="s">
        <v>432</v>
      </c>
      <c r="AX1700" s="137" t="s">
        <v>432</v>
      </c>
      <c r="AY1700" s="137" t="s">
        <v>432</v>
      </c>
      <c r="AZ1700" s="137" t="s">
        <v>432</v>
      </c>
      <c r="BA1700" s="137" t="s">
        <v>432</v>
      </c>
      <c r="BB1700" s="239" t="str">
        <f t="shared" si="493"/>
        <v>Acidentes de trânsitox</v>
      </c>
      <c r="BC1700" s="239" t="str">
        <f t="shared" si="494"/>
        <v>Acidentes de trânsitoxx</v>
      </c>
      <c r="BD1700" s="239" t="str">
        <f t="shared" si="495"/>
        <v>Acidentes de trânsitox</v>
      </c>
    </row>
    <row r="1701" spans="1:67" s="4" customFormat="1" ht="51" customHeight="1" x14ac:dyDescent="0.25">
      <c r="A1701" s="275" t="str">
        <f>'Q100b-totais'!$B$64</f>
        <v>9.1</v>
      </c>
      <c r="B1701" s="1205" t="str">
        <f>'Q100b-totais'!$C$64</f>
        <v>Acidentes de trânsito</v>
      </c>
      <c r="C1701" s="57" t="s">
        <v>432</v>
      </c>
      <c r="D1701" s="324" t="s">
        <v>297</v>
      </c>
      <c r="E1701" s="1402" t="s">
        <v>1306</v>
      </c>
      <c r="F1701" s="14" t="s">
        <v>1540</v>
      </c>
      <c r="G1701" s="409" t="s">
        <v>77</v>
      </c>
      <c r="H1701" s="173" t="s">
        <v>432</v>
      </c>
      <c r="I1701" s="57">
        <v>1</v>
      </c>
      <c r="J1701" s="107" t="s">
        <v>432</v>
      </c>
      <c r="K1701" s="58" t="s">
        <v>432</v>
      </c>
      <c r="L1701" s="58" t="s">
        <v>432</v>
      </c>
      <c r="M1701" s="58" t="s">
        <v>432</v>
      </c>
      <c r="N1701" s="58" t="s">
        <v>432</v>
      </c>
      <c r="O1701" s="58" t="s">
        <v>432</v>
      </c>
      <c r="P1701" s="58" t="s">
        <v>432</v>
      </c>
      <c r="Q1701" s="58" t="s">
        <v>432</v>
      </c>
      <c r="R1701" s="58" t="s">
        <v>432</v>
      </c>
      <c r="S1701" s="109" t="s">
        <v>2209</v>
      </c>
      <c r="T1701" s="58" t="s">
        <v>432</v>
      </c>
      <c r="U1701" s="58" t="s">
        <v>432</v>
      </c>
      <c r="V1701" s="109" t="s">
        <v>2209</v>
      </c>
      <c r="W1701" s="58" t="s">
        <v>432</v>
      </c>
      <c r="X1701" s="58" t="s">
        <v>432</v>
      </c>
      <c r="Y1701" s="58" t="s">
        <v>432</v>
      </c>
      <c r="Z1701" s="23">
        <f t="shared" ref="Z1701:AI1701" si="507">Z2506-Z1585-Z1696</f>
        <v>313</v>
      </c>
      <c r="AA1701" s="23">
        <f t="shared" si="507"/>
        <v>218</v>
      </c>
      <c r="AB1701" s="23">
        <f t="shared" si="507"/>
        <v>195</v>
      </c>
      <c r="AC1701" s="23">
        <f t="shared" si="507"/>
        <v>250</v>
      </c>
      <c r="AD1701" s="23">
        <f t="shared" si="507"/>
        <v>114</v>
      </c>
      <c r="AE1701" s="23">
        <f t="shared" si="507"/>
        <v>187</v>
      </c>
      <c r="AF1701" s="23">
        <f t="shared" si="507"/>
        <v>157</v>
      </c>
      <c r="AG1701" s="23">
        <f t="shared" si="507"/>
        <v>152</v>
      </c>
      <c r="AH1701" s="23">
        <f t="shared" si="507"/>
        <v>130</v>
      </c>
      <c r="AI1701" s="23">
        <f t="shared" si="507"/>
        <v>134</v>
      </c>
      <c r="AJ1701" s="328" t="s">
        <v>772</v>
      </c>
      <c r="AK1701" s="137" t="s">
        <v>432</v>
      </c>
      <c r="AL1701" s="601" t="s">
        <v>432</v>
      </c>
      <c r="AM1701" s="137" t="s">
        <v>432</v>
      </c>
      <c r="AN1701" s="137" t="s">
        <v>432</v>
      </c>
      <c r="AO1701" s="137" t="s">
        <v>432</v>
      </c>
      <c r="AP1701" s="137" t="s">
        <v>432</v>
      </c>
      <c r="AQ1701" s="137" t="s">
        <v>432</v>
      </c>
      <c r="AR1701" s="137" t="s">
        <v>432</v>
      </c>
      <c r="AS1701" s="137" t="s">
        <v>432</v>
      </c>
      <c r="AT1701" s="137" t="s">
        <v>432</v>
      </c>
      <c r="AU1701" s="137" t="s">
        <v>432</v>
      </c>
      <c r="AV1701" s="137" t="s">
        <v>432</v>
      </c>
      <c r="AW1701" s="137" t="s">
        <v>432</v>
      </c>
      <c r="AX1701" s="137" t="s">
        <v>432</v>
      </c>
      <c r="AY1701" s="137" t="s">
        <v>432</v>
      </c>
      <c r="AZ1701" s="137" t="s">
        <v>432</v>
      </c>
      <c r="BA1701" s="137" t="s">
        <v>432</v>
      </c>
      <c r="BB1701" s="239" t="str">
        <f t="shared" si="493"/>
        <v>Acidentes de trânsitox</v>
      </c>
      <c r="BC1701" s="239" t="str">
        <f t="shared" si="494"/>
        <v>Acidentes de trânsitoxx</v>
      </c>
      <c r="BD1701" s="239" t="str">
        <f t="shared" si="495"/>
        <v>Acidentes de trânsitox</v>
      </c>
    </row>
    <row r="1702" spans="1:67" s="4" customFormat="1" ht="99.75" customHeight="1" x14ac:dyDescent="0.25">
      <c r="A1702" s="262" t="str">
        <f>'Q100b-totais'!B61</f>
        <v>8.9</v>
      </c>
      <c r="B1702" s="53" t="str">
        <f>'Q100b-totais'!C61</f>
        <v>Metrô</v>
      </c>
      <c r="C1702" s="57" t="s">
        <v>432</v>
      </c>
      <c r="D1702" s="324" t="s">
        <v>5477</v>
      </c>
      <c r="E1702" s="254" t="s">
        <v>432</v>
      </c>
      <c r="F1702" s="1205" t="s">
        <v>5480</v>
      </c>
      <c r="G1702" s="230" t="s">
        <v>4610</v>
      </c>
      <c r="H1702" s="167" t="s">
        <v>2408</v>
      </c>
      <c r="I1702" s="167" t="s">
        <v>432</v>
      </c>
      <c r="J1702" s="109" t="s">
        <v>432</v>
      </c>
      <c r="K1702" s="109" t="s">
        <v>432</v>
      </c>
      <c r="L1702" s="109" t="s">
        <v>432</v>
      </c>
      <c r="M1702" s="109" t="s">
        <v>432</v>
      </c>
      <c r="N1702" s="109" t="s">
        <v>432</v>
      </c>
      <c r="O1702" s="109" t="s">
        <v>432</v>
      </c>
      <c r="P1702" s="109" t="s">
        <v>432</v>
      </c>
      <c r="Q1702" s="109" t="s">
        <v>432</v>
      </c>
      <c r="R1702" s="109" t="s">
        <v>432</v>
      </c>
      <c r="S1702" s="109" t="s">
        <v>2209</v>
      </c>
      <c r="T1702" s="109" t="s">
        <v>432</v>
      </c>
      <c r="U1702" s="109" t="s">
        <v>432</v>
      </c>
      <c r="V1702" s="109" t="s">
        <v>2209</v>
      </c>
      <c r="W1702" s="109" t="s">
        <v>432</v>
      </c>
      <c r="X1702" s="109" t="s">
        <v>432</v>
      </c>
      <c r="Y1702" s="109" t="s">
        <v>432</v>
      </c>
      <c r="Z1702" s="109" t="s">
        <v>432</v>
      </c>
      <c r="AA1702" s="109" t="s">
        <v>432</v>
      </c>
      <c r="AB1702" s="109" t="s">
        <v>432</v>
      </c>
      <c r="AC1702" s="109" t="s">
        <v>432</v>
      </c>
      <c r="AD1702" s="109" t="s">
        <v>432</v>
      </c>
      <c r="AE1702" s="109" t="s">
        <v>432</v>
      </c>
      <c r="AF1702" s="109" t="s">
        <v>432</v>
      </c>
      <c r="AG1702" s="109" t="s">
        <v>432</v>
      </c>
      <c r="AH1702" s="109" t="s">
        <v>432</v>
      </c>
      <c r="AI1702" s="109" t="s">
        <v>432</v>
      </c>
      <c r="AJ1702" s="136" t="s">
        <v>432</v>
      </c>
      <c r="AK1702" s="136" t="s">
        <v>432</v>
      </c>
      <c r="AL1702" s="601" t="s">
        <v>432</v>
      </c>
      <c r="AM1702" s="109" t="s">
        <v>432</v>
      </c>
      <c r="AN1702" s="109" t="s">
        <v>432</v>
      </c>
      <c r="AO1702" s="109" t="s">
        <v>432</v>
      </c>
      <c r="AP1702" s="109" t="s">
        <v>432</v>
      </c>
      <c r="AQ1702" s="109" t="s">
        <v>432</v>
      </c>
      <c r="AR1702" s="109" t="s">
        <v>432</v>
      </c>
      <c r="AS1702" s="109" t="s">
        <v>432</v>
      </c>
      <c r="AT1702" s="109" t="s">
        <v>432</v>
      </c>
      <c r="AU1702" s="109" t="s">
        <v>432</v>
      </c>
      <c r="AV1702" s="109" t="s">
        <v>432</v>
      </c>
      <c r="AW1702" s="137" t="s">
        <v>432</v>
      </c>
      <c r="AX1702" s="109" t="s">
        <v>432</v>
      </c>
      <c r="AY1702" s="109" t="s">
        <v>432</v>
      </c>
      <c r="AZ1702" s="109" t="s">
        <v>432</v>
      </c>
      <c r="BA1702" s="109" t="s">
        <v>432</v>
      </c>
      <c r="BB1702" s="239" t="str">
        <f t="shared" si="493"/>
        <v>Metrôx</v>
      </c>
      <c r="BC1702" s="239" t="str">
        <f t="shared" si="494"/>
        <v>Metrôxsigla/verbete</v>
      </c>
      <c r="BD1702" s="239" t="str">
        <f t="shared" si="495"/>
        <v>Metrôsigla/verbete</v>
      </c>
    </row>
    <row r="1703" spans="1:67" s="4" customFormat="1" ht="39.75" customHeight="1" x14ac:dyDescent="0.25">
      <c r="A1703" s="262" t="s">
        <v>432</v>
      </c>
      <c r="B1703" s="53" t="s">
        <v>742</v>
      </c>
      <c r="C1703" s="57" t="s">
        <v>432</v>
      </c>
      <c r="D1703" s="324" t="s">
        <v>5479</v>
      </c>
      <c r="E1703" s="254" t="s">
        <v>432</v>
      </c>
      <c r="F1703" s="859" t="s">
        <v>5478</v>
      </c>
      <c r="G1703" s="230" t="s">
        <v>4610</v>
      </c>
      <c r="H1703" s="167" t="s">
        <v>2408</v>
      </c>
      <c r="I1703" s="167" t="s">
        <v>432</v>
      </c>
      <c r="J1703" s="109" t="s">
        <v>432</v>
      </c>
      <c r="K1703" s="109" t="s">
        <v>432</v>
      </c>
      <c r="L1703" s="109" t="s">
        <v>432</v>
      </c>
      <c r="M1703" s="109" t="s">
        <v>432</v>
      </c>
      <c r="N1703" s="109" t="s">
        <v>432</v>
      </c>
      <c r="O1703" s="109" t="s">
        <v>432</v>
      </c>
      <c r="P1703" s="109" t="s">
        <v>432</v>
      </c>
      <c r="Q1703" s="109" t="s">
        <v>432</v>
      </c>
      <c r="R1703" s="109" t="s">
        <v>432</v>
      </c>
      <c r="S1703" s="109" t="s">
        <v>2209</v>
      </c>
      <c r="T1703" s="109" t="s">
        <v>432</v>
      </c>
      <c r="U1703" s="109" t="s">
        <v>432</v>
      </c>
      <c r="V1703" s="109" t="s">
        <v>2209</v>
      </c>
      <c r="W1703" s="109" t="s">
        <v>432</v>
      </c>
      <c r="X1703" s="109" t="s">
        <v>432</v>
      </c>
      <c r="Y1703" s="109" t="s">
        <v>432</v>
      </c>
      <c r="Z1703" s="109" t="s">
        <v>432</v>
      </c>
      <c r="AA1703" s="109" t="s">
        <v>432</v>
      </c>
      <c r="AB1703" s="109" t="s">
        <v>432</v>
      </c>
      <c r="AC1703" s="109" t="s">
        <v>432</v>
      </c>
      <c r="AD1703" s="109" t="s">
        <v>432</v>
      </c>
      <c r="AE1703" s="109" t="s">
        <v>432</v>
      </c>
      <c r="AF1703" s="109" t="s">
        <v>432</v>
      </c>
      <c r="AG1703" s="109" t="s">
        <v>432</v>
      </c>
      <c r="AH1703" s="109" t="s">
        <v>432</v>
      </c>
      <c r="AI1703" s="109" t="s">
        <v>432</v>
      </c>
      <c r="AJ1703" s="136" t="s">
        <v>432</v>
      </c>
      <c r="AK1703" s="136" t="s">
        <v>432</v>
      </c>
      <c r="AL1703" s="601" t="s">
        <v>432</v>
      </c>
      <c r="AM1703" s="109" t="s">
        <v>432</v>
      </c>
      <c r="AN1703" s="109" t="s">
        <v>432</v>
      </c>
      <c r="AO1703" s="109" t="s">
        <v>432</v>
      </c>
      <c r="AP1703" s="109" t="s">
        <v>432</v>
      </c>
      <c r="AQ1703" s="109" t="s">
        <v>432</v>
      </c>
      <c r="AR1703" s="109" t="s">
        <v>432</v>
      </c>
      <c r="AS1703" s="109" t="s">
        <v>432</v>
      </c>
      <c r="AT1703" s="109" t="s">
        <v>432</v>
      </c>
      <c r="AU1703" s="109" t="s">
        <v>432</v>
      </c>
      <c r="AV1703" s="109" t="s">
        <v>432</v>
      </c>
      <c r="AW1703" s="137" t="s">
        <v>432</v>
      </c>
      <c r="AX1703" s="109" t="s">
        <v>432</v>
      </c>
      <c r="AY1703" s="109" t="s">
        <v>432</v>
      </c>
      <c r="AZ1703" s="109" t="s">
        <v>432</v>
      </c>
      <c r="BA1703" s="109" t="s">
        <v>432</v>
      </c>
      <c r="BB1703" s="239" t="str">
        <f>B1703&amp;C1703</f>
        <v>geralx</v>
      </c>
      <c r="BC1703" s="239" t="str">
        <f>B1703&amp;C1703&amp;H1703</f>
        <v>geralxsigla/verbete</v>
      </c>
      <c r="BD1703" s="239" t="str">
        <f>B1703&amp;H1703</f>
        <v>geralsigla/verbete</v>
      </c>
    </row>
    <row r="1704" spans="1:67" s="4" customFormat="1" x14ac:dyDescent="0.25">
      <c r="A1704" s="402"/>
      <c r="B1704" s="399"/>
      <c r="C1704" s="399"/>
      <c r="D1704" s="959"/>
      <c r="E1704" s="1493"/>
      <c r="F1704" s="221"/>
      <c r="G1704" s="221"/>
      <c r="H1704" s="399"/>
      <c r="I1704" s="399"/>
      <c r="J1704" s="221"/>
      <c r="K1704" s="221"/>
      <c r="L1704" s="221"/>
      <c r="M1704" s="221"/>
      <c r="N1704" s="221"/>
      <c r="O1704" s="221"/>
      <c r="P1704" s="221"/>
      <c r="Q1704" s="221"/>
      <c r="R1704" s="221"/>
      <c r="S1704" s="221"/>
      <c r="T1704" s="221"/>
      <c r="U1704" s="221"/>
      <c r="V1704" s="221"/>
      <c r="W1704" s="221"/>
      <c r="X1704" s="221"/>
      <c r="Y1704" s="221"/>
      <c r="Z1704" s="221"/>
      <c r="AA1704" s="221"/>
      <c r="AB1704" s="221"/>
      <c r="AC1704" s="221"/>
      <c r="AD1704" s="221"/>
      <c r="AE1704" s="221"/>
      <c r="AF1704" s="221"/>
      <c r="AG1704" s="221"/>
      <c r="AH1704" s="221"/>
      <c r="AI1704" s="221"/>
      <c r="AJ1704" s="221"/>
      <c r="AK1704" s="223"/>
      <c r="AL1704" s="601" t="s">
        <v>432</v>
      </c>
      <c r="AM1704" s="223"/>
      <c r="AN1704" s="223"/>
      <c r="AO1704" s="223"/>
      <c r="AP1704" s="223"/>
      <c r="AQ1704" s="223"/>
      <c r="AR1704" s="223"/>
      <c r="AS1704" s="223"/>
      <c r="AT1704" s="223"/>
      <c r="AU1704" s="223"/>
      <c r="AV1704" s="223"/>
      <c r="AW1704" s="223"/>
      <c r="AX1704" s="223"/>
      <c r="AY1704" s="223"/>
      <c r="AZ1704" s="223"/>
      <c r="BA1704" s="223"/>
      <c r="BB1704" s="400"/>
      <c r="BC1704" s="400"/>
      <c r="BD1704" s="400"/>
    </row>
    <row r="1705" spans="1:67" s="4" customFormat="1" ht="78.75" customHeight="1" x14ac:dyDescent="0.25">
      <c r="A1705" s="275" t="str">
        <f>'Q100b-totais'!$B$57</f>
        <v>8.5</v>
      </c>
      <c r="B1705" s="1205" t="str">
        <f>'Q100b-totais'!$C$57</f>
        <v>Transporte convencional</v>
      </c>
      <c r="C1705" s="57" t="s">
        <v>432</v>
      </c>
      <c r="D1705" s="901" t="s">
        <v>953</v>
      </c>
      <c r="E1705" s="1402" t="s">
        <v>1306</v>
      </c>
      <c r="F1705" s="102" t="s">
        <v>2347</v>
      </c>
      <c r="G1705" s="110" t="s">
        <v>77</v>
      </c>
      <c r="H1705" s="173" t="s">
        <v>432</v>
      </c>
      <c r="I1705" s="167">
        <v>1</v>
      </c>
      <c r="J1705" s="107" t="s">
        <v>432</v>
      </c>
      <c r="K1705" s="107" t="s">
        <v>432</v>
      </c>
      <c r="L1705" s="107" t="s">
        <v>432</v>
      </c>
      <c r="M1705" s="93">
        <v>191</v>
      </c>
      <c r="N1705" s="93">
        <v>227</v>
      </c>
      <c r="O1705" s="622" t="s">
        <v>2148</v>
      </c>
      <c r="P1705" s="622" t="s">
        <v>2148</v>
      </c>
      <c r="Q1705" s="622" t="s">
        <v>2148</v>
      </c>
      <c r="R1705" s="622" t="s">
        <v>2148</v>
      </c>
      <c r="S1705" s="109" t="s">
        <v>2209</v>
      </c>
      <c r="T1705" s="110">
        <v>286</v>
      </c>
      <c r="U1705" s="622" t="s">
        <v>2148</v>
      </c>
      <c r="V1705" s="109" t="s">
        <v>2209</v>
      </c>
      <c r="W1705" s="84">
        <v>283</v>
      </c>
      <c r="X1705" s="84">
        <v>294</v>
      </c>
      <c r="Y1705" s="84">
        <v>272</v>
      </c>
      <c r="Z1705" s="84">
        <v>266</v>
      </c>
      <c r="AA1705" s="84">
        <v>265</v>
      </c>
      <c r="AB1705" s="84">
        <v>263</v>
      </c>
      <c r="AC1705" s="84">
        <v>273</v>
      </c>
      <c r="AD1705" s="84">
        <v>268</v>
      </c>
      <c r="AE1705" s="84">
        <v>312</v>
      </c>
      <c r="AF1705" s="84">
        <v>314</v>
      </c>
      <c r="AG1705" s="84">
        <v>309</v>
      </c>
      <c r="AH1705" s="84">
        <v>310</v>
      </c>
      <c r="AI1705" s="622" t="s">
        <v>2213</v>
      </c>
      <c r="AJ1705" s="622" t="s">
        <v>2213</v>
      </c>
      <c r="AK1705" s="622" t="s">
        <v>2213</v>
      </c>
      <c r="AL1705" s="601" t="s">
        <v>432</v>
      </c>
      <c r="AM1705" s="137" t="s">
        <v>432</v>
      </c>
      <c r="AN1705" s="137" t="s">
        <v>432</v>
      </c>
      <c r="AO1705" s="137" t="s">
        <v>432</v>
      </c>
      <c r="AP1705" s="137" t="s">
        <v>432</v>
      </c>
      <c r="AQ1705" s="137" t="s">
        <v>432</v>
      </c>
      <c r="AR1705" s="137" t="s">
        <v>432</v>
      </c>
      <c r="AS1705" s="137" t="s">
        <v>432</v>
      </c>
      <c r="AT1705" s="137" t="s">
        <v>432</v>
      </c>
      <c r="AU1705" s="137" t="s">
        <v>432</v>
      </c>
      <c r="AV1705" s="137" t="s">
        <v>432</v>
      </c>
      <c r="AW1705" s="137" t="s">
        <v>432</v>
      </c>
      <c r="AX1705" s="137" t="s">
        <v>432</v>
      </c>
      <c r="AY1705" s="137" t="s">
        <v>432</v>
      </c>
      <c r="AZ1705" s="137" t="s">
        <v>432</v>
      </c>
      <c r="BA1705" s="137" t="s">
        <v>432</v>
      </c>
      <c r="BB1705" s="239" t="str">
        <f t="shared" ref="BB1705:BB1711" si="508">B1705&amp;C1705</f>
        <v>Transporte convencionalx</v>
      </c>
      <c r="BC1705" s="239" t="str">
        <f t="shared" ref="BC1705:BC1711" si="509">B1705&amp;C1705&amp;H1705</f>
        <v>Transporte convencionalxx</v>
      </c>
      <c r="BD1705" s="239" t="str">
        <f t="shared" ref="BD1705:BD1711" si="510">B1705&amp;H1705</f>
        <v>Transporte convencionalx</v>
      </c>
    </row>
    <row r="1706" spans="1:67" s="1" customFormat="1" ht="63.75" customHeight="1" x14ac:dyDescent="0.25">
      <c r="A1706" s="275" t="str">
        <f>'Q100b-totais'!$B$59</f>
        <v>8.7</v>
      </c>
      <c r="B1706" s="53" t="str">
        <f>'Q100b-totais'!$C$59</f>
        <v>Transporte de baixa capacidade</v>
      </c>
      <c r="C1706" s="229" t="s">
        <v>432</v>
      </c>
      <c r="D1706" s="939" t="s">
        <v>1402</v>
      </c>
      <c r="E1706" s="1402" t="s">
        <v>1306</v>
      </c>
      <c r="F1706" s="102" t="s">
        <v>2658</v>
      </c>
      <c r="G1706" s="110" t="s">
        <v>77</v>
      </c>
      <c r="H1706" s="167" t="s">
        <v>432</v>
      </c>
      <c r="I1706" s="167">
        <v>1</v>
      </c>
      <c r="J1706" s="109" t="s">
        <v>432</v>
      </c>
      <c r="K1706" s="109" t="s">
        <v>432</v>
      </c>
      <c r="L1706" s="109" t="s">
        <v>432</v>
      </c>
      <c r="M1706" s="109" t="s">
        <v>432</v>
      </c>
      <c r="N1706" s="109" t="s">
        <v>432</v>
      </c>
      <c r="O1706" s="109" t="s">
        <v>432</v>
      </c>
      <c r="P1706" s="109" t="s">
        <v>432</v>
      </c>
      <c r="Q1706" s="109" t="s">
        <v>432</v>
      </c>
      <c r="R1706" s="109" t="s">
        <v>432</v>
      </c>
      <c r="S1706" s="109" t="s">
        <v>2209</v>
      </c>
      <c r="T1706" s="109" t="s">
        <v>432</v>
      </c>
      <c r="U1706" s="109" t="s">
        <v>432</v>
      </c>
      <c r="V1706" s="109" t="s">
        <v>2209</v>
      </c>
      <c r="W1706" s="110" t="s">
        <v>432</v>
      </c>
      <c r="X1706" s="110" t="s">
        <v>432</v>
      </c>
      <c r="Y1706" s="110" t="s">
        <v>432</v>
      </c>
      <c r="Z1706" s="110" t="s">
        <v>432</v>
      </c>
      <c r="AA1706" s="110">
        <v>27</v>
      </c>
      <c r="AB1706" s="88">
        <v>26</v>
      </c>
      <c r="AC1706" s="88">
        <v>26</v>
      </c>
      <c r="AD1706" s="88">
        <v>25</v>
      </c>
      <c r="AE1706" s="88">
        <v>25</v>
      </c>
      <c r="AF1706" s="88">
        <v>25</v>
      </c>
      <c r="AG1706" s="88">
        <v>25</v>
      </c>
      <c r="AH1706" s="88">
        <v>25</v>
      </c>
      <c r="AI1706" s="88">
        <v>25</v>
      </c>
      <c r="AJ1706" s="88">
        <v>24</v>
      </c>
      <c r="AK1706" s="88">
        <v>24</v>
      </c>
      <c r="AL1706" s="601" t="s">
        <v>432</v>
      </c>
      <c r="AM1706" s="137" t="s">
        <v>432</v>
      </c>
      <c r="AN1706" s="137" t="s">
        <v>432</v>
      </c>
      <c r="AO1706" s="137" t="s">
        <v>432</v>
      </c>
      <c r="AP1706" s="137" t="s">
        <v>432</v>
      </c>
      <c r="AQ1706" s="137" t="s">
        <v>432</v>
      </c>
      <c r="AR1706" s="137" t="s">
        <v>432</v>
      </c>
      <c r="AS1706" s="137" t="s">
        <v>432</v>
      </c>
      <c r="AT1706" s="137" t="s">
        <v>432</v>
      </c>
      <c r="AU1706" s="137" t="s">
        <v>432</v>
      </c>
      <c r="AV1706" s="137" t="s">
        <v>432</v>
      </c>
      <c r="AW1706" s="137" t="s">
        <v>432</v>
      </c>
      <c r="AX1706" s="137" t="s">
        <v>432</v>
      </c>
      <c r="AY1706" s="137" t="s">
        <v>432</v>
      </c>
      <c r="AZ1706" s="137" t="s">
        <v>432</v>
      </c>
      <c r="BA1706" s="137" t="s">
        <v>432</v>
      </c>
      <c r="BB1706" s="239" t="str">
        <f t="shared" si="508"/>
        <v>Transporte de baixa capacidadex</v>
      </c>
      <c r="BC1706" s="239" t="str">
        <f t="shared" si="509"/>
        <v>Transporte de baixa capacidadexx</v>
      </c>
      <c r="BD1706" s="239" t="str">
        <f t="shared" si="510"/>
        <v>Transporte de baixa capacidadex</v>
      </c>
      <c r="BM1706" s="19"/>
      <c r="BN1706" s="19"/>
      <c r="BO1706" s="19"/>
    </row>
    <row r="1707" spans="1:67" s="1" customFormat="1" ht="141" customHeight="1" x14ac:dyDescent="0.25">
      <c r="A1707" s="275" t="str">
        <f>'Q100b-totais'!B60</f>
        <v>8.8</v>
      </c>
      <c r="B1707" s="53" t="str">
        <f>'Q100b-totais'!C60</f>
        <v>Transporte em vilas e favelas</v>
      </c>
      <c r="C1707" s="229" t="s">
        <v>743</v>
      </c>
      <c r="D1707" s="939" t="s">
        <v>2338</v>
      </c>
      <c r="E1707" s="1402" t="s">
        <v>1306</v>
      </c>
      <c r="F1707" s="102" t="s">
        <v>5040</v>
      </c>
      <c r="G1707" s="110" t="s">
        <v>77</v>
      </c>
      <c r="H1707" s="173" t="s">
        <v>432</v>
      </c>
      <c r="I1707" s="167">
        <v>1</v>
      </c>
      <c r="J1707" s="109" t="s">
        <v>2343</v>
      </c>
      <c r="K1707" s="109" t="s">
        <v>2343</v>
      </c>
      <c r="L1707" s="109" t="s">
        <v>2343</v>
      </c>
      <c r="M1707" s="195" t="s">
        <v>2345</v>
      </c>
      <c r="N1707" s="195" t="s">
        <v>2345</v>
      </c>
      <c r="O1707" s="195" t="s">
        <v>2345</v>
      </c>
      <c r="P1707" s="110">
        <v>1</v>
      </c>
      <c r="Q1707" s="109" t="s">
        <v>432</v>
      </c>
      <c r="R1707" s="109" t="s">
        <v>432</v>
      </c>
      <c r="S1707" s="109" t="s">
        <v>2209</v>
      </c>
      <c r="T1707" s="109" t="s">
        <v>432</v>
      </c>
      <c r="U1707" s="109" t="s">
        <v>432</v>
      </c>
      <c r="V1707" s="109" t="s">
        <v>2209</v>
      </c>
      <c r="W1707" s="109" t="s">
        <v>432</v>
      </c>
      <c r="X1707" s="109" t="s">
        <v>432</v>
      </c>
      <c r="Y1707" s="109" t="s">
        <v>432</v>
      </c>
      <c r="Z1707" s="109" t="s">
        <v>432</v>
      </c>
      <c r="AA1707" s="109" t="s">
        <v>432</v>
      </c>
      <c r="AB1707" s="109" t="s">
        <v>432</v>
      </c>
      <c r="AC1707" s="109" t="s">
        <v>432</v>
      </c>
      <c r="AD1707" s="109" t="s">
        <v>432</v>
      </c>
      <c r="AE1707" s="110">
        <v>13</v>
      </c>
      <c r="AF1707" s="109" t="s">
        <v>432</v>
      </c>
      <c r="AG1707" s="109" t="s">
        <v>432</v>
      </c>
      <c r="AH1707" s="109" t="s">
        <v>432</v>
      </c>
      <c r="AI1707" s="109" t="s">
        <v>432</v>
      </c>
      <c r="AJ1707" s="109" t="s">
        <v>432</v>
      </c>
      <c r="AK1707" s="109" t="s">
        <v>432</v>
      </c>
      <c r="AL1707" s="601" t="s">
        <v>432</v>
      </c>
      <c r="AM1707" s="137" t="s">
        <v>432</v>
      </c>
      <c r="AN1707" s="137" t="s">
        <v>432</v>
      </c>
      <c r="AO1707" s="137" t="s">
        <v>432</v>
      </c>
      <c r="AP1707" s="137" t="s">
        <v>432</v>
      </c>
      <c r="AQ1707" s="137" t="s">
        <v>432</v>
      </c>
      <c r="AR1707" s="137" t="s">
        <v>432</v>
      </c>
      <c r="AS1707" s="137" t="s">
        <v>432</v>
      </c>
      <c r="AT1707" s="137" t="s">
        <v>432</v>
      </c>
      <c r="AU1707" s="137" t="s">
        <v>432</v>
      </c>
      <c r="AV1707" s="137" t="s">
        <v>432</v>
      </c>
      <c r="AW1707" s="137" t="s">
        <v>432</v>
      </c>
      <c r="AX1707" s="137" t="s">
        <v>432</v>
      </c>
      <c r="AY1707" s="137" t="s">
        <v>432</v>
      </c>
      <c r="AZ1707" s="137" t="s">
        <v>432</v>
      </c>
      <c r="BA1707" s="137" t="s">
        <v>432</v>
      </c>
      <c r="BB1707" s="239" t="str">
        <f t="shared" si="508"/>
        <v>Transporte em vilas e favelasacessibilidade</v>
      </c>
      <c r="BC1707" s="239" t="str">
        <f t="shared" si="509"/>
        <v>Transporte em vilas e favelasacessibilidadex</v>
      </c>
      <c r="BD1707" s="239" t="str">
        <f t="shared" si="510"/>
        <v>Transporte em vilas e favelasx</v>
      </c>
      <c r="BM1707" s="657"/>
      <c r="BN1707" s="657"/>
      <c r="BO1707" s="657"/>
    </row>
    <row r="1708" spans="1:67" s="1" customFormat="1" ht="195" customHeight="1" x14ac:dyDescent="0.25">
      <c r="A1708" s="262" t="s">
        <v>604</v>
      </c>
      <c r="B1708" s="53" t="s">
        <v>736</v>
      </c>
      <c r="C1708" s="229" t="s">
        <v>432</v>
      </c>
      <c r="D1708" s="325" t="s">
        <v>1311</v>
      </c>
      <c r="E1708" s="509" t="s">
        <v>1306</v>
      </c>
      <c r="F1708" s="188" t="s">
        <v>1928</v>
      </c>
      <c r="G1708" s="167" t="s">
        <v>432</v>
      </c>
      <c r="H1708" s="167" t="s">
        <v>432</v>
      </c>
      <c r="I1708" s="167">
        <v>1</v>
      </c>
      <c r="J1708" s="109" t="s">
        <v>432</v>
      </c>
      <c r="K1708" s="109" t="s">
        <v>432</v>
      </c>
      <c r="L1708" s="109" t="s">
        <v>432</v>
      </c>
      <c r="M1708" s="109" t="s">
        <v>432</v>
      </c>
      <c r="N1708" s="109" t="s">
        <v>432</v>
      </c>
      <c r="O1708" s="109" t="s">
        <v>432</v>
      </c>
      <c r="P1708" s="109" t="s">
        <v>432</v>
      </c>
      <c r="Q1708" s="109" t="s">
        <v>432</v>
      </c>
      <c r="R1708" s="109" t="s">
        <v>432</v>
      </c>
      <c r="S1708" s="109" t="s">
        <v>2209</v>
      </c>
      <c r="T1708" s="109" t="s">
        <v>432</v>
      </c>
      <c r="U1708" s="109" t="s">
        <v>432</v>
      </c>
      <c r="V1708" s="109" t="s">
        <v>2209</v>
      </c>
      <c r="W1708" s="109" t="s">
        <v>432</v>
      </c>
      <c r="X1708" s="109" t="s">
        <v>432</v>
      </c>
      <c r="Y1708" s="109" t="s">
        <v>432</v>
      </c>
      <c r="Z1708" s="109" t="s">
        <v>432</v>
      </c>
      <c r="AA1708" s="109" t="s">
        <v>432</v>
      </c>
      <c r="AB1708" s="109" t="s">
        <v>432</v>
      </c>
      <c r="AC1708" s="109" t="s">
        <v>432</v>
      </c>
      <c r="AD1708" s="109" t="s">
        <v>432</v>
      </c>
      <c r="AE1708" s="109" t="s">
        <v>432</v>
      </c>
      <c r="AF1708" s="109" t="s">
        <v>432</v>
      </c>
      <c r="AG1708" s="109" t="s">
        <v>432</v>
      </c>
      <c r="AH1708" s="109" t="s">
        <v>432</v>
      </c>
      <c r="AI1708" s="109" t="s">
        <v>432</v>
      </c>
      <c r="AJ1708" s="109" t="s">
        <v>432</v>
      </c>
      <c r="AK1708" s="109" t="s">
        <v>432</v>
      </c>
      <c r="AL1708" s="601" t="s">
        <v>432</v>
      </c>
      <c r="AM1708" s="137" t="s">
        <v>432</v>
      </c>
      <c r="AN1708" s="137" t="s">
        <v>432</v>
      </c>
      <c r="AO1708" s="137" t="s">
        <v>432</v>
      </c>
      <c r="AP1708" s="137" t="s">
        <v>432</v>
      </c>
      <c r="AQ1708" s="137" t="s">
        <v>432</v>
      </c>
      <c r="AR1708" s="137" t="s">
        <v>432</v>
      </c>
      <c r="AS1708" s="137" t="s">
        <v>432</v>
      </c>
      <c r="AT1708" s="137" t="s">
        <v>432</v>
      </c>
      <c r="AU1708" s="137" t="s">
        <v>432</v>
      </c>
      <c r="AV1708" s="137" t="s">
        <v>432</v>
      </c>
      <c r="AW1708" s="137" t="s">
        <v>432</v>
      </c>
      <c r="AX1708" s="137" t="s">
        <v>432</v>
      </c>
      <c r="AY1708" s="137" t="s">
        <v>432</v>
      </c>
      <c r="AZ1708" s="137" t="s">
        <v>432</v>
      </c>
      <c r="BA1708" s="137" t="s">
        <v>432</v>
      </c>
      <c r="BB1708" s="239" t="str">
        <f t="shared" si="508"/>
        <v>Poluição do arx</v>
      </c>
      <c r="BC1708" s="239" t="str">
        <f t="shared" si="509"/>
        <v>Poluição do arxx</v>
      </c>
      <c r="BD1708" s="239" t="str">
        <f t="shared" si="510"/>
        <v>Poluição do arx</v>
      </c>
    </row>
    <row r="1709" spans="1:67" s="1" customFormat="1" ht="25.5" x14ac:dyDescent="0.25">
      <c r="A1709" s="262" t="s">
        <v>604</v>
      </c>
      <c r="B1709" s="252" t="s">
        <v>736</v>
      </c>
      <c r="C1709" s="167" t="s">
        <v>432</v>
      </c>
      <c r="D1709" s="325" t="s">
        <v>1317</v>
      </c>
      <c r="E1709" s="1445" t="s">
        <v>432</v>
      </c>
      <c r="F1709" s="102" t="s">
        <v>1320</v>
      </c>
      <c r="G1709" s="167" t="s">
        <v>2044</v>
      </c>
      <c r="H1709" s="168" t="s">
        <v>765</v>
      </c>
      <c r="I1709" s="167" t="s">
        <v>432</v>
      </c>
      <c r="J1709" s="109" t="s">
        <v>432</v>
      </c>
      <c r="K1709" s="109" t="s">
        <v>432</v>
      </c>
      <c r="L1709" s="109" t="s">
        <v>432</v>
      </c>
      <c r="M1709" s="109" t="s">
        <v>432</v>
      </c>
      <c r="N1709" s="109" t="s">
        <v>432</v>
      </c>
      <c r="O1709" s="109" t="s">
        <v>432</v>
      </c>
      <c r="P1709" s="109" t="s">
        <v>432</v>
      </c>
      <c r="Q1709" s="109" t="s">
        <v>432</v>
      </c>
      <c r="R1709" s="109" t="s">
        <v>432</v>
      </c>
      <c r="S1709" s="109" t="s">
        <v>2209</v>
      </c>
      <c r="T1709" s="109" t="s">
        <v>432</v>
      </c>
      <c r="U1709" s="109" t="s">
        <v>432</v>
      </c>
      <c r="V1709" s="109" t="s">
        <v>2209</v>
      </c>
      <c r="W1709" s="109" t="s">
        <v>432</v>
      </c>
      <c r="X1709" s="109" t="s">
        <v>432</v>
      </c>
      <c r="Y1709" s="109" t="s">
        <v>432</v>
      </c>
      <c r="Z1709" s="109" t="s">
        <v>432</v>
      </c>
      <c r="AA1709" s="109" t="s">
        <v>432</v>
      </c>
      <c r="AB1709" s="109" t="s">
        <v>432</v>
      </c>
      <c r="AC1709" s="109" t="s">
        <v>432</v>
      </c>
      <c r="AD1709" s="109" t="s">
        <v>432</v>
      </c>
      <c r="AE1709" s="109" t="s">
        <v>432</v>
      </c>
      <c r="AF1709" s="109" t="s">
        <v>432</v>
      </c>
      <c r="AG1709" s="109" t="s">
        <v>432</v>
      </c>
      <c r="AH1709" s="109" t="s">
        <v>432</v>
      </c>
      <c r="AI1709" s="109" t="s">
        <v>432</v>
      </c>
      <c r="AJ1709" s="109" t="s">
        <v>432</v>
      </c>
      <c r="AK1709" s="109" t="s">
        <v>432</v>
      </c>
      <c r="AL1709" s="601" t="s">
        <v>432</v>
      </c>
      <c r="AM1709" s="137" t="s">
        <v>432</v>
      </c>
      <c r="AN1709" s="137" t="s">
        <v>432</v>
      </c>
      <c r="AO1709" s="137" t="s">
        <v>432</v>
      </c>
      <c r="AP1709" s="137" t="s">
        <v>432</v>
      </c>
      <c r="AQ1709" s="137" t="s">
        <v>432</v>
      </c>
      <c r="AR1709" s="137" t="s">
        <v>432</v>
      </c>
      <c r="AS1709" s="137" t="s">
        <v>432</v>
      </c>
      <c r="AT1709" s="137" t="s">
        <v>432</v>
      </c>
      <c r="AU1709" s="137" t="s">
        <v>432</v>
      </c>
      <c r="AV1709" s="137" t="s">
        <v>432</v>
      </c>
      <c r="AW1709" s="137" t="s">
        <v>432</v>
      </c>
      <c r="AX1709" s="137" t="s">
        <v>432</v>
      </c>
      <c r="AY1709" s="137" t="s">
        <v>432</v>
      </c>
      <c r="AZ1709" s="137" t="s">
        <v>432</v>
      </c>
      <c r="BA1709" s="137" t="s">
        <v>432</v>
      </c>
      <c r="BB1709" s="239" t="str">
        <f t="shared" si="508"/>
        <v>Poluição do arx</v>
      </c>
      <c r="BC1709" s="239" t="str">
        <f t="shared" si="509"/>
        <v>Poluição do arxmeta/RPI</v>
      </c>
      <c r="BD1709" s="239" t="str">
        <f t="shared" si="510"/>
        <v>Poluição do armeta/RPI</v>
      </c>
    </row>
    <row r="1710" spans="1:67" s="1" customFormat="1" ht="25.5" x14ac:dyDescent="0.25">
      <c r="A1710" s="262" t="s">
        <v>604</v>
      </c>
      <c r="B1710" s="252" t="s">
        <v>736</v>
      </c>
      <c r="C1710" s="167" t="s">
        <v>432</v>
      </c>
      <c r="D1710" s="325" t="s">
        <v>1318</v>
      </c>
      <c r="E1710" s="1445" t="s">
        <v>432</v>
      </c>
      <c r="F1710" s="102" t="s">
        <v>1326</v>
      </c>
      <c r="G1710" s="167" t="s">
        <v>2452</v>
      </c>
      <c r="H1710" s="168" t="s">
        <v>765</v>
      </c>
      <c r="I1710" s="167" t="s">
        <v>432</v>
      </c>
      <c r="J1710" s="109" t="s">
        <v>432</v>
      </c>
      <c r="K1710" s="109" t="s">
        <v>432</v>
      </c>
      <c r="L1710" s="109" t="s">
        <v>432</v>
      </c>
      <c r="M1710" s="109" t="s">
        <v>432</v>
      </c>
      <c r="N1710" s="109" t="s">
        <v>432</v>
      </c>
      <c r="O1710" s="109" t="s">
        <v>432</v>
      </c>
      <c r="P1710" s="109" t="s">
        <v>432</v>
      </c>
      <c r="Q1710" s="109" t="s">
        <v>432</v>
      </c>
      <c r="R1710" s="109" t="s">
        <v>432</v>
      </c>
      <c r="S1710" s="109" t="s">
        <v>2209</v>
      </c>
      <c r="T1710" s="109" t="s">
        <v>432</v>
      </c>
      <c r="U1710" s="109" t="s">
        <v>432</v>
      </c>
      <c r="V1710" s="109" t="s">
        <v>2209</v>
      </c>
      <c r="W1710" s="109" t="s">
        <v>432</v>
      </c>
      <c r="X1710" s="109" t="s">
        <v>432</v>
      </c>
      <c r="Y1710" s="109" t="s">
        <v>432</v>
      </c>
      <c r="Z1710" s="109" t="s">
        <v>432</v>
      </c>
      <c r="AA1710" s="109" t="s">
        <v>432</v>
      </c>
      <c r="AB1710" s="109" t="s">
        <v>432</v>
      </c>
      <c r="AC1710" s="109" t="s">
        <v>432</v>
      </c>
      <c r="AD1710" s="109" t="s">
        <v>432</v>
      </c>
      <c r="AE1710" s="109" t="s">
        <v>432</v>
      </c>
      <c r="AF1710" s="109" t="s">
        <v>432</v>
      </c>
      <c r="AG1710" s="109" t="s">
        <v>432</v>
      </c>
      <c r="AH1710" s="109" t="s">
        <v>432</v>
      </c>
      <c r="AI1710" s="109" t="s">
        <v>432</v>
      </c>
      <c r="AJ1710" s="109" t="s">
        <v>432</v>
      </c>
      <c r="AK1710" s="109" t="s">
        <v>432</v>
      </c>
      <c r="AL1710" s="601" t="s">
        <v>432</v>
      </c>
      <c r="AM1710" s="137" t="s">
        <v>432</v>
      </c>
      <c r="AN1710" s="137" t="s">
        <v>432</v>
      </c>
      <c r="AO1710" s="137" t="s">
        <v>432</v>
      </c>
      <c r="AP1710" s="137" t="s">
        <v>432</v>
      </c>
      <c r="AQ1710" s="137" t="s">
        <v>432</v>
      </c>
      <c r="AR1710" s="137" t="s">
        <v>432</v>
      </c>
      <c r="AS1710" s="137" t="s">
        <v>432</v>
      </c>
      <c r="AT1710" s="137" t="s">
        <v>432</v>
      </c>
      <c r="AU1710" s="137" t="s">
        <v>432</v>
      </c>
      <c r="AV1710" s="137" t="s">
        <v>432</v>
      </c>
      <c r="AW1710" s="137" t="s">
        <v>432</v>
      </c>
      <c r="AX1710" s="137" t="s">
        <v>432</v>
      </c>
      <c r="AY1710" s="137" t="s">
        <v>432</v>
      </c>
      <c r="AZ1710" s="137" t="s">
        <v>432</v>
      </c>
      <c r="BA1710" s="137" t="s">
        <v>432</v>
      </c>
      <c r="BB1710" s="239" t="str">
        <f t="shared" si="508"/>
        <v>Poluição do arx</v>
      </c>
      <c r="BC1710" s="239" t="str">
        <f t="shared" si="509"/>
        <v>Poluição do arxmeta/RPI</v>
      </c>
      <c r="BD1710" s="239" t="str">
        <f t="shared" si="510"/>
        <v>Poluição do armeta/RPI</v>
      </c>
    </row>
    <row r="1711" spans="1:67" s="1" customFormat="1" ht="51" x14ac:dyDescent="0.25">
      <c r="A1711" s="262" t="s">
        <v>604</v>
      </c>
      <c r="B1711" s="53" t="s">
        <v>736</v>
      </c>
      <c r="C1711" s="229" t="s">
        <v>432</v>
      </c>
      <c r="D1711" s="325" t="s">
        <v>1312</v>
      </c>
      <c r="E1711" s="1512" t="s">
        <v>1298</v>
      </c>
      <c r="F1711" s="188" t="s">
        <v>1929</v>
      </c>
      <c r="G1711" s="167" t="s">
        <v>432</v>
      </c>
      <c r="H1711" s="167" t="s">
        <v>819</v>
      </c>
      <c r="I1711" s="167" t="s">
        <v>432</v>
      </c>
      <c r="J1711" s="109" t="s">
        <v>432</v>
      </c>
      <c r="K1711" s="109" t="s">
        <v>432</v>
      </c>
      <c r="L1711" s="109" t="s">
        <v>432</v>
      </c>
      <c r="M1711" s="109" t="s">
        <v>432</v>
      </c>
      <c r="N1711" s="109" t="s">
        <v>432</v>
      </c>
      <c r="O1711" s="109" t="s">
        <v>432</v>
      </c>
      <c r="P1711" s="109" t="s">
        <v>432</v>
      </c>
      <c r="Q1711" s="109" t="s">
        <v>432</v>
      </c>
      <c r="R1711" s="109" t="s">
        <v>432</v>
      </c>
      <c r="S1711" s="109" t="s">
        <v>2209</v>
      </c>
      <c r="T1711" s="109" t="s">
        <v>432</v>
      </c>
      <c r="U1711" s="109" t="s">
        <v>432</v>
      </c>
      <c r="V1711" s="109" t="s">
        <v>2209</v>
      </c>
      <c r="W1711" s="109" t="s">
        <v>432</v>
      </c>
      <c r="X1711" s="109" t="s">
        <v>432</v>
      </c>
      <c r="Y1711" s="109" t="s">
        <v>432</v>
      </c>
      <c r="Z1711" s="109" t="s">
        <v>432</v>
      </c>
      <c r="AA1711" s="109" t="s">
        <v>432</v>
      </c>
      <c r="AB1711" s="109" t="s">
        <v>432</v>
      </c>
      <c r="AC1711" s="109" t="s">
        <v>432</v>
      </c>
      <c r="AD1711" s="109" t="s">
        <v>432</v>
      </c>
      <c r="AE1711" s="109" t="s">
        <v>432</v>
      </c>
      <c r="AF1711" s="109" t="s">
        <v>432</v>
      </c>
      <c r="AG1711" s="109" t="s">
        <v>432</v>
      </c>
      <c r="AH1711" s="109" t="s">
        <v>432</v>
      </c>
      <c r="AI1711" s="109" t="s">
        <v>432</v>
      </c>
      <c r="AJ1711" s="109" t="s">
        <v>432</v>
      </c>
      <c r="AK1711" s="109" t="s">
        <v>432</v>
      </c>
      <c r="AL1711" s="601" t="s">
        <v>432</v>
      </c>
      <c r="AM1711" s="137" t="s">
        <v>432</v>
      </c>
      <c r="AN1711" s="137" t="s">
        <v>432</v>
      </c>
      <c r="AO1711" s="137" t="s">
        <v>432</v>
      </c>
      <c r="AP1711" s="137" t="s">
        <v>432</v>
      </c>
      <c r="AQ1711" s="137" t="s">
        <v>432</v>
      </c>
      <c r="AR1711" s="137" t="s">
        <v>432</v>
      </c>
      <c r="AS1711" s="137" t="s">
        <v>432</v>
      </c>
      <c r="AT1711" s="137" t="s">
        <v>432</v>
      </c>
      <c r="AU1711" s="137" t="s">
        <v>432</v>
      </c>
      <c r="AV1711" s="137" t="s">
        <v>432</v>
      </c>
      <c r="AW1711" s="137" t="s">
        <v>432</v>
      </c>
      <c r="AX1711" s="137" t="s">
        <v>432</v>
      </c>
      <c r="AY1711" s="137" t="s">
        <v>432</v>
      </c>
      <c r="AZ1711" s="137" t="s">
        <v>432</v>
      </c>
      <c r="BA1711" s="137" t="s">
        <v>432</v>
      </c>
      <c r="BB1711" s="239" t="str">
        <f t="shared" si="508"/>
        <v>Poluição do arx</v>
      </c>
      <c r="BC1711" s="239" t="str">
        <f t="shared" si="509"/>
        <v>Poluição do arxbenchmarking</v>
      </c>
      <c r="BD1711" s="239" t="str">
        <f t="shared" si="510"/>
        <v>Poluição do arbenchmarking</v>
      </c>
    </row>
    <row r="1712" spans="1:67" s="1" customFormat="1" ht="47.25" customHeight="1" x14ac:dyDescent="0.25">
      <c r="A1712" s="262" t="str">
        <f>'Q100b-totais'!B34</f>
        <v>3.9</v>
      </c>
      <c r="B1712" s="53" t="str">
        <f>'Q100b-totais'!C34</f>
        <v>Verbetes gerais</v>
      </c>
      <c r="C1712" s="229" t="s">
        <v>432</v>
      </c>
      <c r="D1712" s="325" t="s">
        <v>4350</v>
      </c>
      <c r="E1712" s="1498" t="s">
        <v>1306</v>
      </c>
      <c r="F1712" s="188" t="s">
        <v>3266</v>
      </c>
      <c r="G1712" s="230" t="s">
        <v>3507</v>
      </c>
      <c r="H1712" s="168" t="s">
        <v>2408</v>
      </c>
      <c r="I1712" s="167" t="s">
        <v>432</v>
      </c>
      <c r="J1712" s="109" t="s">
        <v>432</v>
      </c>
      <c r="K1712" s="109" t="s">
        <v>432</v>
      </c>
      <c r="L1712" s="109" t="s">
        <v>432</v>
      </c>
      <c r="M1712" s="109" t="s">
        <v>432</v>
      </c>
      <c r="N1712" s="109" t="s">
        <v>432</v>
      </c>
      <c r="O1712" s="109" t="s">
        <v>432</v>
      </c>
      <c r="P1712" s="109" t="s">
        <v>432</v>
      </c>
      <c r="Q1712" s="109" t="s">
        <v>432</v>
      </c>
      <c r="R1712" s="109" t="s">
        <v>432</v>
      </c>
      <c r="S1712" s="109" t="s">
        <v>2209</v>
      </c>
      <c r="T1712" s="109" t="s">
        <v>432</v>
      </c>
      <c r="U1712" s="109" t="s">
        <v>432</v>
      </c>
      <c r="V1712" s="109" t="s">
        <v>2209</v>
      </c>
      <c r="W1712" s="109" t="s">
        <v>432</v>
      </c>
      <c r="X1712" s="109" t="s">
        <v>432</v>
      </c>
      <c r="Y1712" s="109" t="s">
        <v>432</v>
      </c>
      <c r="Z1712" s="109" t="s">
        <v>432</v>
      </c>
      <c r="AA1712" s="109" t="s">
        <v>432</v>
      </c>
      <c r="AB1712" s="109" t="s">
        <v>432</v>
      </c>
      <c r="AC1712" s="109" t="s">
        <v>432</v>
      </c>
      <c r="AD1712" s="109" t="s">
        <v>432</v>
      </c>
      <c r="AE1712" s="109" t="s">
        <v>432</v>
      </c>
      <c r="AF1712" s="109" t="s">
        <v>432</v>
      </c>
      <c r="AG1712" s="109" t="s">
        <v>432</v>
      </c>
      <c r="AH1712" s="109" t="s">
        <v>432</v>
      </c>
      <c r="AI1712" s="109" t="s">
        <v>432</v>
      </c>
      <c r="AJ1712" s="109" t="s">
        <v>432</v>
      </c>
      <c r="AK1712" s="109" t="s">
        <v>432</v>
      </c>
      <c r="AL1712" s="601" t="s">
        <v>432</v>
      </c>
      <c r="AM1712" s="137" t="s">
        <v>432</v>
      </c>
      <c r="AN1712" s="137" t="s">
        <v>432</v>
      </c>
      <c r="AO1712" s="137" t="s">
        <v>432</v>
      </c>
      <c r="AP1712" s="137" t="s">
        <v>432</v>
      </c>
      <c r="AQ1712" s="137" t="s">
        <v>432</v>
      </c>
      <c r="AR1712" s="137" t="s">
        <v>432</v>
      </c>
      <c r="AS1712" s="137" t="s">
        <v>432</v>
      </c>
      <c r="AT1712" s="137" t="s">
        <v>432</v>
      </c>
      <c r="AU1712" s="137" t="s">
        <v>432</v>
      </c>
      <c r="AV1712" s="137" t="s">
        <v>432</v>
      </c>
      <c r="AW1712" s="137" t="s">
        <v>432</v>
      </c>
      <c r="AX1712" s="137" t="s">
        <v>432</v>
      </c>
      <c r="AY1712" s="137" t="s">
        <v>432</v>
      </c>
      <c r="AZ1712" s="137" t="s">
        <v>432</v>
      </c>
      <c r="BA1712" s="137" t="s">
        <v>432</v>
      </c>
      <c r="BB1712" s="239" t="str">
        <f t="shared" ref="BB1712:BB1728" si="511">B1712&amp;C1712</f>
        <v>Verbetes geraisx</v>
      </c>
      <c r="BC1712" s="239" t="str">
        <f t="shared" ref="BC1712:BC1728" si="512">B1712&amp;C1712&amp;H1712</f>
        <v>Verbetes geraisxsigla/verbete</v>
      </c>
      <c r="BD1712" s="239" t="str">
        <f t="shared" ref="BD1712:BD1728" si="513">B1712&amp;H1712</f>
        <v>Verbetes geraissigla/verbete</v>
      </c>
    </row>
    <row r="1713" spans="1:67" s="1" customFormat="1" ht="54.75" customHeight="1" x14ac:dyDescent="0.25">
      <c r="A1713" s="262" t="str">
        <f>'Q100b-totais'!B33</f>
        <v>3.8</v>
      </c>
      <c r="B1713" s="53" t="str">
        <f>'Q100b-totais'!C33</f>
        <v>Relatórios e outros documentos</v>
      </c>
      <c r="C1713" s="229" t="s">
        <v>743</v>
      </c>
      <c r="D1713" s="325" t="s">
        <v>6235</v>
      </c>
      <c r="E1713" s="1498" t="s">
        <v>1306</v>
      </c>
      <c r="F1713" s="188" t="s">
        <v>6348</v>
      </c>
      <c r="G1713" s="230" t="s">
        <v>3507</v>
      </c>
      <c r="H1713" s="168" t="s">
        <v>2408</v>
      </c>
      <c r="I1713" s="167" t="s">
        <v>432</v>
      </c>
      <c r="J1713" s="109" t="s">
        <v>432</v>
      </c>
      <c r="K1713" s="109" t="s">
        <v>432</v>
      </c>
      <c r="L1713" s="109" t="s">
        <v>432</v>
      </c>
      <c r="M1713" s="109" t="s">
        <v>432</v>
      </c>
      <c r="N1713" s="109" t="s">
        <v>432</v>
      </c>
      <c r="O1713" s="109" t="s">
        <v>432</v>
      </c>
      <c r="P1713" s="109" t="s">
        <v>432</v>
      </c>
      <c r="Q1713" s="109" t="s">
        <v>432</v>
      </c>
      <c r="R1713" s="109" t="s">
        <v>432</v>
      </c>
      <c r="S1713" s="109" t="s">
        <v>2209</v>
      </c>
      <c r="T1713" s="109" t="s">
        <v>432</v>
      </c>
      <c r="U1713" s="109" t="s">
        <v>432</v>
      </c>
      <c r="V1713" s="109" t="s">
        <v>2209</v>
      </c>
      <c r="W1713" s="109" t="s">
        <v>432</v>
      </c>
      <c r="X1713" s="109" t="s">
        <v>432</v>
      </c>
      <c r="Y1713" s="109" t="s">
        <v>432</v>
      </c>
      <c r="Z1713" s="109" t="s">
        <v>432</v>
      </c>
      <c r="AA1713" s="109" t="s">
        <v>432</v>
      </c>
      <c r="AB1713" s="109" t="s">
        <v>432</v>
      </c>
      <c r="AC1713" s="109" t="s">
        <v>432</v>
      </c>
      <c r="AD1713" s="109" t="s">
        <v>432</v>
      </c>
      <c r="AE1713" s="109" t="s">
        <v>432</v>
      </c>
      <c r="AF1713" s="109" t="s">
        <v>432</v>
      </c>
      <c r="AG1713" s="109" t="s">
        <v>432</v>
      </c>
      <c r="AH1713" s="109" t="s">
        <v>432</v>
      </c>
      <c r="AI1713" s="109" t="s">
        <v>432</v>
      </c>
      <c r="AJ1713" s="109" t="s">
        <v>432</v>
      </c>
      <c r="AK1713" s="109" t="s">
        <v>432</v>
      </c>
      <c r="AL1713" s="601" t="s">
        <v>432</v>
      </c>
      <c r="AM1713" s="137" t="s">
        <v>432</v>
      </c>
      <c r="AN1713" s="137" t="s">
        <v>432</v>
      </c>
      <c r="AO1713" s="137" t="s">
        <v>432</v>
      </c>
      <c r="AP1713" s="137" t="s">
        <v>432</v>
      </c>
      <c r="AQ1713" s="137" t="s">
        <v>432</v>
      </c>
      <c r="AR1713" s="137" t="s">
        <v>432</v>
      </c>
      <c r="AS1713" s="137" t="s">
        <v>432</v>
      </c>
      <c r="AT1713" s="137" t="s">
        <v>432</v>
      </c>
      <c r="AU1713" s="137" t="s">
        <v>432</v>
      </c>
      <c r="AV1713" s="137" t="s">
        <v>432</v>
      </c>
      <c r="AW1713" s="137" t="s">
        <v>432</v>
      </c>
      <c r="AX1713" s="137" t="s">
        <v>432</v>
      </c>
      <c r="AY1713" s="137" t="s">
        <v>432</v>
      </c>
      <c r="AZ1713" s="137" t="s">
        <v>432</v>
      </c>
      <c r="BA1713" s="137" t="s">
        <v>432</v>
      </c>
      <c r="BB1713" s="239" t="str">
        <f t="shared" ref="BB1713:BB1720" si="514">B1713&amp;C1713</f>
        <v>Relatórios e outros documentosacessibilidade</v>
      </c>
      <c r="BC1713" s="239" t="str">
        <f t="shared" ref="BC1713:BC1720" si="515">B1713&amp;C1713&amp;H1713</f>
        <v>Relatórios e outros documentosacessibilidadesigla/verbete</v>
      </c>
      <c r="BD1713" s="239" t="str">
        <f t="shared" ref="BD1713:BD1720" si="516">B1713&amp;H1713</f>
        <v>Relatórios e outros documentossigla/verbete</v>
      </c>
    </row>
    <row r="1714" spans="1:67" s="1" customFormat="1" ht="131.25" customHeight="1" x14ac:dyDescent="0.25">
      <c r="A1714" s="262" t="str">
        <f>'Q100b-totais'!B33</f>
        <v>3.8</v>
      </c>
      <c r="B1714" s="53" t="str">
        <f>'Q100b-totais'!C33</f>
        <v>Relatórios e outros documentos</v>
      </c>
      <c r="C1714" s="229" t="s">
        <v>743</v>
      </c>
      <c r="D1714" s="325" t="s">
        <v>4349</v>
      </c>
      <c r="E1714" s="1498" t="s">
        <v>1306</v>
      </c>
      <c r="F1714" s="188" t="s">
        <v>6347</v>
      </c>
      <c r="G1714" s="230" t="s">
        <v>3507</v>
      </c>
      <c r="H1714" s="168" t="s">
        <v>2408</v>
      </c>
      <c r="I1714" s="167" t="s">
        <v>432</v>
      </c>
      <c r="J1714" s="109" t="s">
        <v>432</v>
      </c>
      <c r="K1714" s="109" t="s">
        <v>432</v>
      </c>
      <c r="L1714" s="109" t="s">
        <v>432</v>
      </c>
      <c r="M1714" s="109" t="s">
        <v>432</v>
      </c>
      <c r="N1714" s="109" t="s">
        <v>432</v>
      </c>
      <c r="O1714" s="109" t="s">
        <v>432</v>
      </c>
      <c r="P1714" s="109" t="s">
        <v>432</v>
      </c>
      <c r="Q1714" s="109" t="s">
        <v>432</v>
      </c>
      <c r="R1714" s="109" t="s">
        <v>432</v>
      </c>
      <c r="S1714" s="109" t="s">
        <v>2209</v>
      </c>
      <c r="T1714" s="109" t="s">
        <v>432</v>
      </c>
      <c r="U1714" s="109" t="s">
        <v>432</v>
      </c>
      <c r="V1714" s="109" t="s">
        <v>2209</v>
      </c>
      <c r="W1714" s="109" t="s">
        <v>432</v>
      </c>
      <c r="X1714" s="109" t="s">
        <v>432</v>
      </c>
      <c r="Y1714" s="109" t="s">
        <v>432</v>
      </c>
      <c r="Z1714" s="109" t="s">
        <v>432</v>
      </c>
      <c r="AA1714" s="109" t="s">
        <v>432</v>
      </c>
      <c r="AB1714" s="109" t="s">
        <v>432</v>
      </c>
      <c r="AC1714" s="109" t="s">
        <v>432</v>
      </c>
      <c r="AD1714" s="109" t="s">
        <v>432</v>
      </c>
      <c r="AE1714" s="109" t="s">
        <v>432</v>
      </c>
      <c r="AF1714" s="109" t="s">
        <v>432</v>
      </c>
      <c r="AG1714" s="109" t="s">
        <v>432</v>
      </c>
      <c r="AH1714" s="109" t="s">
        <v>432</v>
      </c>
      <c r="AI1714" s="109" t="s">
        <v>432</v>
      </c>
      <c r="AJ1714" s="109" t="s">
        <v>432</v>
      </c>
      <c r="AK1714" s="109" t="s">
        <v>432</v>
      </c>
      <c r="AL1714" s="601" t="s">
        <v>432</v>
      </c>
      <c r="AM1714" s="137" t="s">
        <v>432</v>
      </c>
      <c r="AN1714" s="137" t="s">
        <v>432</v>
      </c>
      <c r="AO1714" s="137" t="s">
        <v>432</v>
      </c>
      <c r="AP1714" s="137" t="s">
        <v>432</v>
      </c>
      <c r="AQ1714" s="137" t="s">
        <v>432</v>
      </c>
      <c r="AR1714" s="137" t="s">
        <v>432</v>
      </c>
      <c r="AS1714" s="137" t="s">
        <v>432</v>
      </c>
      <c r="AT1714" s="137" t="s">
        <v>432</v>
      </c>
      <c r="AU1714" s="137" t="s">
        <v>432</v>
      </c>
      <c r="AV1714" s="137" t="s">
        <v>432</v>
      </c>
      <c r="AW1714" s="137" t="s">
        <v>432</v>
      </c>
      <c r="AX1714" s="137" t="s">
        <v>432</v>
      </c>
      <c r="AY1714" s="137" t="s">
        <v>432</v>
      </c>
      <c r="AZ1714" s="137" t="s">
        <v>432</v>
      </c>
      <c r="BA1714" s="137" t="s">
        <v>432</v>
      </c>
      <c r="BB1714" s="239" t="str">
        <f t="shared" si="514"/>
        <v>Relatórios e outros documentosacessibilidade</v>
      </c>
      <c r="BC1714" s="239" t="str">
        <f t="shared" si="515"/>
        <v>Relatórios e outros documentosacessibilidadesigla/verbete</v>
      </c>
      <c r="BD1714" s="239" t="str">
        <f t="shared" si="516"/>
        <v>Relatórios e outros documentossigla/verbete</v>
      </c>
    </row>
    <row r="1715" spans="1:67" s="1" customFormat="1" ht="168" customHeight="1" x14ac:dyDescent="0.25">
      <c r="A1715" s="607" t="s">
        <v>6236</v>
      </c>
      <c r="B1715" s="1561" t="s">
        <v>6051</v>
      </c>
      <c r="C1715" s="229" t="s">
        <v>743</v>
      </c>
      <c r="D1715" s="325" t="s">
        <v>5327</v>
      </c>
      <c r="E1715" s="1498" t="s">
        <v>1306</v>
      </c>
      <c r="F1715" s="188" t="s">
        <v>5494</v>
      </c>
      <c r="G1715" s="230" t="s">
        <v>3507</v>
      </c>
      <c r="H1715" s="168" t="s">
        <v>2408</v>
      </c>
      <c r="I1715" s="167" t="s">
        <v>432</v>
      </c>
      <c r="J1715" s="109" t="s">
        <v>432</v>
      </c>
      <c r="K1715" s="109" t="s">
        <v>432</v>
      </c>
      <c r="L1715" s="109" t="s">
        <v>432</v>
      </c>
      <c r="M1715" s="109" t="s">
        <v>432</v>
      </c>
      <c r="N1715" s="109" t="s">
        <v>432</v>
      </c>
      <c r="O1715" s="109" t="s">
        <v>432</v>
      </c>
      <c r="P1715" s="109" t="s">
        <v>432</v>
      </c>
      <c r="Q1715" s="109" t="s">
        <v>432</v>
      </c>
      <c r="R1715" s="109" t="s">
        <v>432</v>
      </c>
      <c r="S1715" s="109" t="s">
        <v>2209</v>
      </c>
      <c r="T1715" s="109" t="s">
        <v>432</v>
      </c>
      <c r="U1715" s="109" t="s">
        <v>432</v>
      </c>
      <c r="V1715" s="109" t="s">
        <v>2209</v>
      </c>
      <c r="W1715" s="109" t="s">
        <v>432</v>
      </c>
      <c r="X1715" s="109" t="s">
        <v>432</v>
      </c>
      <c r="Y1715" s="109" t="s">
        <v>432</v>
      </c>
      <c r="Z1715" s="109" t="s">
        <v>432</v>
      </c>
      <c r="AA1715" s="109" t="s">
        <v>432</v>
      </c>
      <c r="AB1715" s="109" t="s">
        <v>432</v>
      </c>
      <c r="AC1715" s="109" t="s">
        <v>432</v>
      </c>
      <c r="AD1715" s="109" t="s">
        <v>432</v>
      </c>
      <c r="AE1715" s="109" t="s">
        <v>432</v>
      </c>
      <c r="AF1715" s="109" t="s">
        <v>432</v>
      </c>
      <c r="AG1715" s="109" t="s">
        <v>432</v>
      </c>
      <c r="AH1715" s="109" t="s">
        <v>432</v>
      </c>
      <c r="AI1715" s="109" t="s">
        <v>432</v>
      </c>
      <c r="AJ1715" s="109" t="s">
        <v>432</v>
      </c>
      <c r="AK1715" s="109" t="s">
        <v>432</v>
      </c>
      <c r="AL1715" s="601" t="s">
        <v>432</v>
      </c>
      <c r="AM1715" s="137" t="s">
        <v>432</v>
      </c>
      <c r="AN1715" s="137" t="s">
        <v>432</v>
      </c>
      <c r="AO1715" s="137" t="s">
        <v>432</v>
      </c>
      <c r="AP1715" s="137" t="s">
        <v>432</v>
      </c>
      <c r="AQ1715" s="137" t="s">
        <v>432</v>
      </c>
      <c r="AR1715" s="137" t="s">
        <v>432</v>
      </c>
      <c r="AS1715" s="137" t="s">
        <v>432</v>
      </c>
      <c r="AT1715" s="137" t="s">
        <v>432</v>
      </c>
      <c r="AU1715" s="137" t="s">
        <v>432</v>
      </c>
      <c r="AV1715" s="137" t="s">
        <v>432</v>
      </c>
      <c r="AW1715" s="137" t="s">
        <v>432</v>
      </c>
      <c r="AX1715" s="137" t="s">
        <v>432</v>
      </c>
      <c r="AY1715" s="137" t="s">
        <v>432</v>
      </c>
      <c r="AZ1715" s="137" t="s">
        <v>432</v>
      </c>
      <c r="BA1715" s="137" t="s">
        <v>432</v>
      </c>
      <c r="BB1715" s="239" t="str">
        <f t="shared" si="514"/>
        <v>Relatórios e outros documentosacessibilidade</v>
      </c>
      <c r="BC1715" s="239" t="str">
        <f t="shared" si="515"/>
        <v>Relatórios e outros documentosacessibilidadesigla/verbete</v>
      </c>
      <c r="BD1715" s="239" t="str">
        <f t="shared" si="516"/>
        <v>Relatórios e outros documentossigla/verbete</v>
      </c>
    </row>
    <row r="1716" spans="1:67" s="1" customFormat="1" ht="128.25" customHeight="1" x14ac:dyDescent="0.25">
      <c r="A1716" s="262" t="str">
        <f>'Q100b-totais'!B33</f>
        <v>3.8</v>
      </c>
      <c r="B1716" s="53" t="str">
        <f>'Q100b-totais'!C33</f>
        <v>Relatórios e outros documentos</v>
      </c>
      <c r="C1716" s="229" t="s">
        <v>743</v>
      </c>
      <c r="D1716" s="325" t="s">
        <v>5328</v>
      </c>
      <c r="E1716" s="1498" t="s">
        <v>1306</v>
      </c>
      <c r="F1716" s="188" t="s">
        <v>5493</v>
      </c>
      <c r="G1716" s="230" t="s">
        <v>3507</v>
      </c>
      <c r="H1716" s="168" t="s">
        <v>2408</v>
      </c>
      <c r="I1716" s="167" t="s">
        <v>432</v>
      </c>
      <c r="J1716" s="109" t="s">
        <v>432</v>
      </c>
      <c r="K1716" s="109" t="s">
        <v>432</v>
      </c>
      <c r="L1716" s="109" t="s">
        <v>432</v>
      </c>
      <c r="M1716" s="109" t="s">
        <v>432</v>
      </c>
      <c r="N1716" s="109" t="s">
        <v>432</v>
      </c>
      <c r="O1716" s="109" t="s">
        <v>432</v>
      </c>
      <c r="P1716" s="109" t="s">
        <v>432</v>
      </c>
      <c r="Q1716" s="109" t="s">
        <v>432</v>
      </c>
      <c r="R1716" s="109" t="s">
        <v>432</v>
      </c>
      <c r="S1716" s="109" t="s">
        <v>2209</v>
      </c>
      <c r="T1716" s="109" t="s">
        <v>432</v>
      </c>
      <c r="U1716" s="109" t="s">
        <v>432</v>
      </c>
      <c r="V1716" s="109" t="s">
        <v>2209</v>
      </c>
      <c r="W1716" s="109" t="s">
        <v>432</v>
      </c>
      <c r="X1716" s="109" t="s">
        <v>432</v>
      </c>
      <c r="Y1716" s="109" t="s">
        <v>432</v>
      </c>
      <c r="Z1716" s="109" t="s">
        <v>432</v>
      </c>
      <c r="AA1716" s="109" t="s">
        <v>432</v>
      </c>
      <c r="AB1716" s="109" t="s">
        <v>432</v>
      </c>
      <c r="AC1716" s="109" t="s">
        <v>432</v>
      </c>
      <c r="AD1716" s="109" t="s">
        <v>432</v>
      </c>
      <c r="AE1716" s="109" t="s">
        <v>432</v>
      </c>
      <c r="AF1716" s="109" t="s">
        <v>432</v>
      </c>
      <c r="AG1716" s="109" t="s">
        <v>432</v>
      </c>
      <c r="AH1716" s="109" t="s">
        <v>432</v>
      </c>
      <c r="AI1716" s="109" t="s">
        <v>432</v>
      </c>
      <c r="AJ1716" s="109" t="s">
        <v>432</v>
      </c>
      <c r="AK1716" s="109" t="s">
        <v>432</v>
      </c>
      <c r="AL1716" s="601" t="s">
        <v>432</v>
      </c>
      <c r="AM1716" s="137" t="s">
        <v>432</v>
      </c>
      <c r="AN1716" s="137" t="s">
        <v>432</v>
      </c>
      <c r="AO1716" s="137" t="s">
        <v>432</v>
      </c>
      <c r="AP1716" s="137" t="s">
        <v>432</v>
      </c>
      <c r="AQ1716" s="137" t="s">
        <v>432</v>
      </c>
      <c r="AR1716" s="137" t="s">
        <v>432</v>
      </c>
      <c r="AS1716" s="137" t="s">
        <v>432</v>
      </c>
      <c r="AT1716" s="137" t="s">
        <v>432</v>
      </c>
      <c r="AU1716" s="137" t="s">
        <v>432</v>
      </c>
      <c r="AV1716" s="137" t="s">
        <v>432</v>
      </c>
      <c r="AW1716" s="137" t="s">
        <v>432</v>
      </c>
      <c r="AX1716" s="137" t="s">
        <v>432</v>
      </c>
      <c r="AY1716" s="137" t="s">
        <v>432</v>
      </c>
      <c r="AZ1716" s="137" t="s">
        <v>432</v>
      </c>
      <c r="BA1716" s="137" t="s">
        <v>432</v>
      </c>
      <c r="BB1716" s="239" t="str">
        <f t="shared" si="514"/>
        <v>Relatórios e outros documentosacessibilidade</v>
      </c>
      <c r="BC1716" s="239" t="str">
        <f t="shared" si="515"/>
        <v>Relatórios e outros documentosacessibilidadesigla/verbete</v>
      </c>
      <c r="BD1716" s="239" t="str">
        <f t="shared" si="516"/>
        <v>Relatórios e outros documentossigla/verbete</v>
      </c>
    </row>
    <row r="1717" spans="1:67" s="1" customFormat="1" ht="51" x14ac:dyDescent="0.25">
      <c r="A1717" s="262" t="str">
        <f>'Q100b-totais'!B33</f>
        <v>3.8</v>
      </c>
      <c r="B1717" s="53" t="str">
        <f>'Q100b-totais'!C33</f>
        <v>Relatórios e outros documentos</v>
      </c>
      <c r="C1717" s="229" t="s">
        <v>743</v>
      </c>
      <c r="D1717" s="325" t="s">
        <v>5694</v>
      </c>
      <c r="E1717" s="1498" t="s">
        <v>1306</v>
      </c>
      <c r="F1717" s="188" t="s">
        <v>6343</v>
      </c>
      <c r="G1717" s="230" t="s">
        <v>3507</v>
      </c>
      <c r="H1717" s="168" t="s">
        <v>2408</v>
      </c>
      <c r="I1717" s="167" t="s">
        <v>432</v>
      </c>
      <c r="J1717" s="109" t="s">
        <v>432</v>
      </c>
      <c r="K1717" s="109" t="s">
        <v>432</v>
      </c>
      <c r="L1717" s="109" t="s">
        <v>432</v>
      </c>
      <c r="M1717" s="109" t="s">
        <v>432</v>
      </c>
      <c r="N1717" s="109" t="s">
        <v>432</v>
      </c>
      <c r="O1717" s="109" t="s">
        <v>432</v>
      </c>
      <c r="P1717" s="109" t="s">
        <v>432</v>
      </c>
      <c r="Q1717" s="109" t="s">
        <v>432</v>
      </c>
      <c r="R1717" s="109" t="s">
        <v>432</v>
      </c>
      <c r="S1717" s="109" t="s">
        <v>2209</v>
      </c>
      <c r="T1717" s="109" t="s">
        <v>432</v>
      </c>
      <c r="U1717" s="109" t="s">
        <v>432</v>
      </c>
      <c r="V1717" s="109" t="s">
        <v>2209</v>
      </c>
      <c r="W1717" s="109" t="s">
        <v>432</v>
      </c>
      <c r="X1717" s="109" t="s">
        <v>432</v>
      </c>
      <c r="Y1717" s="109" t="s">
        <v>432</v>
      </c>
      <c r="Z1717" s="109" t="s">
        <v>432</v>
      </c>
      <c r="AA1717" s="109" t="s">
        <v>432</v>
      </c>
      <c r="AB1717" s="109" t="s">
        <v>432</v>
      </c>
      <c r="AC1717" s="109" t="s">
        <v>432</v>
      </c>
      <c r="AD1717" s="109" t="s">
        <v>432</v>
      </c>
      <c r="AE1717" s="109" t="s">
        <v>432</v>
      </c>
      <c r="AF1717" s="109" t="s">
        <v>432</v>
      </c>
      <c r="AG1717" s="109" t="s">
        <v>432</v>
      </c>
      <c r="AH1717" s="109" t="s">
        <v>432</v>
      </c>
      <c r="AI1717" s="109" t="s">
        <v>432</v>
      </c>
      <c r="AJ1717" s="109" t="s">
        <v>432</v>
      </c>
      <c r="AK1717" s="109" t="s">
        <v>432</v>
      </c>
      <c r="AL1717" s="601" t="s">
        <v>432</v>
      </c>
      <c r="AM1717" s="137" t="s">
        <v>432</v>
      </c>
      <c r="AN1717" s="137" t="s">
        <v>432</v>
      </c>
      <c r="AO1717" s="137" t="s">
        <v>432</v>
      </c>
      <c r="AP1717" s="137" t="s">
        <v>432</v>
      </c>
      <c r="AQ1717" s="137" t="s">
        <v>432</v>
      </c>
      <c r="AR1717" s="137" t="s">
        <v>432</v>
      </c>
      <c r="AS1717" s="137" t="s">
        <v>432</v>
      </c>
      <c r="AT1717" s="137" t="s">
        <v>432</v>
      </c>
      <c r="AU1717" s="137" t="s">
        <v>432</v>
      </c>
      <c r="AV1717" s="137" t="s">
        <v>432</v>
      </c>
      <c r="AW1717" s="137" t="s">
        <v>432</v>
      </c>
      <c r="AX1717" s="137" t="s">
        <v>432</v>
      </c>
      <c r="AY1717" s="137" t="s">
        <v>432</v>
      </c>
      <c r="AZ1717" s="137" t="s">
        <v>432</v>
      </c>
      <c r="BA1717" s="137" t="s">
        <v>432</v>
      </c>
      <c r="BB1717" s="239" t="str">
        <f t="shared" si="514"/>
        <v>Relatórios e outros documentosacessibilidade</v>
      </c>
      <c r="BC1717" s="239" t="str">
        <f t="shared" si="515"/>
        <v>Relatórios e outros documentosacessibilidadesigla/verbete</v>
      </c>
      <c r="BD1717" s="239" t="str">
        <f t="shared" si="516"/>
        <v>Relatórios e outros documentossigla/verbete</v>
      </c>
    </row>
    <row r="1718" spans="1:67" s="1" customFormat="1" ht="47.25" x14ac:dyDescent="0.25">
      <c r="A1718" s="262" t="str">
        <f>'Q100b-totais'!B33</f>
        <v>3.8</v>
      </c>
      <c r="B1718" s="53" t="str">
        <f>'Q100b-totais'!C33</f>
        <v>Relatórios e outros documentos</v>
      </c>
      <c r="C1718" s="229" t="s">
        <v>743</v>
      </c>
      <c r="D1718" s="325" t="s">
        <v>5871</v>
      </c>
      <c r="E1718" s="1498" t="s">
        <v>1306</v>
      </c>
      <c r="F1718" s="188" t="s">
        <v>6344</v>
      </c>
      <c r="G1718" s="230" t="s">
        <v>3507</v>
      </c>
      <c r="H1718" s="168" t="s">
        <v>2408</v>
      </c>
      <c r="I1718" s="167" t="s">
        <v>432</v>
      </c>
      <c r="J1718" s="109" t="s">
        <v>432</v>
      </c>
      <c r="K1718" s="109" t="s">
        <v>432</v>
      </c>
      <c r="L1718" s="109" t="s">
        <v>432</v>
      </c>
      <c r="M1718" s="109" t="s">
        <v>432</v>
      </c>
      <c r="N1718" s="109" t="s">
        <v>432</v>
      </c>
      <c r="O1718" s="109" t="s">
        <v>432</v>
      </c>
      <c r="P1718" s="109" t="s">
        <v>432</v>
      </c>
      <c r="Q1718" s="109" t="s">
        <v>432</v>
      </c>
      <c r="R1718" s="109" t="s">
        <v>432</v>
      </c>
      <c r="S1718" s="109" t="s">
        <v>2209</v>
      </c>
      <c r="T1718" s="109" t="s">
        <v>432</v>
      </c>
      <c r="U1718" s="109" t="s">
        <v>432</v>
      </c>
      <c r="V1718" s="109" t="s">
        <v>2209</v>
      </c>
      <c r="W1718" s="109" t="s">
        <v>432</v>
      </c>
      <c r="X1718" s="109" t="s">
        <v>432</v>
      </c>
      <c r="Y1718" s="109" t="s">
        <v>432</v>
      </c>
      <c r="Z1718" s="109" t="s">
        <v>432</v>
      </c>
      <c r="AA1718" s="109" t="s">
        <v>432</v>
      </c>
      <c r="AB1718" s="109" t="s">
        <v>432</v>
      </c>
      <c r="AC1718" s="109" t="s">
        <v>432</v>
      </c>
      <c r="AD1718" s="109" t="s">
        <v>432</v>
      </c>
      <c r="AE1718" s="109" t="s">
        <v>432</v>
      </c>
      <c r="AF1718" s="109" t="s">
        <v>432</v>
      </c>
      <c r="AG1718" s="109" t="s">
        <v>432</v>
      </c>
      <c r="AH1718" s="109" t="s">
        <v>432</v>
      </c>
      <c r="AI1718" s="109" t="s">
        <v>432</v>
      </c>
      <c r="AJ1718" s="109" t="s">
        <v>432</v>
      </c>
      <c r="AK1718" s="109" t="s">
        <v>432</v>
      </c>
      <c r="AL1718" s="601" t="s">
        <v>432</v>
      </c>
      <c r="AM1718" s="137" t="s">
        <v>432</v>
      </c>
      <c r="AN1718" s="137" t="s">
        <v>432</v>
      </c>
      <c r="AO1718" s="137" t="s">
        <v>432</v>
      </c>
      <c r="AP1718" s="137" t="s">
        <v>432</v>
      </c>
      <c r="AQ1718" s="137" t="s">
        <v>432</v>
      </c>
      <c r="AR1718" s="137" t="s">
        <v>432</v>
      </c>
      <c r="AS1718" s="137" t="s">
        <v>432</v>
      </c>
      <c r="AT1718" s="137" t="s">
        <v>432</v>
      </c>
      <c r="AU1718" s="137" t="s">
        <v>432</v>
      </c>
      <c r="AV1718" s="137" t="s">
        <v>432</v>
      </c>
      <c r="AW1718" s="137" t="s">
        <v>432</v>
      </c>
      <c r="AX1718" s="137" t="s">
        <v>432</v>
      </c>
      <c r="AY1718" s="137" t="s">
        <v>432</v>
      </c>
      <c r="AZ1718" s="137" t="s">
        <v>432</v>
      </c>
      <c r="BA1718" s="137" t="s">
        <v>432</v>
      </c>
      <c r="BB1718" s="239" t="str">
        <f t="shared" si="514"/>
        <v>Relatórios e outros documentosacessibilidade</v>
      </c>
      <c r="BC1718" s="239" t="str">
        <f t="shared" si="515"/>
        <v>Relatórios e outros documentosacessibilidadesigla/verbete</v>
      </c>
      <c r="BD1718" s="239" t="str">
        <f t="shared" si="516"/>
        <v>Relatórios e outros documentossigla/verbete</v>
      </c>
    </row>
    <row r="1719" spans="1:67" s="1" customFormat="1" ht="25.5" x14ac:dyDescent="0.25">
      <c r="A1719" s="262" t="str">
        <f>'Q100b-totais'!B21</f>
        <v>2.6</v>
      </c>
      <c r="B1719" s="53" t="str">
        <f>'Q100b-totais'!C21</f>
        <v>Cidades da RMBH</v>
      </c>
      <c r="C1719" s="167" t="s">
        <v>432</v>
      </c>
      <c r="D1719" s="323" t="s">
        <v>1753</v>
      </c>
      <c r="E1719" s="1491" t="s">
        <v>1753</v>
      </c>
      <c r="F1719" s="468" t="str">
        <f>pend!C201</f>
        <v>município da RMBH (faltando completar)</v>
      </c>
      <c r="G1719" s="230" t="s">
        <v>3507</v>
      </c>
      <c r="H1719" s="167" t="s">
        <v>2408</v>
      </c>
      <c r="I1719" s="167" t="s">
        <v>432</v>
      </c>
      <c r="J1719" s="109" t="s">
        <v>432</v>
      </c>
      <c r="K1719" s="109" t="s">
        <v>432</v>
      </c>
      <c r="L1719" s="109" t="s">
        <v>432</v>
      </c>
      <c r="M1719" s="109" t="s">
        <v>432</v>
      </c>
      <c r="N1719" s="109" t="s">
        <v>432</v>
      </c>
      <c r="O1719" s="109" t="s">
        <v>432</v>
      </c>
      <c r="P1719" s="109" t="s">
        <v>432</v>
      </c>
      <c r="Q1719" s="109" t="s">
        <v>432</v>
      </c>
      <c r="R1719" s="109" t="s">
        <v>432</v>
      </c>
      <c r="S1719" s="109" t="s">
        <v>2209</v>
      </c>
      <c r="T1719" s="109" t="s">
        <v>432</v>
      </c>
      <c r="U1719" s="109" t="s">
        <v>432</v>
      </c>
      <c r="V1719" s="109" t="s">
        <v>2209</v>
      </c>
      <c r="W1719" s="109" t="s">
        <v>432</v>
      </c>
      <c r="X1719" s="109" t="s">
        <v>432</v>
      </c>
      <c r="Y1719" s="109" t="s">
        <v>432</v>
      </c>
      <c r="Z1719" s="109" t="s">
        <v>432</v>
      </c>
      <c r="AA1719" s="109" t="s">
        <v>432</v>
      </c>
      <c r="AB1719" s="109" t="s">
        <v>432</v>
      </c>
      <c r="AC1719" s="109" t="s">
        <v>432</v>
      </c>
      <c r="AD1719" s="109" t="s">
        <v>432</v>
      </c>
      <c r="AE1719" s="109" t="s">
        <v>432</v>
      </c>
      <c r="AF1719" s="109" t="s">
        <v>432</v>
      </c>
      <c r="AG1719" s="109" t="s">
        <v>432</v>
      </c>
      <c r="AH1719" s="109" t="s">
        <v>432</v>
      </c>
      <c r="AI1719" s="109" t="s">
        <v>432</v>
      </c>
      <c r="AJ1719" s="109" t="s">
        <v>432</v>
      </c>
      <c r="AK1719" s="109" t="s">
        <v>432</v>
      </c>
      <c r="AL1719" s="601" t="s">
        <v>432</v>
      </c>
      <c r="AM1719" s="137" t="s">
        <v>432</v>
      </c>
      <c r="AN1719" s="137" t="s">
        <v>432</v>
      </c>
      <c r="AO1719" s="137" t="s">
        <v>432</v>
      </c>
      <c r="AP1719" s="137" t="s">
        <v>432</v>
      </c>
      <c r="AQ1719" s="137" t="s">
        <v>432</v>
      </c>
      <c r="AR1719" s="137" t="s">
        <v>432</v>
      </c>
      <c r="AS1719" s="137" t="s">
        <v>432</v>
      </c>
      <c r="AT1719" s="137" t="s">
        <v>432</v>
      </c>
      <c r="AU1719" s="137" t="s">
        <v>432</v>
      </c>
      <c r="AV1719" s="137" t="s">
        <v>432</v>
      </c>
      <c r="AW1719" s="137" t="s">
        <v>432</v>
      </c>
      <c r="AX1719" s="137" t="s">
        <v>432</v>
      </c>
      <c r="AY1719" s="137" t="s">
        <v>432</v>
      </c>
      <c r="AZ1719" s="137" t="s">
        <v>432</v>
      </c>
      <c r="BA1719" s="137" t="s">
        <v>432</v>
      </c>
      <c r="BB1719" s="239" t="str">
        <f t="shared" si="514"/>
        <v>Cidades da RMBHx</v>
      </c>
      <c r="BC1719" s="239" t="str">
        <f t="shared" si="515"/>
        <v>Cidades da RMBHxsigla/verbete</v>
      </c>
      <c r="BD1719" s="239" t="str">
        <f t="shared" si="516"/>
        <v>Cidades da RMBHsigla/verbete</v>
      </c>
    </row>
    <row r="1720" spans="1:67" s="1" customFormat="1" ht="25.5" x14ac:dyDescent="0.25">
      <c r="A1720" s="262" t="str">
        <f>'Q100b-totais'!B21</f>
        <v>2.6</v>
      </c>
      <c r="B1720" s="53" t="str">
        <f>'Q100b-totais'!C21</f>
        <v>Cidades da RMBH</v>
      </c>
      <c r="C1720" s="167" t="s">
        <v>432</v>
      </c>
      <c r="D1720" s="323" t="s">
        <v>1754</v>
      </c>
      <c r="E1720" s="1491" t="s">
        <v>1754</v>
      </c>
      <c r="F1720" s="468" t="str">
        <f>pend!C202</f>
        <v>município da RMBH (faltando completar)</v>
      </c>
      <c r="G1720" s="230" t="s">
        <v>3507</v>
      </c>
      <c r="H1720" s="167" t="s">
        <v>2408</v>
      </c>
      <c r="I1720" s="167" t="s">
        <v>432</v>
      </c>
      <c r="J1720" s="109" t="s">
        <v>432</v>
      </c>
      <c r="K1720" s="109" t="s">
        <v>432</v>
      </c>
      <c r="L1720" s="109" t="s">
        <v>432</v>
      </c>
      <c r="M1720" s="109" t="s">
        <v>432</v>
      </c>
      <c r="N1720" s="109" t="s">
        <v>432</v>
      </c>
      <c r="O1720" s="109" t="s">
        <v>432</v>
      </c>
      <c r="P1720" s="109" t="s">
        <v>432</v>
      </c>
      <c r="Q1720" s="109" t="s">
        <v>432</v>
      </c>
      <c r="R1720" s="109" t="s">
        <v>432</v>
      </c>
      <c r="S1720" s="109" t="s">
        <v>2209</v>
      </c>
      <c r="T1720" s="109" t="s">
        <v>432</v>
      </c>
      <c r="U1720" s="109" t="s">
        <v>432</v>
      </c>
      <c r="V1720" s="109" t="s">
        <v>2209</v>
      </c>
      <c r="W1720" s="109" t="s">
        <v>432</v>
      </c>
      <c r="X1720" s="109" t="s">
        <v>432</v>
      </c>
      <c r="Y1720" s="109" t="s">
        <v>432</v>
      </c>
      <c r="Z1720" s="109" t="s">
        <v>432</v>
      </c>
      <c r="AA1720" s="109" t="s">
        <v>432</v>
      </c>
      <c r="AB1720" s="109" t="s">
        <v>432</v>
      </c>
      <c r="AC1720" s="109" t="s">
        <v>432</v>
      </c>
      <c r="AD1720" s="109" t="s">
        <v>432</v>
      </c>
      <c r="AE1720" s="109" t="s">
        <v>432</v>
      </c>
      <c r="AF1720" s="109" t="s">
        <v>432</v>
      </c>
      <c r="AG1720" s="109" t="s">
        <v>432</v>
      </c>
      <c r="AH1720" s="109" t="s">
        <v>432</v>
      </c>
      <c r="AI1720" s="109" t="s">
        <v>432</v>
      </c>
      <c r="AJ1720" s="109" t="s">
        <v>432</v>
      </c>
      <c r="AK1720" s="109" t="s">
        <v>432</v>
      </c>
      <c r="AL1720" s="601" t="s">
        <v>432</v>
      </c>
      <c r="AM1720" s="137" t="s">
        <v>432</v>
      </c>
      <c r="AN1720" s="137" t="s">
        <v>432</v>
      </c>
      <c r="AO1720" s="137" t="s">
        <v>432</v>
      </c>
      <c r="AP1720" s="137" t="s">
        <v>432</v>
      </c>
      <c r="AQ1720" s="137" t="s">
        <v>432</v>
      </c>
      <c r="AR1720" s="137" t="s">
        <v>432</v>
      </c>
      <c r="AS1720" s="137" t="s">
        <v>432</v>
      </c>
      <c r="AT1720" s="137" t="s">
        <v>432</v>
      </c>
      <c r="AU1720" s="137" t="s">
        <v>432</v>
      </c>
      <c r="AV1720" s="137" t="s">
        <v>432</v>
      </c>
      <c r="AW1720" s="137" t="s">
        <v>432</v>
      </c>
      <c r="AX1720" s="137" t="s">
        <v>432</v>
      </c>
      <c r="AY1720" s="137" t="s">
        <v>432</v>
      </c>
      <c r="AZ1720" s="137" t="s">
        <v>432</v>
      </c>
      <c r="BA1720" s="137" t="s">
        <v>432</v>
      </c>
      <c r="BB1720" s="239" t="str">
        <f t="shared" si="514"/>
        <v>Cidades da RMBHx</v>
      </c>
      <c r="BC1720" s="239" t="str">
        <f t="shared" si="515"/>
        <v>Cidades da RMBHxsigla/verbete</v>
      </c>
      <c r="BD1720" s="239" t="str">
        <f t="shared" si="516"/>
        <v>Cidades da RMBHsigla/verbete</v>
      </c>
    </row>
    <row r="1721" spans="1:67" s="1" customFormat="1" ht="46.5" customHeight="1" x14ac:dyDescent="0.25">
      <c r="A1721" s="275" t="str">
        <f>'Q100b-totais'!$B$61</f>
        <v>8.9</v>
      </c>
      <c r="B1721" s="54" t="str">
        <f>'Q100b-totais'!$C$61</f>
        <v>Metrô</v>
      </c>
      <c r="C1721" s="230" t="s">
        <v>432</v>
      </c>
      <c r="D1721" s="325" t="s">
        <v>987</v>
      </c>
      <c r="E1721" s="1445" t="s">
        <v>1298</v>
      </c>
      <c r="F1721" s="102" t="s">
        <v>4360</v>
      </c>
      <c r="G1721" s="110" t="s">
        <v>77</v>
      </c>
      <c r="H1721" s="173" t="s">
        <v>432</v>
      </c>
      <c r="I1721" s="167">
        <v>1</v>
      </c>
      <c r="J1721" s="109" t="s">
        <v>432</v>
      </c>
      <c r="K1721" s="109" t="s">
        <v>432</v>
      </c>
      <c r="L1721" s="109" t="s">
        <v>432</v>
      </c>
      <c r="M1721" s="84" t="s">
        <v>432</v>
      </c>
      <c r="N1721" s="84" t="s">
        <v>432</v>
      </c>
      <c r="O1721" s="84" t="s">
        <v>432</v>
      </c>
      <c r="P1721" s="84" t="s">
        <v>432</v>
      </c>
      <c r="Q1721" s="84" t="s">
        <v>432</v>
      </c>
      <c r="R1721" s="84" t="s">
        <v>432</v>
      </c>
      <c r="S1721" s="109" t="s">
        <v>2209</v>
      </c>
      <c r="T1721" s="84" t="s">
        <v>432</v>
      </c>
      <c r="U1721" s="84" t="s">
        <v>432</v>
      </c>
      <c r="V1721" s="109" t="s">
        <v>2209</v>
      </c>
      <c r="W1721" s="92">
        <v>84886</v>
      </c>
      <c r="X1721" s="92">
        <v>92666</v>
      </c>
      <c r="Y1721" s="92">
        <v>102723</v>
      </c>
      <c r="Z1721" s="92">
        <v>103797</v>
      </c>
      <c r="AA1721" s="92">
        <v>106645</v>
      </c>
      <c r="AB1721" s="92">
        <v>123928</v>
      </c>
      <c r="AC1721" s="92">
        <v>136394</v>
      </c>
      <c r="AD1721" s="92">
        <v>147879</v>
      </c>
      <c r="AE1721" s="92">
        <v>152206</v>
      </c>
      <c r="AF1721" s="110" t="s">
        <v>432</v>
      </c>
      <c r="AG1721" s="110" t="s">
        <v>432</v>
      </c>
      <c r="AH1721" s="110" t="s">
        <v>432</v>
      </c>
      <c r="AI1721" s="110" t="s">
        <v>432</v>
      </c>
      <c r="AJ1721" s="110" t="s">
        <v>432</v>
      </c>
      <c r="AK1721" s="137" t="s">
        <v>432</v>
      </c>
      <c r="AL1721" s="601" t="s">
        <v>432</v>
      </c>
      <c r="AM1721" s="137" t="s">
        <v>432</v>
      </c>
      <c r="AN1721" s="137" t="s">
        <v>432</v>
      </c>
      <c r="AO1721" s="137" t="s">
        <v>432</v>
      </c>
      <c r="AP1721" s="137" t="s">
        <v>432</v>
      </c>
      <c r="AQ1721" s="137" t="s">
        <v>432</v>
      </c>
      <c r="AR1721" s="137" t="s">
        <v>432</v>
      </c>
      <c r="AS1721" s="137" t="s">
        <v>432</v>
      </c>
      <c r="AT1721" s="137" t="s">
        <v>432</v>
      </c>
      <c r="AU1721" s="137" t="s">
        <v>432</v>
      </c>
      <c r="AV1721" s="137" t="s">
        <v>432</v>
      </c>
      <c r="AW1721" s="137" t="s">
        <v>432</v>
      </c>
      <c r="AX1721" s="137" t="s">
        <v>432</v>
      </c>
      <c r="AY1721" s="137" t="s">
        <v>432</v>
      </c>
      <c r="AZ1721" s="137" t="s">
        <v>432</v>
      </c>
      <c r="BA1721" s="137" t="s">
        <v>432</v>
      </c>
      <c r="BB1721" s="239" t="str">
        <f t="shared" si="511"/>
        <v>Metrôx</v>
      </c>
      <c r="BC1721" s="239" t="str">
        <f t="shared" si="512"/>
        <v>Metrôxx</v>
      </c>
      <c r="BD1721" s="239" t="str">
        <f t="shared" si="513"/>
        <v>Metrôx</v>
      </c>
    </row>
    <row r="1722" spans="1:67" s="1" customFormat="1" ht="63.75" customHeight="1" x14ac:dyDescent="0.25">
      <c r="A1722" s="275" t="str">
        <f>'Q100b-totais'!B62</f>
        <v>8.10</v>
      </c>
      <c r="B1722" s="54" t="str">
        <f>'Q100b-totais'!$C$62</f>
        <v>Sistema de transporte coletivo com um todo</v>
      </c>
      <c r="C1722" s="230" t="s">
        <v>432</v>
      </c>
      <c r="D1722" s="325" t="s">
        <v>1399</v>
      </c>
      <c r="E1722" s="1445" t="s">
        <v>1306</v>
      </c>
      <c r="F1722" s="102" t="s">
        <v>4361</v>
      </c>
      <c r="G1722" s="110" t="s">
        <v>77</v>
      </c>
      <c r="H1722" s="173" t="s">
        <v>432</v>
      </c>
      <c r="I1722" s="167">
        <v>1</v>
      </c>
      <c r="J1722" s="109" t="s">
        <v>432</v>
      </c>
      <c r="K1722" s="109" t="s">
        <v>432</v>
      </c>
      <c r="L1722" s="109" t="s">
        <v>432</v>
      </c>
      <c r="M1722" s="84" t="s">
        <v>432</v>
      </c>
      <c r="N1722" s="84" t="s">
        <v>432</v>
      </c>
      <c r="O1722" s="84" t="s">
        <v>432</v>
      </c>
      <c r="P1722" s="118" t="s">
        <v>432</v>
      </c>
      <c r="Q1722" s="118">
        <v>71.599999999999994</v>
      </c>
      <c r="R1722" s="118" t="s">
        <v>432</v>
      </c>
      <c r="S1722" s="109" t="s">
        <v>2209</v>
      </c>
      <c r="T1722" s="118">
        <v>64.8</v>
      </c>
      <c r="U1722" s="118" t="s">
        <v>432</v>
      </c>
      <c r="V1722" s="109" t="s">
        <v>2209</v>
      </c>
      <c r="W1722" s="351">
        <v>54.8</v>
      </c>
      <c r="X1722" s="351" t="s">
        <v>432</v>
      </c>
      <c r="Y1722" s="351">
        <v>53.2</v>
      </c>
      <c r="Z1722" s="351" t="s">
        <v>432</v>
      </c>
      <c r="AA1722" s="351">
        <v>53.4</v>
      </c>
      <c r="AB1722" s="351" t="s">
        <v>432</v>
      </c>
      <c r="AC1722" s="351">
        <v>55</v>
      </c>
      <c r="AD1722" s="351" t="s">
        <v>432</v>
      </c>
      <c r="AE1722" s="351">
        <v>57.6</v>
      </c>
      <c r="AF1722" s="351" t="s">
        <v>432</v>
      </c>
      <c r="AG1722" s="351">
        <v>63</v>
      </c>
      <c r="AH1722" s="351">
        <v>62.4</v>
      </c>
      <c r="AI1722" s="118">
        <v>59.7</v>
      </c>
      <c r="AJ1722" s="118" t="s">
        <v>432</v>
      </c>
      <c r="AK1722" s="137" t="s">
        <v>432</v>
      </c>
      <c r="AL1722" s="601" t="s">
        <v>432</v>
      </c>
      <c r="AM1722" s="137" t="s">
        <v>432</v>
      </c>
      <c r="AN1722" s="137" t="s">
        <v>432</v>
      </c>
      <c r="AO1722" s="137" t="s">
        <v>432</v>
      </c>
      <c r="AP1722" s="137" t="s">
        <v>432</v>
      </c>
      <c r="AQ1722" s="137" t="s">
        <v>432</v>
      </c>
      <c r="AR1722" s="137" t="s">
        <v>432</v>
      </c>
      <c r="AS1722" s="137" t="s">
        <v>432</v>
      </c>
      <c r="AT1722" s="137" t="s">
        <v>432</v>
      </c>
      <c r="AU1722" s="137" t="s">
        <v>432</v>
      </c>
      <c r="AV1722" s="137" t="s">
        <v>432</v>
      </c>
      <c r="AW1722" s="137" t="s">
        <v>432</v>
      </c>
      <c r="AX1722" s="137" t="s">
        <v>432</v>
      </c>
      <c r="AY1722" s="137" t="s">
        <v>432</v>
      </c>
      <c r="AZ1722" s="137" t="s">
        <v>432</v>
      </c>
      <c r="BA1722" s="137" t="s">
        <v>432</v>
      </c>
      <c r="BB1722" s="239" t="str">
        <f t="shared" si="511"/>
        <v>Sistema de transporte coletivo com um todox</v>
      </c>
      <c r="BC1722" s="239" t="str">
        <f t="shared" si="512"/>
        <v>Sistema de transporte coletivo com um todoxx</v>
      </c>
      <c r="BD1722" s="239" t="str">
        <f t="shared" si="513"/>
        <v>Sistema de transporte coletivo com um todox</v>
      </c>
    </row>
    <row r="1723" spans="1:67" s="105" customFormat="1" ht="72" customHeight="1" x14ac:dyDescent="0.25">
      <c r="A1723" s="275" t="s">
        <v>982</v>
      </c>
      <c r="B1723" s="1205" t="s">
        <v>983</v>
      </c>
      <c r="C1723" s="303" t="s">
        <v>432</v>
      </c>
      <c r="D1723" s="325" t="s">
        <v>1393</v>
      </c>
      <c r="E1723" s="1445" t="s">
        <v>1306</v>
      </c>
      <c r="F1723" s="59" t="s">
        <v>4362</v>
      </c>
      <c r="G1723" s="93" t="s">
        <v>77</v>
      </c>
      <c r="H1723" s="168" t="s">
        <v>432</v>
      </c>
      <c r="I1723" s="167">
        <v>1</v>
      </c>
      <c r="J1723" s="107" t="s">
        <v>432</v>
      </c>
      <c r="K1723" s="107" t="s">
        <v>432</v>
      </c>
      <c r="L1723" s="107" t="s">
        <v>432</v>
      </c>
      <c r="M1723" s="107" t="s">
        <v>432</v>
      </c>
      <c r="N1723" s="107" t="s">
        <v>432</v>
      </c>
      <c r="O1723" s="107" t="s">
        <v>432</v>
      </c>
      <c r="P1723" s="366" t="s">
        <v>432</v>
      </c>
      <c r="Q1723" s="366">
        <v>3.5</v>
      </c>
      <c r="R1723" s="366" t="s">
        <v>432</v>
      </c>
      <c r="S1723" s="109" t="s">
        <v>2209</v>
      </c>
      <c r="T1723" s="366">
        <v>5</v>
      </c>
      <c r="U1723" s="366" t="s">
        <v>432</v>
      </c>
      <c r="V1723" s="109" t="s">
        <v>2209</v>
      </c>
      <c r="W1723" s="366">
        <v>5.7</v>
      </c>
      <c r="X1723" s="366" t="s">
        <v>432</v>
      </c>
      <c r="Y1723" s="366">
        <v>6.9</v>
      </c>
      <c r="Z1723" s="366" t="s">
        <v>432</v>
      </c>
      <c r="AA1723" s="366">
        <v>6.9</v>
      </c>
      <c r="AB1723" s="366" t="s">
        <v>432</v>
      </c>
      <c r="AC1723" s="366">
        <v>8.1</v>
      </c>
      <c r="AD1723" s="366" t="s">
        <v>432</v>
      </c>
      <c r="AE1723" s="366">
        <v>8.5</v>
      </c>
      <c r="AF1723" s="366" t="s">
        <v>432</v>
      </c>
      <c r="AG1723" s="366">
        <v>10.5</v>
      </c>
      <c r="AH1723" s="366">
        <v>10.5</v>
      </c>
      <c r="AI1723" s="366">
        <v>12</v>
      </c>
      <c r="AJ1723" s="366" t="s">
        <v>432</v>
      </c>
      <c r="AK1723" s="107" t="s">
        <v>432</v>
      </c>
      <c r="AL1723" s="601" t="s">
        <v>432</v>
      </c>
      <c r="AM1723" s="256" t="s">
        <v>432</v>
      </c>
      <c r="AN1723" s="256" t="s">
        <v>432</v>
      </c>
      <c r="AO1723" s="256" t="s">
        <v>432</v>
      </c>
      <c r="AP1723" s="256" t="s">
        <v>432</v>
      </c>
      <c r="AQ1723" s="256" t="s">
        <v>432</v>
      </c>
      <c r="AR1723" s="256" t="s">
        <v>432</v>
      </c>
      <c r="AS1723" s="256" t="s">
        <v>432</v>
      </c>
      <c r="AT1723" s="256" t="s">
        <v>432</v>
      </c>
      <c r="AU1723" s="256" t="s">
        <v>432</v>
      </c>
      <c r="AV1723" s="256" t="s">
        <v>432</v>
      </c>
      <c r="AW1723" s="256" t="s">
        <v>432</v>
      </c>
      <c r="AX1723" s="256" t="s">
        <v>432</v>
      </c>
      <c r="AY1723" s="256" t="s">
        <v>432</v>
      </c>
      <c r="AZ1723" s="256" t="s">
        <v>432</v>
      </c>
      <c r="BA1723" s="256" t="s">
        <v>432</v>
      </c>
      <c r="BB1723" s="239" t="str">
        <f t="shared" si="511"/>
        <v>Sistema de transporte coletivo com um todox</v>
      </c>
      <c r="BC1723" s="239" t="str">
        <f t="shared" si="512"/>
        <v>Sistema de transporte coletivo com um todoxx</v>
      </c>
      <c r="BD1723" s="239" t="str">
        <f t="shared" si="513"/>
        <v>Sistema de transporte coletivo com um todox</v>
      </c>
      <c r="BM1723" s="360"/>
      <c r="BN1723" s="360"/>
      <c r="BO1723" s="360"/>
    </row>
    <row r="1724" spans="1:67" s="1" customFormat="1" ht="45" customHeight="1" x14ac:dyDescent="0.25">
      <c r="A1724" s="275" t="str">
        <f>'Q100b-totais'!$B$57</f>
        <v>8.5</v>
      </c>
      <c r="B1724" s="54" t="str">
        <f>'Q100b-totais'!$C$57</f>
        <v>Transporte convencional</v>
      </c>
      <c r="C1724" s="230" t="s">
        <v>432</v>
      </c>
      <c r="D1724" s="986" t="s">
        <v>2340</v>
      </c>
      <c r="E1724" s="1445" t="s">
        <v>1306</v>
      </c>
      <c r="F1724" s="252" t="s">
        <v>4123</v>
      </c>
      <c r="G1724" s="439" t="s">
        <v>1654</v>
      </c>
      <c r="H1724" s="173" t="s">
        <v>432</v>
      </c>
      <c r="I1724" s="167">
        <v>1</v>
      </c>
      <c r="J1724" s="107" t="s">
        <v>432</v>
      </c>
      <c r="K1724" s="107" t="s">
        <v>432</v>
      </c>
      <c r="L1724" s="107" t="s">
        <v>432</v>
      </c>
      <c r="M1724" s="84" t="s">
        <v>432</v>
      </c>
      <c r="N1724" s="84" t="s">
        <v>432</v>
      </c>
      <c r="O1724" s="84" t="s">
        <v>432</v>
      </c>
      <c r="P1724" s="87">
        <v>548879965</v>
      </c>
      <c r="Q1724" s="87">
        <v>532276827</v>
      </c>
      <c r="R1724" s="87">
        <v>518934301</v>
      </c>
      <c r="S1724" s="109" t="s">
        <v>2209</v>
      </c>
      <c r="T1724" s="159">
        <v>480892835</v>
      </c>
      <c r="U1724" s="159">
        <v>446188951</v>
      </c>
      <c r="V1724" s="109" t="s">
        <v>2209</v>
      </c>
      <c r="W1724" s="159">
        <v>417722897</v>
      </c>
      <c r="X1724" s="159">
        <v>423135921</v>
      </c>
      <c r="Y1724" s="159">
        <v>403242401</v>
      </c>
      <c r="Z1724" s="159">
        <v>400372297</v>
      </c>
      <c r="AA1724" s="87">
        <v>412851738</v>
      </c>
      <c r="AB1724" s="87">
        <v>422301637</v>
      </c>
      <c r="AC1724" s="87">
        <v>422808316</v>
      </c>
      <c r="AD1724" s="87">
        <v>435388116</v>
      </c>
      <c r="AE1724" s="87">
        <v>443147783</v>
      </c>
      <c r="AF1724" s="87">
        <v>445303429</v>
      </c>
      <c r="AG1724" s="87">
        <v>455842706</v>
      </c>
      <c r="AH1724" s="87">
        <v>453219840</v>
      </c>
      <c r="AI1724" s="92">
        <v>439510724</v>
      </c>
      <c r="AJ1724" s="92">
        <v>448316052</v>
      </c>
      <c r="AK1724" s="92">
        <v>438937197</v>
      </c>
      <c r="AL1724" s="601" t="s">
        <v>432</v>
      </c>
      <c r="AM1724" s="137" t="s">
        <v>432</v>
      </c>
      <c r="AN1724" s="137" t="s">
        <v>432</v>
      </c>
      <c r="AO1724" s="137" t="s">
        <v>432</v>
      </c>
      <c r="AP1724" s="137" t="s">
        <v>432</v>
      </c>
      <c r="AQ1724" s="137" t="s">
        <v>432</v>
      </c>
      <c r="AR1724" s="137" t="s">
        <v>432</v>
      </c>
      <c r="AS1724" s="137" t="s">
        <v>432</v>
      </c>
      <c r="AT1724" s="137" t="s">
        <v>432</v>
      </c>
      <c r="AU1724" s="137" t="s">
        <v>432</v>
      </c>
      <c r="AV1724" s="137" t="s">
        <v>432</v>
      </c>
      <c r="AW1724" s="137" t="s">
        <v>432</v>
      </c>
      <c r="AX1724" s="137" t="s">
        <v>432</v>
      </c>
      <c r="AY1724" s="137" t="s">
        <v>432</v>
      </c>
      <c r="AZ1724" s="137" t="s">
        <v>432</v>
      </c>
      <c r="BA1724" s="137" t="s">
        <v>432</v>
      </c>
      <c r="BB1724" s="239" t="str">
        <f t="shared" si="511"/>
        <v>Transporte convencionalx</v>
      </c>
      <c r="BC1724" s="239" t="str">
        <f t="shared" si="512"/>
        <v>Transporte convencionalxx</v>
      </c>
      <c r="BD1724" s="239" t="str">
        <f t="shared" si="513"/>
        <v>Transporte convencionalx</v>
      </c>
    </row>
    <row r="1725" spans="1:67" s="1" customFormat="1" ht="40.5" customHeight="1" x14ac:dyDescent="0.25">
      <c r="A1725" s="275" t="str">
        <f>'Q100b-totais'!$B$57</f>
        <v>8.5</v>
      </c>
      <c r="B1725" s="54" t="str">
        <f>'Q100b-totais'!$C$57</f>
        <v>Transporte convencional</v>
      </c>
      <c r="C1725" s="230" t="s">
        <v>432</v>
      </c>
      <c r="D1725" s="986" t="s">
        <v>2341</v>
      </c>
      <c r="E1725" s="1445" t="s">
        <v>1306</v>
      </c>
      <c r="F1725" s="252" t="s">
        <v>2268</v>
      </c>
      <c r="G1725" s="440" t="s">
        <v>1651</v>
      </c>
      <c r="H1725" s="173" t="s">
        <v>432</v>
      </c>
      <c r="I1725" s="167">
        <v>1</v>
      </c>
      <c r="J1725" s="109" t="s">
        <v>432</v>
      </c>
      <c r="K1725" s="109" t="s">
        <v>432</v>
      </c>
      <c r="L1725" s="109" t="s">
        <v>432</v>
      </c>
      <c r="M1725" s="87">
        <v>41959244</v>
      </c>
      <c r="N1725" s="87">
        <v>46371530</v>
      </c>
      <c r="O1725" s="87">
        <v>47851132</v>
      </c>
      <c r="P1725" s="302">
        <f>P1724/12</f>
        <v>45739997.083333336</v>
      </c>
      <c r="Q1725" s="302">
        <f>Q1724/12</f>
        <v>44356402.25</v>
      </c>
      <c r="R1725" s="302">
        <f>R1724/12</f>
        <v>43244525.083333336</v>
      </c>
      <c r="S1725" s="109" t="s">
        <v>2209</v>
      </c>
      <c r="T1725" s="302">
        <f>T1724/12</f>
        <v>40074402.916666664</v>
      </c>
      <c r="U1725" s="302">
        <f>U1724/12</f>
        <v>37182412.583333336</v>
      </c>
      <c r="V1725" s="109" t="s">
        <v>2209</v>
      </c>
      <c r="W1725" s="302">
        <f t="shared" ref="W1725:AK1725" si="517">W1724/12</f>
        <v>34810241.416666664</v>
      </c>
      <c r="X1725" s="302">
        <f t="shared" si="517"/>
        <v>35261326.75</v>
      </c>
      <c r="Y1725" s="302">
        <f t="shared" si="517"/>
        <v>33603533.416666664</v>
      </c>
      <c r="Z1725" s="302">
        <f t="shared" si="517"/>
        <v>33364358.083333332</v>
      </c>
      <c r="AA1725" s="302">
        <f t="shared" si="517"/>
        <v>34404311.5</v>
      </c>
      <c r="AB1725" s="302">
        <f t="shared" si="517"/>
        <v>35191803.083333336</v>
      </c>
      <c r="AC1725" s="302">
        <f t="shared" si="517"/>
        <v>35234026.333333336</v>
      </c>
      <c r="AD1725" s="302">
        <f t="shared" si="517"/>
        <v>36282343</v>
      </c>
      <c r="AE1725" s="302">
        <f t="shared" si="517"/>
        <v>36928981.916666664</v>
      </c>
      <c r="AF1725" s="302">
        <f t="shared" si="517"/>
        <v>37108619.083333336</v>
      </c>
      <c r="AG1725" s="302">
        <f t="shared" si="517"/>
        <v>37986892.166666664</v>
      </c>
      <c r="AH1725" s="302">
        <f t="shared" si="517"/>
        <v>37768320</v>
      </c>
      <c r="AI1725" s="302">
        <f t="shared" si="517"/>
        <v>36625893.666666664</v>
      </c>
      <c r="AJ1725" s="302">
        <f t="shared" si="517"/>
        <v>37359671</v>
      </c>
      <c r="AK1725" s="302">
        <f t="shared" si="517"/>
        <v>36578099.75</v>
      </c>
      <c r="AL1725" s="601" t="s">
        <v>432</v>
      </c>
      <c r="AM1725" s="137" t="s">
        <v>432</v>
      </c>
      <c r="AN1725" s="137" t="s">
        <v>432</v>
      </c>
      <c r="AO1725" s="137" t="s">
        <v>432</v>
      </c>
      <c r="AP1725" s="137" t="s">
        <v>432</v>
      </c>
      <c r="AQ1725" s="137" t="s">
        <v>432</v>
      </c>
      <c r="AR1725" s="137" t="s">
        <v>432</v>
      </c>
      <c r="AS1725" s="137" t="s">
        <v>432</v>
      </c>
      <c r="AT1725" s="137" t="s">
        <v>432</v>
      </c>
      <c r="AU1725" s="137" t="s">
        <v>432</v>
      </c>
      <c r="AV1725" s="137" t="s">
        <v>432</v>
      </c>
      <c r="AW1725" s="137" t="s">
        <v>432</v>
      </c>
      <c r="AX1725" s="137" t="s">
        <v>432</v>
      </c>
      <c r="AY1725" s="137" t="s">
        <v>432</v>
      </c>
      <c r="AZ1725" s="137" t="s">
        <v>432</v>
      </c>
      <c r="BA1725" s="137" t="s">
        <v>432</v>
      </c>
      <c r="BB1725" s="239" t="str">
        <f t="shared" si="511"/>
        <v>Transporte convencionalx</v>
      </c>
      <c r="BC1725" s="239" t="str">
        <f t="shared" si="512"/>
        <v>Transporte convencionalxx</v>
      </c>
      <c r="BD1725" s="239" t="str">
        <f t="shared" si="513"/>
        <v>Transporte convencionalx</v>
      </c>
    </row>
    <row r="1726" spans="1:67" s="1" customFormat="1" ht="155.25" customHeight="1" x14ac:dyDescent="0.25">
      <c r="A1726" s="275" t="str">
        <f>'Q100b-totais'!$B$60</f>
        <v>8.8</v>
      </c>
      <c r="B1726" s="54" t="str">
        <f>'Q100b-totais'!$C$60</f>
        <v>Transporte em vilas e favelas</v>
      </c>
      <c r="C1726" s="230" t="s">
        <v>743</v>
      </c>
      <c r="D1726" s="325" t="s">
        <v>2342</v>
      </c>
      <c r="E1726" s="1445" t="s">
        <v>1306</v>
      </c>
      <c r="F1726" s="102" t="s">
        <v>5041</v>
      </c>
      <c r="G1726" s="110" t="s">
        <v>77</v>
      </c>
      <c r="H1726" s="173" t="s">
        <v>432</v>
      </c>
      <c r="I1726" s="167">
        <v>1</v>
      </c>
      <c r="J1726" s="109" t="s">
        <v>2346</v>
      </c>
      <c r="K1726" s="109" t="s">
        <v>2346</v>
      </c>
      <c r="L1726" s="109" t="s">
        <v>2346</v>
      </c>
      <c r="M1726" s="109" t="s">
        <v>2346</v>
      </c>
      <c r="N1726" s="109" t="s">
        <v>2346</v>
      </c>
      <c r="O1726" s="109" t="s">
        <v>2346</v>
      </c>
      <c r="P1726" s="84" t="s">
        <v>432</v>
      </c>
      <c r="Q1726" s="84" t="s">
        <v>432</v>
      </c>
      <c r="R1726" s="84" t="s">
        <v>432</v>
      </c>
      <c r="S1726" s="109" t="s">
        <v>2209</v>
      </c>
      <c r="T1726" s="84" t="s">
        <v>432</v>
      </c>
      <c r="U1726" s="87">
        <v>151871</v>
      </c>
      <c r="V1726" s="109" t="s">
        <v>2209</v>
      </c>
      <c r="W1726" s="87">
        <v>124445</v>
      </c>
      <c r="X1726" s="87">
        <v>121340</v>
      </c>
      <c r="Y1726" s="87">
        <v>133645</v>
      </c>
      <c r="Z1726" s="87">
        <v>136145</v>
      </c>
      <c r="AA1726" s="87">
        <v>197764</v>
      </c>
      <c r="AB1726" s="159">
        <v>198788</v>
      </c>
      <c r="AC1726" s="159">
        <v>242788</v>
      </c>
      <c r="AD1726" s="159">
        <v>298852</v>
      </c>
      <c r="AE1726" s="159">
        <v>481699</v>
      </c>
      <c r="AF1726" s="643" t="s">
        <v>2336</v>
      </c>
      <c r="AG1726" s="643" t="s">
        <v>2336</v>
      </c>
      <c r="AH1726" s="643" t="s">
        <v>2336</v>
      </c>
      <c r="AI1726" s="643" t="s">
        <v>2336</v>
      </c>
      <c r="AJ1726" s="643" t="s">
        <v>2336</v>
      </c>
      <c r="AK1726" s="643" t="s">
        <v>2336</v>
      </c>
      <c r="AL1726" s="601" t="s">
        <v>432</v>
      </c>
      <c r="AM1726" s="137" t="s">
        <v>432</v>
      </c>
      <c r="AN1726" s="137" t="s">
        <v>432</v>
      </c>
      <c r="AO1726" s="137" t="s">
        <v>432</v>
      </c>
      <c r="AP1726" s="137" t="s">
        <v>432</v>
      </c>
      <c r="AQ1726" s="137" t="s">
        <v>432</v>
      </c>
      <c r="AR1726" s="137" t="s">
        <v>432</v>
      </c>
      <c r="AS1726" s="137" t="s">
        <v>432</v>
      </c>
      <c r="AT1726" s="137" t="s">
        <v>432</v>
      </c>
      <c r="AU1726" s="137" t="s">
        <v>432</v>
      </c>
      <c r="AV1726" s="137" t="s">
        <v>432</v>
      </c>
      <c r="AW1726" s="137" t="s">
        <v>432</v>
      </c>
      <c r="AX1726" s="137" t="s">
        <v>432</v>
      </c>
      <c r="AY1726" s="137" t="s">
        <v>432</v>
      </c>
      <c r="AZ1726" s="137" t="s">
        <v>432</v>
      </c>
      <c r="BA1726" s="137" t="s">
        <v>432</v>
      </c>
      <c r="BB1726" s="239" t="str">
        <f t="shared" si="511"/>
        <v>Transporte em vilas e favelasacessibilidade</v>
      </c>
      <c r="BC1726" s="239" t="str">
        <f t="shared" si="512"/>
        <v>Transporte em vilas e favelasacessibilidadex</v>
      </c>
      <c r="BD1726" s="239" t="str">
        <f t="shared" si="513"/>
        <v>Transporte em vilas e favelasx</v>
      </c>
    </row>
    <row r="1727" spans="1:67" s="1" customFormat="1" ht="120" customHeight="1" x14ac:dyDescent="0.25">
      <c r="A1727" s="275" t="str">
        <f>'Q100b-totais'!$B$60</f>
        <v>8.8</v>
      </c>
      <c r="B1727" s="54" t="str">
        <f>'Q100b-totais'!$C$60</f>
        <v>Transporte em vilas e favelas</v>
      </c>
      <c r="C1727" s="230" t="s">
        <v>743</v>
      </c>
      <c r="D1727" s="325" t="s">
        <v>3144</v>
      </c>
      <c r="E1727" s="1445" t="s">
        <v>1306</v>
      </c>
      <c r="F1727" s="102" t="s">
        <v>2339</v>
      </c>
      <c r="G1727" s="93" t="s">
        <v>77</v>
      </c>
      <c r="H1727" s="173" t="s">
        <v>432</v>
      </c>
      <c r="I1727" s="167">
        <v>1</v>
      </c>
      <c r="J1727" s="109" t="s">
        <v>2346</v>
      </c>
      <c r="K1727" s="109" t="s">
        <v>2346</v>
      </c>
      <c r="L1727" s="109" t="s">
        <v>2346</v>
      </c>
      <c r="M1727" s="109" t="s">
        <v>2346</v>
      </c>
      <c r="N1727" s="109" t="s">
        <v>2346</v>
      </c>
      <c r="O1727" s="109" t="s">
        <v>2346</v>
      </c>
      <c r="P1727" s="84" t="s">
        <v>432</v>
      </c>
      <c r="Q1727" s="84" t="s">
        <v>432</v>
      </c>
      <c r="R1727" s="84" t="s">
        <v>432</v>
      </c>
      <c r="S1727" s="109" t="s">
        <v>2209</v>
      </c>
      <c r="T1727" s="84" t="s">
        <v>432</v>
      </c>
      <c r="U1727" s="47">
        <f>U1726/U1725</f>
        <v>4.0844848262502134E-3</v>
      </c>
      <c r="V1727" s="109" t="s">
        <v>2209</v>
      </c>
      <c r="W1727" s="47">
        <f>W1726/W1725</f>
        <v>3.5749536612066542E-3</v>
      </c>
      <c r="X1727" s="47">
        <f t="shared" ref="X1727:AE1727" si="518">X1726/X1725</f>
        <v>3.4411637673276148E-3</v>
      </c>
      <c r="Y1727" s="47">
        <f t="shared" si="518"/>
        <v>3.9771115240433263E-3</v>
      </c>
      <c r="Z1727" s="47">
        <f t="shared" si="518"/>
        <v>4.080552056777295E-3</v>
      </c>
      <c r="AA1727" s="47">
        <f t="shared" si="518"/>
        <v>5.7482330375947209E-3</v>
      </c>
      <c r="AB1727" s="47">
        <f t="shared" si="518"/>
        <v>5.648701759590858E-3</v>
      </c>
      <c r="AC1727" s="47">
        <f t="shared" si="518"/>
        <v>6.8907253943415814E-3</v>
      </c>
      <c r="AD1727" s="47">
        <f t="shared" si="518"/>
        <v>8.2368440207954592E-3</v>
      </c>
      <c r="AE1727" s="47">
        <f t="shared" si="518"/>
        <v>1.3043928508156387E-2</v>
      </c>
      <c r="AF1727" s="125">
        <v>1.5299999999999999E-2</v>
      </c>
      <c r="AG1727" s="125">
        <v>1.49E-2</v>
      </c>
      <c r="AH1727" s="125">
        <v>1.46E-2</v>
      </c>
      <c r="AI1727" s="125">
        <v>1.5100000000000001E-2</v>
      </c>
      <c r="AJ1727" s="125">
        <v>1.52E-2</v>
      </c>
      <c r="AK1727" s="622" t="s">
        <v>2213</v>
      </c>
      <c r="AL1727" s="601" t="s">
        <v>432</v>
      </c>
      <c r="AM1727" s="137" t="s">
        <v>432</v>
      </c>
      <c r="AN1727" s="137" t="s">
        <v>432</v>
      </c>
      <c r="AO1727" s="137" t="s">
        <v>432</v>
      </c>
      <c r="AP1727" s="137" t="s">
        <v>432</v>
      </c>
      <c r="AQ1727" s="137" t="s">
        <v>432</v>
      </c>
      <c r="AR1727" s="137" t="s">
        <v>432</v>
      </c>
      <c r="AS1727" s="137" t="s">
        <v>432</v>
      </c>
      <c r="AT1727" s="137" t="s">
        <v>432</v>
      </c>
      <c r="AU1727" s="137" t="s">
        <v>432</v>
      </c>
      <c r="AV1727" s="137" t="s">
        <v>432</v>
      </c>
      <c r="AW1727" s="137" t="s">
        <v>432</v>
      </c>
      <c r="AX1727" s="137" t="s">
        <v>432</v>
      </c>
      <c r="AY1727" s="137" t="s">
        <v>432</v>
      </c>
      <c r="AZ1727" s="137" t="s">
        <v>432</v>
      </c>
      <c r="BA1727" s="137" t="s">
        <v>432</v>
      </c>
      <c r="BB1727" s="239" t="str">
        <f t="shared" si="511"/>
        <v>Transporte em vilas e favelasacessibilidade</v>
      </c>
      <c r="BC1727" s="239" t="str">
        <f t="shared" si="512"/>
        <v>Transporte em vilas e favelasacessibilidadex</v>
      </c>
      <c r="BD1727" s="239" t="str">
        <f t="shared" si="513"/>
        <v>Transporte em vilas e favelasx</v>
      </c>
    </row>
    <row r="1728" spans="1:67" s="105" customFormat="1" ht="78.75" x14ac:dyDescent="0.25">
      <c r="A1728" s="275" t="s">
        <v>982</v>
      </c>
      <c r="B1728" s="54" t="s">
        <v>983</v>
      </c>
      <c r="C1728" s="303" t="s">
        <v>432</v>
      </c>
      <c r="D1728" s="939" t="s">
        <v>3528</v>
      </c>
      <c r="E1728" s="1496" t="s">
        <v>1306</v>
      </c>
      <c r="F1728" s="59" t="s">
        <v>2337</v>
      </c>
      <c r="G1728" s="93" t="s">
        <v>77</v>
      </c>
      <c r="H1728" s="173" t="s">
        <v>432</v>
      </c>
      <c r="I1728" s="167">
        <v>1</v>
      </c>
      <c r="J1728" s="107" t="s">
        <v>432</v>
      </c>
      <c r="K1728" s="107" t="s">
        <v>432</v>
      </c>
      <c r="L1728" s="107" t="s">
        <v>432</v>
      </c>
      <c r="M1728" s="107" t="s">
        <v>432</v>
      </c>
      <c r="N1728" s="107" t="s">
        <v>432</v>
      </c>
      <c r="O1728" s="107" t="s">
        <v>432</v>
      </c>
      <c r="P1728" s="107" t="s">
        <v>432</v>
      </c>
      <c r="Q1728" s="107" t="s">
        <v>432</v>
      </c>
      <c r="R1728" s="107" t="s">
        <v>432</v>
      </c>
      <c r="S1728" s="109" t="s">
        <v>2209</v>
      </c>
      <c r="T1728" s="107" t="s">
        <v>432</v>
      </c>
      <c r="U1728" s="107" t="s">
        <v>432</v>
      </c>
      <c r="V1728" s="109" t="s">
        <v>2209</v>
      </c>
      <c r="W1728" s="107" t="s">
        <v>432</v>
      </c>
      <c r="X1728" s="107" t="s">
        <v>432</v>
      </c>
      <c r="Y1728" s="107" t="s">
        <v>432</v>
      </c>
      <c r="Z1728" s="107" t="s">
        <v>432</v>
      </c>
      <c r="AA1728" s="107" t="s">
        <v>432</v>
      </c>
      <c r="AB1728" s="107" t="s">
        <v>432</v>
      </c>
      <c r="AC1728" s="107" t="s">
        <v>432</v>
      </c>
      <c r="AD1728" s="107" t="s">
        <v>432</v>
      </c>
      <c r="AE1728" s="107" t="s">
        <v>432</v>
      </c>
      <c r="AF1728" s="107" t="s">
        <v>432</v>
      </c>
      <c r="AG1728" s="107" t="s">
        <v>432</v>
      </c>
      <c r="AH1728" s="662">
        <v>8.0000000000000004E-4</v>
      </c>
      <c r="AI1728" s="662">
        <v>1.1000000000000001E-3</v>
      </c>
      <c r="AJ1728" s="662">
        <v>1E-3</v>
      </c>
      <c r="AK1728" s="622" t="s">
        <v>2213</v>
      </c>
      <c r="AL1728" s="601" t="s">
        <v>432</v>
      </c>
      <c r="AM1728" s="137" t="s">
        <v>432</v>
      </c>
      <c r="AN1728" s="137" t="s">
        <v>432</v>
      </c>
      <c r="AO1728" s="137" t="s">
        <v>432</v>
      </c>
      <c r="AP1728" s="137" t="s">
        <v>432</v>
      </c>
      <c r="AQ1728" s="137" t="s">
        <v>432</v>
      </c>
      <c r="AR1728" s="137" t="s">
        <v>432</v>
      </c>
      <c r="AS1728" s="137" t="s">
        <v>432</v>
      </c>
      <c r="AT1728" s="137" t="s">
        <v>432</v>
      </c>
      <c r="AU1728" s="137" t="s">
        <v>432</v>
      </c>
      <c r="AV1728" s="137" t="s">
        <v>432</v>
      </c>
      <c r="AW1728" s="137" t="s">
        <v>432</v>
      </c>
      <c r="AX1728" s="137" t="s">
        <v>432</v>
      </c>
      <c r="AY1728" s="137" t="s">
        <v>432</v>
      </c>
      <c r="AZ1728" s="137" t="s">
        <v>432</v>
      </c>
      <c r="BA1728" s="137" t="s">
        <v>432</v>
      </c>
      <c r="BB1728" s="239" t="str">
        <f t="shared" si="511"/>
        <v>Sistema de transporte coletivo com um todox</v>
      </c>
      <c r="BC1728" s="239" t="str">
        <f t="shared" si="512"/>
        <v>Sistema de transporte coletivo com um todoxx</v>
      </c>
      <c r="BD1728" s="239" t="str">
        <f t="shared" si="513"/>
        <v>Sistema de transporte coletivo com um todox</v>
      </c>
      <c r="BM1728" s="372"/>
      <c r="BN1728" s="372"/>
      <c r="BO1728" s="372"/>
    </row>
    <row r="1729" spans="1:56" s="4" customFormat="1" ht="51.75" customHeight="1" x14ac:dyDescent="0.25">
      <c r="A1729" s="275" t="str">
        <f>'Q100b-totais'!$B$57</f>
        <v>8.5</v>
      </c>
      <c r="B1729" s="54" t="str">
        <f>'Q100b-totais'!$C$57</f>
        <v>Transporte convencional</v>
      </c>
      <c r="C1729" s="230" t="s">
        <v>432</v>
      </c>
      <c r="D1729" s="901" t="s">
        <v>954</v>
      </c>
      <c r="E1729" s="1498" t="s">
        <v>1306</v>
      </c>
      <c r="F1729" s="102" t="s">
        <v>1663</v>
      </c>
      <c r="G1729" s="439" t="s">
        <v>1661</v>
      </c>
      <c r="H1729" s="173" t="s">
        <v>432</v>
      </c>
      <c r="I1729" s="167">
        <v>1</v>
      </c>
      <c r="J1729" s="107" t="s">
        <v>432</v>
      </c>
      <c r="K1729" s="107" t="s">
        <v>432</v>
      </c>
      <c r="L1729" s="107" t="s">
        <v>432</v>
      </c>
      <c r="M1729" s="84" t="s">
        <v>432</v>
      </c>
      <c r="N1729" s="84" t="s">
        <v>432</v>
      </c>
      <c r="O1729" s="84" t="s">
        <v>432</v>
      </c>
      <c r="P1729" s="84" t="s">
        <v>432</v>
      </c>
      <c r="Q1729" s="84" t="s">
        <v>432</v>
      </c>
      <c r="R1729" s="84" t="s">
        <v>432</v>
      </c>
      <c r="S1729" s="109" t="s">
        <v>2209</v>
      </c>
      <c r="T1729" s="84" t="s">
        <v>432</v>
      </c>
      <c r="U1729" s="84" t="s">
        <v>432</v>
      </c>
      <c r="V1729" s="109" t="s">
        <v>2209</v>
      </c>
      <c r="W1729" s="84" t="s">
        <v>432</v>
      </c>
      <c r="X1729" s="84" t="s">
        <v>432</v>
      </c>
      <c r="Y1729" s="84" t="s">
        <v>432</v>
      </c>
      <c r="Z1729" s="84" t="s">
        <v>432</v>
      </c>
      <c r="AA1729" s="84" t="s">
        <v>432</v>
      </c>
      <c r="AB1729" s="84" t="s">
        <v>432</v>
      </c>
      <c r="AC1729" s="84" t="s">
        <v>432</v>
      </c>
      <c r="AD1729" s="87">
        <v>6924152</v>
      </c>
      <c r="AE1729" s="87">
        <v>5916481</v>
      </c>
      <c r="AF1729" s="87">
        <v>8146517</v>
      </c>
      <c r="AG1729" s="87" t="s">
        <v>432</v>
      </c>
      <c r="AH1729" s="87">
        <v>11310095</v>
      </c>
      <c r="AI1729" s="622" t="s">
        <v>2213</v>
      </c>
      <c r="AJ1729" s="622" t="s">
        <v>2213</v>
      </c>
      <c r="AK1729" s="622" t="s">
        <v>2213</v>
      </c>
      <c r="AL1729" s="601" t="s">
        <v>432</v>
      </c>
      <c r="AM1729" s="137"/>
      <c r="AN1729" s="137"/>
      <c r="AO1729" s="137"/>
      <c r="AP1729" s="137"/>
      <c r="AQ1729" s="137"/>
      <c r="AR1729" s="137"/>
      <c r="AS1729" s="137"/>
      <c r="AT1729" s="137"/>
      <c r="AU1729" s="137"/>
      <c r="AV1729" s="137"/>
      <c r="AW1729" s="137"/>
      <c r="AX1729" s="137"/>
      <c r="AY1729" s="137"/>
      <c r="AZ1729" s="137"/>
      <c r="BA1729" s="137"/>
      <c r="BB1729" s="239" t="str">
        <f t="shared" ref="BB1729:BB1754" si="519">B1729&amp;C1729</f>
        <v>Transporte convencionalx</v>
      </c>
      <c r="BC1729" s="239" t="str">
        <f t="shared" ref="BC1729:BC1754" si="520">B1729&amp;C1729&amp;H1729</f>
        <v>Transporte convencionalxx</v>
      </c>
      <c r="BD1729" s="239" t="str">
        <f t="shared" ref="BD1729:BD1754" si="521">B1729&amp;H1729</f>
        <v>Transporte convencionalx</v>
      </c>
    </row>
    <row r="1730" spans="1:56" s="1" customFormat="1" ht="47.25" customHeight="1" x14ac:dyDescent="0.25">
      <c r="A1730" s="275" t="str">
        <f>'Q100b-totais'!$B$57</f>
        <v>8.5</v>
      </c>
      <c r="B1730" s="54" t="str">
        <f>'Q100b-totais'!$C$57</f>
        <v>Transporte convencional</v>
      </c>
      <c r="C1730" s="230" t="s">
        <v>432</v>
      </c>
      <c r="D1730" s="901" t="s">
        <v>955</v>
      </c>
      <c r="E1730" s="1498" t="s">
        <v>1306</v>
      </c>
      <c r="F1730" s="102" t="s">
        <v>948</v>
      </c>
      <c r="G1730" s="440" t="s">
        <v>1662</v>
      </c>
      <c r="H1730" s="173" t="s">
        <v>432</v>
      </c>
      <c r="I1730" s="167">
        <v>1</v>
      </c>
      <c r="J1730" s="107" t="s">
        <v>432</v>
      </c>
      <c r="K1730" s="107" t="s">
        <v>432</v>
      </c>
      <c r="L1730" s="107" t="s">
        <v>432</v>
      </c>
      <c r="M1730" s="84" t="s">
        <v>432</v>
      </c>
      <c r="N1730" s="84" t="s">
        <v>432</v>
      </c>
      <c r="O1730" s="84" t="s">
        <v>432</v>
      </c>
      <c r="P1730" s="84" t="s">
        <v>432</v>
      </c>
      <c r="Q1730" s="84" t="s">
        <v>432</v>
      </c>
      <c r="R1730" s="84" t="s">
        <v>432</v>
      </c>
      <c r="S1730" s="109" t="s">
        <v>2209</v>
      </c>
      <c r="T1730" s="84" t="s">
        <v>432</v>
      </c>
      <c r="U1730" s="84" t="s">
        <v>432</v>
      </c>
      <c r="V1730" s="109" t="s">
        <v>2209</v>
      </c>
      <c r="W1730" s="84" t="s">
        <v>432</v>
      </c>
      <c r="X1730" s="84" t="s">
        <v>432</v>
      </c>
      <c r="Y1730" s="84" t="s">
        <v>432</v>
      </c>
      <c r="Z1730" s="84" t="s">
        <v>432</v>
      </c>
      <c r="AA1730" s="84" t="s">
        <v>432</v>
      </c>
      <c r="AB1730" s="84" t="s">
        <v>432</v>
      </c>
      <c r="AC1730" s="84" t="s">
        <v>432</v>
      </c>
      <c r="AD1730" s="20">
        <f>AD1729/12</f>
        <v>577012.66666666663</v>
      </c>
      <c r="AE1730" s="20">
        <f>AE1729/12</f>
        <v>493040.08333333331</v>
      </c>
      <c r="AF1730" s="20">
        <f>AF1729/12</f>
        <v>678876.41666666663</v>
      </c>
      <c r="AG1730" s="87" t="s">
        <v>432</v>
      </c>
      <c r="AH1730" s="20">
        <f>AH1729/12</f>
        <v>942507.91666666663</v>
      </c>
      <c r="AI1730" s="20" t="e">
        <f>AI1729/12</f>
        <v>#VALUE!</v>
      </c>
      <c r="AJ1730" s="20" t="e">
        <f>AJ1729/12</f>
        <v>#VALUE!</v>
      </c>
      <c r="AK1730" s="20" t="e">
        <f>AK1729/12</f>
        <v>#VALUE!</v>
      </c>
      <c r="AL1730" s="601" t="s">
        <v>432</v>
      </c>
      <c r="AM1730" s="137" t="s">
        <v>432</v>
      </c>
      <c r="AN1730" s="137" t="s">
        <v>432</v>
      </c>
      <c r="AO1730" s="137" t="s">
        <v>432</v>
      </c>
      <c r="AP1730" s="137" t="s">
        <v>432</v>
      </c>
      <c r="AQ1730" s="137" t="s">
        <v>432</v>
      </c>
      <c r="AR1730" s="137" t="s">
        <v>432</v>
      </c>
      <c r="AS1730" s="137" t="s">
        <v>432</v>
      </c>
      <c r="AT1730" s="137" t="s">
        <v>432</v>
      </c>
      <c r="AU1730" s="137" t="s">
        <v>432</v>
      </c>
      <c r="AV1730" s="137" t="s">
        <v>432</v>
      </c>
      <c r="AW1730" s="137" t="s">
        <v>432</v>
      </c>
      <c r="AX1730" s="137" t="s">
        <v>432</v>
      </c>
      <c r="AY1730" s="137" t="s">
        <v>432</v>
      </c>
      <c r="AZ1730" s="137" t="s">
        <v>432</v>
      </c>
      <c r="BA1730" s="137" t="s">
        <v>432</v>
      </c>
      <c r="BB1730" s="239" t="str">
        <f t="shared" si="519"/>
        <v>Transporte convencionalx</v>
      </c>
      <c r="BC1730" s="239" t="str">
        <f t="shared" si="520"/>
        <v>Transporte convencionalxx</v>
      </c>
      <c r="BD1730" s="239" t="str">
        <f t="shared" si="521"/>
        <v>Transporte convencionalx</v>
      </c>
    </row>
    <row r="1731" spans="1:56" s="8" customFormat="1" ht="129.75" customHeight="1" x14ac:dyDescent="0.25">
      <c r="A1731" s="406" t="str">
        <f>'Q100b-totais'!B24</f>
        <v>3.1</v>
      </c>
      <c r="B1731" s="1205" t="str">
        <f>'Q100b-totais'!C24</f>
        <v>Normas produzidas</v>
      </c>
      <c r="C1731" s="57" t="s">
        <v>432</v>
      </c>
      <c r="D1731" s="939" t="s">
        <v>3529</v>
      </c>
      <c r="E1731" s="509" t="s">
        <v>1767</v>
      </c>
      <c r="F1731" s="5" t="s">
        <v>3533</v>
      </c>
      <c r="G1731" s="1101" t="s">
        <v>77</v>
      </c>
      <c r="H1731" s="173" t="s">
        <v>432</v>
      </c>
      <c r="I1731" s="167">
        <v>1</v>
      </c>
      <c r="J1731" s="107" t="s">
        <v>432</v>
      </c>
      <c r="K1731" s="107" t="s">
        <v>432</v>
      </c>
      <c r="L1731" s="107" t="s">
        <v>432</v>
      </c>
      <c r="M1731" s="107" t="s">
        <v>432</v>
      </c>
      <c r="N1731" s="107" t="s">
        <v>432</v>
      </c>
      <c r="O1731" s="107" t="s">
        <v>432</v>
      </c>
      <c r="P1731" s="107" t="s">
        <v>432</v>
      </c>
      <c r="Q1731" s="107" t="s">
        <v>432</v>
      </c>
      <c r="R1731" s="107" t="s">
        <v>432</v>
      </c>
      <c r="S1731" s="109" t="s">
        <v>2209</v>
      </c>
      <c r="T1731" s="137" t="s">
        <v>432</v>
      </c>
      <c r="U1731" s="137" t="s">
        <v>432</v>
      </c>
      <c r="V1731" s="109" t="s">
        <v>2209</v>
      </c>
      <c r="W1731" s="137" t="s">
        <v>432</v>
      </c>
      <c r="X1731" s="137" t="s">
        <v>432</v>
      </c>
      <c r="Y1731" s="137" t="s">
        <v>432</v>
      </c>
      <c r="Z1731" s="137" t="s">
        <v>432</v>
      </c>
      <c r="AA1731" s="137" t="s">
        <v>432</v>
      </c>
      <c r="AB1731" s="137" t="s">
        <v>432</v>
      </c>
      <c r="AC1731" s="137" t="s">
        <v>432</v>
      </c>
      <c r="AD1731" s="137" t="s">
        <v>432</v>
      </c>
      <c r="AE1731" s="137" t="s">
        <v>432</v>
      </c>
      <c r="AF1731" s="137" t="s">
        <v>432</v>
      </c>
      <c r="AG1731" s="137" t="s">
        <v>432</v>
      </c>
      <c r="AH1731" s="137" t="s">
        <v>432</v>
      </c>
      <c r="AI1731" s="1120">
        <v>7</v>
      </c>
      <c r="AJ1731" s="137" t="s">
        <v>432</v>
      </c>
      <c r="AK1731" s="137" t="s">
        <v>432</v>
      </c>
      <c r="AL1731" s="601" t="s">
        <v>432</v>
      </c>
      <c r="AM1731" s="84">
        <v>4</v>
      </c>
      <c r="AN1731" s="137" t="s">
        <v>432</v>
      </c>
      <c r="AO1731" s="137" t="s">
        <v>432</v>
      </c>
      <c r="AP1731" s="137" t="s">
        <v>432</v>
      </c>
      <c r="AQ1731" s="137" t="s">
        <v>432</v>
      </c>
      <c r="AR1731" s="137" t="s">
        <v>432</v>
      </c>
      <c r="AS1731" s="137" t="s">
        <v>432</v>
      </c>
      <c r="AT1731" s="137" t="s">
        <v>432</v>
      </c>
      <c r="AU1731" s="137" t="s">
        <v>432</v>
      </c>
      <c r="AV1731" s="137" t="s">
        <v>432</v>
      </c>
      <c r="AW1731" s="137" t="s">
        <v>432</v>
      </c>
      <c r="AX1731" s="137" t="s">
        <v>432</v>
      </c>
      <c r="AY1731" s="137" t="s">
        <v>432</v>
      </c>
      <c r="AZ1731" s="137" t="s">
        <v>432</v>
      </c>
      <c r="BA1731" s="137" t="s">
        <v>432</v>
      </c>
      <c r="BB1731" s="239" t="str">
        <f t="shared" si="519"/>
        <v>Normas produzidasx</v>
      </c>
      <c r="BC1731" s="239" t="str">
        <f t="shared" si="520"/>
        <v>Normas produzidasxx</v>
      </c>
      <c r="BD1731" s="239" t="str">
        <f t="shared" si="521"/>
        <v>Normas produzidasx</v>
      </c>
    </row>
    <row r="1732" spans="1:56" s="8" customFormat="1" ht="59.25" customHeight="1" x14ac:dyDescent="0.25">
      <c r="A1732" s="406" t="str">
        <f>'Q100b-totais'!B24</f>
        <v>3.1</v>
      </c>
      <c r="B1732" s="1205" t="str">
        <f>'Q100b-totais'!C24</f>
        <v>Normas produzidas</v>
      </c>
      <c r="C1732" s="57" t="s">
        <v>432</v>
      </c>
      <c r="D1732" s="939" t="s">
        <v>3530</v>
      </c>
      <c r="E1732" s="509" t="s">
        <v>1767</v>
      </c>
      <c r="F1732" s="5" t="s">
        <v>3532</v>
      </c>
      <c r="G1732" s="58" t="s">
        <v>3531</v>
      </c>
      <c r="H1732" s="173" t="s">
        <v>432</v>
      </c>
      <c r="I1732" s="167">
        <v>1</v>
      </c>
      <c r="J1732" s="107" t="s">
        <v>432</v>
      </c>
      <c r="K1732" s="107" t="s">
        <v>432</v>
      </c>
      <c r="L1732" s="107" t="s">
        <v>432</v>
      </c>
      <c r="M1732" s="107" t="s">
        <v>432</v>
      </c>
      <c r="N1732" s="107" t="s">
        <v>432</v>
      </c>
      <c r="O1732" s="107" t="s">
        <v>432</v>
      </c>
      <c r="P1732" s="107" t="s">
        <v>432</v>
      </c>
      <c r="Q1732" s="107" t="s">
        <v>432</v>
      </c>
      <c r="R1732" s="107" t="s">
        <v>432</v>
      </c>
      <c r="S1732" s="109" t="s">
        <v>2209</v>
      </c>
      <c r="T1732" s="137" t="s">
        <v>432</v>
      </c>
      <c r="U1732" s="137" t="s">
        <v>432</v>
      </c>
      <c r="V1732" s="109" t="s">
        <v>2209</v>
      </c>
      <c r="W1732" s="137" t="s">
        <v>432</v>
      </c>
      <c r="X1732" s="137" t="s">
        <v>432</v>
      </c>
      <c r="Y1732" s="137" t="s">
        <v>432</v>
      </c>
      <c r="Z1732" s="137" t="s">
        <v>432</v>
      </c>
      <c r="AA1732" s="137" t="s">
        <v>432</v>
      </c>
      <c r="AB1732" s="137" t="s">
        <v>432</v>
      </c>
      <c r="AC1732" s="137" t="s">
        <v>432</v>
      </c>
      <c r="AD1732" s="137" t="s">
        <v>432</v>
      </c>
      <c r="AE1732" s="137" t="s">
        <v>432</v>
      </c>
      <c r="AF1732" s="137" t="s">
        <v>432</v>
      </c>
      <c r="AG1732" s="137" t="s">
        <v>432</v>
      </c>
      <c r="AH1732" s="137" t="s">
        <v>432</v>
      </c>
      <c r="AI1732" s="1121">
        <f>AI1731/25</f>
        <v>0.28000000000000003</v>
      </c>
      <c r="AJ1732" s="137" t="s">
        <v>432</v>
      </c>
      <c r="AK1732" s="137" t="s">
        <v>432</v>
      </c>
      <c r="AL1732" s="601" t="s">
        <v>432</v>
      </c>
      <c r="AM1732" s="1121">
        <f>AM1731/25</f>
        <v>0.16</v>
      </c>
      <c r="AN1732" s="137" t="s">
        <v>432</v>
      </c>
      <c r="AO1732" s="137" t="s">
        <v>432</v>
      </c>
      <c r="AP1732" s="137" t="s">
        <v>432</v>
      </c>
      <c r="AQ1732" s="137" t="s">
        <v>432</v>
      </c>
      <c r="AR1732" s="137" t="s">
        <v>432</v>
      </c>
      <c r="AS1732" s="137" t="s">
        <v>432</v>
      </c>
      <c r="AT1732" s="137" t="s">
        <v>432</v>
      </c>
      <c r="AU1732" s="137" t="s">
        <v>432</v>
      </c>
      <c r="AV1732" s="137" t="s">
        <v>432</v>
      </c>
      <c r="AW1732" s="137" t="s">
        <v>432</v>
      </c>
      <c r="AX1732" s="137" t="s">
        <v>432</v>
      </c>
      <c r="AY1732" s="137" t="s">
        <v>432</v>
      </c>
      <c r="AZ1732" s="137" t="s">
        <v>432</v>
      </c>
      <c r="BA1732" s="137" t="s">
        <v>432</v>
      </c>
      <c r="BB1732" s="239" t="str">
        <f t="shared" si="519"/>
        <v>Normas produzidasx</v>
      </c>
      <c r="BC1732" s="239" t="str">
        <f t="shared" si="520"/>
        <v>Normas produzidasxx</v>
      </c>
      <c r="BD1732" s="239" t="str">
        <f t="shared" si="521"/>
        <v>Normas produzidasx</v>
      </c>
    </row>
    <row r="1733" spans="1:56" s="1" customFormat="1" ht="63.75" x14ac:dyDescent="0.25">
      <c r="A1733" s="276" t="str">
        <f>'Q100b-totais'!$B$27</f>
        <v>3.2.2</v>
      </c>
      <c r="B1733" s="54" t="str">
        <f>'Q100b-totais'!$C$27</f>
        <v>Outras questões em pesquisas externas de opinião</v>
      </c>
      <c r="C1733" s="230" t="s">
        <v>432</v>
      </c>
      <c r="D1733" s="985" t="s">
        <v>1037</v>
      </c>
      <c r="E1733" s="1520" t="s">
        <v>1306</v>
      </c>
      <c r="F1733" s="286" t="s">
        <v>1569</v>
      </c>
      <c r="G1733" s="110" t="s">
        <v>77</v>
      </c>
      <c r="H1733" s="173" t="s">
        <v>432</v>
      </c>
      <c r="I1733" s="57">
        <v>1</v>
      </c>
      <c r="J1733" s="109" t="s">
        <v>432</v>
      </c>
      <c r="K1733" s="109" t="s">
        <v>432</v>
      </c>
      <c r="L1733" s="109" t="s">
        <v>432</v>
      </c>
      <c r="M1733" s="109" t="s">
        <v>432</v>
      </c>
      <c r="N1733" s="109" t="s">
        <v>432</v>
      </c>
      <c r="O1733" s="300" t="s">
        <v>432</v>
      </c>
      <c r="P1733" s="96">
        <v>9</v>
      </c>
      <c r="Q1733" s="96" t="s">
        <v>432</v>
      </c>
      <c r="R1733" s="96">
        <v>19</v>
      </c>
      <c r="S1733" s="109" t="s">
        <v>2209</v>
      </c>
      <c r="T1733" s="96">
        <v>5</v>
      </c>
      <c r="U1733" s="96">
        <v>10</v>
      </c>
      <c r="V1733" s="109" t="s">
        <v>2209</v>
      </c>
      <c r="W1733" s="96">
        <v>12</v>
      </c>
      <c r="X1733" s="96">
        <v>12</v>
      </c>
      <c r="Y1733" s="96">
        <v>11</v>
      </c>
      <c r="Z1733" s="96">
        <v>9</v>
      </c>
      <c r="AA1733" s="96">
        <v>9</v>
      </c>
      <c r="AB1733" s="96">
        <v>16</v>
      </c>
      <c r="AC1733" s="96">
        <v>10</v>
      </c>
      <c r="AD1733" s="96">
        <v>17</v>
      </c>
      <c r="AE1733" s="107" t="s">
        <v>2208</v>
      </c>
      <c r="AF1733" s="96">
        <v>19</v>
      </c>
      <c r="AG1733" s="96">
        <v>18</v>
      </c>
      <c r="AH1733" s="107" t="s">
        <v>2208</v>
      </c>
      <c r="AI1733" s="96">
        <v>20</v>
      </c>
      <c r="AJ1733" s="107" t="s">
        <v>2208</v>
      </c>
      <c r="AK1733" s="84">
        <v>21</v>
      </c>
      <c r="AL1733" s="601" t="s">
        <v>432</v>
      </c>
      <c r="AM1733" s="137" t="s">
        <v>432</v>
      </c>
      <c r="AN1733" s="137" t="s">
        <v>432</v>
      </c>
      <c r="AO1733" s="137" t="s">
        <v>432</v>
      </c>
      <c r="AP1733" s="137" t="s">
        <v>432</v>
      </c>
      <c r="AQ1733" s="137" t="s">
        <v>432</v>
      </c>
      <c r="AR1733" s="137" t="s">
        <v>432</v>
      </c>
      <c r="AS1733" s="137" t="s">
        <v>432</v>
      </c>
      <c r="AT1733" s="137" t="s">
        <v>432</v>
      </c>
      <c r="AU1733" s="137" t="s">
        <v>432</v>
      </c>
      <c r="AV1733" s="137" t="s">
        <v>432</v>
      </c>
      <c r="AW1733" s="137" t="s">
        <v>432</v>
      </c>
      <c r="AX1733" s="137" t="s">
        <v>432</v>
      </c>
      <c r="AY1733" s="137" t="s">
        <v>432</v>
      </c>
      <c r="AZ1733" s="137" t="s">
        <v>432</v>
      </c>
      <c r="BA1733" s="137" t="s">
        <v>432</v>
      </c>
      <c r="BB1733" s="239" t="str">
        <f t="shared" si="519"/>
        <v>Outras questões em pesquisas externas de opiniãox</v>
      </c>
      <c r="BC1733" s="239" t="str">
        <f t="shared" si="520"/>
        <v>Outras questões em pesquisas externas de opiniãoxx</v>
      </c>
      <c r="BD1733" s="239" t="str">
        <f t="shared" si="521"/>
        <v>Outras questões em pesquisas externas de opiniãox</v>
      </c>
    </row>
    <row r="1734" spans="1:56" s="1" customFormat="1" ht="63.75" x14ac:dyDescent="0.25">
      <c r="A1734" s="276" t="str">
        <f>'Q100b-totais'!$B$27</f>
        <v>3.2.2</v>
      </c>
      <c r="B1734" s="54" t="str">
        <f>'Q100b-totais'!$C$27</f>
        <v>Outras questões em pesquisas externas de opinião</v>
      </c>
      <c r="C1734" s="230" t="s">
        <v>432</v>
      </c>
      <c r="D1734" s="985" t="s">
        <v>922</v>
      </c>
      <c r="E1734" s="1520" t="s">
        <v>1038</v>
      </c>
      <c r="F1734" s="286" t="s">
        <v>1936</v>
      </c>
      <c r="G1734" s="110" t="s">
        <v>77</v>
      </c>
      <c r="H1734" s="173" t="s">
        <v>819</v>
      </c>
      <c r="I1734" s="167" t="s">
        <v>432</v>
      </c>
      <c r="J1734" s="109" t="s">
        <v>432</v>
      </c>
      <c r="K1734" s="109" t="s">
        <v>432</v>
      </c>
      <c r="L1734" s="109" t="s">
        <v>432</v>
      </c>
      <c r="M1734" s="109" t="s">
        <v>432</v>
      </c>
      <c r="N1734" s="109" t="s">
        <v>432</v>
      </c>
      <c r="O1734" s="84" t="s">
        <v>432</v>
      </c>
      <c r="P1734" s="84" t="s">
        <v>432</v>
      </c>
      <c r="Q1734" s="84" t="s">
        <v>432</v>
      </c>
      <c r="R1734" s="84" t="s">
        <v>432</v>
      </c>
      <c r="S1734" s="109" t="s">
        <v>2209</v>
      </c>
      <c r="T1734" s="84" t="s">
        <v>432</v>
      </c>
      <c r="U1734" s="88">
        <v>11.046575342465754</v>
      </c>
      <c r="V1734" s="109" t="s">
        <v>2209</v>
      </c>
      <c r="W1734" s="88">
        <v>12</v>
      </c>
      <c r="X1734" s="88">
        <v>10.980821917808219</v>
      </c>
      <c r="Y1734" s="88">
        <v>13.019178082191781</v>
      </c>
      <c r="Z1734" s="96">
        <v>10.027397260273972</v>
      </c>
      <c r="AA1734" s="96">
        <v>12.986301369863014</v>
      </c>
      <c r="AB1734" s="96">
        <v>9.9945205479452053</v>
      </c>
      <c r="AC1734" s="96">
        <v>13.019178082191781</v>
      </c>
      <c r="AD1734" s="96">
        <v>11.013698630136986</v>
      </c>
      <c r="AE1734" s="96">
        <v>15.024657534246575</v>
      </c>
      <c r="AF1734" s="96">
        <v>12</v>
      </c>
      <c r="AG1734" s="96">
        <v>12</v>
      </c>
      <c r="AH1734" s="96">
        <v>12.065753424657533</v>
      </c>
      <c r="AI1734" s="300" t="s">
        <v>432</v>
      </c>
      <c r="AJ1734" s="110" t="s">
        <v>432</v>
      </c>
      <c r="AK1734" s="137" t="s">
        <v>432</v>
      </c>
      <c r="AL1734" s="601" t="s">
        <v>432</v>
      </c>
      <c r="AM1734" s="137" t="s">
        <v>432</v>
      </c>
      <c r="AN1734" s="137" t="s">
        <v>432</v>
      </c>
      <c r="AO1734" s="137" t="s">
        <v>432</v>
      </c>
      <c r="AP1734" s="137" t="s">
        <v>432</v>
      </c>
      <c r="AQ1734" s="137" t="s">
        <v>432</v>
      </c>
      <c r="AR1734" s="137" t="s">
        <v>432</v>
      </c>
      <c r="AS1734" s="137" t="s">
        <v>432</v>
      </c>
      <c r="AT1734" s="137" t="s">
        <v>432</v>
      </c>
      <c r="AU1734" s="137" t="s">
        <v>432</v>
      </c>
      <c r="AV1734" s="137" t="s">
        <v>432</v>
      </c>
      <c r="AW1734" s="137" t="s">
        <v>432</v>
      </c>
      <c r="AX1734" s="137" t="s">
        <v>432</v>
      </c>
      <c r="AY1734" s="137" t="s">
        <v>432</v>
      </c>
      <c r="AZ1734" s="137" t="s">
        <v>432</v>
      </c>
      <c r="BA1734" s="137" t="s">
        <v>432</v>
      </c>
      <c r="BB1734" s="239" t="str">
        <f t="shared" si="519"/>
        <v>Outras questões em pesquisas externas de opiniãox</v>
      </c>
      <c r="BC1734" s="239" t="str">
        <f t="shared" si="520"/>
        <v>Outras questões em pesquisas externas de opiniãoxbenchmarking</v>
      </c>
      <c r="BD1734" s="239" t="str">
        <f t="shared" si="521"/>
        <v>Outras questões em pesquisas externas de opiniãobenchmarking</v>
      </c>
    </row>
    <row r="1735" spans="1:56" s="105" customFormat="1" ht="63.75" x14ac:dyDescent="0.25">
      <c r="A1735" s="932" t="str">
        <f>'Q100b-totais'!B27</f>
        <v>3.2.2</v>
      </c>
      <c r="B1735" s="1205" t="str">
        <f>'Q100b-totais'!C27</f>
        <v>Outras questões em pesquisas externas de opinião</v>
      </c>
      <c r="C1735" s="157" t="s">
        <v>432</v>
      </c>
      <c r="D1735" s="362" t="s">
        <v>1076</v>
      </c>
      <c r="E1735" s="1523" t="s">
        <v>1076</v>
      </c>
      <c r="F1735" s="933" t="s">
        <v>2967</v>
      </c>
      <c r="G1735" s="110" t="s">
        <v>1081</v>
      </c>
      <c r="H1735" s="167" t="s">
        <v>765</v>
      </c>
      <c r="I1735" s="167" t="s">
        <v>432</v>
      </c>
      <c r="J1735" s="109" t="s">
        <v>432</v>
      </c>
      <c r="K1735" s="109" t="s">
        <v>432</v>
      </c>
      <c r="L1735" s="109" t="s">
        <v>432</v>
      </c>
      <c r="M1735" s="109" t="s">
        <v>432</v>
      </c>
      <c r="N1735" s="109" t="s">
        <v>432</v>
      </c>
      <c r="O1735" s="84">
        <v>12</v>
      </c>
      <c r="P1735" s="84">
        <v>12</v>
      </c>
      <c r="Q1735" s="84">
        <v>12</v>
      </c>
      <c r="R1735" s="84">
        <v>12</v>
      </c>
      <c r="S1735" s="84">
        <v>12</v>
      </c>
      <c r="T1735" s="84">
        <v>12</v>
      </c>
      <c r="U1735" s="84">
        <v>12</v>
      </c>
      <c r="V1735" s="84">
        <v>12</v>
      </c>
      <c r="W1735" s="84">
        <v>12</v>
      </c>
      <c r="X1735" s="84">
        <v>12</v>
      </c>
      <c r="Y1735" s="84">
        <v>12</v>
      </c>
      <c r="Z1735" s="84">
        <v>12</v>
      </c>
      <c r="AA1735" s="84">
        <v>12</v>
      </c>
      <c r="AB1735" s="84">
        <v>12</v>
      </c>
      <c r="AC1735" s="84">
        <v>12</v>
      </c>
      <c r="AD1735" s="84">
        <v>12</v>
      </c>
      <c r="AE1735" s="84">
        <v>12</v>
      </c>
      <c r="AF1735" s="84">
        <v>12</v>
      </c>
      <c r="AG1735" s="84">
        <v>12</v>
      </c>
      <c r="AH1735" s="84">
        <v>12</v>
      </c>
      <c r="AI1735" s="84">
        <v>12</v>
      </c>
      <c r="AJ1735" s="84">
        <v>12</v>
      </c>
      <c r="AK1735" s="84">
        <v>12</v>
      </c>
      <c r="AL1735" s="601" t="s">
        <v>432</v>
      </c>
      <c r="AM1735" s="137" t="s">
        <v>432</v>
      </c>
      <c r="AN1735" s="137" t="s">
        <v>432</v>
      </c>
      <c r="AO1735" s="137" t="s">
        <v>432</v>
      </c>
      <c r="AP1735" s="137" t="s">
        <v>432</v>
      </c>
      <c r="AQ1735" s="137" t="s">
        <v>432</v>
      </c>
      <c r="AR1735" s="137" t="s">
        <v>432</v>
      </c>
      <c r="AS1735" s="137" t="s">
        <v>432</v>
      </c>
      <c r="AT1735" s="137" t="s">
        <v>432</v>
      </c>
      <c r="AU1735" s="137" t="s">
        <v>432</v>
      </c>
      <c r="AV1735" s="137" t="s">
        <v>432</v>
      </c>
      <c r="AW1735" s="137" t="s">
        <v>432</v>
      </c>
      <c r="AX1735" s="137" t="s">
        <v>432</v>
      </c>
      <c r="AY1735" s="137" t="s">
        <v>432</v>
      </c>
      <c r="AZ1735" s="137" t="s">
        <v>432</v>
      </c>
      <c r="BA1735" s="137" t="s">
        <v>432</v>
      </c>
      <c r="BB1735" s="239" t="str">
        <f t="shared" si="519"/>
        <v>Outras questões em pesquisas externas de opiniãox</v>
      </c>
      <c r="BC1735" s="239" t="str">
        <f t="shared" si="520"/>
        <v>Outras questões em pesquisas externas de opiniãoxmeta/RPI</v>
      </c>
      <c r="BD1735" s="239" t="str">
        <f t="shared" si="521"/>
        <v>Outras questões em pesquisas externas de opiniãometa/RPI</v>
      </c>
    </row>
    <row r="1736" spans="1:56" s="1" customFormat="1" ht="51" customHeight="1" x14ac:dyDescent="0.25">
      <c r="A1736" s="262" t="s">
        <v>432</v>
      </c>
      <c r="B1736" s="252" t="s">
        <v>742</v>
      </c>
      <c r="C1736" s="167" t="s">
        <v>432</v>
      </c>
      <c r="D1736" s="324" t="s">
        <v>298</v>
      </c>
      <c r="E1736" s="1496" t="s">
        <v>432</v>
      </c>
      <c r="F1736" s="165" t="s">
        <v>845</v>
      </c>
      <c r="G1736" s="167" t="s">
        <v>3879</v>
      </c>
      <c r="H1736" s="167" t="s">
        <v>432</v>
      </c>
      <c r="I1736" s="167" t="s">
        <v>432</v>
      </c>
      <c r="J1736" s="107" t="s">
        <v>432</v>
      </c>
      <c r="K1736" s="107" t="s">
        <v>432</v>
      </c>
      <c r="L1736" s="107" t="s">
        <v>432</v>
      </c>
      <c r="M1736" s="107" t="s">
        <v>432</v>
      </c>
      <c r="N1736" s="107" t="s">
        <v>432</v>
      </c>
      <c r="O1736" s="107" t="s">
        <v>432</v>
      </c>
      <c r="P1736" s="107" t="s">
        <v>432</v>
      </c>
      <c r="Q1736" s="107" t="s">
        <v>432</v>
      </c>
      <c r="R1736" s="107" t="s">
        <v>432</v>
      </c>
      <c r="S1736" s="109" t="s">
        <v>2209</v>
      </c>
      <c r="T1736" s="107" t="s">
        <v>432</v>
      </c>
      <c r="U1736" s="107" t="s">
        <v>432</v>
      </c>
      <c r="V1736" s="109" t="s">
        <v>2209</v>
      </c>
      <c r="W1736" s="107" t="s">
        <v>432</v>
      </c>
      <c r="X1736" s="107" t="s">
        <v>432</v>
      </c>
      <c r="Y1736" s="107" t="s">
        <v>432</v>
      </c>
      <c r="Z1736" s="107" t="s">
        <v>432</v>
      </c>
      <c r="AA1736" s="107" t="s">
        <v>432</v>
      </c>
      <c r="AB1736" s="107" t="s">
        <v>432</v>
      </c>
      <c r="AC1736" s="107" t="s">
        <v>432</v>
      </c>
      <c r="AD1736" s="107" t="s">
        <v>432</v>
      </c>
      <c r="AE1736" s="107" t="s">
        <v>432</v>
      </c>
      <c r="AF1736" s="107" t="s">
        <v>432</v>
      </c>
      <c r="AG1736" s="107" t="s">
        <v>432</v>
      </c>
      <c r="AH1736" s="107" t="s">
        <v>432</v>
      </c>
      <c r="AI1736" s="107" t="s">
        <v>432</v>
      </c>
      <c r="AJ1736" s="107" t="s">
        <v>432</v>
      </c>
      <c r="AK1736" s="137" t="s">
        <v>432</v>
      </c>
      <c r="AL1736" s="601" t="s">
        <v>432</v>
      </c>
      <c r="AM1736" s="137" t="s">
        <v>432</v>
      </c>
      <c r="AN1736" s="137" t="s">
        <v>432</v>
      </c>
      <c r="AO1736" s="137" t="s">
        <v>432</v>
      </c>
      <c r="AP1736" s="137" t="s">
        <v>432</v>
      </c>
      <c r="AQ1736" s="137" t="s">
        <v>432</v>
      </c>
      <c r="AR1736" s="137" t="s">
        <v>432</v>
      </c>
      <c r="AS1736" s="137" t="s">
        <v>432</v>
      </c>
      <c r="AT1736" s="137" t="s">
        <v>432</v>
      </c>
      <c r="AU1736" s="137" t="s">
        <v>432</v>
      </c>
      <c r="AV1736" s="137" t="s">
        <v>432</v>
      </c>
      <c r="AW1736" s="137" t="s">
        <v>432</v>
      </c>
      <c r="AX1736" s="137" t="s">
        <v>432</v>
      </c>
      <c r="AY1736" s="137" t="s">
        <v>432</v>
      </c>
      <c r="AZ1736" s="137" t="s">
        <v>432</v>
      </c>
      <c r="BA1736" s="137" t="s">
        <v>432</v>
      </c>
      <c r="BB1736" s="239" t="str">
        <f t="shared" si="519"/>
        <v>geralx</v>
      </c>
      <c r="BC1736" s="239" t="str">
        <f t="shared" si="520"/>
        <v>geralxx</v>
      </c>
      <c r="BD1736" s="239" t="str">
        <f t="shared" si="521"/>
        <v>geralx</v>
      </c>
    </row>
    <row r="1737" spans="1:56" s="1" customFormat="1" ht="51" customHeight="1" x14ac:dyDescent="0.25">
      <c r="A1737" s="262" t="s">
        <v>432</v>
      </c>
      <c r="B1737" s="252" t="s">
        <v>742</v>
      </c>
      <c r="C1737" s="230" t="s">
        <v>432</v>
      </c>
      <c r="D1737" s="324" t="s">
        <v>844</v>
      </c>
      <c r="E1737" s="1496" t="s">
        <v>432</v>
      </c>
      <c r="F1737" s="177" t="s">
        <v>846</v>
      </c>
      <c r="G1737" s="167" t="s">
        <v>3879</v>
      </c>
      <c r="H1737" s="167" t="s">
        <v>432</v>
      </c>
      <c r="I1737" s="167" t="s">
        <v>432</v>
      </c>
      <c r="J1737" s="109" t="s">
        <v>432</v>
      </c>
      <c r="K1737" s="109" t="s">
        <v>432</v>
      </c>
      <c r="L1737" s="109" t="s">
        <v>432</v>
      </c>
      <c r="M1737" s="109" t="s">
        <v>432</v>
      </c>
      <c r="N1737" s="109" t="s">
        <v>432</v>
      </c>
      <c r="O1737" s="109" t="s">
        <v>432</v>
      </c>
      <c r="P1737" s="109" t="s">
        <v>432</v>
      </c>
      <c r="Q1737" s="109" t="s">
        <v>432</v>
      </c>
      <c r="R1737" s="109" t="s">
        <v>432</v>
      </c>
      <c r="S1737" s="109" t="s">
        <v>2209</v>
      </c>
      <c r="T1737" s="109" t="s">
        <v>432</v>
      </c>
      <c r="U1737" s="109" t="s">
        <v>432</v>
      </c>
      <c r="V1737" s="109" t="s">
        <v>2209</v>
      </c>
      <c r="W1737" s="109" t="s">
        <v>432</v>
      </c>
      <c r="X1737" s="109" t="s">
        <v>432</v>
      </c>
      <c r="Y1737" s="109" t="s">
        <v>432</v>
      </c>
      <c r="Z1737" s="109" t="s">
        <v>432</v>
      </c>
      <c r="AA1737" s="109" t="s">
        <v>432</v>
      </c>
      <c r="AB1737" s="109" t="s">
        <v>432</v>
      </c>
      <c r="AC1737" s="109" t="s">
        <v>432</v>
      </c>
      <c r="AD1737" s="109" t="s">
        <v>432</v>
      </c>
      <c r="AE1737" s="109" t="s">
        <v>432</v>
      </c>
      <c r="AF1737" s="109" t="s">
        <v>432</v>
      </c>
      <c r="AG1737" s="109" t="s">
        <v>432</v>
      </c>
      <c r="AH1737" s="109" t="s">
        <v>432</v>
      </c>
      <c r="AI1737" s="109" t="s">
        <v>432</v>
      </c>
      <c r="AJ1737" s="109" t="s">
        <v>432</v>
      </c>
      <c r="AK1737" s="137" t="s">
        <v>432</v>
      </c>
      <c r="AL1737" s="601" t="s">
        <v>432</v>
      </c>
      <c r="AM1737" s="137" t="s">
        <v>432</v>
      </c>
      <c r="AN1737" s="137" t="s">
        <v>432</v>
      </c>
      <c r="AO1737" s="137" t="s">
        <v>432</v>
      </c>
      <c r="AP1737" s="137" t="s">
        <v>432</v>
      </c>
      <c r="AQ1737" s="137" t="s">
        <v>432</v>
      </c>
      <c r="AR1737" s="137" t="s">
        <v>432</v>
      </c>
      <c r="AS1737" s="137" t="s">
        <v>432</v>
      </c>
      <c r="AT1737" s="137" t="s">
        <v>432</v>
      </c>
      <c r="AU1737" s="137" t="s">
        <v>432</v>
      </c>
      <c r="AV1737" s="137" t="s">
        <v>432</v>
      </c>
      <c r="AW1737" s="137" t="s">
        <v>432</v>
      </c>
      <c r="AX1737" s="137" t="s">
        <v>432</v>
      </c>
      <c r="AY1737" s="137" t="s">
        <v>432</v>
      </c>
      <c r="AZ1737" s="137" t="s">
        <v>432</v>
      </c>
      <c r="BA1737" s="137" t="s">
        <v>432</v>
      </c>
      <c r="BB1737" s="239" t="str">
        <f t="shared" si="519"/>
        <v>geralx</v>
      </c>
      <c r="BC1737" s="239" t="str">
        <f t="shared" si="520"/>
        <v>geralxx</v>
      </c>
      <c r="BD1737" s="239" t="str">
        <f t="shared" si="521"/>
        <v>geralx</v>
      </c>
    </row>
    <row r="1738" spans="1:56" s="1" customFormat="1" ht="38.25" x14ac:dyDescent="0.25">
      <c r="A1738" s="275" t="str">
        <f>'Q100b-totais'!$B$57</f>
        <v>8.5</v>
      </c>
      <c r="B1738" s="54" t="str">
        <f>'Q100b-totais'!$C$57</f>
        <v>Transporte convencional</v>
      </c>
      <c r="C1738" s="230" t="s">
        <v>432</v>
      </c>
      <c r="D1738" s="901" t="s">
        <v>956</v>
      </c>
      <c r="E1738" s="1498" t="s">
        <v>1306</v>
      </c>
      <c r="F1738" s="252" t="s">
        <v>1660</v>
      </c>
      <c r="G1738" s="110" t="s">
        <v>77</v>
      </c>
      <c r="H1738" s="173" t="s">
        <v>432</v>
      </c>
      <c r="I1738" s="167">
        <v>1</v>
      </c>
      <c r="J1738" s="109" t="s">
        <v>432</v>
      </c>
      <c r="K1738" s="109" t="s">
        <v>432</v>
      </c>
      <c r="L1738" s="109" t="s">
        <v>432</v>
      </c>
      <c r="M1738" s="84" t="s">
        <v>432</v>
      </c>
      <c r="N1738" s="84" t="s">
        <v>432</v>
      </c>
      <c r="O1738" s="84" t="s">
        <v>432</v>
      </c>
      <c r="P1738" s="87" t="s">
        <v>432</v>
      </c>
      <c r="Q1738" s="87" t="s">
        <v>432</v>
      </c>
      <c r="R1738" s="87" t="s">
        <v>432</v>
      </c>
      <c r="S1738" s="109" t="s">
        <v>2209</v>
      </c>
      <c r="T1738" s="87" t="s">
        <v>432</v>
      </c>
      <c r="U1738" s="87" t="s">
        <v>432</v>
      </c>
      <c r="V1738" s="109" t="s">
        <v>2209</v>
      </c>
      <c r="W1738" s="87" t="s">
        <v>432</v>
      </c>
      <c r="X1738" s="87" t="s">
        <v>432</v>
      </c>
      <c r="Y1738" s="87" t="s">
        <v>432</v>
      </c>
      <c r="Z1738" s="87" t="s">
        <v>432</v>
      </c>
      <c r="AA1738" s="87" t="s">
        <v>432</v>
      </c>
      <c r="AB1738" s="87" t="s">
        <v>432</v>
      </c>
      <c r="AC1738" s="87" t="s">
        <v>432</v>
      </c>
      <c r="AD1738" s="87" t="s">
        <v>432</v>
      </c>
      <c r="AE1738" s="87" t="s">
        <v>432</v>
      </c>
      <c r="AF1738" s="92">
        <v>119763</v>
      </c>
      <c r="AG1738" s="93" t="s">
        <v>2213</v>
      </c>
      <c r="AH1738" s="93" t="s">
        <v>2213</v>
      </c>
      <c r="AI1738" s="93" t="s">
        <v>2213</v>
      </c>
      <c r="AJ1738" s="93" t="s">
        <v>2213</v>
      </c>
      <c r="AK1738" s="93" t="s">
        <v>2213</v>
      </c>
      <c r="AL1738" s="601" t="s">
        <v>432</v>
      </c>
      <c r="AM1738" s="137"/>
      <c r="AN1738" s="137"/>
      <c r="AO1738" s="137"/>
      <c r="AP1738" s="137"/>
      <c r="AQ1738" s="137"/>
      <c r="AR1738" s="137"/>
      <c r="AS1738" s="137"/>
      <c r="AT1738" s="137"/>
      <c r="AU1738" s="137"/>
      <c r="AV1738" s="137"/>
      <c r="AW1738" s="137"/>
      <c r="AX1738" s="137"/>
      <c r="AY1738" s="137"/>
      <c r="AZ1738" s="137"/>
      <c r="BA1738" s="137"/>
      <c r="BB1738" s="239" t="str">
        <f t="shared" si="519"/>
        <v>Transporte convencionalx</v>
      </c>
      <c r="BC1738" s="239" t="str">
        <f t="shared" si="520"/>
        <v>Transporte convencionalxx</v>
      </c>
      <c r="BD1738" s="239" t="str">
        <f t="shared" si="521"/>
        <v>Transporte convencionalx</v>
      </c>
    </row>
    <row r="1739" spans="1:56" s="1" customFormat="1" ht="25.5" x14ac:dyDescent="0.25">
      <c r="A1739" s="275" t="str">
        <f>'Q100b-totais'!$B$57</f>
        <v>8.5</v>
      </c>
      <c r="B1739" s="54" t="str">
        <f>'Q100b-totais'!$C$57</f>
        <v>Transporte convencional</v>
      </c>
      <c r="C1739" s="230" t="s">
        <v>432</v>
      </c>
      <c r="D1739" s="901" t="s">
        <v>957</v>
      </c>
      <c r="E1739" s="1498" t="s">
        <v>1306</v>
      </c>
      <c r="F1739" s="252" t="s">
        <v>947</v>
      </c>
      <c r="G1739" s="441" t="s">
        <v>964</v>
      </c>
      <c r="H1739" s="173" t="s">
        <v>432</v>
      </c>
      <c r="I1739" s="167">
        <v>1</v>
      </c>
      <c r="J1739" s="107" t="s">
        <v>432</v>
      </c>
      <c r="K1739" s="107" t="s">
        <v>432</v>
      </c>
      <c r="L1739" s="107" t="s">
        <v>432</v>
      </c>
      <c r="M1739" s="84" t="s">
        <v>432</v>
      </c>
      <c r="N1739" s="84" t="s">
        <v>432</v>
      </c>
      <c r="O1739" s="84" t="s">
        <v>432</v>
      </c>
      <c r="P1739" s="20" t="s">
        <v>432</v>
      </c>
      <c r="Q1739" s="20" t="s">
        <v>432</v>
      </c>
      <c r="R1739" s="20" t="s">
        <v>432</v>
      </c>
      <c r="S1739" s="109" t="s">
        <v>2209</v>
      </c>
      <c r="T1739" s="20" t="s">
        <v>432</v>
      </c>
      <c r="U1739" s="20" t="s">
        <v>432</v>
      </c>
      <c r="V1739" s="109" t="s">
        <v>2209</v>
      </c>
      <c r="W1739" s="20" t="s">
        <v>432</v>
      </c>
      <c r="X1739" s="20" t="s">
        <v>432</v>
      </c>
      <c r="Y1739" s="20" t="s">
        <v>432</v>
      </c>
      <c r="Z1739" s="20" t="s">
        <v>432</v>
      </c>
      <c r="AA1739" s="20" t="s">
        <v>432</v>
      </c>
      <c r="AB1739" s="20" t="s">
        <v>432</v>
      </c>
      <c r="AC1739" s="20" t="s">
        <v>432</v>
      </c>
      <c r="AD1739" s="20" t="s">
        <v>432</v>
      </c>
      <c r="AE1739" s="20" t="s">
        <v>432</v>
      </c>
      <c r="AF1739" s="20">
        <f t="shared" ref="AF1739:AK1739" si="522">AF1738/12</f>
        <v>9980.25</v>
      </c>
      <c r="AG1739" s="20" t="e">
        <f t="shared" si="522"/>
        <v>#VALUE!</v>
      </c>
      <c r="AH1739" s="20" t="e">
        <f t="shared" si="522"/>
        <v>#VALUE!</v>
      </c>
      <c r="AI1739" s="20" t="e">
        <f t="shared" si="522"/>
        <v>#VALUE!</v>
      </c>
      <c r="AJ1739" s="20" t="e">
        <f t="shared" si="522"/>
        <v>#VALUE!</v>
      </c>
      <c r="AK1739" s="20" t="e">
        <f t="shared" si="522"/>
        <v>#VALUE!</v>
      </c>
      <c r="AL1739" s="601" t="s">
        <v>432</v>
      </c>
      <c r="AM1739" s="137" t="s">
        <v>432</v>
      </c>
      <c r="AN1739" s="137" t="s">
        <v>432</v>
      </c>
      <c r="AO1739" s="137" t="s">
        <v>432</v>
      </c>
      <c r="AP1739" s="137" t="s">
        <v>432</v>
      </c>
      <c r="AQ1739" s="137" t="s">
        <v>432</v>
      </c>
      <c r="AR1739" s="137" t="s">
        <v>432</v>
      </c>
      <c r="AS1739" s="137" t="s">
        <v>432</v>
      </c>
      <c r="AT1739" s="137" t="s">
        <v>432</v>
      </c>
      <c r="AU1739" s="137" t="s">
        <v>432</v>
      </c>
      <c r="AV1739" s="137" t="s">
        <v>432</v>
      </c>
      <c r="AW1739" s="137" t="s">
        <v>432</v>
      </c>
      <c r="AX1739" s="137" t="s">
        <v>432</v>
      </c>
      <c r="AY1739" s="137" t="s">
        <v>432</v>
      </c>
      <c r="AZ1739" s="137" t="s">
        <v>432</v>
      </c>
      <c r="BA1739" s="137" t="s">
        <v>432</v>
      </c>
      <c r="BB1739" s="239" t="str">
        <f t="shared" si="519"/>
        <v>Transporte convencionalx</v>
      </c>
      <c r="BC1739" s="239" t="str">
        <f t="shared" si="520"/>
        <v>Transporte convencionalxx</v>
      </c>
      <c r="BD1739" s="239" t="str">
        <f t="shared" si="521"/>
        <v>Transporte convencionalx</v>
      </c>
    </row>
    <row r="1740" spans="1:56" s="1" customFormat="1" ht="38.25" x14ac:dyDescent="0.25">
      <c r="A1740" s="275" t="str">
        <f>'Q100b-totais'!$B$57</f>
        <v>8.5</v>
      </c>
      <c r="B1740" s="54" t="str">
        <f>'Q100b-totais'!$C$57</f>
        <v>Transporte convencional</v>
      </c>
      <c r="C1740" s="230" t="s">
        <v>432</v>
      </c>
      <c r="D1740" s="901" t="s">
        <v>958</v>
      </c>
      <c r="E1740" s="1498" t="s">
        <v>1306</v>
      </c>
      <c r="F1740" s="252" t="s">
        <v>1658</v>
      </c>
      <c r="G1740" s="439" t="s">
        <v>1657</v>
      </c>
      <c r="H1740" s="173" t="s">
        <v>432</v>
      </c>
      <c r="I1740" s="167">
        <v>1</v>
      </c>
      <c r="J1740" s="107" t="s">
        <v>432</v>
      </c>
      <c r="K1740" s="107" t="s">
        <v>432</v>
      </c>
      <c r="L1740" s="107" t="s">
        <v>432</v>
      </c>
      <c r="M1740" s="84" t="s">
        <v>432</v>
      </c>
      <c r="N1740" s="84" t="s">
        <v>432</v>
      </c>
      <c r="O1740" s="84" t="s">
        <v>432</v>
      </c>
      <c r="P1740" s="87" t="s">
        <v>432</v>
      </c>
      <c r="Q1740" s="87" t="s">
        <v>432</v>
      </c>
      <c r="R1740" s="87" t="s">
        <v>432</v>
      </c>
      <c r="S1740" s="109" t="s">
        <v>2209</v>
      </c>
      <c r="T1740" s="87" t="s">
        <v>432</v>
      </c>
      <c r="U1740" s="87" t="s">
        <v>432</v>
      </c>
      <c r="V1740" s="109" t="s">
        <v>2209</v>
      </c>
      <c r="W1740" s="87" t="s">
        <v>432</v>
      </c>
      <c r="X1740" s="87" t="s">
        <v>432</v>
      </c>
      <c r="Y1740" s="87" t="s">
        <v>432</v>
      </c>
      <c r="Z1740" s="87" t="s">
        <v>432</v>
      </c>
      <c r="AA1740" s="87" t="s">
        <v>432</v>
      </c>
      <c r="AB1740" s="87">
        <v>8738375</v>
      </c>
      <c r="AC1740" s="87">
        <v>8717324</v>
      </c>
      <c r="AD1740" s="87">
        <v>9014501</v>
      </c>
      <c r="AE1740" s="87">
        <v>9167357</v>
      </c>
      <c r="AF1740" s="87">
        <v>8851938</v>
      </c>
      <c r="AG1740" s="87">
        <v>8753638</v>
      </c>
      <c r="AH1740" s="87">
        <v>8727837</v>
      </c>
      <c r="AI1740" s="93" t="s">
        <v>2213</v>
      </c>
      <c r="AJ1740" s="93" t="s">
        <v>2213</v>
      </c>
      <c r="AK1740" s="93" t="s">
        <v>2213</v>
      </c>
      <c r="AL1740" s="601" t="s">
        <v>432</v>
      </c>
      <c r="AM1740" s="137" t="s">
        <v>432</v>
      </c>
      <c r="AN1740" s="137" t="s">
        <v>432</v>
      </c>
      <c r="AO1740" s="137" t="s">
        <v>432</v>
      </c>
      <c r="AP1740" s="137" t="s">
        <v>432</v>
      </c>
      <c r="AQ1740" s="137" t="s">
        <v>432</v>
      </c>
      <c r="AR1740" s="137" t="s">
        <v>432</v>
      </c>
      <c r="AS1740" s="137" t="s">
        <v>432</v>
      </c>
      <c r="AT1740" s="137" t="s">
        <v>432</v>
      </c>
      <c r="AU1740" s="137" t="s">
        <v>432</v>
      </c>
      <c r="AV1740" s="137" t="s">
        <v>432</v>
      </c>
      <c r="AW1740" s="137" t="s">
        <v>432</v>
      </c>
      <c r="AX1740" s="137" t="s">
        <v>432</v>
      </c>
      <c r="AY1740" s="137" t="s">
        <v>432</v>
      </c>
      <c r="AZ1740" s="137" t="s">
        <v>432</v>
      </c>
      <c r="BA1740" s="137" t="s">
        <v>432</v>
      </c>
      <c r="BB1740" s="239" t="str">
        <f t="shared" si="519"/>
        <v>Transporte convencionalx</v>
      </c>
      <c r="BC1740" s="239" t="str">
        <f t="shared" si="520"/>
        <v>Transporte convencionalxx</v>
      </c>
      <c r="BD1740" s="239" t="str">
        <f t="shared" si="521"/>
        <v>Transporte convencionalx</v>
      </c>
    </row>
    <row r="1741" spans="1:56" s="1" customFormat="1" ht="25.5" x14ac:dyDescent="0.25">
      <c r="A1741" s="275" t="str">
        <f>'Q100b-totais'!$B$57</f>
        <v>8.5</v>
      </c>
      <c r="B1741" s="54" t="str">
        <f>'Q100b-totais'!$C$57</f>
        <v>Transporte convencional</v>
      </c>
      <c r="C1741" s="230" t="s">
        <v>432</v>
      </c>
      <c r="D1741" s="901" t="s">
        <v>959</v>
      </c>
      <c r="E1741" s="1498" t="s">
        <v>1306</v>
      </c>
      <c r="F1741" s="252" t="s">
        <v>945</v>
      </c>
      <c r="G1741" s="441" t="s">
        <v>965</v>
      </c>
      <c r="H1741" s="173" t="s">
        <v>432</v>
      </c>
      <c r="I1741" s="167">
        <v>1</v>
      </c>
      <c r="J1741" s="109" t="s">
        <v>432</v>
      </c>
      <c r="K1741" s="109" t="s">
        <v>432</v>
      </c>
      <c r="L1741" s="109" t="s">
        <v>432</v>
      </c>
      <c r="M1741" s="84" t="s">
        <v>432</v>
      </c>
      <c r="N1741" s="84" t="s">
        <v>432</v>
      </c>
      <c r="O1741" s="84" t="s">
        <v>432</v>
      </c>
      <c r="P1741" s="20" t="s">
        <v>432</v>
      </c>
      <c r="Q1741" s="20" t="s">
        <v>432</v>
      </c>
      <c r="R1741" s="20" t="s">
        <v>432</v>
      </c>
      <c r="S1741" s="109" t="s">
        <v>2209</v>
      </c>
      <c r="T1741" s="20" t="s">
        <v>432</v>
      </c>
      <c r="U1741" s="20" t="s">
        <v>432</v>
      </c>
      <c r="V1741" s="109" t="s">
        <v>2209</v>
      </c>
      <c r="W1741" s="20" t="s">
        <v>432</v>
      </c>
      <c r="X1741" s="20" t="s">
        <v>432</v>
      </c>
      <c r="Y1741" s="20" t="s">
        <v>432</v>
      </c>
      <c r="Z1741" s="20" t="s">
        <v>432</v>
      </c>
      <c r="AA1741" s="20" t="s">
        <v>432</v>
      </c>
      <c r="AB1741" s="20">
        <f t="shared" ref="AB1741:AK1741" si="523">AB1740/12</f>
        <v>728197.91666666663</v>
      </c>
      <c r="AC1741" s="20">
        <f t="shared" si="523"/>
        <v>726443.66666666663</v>
      </c>
      <c r="AD1741" s="20">
        <f t="shared" si="523"/>
        <v>751208.41666666663</v>
      </c>
      <c r="AE1741" s="20">
        <f t="shared" si="523"/>
        <v>763946.41666666663</v>
      </c>
      <c r="AF1741" s="20">
        <f t="shared" si="523"/>
        <v>737661.5</v>
      </c>
      <c r="AG1741" s="20">
        <f t="shared" si="523"/>
        <v>729469.83333333337</v>
      </c>
      <c r="AH1741" s="20">
        <f t="shared" si="523"/>
        <v>727319.75</v>
      </c>
      <c r="AI1741" s="20" t="e">
        <f t="shared" si="523"/>
        <v>#VALUE!</v>
      </c>
      <c r="AJ1741" s="20" t="e">
        <f t="shared" si="523"/>
        <v>#VALUE!</v>
      </c>
      <c r="AK1741" s="20" t="e">
        <f t="shared" si="523"/>
        <v>#VALUE!</v>
      </c>
      <c r="AL1741" s="601" t="s">
        <v>432</v>
      </c>
      <c r="AM1741" s="137" t="s">
        <v>432</v>
      </c>
      <c r="AN1741" s="137" t="s">
        <v>432</v>
      </c>
      <c r="AO1741" s="137" t="s">
        <v>432</v>
      </c>
      <c r="AP1741" s="137" t="s">
        <v>432</v>
      </c>
      <c r="AQ1741" s="137" t="s">
        <v>432</v>
      </c>
      <c r="AR1741" s="137" t="s">
        <v>432</v>
      </c>
      <c r="AS1741" s="137" t="s">
        <v>432</v>
      </c>
      <c r="AT1741" s="137" t="s">
        <v>432</v>
      </c>
      <c r="AU1741" s="137" t="s">
        <v>432</v>
      </c>
      <c r="AV1741" s="137" t="s">
        <v>432</v>
      </c>
      <c r="AW1741" s="137" t="s">
        <v>432</v>
      </c>
      <c r="AX1741" s="137" t="s">
        <v>432</v>
      </c>
      <c r="AY1741" s="137" t="s">
        <v>432</v>
      </c>
      <c r="AZ1741" s="137" t="s">
        <v>432</v>
      </c>
      <c r="BA1741" s="137" t="s">
        <v>432</v>
      </c>
      <c r="BB1741" s="239" t="str">
        <f t="shared" si="519"/>
        <v>Transporte convencionalx</v>
      </c>
      <c r="BC1741" s="239" t="str">
        <f t="shared" si="520"/>
        <v>Transporte convencionalxx</v>
      </c>
      <c r="BD1741" s="239" t="str">
        <f t="shared" si="521"/>
        <v>Transporte convencionalx</v>
      </c>
    </row>
    <row r="1742" spans="1:56" s="1" customFormat="1" ht="38.25" x14ac:dyDescent="0.25">
      <c r="A1742" s="275" t="str">
        <f>'Q100b-totais'!$B$57</f>
        <v>8.5</v>
      </c>
      <c r="B1742" s="54" t="str">
        <f>'Q100b-totais'!$C$57</f>
        <v>Transporte convencional</v>
      </c>
      <c r="C1742" s="230" t="s">
        <v>432</v>
      </c>
      <c r="D1742" s="714" t="s">
        <v>4275</v>
      </c>
      <c r="E1742" s="1498" t="s">
        <v>1306</v>
      </c>
      <c r="F1742" s="252" t="s">
        <v>1659</v>
      </c>
      <c r="G1742" s="110" t="s">
        <v>77</v>
      </c>
      <c r="H1742" s="173" t="s">
        <v>432</v>
      </c>
      <c r="I1742" s="167">
        <v>1</v>
      </c>
      <c r="J1742" s="109" t="s">
        <v>432</v>
      </c>
      <c r="K1742" s="109" t="s">
        <v>432</v>
      </c>
      <c r="L1742" s="109" t="s">
        <v>432</v>
      </c>
      <c r="M1742" s="84" t="s">
        <v>432</v>
      </c>
      <c r="N1742" s="84" t="s">
        <v>432</v>
      </c>
      <c r="O1742" s="84" t="s">
        <v>432</v>
      </c>
      <c r="P1742" s="87" t="s">
        <v>432</v>
      </c>
      <c r="Q1742" s="87" t="s">
        <v>432</v>
      </c>
      <c r="R1742" s="87" t="s">
        <v>432</v>
      </c>
      <c r="S1742" s="109" t="s">
        <v>2209</v>
      </c>
      <c r="T1742" s="87" t="s">
        <v>432</v>
      </c>
      <c r="U1742" s="87" t="s">
        <v>432</v>
      </c>
      <c r="V1742" s="109" t="s">
        <v>2209</v>
      </c>
      <c r="W1742" s="87" t="s">
        <v>432</v>
      </c>
      <c r="X1742" s="87" t="s">
        <v>432</v>
      </c>
      <c r="Y1742" s="87" t="s">
        <v>432</v>
      </c>
      <c r="Z1742" s="87" t="s">
        <v>432</v>
      </c>
      <c r="AA1742" s="87" t="s">
        <v>432</v>
      </c>
      <c r="AB1742" s="87" t="s">
        <v>432</v>
      </c>
      <c r="AC1742" s="87" t="s">
        <v>432</v>
      </c>
      <c r="AD1742" s="87" t="s">
        <v>432</v>
      </c>
      <c r="AE1742" s="87" t="s">
        <v>432</v>
      </c>
      <c r="AF1742" s="87">
        <v>130704</v>
      </c>
      <c r="AG1742" s="93" t="s">
        <v>2213</v>
      </c>
      <c r="AH1742" s="93" t="s">
        <v>2213</v>
      </c>
      <c r="AI1742" s="93" t="s">
        <v>2213</v>
      </c>
      <c r="AJ1742" s="93" t="s">
        <v>2213</v>
      </c>
      <c r="AK1742" s="93" t="s">
        <v>2213</v>
      </c>
      <c r="AL1742" s="601" t="s">
        <v>432</v>
      </c>
      <c r="AM1742" s="137" t="s">
        <v>432</v>
      </c>
      <c r="AN1742" s="137" t="s">
        <v>432</v>
      </c>
      <c r="AO1742" s="137" t="s">
        <v>432</v>
      </c>
      <c r="AP1742" s="137" t="s">
        <v>432</v>
      </c>
      <c r="AQ1742" s="137" t="s">
        <v>432</v>
      </c>
      <c r="AR1742" s="137" t="s">
        <v>432</v>
      </c>
      <c r="AS1742" s="137" t="s">
        <v>432</v>
      </c>
      <c r="AT1742" s="137" t="s">
        <v>432</v>
      </c>
      <c r="AU1742" s="137" t="s">
        <v>432</v>
      </c>
      <c r="AV1742" s="137" t="s">
        <v>432</v>
      </c>
      <c r="AW1742" s="137" t="s">
        <v>432</v>
      </c>
      <c r="AX1742" s="137" t="s">
        <v>432</v>
      </c>
      <c r="AY1742" s="137" t="s">
        <v>432</v>
      </c>
      <c r="AZ1742" s="137" t="s">
        <v>432</v>
      </c>
      <c r="BA1742" s="137" t="s">
        <v>432</v>
      </c>
      <c r="BB1742" s="239" t="str">
        <f t="shared" si="519"/>
        <v>Transporte convencionalx</v>
      </c>
      <c r="BC1742" s="239" t="str">
        <f t="shared" si="520"/>
        <v>Transporte convencionalxx</v>
      </c>
      <c r="BD1742" s="239" t="str">
        <f t="shared" si="521"/>
        <v>Transporte convencionalx</v>
      </c>
    </row>
    <row r="1743" spans="1:56" s="1" customFormat="1" ht="55.5" customHeight="1" x14ac:dyDescent="0.25">
      <c r="A1743" s="275" t="str">
        <f>'Q100b-totais'!$B$57</f>
        <v>8.5</v>
      </c>
      <c r="B1743" s="54" t="str">
        <f>'Q100b-totais'!$C$57</f>
        <v>Transporte convencional</v>
      </c>
      <c r="C1743" s="230" t="s">
        <v>432</v>
      </c>
      <c r="D1743" s="714" t="s">
        <v>4273</v>
      </c>
      <c r="E1743" s="1498" t="s">
        <v>1306</v>
      </c>
      <c r="F1743" s="252" t="s">
        <v>969</v>
      </c>
      <c r="G1743" s="368" t="s">
        <v>4274</v>
      </c>
      <c r="H1743" s="173" t="s">
        <v>432</v>
      </c>
      <c r="I1743" s="167">
        <v>1</v>
      </c>
      <c r="J1743" s="109" t="s">
        <v>432</v>
      </c>
      <c r="K1743" s="109" t="s">
        <v>432</v>
      </c>
      <c r="L1743" s="109" t="s">
        <v>432</v>
      </c>
      <c r="M1743" s="84" t="s">
        <v>432</v>
      </c>
      <c r="N1743" s="84" t="s">
        <v>432</v>
      </c>
      <c r="O1743" s="84" t="s">
        <v>432</v>
      </c>
      <c r="P1743" s="23" t="s">
        <v>432</v>
      </c>
      <c r="Q1743" s="23" t="s">
        <v>432</v>
      </c>
      <c r="R1743" s="23" t="s">
        <v>432</v>
      </c>
      <c r="S1743" s="109" t="s">
        <v>2209</v>
      </c>
      <c r="T1743" s="23" t="s">
        <v>432</v>
      </c>
      <c r="U1743" s="23" t="s">
        <v>432</v>
      </c>
      <c r="V1743" s="109" t="s">
        <v>2209</v>
      </c>
      <c r="W1743" s="20" t="s">
        <v>432</v>
      </c>
      <c r="X1743" s="20" t="s">
        <v>432</v>
      </c>
      <c r="Y1743" s="20" t="s">
        <v>432</v>
      </c>
      <c r="Z1743" s="20" t="s">
        <v>432</v>
      </c>
      <c r="AA1743" s="20" t="s">
        <v>432</v>
      </c>
      <c r="AB1743" s="20" t="s">
        <v>432</v>
      </c>
      <c r="AC1743" s="20" t="s">
        <v>432</v>
      </c>
      <c r="AD1743" s="20" t="s">
        <v>432</v>
      </c>
      <c r="AE1743" s="20" t="s">
        <v>432</v>
      </c>
      <c r="AF1743" s="47">
        <f t="shared" ref="AF1743:AK1743" si="524">AF1742/AF1740</f>
        <v>1.4765580147533795E-2</v>
      </c>
      <c r="AG1743" s="47" t="e">
        <f t="shared" si="524"/>
        <v>#VALUE!</v>
      </c>
      <c r="AH1743" s="47" t="e">
        <f t="shared" si="524"/>
        <v>#VALUE!</v>
      </c>
      <c r="AI1743" s="47" t="e">
        <f t="shared" si="524"/>
        <v>#VALUE!</v>
      </c>
      <c r="AJ1743" s="47" t="e">
        <f t="shared" si="524"/>
        <v>#VALUE!</v>
      </c>
      <c r="AK1743" s="47" t="e">
        <f t="shared" si="524"/>
        <v>#VALUE!</v>
      </c>
      <c r="AL1743" s="601" t="s">
        <v>432</v>
      </c>
      <c r="AM1743" s="137" t="s">
        <v>432</v>
      </c>
      <c r="AN1743" s="137" t="s">
        <v>432</v>
      </c>
      <c r="AO1743" s="137" t="s">
        <v>432</v>
      </c>
      <c r="AP1743" s="137" t="s">
        <v>432</v>
      </c>
      <c r="AQ1743" s="137" t="s">
        <v>432</v>
      </c>
      <c r="AR1743" s="137" t="s">
        <v>432</v>
      </c>
      <c r="AS1743" s="137" t="s">
        <v>432</v>
      </c>
      <c r="AT1743" s="137" t="s">
        <v>432</v>
      </c>
      <c r="AU1743" s="137" t="s">
        <v>432</v>
      </c>
      <c r="AV1743" s="137" t="s">
        <v>432</v>
      </c>
      <c r="AW1743" s="137" t="s">
        <v>432</v>
      </c>
      <c r="AX1743" s="137" t="s">
        <v>432</v>
      </c>
      <c r="AY1743" s="137" t="s">
        <v>432</v>
      </c>
      <c r="AZ1743" s="137" t="s">
        <v>432</v>
      </c>
      <c r="BA1743" s="137" t="s">
        <v>432</v>
      </c>
      <c r="BB1743" s="239" t="str">
        <f t="shared" si="519"/>
        <v>Transporte convencionalx</v>
      </c>
      <c r="BC1743" s="239" t="str">
        <f t="shared" si="520"/>
        <v>Transporte convencionalxx</v>
      </c>
      <c r="BD1743" s="239" t="str">
        <f t="shared" si="521"/>
        <v>Transporte convencionalx</v>
      </c>
    </row>
    <row r="1744" spans="1:56" s="1" customFormat="1" ht="25.5" x14ac:dyDescent="0.25">
      <c r="A1744" s="275" t="str">
        <f>'Q100b-totais'!$B$57</f>
        <v>8.5</v>
      </c>
      <c r="B1744" s="54" t="str">
        <f>'Q100b-totais'!$C$57</f>
        <v>Transporte convencional</v>
      </c>
      <c r="C1744" s="230" t="s">
        <v>432</v>
      </c>
      <c r="D1744" s="901" t="s">
        <v>960</v>
      </c>
      <c r="E1744" s="1498" t="s">
        <v>1306</v>
      </c>
      <c r="F1744" s="252" t="s">
        <v>946</v>
      </c>
      <c r="G1744" s="441" t="s">
        <v>966</v>
      </c>
      <c r="H1744" s="173" t="s">
        <v>432</v>
      </c>
      <c r="I1744" s="167">
        <v>1</v>
      </c>
      <c r="J1744" s="107" t="s">
        <v>432</v>
      </c>
      <c r="K1744" s="107" t="s">
        <v>432</v>
      </c>
      <c r="L1744" s="107" t="s">
        <v>432</v>
      </c>
      <c r="M1744" s="84" t="s">
        <v>432</v>
      </c>
      <c r="N1744" s="84" t="s">
        <v>432</v>
      </c>
      <c r="O1744" s="84" t="s">
        <v>432</v>
      </c>
      <c r="P1744" s="20" t="s">
        <v>432</v>
      </c>
      <c r="Q1744" s="20" t="s">
        <v>432</v>
      </c>
      <c r="R1744" s="20" t="s">
        <v>432</v>
      </c>
      <c r="S1744" s="109" t="s">
        <v>2209</v>
      </c>
      <c r="T1744" s="20" t="s">
        <v>432</v>
      </c>
      <c r="U1744" s="20" t="s">
        <v>432</v>
      </c>
      <c r="V1744" s="109" t="s">
        <v>2209</v>
      </c>
      <c r="W1744" s="20" t="s">
        <v>432</v>
      </c>
      <c r="X1744" s="20" t="s">
        <v>432</v>
      </c>
      <c r="Y1744" s="20" t="s">
        <v>432</v>
      </c>
      <c r="Z1744" s="20" t="s">
        <v>432</v>
      </c>
      <c r="AA1744" s="20" t="s">
        <v>432</v>
      </c>
      <c r="AB1744" s="20" t="s">
        <v>432</v>
      </c>
      <c r="AC1744" s="20" t="s">
        <v>432</v>
      </c>
      <c r="AD1744" s="20" t="s">
        <v>432</v>
      </c>
      <c r="AE1744" s="20" t="s">
        <v>432</v>
      </c>
      <c r="AF1744" s="20">
        <f t="shared" ref="AF1744:AK1744" si="525">AF1742/12</f>
        <v>10892</v>
      </c>
      <c r="AG1744" s="20" t="e">
        <f t="shared" si="525"/>
        <v>#VALUE!</v>
      </c>
      <c r="AH1744" s="20" t="e">
        <f t="shared" si="525"/>
        <v>#VALUE!</v>
      </c>
      <c r="AI1744" s="20" t="e">
        <f t="shared" si="525"/>
        <v>#VALUE!</v>
      </c>
      <c r="AJ1744" s="20" t="e">
        <f t="shared" si="525"/>
        <v>#VALUE!</v>
      </c>
      <c r="AK1744" s="20" t="e">
        <f t="shared" si="525"/>
        <v>#VALUE!</v>
      </c>
      <c r="AL1744" s="601" t="s">
        <v>432</v>
      </c>
      <c r="AM1744" s="137" t="s">
        <v>432</v>
      </c>
      <c r="AN1744" s="137" t="s">
        <v>432</v>
      </c>
      <c r="AO1744" s="137" t="s">
        <v>432</v>
      </c>
      <c r="AP1744" s="137" t="s">
        <v>432</v>
      </c>
      <c r="AQ1744" s="137" t="s">
        <v>432</v>
      </c>
      <c r="AR1744" s="137" t="s">
        <v>432</v>
      </c>
      <c r="AS1744" s="137" t="s">
        <v>432</v>
      </c>
      <c r="AT1744" s="137" t="s">
        <v>432</v>
      </c>
      <c r="AU1744" s="137" t="s">
        <v>432</v>
      </c>
      <c r="AV1744" s="137" t="s">
        <v>432</v>
      </c>
      <c r="AW1744" s="137" t="s">
        <v>432</v>
      </c>
      <c r="AX1744" s="137" t="s">
        <v>432</v>
      </c>
      <c r="AY1744" s="137" t="s">
        <v>432</v>
      </c>
      <c r="AZ1744" s="137" t="s">
        <v>432</v>
      </c>
      <c r="BA1744" s="137" t="s">
        <v>432</v>
      </c>
      <c r="BB1744" s="239" t="str">
        <f t="shared" si="519"/>
        <v>Transporte convencionalx</v>
      </c>
      <c r="BC1744" s="239" t="str">
        <f t="shared" si="520"/>
        <v>Transporte convencionalxx</v>
      </c>
      <c r="BD1744" s="239" t="str">
        <f t="shared" si="521"/>
        <v>Transporte convencionalx</v>
      </c>
    </row>
    <row r="1745" spans="1:56" s="1" customFormat="1" ht="72.75" customHeight="1" x14ac:dyDescent="0.25">
      <c r="A1745" s="275" t="str">
        <f>'Q100b-totais'!B62</f>
        <v>8.10</v>
      </c>
      <c r="B1745" s="1205" t="str">
        <f>'Q100b-totais'!C62</f>
        <v>Sistema de transporte coletivo com um todo</v>
      </c>
      <c r="C1745" s="57" t="s">
        <v>432</v>
      </c>
      <c r="D1745" s="901" t="s">
        <v>3855</v>
      </c>
      <c r="E1745" s="1498" t="s">
        <v>1306</v>
      </c>
      <c r="F1745" s="252" t="s">
        <v>4964</v>
      </c>
      <c r="G1745" s="368" t="s">
        <v>3858</v>
      </c>
      <c r="H1745" s="173" t="s">
        <v>432</v>
      </c>
      <c r="I1745" s="167">
        <v>1</v>
      </c>
      <c r="J1745" s="109" t="s">
        <v>432</v>
      </c>
      <c r="K1745" s="109" t="s">
        <v>432</v>
      </c>
      <c r="L1745" s="109" t="s">
        <v>432</v>
      </c>
      <c r="M1745" s="20" t="str">
        <f t="shared" ref="M1745:Q1746" si="526">M1747</f>
        <v>x</v>
      </c>
      <c r="N1745" s="20" t="str">
        <f t="shared" si="526"/>
        <v>x</v>
      </c>
      <c r="O1745" s="20" t="str">
        <f t="shared" si="526"/>
        <v>x</v>
      </c>
      <c r="P1745" s="20" t="str">
        <f t="shared" si="526"/>
        <v>x</v>
      </c>
      <c r="Q1745" s="20" t="str">
        <f t="shared" si="526"/>
        <v>x</v>
      </c>
      <c r="R1745" s="20" t="str">
        <f>R1747</f>
        <v>x</v>
      </c>
      <c r="S1745" s="109" t="s">
        <v>2209</v>
      </c>
      <c r="T1745" s="20">
        <f>T1747</f>
        <v>9252333</v>
      </c>
      <c r="U1745" s="20">
        <f>U1747</f>
        <v>9262162</v>
      </c>
      <c r="V1745" s="109" t="s">
        <v>2209</v>
      </c>
      <c r="W1745" s="23" t="e">
        <f t="shared" ref="W1745:AK1745" si="527">W1747+W1749</f>
        <v>#VALUE!</v>
      </c>
      <c r="X1745" s="23" t="e">
        <f t="shared" si="527"/>
        <v>#VALUE!</v>
      </c>
      <c r="Y1745" s="23" t="e">
        <f t="shared" si="527"/>
        <v>#VALUE!</v>
      </c>
      <c r="Z1745" s="23" t="e">
        <f t="shared" si="527"/>
        <v>#VALUE!</v>
      </c>
      <c r="AA1745" s="23" t="e">
        <f t="shared" si="527"/>
        <v>#VALUE!</v>
      </c>
      <c r="AB1745" s="23" t="e">
        <f t="shared" si="527"/>
        <v>#VALUE!</v>
      </c>
      <c r="AC1745" s="23" t="e">
        <f t="shared" si="527"/>
        <v>#VALUE!</v>
      </c>
      <c r="AD1745" s="23" t="e">
        <f t="shared" si="527"/>
        <v>#VALUE!</v>
      </c>
      <c r="AE1745" s="23" t="e">
        <f t="shared" si="527"/>
        <v>#VALUE!</v>
      </c>
      <c r="AF1745" s="23" t="e">
        <f t="shared" si="527"/>
        <v>#VALUE!</v>
      </c>
      <c r="AG1745" s="23" t="e">
        <f t="shared" si="527"/>
        <v>#VALUE!</v>
      </c>
      <c r="AH1745" s="23" t="e">
        <f t="shared" si="527"/>
        <v>#VALUE!</v>
      </c>
      <c r="AI1745" s="23" t="e">
        <f t="shared" si="527"/>
        <v>#VALUE!</v>
      </c>
      <c r="AJ1745" s="23" t="e">
        <f t="shared" si="527"/>
        <v>#VALUE!</v>
      </c>
      <c r="AK1745" s="23" t="e">
        <f t="shared" si="527"/>
        <v>#VALUE!</v>
      </c>
      <c r="AL1745" s="601" t="s">
        <v>432</v>
      </c>
      <c r="AM1745" s="137" t="s">
        <v>432</v>
      </c>
      <c r="AN1745" s="137" t="s">
        <v>432</v>
      </c>
      <c r="AO1745" s="137" t="s">
        <v>432</v>
      </c>
      <c r="AP1745" s="137" t="s">
        <v>432</v>
      </c>
      <c r="AQ1745" s="137" t="s">
        <v>432</v>
      </c>
      <c r="AR1745" s="137" t="s">
        <v>432</v>
      </c>
      <c r="AS1745" s="137" t="s">
        <v>432</v>
      </c>
      <c r="AT1745" s="137" t="s">
        <v>432</v>
      </c>
      <c r="AU1745" s="137" t="s">
        <v>432</v>
      </c>
      <c r="AV1745" s="137" t="s">
        <v>432</v>
      </c>
      <c r="AW1745" s="137" t="s">
        <v>432</v>
      </c>
      <c r="AX1745" s="137" t="s">
        <v>432</v>
      </c>
      <c r="AY1745" s="137" t="s">
        <v>432</v>
      </c>
      <c r="AZ1745" s="137" t="s">
        <v>432</v>
      </c>
      <c r="BA1745" s="137" t="s">
        <v>432</v>
      </c>
      <c r="BB1745" s="239" t="str">
        <f t="shared" si="519"/>
        <v>Sistema de transporte coletivo com um todox</v>
      </c>
      <c r="BC1745" s="239" t="str">
        <f t="shared" si="520"/>
        <v>Sistema de transporte coletivo com um todoxx</v>
      </c>
      <c r="BD1745" s="239" t="str">
        <f t="shared" si="521"/>
        <v>Sistema de transporte coletivo com um todox</v>
      </c>
    </row>
    <row r="1746" spans="1:56" s="1" customFormat="1" ht="72.75" customHeight="1" x14ac:dyDescent="0.25">
      <c r="A1746" s="275" t="str">
        <f>'Q100b-totais'!B62</f>
        <v>8.10</v>
      </c>
      <c r="B1746" s="1205" t="str">
        <f>'Q100b-totais'!C62</f>
        <v>Sistema de transporte coletivo com um todo</v>
      </c>
      <c r="C1746" s="57" t="s">
        <v>432</v>
      </c>
      <c r="D1746" s="714" t="s">
        <v>4963</v>
      </c>
      <c r="E1746" s="1498" t="s">
        <v>1306</v>
      </c>
      <c r="F1746" s="252" t="s">
        <v>6058</v>
      </c>
      <c r="G1746" s="441" t="s">
        <v>4965</v>
      </c>
      <c r="H1746" s="173" t="s">
        <v>432</v>
      </c>
      <c r="I1746" s="167">
        <v>1</v>
      </c>
      <c r="J1746" s="109" t="s">
        <v>432</v>
      </c>
      <c r="K1746" s="109" t="s">
        <v>432</v>
      </c>
      <c r="L1746" s="109" t="s">
        <v>432</v>
      </c>
      <c r="M1746" s="20" t="str">
        <f t="shared" si="526"/>
        <v>x</v>
      </c>
      <c r="N1746" s="20" t="str">
        <f t="shared" si="526"/>
        <v>x</v>
      </c>
      <c r="O1746" s="20" t="str">
        <f t="shared" si="526"/>
        <v>x</v>
      </c>
      <c r="P1746" s="20" t="str">
        <f t="shared" si="526"/>
        <v>x</v>
      </c>
      <c r="Q1746" s="20" t="str">
        <f t="shared" si="526"/>
        <v>x</v>
      </c>
      <c r="R1746" s="20" t="str">
        <f>R1748</f>
        <v>x</v>
      </c>
      <c r="S1746" s="109" t="s">
        <v>2209</v>
      </c>
      <c r="T1746" s="22">
        <f>T1745/T1855</f>
        <v>4.3712236245456255</v>
      </c>
      <c r="U1746" s="22">
        <f>U1745/U1855</f>
        <v>4.1376164493957184</v>
      </c>
      <c r="V1746" s="109" t="s">
        <v>2209</v>
      </c>
      <c r="W1746" s="22" t="e">
        <f t="shared" ref="W1746:AK1746" si="528">W1745/W1855</f>
        <v>#VALUE!</v>
      </c>
      <c r="X1746" s="22" t="e">
        <f t="shared" si="528"/>
        <v>#VALUE!</v>
      </c>
      <c r="Y1746" s="22" t="e">
        <f t="shared" si="528"/>
        <v>#VALUE!</v>
      </c>
      <c r="Z1746" s="22" t="e">
        <f t="shared" si="528"/>
        <v>#VALUE!</v>
      </c>
      <c r="AA1746" s="22" t="e">
        <f t="shared" si="528"/>
        <v>#VALUE!</v>
      </c>
      <c r="AB1746" s="22" t="e">
        <f t="shared" si="528"/>
        <v>#VALUE!</v>
      </c>
      <c r="AC1746" s="22" t="e">
        <f t="shared" si="528"/>
        <v>#VALUE!</v>
      </c>
      <c r="AD1746" s="22" t="e">
        <f t="shared" si="528"/>
        <v>#VALUE!</v>
      </c>
      <c r="AE1746" s="22" t="e">
        <f t="shared" si="528"/>
        <v>#VALUE!</v>
      </c>
      <c r="AF1746" s="22" t="e">
        <f t="shared" si="528"/>
        <v>#VALUE!</v>
      </c>
      <c r="AG1746" s="22" t="e">
        <f t="shared" si="528"/>
        <v>#VALUE!</v>
      </c>
      <c r="AH1746" s="22" t="e">
        <f t="shared" si="528"/>
        <v>#VALUE!</v>
      </c>
      <c r="AI1746" s="22" t="e">
        <f t="shared" si="528"/>
        <v>#VALUE!</v>
      </c>
      <c r="AJ1746" s="22" t="e">
        <f t="shared" si="528"/>
        <v>#VALUE!</v>
      </c>
      <c r="AK1746" s="22" t="e">
        <f t="shared" si="528"/>
        <v>#VALUE!</v>
      </c>
      <c r="AL1746" s="601" t="s">
        <v>432</v>
      </c>
      <c r="AM1746" s="137" t="s">
        <v>432</v>
      </c>
      <c r="AN1746" s="137" t="s">
        <v>432</v>
      </c>
      <c r="AO1746" s="137" t="s">
        <v>432</v>
      </c>
      <c r="AP1746" s="137" t="s">
        <v>432</v>
      </c>
      <c r="AQ1746" s="137" t="s">
        <v>432</v>
      </c>
      <c r="AR1746" s="137" t="s">
        <v>432</v>
      </c>
      <c r="AS1746" s="137" t="s">
        <v>432</v>
      </c>
      <c r="AT1746" s="137" t="s">
        <v>432</v>
      </c>
      <c r="AU1746" s="137" t="s">
        <v>432</v>
      </c>
      <c r="AV1746" s="137" t="s">
        <v>432</v>
      </c>
      <c r="AW1746" s="137" t="s">
        <v>432</v>
      </c>
      <c r="AX1746" s="137" t="s">
        <v>432</v>
      </c>
      <c r="AY1746" s="137" t="s">
        <v>432</v>
      </c>
      <c r="AZ1746" s="137" t="s">
        <v>432</v>
      </c>
      <c r="BA1746" s="137" t="s">
        <v>432</v>
      </c>
      <c r="BB1746" s="239" t="str">
        <f t="shared" si="519"/>
        <v>Sistema de transporte coletivo com um todox</v>
      </c>
      <c r="BC1746" s="239" t="str">
        <f t="shared" si="520"/>
        <v>Sistema de transporte coletivo com um todoxx</v>
      </c>
      <c r="BD1746" s="239" t="str">
        <f t="shared" si="521"/>
        <v>Sistema de transporte coletivo com um todox</v>
      </c>
    </row>
    <row r="1747" spans="1:56" s="1" customFormat="1" ht="87" customHeight="1" x14ac:dyDescent="0.25">
      <c r="A1747" s="275" t="str">
        <f>'Q100b-totais'!$B$57</f>
        <v>8.5</v>
      </c>
      <c r="B1747" s="54" t="str">
        <f>'Q100b-totais'!$C$57</f>
        <v>Transporte convencional</v>
      </c>
      <c r="C1747" s="230" t="s">
        <v>432</v>
      </c>
      <c r="D1747" s="901" t="s">
        <v>3859</v>
      </c>
      <c r="E1747" s="1498" t="s">
        <v>1306</v>
      </c>
      <c r="F1747" s="252" t="s">
        <v>6059</v>
      </c>
      <c r="G1747" s="439" t="s">
        <v>1656</v>
      </c>
      <c r="H1747" s="173" t="s">
        <v>432</v>
      </c>
      <c r="I1747" s="167">
        <v>1</v>
      </c>
      <c r="J1747" s="107" t="s">
        <v>432</v>
      </c>
      <c r="K1747" s="107" t="s">
        <v>432</v>
      </c>
      <c r="L1747" s="107" t="s">
        <v>432</v>
      </c>
      <c r="M1747" s="84" t="s">
        <v>432</v>
      </c>
      <c r="N1747" s="84" t="s">
        <v>432</v>
      </c>
      <c r="O1747" s="84" t="s">
        <v>432</v>
      </c>
      <c r="P1747" s="84" t="s">
        <v>432</v>
      </c>
      <c r="Q1747" s="84" t="s">
        <v>432</v>
      </c>
      <c r="R1747" s="84" t="s">
        <v>432</v>
      </c>
      <c r="S1747" s="109" t="s">
        <v>2209</v>
      </c>
      <c r="T1747" s="87">
        <v>9252333</v>
      </c>
      <c r="U1747" s="87">
        <v>9262162</v>
      </c>
      <c r="V1747" s="109" t="s">
        <v>2209</v>
      </c>
      <c r="W1747" s="87">
        <v>9317385</v>
      </c>
      <c r="X1747" s="87">
        <v>9211309</v>
      </c>
      <c r="Y1747" s="87">
        <v>8732454</v>
      </c>
      <c r="Z1747" s="87">
        <v>8391212</v>
      </c>
      <c r="AA1747" s="87">
        <v>8324315</v>
      </c>
      <c r="AB1747" s="87">
        <v>8743345</v>
      </c>
      <c r="AC1747" s="87">
        <v>8726782</v>
      </c>
      <c r="AD1747" s="87">
        <v>9017641</v>
      </c>
      <c r="AE1747" s="87">
        <v>9233626</v>
      </c>
      <c r="AF1747" s="87">
        <v>8826430</v>
      </c>
      <c r="AG1747" s="87">
        <v>8770171</v>
      </c>
      <c r="AH1747" s="87">
        <v>8688276</v>
      </c>
      <c r="AI1747" s="93" t="s">
        <v>2213</v>
      </c>
      <c r="AJ1747" s="93" t="s">
        <v>2213</v>
      </c>
      <c r="AK1747" s="93" t="s">
        <v>2213</v>
      </c>
      <c r="AL1747" s="601" t="s">
        <v>432</v>
      </c>
      <c r="AM1747" s="137" t="s">
        <v>432</v>
      </c>
      <c r="AN1747" s="137" t="s">
        <v>432</v>
      </c>
      <c r="AO1747" s="137" t="s">
        <v>432</v>
      </c>
      <c r="AP1747" s="137" t="s">
        <v>432</v>
      </c>
      <c r="AQ1747" s="137" t="s">
        <v>432</v>
      </c>
      <c r="AR1747" s="137" t="s">
        <v>432</v>
      </c>
      <c r="AS1747" s="137" t="s">
        <v>432</v>
      </c>
      <c r="AT1747" s="137" t="s">
        <v>432</v>
      </c>
      <c r="AU1747" s="137" t="s">
        <v>432</v>
      </c>
      <c r="AV1747" s="137" t="s">
        <v>432</v>
      </c>
      <c r="AW1747" s="137" t="s">
        <v>432</v>
      </c>
      <c r="AX1747" s="137" t="s">
        <v>432</v>
      </c>
      <c r="AY1747" s="137" t="s">
        <v>432</v>
      </c>
      <c r="AZ1747" s="137" t="s">
        <v>432</v>
      </c>
      <c r="BA1747" s="137" t="s">
        <v>432</v>
      </c>
      <c r="BB1747" s="239" t="str">
        <f t="shared" si="519"/>
        <v>Transporte convencionalx</v>
      </c>
      <c r="BC1747" s="239" t="str">
        <f t="shared" si="520"/>
        <v>Transporte convencionalxx</v>
      </c>
      <c r="BD1747" s="239" t="str">
        <f t="shared" si="521"/>
        <v>Transporte convencionalx</v>
      </c>
    </row>
    <row r="1748" spans="1:56" s="1" customFormat="1" ht="25.5" x14ac:dyDescent="0.25">
      <c r="A1748" s="275" t="str">
        <f>'Q100b-totais'!$B$57</f>
        <v>8.5</v>
      </c>
      <c r="B1748" s="54" t="str">
        <f>'Q100b-totais'!$C$57</f>
        <v>Transporte convencional</v>
      </c>
      <c r="C1748" s="230" t="s">
        <v>432</v>
      </c>
      <c r="D1748" s="901" t="s">
        <v>3860</v>
      </c>
      <c r="E1748" s="1498" t="s">
        <v>1306</v>
      </c>
      <c r="F1748" s="252" t="s">
        <v>944</v>
      </c>
      <c r="G1748" s="441" t="s">
        <v>967</v>
      </c>
      <c r="H1748" s="173" t="s">
        <v>432</v>
      </c>
      <c r="I1748" s="167">
        <v>1</v>
      </c>
      <c r="J1748" s="109" t="s">
        <v>432</v>
      </c>
      <c r="K1748" s="109" t="s">
        <v>432</v>
      </c>
      <c r="L1748" s="109" t="s">
        <v>432</v>
      </c>
      <c r="M1748" s="84" t="s">
        <v>432</v>
      </c>
      <c r="N1748" s="84" t="s">
        <v>432</v>
      </c>
      <c r="O1748" s="84" t="s">
        <v>432</v>
      </c>
      <c r="P1748" s="20" t="s">
        <v>432</v>
      </c>
      <c r="Q1748" s="20" t="s">
        <v>432</v>
      </c>
      <c r="R1748" s="20" t="s">
        <v>432</v>
      </c>
      <c r="S1748" s="109" t="s">
        <v>2209</v>
      </c>
      <c r="T1748" s="20">
        <f>T1747/12</f>
        <v>771027.75</v>
      </c>
      <c r="U1748" s="20">
        <f>U1747/12</f>
        <v>771846.83333333337</v>
      </c>
      <c r="V1748" s="109" t="s">
        <v>2209</v>
      </c>
      <c r="W1748" s="20">
        <f t="shared" ref="W1748:AG1748" si="529">W1747/12</f>
        <v>776448.75</v>
      </c>
      <c r="X1748" s="20">
        <f t="shared" si="529"/>
        <v>767609.08333333337</v>
      </c>
      <c r="Y1748" s="20">
        <f t="shared" si="529"/>
        <v>727704.5</v>
      </c>
      <c r="Z1748" s="20">
        <f t="shared" si="529"/>
        <v>699267.66666666663</v>
      </c>
      <c r="AA1748" s="20">
        <f t="shared" si="529"/>
        <v>693692.91666666663</v>
      </c>
      <c r="AB1748" s="20">
        <f t="shared" si="529"/>
        <v>728612.08333333337</v>
      </c>
      <c r="AC1748" s="20">
        <f t="shared" si="529"/>
        <v>727231.83333333337</v>
      </c>
      <c r="AD1748" s="20">
        <f t="shared" si="529"/>
        <v>751470.08333333337</v>
      </c>
      <c r="AE1748" s="20">
        <f t="shared" si="529"/>
        <v>769468.83333333337</v>
      </c>
      <c r="AF1748" s="20">
        <f t="shared" si="529"/>
        <v>735535.83333333337</v>
      </c>
      <c r="AG1748" s="20">
        <f t="shared" si="529"/>
        <v>730847.58333333337</v>
      </c>
      <c r="AH1748" s="20">
        <f>AH1747/12</f>
        <v>724023</v>
      </c>
      <c r="AI1748" s="20" t="e">
        <f>AI1747/12</f>
        <v>#VALUE!</v>
      </c>
      <c r="AJ1748" s="20" t="e">
        <f>AJ1747/12</f>
        <v>#VALUE!</v>
      </c>
      <c r="AK1748" s="20" t="e">
        <f>AK1747/12</f>
        <v>#VALUE!</v>
      </c>
      <c r="AL1748" s="601" t="s">
        <v>432</v>
      </c>
      <c r="AM1748" s="137" t="s">
        <v>432</v>
      </c>
      <c r="AN1748" s="137" t="s">
        <v>432</v>
      </c>
      <c r="AO1748" s="137" t="s">
        <v>432</v>
      </c>
      <c r="AP1748" s="137" t="s">
        <v>432</v>
      </c>
      <c r="AQ1748" s="137" t="s">
        <v>432</v>
      </c>
      <c r="AR1748" s="137" t="s">
        <v>432</v>
      </c>
      <c r="AS1748" s="137" t="s">
        <v>432</v>
      </c>
      <c r="AT1748" s="137" t="s">
        <v>432</v>
      </c>
      <c r="AU1748" s="137" t="s">
        <v>432</v>
      </c>
      <c r="AV1748" s="137" t="s">
        <v>432</v>
      </c>
      <c r="AW1748" s="137" t="s">
        <v>432</v>
      </c>
      <c r="AX1748" s="137" t="s">
        <v>432</v>
      </c>
      <c r="AY1748" s="137" t="s">
        <v>432</v>
      </c>
      <c r="AZ1748" s="137" t="s">
        <v>432</v>
      </c>
      <c r="BA1748" s="137" t="s">
        <v>432</v>
      </c>
      <c r="BB1748" s="239" t="str">
        <f t="shared" si="519"/>
        <v>Transporte convencionalx</v>
      </c>
      <c r="BC1748" s="239" t="str">
        <f t="shared" si="520"/>
        <v>Transporte convencionalxx</v>
      </c>
      <c r="BD1748" s="239" t="str">
        <f t="shared" si="521"/>
        <v>Transporte convencionalx</v>
      </c>
    </row>
    <row r="1749" spans="1:56" s="1" customFormat="1" ht="52.5" customHeight="1" x14ac:dyDescent="0.25">
      <c r="A1749" s="275" t="str">
        <f>'Q100b-totais'!B59</f>
        <v>8.7</v>
      </c>
      <c r="B1749" s="54" t="str">
        <f>'Q100b-totais'!C59</f>
        <v>Transporte de baixa capacidade</v>
      </c>
      <c r="C1749" s="230" t="s">
        <v>432</v>
      </c>
      <c r="D1749" s="901" t="s">
        <v>3861</v>
      </c>
      <c r="E1749" s="1498" t="s">
        <v>1306</v>
      </c>
      <c r="F1749" s="252" t="s">
        <v>3857</v>
      </c>
      <c r="G1749" s="245" t="s">
        <v>3856</v>
      </c>
      <c r="H1749" s="173" t="s">
        <v>432</v>
      </c>
      <c r="I1749" s="167">
        <v>1</v>
      </c>
      <c r="J1749" s="109" t="s">
        <v>432</v>
      </c>
      <c r="K1749" s="109" t="s">
        <v>432</v>
      </c>
      <c r="L1749" s="109" t="s">
        <v>432</v>
      </c>
      <c r="M1749" s="137" t="s">
        <v>432</v>
      </c>
      <c r="N1749" s="137" t="s">
        <v>432</v>
      </c>
      <c r="O1749" s="137" t="s">
        <v>432</v>
      </c>
      <c r="P1749" s="137" t="s">
        <v>432</v>
      </c>
      <c r="Q1749" s="137" t="s">
        <v>432</v>
      </c>
      <c r="R1749" s="137" t="s">
        <v>432</v>
      </c>
      <c r="S1749" s="109" t="s">
        <v>2209</v>
      </c>
      <c r="T1749" s="137" t="s">
        <v>432</v>
      </c>
      <c r="U1749" s="137" t="s">
        <v>432</v>
      </c>
      <c r="V1749" s="109" t="s">
        <v>2209</v>
      </c>
      <c r="W1749" s="84" t="s">
        <v>432</v>
      </c>
      <c r="X1749" s="84" t="s">
        <v>432</v>
      </c>
      <c r="Y1749" s="84" t="s">
        <v>432</v>
      </c>
      <c r="Z1749" s="84" t="s">
        <v>432</v>
      </c>
      <c r="AA1749" s="84" t="s">
        <v>432</v>
      </c>
      <c r="AB1749" s="84" t="s">
        <v>432</v>
      </c>
      <c r="AC1749" s="84" t="s">
        <v>432</v>
      </c>
      <c r="AD1749" s="84" t="s">
        <v>432</v>
      </c>
      <c r="AE1749" s="84" t="s">
        <v>432</v>
      </c>
      <c r="AF1749" s="84" t="s">
        <v>432</v>
      </c>
      <c r="AG1749" s="84" t="s">
        <v>432</v>
      </c>
      <c r="AH1749" s="84" t="s">
        <v>432</v>
      </c>
      <c r="AI1749" s="84" t="s">
        <v>432</v>
      </c>
      <c r="AJ1749" s="84" t="s">
        <v>432</v>
      </c>
      <c r="AK1749" s="84" t="s">
        <v>432</v>
      </c>
      <c r="AL1749" s="601" t="s">
        <v>432</v>
      </c>
      <c r="AM1749" s="137" t="s">
        <v>432</v>
      </c>
      <c r="AN1749" s="137" t="s">
        <v>432</v>
      </c>
      <c r="AO1749" s="137" t="s">
        <v>432</v>
      </c>
      <c r="AP1749" s="137" t="s">
        <v>432</v>
      </c>
      <c r="AQ1749" s="137" t="s">
        <v>432</v>
      </c>
      <c r="AR1749" s="137" t="s">
        <v>432</v>
      </c>
      <c r="AS1749" s="137" t="s">
        <v>432</v>
      </c>
      <c r="AT1749" s="137" t="s">
        <v>432</v>
      </c>
      <c r="AU1749" s="137" t="s">
        <v>432</v>
      </c>
      <c r="AV1749" s="137" t="s">
        <v>432</v>
      </c>
      <c r="AW1749" s="137" t="s">
        <v>432</v>
      </c>
      <c r="AX1749" s="137" t="s">
        <v>432</v>
      </c>
      <c r="AY1749" s="137" t="s">
        <v>432</v>
      </c>
      <c r="AZ1749" s="137" t="s">
        <v>432</v>
      </c>
      <c r="BA1749" s="137" t="s">
        <v>432</v>
      </c>
      <c r="BB1749" s="239" t="str">
        <f t="shared" si="519"/>
        <v>Transporte de baixa capacidadex</v>
      </c>
      <c r="BC1749" s="239" t="str">
        <f t="shared" si="520"/>
        <v>Transporte de baixa capacidadexx</v>
      </c>
      <c r="BD1749" s="239" t="str">
        <f t="shared" si="521"/>
        <v>Transporte de baixa capacidadex</v>
      </c>
    </row>
    <row r="1750" spans="1:56" s="1" customFormat="1" ht="370.5" customHeight="1" x14ac:dyDescent="0.25">
      <c r="A1750" s="275" t="str">
        <f>'Q100b-totais'!$B$57</f>
        <v>8.5</v>
      </c>
      <c r="B1750" s="54" t="str">
        <f>'Q100b-totais'!$C$57</f>
        <v>Transporte convencional</v>
      </c>
      <c r="C1750" s="230" t="s">
        <v>743</v>
      </c>
      <c r="D1750" s="714" t="s">
        <v>2180</v>
      </c>
      <c r="E1750" s="1498" t="s">
        <v>1306</v>
      </c>
      <c r="F1750" s="252" t="s">
        <v>4032</v>
      </c>
      <c r="G1750" s="110" t="s">
        <v>77</v>
      </c>
      <c r="H1750" s="173" t="s">
        <v>432</v>
      </c>
      <c r="I1750" s="167">
        <v>1</v>
      </c>
      <c r="J1750" s="109" t="s">
        <v>432</v>
      </c>
      <c r="K1750" s="109" t="s">
        <v>432</v>
      </c>
      <c r="L1750" s="109" t="s">
        <v>432</v>
      </c>
      <c r="M1750" s="84" t="s">
        <v>432</v>
      </c>
      <c r="N1750" s="84" t="s">
        <v>432</v>
      </c>
      <c r="O1750" s="84" t="s">
        <v>432</v>
      </c>
      <c r="P1750" s="87" t="s">
        <v>432</v>
      </c>
      <c r="Q1750" s="87" t="s">
        <v>432</v>
      </c>
      <c r="R1750" s="87" t="s">
        <v>432</v>
      </c>
      <c r="S1750" s="109" t="s">
        <v>2209</v>
      </c>
      <c r="T1750" s="87" t="s">
        <v>432</v>
      </c>
      <c r="U1750" s="87" t="s">
        <v>432</v>
      </c>
      <c r="V1750" s="109" t="s">
        <v>2209</v>
      </c>
      <c r="W1750" s="87" t="s">
        <v>432</v>
      </c>
      <c r="X1750" s="87" t="s">
        <v>432</v>
      </c>
      <c r="Y1750" s="87" t="s">
        <v>432</v>
      </c>
      <c r="Z1750" s="87" t="s">
        <v>432</v>
      </c>
      <c r="AA1750" s="87" t="s">
        <v>432</v>
      </c>
      <c r="AB1750" s="87" t="s">
        <v>432</v>
      </c>
      <c r="AC1750" s="87" t="s">
        <v>432</v>
      </c>
      <c r="AD1750" s="87" t="s">
        <v>432</v>
      </c>
      <c r="AE1750" s="87" t="s">
        <v>432</v>
      </c>
      <c r="AF1750" s="83" t="s">
        <v>1072</v>
      </c>
      <c r="AG1750" s="83" t="s">
        <v>1094</v>
      </c>
      <c r="AH1750" s="83" t="s">
        <v>1095</v>
      </c>
      <c r="AI1750" s="83" t="s">
        <v>2379</v>
      </c>
      <c r="AJ1750" s="83" t="s">
        <v>4020</v>
      </c>
      <c r="AK1750" s="83" t="s">
        <v>4021</v>
      </c>
      <c r="AL1750" s="601" t="s">
        <v>432</v>
      </c>
      <c r="AM1750" s="137" t="s">
        <v>432</v>
      </c>
      <c r="AN1750" s="137" t="s">
        <v>432</v>
      </c>
      <c r="AO1750" s="137" t="s">
        <v>432</v>
      </c>
      <c r="AP1750" s="137" t="s">
        <v>432</v>
      </c>
      <c r="AQ1750" s="137" t="s">
        <v>432</v>
      </c>
      <c r="AR1750" s="137" t="s">
        <v>432</v>
      </c>
      <c r="AS1750" s="137" t="s">
        <v>432</v>
      </c>
      <c r="AT1750" s="137" t="s">
        <v>432</v>
      </c>
      <c r="AU1750" s="137" t="s">
        <v>432</v>
      </c>
      <c r="AV1750" s="137" t="s">
        <v>432</v>
      </c>
      <c r="AW1750" s="137" t="s">
        <v>432</v>
      </c>
      <c r="AX1750" s="137" t="s">
        <v>432</v>
      </c>
      <c r="AY1750" s="137" t="s">
        <v>432</v>
      </c>
      <c r="AZ1750" s="137" t="s">
        <v>432</v>
      </c>
      <c r="BA1750" s="137" t="s">
        <v>432</v>
      </c>
      <c r="BB1750" s="239" t="str">
        <f t="shared" si="519"/>
        <v>Transporte convencionalacessibilidade</v>
      </c>
      <c r="BC1750" s="239" t="str">
        <f t="shared" si="520"/>
        <v>Transporte convencionalacessibilidadex</v>
      </c>
      <c r="BD1750" s="239" t="str">
        <f t="shared" si="521"/>
        <v>Transporte convencionalx</v>
      </c>
    </row>
    <row r="1751" spans="1:56" s="1" customFormat="1" ht="25.5" customHeight="1" x14ac:dyDescent="0.25">
      <c r="A1751" s="262" t="s">
        <v>432</v>
      </c>
      <c r="B1751" s="252" t="s">
        <v>742</v>
      </c>
      <c r="C1751" s="167" t="s">
        <v>432</v>
      </c>
      <c r="D1751" s="323" t="s">
        <v>299</v>
      </c>
      <c r="E1751" s="1496" t="s">
        <v>432</v>
      </c>
      <c r="F1751" s="252" t="s">
        <v>706</v>
      </c>
      <c r="G1751" s="167" t="s">
        <v>3879</v>
      </c>
      <c r="H1751" s="167" t="s">
        <v>432</v>
      </c>
      <c r="I1751" s="167" t="s">
        <v>432</v>
      </c>
      <c r="J1751" s="107" t="s">
        <v>432</v>
      </c>
      <c r="K1751" s="107" t="s">
        <v>432</v>
      </c>
      <c r="L1751" s="154" t="s">
        <v>432</v>
      </c>
      <c r="M1751" s="154" t="s">
        <v>432</v>
      </c>
      <c r="N1751" s="154" t="s">
        <v>432</v>
      </c>
      <c r="O1751" s="154" t="s">
        <v>432</v>
      </c>
      <c r="P1751" s="154"/>
      <c r="Q1751" s="154"/>
      <c r="R1751" s="154"/>
      <c r="S1751" s="109" t="s">
        <v>2209</v>
      </c>
      <c r="T1751" s="107"/>
      <c r="U1751" s="107"/>
      <c r="V1751" s="109" t="s">
        <v>2209</v>
      </c>
      <c r="W1751" s="180"/>
      <c r="X1751" s="180"/>
      <c r="Y1751" s="180"/>
      <c r="Z1751" s="180"/>
      <c r="AA1751" s="180"/>
      <c r="AB1751" s="180"/>
      <c r="AC1751" s="180"/>
      <c r="AD1751" s="180"/>
      <c r="AE1751" s="180"/>
      <c r="AF1751" s="180"/>
      <c r="AG1751" s="180"/>
      <c r="AH1751" s="180"/>
      <c r="AI1751" s="180"/>
      <c r="AJ1751" s="180" t="s">
        <v>432</v>
      </c>
      <c r="AK1751" s="137" t="s">
        <v>432</v>
      </c>
      <c r="AL1751" s="601" t="s">
        <v>432</v>
      </c>
      <c r="AM1751" s="137" t="s">
        <v>432</v>
      </c>
      <c r="AN1751" s="137" t="s">
        <v>432</v>
      </c>
      <c r="AO1751" s="137" t="s">
        <v>432</v>
      </c>
      <c r="AP1751" s="137" t="s">
        <v>432</v>
      </c>
      <c r="AQ1751" s="137" t="s">
        <v>432</v>
      </c>
      <c r="AR1751" s="137" t="s">
        <v>432</v>
      </c>
      <c r="AS1751" s="137" t="s">
        <v>432</v>
      </c>
      <c r="AT1751" s="137" t="s">
        <v>432</v>
      </c>
      <c r="AU1751" s="137" t="s">
        <v>432</v>
      </c>
      <c r="AV1751" s="137" t="s">
        <v>432</v>
      </c>
      <c r="AW1751" s="137" t="s">
        <v>432</v>
      </c>
      <c r="AX1751" s="137" t="s">
        <v>432</v>
      </c>
      <c r="AY1751" s="137" t="s">
        <v>432</v>
      </c>
      <c r="AZ1751" s="137" t="s">
        <v>432</v>
      </c>
      <c r="BA1751" s="137" t="s">
        <v>432</v>
      </c>
      <c r="BB1751" s="239" t="str">
        <f t="shared" si="519"/>
        <v>geralx</v>
      </c>
      <c r="BC1751" s="239" t="str">
        <f t="shared" si="520"/>
        <v>geralxx</v>
      </c>
      <c r="BD1751" s="239" t="str">
        <f t="shared" si="521"/>
        <v>geralx</v>
      </c>
    </row>
    <row r="1752" spans="1:56" s="1" customFormat="1" ht="51" customHeight="1" x14ac:dyDescent="0.25">
      <c r="A1752" s="262" t="s">
        <v>432</v>
      </c>
      <c r="B1752" s="252" t="s">
        <v>742</v>
      </c>
      <c r="C1752" s="167" t="s">
        <v>432</v>
      </c>
      <c r="D1752" s="323" t="s">
        <v>299</v>
      </c>
      <c r="E1752" s="1496" t="s">
        <v>432</v>
      </c>
      <c r="F1752" s="252" t="s">
        <v>664</v>
      </c>
      <c r="G1752" s="167" t="s">
        <v>3879</v>
      </c>
      <c r="H1752" s="167" t="s">
        <v>432</v>
      </c>
      <c r="I1752" s="167" t="s">
        <v>432</v>
      </c>
      <c r="J1752" s="107" t="s">
        <v>432</v>
      </c>
      <c r="K1752" s="107" t="s">
        <v>432</v>
      </c>
      <c r="L1752" s="107" t="s">
        <v>432</v>
      </c>
      <c r="M1752" s="107" t="s">
        <v>432</v>
      </c>
      <c r="N1752" s="107" t="s">
        <v>432</v>
      </c>
      <c r="O1752" s="107" t="s">
        <v>432</v>
      </c>
      <c r="P1752" s="107" t="s">
        <v>432</v>
      </c>
      <c r="Q1752" s="107" t="s">
        <v>432</v>
      </c>
      <c r="R1752" s="107" t="s">
        <v>432</v>
      </c>
      <c r="S1752" s="109" t="s">
        <v>2209</v>
      </c>
      <c r="T1752" s="107" t="s">
        <v>432</v>
      </c>
      <c r="U1752" s="107" t="s">
        <v>432</v>
      </c>
      <c r="V1752" s="109" t="s">
        <v>2209</v>
      </c>
      <c r="W1752" s="107" t="s">
        <v>432</v>
      </c>
      <c r="X1752" s="107" t="s">
        <v>432</v>
      </c>
      <c r="Y1752" s="107" t="s">
        <v>432</v>
      </c>
      <c r="Z1752" s="107" t="s">
        <v>432</v>
      </c>
      <c r="AA1752" s="107" t="s">
        <v>432</v>
      </c>
      <c r="AB1752" s="107" t="s">
        <v>432</v>
      </c>
      <c r="AC1752" s="107" t="s">
        <v>432</v>
      </c>
      <c r="AD1752" s="107" t="s">
        <v>432</v>
      </c>
      <c r="AE1752" s="107" t="s">
        <v>432</v>
      </c>
      <c r="AF1752" s="107" t="s">
        <v>432</v>
      </c>
      <c r="AG1752" s="107" t="s">
        <v>432</v>
      </c>
      <c r="AH1752" s="107" t="s">
        <v>432</v>
      </c>
      <c r="AI1752" s="107" t="s">
        <v>432</v>
      </c>
      <c r="AJ1752" s="107" t="s">
        <v>432</v>
      </c>
      <c r="AK1752" s="137" t="s">
        <v>432</v>
      </c>
      <c r="AL1752" s="601" t="s">
        <v>432</v>
      </c>
      <c r="AM1752" s="137" t="s">
        <v>432</v>
      </c>
      <c r="AN1752" s="137" t="s">
        <v>432</v>
      </c>
      <c r="AO1752" s="137" t="s">
        <v>432</v>
      </c>
      <c r="AP1752" s="137" t="s">
        <v>432</v>
      </c>
      <c r="AQ1752" s="137" t="s">
        <v>432</v>
      </c>
      <c r="AR1752" s="137" t="s">
        <v>432</v>
      </c>
      <c r="AS1752" s="137" t="s">
        <v>432</v>
      </c>
      <c r="AT1752" s="137" t="s">
        <v>432</v>
      </c>
      <c r="AU1752" s="137" t="s">
        <v>432</v>
      </c>
      <c r="AV1752" s="137" t="s">
        <v>432</v>
      </c>
      <c r="AW1752" s="137" t="s">
        <v>432</v>
      </c>
      <c r="AX1752" s="137" t="s">
        <v>432</v>
      </c>
      <c r="AY1752" s="137" t="s">
        <v>432</v>
      </c>
      <c r="AZ1752" s="137" t="s">
        <v>432</v>
      </c>
      <c r="BA1752" s="137" t="s">
        <v>432</v>
      </c>
      <c r="BB1752" s="239" t="str">
        <f t="shared" si="519"/>
        <v>geralx</v>
      </c>
      <c r="BC1752" s="239" t="str">
        <f t="shared" si="520"/>
        <v>geralxx</v>
      </c>
      <c r="BD1752" s="239" t="str">
        <f t="shared" si="521"/>
        <v>geralx</v>
      </c>
    </row>
    <row r="1753" spans="1:56" s="1" customFormat="1" ht="51" customHeight="1" x14ac:dyDescent="0.25">
      <c r="A1753" s="262" t="s">
        <v>432</v>
      </c>
      <c r="B1753" s="252" t="s">
        <v>742</v>
      </c>
      <c r="C1753" s="167" t="s">
        <v>432</v>
      </c>
      <c r="D1753" s="324" t="s">
        <v>300</v>
      </c>
      <c r="E1753" s="1496" t="s">
        <v>432</v>
      </c>
      <c r="F1753" s="165" t="s">
        <v>662</v>
      </c>
      <c r="G1753" s="167" t="s">
        <v>3879</v>
      </c>
      <c r="H1753" s="167" t="s">
        <v>432</v>
      </c>
      <c r="I1753" s="167" t="s">
        <v>432</v>
      </c>
      <c r="J1753" s="107" t="s">
        <v>432</v>
      </c>
      <c r="K1753" s="107" t="s">
        <v>432</v>
      </c>
      <c r="L1753" s="107" t="s">
        <v>432</v>
      </c>
      <c r="M1753" s="107" t="s">
        <v>432</v>
      </c>
      <c r="N1753" s="107" t="s">
        <v>432</v>
      </c>
      <c r="O1753" s="107" t="s">
        <v>432</v>
      </c>
      <c r="P1753" s="107" t="s">
        <v>432</v>
      </c>
      <c r="Q1753" s="107" t="s">
        <v>432</v>
      </c>
      <c r="R1753" s="107" t="s">
        <v>432</v>
      </c>
      <c r="S1753" s="109" t="s">
        <v>2209</v>
      </c>
      <c r="T1753" s="107" t="s">
        <v>432</v>
      </c>
      <c r="U1753" s="107" t="s">
        <v>432</v>
      </c>
      <c r="V1753" s="109" t="s">
        <v>2209</v>
      </c>
      <c r="W1753" s="107" t="s">
        <v>432</v>
      </c>
      <c r="X1753" s="107" t="s">
        <v>432</v>
      </c>
      <c r="Y1753" s="107" t="s">
        <v>432</v>
      </c>
      <c r="Z1753" s="107" t="s">
        <v>432</v>
      </c>
      <c r="AA1753" s="107" t="s">
        <v>432</v>
      </c>
      <c r="AB1753" s="107" t="s">
        <v>432</v>
      </c>
      <c r="AC1753" s="107" t="s">
        <v>432</v>
      </c>
      <c r="AD1753" s="107" t="s">
        <v>432</v>
      </c>
      <c r="AE1753" s="107" t="s">
        <v>432</v>
      </c>
      <c r="AF1753" s="107" t="s">
        <v>432</v>
      </c>
      <c r="AG1753" s="107" t="s">
        <v>432</v>
      </c>
      <c r="AH1753" s="107" t="s">
        <v>432</v>
      </c>
      <c r="AI1753" s="107" t="s">
        <v>432</v>
      </c>
      <c r="AJ1753" s="107" t="s">
        <v>432</v>
      </c>
      <c r="AK1753" s="137" t="s">
        <v>432</v>
      </c>
      <c r="AL1753" s="601" t="s">
        <v>432</v>
      </c>
      <c r="AM1753" s="137" t="s">
        <v>432</v>
      </c>
      <c r="AN1753" s="137" t="s">
        <v>432</v>
      </c>
      <c r="AO1753" s="137" t="s">
        <v>432</v>
      </c>
      <c r="AP1753" s="137" t="s">
        <v>432</v>
      </c>
      <c r="AQ1753" s="137" t="s">
        <v>432</v>
      </c>
      <c r="AR1753" s="137" t="s">
        <v>432</v>
      </c>
      <c r="AS1753" s="137" t="s">
        <v>432</v>
      </c>
      <c r="AT1753" s="137" t="s">
        <v>432</v>
      </c>
      <c r="AU1753" s="137" t="s">
        <v>432</v>
      </c>
      <c r="AV1753" s="137" t="s">
        <v>432</v>
      </c>
      <c r="AW1753" s="137" t="s">
        <v>432</v>
      </c>
      <c r="AX1753" s="137" t="s">
        <v>432</v>
      </c>
      <c r="AY1753" s="137" t="s">
        <v>432</v>
      </c>
      <c r="AZ1753" s="137" t="s">
        <v>432</v>
      </c>
      <c r="BA1753" s="137" t="s">
        <v>432</v>
      </c>
      <c r="BB1753" s="239" t="str">
        <f t="shared" si="519"/>
        <v>geralx</v>
      </c>
      <c r="BC1753" s="239" t="str">
        <f t="shared" si="520"/>
        <v>geralxx</v>
      </c>
      <c r="BD1753" s="239" t="str">
        <f t="shared" si="521"/>
        <v>geralx</v>
      </c>
    </row>
    <row r="1754" spans="1:56" s="1" customFormat="1" ht="114" customHeight="1" x14ac:dyDescent="0.25">
      <c r="A1754" s="275" t="str">
        <f>'Q100b-totais'!$B$57</f>
        <v>8.5</v>
      </c>
      <c r="B1754" s="54" t="str">
        <f>'Q100b-totais'!$C$57</f>
        <v>Transporte convencional</v>
      </c>
      <c r="C1754" s="230" t="s">
        <v>743</v>
      </c>
      <c r="D1754" s="714" t="s">
        <v>4026</v>
      </c>
      <c r="E1754" s="1498" t="s">
        <v>1306</v>
      </c>
      <c r="F1754" s="252" t="s">
        <v>4031</v>
      </c>
      <c r="G1754" s="110" t="s">
        <v>77</v>
      </c>
      <c r="H1754" s="173" t="s">
        <v>432</v>
      </c>
      <c r="I1754" s="167">
        <v>1</v>
      </c>
      <c r="J1754" s="109" t="s">
        <v>432</v>
      </c>
      <c r="K1754" s="109" t="s">
        <v>432</v>
      </c>
      <c r="L1754" s="109" t="s">
        <v>432</v>
      </c>
      <c r="M1754" s="137" t="s">
        <v>4024</v>
      </c>
      <c r="N1754" s="137" t="s">
        <v>4024</v>
      </c>
      <c r="O1754" s="137" t="s">
        <v>4024</v>
      </c>
      <c r="P1754" s="137" t="s">
        <v>4024</v>
      </c>
      <c r="Q1754" s="137" t="s">
        <v>4024</v>
      </c>
      <c r="R1754" s="137" t="s">
        <v>4024</v>
      </c>
      <c r="S1754" s="109" t="s">
        <v>2209</v>
      </c>
      <c r="T1754" s="137" t="s">
        <v>4024</v>
      </c>
      <c r="U1754" s="137" t="s">
        <v>4024</v>
      </c>
      <c r="V1754" s="109" t="s">
        <v>2209</v>
      </c>
      <c r="W1754" s="137" t="s">
        <v>4024</v>
      </c>
      <c r="X1754" s="137" t="s">
        <v>4024</v>
      </c>
      <c r="Y1754" s="137" t="s">
        <v>4024</v>
      </c>
      <c r="Z1754" s="137" t="s">
        <v>4024</v>
      </c>
      <c r="AA1754" s="137" t="s">
        <v>4024</v>
      </c>
      <c r="AB1754" s="137" t="s">
        <v>4024</v>
      </c>
      <c r="AC1754" s="137" t="s">
        <v>4024</v>
      </c>
      <c r="AD1754" s="137" t="s">
        <v>4024</v>
      </c>
      <c r="AE1754" s="137" t="s">
        <v>4024</v>
      </c>
      <c r="AF1754" s="137" t="s">
        <v>4024</v>
      </c>
      <c r="AG1754" s="137" t="s">
        <v>4024</v>
      </c>
      <c r="AH1754" s="137" t="s">
        <v>4024</v>
      </c>
      <c r="AI1754" s="137" t="s">
        <v>4024</v>
      </c>
      <c r="AJ1754" s="137" t="s">
        <v>4024</v>
      </c>
      <c r="AK1754" s="125">
        <v>1</v>
      </c>
      <c r="AL1754" s="601" t="s">
        <v>432</v>
      </c>
      <c r="AM1754" s="137" t="s">
        <v>432</v>
      </c>
      <c r="AN1754" s="137" t="s">
        <v>432</v>
      </c>
      <c r="AO1754" s="137" t="s">
        <v>432</v>
      </c>
      <c r="AP1754" s="137" t="s">
        <v>432</v>
      </c>
      <c r="AQ1754" s="137" t="s">
        <v>432</v>
      </c>
      <c r="AR1754" s="137" t="s">
        <v>432</v>
      </c>
      <c r="AS1754" s="137" t="s">
        <v>432</v>
      </c>
      <c r="AT1754" s="137" t="s">
        <v>432</v>
      </c>
      <c r="AU1754" s="137" t="s">
        <v>432</v>
      </c>
      <c r="AV1754" s="137" t="s">
        <v>432</v>
      </c>
      <c r="AW1754" s="137" t="s">
        <v>432</v>
      </c>
      <c r="AX1754" s="137" t="s">
        <v>432</v>
      </c>
      <c r="AY1754" s="137" t="s">
        <v>432</v>
      </c>
      <c r="AZ1754" s="137" t="s">
        <v>432</v>
      </c>
      <c r="BA1754" s="137" t="s">
        <v>432</v>
      </c>
      <c r="BB1754" s="239" t="str">
        <f t="shared" si="519"/>
        <v>Transporte convencionalacessibilidade</v>
      </c>
      <c r="BC1754" s="239" t="str">
        <f t="shared" si="520"/>
        <v>Transporte convencionalacessibilidadex</v>
      </c>
      <c r="BD1754" s="239" t="str">
        <f t="shared" si="521"/>
        <v>Transporte convencionalx</v>
      </c>
    </row>
    <row r="1755" spans="1:56" s="1" customFormat="1" ht="38.25" x14ac:dyDescent="0.25">
      <c r="A1755" s="275" t="str">
        <f>'Q100b-totais'!$B$57</f>
        <v>8.5</v>
      </c>
      <c r="B1755" s="54" t="str">
        <f>'Q100b-totais'!$C$57</f>
        <v>Transporte convencional</v>
      </c>
      <c r="C1755" s="230" t="s">
        <v>743</v>
      </c>
      <c r="D1755" s="714" t="s">
        <v>4025</v>
      </c>
      <c r="E1755" s="1498" t="s">
        <v>1306</v>
      </c>
      <c r="F1755" s="188" t="s">
        <v>4027</v>
      </c>
      <c r="G1755" s="111" t="s">
        <v>4028</v>
      </c>
      <c r="H1755" s="173"/>
      <c r="I1755" s="167"/>
      <c r="J1755" s="109" t="s">
        <v>432</v>
      </c>
      <c r="K1755" s="109" t="s">
        <v>432</v>
      </c>
      <c r="L1755" s="109" t="s">
        <v>432</v>
      </c>
      <c r="M1755" s="137" t="s">
        <v>4024</v>
      </c>
      <c r="N1755" s="137" t="s">
        <v>4024</v>
      </c>
      <c r="O1755" s="137" t="s">
        <v>4024</v>
      </c>
      <c r="P1755" s="137" t="s">
        <v>4024</v>
      </c>
      <c r="Q1755" s="137" t="s">
        <v>4024</v>
      </c>
      <c r="R1755" s="137" t="s">
        <v>4024</v>
      </c>
      <c r="S1755" s="109" t="s">
        <v>2209</v>
      </c>
      <c r="T1755" s="137" t="s">
        <v>4024</v>
      </c>
      <c r="U1755" s="137" t="s">
        <v>4024</v>
      </c>
      <c r="V1755" s="109" t="s">
        <v>2209</v>
      </c>
      <c r="W1755" s="137" t="s">
        <v>4024</v>
      </c>
      <c r="X1755" s="137" t="s">
        <v>4024</v>
      </c>
      <c r="Y1755" s="137" t="s">
        <v>4024</v>
      </c>
      <c r="Z1755" s="137" t="s">
        <v>4024</v>
      </c>
      <c r="AA1755" s="137" t="s">
        <v>4024</v>
      </c>
      <c r="AB1755" s="137" t="s">
        <v>4024</v>
      </c>
      <c r="AC1755" s="137" t="s">
        <v>4024</v>
      </c>
      <c r="AD1755" s="137" t="s">
        <v>4024</v>
      </c>
      <c r="AE1755" s="137" t="s">
        <v>4024</v>
      </c>
      <c r="AF1755" s="137" t="s">
        <v>4024</v>
      </c>
      <c r="AG1755" s="137" t="s">
        <v>4024</v>
      </c>
      <c r="AH1755" s="137" t="s">
        <v>4024</v>
      </c>
      <c r="AI1755" s="137" t="s">
        <v>4024</v>
      </c>
      <c r="AJ1755" s="137" t="s">
        <v>4024</v>
      </c>
      <c r="AK1755" s="47">
        <f>AK1750-AK1754</f>
        <v>-0.24809999999999999</v>
      </c>
      <c r="AL1755" s="601"/>
      <c r="AM1755" s="137"/>
      <c r="AN1755" s="137"/>
      <c r="AO1755" s="137"/>
      <c r="AP1755" s="137"/>
      <c r="AQ1755" s="137"/>
      <c r="AR1755" s="137"/>
      <c r="AS1755" s="137"/>
      <c r="AT1755" s="137"/>
      <c r="AU1755" s="137"/>
      <c r="AV1755" s="137"/>
      <c r="AW1755" s="137"/>
      <c r="AX1755" s="137"/>
      <c r="AY1755" s="137"/>
      <c r="AZ1755" s="137"/>
      <c r="BA1755" s="137"/>
      <c r="BB1755" s="239"/>
      <c r="BC1755" s="239"/>
      <c r="BD1755" s="239"/>
    </row>
    <row r="1756" spans="1:56" s="1" customFormat="1" ht="242.25" customHeight="1" x14ac:dyDescent="0.25">
      <c r="A1756" s="262" t="s">
        <v>604</v>
      </c>
      <c r="B1756" s="53" t="s">
        <v>736</v>
      </c>
      <c r="C1756" s="229" t="s">
        <v>432</v>
      </c>
      <c r="D1756" s="325" t="s">
        <v>1313</v>
      </c>
      <c r="E1756" s="1512" t="s">
        <v>1306</v>
      </c>
      <c r="F1756" s="188" t="s">
        <v>1930</v>
      </c>
      <c r="G1756" s="167" t="s">
        <v>432</v>
      </c>
      <c r="H1756" s="167" t="s">
        <v>432</v>
      </c>
      <c r="I1756" s="167">
        <v>1</v>
      </c>
      <c r="J1756" s="109" t="s">
        <v>432</v>
      </c>
      <c r="K1756" s="109" t="s">
        <v>432</v>
      </c>
      <c r="L1756" s="109" t="s">
        <v>432</v>
      </c>
      <c r="M1756" s="109" t="s">
        <v>432</v>
      </c>
      <c r="N1756" s="109" t="s">
        <v>432</v>
      </c>
      <c r="O1756" s="109" t="s">
        <v>432</v>
      </c>
      <c r="P1756" s="109" t="s">
        <v>432</v>
      </c>
      <c r="Q1756" s="109" t="s">
        <v>432</v>
      </c>
      <c r="R1756" s="109" t="s">
        <v>432</v>
      </c>
      <c r="S1756" s="109" t="s">
        <v>2209</v>
      </c>
      <c r="T1756" s="109" t="s">
        <v>432</v>
      </c>
      <c r="U1756" s="109" t="s">
        <v>432</v>
      </c>
      <c r="V1756" s="109" t="s">
        <v>2209</v>
      </c>
      <c r="W1756" s="109" t="s">
        <v>432</v>
      </c>
      <c r="X1756" s="109" t="s">
        <v>432</v>
      </c>
      <c r="Y1756" s="109" t="s">
        <v>432</v>
      </c>
      <c r="Z1756" s="109" t="s">
        <v>432</v>
      </c>
      <c r="AA1756" s="109" t="s">
        <v>432</v>
      </c>
      <c r="AB1756" s="109" t="s">
        <v>432</v>
      </c>
      <c r="AC1756" s="109" t="s">
        <v>432</v>
      </c>
      <c r="AD1756" s="109" t="s">
        <v>432</v>
      </c>
      <c r="AE1756" s="109" t="s">
        <v>432</v>
      </c>
      <c r="AF1756" s="109" t="s">
        <v>432</v>
      </c>
      <c r="AG1756" s="109" t="s">
        <v>432</v>
      </c>
      <c r="AH1756" s="109" t="s">
        <v>432</v>
      </c>
      <c r="AI1756" s="109" t="s">
        <v>432</v>
      </c>
      <c r="AJ1756" s="109" t="s">
        <v>432</v>
      </c>
      <c r="AK1756" s="109" t="s">
        <v>432</v>
      </c>
      <c r="AL1756" s="601" t="s">
        <v>432</v>
      </c>
      <c r="AM1756" s="137" t="s">
        <v>432</v>
      </c>
      <c r="AN1756" s="137" t="s">
        <v>432</v>
      </c>
      <c r="AO1756" s="137" t="s">
        <v>432</v>
      </c>
      <c r="AP1756" s="137" t="s">
        <v>432</v>
      </c>
      <c r="AQ1756" s="137" t="s">
        <v>432</v>
      </c>
      <c r="AR1756" s="137" t="s">
        <v>432</v>
      </c>
      <c r="AS1756" s="137" t="s">
        <v>432</v>
      </c>
      <c r="AT1756" s="137" t="s">
        <v>432</v>
      </c>
      <c r="AU1756" s="137" t="s">
        <v>432</v>
      </c>
      <c r="AV1756" s="137" t="s">
        <v>432</v>
      </c>
      <c r="AW1756" s="137" t="s">
        <v>432</v>
      </c>
      <c r="AX1756" s="137" t="s">
        <v>432</v>
      </c>
      <c r="AY1756" s="137" t="s">
        <v>432</v>
      </c>
      <c r="AZ1756" s="137" t="s">
        <v>432</v>
      </c>
      <c r="BA1756" s="137" t="s">
        <v>432</v>
      </c>
      <c r="BB1756" s="239" t="str">
        <f t="shared" ref="BB1756:BB1763" si="530">B1756&amp;C1756</f>
        <v>Poluição do arx</v>
      </c>
      <c r="BC1756" s="239" t="str">
        <f t="shared" ref="BC1756:BC1763" si="531">B1756&amp;C1756&amp;H1756</f>
        <v>Poluição do arxx</v>
      </c>
      <c r="BD1756" s="239" t="str">
        <f t="shared" ref="BD1756:BD1763" si="532">B1756&amp;H1756</f>
        <v>Poluição do arx</v>
      </c>
    </row>
    <row r="1757" spans="1:56" s="1" customFormat="1" ht="25.5" x14ac:dyDescent="0.25">
      <c r="A1757" s="262" t="s">
        <v>604</v>
      </c>
      <c r="B1757" s="252" t="s">
        <v>736</v>
      </c>
      <c r="C1757" s="167" t="s">
        <v>432</v>
      </c>
      <c r="D1757" s="325" t="s">
        <v>1314</v>
      </c>
      <c r="E1757" s="1445" t="s">
        <v>432</v>
      </c>
      <c r="F1757" s="102" t="s">
        <v>1316</v>
      </c>
      <c r="G1757" s="167" t="s">
        <v>2044</v>
      </c>
      <c r="H1757" s="168" t="s">
        <v>765</v>
      </c>
      <c r="I1757" s="167" t="s">
        <v>432</v>
      </c>
      <c r="J1757" s="109" t="s">
        <v>432</v>
      </c>
      <c r="K1757" s="109" t="s">
        <v>432</v>
      </c>
      <c r="L1757" s="109" t="s">
        <v>432</v>
      </c>
      <c r="M1757" s="109" t="s">
        <v>432</v>
      </c>
      <c r="N1757" s="109" t="s">
        <v>432</v>
      </c>
      <c r="O1757" s="109" t="s">
        <v>432</v>
      </c>
      <c r="P1757" s="109" t="s">
        <v>432</v>
      </c>
      <c r="Q1757" s="109" t="s">
        <v>432</v>
      </c>
      <c r="R1757" s="109" t="s">
        <v>432</v>
      </c>
      <c r="S1757" s="109" t="s">
        <v>2209</v>
      </c>
      <c r="T1757" s="109" t="s">
        <v>432</v>
      </c>
      <c r="U1757" s="109" t="s">
        <v>432</v>
      </c>
      <c r="V1757" s="109" t="s">
        <v>2209</v>
      </c>
      <c r="W1757" s="109" t="s">
        <v>432</v>
      </c>
      <c r="X1757" s="109" t="s">
        <v>432</v>
      </c>
      <c r="Y1757" s="109" t="s">
        <v>432</v>
      </c>
      <c r="Z1757" s="109" t="s">
        <v>432</v>
      </c>
      <c r="AA1757" s="109" t="s">
        <v>432</v>
      </c>
      <c r="AB1757" s="109" t="s">
        <v>432</v>
      </c>
      <c r="AC1757" s="109" t="s">
        <v>432</v>
      </c>
      <c r="AD1757" s="109" t="s">
        <v>432</v>
      </c>
      <c r="AE1757" s="109" t="s">
        <v>432</v>
      </c>
      <c r="AF1757" s="109" t="s">
        <v>432</v>
      </c>
      <c r="AG1757" s="109" t="s">
        <v>432</v>
      </c>
      <c r="AH1757" s="109" t="s">
        <v>432</v>
      </c>
      <c r="AI1757" s="109" t="s">
        <v>432</v>
      </c>
      <c r="AJ1757" s="109" t="s">
        <v>432</v>
      </c>
      <c r="AK1757" s="109" t="s">
        <v>432</v>
      </c>
      <c r="AL1757" s="601" t="s">
        <v>432</v>
      </c>
      <c r="AM1757" s="137" t="s">
        <v>432</v>
      </c>
      <c r="AN1757" s="137" t="s">
        <v>432</v>
      </c>
      <c r="AO1757" s="137" t="s">
        <v>432</v>
      </c>
      <c r="AP1757" s="137" t="s">
        <v>432</v>
      </c>
      <c r="AQ1757" s="137" t="s">
        <v>432</v>
      </c>
      <c r="AR1757" s="137" t="s">
        <v>432</v>
      </c>
      <c r="AS1757" s="137" t="s">
        <v>432</v>
      </c>
      <c r="AT1757" s="137" t="s">
        <v>432</v>
      </c>
      <c r="AU1757" s="137" t="s">
        <v>432</v>
      </c>
      <c r="AV1757" s="137" t="s">
        <v>432</v>
      </c>
      <c r="AW1757" s="137" t="s">
        <v>432</v>
      </c>
      <c r="AX1757" s="137" t="s">
        <v>432</v>
      </c>
      <c r="AY1757" s="137" t="s">
        <v>432</v>
      </c>
      <c r="AZ1757" s="137" t="s">
        <v>432</v>
      </c>
      <c r="BA1757" s="137" t="s">
        <v>432</v>
      </c>
      <c r="BB1757" s="239" t="str">
        <f t="shared" si="530"/>
        <v>Poluição do arx</v>
      </c>
      <c r="BC1757" s="239" t="str">
        <f t="shared" si="531"/>
        <v>Poluição do arxmeta/RPI</v>
      </c>
      <c r="BD1757" s="239" t="str">
        <f t="shared" si="532"/>
        <v>Poluição do armeta/RPI</v>
      </c>
    </row>
    <row r="1758" spans="1:56" s="1" customFormat="1" ht="76.5" customHeight="1" x14ac:dyDescent="0.25">
      <c r="A1758" s="262" t="s">
        <v>604</v>
      </c>
      <c r="B1758" s="53" t="s">
        <v>736</v>
      </c>
      <c r="C1758" s="229" t="s">
        <v>432</v>
      </c>
      <c r="D1758" s="325" t="s">
        <v>1315</v>
      </c>
      <c r="E1758" s="1512" t="s">
        <v>1298</v>
      </c>
      <c r="F1758" s="188" t="s">
        <v>1986</v>
      </c>
      <c r="G1758" s="167" t="s">
        <v>432</v>
      </c>
      <c r="H1758" s="167" t="s">
        <v>819</v>
      </c>
      <c r="I1758" s="167" t="s">
        <v>432</v>
      </c>
      <c r="J1758" s="109" t="s">
        <v>432</v>
      </c>
      <c r="K1758" s="109" t="s">
        <v>432</v>
      </c>
      <c r="L1758" s="109" t="s">
        <v>432</v>
      </c>
      <c r="M1758" s="109" t="s">
        <v>432</v>
      </c>
      <c r="N1758" s="109" t="s">
        <v>432</v>
      </c>
      <c r="O1758" s="109" t="s">
        <v>432</v>
      </c>
      <c r="P1758" s="109" t="s">
        <v>432</v>
      </c>
      <c r="Q1758" s="109" t="s">
        <v>432</v>
      </c>
      <c r="R1758" s="109" t="s">
        <v>432</v>
      </c>
      <c r="S1758" s="109" t="s">
        <v>2209</v>
      </c>
      <c r="T1758" s="109" t="s">
        <v>432</v>
      </c>
      <c r="U1758" s="109" t="s">
        <v>432</v>
      </c>
      <c r="V1758" s="109" t="s">
        <v>2209</v>
      </c>
      <c r="W1758" s="109" t="s">
        <v>432</v>
      </c>
      <c r="X1758" s="109" t="s">
        <v>432</v>
      </c>
      <c r="Y1758" s="109" t="s">
        <v>432</v>
      </c>
      <c r="Z1758" s="109" t="s">
        <v>432</v>
      </c>
      <c r="AA1758" s="109" t="s">
        <v>432</v>
      </c>
      <c r="AB1758" s="109" t="s">
        <v>432</v>
      </c>
      <c r="AC1758" s="109" t="s">
        <v>432</v>
      </c>
      <c r="AD1758" s="109" t="s">
        <v>432</v>
      </c>
      <c r="AE1758" s="109" t="s">
        <v>432</v>
      </c>
      <c r="AF1758" s="109" t="s">
        <v>432</v>
      </c>
      <c r="AG1758" s="109" t="s">
        <v>432</v>
      </c>
      <c r="AH1758" s="109" t="s">
        <v>432</v>
      </c>
      <c r="AI1758" s="109" t="s">
        <v>432</v>
      </c>
      <c r="AJ1758" s="109" t="s">
        <v>432</v>
      </c>
      <c r="AK1758" s="109" t="s">
        <v>432</v>
      </c>
      <c r="AL1758" s="601" t="s">
        <v>432</v>
      </c>
      <c r="AM1758" s="137" t="s">
        <v>432</v>
      </c>
      <c r="AN1758" s="137" t="s">
        <v>432</v>
      </c>
      <c r="AO1758" s="137" t="s">
        <v>432</v>
      </c>
      <c r="AP1758" s="137" t="s">
        <v>432</v>
      </c>
      <c r="AQ1758" s="137" t="s">
        <v>432</v>
      </c>
      <c r="AR1758" s="137" t="s">
        <v>432</v>
      </c>
      <c r="AS1758" s="137" t="s">
        <v>432</v>
      </c>
      <c r="AT1758" s="137" t="s">
        <v>432</v>
      </c>
      <c r="AU1758" s="137" t="s">
        <v>432</v>
      </c>
      <c r="AV1758" s="137" t="s">
        <v>432</v>
      </c>
      <c r="AW1758" s="137" t="s">
        <v>432</v>
      </c>
      <c r="AX1758" s="137" t="s">
        <v>432</v>
      </c>
      <c r="AY1758" s="137" t="s">
        <v>432</v>
      </c>
      <c r="AZ1758" s="137" t="s">
        <v>432</v>
      </c>
      <c r="BA1758" s="137" t="s">
        <v>432</v>
      </c>
      <c r="BB1758" s="239" t="str">
        <f t="shared" si="530"/>
        <v>Poluição do arx</v>
      </c>
      <c r="BC1758" s="239" t="str">
        <f t="shared" si="531"/>
        <v>Poluição do arxbenchmarking</v>
      </c>
      <c r="BD1758" s="239" t="str">
        <f t="shared" si="532"/>
        <v>Poluição do arbenchmarking</v>
      </c>
    </row>
    <row r="1759" spans="1:56" s="1" customFormat="1" ht="244.5" customHeight="1" x14ac:dyDescent="0.25">
      <c r="A1759" s="262" t="str">
        <f>'Q100b-totais'!B13</f>
        <v>1.4</v>
      </c>
      <c r="B1759" s="252" t="str">
        <f>'Q100b-totais'!C13</f>
        <v>Relacionamento com a sociedade organizada</v>
      </c>
      <c r="C1759" s="167" t="s">
        <v>432</v>
      </c>
      <c r="D1759" s="716" t="s">
        <v>4532</v>
      </c>
      <c r="E1759" s="1499" t="s">
        <v>1705</v>
      </c>
      <c r="F1759" s="1151" t="s">
        <v>4548</v>
      </c>
      <c r="G1759" s="230" t="s">
        <v>3507</v>
      </c>
      <c r="H1759" s="167" t="s">
        <v>2408</v>
      </c>
      <c r="I1759" s="167" t="s">
        <v>432</v>
      </c>
      <c r="J1759" s="107" t="s">
        <v>432</v>
      </c>
      <c r="K1759" s="107" t="s">
        <v>432</v>
      </c>
      <c r="L1759" s="107" t="s">
        <v>432</v>
      </c>
      <c r="M1759" s="107" t="s">
        <v>432</v>
      </c>
      <c r="N1759" s="107" t="s">
        <v>432</v>
      </c>
      <c r="O1759" s="107" t="s">
        <v>432</v>
      </c>
      <c r="P1759" s="107" t="s">
        <v>432</v>
      </c>
      <c r="Q1759" s="107" t="s">
        <v>432</v>
      </c>
      <c r="R1759" s="107" t="s">
        <v>432</v>
      </c>
      <c r="S1759" s="109" t="s">
        <v>2209</v>
      </c>
      <c r="T1759" s="107" t="s">
        <v>432</v>
      </c>
      <c r="U1759" s="107" t="s">
        <v>432</v>
      </c>
      <c r="V1759" s="109" t="s">
        <v>2209</v>
      </c>
      <c r="W1759" s="107" t="s">
        <v>432</v>
      </c>
      <c r="X1759" s="107" t="s">
        <v>432</v>
      </c>
      <c r="Y1759" s="107" t="s">
        <v>432</v>
      </c>
      <c r="Z1759" s="107" t="s">
        <v>432</v>
      </c>
      <c r="AA1759" s="107" t="s">
        <v>432</v>
      </c>
      <c r="AB1759" s="107" t="s">
        <v>432</v>
      </c>
      <c r="AC1759" s="107" t="s">
        <v>432</v>
      </c>
      <c r="AD1759" s="107" t="s">
        <v>432</v>
      </c>
      <c r="AE1759" s="107" t="s">
        <v>432</v>
      </c>
      <c r="AF1759" s="107" t="s">
        <v>432</v>
      </c>
      <c r="AG1759" s="107" t="s">
        <v>432</v>
      </c>
      <c r="AH1759" s="107" t="s">
        <v>432</v>
      </c>
      <c r="AI1759" s="107" t="s">
        <v>432</v>
      </c>
      <c r="AJ1759" s="107" t="s">
        <v>432</v>
      </c>
      <c r="AK1759" s="137" t="s">
        <v>432</v>
      </c>
      <c r="AL1759" s="601" t="s">
        <v>432</v>
      </c>
      <c r="AM1759" s="137" t="s">
        <v>432</v>
      </c>
      <c r="AN1759" s="137" t="s">
        <v>432</v>
      </c>
      <c r="AO1759" s="137" t="s">
        <v>432</v>
      </c>
      <c r="AP1759" s="137" t="s">
        <v>432</v>
      </c>
      <c r="AQ1759" s="137" t="s">
        <v>432</v>
      </c>
      <c r="AR1759" s="137" t="s">
        <v>432</v>
      </c>
      <c r="AS1759" s="137" t="s">
        <v>432</v>
      </c>
      <c r="AT1759" s="137" t="s">
        <v>432</v>
      </c>
      <c r="AU1759" s="137" t="s">
        <v>432</v>
      </c>
      <c r="AV1759" s="137" t="s">
        <v>432</v>
      </c>
      <c r="AW1759" s="137" t="s">
        <v>432</v>
      </c>
      <c r="AX1759" s="137" t="s">
        <v>432</v>
      </c>
      <c r="AY1759" s="137" t="s">
        <v>432</v>
      </c>
      <c r="AZ1759" s="137" t="s">
        <v>432</v>
      </c>
      <c r="BA1759" s="137" t="s">
        <v>432</v>
      </c>
      <c r="BB1759" s="239" t="str">
        <f t="shared" si="530"/>
        <v>Relacionamento com a sociedade organizadax</v>
      </c>
      <c r="BC1759" s="239" t="str">
        <f t="shared" si="531"/>
        <v>Relacionamento com a sociedade organizadaxsigla/verbete</v>
      </c>
      <c r="BD1759" s="239" t="str">
        <f t="shared" si="532"/>
        <v>Relacionamento com a sociedade organizadasigla/verbete</v>
      </c>
    </row>
    <row r="1760" spans="1:56" s="1" customFormat="1" ht="60" customHeight="1" x14ac:dyDescent="0.25">
      <c r="A1760" s="262" t="str">
        <f>'Q100b-totais'!B13</f>
        <v>1.4</v>
      </c>
      <c r="B1760" s="252" t="str">
        <f>'Q100b-totais'!C13</f>
        <v>Relacionamento com a sociedade organizada</v>
      </c>
      <c r="C1760" s="167" t="s">
        <v>432</v>
      </c>
      <c r="D1760" s="325" t="s">
        <v>4540</v>
      </c>
      <c r="E1760" s="1509" t="s">
        <v>432</v>
      </c>
      <c r="F1760" s="188" t="s">
        <v>4544</v>
      </c>
      <c r="G1760" s="230" t="s">
        <v>3507</v>
      </c>
      <c r="H1760" s="167" t="s">
        <v>2408</v>
      </c>
      <c r="I1760" s="167" t="s">
        <v>432</v>
      </c>
      <c r="J1760" s="107" t="s">
        <v>432</v>
      </c>
      <c r="K1760" s="107" t="s">
        <v>432</v>
      </c>
      <c r="L1760" s="107" t="s">
        <v>432</v>
      </c>
      <c r="M1760" s="107" t="s">
        <v>432</v>
      </c>
      <c r="N1760" s="107" t="s">
        <v>432</v>
      </c>
      <c r="O1760" s="107" t="s">
        <v>432</v>
      </c>
      <c r="P1760" s="107" t="s">
        <v>432</v>
      </c>
      <c r="Q1760" s="107" t="s">
        <v>432</v>
      </c>
      <c r="R1760" s="107" t="s">
        <v>432</v>
      </c>
      <c r="S1760" s="109" t="s">
        <v>2209</v>
      </c>
      <c r="T1760" s="107" t="s">
        <v>432</v>
      </c>
      <c r="U1760" s="107" t="s">
        <v>432</v>
      </c>
      <c r="V1760" s="109" t="s">
        <v>2209</v>
      </c>
      <c r="W1760" s="107" t="s">
        <v>432</v>
      </c>
      <c r="X1760" s="107" t="s">
        <v>432</v>
      </c>
      <c r="Y1760" s="107" t="s">
        <v>432</v>
      </c>
      <c r="Z1760" s="107" t="s">
        <v>432</v>
      </c>
      <c r="AA1760" s="107" t="s">
        <v>432</v>
      </c>
      <c r="AB1760" s="107" t="s">
        <v>432</v>
      </c>
      <c r="AC1760" s="107" t="s">
        <v>432</v>
      </c>
      <c r="AD1760" s="107" t="s">
        <v>432</v>
      </c>
      <c r="AE1760" s="107" t="s">
        <v>432</v>
      </c>
      <c r="AF1760" s="107" t="s">
        <v>432</v>
      </c>
      <c r="AG1760" s="107" t="s">
        <v>432</v>
      </c>
      <c r="AH1760" s="107" t="s">
        <v>432</v>
      </c>
      <c r="AI1760" s="107" t="s">
        <v>432</v>
      </c>
      <c r="AJ1760" s="107" t="s">
        <v>432</v>
      </c>
      <c r="AK1760" s="137" t="s">
        <v>432</v>
      </c>
      <c r="AL1760" s="601" t="s">
        <v>432</v>
      </c>
      <c r="AM1760" s="137" t="s">
        <v>432</v>
      </c>
      <c r="AN1760" s="137" t="s">
        <v>432</v>
      </c>
      <c r="AO1760" s="137" t="s">
        <v>432</v>
      </c>
      <c r="AP1760" s="137" t="s">
        <v>432</v>
      </c>
      <c r="AQ1760" s="137" t="s">
        <v>432</v>
      </c>
      <c r="AR1760" s="137" t="s">
        <v>432</v>
      </c>
      <c r="AS1760" s="137" t="s">
        <v>432</v>
      </c>
      <c r="AT1760" s="137" t="s">
        <v>432</v>
      </c>
      <c r="AU1760" s="137" t="s">
        <v>432</v>
      </c>
      <c r="AV1760" s="137" t="s">
        <v>432</v>
      </c>
      <c r="AW1760" s="137" t="s">
        <v>432</v>
      </c>
      <c r="AX1760" s="137" t="s">
        <v>432</v>
      </c>
      <c r="AY1760" s="137" t="s">
        <v>432</v>
      </c>
      <c r="AZ1760" s="137" t="s">
        <v>432</v>
      </c>
      <c r="BA1760" s="137" t="s">
        <v>432</v>
      </c>
      <c r="BB1760" s="239" t="str">
        <f t="shared" si="530"/>
        <v>Relacionamento com a sociedade organizadax</v>
      </c>
      <c r="BC1760" s="239" t="str">
        <f t="shared" si="531"/>
        <v>Relacionamento com a sociedade organizadaxsigla/verbete</v>
      </c>
      <c r="BD1760" s="239" t="str">
        <f t="shared" si="532"/>
        <v>Relacionamento com a sociedade organizadasigla/verbete</v>
      </c>
    </row>
    <row r="1761" spans="1:56" s="1" customFormat="1" ht="55.5" customHeight="1" x14ac:dyDescent="0.25">
      <c r="A1761" s="262" t="str">
        <f>'Q100b-totais'!B13</f>
        <v>1.4</v>
      </c>
      <c r="B1761" s="252" t="str">
        <f>'Q100b-totais'!C13</f>
        <v>Relacionamento com a sociedade organizada</v>
      </c>
      <c r="C1761" s="167" t="s">
        <v>432</v>
      </c>
      <c r="D1761" s="323" t="s">
        <v>2559</v>
      </c>
      <c r="E1761" s="1496" t="s">
        <v>1306</v>
      </c>
      <c r="F1761" s="11" t="s">
        <v>4545</v>
      </c>
      <c r="G1761" s="167" t="s">
        <v>3719</v>
      </c>
      <c r="H1761" s="167" t="s">
        <v>2408</v>
      </c>
      <c r="I1761" s="167" t="s">
        <v>432</v>
      </c>
      <c r="J1761" s="107" t="s">
        <v>432</v>
      </c>
      <c r="K1761" s="107" t="s">
        <v>432</v>
      </c>
      <c r="L1761" s="107" t="s">
        <v>432</v>
      </c>
      <c r="M1761" s="107" t="s">
        <v>432</v>
      </c>
      <c r="N1761" s="107" t="s">
        <v>432</v>
      </c>
      <c r="O1761" s="107" t="s">
        <v>432</v>
      </c>
      <c r="P1761" s="107" t="s">
        <v>432</v>
      </c>
      <c r="Q1761" s="107" t="s">
        <v>432</v>
      </c>
      <c r="R1761" s="107" t="s">
        <v>432</v>
      </c>
      <c r="S1761" s="109" t="s">
        <v>2209</v>
      </c>
      <c r="T1761" s="107" t="s">
        <v>432</v>
      </c>
      <c r="U1761" s="107" t="s">
        <v>432</v>
      </c>
      <c r="V1761" s="109" t="s">
        <v>2209</v>
      </c>
      <c r="W1761" s="107" t="s">
        <v>432</v>
      </c>
      <c r="X1761" s="107" t="s">
        <v>432</v>
      </c>
      <c r="Y1761" s="107" t="s">
        <v>432</v>
      </c>
      <c r="Z1761" s="107" t="s">
        <v>432</v>
      </c>
      <c r="AA1761" s="107" t="s">
        <v>432</v>
      </c>
      <c r="AB1761" s="107" t="s">
        <v>432</v>
      </c>
      <c r="AC1761" s="107" t="s">
        <v>432</v>
      </c>
      <c r="AD1761" s="107" t="s">
        <v>432</v>
      </c>
      <c r="AE1761" s="107" t="s">
        <v>432</v>
      </c>
      <c r="AF1761" s="107" t="s">
        <v>432</v>
      </c>
      <c r="AG1761" s="107" t="s">
        <v>432</v>
      </c>
      <c r="AH1761" s="107" t="s">
        <v>432</v>
      </c>
      <c r="AI1761" s="107" t="s">
        <v>432</v>
      </c>
      <c r="AJ1761" s="107" t="s">
        <v>432</v>
      </c>
      <c r="AK1761" s="137" t="s">
        <v>432</v>
      </c>
      <c r="AL1761" s="601" t="s">
        <v>432</v>
      </c>
      <c r="AM1761" s="137" t="s">
        <v>432</v>
      </c>
      <c r="AN1761" s="137" t="s">
        <v>432</v>
      </c>
      <c r="AO1761" s="137" t="s">
        <v>432</v>
      </c>
      <c r="AP1761" s="137" t="s">
        <v>432</v>
      </c>
      <c r="AQ1761" s="137" t="s">
        <v>432</v>
      </c>
      <c r="AR1761" s="137" t="s">
        <v>432</v>
      </c>
      <c r="AS1761" s="137" t="s">
        <v>432</v>
      </c>
      <c r="AT1761" s="137" t="s">
        <v>432</v>
      </c>
      <c r="AU1761" s="137" t="s">
        <v>432</v>
      </c>
      <c r="AV1761" s="137" t="s">
        <v>432</v>
      </c>
      <c r="AW1761" s="137" t="s">
        <v>432</v>
      </c>
      <c r="AX1761" s="137" t="s">
        <v>432</v>
      </c>
      <c r="AY1761" s="137" t="s">
        <v>432</v>
      </c>
      <c r="AZ1761" s="137" t="s">
        <v>432</v>
      </c>
      <c r="BA1761" s="137" t="s">
        <v>432</v>
      </c>
      <c r="BB1761" s="239" t="str">
        <f t="shared" si="530"/>
        <v>Relacionamento com a sociedade organizadax</v>
      </c>
      <c r="BC1761" s="239" t="str">
        <f t="shared" si="531"/>
        <v>Relacionamento com a sociedade organizadaxsigla/verbete</v>
      </c>
      <c r="BD1761" s="239" t="str">
        <f t="shared" si="532"/>
        <v>Relacionamento com a sociedade organizadasigla/verbete</v>
      </c>
    </row>
    <row r="1762" spans="1:56" s="1" customFormat="1" ht="71.25" customHeight="1" x14ac:dyDescent="0.25">
      <c r="A1762" s="275" t="str">
        <f>'Q100b-totais'!$B$16</f>
        <v>2.1</v>
      </c>
      <c r="B1762" s="53" t="s">
        <v>827</v>
      </c>
      <c r="C1762" s="167" t="s">
        <v>432</v>
      </c>
      <c r="D1762" s="325" t="s">
        <v>301</v>
      </c>
      <c r="E1762" s="1445"/>
      <c r="F1762" s="177" t="s">
        <v>1556</v>
      </c>
      <c r="G1762" s="230" t="s">
        <v>3507</v>
      </c>
      <c r="H1762" s="167" t="s">
        <v>2408</v>
      </c>
      <c r="I1762" s="167" t="s">
        <v>2</v>
      </c>
      <c r="J1762" s="107" t="s">
        <v>432</v>
      </c>
      <c r="K1762" s="109" t="s">
        <v>432</v>
      </c>
      <c r="L1762" s="109" t="s">
        <v>432</v>
      </c>
      <c r="M1762" s="109" t="s">
        <v>432</v>
      </c>
      <c r="N1762" s="109" t="s">
        <v>432</v>
      </c>
      <c r="O1762" s="109" t="s">
        <v>432</v>
      </c>
      <c r="P1762" s="107" t="s">
        <v>432</v>
      </c>
      <c r="Q1762" s="109" t="s">
        <v>432</v>
      </c>
      <c r="R1762" s="109" t="s">
        <v>432</v>
      </c>
      <c r="S1762" s="109" t="s">
        <v>2209</v>
      </c>
      <c r="T1762" s="109" t="s">
        <v>432</v>
      </c>
      <c r="U1762" s="109" t="s">
        <v>432</v>
      </c>
      <c r="V1762" s="109" t="s">
        <v>2209</v>
      </c>
      <c r="W1762" s="109" t="s">
        <v>432</v>
      </c>
      <c r="X1762" s="109" t="s">
        <v>432</v>
      </c>
      <c r="Y1762" s="109" t="s">
        <v>432</v>
      </c>
      <c r="Z1762" s="109" t="s">
        <v>432</v>
      </c>
      <c r="AA1762" s="109" t="s">
        <v>432</v>
      </c>
      <c r="AB1762" s="107" t="s">
        <v>432</v>
      </c>
      <c r="AC1762" s="109" t="s">
        <v>432</v>
      </c>
      <c r="AD1762" s="109" t="s">
        <v>432</v>
      </c>
      <c r="AE1762" s="109" t="s">
        <v>432</v>
      </c>
      <c r="AF1762" s="109" t="s">
        <v>432</v>
      </c>
      <c r="AG1762" s="109" t="s">
        <v>432</v>
      </c>
      <c r="AH1762" s="109" t="s">
        <v>432</v>
      </c>
      <c r="AI1762" s="109" t="s">
        <v>432</v>
      </c>
      <c r="AJ1762" s="109" t="s">
        <v>432</v>
      </c>
      <c r="AK1762" s="137" t="s">
        <v>432</v>
      </c>
      <c r="AL1762" s="601" t="s">
        <v>432</v>
      </c>
      <c r="AM1762" s="137" t="s">
        <v>432</v>
      </c>
      <c r="AN1762" s="137" t="s">
        <v>432</v>
      </c>
      <c r="AO1762" s="137" t="s">
        <v>432</v>
      </c>
      <c r="AP1762" s="137" t="s">
        <v>432</v>
      </c>
      <c r="AQ1762" s="137" t="s">
        <v>432</v>
      </c>
      <c r="AR1762" s="137" t="s">
        <v>432</v>
      </c>
      <c r="AS1762" s="137" t="s">
        <v>432</v>
      </c>
      <c r="AT1762" s="137" t="s">
        <v>432</v>
      </c>
      <c r="AU1762" s="137" t="s">
        <v>432</v>
      </c>
      <c r="AV1762" s="137" t="s">
        <v>432</v>
      </c>
      <c r="AW1762" s="137" t="s">
        <v>432</v>
      </c>
      <c r="AX1762" s="137" t="s">
        <v>432</v>
      </c>
      <c r="AY1762" s="137" t="s">
        <v>432</v>
      </c>
      <c r="AZ1762" s="137" t="s">
        <v>432</v>
      </c>
      <c r="BA1762" s="137" t="s">
        <v>432</v>
      </c>
      <c r="BB1762" s="239" t="str">
        <f t="shared" si="530"/>
        <v>Distribuição modal em pesquisas de opiniãox</v>
      </c>
      <c r="BC1762" s="239" t="str">
        <f t="shared" si="531"/>
        <v>Distribuição modal em pesquisas de opiniãoxsigla/verbete</v>
      </c>
      <c r="BD1762" s="239" t="str">
        <f t="shared" si="532"/>
        <v>Distribuição modal em pesquisas de opiniãosigla/verbete</v>
      </c>
    </row>
    <row r="1763" spans="1:56" s="1" customFormat="1" ht="25.5" x14ac:dyDescent="0.25">
      <c r="A1763" s="262" t="s">
        <v>432</v>
      </c>
      <c r="B1763" s="252" t="s">
        <v>742</v>
      </c>
      <c r="C1763" s="167" t="s">
        <v>432</v>
      </c>
      <c r="D1763" s="323" t="s">
        <v>301</v>
      </c>
      <c r="E1763" s="1496" t="s">
        <v>432</v>
      </c>
      <c r="F1763" s="11" t="s">
        <v>868</v>
      </c>
      <c r="G1763" s="167" t="s">
        <v>3879</v>
      </c>
      <c r="H1763" s="167" t="s">
        <v>432</v>
      </c>
      <c r="I1763" s="167" t="s">
        <v>432</v>
      </c>
      <c r="J1763" s="107" t="s">
        <v>432</v>
      </c>
      <c r="K1763" s="107" t="s">
        <v>432</v>
      </c>
      <c r="L1763" s="107" t="s">
        <v>432</v>
      </c>
      <c r="M1763" s="107" t="s">
        <v>432</v>
      </c>
      <c r="N1763" s="107" t="s">
        <v>432</v>
      </c>
      <c r="O1763" s="107" t="s">
        <v>432</v>
      </c>
      <c r="P1763" s="107" t="s">
        <v>432</v>
      </c>
      <c r="Q1763" s="107" t="s">
        <v>432</v>
      </c>
      <c r="R1763" s="107" t="s">
        <v>432</v>
      </c>
      <c r="S1763" s="109" t="s">
        <v>2209</v>
      </c>
      <c r="T1763" s="107" t="s">
        <v>432</v>
      </c>
      <c r="U1763" s="107" t="s">
        <v>432</v>
      </c>
      <c r="V1763" s="109" t="s">
        <v>2209</v>
      </c>
      <c r="W1763" s="107" t="s">
        <v>432</v>
      </c>
      <c r="X1763" s="107" t="s">
        <v>432</v>
      </c>
      <c r="Y1763" s="107" t="s">
        <v>432</v>
      </c>
      <c r="Z1763" s="107" t="s">
        <v>432</v>
      </c>
      <c r="AA1763" s="107" t="s">
        <v>432</v>
      </c>
      <c r="AB1763" s="107" t="s">
        <v>432</v>
      </c>
      <c r="AC1763" s="107" t="s">
        <v>432</v>
      </c>
      <c r="AD1763" s="107" t="s">
        <v>432</v>
      </c>
      <c r="AE1763" s="107" t="s">
        <v>432</v>
      </c>
      <c r="AF1763" s="107" t="s">
        <v>432</v>
      </c>
      <c r="AG1763" s="107" t="s">
        <v>432</v>
      </c>
      <c r="AH1763" s="107" t="s">
        <v>432</v>
      </c>
      <c r="AI1763" s="107" t="s">
        <v>432</v>
      </c>
      <c r="AJ1763" s="107" t="s">
        <v>432</v>
      </c>
      <c r="AK1763" s="137" t="s">
        <v>432</v>
      </c>
      <c r="AL1763" s="601" t="s">
        <v>432</v>
      </c>
      <c r="AM1763" s="137" t="s">
        <v>432</v>
      </c>
      <c r="AN1763" s="137" t="s">
        <v>432</v>
      </c>
      <c r="AO1763" s="137" t="s">
        <v>432</v>
      </c>
      <c r="AP1763" s="137" t="s">
        <v>432</v>
      </c>
      <c r="AQ1763" s="137" t="s">
        <v>432</v>
      </c>
      <c r="AR1763" s="137" t="s">
        <v>432</v>
      </c>
      <c r="AS1763" s="137" t="s">
        <v>432</v>
      </c>
      <c r="AT1763" s="137" t="s">
        <v>432</v>
      </c>
      <c r="AU1763" s="137" t="s">
        <v>432</v>
      </c>
      <c r="AV1763" s="137" t="s">
        <v>432</v>
      </c>
      <c r="AW1763" s="137" t="s">
        <v>432</v>
      </c>
      <c r="AX1763" s="137" t="s">
        <v>432</v>
      </c>
      <c r="AY1763" s="137" t="s">
        <v>432</v>
      </c>
      <c r="AZ1763" s="137" t="s">
        <v>432</v>
      </c>
      <c r="BA1763" s="137" t="s">
        <v>432</v>
      </c>
      <c r="BB1763" s="239" t="str">
        <f t="shared" si="530"/>
        <v>geralx</v>
      </c>
      <c r="BC1763" s="239" t="str">
        <f t="shared" si="531"/>
        <v>geralxx</v>
      </c>
      <c r="BD1763" s="239" t="str">
        <f t="shared" si="532"/>
        <v>geralx</v>
      </c>
    </row>
    <row r="1764" spans="1:56" s="1" customFormat="1" ht="72" customHeight="1" x14ac:dyDescent="0.25">
      <c r="A1764" s="262" t="str">
        <f>'Q100b-totais'!B13</f>
        <v>1.4</v>
      </c>
      <c r="B1764" s="252" t="str">
        <f>'Q100b-totais'!C13</f>
        <v>Relacionamento com a sociedade organizada</v>
      </c>
      <c r="C1764" s="167" t="s">
        <v>432</v>
      </c>
      <c r="D1764" s="939" t="s">
        <v>4533</v>
      </c>
      <c r="E1764" s="1532"/>
      <c r="F1764" s="1151" t="s">
        <v>4543</v>
      </c>
      <c r="G1764" s="167"/>
      <c r="H1764" s="167"/>
      <c r="I1764" s="167"/>
      <c r="J1764" s="107"/>
      <c r="K1764" s="107"/>
      <c r="L1764" s="107"/>
      <c r="M1764" s="107"/>
      <c r="N1764" s="107"/>
      <c r="O1764" s="107"/>
      <c r="P1764" s="107"/>
      <c r="Q1764" s="107"/>
      <c r="R1764" s="107"/>
      <c r="S1764" s="109"/>
      <c r="T1764" s="107"/>
      <c r="U1764" s="107"/>
      <c r="V1764" s="109"/>
      <c r="W1764" s="107"/>
      <c r="X1764" s="107"/>
      <c r="Y1764" s="107"/>
      <c r="Z1764" s="107"/>
      <c r="AA1764" s="107"/>
      <c r="AB1764" s="107"/>
      <c r="AC1764" s="107"/>
      <c r="AD1764" s="107"/>
      <c r="AE1764" s="107"/>
      <c r="AF1764" s="107"/>
      <c r="AG1764" s="107"/>
      <c r="AH1764" s="107"/>
      <c r="AI1764" s="107"/>
      <c r="AJ1764" s="107"/>
      <c r="AK1764" s="137"/>
      <c r="AL1764" s="601"/>
      <c r="AM1764" s="137"/>
      <c r="AN1764" s="137"/>
      <c r="AO1764" s="137"/>
      <c r="AP1764" s="137"/>
      <c r="AQ1764" s="137"/>
      <c r="AR1764" s="137"/>
      <c r="AS1764" s="137"/>
      <c r="AT1764" s="137"/>
      <c r="AU1764" s="137"/>
      <c r="AV1764" s="137"/>
      <c r="AW1764" s="137"/>
      <c r="AX1764" s="137"/>
      <c r="AY1764" s="137"/>
      <c r="AZ1764" s="137"/>
      <c r="BA1764" s="137"/>
      <c r="BB1764" s="239"/>
      <c r="BC1764" s="239"/>
      <c r="BD1764" s="239"/>
    </row>
    <row r="1765" spans="1:56" ht="25.5" x14ac:dyDescent="0.25">
      <c r="A1765" s="262" t="s">
        <v>432</v>
      </c>
      <c r="B1765" s="252" t="s">
        <v>742</v>
      </c>
      <c r="C1765" s="167" t="s">
        <v>432</v>
      </c>
      <c r="D1765" s="325" t="s">
        <v>302</v>
      </c>
      <c r="E1765" s="1496" t="s">
        <v>432</v>
      </c>
      <c r="F1765" s="165" t="s">
        <v>303</v>
      </c>
      <c r="G1765" s="167" t="s">
        <v>3879</v>
      </c>
      <c r="H1765" s="167" t="s">
        <v>432</v>
      </c>
      <c r="I1765" s="167" t="s">
        <v>432</v>
      </c>
      <c r="J1765" s="107" t="s">
        <v>432</v>
      </c>
      <c r="K1765" s="107" t="s">
        <v>432</v>
      </c>
      <c r="L1765" s="107" t="s">
        <v>432</v>
      </c>
      <c r="M1765" s="107" t="s">
        <v>432</v>
      </c>
      <c r="N1765" s="107" t="s">
        <v>432</v>
      </c>
      <c r="O1765" s="107" t="s">
        <v>432</v>
      </c>
      <c r="P1765" s="107" t="s">
        <v>432</v>
      </c>
      <c r="Q1765" s="107" t="s">
        <v>432</v>
      </c>
      <c r="R1765" s="107" t="s">
        <v>432</v>
      </c>
      <c r="S1765" s="109" t="s">
        <v>2209</v>
      </c>
      <c r="T1765" s="107" t="s">
        <v>432</v>
      </c>
      <c r="U1765" s="107" t="s">
        <v>432</v>
      </c>
      <c r="V1765" s="109" t="s">
        <v>2209</v>
      </c>
      <c r="W1765" s="107" t="s">
        <v>432</v>
      </c>
      <c r="X1765" s="107" t="s">
        <v>432</v>
      </c>
      <c r="Y1765" s="107" t="s">
        <v>432</v>
      </c>
      <c r="Z1765" s="107" t="s">
        <v>432</v>
      </c>
      <c r="AA1765" s="107" t="s">
        <v>432</v>
      </c>
      <c r="AB1765" s="107" t="s">
        <v>432</v>
      </c>
      <c r="AC1765" s="107" t="s">
        <v>432</v>
      </c>
      <c r="AD1765" s="107" t="s">
        <v>432</v>
      </c>
      <c r="AE1765" s="107" t="s">
        <v>432</v>
      </c>
      <c r="AF1765" s="107" t="s">
        <v>432</v>
      </c>
      <c r="AG1765" s="107" t="s">
        <v>432</v>
      </c>
      <c r="AH1765" s="107" t="s">
        <v>432</v>
      </c>
      <c r="AI1765" s="107" t="s">
        <v>432</v>
      </c>
      <c r="AJ1765" s="107" t="s">
        <v>432</v>
      </c>
      <c r="AK1765" s="137" t="s">
        <v>432</v>
      </c>
      <c r="AL1765" s="601" t="s">
        <v>432</v>
      </c>
      <c r="AM1765" s="137" t="s">
        <v>432</v>
      </c>
      <c r="AN1765" s="137" t="s">
        <v>432</v>
      </c>
      <c r="AO1765" s="137" t="s">
        <v>432</v>
      </c>
      <c r="AP1765" s="137" t="s">
        <v>432</v>
      </c>
      <c r="AQ1765" s="137" t="s">
        <v>432</v>
      </c>
      <c r="AR1765" s="137" t="s">
        <v>432</v>
      </c>
      <c r="AS1765" s="137" t="s">
        <v>432</v>
      </c>
      <c r="AT1765" s="137" t="s">
        <v>432</v>
      </c>
      <c r="AU1765" s="137" t="s">
        <v>432</v>
      </c>
      <c r="AV1765" s="137" t="s">
        <v>432</v>
      </c>
      <c r="AW1765" s="137" t="s">
        <v>432</v>
      </c>
      <c r="AX1765" s="137" t="s">
        <v>432</v>
      </c>
      <c r="AY1765" s="137" t="s">
        <v>432</v>
      </c>
      <c r="AZ1765" s="137" t="s">
        <v>432</v>
      </c>
      <c r="BA1765" s="137" t="s">
        <v>432</v>
      </c>
      <c r="BB1765" s="239" t="str">
        <f>B1765&amp;C1765</f>
        <v>geralx</v>
      </c>
      <c r="BC1765" s="239" t="str">
        <f>B1765&amp;C1765&amp;H1765</f>
        <v>geralxx</v>
      </c>
      <c r="BD1765" s="239" t="str">
        <f>B1765&amp;H1765</f>
        <v>geralx</v>
      </c>
    </row>
    <row r="1766" spans="1:56" s="3" customFormat="1" ht="34.5" customHeight="1" x14ac:dyDescent="0.25">
      <c r="A1766" s="262" t="s">
        <v>432</v>
      </c>
      <c r="B1766" s="252" t="s">
        <v>742</v>
      </c>
      <c r="C1766" s="167" t="s">
        <v>432</v>
      </c>
      <c r="D1766" s="325" t="s">
        <v>4454</v>
      </c>
      <c r="E1766" s="1445" t="s">
        <v>432</v>
      </c>
      <c r="F1766" s="252" t="s">
        <v>4456</v>
      </c>
      <c r="G1766" s="167" t="s">
        <v>3719</v>
      </c>
      <c r="H1766" s="167" t="s">
        <v>2408</v>
      </c>
      <c r="I1766" s="167" t="s">
        <v>432</v>
      </c>
      <c r="J1766" s="109" t="s">
        <v>432</v>
      </c>
      <c r="K1766" s="109" t="s">
        <v>432</v>
      </c>
      <c r="L1766" s="109" t="s">
        <v>432</v>
      </c>
      <c r="M1766" s="109" t="s">
        <v>432</v>
      </c>
      <c r="N1766" s="109" t="s">
        <v>432</v>
      </c>
      <c r="O1766" s="109" t="s">
        <v>432</v>
      </c>
      <c r="P1766" s="109" t="s">
        <v>432</v>
      </c>
      <c r="Q1766" s="109" t="s">
        <v>432</v>
      </c>
      <c r="R1766" s="109" t="s">
        <v>432</v>
      </c>
      <c r="S1766" s="109" t="s">
        <v>2209</v>
      </c>
      <c r="T1766" s="109" t="s">
        <v>432</v>
      </c>
      <c r="U1766" s="109" t="s">
        <v>432</v>
      </c>
      <c r="V1766" s="109" t="s">
        <v>2209</v>
      </c>
      <c r="W1766" s="109" t="s">
        <v>432</v>
      </c>
      <c r="X1766" s="109" t="s">
        <v>432</v>
      </c>
      <c r="Y1766" s="109" t="s">
        <v>432</v>
      </c>
      <c r="Z1766" s="109" t="s">
        <v>432</v>
      </c>
      <c r="AA1766" s="109" t="s">
        <v>432</v>
      </c>
      <c r="AB1766" s="109" t="s">
        <v>432</v>
      </c>
      <c r="AC1766" s="109" t="s">
        <v>432</v>
      </c>
      <c r="AD1766" s="109" t="s">
        <v>432</v>
      </c>
      <c r="AE1766" s="109" t="s">
        <v>432</v>
      </c>
      <c r="AF1766" s="109" t="s">
        <v>432</v>
      </c>
      <c r="AG1766" s="109" t="s">
        <v>432</v>
      </c>
      <c r="AH1766" s="109" t="s">
        <v>432</v>
      </c>
      <c r="AI1766" s="109" t="s">
        <v>432</v>
      </c>
      <c r="AJ1766" s="109" t="s">
        <v>432</v>
      </c>
      <c r="AK1766" s="109" t="s">
        <v>432</v>
      </c>
      <c r="AL1766" s="656" t="s">
        <v>432</v>
      </c>
      <c r="AM1766" s="137" t="s">
        <v>432</v>
      </c>
      <c r="AN1766" s="137" t="s">
        <v>432</v>
      </c>
      <c r="AO1766" s="137" t="s">
        <v>432</v>
      </c>
      <c r="AP1766" s="137" t="s">
        <v>432</v>
      </c>
      <c r="AQ1766" s="137" t="s">
        <v>432</v>
      </c>
      <c r="AR1766" s="137" t="s">
        <v>432</v>
      </c>
      <c r="AS1766" s="137" t="s">
        <v>432</v>
      </c>
      <c r="AT1766" s="137" t="s">
        <v>432</v>
      </c>
      <c r="AU1766" s="137" t="s">
        <v>432</v>
      </c>
      <c r="AV1766" s="137" t="s">
        <v>432</v>
      </c>
      <c r="AW1766" s="137" t="s">
        <v>432</v>
      </c>
      <c r="AX1766" s="137" t="s">
        <v>432</v>
      </c>
      <c r="AY1766" s="137" t="s">
        <v>432</v>
      </c>
      <c r="AZ1766" s="137" t="s">
        <v>432</v>
      </c>
      <c r="BA1766" s="137" t="s">
        <v>432</v>
      </c>
      <c r="BB1766" s="239" t="str">
        <f>B1766&amp;C1766</f>
        <v>geralx</v>
      </c>
      <c r="BC1766" s="239" t="str">
        <f>B1766&amp;C1766&amp;H1766</f>
        <v>geralxsigla/verbete</v>
      </c>
      <c r="BD1766" s="239" t="str">
        <f>B1766&amp;H1766</f>
        <v>geralsigla/verbete</v>
      </c>
    </row>
    <row r="1767" spans="1:56" s="3" customFormat="1" ht="235.5" customHeight="1" x14ac:dyDescent="0.25">
      <c r="A1767" s="262" t="s">
        <v>432</v>
      </c>
      <c r="B1767" s="252" t="s">
        <v>742</v>
      </c>
      <c r="C1767" s="167" t="s">
        <v>432</v>
      </c>
      <c r="D1767" s="325" t="s">
        <v>4455</v>
      </c>
      <c r="E1767" s="1496" t="s">
        <v>432</v>
      </c>
      <c r="F1767" s="53" t="s">
        <v>5139</v>
      </c>
      <c r="G1767" s="57" t="s">
        <v>3507</v>
      </c>
      <c r="H1767" s="167" t="s">
        <v>2408</v>
      </c>
      <c r="I1767" s="167" t="s">
        <v>432</v>
      </c>
      <c r="J1767" s="109" t="s">
        <v>432</v>
      </c>
      <c r="K1767" s="109" t="s">
        <v>432</v>
      </c>
      <c r="L1767" s="109" t="s">
        <v>432</v>
      </c>
      <c r="M1767" s="109" t="s">
        <v>432</v>
      </c>
      <c r="N1767" s="109" t="s">
        <v>432</v>
      </c>
      <c r="O1767" s="109" t="s">
        <v>432</v>
      </c>
      <c r="P1767" s="109" t="s">
        <v>432</v>
      </c>
      <c r="Q1767" s="109" t="s">
        <v>432</v>
      </c>
      <c r="R1767" s="109" t="s">
        <v>432</v>
      </c>
      <c r="S1767" s="109" t="s">
        <v>2209</v>
      </c>
      <c r="T1767" s="109" t="s">
        <v>432</v>
      </c>
      <c r="U1767" s="109" t="s">
        <v>432</v>
      </c>
      <c r="V1767" s="109" t="s">
        <v>2209</v>
      </c>
      <c r="W1767" s="109" t="s">
        <v>432</v>
      </c>
      <c r="X1767" s="109" t="s">
        <v>432</v>
      </c>
      <c r="Y1767" s="109" t="s">
        <v>432</v>
      </c>
      <c r="Z1767" s="109" t="s">
        <v>432</v>
      </c>
      <c r="AA1767" s="109" t="s">
        <v>432</v>
      </c>
      <c r="AB1767" s="109" t="s">
        <v>432</v>
      </c>
      <c r="AC1767" s="109" t="s">
        <v>432</v>
      </c>
      <c r="AD1767" s="109" t="s">
        <v>432</v>
      </c>
      <c r="AE1767" s="109" t="s">
        <v>432</v>
      </c>
      <c r="AF1767" s="109" t="s">
        <v>432</v>
      </c>
      <c r="AG1767" s="109" t="s">
        <v>432</v>
      </c>
      <c r="AH1767" s="109" t="s">
        <v>432</v>
      </c>
      <c r="AI1767" s="109" t="s">
        <v>432</v>
      </c>
      <c r="AJ1767" s="109" t="s">
        <v>432</v>
      </c>
      <c r="AK1767" s="109" t="s">
        <v>432</v>
      </c>
      <c r="AL1767" s="656" t="s">
        <v>432</v>
      </c>
      <c r="AM1767" s="137" t="s">
        <v>432</v>
      </c>
      <c r="AN1767" s="137" t="s">
        <v>432</v>
      </c>
      <c r="AO1767" s="137" t="s">
        <v>432</v>
      </c>
      <c r="AP1767" s="137" t="s">
        <v>432</v>
      </c>
      <c r="AQ1767" s="137" t="s">
        <v>432</v>
      </c>
      <c r="AR1767" s="137" t="s">
        <v>432</v>
      </c>
      <c r="AS1767" s="137" t="s">
        <v>432</v>
      </c>
      <c r="AT1767" s="137" t="s">
        <v>432</v>
      </c>
      <c r="AU1767" s="137" t="s">
        <v>432</v>
      </c>
      <c r="AV1767" s="137" t="s">
        <v>432</v>
      </c>
      <c r="AW1767" s="137" t="s">
        <v>432</v>
      </c>
      <c r="AX1767" s="137" t="s">
        <v>432</v>
      </c>
      <c r="AY1767" s="137" t="s">
        <v>432</v>
      </c>
      <c r="AZ1767" s="137" t="s">
        <v>432</v>
      </c>
      <c r="BA1767" s="137" t="s">
        <v>432</v>
      </c>
      <c r="BB1767" s="239" t="str">
        <f>B1767&amp;C1767</f>
        <v>geralx</v>
      </c>
      <c r="BC1767" s="239" t="str">
        <f>B1767&amp;C1767&amp;H1767</f>
        <v>geralxsigla/verbete</v>
      </c>
      <c r="BD1767" s="239" t="str">
        <f>B1767&amp;H1767</f>
        <v>geralsigla/verbete</v>
      </c>
    </row>
    <row r="1768" spans="1:56" s="3" customFormat="1" ht="177.75" customHeight="1" x14ac:dyDescent="0.25">
      <c r="A1768" s="262" t="s">
        <v>432</v>
      </c>
      <c r="B1768" s="252" t="s">
        <v>742</v>
      </c>
      <c r="C1768" s="167" t="s">
        <v>432</v>
      </c>
      <c r="D1768" s="325" t="s">
        <v>3846</v>
      </c>
      <c r="E1768" s="1496" t="s">
        <v>432</v>
      </c>
      <c r="F1768" s="53" t="s">
        <v>5295</v>
      </c>
      <c r="G1768" s="57" t="s">
        <v>3507</v>
      </c>
      <c r="H1768" s="167" t="s">
        <v>2408</v>
      </c>
      <c r="I1768" s="167" t="s">
        <v>432</v>
      </c>
      <c r="J1768" s="109" t="s">
        <v>432</v>
      </c>
      <c r="K1768" s="109" t="s">
        <v>432</v>
      </c>
      <c r="L1768" s="109" t="s">
        <v>432</v>
      </c>
      <c r="M1768" s="109" t="s">
        <v>432</v>
      </c>
      <c r="N1768" s="109" t="s">
        <v>432</v>
      </c>
      <c r="O1768" s="109" t="s">
        <v>432</v>
      </c>
      <c r="P1768" s="109" t="s">
        <v>432</v>
      </c>
      <c r="Q1768" s="109" t="s">
        <v>432</v>
      </c>
      <c r="R1768" s="109" t="s">
        <v>432</v>
      </c>
      <c r="S1768" s="109" t="s">
        <v>2209</v>
      </c>
      <c r="T1768" s="109" t="s">
        <v>432</v>
      </c>
      <c r="U1768" s="109" t="s">
        <v>432</v>
      </c>
      <c r="V1768" s="109" t="s">
        <v>2209</v>
      </c>
      <c r="W1768" s="109" t="s">
        <v>432</v>
      </c>
      <c r="X1768" s="109" t="s">
        <v>432</v>
      </c>
      <c r="Y1768" s="109" t="s">
        <v>432</v>
      </c>
      <c r="Z1768" s="109" t="s">
        <v>432</v>
      </c>
      <c r="AA1768" s="109" t="s">
        <v>432</v>
      </c>
      <c r="AB1768" s="109" t="s">
        <v>432</v>
      </c>
      <c r="AC1768" s="109" t="s">
        <v>432</v>
      </c>
      <c r="AD1768" s="109" t="s">
        <v>432</v>
      </c>
      <c r="AE1768" s="109" t="s">
        <v>432</v>
      </c>
      <c r="AF1768" s="109" t="s">
        <v>432</v>
      </c>
      <c r="AG1768" s="109" t="s">
        <v>432</v>
      </c>
      <c r="AH1768" s="109" t="s">
        <v>432</v>
      </c>
      <c r="AI1768" s="109" t="s">
        <v>432</v>
      </c>
      <c r="AJ1768" s="109" t="s">
        <v>432</v>
      </c>
      <c r="AK1768" s="109" t="s">
        <v>432</v>
      </c>
      <c r="AL1768" s="656" t="s">
        <v>432</v>
      </c>
      <c r="AM1768" s="137" t="s">
        <v>432</v>
      </c>
      <c r="AN1768" s="137" t="s">
        <v>432</v>
      </c>
      <c r="AO1768" s="137" t="s">
        <v>432</v>
      </c>
      <c r="AP1768" s="137" t="s">
        <v>432</v>
      </c>
      <c r="AQ1768" s="137" t="s">
        <v>432</v>
      </c>
      <c r="AR1768" s="137" t="s">
        <v>432</v>
      </c>
      <c r="AS1768" s="137" t="s">
        <v>432</v>
      </c>
      <c r="AT1768" s="137" t="s">
        <v>432</v>
      </c>
      <c r="AU1768" s="137" t="s">
        <v>432</v>
      </c>
      <c r="AV1768" s="137" t="s">
        <v>432</v>
      </c>
      <c r="AW1768" s="137" t="s">
        <v>432</v>
      </c>
      <c r="AX1768" s="137" t="s">
        <v>432</v>
      </c>
      <c r="AY1768" s="137" t="s">
        <v>432</v>
      </c>
      <c r="AZ1768" s="137" t="s">
        <v>432</v>
      </c>
      <c r="BA1768" s="137" t="s">
        <v>432</v>
      </c>
      <c r="BB1768" s="239" t="str">
        <f>B1768&amp;C1768</f>
        <v>geralx</v>
      </c>
      <c r="BC1768" s="239" t="str">
        <f>B1768&amp;C1768&amp;H1768</f>
        <v>geralxsigla/verbete</v>
      </c>
      <c r="BD1768" s="239" t="str">
        <f>B1768&amp;H1768</f>
        <v>geralsigla/verbete</v>
      </c>
    </row>
    <row r="1769" spans="1:56" s="3" customFormat="1" ht="176.25" customHeight="1" x14ac:dyDescent="0.25">
      <c r="A1769" s="262" t="s">
        <v>432</v>
      </c>
      <c r="B1769" s="252" t="s">
        <v>742</v>
      </c>
      <c r="C1769" s="167" t="s">
        <v>432</v>
      </c>
      <c r="D1769" s="325" t="s">
        <v>3852</v>
      </c>
      <c r="E1769" s="1496" t="s">
        <v>432</v>
      </c>
      <c r="F1769" s="53" t="s">
        <v>4883</v>
      </c>
      <c r="G1769" s="57" t="s">
        <v>3507</v>
      </c>
      <c r="H1769" s="167" t="s">
        <v>2408</v>
      </c>
      <c r="I1769" s="167" t="s">
        <v>432</v>
      </c>
      <c r="J1769" s="109" t="s">
        <v>432</v>
      </c>
      <c r="K1769" s="109" t="s">
        <v>432</v>
      </c>
      <c r="L1769" s="109" t="s">
        <v>432</v>
      </c>
      <c r="M1769" s="109" t="s">
        <v>432</v>
      </c>
      <c r="N1769" s="109" t="s">
        <v>432</v>
      </c>
      <c r="O1769" s="109" t="s">
        <v>432</v>
      </c>
      <c r="P1769" s="109" t="s">
        <v>432</v>
      </c>
      <c r="Q1769" s="109" t="s">
        <v>432</v>
      </c>
      <c r="R1769" s="109" t="s">
        <v>432</v>
      </c>
      <c r="S1769" s="109" t="s">
        <v>2209</v>
      </c>
      <c r="T1769" s="109" t="s">
        <v>432</v>
      </c>
      <c r="U1769" s="109" t="s">
        <v>432</v>
      </c>
      <c r="V1769" s="109" t="s">
        <v>2209</v>
      </c>
      <c r="W1769" s="109" t="s">
        <v>432</v>
      </c>
      <c r="X1769" s="109" t="s">
        <v>432</v>
      </c>
      <c r="Y1769" s="109" t="s">
        <v>432</v>
      </c>
      <c r="Z1769" s="109" t="s">
        <v>432</v>
      </c>
      <c r="AA1769" s="109" t="s">
        <v>432</v>
      </c>
      <c r="AB1769" s="109" t="s">
        <v>432</v>
      </c>
      <c r="AC1769" s="109" t="s">
        <v>432</v>
      </c>
      <c r="AD1769" s="109" t="s">
        <v>432</v>
      </c>
      <c r="AE1769" s="109" t="s">
        <v>432</v>
      </c>
      <c r="AF1769" s="109" t="s">
        <v>432</v>
      </c>
      <c r="AG1769" s="109" t="s">
        <v>432</v>
      </c>
      <c r="AH1769" s="109" t="s">
        <v>432</v>
      </c>
      <c r="AI1769" s="109" t="s">
        <v>432</v>
      </c>
      <c r="AJ1769" s="109" t="s">
        <v>432</v>
      </c>
      <c r="AK1769" s="109" t="s">
        <v>432</v>
      </c>
      <c r="AL1769" s="656" t="s">
        <v>432</v>
      </c>
      <c r="AM1769" s="137" t="s">
        <v>432</v>
      </c>
      <c r="AN1769" s="137" t="s">
        <v>432</v>
      </c>
      <c r="AO1769" s="137" t="s">
        <v>432</v>
      </c>
      <c r="AP1769" s="137" t="s">
        <v>432</v>
      </c>
      <c r="AQ1769" s="137" t="s">
        <v>432</v>
      </c>
      <c r="AR1769" s="137" t="s">
        <v>432</v>
      </c>
      <c r="AS1769" s="137" t="s">
        <v>432</v>
      </c>
      <c r="AT1769" s="137" t="s">
        <v>432</v>
      </c>
      <c r="AU1769" s="137" t="s">
        <v>432</v>
      </c>
      <c r="AV1769" s="137" t="s">
        <v>432</v>
      </c>
      <c r="AW1769" s="137" t="s">
        <v>432</v>
      </c>
      <c r="AX1769" s="137" t="s">
        <v>432</v>
      </c>
      <c r="AY1769" s="137" t="s">
        <v>432</v>
      </c>
      <c r="AZ1769" s="137" t="s">
        <v>432</v>
      </c>
      <c r="BA1769" s="137" t="s">
        <v>432</v>
      </c>
      <c r="BB1769" s="239" t="str">
        <f>B1769&amp;C1769</f>
        <v>geralx</v>
      </c>
      <c r="BC1769" s="239" t="str">
        <f>B1769&amp;C1769&amp;H1769</f>
        <v>geralxsigla/verbete</v>
      </c>
      <c r="BD1769" s="239" t="str">
        <f>B1769&amp;H1769</f>
        <v>geralsigla/verbete</v>
      </c>
    </row>
    <row r="1770" spans="1:56" s="3" customFormat="1" ht="45.75" customHeight="1" x14ac:dyDescent="0.25">
      <c r="A1770" s="262" t="s">
        <v>432</v>
      </c>
      <c r="B1770" s="252" t="s">
        <v>742</v>
      </c>
      <c r="C1770" s="167" t="s">
        <v>432</v>
      </c>
      <c r="D1770" s="325" t="s">
        <v>4879</v>
      </c>
      <c r="E1770" s="1496" t="s">
        <v>432</v>
      </c>
      <c r="F1770" s="53" t="s">
        <v>4880</v>
      </c>
      <c r="G1770" s="57" t="s">
        <v>3507</v>
      </c>
      <c r="H1770" s="167" t="s">
        <v>2408</v>
      </c>
      <c r="I1770" s="167" t="s">
        <v>432</v>
      </c>
      <c r="J1770" s="109" t="s">
        <v>432</v>
      </c>
      <c r="K1770" s="109" t="s">
        <v>432</v>
      </c>
      <c r="L1770" s="109" t="s">
        <v>432</v>
      </c>
      <c r="M1770" s="109" t="s">
        <v>432</v>
      </c>
      <c r="N1770" s="109" t="s">
        <v>432</v>
      </c>
      <c r="O1770" s="109" t="s">
        <v>432</v>
      </c>
      <c r="P1770" s="109" t="s">
        <v>432</v>
      </c>
      <c r="Q1770" s="109" t="s">
        <v>432</v>
      </c>
      <c r="R1770" s="109" t="s">
        <v>432</v>
      </c>
      <c r="S1770" s="109" t="s">
        <v>2209</v>
      </c>
      <c r="T1770" s="109" t="s">
        <v>432</v>
      </c>
      <c r="U1770" s="109" t="s">
        <v>432</v>
      </c>
      <c r="V1770" s="109" t="s">
        <v>2209</v>
      </c>
      <c r="W1770" s="109" t="s">
        <v>432</v>
      </c>
      <c r="X1770" s="109" t="s">
        <v>432</v>
      </c>
      <c r="Y1770" s="109" t="s">
        <v>432</v>
      </c>
      <c r="Z1770" s="109" t="s">
        <v>432</v>
      </c>
      <c r="AA1770" s="109" t="s">
        <v>432</v>
      </c>
      <c r="AB1770" s="109" t="s">
        <v>432</v>
      </c>
      <c r="AC1770" s="109" t="s">
        <v>432</v>
      </c>
      <c r="AD1770" s="109" t="s">
        <v>432</v>
      </c>
      <c r="AE1770" s="109" t="s">
        <v>432</v>
      </c>
      <c r="AF1770" s="109" t="s">
        <v>432</v>
      </c>
      <c r="AG1770" s="109" t="s">
        <v>432</v>
      </c>
      <c r="AH1770" s="109" t="s">
        <v>432</v>
      </c>
      <c r="AI1770" s="109" t="s">
        <v>432</v>
      </c>
      <c r="AJ1770" s="109" t="s">
        <v>432</v>
      </c>
      <c r="AK1770" s="109" t="s">
        <v>432</v>
      </c>
      <c r="AL1770" s="656" t="s">
        <v>432</v>
      </c>
      <c r="AM1770" s="137" t="s">
        <v>432</v>
      </c>
      <c r="AN1770" s="137" t="s">
        <v>432</v>
      </c>
      <c r="AO1770" s="137" t="s">
        <v>432</v>
      </c>
      <c r="AP1770" s="137" t="s">
        <v>432</v>
      </c>
      <c r="AQ1770" s="137" t="s">
        <v>432</v>
      </c>
      <c r="AR1770" s="137" t="s">
        <v>432</v>
      </c>
      <c r="AS1770" s="137" t="s">
        <v>432</v>
      </c>
      <c r="AT1770" s="137" t="s">
        <v>432</v>
      </c>
      <c r="AU1770" s="137" t="s">
        <v>432</v>
      </c>
      <c r="AV1770" s="137" t="s">
        <v>432</v>
      </c>
      <c r="AW1770" s="137" t="s">
        <v>432</v>
      </c>
      <c r="AX1770" s="137" t="s">
        <v>432</v>
      </c>
      <c r="AY1770" s="137" t="s">
        <v>432</v>
      </c>
      <c r="AZ1770" s="137" t="s">
        <v>432</v>
      </c>
      <c r="BA1770" s="137" t="s">
        <v>432</v>
      </c>
      <c r="BB1770" s="239" t="str">
        <f t="shared" ref="BB1770:BB1775" si="533">B1770&amp;C1770</f>
        <v>geralx</v>
      </c>
      <c r="BC1770" s="239" t="str">
        <f t="shared" ref="BC1770:BC1775" si="534">B1770&amp;C1770&amp;H1770</f>
        <v>geralxsigla/verbete</v>
      </c>
      <c r="BD1770" s="239" t="str">
        <f t="shared" ref="BD1770:BD1775" si="535">B1770&amp;H1770</f>
        <v>geralsigla/verbete</v>
      </c>
    </row>
    <row r="1771" spans="1:56" s="3" customFormat="1" ht="42" customHeight="1" x14ac:dyDescent="0.25">
      <c r="A1771" s="262" t="s">
        <v>432</v>
      </c>
      <c r="B1771" s="252" t="s">
        <v>742</v>
      </c>
      <c r="C1771" s="167" t="s">
        <v>432</v>
      </c>
      <c r="D1771" s="325" t="s">
        <v>4847</v>
      </c>
      <c r="E1771" s="1496" t="s">
        <v>432</v>
      </c>
      <c r="F1771" s="53" t="s">
        <v>4838</v>
      </c>
      <c r="G1771" s="57" t="s">
        <v>3507</v>
      </c>
      <c r="H1771" s="167" t="s">
        <v>2408</v>
      </c>
      <c r="I1771" s="167" t="s">
        <v>432</v>
      </c>
      <c r="J1771" s="109" t="s">
        <v>432</v>
      </c>
      <c r="K1771" s="109" t="s">
        <v>432</v>
      </c>
      <c r="L1771" s="109" t="s">
        <v>432</v>
      </c>
      <c r="M1771" s="109" t="s">
        <v>432</v>
      </c>
      <c r="N1771" s="109" t="s">
        <v>432</v>
      </c>
      <c r="O1771" s="109" t="s">
        <v>432</v>
      </c>
      <c r="P1771" s="109" t="s">
        <v>432</v>
      </c>
      <c r="Q1771" s="109" t="s">
        <v>432</v>
      </c>
      <c r="R1771" s="109" t="s">
        <v>432</v>
      </c>
      <c r="S1771" s="109" t="s">
        <v>2209</v>
      </c>
      <c r="T1771" s="109" t="s">
        <v>432</v>
      </c>
      <c r="U1771" s="109" t="s">
        <v>432</v>
      </c>
      <c r="V1771" s="109" t="s">
        <v>2209</v>
      </c>
      <c r="W1771" s="109" t="s">
        <v>432</v>
      </c>
      <c r="X1771" s="109" t="s">
        <v>432</v>
      </c>
      <c r="Y1771" s="109" t="s">
        <v>432</v>
      </c>
      <c r="Z1771" s="109" t="s">
        <v>432</v>
      </c>
      <c r="AA1771" s="109" t="s">
        <v>432</v>
      </c>
      <c r="AB1771" s="109" t="s">
        <v>432</v>
      </c>
      <c r="AC1771" s="109" t="s">
        <v>432</v>
      </c>
      <c r="AD1771" s="109" t="s">
        <v>432</v>
      </c>
      <c r="AE1771" s="109" t="s">
        <v>432</v>
      </c>
      <c r="AF1771" s="109" t="s">
        <v>432</v>
      </c>
      <c r="AG1771" s="109" t="s">
        <v>432</v>
      </c>
      <c r="AH1771" s="109" t="s">
        <v>432</v>
      </c>
      <c r="AI1771" s="109" t="s">
        <v>432</v>
      </c>
      <c r="AJ1771" s="109" t="s">
        <v>432</v>
      </c>
      <c r="AK1771" s="109" t="s">
        <v>432</v>
      </c>
      <c r="AL1771" s="656" t="s">
        <v>432</v>
      </c>
      <c r="AM1771" s="137" t="s">
        <v>432</v>
      </c>
      <c r="AN1771" s="137" t="s">
        <v>432</v>
      </c>
      <c r="AO1771" s="137" t="s">
        <v>432</v>
      </c>
      <c r="AP1771" s="137" t="s">
        <v>432</v>
      </c>
      <c r="AQ1771" s="137" t="s">
        <v>432</v>
      </c>
      <c r="AR1771" s="137" t="s">
        <v>432</v>
      </c>
      <c r="AS1771" s="137" t="s">
        <v>432</v>
      </c>
      <c r="AT1771" s="137" t="s">
        <v>432</v>
      </c>
      <c r="AU1771" s="137" t="s">
        <v>432</v>
      </c>
      <c r="AV1771" s="137" t="s">
        <v>432</v>
      </c>
      <c r="AW1771" s="137" t="s">
        <v>432</v>
      </c>
      <c r="AX1771" s="137" t="s">
        <v>432</v>
      </c>
      <c r="AY1771" s="137" t="s">
        <v>432</v>
      </c>
      <c r="AZ1771" s="137" t="s">
        <v>432</v>
      </c>
      <c r="BA1771" s="137" t="s">
        <v>432</v>
      </c>
      <c r="BB1771" s="239" t="str">
        <f t="shared" si="533"/>
        <v>geralx</v>
      </c>
      <c r="BC1771" s="239" t="str">
        <f t="shared" si="534"/>
        <v>geralxsigla/verbete</v>
      </c>
      <c r="BD1771" s="239" t="str">
        <f t="shared" si="535"/>
        <v>geralsigla/verbete</v>
      </c>
    </row>
    <row r="1772" spans="1:56" s="3" customFormat="1" ht="51" x14ac:dyDescent="0.25">
      <c r="A1772" s="262" t="s">
        <v>432</v>
      </c>
      <c r="B1772" s="252" t="s">
        <v>742</v>
      </c>
      <c r="C1772" s="167" t="s">
        <v>432</v>
      </c>
      <c r="D1772" s="325" t="s">
        <v>4870</v>
      </c>
      <c r="E1772" s="1496" t="s">
        <v>432</v>
      </c>
      <c r="F1772" s="53" t="s">
        <v>4871</v>
      </c>
      <c r="G1772" s="57" t="s">
        <v>3507</v>
      </c>
      <c r="H1772" s="167" t="s">
        <v>2408</v>
      </c>
      <c r="I1772" s="167" t="s">
        <v>432</v>
      </c>
      <c r="J1772" s="109" t="s">
        <v>432</v>
      </c>
      <c r="K1772" s="109" t="s">
        <v>432</v>
      </c>
      <c r="L1772" s="109" t="s">
        <v>432</v>
      </c>
      <c r="M1772" s="109" t="s">
        <v>432</v>
      </c>
      <c r="N1772" s="109" t="s">
        <v>432</v>
      </c>
      <c r="O1772" s="109" t="s">
        <v>432</v>
      </c>
      <c r="P1772" s="109" t="s">
        <v>432</v>
      </c>
      <c r="Q1772" s="109" t="s">
        <v>432</v>
      </c>
      <c r="R1772" s="109" t="s">
        <v>432</v>
      </c>
      <c r="S1772" s="109" t="s">
        <v>2209</v>
      </c>
      <c r="T1772" s="109" t="s">
        <v>432</v>
      </c>
      <c r="U1772" s="109" t="s">
        <v>432</v>
      </c>
      <c r="V1772" s="109" t="s">
        <v>2209</v>
      </c>
      <c r="W1772" s="109" t="s">
        <v>432</v>
      </c>
      <c r="X1772" s="109" t="s">
        <v>432</v>
      </c>
      <c r="Y1772" s="109" t="s">
        <v>432</v>
      </c>
      <c r="Z1772" s="109" t="s">
        <v>432</v>
      </c>
      <c r="AA1772" s="109" t="s">
        <v>432</v>
      </c>
      <c r="AB1772" s="109" t="s">
        <v>432</v>
      </c>
      <c r="AC1772" s="109" t="s">
        <v>432</v>
      </c>
      <c r="AD1772" s="109" t="s">
        <v>432</v>
      </c>
      <c r="AE1772" s="109" t="s">
        <v>432</v>
      </c>
      <c r="AF1772" s="109" t="s">
        <v>432</v>
      </c>
      <c r="AG1772" s="109" t="s">
        <v>432</v>
      </c>
      <c r="AH1772" s="109" t="s">
        <v>432</v>
      </c>
      <c r="AI1772" s="109" t="s">
        <v>432</v>
      </c>
      <c r="AJ1772" s="109" t="s">
        <v>432</v>
      </c>
      <c r="AK1772" s="109" t="s">
        <v>432</v>
      </c>
      <c r="AL1772" s="656" t="s">
        <v>432</v>
      </c>
      <c r="AM1772" s="137" t="s">
        <v>432</v>
      </c>
      <c r="AN1772" s="137" t="s">
        <v>432</v>
      </c>
      <c r="AO1772" s="137" t="s">
        <v>432</v>
      </c>
      <c r="AP1772" s="137" t="s">
        <v>432</v>
      </c>
      <c r="AQ1772" s="137" t="s">
        <v>432</v>
      </c>
      <c r="AR1772" s="137" t="s">
        <v>432</v>
      </c>
      <c r="AS1772" s="137" t="s">
        <v>432</v>
      </c>
      <c r="AT1772" s="137" t="s">
        <v>432</v>
      </c>
      <c r="AU1772" s="137" t="s">
        <v>432</v>
      </c>
      <c r="AV1772" s="137" t="s">
        <v>432</v>
      </c>
      <c r="AW1772" s="137" t="s">
        <v>432</v>
      </c>
      <c r="AX1772" s="137" t="s">
        <v>432</v>
      </c>
      <c r="AY1772" s="137" t="s">
        <v>432</v>
      </c>
      <c r="AZ1772" s="137" t="s">
        <v>432</v>
      </c>
      <c r="BA1772" s="137" t="s">
        <v>432</v>
      </c>
      <c r="BB1772" s="239" t="str">
        <f t="shared" si="533"/>
        <v>geralx</v>
      </c>
      <c r="BC1772" s="239" t="str">
        <f t="shared" si="534"/>
        <v>geralxsigla/verbete</v>
      </c>
      <c r="BD1772" s="239" t="str">
        <f t="shared" si="535"/>
        <v>geralsigla/verbete</v>
      </c>
    </row>
    <row r="1773" spans="1:56" s="3" customFormat="1" ht="38.25" x14ac:dyDescent="0.25">
      <c r="A1773" s="262" t="s">
        <v>432</v>
      </c>
      <c r="B1773" s="252" t="s">
        <v>742</v>
      </c>
      <c r="C1773" s="167" t="s">
        <v>432</v>
      </c>
      <c r="D1773" s="325" t="s">
        <v>4848</v>
      </c>
      <c r="E1773" s="1496" t="s">
        <v>432</v>
      </c>
      <c r="F1773" s="53" t="s">
        <v>4853</v>
      </c>
      <c r="G1773" s="57" t="s">
        <v>3507</v>
      </c>
      <c r="H1773" s="167" t="s">
        <v>2408</v>
      </c>
      <c r="I1773" s="167" t="s">
        <v>432</v>
      </c>
      <c r="J1773" s="109" t="s">
        <v>432</v>
      </c>
      <c r="K1773" s="109" t="s">
        <v>432</v>
      </c>
      <c r="L1773" s="109" t="s">
        <v>432</v>
      </c>
      <c r="M1773" s="109" t="s">
        <v>432</v>
      </c>
      <c r="N1773" s="109" t="s">
        <v>432</v>
      </c>
      <c r="O1773" s="109" t="s">
        <v>432</v>
      </c>
      <c r="P1773" s="109" t="s">
        <v>432</v>
      </c>
      <c r="Q1773" s="109" t="s">
        <v>432</v>
      </c>
      <c r="R1773" s="109" t="s">
        <v>432</v>
      </c>
      <c r="S1773" s="109" t="s">
        <v>2209</v>
      </c>
      <c r="T1773" s="109" t="s">
        <v>432</v>
      </c>
      <c r="U1773" s="109" t="s">
        <v>432</v>
      </c>
      <c r="V1773" s="109" t="s">
        <v>2209</v>
      </c>
      <c r="W1773" s="109" t="s">
        <v>432</v>
      </c>
      <c r="X1773" s="109" t="s">
        <v>432</v>
      </c>
      <c r="Y1773" s="109" t="s">
        <v>432</v>
      </c>
      <c r="Z1773" s="109" t="s">
        <v>432</v>
      </c>
      <c r="AA1773" s="109" t="s">
        <v>432</v>
      </c>
      <c r="AB1773" s="109" t="s">
        <v>432</v>
      </c>
      <c r="AC1773" s="109" t="s">
        <v>432</v>
      </c>
      <c r="AD1773" s="109" t="s">
        <v>432</v>
      </c>
      <c r="AE1773" s="109" t="s">
        <v>432</v>
      </c>
      <c r="AF1773" s="109" t="s">
        <v>432</v>
      </c>
      <c r="AG1773" s="109" t="s">
        <v>432</v>
      </c>
      <c r="AH1773" s="109" t="s">
        <v>432</v>
      </c>
      <c r="AI1773" s="109" t="s">
        <v>432</v>
      </c>
      <c r="AJ1773" s="109" t="s">
        <v>432</v>
      </c>
      <c r="AK1773" s="109" t="s">
        <v>432</v>
      </c>
      <c r="AL1773" s="656" t="s">
        <v>432</v>
      </c>
      <c r="AM1773" s="137" t="s">
        <v>432</v>
      </c>
      <c r="AN1773" s="137" t="s">
        <v>432</v>
      </c>
      <c r="AO1773" s="137" t="s">
        <v>432</v>
      </c>
      <c r="AP1773" s="137" t="s">
        <v>432</v>
      </c>
      <c r="AQ1773" s="137" t="s">
        <v>432</v>
      </c>
      <c r="AR1773" s="137" t="s">
        <v>432</v>
      </c>
      <c r="AS1773" s="137" t="s">
        <v>432</v>
      </c>
      <c r="AT1773" s="137" t="s">
        <v>432</v>
      </c>
      <c r="AU1773" s="137" t="s">
        <v>432</v>
      </c>
      <c r="AV1773" s="137" t="s">
        <v>432</v>
      </c>
      <c r="AW1773" s="137" t="s">
        <v>432</v>
      </c>
      <c r="AX1773" s="137" t="s">
        <v>432</v>
      </c>
      <c r="AY1773" s="137" t="s">
        <v>432</v>
      </c>
      <c r="AZ1773" s="137" t="s">
        <v>432</v>
      </c>
      <c r="BA1773" s="137" t="s">
        <v>432</v>
      </c>
      <c r="BB1773" s="239" t="str">
        <f t="shared" si="533"/>
        <v>geralx</v>
      </c>
      <c r="BC1773" s="239" t="str">
        <f t="shared" si="534"/>
        <v>geralxsigla/verbete</v>
      </c>
      <c r="BD1773" s="239" t="str">
        <f t="shared" si="535"/>
        <v>geralsigla/verbete</v>
      </c>
    </row>
    <row r="1774" spans="1:56" s="3" customFormat="1" ht="38.25" x14ac:dyDescent="0.25">
      <c r="A1774" s="262" t="s">
        <v>432</v>
      </c>
      <c r="B1774" s="252" t="s">
        <v>742</v>
      </c>
      <c r="C1774" s="167" t="s">
        <v>432</v>
      </c>
      <c r="D1774" s="325" t="s">
        <v>4849</v>
      </c>
      <c r="E1774" s="1496" t="s">
        <v>432</v>
      </c>
      <c r="F1774" s="53" t="s">
        <v>4839</v>
      </c>
      <c r="G1774" s="57" t="s">
        <v>3507</v>
      </c>
      <c r="H1774" s="167" t="s">
        <v>2408</v>
      </c>
      <c r="I1774" s="167" t="s">
        <v>432</v>
      </c>
      <c r="J1774" s="109" t="s">
        <v>432</v>
      </c>
      <c r="K1774" s="109" t="s">
        <v>432</v>
      </c>
      <c r="L1774" s="109" t="s">
        <v>432</v>
      </c>
      <c r="M1774" s="109" t="s">
        <v>432</v>
      </c>
      <c r="N1774" s="109" t="s">
        <v>432</v>
      </c>
      <c r="O1774" s="109" t="s">
        <v>432</v>
      </c>
      <c r="P1774" s="109" t="s">
        <v>432</v>
      </c>
      <c r="Q1774" s="109" t="s">
        <v>432</v>
      </c>
      <c r="R1774" s="109" t="s">
        <v>432</v>
      </c>
      <c r="S1774" s="109" t="s">
        <v>2209</v>
      </c>
      <c r="T1774" s="109" t="s">
        <v>432</v>
      </c>
      <c r="U1774" s="109" t="s">
        <v>432</v>
      </c>
      <c r="V1774" s="109" t="s">
        <v>2209</v>
      </c>
      <c r="W1774" s="109" t="s">
        <v>432</v>
      </c>
      <c r="X1774" s="109" t="s">
        <v>432</v>
      </c>
      <c r="Y1774" s="109" t="s">
        <v>432</v>
      </c>
      <c r="Z1774" s="109" t="s">
        <v>432</v>
      </c>
      <c r="AA1774" s="109" t="s">
        <v>432</v>
      </c>
      <c r="AB1774" s="109" t="s">
        <v>432</v>
      </c>
      <c r="AC1774" s="109" t="s">
        <v>432</v>
      </c>
      <c r="AD1774" s="109" t="s">
        <v>432</v>
      </c>
      <c r="AE1774" s="109" t="s">
        <v>432</v>
      </c>
      <c r="AF1774" s="109" t="s">
        <v>432</v>
      </c>
      <c r="AG1774" s="109" t="s">
        <v>432</v>
      </c>
      <c r="AH1774" s="109" t="s">
        <v>432</v>
      </c>
      <c r="AI1774" s="109" t="s">
        <v>432</v>
      </c>
      <c r="AJ1774" s="109" t="s">
        <v>432</v>
      </c>
      <c r="AK1774" s="109" t="s">
        <v>432</v>
      </c>
      <c r="AL1774" s="656" t="s">
        <v>432</v>
      </c>
      <c r="AM1774" s="137" t="s">
        <v>432</v>
      </c>
      <c r="AN1774" s="137" t="s">
        <v>432</v>
      </c>
      <c r="AO1774" s="137" t="s">
        <v>432</v>
      </c>
      <c r="AP1774" s="137" t="s">
        <v>432</v>
      </c>
      <c r="AQ1774" s="137" t="s">
        <v>432</v>
      </c>
      <c r="AR1774" s="137" t="s">
        <v>432</v>
      </c>
      <c r="AS1774" s="137" t="s">
        <v>432</v>
      </c>
      <c r="AT1774" s="137" t="s">
        <v>432</v>
      </c>
      <c r="AU1774" s="137" t="s">
        <v>432</v>
      </c>
      <c r="AV1774" s="137" t="s">
        <v>432</v>
      </c>
      <c r="AW1774" s="137" t="s">
        <v>432</v>
      </c>
      <c r="AX1774" s="137" t="s">
        <v>432</v>
      </c>
      <c r="AY1774" s="137" t="s">
        <v>432</v>
      </c>
      <c r="AZ1774" s="137" t="s">
        <v>432</v>
      </c>
      <c r="BA1774" s="137" t="s">
        <v>432</v>
      </c>
      <c r="BB1774" s="239" t="str">
        <f t="shared" si="533"/>
        <v>geralx</v>
      </c>
      <c r="BC1774" s="239" t="str">
        <f t="shared" si="534"/>
        <v>geralxsigla/verbete</v>
      </c>
      <c r="BD1774" s="239" t="str">
        <f t="shared" si="535"/>
        <v>geralsigla/verbete</v>
      </c>
    </row>
    <row r="1775" spans="1:56" s="3" customFormat="1" ht="49.5" customHeight="1" x14ac:dyDescent="0.25">
      <c r="A1775" s="262" t="s">
        <v>432</v>
      </c>
      <c r="B1775" s="252" t="s">
        <v>742</v>
      </c>
      <c r="C1775" s="167" t="s">
        <v>432</v>
      </c>
      <c r="D1775" s="325" t="s">
        <v>4850</v>
      </c>
      <c r="E1775" s="1496" t="s">
        <v>432</v>
      </c>
      <c r="F1775" s="53" t="s">
        <v>4845</v>
      </c>
      <c r="G1775" s="57" t="s">
        <v>3507</v>
      </c>
      <c r="H1775" s="167" t="s">
        <v>2408</v>
      </c>
      <c r="I1775" s="167" t="s">
        <v>432</v>
      </c>
      <c r="J1775" s="109" t="s">
        <v>432</v>
      </c>
      <c r="K1775" s="109" t="s">
        <v>432</v>
      </c>
      <c r="L1775" s="109" t="s">
        <v>432</v>
      </c>
      <c r="M1775" s="109" t="s">
        <v>432</v>
      </c>
      <c r="N1775" s="109" t="s">
        <v>432</v>
      </c>
      <c r="O1775" s="109" t="s">
        <v>432</v>
      </c>
      <c r="P1775" s="109" t="s">
        <v>432</v>
      </c>
      <c r="Q1775" s="109" t="s">
        <v>432</v>
      </c>
      <c r="R1775" s="109" t="s">
        <v>432</v>
      </c>
      <c r="S1775" s="109" t="s">
        <v>2209</v>
      </c>
      <c r="T1775" s="109" t="s">
        <v>432</v>
      </c>
      <c r="U1775" s="109" t="s">
        <v>432</v>
      </c>
      <c r="V1775" s="109" t="s">
        <v>2209</v>
      </c>
      <c r="W1775" s="109" t="s">
        <v>432</v>
      </c>
      <c r="X1775" s="109" t="s">
        <v>432</v>
      </c>
      <c r="Y1775" s="109" t="s">
        <v>432</v>
      </c>
      <c r="Z1775" s="109" t="s">
        <v>432</v>
      </c>
      <c r="AA1775" s="109" t="s">
        <v>432</v>
      </c>
      <c r="AB1775" s="109" t="s">
        <v>432</v>
      </c>
      <c r="AC1775" s="109" t="s">
        <v>432</v>
      </c>
      <c r="AD1775" s="109" t="s">
        <v>432</v>
      </c>
      <c r="AE1775" s="109" t="s">
        <v>432</v>
      </c>
      <c r="AF1775" s="109" t="s">
        <v>432</v>
      </c>
      <c r="AG1775" s="109" t="s">
        <v>432</v>
      </c>
      <c r="AH1775" s="109" t="s">
        <v>432</v>
      </c>
      <c r="AI1775" s="109" t="s">
        <v>432</v>
      </c>
      <c r="AJ1775" s="109" t="s">
        <v>432</v>
      </c>
      <c r="AK1775" s="109" t="s">
        <v>432</v>
      </c>
      <c r="AL1775" s="656" t="s">
        <v>432</v>
      </c>
      <c r="AM1775" s="137" t="s">
        <v>432</v>
      </c>
      <c r="AN1775" s="137" t="s">
        <v>432</v>
      </c>
      <c r="AO1775" s="137" t="s">
        <v>432</v>
      </c>
      <c r="AP1775" s="137" t="s">
        <v>432</v>
      </c>
      <c r="AQ1775" s="137" t="s">
        <v>432</v>
      </c>
      <c r="AR1775" s="137" t="s">
        <v>432</v>
      </c>
      <c r="AS1775" s="137" t="s">
        <v>432</v>
      </c>
      <c r="AT1775" s="137" t="s">
        <v>432</v>
      </c>
      <c r="AU1775" s="137" t="s">
        <v>432</v>
      </c>
      <c r="AV1775" s="137" t="s">
        <v>432</v>
      </c>
      <c r="AW1775" s="137" t="s">
        <v>432</v>
      </c>
      <c r="AX1775" s="137" t="s">
        <v>432</v>
      </c>
      <c r="AY1775" s="137" t="s">
        <v>432</v>
      </c>
      <c r="AZ1775" s="137" t="s">
        <v>432</v>
      </c>
      <c r="BA1775" s="137" t="s">
        <v>432</v>
      </c>
      <c r="BB1775" s="239" t="str">
        <f t="shared" si="533"/>
        <v>geralx</v>
      </c>
      <c r="BC1775" s="239" t="str">
        <f t="shared" si="534"/>
        <v>geralxsigla/verbete</v>
      </c>
      <c r="BD1775" s="239" t="str">
        <f t="shared" si="535"/>
        <v>geralsigla/verbete</v>
      </c>
    </row>
    <row r="1776" spans="1:56" s="3" customFormat="1" ht="115.5" customHeight="1" x14ac:dyDescent="0.25">
      <c r="A1776" s="262" t="str">
        <f>'Q100b-totais'!B44</f>
        <v>5.2</v>
      </c>
      <c r="B1776" s="252" t="str">
        <f>'Q100b-totais'!C44</f>
        <v>Poluição do ar</v>
      </c>
      <c r="C1776" s="167" t="s">
        <v>432</v>
      </c>
      <c r="D1776" s="325" t="s">
        <v>4846</v>
      </c>
      <c r="E1776" s="1496" t="s">
        <v>432</v>
      </c>
      <c r="F1776" s="53" t="s">
        <v>4987</v>
      </c>
      <c r="G1776" s="57" t="s">
        <v>3507</v>
      </c>
      <c r="H1776" s="167" t="s">
        <v>2408</v>
      </c>
      <c r="I1776" s="167" t="s">
        <v>432</v>
      </c>
      <c r="J1776" s="109" t="s">
        <v>432</v>
      </c>
      <c r="K1776" s="109" t="s">
        <v>432</v>
      </c>
      <c r="L1776" s="109" t="s">
        <v>432</v>
      </c>
      <c r="M1776" s="109" t="s">
        <v>432</v>
      </c>
      <c r="N1776" s="109" t="s">
        <v>432</v>
      </c>
      <c r="O1776" s="109" t="s">
        <v>432</v>
      </c>
      <c r="P1776" s="109" t="s">
        <v>432</v>
      </c>
      <c r="Q1776" s="109" t="s">
        <v>432</v>
      </c>
      <c r="R1776" s="109" t="s">
        <v>432</v>
      </c>
      <c r="S1776" s="109" t="s">
        <v>2209</v>
      </c>
      <c r="T1776" s="109" t="s">
        <v>432</v>
      </c>
      <c r="U1776" s="109" t="s">
        <v>432</v>
      </c>
      <c r="V1776" s="109" t="s">
        <v>2209</v>
      </c>
      <c r="W1776" s="109" t="s">
        <v>432</v>
      </c>
      <c r="X1776" s="109" t="s">
        <v>432</v>
      </c>
      <c r="Y1776" s="109" t="s">
        <v>432</v>
      </c>
      <c r="Z1776" s="109" t="s">
        <v>432</v>
      </c>
      <c r="AA1776" s="109" t="s">
        <v>432</v>
      </c>
      <c r="AB1776" s="109" t="s">
        <v>432</v>
      </c>
      <c r="AC1776" s="109" t="s">
        <v>432</v>
      </c>
      <c r="AD1776" s="109" t="s">
        <v>432</v>
      </c>
      <c r="AE1776" s="109" t="s">
        <v>432</v>
      </c>
      <c r="AF1776" s="109" t="s">
        <v>432</v>
      </c>
      <c r="AG1776" s="109" t="s">
        <v>432</v>
      </c>
      <c r="AH1776" s="109" t="s">
        <v>432</v>
      </c>
      <c r="AI1776" s="109" t="s">
        <v>432</v>
      </c>
      <c r="AJ1776" s="109" t="s">
        <v>432</v>
      </c>
      <c r="AK1776" s="109" t="s">
        <v>432</v>
      </c>
      <c r="AL1776" s="656" t="s">
        <v>432</v>
      </c>
      <c r="AM1776" s="137" t="s">
        <v>432</v>
      </c>
      <c r="AN1776" s="137" t="s">
        <v>432</v>
      </c>
      <c r="AO1776" s="137" t="s">
        <v>432</v>
      </c>
      <c r="AP1776" s="137" t="s">
        <v>432</v>
      </c>
      <c r="AQ1776" s="137" t="s">
        <v>432</v>
      </c>
      <c r="AR1776" s="137" t="s">
        <v>432</v>
      </c>
      <c r="AS1776" s="137" t="s">
        <v>432</v>
      </c>
      <c r="AT1776" s="137" t="s">
        <v>432</v>
      </c>
      <c r="AU1776" s="137" t="s">
        <v>432</v>
      </c>
      <c r="AV1776" s="137" t="s">
        <v>432</v>
      </c>
      <c r="AW1776" s="137" t="s">
        <v>432</v>
      </c>
      <c r="AX1776" s="137" t="s">
        <v>432</v>
      </c>
      <c r="AY1776" s="137" t="s">
        <v>432</v>
      </c>
      <c r="AZ1776" s="137" t="s">
        <v>432</v>
      </c>
      <c r="BA1776" s="137" t="s">
        <v>432</v>
      </c>
      <c r="BB1776" s="239" t="str">
        <f t="shared" ref="BB1776:BB1786" si="536">B1776&amp;C1776</f>
        <v>Poluição do arx</v>
      </c>
      <c r="BC1776" s="239" t="str">
        <f t="shared" ref="BC1776:BC1786" si="537">B1776&amp;C1776&amp;H1776</f>
        <v>Poluição do arxsigla/verbete</v>
      </c>
      <c r="BD1776" s="239" t="str">
        <f t="shared" ref="BD1776:BD1786" si="538">B1776&amp;H1776</f>
        <v>Poluição do arsigla/verbete</v>
      </c>
    </row>
    <row r="1777" spans="1:56" s="3" customFormat="1" ht="81" customHeight="1" x14ac:dyDescent="0.25">
      <c r="A1777" s="262" t="s">
        <v>432</v>
      </c>
      <c r="B1777" s="252" t="s">
        <v>742</v>
      </c>
      <c r="C1777" s="167" t="s">
        <v>432</v>
      </c>
      <c r="D1777" s="325" t="s">
        <v>4851</v>
      </c>
      <c r="E1777" s="1496" t="s">
        <v>432</v>
      </c>
      <c r="F1777" s="53" t="s">
        <v>4988</v>
      </c>
      <c r="G1777" s="57" t="s">
        <v>3507</v>
      </c>
      <c r="H1777" s="167" t="s">
        <v>2408</v>
      </c>
      <c r="I1777" s="167" t="s">
        <v>432</v>
      </c>
      <c r="J1777" s="109" t="s">
        <v>432</v>
      </c>
      <c r="K1777" s="109" t="s">
        <v>432</v>
      </c>
      <c r="L1777" s="109" t="s">
        <v>432</v>
      </c>
      <c r="M1777" s="109" t="s">
        <v>432</v>
      </c>
      <c r="N1777" s="109" t="s">
        <v>432</v>
      </c>
      <c r="O1777" s="109" t="s">
        <v>432</v>
      </c>
      <c r="P1777" s="109" t="s">
        <v>432</v>
      </c>
      <c r="Q1777" s="109" t="s">
        <v>432</v>
      </c>
      <c r="R1777" s="109" t="s">
        <v>432</v>
      </c>
      <c r="S1777" s="109" t="s">
        <v>2209</v>
      </c>
      <c r="T1777" s="109" t="s">
        <v>432</v>
      </c>
      <c r="U1777" s="109" t="s">
        <v>432</v>
      </c>
      <c r="V1777" s="109" t="s">
        <v>2209</v>
      </c>
      <c r="W1777" s="109" t="s">
        <v>432</v>
      </c>
      <c r="X1777" s="109" t="s">
        <v>432</v>
      </c>
      <c r="Y1777" s="109" t="s">
        <v>432</v>
      </c>
      <c r="Z1777" s="109" t="s">
        <v>432</v>
      </c>
      <c r="AA1777" s="109" t="s">
        <v>432</v>
      </c>
      <c r="AB1777" s="109" t="s">
        <v>432</v>
      </c>
      <c r="AC1777" s="109" t="s">
        <v>432</v>
      </c>
      <c r="AD1777" s="109" t="s">
        <v>432</v>
      </c>
      <c r="AE1777" s="109" t="s">
        <v>432</v>
      </c>
      <c r="AF1777" s="109" t="s">
        <v>432</v>
      </c>
      <c r="AG1777" s="109" t="s">
        <v>432</v>
      </c>
      <c r="AH1777" s="109" t="s">
        <v>432</v>
      </c>
      <c r="AI1777" s="109" t="s">
        <v>432</v>
      </c>
      <c r="AJ1777" s="109" t="s">
        <v>432</v>
      </c>
      <c r="AK1777" s="109" t="s">
        <v>432</v>
      </c>
      <c r="AL1777" s="656" t="s">
        <v>432</v>
      </c>
      <c r="AM1777" s="137" t="s">
        <v>432</v>
      </c>
      <c r="AN1777" s="137" t="s">
        <v>432</v>
      </c>
      <c r="AO1777" s="137" t="s">
        <v>432</v>
      </c>
      <c r="AP1777" s="137" t="s">
        <v>432</v>
      </c>
      <c r="AQ1777" s="137" t="s">
        <v>432</v>
      </c>
      <c r="AR1777" s="137" t="s">
        <v>432</v>
      </c>
      <c r="AS1777" s="137" t="s">
        <v>432</v>
      </c>
      <c r="AT1777" s="137" t="s">
        <v>432</v>
      </c>
      <c r="AU1777" s="137" t="s">
        <v>432</v>
      </c>
      <c r="AV1777" s="137" t="s">
        <v>432</v>
      </c>
      <c r="AW1777" s="137" t="s">
        <v>432</v>
      </c>
      <c r="AX1777" s="137" t="s">
        <v>432</v>
      </c>
      <c r="AY1777" s="137" t="s">
        <v>432</v>
      </c>
      <c r="AZ1777" s="137" t="s">
        <v>432</v>
      </c>
      <c r="BA1777" s="137" t="s">
        <v>432</v>
      </c>
      <c r="BB1777" s="239" t="str">
        <f t="shared" si="536"/>
        <v>geralx</v>
      </c>
      <c r="BC1777" s="239" t="str">
        <f t="shared" si="537"/>
        <v>geralxsigla/verbete</v>
      </c>
      <c r="BD1777" s="239" t="str">
        <f t="shared" si="538"/>
        <v>geralsigla/verbete</v>
      </c>
    </row>
    <row r="1778" spans="1:56" s="3" customFormat="1" ht="45" customHeight="1" x14ac:dyDescent="0.25">
      <c r="A1778" s="262" t="s">
        <v>432</v>
      </c>
      <c r="B1778" s="252" t="s">
        <v>742</v>
      </c>
      <c r="C1778" s="167" t="s">
        <v>432</v>
      </c>
      <c r="D1778" s="325" t="s">
        <v>4859</v>
      </c>
      <c r="E1778" s="1496" t="s">
        <v>432</v>
      </c>
      <c r="F1778" s="53" t="s">
        <v>4860</v>
      </c>
      <c r="G1778" s="57" t="s">
        <v>3507</v>
      </c>
      <c r="H1778" s="167" t="s">
        <v>2408</v>
      </c>
      <c r="I1778" s="167" t="s">
        <v>432</v>
      </c>
      <c r="J1778" s="109" t="s">
        <v>432</v>
      </c>
      <c r="K1778" s="109" t="s">
        <v>432</v>
      </c>
      <c r="L1778" s="109" t="s">
        <v>432</v>
      </c>
      <c r="M1778" s="109" t="s">
        <v>432</v>
      </c>
      <c r="N1778" s="109" t="s">
        <v>432</v>
      </c>
      <c r="O1778" s="109" t="s">
        <v>432</v>
      </c>
      <c r="P1778" s="109" t="s">
        <v>432</v>
      </c>
      <c r="Q1778" s="109" t="s">
        <v>432</v>
      </c>
      <c r="R1778" s="109" t="s">
        <v>432</v>
      </c>
      <c r="S1778" s="109" t="s">
        <v>2209</v>
      </c>
      <c r="T1778" s="109" t="s">
        <v>432</v>
      </c>
      <c r="U1778" s="109" t="s">
        <v>432</v>
      </c>
      <c r="V1778" s="109" t="s">
        <v>2209</v>
      </c>
      <c r="W1778" s="109" t="s">
        <v>432</v>
      </c>
      <c r="X1778" s="109" t="s">
        <v>432</v>
      </c>
      <c r="Y1778" s="109" t="s">
        <v>432</v>
      </c>
      <c r="Z1778" s="109" t="s">
        <v>432</v>
      </c>
      <c r="AA1778" s="109" t="s">
        <v>432</v>
      </c>
      <c r="AB1778" s="109" t="s">
        <v>432</v>
      </c>
      <c r="AC1778" s="109" t="s">
        <v>432</v>
      </c>
      <c r="AD1778" s="109" t="s">
        <v>432</v>
      </c>
      <c r="AE1778" s="109" t="s">
        <v>432</v>
      </c>
      <c r="AF1778" s="109" t="s">
        <v>432</v>
      </c>
      <c r="AG1778" s="109" t="s">
        <v>432</v>
      </c>
      <c r="AH1778" s="109" t="s">
        <v>432</v>
      </c>
      <c r="AI1778" s="109" t="s">
        <v>432</v>
      </c>
      <c r="AJ1778" s="109" t="s">
        <v>432</v>
      </c>
      <c r="AK1778" s="109" t="s">
        <v>432</v>
      </c>
      <c r="AL1778" s="656" t="s">
        <v>432</v>
      </c>
      <c r="AM1778" s="137" t="s">
        <v>432</v>
      </c>
      <c r="AN1778" s="137" t="s">
        <v>432</v>
      </c>
      <c r="AO1778" s="137" t="s">
        <v>432</v>
      </c>
      <c r="AP1778" s="137" t="s">
        <v>432</v>
      </c>
      <c r="AQ1778" s="137" t="s">
        <v>432</v>
      </c>
      <c r="AR1778" s="137" t="s">
        <v>432</v>
      </c>
      <c r="AS1778" s="137" t="s">
        <v>432</v>
      </c>
      <c r="AT1778" s="137" t="s">
        <v>432</v>
      </c>
      <c r="AU1778" s="137" t="s">
        <v>432</v>
      </c>
      <c r="AV1778" s="137" t="s">
        <v>432</v>
      </c>
      <c r="AW1778" s="137" t="s">
        <v>432</v>
      </c>
      <c r="AX1778" s="137" t="s">
        <v>432</v>
      </c>
      <c r="AY1778" s="137" t="s">
        <v>432</v>
      </c>
      <c r="AZ1778" s="137" t="s">
        <v>432</v>
      </c>
      <c r="BA1778" s="137" t="s">
        <v>432</v>
      </c>
      <c r="BB1778" s="239" t="str">
        <f t="shared" si="536"/>
        <v>geralx</v>
      </c>
      <c r="BC1778" s="239" t="str">
        <f t="shared" si="537"/>
        <v>geralxsigla/verbete</v>
      </c>
      <c r="BD1778" s="239" t="str">
        <f t="shared" si="538"/>
        <v>geralsigla/verbete</v>
      </c>
    </row>
    <row r="1779" spans="1:56" s="3" customFormat="1" ht="76.5" x14ac:dyDescent="0.25">
      <c r="A1779" s="262" t="s">
        <v>432</v>
      </c>
      <c r="B1779" s="252" t="s">
        <v>742</v>
      </c>
      <c r="C1779" s="167" t="s">
        <v>432</v>
      </c>
      <c r="D1779" s="325" t="s">
        <v>4837</v>
      </c>
      <c r="E1779" s="1496" t="s">
        <v>432</v>
      </c>
      <c r="F1779" s="53" t="s">
        <v>4881</v>
      </c>
      <c r="G1779" s="57" t="s">
        <v>3507</v>
      </c>
      <c r="H1779" s="167" t="s">
        <v>2408</v>
      </c>
      <c r="I1779" s="167" t="s">
        <v>432</v>
      </c>
      <c r="J1779" s="109" t="s">
        <v>432</v>
      </c>
      <c r="K1779" s="109" t="s">
        <v>432</v>
      </c>
      <c r="L1779" s="109" t="s">
        <v>432</v>
      </c>
      <c r="M1779" s="109" t="s">
        <v>432</v>
      </c>
      <c r="N1779" s="109" t="s">
        <v>432</v>
      </c>
      <c r="O1779" s="109" t="s">
        <v>432</v>
      </c>
      <c r="P1779" s="109" t="s">
        <v>432</v>
      </c>
      <c r="Q1779" s="109" t="s">
        <v>432</v>
      </c>
      <c r="R1779" s="109" t="s">
        <v>432</v>
      </c>
      <c r="S1779" s="109" t="s">
        <v>2209</v>
      </c>
      <c r="T1779" s="109" t="s">
        <v>432</v>
      </c>
      <c r="U1779" s="109" t="s">
        <v>432</v>
      </c>
      <c r="V1779" s="109" t="s">
        <v>2209</v>
      </c>
      <c r="W1779" s="109" t="s">
        <v>432</v>
      </c>
      <c r="X1779" s="109" t="s">
        <v>432</v>
      </c>
      <c r="Y1779" s="109" t="s">
        <v>432</v>
      </c>
      <c r="Z1779" s="109" t="s">
        <v>432</v>
      </c>
      <c r="AA1779" s="109" t="s">
        <v>432</v>
      </c>
      <c r="AB1779" s="109" t="s">
        <v>432</v>
      </c>
      <c r="AC1779" s="109" t="s">
        <v>432</v>
      </c>
      <c r="AD1779" s="109" t="s">
        <v>432</v>
      </c>
      <c r="AE1779" s="109" t="s">
        <v>432</v>
      </c>
      <c r="AF1779" s="109" t="s">
        <v>432</v>
      </c>
      <c r="AG1779" s="109" t="s">
        <v>432</v>
      </c>
      <c r="AH1779" s="109" t="s">
        <v>432</v>
      </c>
      <c r="AI1779" s="109" t="s">
        <v>432</v>
      </c>
      <c r="AJ1779" s="109" t="s">
        <v>432</v>
      </c>
      <c r="AK1779" s="109" t="s">
        <v>432</v>
      </c>
      <c r="AL1779" s="656" t="s">
        <v>432</v>
      </c>
      <c r="AM1779" s="137" t="s">
        <v>432</v>
      </c>
      <c r="AN1779" s="137" t="s">
        <v>432</v>
      </c>
      <c r="AO1779" s="137" t="s">
        <v>432</v>
      </c>
      <c r="AP1779" s="137" t="s">
        <v>432</v>
      </c>
      <c r="AQ1779" s="137" t="s">
        <v>432</v>
      </c>
      <c r="AR1779" s="137" t="s">
        <v>432</v>
      </c>
      <c r="AS1779" s="137" t="s">
        <v>432</v>
      </c>
      <c r="AT1779" s="137" t="s">
        <v>432</v>
      </c>
      <c r="AU1779" s="137" t="s">
        <v>432</v>
      </c>
      <c r="AV1779" s="137" t="s">
        <v>432</v>
      </c>
      <c r="AW1779" s="137" t="s">
        <v>432</v>
      </c>
      <c r="AX1779" s="137" t="s">
        <v>432</v>
      </c>
      <c r="AY1779" s="137" t="s">
        <v>432</v>
      </c>
      <c r="AZ1779" s="137" t="s">
        <v>432</v>
      </c>
      <c r="BA1779" s="137" t="s">
        <v>432</v>
      </c>
      <c r="BB1779" s="239" t="str">
        <f t="shared" si="536"/>
        <v>geralx</v>
      </c>
      <c r="BC1779" s="239" t="str">
        <f t="shared" si="537"/>
        <v>geralxsigla/verbete</v>
      </c>
      <c r="BD1779" s="239" t="str">
        <f t="shared" si="538"/>
        <v>geralsigla/verbete</v>
      </c>
    </row>
    <row r="1780" spans="1:56" s="3" customFormat="1" ht="126.75" customHeight="1" x14ac:dyDescent="0.25">
      <c r="A1780" s="262" t="s">
        <v>432</v>
      </c>
      <c r="B1780" s="252" t="s">
        <v>742</v>
      </c>
      <c r="C1780" s="167" t="s">
        <v>432</v>
      </c>
      <c r="D1780" s="325" t="s">
        <v>4876</v>
      </c>
      <c r="E1780" s="1496" t="s">
        <v>432</v>
      </c>
      <c r="F1780" s="53" t="s">
        <v>4884</v>
      </c>
      <c r="G1780" s="57" t="s">
        <v>3507</v>
      </c>
      <c r="H1780" s="167" t="s">
        <v>2408</v>
      </c>
      <c r="I1780" s="167" t="s">
        <v>432</v>
      </c>
      <c r="J1780" s="109" t="s">
        <v>432</v>
      </c>
      <c r="K1780" s="109" t="s">
        <v>432</v>
      </c>
      <c r="L1780" s="109" t="s">
        <v>432</v>
      </c>
      <c r="M1780" s="109" t="s">
        <v>432</v>
      </c>
      <c r="N1780" s="109" t="s">
        <v>432</v>
      </c>
      <c r="O1780" s="109" t="s">
        <v>432</v>
      </c>
      <c r="P1780" s="109" t="s">
        <v>432</v>
      </c>
      <c r="Q1780" s="109" t="s">
        <v>432</v>
      </c>
      <c r="R1780" s="109" t="s">
        <v>432</v>
      </c>
      <c r="S1780" s="109" t="s">
        <v>2209</v>
      </c>
      <c r="T1780" s="109" t="s">
        <v>432</v>
      </c>
      <c r="U1780" s="109" t="s">
        <v>432</v>
      </c>
      <c r="V1780" s="109" t="s">
        <v>2209</v>
      </c>
      <c r="W1780" s="109" t="s">
        <v>432</v>
      </c>
      <c r="X1780" s="109" t="s">
        <v>432</v>
      </c>
      <c r="Y1780" s="109" t="s">
        <v>432</v>
      </c>
      <c r="Z1780" s="109" t="s">
        <v>432</v>
      </c>
      <c r="AA1780" s="109" t="s">
        <v>432</v>
      </c>
      <c r="AB1780" s="109" t="s">
        <v>432</v>
      </c>
      <c r="AC1780" s="109" t="s">
        <v>432</v>
      </c>
      <c r="AD1780" s="109" t="s">
        <v>432</v>
      </c>
      <c r="AE1780" s="109" t="s">
        <v>432</v>
      </c>
      <c r="AF1780" s="109" t="s">
        <v>432</v>
      </c>
      <c r="AG1780" s="109" t="s">
        <v>432</v>
      </c>
      <c r="AH1780" s="109" t="s">
        <v>432</v>
      </c>
      <c r="AI1780" s="109" t="s">
        <v>432</v>
      </c>
      <c r="AJ1780" s="109" t="s">
        <v>432</v>
      </c>
      <c r="AK1780" s="109" t="s">
        <v>432</v>
      </c>
      <c r="AL1780" s="656" t="s">
        <v>432</v>
      </c>
      <c r="AM1780" s="137" t="s">
        <v>432</v>
      </c>
      <c r="AN1780" s="137" t="s">
        <v>432</v>
      </c>
      <c r="AO1780" s="137" t="s">
        <v>432</v>
      </c>
      <c r="AP1780" s="137" t="s">
        <v>432</v>
      </c>
      <c r="AQ1780" s="137" t="s">
        <v>432</v>
      </c>
      <c r="AR1780" s="137" t="s">
        <v>432</v>
      </c>
      <c r="AS1780" s="137" t="s">
        <v>432</v>
      </c>
      <c r="AT1780" s="137" t="s">
        <v>432</v>
      </c>
      <c r="AU1780" s="137" t="s">
        <v>432</v>
      </c>
      <c r="AV1780" s="137" t="s">
        <v>432</v>
      </c>
      <c r="AW1780" s="137" t="s">
        <v>432</v>
      </c>
      <c r="AX1780" s="137" t="s">
        <v>432</v>
      </c>
      <c r="AY1780" s="137" t="s">
        <v>432</v>
      </c>
      <c r="AZ1780" s="137" t="s">
        <v>432</v>
      </c>
      <c r="BA1780" s="137" t="s">
        <v>432</v>
      </c>
      <c r="BB1780" s="239" t="str">
        <f t="shared" si="536"/>
        <v>geralx</v>
      </c>
      <c r="BC1780" s="239" t="str">
        <f t="shared" si="537"/>
        <v>geralxsigla/verbete</v>
      </c>
      <c r="BD1780" s="239" t="str">
        <f t="shared" si="538"/>
        <v>geralsigla/verbete</v>
      </c>
    </row>
    <row r="1781" spans="1:56" s="3" customFormat="1" ht="111.75" customHeight="1" x14ac:dyDescent="0.25">
      <c r="A1781" s="262" t="s">
        <v>432</v>
      </c>
      <c r="B1781" s="252" t="s">
        <v>742</v>
      </c>
      <c r="C1781" s="167" t="s">
        <v>432</v>
      </c>
      <c r="D1781" s="325" t="s">
        <v>4877</v>
      </c>
      <c r="E1781" s="1496" t="s">
        <v>432</v>
      </c>
      <c r="F1781" s="53" t="s">
        <v>4885</v>
      </c>
      <c r="G1781" s="57" t="s">
        <v>3507</v>
      </c>
      <c r="H1781" s="167" t="s">
        <v>2408</v>
      </c>
      <c r="I1781" s="167" t="s">
        <v>432</v>
      </c>
      <c r="J1781" s="109" t="s">
        <v>432</v>
      </c>
      <c r="K1781" s="109" t="s">
        <v>432</v>
      </c>
      <c r="L1781" s="109" t="s">
        <v>432</v>
      </c>
      <c r="M1781" s="109" t="s">
        <v>432</v>
      </c>
      <c r="N1781" s="109" t="s">
        <v>432</v>
      </c>
      <c r="O1781" s="109" t="s">
        <v>432</v>
      </c>
      <c r="P1781" s="109" t="s">
        <v>432</v>
      </c>
      <c r="Q1781" s="109" t="s">
        <v>432</v>
      </c>
      <c r="R1781" s="109" t="s">
        <v>432</v>
      </c>
      <c r="S1781" s="109" t="s">
        <v>2209</v>
      </c>
      <c r="T1781" s="109" t="s">
        <v>432</v>
      </c>
      <c r="U1781" s="109" t="s">
        <v>432</v>
      </c>
      <c r="V1781" s="109" t="s">
        <v>2209</v>
      </c>
      <c r="W1781" s="109" t="s">
        <v>432</v>
      </c>
      <c r="X1781" s="109" t="s">
        <v>432</v>
      </c>
      <c r="Y1781" s="109" t="s">
        <v>432</v>
      </c>
      <c r="Z1781" s="109" t="s">
        <v>432</v>
      </c>
      <c r="AA1781" s="109" t="s">
        <v>432</v>
      </c>
      <c r="AB1781" s="109" t="s">
        <v>432</v>
      </c>
      <c r="AC1781" s="109" t="s">
        <v>432</v>
      </c>
      <c r="AD1781" s="109" t="s">
        <v>432</v>
      </c>
      <c r="AE1781" s="109" t="s">
        <v>432</v>
      </c>
      <c r="AF1781" s="109" t="s">
        <v>432</v>
      </c>
      <c r="AG1781" s="109" t="s">
        <v>432</v>
      </c>
      <c r="AH1781" s="109" t="s">
        <v>432</v>
      </c>
      <c r="AI1781" s="109" t="s">
        <v>432</v>
      </c>
      <c r="AJ1781" s="109" t="s">
        <v>432</v>
      </c>
      <c r="AK1781" s="109" t="s">
        <v>432</v>
      </c>
      <c r="AL1781" s="656" t="s">
        <v>432</v>
      </c>
      <c r="AM1781" s="137" t="s">
        <v>432</v>
      </c>
      <c r="AN1781" s="137" t="s">
        <v>432</v>
      </c>
      <c r="AO1781" s="137" t="s">
        <v>432</v>
      </c>
      <c r="AP1781" s="137" t="s">
        <v>432</v>
      </c>
      <c r="AQ1781" s="137" t="s">
        <v>432</v>
      </c>
      <c r="AR1781" s="137" t="s">
        <v>432</v>
      </c>
      <c r="AS1781" s="137" t="s">
        <v>432</v>
      </c>
      <c r="AT1781" s="137" t="s">
        <v>432</v>
      </c>
      <c r="AU1781" s="137" t="s">
        <v>432</v>
      </c>
      <c r="AV1781" s="137" t="s">
        <v>432</v>
      </c>
      <c r="AW1781" s="137" t="s">
        <v>432</v>
      </c>
      <c r="AX1781" s="137" t="s">
        <v>432</v>
      </c>
      <c r="AY1781" s="137" t="s">
        <v>432</v>
      </c>
      <c r="AZ1781" s="137" t="s">
        <v>432</v>
      </c>
      <c r="BA1781" s="137" t="s">
        <v>432</v>
      </c>
      <c r="BB1781" s="239" t="str">
        <f t="shared" si="536"/>
        <v>geralx</v>
      </c>
      <c r="BC1781" s="239" t="str">
        <f t="shared" si="537"/>
        <v>geralxsigla/verbete</v>
      </c>
      <c r="BD1781" s="239" t="str">
        <f t="shared" si="538"/>
        <v>geralsigla/verbete</v>
      </c>
    </row>
    <row r="1782" spans="1:56" s="3" customFormat="1" ht="90.75" customHeight="1" x14ac:dyDescent="0.25">
      <c r="A1782" s="262" t="s">
        <v>432</v>
      </c>
      <c r="B1782" s="252" t="s">
        <v>742</v>
      </c>
      <c r="C1782" s="167" t="s">
        <v>432</v>
      </c>
      <c r="D1782" s="325" t="s">
        <v>4878</v>
      </c>
      <c r="E1782" s="1496" t="s">
        <v>432</v>
      </c>
      <c r="F1782" s="53" t="s">
        <v>4844</v>
      </c>
      <c r="G1782" s="57" t="s">
        <v>3507</v>
      </c>
      <c r="H1782" s="167" t="s">
        <v>2408</v>
      </c>
      <c r="I1782" s="167" t="s">
        <v>432</v>
      </c>
      <c r="J1782" s="109" t="s">
        <v>432</v>
      </c>
      <c r="K1782" s="109" t="s">
        <v>432</v>
      </c>
      <c r="L1782" s="109" t="s">
        <v>432</v>
      </c>
      <c r="M1782" s="109" t="s">
        <v>432</v>
      </c>
      <c r="N1782" s="109" t="s">
        <v>432</v>
      </c>
      <c r="O1782" s="109" t="s">
        <v>432</v>
      </c>
      <c r="P1782" s="109" t="s">
        <v>432</v>
      </c>
      <c r="Q1782" s="109" t="s">
        <v>432</v>
      </c>
      <c r="R1782" s="109" t="s">
        <v>432</v>
      </c>
      <c r="S1782" s="109" t="s">
        <v>2209</v>
      </c>
      <c r="T1782" s="109" t="s">
        <v>432</v>
      </c>
      <c r="U1782" s="109" t="s">
        <v>432</v>
      </c>
      <c r="V1782" s="109" t="s">
        <v>2209</v>
      </c>
      <c r="W1782" s="109" t="s">
        <v>432</v>
      </c>
      <c r="X1782" s="109" t="s">
        <v>432</v>
      </c>
      <c r="Y1782" s="109" t="s">
        <v>432</v>
      </c>
      <c r="Z1782" s="109" t="s">
        <v>432</v>
      </c>
      <c r="AA1782" s="109" t="s">
        <v>432</v>
      </c>
      <c r="AB1782" s="109" t="s">
        <v>432</v>
      </c>
      <c r="AC1782" s="109" t="s">
        <v>432</v>
      </c>
      <c r="AD1782" s="109" t="s">
        <v>432</v>
      </c>
      <c r="AE1782" s="109" t="s">
        <v>432</v>
      </c>
      <c r="AF1782" s="109" t="s">
        <v>432</v>
      </c>
      <c r="AG1782" s="109" t="s">
        <v>432</v>
      </c>
      <c r="AH1782" s="109" t="s">
        <v>432</v>
      </c>
      <c r="AI1782" s="109" t="s">
        <v>432</v>
      </c>
      <c r="AJ1782" s="109" t="s">
        <v>432</v>
      </c>
      <c r="AK1782" s="109" t="s">
        <v>432</v>
      </c>
      <c r="AL1782" s="656" t="s">
        <v>432</v>
      </c>
      <c r="AM1782" s="137" t="s">
        <v>432</v>
      </c>
      <c r="AN1782" s="137" t="s">
        <v>432</v>
      </c>
      <c r="AO1782" s="137" t="s">
        <v>432</v>
      </c>
      <c r="AP1782" s="137" t="s">
        <v>432</v>
      </c>
      <c r="AQ1782" s="137" t="s">
        <v>432</v>
      </c>
      <c r="AR1782" s="137" t="s">
        <v>432</v>
      </c>
      <c r="AS1782" s="137" t="s">
        <v>432</v>
      </c>
      <c r="AT1782" s="137" t="s">
        <v>432</v>
      </c>
      <c r="AU1782" s="137" t="s">
        <v>432</v>
      </c>
      <c r="AV1782" s="137" t="s">
        <v>432</v>
      </c>
      <c r="AW1782" s="137" t="s">
        <v>432</v>
      </c>
      <c r="AX1782" s="137" t="s">
        <v>432</v>
      </c>
      <c r="AY1782" s="137" t="s">
        <v>432</v>
      </c>
      <c r="AZ1782" s="137" t="s">
        <v>432</v>
      </c>
      <c r="BA1782" s="137" t="s">
        <v>432</v>
      </c>
      <c r="BB1782" s="239" t="str">
        <f t="shared" si="536"/>
        <v>geralx</v>
      </c>
      <c r="BC1782" s="239" t="str">
        <f t="shared" si="537"/>
        <v>geralxsigla/verbete</v>
      </c>
      <c r="BD1782" s="239" t="str">
        <f t="shared" si="538"/>
        <v>geralsigla/verbete</v>
      </c>
    </row>
    <row r="1783" spans="1:56" s="1" customFormat="1" ht="32.25" customHeight="1" x14ac:dyDescent="0.25">
      <c r="A1783" s="262" t="s">
        <v>432</v>
      </c>
      <c r="B1783" s="252" t="s">
        <v>742</v>
      </c>
      <c r="C1783" s="167" t="s">
        <v>432</v>
      </c>
      <c r="D1783" s="324" t="s">
        <v>304</v>
      </c>
      <c r="E1783" s="1445" t="s">
        <v>432</v>
      </c>
      <c r="F1783" s="165" t="s">
        <v>889</v>
      </c>
      <c r="G1783" s="167" t="s">
        <v>3879</v>
      </c>
      <c r="H1783" s="167" t="s">
        <v>432</v>
      </c>
      <c r="I1783" s="167" t="s">
        <v>432</v>
      </c>
      <c r="J1783" s="107" t="s">
        <v>432</v>
      </c>
      <c r="K1783" s="107" t="s">
        <v>432</v>
      </c>
      <c r="L1783" s="107" t="s">
        <v>432</v>
      </c>
      <c r="M1783" s="107" t="s">
        <v>432</v>
      </c>
      <c r="N1783" s="107" t="s">
        <v>432</v>
      </c>
      <c r="O1783" s="107" t="s">
        <v>432</v>
      </c>
      <c r="P1783" s="107" t="s">
        <v>432</v>
      </c>
      <c r="Q1783" s="107" t="s">
        <v>432</v>
      </c>
      <c r="R1783" s="107" t="s">
        <v>432</v>
      </c>
      <c r="S1783" s="109" t="s">
        <v>2209</v>
      </c>
      <c r="T1783" s="107" t="s">
        <v>432</v>
      </c>
      <c r="U1783" s="107" t="s">
        <v>432</v>
      </c>
      <c r="V1783" s="109" t="s">
        <v>2209</v>
      </c>
      <c r="W1783" s="107" t="s">
        <v>432</v>
      </c>
      <c r="X1783" s="107" t="s">
        <v>432</v>
      </c>
      <c r="Y1783" s="107" t="s">
        <v>432</v>
      </c>
      <c r="Z1783" s="107" t="s">
        <v>432</v>
      </c>
      <c r="AA1783" s="107" t="s">
        <v>432</v>
      </c>
      <c r="AB1783" s="107" t="s">
        <v>432</v>
      </c>
      <c r="AC1783" s="107" t="s">
        <v>432</v>
      </c>
      <c r="AD1783" s="107" t="s">
        <v>432</v>
      </c>
      <c r="AE1783" s="107" t="s">
        <v>432</v>
      </c>
      <c r="AF1783" s="107" t="s">
        <v>432</v>
      </c>
      <c r="AG1783" s="107" t="s">
        <v>432</v>
      </c>
      <c r="AH1783" s="107" t="s">
        <v>432</v>
      </c>
      <c r="AI1783" s="107" t="s">
        <v>432</v>
      </c>
      <c r="AJ1783" s="107" t="s">
        <v>432</v>
      </c>
      <c r="AK1783" s="137" t="s">
        <v>432</v>
      </c>
      <c r="AL1783" s="601" t="s">
        <v>432</v>
      </c>
      <c r="AM1783" s="137" t="s">
        <v>432</v>
      </c>
      <c r="AN1783" s="137" t="s">
        <v>432</v>
      </c>
      <c r="AO1783" s="137" t="s">
        <v>432</v>
      </c>
      <c r="AP1783" s="137" t="s">
        <v>432</v>
      </c>
      <c r="AQ1783" s="137" t="s">
        <v>432</v>
      </c>
      <c r="AR1783" s="137" t="s">
        <v>432</v>
      </c>
      <c r="AS1783" s="137" t="s">
        <v>432</v>
      </c>
      <c r="AT1783" s="137" t="s">
        <v>432</v>
      </c>
      <c r="AU1783" s="137" t="s">
        <v>432</v>
      </c>
      <c r="AV1783" s="137" t="s">
        <v>432</v>
      </c>
      <c r="AW1783" s="137" t="s">
        <v>432</v>
      </c>
      <c r="AX1783" s="137" t="s">
        <v>432</v>
      </c>
      <c r="AY1783" s="137" t="s">
        <v>432</v>
      </c>
      <c r="AZ1783" s="137" t="s">
        <v>432</v>
      </c>
      <c r="BA1783" s="137" t="s">
        <v>432</v>
      </c>
      <c r="BB1783" s="239" t="str">
        <f t="shared" si="536"/>
        <v>geralx</v>
      </c>
      <c r="BC1783" s="239" t="str">
        <f t="shared" si="537"/>
        <v>geralxx</v>
      </c>
      <c r="BD1783" s="239" t="str">
        <f t="shared" si="538"/>
        <v>geralx</v>
      </c>
    </row>
    <row r="1784" spans="1:56" s="1" customFormat="1" ht="25.5" x14ac:dyDescent="0.25">
      <c r="A1784" s="262" t="s">
        <v>432</v>
      </c>
      <c r="B1784" s="252" t="s">
        <v>742</v>
      </c>
      <c r="C1784" s="167" t="s">
        <v>432</v>
      </c>
      <c r="D1784" s="968" t="s">
        <v>1336</v>
      </c>
      <c r="E1784" s="1496" t="s">
        <v>432</v>
      </c>
      <c r="F1784" s="53" t="s">
        <v>1338</v>
      </c>
      <c r="G1784" s="167" t="s">
        <v>3879</v>
      </c>
      <c r="H1784" s="167" t="s">
        <v>432</v>
      </c>
      <c r="I1784" s="167" t="s">
        <v>432</v>
      </c>
      <c r="J1784" s="107" t="s">
        <v>432</v>
      </c>
      <c r="K1784" s="107" t="s">
        <v>432</v>
      </c>
      <c r="L1784" s="107" t="s">
        <v>432</v>
      </c>
      <c r="M1784" s="107" t="s">
        <v>432</v>
      </c>
      <c r="N1784" s="107" t="s">
        <v>432</v>
      </c>
      <c r="O1784" s="107" t="s">
        <v>432</v>
      </c>
      <c r="P1784" s="107" t="s">
        <v>432</v>
      </c>
      <c r="Q1784" s="107" t="s">
        <v>432</v>
      </c>
      <c r="R1784" s="107" t="s">
        <v>432</v>
      </c>
      <c r="S1784" s="109" t="s">
        <v>2209</v>
      </c>
      <c r="T1784" s="107" t="s">
        <v>432</v>
      </c>
      <c r="U1784" s="107" t="s">
        <v>432</v>
      </c>
      <c r="V1784" s="109" t="s">
        <v>2209</v>
      </c>
      <c r="W1784" s="107" t="s">
        <v>432</v>
      </c>
      <c r="X1784" s="107" t="s">
        <v>432</v>
      </c>
      <c r="Y1784" s="107" t="s">
        <v>432</v>
      </c>
      <c r="Z1784" s="107" t="s">
        <v>432</v>
      </c>
      <c r="AA1784" s="107" t="s">
        <v>432</v>
      </c>
      <c r="AB1784" s="107" t="s">
        <v>432</v>
      </c>
      <c r="AC1784" s="107" t="s">
        <v>432</v>
      </c>
      <c r="AD1784" s="107" t="s">
        <v>432</v>
      </c>
      <c r="AE1784" s="107" t="s">
        <v>432</v>
      </c>
      <c r="AF1784" s="107" t="s">
        <v>432</v>
      </c>
      <c r="AG1784" s="107" t="s">
        <v>432</v>
      </c>
      <c r="AH1784" s="107" t="s">
        <v>432</v>
      </c>
      <c r="AI1784" s="107" t="s">
        <v>432</v>
      </c>
      <c r="AJ1784" s="107" t="s">
        <v>432</v>
      </c>
      <c r="AK1784" s="137" t="s">
        <v>432</v>
      </c>
      <c r="AL1784" s="601" t="s">
        <v>432</v>
      </c>
      <c r="AM1784" s="137" t="s">
        <v>432</v>
      </c>
      <c r="AN1784" s="137" t="s">
        <v>432</v>
      </c>
      <c r="AO1784" s="137" t="s">
        <v>432</v>
      </c>
      <c r="AP1784" s="137" t="s">
        <v>432</v>
      </c>
      <c r="AQ1784" s="137" t="s">
        <v>432</v>
      </c>
      <c r="AR1784" s="137" t="s">
        <v>432</v>
      </c>
      <c r="AS1784" s="137" t="s">
        <v>432</v>
      </c>
      <c r="AT1784" s="137" t="s">
        <v>432</v>
      </c>
      <c r="AU1784" s="137" t="s">
        <v>432</v>
      </c>
      <c r="AV1784" s="137" t="s">
        <v>432</v>
      </c>
      <c r="AW1784" s="137" t="s">
        <v>432</v>
      </c>
      <c r="AX1784" s="137" t="s">
        <v>432</v>
      </c>
      <c r="AY1784" s="137" t="s">
        <v>432</v>
      </c>
      <c r="AZ1784" s="137" t="s">
        <v>432</v>
      </c>
      <c r="BA1784" s="137" t="s">
        <v>432</v>
      </c>
      <c r="BB1784" s="239" t="str">
        <f t="shared" si="536"/>
        <v>geralx</v>
      </c>
      <c r="BC1784" s="239" t="str">
        <f t="shared" si="537"/>
        <v>geralxx</v>
      </c>
      <c r="BD1784" s="239" t="str">
        <f t="shared" si="538"/>
        <v>geralx</v>
      </c>
    </row>
    <row r="1785" spans="1:56" s="1" customFormat="1" ht="25.5" x14ac:dyDescent="0.25">
      <c r="A1785" s="262" t="s">
        <v>432</v>
      </c>
      <c r="B1785" s="252" t="s">
        <v>742</v>
      </c>
      <c r="C1785" s="167" t="s">
        <v>432</v>
      </c>
      <c r="D1785" s="968" t="s">
        <v>1335</v>
      </c>
      <c r="E1785" s="1496" t="s">
        <v>432</v>
      </c>
      <c r="F1785" s="53" t="s">
        <v>1337</v>
      </c>
      <c r="G1785" s="167" t="s">
        <v>3879</v>
      </c>
      <c r="H1785" s="167" t="s">
        <v>432</v>
      </c>
      <c r="I1785" s="167" t="s">
        <v>432</v>
      </c>
      <c r="J1785" s="107" t="s">
        <v>432</v>
      </c>
      <c r="K1785" s="107" t="s">
        <v>432</v>
      </c>
      <c r="L1785" s="107" t="s">
        <v>432</v>
      </c>
      <c r="M1785" s="107" t="s">
        <v>432</v>
      </c>
      <c r="N1785" s="107" t="s">
        <v>432</v>
      </c>
      <c r="O1785" s="107" t="s">
        <v>432</v>
      </c>
      <c r="P1785" s="107" t="s">
        <v>432</v>
      </c>
      <c r="Q1785" s="107" t="s">
        <v>432</v>
      </c>
      <c r="R1785" s="107" t="s">
        <v>432</v>
      </c>
      <c r="S1785" s="109" t="s">
        <v>2209</v>
      </c>
      <c r="T1785" s="107" t="s">
        <v>432</v>
      </c>
      <c r="U1785" s="107" t="s">
        <v>432</v>
      </c>
      <c r="V1785" s="109" t="s">
        <v>2209</v>
      </c>
      <c r="W1785" s="107" t="s">
        <v>432</v>
      </c>
      <c r="X1785" s="107" t="s">
        <v>432</v>
      </c>
      <c r="Y1785" s="107" t="s">
        <v>432</v>
      </c>
      <c r="Z1785" s="107" t="s">
        <v>432</v>
      </c>
      <c r="AA1785" s="107" t="s">
        <v>432</v>
      </c>
      <c r="AB1785" s="107" t="s">
        <v>432</v>
      </c>
      <c r="AC1785" s="107" t="s">
        <v>432</v>
      </c>
      <c r="AD1785" s="107" t="s">
        <v>432</v>
      </c>
      <c r="AE1785" s="107" t="s">
        <v>432</v>
      </c>
      <c r="AF1785" s="107" t="s">
        <v>432</v>
      </c>
      <c r="AG1785" s="107" t="s">
        <v>432</v>
      </c>
      <c r="AH1785" s="107" t="s">
        <v>432</v>
      </c>
      <c r="AI1785" s="107" t="s">
        <v>432</v>
      </c>
      <c r="AJ1785" s="107" t="s">
        <v>432</v>
      </c>
      <c r="AK1785" s="137" t="s">
        <v>432</v>
      </c>
      <c r="AL1785" s="601" t="s">
        <v>432</v>
      </c>
      <c r="AM1785" s="137" t="s">
        <v>432</v>
      </c>
      <c r="AN1785" s="137" t="s">
        <v>432</v>
      </c>
      <c r="AO1785" s="137" t="s">
        <v>432</v>
      </c>
      <c r="AP1785" s="137" t="s">
        <v>432</v>
      </c>
      <c r="AQ1785" s="137" t="s">
        <v>432</v>
      </c>
      <c r="AR1785" s="137" t="s">
        <v>432</v>
      </c>
      <c r="AS1785" s="137" t="s">
        <v>432</v>
      </c>
      <c r="AT1785" s="137" t="s">
        <v>432</v>
      </c>
      <c r="AU1785" s="137" t="s">
        <v>432</v>
      </c>
      <c r="AV1785" s="137" t="s">
        <v>432</v>
      </c>
      <c r="AW1785" s="137" t="s">
        <v>432</v>
      </c>
      <c r="AX1785" s="137" t="s">
        <v>432</v>
      </c>
      <c r="AY1785" s="137" t="s">
        <v>432</v>
      </c>
      <c r="AZ1785" s="137" t="s">
        <v>432</v>
      </c>
      <c r="BA1785" s="137" t="s">
        <v>432</v>
      </c>
      <c r="BB1785" s="239" t="str">
        <f t="shared" si="536"/>
        <v>geralx</v>
      </c>
      <c r="BC1785" s="239" t="str">
        <f t="shared" si="537"/>
        <v>geralxx</v>
      </c>
      <c r="BD1785" s="239" t="str">
        <f t="shared" si="538"/>
        <v>geralx</v>
      </c>
    </row>
    <row r="1786" spans="1:56" s="3" customFormat="1" ht="38.25" x14ac:dyDescent="0.25">
      <c r="A1786" s="262" t="str">
        <f>'Q100b-totais'!B22</f>
        <v>2.7</v>
      </c>
      <c r="B1786" s="252" t="str">
        <f>'Q100b-totais'!C22</f>
        <v>Outras cidades/regiões</v>
      </c>
      <c r="C1786" s="167" t="s">
        <v>743</v>
      </c>
      <c r="D1786" s="325" t="s">
        <v>3040</v>
      </c>
      <c r="E1786" s="1445" t="s">
        <v>3040</v>
      </c>
      <c r="F1786" s="252" t="s">
        <v>4252</v>
      </c>
      <c r="G1786" s="230" t="s">
        <v>3507</v>
      </c>
      <c r="H1786" s="167" t="s">
        <v>2408</v>
      </c>
      <c r="I1786" s="167" t="s">
        <v>432</v>
      </c>
      <c r="J1786" s="107" t="s">
        <v>432</v>
      </c>
      <c r="K1786" s="107" t="s">
        <v>432</v>
      </c>
      <c r="L1786" s="107" t="s">
        <v>432</v>
      </c>
      <c r="M1786" s="107" t="s">
        <v>432</v>
      </c>
      <c r="N1786" s="107" t="s">
        <v>432</v>
      </c>
      <c r="O1786" s="107" t="s">
        <v>432</v>
      </c>
      <c r="P1786" s="107" t="s">
        <v>432</v>
      </c>
      <c r="Q1786" s="107" t="s">
        <v>432</v>
      </c>
      <c r="R1786" s="107" t="s">
        <v>432</v>
      </c>
      <c r="S1786" s="109" t="s">
        <v>2209</v>
      </c>
      <c r="T1786" s="107" t="s">
        <v>432</v>
      </c>
      <c r="U1786" s="107" t="s">
        <v>432</v>
      </c>
      <c r="V1786" s="109" t="s">
        <v>2209</v>
      </c>
      <c r="W1786" s="107" t="s">
        <v>432</v>
      </c>
      <c r="X1786" s="107" t="s">
        <v>432</v>
      </c>
      <c r="Y1786" s="107" t="s">
        <v>432</v>
      </c>
      <c r="Z1786" s="107" t="s">
        <v>432</v>
      </c>
      <c r="AA1786" s="107" t="s">
        <v>432</v>
      </c>
      <c r="AB1786" s="107" t="s">
        <v>432</v>
      </c>
      <c r="AC1786" s="107" t="s">
        <v>432</v>
      </c>
      <c r="AD1786" s="107" t="s">
        <v>432</v>
      </c>
      <c r="AE1786" s="107" t="s">
        <v>432</v>
      </c>
      <c r="AF1786" s="107" t="s">
        <v>432</v>
      </c>
      <c r="AG1786" s="107" t="s">
        <v>432</v>
      </c>
      <c r="AH1786" s="107" t="s">
        <v>432</v>
      </c>
      <c r="AI1786" s="107" t="s">
        <v>432</v>
      </c>
      <c r="AJ1786" s="107" t="s">
        <v>432</v>
      </c>
      <c r="AK1786" s="107" t="s">
        <v>432</v>
      </c>
      <c r="AL1786" s="601" t="s">
        <v>432</v>
      </c>
      <c r="AM1786" s="137" t="s">
        <v>432</v>
      </c>
      <c r="AN1786" s="137" t="s">
        <v>432</v>
      </c>
      <c r="AO1786" s="137" t="s">
        <v>432</v>
      </c>
      <c r="AP1786" s="137" t="s">
        <v>432</v>
      </c>
      <c r="AQ1786" s="137" t="s">
        <v>432</v>
      </c>
      <c r="AR1786" s="137" t="s">
        <v>432</v>
      </c>
      <c r="AS1786" s="137" t="s">
        <v>432</v>
      </c>
      <c r="AT1786" s="137" t="s">
        <v>432</v>
      </c>
      <c r="AU1786" s="137" t="s">
        <v>432</v>
      </c>
      <c r="AV1786" s="137" t="s">
        <v>432</v>
      </c>
      <c r="AW1786" s="137" t="s">
        <v>432</v>
      </c>
      <c r="AX1786" s="137" t="s">
        <v>432</v>
      </c>
      <c r="AY1786" s="137" t="s">
        <v>432</v>
      </c>
      <c r="AZ1786" s="137" t="s">
        <v>432</v>
      </c>
      <c r="BA1786" s="137" t="s">
        <v>432</v>
      </c>
      <c r="BB1786" s="239" t="str">
        <f t="shared" si="536"/>
        <v>Outras cidades/regiõesacessibilidade</v>
      </c>
      <c r="BC1786" s="239" t="str">
        <f t="shared" si="537"/>
        <v>Outras cidades/regiõesacessibilidadesigla/verbete</v>
      </c>
      <c r="BD1786" s="239" t="str">
        <f t="shared" si="538"/>
        <v>Outras cidades/regiõessigla/verbete</v>
      </c>
    </row>
    <row r="1787" spans="1:56" s="1" customFormat="1" x14ac:dyDescent="0.25">
      <c r="A1787" s="398"/>
      <c r="B1787" s="221"/>
      <c r="C1787" s="399"/>
      <c r="D1787" s="987"/>
      <c r="E1787" s="1533"/>
      <c r="F1787" s="405"/>
      <c r="G1787" s="902"/>
      <c r="H1787" s="903"/>
      <c r="I1787" s="902"/>
      <c r="J1787" s="904"/>
      <c r="K1787" s="905"/>
      <c r="L1787" s="905"/>
      <c r="M1787" s="905"/>
      <c r="N1787" s="905"/>
      <c r="O1787" s="905"/>
      <c r="P1787" s="905"/>
      <c r="Q1787" s="905"/>
      <c r="R1787" s="905"/>
      <c r="S1787" s="905"/>
      <c r="T1787" s="905"/>
      <c r="U1787" s="905"/>
      <c r="V1787" s="905"/>
      <c r="W1787" s="905"/>
      <c r="X1787" s="905"/>
      <c r="Y1787" s="905"/>
      <c r="Z1787" s="905"/>
      <c r="AA1787" s="905"/>
      <c r="AB1787" s="905"/>
      <c r="AC1787" s="905"/>
      <c r="AD1787" s="905"/>
      <c r="AE1787" s="905"/>
      <c r="AF1787" s="905"/>
      <c r="AG1787" s="905"/>
      <c r="AH1787" s="905"/>
      <c r="AI1787" s="905"/>
      <c r="AJ1787" s="905"/>
      <c r="AK1787" s="652"/>
      <c r="AL1787" s="652"/>
      <c r="AM1787" s="652"/>
      <c r="AN1787" s="652"/>
      <c r="AO1787" s="652"/>
      <c r="AP1787" s="652"/>
      <c r="AQ1787" s="652"/>
      <c r="AR1787" s="652"/>
      <c r="AS1787" s="652"/>
      <c r="AT1787" s="652"/>
      <c r="AU1787" s="652"/>
      <c r="AV1787" s="652"/>
      <c r="AW1787" s="652"/>
      <c r="AX1787" s="652"/>
      <c r="AY1787" s="652"/>
      <c r="AZ1787" s="652"/>
      <c r="BA1787" s="652"/>
      <c r="BB1787" s="906"/>
      <c r="BC1787" s="906"/>
      <c r="BD1787" s="906"/>
    </row>
    <row r="1788" spans="1:56" s="1" customFormat="1" ht="43.5" customHeight="1" x14ac:dyDescent="0.25">
      <c r="A1788" s="262" t="s">
        <v>432</v>
      </c>
      <c r="B1788" s="252" t="s">
        <v>742</v>
      </c>
      <c r="C1788" s="167" t="s">
        <v>743</v>
      </c>
      <c r="D1788" s="323" t="s">
        <v>839</v>
      </c>
      <c r="E1788" s="1491" t="s">
        <v>432</v>
      </c>
      <c r="F1788" s="24" t="s">
        <v>4325</v>
      </c>
      <c r="G1788" s="57" t="s">
        <v>3507</v>
      </c>
      <c r="H1788" s="167" t="s">
        <v>2408</v>
      </c>
      <c r="I1788" s="167" t="s">
        <v>432</v>
      </c>
      <c r="J1788" s="109" t="s">
        <v>432</v>
      </c>
      <c r="K1788" s="109" t="s">
        <v>432</v>
      </c>
      <c r="L1788" s="109" t="s">
        <v>432</v>
      </c>
      <c r="M1788" s="109" t="s">
        <v>432</v>
      </c>
      <c r="N1788" s="109" t="s">
        <v>432</v>
      </c>
      <c r="O1788" s="109" t="s">
        <v>432</v>
      </c>
      <c r="P1788" s="109" t="s">
        <v>432</v>
      </c>
      <c r="Q1788" s="109" t="s">
        <v>432</v>
      </c>
      <c r="R1788" s="109" t="s">
        <v>432</v>
      </c>
      <c r="S1788" s="109" t="s">
        <v>2209</v>
      </c>
      <c r="T1788" s="109" t="s">
        <v>432</v>
      </c>
      <c r="U1788" s="109" t="s">
        <v>432</v>
      </c>
      <c r="V1788" s="109" t="s">
        <v>2209</v>
      </c>
      <c r="W1788" s="109" t="s">
        <v>432</v>
      </c>
      <c r="X1788" s="109" t="s">
        <v>432</v>
      </c>
      <c r="Y1788" s="109" t="s">
        <v>432</v>
      </c>
      <c r="Z1788" s="109" t="s">
        <v>432</v>
      </c>
      <c r="AA1788" s="109" t="s">
        <v>432</v>
      </c>
      <c r="AB1788" s="109" t="s">
        <v>432</v>
      </c>
      <c r="AC1788" s="109" t="s">
        <v>432</v>
      </c>
      <c r="AD1788" s="109" t="s">
        <v>432</v>
      </c>
      <c r="AE1788" s="109" t="s">
        <v>432</v>
      </c>
      <c r="AF1788" s="109" t="s">
        <v>432</v>
      </c>
      <c r="AG1788" s="109" t="s">
        <v>432</v>
      </c>
      <c r="AH1788" s="109" t="s">
        <v>432</v>
      </c>
      <c r="AI1788" s="109" t="s">
        <v>432</v>
      </c>
      <c r="AJ1788" s="109" t="s">
        <v>432</v>
      </c>
      <c r="AK1788" s="877" t="s">
        <v>432</v>
      </c>
      <c r="AL1788" s="884" t="s">
        <v>432</v>
      </c>
      <c r="AM1788" s="877" t="s">
        <v>432</v>
      </c>
      <c r="AN1788" s="877" t="s">
        <v>432</v>
      </c>
      <c r="AO1788" s="877" t="s">
        <v>432</v>
      </c>
      <c r="AP1788" s="877" t="s">
        <v>432</v>
      </c>
      <c r="AQ1788" s="877" t="s">
        <v>432</v>
      </c>
      <c r="AR1788" s="877" t="s">
        <v>432</v>
      </c>
      <c r="AS1788" s="877" t="s">
        <v>432</v>
      </c>
      <c r="AT1788" s="877" t="s">
        <v>432</v>
      </c>
      <c r="AU1788" s="877" t="s">
        <v>432</v>
      </c>
      <c r="AV1788" s="877" t="s">
        <v>432</v>
      </c>
      <c r="AW1788" s="877" t="s">
        <v>432</v>
      </c>
      <c r="AX1788" s="877" t="s">
        <v>432</v>
      </c>
      <c r="AY1788" s="877" t="s">
        <v>432</v>
      </c>
      <c r="AZ1788" s="877" t="s">
        <v>432</v>
      </c>
      <c r="BA1788" s="877" t="s">
        <v>432</v>
      </c>
      <c r="BB1788" s="879" t="str">
        <f t="shared" ref="BB1788:BB1794" si="539">B1788&amp;C1788</f>
        <v>geralacessibilidade</v>
      </c>
      <c r="BC1788" s="879" t="str">
        <f t="shared" ref="BC1788:BC1794" si="540">B1788&amp;C1788&amp;H1788</f>
        <v>geralacessibilidadesigla/verbete</v>
      </c>
      <c r="BD1788" s="879" t="str">
        <f t="shared" ref="BD1788:BD1794" si="541">B1788&amp;H1788</f>
        <v>geralsigla/verbete</v>
      </c>
    </row>
    <row r="1789" spans="1:56" s="1" customFormat="1" ht="66" customHeight="1" x14ac:dyDescent="0.25">
      <c r="A1789" s="262" t="str">
        <f>'Q100b-totais'!B58</f>
        <v>8.6</v>
      </c>
      <c r="B1789" s="252" t="str">
        <f>'Q100b-totais'!C58</f>
        <v>Transporte escolar</v>
      </c>
      <c r="C1789" s="167" t="s">
        <v>743</v>
      </c>
      <c r="D1789" s="323" t="s">
        <v>5218</v>
      </c>
      <c r="E1789" s="1491" t="s">
        <v>1767</v>
      </c>
      <c r="F1789" s="24" t="s">
        <v>5217</v>
      </c>
      <c r="G1789" s="57" t="s">
        <v>3507</v>
      </c>
      <c r="H1789" s="167" t="s">
        <v>2408</v>
      </c>
      <c r="I1789" s="167" t="s">
        <v>432</v>
      </c>
      <c r="J1789" s="109" t="s">
        <v>432</v>
      </c>
      <c r="K1789" s="109" t="s">
        <v>432</v>
      </c>
      <c r="L1789" s="109" t="s">
        <v>432</v>
      </c>
      <c r="M1789" s="109" t="s">
        <v>432</v>
      </c>
      <c r="N1789" s="109" t="s">
        <v>432</v>
      </c>
      <c r="O1789" s="109" t="s">
        <v>432</v>
      </c>
      <c r="P1789" s="109" t="s">
        <v>432</v>
      </c>
      <c r="Q1789" s="109" t="s">
        <v>432</v>
      </c>
      <c r="R1789" s="109" t="s">
        <v>432</v>
      </c>
      <c r="S1789" s="109" t="s">
        <v>2209</v>
      </c>
      <c r="T1789" s="109" t="s">
        <v>432</v>
      </c>
      <c r="U1789" s="109" t="s">
        <v>432</v>
      </c>
      <c r="V1789" s="109" t="s">
        <v>2209</v>
      </c>
      <c r="W1789" s="109" t="s">
        <v>432</v>
      </c>
      <c r="X1789" s="109" t="s">
        <v>432</v>
      </c>
      <c r="Y1789" s="109" t="s">
        <v>432</v>
      </c>
      <c r="Z1789" s="109" t="s">
        <v>432</v>
      </c>
      <c r="AA1789" s="109" t="s">
        <v>432</v>
      </c>
      <c r="AB1789" s="109" t="s">
        <v>432</v>
      </c>
      <c r="AC1789" s="109" t="s">
        <v>432</v>
      </c>
      <c r="AD1789" s="109" t="s">
        <v>432</v>
      </c>
      <c r="AE1789" s="109" t="s">
        <v>432</v>
      </c>
      <c r="AF1789" s="109" t="s">
        <v>432</v>
      </c>
      <c r="AG1789" s="109" t="s">
        <v>432</v>
      </c>
      <c r="AH1789" s="109" t="s">
        <v>432</v>
      </c>
      <c r="AI1789" s="109" t="s">
        <v>432</v>
      </c>
      <c r="AJ1789" s="109" t="s">
        <v>432</v>
      </c>
      <c r="AK1789" s="877" t="s">
        <v>432</v>
      </c>
      <c r="AL1789" s="884" t="s">
        <v>432</v>
      </c>
      <c r="AM1789" s="877" t="s">
        <v>432</v>
      </c>
      <c r="AN1789" s="877" t="s">
        <v>432</v>
      </c>
      <c r="AO1789" s="877" t="s">
        <v>432</v>
      </c>
      <c r="AP1789" s="877" t="s">
        <v>432</v>
      </c>
      <c r="AQ1789" s="877" t="s">
        <v>432</v>
      </c>
      <c r="AR1789" s="877" t="s">
        <v>432</v>
      </c>
      <c r="AS1789" s="877" t="s">
        <v>432</v>
      </c>
      <c r="AT1789" s="877" t="s">
        <v>432</v>
      </c>
      <c r="AU1789" s="877" t="s">
        <v>432</v>
      </c>
      <c r="AV1789" s="877" t="s">
        <v>432</v>
      </c>
      <c r="AW1789" s="877" t="s">
        <v>432</v>
      </c>
      <c r="AX1789" s="877" t="s">
        <v>432</v>
      </c>
      <c r="AY1789" s="877" t="s">
        <v>432</v>
      </c>
      <c r="AZ1789" s="877" t="s">
        <v>432</v>
      </c>
      <c r="BA1789" s="877" t="s">
        <v>432</v>
      </c>
      <c r="BB1789" s="879" t="str">
        <f t="shared" si="539"/>
        <v>Transporte escolaracessibilidade</v>
      </c>
      <c r="BC1789" s="879" t="str">
        <f t="shared" si="540"/>
        <v>Transporte escolaracessibilidadesigla/verbete</v>
      </c>
      <c r="BD1789" s="879" t="str">
        <f t="shared" si="541"/>
        <v>Transporte escolarsigla/verbete</v>
      </c>
    </row>
    <row r="1790" spans="1:56" s="1" customFormat="1" ht="51" x14ac:dyDescent="0.25">
      <c r="A1790" s="262" t="str">
        <f>'Q100b-totais'!B62</f>
        <v>8.10</v>
      </c>
      <c r="B1790" s="252" t="str">
        <f>'Q100b-totais'!C62</f>
        <v>Sistema de transporte coletivo com um todo</v>
      </c>
      <c r="C1790" s="167" t="s">
        <v>743</v>
      </c>
      <c r="D1790" s="323" t="s">
        <v>6002</v>
      </c>
      <c r="E1790" s="1491" t="s">
        <v>1767</v>
      </c>
      <c r="F1790" s="24" t="s">
        <v>6001</v>
      </c>
      <c r="G1790" s="57" t="s">
        <v>3507</v>
      </c>
      <c r="H1790" s="167" t="s">
        <v>2408</v>
      </c>
      <c r="I1790" s="167" t="s">
        <v>432</v>
      </c>
      <c r="J1790" s="109" t="s">
        <v>432</v>
      </c>
      <c r="K1790" s="109" t="s">
        <v>432</v>
      </c>
      <c r="L1790" s="109" t="s">
        <v>432</v>
      </c>
      <c r="M1790" s="109" t="s">
        <v>432</v>
      </c>
      <c r="N1790" s="109" t="s">
        <v>432</v>
      </c>
      <c r="O1790" s="109" t="s">
        <v>432</v>
      </c>
      <c r="P1790" s="109" t="s">
        <v>432</v>
      </c>
      <c r="Q1790" s="109" t="s">
        <v>432</v>
      </c>
      <c r="R1790" s="109" t="s">
        <v>432</v>
      </c>
      <c r="S1790" s="109" t="s">
        <v>2209</v>
      </c>
      <c r="T1790" s="109" t="s">
        <v>432</v>
      </c>
      <c r="U1790" s="109" t="s">
        <v>432</v>
      </c>
      <c r="V1790" s="109" t="s">
        <v>2209</v>
      </c>
      <c r="W1790" s="109" t="s">
        <v>432</v>
      </c>
      <c r="X1790" s="109" t="s">
        <v>432</v>
      </c>
      <c r="Y1790" s="109" t="s">
        <v>432</v>
      </c>
      <c r="Z1790" s="109" t="s">
        <v>432</v>
      </c>
      <c r="AA1790" s="109" t="s">
        <v>432</v>
      </c>
      <c r="AB1790" s="109" t="s">
        <v>432</v>
      </c>
      <c r="AC1790" s="109" t="s">
        <v>432</v>
      </c>
      <c r="AD1790" s="109" t="s">
        <v>432</v>
      </c>
      <c r="AE1790" s="109" t="s">
        <v>432</v>
      </c>
      <c r="AF1790" s="109" t="s">
        <v>432</v>
      </c>
      <c r="AG1790" s="109" t="s">
        <v>432</v>
      </c>
      <c r="AH1790" s="109" t="s">
        <v>432</v>
      </c>
      <c r="AI1790" s="109" t="s">
        <v>432</v>
      </c>
      <c r="AJ1790" s="109" t="s">
        <v>432</v>
      </c>
      <c r="AK1790" s="877" t="s">
        <v>432</v>
      </c>
      <c r="AL1790" s="884" t="s">
        <v>432</v>
      </c>
      <c r="AM1790" s="877" t="s">
        <v>432</v>
      </c>
      <c r="AN1790" s="877" t="s">
        <v>432</v>
      </c>
      <c r="AO1790" s="877" t="s">
        <v>432</v>
      </c>
      <c r="AP1790" s="877" t="s">
        <v>432</v>
      </c>
      <c r="AQ1790" s="877" t="s">
        <v>432</v>
      </c>
      <c r="AR1790" s="877" t="s">
        <v>432</v>
      </c>
      <c r="AS1790" s="877" t="s">
        <v>432</v>
      </c>
      <c r="AT1790" s="877" t="s">
        <v>432</v>
      </c>
      <c r="AU1790" s="877" t="s">
        <v>432</v>
      </c>
      <c r="AV1790" s="877" t="s">
        <v>432</v>
      </c>
      <c r="AW1790" s="877" t="s">
        <v>432</v>
      </c>
      <c r="AX1790" s="877" t="s">
        <v>432</v>
      </c>
      <c r="AY1790" s="877" t="s">
        <v>432</v>
      </c>
      <c r="AZ1790" s="877" t="s">
        <v>432</v>
      </c>
      <c r="BA1790" s="877" t="s">
        <v>432</v>
      </c>
      <c r="BB1790" s="879" t="str">
        <f t="shared" ref="BB1790" si="542">B1790&amp;C1790</f>
        <v>Sistema de transporte coletivo com um todoacessibilidade</v>
      </c>
      <c r="BC1790" s="879" t="str">
        <f t="shared" ref="BC1790" si="543">B1790&amp;C1790&amp;H1790</f>
        <v>Sistema de transporte coletivo com um todoacessibilidadesigla/verbete</v>
      </c>
      <c r="BD1790" s="879" t="str">
        <f t="shared" ref="BD1790" si="544">B1790&amp;H1790</f>
        <v>Sistema de transporte coletivo com um todosigla/verbete</v>
      </c>
    </row>
    <row r="1791" spans="1:56" s="1" customFormat="1" ht="237" customHeight="1" x14ac:dyDescent="0.25">
      <c r="A1791" s="262" t="s">
        <v>432</v>
      </c>
      <c r="B1791" s="252" t="s">
        <v>742</v>
      </c>
      <c r="C1791" s="167" t="s">
        <v>743</v>
      </c>
      <c r="D1791" s="323" t="s">
        <v>5063</v>
      </c>
      <c r="E1791" s="1491" t="s">
        <v>1767</v>
      </c>
      <c r="F1791" s="24" t="s">
        <v>6186</v>
      </c>
      <c r="G1791" s="57" t="s">
        <v>3507</v>
      </c>
      <c r="H1791" s="167" t="s">
        <v>2408</v>
      </c>
      <c r="I1791" s="167" t="s">
        <v>432</v>
      </c>
      <c r="J1791" s="109" t="s">
        <v>432</v>
      </c>
      <c r="K1791" s="109" t="s">
        <v>432</v>
      </c>
      <c r="L1791" s="109" t="s">
        <v>432</v>
      </c>
      <c r="M1791" s="109" t="s">
        <v>432</v>
      </c>
      <c r="N1791" s="109" t="s">
        <v>432</v>
      </c>
      <c r="O1791" s="109" t="s">
        <v>432</v>
      </c>
      <c r="P1791" s="109" t="s">
        <v>432</v>
      </c>
      <c r="Q1791" s="109" t="s">
        <v>432</v>
      </c>
      <c r="R1791" s="109" t="s">
        <v>432</v>
      </c>
      <c r="S1791" s="109" t="s">
        <v>2209</v>
      </c>
      <c r="T1791" s="109" t="s">
        <v>432</v>
      </c>
      <c r="U1791" s="109" t="s">
        <v>432</v>
      </c>
      <c r="V1791" s="109" t="s">
        <v>2209</v>
      </c>
      <c r="W1791" s="109" t="s">
        <v>432</v>
      </c>
      <c r="X1791" s="109" t="s">
        <v>432</v>
      </c>
      <c r="Y1791" s="109" t="s">
        <v>432</v>
      </c>
      <c r="Z1791" s="109" t="s">
        <v>432</v>
      </c>
      <c r="AA1791" s="109" t="s">
        <v>432</v>
      </c>
      <c r="AB1791" s="109" t="s">
        <v>432</v>
      </c>
      <c r="AC1791" s="109" t="s">
        <v>432</v>
      </c>
      <c r="AD1791" s="109" t="s">
        <v>432</v>
      </c>
      <c r="AE1791" s="109" t="s">
        <v>432</v>
      </c>
      <c r="AF1791" s="109" t="s">
        <v>432</v>
      </c>
      <c r="AG1791" s="109" t="s">
        <v>432</v>
      </c>
      <c r="AH1791" s="109" t="s">
        <v>432</v>
      </c>
      <c r="AI1791" s="109" t="s">
        <v>432</v>
      </c>
      <c r="AJ1791" s="109" t="s">
        <v>432</v>
      </c>
      <c r="AK1791" s="877" t="s">
        <v>432</v>
      </c>
      <c r="AL1791" s="884" t="s">
        <v>432</v>
      </c>
      <c r="AM1791" s="877" t="s">
        <v>432</v>
      </c>
      <c r="AN1791" s="877" t="s">
        <v>432</v>
      </c>
      <c r="AO1791" s="877" t="s">
        <v>432</v>
      </c>
      <c r="AP1791" s="877" t="s">
        <v>432</v>
      </c>
      <c r="AQ1791" s="877" t="s">
        <v>432</v>
      </c>
      <c r="AR1791" s="877" t="s">
        <v>432</v>
      </c>
      <c r="AS1791" s="877" t="s">
        <v>432</v>
      </c>
      <c r="AT1791" s="877" t="s">
        <v>432</v>
      </c>
      <c r="AU1791" s="877" t="s">
        <v>432</v>
      </c>
      <c r="AV1791" s="877" t="s">
        <v>432</v>
      </c>
      <c r="AW1791" s="877" t="s">
        <v>432</v>
      </c>
      <c r="AX1791" s="877" t="s">
        <v>432</v>
      </c>
      <c r="AY1791" s="877" t="s">
        <v>432</v>
      </c>
      <c r="AZ1791" s="877" t="s">
        <v>432</v>
      </c>
      <c r="BA1791" s="877" t="s">
        <v>432</v>
      </c>
      <c r="BB1791" s="879" t="str">
        <f t="shared" si="539"/>
        <v>geralacessibilidade</v>
      </c>
      <c r="BC1791" s="879" t="str">
        <f t="shared" si="540"/>
        <v>geralacessibilidadesigla/verbete</v>
      </c>
      <c r="BD1791" s="879" t="str">
        <f t="shared" si="541"/>
        <v>geralsigla/verbete</v>
      </c>
    </row>
    <row r="1792" spans="1:56" s="1" customFormat="1" ht="204" customHeight="1" x14ac:dyDescent="0.25">
      <c r="A1792" s="262" t="s">
        <v>432</v>
      </c>
      <c r="B1792" s="252" t="s">
        <v>742</v>
      </c>
      <c r="C1792" s="167" t="s">
        <v>743</v>
      </c>
      <c r="D1792" s="325" t="s">
        <v>4059</v>
      </c>
      <c r="E1792" s="1445" t="s">
        <v>432</v>
      </c>
      <c r="F1792" s="252" t="s">
        <v>5064</v>
      </c>
      <c r="G1792" s="57" t="s">
        <v>3507</v>
      </c>
      <c r="H1792" s="167" t="s">
        <v>2408</v>
      </c>
      <c r="I1792" s="167" t="s">
        <v>432</v>
      </c>
      <c r="J1792" s="109" t="s">
        <v>432</v>
      </c>
      <c r="K1792" s="109" t="s">
        <v>432</v>
      </c>
      <c r="L1792" s="109" t="s">
        <v>432</v>
      </c>
      <c r="M1792" s="109" t="s">
        <v>432</v>
      </c>
      <c r="N1792" s="109" t="s">
        <v>432</v>
      </c>
      <c r="O1792" s="109" t="s">
        <v>432</v>
      </c>
      <c r="P1792" s="109" t="s">
        <v>432</v>
      </c>
      <c r="Q1792" s="109" t="s">
        <v>432</v>
      </c>
      <c r="R1792" s="109" t="s">
        <v>432</v>
      </c>
      <c r="S1792" s="109" t="s">
        <v>2209</v>
      </c>
      <c r="T1792" s="109" t="s">
        <v>432</v>
      </c>
      <c r="U1792" s="109" t="s">
        <v>432</v>
      </c>
      <c r="V1792" s="109" t="s">
        <v>2209</v>
      </c>
      <c r="W1792" s="109" t="s">
        <v>432</v>
      </c>
      <c r="X1792" s="109" t="s">
        <v>432</v>
      </c>
      <c r="Y1792" s="109" t="s">
        <v>432</v>
      </c>
      <c r="Z1792" s="109" t="s">
        <v>432</v>
      </c>
      <c r="AA1792" s="109" t="s">
        <v>432</v>
      </c>
      <c r="AB1792" s="109" t="s">
        <v>432</v>
      </c>
      <c r="AC1792" s="109" t="s">
        <v>432</v>
      </c>
      <c r="AD1792" s="109" t="s">
        <v>432</v>
      </c>
      <c r="AE1792" s="109" t="s">
        <v>432</v>
      </c>
      <c r="AF1792" s="109" t="s">
        <v>432</v>
      </c>
      <c r="AG1792" s="109" t="s">
        <v>432</v>
      </c>
      <c r="AH1792" s="109" t="s">
        <v>432</v>
      </c>
      <c r="AI1792" s="109" t="s">
        <v>432</v>
      </c>
      <c r="AJ1792" s="109" t="s">
        <v>432</v>
      </c>
      <c r="AK1792" s="877" t="s">
        <v>432</v>
      </c>
      <c r="AL1792" s="884" t="s">
        <v>432</v>
      </c>
      <c r="AM1792" s="877" t="s">
        <v>432</v>
      </c>
      <c r="AN1792" s="877" t="s">
        <v>432</v>
      </c>
      <c r="AO1792" s="877" t="s">
        <v>432</v>
      </c>
      <c r="AP1792" s="877" t="s">
        <v>432</v>
      </c>
      <c r="AQ1792" s="877" t="s">
        <v>432</v>
      </c>
      <c r="AR1792" s="877" t="s">
        <v>432</v>
      </c>
      <c r="AS1792" s="877" t="s">
        <v>432</v>
      </c>
      <c r="AT1792" s="877" t="s">
        <v>432</v>
      </c>
      <c r="AU1792" s="877" t="s">
        <v>432</v>
      </c>
      <c r="AV1792" s="877" t="s">
        <v>432</v>
      </c>
      <c r="AW1792" s="877" t="s">
        <v>432</v>
      </c>
      <c r="AX1792" s="877" t="s">
        <v>432</v>
      </c>
      <c r="AY1792" s="877" t="s">
        <v>432</v>
      </c>
      <c r="AZ1792" s="877" t="s">
        <v>432</v>
      </c>
      <c r="BA1792" s="877" t="s">
        <v>432</v>
      </c>
      <c r="BB1792" s="879" t="str">
        <f t="shared" si="539"/>
        <v>geralacessibilidade</v>
      </c>
      <c r="BC1792" s="879" t="str">
        <f t="shared" si="540"/>
        <v>geralacessibilidadesigla/verbete</v>
      </c>
      <c r="BD1792" s="879" t="str">
        <f t="shared" si="541"/>
        <v>geralsigla/verbete</v>
      </c>
    </row>
    <row r="1793" spans="1:57" s="1" customFormat="1" ht="69.75" customHeight="1" x14ac:dyDescent="0.25">
      <c r="A1793" s="262" t="s">
        <v>432</v>
      </c>
      <c r="B1793" s="252" t="s">
        <v>742</v>
      </c>
      <c r="C1793" s="229" t="s">
        <v>743</v>
      </c>
      <c r="D1793" s="847" t="s">
        <v>4058</v>
      </c>
      <c r="E1793" s="1496" t="s">
        <v>432</v>
      </c>
      <c r="F1793" s="252" t="s">
        <v>5209</v>
      </c>
      <c r="G1793" s="230" t="s">
        <v>3507</v>
      </c>
      <c r="H1793" s="168" t="s">
        <v>2408</v>
      </c>
      <c r="I1793" s="167" t="s">
        <v>432</v>
      </c>
      <c r="J1793" s="109" t="s">
        <v>432</v>
      </c>
      <c r="K1793" s="109" t="s">
        <v>432</v>
      </c>
      <c r="L1793" s="109" t="s">
        <v>432</v>
      </c>
      <c r="M1793" s="109" t="s">
        <v>432</v>
      </c>
      <c r="N1793" s="109" t="s">
        <v>432</v>
      </c>
      <c r="O1793" s="109" t="s">
        <v>432</v>
      </c>
      <c r="P1793" s="109" t="s">
        <v>432</v>
      </c>
      <c r="Q1793" s="109" t="s">
        <v>432</v>
      </c>
      <c r="R1793" s="109" t="s">
        <v>432</v>
      </c>
      <c r="S1793" s="109" t="s">
        <v>2209</v>
      </c>
      <c r="T1793" s="109" t="s">
        <v>432</v>
      </c>
      <c r="U1793" s="109" t="s">
        <v>432</v>
      </c>
      <c r="V1793" s="109" t="s">
        <v>2209</v>
      </c>
      <c r="W1793" s="109" t="s">
        <v>432</v>
      </c>
      <c r="X1793" s="109" t="s">
        <v>432</v>
      </c>
      <c r="Y1793" s="109" t="s">
        <v>432</v>
      </c>
      <c r="Z1793" s="109" t="s">
        <v>432</v>
      </c>
      <c r="AA1793" s="109" t="s">
        <v>432</v>
      </c>
      <c r="AB1793" s="109" t="s">
        <v>432</v>
      </c>
      <c r="AC1793" s="109" t="s">
        <v>432</v>
      </c>
      <c r="AD1793" s="109" t="s">
        <v>432</v>
      </c>
      <c r="AE1793" s="109" t="s">
        <v>432</v>
      </c>
      <c r="AF1793" s="109" t="s">
        <v>432</v>
      </c>
      <c r="AG1793" s="109" t="s">
        <v>432</v>
      </c>
      <c r="AH1793" s="109" t="s">
        <v>432</v>
      </c>
      <c r="AI1793" s="109" t="s">
        <v>432</v>
      </c>
      <c r="AJ1793" s="109" t="s">
        <v>432</v>
      </c>
      <c r="AK1793" s="877" t="s">
        <v>432</v>
      </c>
      <c r="AL1793" s="878" t="s">
        <v>432</v>
      </c>
      <c r="AM1793" s="877" t="s">
        <v>432</v>
      </c>
      <c r="AN1793" s="877" t="s">
        <v>432</v>
      </c>
      <c r="AO1793" s="877" t="s">
        <v>432</v>
      </c>
      <c r="AP1793" s="877" t="s">
        <v>432</v>
      </c>
      <c r="AQ1793" s="877" t="s">
        <v>432</v>
      </c>
      <c r="AR1793" s="877" t="s">
        <v>432</v>
      </c>
      <c r="AS1793" s="877" t="s">
        <v>432</v>
      </c>
      <c r="AT1793" s="877" t="s">
        <v>432</v>
      </c>
      <c r="AU1793" s="877" t="s">
        <v>432</v>
      </c>
      <c r="AV1793" s="877" t="s">
        <v>432</v>
      </c>
      <c r="AW1793" s="877" t="s">
        <v>432</v>
      </c>
      <c r="AX1793" s="877" t="s">
        <v>432</v>
      </c>
      <c r="AY1793" s="877" t="s">
        <v>432</v>
      </c>
      <c r="AZ1793" s="877" t="s">
        <v>432</v>
      </c>
      <c r="BA1793" s="877" t="s">
        <v>432</v>
      </c>
      <c r="BB1793" s="879" t="str">
        <f t="shared" si="539"/>
        <v>geralacessibilidade</v>
      </c>
      <c r="BC1793" s="879" t="str">
        <f t="shared" si="540"/>
        <v>geralacessibilidadesigla/verbete</v>
      </c>
      <c r="BD1793" s="879" t="str">
        <f t="shared" si="541"/>
        <v>geralsigla/verbete</v>
      </c>
    </row>
    <row r="1794" spans="1:57" s="880" customFormat="1" ht="99.75" customHeight="1" x14ac:dyDescent="0.25">
      <c r="A1794" s="262" t="s">
        <v>432</v>
      </c>
      <c r="B1794" s="252" t="s">
        <v>742</v>
      </c>
      <c r="C1794" s="229" t="s">
        <v>743</v>
      </c>
      <c r="D1794" s="325" t="str">
        <f>'Q100e-FrotaOnibus'!A23</f>
        <v>ônibus urbano com alguma facilidade no E/D</v>
      </c>
      <c r="E1794" s="1496" t="str">
        <f>'Q100e-FrotaOnibus'!B23</f>
        <v>x</v>
      </c>
      <c r="F1794" s="252" t="str">
        <f>'Q100e-FrotaOnibus'!C23</f>
        <v>aquele que opera no sistema de transporte público coletivo de alguma cidade/região oferecendo alguma facilidade para o embarque/desembarque de pessoas com mobilidade física reduzida, quer seja com operação em nível com base no desenho universal, seja com o apoio de algum mecanismo como rampa (seja móvel ou automática, seja instalada no veículo ou na plataforma) para transposição de fronteira ou elevador hidráulico instalado no veículo
obs.1: resultados quantitativos de Belo Horizonte obtidos nos indicadores "F tc sfc" / "F tcc sfc" / "F tcs sfc" e dos indicadores "F tc sfc" das demais cidades/regiões já incluídas no SisMob-BH
obs.2: acesse os diversos outros registros de "ônibus urbano" que tratam da acessibilidade</v>
      </c>
      <c r="G1794" s="230" t="s">
        <v>3507</v>
      </c>
      <c r="H1794" s="168" t="s">
        <v>2408</v>
      </c>
      <c r="I1794" s="167" t="s">
        <v>432</v>
      </c>
      <c r="J1794" s="109" t="s">
        <v>432</v>
      </c>
      <c r="K1794" s="109" t="s">
        <v>432</v>
      </c>
      <c r="L1794" s="109" t="s">
        <v>432</v>
      </c>
      <c r="M1794" s="109" t="s">
        <v>432</v>
      </c>
      <c r="N1794" s="109" t="s">
        <v>432</v>
      </c>
      <c r="O1794" s="109" t="s">
        <v>432</v>
      </c>
      <c r="P1794" s="109" t="s">
        <v>432</v>
      </c>
      <c r="Q1794" s="109" t="s">
        <v>432</v>
      </c>
      <c r="R1794" s="109" t="s">
        <v>432</v>
      </c>
      <c r="S1794" s="109" t="s">
        <v>2209</v>
      </c>
      <c r="T1794" s="109" t="s">
        <v>432</v>
      </c>
      <c r="U1794" s="109" t="s">
        <v>432</v>
      </c>
      <c r="V1794" s="109" t="s">
        <v>2209</v>
      </c>
      <c r="W1794" s="109" t="s">
        <v>432</v>
      </c>
      <c r="X1794" s="109" t="s">
        <v>432</v>
      </c>
      <c r="Y1794" s="109" t="s">
        <v>432</v>
      </c>
      <c r="Z1794" s="109" t="s">
        <v>432</v>
      </c>
      <c r="AA1794" s="109" t="s">
        <v>432</v>
      </c>
      <c r="AB1794" s="109" t="s">
        <v>432</v>
      </c>
      <c r="AC1794" s="109" t="s">
        <v>432</v>
      </c>
      <c r="AD1794" s="109" t="s">
        <v>432</v>
      </c>
      <c r="AE1794" s="109" t="s">
        <v>432</v>
      </c>
      <c r="AF1794" s="109" t="s">
        <v>432</v>
      </c>
      <c r="AG1794" s="109" t="s">
        <v>432</v>
      </c>
      <c r="AH1794" s="109" t="s">
        <v>432</v>
      </c>
      <c r="AI1794" s="109" t="s">
        <v>432</v>
      </c>
      <c r="AJ1794" s="109" t="s">
        <v>432</v>
      </c>
      <c r="AK1794" s="877" t="s">
        <v>432</v>
      </c>
      <c r="AL1794" s="878" t="s">
        <v>432</v>
      </c>
      <c r="AM1794" s="877" t="s">
        <v>432</v>
      </c>
      <c r="AN1794" s="877" t="s">
        <v>432</v>
      </c>
      <c r="AO1794" s="877" t="s">
        <v>432</v>
      </c>
      <c r="AP1794" s="877" t="s">
        <v>432</v>
      </c>
      <c r="AQ1794" s="877" t="s">
        <v>432</v>
      </c>
      <c r="AR1794" s="877" t="s">
        <v>432</v>
      </c>
      <c r="AS1794" s="877" t="s">
        <v>432</v>
      </c>
      <c r="AT1794" s="877" t="s">
        <v>432</v>
      </c>
      <c r="AU1794" s="877" t="s">
        <v>432</v>
      </c>
      <c r="AV1794" s="877" t="s">
        <v>432</v>
      </c>
      <c r="AW1794" s="877" t="s">
        <v>432</v>
      </c>
      <c r="AX1794" s="877" t="s">
        <v>432</v>
      </c>
      <c r="AY1794" s="877" t="s">
        <v>432</v>
      </c>
      <c r="AZ1794" s="877" t="s">
        <v>432</v>
      </c>
      <c r="BA1794" s="877" t="s">
        <v>432</v>
      </c>
      <c r="BB1794" s="879" t="str">
        <f t="shared" si="539"/>
        <v>geralacessibilidade</v>
      </c>
      <c r="BC1794" s="879" t="str">
        <f t="shared" si="540"/>
        <v>geralacessibilidadesigla/verbete</v>
      </c>
      <c r="BD1794" s="879" t="str">
        <f t="shared" si="541"/>
        <v>geralsigla/verbete</v>
      </c>
    </row>
    <row r="1795" spans="1:57" s="880" customFormat="1" ht="102.75" customHeight="1" x14ac:dyDescent="0.25">
      <c r="A1795" s="262" t="s">
        <v>432</v>
      </c>
      <c r="B1795" s="252" t="s">
        <v>742</v>
      </c>
      <c r="C1795" s="167" t="s">
        <v>743</v>
      </c>
      <c r="D1795" s="325" t="str">
        <f>'Q100e-FrotaOnibus'!A15</f>
        <v>ônibus urbano com desenho universal no E/D</v>
      </c>
      <c r="E1795" s="1445" t="str">
        <f>'Q100e-FrotaOnibus'!B15</f>
        <v>x</v>
      </c>
      <c r="F1795" s="252" t="str">
        <f>'Q100e-FrotaOnibus'!C15</f>
        <v>aquele que opera no sistema de transporte público coletivo de uma cidade/região oferecendo, em todos os pontos de parada e a todas as pessoas, independente da dificuldade que cada uma possa ter, a possibilidade de embarque/desembarque exclusivamente em nível com base no desenho universal, ou seja, com todos os passageiros embarcando e desembarcando pelas mesmas portas
obs.1: resultados quantitativos de Belo Horizonte obtidos nos indicadores "F tc sfc" / "F tcc sfc" / "F tcs sfc" e dos indicadores "F tc sfc" das demais cidades/regiões já incluídas no SisMob-BH
obs.2: acesse os diversos outros registros de "ônibus urbano" que tratam da acessibilidade</v>
      </c>
      <c r="G1795" s="230" t="s">
        <v>3507</v>
      </c>
      <c r="H1795" s="167" t="s">
        <v>2408</v>
      </c>
      <c r="I1795" s="167" t="s">
        <v>432</v>
      </c>
      <c r="J1795" s="109" t="s">
        <v>432</v>
      </c>
      <c r="K1795" s="109" t="s">
        <v>432</v>
      </c>
      <c r="L1795" s="109" t="s">
        <v>432</v>
      </c>
      <c r="M1795" s="109" t="s">
        <v>432</v>
      </c>
      <c r="N1795" s="109" t="s">
        <v>432</v>
      </c>
      <c r="O1795" s="109" t="s">
        <v>432</v>
      </c>
      <c r="P1795" s="109" t="s">
        <v>432</v>
      </c>
      <c r="Q1795" s="109" t="s">
        <v>432</v>
      </c>
      <c r="R1795" s="109" t="s">
        <v>432</v>
      </c>
      <c r="S1795" s="109" t="s">
        <v>2209</v>
      </c>
      <c r="T1795" s="109" t="s">
        <v>432</v>
      </c>
      <c r="U1795" s="109" t="s">
        <v>432</v>
      </c>
      <c r="V1795" s="109" t="s">
        <v>2209</v>
      </c>
      <c r="W1795" s="109" t="s">
        <v>432</v>
      </c>
      <c r="X1795" s="109" t="s">
        <v>432</v>
      </c>
      <c r="Y1795" s="109" t="s">
        <v>432</v>
      </c>
      <c r="Z1795" s="109" t="s">
        <v>432</v>
      </c>
      <c r="AA1795" s="109" t="s">
        <v>432</v>
      </c>
      <c r="AB1795" s="109" t="s">
        <v>432</v>
      </c>
      <c r="AC1795" s="109" t="s">
        <v>432</v>
      </c>
      <c r="AD1795" s="109" t="s">
        <v>432</v>
      </c>
      <c r="AE1795" s="109" t="s">
        <v>432</v>
      </c>
      <c r="AF1795" s="109" t="s">
        <v>432</v>
      </c>
      <c r="AG1795" s="109" t="s">
        <v>432</v>
      </c>
      <c r="AH1795" s="109" t="s">
        <v>432</v>
      </c>
      <c r="AI1795" s="109" t="s">
        <v>432</v>
      </c>
      <c r="AJ1795" s="109" t="s">
        <v>432</v>
      </c>
      <c r="AK1795" s="877" t="s">
        <v>432</v>
      </c>
      <c r="AL1795" s="884" t="s">
        <v>432</v>
      </c>
      <c r="AM1795" s="877" t="s">
        <v>432</v>
      </c>
      <c r="AN1795" s="877" t="s">
        <v>432</v>
      </c>
      <c r="AO1795" s="877" t="s">
        <v>432</v>
      </c>
      <c r="AP1795" s="877" t="s">
        <v>432</v>
      </c>
      <c r="AQ1795" s="877" t="s">
        <v>432</v>
      </c>
      <c r="AR1795" s="877" t="s">
        <v>432</v>
      </c>
      <c r="AS1795" s="877" t="s">
        <v>432</v>
      </c>
      <c r="AT1795" s="877" t="s">
        <v>432</v>
      </c>
      <c r="AU1795" s="877" t="s">
        <v>432</v>
      </c>
      <c r="AV1795" s="877" t="s">
        <v>432</v>
      </c>
      <c r="AW1795" s="877" t="s">
        <v>432</v>
      </c>
      <c r="AX1795" s="877" t="s">
        <v>432</v>
      </c>
      <c r="AY1795" s="877" t="s">
        <v>432</v>
      </c>
      <c r="AZ1795" s="877" t="s">
        <v>432</v>
      </c>
      <c r="BA1795" s="877" t="s">
        <v>432</v>
      </c>
      <c r="BB1795" s="879" t="s">
        <v>2631</v>
      </c>
      <c r="BC1795" s="879" t="s">
        <v>2632</v>
      </c>
      <c r="BD1795" s="879" t="s">
        <v>2633</v>
      </c>
    </row>
    <row r="1796" spans="1:57" s="880" customFormat="1" ht="137.25" customHeight="1" x14ac:dyDescent="0.25">
      <c r="A1796" s="262" t="s">
        <v>432</v>
      </c>
      <c r="B1796" s="252" t="s">
        <v>742</v>
      </c>
      <c r="C1796" s="229" t="s">
        <v>743</v>
      </c>
      <c r="D1796" s="847" t="str">
        <f>'Q100e-FrotaOnibus'!A33</f>
        <v>ônibus urbano com E/D exclusivo em nível</v>
      </c>
      <c r="E1796" s="1496" t="str">
        <f>'Q100e-FrotaOnibus'!B33</f>
        <v>x</v>
      </c>
      <c r="F1796" s="252" t="str">
        <f>'Q100e-FrotaOnibus'!C33</f>
        <v>aquele que opera no sistema de transporte público coletivo de uma cidade/região oferecendo, em todos os pontos de parada, a possibilidade de embarque/desembarque exclusivamente em nível com base no desenho universal ou com o apoio de algum mecanismo como rampa (seja móvel ou automática, seja instalada no veículo ou na plataforma) para transposição de fronteira
obs.1: não é considerado embarque em nível o ônibus que opera no chamado "BRT misto", pois nesse tipo de sistema há embarque/desembarque em nível apenas nas plataformas elevadas ao longo do corredor de transporte, obrigando o usuário ao embarque/desembarque com escada/elevador hidráulico na porção do itinerário que opera fora do corregor em pontos de parada na calçada
obs.2: resultados quantitativos de Belo Horizonte obtidos nos indicadores "F tc sfc" / "F tcc sfc" / "F tcs sfc" e dos indicadores "F tc sfc" das demais cidades/regiões já incluídas no SisMob-BH
obs.3: acesse os diversos outros registros de "ônibus urbano" que tratam da acessibilidade</v>
      </c>
      <c r="G1796" s="230" t="s">
        <v>3507</v>
      </c>
      <c r="H1796" s="168" t="s">
        <v>2408</v>
      </c>
      <c r="I1796" s="167" t="s">
        <v>432</v>
      </c>
      <c r="J1796" s="109" t="s">
        <v>432</v>
      </c>
      <c r="K1796" s="109" t="s">
        <v>432</v>
      </c>
      <c r="L1796" s="109" t="s">
        <v>432</v>
      </c>
      <c r="M1796" s="109" t="s">
        <v>432</v>
      </c>
      <c r="N1796" s="109" t="s">
        <v>432</v>
      </c>
      <c r="O1796" s="109" t="s">
        <v>432</v>
      </c>
      <c r="P1796" s="109" t="s">
        <v>432</v>
      </c>
      <c r="Q1796" s="109" t="s">
        <v>432</v>
      </c>
      <c r="R1796" s="109" t="s">
        <v>432</v>
      </c>
      <c r="S1796" s="109" t="s">
        <v>2209</v>
      </c>
      <c r="T1796" s="109" t="s">
        <v>432</v>
      </c>
      <c r="U1796" s="109" t="s">
        <v>432</v>
      </c>
      <c r="V1796" s="109" t="s">
        <v>2209</v>
      </c>
      <c r="W1796" s="109" t="s">
        <v>432</v>
      </c>
      <c r="X1796" s="109" t="s">
        <v>432</v>
      </c>
      <c r="Y1796" s="109" t="s">
        <v>432</v>
      </c>
      <c r="Z1796" s="109" t="s">
        <v>432</v>
      </c>
      <c r="AA1796" s="109" t="s">
        <v>432</v>
      </c>
      <c r="AB1796" s="109" t="s">
        <v>432</v>
      </c>
      <c r="AC1796" s="109" t="s">
        <v>432</v>
      </c>
      <c r="AD1796" s="109" t="s">
        <v>432</v>
      </c>
      <c r="AE1796" s="109" t="s">
        <v>432</v>
      </c>
      <c r="AF1796" s="109" t="s">
        <v>432</v>
      </c>
      <c r="AG1796" s="109" t="s">
        <v>432</v>
      </c>
      <c r="AH1796" s="109" t="s">
        <v>432</v>
      </c>
      <c r="AI1796" s="109" t="s">
        <v>432</v>
      </c>
      <c r="AJ1796" s="109" t="s">
        <v>432</v>
      </c>
      <c r="AK1796" s="877" t="s">
        <v>432</v>
      </c>
      <c r="AL1796" s="878" t="s">
        <v>432</v>
      </c>
      <c r="AM1796" s="877" t="s">
        <v>432</v>
      </c>
      <c r="AN1796" s="877" t="s">
        <v>432</v>
      </c>
      <c r="AO1796" s="877" t="s">
        <v>432</v>
      </c>
      <c r="AP1796" s="877" t="s">
        <v>432</v>
      </c>
      <c r="AQ1796" s="877" t="s">
        <v>432</v>
      </c>
      <c r="AR1796" s="877" t="s">
        <v>432</v>
      </c>
      <c r="AS1796" s="877" t="s">
        <v>432</v>
      </c>
      <c r="AT1796" s="877" t="s">
        <v>432</v>
      </c>
      <c r="AU1796" s="877" t="s">
        <v>432</v>
      </c>
      <c r="AV1796" s="877" t="s">
        <v>432</v>
      </c>
      <c r="AW1796" s="877" t="s">
        <v>432</v>
      </c>
      <c r="AX1796" s="877" t="s">
        <v>432</v>
      </c>
      <c r="AY1796" s="877" t="s">
        <v>432</v>
      </c>
      <c r="AZ1796" s="877" t="s">
        <v>432</v>
      </c>
      <c r="BA1796" s="877" t="s">
        <v>432</v>
      </c>
      <c r="BB1796" s="879" t="str">
        <f>B1796&amp;C1796</f>
        <v>geralacessibilidade</v>
      </c>
      <c r="BC1796" s="879" t="str">
        <f>B1796&amp;C1796&amp;H1796</f>
        <v>geralacessibilidadesigla/verbete</v>
      </c>
      <c r="BD1796" s="879" t="str">
        <f>B1796&amp;H1796</f>
        <v>geralsigla/verbete</v>
      </c>
    </row>
    <row r="1797" spans="1:57" s="880" customFormat="1" ht="152.25" customHeight="1" x14ac:dyDescent="0.25">
      <c r="A1797" s="262" t="s">
        <v>432</v>
      </c>
      <c r="B1797" s="252" t="s">
        <v>742</v>
      </c>
      <c r="C1797" s="229" t="s">
        <v>743</v>
      </c>
      <c r="D1797" s="847" t="str">
        <f>'Q100e-FrotaOnibus'!A9</f>
        <v>ônibus urbano com E/D parcial em nível</v>
      </c>
      <c r="E1797" s="1445" t="str">
        <f>'Q100e-FrotaOnibus'!B9</f>
        <v>x</v>
      </c>
      <c r="F1797" s="252" t="str">
        <f>'Q100e-FrotaOnibus'!C9</f>
        <v>aquele que opera no sistema de transporte público coletivo de uma cidade/região oferecendo a possibilidade de embarque/desembarque em nível apenas em parte dos pontos de parada, em plataformas elevadas ao longo de parte do itinerário localizado em um corredor de transporte, impondo ao usuário um embarque/desembarque com escada/elevador hidráulico na porção do itinerário que opera fora do corredor em pontos de parada na calçada
obs.1: acesse "ônibus com embarque em nível"
obs.2: o BRT misto é um exemplo onde opera um ônibus com embarque parcial em nível, onde há uma clara opção pela flexibilidade da operação do sistema de transporte em detrimento do direito ao desenho universal ao longo de todo o itinerário 
obs.3: o elevavor utilizado tipo de ônibus por ser de de uso exclusivo ao não de cadeirantes ("ec" ou "ecp") e, por isto, os indicadores associados são "F tc BRT misto eh ec" e "F tc BRT misto eh ecp) 
obs.4: acesse os diversos outros registros de "ônibus urbano" que tratam da acessibilidade</v>
      </c>
      <c r="G1797" s="230" t="s">
        <v>3507</v>
      </c>
      <c r="H1797" s="168" t="s">
        <v>2408</v>
      </c>
      <c r="I1797" s="167" t="s">
        <v>432</v>
      </c>
      <c r="J1797" s="109" t="s">
        <v>432</v>
      </c>
      <c r="K1797" s="109" t="s">
        <v>432</v>
      </c>
      <c r="L1797" s="109" t="s">
        <v>432</v>
      </c>
      <c r="M1797" s="109" t="s">
        <v>432</v>
      </c>
      <c r="N1797" s="109" t="s">
        <v>432</v>
      </c>
      <c r="O1797" s="109" t="s">
        <v>432</v>
      </c>
      <c r="P1797" s="109" t="s">
        <v>432</v>
      </c>
      <c r="Q1797" s="109" t="s">
        <v>432</v>
      </c>
      <c r="R1797" s="109" t="s">
        <v>432</v>
      </c>
      <c r="S1797" s="109" t="s">
        <v>2209</v>
      </c>
      <c r="T1797" s="109" t="s">
        <v>432</v>
      </c>
      <c r="U1797" s="109" t="s">
        <v>432</v>
      </c>
      <c r="V1797" s="109" t="s">
        <v>2209</v>
      </c>
      <c r="W1797" s="109" t="s">
        <v>432</v>
      </c>
      <c r="X1797" s="109" t="s">
        <v>432</v>
      </c>
      <c r="Y1797" s="109" t="s">
        <v>432</v>
      </c>
      <c r="Z1797" s="109" t="s">
        <v>432</v>
      </c>
      <c r="AA1797" s="109" t="s">
        <v>432</v>
      </c>
      <c r="AB1797" s="109" t="s">
        <v>432</v>
      </c>
      <c r="AC1797" s="109" t="s">
        <v>432</v>
      </c>
      <c r="AD1797" s="109" t="s">
        <v>432</v>
      </c>
      <c r="AE1797" s="109" t="s">
        <v>432</v>
      </c>
      <c r="AF1797" s="109" t="s">
        <v>432</v>
      </c>
      <c r="AG1797" s="109" t="s">
        <v>432</v>
      </c>
      <c r="AH1797" s="109" t="s">
        <v>432</v>
      </c>
      <c r="AI1797" s="109" t="s">
        <v>432</v>
      </c>
      <c r="AJ1797" s="109" t="s">
        <v>432</v>
      </c>
      <c r="AK1797" s="877" t="s">
        <v>432</v>
      </c>
      <c r="AL1797" s="878" t="s">
        <v>432</v>
      </c>
      <c r="AM1797" s="877" t="s">
        <v>432</v>
      </c>
      <c r="AN1797" s="877" t="s">
        <v>432</v>
      </c>
      <c r="AO1797" s="877" t="s">
        <v>432</v>
      </c>
      <c r="AP1797" s="877" t="s">
        <v>432</v>
      </c>
      <c r="AQ1797" s="877" t="s">
        <v>432</v>
      </c>
      <c r="AR1797" s="877" t="s">
        <v>432</v>
      </c>
      <c r="AS1797" s="877" t="s">
        <v>432</v>
      </c>
      <c r="AT1797" s="877" t="s">
        <v>432</v>
      </c>
      <c r="AU1797" s="877" t="s">
        <v>432</v>
      </c>
      <c r="AV1797" s="877" t="s">
        <v>432</v>
      </c>
      <c r="AW1797" s="877" t="s">
        <v>432</v>
      </c>
      <c r="AX1797" s="877" t="s">
        <v>432</v>
      </c>
      <c r="AY1797" s="877" t="s">
        <v>432</v>
      </c>
      <c r="AZ1797" s="877" t="s">
        <v>432</v>
      </c>
      <c r="BA1797" s="877" t="s">
        <v>432</v>
      </c>
      <c r="BB1797" s="879" t="str">
        <f>B1797&amp;C1797</f>
        <v>geralacessibilidade</v>
      </c>
      <c r="BC1797" s="879" t="str">
        <f>B1797&amp;C1797&amp;H1797</f>
        <v>geralacessibilidadesigla/verbete</v>
      </c>
      <c r="BD1797" s="879" t="str">
        <f>B1797&amp;H1797</f>
        <v>geralsigla/verbete</v>
      </c>
    </row>
    <row r="1798" spans="1:57" s="880" customFormat="1" ht="76.5" x14ac:dyDescent="0.25">
      <c r="A1798" s="262" t="s">
        <v>432</v>
      </c>
      <c r="B1798" s="252" t="s">
        <v>742</v>
      </c>
      <c r="C1798" s="229" t="s">
        <v>743</v>
      </c>
      <c r="D1798" s="847" t="str">
        <f>'Q100e-FrotaOnibus'!A8</f>
        <v>ônibus urbano com elevador hidráulico</v>
      </c>
      <c r="E1798" s="1445" t="str">
        <f>'Q100e-FrotaOnibus'!B8</f>
        <v>x</v>
      </c>
      <c r="F1798" s="252" t="str">
        <f>'Q100e-FrotaOnibus'!C8</f>
        <v>aquele que opera no sistema de transporte público coletivo de uma cidade/região equipados com  elevador hidráulico (plataforma elevatória veicular) de uso exclusivo ou não para cadeirantes e que não estão aptos a operar em parte do percurso em plataforma elevada
obs.2: resultados quantitativos como soma dos veículos com as duas modalidades de elevador, quais sejam, exclusivo para cadeirantes e permitido a pessoas em pé caso o operador pemita e caso se sintam seguras
obs.2: acesse os diversos outros registros de "ônibus urbano" que tratam da acessibilidade</v>
      </c>
      <c r="G1798" s="230" t="s">
        <v>3507</v>
      </c>
      <c r="H1798" s="168" t="s">
        <v>2408</v>
      </c>
      <c r="I1798" s="167" t="s">
        <v>432</v>
      </c>
      <c r="J1798" s="109" t="s">
        <v>432</v>
      </c>
      <c r="K1798" s="109" t="s">
        <v>432</v>
      </c>
      <c r="L1798" s="109" t="s">
        <v>432</v>
      </c>
      <c r="M1798" s="109" t="s">
        <v>432</v>
      </c>
      <c r="N1798" s="109" t="s">
        <v>432</v>
      </c>
      <c r="O1798" s="109" t="s">
        <v>432</v>
      </c>
      <c r="P1798" s="109" t="s">
        <v>432</v>
      </c>
      <c r="Q1798" s="109" t="s">
        <v>432</v>
      </c>
      <c r="R1798" s="109" t="s">
        <v>432</v>
      </c>
      <c r="S1798" s="109" t="s">
        <v>2209</v>
      </c>
      <c r="T1798" s="109" t="s">
        <v>432</v>
      </c>
      <c r="U1798" s="109" t="s">
        <v>432</v>
      </c>
      <c r="V1798" s="109" t="s">
        <v>2209</v>
      </c>
      <c r="W1798" s="109" t="s">
        <v>432</v>
      </c>
      <c r="X1798" s="109" t="s">
        <v>432</v>
      </c>
      <c r="Y1798" s="109" t="s">
        <v>432</v>
      </c>
      <c r="Z1798" s="109" t="s">
        <v>432</v>
      </c>
      <c r="AA1798" s="109" t="s">
        <v>432</v>
      </c>
      <c r="AB1798" s="109" t="s">
        <v>432</v>
      </c>
      <c r="AC1798" s="109" t="s">
        <v>432</v>
      </c>
      <c r="AD1798" s="109" t="s">
        <v>432</v>
      </c>
      <c r="AE1798" s="109" t="s">
        <v>432</v>
      </c>
      <c r="AF1798" s="109" t="s">
        <v>432</v>
      </c>
      <c r="AG1798" s="109" t="s">
        <v>432</v>
      </c>
      <c r="AH1798" s="109" t="s">
        <v>432</v>
      </c>
      <c r="AI1798" s="109" t="s">
        <v>432</v>
      </c>
      <c r="AJ1798" s="109" t="s">
        <v>432</v>
      </c>
      <c r="AK1798" s="877" t="s">
        <v>432</v>
      </c>
      <c r="AL1798" s="878" t="s">
        <v>432</v>
      </c>
      <c r="AM1798" s="877" t="s">
        <v>432</v>
      </c>
      <c r="AN1798" s="877" t="s">
        <v>432</v>
      </c>
      <c r="AO1798" s="877" t="s">
        <v>432</v>
      </c>
      <c r="AP1798" s="877" t="s">
        <v>432</v>
      </c>
      <c r="AQ1798" s="877" t="s">
        <v>432</v>
      </c>
      <c r="AR1798" s="877" t="s">
        <v>432</v>
      </c>
      <c r="AS1798" s="877" t="s">
        <v>432</v>
      </c>
      <c r="AT1798" s="877" t="s">
        <v>432</v>
      </c>
      <c r="AU1798" s="877" t="s">
        <v>432</v>
      </c>
      <c r="AV1798" s="877" t="s">
        <v>432</v>
      </c>
      <c r="AW1798" s="877" t="s">
        <v>432</v>
      </c>
      <c r="AX1798" s="877" t="s">
        <v>432</v>
      </c>
      <c r="AY1798" s="877" t="s">
        <v>432</v>
      </c>
      <c r="AZ1798" s="877" t="s">
        <v>432</v>
      </c>
      <c r="BA1798" s="877" t="s">
        <v>432</v>
      </c>
      <c r="BB1798" s="879" t="str">
        <f>B1798&amp;C1798</f>
        <v>geralacessibilidade</v>
      </c>
      <c r="BC1798" s="879" t="str">
        <f>B1798&amp;C1798&amp;H1798</f>
        <v>geralacessibilidadesigla/verbete</v>
      </c>
      <c r="BD1798" s="879" t="str">
        <f>B1798&amp;H1798</f>
        <v>geralsigla/verbete</v>
      </c>
    </row>
    <row r="1799" spans="1:57" s="880" customFormat="1" ht="69.75" customHeight="1" x14ac:dyDescent="0.25">
      <c r="A1799" s="262" t="s">
        <v>432</v>
      </c>
      <c r="B1799" s="252" t="s">
        <v>742</v>
      </c>
      <c r="C1799" s="229" t="s">
        <v>743</v>
      </c>
      <c r="D1799" s="324" t="str">
        <f>'Q100e-FrotaOnibus'!A37</f>
        <v>ônibus urbano com piso baixo</v>
      </c>
      <c r="E1799" s="1522" t="str">
        <f>'Q100e-FrotaOnibus'!B37</f>
        <v>x</v>
      </c>
      <c r="F1799" s="252" t="str">
        <f>'Q100e-FrotaOnibus'!C37</f>
        <v>aquele que opera no sistema de transporte público coletivo de uma cidade/região com  piso baixo de qualquer tipo (total, central, dianteiro, traseiro)
obs.: acesse os diversos outros registros de "ônibus urbano" que tratam da acessibilidade</v>
      </c>
      <c r="G1799" s="230" t="s">
        <v>3507</v>
      </c>
      <c r="H1799" s="168" t="s">
        <v>2408</v>
      </c>
      <c r="I1799" s="167" t="s">
        <v>432</v>
      </c>
      <c r="J1799" s="109" t="s">
        <v>432</v>
      </c>
      <c r="K1799" s="109" t="s">
        <v>432</v>
      </c>
      <c r="L1799" s="109" t="s">
        <v>432</v>
      </c>
      <c r="M1799" s="109" t="s">
        <v>432</v>
      </c>
      <c r="N1799" s="109" t="s">
        <v>432</v>
      </c>
      <c r="O1799" s="109" t="s">
        <v>432</v>
      </c>
      <c r="P1799" s="109" t="s">
        <v>432</v>
      </c>
      <c r="Q1799" s="109" t="s">
        <v>432</v>
      </c>
      <c r="R1799" s="109" t="s">
        <v>432</v>
      </c>
      <c r="S1799" s="109" t="s">
        <v>2209</v>
      </c>
      <c r="T1799" s="109" t="s">
        <v>432</v>
      </c>
      <c r="U1799" s="109" t="s">
        <v>432</v>
      </c>
      <c r="V1799" s="109" t="s">
        <v>2209</v>
      </c>
      <c r="W1799" s="109" t="s">
        <v>432</v>
      </c>
      <c r="X1799" s="109" t="s">
        <v>432</v>
      </c>
      <c r="Y1799" s="109" t="s">
        <v>432</v>
      </c>
      <c r="Z1799" s="109" t="s">
        <v>432</v>
      </c>
      <c r="AA1799" s="109" t="s">
        <v>432</v>
      </c>
      <c r="AB1799" s="109" t="s">
        <v>432</v>
      </c>
      <c r="AC1799" s="109" t="s">
        <v>432</v>
      </c>
      <c r="AD1799" s="109" t="s">
        <v>432</v>
      </c>
      <c r="AE1799" s="109" t="s">
        <v>432</v>
      </c>
      <c r="AF1799" s="109" t="s">
        <v>432</v>
      </c>
      <c r="AG1799" s="109" t="s">
        <v>432</v>
      </c>
      <c r="AH1799" s="109" t="s">
        <v>432</v>
      </c>
      <c r="AI1799" s="109" t="s">
        <v>432</v>
      </c>
      <c r="AJ1799" s="109" t="s">
        <v>432</v>
      </c>
      <c r="AK1799" s="877" t="s">
        <v>432</v>
      </c>
      <c r="AL1799" s="878" t="s">
        <v>432</v>
      </c>
      <c r="AM1799" s="877" t="s">
        <v>432</v>
      </c>
      <c r="AN1799" s="877" t="s">
        <v>432</v>
      </c>
      <c r="AO1799" s="877" t="s">
        <v>432</v>
      </c>
      <c r="AP1799" s="877" t="s">
        <v>432</v>
      </c>
      <c r="AQ1799" s="877" t="s">
        <v>432</v>
      </c>
      <c r="AR1799" s="877" t="s">
        <v>432</v>
      </c>
      <c r="AS1799" s="877" t="s">
        <v>432</v>
      </c>
      <c r="AT1799" s="877" t="s">
        <v>432</v>
      </c>
      <c r="AU1799" s="877" t="s">
        <v>432</v>
      </c>
      <c r="AV1799" s="877" t="s">
        <v>432</v>
      </c>
      <c r="AW1799" s="877" t="s">
        <v>432</v>
      </c>
      <c r="AX1799" s="877" t="s">
        <v>432</v>
      </c>
      <c r="AY1799" s="877" t="s">
        <v>432</v>
      </c>
      <c r="AZ1799" s="877" t="s">
        <v>432</v>
      </c>
      <c r="BA1799" s="877" t="s">
        <v>432</v>
      </c>
      <c r="BB1799" s="879" t="str">
        <f>B1799&amp;C1799</f>
        <v>geralacessibilidade</v>
      </c>
      <c r="BC1799" s="879" t="str">
        <f>B1799&amp;C1799&amp;H1799</f>
        <v>geralacessibilidadesigla/verbete</v>
      </c>
      <c r="BD1799" s="879" t="str">
        <f>B1799&amp;H1799</f>
        <v>geralsigla/verbete</v>
      </c>
    </row>
    <row r="1800" spans="1:57" s="373" customFormat="1" ht="96.75" customHeight="1" x14ac:dyDescent="0.25">
      <c r="A1800" s="262" t="s">
        <v>432</v>
      </c>
      <c r="B1800" s="252" t="s">
        <v>742</v>
      </c>
      <c r="C1800" s="167" t="s">
        <v>743</v>
      </c>
      <c r="D1800" s="714" t="str">
        <f>'Q100e-FrotaOnibus'!A5</f>
        <v>ônibus urbano não acessível no E/D</v>
      </c>
      <c r="E1800" s="1445" t="str">
        <f>'Q100e-FrotaOnibus'!B5</f>
        <v>x</v>
      </c>
      <c r="F1800" s="252" t="str">
        <f>'Q100e-FrotaOnibus'!C5</f>
        <v>aquele que opera no sistema de transporte público coletivo de uma cidade/região sem oferecer qualquer facilidade para o embarque/desembarque de pessoas com mobilidade física reduzida, ou seja, sem operação em nível com base no desenho universal e sem o apoio de qualquer mecanismo como rampa para transposição de fronteira ou elevador hidráulico
obs.1: acesse o verbete "não acessível"
obs.2: resultados quantitativos de Belo Horizonte obtidos nos indicadores "F tc sfc" / "F tcc sfc" / "F tcs sfc" e dos indicadores "F tc sfc" das demais cidades/regiões já incluídas no SisMob-BH
obs.3: acesse os diversos outros registros de "ônibus urbano" que tratam da acessibilidade</v>
      </c>
      <c r="G1800" s="230" t="s">
        <v>3507</v>
      </c>
      <c r="H1800" s="167" t="s">
        <v>2408</v>
      </c>
      <c r="I1800" s="167" t="s">
        <v>432</v>
      </c>
      <c r="J1800" s="109" t="s">
        <v>432</v>
      </c>
      <c r="K1800" s="109" t="s">
        <v>432</v>
      </c>
      <c r="L1800" s="109" t="s">
        <v>432</v>
      </c>
      <c r="M1800" s="109" t="s">
        <v>432</v>
      </c>
      <c r="N1800" s="109" t="s">
        <v>432</v>
      </c>
      <c r="O1800" s="109" t="s">
        <v>432</v>
      </c>
      <c r="P1800" s="109" t="s">
        <v>432</v>
      </c>
      <c r="Q1800" s="109" t="s">
        <v>432</v>
      </c>
      <c r="R1800" s="109" t="s">
        <v>432</v>
      </c>
      <c r="S1800" s="109" t="s">
        <v>2209</v>
      </c>
      <c r="T1800" s="109" t="s">
        <v>432</v>
      </c>
      <c r="U1800" s="109" t="s">
        <v>432</v>
      </c>
      <c r="V1800" s="109" t="s">
        <v>2209</v>
      </c>
      <c r="W1800" s="109" t="s">
        <v>432</v>
      </c>
      <c r="X1800" s="109" t="s">
        <v>432</v>
      </c>
      <c r="Y1800" s="109" t="s">
        <v>432</v>
      </c>
      <c r="Z1800" s="109" t="s">
        <v>432</v>
      </c>
      <c r="AA1800" s="109" t="s">
        <v>432</v>
      </c>
      <c r="AB1800" s="109" t="s">
        <v>432</v>
      </c>
      <c r="AC1800" s="109" t="s">
        <v>432</v>
      </c>
      <c r="AD1800" s="109" t="s">
        <v>432</v>
      </c>
      <c r="AE1800" s="109" t="s">
        <v>432</v>
      </c>
      <c r="AF1800" s="109" t="s">
        <v>432</v>
      </c>
      <c r="AG1800" s="109" t="s">
        <v>432</v>
      </c>
      <c r="AH1800" s="109" t="s">
        <v>432</v>
      </c>
      <c r="AI1800" s="109" t="s">
        <v>432</v>
      </c>
      <c r="AJ1800" s="109" t="s">
        <v>432</v>
      </c>
      <c r="AK1800" s="877" t="s">
        <v>432</v>
      </c>
      <c r="AL1800" s="884" t="s">
        <v>432</v>
      </c>
      <c r="AM1800" s="877" t="s">
        <v>432</v>
      </c>
      <c r="AN1800" s="877" t="s">
        <v>432</v>
      </c>
      <c r="AO1800" s="877" t="s">
        <v>432</v>
      </c>
      <c r="AP1800" s="877" t="s">
        <v>432</v>
      </c>
      <c r="AQ1800" s="877" t="s">
        <v>432</v>
      </c>
      <c r="AR1800" s="877" t="s">
        <v>432</v>
      </c>
      <c r="AS1800" s="877" t="s">
        <v>432</v>
      </c>
      <c r="AT1800" s="877" t="s">
        <v>432</v>
      </c>
      <c r="AU1800" s="877" t="s">
        <v>432</v>
      </c>
      <c r="AV1800" s="877" t="s">
        <v>432</v>
      </c>
      <c r="AW1800" s="877" t="s">
        <v>432</v>
      </c>
      <c r="AX1800" s="877" t="s">
        <v>432</v>
      </c>
      <c r="AY1800" s="877" t="s">
        <v>432</v>
      </c>
      <c r="AZ1800" s="877" t="s">
        <v>432</v>
      </c>
      <c r="BA1800" s="877" t="s">
        <v>432</v>
      </c>
      <c r="BB1800" s="879" t="str">
        <f>B1800&amp;C1800</f>
        <v>geralacessibilidade</v>
      </c>
      <c r="BC1800" s="879" t="str">
        <f>B1800&amp;C1800&amp;H1800</f>
        <v>geralacessibilidadesigla/verbete</v>
      </c>
      <c r="BD1800" s="879" t="str">
        <f>B1800&amp;H1800</f>
        <v>geralsigla/verbete</v>
      </c>
    </row>
    <row r="1801" spans="1:57" s="1" customFormat="1" x14ac:dyDescent="0.25">
      <c r="A1801" s="398"/>
      <c r="B1801" s="221"/>
      <c r="C1801" s="399"/>
      <c r="D1801" s="987"/>
      <c r="E1801" s="1533"/>
      <c r="F1801" s="405"/>
      <c r="G1801" s="902"/>
      <c r="H1801" s="903"/>
      <c r="I1801" s="902"/>
      <c r="J1801" s="904"/>
      <c r="K1801" s="905"/>
      <c r="L1801" s="905"/>
      <c r="M1801" s="905"/>
      <c r="N1801" s="905"/>
      <c r="O1801" s="905"/>
      <c r="P1801" s="905"/>
      <c r="Q1801" s="905"/>
      <c r="R1801" s="905"/>
      <c r="S1801" s="905"/>
      <c r="T1801" s="905"/>
      <c r="U1801" s="905"/>
      <c r="V1801" s="905"/>
      <c r="W1801" s="905"/>
      <c r="X1801" s="905"/>
      <c r="Y1801" s="905"/>
      <c r="Z1801" s="905"/>
      <c r="AA1801" s="905"/>
      <c r="AB1801" s="905"/>
      <c r="AC1801" s="905"/>
      <c r="AD1801" s="905"/>
      <c r="AE1801" s="905"/>
      <c r="AF1801" s="905"/>
      <c r="AG1801" s="905"/>
      <c r="AH1801" s="905"/>
      <c r="AI1801" s="905"/>
      <c r="AJ1801" s="905"/>
      <c r="AK1801" s="652"/>
      <c r="AL1801" s="652"/>
      <c r="AM1801" s="652"/>
      <c r="AN1801" s="652"/>
      <c r="AO1801" s="652"/>
      <c r="AP1801" s="652"/>
      <c r="AQ1801" s="652"/>
      <c r="AR1801" s="652"/>
      <c r="AS1801" s="652"/>
      <c r="AT1801" s="652"/>
      <c r="AU1801" s="652"/>
      <c r="AV1801" s="652"/>
      <c r="AW1801" s="652"/>
      <c r="AX1801" s="652"/>
      <c r="AY1801" s="652"/>
      <c r="AZ1801" s="652"/>
      <c r="BA1801" s="652"/>
      <c r="BB1801" s="906"/>
      <c r="BC1801" s="906"/>
      <c r="BD1801" s="906"/>
    </row>
    <row r="1802" spans="1:57" s="3" customFormat="1" ht="25.5" customHeight="1" x14ac:dyDescent="0.25">
      <c r="A1802" s="262" t="s">
        <v>432</v>
      </c>
      <c r="B1802" s="252" t="s">
        <v>742</v>
      </c>
      <c r="C1802" s="167" t="s">
        <v>432</v>
      </c>
      <c r="D1802" s="972" t="s">
        <v>710</v>
      </c>
      <c r="E1802" s="1496" t="s">
        <v>432</v>
      </c>
      <c r="F1802" s="53" t="s">
        <v>840</v>
      </c>
      <c r="G1802" s="167" t="s">
        <v>3879</v>
      </c>
      <c r="H1802" s="167" t="s">
        <v>432</v>
      </c>
      <c r="I1802" s="167" t="s">
        <v>432</v>
      </c>
      <c r="J1802" s="107" t="s">
        <v>432</v>
      </c>
      <c r="K1802" s="107" t="s">
        <v>432</v>
      </c>
      <c r="L1802" s="107" t="s">
        <v>432</v>
      </c>
      <c r="M1802" s="107" t="s">
        <v>432</v>
      </c>
      <c r="N1802" s="107" t="s">
        <v>432</v>
      </c>
      <c r="O1802" s="107" t="s">
        <v>432</v>
      </c>
      <c r="P1802" s="107" t="s">
        <v>432</v>
      </c>
      <c r="Q1802" s="107" t="s">
        <v>432</v>
      </c>
      <c r="R1802" s="107" t="s">
        <v>432</v>
      </c>
      <c r="S1802" s="109" t="s">
        <v>2209</v>
      </c>
      <c r="T1802" s="107" t="s">
        <v>432</v>
      </c>
      <c r="U1802" s="107" t="s">
        <v>432</v>
      </c>
      <c r="V1802" s="109" t="s">
        <v>2209</v>
      </c>
      <c r="W1802" s="180" t="s">
        <v>432</v>
      </c>
      <c r="X1802" s="180" t="s">
        <v>432</v>
      </c>
      <c r="Y1802" s="180" t="s">
        <v>432</v>
      </c>
      <c r="Z1802" s="180" t="s">
        <v>432</v>
      </c>
      <c r="AA1802" s="180" t="s">
        <v>432</v>
      </c>
      <c r="AB1802" s="180" t="s">
        <v>432</v>
      </c>
      <c r="AC1802" s="180" t="s">
        <v>432</v>
      </c>
      <c r="AD1802" s="180" t="s">
        <v>432</v>
      </c>
      <c r="AE1802" s="180" t="s">
        <v>432</v>
      </c>
      <c r="AF1802" s="180" t="s">
        <v>432</v>
      </c>
      <c r="AG1802" s="180" t="s">
        <v>432</v>
      </c>
      <c r="AH1802" s="180" t="s">
        <v>432</v>
      </c>
      <c r="AI1802" s="180" t="s">
        <v>432</v>
      </c>
      <c r="AJ1802" s="180" t="s">
        <v>432</v>
      </c>
      <c r="AK1802" s="137" t="s">
        <v>432</v>
      </c>
      <c r="AL1802" s="601" t="s">
        <v>432</v>
      </c>
      <c r="AM1802" s="137" t="s">
        <v>432</v>
      </c>
      <c r="AN1802" s="137" t="s">
        <v>432</v>
      </c>
      <c r="AO1802" s="137" t="s">
        <v>432</v>
      </c>
      <c r="AP1802" s="137" t="s">
        <v>432</v>
      </c>
      <c r="AQ1802" s="137" t="s">
        <v>432</v>
      </c>
      <c r="AR1802" s="137" t="s">
        <v>432</v>
      </c>
      <c r="AS1802" s="137" t="s">
        <v>432</v>
      </c>
      <c r="AT1802" s="137" t="s">
        <v>432</v>
      </c>
      <c r="AU1802" s="137" t="s">
        <v>432</v>
      </c>
      <c r="AV1802" s="137" t="s">
        <v>432</v>
      </c>
      <c r="AW1802" s="137" t="s">
        <v>432</v>
      </c>
      <c r="AX1802" s="137" t="s">
        <v>432</v>
      </c>
      <c r="AY1802" s="137" t="s">
        <v>432</v>
      </c>
      <c r="AZ1802" s="137" t="s">
        <v>432</v>
      </c>
      <c r="BA1802" s="137" t="s">
        <v>432</v>
      </c>
      <c r="BB1802" s="239" t="str">
        <f>B1802&amp;C1802</f>
        <v>geralx</v>
      </c>
      <c r="BC1802" s="239" t="str">
        <f>B1802&amp;C1802&amp;H1802</f>
        <v>geralxx</v>
      </c>
      <c r="BD1802" s="239" t="str">
        <f>B1802&amp;H1802</f>
        <v>geralx</v>
      </c>
      <c r="BE1802" s="1"/>
    </row>
    <row r="1803" spans="1:57" s="3" customFormat="1" ht="123" customHeight="1" x14ac:dyDescent="0.25">
      <c r="A1803" s="262" t="str">
        <f>'Q100b-totais'!B44</f>
        <v>5.2</v>
      </c>
      <c r="B1803" s="252" t="str">
        <f>'Q100b-totais'!C44</f>
        <v>Poluição do ar</v>
      </c>
      <c r="C1803" s="167" t="s">
        <v>432</v>
      </c>
      <c r="D1803" s="1412" t="s">
        <v>5324</v>
      </c>
      <c r="E1803" s="1496" t="s">
        <v>1306</v>
      </c>
      <c r="F1803" s="518" t="s">
        <v>5325</v>
      </c>
      <c r="G1803" s="57" t="s">
        <v>3507</v>
      </c>
      <c r="H1803" s="167" t="s">
        <v>2408</v>
      </c>
      <c r="I1803" s="167" t="s">
        <v>432</v>
      </c>
      <c r="J1803" s="107" t="s">
        <v>432</v>
      </c>
      <c r="K1803" s="107" t="s">
        <v>432</v>
      </c>
      <c r="L1803" s="107" t="s">
        <v>432</v>
      </c>
      <c r="M1803" s="107" t="s">
        <v>432</v>
      </c>
      <c r="N1803" s="107" t="s">
        <v>432</v>
      </c>
      <c r="O1803" s="107" t="s">
        <v>432</v>
      </c>
      <c r="P1803" s="107" t="s">
        <v>432</v>
      </c>
      <c r="Q1803" s="107" t="s">
        <v>432</v>
      </c>
      <c r="R1803" s="107" t="s">
        <v>432</v>
      </c>
      <c r="S1803" s="109" t="s">
        <v>2209</v>
      </c>
      <c r="T1803" s="107" t="s">
        <v>432</v>
      </c>
      <c r="U1803" s="107" t="s">
        <v>432</v>
      </c>
      <c r="V1803" s="109" t="s">
        <v>2209</v>
      </c>
      <c r="W1803" s="180" t="s">
        <v>432</v>
      </c>
      <c r="X1803" s="180" t="s">
        <v>432</v>
      </c>
      <c r="Y1803" s="180" t="s">
        <v>432</v>
      </c>
      <c r="Z1803" s="180" t="s">
        <v>432</v>
      </c>
      <c r="AA1803" s="180" t="s">
        <v>432</v>
      </c>
      <c r="AB1803" s="180" t="s">
        <v>432</v>
      </c>
      <c r="AC1803" s="180" t="s">
        <v>432</v>
      </c>
      <c r="AD1803" s="180" t="s">
        <v>432</v>
      </c>
      <c r="AE1803" s="180" t="s">
        <v>432</v>
      </c>
      <c r="AF1803" s="180" t="s">
        <v>432</v>
      </c>
      <c r="AG1803" s="180" t="s">
        <v>432</v>
      </c>
      <c r="AH1803" s="180" t="s">
        <v>432</v>
      </c>
      <c r="AI1803" s="180" t="s">
        <v>432</v>
      </c>
      <c r="AJ1803" s="180" t="s">
        <v>432</v>
      </c>
      <c r="AK1803" s="137" t="s">
        <v>432</v>
      </c>
      <c r="AL1803" s="601" t="s">
        <v>432</v>
      </c>
      <c r="AM1803" s="137" t="s">
        <v>432</v>
      </c>
      <c r="AN1803" s="137" t="s">
        <v>432</v>
      </c>
      <c r="AO1803" s="137" t="s">
        <v>432</v>
      </c>
      <c r="AP1803" s="137" t="s">
        <v>432</v>
      </c>
      <c r="AQ1803" s="137" t="s">
        <v>432</v>
      </c>
      <c r="AR1803" s="137" t="s">
        <v>432</v>
      </c>
      <c r="AS1803" s="137" t="s">
        <v>432</v>
      </c>
      <c r="AT1803" s="137" t="s">
        <v>432</v>
      </c>
      <c r="AU1803" s="137" t="s">
        <v>432</v>
      </c>
      <c r="AV1803" s="137" t="s">
        <v>432</v>
      </c>
      <c r="AW1803" s="137" t="s">
        <v>432</v>
      </c>
      <c r="AX1803" s="137" t="s">
        <v>432</v>
      </c>
      <c r="AY1803" s="137" t="s">
        <v>432</v>
      </c>
      <c r="AZ1803" s="137" t="s">
        <v>432</v>
      </c>
      <c r="BA1803" s="137" t="s">
        <v>432</v>
      </c>
      <c r="BB1803" s="239" t="str">
        <f>B1803&amp;C1803</f>
        <v>Poluição do arx</v>
      </c>
      <c r="BC1803" s="239" t="str">
        <f>B1803&amp;C1803&amp;H1803</f>
        <v>Poluição do arxsigla/verbete</v>
      </c>
      <c r="BD1803" s="239" t="str">
        <f>B1803&amp;H1803</f>
        <v>Poluição do arsigla/verbete</v>
      </c>
      <c r="BE1803" s="1"/>
    </row>
    <row r="1804" spans="1:57" s="1" customFormat="1" x14ac:dyDescent="0.25">
      <c r="A1804" s="398"/>
      <c r="B1804" s="221"/>
      <c r="C1804" s="399"/>
      <c r="D1804" s="987"/>
      <c r="E1804" s="1533"/>
      <c r="F1804" s="405"/>
      <c r="G1804" s="902"/>
      <c r="H1804" s="903"/>
      <c r="I1804" s="902"/>
      <c r="J1804" s="904"/>
      <c r="K1804" s="905"/>
      <c r="L1804" s="905"/>
      <c r="M1804" s="905"/>
      <c r="N1804" s="905"/>
      <c r="O1804" s="905"/>
      <c r="P1804" s="905"/>
      <c r="Q1804" s="905"/>
      <c r="R1804" s="905"/>
      <c r="S1804" s="905"/>
      <c r="T1804" s="905"/>
      <c r="U1804" s="905"/>
      <c r="V1804" s="905"/>
      <c r="W1804" s="905"/>
      <c r="X1804" s="905"/>
      <c r="Y1804" s="905"/>
      <c r="Z1804" s="905"/>
      <c r="AA1804" s="905"/>
      <c r="AB1804" s="905"/>
      <c r="AC1804" s="905"/>
      <c r="AD1804" s="905"/>
      <c r="AE1804" s="905"/>
      <c r="AF1804" s="905"/>
      <c r="AG1804" s="905"/>
      <c r="AH1804" s="905"/>
      <c r="AI1804" s="905"/>
      <c r="AJ1804" s="905"/>
      <c r="AK1804" s="652"/>
      <c r="AL1804" s="652"/>
      <c r="AM1804" s="652"/>
      <c r="AN1804" s="652"/>
      <c r="AO1804" s="652"/>
      <c r="AP1804" s="652"/>
      <c r="AQ1804" s="652"/>
      <c r="AR1804" s="652"/>
      <c r="AS1804" s="652"/>
      <c r="AT1804" s="652"/>
      <c r="AU1804" s="652"/>
      <c r="AV1804" s="652"/>
      <c r="AW1804" s="652"/>
      <c r="AX1804" s="652"/>
      <c r="AY1804" s="652"/>
      <c r="AZ1804" s="652"/>
      <c r="BA1804" s="652"/>
      <c r="BB1804" s="906"/>
      <c r="BC1804" s="906"/>
      <c r="BD1804" s="906"/>
    </row>
    <row r="1805" spans="1:57" s="1" customFormat="1" ht="51" customHeight="1" x14ac:dyDescent="0.25">
      <c r="A1805" s="262" t="str">
        <f>'Q100b-totais'!B19</f>
        <v>2.4</v>
      </c>
      <c r="B1805" s="252" t="str">
        <f>'Q100b-totais'!C19</f>
        <v>População</v>
      </c>
      <c r="C1805" s="167" t="s">
        <v>432</v>
      </c>
      <c r="D1805" s="1198" t="s">
        <v>2812</v>
      </c>
      <c r="E1805" s="1491" t="s">
        <v>432</v>
      </c>
      <c r="F1805" s="1197" t="s">
        <v>6060</v>
      </c>
      <c r="G1805" s="57" t="s">
        <v>3507</v>
      </c>
      <c r="H1805" s="167" t="s">
        <v>2408</v>
      </c>
      <c r="I1805" s="167" t="s">
        <v>432</v>
      </c>
      <c r="J1805" s="107" t="s">
        <v>432</v>
      </c>
      <c r="K1805" s="107" t="s">
        <v>432</v>
      </c>
      <c r="L1805" s="107" t="s">
        <v>432</v>
      </c>
      <c r="M1805" s="107" t="s">
        <v>432</v>
      </c>
      <c r="N1805" s="107" t="s">
        <v>432</v>
      </c>
      <c r="O1805" s="107" t="s">
        <v>432</v>
      </c>
      <c r="P1805" s="107" t="s">
        <v>432</v>
      </c>
      <c r="Q1805" s="107" t="s">
        <v>432</v>
      </c>
      <c r="R1805" s="107" t="s">
        <v>432</v>
      </c>
      <c r="S1805" s="109" t="s">
        <v>2209</v>
      </c>
      <c r="T1805" s="107" t="s">
        <v>432</v>
      </c>
      <c r="U1805" s="107" t="s">
        <v>432</v>
      </c>
      <c r="V1805" s="109" t="s">
        <v>2209</v>
      </c>
      <c r="W1805" s="180" t="s">
        <v>432</v>
      </c>
      <c r="X1805" s="180" t="s">
        <v>432</v>
      </c>
      <c r="Y1805" s="180" t="s">
        <v>432</v>
      </c>
      <c r="Z1805" s="180" t="s">
        <v>432</v>
      </c>
      <c r="AA1805" s="180" t="s">
        <v>432</v>
      </c>
      <c r="AB1805" s="180" t="s">
        <v>432</v>
      </c>
      <c r="AC1805" s="180" t="s">
        <v>432</v>
      </c>
      <c r="AD1805" s="180" t="s">
        <v>432</v>
      </c>
      <c r="AE1805" s="180" t="s">
        <v>432</v>
      </c>
      <c r="AF1805" s="180" t="s">
        <v>432</v>
      </c>
      <c r="AG1805" s="180" t="s">
        <v>432</v>
      </c>
      <c r="AH1805" s="180" t="s">
        <v>432</v>
      </c>
      <c r="AI1805" s="180" t="s">
        <v>432</v>
      </c>
      <c r="AJ1805" s="180" t="s">
        <v>432</v>
      </c>
      <c r="AK1805" s="137" t="s">
        <v>432</v>
      </c>
      <c r="AL1805" s="601" t="s">
        <v>432</v>
      </c>
      <c r="AM1805" s="137" t="s">
        <v>432</v>
      </c>
      <c r="AN1805" s="137" t="s">
        <v>432</v>
      </c>
      <c r="AO1805" s="137" t="s">
        <v>432</v>
      </c>
      <c r="AP1805" s="137" t="s">
        <v>432</v>
      </c>
      <c r="AQ1805" s="137" t="s">
        <v>432</v>
      </c>
      <c r="AR1805" s="137" t="s">
        <v>432</v>
      </c>
      <c r="AS1805" s="137" t="s">
        <v>432</v>
      </c>
      <c r="AT1805" s="137" t="s">
        <v>432</v>
      </c>
      <c r="AU1805" s="137" t="s">
        <v>432</v>
      </c>
      <c r="AV1805" s="137" t="s">
        <v>432</v>
      </c>
      <c r="AW1805" s="137" t="s">
        <v>432</v>
      </c>
      <c r="AX1805" s="137" t="s">
        <v>432</v>
      </c>
      <c r="AY1805" s="137" t="s">
        <v>432</v>
      </c>
      <c r="AZ1805" s="137" t="s">
        <v>432</v>
      </c>
      <c r="BA1805" s="137" t="s">
        <v>432</v>
      </c>
      <c r="BB1805" s="239" t="str">
        <f>B1805&amp;C1805</f>
        <v>Populaçãox</v>
      </c>
      <c r="BC1805" s="239" t="str">
        <f>B1805&amp;C1805&amp;H1805</f>
        <v>Populaçãoxsigla/verbete</v>
      </c>
      <c r="BD1805" s="239" t="str">
        <f>B1805&amp;H1805</f>
        <v>Populaçãosigla/verbete</v>
      </c>
    </row>
    <row r="1806" spans="1:57" s="1" customFormat="1" ht="25.5" x14ac:dyDescent="0.25">
      <c r="A1806" s="262" t="str">
        <f>'Q100b-totais'!B19</f>
        <v>2.4</v>
      </c>
      <c r="B1806" s="252" t="str">
        <f>'Q100b-totais'!C19</f>
        <v>População</v>
      </c>
      <c r="C1806" s="167" t="s">
        <v>432</v>
      </c>
      <c r="D1806" s="940" t="s">
        <v>2812</v>
      </c>
      <c r="E1806" s="1534" t="s">
        <v>3417</v>
      </c>
      <c r="F1806" s="1055" t="s">
        <v>5326</v>
      </c>
      <c r="G1806" s="110" t="s">
        <v>77</v>
      </c>
      <c r="H1806" s="57" t="s">
        <v>819</v>
      </c>
      <c r="I1806" s="167" t="s">
        <v>3427</v>
      </c>
      <c r="J1806" s="107" t="s">
        <v>432</v>
      </c>
      <c r="K1806" s="107" t="s">
        <v>432</v>
      </c>
      <c r="L1806" s="107" t="s">
        <v>432</v>
      </c>
      <c r="M1806" s="107" t="s">
        <v>432</v>
      </c>
      <c r="N1806" s="107" t="s">
        <v>432</v>
      </c>
      <c r="O1806" s="107" t="s">
        <v>432</v>
      </c>
      <c r="P1806" s="107" t="s">
        <v>432</v>
      </c>
      <c r="Q1806" s="107" t="s">
        <v>432</v>
      </c>
      <c r="R1806" s="107" t="s">
        <v>432</v>
      </c>
      <c r="S1806" s="109" t="s">
        <v>2209</v>
      </c>
      <c r="T1806" s="107" t="s">
        <v>432</v>
      </c>
      <c r="U1806" s="107" t="s">
        <v>432</v>
      </c>
      <c r="V1806" s="109" t="s">
        <v>2209</v>
      </c>
      <c r="W1806" s="107" t="s">
        <v>432</v>
      </c>
      <c r="X1806" s="107" t="s">
        <v>432</v>
      </c>
      <c r="Y1806" s="107" t="s">
        <v>432</v>
      </c>
      <c r="Z1806" s="107" t="s">
        <v>432</v>
      </c>
      <c r="AA1806" s="107" t="s">
        <v>432</v>
      </c>
      <c r="AB1806" s="107" t="s">
        <v>432</v>
      </c>
      <c r="AC1806" s="107" t="s">
        <v>432</v>
      </c>
      <c r="AD1806" s="107" t="s">
        <v>432</v>
      </c>
      <c r="AE1806" s="107" t="s">
        <v>432</v>
      </c>
      <c r="AF1806" s="107" t="s">
        <v>432</v>
      </c>
      <c r="AG1806" s="107" t="s">
        <v>432</v>
      </c>
      <c r="AH1806" s="107" t="s">
        <v>432</v>
      </c>
      <c r="AI1806" s="107" t="s">
        <v>432</v>
      </c>
      <c r="AJ1806" s="107" t="s">
        <v>432</v>
      </c>
      <c r="AK1806" s="107" t="s">
        <v>432</v>
      </c>
      <c r="AL1806" s="601" t="s">
        <v>432</v>
      </c>
      <c r="AM1806" s="86">
        <v>1635000</v>
      </c>
      <c r="AN1806" s="107" t="s">
        <v>432</v>
      </c>
      <c r="AO1806" s="107" t="s">
        <v>432</v>
      </c>
      <c r="AP1806" s="107" t="s">
        <v>432</v>
      </c>
      <c r="AQ1806" s="107" t="s">
        <v>432</v>
      </c>
      <c r="AR1806" s="107" t="s">
        <v>432</v>
      </c>
      <c r="AS1806" s="107" t="s">
        <v>432</v>
      </c>
      <c r="AT1806" s="107" t="s">
        <v>432</v>
      </c>
      <c r="AU1806" s="107" t="s">
        <v>432</v>
      </c>
      <c r="AV1806" s="107" t="s">
        <v>432</v>
      </c>
      <c r="AW1806" s="107" t="s">
        <v>432</v>
      </c>
      <c r="AX1806" s="107" t="s">
        <v>432</v>
      </c>
      <c r="AY1806" s="107" t="s">
        <v>432</v>
      </c>
      <c r="AZ1806" s="107" t="s">
        <v>432</v>
      </c>
      <c r="BA1806" s="107" t="s">
        <v>432</v>
      </c>
      <c r="BB1806" s="239" t="str">
        <f t="shared" ref="BB1806:BB1812" si="545">B1806&amp;C1806</f>
        <v>Populaçãox</v>
      </c>
      <c r="BC1806" s="239" t="str">
        <f t="shared" ref="BC1806:BC1812" si="546">B1806&amp;C1806&amp;H1806</f>
        <v>Populaçãoxbenchmarking</v>
      </c>
      <c r="BD1806" s="239" t="str">
        <f t="shared" ref="BD1806:BD1812" si="547">B1806&amp;H1806</f>
        <v>Populaçãobenchmarking</v>
      </c>
    </row>
    <row r="1807" spans="1:57" s="1" customFormat="1" ht="25.5" x14ac:dyDescent="0.25">
      <c r="A1807" s="262" t="str">
        <f>'Q100b-totais'!B19</f>
        <v>2.4</v>
      </c>
      <c r="B1807" s="252" t="str">
        <f>'Q100b-totais'!C19</f>
        <v>População</v>
      </c>
      <c r="C1807" s="167" t="s">
        <v>432</v>
      </c>
      <c r="D1807" s="940" t="s">
        <v>2812</v>
      </c>
      <c r="E1807" s="1534" t="s">
        <v>3416</v>
      </c>
      <c r="F1807" s="990" t="s">
        <v>3411</v>
      </c>
      <c r="G1807" s="110" t="s">
        <v>77</v>
      </c>
      <c r="H1807" s="57" t="s">
        <v>819</v>
      </c>
      <c r="I1807" s="167" t="s">
        <v>3427</v>
      </c>
      <c r="J1807" s="107" t="s">
        <v>432</v>
      </c>
      <c r="K1807" s="107" t="s">
        <v>432</v>
      </c>
      <c r="L1807" s="107" t="s">
        <v>432</v>
      </c>
      <c r="M1807" s="107" t="s">
        <v>432</v>
      </c>
      <c r="N1807" s="107" t="s">
        <v>432</v>
      </c>
      <c r="O1807" s="107" t="s">
        <v>432</v>
      </c>
      <c r="P1807" s="107" t="s">
        <v>432</v>
      </c>
      <c r="Q1807" s="107" t="s">
        <v>432</v>
      </c>
      <c r="R1807" s="107" t="s">
        <v>432</v>
      </c>
      <c r="S1807" s="109" t="s">
        <v>2209</v>
      </c>
      <c r="T1807" s="107" t="s">
        <v>432</v>
      </c>
      <c r="U1807" s="107" t="s">
        <v>432</v>
      </c>
      <c r="V1807" s="109" t="s">
        <v>2209</v>
      </c>
      <c r="W1807" s="107" t="s">
        <v>432</v>
      </c>
      <c r="X1807" s="107" t="s">
        <v>432</v>
      </c>
      <c r="Y1807" s="107" t="s">
        <v>432</v>
      </c>
      <c r="Z1807" s="107" t="s">
        <v>432</v>
      </c>
      <c r="AA1807" s="107" t="s">
        <v>432</v>
      </c>
      <c r="AB1807" s="107" t="s">
        <v>432</v>
      </c>
      <c r="AC1807" s="107" t="s">
        <v>432</v>
      </c>
      <c r="AD1807" s="107" t="s">
        <v>432</v>
      </c>
      <c r="AE1807" s="107" t="s">
        <v>432</v>
      </c>
      <c r="AF1807" s="107" t="s">
        <v>432</v>
      </c>
      <c r="AG1807" s="107" t="s">
        <v>432</v>
      </c>
      <c r="AH1807" s="107" t="s">
        <v>432</v>
      </c>
      <c r="AI1807" s="107" t="s">
        <v>432</v>
      </c>
      <c r="AJ1807" s="107" t="s">
        <v>432</v>
      </c>
      <c r="AK1807" s="107" t="s">
        <v>432</v>
      </c>
      <c r="AL1807" s="601" t="s">
        <v>432</v>
      </c>
      <c r="AM1807" s="87">
        <v>4740000</v>
      </c>
      <c r="AN1807" s="107" t="s">
        <v>432</v>
      </c>
      <c r="AO1807" s="107" t="s">
        <v>432</v>
      </c>
      <c r="AP1807" s="107" t="s">
        <v>432</v>
      </c>
      <c r="AQ1807" s="107" t="s">
        <v>432</v>
      </c>
      <c r="AR1807" s="107" t="s">
        <v>432</v>
      </c>
      <c r="AS1807" s="107" t="s">
        <v>432</v>
      </c>
      <c r="AT1807" s="107" t="s">
        <v>432</v>
      </c>
      <c r="AU1807" s="107" t="s">
        <v>432</v>
      </c>
      <c r="AV1807" s="107" t="s">
        <v>432</v>
      </c>
      <c r="AW1807" s="107" t="s">
        <v>432</v>
      </c>
      <c r="AX1807" s="107" t="s">
        <v>432</v>
      </c>
      <c r="AY1807" s="107" t="s">
        <v>432</v>
      </c>
      <c r="AZ1807" s="107" t="s">
        <v>432</v>
      </c>
      <c r="BA1807" s="107" t="s">
        <v>432</v>
      </c>
      <c r="BB1807" s="239" t="str">
        <f t="shared" si="545"/>
        <v>Populaçãox</v>
      </c>
      <c r="BC1807" s="239" t="str">
        <f t="shared" si="546"/>
        <v>Populaçãoxbenchmarking</v>
      </c>
      <c r="BD1807" s="239" t="str">
        <f t="shared" si="547"/>
        <v>Populaçãobenchmarking</v>
      </c>
    </row>
    <row r="1808" spans="1:57" s="1" customFormat="1" ht="25.5" x14ac:dyDescent="0.25">
      <c r="A1808" s="262" t="str">
        <f>'Q100b-totais'!B19</f>
        <v>2.4</v>
      </c>
      <c r="B1808" s="252" t="str">
        <f>'Q100b-totais'!C19</f>
        <v>População</v>
      </c>
      <c r="C1808" s="167" t="s">
        <v>432</v>
      </c>
      <c r="D1808" s="940" t="s">
        <v>2812</v>
      </c>
      <c r="E1808" s="1534" t="s">
        <v>3419</v>
      </c>
      <c r="F1808" s="990" t="s">
        <v>3418</v>
      </c>
      <c r="G1808" s="110" t="s">
        <v>77</v>
      </c>
      <c r="H1808" s="57" t="s">
        <v>819</v>
      </c>
      <c r="I1808" s="167" t="s">
        <v>3427</v>
      </c>
      <c r="J1808" s="107" t="s">
        <v>432</v>
      </c>
      <c r="K1808" s="107" t="s">
        <v>432</v>
      </c>
      <c r="L1808" s="107" t="s">
        <v>432</v>
      </c>
      <c r="M1808" s="107" t="s">
        <v>432</v>
      </c>
      <c r="N1808" s="107" t="s">
        <v>432</v>
      </c>
      <c r="O1808" s="107" t="s">
        <v>432</v>
      </c>
      <c r="P1808" s="107" t="s">
        <v>432</v>
      </c>
      <c r="Q1808" s="107" t="s">
        <v>432</v>
      </c>
      <c r="R1808" s="107" t="s">
        <v>432</v>
      </c>
      <c r="S1808" s="109" t="s">
        <v>2209</v>
      </c>
      <c r="T1808" s="107" t="s">
        <v>432</v>
      </c>
      <c r="U1808" s="107" t="s">
        <v>432</v>
      </c>
      <c r="V1808" s="109" t="s">
        <v>2209</v>
      </c>
      <c r="W1808" s="107" t="s">
        <v>432</v>
      </c>
      <c r="X1808" s="107" t="s">
        <v>432</v>
      </c>
      <c r="Y1808" s="107" t="s">
        <v>432</v>
      </c>
      <c r="Z1808" s="107" t="s">
        <v>432</v>
      </c>
      <c r="AA1808" s="107" t="s">
        <v>432</v>
      </c>
      <c r="AB1808" s="107" t="s">
        <v>432</v>
      </c>
      <c r="AC1808" s="107" t="s">
        <v>432</v>
      </c>
      <c r="AD1808" s="107" t="s">
        <v>432</v>
      </c>
      <c r="AE1808" s="107" t="s">
        <v>432</v>
      </c>
      <c r="AF1808" s="107" t="s">
        <v>432</v>
      </c>
      <c r="AG1808" s="107" t="s">
        <v>432</v>
      </c>
      <c r="AH1808" s="107" t="s">
        <v>432</v>
      </c>
      <c r="AI1808" s="107" t="s">
        <v>432</v>
      </c>
      <c r="AJ1808" s="107" t="s">
        <v>432</v>
      </c>
      <c r="AK1808" s="107" t="s">
        <v>432</v>
      </c>
      <c r="AL1808" s="601" t="s">
        <v>432</v>
      </c>
      <c r="AM1808" s="87">
        <v>605000</v>
      </c>
      <c r="AN1808" s="107" t="s">
        <v>432</v>
      </c>
      <c r="AO1808" s="107" t="s">
        <v>432</v>
      </c>
      <c r="AP1808" s="107" t="s">
        <v>432</v>
      </c>
      <c r="AQ1808" s="107" t="s">
        <v>432</v>
      </c>
      <c r="AR1808" s="107" t="s">
        <v>432</v>
      </c>
      <c r="AS1808" s="107" t="s">
        <v>432</v>
      </c>
      <c r="AT1808" s="107" t="s">
        <v>432</v>
      </c>
      <c r="AU1808" s="107" t="s">
        <v>432</v>
      </c>
      <c r="AV1808" s="107" t="s">
        <v>432</v>
      </c>
      <c r="AW1808" s="107" t="s">
        <v>432</v>
      </c>
      <c r="AX1808" s="107" t="s">
        <v>432</v>
      </c>
      <c r="AY1808" s="107" t="s">
        <v>432</v>
      </c>
      <c r="AZ1808" s="107" t="s">
        <v>432</v>
      </c>
      <c r="BA1808" s="107" t="s">
        <v>432</v>
      </c>
      <c r="BB1808" s="239" t="str">
        <f t="shared" si="545"/>
        <v>Populaçãox</v>
      </c>
      <c r="BC1808" s="239" t="str">
        <f t="shared" si="546"/>
        <v>Populaçãoxbenchmarking</v>
      </c>
      <c r="BD1808" s="239" t="str">
        <f t="shared" si="547"/>
        <v>Populaçãobenchmarking</v>
      </c>
    </row>
    <row r="1809" spans="1:57" s="1" customFormat="1" ht="25.5" x14ac:dyDescent="0.25">
      <c r="A1809" s="262" t="str">
        <f>'Q100b-totais'!B19</f>
        <v>2.4</v>
      </c>
      <c r="B1809" s="252" t="str">
        <f>'Q100b-totais'!C19</f>
        <v>População</v>
      </c>
      <c r="C1809" s="167" t="s">
        <v>432</v>
      </c>
      <c r="D1809" s="940" t="s">
        <v>2812</v>
      </c>
      <c r="E1809" s="1535" t="s">
        <v>3023</v>
      </c>
      <c r="F1809" s="990" t="s">
        <v>3158</v>
      </c>
      <c r="G1809" s="110" t="s">
        <v>77</v>
      </c>
      <c r="H1809" s="57" t="s">
        <v>819</v>
      </c>
      <c r="I1809" s="167" t="s">
        <v>3427</v>
      </c>
      <c r="J1809" s="107" t="s">
        <v>432</v>
      </c>
      <c r="K1809" s="107" t="s">
        <v>432</v>
      </c>
      <c r="L1809" s="107" t="s">
        <v>432</v>
      </c>
      <c r="M1809" s="107" t="s">
        <v>432</v>
      </c>
      <c r="N1809" s="107" t="s">
        <v>432</v>
      </c>
      <c r="O1809" s="107" t="s">
        <v>432</v>
      </c>
      <c r="P1809" s="107" t="s">
        <v>432</v>
      </c>
      <c r="Q1809" s="107" t="s">
        <v>432</v>
      </c>
      <c r="R1809" s="107" t="s">
        <v>432</v>
      </c>
      <c r="S1809" s="109" t="s">
        <v>2209</v>
      </c>
      <c r="T1809" s="107" t="s">
        <v>432</v>
      </c>
      <c r="U1809" s="107" t="s">
        <v>432</v>
      </c>
      <c r="V1809" s="109" t="s">
        <v>2209</v>
      </c>
      <c r="W1809" s="107" t="s">
        <v>432</v>
      </c>
      <c r="X1809" s="107" t="s">
        <v>432</v>
      </c>
      <c r="Y1809" s="107" t="s">
        <v>432</v>
      </c>
      <c r="Z1809" s="107" t="s">
        <v>432</v>
      </c>
      <c r="AA1809" s="107" t="s">
        <v>432</v>
      </c>
      <c r="AB1809" s="107" t="s">
        <v>432</v>
      </c>
      <c r="AC1809" s="107" t="s">
        <v>432</v>
      </c>
      <c r="AD1809" s="107" t="s">
        <v>432</v>
      </c>
      <c r="AE1809" s="107" t="s">
        <v>432</v>
      </c>
      <c r="AF1809" s="107" t="s">
        <v>432</v>
      </c>
      <c r="AG1809" s="107" t="s">
        <v>432</v>
      </c>
      <c r="AH1809" s="107" t="s">
        <v>432</v>
      </c>
      <c r="AI1809" s="87">
        <v>3500000</v>
      </c>
      <c r="AJ1809" s="107" t="s">
        <v>432</v>
      </c>
      <c r="AK1809" s="107" t="s">
        <v>432</v>
      </c>
      <c r="AL1809" s="601" t="s">
        <v>432</v>
      </c>
      <c r="AM1809" s="649" t="s">
        <v>432</v>
      </c>
      <c r="AN1809" s="107" t="s">
        <v>432</v>
      </c>
      <c r="AO1809" s="107" t="s">
        <v>432</v>
      </c>
      <c r="AP1809" s="107" t="s">
        <v>432</v>
      </c>
      <c r="AQ1809" s="107" t="s">
        <v>432</v>
      </c>
      <c r="AR1809" s="107" t="s">
        <v>432</v>
      </c>
      <c r="AS1809" s="107" t="s">
        <v>432</v>
      </c>
      <c r="AT1809" s="107" t="s">
        <v>432</v>
      </c>
      <c r="AU1809" s="107" t="s">
        <v>432</v>
      </c>
      <c r="AV1809" s="107" t="s">
        <v>432</v>
      </c>
      <c r="AW1809" s="107" t="s">
        <v>432</v>
      </c>
      <c r="AX1809" s="107" t="s">
        <v>432</v>
      </c>
      <c r="AY1809" s="107" t="s">
        <v>432</v>
      </c>
      <c r="AZ1809" s="107" t="s">
        <v>432</v>
      </c>
      <c r="BA1809" s="107" t="s">
        <v>432</v>
      </c>
      <c r="BB1809" s="239" t="str">
        <f t="shared" si="545"/>
        <v>Populaçãox</v>
      </c>
      <c r="BC1809" s="239" t="str">
        <f t="shared" si="546"/>
        <v>Populaçãoxbenchmarking</v>
      </c>
      <c r="BD1809" s="239" t="str">
        <f t="shared" si="547"/>
        <v>Populaçãobenchmarking</v>
      </c>
    </row>
    <row r="1810" spans="1:57" s="1" customFormat="1" ht="25.5" x14ac:dyDescent="0.25">
      <c r="A1810" s="262" t="str">
        <f>'Q100b-totais'!B19</f>
        <v>2.4</v>
      </c>
      <c r="B1810" s="252" t="str">
        <f>'Q100b-totais'!C19</f>
        <v>População</v>
      </c>
      <c r="C1810" s="167" t="s">
        <v>432</v>
      </c>
      <c r="D1810" s="940" t="s">
        <v>2812</v>
      </c>
      <c r="E1810" s="1535" t="s">
        <v>3413</v>
      </c>
      <c r="F1810" s="990" t="s">
        <v>3411</v>
      </c>
      <c r="G1810" s="110" t="s">
        <v>77</v>
      </c>
      <c r="H1810" s="57" t="s">
        <v>819</v>
      </c>
      <c r="I1810" s="167" t="s">
        <v>3427</v>
      </c>
      <c r="J1810" s="107" t="s">
        <v>432</v>
      </c>
      <c r="K1810" s="107" t="s">
        <v>432</v>
      </c>
      <c r="L1810" s="107" t="s">
        <v>432</v>
      </c>
      <c r="M1810" s="107" t="s">
        <v>432</v>
      </c>
      <c r="N1810" s="107" t="s">
        <v>432</v>
      </c>
      <c r="O1810" s="107" t="s">
        <v>432</v>
      </c>
      <c r="P1810" s="107" t="s">
        <v>432</v>
      </c>
      <c r="Q1810" s="107" t="s">
        <v>432</v>
      </c>
      <c r="R1810" s="107" t="s">
        <v>432</v>
      </c>
      <c r="S1810" s="109" t="s">
        <v>2209</v>
      </c>
      <c r="T1810" s="107" t="s">
        <v>432</v>
      </c>
      <c r="U1810" s="107" t="s">
        <v>432</v>
      </c>
      <c r="V1810" s="109" t="s">
        <v>2209</v>
      </c>
      <c r="W1810" s="107" t="s">
        <v>432</v>
      </c>
      <c r="X1810" s="107" t="s">
        <v>432</v>
      </c>
      <c r="Y1810" s="107" t="s">
        <v>432</v>
      </c>
      <c r="Z1810" s="107" t="s">
        <v>432</v>
      </c>
      <c r="AA1810" s="107" t="s">
        <v>432</v>
      </c>
      <c r="AB1810" s="107" t="s">
        <v>432</v>
      </c>
      <c r="AC1810" s="107" t="s">
        <v>432</v>
      </c>
      <c r="AD1810" s="107" t="s">
        <v>432</v>
      </c>
      <c r="AE1810" s="107" t="s">
        <v>432</v>
      </c>
      <c r="AF1810" s="107" t="s">
        <v>432</v>
      </c>
      <c r="AG1810" s="107" t="s">
        <v>432</v>
      </c>
      <c r="AH1810" s="107" t="s">
        <v>432</v>
      </c>
      <c r="AI1810" s="107" t="s">
        <v>432</v>
      </c>
      <c r="AJ1810" s="107" t="s">
        <v>432</v>
      </c>
      <c r="AK1810" s="107" t="s">
        <v>432</v>
      </c>
      <c r="AL1810" s="601" t="s">
        <v>432</v>
      </c>
      <c r="AM1810" s="86">
        <v>4085000</v>
      </c>
      <c r="AN1810" s="107" t="s">
        <v>432</v>
      </c>
      <c r="AO1810" s="107" t="s">
        <v>432</v>
      </c>
      <c r="AP1810" s="107" t="s">
        <v>432</v>
      </c>
      <c r="AQ1810" s="107" t="s">
        <v>432</v>
      </c>
      <c r="AR1810" s="107" t="s">
        <v>432</v>
      </c>
      <c r="AS1810" s="107" t="s">
        <v>432</v>
      </c>
      <c r="AT1810" s="107" t="s">
        <v>432</v>
      </c>
      <c r="AU1810" s="107" t="s">
        <v>432</v>
      </c>
      <c r="AV1810" s="107" t="s">
        <v>432</v>
      </c>
      <c r="AW1810" s="107" t="s">
        <v>432</v>
      </c>
      <c r="AX1810" s="107" t="s">
        <v>432</v>
      </c>
      <c r="AY1810" s="107" t="s">
        <v>432</v>
      </c>
      <c r="AZ1810" s="107" t="s">
        <v>432</v>
      </c>
      <c r="BA1810" s="107" t="s">
        <v>432</v>
      </c>
      <c r="BB1810" s="239" t="str">
        <f t="shared" si="545"/>
        <v>Populaçãox</v>
      </c>
      <c r="BC1810" s="239" t="str">
        <f t="shared" si="546"/>
        <v>Populaçãoxbenchmarking</v>
      </c>
      <c r="BD1810" s="239" t="str">
        <f t="shared" si="547"/>
        <v>Populaçãobenchmarking</v>
      </c>
    </row>
    <row r="1811" spans="1:57" s="1" customFormat="1" ht="25.5" x14ac:dyDescent="0.25">
      <c r="A1811" s="262" t="str">
        <f>'Q100b-totais'!B19</f>
        <v>2.4</v>
      </c>
      <c r="B1811" s="252" t="str">
        <f>'Q100b-totais'!C19</f>
        <v>População</v>
      </c>
      <c r="C1811" s="167" t="s">
        <v>432</v>
      </c>
      <c r="D1811" s="940" t="s">
        <v>2812</v>
      </c>
      <c r="E1811" s="1356" t="s">
        <v>3041</v>
      </c>
      <c r="F1811" s="13" t="s">
        <v>3161</v>
      </c>
      <c r="G1811" s="110" t="s">
        <v>77</v>
      </c>
      <c r="H1811" s="57" t="s">
        <v>819</v>
      </c>
      <c r="I1811" s="167" t="s">
        <v>3427</v>
      </c>
      <c r="J1811" s="107" t="s">
        <v>432</v>
      </c>
      <c r="K1811" s="107" t="s">
        <v>432</v>
      </c>
      <c r="L1811" s="107" t="s">
        <v>432</v>
      </c>
      <c r="M1811" s="107" t="s">
        <v>432</v>
      </c>
      <c r="N1811" s="107" t="s">
        <v>432</v>
      </c>
      <c r="O1811" s="107" t="s">
        <v>432</v>
      </c>
      <c r="P1811" s="107" t="s">
        <v>432</v>
      </c>
      <c r="Q1811" s="107" t="s">
        <v>432</v>
      </c>
      <c r="R1811" s="107" t="s">
        <v>432</v>
      </c>
      <c r="S1811" s="109" t="s">
        <v>2209</v>
      </c>
      <c r="T1811" s="107" t="s">
        <v>432</v>
      </c>
      <c r="U1811" s="107" t="s">
        <v>432</v>
      </c>
      <c r="V1811" s="109" t="s">
        <v>2209</v>
      </c>
      <c r="W1811" s="107" t="s">
        <v>432</v>
      </c>
      <c r="X1811" s="107" t="s">
        <v>432</v>
      </c>
      <c r="Y1811" s="107" t="s">
        <v>432</v>
      </c>
      <c r="Z1811" s="107" t="s">
        <v>432</v>
      </c>
      <c r="AA1811" s="107" t="s">
        <v>432</v>
      </c>
      <c r="AB1811" s="107" t="s">
        <v>432</v>
      </c>
      <c r="AC1811" s="107" t="s">
        <v>432</v>
      </c>
      <c r="AD1811" s="107" t="s">
        <v>432</v>
      </c>
      <c r="AE1811" s="107" t="s">
        <v>432</v>
      </c>
      <c r="AF1811" s="107" t="s">
        <v>432</v>
      </c>
      <c r="AG1811" s="107" t="s">
        <v>432</v>
      </c>
      <c r="AH1811" s="107" t="s">
        <v>432</v>
      </c>
      <c r="AI1811" s="87">
        <v>355000</v>
      </c>
      <c r="AJ1811" s="107" t="s">
        <v>432</v>
      </c>
      <c r="AK1811" s="107" t="s">
        <v>432</v>
      </c>
      <c r="AL1811" s="601" t="s">
        <v>432</v>
      </c>
      <c r="AM1811" s="649" t="s">
        <v>432</v>
      </c>
      <c r="AN1811" s="107" t="s">
        <v>432</v>
      </c>
      <c r="AO1811" s="107" t="s">
        <v>432</v>
      </c>
      <c r="AP1811" s="107" t="s">
        <v>432</v>
      </c>
      <c r="AQ1811" s="107" t="s">
        <v>432</v>
      </c>
      <c r="AR1811" s="107" t="s">
        <v>432</v>
      </c>
      <c r="AS1811" s="107" t="s">
        <v>432</v>
      </c>
      <c r="AT1811" s="107" t="s">
        <v>432</v>
      </c>
      <c r="AU1811" s="107" t="s">
        <v>432</v>
      </c>
      <c r="AV1811" s="107" t="s">
        <v>432</v>
      </c>
      <c r="AW1811" s="107" t="s">
        <v>432</v>
      </c>
      <c r="AX1811" s="107" t="s">
        <v>432</v>
      </c>
      <c r="AY1811" s="107" t="s">
        <v>432</v>
      </c>
      <c r="AZ1811" s="107" t="s">
        <v>432</v>
      </c>
      <c r="BA1811" s="107" t="s">
        <v>432</v>
      </c>
      <c r="BB1811" s="239" t="str">
        <f t="shared" si="545"/>
        <v>Populaçãox</v>
      </c>
      <c r="BC1811" s="239" t="str">
        <f t="shared" si="546"/>
        <v>Populaçãoxbenchmarking</v>
      </c>
      <c r="BD1811" s="239" t="str">
        <f t="shared" si="547"/>
        <v>Populaçãobenchmarking</v>
      </c>
    </row>
    <row r="1812" spans="1:57" s="1" customFormat="1" ht="25.5" x14ac:dyDescent="0.25">
      <c r="A1812" s="262" t="str">
        <f>'Q100b-totais'!B19</f>
        <v>2.4</v>
      </c>
      <c r="B1812" s="252" t="str">
        <f>'Q100b-totais'!C19</f>
        <v>População</v>
      </c>
      <c r="C1812" s="167" t="s">
        <v>432</v>
      </c>
      <c r="D1812" s="940" t="s">
        <v>2812</v>
      </c>
      <c r="E1812" s="1356" t="s">
        <v>3414</v>
      </c>
      <c r="F1812" s="13" t="s">
        <v>3412</v>
      </c>
      <c r="G1812" s="110" t="s">
        <v>77</v>
      </c>
      <c r="H1812" s="57" t="s">
        <v>819</v>
      </c>
      <c r="I1812" s="167" t="s">
        <v>3427</v>
      </c>
      <c r="J1812" s="107" t="s">
        <v>432</v>
      </c>
      <c r="K1812" s="107" t="s">
        <v>432</v>
      </c>
      <c r="L1812" s="107" t="s">
        <v>432</v>
      </c>
      <c r="M1812" s="107" t="s">
        <v>432</v>
      </c>
      <c r="N1812" s="107" t="s">
        <v>432</v>
      </c>
      <c r="O1812" s="107" t="s">
        <v>432</v>
      </c>
      <c r="P1812" s="107" t="s">
        <v>432</v>
      </c>
      <c r="Q1812" s="107" t="s">
        <v>432</v>
      </c>
      <c r="R1812" s="107" t="s">
        <v>432</v>
      </c>
      <c r="S1812" s="109" t="s">
        <v>2209</v>
      </c>
      <c r="T1812" s="107" t="s">
        <v>432</v>
      </c>
      <c r="U1812" s="107" t="s">
        <v>432</v>
      </c>
      <c r="V1812" s="109" t="s">
        <v>2209</v>
      </c>
      <c r="W1812" s="107" t="s">
        <v>432</v>
      </c>
      <c r="X1812" s="107" t="s">
        <v>432</v>
      </c>
      <c r="Y1812" s="107" t="s">
        <v>432</v>
      </c>
      <c r="Z1812" s="107" t="s">
        <v>432</v>
      </c>
      <c r="AA1812" s="107" t="s">
        <v>432</v>
      </c>
      <c r="AB1812" s="107" t="s">
        <v>432</v>
      </c>
      <c r="AC1812" s="107" t="s">
        <v>432</v>
      </c>
      <c r="AD1812" s="107" t="s">
        <v>432</v>
      </c>
      <c r="AE1812" s="107" t="s">
        <v>432</v>
      </c>
      <c r="AF1812" s="107" t="s">
        <v>432</v>
      </c>
      <c r="AG1812" s="107" t="s">
        <v>432</v>
      </c>
      <c r="AH1812" s="107" t="s">
        <v>432</v>
      </c>
      <c r="AI1812" s="107" t="s">
        <v>432</v>
      </c>
      <c r="AJ1812" s="107" t="s">
        <v>432</v>
      </c>
      <c r="AK1812" s="107" t="s">
        <v>432</v>
      </c>
      <c r="AL1812" s="601" t="s">
        <v>432</v>
      </c>
      <c r="AM1812" s="86">
        <v>755000</v>
      </c>
      <c r="AN1812" s="107" t="s">
        <v>432</v>
      </c>
      <c r="AO1812" s="107" t="s">
        <v>432</v>
      </c>
      <c r="AP1812" s="107" t="s">
        <v>432</v>
      </c>
      <c r="AQ1812" s="107" t="s">
        <v>432</v>
      </c>
      <c r="AR1812" s="107" t="s">
        <v>432</v>
      </c>
      <c r="AS1812" s="107" t="s">
        <v>432</v>
      </c>
      <c r="AT1812" s="107" t="s">
        <v>432</v>
      </c>
      <c r="AU1812" s="107" t="s">
        <v>432</v>
      </c>
      <c r="AV1812" s="107" t="s">
        <v>432</v>
      </c>
      <c r="AW1812" s="107" t="s">
        <v>432</v>
      </c>
      <c r="AX1812" s="107" t="s">
        <v>432</v>
      </c>
      <c r="AY1812" s="107" t="s">
        <v>432</v>
      </c>
      <c r="AZ1812" s="107" t="s">
        <v>432</v>
      </c>
      <c r="BA1812" s="107" t="s">
        <v>432</v>
      </c>
      <c r="BB1812" s="239" t="str">
        <f t="shared" si="545"/>
        <v>Populaçãox</v>
      </c>
      <c r="BC1812" s="239" t="str">
        <f t="shared" si="546"/>
        <v>Populaçãoxbenchmarking</v>
      </c>
      <c r="BD1812" s="239" t="str">
        <f t="shared" si="547"/>
        <v>Populaçãobenchmarking</v>
      </c>
    </row>
    <row r="1813" spans="1:57" s="1" customFormat="1" ht="25.5" x14ac:dyDescent="0.25">
      <c r="A1813" s="262" t="str">
        <f>'Q100b-totais'!B19</f>
        <v>2.4</v>
      </c>
      <c r="B1813" s="252" t="str">
        <f>'Q100b-totais'!C19</f>
        <v>População</v>
      </c>
      <c r="C1813" s="167" t="s">
        <v>432</v>
      </c>
      <c r="D1813" s="940" t="s">
        <v>2812</v>
      </c>
      <c r="E1813" s="1491" t="s">
        <v>3422</v>
      </c>
      <c r="F1813" s="13" t="s">
        <v>3421</v>
      </c>
      <c r="G1813" s="110" t="s">
        <v>77</v>
      </c>
      <c r="H1813" s="57" t="s">
        <v>819</v>
      </c>
      <c r="I1813" s="167" t="s">
        <v>3427</v>
      </c>
      <c r="J1813" s="107" t="s">
        <v>432</v>
      </c>
      <c r="K1813" s="107" t="s">
        <v>432</v>
      </c>
      <c r="L1813" s="107" t="s">
        <v>432</v>
      </c>
      <c r="M1813" s="107" t="s">
        <v>432</v>
      </c>
      <c r="N1813" s="107" t="s">
        <v>432</v>
      </c>
      <c r="O1813" s="107" t="s">
        <v>432</v>
      </c>
      <c r="P1813" s="107" t="s">
        <v>432</v>
      </c>
      <c r="Q1813" s="107" t="s">
        <v>432</v>
      </c>
      <c r="R1813" s="107" t="s">
        <v>432</v>
      </c>
      <c r="S1813" s="109" t="s">
        <v>2209</v>
      </c>
      <c r="T1813" s="107" t="s">
        <v>432</v>
      </c>
      <c r="U1813" s="107" t="s">
        <v>432</v>
      </c>
      <c r="V1813" s="109" t="s">
        <v>2209</v>
      </c>
      <c r="W1813" s="107" t="s">
        <v>432</v>
      </c>
      <c r="X1813" s="107" t="s">
        <v>432</v>
      </c>
      <c r="Y1813" s="107" t="s">
        <v>432</v>
      </c>
      <c r="Z1813" s="107" t="s">
        <v>432</v>
      </c>
      <c r="AA1813" s="107" t="s">
        <v>432</v>
      </c>
      <c r="AB1813" s="107" t="s">
        <v>432</v>
      </c>
      <c r="AC1813" s="107" t="s">
        <v>432</v>
      </c>
      <c r="AD1813" s="107" t="s">
        <v>432</v>
      </c>
      <c r="AE1813" s="107" t="s">
        <v>432</v>
      </c>
      <c r="AF1813" s="107" t="s">
        <v>432</v>
      </c>
      <c r="AG1813" s="107" t="s">
        <v>432</v>
      </c>
      <c r="AH1813" s="107" t="s">
        <v>432</v>
      </c>
      <c r="AI1813" s="107" t="s">
        <v>432</v>
      </c>
      <c r="AJ1813" s="107" t="s">
        <v>432</v>
      </c>
      <c r="AK1813" s="107" t="s">
        <v>432</v>
      </c>
      <c r="AL1813" s="601" t="s">
        <v>432</v>
      </c>
      <c r="AM1813" s="87">
        <v>2105000</v>
      </c>
      <c r="AN1813" s="107" t="s">
        <v>432</v>
      </c>
      <c r="AO1813" s="107" t="s">
        <v>432</v>
      </c>
      <c r="AP1813" s="107" t="s">
        <v>432</v>
      </c>
      <c r="AQ1813" s="107" t="s">
        <v>432</v>
      </c>
      <c r="AR1813" s="107" t="s">
        <v>432</v>
      </c>
      <c r="AS1813" s="107" t="s">
        <v>432</v>
      </c>
      <c r="AT1813" s="107" t="s">
        <v>432</v>
      </c>
      <c r="AU1813" s="107" t="s">
        <v>432</v>
      </c>
      <c r="AV1813" s="107" t="s">
        <v>432</v>
      </c>
      <c r="AW1813" s="107" t="s">
        <v>432</v>
      </c>
      <c r="AX1813" s="107" t="s">
        <v>432</v>
      </c>
      <c r="AY1813" s="107" t="s">
        <v>432</v>
      </c>
      <c r="AZ1813" s="107" t="s">
        <v>432</v>
      </c>
      <c r="BA1813" s="107" t="s">
        <v>432</v>
      </c>
      <c r="BB1813" s="239" t="str">
        <f t="shared" ref="BB1813:BB1819" si="548">B1813&amp;C1813</f>
        <v>Populaçãox</v>
      </c>
      <c r="BC1813" s="239" t="str">
        <f t="shared" ref="BC1813:BC1819" si="549">B1813&amp;C1813&amp;H1813</f>
        <v>Populaçãoxbenchmarking</v>
      </c>
      <c r="BD1813" s="239" t="str">
        <f t="shared" ref="BD1813:BD1819" si="550">B1813&amp;H1813</f>
        <v>Populaçãobenchmarking</v>
      </c>
    </row>
    <row r="1814" spans="1:57" ht="25.5" x14ac:dyDescent="0.25">
      <c r="A1814" s="262" t="str">
        <f>'Q100b-totais'!B19</f>
        <v>2.4</v>
      </c>
      <c r="B1814" s="252" t="str">
        <f>'Q100b-totais'!C19</f>
        <v>População</v>
      </c>
      <c r="C1814" s="167" t="s">
        <v>432</v>
      </c>
      <c r="D1814" s="940" t="s">
        <v>2812</v>
      </c>
      <c r="E1814" s="509" t="s">
        <v>3423</v>
      </c>
      <c r="F1814" s="13" t="s">
        <v>3424</v>
      </c>
      <c r="G1814" s="110" t="s">
        <v>77</v>
      </c>
      <c r="H1814" s="57" t="s">
        <v>819</v>
      </c>
      <c r="I1814" s="167" t="s">
        <v>3427</v>
      </c>
      <c r="J1814" s="107" t="s">
        <v>432</v>
      </c>
      <c r="K1814" s="107" t="s">
        <v>432</v>
      </c>
      <c r="L1814" s="107" t="s">
        <v>432</v>
      </c>
      <c r="M1814" s="107" t="s">
        <v>432</v>
      </c>
      <c r="N1814" s="107" t="s">
        <v>432</v>
      </c>
      <c r="O1814" s="107" t="s">
        <v>432</v>
      </c>
      <c r="P1814" s="107" t="s">
        <v>432</v>
      </c>
      <c r="Q1814" s="107" t="s">
        <v>432</v>
      </c>
      <c r="R1814" s="107" t="s">
        <v>432</v>
      </c>
      <c r="S1814" s="109" t="s">
        <v>2209</v>
      </c>
      <c r="T1814" s="107" t="s">
        <v>432</v>
      </c>
      <c r="U1814" s="107" t="s">
        <v>432</v>
      </c>
      <c r="V1814" s="109" t="s">
        <v>2209</v>
      </c>
      <c r="W1814" s="107" t="s">
        <v>432</v>
      </c>
      <c r="X1814" s="107" t="s">
        <v>432</v>
      </c>
      <c r="Y1814" s="107" t="s">
        <v>432</v>
      </c>
      <c r="Z1814" s="107" t="s">
        <v>432</v>
      </c>
      <c r="AA1814" s="107" t="s">
        <v>432</v>
      </c>
      <c r="AB1814" s="107" t="s">
        <v>432</v>
      </c>
      <c r="AC1814" s="107" t="s">
        <v>432</v>
      </c>
      <c r="AD1814" s="107" t="s">
        <v>432</v>
      </c>
      <c r="AE1814" s="107" t="s">
        <v>432</v>
      </c>
      <c r="AF1814" s="107" t="s">
        <v>432</v>
      </c>
      <c r="AG1814" s="107" t="s">
        <v>432</v>
      </c>
      <c r="AH1814" s="107" t="s">
        <v>432</v>
      </c>
      <c r="AI1814" s="107" t="s">
        <v>432</v>
      </c>
      <c r="AJ1814" s="107" t="s">
        <v>432</v>
      </c>
      <c r="AK1814" s="107" t="s">
        <v>432</v>
      </c>
      <c r="AL1814" s="601" t="s">
        <v>432</v>
      </c>
      <c r="AM1814" s="87">
        <v>2500000</v>
      </c>
      <c r="AN1814" s="107" t="s">
        <v>432</v>
      </c>
      <c r="AO1814" s="107" t="s">
        <v>432</v>
      </c>
      <c r="AP1814" s="107" t="s">
        <v>432</v>
      </c>
      <c r="AQ1814" s="107" t="s">
        <v>432</v>
      </c>
      <c r="AR1814" s="107" t="s">
        <v>432</v>
      </c>
      <c r="AS1814" s="107" t="s">
        <v>432</v>
      </c>
      <c r="AT1814" s="107" t="s">
        <v>432</v>
      </c>
      <c r="AU1814" s="107" t="s">
        <v>432</v>
      </c>
      <c r="AV1814" s="107" t="s">
        <v>432</v>
      </c>
      <c r="AW1814" s="107" t="s">
        <v>432</v>
      </c>
      <c r="AX1814" s="107" t="s">
        <v>432</v>
      </c>
      <c r="AY1814" s="107" t="s">
        <v>432</v>
      </c>
      <c r="AZ1814" s="107" t="s">
        <v>432</v>
      </c>
      <c r="BA1814" s="107" t="s">
        <v>432</v>
      </c>
      <c r="BB1814" s="239" t="str">
        <f t="shared" si="548"/>
        <v>Populaçãox</v>
      </c>
      <c r="BC1814" s="239" t="str">
        <f t="shared" si="549"/>
        <v>Populaçãoxbenchmarking</v>
      </c>
      <c r="BD1814" s="239" t="str">
        <f t="shared" si="550"/>
        <v>Populaçãobenchmarking</v>
      </c>
      <c r="BE1814" s="1"/>
    </row>
    <row r="1815" spans="1:57" s="1" customFormat="1" ht="25.5" x14ac:dyDescent="0.25">
      <c r="A1815" s="262" t="str">
        <f>'Q100b-totais'!B19</f>
        <v>2.4</v>
      </c>
      <c r="B1815" s="252" t="str">
        <f>'Q100b-totais'!C19</f>
        <v>População</v>
      </c>
      <c r="C1815" s="167" t="s">
        <v>432</v>
      </c>
      <c r="D1815" s="940" t="s">
        <v>2812</v>
      </c>
      <c r="E1815" s="1356" t="s">
        <v>3156</v>
      </c>
      <c r="F1815" s="13" t="s">
        <v>3157</v>
      </c>
      <c r="G1815" s="110" t="s">
        <v>77</v>
      </c>
      <c r="H1815" s="57" t="s">
        <v>819</v>
      </c>
      <c r="I1815" s="167" t="s">
        <v>3427</v>
      </c>
      <c r="J1815" s="107" t="s">
        <v>432</v>
      </c>
      <c r="K1815" s="107" t="s">
        <v>432</v>
      </c>
      <c r="L1815" s="107" t="s">
        <v>432</v>
      </c>
      <c r="M1815" s="107" t="s">
        <v>432</v>
      </c>
      <c r="N1815" s="107" t="s">
        <v>432</v>
      </c>
      <c r="O1815" s="107" t="s">
        <v>432</v>
      </c>
      <c r="P1815" s="107" t="s">
        <v>432</v>
      </c>
      <c r="Q1815" s="107" t="s">
        <v>432</v>
      </c>
      <c r="R1815" s="107" t="s">
        <v>432</v>
      </c>
      <c r="S1815" s="109" t="s">
        <v>2209</v>
      </c>
      <c r="T1815" s="107" t="s">
        <v>432</v>
      </c>
      <c r="U1815" s="107" t="s">
        <v>432</v>
      </c>
      <c r="V1815" s="109" t="s">
        <v>2209</v>
      </c>
      <c r="W1815" s="107" t="s">
        <v>432</v>
      </c>
      <c r="X1815" s="107" t="s">
        <v>432</v>
      </c>
      <c r="Y1815" s="107" t="s">
        <v>432</v>
      </c>
      <c r="Z1815" s="107" t="s">
        <v>432</v>
      </c>
      <c r="AA1815" s="107" t="s">
        <v>432</v>
      </c>
      <c r="AB1815" s="107" t="s">
        <v>432</v>
      </c>
      <c r="AC1815" s="107" t="s">
        <v>432</v>
      </c>
      <c r="AD1815" s="107" t="s">
        <v>432</v>
      </c>
      <c r="AE1815" s="107" t="s">
        <v>432</v>
      </c>
      <c r="AF1815" s="107" t="s">
        <v>432</v>
      </c>
      <c r="AG1815" s="107" t="s">
        <v>432</v>
      </c>
      <c r="AH1815" s="107" t="s">
        <v>432</v>
      </c>
      <c r="AI1815" s="87">
        <v>869000</v>
      </c>
      <c r="AJ1815" s="107" t="s">
        <v>432</v>
      </c>
      <c r="AK1815" s="107" t="s">
        <v>432</v>
      </c>
      <c r="AL1815" s="601" t="s">
        <v>432</v>
      </c>
      <c r="AM1815" s="649" t="s">
        <v>432</v>
      </c>
      <c r="AN1815" s="107" t="s">
        <v>432</v>
      </c>
      <c r="AO1815" s="107" t="s">
        <v>432</v>
      </c>
      <c r="AP1815" s="107" t="s">
        <v>432</v>
      </c>
      <c r="AQ1815" s="107" t="s">
        <v>432</v>
      </c>
      <c r="AR1815" s="107" t="s">
        <v>432</v>
      </c>
      <c r="AS1815" s="107" t="s">
        <v>432</v>
      </c>
      <c r="AT1815" s="107" t="s">
        <v>432</v>
      </c>
      <c r="AU1815" s="107" t="s">
        <v>432</v>
      </c>
      <c r="AV1815" s="107" t="s">
        <v>432</v>
      </c>
      <c r="AW1815" s="107" t="s">
        <v>432</v>
      </c>
      <c r="AX1815" s="107" t="s">
        <v>432</v>
      </c>
      <c r="AY1815" s="107" t="s">
        <v>432</v>
      </c>
      <c r="AZ1815" s="107" t="s">
        <v>432</v>
      </c>
      <c r="BA1815" s="107" t="s">
        <v>432</v>
      </c>
      <c r="BB1815" s="239" t="str">
        <f>B1815&amp;C1815</f>
        <v>Populaçãox</v>
      </c>
      <c r="BC1815" s="239" t="str">
        <f>B1815&amp;C1815&amp;H1815</f>
        <v>Populaçãoxbenchmarking</v>
      </c>
      <c r="BD1815" s="239" t="str">
        <f>B1815&amp;H1815</f>
        <v>Populaçãobenchmarking</v>
      </c>
    </row>
    <row r="1816" spans="1:57" s="1" customFormat="1" ht="25.5" x14ac:dyDescent="0.25">
      <c r="A1816" s="262" t="str">
        <f>'Q100b-totais'!B19</f>
        <v>2.4</v>
      </c>
      <c r="B1816" s="252" t="str">
        <f>'Q100b-totais'!C19</f>
        <v>População</v>
      </c>
      <c r="C1816" s="167" t="s">
        <v>432</v>
      </c>
      <c r="D1816" s="940" t="s">
        <v>2812</v>
      </c>
      <c r="E1816" s="1356" t="s">
        <v>3415</v>
      </c>
      <c r="F1816" s="13" t="s">
        <v>3157</v>
      </c>
      <c r="G1816" s="110" t="s">
        <v>77</v>
      </c>
      <c r="H1816" s="57" t="s">
        <v>819</v>
      </c>
      <c r="I1816" s="167" t="s">
        <v>3426</v>
      </c>
      <c r="J1816" s="107" t="s">
        <v>432</v>
      </c>
      <c r="K1816" s="107" t="s">
        <v>432</v>
      </c>
      <c r="L1816" s="107" t="s">
        <v>432</v>
      </c>
      <c r="M1816" s="107" t="s">
        <v>432</v>
      </c>
      <c r="N1816" s="107" t="s">
        <v>432</v>
      </c>
      <c r="O1816" s="107" t="s">
        <v>432</v>
      </c>
      <c r="P1816" s="107" t="s">
        <v>432</v>
      </c>
      <c r="Q1816" s="107" t="s">
        <v>432</v>
      </c>
      <c r="R1816" s="107" t="s">
        <v>432</v>
      </c>
      <c r="S1816" s="109" t="s">
        <v>2209</v>
      </c>
      <c r="T1816" s="107" t="s">
        <v>432</v>
      </c>
      <c r="U1816" s="107" t="s">
        <v>432</v>
      </c>
      <c r="V1816" s="109" t="s">
        <v>2209</v>
      </c>
      <c r="W1816" s="107" t="s">
        <v>432</v>
      </c>
      <c r="X1816" s="107" t="s">
        <v>432</v>
      </c>
      <c r="Y1816" s="107" t="s">
        <v>432</v>
      </c>
      <c r="Z1816" s="107" t="s">
        <v>432</v>
      </c>
      <c r="AA1816" s="107" t="s">
        <v>432</v>
      </c>
      <c r="AB1816" s="107" t="s">
        <v>432</v>
      </c>
      <c r="AC1816" s="107" t="s">
        <v>432</v>
      </c>
      <c r="AD1816" s="107" t="s">
        <v>432</v>
      </c>
      <c r="AE1816" s="107" t="s">
        <v>432</v>
      </c>
      <c r="AF1816" s="107" t="s">
        <v>432</v>
      </c>
      <c r="AG1816" s="107" t="s">
        <v>432</v>
      </c>
      <c r="AH1816" s="107" t="s">
        <v>432</v>
      </c>
      <c r="AI1816" s="107" t="s">
        <v>432</v>
      </c>
      <c r="AJ1816" s="107" t="s">
        <v>432</v>
      </c>
      <c r="AK1816" s="107" t="s">
        <v>432</v>
      </c>
      <c r="AL1816" s="601"/>
      <c r="AM1816" s="86">
        <v>1510000</v>
      </c>
      <c r="AN1816" s="107"/>
      <c r="AO1816" s="107"/>
      <c r="AP1816" s="107"/>
      <c r="AQ1816" s="107"/>
      <c r="AR1816" s="107"/>
      <c r="AS1816" s="107"/>
      <c r="AT1816" s="107"/>
      <c r="AU1816" s="107"/>
      <c r="AV1816" s="107"/>
      <c r="AW1816" s="107"/>
      <c r="AX1816" s="107"/>
      <c r="AY1816" s="107"/>
      <c r="AZ1816" s="107"/>
      <c r="BA1816" s="107"/>
      <c r="BB1816" s="239"/>
      <c r="BC1816" s="239"/>
      <c r="BD1816" s="239"/>
    </row>
    <row r="1817" spans="1:57" s="1" customFormat="1" ht="25.5" x14ac:dyDescent="0.25">
      <c r="A1817" s="262" t="str">
        <f>'Q100b-totais'!B19</f>
        <v>2.4</v>
      </c>
      <c r="B1817" s="252" t="str">
        <f>'Q100b-totais'!C19</f>
        <v>População</v>
      </c>
      <c r="C1817" s="167" t="s">
        <v>432</v>
      </c>
      <c r="D1817" s="940" t="s">
        <v>2812</v>
      </c>
      <c r="E1817" s="1356" t="s">
        <v>3027</v>
      </c>
      <c r="F1817" s="13" t="s">
        <v>3160</v>
      </c>
      <c r="G1817" s="110" t="s">
        <v>77</v>
      </c>
      <c r="H1817" s="57" t="s">
        <v>819</v>
      </c>
      <c r="I1817" s="167" t="s">
        <v>3426</v>
      </c>
      <c r="J1817" s="107" t="s">
        <v>432</v>
      </c>
      <c r="K1817" s="107" t="s">
        <v>432</v>
      </c>
      <c r="L1817" s="107" t="s">
        <v>432</v>
      </c>
      <c r="M1817" s="107" t="s">
        <v>432</v>
      </c>
      <c r="N1817" s="107" t="s">
        <v>432</v>
      </c>
      <c r="O1817" s="107" t="s">
        <v>432</v>
      </c>
      <c r="P1817" s="107" t="s">
        <v>432</v>
      </c>
      <c r="Q1817" s="107" t="s">
        <v>432</v>
      </c>
      <c r="R1817" s="107" t="s">
        <v>432</v>
      </c>
      <c r="S1817" s="109" t="s">
        <v>2209</v>
      </c>
      <c r="T1817" s="107" t="s">
        <v>432</v>
      </c>
      <c r="U1817" s="107" t="s">
        <v>432</v>
      </c>
      <c r="V1817" s="109" t="s">
        <v>2209</v>
      </c>
      <c r="W1817" s="107" t="s">
        <v>432</v>
      </c>
      <c r="X1817" s="107" t="s">
        <v>432</v>
      </c>
      <c r="Y1817" s="107" t="s">
        <v>432</v>
      </c>
      <c r="Z1817" s="107" t="s">
        <v>432</v>
      </c>
      <c r="AA1817" s="107" t="s">
        <v>432</v>
      </c>
      <c r="AB1817" s="107" t="s">
        <v>432</v>
      </c>
      <c r="AC1817" s="107" t="s">
        <v>432</v>
      </c>
      <c r="AD1817" s="107" t="s">
        <v>432</v>
      </c>
      <c r="AE1817" s="107" t="s">
        <v>432</v>
      </c>
      <c r="AF1817" s="107" t="s">
        <v>432</v>
      </c>
      <c r="AG1817" s="107" t="s">
        <v>432</v>
      </c>
      <c r="AH1817" s="107" t="s">
        <v>432</v>
      </c>
      <c r="AI1817" s="87">
        <v>250000</v>
      </c>
      <c r="AJ1817" s="107" t="s">
        <v>432</v>
      </c>
      <c r="AK1817" s="107" t="s">
        <v>432</v>
      </c>
      <c r="AL1817" s="601" t="s">
        <v>432</v>
      </c>
      <c r="AM1817" s="649" t="s">
        <v>432</v>
      </c>
      <c r="AN1817" s="107" t="s">
        <v>432</v>
      </c>
      <c r="AO1817" s="107" t="s">
        <v>432</v>
      </c>
      <c r="AP1817" s="107" t="s">
        <v>432</v>
      </c>
      <c r="AQ1817" s="107" t="s">
        <v>432</v>
      </c>
      <c r="AR1817" s="107" t="s">
        <v>432</v>
      </c>
      <c r="AS1817" s="107" t="s">
        <v>432</v>
      </c>
      <c r="AT1817" s="107" t="s">
        <v>432</v>
      </c>
      <c r="AU1817" s="107" t="s">
        <v>432</v>
      </c>
      <c r="AV1817" s="107" t="s">
        <v>432</v>
      </c>
      <c r="AW1817" s="107" t="s">
        <v>432</v>
      </c>
      <c r="AX1817" s="107" t="s">
        <v>432</v>
      </c>
      <c r="AY1817" s="107" t="s">
        <v>432</v>
      </c>
      <c r="AZ1817" s="107" t="s">
        <v>432</v>
      </c>
      <c r="BA1817" s="107" t="s">
        <v>432</v>
      </c>
      <c r="BB1817" s="239" t="str">
        <f>B1817&amp;C1817</f>
        <v>Populaçãox</v>
      </c>
      <c r="BC1817" s="239" t="str">
        <f>B1817&amp;C1817&amp;H1817</f>
        <v>Populaçãoxbenchmarking</v>
      </c>
      <c r="BD1817" s="239" t="str">
        <f>B1817&amp;H1817</f>
        <v>Populaçãobenchmarking</v>
      </c>
    </row>
    <row r="1818" spans="1:57" ht="25.5" x14ac:dyDescent="0.25">
      <c r="A1818" s="262" t="str">
        <f>'Q100b-totais'!B19</f>
        <v>2.4</v>
      </c>
      <c r="B1818" s="252" t="str">
        <f>'Q100b-totais'!C19</f>
        <v>População</v>
      </c>
      <c r="C1818" s="167" t="s">
        <v>432</v>
      </c>
      <c r="D1818" s="940" t="s">
        <v>2812</v>
      </c>
      <c r="E1818" s="509" t="s">
        <v>3428</v>
      </c>
      <c r="F1818" s="13" t="s">
        <v>3431</v>
      </c>
      <c r="G1818" s="110" t="s">
        <v>77</v>
      </c>
      <c r="H1818" s="57" t="s">
        <v>819</v>
      </c>
      <c r="I1818" s="167" t="s">
        <v>3427</v>
      </c>
      <c r="J1818" s="107" t="s">
        <v>432</v>
      </c>
      <c r="K1818" s="107" t="s">
        <v>432</v>
      </c>
      <c r="L1818" s="107" t="s">
        <v>432</v>
      </c>
      <c r="M1818" s="107" t="s">
        <v>432</v>
      </c>
      <c r="N1818" s="107" t="s">
        <v>432</v>
      </c>
      <c r="O1818" s="107" t="s">
        <v>432</v>
      </c>
      <c r="P1818" s="107" t="s">
        <v>432</v>
      </c>
      <c r="Q1818" s="107" t="s">
        <v>432</v>
      </c>
      <c r="R1818" s="107" t="s">
        <v>432</v>
      </c>
      <c r="S1818" s="109" t="s">
        <v>2209</v>
      </c>
      <c r="T1818" s="107" t="s">
        <v>432</v>
      </c>
      <c r="U1818" s="107" t="s">
        <v>432</v>
      </c>
      <c r="V1818" s="109" t="s">
        <v>2209</v>
      </c>
      <c r="W1818" s="107" t="s">
        <v>432</v>
      </c>
      <c r="X1818" s="107" t="s">
        <v>432</v>
      </c>
      <c r="Y1818" s="107" t="s">
        <v>432</v>
      </c>
      <c r="Z1818" s="107" t="s">
        <v>432</v>
      </c>
      <c r="AA1818" s="107" t="s">
        <v>432</v>
      </c>
      <c r="AB1818" s="107" t="s">
        <v>432</v>
      </c>
      <c r="AC1818" s="107" t="s">
        <v>432</v>
      </c>
      <c r="AD1818" s="107" t="s">
        <v>432</v>
      </c>
      <c r="AE1818" s="107" t="s">
        <v>432</v>
      </c>
      <c r="AF1818" s="107" t="s">
        <v>432</v>
      </c>
      <c r="AG1818" s="107" t="s">
        <v>432</v>
      </c>
      <c r="AH1818" s="107" t="s">
        <v>432</v>
      </c>
      <c r="AI1818" s="107" t="s">
        <v>432</v>
      </c>
      <c r="AJ1818" s="107" t="s">
        <v>432</v>
      </c>
      <c r="AK1818" s="107" t="s">
        <v>432</v>
      </c>
      <c r="AL1818" s="601" t="s">
        <v>432</v>
      </c>
      <c r="AM1818" s="87">
        <v>1220000</v>
      </c>
      <c r="AN1818" s="107" t="s">
        <v>432</v>
      </c>
      <c r="AO1818" s="107" t="s">
        <v>432</v>
      </c>
      <c r="AP1818" s="107" t="s">
        <v>432</v>
      </c>
      <c r="AQ1818" s="107" t="s">
        <v>432</v>
      </c>
      <c r="AR1818" s="107" t="s">
        <v>432</v>
      </c>
      <c r="AS1818" s="107" t="s">
        <v>432</v>
      </c>
      <c r="AT1818" s="107" t="s">
        <v>432</v>
      </c>
      <c r="AU1818" s="107" t="s">
        <v>432</v>
      </c>
      <c r="AV1818" s="107" t="s">
        <v>432</v>
      </c>
      <c r="AW1818" s="107" t="s">
        <v>432</v>
      </c>
      <c r="AX1818" s="107" t="s">
        <v>432</v>
      </c>
      <c r="AY1818" s="107" t="s">
        <v>432</v>
      </c>
      <c r="AZ1818" s="107" t="s">
        <v>432</v>
      </c>
      <c r="BA1818" s="107" t="s">
        <v>432</v>
      </c>
      <c r="BB1818" s="239" t="str">
        <f t="shared" si="548"/>
        <v>Populaçãox</v>
      </c>
      <c r="BC1818" s="239" t="str">
        <f t="shared" si="549"/>
        <v>Populaçãoxbenchmarking</v>
      </c>
      <c r="BD1818" s="239" t="str">
        <f t="shared" si="550"/>
        <v>Populaçãobenchmarking</v>
      </c>
      <c r="BE1818" s="1"/>
    </row>
    <row r="1819" spans="1:57" ht="25.5" x14ac:dyDescent="0.25">
      <c r="A1819" s="262" t="str">
        <f>'Q100b-totais'!B19</f>
        <v>2.4</v>
      </c>
      <c r="B1819" s="252" t="str">
        <f>'Q100b-totais'!C19</f>
        <v>População</v>
      </c>
      <c r="C1819" s="167" t="s">
        <v>432</v>
      </c>
      <c r="D1819" s="940" t="s">
        <v>2812</v>
      </c>
      <c r="E1819" s="509" t="s">
        <v>3432</v>
      </c>
      <c r="F1819" s="13" t="s">
        <v>3433</v>
      </c>
      <c r="G1819" s="110" t="s">
        <v>77</v>
      </c>
      <c r="H1819" s="57" t="s">
        <v>819</v>
      </c>
      <c r="I1819" s="167" t="s">
        <v>3427</v>
      </c>
      <c r="J1819" s="107" t="s">
        <v>432</v>
      </c>
      <c r="K1819" s="107" t="s">
        <v>432</v>
      </c>
      <c r="L1819" s="107" t="s">
        <v>432</v>
      </c>
      <c r="M1819" s="107" t="s">
        <v>432</v>
      </c>
      <c r="N1819" s="107" t="s">
        <v>432</v>
      </c>
      <c r="O1819" s="107" t="s">
        <v>432</v>
      </c>
      <c r="P1819" s="107" t="s">
        <v>432</v>
      </c>
      <c r="Q1819" s="107" t="s">
        <v>432</v>
      </c>
      <c r="R1819" s="107" t="s">
        <v>432</v>
      </c>
      <c r="S1819" s="109" t="s">
        <v>2209</v>
      </c>
      <c r="T1819" s="107" t="s">
        <v>432</v>
      </c>
      <c r="U1819" s="107" t="s">
        <v>432</v>
      </c>
      <c r="V1819" s="109" t="s">
        <v>2209</v>
      </c>
      <c r="W1819" s="107" t="s">
        <v>432</v>
      </c>
      <c r="X1819" s="107" t="s">
        <v>432</v>
      </c>
      <c r="Y1819" s="107" t="s">
        <v>432</v>
      </c>
      <c r="Z1819" s="107" t="s">
        <v>432</v>
      </c>
      <c r="AA1819" s="107" t="s">
        <v>432</v>
      </c>
      <c r="AB1819" s="107" t="s">
        <v>432</v>
      </c>
      <c r="AC1819" s="107" t="s">
        <v>432</v>
      </c>
      <c r="AD1819" s="107" t="s">
        <v>432</v>
      </c>
      <c r="AE1819" s="107" t="s">
        <v>432</v>
      </c>
      <c r="AF1819" s="107" t="s">
        <v>432</v>
      </c>
      <c r="AG1819" s="107" t="s">
        <v>432</v>
      </c>
      <c r="AH1819" s="107" t="s">
        <v>432</v>
      </c>
      <c r="AI1819" s="107" t="s">
        <v>432</v>
      </c>
      <c r="AJ1819" s="107" t="s">
        <v>432</v>
      </c>
      <c r="AK1819" s="107" t="s">
        <v>432</v>
      </c>
      <c r="AL1819" s="601" t="s">
        <v>432</v>
      </c>
      <c r="AM1819" s="87">
        <v>10350000</v>
      </c>
      <c r="AN1819" s="107" t="s">
        <v>432</v>
      </c>
      <c r="AO1819" s="107" t="s">
        <v>432</v>
      </c>
      <c r="AP1819" s="107" t="s">
        <v>432</v>
      </c>
      <c r="AQ1819" s="107" t="s">
        <v>432</v>
      </c>
      <c r="AR1819" s="107" t="s">
        <v>432</v>
      </c>
      <c r="AS1819" s="107" t="s">
        <v>432</v>
      </c>
      <c r="AT1819" s="107" t="s">
        <v>432</v>
      </c>
      <c r="AU1819" s="107" t="s">
        <v>432</v>
      </c>
      <c r="AV1819" s="107" t="s">
        <v>432</v>
      </c>
      <c r="AW1819" s="107" t="s">
        <v>432</v>
      </c>
      <c r="AX1819" s="107" t="s">
        <v>432</v>
      </c>
      <c r="AY1819" s="107" t="s">
        <v>432</v>
      </c>
      <c r="AZ1819" s="107" t="s">
        <v>432</v>
      </c>
      <c r="BA1819" s="107" t="s">
        <v>432</v>
      </c>
      <c r="BB1819" s="239" t="str">
        <f t="shared" si="548"/>
        <v>Populaçãox</v>
      </c>
      <c r="BC1819" s="239" t="str">
        <f t="shared" si="549"/>
        <v>Populaçãoxbenchmarking</v>
      </c>
      <c r="BD1819" s="239" t="str">
        <f t="shared" si="550"/>
        <v>Populaçãobenchmarking</v>
      </c>
      <c r="BE1819" s="1"/>
    </row>
    <row r="1820" spans="1:57" ht="25.5" x14ac:dyDescent="0.25">
      <c r="A1820" s="262" t="str">
        <f>'Q100b-totais'!B19</f>
        <v>2.4</v>
      </c>
      <c r="B1820" s="252" t="str">
        <f>'Q100b-totais'!C19</f>
        <v>População</v>
      </c>
      <c r="C1820" s="167" t="s">
        <v>432</v>
      </c>
      <c r="D1820" s="940" t="s">
        <v>2812</v>
      </c>
      <c r="E1820" s="509" t="s">
        <v>3434</v>
      </c>
      <c r="F1820" s="13" t="s">
        <v>3433</v>
      </c>
      <c r="G1820" s="110" t="s">
        <v>77</v>
      </c>
      <c r="H1820" s="57" t="s">
        <v>819</v>
      </c>
      <c r="I1820" s="167" t="s">
        <v>3427</v>
      </c>
      <c r="J1820" s="107" t="s">
        <v>432</v>
      </c>
      <c r="K1820" s="107" t="s">
        <v>432</v>
      </c>
      <c r="L1820" s="107" t="s">
        <v>432</v>
      </c>
      <c r="M1820" s="107" t="s">
        <v>432</v>
      </c>
      <c r="N1820" s="107" t="s">
        <v>432</v>
      </c>
      <c r="O1820" s="107" t="s">
        <v>432</v>
      </c>
      <c r="P1820" s="107" t="s">
        <v>432</v>
      </c>
      <c r="Q1820" s="107" t="s">
        <v>432</v>
      </c>
      <c r="R1820" s="107" t="s">
        <v>432</v>
      </c>
      <c r="S1820" s="109" t="s">
        <v>2209</v>
      </c>
      <c r="T1820" s="107" t="s">
        <v>432</v>
      </c>
      <c r="U1820" s="107" t="s">
        <v>432</v>
      </c>
      <c r="V1820" s="109" t="s">
        <v>2209</v>
      </c>
      <c r="W1820" s="107" t="s">
        <v>432</v>
      </c>
      <c r="X1820" s="107" t="s">
        <v>432</v>
      </c>
      <c r="Y1820" s="107" t="s">
        <v>432</v>
      </c>
      <c r="Z1820" s="107" t="s">
        <v>432</v>
      </c>
      <c r="AA1820" s="107" t="s">
        <v>432</v>
      </c>
      <c r="AB1820" s="107" t="s">
        <v>432</v>
      </c>
      <c r="AC1820" s="107" t="s">
        <v>432</v>
      </c>
      <c r="AD1820" s="107" t="s">
        <v>432</v>
      </c>
      <c r="AE1820" s="107" t="s">
        <v>432</v>
      </c>
      <c r="AF1820" s="107" t="s">
        <v>432</v>
      </c>
      <c r="AG1820" s="107" t="s">
        <v>432</v>
      </c>
      <c r="AH1820" s="107" t="s">
        <v>432</v>
      </c>
      <c r="AI1820" s="107" t="s">
        <v>432</v>
      </c>
      <c r="AJ1820" s="107" t="s">
        <v>432</v>
      </c>
      <c r="AK1820" s="107" t="s">
        <v>432</v>
      </c>
      <c r="AL1820" s="601" t="s">
        <v>432</v>
      </c>
      <c r="AM1820" s="87">
        <v>6240000</v>
      </c>
      <c r="AN1820" s="107" t="s">
        <v>432</v>
      </c>
      <c r="AO1820" s="107" t="s">
        <v>432</v>
      </c>
      <c r="AP1820" s="107" t="s">
        <v>432</v>
      </c>
      <c r="AQ1820" s="107" t="s">
        <v>432</v>
      </c>
      <c r="AR1820" s="107" t="s">
        <v>432</v>
      </c>
      <c r="AS1820" s="107" t="s">
        <v>432</v>
      </c>
      <c r="AT1820" s="107" t="s">
        <v>432</v>
      </c>
      <c r="AU1820" s="107" t="s">
        <v>432</v>
      </c>
      <c r="AV1820" s="107" t="s">
        <v>432</v>
      </c>
      <c r="AW1820" s="107" t="s">
        <v>432</v>
      </c>
      <c r="AX1820" s="107" t="s">
        <v>432</v>
      </c>
      <c r="AY1820" s="107" t="s">
        <v>432</v>
      </c>
      <c r="AZ1820" s="107" t="s">
        <v>432</v>
      </c>
      <c r="BA1820" s="107" t="s">
        <v>432</v>
      </c>
      <c r="BB1820" s="239" t="str">
        <f t="shared" ref="BB1820:BB1826" si="551">B1820&amp;C1820</f>
        <v>Populaçãox</v>
      </c>
      <c r="BC1820" s="239" t="str">
        <f t="shared" ref="BC1820:BC1826" si="552">B1820&amp;C1820&amp;H1820</f>
        <v>Populaçãoxbenchmarking</v>
      </c>
      <c r="BD1820" s="239" t="str">
        <f t="shared" ref="BD1820:BD1826" si="553">B1820&amp;H1820</f>
        <v>Populaçãobenchmarking</v>
      </c>
      <c r="BE1820" s="1"/>
    </row>
    <row r="1821" spans="1:57" s="1" customFormat="1" ht="25.5" x14ac:dyDescent="0.25">
      <c r="A1821" s="262" t="str">
        <f>'Q100b-totais'!B19</f>
        <v>2.4</v>
      </c>
      <c r="B1821" s="252" t="str">
        <f>'Q100b-totais'!C19</f>
        <v>População</v>
      </c>
      <c r="C1821" s="167" t="s">
        <v>432</v>
      </c>
      <c r="D1821" s="940" t="s">
        <v>2812</v>
      </c>
      <c r="E1821" s="1356" t="s">
        <v>3024</v>
      </c>
      <c r="F1821" s="13" t="s">
        <v>3159</v>
      </c>
      <c r="G1821" s="110" t="s">
        <v>77</v>
      </c>
      <c r="H1821" s="57" t="s">
        <v>819</v>
      </c>
      <c r="I1821" s="167" t="s">
        <v>3426</v>
      </c>
      <c r="J1821" s="107" t="s">
        <v>432</v>
      </c>
      <c r="K1821" s="107" t="s">
        <v>432</v>
      </c>
      <c r="L1821" s="107" t="s">
        <v>432</v>
      </c>
      <c r="M1821" s="107" t="s">
        <v>432</v>
      </c>
      <c r="N1821" s="107" t="s">
        <v>432</v>
      </c>
      <c r="O1821" s="107" t="s">
        <v>432</v>
      </c>
      <c r="P1821" s="107" t="s">
        <v>432</v>
      </c>
      <c r="Q1821" s="107" t="s">
        <v>432</v>
      </c>
      <c r="R1821" s="107" t="s">
        <v>432</v>
      </c>
      <c r="S1821" s="109" t="s">
        <v>2209</v>
      </c>
      <c r="T1821" s="107" t="s">
        <v>432</v>
      </c>
      <c r="U1821" s="107" t="s">
        <v>432</v>
      </c>
      <c r="V1821" s="109" t="s">
        <v>2209</v>
      </c>
      <c r="W1821" s="107" t="s">
        <v>432</v>
      </c>
      <c r="X1821" s="107" t="s">
        <v>432</v>
      </c>
      <c r="Y1821" s="107" t="s">
        <v>432</v>
      </c>
      <c r="Z1821" s="107" t="s">
        <v>432</v>
      </c>
      <c r="AA1821" s="107" t="s">
        <v>432</v>
      </c>
      <c r="AB1821" s="107" t="s">
        <v>432</v>
      </c>
      <c r="AC1821" s="107" t="s">
        <v>432</v>
      </c>
      <c r="AD1821" s="107" t="s">
        <v>432</v>
      </c>
      <c r="AE1821" s="107" t="s">
        <v>432</v>
      </c>
      <c r="AF1821" s="107" t="s">
        <v>432</v>
      </c>
      <c r="AG1821" s="107" t="s">
        <v>432</v>
      </c>
      <c r="AH1821" s="107" t="s">
        <v>432</v>
      </c>
      <c r="AI1821" s="87">
        <v>291000</v>
      </c>
      <c r="AJ1821" s="107" t="s">
        <v>432</v>
      </c>
      <c r="AK1821" s="107" t="s">
        <v>432</v>
      </c>
      <c r="AL1821" s="601" t="s">
        <v>432</v>
      </c>
      <c r="AM1821" s="649" t="s">
        <v>432</v>
      </c>
      <c r="AN1821" s="107" t="s">
        <v>432</v>
      </c>
      <c r="AO1821" s="107" t="s">
        <v>432</v>
      </c>
      <c r="AP1821" s="107" t="s">
        <v>432</v>
      </c>
      <c r="AQ1821" s="107" t="s">
        <v>432</v>
      </c>
      <c r="AR1821" s="107" t="s">
        <v>432</v>
      </c>
      <c r="AS1821" s="107" t="s">
        <v>432</v>
      </c>
      <c r="AT1821" s="107" t="s">
        <v>432</v>
      </c>
      <c r="AU1821" s="107" t="s">
        <v>432</v>
      </c>
      <c r="AV1821" s="107" t="s">
        <v>432</v>
      </c>
      <c r="AW1821" s="107" t="s">
        <v>432</v>
      </c>
      <c r="AX1821" s="107" t="s">
        <v>432</v>
      </c>
      <c r="AY1821" s="107" t="s">
        <v>432</v>
      </c>
      <c r="AZ1821" s="107" t="s">
        <v>432</v>
      </c>
      <c r="BA1821" s="107" t="s">
        <v>432</v>
      </c>
      <c r="BB1821" s="239" t="str">
        <f t="shared" si="551"/>
        <v>Populaçãox</v>
      </c>
      <c r="BC1821" s="239" t="str">
        <f t="shared" si="552"/>
        <v>Populaçãoxbenchmarking</v>
      </c>
      <c r="BD1821" s="239" t="str">
        <f t="shared" si="553"/>
        <v>Populaçãobenchmarking</v>
      </c>
    </row>
    <row r="1822" spans="1:57" s="1" customFormat="1" ht="25.5" x14ac:dyDescent="0.25">
      <c r="A1822" s="262" t="str">
        <f>'Q100b-totais'!B19</f>
        <v>2.4</v>
      </c>
      <c r="B1822" s="252" t="str">
        <f>'Q100b-totais'!C19</f>
        <v>População</v>
      </c>
      <c r="C1822" s="167" t="s">
        <v>432</v>
      </c>
      <c r="D1822" s="940" t="s">
        <v>2812</v>
      </c>
      <c r="E1822" s="1356" t="s">
        <v>3026</v>
      </c>
      <c r="F1822" s="13" t="s">
        <v>3162</v>
      </c>
      <c r="G1822" s="110" t="s">
        <v>77</v>
      </c>
      <c r="H1822" s="57" t="s">
        <v>819</v>
      </c>
      <c r="I1822" s="167" t="s">
        <v>3426</v>
      </c>
      <c r="J1822" s="107" t="s">
        <v>432</v>
      </c>
      <c r="K1822" s="107" t="s">
        <v>432</v>
      </c>
      <c r="L1822" s="107" t="s">
        <v>432</v>
      </c>
      <c r="M1822" s="107" t="s">
        <v>432</v>
      </c>
      <c r="N1822" s="107" t="s">
        <v>432</v>
      </c>
      <c r="O1822" s="107" t="s">
        <v>432</v>
      </c>
      <c r="P1822" s="107" t="s">
        <v>432</v>
      </c>
      <c r="Q1822" s="107" t="s">
        <v>432</v>
      </c>
      <c r="R1822" s="107" t="s">
        <v>432</v>
      </c>
      <c r="S1822" s="109" t="s">
        <v>2209</v>
      </c>
      <c r="T1822" s="107" t="s">
        <v>432</v>
      </c>
      <c r="U1822" s="107" t="s">
        <v>432</v>
      </c>
      <c r="V1822" s="109" t="s">
        <v>2209</v>
      </c>
      <c r="W1822" s="107" t="s">
        <v>432</v>
      </c>
      <c r="X1822" s="107" t="s">
        <v>432</v>
      </c>
      <c r="Y1822" s="107" t="s">
        <v>432</v>
      </c>
      <c r="Z1822" s="107" t="s">
        <v>432</v>
      </c>
      <c r="AA1822" s="107" t="s">
        <v>432</v>
      </c>
      <c r="AB1822" s="107" t="s">
        <v>432</v>
      </c>
      <c r="AC1822" s="107" t="s">
        <v>432</v>
      </c>
      <c r="AD1822" s="107" t="s">
        <v>432</v>
      </c>
      <c r="AE1822" s="107" t="s">
        <v>432</v>
      </c>
      <c r="AF1822" s="107" t="s">
        <v>432</v>
      </c>
      <c r="AG1822" s="107" t="s">
        <v>432</v>
      </c>
      <c r="AH1822" s="107" t="s">
        <v>432</v>
      </c>
      <c r="AI1822" s="87">
        <v>200000</v>
      </c>
      <c r="AJ1822" s="107" t="s">
        <v>432</v>
      </c>
      <c r="AK1822" s="107" t="s">
        <v>432</v>
      </c>
      <c r="AL1822" s="601" t="s">
        <v>432</v>
      </c>
      <c r="AM1822" s="649" t="s">
        <v>432</v>
      </c>
      <c r="AN1822" s="107" t="s">
        <v>432</v>
      </c>
      <c r="AO1822" s="107" t="s">
        <v>432</v>
      </c>
      <c r="AP1822" s="107" t="s">
        <v>432</v>
      </c>
      <c r="AQ1822" s="107" t="s">
        <v>432</v>
      </c>
      <c r="AR1822" s="107" t="s">
        <v>432</v>
      </c>
      <c r="AS1822" s="107" t="s">
        <v>432</v>
      </c>
      <c r="AT1822" s="107" t="s">
        <v>432</v>
      </c>
      <c r="AU1822" s="107" t="s">
        <v>432</v>
      </c>
      <c r="AV1822" s="107" t="s">
        <v>432</v>
      </c>
      <c r="AW1822" s="107" t="s">
        <v>432</v>
      </c>
      <c r="AX1822" s="107" t="s">
        <v>432</v>
      </c>
      <c r="AY1822" s="107" t="s">
        <v>432</v>
      </c>
      <c r="AZ1822" s="107" t="s">
        <v>432</v>
      </c>
      <c r="BA1822" s="107" t="s">
        <v>432</v>
      </c>
      <c r="BB1822" s="239" t="str">
        <f t="shared" si="551"/>
        <v>Populaçãox</v>
      </c>
      <c r="BC1822" s="239" t="str">
        <f t="shared" si="552"/>
        <v>Populaçãoxbenchmarking</v>
      </c>
      <c r="BD1822" s="239" t="str">
        <f t="shared" si="553"/>
        <v>Populaçãobenchmarking</v>
      </c>
    </row>
    <row r="1823" spans="1:57" ht="25.5" x14ac:dyDescent="0.25">
      <c r="A1823" s="262" t="str">
        <f>'Q100b-totais'!B19</f>
        <v>2.4</v>
      </c>
      <c r="B1823" s="252" t="str">
        <f>'Q100b-totais'!C19</f>
        <v>População</v>
      </c>
      <c r="C1823" s="167" t="s">
        <v>432</v>
      </c>
      <c r="D1823" s="940" t="s">
        <v>2812</v>
      </c>
      <c r="E1823" s="509" t="s">
        <v>3435</v>
      </c>
      <c r="F1823" s="13" t="s">
        <v>3433</v>
      </c>
      <c r="G1823" s="110" t="s">
        <v>77</v>
      </c>
      <c r="H1823" s="57" t="s">
        <v>819</v>
      </c>
      <c r="I1823" s="167" t="s">
        <v>3427</v>
      </c>
      <c r="J1823" s="107" t="s">
        <v>432</v>
      </c>
      <c r="K1823" s="107" t="s">
        <v>432</v>
      </c>
      <c r="L1823" s="107" t="s">
        <v>432</v>
      </c>
      <c r="M1823" s="107" t="s">
        <v>432</v>
      </c>
      <c r="N1823" s="107" t="s">
        <v>432</v>
      </c>
      <c r="O1823" s="107" t="s">
        <v>432</v>
      </c>
      <c r="P1823" s="107" t="s">
        <v>432</v>
      </c>
      <c r="Q1823" s="107" t="s">
        <v>432</v>
      </c>
      <c r="R1823" s="107" t="s">
        <v>432</v>
      </c>
      <c r="S1823" s="109" t="s">
        <v>2209</v>
      </c>
      <c r="T1823" s="107" t="s">
        <v>432</v>
      </c>
      <c r="U1823" s="107" t="s">
        <v>432</v>
      </c>
      <c r="V1823" s="109" t="s">
        <v>2209</v>
      </c>
      <c r="W1823" s="107" t="s">
        <v>432</v>
      </c>
      <c r="X1823" s="107" t="s">
        <v>432</v>
      </c>
      <c r="Y1823" s="107" t="s">
        <v>432</v>
      </c>
      <c r="Z1823" s="107" t="s">
        <v>432</v>
      </c>
      <c r="AA1823" s="107" t="s">
        <v>432</v>
      </c>
      <c r="AB1823" s="107" t="s">
        <v>432</v>
      </c>
      <c r="AC1823" s="107" t="s">
        <v>432</v>
      </c>
      <c r="AD1823" s="107" t="s">
        <v>432</v>
      </c>
      <c r="AE1823" s="107" t="s">
        <v>432</v>
      </c>
      <c r="AF1823" s="107" t="s">
        <v>432</v>
      </c>
      <c r="AG1823" s="107" t="s">
        <v>432</v>
      </c>
      <c r="AH1823" s="107" t="s">
        <v>432</v>
      </c>
      <c r="AI1823" s="107" t="s">
        <v>432</v>
      </c>
      <c r="AJ1823" s="107" t="s">
        <v>432</v>
      </c>
      <c r="AK1823" s="107" t="s">
        <v>432</v>
      </c>
      <c r="AL1823" s="601" t="s">
        <v>432</v>
      </c>
      <c r="AM1823" s="87">
        <v>10870000</v>
      </c>
      <c r="AN1823" s="107" t="s">
        <v>432</v>
      </c>
      <c r="AO1823" s="107" t="s">
        <v>432</v>
      </c>
      <c r="AP1823" s="107" t="s">
        <v>432</v>
      </c>
      <c r="AQ1823" s="107" t="s">
        <v>432</v>
      </c>
      <c r="AR1823" s="107" t="s">
        <v>432</v>
      </c>
      <c r="AS1823" s="107" t="s">
        <v>432</v>
      </c>
      <c r="AT1823" s="107" t="s">
        <v>432</v>
      </c>
      <c r="AU1823" s="107" t="s">
        <v>432</v>
      </c>
      <c r="AV1823" s="107" t="s">
        <v>432</v>
      </c>
      <c r="AW1823" s="107" t="s">
        <v>432</v>
      </c>
      <c r="AX1823" s="107" t="s">
        <v>432</v>
      </c>
      <c r="AY1823" s="107" t="s">
        <v>432</v>
      </c>
      <c r="AZ1823" s="107" t="s">
        <v>432</v>
      </c>
      <c r="BA1823" s="107" t="s">
        <v>432</v>
      </c>
      <c r="BB1823" s="239" t="str">
        <f t="shared" si="551"/>
        <v>Populaçãox</v>
      </c>
      <c r="BC1823" s="239" t="str">
        <f t="shared" si="552"/>
        <v>Populaçãoxbenchmarking</v>
      </c>
      <c r="BD1823" s="239" t="str">
        <f t="shared" si="553"/>
        <v>Populaçãobenchmarking</v>
      </c>
      <c r="BE1823" s="1"/>
    </row>
    <row r="1824" spans="1:57" ht="25.5" x14ac:dyDescent="0.25">
      <c r="A1824" s="262" t="str">
        <f>'Q100b-totais'!B19</f>
        <v>2.4</v>
      </c>
      <c r="B1824" s="252" t="str">
        <f>'Q100b-totais'!C19</f>
        <v>População</v>
      </c>
      <c r="C1824" s="167" t="s">
        <v>432</v>
      </c>
      <c r="D1824" s="940" t="s">
        <v>2812</v>
      </c>
      <c r="E1824" s="509" t="s">
        <v>3436</v>
      </c>
      <c r="F1824" s="13" t="s">
        <v>3437</v>
      </c>
      <c r="G1824" s="110" t="s">
        <v>77</v>
      </c>
      <c r="H1824" s="57" t="s">
        <v>819</v>
      </c>
      <c r="I1824" s="167" t="s">
        <v>3427</v>
      </c>
      <c r="J1824" s="107" t="s">
        <v>432</v>
      </c>
      <c r="K1824" s="107" t="s">
        <v>432</v>
      </c>
      <c r="L1824" s="107" t="s">
        <v>432</v>
      </c>
      <c r="M1824" s="107" t="s">
        <v>432</v>
      </c>
      <c r="N1824" s="107" t="s">
        <v>432</v>
      </c>
      <c r="O1824" s="107" t="s">
        <v>432</v>
      </c>
      <c r="P1824" s="107" t="s">
        <v>432</v>
      </c>
      <c r="Q1824" s="107" t="s">
        <v>432</v>
      </c>
      <c r="R1824" s="107" t="s">
        <v>432</v>
      </c>
      <c r="S1824" s="109" t="s">
        <v>2209</v>
      </c>
      <c r="T1824" s="107" t="s">
        <v>432</v>
      </c>
      <c r="U1824" s="107" t="s">
        <v>432</v>
      </c>
      <c r="V1824" s="109" t="s">
        <v>2209</v>
      </c>
      <c r="W1824" s="107" t="s">
        <v>432</v>
      </c>
      <c r="X1824" s="107" t="s">
        <v>432</v>
      </c>
      <c r="Y1824" s="107" t="s">
        <v>432</v>
      </c>
      <c r="Z1824" s="107" t="s">
        <v>432</v>
      </c>
      <c r="AA1824" s="107" t="s">
        <v>432</v>
      </c>
      <c r="AB1824" s="107" t="s">
        <v>432</v>
      </c>
      <c r="AC1824" s="107" t="s">
        <v>432</v>
      </c>
      <c r="AD1824" s="107" t="s">
        <v>432</v>
      </c>
      <c r="AE1824" s="107" t="s">
        <v>432</v>
      </c>
      <c r="AF1824" s="107" t="s">
        <v>432</v>
      </c>
      <c r="AG1824" s="107" t="s">
        <v>432</v>
      </c>
      <c r="AH1824" s="107" t="s">
        <v>432</v>
      </c>
      <c r="AI1824" s="107" t="s">
        <v>432</v>
      </c>
      <c r="AJ1824" s="107" t="s">
        <v>432</v>
      </c>
      <c r="AK1824" s="107" t="s">
        <v>432</v>
      </c>
      <c r="AL1824" s="601" t="s">
        <v>432</v>
      </c>
      <c r="AM1824" s="87">
        <v>1110000</v>
      </c>
      <c r="AN1824" s="107" t="s">
        <v>432</v>
      </c>
      <c r="AO1824" s="107" t="s">
        <v>432</v>
      </c>
      <c r="AP1824" s="107" t="s">
        <v>432</v>
      </c>
      <c r="AQ1824" s="107" t="s">
        <v>432</v>
      </c>
      <c r="AR1824" s="107" t="s">
        <v>432</v>
      </c>
      <c r="AS1824" s="107" t="s">
        <v>432</v>
      </c>
      <c r="AT1824" s="107" t="s">
        <v>432</v>
      </c>
      <c r="AU1824" s="107" t="s">
        <v>432</v>
      </c>
      <c r="AV1824" s="107" t="s">
        <v>432</v>
      </c>
      <c r="AW1824" s="107" t="s">
        <v>432</v>
      </c>
      <c r="AX1824" s="107" t="s">
        <v>432</v>
      </c>
      <c r="AY1824" s="107" t="s">
        <v>432</v>
      </c>
      <c r="AZ1824" s="107" t="s">
        <v>432</v>
      </c>
      <c r="BA1824" s="107" t="s">
        <v>432</v>
      </c>
      <c r="BB1824" s="239" t="str">
        <f t="shared" si="551"/>
        <v>Populaçãox</v>
      </c>
      <c r="BC1824" s="239" t="str">
        <f t="shared" si="552"/>
        <v>Populaçãoxbenchmarking</v>
      </c>
      <c r="BD1824" s="239" t="str">
        <f t="shared" si="553"/>
        <v>Populaçãobenchmarking</v>
      </c>
      <c r="BE1824" s="1"/>
    </row>
    <row r="1825" spans="1:57" s="1" customFormat="1" ht="25.5" x14ac:dyDescent="0.25">
      <c r="A1825" s="262" t="str">
        <f>'Q100b-totais'!B19</f>
        <v>2.4</v>
      </c>
      <c r="B1825" s="252" t="str">
        <f>'Q100b-totais'!C19</f>
        <v>População</v>
      </c>
      <c r="C1825" s="167" t="s">
        <v>432</v>
      </c>
      <c r="D1825" s="940" t="s">
        <v>2812</v>
      </c>
      <c r="E1825" s="1356" t="s">
        <v>3028</v>
      </c>
      <c r="F1825" s="13" t="s">
        <v>3163</v>
      </c>
      <c r="G1825" s="110" t="s">
        <v>77</v>
      </c>
      <c r="H1825" s="57" t="s">
        <v>819</v>
      </c>
      <c r="I1825" s="167" t="s">
        <v>3426</v>
      </c>
      <c r="J1825" s="107" t="s">
        <v>432</v>
      </c>
      <c r="K1825" s="107" t="s">
        <v>432</v>
      </c>
      <c r="L1825" s="107" t="s">
        <v>432</v>
      </c>
      <c r="M1825" s="107" t="s">
        <v>432</v>
      </c>
      <c r="N1825" s="107" t="s">
        <v>432</v>
      </c>
      <c r="O1825" s="107" t="s">
        <v>432</v>
      </c>
      <c r="P1825" s="107" t="s">
        <v>432</v>
      </c>
      <c r="Q1825" s="107" t="s">
        <v>432</v>
      </c>
      <c r="R1825" s="107" t="s">
        <v>432</v>
      </c>
      <c r="S1825" s="109" t="s">
        <v>2209</v>
      </c>
      <c r="T1825" s="107" t="s">
        <v>432</v>
      </c>
      <c r="U1825" s="107" t="s">
        <v>432</v>
      </c>
      <c r="V1825" s="109" t="s">
        <v>2209</v>
      </c>
      <c r="W1825" s="107" t="s">
        <v>432</v>
      </c>
      <c r="X1825" s="107" t="s">
        <v>432</v>
      </c>
      <c r="Y1825" s="107" t="s">
        <v>432</v>
      </c>
      <c r="Z1825" s="107" t="s">
        <v>432</v>
      </c>
      <c r="AA1825" s="107" t="s">
        <v>432</v>
      </c>
      <c r="AB1825" s="107" t="s">
        <v>432</v>
      </c>
      <c r="AC1825" s="107" t="s">
        <v>432</v>
      </c>
      <c r="AD1825" s="107" t="s">
        <v>432</v>
      </c>
      <c r="AE1825" s="107" t="s">
        <v>432</v>
      </c>
      <c r="AF1825" s="107" t="s">
        <v>432</v>
      </c>
      <c r="AG1825" s="107" t="s">
        <v>432</v>
      </c>
      <c r="AH1825" s="107" t="s">
        <v>432</v>
      </c>
      <c r="AI1825" s="87">
        <v>83152</v>
      </c>
      <c r="AJ1825" s="107" t="s">
        <v>432</v>
      </c>
      <c r="AK1825" s="107" t="s">
        <v>432</v>
      </c>
      <c r="AL1825" s="601" t="s">
        <v>432</v>
      </c>
      <c r="AM1825" s="649" t="s">
        <v>432</v>
      </c>
      <c r="AN1825" s="107" t="s">
        <v>432</v>
      </c>
      <c r="AO1825" s="107" t="s">
        <v>432</v>
      </c>
      <c r="AP1825" s="107" t="s">
        <v>432</v>
      </c>
      <c r="AQ1825" s="107" t="s">
        <v>432</v>
      </c>
      <c r="AR1825" s="107" t="s">
        <v>432</v>
      </c>
      <c r="AS1825" s="107" t="s">
        <v>432</v>
      </c>
      <c r="AT1825" s="107" t="s">
        <v>432</v>
      </c>
      <c r="AU1825" s="107" t="s">
        <v>432</v>
      </c>
      <c r="AV1825" s="107" t="s">
        <v>432</v>
      </c>
      <c r="AW1825" s="107" t="s">
        <v>432</v>
      </c>
      <c r="AX1825" s="107" t="s">
        <v>432</v>
      </c>
      <c r="AY1825" s="107" t="s">
        <v>432</v>
      </c>
      <c r="AZ1825" s="107" t="s">
        <v>432</v>
      </c>
      <c r="BA1825" s="107" t="s">
        <v>432</v>
      </c>
      <c r="BB1825" s="239" t="str">
        <f t="shared" si="551"/>
        <v>Populaçãox</v>
      </c>
      <c r="BC1825" s="239" t="str">
        <f t="shared" si="552"/>
        <v>Populaçãoxbenchmarking</v>
      </c>
      <c r="BD1825" s="239" t="str">
        <f t="shared" si="553"/>
        <v>Populaçãobenchmarking</v>
      </c>
    </row>
    <row r="1826" spans="1:57" ht="25.5" x14ac:dyDescent="0.25">
      <c r="A1826" s="262" t="str">
        <f>'Q100b-totais'!B19</f>
        <v>2.4</v>
      </c>
      <c r="B1826" s="252" t="str">
        <f>'Q100b-totais'!C19</f>
        <v>População</v>
      </c>
      <c r="C1826" s="167" t="s">
        <v>432</v>
      </c>
      <c r="D1826" s="940" t="s">
        <v>2812</v>
      </c>
      <c r="E1826" s="509" t="s">
        <v>3438</v>
      </c>
      <c r="F1826" s="13" t="s">
        <v>3439</v>
      </c>
      <c r="G1826" s="110" t="s">
        <v>77</v>
      </c>
      <c r="H1826" s="57" t="s">
        <v>819</v>
      </c>
      <c r="I1826" s="167" t="s">
        <v>3427</v>
      </c>
      <c r="J1826" s="107" t="s">
        <v>432</v>
      </c>
      <c r="K1826" s="107" t="s">
        <v>432</v>
      </c>
      <c r="L1826" s="107" t="s">
        <v>432</v>
      </c>
      <c r="M1826" s="107" t="s">
        <v>432</v>
      </c>
      <c r="N1826" s="107" t="s">
        <v>432</v>
      </c>
      <c r="O1826" s="107" t="s">
        <v>432</v>
      </c>
      <c r="P1826" s="107" t="s">
        <v>432</v>
      </c>
      <c r="Q1826" s="107" t="s">
        <v>432</v>
      </c>
      <c r="R1826" s="107" t="s">
        <v>432</v>
      </c>
      <c r="S1826" s="109" t="s">
        <v>2209</v>
      </c>
      <c r="T1826" s="107" t="s">
        <v>432</v>
      </c>
      <c r="U1826" s="107" t="s">
        <v>432</v>
      </c>
      <c r="V1826" s="109" t="s">
        <v>2209</v>
      </c>
      <c r="W1826" s="107" t="s">
        <v>432</v>
      </c>
      <c r="X1826" s="107" t="s">
        <v>432</v>
      </c>
      <c r="Y1826" s="107" t="s">
        <v>432</v>
      </c>
      <c r="Z1826" s="107" t="s">
        <v>432</v>
      </c>
      <c r="AA1826" s="107" t="s">
        <v>432</v>
      </c>
      <c r="AB1826" s="107" t="s">
        <v>432</v>
      </c>
      <c r="AC1826" s="107" t="s">
        <v>432</v>
      </c>
      <c r="AD1826" s="107" t="s">
        <v>432</v>
      </c>
      <c r="AE1826" s="107" t="s">
        <v>432</v>
      </c>
      <c r="AF1826" s="107" t="s">
        <v>432</v>
      </c>
      <c r="AG1826" s="107" t="s">
        <v>432</v>
      </c>
      <c r="AH1826" s="107" t="s">
        <v>432</v>
      </c>
      <c r="AI1826" s="107" t="s">
        <v>432</v>
      </c>
      <c r="AJ1826" s="107" t="s">
        <v>432</v>
      </c>
      <c r="AK1826" s="107" t="s">
        <v>432</v>
      </c>
      <c r="AL1826" s="601" t="s">
        <v>432</v>
      </c>
      <c r="AM1826" s="87">
        <v>1775000</v>
      </c>
      <c r="AN1826" s="107" t="s">
        <v>432</v>
      </c>
      <c r="AO1826" s="107" t="s">
        <v>432</v>
      </c>
      <c r="AP1826" s="107" t="s">
        <v>432</v>
      </c>
      <c r="AQ1826" s="107" t="s">
        <v>432</v>
      </c>
      <c r="AR1826" s="107" t="s">
        <v>432</v>
      </c>
      <c r="AS1826" s="107" t="s">
        <v>432</v>
      </c>
      <c r="AT1826" s="107" t="s">
        <v>432</v>
      </c>
      <c r="AU1826" s="107" t="s">
        <v>432</v>
      </c>
      <c r="AV1826" s="107" t="s">
        <v>432</v>
      </c>
      <c r="AW1826" s="107" t="s">
        <v>432</v>
      </c>
      <c r="AX1826" s="107" t="s">
        <v>432</v>
      </c>
      <c r="AY1826" s="107" t="s">
        <v>432</v>
      </c>
      <c r="AZ1826" s="107" t="s">
        <v>432</v>
      </c>
      <c r="BA1826" s="107" t="s">
        <v>432</v>
      </c>
      <c r="BB1826" s="239" t="str">
        <f t="shared" si="551"/>
        <v>Populaçãox</v>
      </c>
      <c r="BC1826" s="239" t="str">
        <f t="shared" si="552"/>
        <v>Populaçãoxbenchmarking</v>
      </c>
      <c r="BD1826" s="239" t="str">
        <f t="shared" si="553"/>
        <v>Populaçãobenchmarking</v>
      </c>
      <c r="BE1826" s="1"/>
    </row>
    <row r="1827" spans="1:57" s="1" customFormat="1" x14ac:dyDescent="0.25">
      <c r="A1827" s="398"/>
      <c r="B1827" s="221"/>
      <c r="C1827" s="399"/>
      <c r="D1827" s="987"/>
      <c r="E1827" s="1533"/>
      <c r="F1827" s="405"/>
      <c r="G1827" s="405"/>
      <c r="H1827" s="405"/>
      <c r="I1827" s="405"/>
      <c r="J1827" s="405"/>
      <c r="K1827" s="405"/>
      <c r="L1827" s="405"/>
      <c r="M1827" s="405"/>
      <c r="N1827" s="405"/>
      <c r="O1827" s="405"/>
      <c r="P1827" s="405"/>
      <c r="Q1827" s="405"/>
      <c r="R1827" s="405"/>
      <c r="S1827" s="405"/>
      <c r="T1827" s="405"/>
      <c r="U1827" s="405"/>
      <c r="V1827" s="405"/>
      <c r="W1827" s="405"/>
      <c r="X1827" s="405"/>
      <c r="Y1827" s="405"/>
      <c r="Z1827" s="405"/>
      <c r="AA1827" s="405"/>
      <c r="AB1827" s="405"/>
      <c r="AC1827" s="405"/>
      <c r="AD1827" s="405"/>
      <c r="AE1827" s="405"/>
      <c r="AF1827" s="405"/>
      <c r="AG1827" s="405"/>
      <c r="AH1827" s="405"/>
      <c r="AI1827" s="405"/>
      <c r="AJ1827" s="405"/>
      <c r="AK1827" s="405"/>
      <c r="AL1827" s="405"/>
      <c r="AM1827" s="405"/>
      <c r="AN1827" s="405"/>
      <c r="AO1827" s="405"/>
      <c r="AP1827" s="405"/>
      <c r="AQ1827" s="652"/>
      <c r="AR1827" s="652"/>
      <c r="AS1827" s="652"/>
      <c r="AT1827" s="652"/>
      <c r="AU1827" s="652"/>
      <c r="AV1827" s="652"/>
      <c r="AW1827" s="652"/>
      <c r="AX1827" s="652"/>
      <c r="AY1827" s="652"/>
      <c r="AZ1827" s="652"/>
      <c r="BA1827" s="652"/>
      <c r="BB1827" s="906"/>
      <c r="BC1827" s="906"/>
      <c r="BD1827" s="906"/>
    </row>
    <row r="1828" spans="1:57" s="347" customFormat="1" ht="51" x14ac:dyDescent="0.25">
      <c r="A1828" s="413" t="str">
        <f>'Q100b-totais'!B19</f>
        <v>2.4</v>
      </c>
      <c r="B1828" s="1205" t="str">
        <f>'Q100b-totais'!C19</f>
        <v>População</v>
      </c>
      <c r="C1828" s="167" t="s">
        <v>432</v>
      </c>
      <c r="D1828" s="940" t="s">
        <v>2812</v>
      </c>
      <c r="E1828" s="1445" t="s">
        <v>2784</v>
      </c>
      <c r="F1828" s="11" t="s">
        <v>3475</v>
      </c>
      <c r="G1828" s="110" t="s">
        <v>77</v>
      </c>
      <c r="H1828" s="57" t="s">
        <v>1298</v>
      </c>
      <c r="I1828" s="167">
        <v>1</v>
      </c>
      <c r="J1828" s="107" t="s">
        <v>432</v>
      </c>
      <c r="K1828" s="107" t="s">
        <v>432</v>
      </c>
      <c r="L1828" s="107" t="s">
        <v>432</v>
      </c>
      <c r="M1828" s="107" t="s">
        <v>432</v>
      </c>
      <c r="N1828" s="107" t="s">
        <v>432</v>
      </c>
      <c r="O1828" s="107" t="s">
        <v>432</v>
      </c>
      <c r="P1828" s="107" t="s">
        <v>432</v>
      </c>
      <c r="Q1828" s="107" t="s">
        <v>432</v>
      </c>
      <c r="R1828" s="107" t="s">
        <v>432</v>
      </c>
      <c r="S1828" s="109" t="s">
        <v>2209</v>
      </c>
      <c r="T1828" s="107" t="s">
        <v>432</v>
      </c>
      <c r="U1828" s="107" t="s">
        <v>432</v>
      </c>
      <c r="V1828" s="109" t="s">
        <v>2209</v>
      </c>
      <c r="W1828" s="107" t="s">
        <v>432</v>
      </c>
      <c r="X1828" s="107" t="s">
        <v>432</v>
      </c>
      <c r="Y1828" s="107" t="s">
        <v>432</v>
      </c>
      <c r="Z1828" s="107" t="s">
        <v>432</v>
      </c>
      <c r="AA1828" s="107" t="s">
        <v>432</v>
      </c>
      <c r="AB1828" s="107" t="s">
        <v>432</v>
      </c>
      <c r="AC1828" s="86">
        <v>4803198</v>
      </c>
      <c r="AD1828" s="107" t="s">
        <v>432</v>
      </c>
      <c r="AE1828" s="107" t="s">
        <v>432</v>
      </c>
      <c r="AF1828" s="107" t="s">
        <v>432</v>
      </c>
      <c r="AG1828" s="107" t="s">
        <v>432</v>
      </c>
      <c r="AH1828" s="107" t="s">
        <v>432</v>
      </c>
      <c r="AI1828" s="107" t="s">
        <v>432</v>
      </c>
      <c r="AJ1828" s="107" t="s">
        <v>432</v>
      </c>
      <c r="AK1828" s="107" t="s">
        <v>432</v>
      </c>
      <c r="AL1828" s="601" t="s">
        <v>432</v>
      </c>
      <c r="AM1828" s="87">
        <v>4560000</v>
      </c>
      <c r="AN1828" s="137" t="s">
        <v>432</v>
      </c>
      <c r="AO1828" s="137" t="s">
        <v>432</v>
      </c>
      <c r="AP1828" s="137" t="s">
        <v>432</v>
      </c>
      <c r="AQ1828" s="137" t="s">
        <v>432</v>
      </c>
      <c r="AR1828" s="137" t="s">
        <v>432</v>
      </c>
      <c r="AS1828" s="137" t="s">
        <v>432</v>
      </c>
      <c r="AT1828" s="137" t="s">
        <v>432</v>
      </c>
      <c r="AU1828" s="137" t="s">
        <v>432</v>
      </c>
      <c r="AV1828" s="137" t="s">
        <v>432</v>
      </c>
      <c r="AW1828" s="137" t="s">
        <v>432</v>
      </c>
      <c r="AX1828" s="137" t="s">
        <v>432</v>
      </c>
      <c r="AY1828" s="137" t="s">
        <v>432</v>
      </c>
      <c r="AZ1828" s="137" t="s">
        <v>432</v>
      </c>
      <c r="BA1828" s="137" t="s">
        <v>432</v>
      </c>
      <c r="BB1828" s="239" t="str">
        <f t="shared" ref="BB1828:BB1842" si="554">B1828&amp;C1828</f>
        <v>Populaçãox</v>
      </c>
      <c r="BC1828" s="239" t="str">
        <f t="shared" ref="BC1828:BC1842" si="555">B1828&amp;C1828&amp;H1828</f>
        <v>PopulaçãoxRMBH</v>
      </c>
      <c r="BD1828" s="239" t="str">
        <f t="shared" ref="BD1828:BD1842" si="556">B1828&amp;H1828</f>
        <v>PopulaçãoRMBH</v>
      </c>
      <c r="BE1828" s="1"/>
    </row>
    <row r="1829" spans="1:57" s="347" customFormat="1" ht="45" customHeight="1" x14ac:dyDescent="0.25">
      <c r="A1829" s="413" t="str">
        <f>'Q100b-totais'!B19</f>
        <v>2.4</v>
      </c>
      <c r="B1829" s="1205" t="str">
        <f>'Q100b-totais'!C19</f>
        <v>População</v>
      </c>
      <c r="C1829" s="167" t="s">
        <v>432</v>
      </c>
      <c r="D1829" s="940" t="s">
        <v>2812</v>
      </c>
      <c r="E1829" s="1445" t="s">
        <v>2785</v>
      </c>
      <c r="F1829" s="11" t="s">
        <v>3420</v>
      </c>
      <c r="G1829" s="110" t="s">
        <v>77</v>
      </c>
      <c r="H1829" s="169" t="s">
        <v>819</v>
      </c>
      <c r="I1829" s="167" t="s">
        <v>3709</v>
      </c>
      <c r="J1829" s="107" t="s">
        <v>432</v>
      </c>
      <c r="K1829" s="107" t="s">
        <v>432</v>
      </c>
      <c r="L1829" s="107" t="s">
        <v>432</v>
      </c>
      <c r="M1829" s="107" t="s">
        <v>432</v>
      </c>
      <c r="N1829" s="107" t="s">
        <v>432</v>
      </c>
      <c r="O1829" s="107" t="s">
        <v>432</v>
      </c>
      <c r="P1829" s="107" t="s">
        <v>432</v>
      </c>
      <c r="Q1829" s="107" t="s">
        <v>432</v>
      </c>
      <c r="R1829" s="107" t="s">
        <v>432</v>
      </c>
      <c r="S1829" s="109" t="s">
        <v>2209</v>
      </c>
      <c r="T1829" s="107" t="s">
        <v>432</v>
      </c>
      <c r="U1829" s="107" t="s">
        <v>432</v>
      </c>
      <c r="V1829" s="109" t="s">
        <v>2209</v>
      </c>
      <c r="W1829" s="107" t="s">
        <v>432</v>
      </c>
      <c r="X1829" s="107" t="s">
        <v>432</v>
      </c>
      <c r="Y1829" s="107" t="s">
        <v>432</v>
      </c>
      <c r="Z1829" s="107" t="s">
        <v>432</v>
      </c>
      <c r="AA1829" s="107" t="s">
        <v>432</v>
      </c>
      <c r="AB1829" s="107" t="s">
        <v>432</v>
      </c>
      <c r="AC1829" s="86">
        <v>7823957</v>
      </c>
      <c r="AD1829" s="107" t="s">
        <v>432</v>
      </c>
      <c r="AE1829" s="107" t="s">
        <v>432</v>
      </c>
      <c r="AF1829" s="107" t="s">
        <v>432</v>
      </c>
      <c r="AG1829" s="107" t="s">
        <v>432</v>
      </c>
      <c r="AH1829" s="107" t="s">
        <v>432</v>
      </c>
      <c r="AI1829" s="107" t="s">
        <v>432</v>
      </c>
      <c r="AJ1829" s="107" t="s">
        <v>432</v>
      </c>
      <c r="AK1829" s="107" t="s">
        <v>432</v>
      </c>
      <c r="AL1829" s="601" t="s">
        <v>432</v>
      </c>
      <c r="AM1829" s="87">
        <v>9520000</v>
      </c>
      <c r="AN1829" s="137" t="s">
        <v>432</v>
      </c>
      <c r="AO1829" s="137" t="s">
        <v>432</v>
      </c>
      <c r="AP1829" s="137" t="s">
        <v>432</v>
      </c>
      <c r="AQ1829" s="137" t="s">
        <v>432</v>
      </c>
      <c r="AR1829" s="137" t="s">
        <v>432</v>
      </c>
      <c r="AS1829" s="137" t="s">
        <v>432</v>
      </c>
      <c r="AT1829" s="137" t="s">
        <v>432</v>
      </c>
      <c r="AU1829" s="137" t="s">
        <v>432</v>
      </c>
      <c r="AV1829" s="137" t="s">
        <v>432</v>
      </c>
      <c r="AW1829" s="137" t="s">
        <v>432</v>
      </c>
      <c r="AX1829" s="137" t="s">
        <v>432</v>
      </c>
      <c r="AY1829" s="137" t="s">
        <v>432</v>
      </c>
      <c r="AZ1829" s="137" t="s">
        <v>432</v>
      </c>
      <c r="BA1829" s="137" t="s">
        <v>432</v>
      </c>
      <c r="BB1829" s="239" t="str">
        <f t="shared" si="554"/>
        <v>Populaçãox</v>
      </c>
      <c r="BC1829" s="239" t="str">
        <f t="shared" si="555"/>
        <v>Populaçãoxbenchmarking</v>
      </c>
      <c r="BD1829" s="239" t="str">
        <f t="shared" si="556"/>
        <v>Populaçãobenchmarking</v>
      </c>
      <c r="BE1829" s="1"/>
    </row>
    <row r="1830" spans="1:57" s="347" customFormat="1" ht="36" customHeight="1" x14ac:dyDescent="0.25">
      <c r="A1830" s="413" t="str">
        <f>'Q100b-totais'!B19</f>
        <v>2.4</v>
      </c>
      <c r="B1830" s="1205" t="str">
        <f>'Q100b-totais'!C19</f>
        <v>População</v>
      </c>
      <c r="C1830" s="167" t="s">
        <v>432</v>
      </c>
      <c r="D1830" s="940" t="s">
        <v>2812</v>
      </c>
      <c r="E1830" s="1445" t="s">
        <v>2786</v>
      </c>
      <c r="F1830" s="11" t="s">
        <v>2829</v>
      </c>
      <c r="G1830" s="110" t="s">
        <v>77</v>
      </c>
      <c r="H1830" s="169" t="s">
        <v>819</v>
      </c>
      <c r="I1830" s="167" t="s">
        <v>3709</v>
      </c>
      <c r="J1830" s="107" t="s">
        <v>432</v>
      </c>
      <c r="K1830" s="107" t="s">
        <v>432</v>
      </c>
      <c r="L1830" s="107" t="s">
        <v>432</v>
      </c>
      <c r="M1830" s="107" t="s">
        <v>432</v>
      </c>
      <c r="N1830" s="107" t="s">
        <v>432</v>
      </c>
      <c r="O1830" s="107" t="s">
        <v>432</v>
      </c>
      <c r="P1830" s="107" t="s">
        <v>432</v>
      </c>
      <c r="Q1830" s="107" t="s">
        <v>432</v>
      </c>
      <c r="R1830" s="107" t="s">
        <v>432</v>
      </c>
      <c r="S1830" s="109" t="s">
        <v>2209</v>
      </c>
      <c r="T1830" s="107" t="s">
        <v>432</v>
      </c>
      <c r="U1830" s="107" t="s">
        <v>432</v>
      </c>
      <c r="V1830" s="109" t="s">
        <v>2209</v>
      </c>
      <c r="W1830" s="107" t="s">
        <v>432</v>
      </c>
      <c r="X1830" s="107" t="s">
        <v>432</v>
      </c>
      <c r="Y1830" s="107" t="s">
        <v>432</v>
      </c>
      <c r="Z1830" s="107" t="s">
        <v>432</v>
      </c>
      <c r="AA1830" s="107" t="s">
        <v>432</v>
      </c>
      <c r="AB1830" s="107" t="s">
        <v>432</v>
      </c>
      <c r="AC1830" s="86">
        <v>13267181</v>
      </c>
      <c r="AD1830" s="107" t="s">
        <v>432</v>
      </c>
      <c r="AE1830" s="107" t="s">
        <v>432</v>
      </c>
      <c r="AF1830" s="107" t="s">
        <v>432</v>
      </c>
      <c r="AG1830" s="107" t="s">
        <v>432</v>
      </c>
      <c r="AH1830" s="107" t="s">
        <v>432</v>
      </c>
      <c r="AI1830" s="107" t="s">
        <v>432</v>
      </c>
      <c r="AJ1830" s="107" t="s">
        <v>432</v>
      </c>
      <c r="AK1830" s="107" t="s">
        <v>432</v>
      </c>
      <c r="AL1830" s="601" t="s">
        <v>432</v>
      </c>
      <c r="AM1830" s="137" t="s">
        <v>432</v>
      </c>
      <c r="AN1830" s="137" t="s">
        <v>432</v>
      </c>
      <c r="AO1830" s="137" t="s">
        <v>432</v>
      </c>
      <c r="AP1830" s="137" t="s">
        <v>432</v>
      </c>
      <c r="AQ1830" s="137" t="s">
        <v>432</v>
      </c>
      <c r="AR1830" s="137" t="s">
        <v>432</v>
      </c>
      <c r="AS1830" s="137" t="s">
        <v>432</v>
      </c>
      <c r="AT1830" s="137" t="s">
        <v>432</v>
      </c>
      <c r="AU1830" s="137" t="s">
        <v>432</v>
      </c>
      <c r="AV1830" s="137" t="s">
        <v>432</v>
      </c>
      <c r="AW1830" s="137" t="s">
        <v>432</v>
      </c>
      <c r="AX1830" s="137" t="s">
        <v>432</v>
      </c>
      <c r="AY1830" s="137" t="s">
        <v>432</v>
      </c>
      <c r="AZ1830" s="137" t="s">
        <v>432</v>
      </c>
      <c r="BA1830" s="137" t="s">
        <v>432</v>
      </c>
      <c r="BB1830" s="239" t="str">
        <f t="shared" si="554"/>
        <v>Populaçãox</v>
      </c>
      <c r="BC1830" s="239" t="str">
        <f t="shared" si="555"/>
        <v>Populaçãoxbenchmarking</v>
      </c>
      <c r="BD1830" s="239" t="str">
        <f t="shared" si="556"/>
        <v>Populaçãobenchmarking</v>
      </c>
      <c r="BE1830" s="1"/>
    </row>
    <row r="1831" spans="1:57" s="347" customFormat="1" ht="25.5" x14ac:dyDescent="0.25">
      <c r="A1831" s="413" t="str">
        <f>'Q100b-totais'!B19</f>
        <v>2.4</v>
      </c>
      <c r="B1831" s="1205" t="str">
        <f>'Q100b-totais'!C19</f>
        <v>População</v>
      </c>
      <c r="C1831" s="167" t="s">
        <v>432</v>
      </c>
      <c r="D1831" s="940" t="s">
        <v>2812</v>
      </c>
      <c r="E1831" s="1445" t="s">
        <v>2787</v>
      </c>
      <c r="F1831" s="11" t="s">
        <v>2829</v>
      </c>
      <c r="G1831" s="110" t="s">
        <v>77</v>
      </c>
      <c r="H1831" s="169" t="s">
        <v>819</v>
      </c>
      <c r="I1831" s="167" t="s">
        <v>3709</v>
      </c>
      <c r="J1831" s="107" t="s">
        <v>432</v>
      </c>
      <c r="K1831" s="107" t="s">
        <v>432</v>
      </c>
      <c r="L1831" s="107" t="s">
        <v>432</v>
      </c>
      <c r="M1831" s="107" t="s">
        <v>432</v>
      </c>
      <c r="N1831" s="107" t="s">
        <v>432</v>
      </c>
      <c r="O1831" s="107" t="s">
        <v>432</v>
      </c>
      <c r="P1831" s="107" t="s">
        <v>432</v>
      </c>
      <c r="Q1831" s="107" t="s">
        <v>432</v>
      </c>
      <c r="R1831" s="107" t="s">
        <v>432</v>
      </c>
      <c r="S1831" s="109" t="s">
        <v>2209</v>
      </c>
      <c r="T1831" s="107" t="s">
        <v>432</v>
      </c>
      <c r="U1831" s="107" t="s">
        <v>432</v>
      </c>
      <c r="V1831" s="109" t="s">
        <v>2209</v>
      </c>
      <c r="W1831" s="107" t="s">
        <v>432</v>
      </c>
      <c r="X1831" s="107" t="s">
        <v>432</v>
      </c>
      <c r="Y1831" s="107" t="s">
        <v>432</v>
      </c>
      <c r="Z1831" s="107" t="s">
        <v>432</v>
      </c>
      <c r="AA1831" s="107" t="s">
        <v>432</v>
      </c>
      <c r="AB1831" s="107" t="s">
        <v>432</v>
      </c>
      <c r="AC1831" s="86">
        <v>3140076</v>
      </c>
      <c r="AD1831" s="107" t="s">
        <v>432</v>
      </c>
      <c r="AE1831" s="107" t="s">
        <v>432</v>
      </c>
      <c r="AF1831" s="107" t="s">
        <v>432</v>
      </c>
      <c r="AG1831" s="107" t="s">
        <v>432</v>
      </c>
      <c r="AH1831" s="107" t="s">
        <v>432</v>
      </c>
      <c r="AI1831" s="107" t="s">
        <v>432</v>
      </c>
      <c r="AJ1831" s="107" t="s">
        <v>432</v>
      </c>
      <c r="AK1831" s="107" t="s">
        <v>432</v>
      </c>
      <c r="AL1831" s="601" t="s">
        <v>432</v>
      </c>
      <c r="AM1831" s="137" t="s">
        <v>432</v>
      </c>
      <c r="AN1831" s="137" t="s">
        <v>432</v>
      </c>
      <c r="AO1831" s="137" t="s">
        <v>432</v>
      </c>
      <c r="AP1831" s="137" t="s">
        <v>432</v>
      </c>
      <c r="AQ1831" s="137" t="s">
        <v>432</v>
      </c>
      <c r="AR1831" s="137" t="s">
        <v>432</v>
      </c>
      <c r="AS1831" s="137" t="s">
        <v>432</v>
      </c>
      <c r="AT1831" s="137" t="s">
        <v>432</v>
      </c>
      <c r="AU1831" s="137" t="s">
        <v>432</v>
      </c>
      <c r="AV1831" s="137" t="s">
        <v>432</v>
      </c>
      <c r="AW1831" s="137" t="s">
        <v>432</v>
      </c>
      <c r="AX1831" s="137" t="s">
        <v>432</v>
      </c>
      <c r="AY1831" s="137" t="s">
        <v>432</v>
      </c>
      <c r="AZ1831" s="137" t="s">
        <v>432</v>
      </c>
      <c r="BA1831" s="137" t="s">
        <v>432</v>
      </c>
      <c r="BB1831" s="239" t="str">
        <f t="shared" si="554"/>
        <v>Populaçãox</v>
      </c>
      <c r="BC1831" s="239" t="str">
        <f t="shared" si="555"/>
        <v>Populaçãoxbenchmarking</v>
      </c>
      <c r="BD1831" s="239" t="str">
        <f t="shared" si="556"/>
        <v>Populaçãobenchmarking</v>
      </c>
      <c r="BE1831" s="1"/>
    </row>
    <row r="1832" spans="1:57" s="347" customFormat="1" ht="34.5" customHeight="1" x14ac:dyDescent="0.25">
      <c r="A1832" s="413" t="str">
        <f>'Q100b-totais'!B19</f>
        <v>2.4</v>
      </c>
      <c r="B1832" s="1205" t="str">
        <f>'Q100b-totais'!C19</f>
        <v>População</v>
      </c>
      <c r="C1832" s="167" t="s">
        <v>432</v>
      </c>
      <c r="D1832" s="940" t="s">
        <v>2812</v>
      </c>
      <c r="E1832" s="1445" t="s">
        <v>2788</v>
      </c>
      <c r="F1832" s="11" t="s">
        <v>2829</v>
      </c>
      <c r="G1832" s="110" t="s">
        <v>77</v>
      </c>
      <c r="H1832" s="169" t="s">
        <v>819</v>
      </c>
      <c r="I1832" s="167" t="s">
        <v>3709</v>
      </c>
      <c r="J1832" s="107" t="s">
        <v>432</v>
      </c>
      <c r="K1832" s="107" t="s">
        <v>432</v>
      </c>
      <c r="L1832" s="107" t="s">
        <v>432</v>
      </c>
      <c r="M1832" s="107" t="s">
        <v>432</v>
      </c>
      <c r="N1832" s="107" t="s">
        <v>432</v>
      </c>
      <c r="O1832" s="107" t="s">
        <v>432</v>
      </c>
      <c r="P1832" s="107" t="s">
        <v>432</v>
      </c>
      <c r="Q1832" s="107" t="s">
        <v>432</v>
      </c>
      <c r="R1832" s="107" t="s">
        <v>432</v>
      </c>
      <c r="S1832" s="109" t="s">
        <v>2209</v>
      </c>
      <c r="T1832" s="107" t="s">
        <v>432</v>
      </c>
      <c r="U1832" s="107" t="s">
        <v>432</v>
      </c>
      <c r="V1832" s="109" t="s">
        <v>2209</v>
      </c>
      <c r="W1832" s="107" t="s">
        <v>432</v>
      </c>
      <c r="X1832" s="107" t="s">
        <v>432</v>
      </c>
      <c r="Y1832" s="107" t="s">
        <v>432</v>
      </c>
      <c r="Z1832" s="107" t="s">
        <v>432</v>
      </c>
      <c r="AA1832" s="107" t="s">
        <v>432</v>
      </c>
      <c r="AB1832" s="107" t="s">
        <v>432</v>
      </c>
      <c r="AC1832" s="86">
        <v>19239910</v>
      </c>
      <c r="AD1832" s="107" t="s">
        <v>432</v>
      </c>
      <c r="AE1832" s="107" t="s">
        <v>432</v>
      </c>
      <c r="AF1832" s="107" t="s">
        <v>432</v>
      </c>
      <c r="AG1832" s="107" t="s">
        <v>432</v>
      </c>
      <c r="AH1832" s="107" t="s">
        <v>432</v>
      </c>
      <c r="AI1832" s="107" t="s">
        <v>432</v>
      </c>
      <c r="AJ1832" s="107" t="s">
        <v>432</v>
      </c>
      <c r="AK1832" s="107" t="s">
        <v>432</v>
      </c>
      <c r="AL1832" s="601" t="s">
        <v>432</v>
      </c>
      <c r="AM1832" s="137" t="s">
        <v>432</v>
      </c>
      <c r="AN1832" s="137" t="s">
        <v>432</v>
      </c>
      <c r="AO1832" s="137" t="s">
        <v>432</v>
      </c>
      <c r="AP1832" s="137" t="s">
        <v>432</v>
      </c>
      <c r="AQ1832" s="137" t="s">
        <v>432</v>
      </c>
      <c r="AR1832" s="137" t="s">
        <v>432</v>
      </c>
      <c r="AS1832" s="137" t="s">
        <v>432</v>
      </c>
      <c r="AT1832" s="137" t="s">
        <v>432</v>
      </c>
      <c r="AU1832" s="137" t="s">
        <v>432</v>
      </c>
      <c r="AV1832" s="137" t="s">
        <v>432</v>
      </c>
      <c r="AW1832" s="137" t="s">
        <v>432</v>
      </c>
      <c r="AX1832" s="137" t="s">
        <v>432</v>
      </c>
      <c r="AY1832" s="137" t="s">
        <v>432</v>
      </c>
      <c r="AZ1832" s="137" t="s">
        <v>432</v>
      </c>
      <c r="BA1832" s="137" t="s">
        <v>432</v>
      </c>
      <c r="BB1832" s="239" t="str">
        <f t="shared" si="554"/>
        <v>Populaçãox</v>
      </c>
      <c r="BC1832" s="239" t="str">
        <f t="shared" si="555"/>
        <v>Populaçãoxbenchmarking</v>
      </c>
      <c r="BD1832" s="239" t="str">
        <f t="shared" si="556"/>
        <v>Populaçãobenchmarking</v>
      </c>
      <c r="BE1832" s="1"/>
    </row>
    <row r="1833" spans="1:57" s="347" customFormat="1" ht="25.5" x14ac:dyDescent="0.25">
      <c r="A1833" s="413" t="str">
        <f>'Q100b-totais'!B19</f>
        <v>2.4</v>
      </c>
      <c r="B1833" s="1205" t="str">
        <f>'Q100b-totais'!C19</f>
        <v>População</v>
      </c>
      <c r="C1833" s="167" t="s">
        <v>432</v>
      </c>
      <c r="D1833" s="940" t="s">
        <v>2812</v>
      </c>
      <c r="E1833" s="1445" t="s">
        <v>2789</v>
      </c>
      <c r="F1833" s="11" t="s">
        <v>2829</v>
      </c>
      <c r="G1833" s="110" t="s">
        <v>77</v>
      </c>
      <c r="H1833" s="169" t="s">
        <v>819</v>
      </c>
      <c r="I1833" s="167" t="s">
        <v>3709</v>
      </c>
      <c r="J1833" s="107" t="s">
        <v>432</v>
      </c>
      <c r="K1833" s="107" t="s">
        <v>432</v>
      </c>
      <c r="L1833" s="107" t="s">
        <v>432</v>
      </c>
      <c r="M1833" s="107" t="s">
        <v>432</v>
      </c>
      <c r="N1833" s="107" t="s">
        <v>432</v>
      </c>
      <c r="O1833" s="107" t="s">
        <v>432</v>
      </c>
      <c r="P1833" s="107" t="s">
        <v>432</v>
      </c>
      <c r="Q1833" s="107" t="s">
        <v>432</v>
      </c>
      <c r="R1833" s="107" t="s">
        <v>432</v>
      </c>
      <c r="S1833" s="109" t="s">
        <v>2209</v>
      </c>
      <c r="T1833" s="107" t="s">
        <v>432</v>
      </c>
      <c r="U1833" s="107" t="s">
        <v>432</v>
      </c>
      <c r="V1833" s="109" t="s">
        <v>2209</v>
      </c>
      <c r="W1833" s="107" t="s">
        <v>432</v>
      </c>
      <c r="X1833" s="107" t="s">
        <v>432</v>
      </c>
      <c r="Y1833" s="107" t="s">
        <v>432</v>
      </c>
      <c r="Z1833" s="107" t="s">
        <v>432</v>
      </c>
      <c r="AA1833" s="107" t="s">
        <v>432</v>
      </c>
      <c r="AB1833" s="107" t="s">
        <v>432</v>
      </c>
      <c r="AC1833" s="86">
        <v>2872486</v>
      </c>
      <c r="AD1833" s="107" t="s">
        <v>432</v>
      </c>
      <c r="AE1833" s="107" t="s">
        <v>432</v>
      </c>
      <c r="AF1833" s="107" t="s">
        <v>432</v>
      </c>
      <c r="AG1833" s="107" t="s">
        <v>432</v>
      </c>
      <c r="AH1833" s="107" t="s">
        <v>432</v>
      </c>
      <c r="AI1833" s="107" t="s">
        <v>432</v>
      </c>
      <c r="AJ1833" s="107" t="s">
        <v>432</v>
      </c>
      <c r="AK1833" s="107" t="s">
        <v>432</v>
      </c>
      <c r="AL1833" s="601" t="s">
        <v>432</v>
      </c>
      <c r="AM1833" s="137" t="s">
        <v>432</v>
      </c>
      <c r="AN1833" s="137" t="s">
        <v>432</v>
      </c>
      <c r="AO1833" s="137" t="s">
        <v>432</v>
      </c>
      <c r="AP1833" s="137" t="s">
        <v>432</v>
      </c>
      <c r="AQ1833" s="137" t="s">
        <v>432</v>
      </c>
      <c r="AR1833" s="137" t="s">
        <v>432</v>
      </c>
      <c r="AS1833" s="137" t="s">
        <v>432</v>
      </c>
      <c r="AT1833" s="137" t="s">
        <v>432</v>
      </c>
      <c r="AU1833" s="137" t="s">
        <v>432</v>
      </c>
      <c r="AV1833" s="137" t="s">
        <v>432</v>
      </c>
      <c r="AW1833" s="137" t="s">
        <v>432</v>
      </c>
      <c r="AX1833" s="137" t="s">
        <v>432</v>
      </c>
      <c r="AY1833" s="137" t="s">
        <v>432</v>
      </c>
      <c r="AZ1833" s="137" t="s">
        <v>432</v>
      </c>
      <c r="BA1833" s="137" t="s">
        <v>432</v>
      </c>
      <c r="BB1833" s="239" t="str">
        <f t="shared" si="554"/>
        <v>Populaçãox</v>
      </c>
      <c r="BC1833" s="239" t="str">
        <f t="shared" si="555"/>
        <v>Populaçãoxbenchmarking</v>
      </c>
      <c r="BD1833" s="239" t="str">
        <f t="shared" si="556"/>
        <v>Populaçãobenchmarking</v>
      </c>
      <c r="BE1833" s="1"/>
    </row>
    <row r="1834" spans="1:57" s="347" customFormat="1" ht="36" customHeight="1" x14ac:dyDescent="0.25">
      <c r="A1834" s="413" t="str">
        <f>'Q100b-totais'!B19</f>
        <v>2.4</v>
      </c>
      <c r="B1834" s="1205" t="str">
        <f>'Q100b-totais'!C19</f>
        <v>População</v>
      </c>
      <c r="C1834" s="167" t="s">
        <v>432</v>
      </c>
      <c r="D1834" s="940" t="s">
        <v>2812</v>
      </c>
      <c r="E1834" s="1445" t="s">
        <v>2790</v>
      </c>
      <c r="F1834" s="11" t="s">
        <v>2829</v>
      </c>
      <c r="G1834" s="110" t="s">
        <v>77</v>
      </c>
      <c r="H1834" s="169" t="s">
        <v>819</v>
      </c>
      <c r="I1834" s="167" t="s">
        <v>3709</v>
      </c>
      <c r="J1834" s="107" t="s">
        <v>432</v>
      </c>
      <c r="K1834" s="107" t="s">
        <v>432</v>
      </c>
      <c r="L1834" s="107" t="s">
        <v>432</v>
      </c>
      <c r="M1834" s="107" t="s">
        <v>432</v>
      </c>
      <c r="N1834" s="107" t="s">
        <v>432</v>
      </c>
      <c r="O1834" s="107" t="s">
        <v>432</v>
      </c>
      <c r="P1834" s="107" t="s">
        <v>432</v>
      </c>
      <c r="Q1834" s="107" t="s">
        <v>432</v>
      </c>
      <c r="R1834" s="107" t="s">
        <v>432</v>
      </c>
      <c r="S1834" s="109" t="s">
        <v>2209</v>
      </c>
      <c r="T1834" s="107" t="s">
        <v>432</v>
      </c>
      <c r="U1834" s="107" t="s">
        <v>432</v>
      </c>
      <c r="V1834" s="109" t="s">
        <v>2209</v>
      </c>
      <c r="W1834" s="107" t="s">
        <v>432</v>
      </c>
      <c r="X1834" s="107" t="s">
        <v>432</v>
      </c>
      <c r="Y1834" s="107" t="s">
        <v>432</v>
      </c>
      <c r="Z1834" s="107" t="s">
        <v>432</v>
      </c>
      <c r="AA1834" s="107" t="s">
        <v>432</v>
      </c>
      <c r="AB1834" s="107" t="s">
        <v>432</v>
      </c>
      <c r="AC1834" s="86">
        <v>4374721</v>
      </c>
      <c r="AD1834" s="107" t="s">
        <v>432</v>
      </c>
      <c r="AE1834" s="107" t="s">
        <v>432</v>
      </c>
      <c r="AF1834" s="107" t="s">
        <v>432</v>
      </c>
      <c r="AG1834" s="107" t="s">
        <v>432</v>
      </c>
      <c r="AH1834" s="107" t="s">
        <v>432</v>
      </c>
      <c r="AI1834" s="107" t="s">
        <v>432</v>
      </c>
      <c r="AJ1834" s="107" t="s">
        <v>432</v>
      </c>
      <c r="AK1834" s="107" t="s">
        <v>432</v>
      </c>
      <c r="AL1834" s="601" t="s">
        <v>432</v>
      </c>
      <c r="AM1834" s="137" t="s">
        <v>432</v>
      </c>
      <c r="AN1834" s="137" t="s">
        <v>432</v>
      </c>
      <c r="AO1834" s="137" t="s">
        <v>432</v>
      </c>
      <c r="AP1834" s="137" t="s">
        <v>432</v>
      </c>
      <c r="AQ1834" s="137" t="s">
        <v>432</v>
      </c>
      <c r="AR1834" s="137" t="s">
        <v>432</v>
      </c>
      <c r="AS1834" s="137" t="s">
        <v>432</v>
      </c>
      <c r="AT1834" s="137" t="s">
        <v>432</v>
      </c>
      <c r="AU1834" s="137" t="s">
        <v>432</v>
      </c>
      <c r="AV1834" s="137" t="s">
        <v>432</v>
      </c>
      <c r="AW1834" s="137" t="s">
        <v>432</v>
      </c>
      <c r="AX1834" s="137" t="s">
        <v>432</v>
      </c>
      <c r="AY1834" s="137" t="s">
        <v>432</v>
      </c>
      <c r="AZ1834" s="137" t="s">
        <v>432</v>
      </c>
      <c r="BA1834" s="137" t="s">
        <v>432</v>
      </c>
      <c r="BB1834" s="239" t="str">
        <f t="shared" si="554"/>
        <v>Populaçãox</v>
      </c>
      <c r="BC1834" s="239" t="str">
        <f t="shared" si="555"/>
        <v>Populaçãoxbenchmarking</v>
      </c>
      <c r="BD1834" s="239" t="str">
        <f t="shared" si="556"/>
        <v>Populaçãobenchmarking</v>
      </c>
      <c r="BE1834" s="1"/>
    </row>
    <row r="1835" spans="1:57" s="347" customFormat="1" ht="25.5" x14ac:dyDescent="0.25">
      <c r="A1835" s="413" t="str">
        <f>'Q100b-totais'!B19</f>
        <v>2.4</v>
      </c>
      <c r="B1835" s="1205" t="str">
        <f>'Q100b-totais'!C19</f>
        <v>População</v>
      </c>
      <c r="C1835" s="167" t="s">
        <v>432</v>
      </c>
      <c r="D1835" s="940" t="s">
        <v>2812</v>
      </c>
      <c r="E1835" s="1445" t="s">
        <v>2791</v>
      </c>
      <c r="F1835" s="11" t="s">
        <v>2829</v>
      </c>
      <c r="G1835" s="110" t="s">
        <v>77</v>
      </c>
      <c r="H1835" s="169" t="s">
        <v>819</v>
      </c>
      <c r="I1835" s="167" t="s">
        <v>3709</v>
      </c>
      <c r="J1835" s="107" t="s">
        <v>432</v>
      </c>
      <c r="K1835" s="107" t="s">
        <v>432</v>
      </c>
      <c r="L1835" s="107" t="s">
        <v>432</v>
      </c>
      <c r="M1835" s="107" t="s">
        <v>432</v>
      </c>
      <c r="N1835" s="107" t="s">
        <v>432</v>
      </c>
      <c r="O1835" s="107" t="s">
        <v>432</v>
      </c>
      <c r="P1835" s="107" t="s">
        <v>432</v>
      </c>
      <c r="Q1835" s="107" t="s">
        <v>432</v>
      </c>
      <c r="R1835" s="107" t="s">
        <v>432</v>
      </c>
      <c r="S1835" s="109" t="s">
        <v>2209</v>
      </c>
      <c r="T1835" s="107" t="s">
        <v>432</v>
      </c>
      <c r="U1835" s="107" t="s">
        <v>432</v>
      </c>
      <c r="V1835" s="109" t="s">
        <v>2209</v>
      </c>
      <c r="W1835" s="107" t="s">
        <v>432</v>
      </c>
      <c r="X1835" s="107" t="s">
        <v>432</v>
      </c>
      <c r="Y1835" s="107" t="s">
        <v>432</v>
      </c>
      <c r="Z1835" s="107" t="s">
        <v>432</v>
      </c>
      <c r="AA1835" s="107" t="s">
        <v>432</v>
      </c>
      <c r="AB1835" s="107" t="s">
        <v>432</v>
      </c>
      <c r="AC1835" s="86">
        <v>1360310</v>
      </c>
      <c r="AD1835" s="107" t="s">
        <v>432</v>
      </c>
      <c r="AE1835" s="107" t="s">
        <v>432</v>
      </c>
      <c r="AF1835" s="107" t="s">
        <v>432</v>
      </c>
      <c r="AG1835" s="107" t="s">
        <v>432</v>
      </c>
      <c r="AH1835" s="107" t="s">
        <v>432</v>
      </c>
      <c r="AI1835" s="107" t="s">
        <v>432</v>
      </c>
      <c r="AJ1835" s="107" t="s">
        <v>432</v>
      </c>
      <c r="AK1835" s="107" t="s">
        <v>432</v>
      </c>
      <c r="AL1835" s="601" t="s">
        <v>432</v>
      </c>
      <c r="AM1835" s="137" t="s">
        <v>432</v>
      </c>
      <c r="AN1835" s="137" t="s">
        <v>432</v>
      </c>
      <c r="AO1835" s="137" t="s">
        <v>432</v>
      </c>
      <c r="AP1835" s="137" t="s">
        <v>432</v>
      </c>
      <c r="AQ1835" s="137" t="s">
        <v>432</v>
      </c>
      <c r="AR1835" s="137" t="s">
        <v>432</v>
      </c>
      <c r="AS1835" s="137" t="s">
        <v>432</v>
      </c>
      <c r="AT1835" s="137" t="s">
        <v>432</v>
      </c>
      <c r="AU1835" s="137" t="s">
        <v>432</v>
      </c>
      <c r="AV1835" s="137" t="s">
        <v>432</v>
      </c>
      <c r="AW1835" s="137" t="s">
        <v>432</v>
      </c>
      <c r="AX1835" s="137" t="s">
        <v>432</v>
      </c>
      <c r="AY1835" s="137" t="s">
        <v>432</v>
      </c>
      <c r="AZ1835" s="137" t="s">
        <v>432</v>
      </c>
      <c r="BA1835" s="137" t="s">
        <v>432</v>
      </c>
      <c r="BB1835" s="239" t="str">
        <f t="shared" si="554"/>
        <v>Populaçãox</v>
      </c>
      <c r="BC1835" s="239" t="str">
        <f t="shared" si="555"/>
        <v>Populaçãoxbenchmarking</v>
      </c>
      <c r="BD1835" s="239" t="str">
        <f t="shared" si="556"/>
        <v>Populaçãobenchmarking</v>
      </c>
      <c r="BE1835" s="1"/>
    </row>
    <row r="1836" spans="1:57" s="347" customFormat="1" ht="25.5" x14ac:dyDescent="0.25">
      <c r="A1836" s="413" t="str">
        <f>'Q100b-totais'!B19</f>
        <v>2.4</v>
      </c>
      <c r="B1836" s="1205" t="str">
        <f>'Q100b-totais'!C19</f>
        <v>População</v>
      </c>
      <c r="C1836" s="167" t="s">
        <v>432</v>
      </c>
      <c r="D1836" s="940" t="s">
        <v>2812</v>
      </c>
      <c r="E1836" s="1445" t="s">
        <v>2792</v>
      </c>
      <c r="F1836" s="11" t="s">
        <v>2829</v>
      </c>
      <c r="G1836" s="110" t="s">
        <v>77</v>
      </c>
      <c r="H1836" s="169" t="s">
        <v>819</v>
      </c>
      <c r="I1836" s="167" t="s">
        <v>3709</v>
      </c>
      <c r="J1836" s="107" t="s">
        <v>432</v>
      </c>
      <c r="K1836" s="107" t="s">
        <v>432</v>
      </c>
      <c r="L1836" s="107" t="s">
        <v>432</v>
      </c>
      <c r="M1836" s="107" t="s">
        <v>432</v>
      </c>
      <c r="N1836" s="107" t="s">
        <v>432</v>
      </c>
      <c r="O1836" s="107" t="s">
        <v>432</v>
      </c>
      <c r="P1836" s="107" t="s">
        <v>432</v>
      </c>
      <c r="Q1836" s="107" t="s">
        <v>432</v>
      </c>
      <c r="R1836" s="107" t="s">
        <v>432</v>
      </c>
      <c r="S1836" s="109" t="s">
        <v>2209</v>
      </c>
      <c r="T1836" s="107" t="s">
        <v>432</v>
      </c>
      <c r="U1836" s="107" t="s">
        <v>432</v>
      </c>
      <c r="V1836" s="109" t="s">
        <v>2209</v>
      </c>
      <c r="W1836" s="107" t="s">
        <v>432</v>
      </c>
      <c r="X1836" s="107" t="s">
        <v>432</v>
      </c>
      <c r="Y1836" s="107" t="s">
        <v>432</v>
      </c>
      <c r="Z1836" s="107" t="s">
        <v>432</v>
      </c>
      <c r="AA1836" s="107" t="s">
        <v>432</v>
      </c>
      <c r="AB1836" s="107" t="s">
        <v>432</v>
      </c>
      <c r="AC1836" s="86">
        <v>8482619</v>
      </c>
      <c r="AD1836" s="107" t="s">
        <v>432</v>
      </c>
      <c r="AE1836" s="107" t="s">
        <v>432</v>
      </c>
      <c r="AF1836" s="107" t="s">
        <v>432</v>
      </c>
      <c r="AG1836" s="107" t="s">
        <v>432</v>
      </c>
      <c r="AH1836" s="107" t="s">
        <v>432</v>
      </c>
      <c r="AI1836" s="107" t="s">
        <v>432</v>
      </c>
      <c r="AJ1836" s="107" t="s">
        <v>432</v>
      </c>
      <c r="AK1836" s="107" t="s">
        <v>432</v>
      </c>
      <c r="AL1836" s="601" t="s">
        <v>432</v>
      </c>
      <c r="AM1836" s="137" t="s">
        <v>432</v>
      </c>
      <c r="AN1836" s="137" t="s">
        <v>432</v>
      </c>
      <c r="AO1836" s="137" t="s">
        <v>432</v>
      </c>
      <c r="AP1836" s="137" t="s">
        <v>432</v>
      </c>
      <c r="AQ1836" s="137" t="s">
        <v>432</v>
      </c>
      <c r="AR1836" s="137" t="s">
        <v>432</v>
      </c>
      <c r="AS1836" s="137" t="s">
        <v>432</v>
      </c>
      <c r="AT1836" s="137" t="s">
        <v>432</v>
      </c>
      <c r="AU1836" s="137" t="s">
        <v>432</v>
      </c>
      <c r="AV1836" s="137" t="s">
        <v>432</v>
      </c>
      <c r="AW1836" s="137" t="s">
        <v>432</v>
      </c>
      <c r="AX1836" s="137" t="s">
        <v>432</v>
      </c>
      <c r="AY1836" s="137" t="s">
        <v>432</v>
      </c>
      <c r="AZ1836" s="137" t="s">
        <v>432</v>
      </c>
      <c r="BA1836" s="137" t="s">
        <v>432</v>
      </c>
      <c r="BB1836" s="239" t="str">
        <f t="shared" si="554"/>
        <v>Populaçãox</v>
      </c>
      <c r="BC1836" s="239" t="str">
        <f t="shared" si="555"/>
        <v>Populaçãoxbenchmarking</v>
      </c>
      <c r="BD1836" s="239" t="str">
        <f t="shared" si="556"/>
        <v>Populaçãobenchmarking</v>
      </c>
      <c r="BE1836" s="1"/>
    </row>
    <row r="1837" spans="1:57" s="347" customFormat="1" ht="36" customHeight="1" x14ac:dyDescent="0.25">
      <c r="A1837" s="413" t="str">
        <f>'Q100b-totais'!B19</f>
        <v>2.4</v>
      </c>
      <c r="B1837" s="1205" t="str">
        <f>'Q100b-totais'!C19</f>
        <v>População</v>
      </c>
      <c r="C1837" s="167" t="s">
        <v>432</v>
      </c>
      <c r="D1837" s="940" t="s">
        <v>2812</v>
      </c>
      <c r="E1837" s="1445" t="s">
        <v>2793</v>
      </c>
      <c r="F1837" s="11" t="s">
        <v>2829</v>
      </c>
      <c r="G1837" s="110" t="s">
        <v>77</v>
      </c>
      <c r="H1837" s="169" t="s">
        <v>819</v>
      </c>
      <c r="I1837" s="167" t="s">
        <v>3709</v>
      </c>
      <c r="J1837" s="107" t="s">
        <v>432</v>
      </c>
      <c r="K1837" s="107" t="s">
        <v>432</v>
      </c>
      <c r="L1837" s="107" t="s">
        <v>432</v>
      </c>
      <c r="M1837" s="107" t="s">
        <v>432</v>
      </c>
      <c r="N1837" s="107" t="s">
        <v>432</v>
      </c>
      <c r="O1837" s="107" t="s">
        <v>432</v>
      </c>
      <c r="P1837" s="107" t="s">
        <v>432</v>
      </c>
      <c r="Q1837" s="107" t="s">
        <v>432</v>
      </c>
      <c r="R1837" s="107" t="s">
        <v>432</v>
      </c>
      <c r="S1837" s="109" t="s">
        <v>2209</v>
      </c>
      <c r="T1837" s="107" t="s">
        <v>432</v>
      </c>
      <c r="U1837" s="107" t="s">
        <v>432</v>
      </c>
      <c r="V1837" s="109" t="s">
        <v>2209</v>
      </c>
      <c r="W1837" s="107" t="s">
        <v>432</v>
      </c>
      <c r="X1837" s="107" t="s">
        <v>432</v>
      </c>
      <c r="Y1837" s="107" t="s">
        <v>432</v>
      </c>
      <c r="Z1837" s="107" t="s">
        <v>432</v>
      </c>
      <c r="AA1837" s="107" t="s">
        <v>432</v>
      </c>
      <c r="AB1837" s="107" t="s">
        <v>432</v>
      </c>
      <c r="AC1837" s="86">
        <v>1325968</v>
      </c>
      <c r="AD1837" s="107" t="s">
        <v>432</v>
      </c>
      <c r="AE1837" s="107" t="s">
        <v>432</v>
      </c>
      <c r="AF1837" s="107" t="s">
        <v>432</v>
      </c>
      <c r="AG1837" s="107" t="s">
        <v>432</v>
      </c>
      <c r="AH1837" s="107" t="s">
        <v>432</v>
      </c>
      <c r="AI1837" s="107" t="s">
        <v>432</v>
      </c>
      <c r="AJ1837" s="107" t="s">
        <v>432</v>
      </c>
      <c r="AK1837" s="107" t="s">
        <v>432</v>
      </c>
      <c r="AL1837" s="601" t="s">
        <v>432</v>
      </c>
      <c r="AM1837" s="137" t="s">
        <v>432</v>
      </c>
      <c r="AN1837" s="137" t="s">
        <v>432</v>
      </c>
      <c r="AO1837" s="137" t="s">
        <v>432</v>
      </c>
      <c r="AP1837" s="137" t="s">
        <v>432</v>
      </c>
      <c r="AQ1837" s="137" t="s">
        <v>432</v>
      </c>
      <c r="AR1837" s="137" t="s">
        <v>432</v>
      </c>
      <c r="AS1837" s="137" t="s">
        <v>432</v>
      </c>
      <c r="AT1837" s="137" t="s">
        <v>432</v>
      </c>
      <c r="AU1837" s="137" t="s">
        <v>432</v>
      </c>
      <c r="AV1837" s="137" t="s">
        <v>432</v>
      </c>
      <c r="AW1837" s="137" t="s">
        <v>432</v>
      </c>
      <c r="AX1837" s="137" t="s">
        <v>432</v>
      </c>
      <c r="AY1837" s="137" t="s">
        <v>432</v>
      </c>
      <c r="AZ1837" s="137" t="s">
        <v>432</v>
      </c>
      <c r="BA1837" s="137" t="s">
        <v>432</v>
      </c>
      <c r="BB1837" s="239" t="str">
        <f t="shared" si="554"/>
        <v>Populaçãox</v>
      </c>
      <c r="BC1837" s="239" t="str">
        <f t="shared" si="555"/>
        <v>Populaçãoxbenchmarking</v>
      </c>
      <c r="BD1837" s="239" t="str">
        <f t="shared" si="556"/>
        <v>Populaçãobenchmarking</v>
      </c>
      <c r="BE1837" s="1"/>
    </row>
    <row r="1838" spans="1:57" s="347" customFormat="1" ht="25.5" x14ac:dyDescent="0.25">
      <c r="A1838" s="413" t="str">
        <f>'Q100b-totais'!B19</f>
        <v>2.4</v>
      </c>
      <c r="B1838" s="1205" t="str">
        <f>'Q100b-totais'!C19</f>
        <v>População</v>
      </c>
      <c r="C1838" s="167" t="s">
        <v>432</v>
      </c>
      <c r="D1838" s="940" t="s">
        <v>2812</v>
      </c>
      <c r="E1838" s="1445" t="s">
        <v>2794</v>
      </c>
      <c r="F1838" s="11" t="s">
        <v>2829</v>
      </c>
      <c r="G1838" s="110" t="s">
        <v>77</v>
      </c>
      <c r="H1838" s="169" t="s">
        <v>819</v>
      </c>
      <c r="I1838" s="167" t="s">
        <v>3709</v>
      </c>
      <c r="J1838" s="107" t="s">
        <v>432</v>
      </c>
      <c r="K1838" s="107" t="s">
        <v>432</v>
      </c>
      <c r="L1838" s="107" t="s">
        <v>432</v>
      </c>
      <c r="M1838" s="107" t="s">
        <v>432</v>
      </c>
      <c r="N1838" s="107" t="s">
        <v>432</v>
      </c>
      <c r="O1838" s="107" t="s">
        <v>432</v>
      </c>
      <c r="P1838" s="107" t="s">
        <v>432</v>
      </c>
      <c r="Q1838" s="107" t="s">
        <v>432</v>
      </c>
      <c r="R1838" s="107" t="s">
        <v>432</v>
      </c>
      <c r="S1838" s="109" t="s">
        <v>2209</v>
      </c>
      <c r="T1838" s="107" t="s">
        <v>432</v>
      </c>
      <c r="U1838" s="107" t="s">
        <v>432</v>
      </c>
      <c r="V1838" s="109" t="s">
        <v>2209</v>
      </c>
      <c r="W1838" s="107" t="s">
        <v>432</v>
      </c>
      <c r="X1838" s="107" t="s">
        <v>432</v>
      </c>
      <c r="Y1838" s="107" t="s">
        <v>432</v>
      </c>
      <c r="Z1838" s="107" t="s">
        <v>432</v>
      </c>
      <c r="AA1838" s="107" t="s">
        <v>432</v>
      </c>
      <c r="AB1838" s="107" t="s">
        <v>432</v>
      </c>
      <c r="AC1838" s="86">
        <v>3410676</v>
      </c>
      <c r="AD1838" s="107" t="s">
        <v>432</v>
      </c>
      <c r="AE1838" s="107" t="s">
        <v>432</v>
      </c>
      <c r="AF1838" s="107" t="s">
        <v>432</v>
      </c>
      <c r="AG1838" s="107" t="s">
        <v>432</v>
      </c>
      <c r="AH1838" s="107" t="s">
        <v>432</v>
      </c>
      <c r="AI1838" s="107" t="s">
        <v>432</v>
      </c>
      <c r="AJ1838" s="107" t="s">
        <v>432</v>
      </c>
      <c r="AK1838" s="107" t="s">
        <v>432</v>
      </c>
      <c r="AL1838" s="601" t="s">
        <v>432</v>
      </c>
      <c r="AM1838" s="137" t="s">
        <v>432</v>
      </c>
      <c r="AN1838" s="137" t="s">
        <v>432</v>
      </c>
      <c r="AO1838" s="137" t="s">
        <v>432</v>
      </c>
      <c r="AP1838" s="137" t="s">
        <v>432</v>
      </c>
      <c r="AQ1838" s="137" t="s">
        <v>432</v>
      </c>
      <c r="AR1838" s="137" t="s">
        <v>432</v>
      </c>
      <c r="AS1838" s="137" t="s">
        <v>432</v>
      </c>
      <c r="AT1838" s="137" t="s">
        <v>432</v>
      </c>
      <c r="AU1838" s="137" t="s">
        <v>432</v>
      </c>
      <c r="AV1838" s="137" t="s">
        <v>432</v>
      </c>
      <c r="AW1838" s="137" t="s">
        <v>432</v>
      </c>
      <c r="AX1838" s="137" t="s">
        <v>432</v>
      </c>
      <c r="AY1838" s="137" t="s">
        <v>432</v>
      </c>
      <c r="AZ1838" s="137" t="s">
        <v>432</v>
      </c>
      <c r="BA1838" s="137" t="s">
        <v>432</v>
      </c>
      <c r="BB1838" s="239" t="str">
        <f t="shared" si="554"/>
        <v>Populaçãox</v>
      </c>
      <c r="BC1838" s="239" t="str">
        <f t="shared" si="555"/>
        <v>Populaçãoxbenchmarking</v>
      </c>
      <c r="BD1838" s="239" t="str">
        <f t="shared" si="556"/>
        <v>Populaçãobenchmarking</v>
      </c>
      <c r="BE1838" s="1"/>
    </row>
    <row r="1839" spans="1:57" s="347" customFormat="1" ht="25.5" x14ac:dyDescent="0.25">
      <c r="A1839" s="413" t="str">
        <f>'Q100b-totais'!B19</f>
        <v>2.4</v>
      </c>
      <c r="B1839" s="1205" t="str">
        <f>'Q100b-totais'!C19</f>
        <v>População</v>
      </c>
      <c r="C1839" s="167" t="s">
        <v>432</v>
      </c>
      <c r="D1839" s="940" t="s">
        <v>2812</v>
      </c>
      <c r="E1839" s="1445" t="s">
        <v>2795</v>
      </c>
      <c r="F1839" s="11" t="s">
        <v>2829</v>
      </c>
      <c r="G1839" s="110" t="s">
        <v>77</v>
      </c>
      <c r="H1839" s="169" t="s">
        <v>819</v>
      </c>
      <c r="I1839" s="167" t="s">
        <v>3709</v>
      </c>
      <c r="J1839" s="107" t="s">
        <v>432</v>
      </c>
      <c r="K1839" s="107" t="s">
        <v>432</v>
      </c>
      <c r="L1839" s="107" t="s">
        <v>432</v>
      </c>
      <c r="M1839" s="107" t="s">
        <v>432</v>
      </c>
      <c r="N1839" s="107" t="s">
        <v>432</v>
      </c>
      <c r="O1839" s="107" t="s">
        <v>432</v>
      </c>
      <c r="P1839" s="107" t="s">
        <v>432</v>
      </c>
      <c r="Q1839" s="107" t="s">
        <v>432</v>
      </c>
      <c r="R1839" s="107" t="s">
        <v>432</v>
      </c>
      <c r="S1839" s="109" t="s">
        <v>2209</v>
      </c>
      <c r="T1839" s="107" t="s">
        <v>432</v>
      </c>
      <c r="U1839" s="107" t="s">
        <v>432</v>
      </c>
      <c r="V1839" s="109" t="s">
        <v>2209</v>
      </c>
      <c r="W1839" s="107" t="s">
        <v>432</v>
      </c>
      <c r="X1839" s="107" t="s">
        <v>432</v>
      </c>
      <c r="Y1839" s="107" t="s">
        <v>432</v>
      </c>
      <c r="Z1839" s="107" t="s">
        <v>432</v>
      </c>
      <c r="AA1839" s="107" t="s">
        <v>432</v>
      </c>
      <c r="AB1839" s="107" t="s">
        <v>432</v>
      </c>
      <c r="AC1839" s="86">
        <v>10689406</v>
      </c>
      <c r="AD1839" s="107" t="s">
        <v>432</v>
      </c>
      <c r="AE1839" s="107" t="s">
        <v>432</v>
      </c>
      <c r="AF1839" s="107" t="s">
        <v>432</v>
      </c>
      <c r="AG1839" s="107" t="s">
        <v>432</v>
      </c>
      <c r="AH1839" s="107" t="s">
        <v>432</v>
      </c>
      <c r="AI1839" s="107" t="s">
        <v>432</v>
      </c>
      <c r="AJ1839" s="107" t="s">
        <v>432</v>
      </c>
      <c r="AK1839" s="107" t="s">
        <v>432</v>
      </c>
      <c r="AL1839" s="601" t="s">
        <v>432</v>
      </c>
      <c r="AM1839" s="137" t="s">
        <v>432</v>
      </c>
      <c r="AN1839" s="137" t="s">
        <v>432</v>
      </c>
      <c r="AO1839" s="137" t="s">
        <v>432</v>
      </c>
      <c r="AP1839" s="137" t="s">
        <v>432</v>
      </c>
      <c r="AQ1839" s="137" t="s">
        <v>432</v>
      </c>
      <c r="AR1839" s="137" t="s">
        <v>432</v>
      </c>
      <c r="AS1839" s="137" t="s">
        <v>432</v>
      </c>
      <c r="AT1839" s="137" t="s">
        <v>432</v>
      </c>
      <c r="AU1839" s="137" t="s">
        <v>432</v>
      </c>
      <c r="AV1839" s="137" t="s">
        <v>432</v>
      </c>
      <c r="AW1839" s="137" t="s">
        <v>432</v>
      </c>
      <c r="AX1839" s="137" t="s">
        <v>432</v>
      </c>
      <c r="AY1839" s="137" t="s">
        <v>432</v>
      </c>
      <c r="AZ1839" s="137" t="s">
        <v>432</v>
      </c>
      <c r="BA1839" s="137" t="s">
        <v>432</v>
      </c>
      <c r="BB1839" s="239" t="str">
        <f t="shared" si="554"/>
        <v>Populaçãox</v>
      </c>
      <c r="BC1839" s="239" t="str">
        <f t="shared" si="555"/>
        <v>Populaçãoxbenchmarking</v>
      </c>
      <c r="BD1839" s="239" t="str">
        <f t="shared" si="556"/>
        <v>Populaçãobenchmarking</v>
      </c>
      <c r="BE1839" s="1"/>
    </row>
    <row r="1840" spans="1:57" s="347" customFormat="1" ht="25.5" x14ac:dyDescent="0.25">
      <c r="A1840" s="413" t="str">
        <f>'Q100b-totais'!B19</f>
        <v>2.4</v>
      </c>
      <c r="B1840" s="1205" t="str">
        <f>'Q100b-totais'!C19</f>
        <v>População</v>
      </c>
      <c r="C1840" s="167" t="s">
        <v>432</v>
      </c>
      <c r="D1840" s="940" t="s">
        <v>2812</v>
      </c>
      <c r="E1840" s="1445" t="s">
        <v>2796</v>
      </c>
      <c r="F1840" s="11" t="s">
        <v>2829</v>
      </c>
      <c r="G1840" s="110" t="s">
        <v>77</v>
      </c>
      <c r="H1840" s="169" t="s">
        <v>819</v>
      </c>
      <c r="I1840" s="167" t="s">
        <v>3709</v>
      </c>
      <c r="J1840" s="107" t="s">
        <v>432</v>
      </c>
      <c r="K1840" s="107" t="s">
        <v>432</v>
      </c>
      <c r="L1840" s="107" t="s">
        <v>432</v>
      </c>
      <c r="M1840" s="107" t="s">
        <v>432</v>
      </c>
      <c r="N1840" s="107" t="s">
        <v>432</v>
      </c>
      <c r="O1840" s="107" t="s">
        <v>432</v>
      </c>
      <c r="P1840" s="107" t="s">
        <v>432</v>
      </c>
      <c r="Q1840" s="107" t="s">
        <v>432</v>
      </c>
      <c r="R1840" s="107" t="s">
        <v>432</v>
      </c>
      <c r="S1840" s="109" t="s">
        <v>2209</v>
      </c>
      <c r="T1840" s="107" t="s">
        <v>432</v>
      </c>
      <c r="U1840" s="107" t="s">
        <v>432</v>
      </c>
      <c r="V1840" s="109" t="s">
        <v>2209</v>
      </c>
      <c r="W1840" s="107" t="s">
        <v>432</v>
      </c>
      <c r="X1840" s="107" t="s">
        <v>432</v>
      </c>
      <c r="Y1840" s="107" t="s">
        <v>432</v>
      </c>
      <c r="Z1840" s="107" t="s">
        <v>432</v>
      </c>
      <c r="AA1840" s="107" t="s">
        <v>432</v>
      </c>
      <c r="AB1840" s="107" t="s">
        <v>432</v>
      </c>
      <c r="AC1840" s="86">
        <v>1286877</v>
      </c>
      <c r="AD1840" s="107" t="s">
        <v>432</v>
      </c>
      <c r="AE1840" s="107" t="s">
        <v>432</v>
      </c>
      <c r="AF1840" s="107" t="s">
        <v>432</v>
      </c>
      <c r="AG1840" s="107" t="s">
        <v>432</v>
      </c>
      <c r="AH1840" s="107" t="s">
        <v>432</v>
      </c>
      <c r="AI1840" s="107" t="s">
        <v>432</v>
      </c>
      <c r="AJ1840" s="107" t="s">
        <v>432</v>
      </c>
      <c r="AK1840" s="107" t="s">
        <v>432</v>
      </c>
      <c r="AL1840" s="601" t="s">
        <v>432</v>
      </c>
      <c r="AM1840" s="137" t="s">
        <v>432</v>
      </c>
      <c r="AN1840" s="137" t="s">
        <v>432</v>
      </c>
      <c r="AO1840" s="137" t="s">
        <v>432</v>
      </c>
      <c r="AP1840" s="137" t="s">
        <v>432</v>
      </c>
      <c r="AQ1840" s="137" t="s">
        <v>432</v>
      </c>
      <c r="AR1840" s="137" t="s">
        <v>432</v>
      </c>
      <c r="AS1840" s="137" t="s">
        <v>432</v>
      </c>
      <c r="AT1840" s="137" t="s">
        <v>432</v>
      </c>
      <c r="AU1840" s="137" t="s">
        <v>432</v>
      </c>
      <c r="AV1840" s="137" t="s">
        <v>432</v>
      </c>
      <c r="AW1840" s="137" t="s">
        <v>432</v>
      </c>
      <c r="AX1840" s="137" t="s">
        <v>432</v>
      </c>
      <c r="AY1840" s="137" t="s">
        <v>432</v>
      </c>
      <c r="AZ1840" s="137" t="s">
        <v>432</v>
      </c>
      <c r="BA1840" s="137" t="s">
        <v>432</v>
      </c>
      <c r="BB1840" s="239" t="str">
        <f t="shared" si="554"/>
        <v>Populaçãox</v>
      </c>
      <c r="BC1840" s="239" t="str">
        <f t="shared" si="555"/>
        <v>Populaçãoxbenchmarking</v>
      </c>
      <c r="BD1840" s="239" t="str">
        <f t="shared" si="556"/>
        <v>Populaçãobenchmarking</v>
      </c>
      <c r="BE1840" s="1"/>
    </row>
    <row r="1841" spans="1:57" s="347" customFormat="1" ht="25.5" x14ac:dyDescent="0.25">
      <c r="A1841" s="413" t="str">
        <f>'Q100b-totais'!B19</f>
        <v>2.4</v>
      </c>
      <c r="B1841" s="1205" t="str">
        <f>'Q100b-totais'!C19</f>
        <v>População</v>
      </c>
      <c r="C1841" s="167" t="s">
        <v>432</v>
      </c>
      <c r="D1841" s="940" t="s">
        <v>2812</v>
      </c>
      <c r="E1841" s="1445" t="s">
        <v>2797</v>
      </c>
      <c r="F1841" s="11" t="s">
        <v>2829</v>
      </c>
      <c r="G1841" s="110" t="s">
        <v>77</v>
      </c>
      <c r="H1841" s="169" t="s">
        <v>819</v>
      </c>
      <c r="I1841" s="167" t="s">
        <v>3709</v>
      </c>
      <c r="J1841" s="107" t="s">
        <v>432</v>
      </c>
      <c r="K1841" s="107" t="s">
        <v>432</v>
      </c>
      <c r="L1841" s="107" t="s">
        <v>432</v>
      </c>
      <c r="M1841" s="107" t="s">
        <v>432</v>
      </c>
      <c r="N1841" s="107" t="s">
        <v>432</v>
      </c>
      <c r="O1841" s="107" t="s">
        <v>432</v>
      </c>
      <c r="P1841" s="107" t="s">
        <v>432</v>
      </c>
      <c r="Q1841" s="107" t="s">
        <v>432</v>
      </c>
      <c r="R1841" s="107" t="s">
        <v>432</v>
      </c>
      <c r="S1841" s="109" t="s">
        <v>2209</v>
      </c>
      <c r="T1841" s="107" t="s">
        <v>432</v>
      </c>
      <c r="U1841" s="107" t="s">
        <v>432</v>
      </c>
      <c r="V1841" s="109" t="s">
        <v>2209</v>
      </c>
      <c r="W1841" s="107" t="s">
        <v>432</v>
      </c>
      <c r="X1841" s="107" t="s">
        <v>432</v>
      </c>
      <c r="Y1841" s="107" t="s">
        <v>432</v>
      </c>
      <c r="Z1841" s="107" t="s">
        <v>432</v>
      </c>
      <c r="AA1841" s="107" t="s">
        <v>432</v>
      </c>
      <c r="AB1841" s="107" t="s">
        <v>432</v>
      </c>
      <c r="AC1841" s="86">
        <v>6038971</v>
      </c>
      <c r="AD1841" s="107" t="s">
        <v>432</v>
      </c>
      <c r="AE1841" s="107" t="s">
        <v>432</v>
      </c>
      <c r="AF1841" s="107" t="s">
        <v>432</v>
      </c>
      <c r="AG1841" s="107" t="s">
        <v>432</v>
      </c>
      <c r="AH1841" s="107" t="s">
        <v>432</v>
      </c>
      <c r="AI1841" s="107" t="s">
        <v>432</v>
      </c>
      <c r="AJ1841" s="107" t="s">
        <v>432</v>
      </c>
      <c r="AK1841" s="107" t="s">
        <v>432</v>
      </c>
      <c r="AL1841" s="601" t="s">
        <v>432</v>
      </c>
      <c r="AM1841" s="137" t="s">
        <v>432</v>
      </c>
      <c r="AN1841" s="137" t="s">
        <v>432</v>
      </c>
      <c r="AO1841" s="137" t="s">
        <v>432</v>
      </c>
      <c r="AP1841" s="137" t="s">
        <v>432</v>
      </c>
      <c r="AQ1841" s="137" t="s">
        <v>432</v>
      </c>
      <c r="AR1841" s="137" t="s">
        <v>432</v>
      </c>
      <c r="AS1841" s="137" t="s">
        <v>432</v>
      </c>
      <c r="AT1841" s="137" t="s">
        <v>432</v>
      </c>
      <c r="AU1841" s="137" t="s">
        <v>432</v>
      </c>
      <c r="AV1841" s="137" t="s">
        <v>432</v>
      </c>
      <c r="AW1841" s="137" t="s">
        <v>432</v>
      </c>
      <c r="AX1841" s="137" t="s">
        <v>432</v>
      </c>
      <c r="AY1841" s="137" t="s">
        <v>432</v>
      </c>
      <c r="AZ1841" s="137" t="s">
        <v>432</v>
      </c>
      <c r="BA1841" s="137" t="s">
        <v>432</v>
      </c>
      <c r="BB1841" s="239" t="str">
        <f t="shared" si="554"/>
        <v>Populaçãox</v>
      </c>
      <c r="BC1841" s="239" t="str">
        <f t="shared" si="555"/>
        <v>Populaçãoxbenchmarking</v>
      </c>
      <c r="BD1841" s="239" t="str">
        <f t="shared" si="556"/>
        <v>Populaçãobenchmarking</v>
      </c>
      <c r="BE1841" s="1"/>
    </row>
    <row r="1842" spans="1:57" s="347" customFormat="1" ht="25.5" x14ac:dyDescent="0.25">
      <c r="A1842" s="413" t="str">
        <f>'Q100b-totais'!B19</f>
        <v>2.4</v>
      </c>
      <c r="B1842" s="1205" t="str">
        <f>'Q100b-totais'!C19</f>
        <v>População</v>
      </c>
      <c r="C1842" s="167" t="s">
        <v>432</v>
      </c>
      <c r="D1842" s="940" t="s">
        <v>2812</v>
      </c>
      <c r="E1842" s="1445" t="s">
        <v>2798</v>
      </c>
      <c r="F1842" s="11" t="s">
        <v>2829</v>
      </c>
      <c r="G1842" s="110" t="s">
        <v>77</v>
      </c>
      <c r="H1842" s="169" t="s">
        <v>819</v>
      </c>
      <c r="I1842" s="167" t="s">
        <v>3709</v>
      </c>
      <c r="J1842" s="107" t="s">
        <v>432</v>
      </c>
      <c r="K1842" s="107" t="s">
        <v>432</v>
      </c>
      <c r="L1842" s="107" t="s">
        <v>432</v>
      </c>
      <c r="M1842" s="107" t="s">
        <v>432</v>
      </c>
      <c r="N1842" s="107" t="s">
        <v>432</v>
      </c>
      <c r="O1842" s="107" t="s">
        <v>432</v>
      </c>
      <c r="P1842" s="107" t="s">
        <v>432</v>
      </c>
      <c r="Q1842" s="107" t="s">
        <v>432</v>
      </c>
      <c r="R1842" s="107" t="s">
        <v>432</v>
      </c>
      <c r="S1842" s="109" t="s">
        <v>2209</v>
      </c>
      <c r="T1842" s="107" t="s">
        <v>432</v>
      </c>
      <c r="U1842" s="107" t="s">
        <v>432</v>
      </c>
      <c r="V1842" s="109" t="s">
        <v>2209</v>
      </c>
      <c r="W1842" s="107" t="s">
        <v>432</v>
      </c>
      <c r="X1842" s="107" t="s">
        <v>432</v>
      </c>
      <c r="Y1842" s="107" t="s">
        <v>432</v>
      </c>
      <c r="Z1842" s="107" t="s">
        <v>432</v>
      </c>
      <c r="AA1842" s="107" t="s">
        <v>432</v>
      </c>
      <c r="AB1842" s="107" t="s">
        <v>432</v>
      </c>
      <c r="AC1842" s="86">
        <v>18783649</v>
      </c>
      <c r="AD1842" s="107" t="s">
        <v>432</v>
      </c>
      <c r="AE1842" s="107" t="s">
        <v>432</v>
      </c>
      <c r="AF1842" s="107" t="s">
        <v>432</v>
      </c>
      <c r="AG1842" s="107" t="s">
        <v>432</v>
      </c>
      <c r="AH1842" s="107" t="s">
        <v>432</v>
      </c>
      <c r="AI1842" s="107" t="s">
        <v>432</v>
      </c>
      <c r="AJ1842" s="107" t="s">
        <v>432</v>
      </c>
      <c r="AK1842" s="107" t="s">
        <v>432</v>
      </c>
      <c r="AL1842" s="601" t="s">
        <v>432</v>
      </c>
      <c r="AM1842" s="137" t="s">
        <v>432</v>
      </c>
      <c r="AN1842" s="137" t="s">
        <v>432</v>
      </c>
      <c r="AO1842" s="137" t="s">
        <v>432</v>
      </c>
      <c r="AP1842" s="137" t="s">
        <v>432</v>
      </c>
      <c r="AQ1842" s="137" t="s">
        <v>432</v>
      </c>
      <c r="AR1842" s="137" t="s">
        <v>432</v>
      </c>
      <c r="AS1842" s="137" t="s">
        <v>432</v>
      </c>
      <c r="AT1842" s="137" t="s">
        <v>432</v>
      </c>
      <c r="AU1842" s="137" t="s">
        <v>432</v>
      </c>
      <c r="AV1842" s="137" t="s">
        <v>432</v>
      </c>
      <c r="AW1842" s="137" t="s">
        <v>432</v>
      </c>
      <c r="AX1842" s="137" t="s">
        <v>432</v>
      </c>
      <c r="AY1842" s="137" t="s">
        <v>432</v>
      </c>
      <c r="AZ1842" s="137" t="s">
        <v>432</v>
      </c>
      <c r="BA1842" s="137" t="s">
        <v>432</v>
      </c>
      <c r="BB1842" s="239" t="str">
        <f t="shared" si="554"/>
        <v>Populaçãox</v>
      </c>
      <c r="BC1842" s="239" t="str">
        <f t="shared" si="555"/>
        <v>Populaçãoxbenchmarking</v>
      </c>
      <c r="BD1842" s="239" t="str">
        <f t="shared" si="556"/>
        <v>Populaçãobenchmarking</v>
      </c>
      <c r="BE1842" s="1"/>
    </row>
    <row r="1843" spans="1:57" s="1" customFormat="1" x14ac:dyDescent="0.25">
      <c r="A1843" s="398"/>
      <c r="B1843" s="221"/>
      <c r="C1843" s="399"/>
      <c r="D1843" s="987"/>
      <c r="E1843" s="1533"/>
      <c r="F1843" s="405"/>
      <c r="G1843" s="405"/>
      <c r="H1843" s="405"/>
      <c r="I1843" s="405"/>
      <c r="J1843" s="405"/>
      <c r="K1843" s="405"/>
      <c r="L1843" s="405"/>
      <c r="M1843" s="405"/>
      <c r="N1843" s="405"/>
      <c r="O1843" s="405"/>
      <c r="P1843" s="405"/>
      <c r="Q1843" s="405"/>
      <c r="R1843" s="405"/>
      <c r="S1843" s="405"/>
      <c r="T1843" s="405"/>
      <c r="U1843" s="405"/>
      <c r="V1843" s="405"/>
      <c r="W1843" s="405"/>
      <c r="X1843" s="405"/>
      <c r="Y1843" s="405"/>
      <c r="Z1843" s="405"/>
      <c r="AA1843" s="405"/>
      <c r="AB1843" s="405"/>
      <c r="AC1843" s="405"/>
      <c r="AD1843" s="405"/>
      <c r="AE1843" s="405"/>
      <c r="AF1843" s="405"/>
      <c r="AG1843" s="405"/>
      <c r="AH1843" s="405"/>
      <c r="AI1843" s="405"/>
      <c r="AJ1843" s="405"/>
      <c r="AK1843" s="405"/>
      <c r="AL1843" s="405"/>
      <c r="AM1843" s="405"/>
      <c r="AN1843" s="405"/>
      <c r="AO1843" s="405"/>
      <c r="AP1843" s="405"/>
      <c r="AQ1843" s="652"/>
      <c r="AR1843" s="652"/>
      <c r="AS1843" s="652"/>
      <c r="AT1843" s="652"/>
      <c r="AU1843" s="652"/>
      <c r="AV1843" s="652"/>
      <c r="AW1843" s="652"/>
      <c r="AX1843" s="652"/>
      <c r="AY1843" s="652"/>
      <c r="AZ1843" s="652"/>
      <c r="BA1843" s="652"/>
      <c r="BB1843" s="906"/>
      <c r="BC1843" s="906"/>
      <c r="BD1843" s="906"/>
    </row>
    <row r="1844" spans="1:57" s="1" customFormat="1" ht="51" x14ac:dyDescent="0.25">
      <c r="A1844" s="262" t="str">
        <f>'Q100b-totais'!B19</f>
        <v>2.4</v>
      </c>
      <c r="B1844" s="252" t="str">
        <f>'Q100b-totais'!C19</f>
        <v>População</v>
      </c>
      <c r="C1844" s="167" t="s">
        <v>432</v>
      </c>
      <c r="D1844" s="324" t="s">
        <v>2812</v>
      </c>
      <c r="E1844" s="1491" t="s">
        <v>1700</v>
      </c>
      <c r="F1844" s="14" t="s">
        <v>3165</v>
      </c>
      <c r="G1844" s="110" t="s">
        <v>77</v>
      </c>
      <c r="H1844" s="169" t="s">
        <v>819</v>
      </c>
      <c r="I1844" s="167" t="s">
        <v>3440</v>
      </c>
      <c r="J1844" s="109" t="s">
        <v>432</v>
      </c>
      <c r="K1844" s="993">
        <v>1598415</v>
      </c>
      <c r="L1844" s="109" t="s">
        <v>432</v>
      </c>
      <c r="M1844" s="109" t="s">
        <v>432</v>
      </c>
      <c r="N1844" s="109" t="s">
        <v>432</v>
      </c>
      <c r="O1844" s="109" t="s">
        <v>432</v>
      </c>
      <c r="P1844" s="109" t="s">
        <v>432</v>
      </c>
      <c r="Q1844" s="109" t="s">
        <v>432</v>
      </c>
      <c r="R1844" s="109" t="s">
        <v>432</v>
      </c>
      <c r="S1844" s="109" t="s">
        <v>2209</v>
      </c>
      <c r="T1844" s="137" t="s">
        <v>432</v>
      </c>
      <c r="U1844" s="993">
        <v>2043169</v>
      </c>
      <c r="V1844" s="109" t="s">
        <v>2209</v>
      </c>
      <c r="W1844" s="137" t="s">
        <v>432</v>
      </c>
      <c r="X1844" s="137" t="s">
        <v>432</v>
      </c>
      <c r="Y1844" s="137" t="s">
        <v>432</v>
      </c>
      <c r="Z1844" s="137" t="s">
        <v>432</v>
      </c>
      <c r="AA1844" s="137" t="s">
        <v>432</v>
      </c>
      <c r="AB1844" s="137" t="s">
        <v>432</v>
      </c>
      <c r="AC1844" s="137" t="s">
        <v>432</v>
      </c>
      <c r="AD1844" s="137" t="s">
        <v>432</v>
      </c>
      <c r="AE1844" s="137" t="s">
        <v>432</v>
      </c>
      <c r="AF1844" s="993">
        <v>2570160</v>
      </c>
      <c r="AG1844" s="137" t="s">
        <v>432</v>
      </c>
      <c r="AH1844" s="137" t="s">
        <v>432</v>
      </c>
      <c r="AI1844" s="137" t="s">
        <v>432</v>
      </c>
      <c r="AJ1844" s="137" t="s">
        <v>432</v>
      </c>
      <c r="AK1844" s="137" t="s">
        <v>432</v>
      </c>
      <c r="AL1844" s="601" t="s">
        <v>432</v>
      </c>
      <c r="AM1844" s="137" t="s">
        <v>432</v>
      </c>
      <c r="AN1844" s="137" t="s">
        <v>432</v>
      </c>
      <c r="AO1844" s="137" t="s">
        <v>432</v>
      </c>
      <c r="AP1844" s="137" t="s">
        <v>432</v>
      </c>
      <c r="AQ1844" s="137" t="s">
        <v>432</v>
      </c>
      <c r="AR1844" s="137" t="s">
        <v>432</v>
      </c>
      <c r="AS1844" s="137" t="s">
        <v>432</v>
      </c>
      <c r="AT1844" s="137" t="s">
        <v>432</v>
      </c>
      <c r="AU1844" s="137" t="s">
        <v>432</v>
      </c>
      <c r="AV1844" s="137" t="s">
        <v>432</v>
      </c>
      <c r="AW1844" s="137" t="s">
        <v>432</v>
      </c>
      <c r="AX1844" s="137" t="s">
        <v>432</v>
      </c>
      <c r="AY1844" s="137" t="s">
        <v>432</v>
      </c>
      <c r="AZ1844" s="137" t="s">
        <v>432</v>
      </c>
      <c r="BA1844" s="137" t="s">
        <v>432</v>
      </c>
      <c r="BB1844" s="239" t="str">
        <f>B1844&amp;C1844</f>
        <v>Populaçãox</v>
      </c>
      <c r="BC1844" s="239" t="str">
        <f>B1844&amp;C1844&amp;H1844</f>
        <v>Populaçãoxbenchmarking</v>
      </c>
      <c r="BD1844" s="239" t="str">
        <f>B1844&amp;H1844</f>
        <v>Populaçãobenchmarking</v>
      </c>
    </row>
    <row r="1845" spans="1:57" s="1" customFormat="1" ht="51" x14ac:dyDescent="0.25">
      <c r="A1845" s="262" t="str">
        <f>'Q100b-totais'!B19</f>
        <v>2.4</v>
      </c>
      <c r="B1845" s="252" t="str">
        <f>'Q100b-totais'!C19</f>
        <v>População</v>
      </c>
      <c r="C1845" s="167" t="s">
        <v>432</v>
      </c>
      <c r="D1845" s="324" t="s">
        <v>2812</v>
      </c>
      <c r="E1845" s="1491" t="s">
        <v>1266</v>
      </c>
      <c r="F1845" s="14" t="s">
        <v>3165</v>
      </c>
      <c r="G1845" s="110" t="s">
        <v>77</v>
      </c>
      <c r="H1845" s="169" t="s">
        <v>819</v>
      </c>
      <c r="I1845" s="167" t="s">
        <v>3440</v>
      </c>
      <c r="J1845" s="109" t="s">
        <v>432</v>
      </c>
      <c r="K1845" s="994">
        <v>1313094</v>
      </c>
      <c r="L1845" s="109" t="s">
        <v>432</v>
      </c>
      <c r="M1845" s="109" t="s">
        <v>432</v>
      </c>
      <c r="N1845" s="109" t="s">
        <v>432</v>
      </c>
      <c r="O1845" s="109" t="s">
        <v>432</v>
      </c>
      <c r="P1845" s="109" t="s">
        <v>432</v>
      </c>
      <c r="Q1845" s="109" t="s">
        <v>432</v>
      </c>
      <c r="R1845" s="109" t="s">
        <v>432</v>
      </c>
      <c r="S1845" s="109" t="s">
        <v>2209</v>
      </c>
      <c r="T1845" s="137" t="s">
        <v>432</v>
      </c>
      <c r="U1845" s="996">
        <v>1586848</v>
      </c>
      <c r="V1845" s="109" t="s">
        <v>2209</v>
      </c>
      <c r="W1845" s="137" t="s">
        <v>432</v>
      </c>
      <c r="X1845" s="137" t="s">
        <v>432</v>
      </c>
      <c r="Y1845" s="137" t="s">
        <v>432</v>
      </c>
      <c r="Z1845" s="137" t="s">
        <v>432</v>
      </c>
      <c r="AA1845" s="137" t="s">
        <v>432</v>
      </c>
      <c r="AB1845" s="137" t="s">
        <v>432</v>
      </c>
      <c r="AC1845" s="137" t="s">
        <v>432</v>
      </c>
      <c r="AD1845" s="137" t="s">
        <v>432</v>
      </c>
      <c r="AE1845" s="137" t="s">
        <v>432</v>
      </c>
      <c r="AF1845" s="996">
        <v>1751907</v>
      </c>
      <c r="AG1845" s="137" t="s">
        <v>432</v>
      </c>
      <c r="AH1845" s="137" t="s">
        <v>432</v>
      </c>
      <c r="AI1845" s="137" t="s">
        <v>432</v>
      </c>
      <c r="AJ1845" s="137" t="s">
        <v>432</v>
      </c>
      <c r="AK1845" s="137" t="s">
        <v>432</v>
      </c>
      <c r="AL1845" s="601" t="s">
        <v>432</v>
      </c>
      <c r="AM1845" s="137" t="s">
        <v>432</v>
      </c>
      <c r="AN1845" s="137" t="s">
        <v>432</v>
      </c>
      <c r="AO1845" s="137" t="s">
        <v>432</v>
      </c>
      <c r="AP1845" s="137" t="s">
        <v>432</v>
      </c>
      <c r="AQ1845" s="137" t="s">
        <v>432</v>
      </c>
      <c r="AR1845" s="137" t="s">
        <v>432</v>
      </c>
      <c r="AS1845" s="137" t="s">
        <v>432</v>
      </c>
      <c r="AT1845" s="137" t="s">
        <v>432</v>
      </c>
      <c r="AU1845" s="137" t="s">
        <v>432</v>
      </c>
      <c r="AV1845" s="137" t="s">
        <v>432</v>
      </c>
      <c r="AW1845" s="137" t="s">
        <v>432</v>
      </c>
      <c r="AX1845" s="137" t="s">
        <v>432</v>
      </c>
      <c r="AY1845" s="137" t="s">
        <v>432</v>
      </c>
      <c r="AZ1845" s="137" t="s">
        <v>432</v>
      </c>
      <c r="BA1845" s="137" t="s">
        <v>432</v>
      </c>
      <c r="BB1845" s="239" t="str">
        <f>B1845&amp;C1845</f>
        <v>Populaçãox</v>
      </c>
      <c r="BC1845" s="239" t="str">
        <f>B1845&amp;C1845&amp;H1845</f>
        <v>Populaçãoxbenchmarking</v>
      </c>
      <c r="BD1845" s="239" t="str">
        <f>B1845&amp;H1845</f>
        <v>Populaçãobenchmarking</v>
      </c>
    </row>
    <row r="1846" spans="1:57" s="1" customFormat="1" ht="57" customHeight="1" x14ac:dyDescent="0.25">
      <c r="A1846" s="262" t="str">
        <f>'Q100b-totais'!B19</f>
        <v>2.4</v>
      </c>
      <c r="B1846" s="252" t="str">
        <f>'Q100b-totais'!C19</f>
        <v>População</v>
      </c>
      <c r="C1846" s="167" t="s">
        <v>432</v>
      </c>
      <c r="D1846" s="324" t="s">
        <v>2812</v>
      </c>
      <c r="E1846" s="1491" t="s">
        <v>1701</v>
      </c>
      <c r="F1846" s="14" t="s">
        <v>3165</v>
      </c>
      <c r="G1846" s="110" t="s">
        <v>77</v>
      </c>
      <c r="H1846" s="169" t="s">
        <v>819</v>
      </c>
      <c r="I1846" s="167" t="s">
        <v>3440</v>
      </c>
      <c r="J1846" s="109" t="s">
        <v>432</v>
      </c>
      <c r="K1846" s="996">
        <v>1765794</v>
      </c>
      <c r="L1846" s="109" t="s">
        <v>432</v>
      </c>
      <c r="M1846" s="109" t="s">
        <v>432</v>
      </c>
      <c r="N1846" s="109" t="s">
        <v>432</v>
      </c>
      <c r="O1846" s="109" t="s">
        <v>432</v>
      </c>
      <c r="P1846" s="109" t="s">
        <v>432</v>
      </c>
      <c r="Q1846" s="109" t="s">
        <v>432</v>
      </c>
      <c r="R1846" s="109" t="s">
        <v>432</v>
      </c>
      <c r="S1846" s="109" t="s">
        <v>2209</v>
      </c>
      <c r="T1846" s="137" t="s">
        <v>432</v>
      </c>
      <c r="U1846" s="996">
        <v>2138234</v>
      </c>
      <c r="V1846" s="109" t="s">
        <v>2209</v>
      </c>
      <c r="W1846" s="137" t="s">
        <v>432</v>
      </c>
      <c r="X1846" s="137" t="s">
        <v>432</v>
      </c>
      <c r="Y1846" s="137" t="s">
        <v>432</v>
      </c>
      <c r="Z1846" s="137" t="s">
        <v>432</v>
      </c>
      <c r="AA1846" s="137" t="s">
        <v>432</v>
      </c>
      <c r="AB1846" s="137" t="s">
        <v>432</v>
      </c>
      <c r="AC1846" s="137" t="s">
        <v>432</v>
      </c>
      <c r="AD1846" s="137" t="s">
        <v>432</v>
      </c>
      <c r="AE1846" s="137" t="s">
        <v>432</v>
      </c>
      <c r="AF1846" s="996">
        <v>2452185</v>
      </c>
      <c r="AG1846" s="137" t="s">
        <v>432</v>
      </c>
      <c r="AH1846" s="137" t="s">
        <v>432</v>
      </c>
      <c r="AI1846" s="137" t="s">
        <v>432</v>
      </c>
      <c r="AJ1846" s="137" t="s">
        <v>432</v>
      </c>
      <c r="AK1846" s="137" t="s">
        <v>432</v>
      </c>
      <c r="AL1846" s="601" t="s">
        <v>432</v>
      </c>
      <c r="AM1846" s="137" t="s">
        <v>432</v>
      </c>
      <c r="AN1846" s="137" t="s">
        <v>432</v>
      </c>
      <c r="AO1846" s="137" t="s">
        <v>432</v>
      </c>
      <c r="AP1846" s="137" t="s">
        <v>432</v>
      </c>
      <c r="AQ1846" s="137" t="s">
        <v>432</v>
      </c>
      <c r="AR1846" s="137" t="s">
        <v>432</v>
      </c>
      <c r="AS1846" s="137" t="s">
        <v>432</v>
      </c>
      <c r="AT1846" s="137" t="s">
        <v>432</v>
      </c>
      <c r="AU1846" s="137" t="s">
        <v>432</v>
      </c>
      <c r="AV1846" s="137" t="s">
        <v>432</v>
      </c>
      <c r="AW1846" s="137" t="s">
        <v>432</v>
      </c>
      <c r="AX1846" s="137" t="s">
        <v>432</v>
      </c>
      <c r="AY1846" s="137" t="s">
        <v>432</v>
      </c>
      <c r="AZ1846" s="137" t="s">
        <v>432</v>
      </c>
      <c r="BA1846" s="137" t="s">
        <v>432</v>
      </c>
      <c r="BB1846" s="239" t="str">
        <f>B1846&amp;C1846</f>
        <v>Populaçãox</v>
      </c>
      <c r="BC1846" s="239" t="str">
        <f>B1846&amp;C1846&amp;H1846</f>
        <v>Populaçãoxbenchmarking</v>
      </c>
      <c r="BD1846" s="239" t="str">
        <f>B1846&amp;H1846</f>
        <v>Populaçãobenchmarking</v>
      </c>
    </row>
    <row r="1847" spans="1:57" s="1" customFormat="1" ht="57" customHeight="1" x14ac:dyDescent="0.25">
      <c r="A1847" s="262" t="str">
        <f>'Q100b-totais'!B19</f>
        <v>2.4</v>
      </c>
      <c r="B1847" s="252" t="str">
        <f>'Q100b-totais'!C19</f>
        <v>População</v>
      </c>
      <c r="C1847" s="167" t="s">
        <v>432</v>
      </c>
      <c r="D1847" s="325" t="s">
        <v>2812</v>
      </c>
      <c r="E1847" s="1491" t="s">
        <v>2056</v>
      </c>
      <c r="F1847" s="14" t="s">
        <v>3467</v>
      </c>
      <c r="G1847" s="110" t="s">
        <v>77</v>
      </c>
      <c r="H1847" s="169" t="s">
        <v>819</v>
      </c>
      <c r="I1847" s="167" t="s">
        <v>3440</v>
      </c>
      <c r="J1847" s="109" t="s">
        <v>432</v>
      </c>
      <c r="K1847" s="92">
        <v>347151</v>
      </c>
      <c r="L1847" s="109" t="s">
        <v>432</v>
      </c>
      <c r="M1847" s="109" t="s">
        <v>432</v>
      </c>
      <c r="N1847" s="109" t="s">
        <v>432</v>
      </c>
      <c r="O1847" s="109" t="s">
        <v>432</v>
      </c>
      <c r="P1847" s="109" t="s">
        <v>432</v>
      </c>
      <c r="Q1847" s="109" t="s">
        <v>432</v>
      </c>
      <c r="R1847" s="109" t="s">
        <v>432</v>
      </c>
      <c r="S1847" s="109" t="s">
        <v>2209</v>
      </c>
      <c r="T1847" s="137" t="s">
        <v>432</v>
      </c>
      <c r="U1847" s="87">
        <v>429604</v>
      </c>
      <c r="V1847" s="109" t="s">
        <v>2209</v>
      </c>
      <c r="W1847" s="137" t="s">
        <v>432</v>
      </c>
      <c r="X1847" s="137" t="s">
        <v>432</v>
      </c>
      <c r="Y1847" s="137" t="s">
        <v>432</v>
      </c>
      <c r="Z1847" s="137" t="s">
        <v>432</v>
      </c>
      <c r="AA1847" s="137" t="s">
        <v>432</v>
      </c>
      <c r="AB1847" s="137" t="s">
        <v>432</v>
      </c>
      <c r="AC1847" s="137" t="s">
        <v>432</v>
      </c>
      <c r="AD1847" s="137" t="s">
        <v>432</v>
      </c>
      <c r="AE1847" s="137" t="s">
        <v>432</v>
      </c>
      <c r="AF1847" s="996">
        <v>515288</v>
      </c>
      <c r="AG1847" s="137" t="s">
        <v>432</v>
      </c>
      <c r="AH1847" s="137" t="s">
        <v>432</v>
      </c>
      <c r="AI1847" s="137" t="s">
        <v>432</v>
      </c>
      <c r="AJ1847" s="137" t="s">
        <v>432</v>
      </c>
      <c r="AK1847" s="137" t="s">
        <v>432</v>
      </c>
      <c r="AL1847" s="601"/>
      <c r="AM1847" s="137"/>
      <c r="AN1847" s="137"/>
      <c r="AO1847" s="137"/>
      <c r="AP1847" s="137"/>
      <c r="AQ1847" s="137"/>
      <c r="AR1847" s="137"/>
      <c r="AS1847" s="137"/>
      <c r="AT1847" s="137"/>
      <c r="AU1847" s="137"/>
      <c r="AV1847" s="137"/>
      <c r="AW1847" s="137"/>
      <c r="AX1847" s="137"/>
      <c r="AY1847" s="137"/>
      <c r="AZ1847" s="137"/>
      <c r="BA1847" s="137"/>
      <c r="BB1847" s="239"/>
      <c r="BC1847" s="239"/>
      <c r="BD1847" s="239"/>
    </row>
    <row r="1848" spans="1:57" s="1" customFormat="1" ht="51" x14ac:dyDescent="0.25">
      <c r="A1848" s="262" t="str">
        <f>'Q100b-totais'!B19</f>
        <v>2.4</v>
      </c>
      <c r="B1848" s="252" t="str">
        <f>'Q100b-totais'!C19</f>
        <v>População</v>
      </c>
      <c r="C1848" s="167" t="s">
        <v>432</v>
      </c>
      <c r="D1848" s="324" t="s">
        <v>2812</v>
      </c>
      <c r="E1848" s="1491" t="s">
        <v>1703</v>
      </c>
      <c r="F1848" s="14" t="s">
        <v>3165</v>
      </c>
      <c r="G1848" s="110" t="s">
        <v>77</v>
      </c>
      <c r="H1848" s="169" t="s">
        <v>819</v>
      </c>
      <c r="I1848" s="167" t="s">
        <v>3440</v>
      </c>
      <c r="J1848" s="109" t="s">
        <v>432</v>
      </c>
      <c r="K1848" s="995">
        <v>1263239</v>
      </c>
      <c r="L1848" s="109" t="s">
        <v>432</v>
      </c>
      <c r="M1848" s="109" t="s">
        <v>432</v>
      </c>
      <c r="N1848" s="109" t="s">
        <v>432</v>
      </c>
      <c r="O1848" s="109" t="s">
        <v>432</v>
      </c>
      <c r="P1848" s="109" t="s">
        <v>432</v>
      </c>
      <c r="Q1848" s="109" t="s">
        <v>432</v>
      </c>
      <c r="R1848" s="109" t="s">
        <v>432</v>
      </c>
      <c r="S1848" s="109" t="s">
        <v>2209</v>
      </c>
      <c r="T1848" s="137" t="s">
        <v>432</v>
      </c>
      <c r="U1848" s="996">
        <v>1360033</v>
      </c>
      <c r="V1848" s="109" t="s">
        <v>2209</v>
      </c>
      <c r="W1848" s="137" t="s">
        <v>432</v>
      </c>
      <c r="X1848" s="137" t="s">
        <v>432</v>
      </c>
      <c r="Y1848" s="137" t="s">
        <v>432</v>
      </c>
      <c r="Z1848" s="137" t="s">
        <v>432</v>
      </c>
      <c r="AA1848" s="137" t="s">
        <v>432</v>
      </c>
      <c r="AB1848" s="137" t="s">
        <v>432</v>
      </c>
      <c r="AC1848" s="137" t="s">
        <v>432</v>
      </c>
      <c r="AD1848" s="137" t="s">
        <v>432</v>
      </c>
      <c r="AE1848" s="137" t="s">
        <v>432</v>
      </c>
      <c r="AF1848" s="996">
        <v>1409351</v>
      </c>
      <c r="AG1848" s="137" t="s">
        <v>432</v>
      </c>
      <c r="AH1848" s="137" t="s">
        <v>432</v>
      </c>
      <c r="AI1848" s="137" t="s">
        <v>432</v>
      </c>
      <c r="AJ1848" s="137" t="s">
        <v>432</v>
      </c>
      <c r="AK1848" s="137" t="s">
        <v>432</v>
      </c>
      <c r="AL1848" s="601" t="s">
        <v>432</v>
      </c>
      <c r="AM1848" s="137" t="s">
        <v>432</v>
      </c>
      <c r="AN1848" s="137" t="s">
        <v>432</v>
      </c>
      <c r="AO1848" s="137" t="s">
        <v>432</v>
      </c>
      <c r="AP1848" s="137" t="s">
        <v>432</v>
      </c>
      <c r="AQ1848" s="137" t="s">
        <v>432</v>
      </c>
      <c r="AR1848" s="137" t="s">
        <v>432</v>
      </c>
      <c r="AS1848" s="137" t="s">
        <v>432</v>
      </c>
      <c r="AT1848" s="137" t="s">
        <v>432</v>
      </c>
      <c r="AU1848" s="137" t="s">
        <v>432</v>
      </c>
      <c r="AV1848" s="137" t="s">
        <v>432</v>
      </c>
      <c r="AW1848" s="137" t="s">
        <v>432</v>
      </c>
      <c r="AX1848" s="137" t="s">
        <v>432</v>
      </c>
      <c r="AY1848" s="137" t="s">
        <v>432</v>
      </c>
      <c r="AZ1848" s="137" t="s">
        <v>432</v>
      </c>
      <c r="BA1848" s="137" t="s">
        <v>432</v>
      </c>
      <c r="BB1848" s="239" t="str">
        <f>B1848&amp;C1848</f>
        <v>Populaçãox</v>
      </c>
      <c r="BC1848" s="239" t="str">
        <f>B1848&amp;C1848&amp;H1848</f>
        <v>Populaçãoxbenchmarking</v>
      </c>
      <c r="BD1848" s="239" t="str">
        <f>B1848&amp;H1848</f>
        <v>Populaçãobenchmarking</v>
      </c>
    </row>
    <row r="1849" spans="1:57" s="1" customFormat="1" ht="51" x14ac:dyDescent="0.25">
      <c r="A1849" s="262" t="str">
        <f>'Q100b-totais'!B19</f>
        <v>2.4</v>
      </c>
      <c r="B1849" s="252" t="str">
        <f>'Q100b-totais'!C19</f>
        <v>População</v>
      </c>
      <c r="C1849" s="167" t="s">
        <v>432</v>
      </c>
      <c r="D1849" s="324" t="s">
        <v>2812</v>
      </c>
      <c r="E1849" s="1505" t="s">
        <v>1704</v>
      </c>
      <c r="F1849" s="14" t="s">
        <v>3165</v>
      </c>
      <c r="G1849" s="110" t="s">
        <v>77</v>
      </c>
      <c r="H1849" s="169" t="s">
        <v>819</v>
      </c>
      <c r="I1849" s="167" t="s">
        <v>3440</v>
      </c>
      <c r="J1849" s="109" t="s">
        <v>432</v>
      </c>
      <c r="K1849" s="995">
        <v>1296995</v>
      </c>
      <c r="L1849" s="109" t="s">
        <v>432</v>
      </c>
      <c r="M1849" s="109" t="s">
        <v>432</v>
      </c>
      <c r="N1849" s="109" t="s">
        <v>432</v>
      </c>
      <c r="O1849" s="109" t="s">
        <v>432</v>
      </c>
      <c r="P1849" s="109" t="s">
        <v>432</v>
      </c>
      <c r="Q1849" s="109" t="s">
        <v>432</v>
      </c>
      <c r="R1849" s="109" t="s">
        <v>432</v>
      </c>
      <c r="S1849" s="109" t="s">
        <v>2209</v>
      </c>
      <c r="T1849" s="137" t="s">
        <v>432</v>
      </c>
      <c r="U1849" s="996">
        <v>1421993</v>
      </c>
      <c r="V1849" s="109" t="s">
        <v>2209</v>
      </c>
      <c r="W1849" s="137" t="s">
        <v>432</v>
      </c>
      <c r="X1849" s="137" t="s">
        <v>432</v>
      </c>
      <c r="Y1849" s="137" t="s">
        <v>432</v>
      </c>
      <c r="Z1849" s="137" t="s">
        <v>432</v>
      </c>
      <c r="AA1849" s="137" t="s">
        <v>432</v>
      </c>
      <c r="AB1849" s="137" t="s">
        <v>432</v>
      </c>
      <c r="AC1849" s="137" t="s">
        <v>432</v>
      </c>
      <c r="AD1849" s="137" t="s">
        <v>432</v>
      </c>
      <c r="AE1849" s="137" t="s">
        <v>432</v>
      </c>
      <c r="AF1849" s="996">
        <v>1537704</v>
      </c>
      <c r="AG1849" s="137" t="s">
        <v>432</v>
      </c>
      <c r="AH1849" s="137" t="s">
        <v>432</v>
      </c>
      <c r="AI1849" s="137" t="s">
        <v>432</v>
      </c>
      <c r="AJ1849" s="137" t="s">
        <v>432</v>
      </c>
      <c r="AK1849" s="137" t="s">
        <v>432</v>
      </c>
      <c r="AL1849" s="601" t="s">
        <v>432</v>
      </c>
      <c r="AM1849" s="137" t="s">
        <v>432</v>
      </c>
      <c r="AN1849" s="137" t="s">
        <v>432</v>
      </c>
      <c r="AO1849" s="137" t="s">
        <v>432</v>
      </c>
      <c r="AP1849" s="137" t="s">
        <v>432</v>
      </c>
      <c r="AQ1849" s="137" t="s">
        <v>432</v>
      </c>
      <c r="AR1849" s="137" t="s">
        <v>432</v>
      </c>
      <c r="AS1849" s="137" t="s">
        <v>432</v>
      </c>
      <c r="AT1849" s="137" t="s">
        <v>432</v>
      </c>
      <c r="AU1849" s="137" t="s">
        <v>432</v>
      </c>
      <c r="AV1849" s="137" t="s">
        <v>432</v>
      </c>
      <c r="AW1849" s="137" t="s">
        <v>432</v>
      </c>
      <c r="AX1849" s="137" t="s">
        <v>432</v>
      </c>
      <c r="AY1849" s="137" t="s">
        <v>432</v>
      </c>
      <c r="AZ1849" s="137" t="s">
        <v>432</v>
      </c>
      <c r="BA1849" s="137" t="s">
        <v>432</v>
      </c>
      <c r="BB1849" s="239" t="str">
        <f>B1849&amp;C1849</f>
        <v>Populaçãox</v>
      </c>
      <c r="BC1849" s="239" t="str">
        <f>B1849&amp;C1849&amp;H1849</f>
        <v>Populaçãoxbenchmarking</v>
      </c>
      <c r="BD1849" s="239" t="str">
        <f>B1849&amp;H1849</f>
        <v>Populaçãobenchmarking</v>
      </c>
    </row>
    <row r="1850" spans="1:57" s="1" customFormat="1" ht="51" x14ac:dyDescent="0.25">
      <c r="A1850" s="262" t="str">
        <f>'Q100b-totais'!B19</f>
        <v>2.4</v>
      </c>
      <c r="B1850" s="252" t="str">
        <f>'Q100b-totais'!C19</f>
        <v>População</v>
      </c>
      <c r="C1850" s="167" t="s">
        <v>432</v>
      </c>
      <c r="D1850" s="324" t="s">
        <v>2812</v>
      </c>
      <c r="E1850" s="1505" t="s">
        <v>1284</v>
      </c>
      <c r="F1850" s="14" t="s">
        <v>3165</v>
      </c>
      <c r="G1850" s="110" t="s">
        <v>77</v>
      </c>
      <c r="H1850" s="169" t="s">
        <v>819</v>
      </c>
      <c r="I1850" s="167" t="s">
        <v>3440</v>
      </c>
      <c r="J1850" s="109" t="s">
        <v>432</v>
      </c>
      <c r="K1850" s="995">
        <v>2072058</v>
      </c>
      <c r="L1850" s="109" t="s">
        <v>432</v>
      </c>
      <c r="M1850" s="109" t="s">
        <v>432</v>
      </c>
      <c r="N1850" s="109" t="s">
        <v>432</v>
      </c>
      <c r="O1850" s="109" t="s">
        <v>432</v>
      </c>
      <c r="P1850" s="109" t="s">
        <v>432</v>
      </c>
      <c r="Q1850" s="109" t="s">
        <v>432</v>
      </c>
      <c r="R1850" s="109" t="s">
        <v>432</v>
      </c>
      <c r="S1850" s="109" t="s">
        <v>2209</v>
      </c>
      <c r="T1850" s="137" t="s">
        <v>432</v>
      </c>
      <c r="U1850" s="996">
        <v>2440828</v>
      </c>
      <c r="V1850" s="109" t="s">
        <v>2209</v>
      </c>
      <c r="W1850" s="137" t="s">
        <v>432</v>
      </c>
      <c r="X1850" s="137" t="s">
        <v>432</v>
      </c>
      <c r="Y1850" s="137" t="s">
        <v>432</v>
      </c>
      <c r="Z1850" s="137" t="s">
        <v>432</v>
      </c>
      <c r="AA1850" s="137" t="s">
        <v>432</v>
      </c>
      <c r="AB1850" s="137" t="s">
        <v>432</v>
      </c>
      <c r="AC1850" s="137" t="s">
        <v>432</v>
      </c>
      <c r="AD1850" s="137" t="s">
        <v>432</v>
      </c>
      <c r="AE1850" s="137" t="s">
        <v>432</v>
      </c>
      <c r="AF1850" s="996">
        <v>2675656</v>
      </c>
      <c r="AG1850" s="137" t="s">
        <v>432</v>
      </c>
      <c r="AH1850" s="137" t="s">
        <v>432</v>
      </c>
      <c r="AI1850" s="137" t="s">
        <v>432</v>
      </c>
      <c r="AJ1850" s="137" t="s">
        <v>432</v>
      </c>
      <c r="AK1850" s="137" t="s">
        <v>432</v>
      </c>
      <c r="AL1850" s="601"/>
      <c r="AM1850" s="137"/>
      <c r="AN1850" s="137"/>
      <c r="AO1850" s="137"/>
      <c r="AP1850" s="137"/>
      <c r="AQ1850" s="137"/>
      <c r="AR1850" s="137"/>
      <c r="AS1850" s="137"/>
      <c r="AT1850" s="137"/>
      <c r="AU1850" s="137"/>
      <c r="AV1850" s="137"/>
      <c r="AW1850" s="137"/>
      <c r="AX1850" s="137"/>
      <c r="AY1850" s="137"/>
      <c r="AZ1850" s="137"/>
      <c r="BA1850" s="137"/>
      <c r="BB1850" s="239"/>
      <c r="BC1850" s="239"/>
      <c r="BD1850" s="239"/>
    </row>
    <row r="1851" spans="1:57" s="1" customFormat="1" ht="86.25" customHeight="1" x14ac:dyDescent="0.25">
      <c r="A1851" s="262" t="str">
        <f>'Q100b-totais'!B19</f>
        <v>2.4</v>
      </c>
      <c r="B1851" s="252" t="str">
        <f>'Q100b-totais'!C19</f>
        <v>População</v>
      </c>
      <c r="C1851" s="167" t="s">
        <v>432</v>
      </c>
      <c r="D1851" s="324" t="s">
        <v>2812</v>
      </c>
      <c r="E1851" s="1505" t="s">
        <v>1705</v>
      </c>
      <c r="F1851" s="14" t="s">
        <v>3166</v>
      </c>
      <c r="G1851" s="110" t="s">
        <v>77</v>
      </c>
      <c r="H1851" s="169" t="s">
        <v>819</v>
      </c>
      <c r="I1851" s="167" t="s">
        <v>3440</v>
      </c>
      <c r="J1851" s="109" t="s">
        <v>432</v>
      </c>
      <c r="K1851" s="92">
        <v>9626894</v>
      </c>
      <c r="L1851" s="109" t="s">
        <v>432</v>
      </c>
      <c r="M1851" s="109" t="s">
        <v>432</v>
      </c>
      <c r="N1851" s="109" t="s">
        <v>432</v>
      </c>
      <c r="O1851" s="109" t="s">
        <v>432</v>
      </c>
      <c r="P1851" s="109" t="s">
        <v>432</v>
      </c>
      <c r="Q1851" s="109" t="s">
        <v>432</v>
      </c>
      <c r="R1851" s="109" t="s">
        <v>432</v>
      </c>
      <c r="S1851" s="109" t="s">
        <v>2209</v>
      </c>
      <c r="T1851" s="137" t="s">
        <v>432</v>
      </c>
      <c r="U1851" s="87">
        <v>10434252</v>
      </c>
      <c r="V1851" s="109" t="s">
        <v>2209</v>
      </c>
      <c r="W1851" s="137" t="s">
        <v>432</v>
      </c>
      <c r="X1851" s="137" t="s">
        <v>432</v>
      </c>
      <c r="Y1851" s="137" t="s">
        <v>432</v>
      </c>
      <c r="Z1851" s="137" t="s">
        <v>432</v>
      </c>
      <c r="AA1851" s="137" t="s">
        <v>432</v>
      </c>
      <c r="AB1851" s="137" t="s">
        <v>432</v>
      </c>
      <c r="AC1851" s="137" t="s">
        <v>432</v>
      </c>
      <c r="AD1851" s="86">
        <v>11089652</v>
      </c>
      <c r="AE1851" s="86">
        <v>11171578</v>
      </c>
      <c r="AF1851" s="86">
        <v>11253503</v>
      </c>
      <c r="AG1851" s="137" t="s">
        <v>432</v>
      </c>
      <c r="AH1851" s="137" t="s">
        <v>432</v>
      </c>
      <c r="AI1851" s="137" t="s">
        <v>432</v>
      </c>
      <c r="AJ1851" s="137" t="s">
        <v>432</v>
      </c>
      <c r="AK1851" s="137" t="s">
        <v>432</v>
      </c>
      <c r="AL1851" s="601" t="s">
        <v>432</v>
      </c>
      <c r="AM1851" s="137" t="s">
        <v>432</v>
      </c>
      <c r="AN1851" s="137" t="s">
        <v>432</v>
      </c>
      <c r="AO1851" s="137" t="s">
        <v>432</v>
      </c>
      <c r="AP1851" s="137" t="s">
        <v>432</v>
      </c>
      <c r="AQ1851" s="137" t="s">
        <v>432</v>
      </c>
      <c r="AR1851" s="137" t="s">
        <v>432</v>
      </c>
      <c r="AS1851" s="137" t="s">
        <v>432</v>
      </c>
      <c r="AT1851" s="137" t="s">
        <v>432</v>
      </c>
      <c r="AU1851" s="137" t="s">
        <v>432</v>
      </c>
      <c r="AV1851" s="137" t="s">
        <v>432</v>
      </c>
      <c r="AW1851" s="137" t="s">
        <v>432</v>
      </c>
      <c r="AX1851" s="137" t="s">
        <v>432</v>
      </c>
      <c r="AY1851" s="137" t="s">
        <v>432</v>
      </c>
      <c r="AZ1851" s="137" t="s">
        <v>432</v>
      </c>
      <c r="BA1851" s="137" t="s">
        <v>432</v>
      </c>
      <c r="BB1851" s="239" t="str">
        <f>B1851&amp;C1851</f>
        <v>Populaçãox</v>
      </c>
      <c r="BC1851" s="239" t="str">
        <f>B1851&amp;C1851&amp;H1851</f>
        <v>Populaçãoxbenchmarking</v>
      </c>
      <c r="BD1851" s="239" t="str">
        <f>B1851&amp;H1851</f>
        <v>Populaçãobenchmarking</v>
      </c>
    </row>
    <row r="1852" spans="1:57" s="1" customFormat="1" ht="58.5" customHeight="1" x14ac:dyDescent="0.25">
      <c r="A1852" s="1090" t="str">
        <f>'Q100b-totais'!B19</f>
        <v>2.4</v>
      </c>
      <c r="B1852" s="252" t="str">
        <f>'Q100b-totais'!C19</f>
        <v>População</v>
      </c>
      <c r="C1852" s="167" t="s">
        <v>432</v>
      </c>
      <c r="D1852" s="325" t="s">
        <v>2812</v>
      </c>
      <c r="E1852" s="1536" t="s">
        <v>3334</v>
      </c>
      <c r="F1852" s="14" t="s">
        <v>3465</v>
      </c>
      <c r="G1852" s="110" t="s">
        <v>77</v>
      </c>
      <c r="H1852" s="169" t="s">
        <v>819</v>
      </c>
      <c r="I1852" s="167" t="s">
        <v>3440</v>
      </c>
      <c r="J1852" s="109" t="s">
        <v>432</v>
      </c>
      <c r="K1852" s="109" t="s">
        <v>432</v>
      </c>
      <c r="L1852" s="109" t="s">
        <v>432</v>
      </c>
      <c r="M1852" s="109" t="s">
        <v>432</v>
      </c>
      <c r="N1852" s="109" t="s">
        <v>432</v>
      </c>
      <c r="O1852" s="109" t="s">
        <v>432</v>
      </c>
      <c r="P1852" s="109" t="s">
        <v>432</v>
      </c>
      <c r="Q1852" s="109" t="s">
        <v>432</v>
      </c>
      <c r="R1852" s="109" t="s">
        <v>432</v>
      </c>
      <c r="S1852" s="109" t="s">
        <v>2209</v>
      </c>
      <c r="T1852" s="137" t="s">
        <v>432</v>
      </c>
      <c r="U1852" s="84" t="s">
        <v>432</v>
      </c>
      <c r="V1852" s="109" t="s">
        <v>2209</v>
      </c>
      <c r="W1852" s="137" t="s">
        <v>432</v>
      </c>
      <c r="X1852" s="137" t="s">
        <v>432</v>
      </c>
      <c r="Y1852" s="137" t="s">
        <v>432</v>
      </c>
      <c r="Z1852" s="137" t="s">
        <v>432</v>
      </c>
      <c r="AA1852" s="137" t="s">
        <v>432</v>
      </c>
      <c r="AB1852" s="137" t="s">
        <v>432</v>
      </c>
      <c r="AC1852" s="137" t="s">
        <v>432</v>
      </c>
      <c r="AD1852" s="137" t="s">
        <v>432</v>
      </c>
      <c r="AE1852" s="137" t="s">
        <v>432</v>
      </c>
      <c r="AF1852" s="1152">
        <v>604013</v>
      </c>
      <c r="AG1852" s="137" t="s">
        <v>432</v>
      </c>
      <c r="AH1852" s="137" t="s">
        <v>432</v>
      </c>
      <c r="AI1852" s="137" t="s">
        <v>432</v>
      </c>
      <c r="AJ1852" s="137" t="s">
        <v>432</v>
      </c>
      <c r="AK1852" s="137" t="s">
        <v>432</v>
      </c>
      <c r="AL1852" s="601" t="s">
        <v>432</v>
      </c>
      <c r="AM1852" s="137" t="s">
        <v>432</v>
      </c>
      <c r="AN1852" s="137" t="s">
        <v>432</v>
      </c>
      <c r="AO1852" s="137" t="s">
        <v>432</v>
      </c>
      <c r="AP1852" s="137" t="s">
        <v>432</v>
      </c>
      <c r="AQ1852" s="137" t="s">
        <v>432</v>
      </c>
      <c r="AR1852" s="137" t="s">
        <v>432</v>
      </c>
      <c r="AS1852" s="137" t="s">
        <v>432</v>
      </c>
      <c r="AT1852" s="137" t="s">
        <v>432</v>
      </c>
      <c r="AU1852" s="137" t="s">
        <v>432</v>
      </c>
      <c r="AV1852" s="137" t="s">
        <v>432</v>
      </c>
      <c r="AW1852" s="137" t="s">
        <v>432</v>
      </c>
      <c r="AX1852" s="137" t="s">
        <v>432</v>
      </c>
      <c r="AY1852" s="137" t="s">
        <v>432</v>
      </c>
      <c r="AZ1852" s="137" t="s">
        <v>432</v>
      </c>
      <c r="BA1852" s="137" t="s">
        <v>432</v>
      </c>
      <c r="BB1852" s="239" t="str">
        <f>B1852&amp;C1852</f>
        <v>Populaçãox</v>
      </c>
      <c r="BC1852" s="239" t="str">
        <f>B1852&amp;C1852&amp;H1852</f>
        <v>Populaçãoxbenchmarking</v>
      </c>
      <c r="BD1852" s="239" t="str">
        <f>B1852&amp;H1852</f>
        <v>Populaçãobenchmarking</v>
      </c>
    </row>
    <row r="1853" spans="1:57" s="1" customFormat="1" x14ac:dyDescent="0.25">
      <c r="A1853" s="398"/>
      <c r="B1853" s="522"/>
      <c r="C1853" s="399"/>
      <c r="D1853" s="987"/>
      <c r="E1853" s="1537"/>
      <c r="F1853" s="405"/>
      <c r="G1853" s="405"/>
      <c r="H1853" s="992"/>
      <c r="I1853" s="405"/>
      <c r="J1853" s="405"/>
      <c r="K1853" s="405"/>
      <c r="L1853" s="405"/>
      <c r="M1853" s="405"/>
      <c r="N1853" s="405"/>
      <c r="O1853" s="405"/>
      <c r="P1853" s="405"/>
      <c r="Q1853" s="405"/>
      <c r="R1853" s="405"/>
      <c r="S1853" s="405"/>
      <c r="T1853" s="405"/>
      <c r="U1853" s="405"/>
      <c r="V1853" s="405"/>
      <c r="W1853" s="405"/>
      <c r="X1853" s="405"/>
      <c r="Y1853" s="405"/>
      <c r="Z1853" s="405"/>
      <c r="AA1853" s="405"/>
      <c r="AB1853" s="405"/>
      <c r="AC1853" s="405"/>
      <c r="AD1853" s="405"/>
      <c r="AE1853" s="405"/>
      <c r="AF1853" s="405"/>
      <c r="AG1853" s="405"/>
      <c r="AH1853" s="405"/>
      <c r="AI1853" s="405"/>
      <c r="AJ1853" s="405"/>
      <c r="AK1853" s="405"/>
      <c r="AL1853" s="405"/>
      <c r="AM1853" s="405"/>
      <c r="AN1853" s="405"/>
      <c r="AO1853" s="405"/>
      <c r="AP1853" s="405"/>
      <c r="AQ1853" s="652"/>
      <c r="AR1853" s="652"/>
      <c r="AS1853" s="652"/>
      <c r="AT1853" s="652"/>
      <c r="AU1853" s="652"/>
      <c r="AV1853" s="652"/>
      <c r="AW1853" s="652"/>
      <c r="AX1853" s="652"/>
      <c r="AY1853" s="652"/>
      <c r="AZ1853" s="652"/>
      <c r="BA1853" s="652"/>
      <c r="BB1853" s="906"/>
      <c r="BC1853" s="906"/>
      <c r="BD1853" s="906"/>
    </row>
    <row r="1854" spans="1:57" s="1" customFormat="1" ht="45.75" customHeight="1" x14ac:dyDescent="0.25">
      <c r="A1854" s="275" t="str">
        <f>'Q100b-totais'!$B$19</f>
        <v>2.4</v>
      </c>
      <c r="B1854" s="54" t="str">
        <f>'Q100b-totais'!$C$19</f>
        <v>População</v>
      </c>
      <c r="C1854" s="167" t="s">
        <v>432</v>
      </c>
      <c r="D1854" s="940" t="s">
        <v>2812</v>
      </c>
      <c r="E1854" s="1503" t="s">
        <v>1738</v>
      </c>
      <c r="F1854" s="14" t="s">
        <v>6045</v>
      </c>
      <c r="G1854" s="110" t="s">
        <v>77</v>
      </c>
      <c r="H1854" s="168" t="s">
        <v>1298</v>
      </c>
      <c r="I1854" s="167">
        <v>1</v>
      </c>
      <c r="J1854" s="93" t="s">
        <v>432</v>
      </c>
      <c r="K1854" s="84" t="s">
        <v>432</v>
      </c>
      <c r="L1854" s="84" t="s">
        <v>432</v>
      </c>
      <c r="M1854" s="84" t="s">
        <v>432</v>
      </c>
      <c r="N1854" s="84" t="s">
        <v>432</v>
      </c>
      <c r="O1854" s="84" t="s">
        <v>432</v>
      </c>
      <c r="P1854" s="84" t="s">
        <v>432</v>
      </c>
      <c r="Q1854" s="84" t="s">
        <v>432</v>
      </c>
      <c r="R1854" s="84" t="s">
        <v>432</v>
      </c>
      <c r="S1854" s="109" t="s">
        <v>2209</v>
      </c>
      <c r="T1854" s="84" t="s">
        <v>432</v>
      </c>
      <c r="U1854" s="84" t="s">
        <v>432</v>
      </c>
      <c r="V1854" s="109" t="s">
        <v>2209</v>
      </c>
      <c r="W1854" s="84" t="s">
        <v>432</v>
      </c>
      <c r="X1854" s="84" t="s">
        <v>432</v>
      </c>
      <c r="Y1854" s="84" t="s">
        <v>432</v>
      </c>
      <c r="Z1854" s="84" t="s">
        <v>432</v>
      </c>
      <c r="AA1854" s="84" t="s">
        <v>432</v>
      </c>
      <c r="AB1854" s="84" t="s">
        <v>432</v>
      </c>
      <c r="AC1854" s="84" t="s">
        <v>432</v>
      </c>
      <c r="AD1854" s="84" t="s">
        <v>432</v>
      </c>
      <c r="AE1854" s="84" t="s">
        <v>432</v>
      </c>
      <c r="AF1854" s="87">
        <v>7913</v>
      </c>
      <c r="AG1854" s="84" t="s">
        <v>432</v>
      </c>
      <c r="AH1854" s="84" t="s">
        <v>432</v>
      </c>
      <c r="AI1854" s="84" t="s">
        <v>432</v>
      </c>
      <c r="AJ1854" s="84" t="s">
        <v>432</v>
      </c>
      <c r="AK1854" s="137" t="s">
        <v>432</v>
      </c>
      <c r="AL1854" s="601" t="s">
        <v>432</v>
      </c>
      <c r="AM1854" s="137" t="s">
        <v>432</v>
      </c>
      <c r="AN1854" s="137" t="s">
        <v>432</v>
      </c>
      <c r="AO1854" s="137" t="s">
        <v>432</v>
      </c>
      <c r="AP1854" s="137" t="s">
        <v>432</v>
      </c>
      <c r="AQ1854" s="137" t="s">
        <v>432</v>
      </c>
      <c r="AR1854" s="137" t="s">
        <v>432</v>
      </c>
      <c r="AS1854" s="137" t="s">
        <v>432</v>
      </c>
      <c r="AT1854" s="137" t="s">
        <v>432</v>
      </c>
      <c r="AU1854" s="137" t="s">
        <v>432</v>
      </c>
      <c r="AV1854" s="137" t="s">
        <v>432</v>
      </c>
      <c r="AW1854" s="137" t="s">
        <v>432</v>
      </c>
      <c r="AX1854" s="137" t="s">
        <v>432</v>
      </c>
      <c r="AY1854" s="137" t="s">
        <v>432</v>
      </c>
      <c r="AZ1854" s="137" t="s">
        <v>432</v>
      </c>
      <c r="BA1854" s="137" t="s">
        <v>432</v>
      </c>
      <c r="BB1854" s="239" t="str">
        <f t="shared" ref="BB1854:BB1889" si="557">B1854&amp;C1854</f>
        <v>Populaçãox</v>
      </c>
      <c r="BC1854" s="239" t="str">
        <f t="shared" ref="BC1854:BC1889" si="558">B1854&amp;C1854&amp;H1854</f>
        <v>PopulaçãoxRMBH</v>
      </c>
      <c r="BD1854" s="239" t="str">
        <f t="shared" ref="BD1854:BD1889" si="559">B1854&amp;H1854</f>
        <v>PopulaçãoRMBH</v>
      </c>
    </row>
    <row r="1855" spans="1:57" s="1" customFormat="1" ht="61.5" customHeight="1" x14ac:dyDescent="0.25">
      <c r="A1855" s="275" t="str">
        <f>'Q100b-totais'!$B$19</f>
        <v>2.4</v>
      </c>
      <c r="B1855" s="54" t="str">
        <f>'Q100b-totais'!$C$19</f>
        <v>População</v>
      </c>
      <c r="C1855" s="167" t="s">
        <v>432</v>
      </c>
      <c r="D1855" s="362" t="s">
        <v>2812</v>
      </c>
      <c r="E1855" s="1502" t="s">
        <v>1306</v>
      </c>
      <c r="F1855" s="337" t="s">
        <v>6043</v>
      </c>
      <c r="G1855" s="110" t="s">
        <v>77</v>
      </c>
      <c r="H1855" s="168" t="s">
        <v>432</v>
      </c>
      <c r="I1855" s="167">
        <v>1</v>
      </c>
      <c r="J1855" s="93" t="s">
        <v>432</v>
      </c>
      <c r="K1855" s="87">
        <v>2020161</v>
      </c>
      <c r="L1855" s="98">
        <v>2028242</v>
      </c>
      <c r="M1855" s="98">
        <v>2036355</v>
      </c>
      <c r="N1855" s="98">
        <v>2044500</v>
      </c>
      <c r="O1855" s="98">
        <v>2052678</v>
      </c>
      <c r="P1855" s="98">
        <v>2091448</v>
      </c>
      <c r="Q1855" s="98">
        <v>2099814</v>
      </c>
      <c r="R1855" s="98">
        <v>2108213</v>
      </c>
      <c r="S1855" s="109" t="s">
        <v>2209</v>
      </c>
      <c r="T1855" s="98">
        <v>2116646</v>
      </c>
      <c r="U1855" s="87">
        <v>2238526</v>
      </c>
      <c r="V1855" s="109" t="s">
        <v>2209</v>
      </c>
      <c r="W1855" s="98">
        <v>2258627</v>
      </c>
      <c r="X1855" s="98">
        <v>2284468</v>
      </c>
      <c r="Y1855" s="98">
        <v>2305812</v>
      </c>
      <c r="Z1855" s="87">
        <v>2350564</v>
      </c>
      <c r="AA1855" s="87">
        <v>2375329</v>
      </c>
      <c r="AB1855" s="87">
        <v>2399920</v>
      </c>
      <c r="AC1855" s="87">
        <v>2412937</v>
      </c>
      <c r="AD1855" s="87">
        <v>2434642</v>
      </c>
      <c r="AE1855" s="87">
        <v>2452617</v>
      </c>
      <c r="AF1855" s="87">
        <v>2375151</v>
      </c>
      <c r="AG1855" s="87">
        <v>2385640</v>
      </c>
      <c r="AH1855" s="87">
        <v>2395785</v>
      </c>
      <c r="AI1855" s="87">
        <v>2479165</v>
      </c>
      <c r="AJ1855" s="87">
        <v>2491109</v>
      </c>
      <c r="AK1855" s="87">
        <v>2502557</v>
      </c>
      <c r="AL1855" s="601" t="s">
        <v>432</v>
      </c>
      <c r="AM1855" s="87">
        <v>2513451</v>
      </c>
      <c r="AN1855" s="137" t="s">
        <v>432</v>
      </c>
      <c r="AO1855" s="137" t="s">
        <v>432</v>
      </c>
      <c r="AP1855" s="137" t="s">
        <v>432</v>
      </c>
      <c r="AQ1855" s="137" t="s">
        <v>432</v>
      </c>
      <c r="AR1855" s="137" t="s">
        <v>432</v>
      </c>
      <c r="AS1855" s="137" t="s">
        <v>432</v>
      </c>
      <c r="AT1855" s="137" t="s">
        <v>432</v>
      </c>
      <c r="AU1855" s="137" t="s">
        <v>432</v>
      </c>
      <c r="AV1855" s="137" t="s">
        <v>432</v>
      </c>
      <c r="AW1855" s="137" t="s">
        <v>432</v>
      </c>
      <c r="AX1855" s="137" t="s">
        <v>432</v>
      </c>
      <c r="AY1855" s="137" t="s">
        <v>432</v>
      </c>
      <c r="AZ1855" s="137" t="s">
        <v>432</v>
      </c>
      <c r="BA1855" s="137" t="s">
        <v>432</v>
      </c>
      <c r="BB1855" s="239" t="str">
        <f>B1855&amp;C1855</f>
        <v>Populaçãox</v>
      </c>
      <c r="BC1855" s="239" t="str">
        <f>B1855&amp;C1855&amp;H1855</f>
        <v>Populaçãoxx</v>
      </c>
      <c r="BD1855" s="239" t="str">
        <f>B1855&amp;H1855</f>
        <v>Populaçãox</v>
      </c>
      <c r="BE1855" s="1065" t="s">
        <v>1306</v>
      </c>
    </row>
    <row r="1856" spans="1:57" s="1" customFormat="1" ht="38.25" customHeight="1" x14ac:dyDescent="0.25">
      <c r="A1856" s="275" t="str">
        <f>'Q100b-totais'!$B$19</f>
        <v>2.4</v>
      </c>
      <c r="B1856" s="54" t="str">
        <f>'Q100b-totais'!$C$19</f>
        <v>População</v>
      </c>
      <c r="C1856" s="167" t="s">
        <v>432</v>
      </c>
      <c r="D1856" s="940" t="s">
        <v>2812</v>
      </c>
      <c r="E1856" s="1504" t="s">
        <v>1307</v>
      </c>
      <c r="F1856" s="14" t="s">
        <v>6044</v>
      </c>
      <c r="G1856" s="110" t="s">
        <v>77</v>
      </c>
      <c r="H1856" s="168" t="s">
        <v>1298</v>
      </c>
      <c r="I1856" s="167">
        <v>1</v>
      </c>
      <c r="J1856" s="93" t="s">
        <v>432</v>
      </c>
      <c r="K1856" s="84" t="s">
        <v>432</v>
      </c>
      <c r="L1856" s="84" t="s">
        <v>432</v>
      </c>
      <c r="M1856" s="84" t="s">
        <v>432</v>
      </c>
      <c r="N1856" s="84" t="s">
        <v>432</v>
      </c>
      <c r="O1856" s="84" t="s">
        <v>432</v>
      </c>
      <c r="P1856" s="84" t="s">
        <v>432</v>
      </c>
      <c r="Q1856" s="84" t="s">
        <v>432</v>
      </c>
      <c r="R1856" s="84" t="s">
        <v>432</v>
      </c>
      <c r="S1856" s="109" t="s">
        <v>2209</v>
      </c>
      <c r="T1856" s="84" t="s">
        <v>432</v>
      </c>
      <c r="U1856" s="84" t="s">
        <v>432</v>
      </c>
      <c r="V1856" s="109" t="s">
        <v>2209</v>
      </c>
      <c r="W1856" s="84" t="s">
        <v>432</v>
      </c>
      <c r="X1856" s="84" t="s">
        <v>432</v>
      </c>
      <c r="Y1856" s="84" t="s">
        <v>432</v>
      </c>
      <c r="Z1856" s="84" t="s">
        <v>432</v>
      </c>
      <c r="AA1856" s="84" t="s">
        <v>432</v>
      </c>
      <c r="AB1856" s="84" t="s">
        <v>432</v>
      </c>
      <c r="AC1856" s="84" t="s">
        <v>432</v>
      </c>
      <c r="AD1856" s="84" t="s">
        <v>432</v>
      </c>
      <c r="AE1856" s="84" t="s">
        <v>432</v>
      </c>
      <c r="AF1856" s="87">
        <v>378089</v>
      </c>
      <c r="AG1856" s="84" t="s">
        <v>432</v>
      </c>
      <c r="AH1856" s="84" t="s">
        <v>432</v>
      </c>
      <c r="AI1856" s="84" t="s">
        <v>432</v>
      </c>
      <c r="AJ1856" s="84" t="s">
        <v>432</v>
      </c>
      <c r="AK1856" s="137" t="s">
        <v>432</v>
      </c>
      <c r="AL1856" s="601" t="s">
        <v>432</v>
      </c>
      <c r="AM1856" s="137" t="s">
        <v>432</v>
      </c>
      <c r="AN1856" s="137" t="s">
        <v>432</v>
      </c>
      <c r="AO1856" s="137" t="s">
        <v>432</v>
      </c>
      <c r="AP1856" s="137" t="s">
        <v>432</v>
      </c>
      <c r="AQ1856" s="137" t="s">
        <v>432</v>
      </c>
      <c r="AR1856" s="137" t="s">
        <v>432</v>
      </c>
      <c r="AS1856" s="137" t="s">
        <v>432</v>
      </c>
      <c r="AT1856" s="137" t="s">
        <v>432</v>
      </c>
      <c r="AU1856" s="137" t="s">
        <v>432</v>
      </c>
      <c r="AV1856" s="137" t="s">
        <v>432</v>
      </c>
      <c r="AW1856" s="137" t="s">
        <v>432</v>
      </c>
      <c r="AX1856" s="137" t="s">
        <v>432</v>
      </c>
      <c r="AY1856" s="137" t="s">
        <v>432</v>
      </c>
      <c r="AZ1856" s="137" t="s">
        <v>432</v>
      </c>
      <c r="BA1856" s="137" t="s">
        <v>432</v>
      </c>
      <c r="BB1856" s="239" t="str">
        <f t="shared" si="557"/>
        <v>Populaçãox</v>
      </c>
      <c r="BC1856" s="239" t="str">
        <f t="shared" si="558"/>
        <v>PopulaçãoxRMBH</v>
      </c>
      <c r="BD1856" s="239" t="str">
        <f t="shared" si="559"/>
        <v>PopulaçãoRMBH</v>
      </c>
    </row>
    <row r="1857" spans="1:57" s="1" customFormat="1" ht="42" customHeight="1" x14ac:dyDescent="0.25">
      <c r="A1857" s="275" t="str">
        <f>'Q100b-totais'!$B$19</f>
        <v>2.4</v>
      </c>
      <c r="B1857" s="54" t="str">
        <f>'Q100b-totais'!$C$19</f>
        <v>População</v>
      </c>
      <c r="C1857" s="167" t="s">
        <v>432</v>
      </c>
      <c r="D1857" s="378" t="s">
        <v>2812</v>
      </c>
      <c r="E1857" s="1506" t="s">
        <v>1739</v>
      </c>
      <c r="F1857" s="1102" t="s">
        <v>6044</v>
      </c>
      <c r="G1857" s="110" t="s">
        <v>77</v>
      </c>
      <c r="H1857" s="168" t="s">
        <v>1298</v>
      </c>
      <c r="I1857" s="167">
        <v>1</v>
      </c>
      <c r="J1857" s="93" t="s">
        <v>432</v>
      </c>
      <c r="K1857" s="84" t="s">
        <v>432</v>
      </c>
      <c r="L1857" s="84" t="s">
        <v>432</v>
      </c>
      <c r="M1857" s="84" t="s">
        <v>432</v>
      </c>
      <c r="N1857" s="84" t="s">
        <v>432</v>
      </c>
      <c r="O1857" s="84" t="s">
        <v>432</v>
      </c>
      <c r="P1857" s="84" t="s">
        <v>432</v>
      </c>
      <c r="Q1857" s="84" t="s">
        <v>432</v>
      </c>
      <c r="R1857" s="84" t="s">
        <v>432</v>
      </c>
      <c r="S1857" s="109" t="s">
        <v>2209</v>
      </c>
      <c r="T1857" s="84" t="s">
        <v>432</v>
      </c>
      <c r="U1857" s="84" t="s">
        <v>432</v>
      </c>
      <c r="V1857" s="109" t="s">
        <v>2209</v>
      </c>
      <c r="W1857" s="84" t="s">
        <v>432</v>
      </c>
      <c r="X1857" s="84" t="s">
        <v>432</v>
      </c>
      <c r="Y1857" s="84" t="s">
        <v>432</v>
      </c>
      <c r="Z1857" s="84" t="s">
        <v>432</v>
      </c>
      <c r="AA1857" s="84" t="s">
        <v>432</v>
      </c>
      <c r="AB1857" s="84" t="s">
        <v>432</v>
      </c>
      <c r="AC1857" s="84" t="s">
        <v>432</v>
      </c>
      <c r="AD1857" s="84" t="s">
        <v>432</v>
      </c>
      <c r="AE1857" s="84" t="s">
        <v>432</v>
      </c>
      <c r="AF1857" s="87">
        <v>33973</v>
      </c>
      <c r="AG1857" s="84" t="s">
        <v>432</v>
      </c>
      <c r="AH1857" s="84" t="s">
        <v>432</v>
      </c>
      <c r="AI1857" s="84" t="s">
        <v>432</v>
      </c>
      <c r="AJ1857" s="84" t="s">
        <v>432</v>
      </c>
      <c r="AK1857" s="137" t="s">
        <v>432</v>
      </c>
      <c r="AL1857" s="601" t="s">
        <v>432</v>
      </c>
      <c r="AM1857" s="137" t="s">
        <v>432</v>
      </c>
      <c r="AN1857" s="137" t="s">
        <v>432</v>
      </c>
      <c r="AO1857" s="137" t="s">
        <v>432</v>
      </c>
      <c r="AP1857" s="137" t="s">
        <v>432</v>
      </c>
      <c r="AQ1857" s="137" t="s">
        <v>432</v>
      </c>
      <c r="AR1857" s="137" t="s">
        <v>432</v>
      </c>
      <c r="AS1857" s="137" t="s">
        <v>432</v>
      </c>
      <c r="AT1857" s="137" t="s">
        <v>432</v>
      </c>
      <c r="AU1857" s="137" t="s">
        <v>432</v>
      </c>
      <c r="AV1857" s="137" t="s">
        <v>432</v>
      </c>
      <c r="AW1857" s="137" t="s">
        <v>432</v>
      </c>
      <c r="AX1857" s="137" t="s">
        <v>432</v>
      </c>
      <c r="AY1857" s="137" t="s">
        <v>432</v>
      </c>
      <c r="AZ1857" s="137" t="s">
        <v>432</v>
      </c>
      <c r="BA1857" s="137" t="s">
        <v>432</v>
      </c>
      <c r="BB1857" s="239" t="str">
        <f t="shared" si="557"/>
        <v>Populaçãox</v>
      </c>
      <c r="BC1857" s="239" t="str">
        <f t="shared" si="558"/>
        <v>PopulaçãoxRMBH</v>
      </c>
      <c r="BD1857" s="239" t="str">
        <f t="shared" si="559"/>
        <v>PopulaçãoRMBH</v>
      </c>
    </row>
    <row r="1858" spans="1:57" s="1" customFormat="1" ht="38.25" customHeight="1" x14ac:dyDescent="0.25">
      <c r="A1858" s="275" t="str">
        <f>'Q100b-totais'!$B$19</f>
        <v>2.4</v>
      </c>
      <c r="B1858" s="54" t="str">
        <f>'Q100b-totais'!$C$19</f>
        <v>População</v>
      </c>
      <c r="C1858" s="167" t="s">
        <v>432</v>
      </c>
      <c r="D1858" s="378" t="s">
        <v>2812</v>
      </c>
      <c r="E1858" s="1506" t="s">
        <v>1740</v>
      </c>
      <c r="F1858" s="1102" t="s">
        <v>6044</v>
      </c>
      <c r="G1858" s="110" t="s">
        <v>77</v>
      </c>
      <c r="H1858" s="168" t="s">
        <v>1298</v>
      </c>
      <c r="I1858" s="167">
        <v>1</v>
      </c>
      <c r="J1858" s="93" t="s">
        <v>432</v>
      </c>
      <c r="K1858" s="84" t="s">
        <v>432</v>
      </c>
      <c r="L1858" s="84" t="s">
        <v>432</v>
      </c>
      <c r="M1858" s="84" t="s">
        <v>432</v>
      </c>
      <c r="N1858" s="84" t="s">
        <v>432</v>
      </c>
      <c r="O1858" s="84" t="s">
        <v>432</v>
      </c>
      <c r="P1858" s="84" t="s">
        <v>432</v>
      </c>
      <c r="Q1858" s="84" t="s">
        <v>432</v>
      </c>
      <c r="R1858" s="84" t="s">
        <v>432</v>
      </c>
      <c r="S1858" s="109" t="s">
        <v>2209</v>
      </c>
      <c r="T1858" s="84" t="s">
        <v>432</v>
      </c>
      <c r="U1858" s="84" t="s">
        <v>432</v>
      </c>
      <c r="V1858" s="109" t="s">
        <v>2209</v>
      </c>
      <c r="W1858" s="84" t="s">
        <v>432</v>
      </c>
      <c r="X1858" s="84" t="s">
        <v>432</v>
      </c>
      <c r="Y1858" s="84" t="s">
        <v>432</v>
      </c>
      <c r="Z1858" s="84" t="s">
        <v>432</v>
      </c>
      <c r="AA1858" s="84" t="s">
        <v>432</v>
      </c>
      <c r="AB1858" s="84" t="s">
        <v>432</v>
      </c>
      <c r="AC1858" s="84" t="s">
        <v>432</v>
      </c>
      <c r="AD1858" s="84" t="s">
        <v>432</v>
      </c>
      <c r="AE1858" s="84" t="s">
        <v>432</v>
      </c>
      <c r="AF1858" s="87">
        <v>40750</v>
      </c>
      <c r="AG1858" s="84" t="s">
        <v>432</v>
      </c>
      <c r="AH1858" s="84" t="s">
        <v>432</v>
      </c>
      <c r="AI1858" s="84" t="s">
        <v>432</v>
      </c>
      <c r="AJ1858" s="84" t="s">
        <v>432</v>
      </c>
      <c r="AK1858" s="137" t="s">
        <v>432</v>
      </c>
      <c r="AL1858" s="601" t="s">
        <v>432</v>
      </c>
      <c r="AM1858" s="137" t="s">
        <v>432</v>
      </c>
      <c r="AN1858" s="137" t="s">
        <v>432</v>
      </c>
      <c r="AO1858" s="137" t="s">
        <v>432</v>
      </c>
      <c r="AP1858" s="137" t="s">
        <v>432</v>
      </c>
      <c r="AQ1858" s="137" t="s">
        <v>432</v>
      </c>
      <c r="AR1858" s="137" t="s">
        <v>432</v>
      </c>
      <c r="AS1858" s="137" t="s">
        <v>432</v>
      </c>
      <c r="AT1858" s="137" t="s">
        <v>432</v>
      </c>
      <c r="AU1858" s="137" t="s">
        <v>432</v>
      </c>
      <c r="AV1858" s="137" t="s">
        <v>432</v>
      </c>
      <c r="AW1858" s="137" t="s">
        <v>432</v>
      </c>
      <c r="AX1858" s="137" t="s">
        <v>432</v>
      </c>
      <c r="AY1858" s="137" t="s">
        <v>432</v>
      </c>
      <c r="AZ1858" s="137" t="s">
        <v>432</v>
      </c>
      <c r="BA1858" s="137" t="s">
        <v>432</v>
      </c>
      <c r="BB1858" s="239" t="str">
        <f t="shared" si="557"/>
        <v>Populaçãox</v>
      </c>
      <c r="BC1858" s="239" t="str">
        <f t="shared" si="558"/>
        <v>PopulaçãoxRMBH</v>
      </c>
      <c r="BD1858" s="239" t="str">
        <f t="shared" si="559"/>
        <v>PopulaçãoRMBH</v>
      </c>
    </row>
    <row r="1859" spans="1:57" s="1" customFormat="1" ht="38.25" customHeight="1" x14ac:dyDescent="0.25">
      <c r="A1859" s="275" t="str">
        <f>'Q100b-totais'!$B$19</f>
        <v>2.4</v>
      </c>
      <c r="B1859" s="54" t="str">
        <f>'Q100b-totais'!$C$19</f>
        <v>População</v>
      </c>
      <c r="C1859" s="167" t="s">
        <v>432</v>
      </c>
      <c r="D1859" s="378" t="s">
        <v>2812</v>
      </c>
      <c r="E1859" s="1506" t="s">
        <v>1741</v>
      </c>
      <c r="F1859" s="1102" t="s">
        <v>6044</v>
      </c>
      <c r="G1859" s="110" t="s">
        <v>77</v>
      </c>
      <c r="H1859" s="168" t="s">
        <v>1298</v>
      </c>
      <c r="I1859" s="167">
        <v>1</v>
      </c>
      <c r="J1859" s="93" t="s">
        <v>432</v>
      </c>
      <c r="K1859" s="84" t="s">
        <v>432</v>
      </c>
      <c r="L1859" s="84" t="s">
        <v>432</v>
      </c>
      <c r="M1859" s="84" t="s">
        <v>432</v>
      </c>
      <c r="N1859" s="84" t="s">
        <v>432</v>
      </c>
      <c r="O1859" s="84" t="s">
        <v>432</v>
      </c>
      <c r="P1859" s="84" t="s">
        <v>432</v>
      </c>
      <c r="Q1859" s="84" t="s">
        <v>432</v>
      </c>
      <c r="R1859" s="84" t="s">
        <v>432</v>
      </c>
      <c r="S1859" s="109" t="s">
        <v>2209</v>
      </c>
      <c r="T1859" s="84" t="s">
        <v>432</v>
      </c>
      <c r="U1859" s="84" t="s">
        <v>432</v>
      </c>
      <c r="V1859" s="109" t="s">
        <v>2209</v>
      </c>
      <c r="W1859" s="84" t="s">
        <v>432</v>
      </c>
      <c r="X1859" s="84" t="s">
        <v>432</v>
      </c>
      <c r="Y1859" s="84" t="s">
        <v>432</v>
      </c>
      <c r="Z1859" s="84" t="s">
        <v>432</v>
      </c>
      <c r="AA1859" s="84" t="s">
        <v>432</v>
      </c>
      <c r="AB1859" s="84" t="s">
        <v>432</v>
      </c>
      <c r="AC1859" s="84" t="s">
        <v>432</v>
      </c>
      <c r="AD1859" s="84" t="s">
        <v>432</v>
      </c>
      <c r="AE1859" s="84" t="s">
        <v>432</v>
      </c>
      <c r="AF1859" s="87">
        <v>8881</v>
      </c>
      <c r="AG1859" s="84" t="s">
        <v>432</v>
      </c>
      <c r="AH1859" s="84" t="s">
        <v>432</v>
      </c>
      <c r="AI1859" s="84" t="s">
        <v>432</v>
      </c>
      <c r="AJ1859" s="84" t="s">
        <v>432</v>
      </c>
      <c r="AK1859" s="137" t="s">
        <v>432</v>
      </c>
      <c r="AL1859" s="601" t="s">
        <v>432</v>
      </c>
      <c r="AM1859" s="137" t="s">
        <v>432</v>
      </c>
      <c r="AN1859" s="137" t="s">
        <v>432</v>
      </c>
      <c r="AO1859" s="137" t="s">
        <v>432</v>
      </c>
      <c r="AP1859" s="137" t="s">
        <v>432</v>
      </c>
      <c r="AQ1859" s="137" t="s">
        <v>432</v>
      </c>
      <c r="AR1859" s="137" t="s">
        <v>432</v>
      </c>
      <c r="AS1859" s="137" t="s">
        <v>432</v>
      </c>
      <c r="AT1859" s="137" t="s">
        <v>432</v>
      </c>
      <c r="AU1859" s="137" t="s">
        <v>432</v>
      </c>
      <c r="AV1859" s="137" t="s">
        <v>432</v>
      </c>
      <c r="AW1859" s="137" t="s">
        <v>432</v>
      </c>
      <c r="AX1859" s="137" t="s">
        <v>432</v>
      </c>
      <c r="AY1859" s="137" t="s">
        <v>432</v>
      </c>
      <c r="AZ1859" s="137" t="s">
        <v>432</v>
      </c>
      <c r="BA1859" s="137" t="s">
        <v>432</v>
      </c>
      <c r="BB1859" s="239" t="str">
        <f t="shared" si="557"/>
        <v>Populaçãox</v>
      </c>
      <c r="BC1859" s="239" t="str">
        <f t="shared" si="558"/>
        <v>PopulaçãoxRMBH</v>
      </c>
      <c r="BD1859" s="239" t="str">
        <f t="shared" si="559"/>
        <v>PopulaçãoRMBH</v>
      </c>
    </row>
    <row r="1860" spans="1:57" s="1" customFormat="1" ht="38.25" customHeight="1" x14ac:dyDescent="0.25">
      <c r="A1860" s="275" t="str">
        <f>'Q100b-totais'!$B$19</f>
        <v>2.4</v>
      </c>
      <c r="B1860" s="54" t="str">
        <f>'Q100b-totais'!$C$19</f>
        <v>População</v>
      </c>
      <c r="C1860" s="167" t="s">
        <v>432</v>
      </c>
      <c r="D1860" s="378" t="s">
        <v>2812</v>
      </c>
      <c r="E1860" s="1506" t="s">
        <v>1742</v>
      </c>
      <c r="F1860" s="1102" t="s">
        <v>6044</v>
      </c>
      <c r="G1860" s="110" t="s">
        <v>77</v>
      </c>
      <c r="H1860" s="168" t="s">
        <v>1298</v>
      </c>
      <c r="I1860" s="167">
        <v>1</v>
      </c>
      <c r="J1860" s="93" t="s">
        <v>432</v>
      </c>
      <c r="K1860" s="84" t="s">
        <v>432</v>
      </c>
      <c r="L1860" s="84" t="s">
        <v>432</v>
      </c>
      <c r="M1860" s="84" t="s">
        <v>432</v>
      </c>
      <c r="N1860" s="84" t="s">
        <v>432</v>
      </c>
      <c r="O1860" s="84" t="s">
        <v>432</v>
      </c>
      <c r="P1860" s="84" t="s">
        <v>432</v>
      </c>
      <c r="Q1860" s="84" t="s">
        <v>432</v>
      </c>
      <c r="R1860" s="84" t="s">
        <v>432</v>
      </c>
      <c r="S1860" s="109" t="s">
        <v>2209</v>
      </c>
      <c r="T1860" s="84" t="s">
        <v>432</v>
      </c>
      <c r="U1860" s="84" t="s">
        <v>432</v>
      </c>
      <c r="V1860" s="109" t="s">
        <v>2209</v>
      </c>
      <c r="W1860" s="84" t="s">
        <v>432</v>
      </c>
      <c r="X1860" s="84" t="s">
        <v>432</v>
      </c>
      <c r="Y1860" s="84" t="s">
        <v>432</v>
      </c>
      <c r="Z1860" s="84" t="s">
        <v>432</v>
      </c>
      <c r="AA1860" s="84" t="s">
        <v>432</v>
      </c>
      <c r="AB1860" s="84" t="s">
        <v>432</v>
      </c>
      <c r="AC1860" s="84" t="s">
        <v>432</v>
      </c>
      <c r="AD1860" s="84" t="s">
        <v>432</v>
      </c>
      <c r="AE1860" s="84" t="s">
        <v>432</v>
      </c>
      <c r="AF1860" s="87">
        <v>5936</v>
      </c>
      <c r="AG1860" s="84" t="s">
        <v>432</v>
      </c>
      <c r="AH1860" s="84" t="s">
        <v>432</v>
      </c>
      <c r="AI1860" s="84" t="s">
        <v>432</v>
      </c>
      <c r="AJ1860" s="84" t="s">
        <v>432</v>
      </c>
      <c r="AK1860" s="137" t="s">
        <v>432</v>
      </c>
      <c r="AL1860" s="601" t="s">
        <v>432</v>
      </c>
      <c r="AM1860" s="137" t="s">
        <v>432</v>
      </c>
      <c r="AN1860" s="137" t="s">
        <v>432</v>
      </c>
      <c r="AO1860" s="137" t="s">
        <v>432</v>
      </c>
      <c r="AP1860" s="137" t="s">
        <v>432</v>
      </c>
      <c r="AQ1860" s="137" t="s">
        <v>432</v>
      </c>
      <c r="AR1860" s="137" t="s">
        <v>432</v>
      </c>
      <c r="AS1860" s="137" t="s">
        <v>432</v>
      </c>
      <c r="AT1860" s="137" t="s">
        <v>432</v>
      </c>
      <c r="AU1860" s="137" t="s">
        <v>432</v>
      </c>
      <c r="AV1860" s="137" t="s">
        <v>432</v>
      </c>
      <c r="AW1860" s="137" t="s">
        <v>432</v>
      </c>
      <c r="AX1860" s="137" t="s">
        <v>432</v>
      </c>
      <c r="AY1860" s="137" t="s">
        <v>432</v>
      </c>
      <c r="AZ1860" s="137" t="s">
        <v>432</v>
      </c>
      <c r="BA1860" s="137" t="s">
        <v>432</v>
      </c>
      <c r="BB1860" s="239" t="str">
        <f t="shared" si="557"/>
        <v>Populaçãox</v>
      </c>
      <c r="BC1860" s="239" t="str">
        <f t="shared" si="558"/>
        <v>PopulaçãoxRMBH</v>
      </c>
      <c r="BD1860" s="239" t="str">
        <f t="shared" si="559"/>
        <v>PopulaçãoRMBH</v>
      </c>
    </row>
    <row r="1861" spans="1:57" s="1" customFormat="1" ht="38.25" customHeight="1" x14ac:dyDescent="0.25">
      <c r="A1861" s="275" t="str">
        <f>'Q100b-totais'!$B$19</f>
        <v>2.4</v>
      </c>
      <c r="B1861" s="54" t="str">
        <f>'Q100b-totais'!$C$19</f>
        <v>População</v>
      </c>
      <c r="C1861" s="167" t="s">
        <v>432</v>
      </c>
      <c r="D1861" s="378" t="s">
        <v>2812</v>
      </c>
      <c r="E1861" s="1506" t="s">
        <v>1371</v>
      </c>
      <c r="F1861" s="1102" t="s">
        <v>6044</v>
      </c>
      <c r="G1861" s="110" t="s">
        <v>77</v>
      </c>
      <c r="H1861" s="168" t="s">
        <v>1298</v>
      </c>
      <c r="I1861" s="167">
        <v>1</v>
      </c>
      <c r="J1861" s="93" t="s">
        <v>432</v>
      </c>
      <c r="K1861" s="84" t="s">
        <v>432</v>
      </c>
      <c r="L1861" s="84" t="s">
        <v>432</v>
      </c>
      <c r="M1861" s="84" t="s">
        <v>432</v>
      </c>
      <c r="N1861" s="84" t="s">
        <v>432</v>
      </c>
      <c r="O1861" s="84" t="s">
        <v>432</v>
      </c>
      <c r="P1861" s="84" t="s">
        <v>432</v>
      </c>
      <c r="Q1861" s="84" t="s">
        <v>432</v>
      </c>
      <c r="R1861" s="84" t="s">
        <v>432</v>
      </c>
      <c r="S1861" s="109" t="s">
        <v>2209</v>
      </c>
      <c r="T1861" s="84" t="s">
        <v>432</v>
      </c>
      <c r="U1861" s="84" t="s">
        <v>432</v>
      </c>
      <c r="V1861" s="109" t="s">
        <v>2209</v>
      </c>
      <c r="W1861" s="84" t="s">
        <v>432</v>
      </c>
      <c r="X1861" s="84" t="s">
        <v>432</v>
      </c>
      <c r="Y1861" s="84" t="s">
        <v>432</v>
      </c>
      <c r="Z1861" s="84" t="s">
        <v>432</v>
      </c>
      <c r="AA1861" s="84" t="s">
        <v>432</v>
      </c>
      <c r="AB1861" s="84" t="s">
        <v>432</v>
      </c>
      <c r="AC1861" s="84" t="s">
        <v>432</v>
      </c>
      <c r="AD1861" s="84" t="s">
        <v>432</v>
      </c>
      <c r="AE1861" s="84" t="s">
        <v>432</v>
      </c>
      <c r="AF1861" s="87">
        <v>603442</v>
      </c>
      <c r="AG1861" s="84" t="s">
        <v>432</v>
      </c>
      <c r="AH1861" s="84" t="s">
        <v>432</v>
      </c>
      <c r="AI1861" s="84" t="s">
        <v>432</v>
      </c>
      <c r="AJ1861" s="84" t="s">
        <v>432</v>
      </c>
      <c r="AK1861" s="137" t="s">
        <v>432</v>
      </c>
      <c r="AL1861" s="601" t="s">
        <v>432</v>
      </c>
      <c r="AM1861" s="137" t="s">
        <v>432</v>
      </c>
      <c r="AN1861" s="137" t="s">
        <v>432</v>
      </c>
      <c r="AO1861" s="137" t="s">
        <v>432</v>
      </c>
      <c r="AP1861" s="137" t="s">
        <v>432</v>
      </c>
      <c r="AQ1861" s="137" t="s">
        <v>432</v>
      </c>
      <c r="AR1861" s="137" t="s">
        <v>432</v>
      </c>
      <c r="AS1861" s="137" t="s">
        <v>432</v>
      </c>
      <c r="AT1861" s="137" t="s">
        <v>432</v>
      </c>
      <c r="AU1861" s="137" t="s">
        <v>432</v>
      </c>
      <c r="AV1861" s="137" t="s">
        <v>432</v>
      </c>
      <c r="AW1861" s="137" t="s">
        <v>432</v>
      </c>
      <c r="AX1861" s="137" t="s">
        <v>432</v>
      </c>
      <c r="AY1861" s="137" t="s">
        <v>432</v>
      </c>
      <c r="AZ1861" s="137" t="s">
        <v>432</v>
      </c>
      <c r="BA1861" s="137" t="s">
        <v>432</v>
      </c>
      <c r="BB1861" s="239" t="str">
        <f t="shared" si="557"/>
        <v>Populaçãox</v>
      </c>
      <c r="BC1861" s="239" t="str">
        <f t="shared" si="558"/>
        <v>PopulaçãoxRMBH</v>
      </c>
      <c r="BD1861" s="1064" t="str">
        <f t="shared" si="559"/>
        <v>PopulaçãoRMBH</v>
      </c>
      <c r="BE1861" s="1062" t="s">
        <v>1371</v>
      </c>
    </row>
    <row r="1862" spans="1:57" s="1" customFormat="1" ht="38.25" customHeight="1" x14ac:dyDescent="0.25">
      <c r="A1862" s="275" t="str">
        <f>'Q100b-totais'!$B$19</f>
        <v>2.4</v>
      </c>
      <c r="B1862" s="54" t="str">
        <f>'Q100b-totais'!$C$19</f>
        <v>População</v>
      </c>
      <c r="C1862" s="167" t="s">
        <v>432</v>
      </c>
      <c r="D1862" s="378" t="s">
        <v>2812</v>
      </c>
      <c r="E1862" s="1506" t="s">
        <v>1743</v>
      </c>
      <c r="F1862" s="1102" t="s">
        <v>6044</v>
      </c>
      <c r="G1862" s="110" t="s">
        <v>77</v>
      </c>
      <c r="H1862" s="168" t="s">
        <v>1298</v>
      </c>
      <c r="I1862" s="167">
        <v>1</v>
      </c>
      <c r="J1862" s="93" t="s">
        <v>432</v>
      </c>
      <c r="K1862" s="84" t="s">
        <v>432</v>
      </c>
      <c r="L1862" s="84" t="s">
        <v>432</v>
      </c>
      <c r="M1862" s="84" t="s">
        <v>432</v>
      </c>
      <c r="N1862" s="84" t="s">
        <v>432</v>
      </c>
      <c r="O1862" s="84" t="s">
        <v>432</v>
      </c>
      <c r="P1862" s="84" t="s">
        <v>432</v>
      </c>
      <c r="Q1862" s="84" t="s">
        <v>432</v>
      </c>
      <c r="R1862" s="84" t="s">
        <v>432</v>
      </c>
      <c r="S1862" s="109" t="s">
        <v>2209</v>
      </c>
      <c r="T1862" s="84" t="s">
        <v>432</v>
      </c>
      <c r="U1862" s="84" t="s">
        <v>432</v>
      </c>
      <c r="V1862" s="109" t="s">
        <v>2209</v>
      </c>
      <c r="W1862" s="84" t="s">
        <v>432</v>
      </c>
      <c r="X1862" s="84" t="s">
        <v>432</v>
      </c>
      <c r="Y1862" s="84" t="s">
        <v>432</v>
      </c>
      <c r="Z1862" s="84" t="s">
        <v>432</v>
      </c>
      <c r="AA1862" s="84" t="s">
        <v>432</v>
      </c>
      <c r="AB1862" s="84" t="s">
        <v>432</v>
      </c>
      <c r="AC1862" s="84" t="s">
        <v>432</v>
      </c>
      <c r="AD1862" s="84" t="s">
        <v>432</v>
      </c>
      <c r="AE1862" s="84" t="s">
        <v>432</v>
      </c>
      <c r="AF1862" s="87">
        <v>60271</v>
      </c>
      <c r="AG1862" s="84" t="s">
        <v>432</v>
      </c>
      <c r="AH1862" s="84" t="s">
        <v>432</v>
      </c>
      <c r="AI1862" s="84" t="s">
        <v>432</v>
      </c>
      <c r="AJ1862" s="84" t="s">
        <v>432</v>
      </c>
      <c r="AK1862" s="137" t="s">
        <v>432</v>
      </c>
      <c r="AL1862" s="601" t="s">
        <v>432</v>
      </c>
      <c r="AM1862" s="137" t="s">
        <v>432</v>
      </c>
      <c r="AN1862" s="137" t="s">
        <v>432</v>
      </c>
      <c r="AO1862" s="137" t="s">
        <v>432</v>
      </c>
      <c r="AP1862" s="137" t="s">
        <v>432</v>
      </c>
      <c r="AQ1862" s="137" t="s">
        <v>432</v>
      </c>
      <c r="AR1862" s="137" t="s">
        <v>432</v>
      </c>
      <c r="AS1862" s="137" t="s">
        <v>432</v>
      </c>
      <c r="AT1862" s="137" t="s">
        <v>432</v>
      </c>
      <c r="AU1862" s="137" t="s">
        <v>432</v>
      </c>
      <c r="AV1862" s="137" t="s">
        <v>432</v>
      </c>
      <c r="AW1862" s="137" t="s">
        <v>432</v>
      </c>
      <c r="AX1862" s="137" t="s">
        <v>432</v>
      </c>
      <c r="AY1862" s="137" t="s">
        <v>432</v>
      </c>
      <c r="AZ1862" s="137" t="s">
        <v>432</v>
      </c>
      <c r="BA1862" s="137" t="s">
        <v>432</v>
      </c>
      <c r="BB1862" s="239" t="str">
        <f t="shared" si="557"/>
        <v>Populaçãox</v>
      </c>
      <c r="BC1862" s="239" t="str">
        <f t="shared" si="558"/>
        <v>PopulaçãoxRMBH</v>
      </c>
      <c r="BD1862" s="239" t="str">
        <f t="shared" si="559"/>
        <v>PopulaçãoRMBH</v>
      </c>
    </row>
    <row r="1863" spans="1:57" s="1" customFormat="1" ht="38.25" customHeight="1" x14ac:dyDescent="0.25">
      <c r="A1863" s="275" t="str">
        <f>'Q100b-totais'!$B$19</f>
        <v>2.4</v>
      </c>
      <c r="B1863" s="54" t="str">
        <f>'Q100b-totais'!$C$19</f>
        <v>População</v>
      </c>
      <c r="C1863" s="167" t="s">
        <v>432</v>
      </c>
      <c r="D1863" s="378" t="s">
        <v>2812</v>
      </c>
      <c r="E1863" s="1506" t="s">
        <v>1744</v>
      </c>
      <c r="F1863" s="1102" t="s">
        <v>6044</v>
      </c>
      <c r="G1863" s="110" t="s">
        <v>77</v>
      </c>
      <c r="H1863" s="168" t="s">
        <v>1298</v>
      </c>
      <c r="I1863" s="167">
        <v>1</v>
      </c>
      <c r="J1863" s="93" t="s">
        <v>432</v>
      </c>
      <c r="K1863" s="84" t="s">
        <v>432</v>
      </c>
      <c r="L1863" s="84" t="s">
        <v>432</v>
      </c>
      <c r="M1863" s="84" t="s">
        <v>432</v>
      </c>
      <c r="N1863" s="84" t="s">
        <v>432</v>
      </c>
      <c r="O1863" s="84" t="s">
        <v>432</v>
      </c>
      <c r="P1863" s="84" t="s">
        <v>432</v>
      </c>
      <c r="Q1863" s="84" t="s">
        <v>432</v>
      </c>
      <c r="R1863" s="84" t="s">
        <v>432</v>
      </c>
      <c r="S1863" s="109" t="s">
        <v>2209</v>
      </c>
      <c r="T1863" s="84" t="s">
        <v>432</v>
      </c>
      <c r="U1863" s="84" t="s">
        <v>432</v>
      </c>
      <c r="V1863" s="109" t="s">
        <v>2209</v>
      </c>
      <c r="W1863" s="84" t="s">
        <v>432</v>
      </c>
      <c r="X1863" s="84" t="s">
        <v>432</v>
      </c>
      <c r="Y1863" s="84" t="s">
        <v>432</v>
      </c>
      <c r="Z1863" s="84" t="s">
        <v>432</v>
      </c>
      <c r="AA1863" s="84" t="s">
        <v>432</v>
      </c>
      <c r="AB1863" s="84" t="s">
        <v>432</v>
      </c>
      <c r="AC1863" s="84" t="s">
        <v>432</v>
      </c>
      <c r="AD1863" s="84" t="s">
        <v>432</v>
      </c>
      <c r="AE1863" s="84" t="s">
        <v>432</v>
      </c>
      <c r="AF1863" s="87">
        <v>6600</v>
      </c>
      <c r="AG1863" s="84" t="s">
        <v>432</v>
      </c>
      <c r="AH1863" s="84" t="s">
        <v>432</v>
      </c>
      <c r="AI1863" s="84" t="s">
        <v>432</v>
      </c>
      <c r="AJ1863" s="84" t="s">
        <v>432</v>
      </c>
      <c r="AK1863" s="137" t="s">
        <v>432</v>
      </c>
      <c r="AL1863" s="601" t="s">
        <v>432</v>
      </c>
      <c r="AM1863" s="137" t="s">
        <v>432</v>
      </c>
      <c r="AN1863" s="137" t="s">
        <v>432</v>
      </c>
      <c r="AO1863" s="137" t="s">
        <v>432</v>
      </c>
      <c r="AP1863" s="137" t="s">
        <v>432</v>
      </c>
      <c r="AQ1863" s="137" t="s">
        <v>432</v>
      </c>
      <c r="AR1863" s="137" t="s">
        <v>432</v>
      </c>
      <c r="AS1863" s="137" t="s">
        <v>432</v>
      </c>
      <c r="AT1863" s="137" t="s">
        <v>432</v>
      </c>
      <c r="AU1863" s="137" t="s">
        <v>432</v>
      </c>
      <c r="AV1863" s="137" t="s">
        <v>432</v>
      </c>
      <c r="AW1863" s="137" t="s">
        <v>432</v>
      </c>
      <c r="AX1863" s="137" t="s">
        <v>432</v>
      </c>
      <c r="AY1863" s="137" t="s">
        <v>432</v>
      </c>
      <c r="AZ1863" s="137" t="s">
        <v>432</v>
      </c>
      <c r="BA1863" s="137" t="s">
        <v>432</v>
      </c>
      <c r="BB1863" s="239" t="str">
        <f t="shared" si="557"/>
        <v>Populaçãox</v>
      </c>
      <c r="BC1863" s="239" t="str">
        <f t="shared" si="558"/>
        <v>PopulaçãoxRMBH</v>
      </c>
      <c r="BD1863" s="239" t="str">
        <f t="shared" si="559"/>
        <v>PopulaçãoRMBH</v>
      </c>
    </row>
    <row r="1864" spans="1:57" s="1" customFormat="1" ht="38.25" customHeight="1" x14ac:dyDescent="0.25">
      <c r="A1864" s="275" t="str">
        <f>'Q100b-totais'!$B$19</f>
        <v>2.4</v>
      </c>
      <c r="B1864" s="54" t="str">
        <f>'Q100b-totais'!$C$19</f>
        <v>População</v>
      </c>
      <c r="C1864" s="167" t="s">
        <v>432</v>
      </c>
      <c r="D1864" s="378" t="s">
        <v>2812</v>
      </c>
      <c r="E1864" s="1506" t="s">
        <v>1269</v>
      </c>
      <c r="F1864" s="1102" t="s">
        <v>6044</v>
      </c>
      <c r="G1864" s="110" t="s">
        <v>77</v>
      </c>
      <c r="H1864" s="168" t="s">
        <v>1298</v>
      </c>
      <c r="I1864" s="167">
        <v>1</v>
      </c>
      <c r="J1864" s="93" t="s">
        <v>432</v>
      </c>
      <c r="K1864" s="84" t="s">
        <v>432</v>
      </c>
      <c r="L1864" s="84" t="s">
        <v>432</v>
      </c>
      <c r="M1864" s="84" t="s">
        <v>432</v>
      </c>
      <c r="N1864" s="84" t="s">
        <v>432</v>
      </c>
      <c r="O1864" s="84" t="s">
        <v>432</v>
      </c>
      <c r="P1864" s="84" t="s">
        <v>432</v>
      </c>
      <c r="Q1864" s="84" t="s">
        <v>432</v>
      </c>
      <c r="R1864" s="84" t="s">
        <v>432</v>
      </c>
      <c r="S1864" s="109" t="s">
        <v>2209</v>
      </c>
      <c r="T1864" s="84" t="s">
        <v>432</v>
      </c>
      <c r="U1864" s="84" t="s">
        <v>432</v>
      </c>
      <c r="V1864" s="109" t="s">
        <v>2209</v>
      </c>
      <c r="W1864" s="84" t="s">
        <v>432</v>
      </c>
      <c r="X1864" s="84" t="s">
        <v>432</v>
      </c>
      <c r="Y1864" s="84" t="s">
        <v>432</v>
      </c>
      <c r="Z1864" s="84" t="s">
        <v>432</v>
      </c>
      <c r="AA1864" s="84" t="s">
        <v>432</v>
      </c>
      <c r="AB1864" s="84" t="s">
        <v>432</v>
      </c>
      <c r="AC1864" s="84" t="s">
        <v>432</v>
      </c>
      <c r="AD1864" s="84" t="s">
        <v>432</v>
      </c>
      <c r="AE1864" s="84" t="s">
        <v>432</v>
      </c>
      <c r="AF1864" s="87">
        <v>158954</v>
      </c>
      <c r="AG1864" s="84" t="s">
        <v>432</v>
      </c>
      <c r="AH1864" s="84" t="s">
        <v>432</v>
      </c>
      <c r="AI1864" s="84" t="s">
        <v>432</v>
      </c>
      <c r="AJ1864" s="84" t="s">
        <v>432</v>
      </c>
      <c r="AK1864" s="137" t="s">
        <v>432</v>
      </c>
      <c r="AL1864" s="601" t="s">
        <v>432</v>
      </c>
      <c r="AM1864" s="137" t="s">
        <v>432</v>
      </c>
      <c r="AN1864" s="137" t="s">
        <v>432</v>
      </c>
      <c r="AO1864" s="137" t="s">
        <v>432</v>
      </c>
      <c r="AP1864" s="137" t="s">
        <v>432</v>
      </c>
      <c r="AQ1864" s="137" t="s">
        <v>432</v>
      </c>
      <c r="AR1864" s="137" t="s">
        <v>432</v>
      </c>
      <c r="AS1864" s="137" t="s">
        <v>432</v>
      </c>
      <c r="AT1864" s="137" t="s">
        <v>432</v>
      </c>
      <c r="AU1864" s="137" t="s">
        <v>432</v>
      </c>
      <c r="AV1864" s="137" t="s">
        <v>432</v>
      </c>
      <c r="AW1864" s="137" t="s">
        <v>432</v>
      </c>
      <c r="AX1864" s="137" t="s">
        <v>432</v>
      </c>
      <c r="AY1864" s="137" t="s">
        <v>432</v>
      </c>
      <c r="AZ1864" s="137" t="s">
        <v>432</v>
      </c>
      <c r="BA1864" s="137" t="s">
        <v>432</v>
      </c>
      <c r="BB1864" s="239" t="str">
        <f t="shared" si="557"/>
        <v>Populaçãox</v>
      </c>
      <c r="BC1864" s="239" t="str">
        <f t="shared" si="558"/>
        <v>PopulaçãoxRMBH</v>
      </c>
      <c r="BD1864" s="239" t="str">
        <f t="shared" si="559"/>
        <v>PopulaçãoRMBH</v>
      </c>
    </row>
    <row r="1865" spans="1:57" s="1" customFormat="1" ht="47.25" customHeight="1" x14ac:dyDescent="0.25">
      <c r="A1865" s="275" t="str">
        <f>'Q100b-totais'!$B$19</f>
        <v>2.4</v>
      </c>
      <c r="B1865" s="54" t="str">
        <f>'Q100b-totais'!$C$19</f>
        <v>População</v>
      </c>
      <c r="C1865" s="167" t="s">
        <v>432</v>
      </c>
      <c r="D1865" s="378" t="s">
        <v>2812</v>
      </c>
      <c r="E1865" s="1506" t="s">
        <v>3548</v>
      </c>
      <c r="F1865" s="1102" t="s">
        <v>6044</v>
      </c>
      <c r="G1865" s="110" t="s">
        <v>77</v>
      </c>
      <c r="H1865" s="168" t="s">
        <v>1298</v>
      </c>
      <c r="I1865" s="167">
        <v>1</v>
      </c>
      <c r="J1865" s="93" t="s">
        <v>432</v>
      </c>
      <c r="K1865" s="84" t="s">
        <v>432</v>
      </c>
      <c r="L1865" s="84" t="s">
        <v>432</v>
      </c>
      <c r="M1865" s="84" t="s">
        <v>432</v>
      </c>
      <c r="N1865" s="84" t="s">
        <v>432</v>
      </c>
      <c r="O1865" s="84" t="s">
        <v>432</v>
      </c>
      <c r="P1865" s="84" t="s">
        <v>432</v>
      </c>
      <c r="Q1865" s="84" t="s">
        <v>432</v>
      </c>
      <c r="R1865" s="84" t="s">
        <v>432</v>
      </c>
      <c r="S1865" s="109" t="s">
        <v>2209</v>
      </c>
      <c r="T1865" s="84" t="s">
        <v>432</v>
      </c>
      <c r="U1865" s="84" t="s">
        <v>432</v>
      </c>
      <c r="V1865" s="109" t="s">
        <v>2209</v>
      </c>
      <c r="W1865" s="84" t="s">
        <v>432</v>
      </c>
      <c r="X1865" s="84" t="s">
        <v>432</v>
      </c>
      <c r="Y1865" s="84" t="s">
        <v>432</v>
      </c>
      <c r="Z1865" s="84" t="s">
        <v>432</v>
      </c>
      <c r="AA1865" s="84" t="s">
        <v>432</v>
      </c>
      <c r="AB1865" s="84" t="s">
        <v>432</v>
      </c>
      <c r="AC1865" s="84" t="s">
        <v>432</v>
      </c>
      <c r="AD1865" s="84" t="s">
        <v>432</v>
      </c>
      <c r="AE1865" s="84" t="s">
        <v>432</v>
      </c>
      <c r="AF1865" s="87">
        <v>34851</v>
      </c>
      <c r="AG1865" s="84" t="s">
        <v>432</v>
      </c>
      <c r="AH1865" s="84" t="s">
        <v>432</v>
      </c>
      <c r="AI1865" s="84" t="s">
        <v>432</v>
      </c>
      <c r="AJ1865" s="84" t="s">
        <v>432</v>
      </c>
      <c r="AK1865" s="137" t="s">
        <v>432</v>
      </c>
      <c r="AL1865" s="601" t="s">
        <v>432</v>
      </c>
      <c r="AM1865" s="137" t="s">
        <v>432</v>
      </c>
      <c r="AN1865" s="137" t="s">
        <v>432</v>
      </c>
      <c r="AO1865" s="137" t="s">
        <v>432</v>
      </c>
      <c r="AP1865" s="137" t="s">
        <v>432</v>
      </c>
      <c r="AQ1865" s="137" t="s">
        <v>432</v>
      </c>
      <c r="AR1865" s="137" t="s">
        <v>432</v>
      </c>
      <c r="AS1865" s="137" t="s">
        <v>432</v>
      </c>
      <c r="AT1865" s="137" t="s">
        <v>432</v>
      </c>
      <c r="AU1865" s="137" t="s">
        <v>432</v>
      </c>
      <c r="AV1865" s="137" t="s">
        <v>432</v>
      </c>
      <c r="AW1865" s="137" t="s">
        <v>432</v>
      </c>
      <c r="AX1865" s="137" t="s">
        <v>432</v>
      </c>
      <c r="AY1865" s="137" t="s">
        <v>432</v>
      </c>
      <c r="AZ1865" s="137" t="s">
        <v>432</v>
      </c>
      <c r="BA1865" s="137" t="s">
        <v>432</v>
      </c>
      <c r="BB1865" s="239" t="str">
        <f t="shared" si="557"/>
        <v>Populaçãox</v>
      </c>
      <c r="BC1865" s="239" t="str">
        <f t="shared" si="558"/>
        <v>PopulaçãoxRMBH</v>
      </c>
      <c r="BD1865" s="239" t="str">
        <f t="shared" si="559"/>
        <v>PopulaçãoRMBH</v>
      </c>
    </row>
    <row r="1866" spans="1:57" s="1" customFormat="1" ht="38.25" customHeight="1" x14ac:dyDescent="0.25">
      <c r="A1866" s="275" t="str">
        <f>'Q100b-totais'!$B$19</f>
        <v>2.4</v>
      </c>
      <c r="B1866" s="54" t="str">
        <f>'Q100b-totais'!$C$19</f>
        <v>População</v>
      </c>
      <c r="C1866" s="167" t="s">
        <v>432</v>
      </c>
      <c r="D1866" s="378" t="s">
        <v>2812</v>
      </c>
      <c r="E1866" s="1506" t="s">
        <v>1745</v>
      </c>
      <c r="F1866" s="1102" t="s">
        <v>6044</v>
      </c>
      <c r="G1866" s="110" t="s">
        <v>77</v>
      </c>
      <c r="H1866" s="168" t="s">
        <v>1298</v>
      </c>
      <c r="I1866" s="167">
        <v>1</v>
      </c>
      <c r="J1866" s="93" t="s">
        <v>432</v>
      </c>
      <c r="K1866" s="84" t="s">
        <v>432</v>
      </c>
      <c r="L1866" s="84" t="s">
        <v>432</v>
      </c>
      <c r="M1866" s="84" t="s">
        <v>432</v>
      </c>
      <c r="N1866" s="84" t="s">
        <v>432</v>
      </c>
      <c r="O1866" s="84" t="s">
        <v>432</v>
      </c>
      <c r="P1866" s="84" t="s">
        <v>432</v>
      </c>
      <c r="Q1866" s="84" t="s">
        <v>432</v>
      </c>
      <c r="R1866" s="84" t="s">
        <v>432</v>
      </c>
      <c r="S1866" s="109" t="s">
        <v>2209</v>
      </c>
      <c r="T1866" s="84" t="s">
        <v>432</v>
      </c>
      <c r="U1866" s="84" t="s">
        <v>432</v>
      </c>
      <c r="V1866" s="109" t="s">
        <v>2209</v>
      </c>
      <c r="W1866" s="84" t="s">
        <v>432</v>
      </c>
      <c r="X1866" s="84" t="s">
        <v>432</v>
      </c>
      <c r="Y1866" s="84" t="s">
        <v>432</v>
      </c>
      <c r="Z1866" s="84" t="s">
        <v>432</v>
      </c>
      <c r="AA1866" s="84" t="s">
        <v>432</v>
      </c>
      <c r="AB1866" s="84" t="s">
        <v>432</v>
      </c>
      <c r="AC1866" s="84" t="s">
        <v>432</v>
      </c>
      <c r="AD1866" s="84" t="s">
        <v>432</v>
      </c>
      <c r="AE1866" s="84" t="s">
        <v>432</v>
      </c>
      <c r="AF1866" s="87">
        <v>12372</v>
      </c>
      <c r="AG1866" s="84" t="s">
        <v>432</v>
      </c>
      <c r="AH1866" s="84" t="s">
        <v>432</v>
      </c>
      <c r="AI1866" s="84" t="s">
        <v>432</v>
      </c>
      <c r="AJ1866" s="84" t="s">
        <v>432</v>
      </c>
      <c r="AK1866" s="137" t="s">
        <v>432</v>
      </c>
      <c r="AL1866" s="601" t="s">
        <v>432</v>
      </c>
      <c r="AM1866" s="137" t="s">
        <v>432</v>
      </c>
      <c r="AN1866" s="137" t="s">
        <v>432</v>
      </c>
      <c r="AO1866" s="137" t="s">
        <v>432</v>
      </c>
      <c r="AP1866" s="137" t="s">
        <v>432</v>
      </c>
      <c r="AQ1866" s="137" t="s">
        <v>432</v>
      </c>
      <c r="AR1866" s="137" t="s">
        <v>432</v>
      </c>
      <c r="AS1866" s="137" t="s">
        <v>432</v>
      </c>
      <c r="AT1866" s="137" t="s">
        <v>432</v>
      </c>
      <c r="AU1866" s="137" t="s">
        <v>432</v>
      </c>
      <c r="AV1866" s="137" t="s">
        <v>432</v>
      </c>
      <c r="AW1866" s="137" t="s">
        <v>432</v>
      </c>
      <c r="AX1866" s="137" t="s">
        <v>432</v>
      </c>
      <c r="AY1866" s="137" t="s">
        <v>432</v>
      </c>
      <c r="AZ1866" s="137" t="s">
        <v>432</v>
      </c>
      <c r="BA1866" s="137" t="s">
        <v>432</v>
      </c>
      <c r="BB1866" s="239" t="str">
        <f t="shared" si="557"/>
        <v>Populaçãox</v>
      </c>
      <c r="BC1866" s="239" t="str">
        <f t="shared" si="558"/>
        <v>PopulaçãoxRMBH</v>
      </c>
      <c r="BD1866" s="239" t="str">
        <f t="shared" si="559"/>
        <v>PopulaçãoRMBH</v>
      </c>
    </row>
    <row r="1867" spans="1:57" s="1" customFormat="1" ht="43.5" customHeight="1" x14ac:dyDescent="0.25">
      <c r="A1867" s="275" t="str">
        <f>'Q100b-totais'!$B$19</f>
        <v>2.4</v>
      </c>
      <c r="B1867" s="54" t="str">
        <f>'Q100b-totais'!$C$19</f>
        <v>População</v>
      </c>
      <c r="C1867" s="167" t="s">
        <v>432</v>
      </c>
      <c r="D1867" s="378" t="s">
        <v>2812</v>
      </c>
      <c r="E1867" s="1506" t="s">
        <v>1746</v>
      </c>
      <c r="F1867" s="1102" t="s">
        <v>6044</v>
      </c>
      <c r="G1867" s="110" t="s">
        <v>77</v>
      </c>
      <c r="H1867" s="168" t="s">
        <v>1298</v>
      </c>
      <c r="I1867" s="167">
        <v>1</v>
      </c>
      <c r="J1867" s="93" t="s">
        <v>432</v>
      </c>
      <c r="K1867" s="84" t="s">
        <v>432</v>
      </c>
      <c r="L1867" s="84" t="s">
        <v>432</v>
      </c>
      <c r="M1867" s="84" t="s">
        <v>432</v>
      </c>
      <c r="N1867" s="84" t="s">
        <v>432</v>
      </c>
      <c r="O1867" s="84" t="s">
        <v>432</v>
      </c>
      <c r="P1867" s="84" t="s">
        <v>432</v>
      </c>
      <c r="Q1867" s="84" t="s">
        <v>432</v>
      </c>
      <c r="R1867" s="84" t="s">
        <v>432</v>
      </c>
      <c r="S1867" s="109" t="s">
        <v>2209</v>
      </c>
      <c r="T1867" s="84" t="s">
        <v>432</v>
      </c>
      <c r="U1867" s="84" t="s">
        <v>432</v>
      </c>
      <c r="V1867" s="109" t="s">
        <v>2209</v>
      </c>
      <c r="W1867" s="84" t="s">
        <v>432</v>
      </c>
      <c r="X1867" s="84" t="s">
        <v>432</v>
      </c>
      <c r="Y1867" s="84" t="s">
        <v>432</v>
      </c>
      <c r="Z1867" s="84" t="s">
        <v>432</v>
      </c>
      <c r="AA1867" s="84" t="s">
        <v>432</v>
      </c>
      <c r="AB1867" s="84" t="s">
        <v>432</v>
      </c>
      <c r="AC1867" s="84" t="s">
        <v>432</v>
      </c>
      <c r="AD1867" s="84" t="s">
        <v>432</v>
      </c>
      <c r="AE1867" s="84" t="s">
        <v>432</v>
      </c>
      <c r="AF1867" s="87">
        <v>9928</v>
      </c>
      <c r="AG1867" s="84" t="s">
        <v>432</v>
      </c>
      <c r="AH1867" s="84" t="s">
        <v>432</v>
      </c>
      <c r="AI1867" s="84" t="s">
        <v>432</v>
      </c>
      <c r="AJ1867" s="84" t="s">
        <v>432</v>
      </c>
      <c r="AK1867" s="137" t="s">
        <v>432</v>
      </c>
      <c r="AL1867" s="601" t="s">
        <v>432</v>
      </c>
      <c r="AM1867" s="137" t="s">
        <v>432</v>
      </c>
      <c r="AN1867" s="137" t="s">
        <v>432</v>
      </c>
      <c r="AO1867" s="137" t="s">
        <v>432</v>
      </c>
      <c r="AP1867" s="137" t="s">
        <v>432</v>
      </c>
      <c r="AQ1867" s="137" t="s">
        <v>432</v>
      </c>
      <c r="AR1867" s="137" t="s">
        <v>432</v>
      </c>
      <c r="AS1867" s="137" t="s">
        <v>432</v>
      </c>
      <c r="AT1867" s="137" t="s">
        <v>432</v>
      </c>
      <c r="AU1867" s="137" t="s">
        <v>432</v>
      </c>
      <c r="AV1867" s="137" t="s">
        <v>432</v>
      </c>
      <c r="AW1867" s="137" t="s">
        <v>432</v>
      </c>
      <c r="AX1867" s="137" t="s">
        <v>432</v>
      </c>
      <c r="AY1867" s="137" t="s">
        <v>432</v>
      </c>
      <c r="AZ1867" s="137" t="s">
        <v>432</v>
      </c>
      <c r="BA1867" s="137" t="s">
        <v>432</v>
      </c>
      <c r="BB1867" s="239" t="str">
        <f t="shared" si="557"/>
        <v>Populaçãox</v>
      </c>
      <c r="BC1867" s="239" t="str">
        <f t="shared" si="558"/>
        <v>PopulaçãoxRMBH</v>
      </c>
      <c r="BD1867" s="239" t="str">
        <f t="shared" si="559"/>
        <v>PopulaçãoRMBH</v>
      </c>
    </row>
    <row r="1868" spans="1:57" s="1" customFormat="1" ht="38.25" customHeight="1" x14ac:dyDescent="0.25">
      <c r="A1868" s="275" t="str">
        <f>'Q100b-totais'!$B$19</f>
        <v>2.4</v>
      </c>
      <c r="B1868" s="54" t="str">
        <f>'Q100b-totais'!$C$19</f>
        <v>População</v>
      </c>
      <c r="C1868" s="167" t="s">
        <v>432</v>
      </c>
      <c r="D1868" s="378" t="s">
        <v>2812</v>
      </c>
      <c r="E1868" s="1506" t="s">
        <v>1747</v>
      </c>
      <c r="F1868" s="1102" t="s">
        <v>6044</v>
      </c>
      <c r="G1868" s="110" t="s">
        <v>77</v>
      </c>
      <c r="H1868" s="168" t="s">
        <v>1298</v>
      </c>
      <c r="I1868" s="167">
        <v>1</v>
      </c>
      <c r="J1868" s="93" t="s">
        <v>432</v>
      </c>
      <c r="K1868" s="84" t="s">
        <v>432</v>
      </c>
      <c r="L1868" s="84" t="s">
        <v>432</v>
      </c>
      <c r="M1868" s="84" t="s">
        <v>432</v>
      </c>
      <c r="N1868" s="84" t="s">
        <v>432</v>
      </c>
      <c r="O1868" s="84" t="s">
        <v>432</v>
      </c>
      <c r="P1868" s="84" t="s">
        <v>432</v>
      </c>
      <c r="Q1868" s="84" t="s">
        <v>432</v>
      </c>
      <c r="R1868" s="84" t="s">
        <v>432</v>
      </c>
      <c r="S1868" s="109" t="s">
        <v>2209</v>
      </c>
      <c r="T1868" s="84" t="s">
        <v>432</v>
      </c>
      <c r="U1868" s="84" t="s">
        <v>432</v>
      </c>
      <c r="V1868" s="109" t="s">
        <v>2209</v>
      </c>
      <c r="W1868" s="84" t="s">
        <v>432</v>
      </c>
      <c r="X1868" s="84" t="s">
        <v>432</v>
      </c>
      <c r="Y1868" s="84" t="s">
        <v>432</v>
      </c>
      <c r="Z1868" s="84" t="s">
        <v>432</v>
      </c>
      <c r="AA1868" s="84" t="s">
        <v>432</v>
      </c>
      <c r="AB1868" s="84" t="s">
        <v>432</v>
      </c>
      <c r="AC1868" s="84" t="s">
        <v>432</v>
      </c>
      <c r="AD1868" s="84" t="s">
        <v>432</v>
      </c>
      <c r="AE1868" s="84" t="s">
        <v>432</v>
      </c>
      <c r="AF1868" s="87">
        <v>17134</v>
      </c>
      <c r="AG1868" s="84" t="s">
        <v>432</v>
      </c>
      <c r="AH1868" s="84" t="s">
        <v>432</v>
      </c>
      <c r="AI1868" s="84" t="s">
        <v>432</v>
      </c>
      <c r="AJ1868" s="84" t="s">
        <v>432</v>
      </c>
      <c r="AK1868" s="137" t="s">
        <v>432</v>
      </c>
      <c r="AL1868" s="601" t="s">
        <v>432</v>
      </c>
      <c r="AM1868" s="137" t="s">
        <v>432</v>
      </c>
      <c r="AN1868" s="137" t="s">
        <v>432</v>
      </c>
      <c r="AO1868" s="137" t="s">
        <v>432</v>
      </c>
      <c r="AP1868" s="137" t="s">
        <v>432</v>
      </c>
      <c r="AQ1868" s="137" t="s">
        <v>432</v>
      </c>
      <c r="AR1868" s="137" t="s">
        <v>432</v>
      </c>
      <c r="AS1868" s="137" t="s">
        <v>432</v>
      </c>
      <c r="AT1868" s="137" t="s">
        <v>432</v>
      </c>
      <c r="AU1868" s="137" t="s">
        <v>432</v>
      </c>
      <c r="AV1868" s="137" t="s">
        <v>432</v>
      </c>
      <c r="AW1868" s="137" t="s">
        <v>432</v>
      </c>
      <c r="AX1868" s="137" t="s">
        <v>432</v>
      </c>
      <c r="AY1868" s="137" t="s">
        <v>432</v>
      </c>
      <c r="AZ1868" s="137" t="s">
        <v>432</v>
      </c>
      <c r="BA1868" s="137" t="s">
        <v>432</v>
      </c>
      <c r="BB1868" s="239" t="str">
        <f t="shared" si="557"/>
        <v>Populaçãox</v>
      </c>
      <c r="BC1868" s="239" t="str">
        <f t="shared" si="558"/>
        <v>PopulaçãoxRMBH</v>
      </c>
      <c r="BD1868" s="239" t="str">
        <f t="shared" si="559"/>
        <v>PopulaçãoRMBH</v>
      </c>
    </row>
    <row r="1869" spans="1:57" s="1" customFormat="1" ht="38.25" customHeight="1" x14ac:dyDescent="0.25">
      <c r="A1869" s="275" t="str">
        <f>'Q100b-totais'!$B$19</f>
        <v>2.4</v>
      </c>
      <c r="B1869" s="54" t="str">
        <f>'Q100b-totais'!$C$19</f>
        <v>População</v>
      </c>
      <c r="C1869" s="167" t="s">
        <v>432</v>
      </c>
      <c r="D1869" s="378" t="s">
        <v>2812</v>
      </c>
      <c r="E1869" s="1506" t="s">
        <v>1748</v>
      </c>
      <c r="F1869" s="1102" t="s">
        <v>6044</v>
      </c>
      <c r="G1869" s="110" t="s">
        <v>77</v>
      </c>
      <c r="H1869" s="168" t="s">
        <v>1298</v>
      </c>
      <c r="I1869" s="167">
        <v>1</v>
      </c>
      <c r="J1869" s="93" t="s">
        <v>432</v>
      </c>
      <c r="K1869" s="84" t="s">
        <v>432</v>
      </c>
      <c r="L1869" s="84" t="s">
        <v>432</v>
      </c>
      <c r="M1869" s="84" t="s">
        <v>432</v>
      </c>
      <c r="N1869" s="84" t="s">
        <v>432</v>
      </c>
      <c r="O1869" s="84" t="s">
        <v>432</v>
      </c>
      <c r="P1869" s="84" t="s">
        <v>432</v>
      </c>
      <c r="Q1869" s="84" t="s">
        <v>432</v>
      </c>
      <c r="R1869" s="84" t="s">
        <v>432</v>
      </c>
      <c r="S1869" s="109" t="s">
        <v>2209</v>
      </c>
      <c r="T1869" s="84" t="s">
        <v>432</v>
      </c>
      <c r="U1869" s="84" t="s">
        <v>432</v>
      </c>
      <c r="V1869" s="109" t="s">
        <v>2209</v>
      </c>
      <c r="W1869" s="84" t="s">
        <v>432</v>
      </c>
      <c r="X1869" s="84" t="s">
        <v>432</v>
      </c>
      <c r="Y1869" s="84" t="s">
        <v>432</v>
      </c>
      <c r="Z1869" s="84" t="s">
        <v>432</v>
      </c>
      <c r="AA1869" s="84" t="s">
        <v>432</v>
      </c>
      <c r="AB1869" s="84" t="s">
        <v>432</v>
      </c>
      <c r="AC1869" s="84" t="s">
        <v>432</v>
      </c>
      <c r="AD1869" s="84" t="s">
        <v>432</v>
      </c>
      <c r="AE1869" s="84" t="s">
        <v>432</v>
      </c>
      <c r="AF1869" s="87">
        <v>22202</v>
      </c>
      <c r="AG1869" s="84" t="s">
        <v>432</v>
      </c>
      <c r="AH1869" s="84" t="s">
        <v>432</v>
      </c>
      <c r="AI1869" s="84" t="s">
        <v>432</v>
      </c>
      <c r="AJ1869" s="84" t="s">
        <v>432</v>
      </c>
      <c r="AK1869" s="137" t="s">
        <v>432</v>
      </c>
      <c r="AL1869" s="601" t="s">
        <v>432</v>
      </c>
      <c r="AM1869" s="137" t="s">
        <v>432</v>
      </c>
      <c r="AN1869" s="137" t="s">
        <v>432</v>
      </c>
      <c r="AO1869" s="137" t="s">
        <v>432</v>
      </c>
      <c r="AP1869" s="137" t="s">
        <v>432</v>
      </c>
      <c r="AQ1869" s="137" t="s">
        <v>432</v>
      </c>
      <c r="AR1869" s="137" t="s">
        <v>432</v>
      </c>
      <c r="AS1869" s="137" t="s">
        <v>432</v>
      </c>
      <c r="AT1869" s="137" t="s">
        <v>432</v>
      </c>
      <c r="AU1869" s="137" t="s">
        <v>432</v>
      </c>
      <c r="AV1869" s="137" t="s">
        <v>432</v>
      </c>
      <c r="AW1869" s="137" t="s">
        <v>432</v>
      </c>
      <c r="AX1869" s="137" t="s">
        <v>432</v>
      </c>
      <c r="AY1869" s="137" t="s">
        <v>432</v>
      </c>
      <c r="AZ1869" s="137" t="s">
        <v>432</v>
      </c>
      <c r="BA1869" s="137" t="s">
        <v>432</v>
      </c>
      <c r="BB1869" s="239" t="str">
        <f t="shared" si="557"/>
        <v>Populaçãox</v>
      </c>
      <c r="BC1869" s="239" t="str">
        <f t="shared" si="558"/>
        <v>PopulaçãoxRMBH</v>
      </c>
      <c r="BD1869" s="239" t="str">
        <f t="shared" si="559"/>
        <v>PopulaçãoRMBH</v>
      </c>
    </row>
    <row r="1870" spans="1:57" s="1" customFormat="1" ht="38.25" customHeight="1" x14ac:dyDescent="0.25">
      <c r="A1870" s="275" t="str">
        <f>'Q100b-totais'!$B$19</f>
        <v>2.4</v>
      </c>
      <c r="B1870" s="54" t="str">
        <f>'Q100b-totais'!$C$19</f>
        <v>População</v>
      </c>
      <c r="C1870" s="167" t="s">
        <v>432</v>
      </c>
      <c r="D1870" s="378" t="s">
        <v>2812</v>
      </c>
      <c r="E1870" s="1506" t="s">
        <v>1749</v>
      </c>
      <c r="F1870" s="1102" t="s">
        <v>6044</v>
      </c>
      <c r="G1870" s="110" t="s">
        <v>77</v>
      </c>
      <c r="H1870" s="168" t="s">
        <v>1298</v>
      </c>
      <c r="I1870" s="167">
        <v>1</v>
      </c>
      <c r="J1870" s="93" t="s">
        <v>432</v>
      </c>
      <c r="K1870" s="84" t="s">
        <v>432</v>
      </c>
      <c r="L1870" s="84" t="s">
        <v>432</v>
      </c>
      <c r="M1870" s="84" t="s">
        <v>432</v>
      </c>
      <c r="N1870" s="84" t="s">
        <v>432</v>
      </c>
      <c r="O1870" s="84" t="s">
        <v>432</v>
      </c>
      <c r="P1870" s="84" t="s">
        <v>432</v>
      </c>
      <c r="Q1870" s="84" t="s">
        <v>432</v>
      </c>
      <c r="R1870" s="84" t="s">
        <v>432</v>
      </c>
      <c r="S1870" s="109" t="s">
        <v>2209</v>
      </c>
      <c r="T1870" s="84" t="s">
        <v>432</v>
      </c>
      <c r="U1870" s="84" t="s">
        <v>432</v>
      </c>
      <c r="V1870" s="109" t="s">
        <v>2209</v>
      </c>
      <c r="W1870" s="84" t="s">
        <v>432</v>
      </c>
      <c r="X1870" s="84" t="s">
        <v>432</v>
      </c>
      <c r="Y1870" s="84" t="s">
        <v>432</v>
      </c>
      <c r="Z1870" s="84" t="s">
        <v>432</v>
      </c>
      <c r="AA1870" s="84" t="s">
        <v>432</v>
      </c>
      <c r="AB1870" s="84" t="s">
        <v>432</v>
      </c>
      <c r="AC1870" s="84" t="s">
        <v>432</v>
      </c>
      <c r="AD1870" s="84" t="s">
        <v>432</v>
      </c>
      <c r="AE1870" s="84" t="s">
        <v>432</v>
      </c>
      <c r="AF1870" s="87">
        <v>52520</v>
      </c>
      <c r="AG1870" s="84" t="s">
        <v>432</v>
      </c>
      <c r="AH1870" s="84" t="s">
        <v>432</v>
      </c>
      <c r="AI1870" s="84" t="s">
        <v>432</v>
      </c>
      <c r="AJ1870" s="84" t="s">
        <v>432</v>
      </c>
      <c r="AK1870" s="137" t="s">
        <v>432</v>
      </c>
      <c r="AL1870" s="601" t="s">
        <v>432</v>
      </c>
      <c r="AM1870" s="137" t="s">
        <v>432</v>
      </c>
      <c r="AN1870" s="137" t="s">
        <v>432</v>
      </c>
      <c r="AO1870" s="137" t="s">
        <v>432</v>
      </c>
      <c r="AP1870" s="137" t="s">
        <v>432</v>
      </c>
      <c r="AQ1870" s="137" t="s">
        <v>432</v>
      </c>
      <c r="AR1870" s="137" t="s">
        <v>432</v>
      </c>
      <c r="AS1870" s="137" t="s">
        <v>432</v>
      </c>
      <c r="AT1870" s="137" t="s">
        <v>432</v>
      </c>
      <c r="AU1870" s="137" t="s">
        <v>432</v>
      </c>
      <c r="AV1870" s="137" t="s">
        <v>432</v>
      </c>
      <c r="AW1870" s="137" t="s">
        <v>432</v>
      </c>
      <c r="AX1870" s="137" t="s">
        <v>432</v>
      </c>
      <c r="AY1870" s="137" t="s">
        <v>432</v>
      </c>
      <c r="AZ1870" s="137" t="s">
        <v>432</v>
      </c>
      <c r="BA1870" s="137" t="s">
        <v>432</v>
      </c>
      <c r="BB1870" s="239" t="str">
        <f t="shared" si="557"/>
        <v>Populaçãox</v>
      </c>
      <c r="BC1870" s="239" t="str">
        <f t="shared" si="558"/>
        <v>PopulaçãoxRMBH</v>
      </c>
      <c r="BD1870" s="239" t="str">
        <f t="shared" si="559"/>
        <v>PopulaçãoRMBH</v>
      </c>
    </row>
    <row r="1871" spans="1:57" s="1" customFormat="1" ht="38.25" customHeight="1" x14ac:dyDescent="0.25">
      <c r="A1871" s="275" t="str">
        <f>'Q100b-totais'!$B$19</f>
        <v>2.4</v>
      </c>
      <c r="B1871" s="54" t="str">
        <f>'Q100b-totais'!$C$19</f>
        <v>População</v>
      </c>
      <c r="C1871" s="167" t="s">
        <v>432</v>
      </c>
      <c r="D1871" s="378" t="s">
        <v>2812</v>
      </c>
      <c r="E1871" s="1506" t="s">
        <v>1750</v>
      </c>
      <c r="F1871" s="1102" t="s">
        <v>6044</v>
      </c>
      <c r="G1871" s="110" t="s">
        <v>77</v>
      </c>
      <c r="H1871" s="168" t="s">
        <v>1298</v>
      </c>
      <c r="I1871" s="167">
        <v>1</v>
      </c>
      <c r="J1871" s="93" t="s">
        <v>432</v>
      </c>
      <c r="K1871" s="84" t="s">
        <v>432</v>
      </c>
      <c r="L1871" s="84" t="s">
        <v>432</v>
      </c>
      <c r="M1871" s="84" t="s">
        <v>432</v>
      </c>
      <c r="N1871" s="84" t="s">
        <v>432</v>
      </c>
      <c r="O1871" s="84" t="s">
        <v>432</v>
      </c>
      <c r="P1871" s="84" t="s">
        <v>432</v>
      </c>
      <c r="Q1871" s="84" t="s">
        <v>432</v>
      </c>
      <c r="R1871" s="84" t="s">
        <v>432</v>
      </c>
      <c r="S1871" s="109" t="s">
        <v>2209</v>
      </c>
      <c r="T1871" s="84" t="s">
        <v>432</v>
      </c>
      <c r="U1871" s="84" t="s">
        <v>432</v>
      </c>
      <c r="V1871" s="109" t="s">
        <v>2209</v>
      </c>
      <c r="W1871" s="84" t="s">
        <v>432</v>
      </c>
      <c r="X1871" s="84" t="s">
        <v>432</v>
      </c>
      <c r="Y1871" s="84" t="s">
        <v>432</v>
      </c>
      <c r="Z1871" s="84" t="s">
        <v>432</v>
      </c>
      <c r="AA1871" s="84" t="s">
        <v>432</v>
      </c>
      <c r="AB1871" s="84" t="s">
        <v>432</v>
      </c>
      <c r="AC1871" s="84" t="s">
        <v>432</v>
      </c>
      <c r="AD1871" s="84" t="s">
        <v>432</v>
      </c>
      <c r="AE1871" s="84" t="s">
        <v>432</v>
      </c>
      <c r="AF1871" s="87">
        <v>13192</v>
      </c>
      <c r="AG1871" s="84" t="s">
        <v>432</v>
      </c>
      <c r="AH1871" s="84" t="s">
        <v>432</v>
      </c>
      <c r="AI1871" s="84" t="s">
        <v>432</v>
      </c>
      <c r="AJ1871" s="84" t="s">
        <v>432</v>
      </c>
      <c r="AK1871" s="137" t="s">
        <v>432</v>
      </c>
      <c r="AL1871" s="601" t="s">
        <v>432</v>
      </c>
      <c r="AM1871" s="137" t="s">
        <v>432</v>
      </c>
      <c r="AN1871" s="137" t="s">
        <v>432</v>
      </c>
      <c r="AO1871" s="137" t="s">
        <v>432</v>
      </c>
      <c r="AP1871" s="137" t="s">
        <v>432</v>
      </c>
      <c r="AQ1871" s="137" t="s">
        <v>432</v>
      </c>
      <c r="AR1871" s="137" t="s">
        <v>432</v>
      </c>
      <c r="AS1871" s="137" t="s">
        <v>432</v>
      </c>
      <c r="AT1871" s="137" t="s">
        <v>432</v>
      </c>
      <c r="AU1871" s="137" t="s">
        <v>432</v>
      </c>
      <c r="AV1871" s="137" t="s">
        <v>432</v>
      </c>
      <c r="AW1871" s="137" t="s">
        <v>432</v>
      </c>
      <c r="AX1871" s="137" t="s">
        <v>432</v>
      </c>
      <c r="AY1871" s="137" t="s">
        <v>432</v>
      </c>
      <c r="AZ1871" s="137" t="s">
        <v>432</v>
      </c>
      <c r="BA1871" s="137" t="s">
        <v>432</v>
      </c>
      <c r="BB1871" s="239" t="str">
        <f t="shared" si="557"/>
        <v>Populaçãox</v>
      </c>
      <c r="BC1871" s="239" t="str">
        <f t="shared" si="558"/>
        <v>PopulaçãoxRMBH</v>
      </c>
      <c r="BD1871" s="239" t="str">
        <f t="shared" si="559"/>
        <v>PopulaçãoRMBH</v>
      </c>
    </row>
    <row r="1872" spans="1:57" s="1" customFormat="1" ht="38.25" customHeight="1" x14ac:dyDescent="0.25">
      <c r="A1872" s="275" t="str">
        <f>'Q100b-totais'!$B$19</f>
        <v>2.4</v>
      </c>
      <c r="B1872" s="54" t="str">
        <f>'Q100b-totais'!$C$19</f>
        <v>População</v>
      </c>
      <c r="C1872" s="167" t="s">
        <v>432</v>
      </c>
      <c r="D1872" s="378" t="s">
        <v>2812</v>
      </c>
      <c r="E1872" s="1506" t="s">
        <v>1751</v>
      </c>
      <c r="F1872" s="1102" t="s">
        <v>6044</v>
      </c>
      <c r="G1872" s="110" t="s">
        <v>77</v>
      </c>
      <c r="H1872" s="168" t="s">
        <v>1298</v>
      </c>
      <c r="I1872" s="167">
        <v>1</v>
      </c>
      <c r="J1872" s="93" t="s">
        <v>432</v>
      </c>
      <c r="K1872" s="84" t="s">
        <v>432</v>
      </c>
      <c r="L1872" s="84" t="s">
        <v>432</v>
      </c>
      <c r="M1872" s="84" t="s">
        <v>432</v>
      </c>
      <c r="N1872" s="84" t="s">
        <v>432</v>
      </c>
      <c r="O1872" s="84" t="s">
        <v>432</v>
      </c>
      <c r="P1872" s="84" t="s">
        <v>432</v>
      </c>
      <c r="Q1872" s="84" t="s">
        <v>432</v>
      </c>
      <c r="R1872" s="84" t="s">
        <v>432</v>
      </c>
      <c r="S1872" s="109" t="s">
        <v>2209</v>
      </c>
      <c r="T1872" s="84" t="s">
        <v>432</v>
      </c>
      <c r="U1872" s="84" t="s">
        <v>432</v>
      </c>
      <c r="V1872" s="109" t="s">
        <v>2209</v>
      </c>
      <c r="W1872" s="84" t="s">
        <v>432</v>
      </c>
      <c r="X1872" s="84" t="s">
        <v>432</v>
      </c>
      <c r="Y1872" s="84" t="s">
        <v>432</v>
      </c>
      <c r="Z1872" s="84" t="s">
        <v>432</v>
      </c>
      <c r="AA1872" s="84" t="s">
        <v>432</v>
      </c>
      <c r="AB1872" s="84" t="s">
        <v>432</v>
      </c>
      <c r="AC1872" s="84" t="s">
        <v>432</v>
      </c>
      <c r="AD1872" s="84" t="s">
        <v>432</v>
      </c>
      <c r="AE1872" s="84" t="s">
        <v>432</v>
      </c>
      <c r="AF1872" s="87">
        <v>27856</v>
      </c>
      <c r="AG1872" s="84" t="s">
        <v>432</v>
      </c>
      <c r="AH1872" s="84" t="s">
        <v>432</v>
      </c>
      <c r="AI1872" s="84" t="s">
        <v>432</v>
      </c>
      <c r="AJ1872" s="84" t="s">
        <v>432</v>
      </c>
      <c r="AK1872" s="137" t="s">
        <v>432</v>
      </c>
      <c r="AL1872" s="601" t="s">
        <v>432</v>
      </c>
      <c r="AM1872" s="137" t="s">
        <v>432</v>
      </c>
      <c r="AN1872" s="137" t="s">
        <v>432</v>
      </c>
      <c r="AO1872" s="137" t="s">
        <v>432</v>
      </c>
      <c r="AP1872" s="137" t="s">
        <v>432</v>
      </c>
      <c r="AQ1872" s="137" t="s">
        <v>432</v>
      </c>
      <c r="AR1872" s="137" t="s">
        <v>432</v>
      </c>
      <c r="AS1872" s="137" t="s">
        <v>432</v>
      </c>
      <c r="AT1872" s="137" t="s">
        <v>432</v>
      </c>
      <c r="AU1872" s="137" t="s">
        <v>432</v>
      </c>
      <c r="AV1872" s="137" t="s">
        <v>432</v>
      </c>
      <c r="AW1872" s="137" t="s">
        <v>432</v>
      </c>
      <c r="AX1872" s="137" t="s">
        <v>432</v>
      </c>
      <c r="AY1872" s="137" t="s">
        <v>432</v>
      </c>
      <c r="AZ1872" s="137" t="s">
        <v>432</v>
      </c>
      <c r="BA1872" s="137" t="s">
        <v>432</v>
      </c>
      <c r="BB1872" s="239" t="str">
        <f t="shared" si="557"/>
        <v>Populaçãox</v>
      </c>
      <c r="BC1872" s="239" t="str">
        <f t="shared" si="558"/>
        <v>PopulaçãoxRMBH</v>
      </c>
      <c r="BD1872" s="239" t="str">
        <f t="shared" si="559"/>
        <v>PopulaçãoRMBH</v>
      </c>
    </row>
    <row r="1873" spans="1:56" s="1" customFormat="1" ht="38.25" customHeight="1" x14ac:dyDescent="0.25">
      <c r="A1873" s="275" t="str">
        <f>'Q100b-totais'!$B$19</f>
        <v>2.4</v>
      </c>
      <c r="B1873" s="54" t="str">
        <f>'Q100b-totais'!$C$19</f>
        <v>População</v>
      </c>
      <c r="C1873" s="167" t="s">
        <v>432</v>
      </c>
      <c r="D1873" s="378" t="s">
        <v>2812</v>
      </c>
      <c r="E1873" s="1506" t="s">
        <v>1752</v>
      </c>
      <c r="F1873" s="1102" t="s">
        <v>6044</v>
      </c>
      <c r="G1873" s="110" t="s">
        <v>77</v>
      </c>
      <c r="H1873" s="168" t="s">
        <v>1298</v>
      </c>
      <c r="I1873" s="167">
        <v>1</v>
      </c>
      <c r="J1873" s="93" t="s">
        <v>432</v>
      </c>
      <c r="K1873" s="84" t="s">
        <v>432</v>
      </c>
      <c r="L1873" s="84" t="s">
        <v>432</v>
      </c>
      <c r="M1873" s="84" t="s">
        <v>432</v>
      </c>
      <c r="N1873" s="84" t="s">
        <v>432</v>
      </c>
      <c r="O1873" s="84" t="s">
        <v>432</v>
      </c>
      <c r="P1873" s="84" t="s">
        <v>432</v>
      </c>
      <c r="Q1873" s="84" t="s">
        <v>432</v>
      </c>
      <c r="R1873" s="84" t="s">
        <v>432</v>
      </c>
      <c r="S1873" s="109" t="s">
        <v>2209</v>
      </c>
      <c r="T1873" s="84" t="s">
        <v>432</v>
      </c>
      <c r="U1873" s="84" t="s">
        <v>432</v>
      </c>
      <c r="V1873" s="109" t="s">
        <v>2209</v>
      </c>
      <c r="W1873" s="84" t="s">
        <v>432</v>
      </c>
      <c r="X1873" s="84" t="s">
        <v>432</v>
      </c>
      <c r="Y1873" s="84" t="s">
        <v>432</v>
      </c>
      <c r="Z1873" s="84" t="s">
        <v>432</v>
      </c>
      <c r="AA1873" s="84" t="s">
        <v>432</v>
      </c>
      <c r="AB1873" s="84" t="s">
        <v>432</v>
      </c>
      <c r="AC1873" s="84" t="s">
        <v>432</v>
      </c>
      <c r="AD1873" s="84" t="s">
        <v>432</v>
      </c>
      <c r="AE1873" s="84" t="s">
        <v>432</v>
      </c>
      <c r="AF1873" s="87">
        <v>33955</v>
      </c>
      <c r="AG1873" s="84" t="s">
        <v>432</v>
      </c>
      <c r="AH1873" s="84" t="s">
        <v>432</v>
      </c>
      <c r="AI1873" s="84" t="s">
        <v>432</v>
      </c>
      <c r="AJ1873" s="84" t="s">
        <v>432</v>
      </c>
      <c r="AK1873" s="137" t="s">
        <v>432</v>
      </c>
      <c r="AL1873" s="601" t="s">
        <v>432</v>
      </c>
      <c r="AM1873" s="137" t="s">
        <v>432</v>
      </c>
      <c r="AN1873" s="137" t="s">
        <v>432</v>
      </c>
      <c r="AO1873" s="137" t="s">
        <v>432</v>
      </c>
      <c r="AP1873" s="137" t="s">
        <v>432</v>
      </c>
      <c r="AQ1873" s="137" t="s">
        <v>432</v>
      </c>
      <c r="AR1873" s="137" t="s">
        <v>432</v>
      </c>
      <c r="AS1873" s="137" t="s">
        <v>432</v>
      </c>
      <c r="AT1873" s="137" t="s">
        <v>432</v>
      </c>
      <c r="AU1873" s="137" t="s">
        <v>432</v>
      </c>
      <c r="AV1873" s="137" t="s">
        <v>432</v>
      </c>
      <c r="AW1873" s="137" t="s">
        <v>432</v>
      </c>
      <c r="AX1873" s="137" t="s">
        <v>432</v>
      </c>
      <c r="AY1873" s="137" t="s">
        <v>432</v>
      </c>
      <c r="AZ1873" s="137" t="s">
        <v>432</v>
      </c>
      <c r="BA1873" s="137" t="s">
        <v>432</v>
      </c>
      <c r="BB1873" s="239" t="str">
        <f t="shared" si="557"/>
        <v>Populaçãox</v>
      </c>
      <c r="BC1873" s="239" t="str">
        <f t="shared" si="558"/>
        <v>PopulaçãoxRMBH</v>
      </c>
      <c r="BD1873" s="239" t="str">
        <f t="shared" si="559"/>
        <v>PopulaçãoRMBH</v>
      </c>
    </row>
    <row r="1874" spans="1:56" s="1" customFormat="1" ht="38.25" customHeight="1" x14ac:dyDescent="0.25">
      <c r="A1874" s="275" t="str">
        <f>'Q100b-totais'!$B$19</f>
        <v>2.4</v>
      </c>
      <c r="B1874" s="54" t="str">
        <f>'Q100b-totais'!$C$19</f>
        <v>População</v>
      </c>
      <c r="C1874" s="167" t="s">
        <v>432</v>
      </c>
      <c r="D1874" s="378" t="s">
        <v>2812</v>
      </c>
      <c r="E1874" s="1506" t="s">
        <v>1753</v>
      </c>
      <c r="F1874" s="1102" t="s">
        <v>6044</v>
      </c>
      <c r="G1874" s="110" t="s">
        <v>77</v>
      </c>
      <c r="H1874" s="168" t="s">
        <v>1298</v>
      </c>
      <c r="I1874" s="167">
        <v>1</v>
      </c>
      <c r="J1874" s="93" t="s">
        <v>432</v>
      </c>
      <c r="K1874" s="84" t="s">
        <v>432</v>
      </c>
      <c r="L1874" s="84" t="s">
        <v>432</v>
      </c>
      <c r="M1874" s="84" t="s">
        <v>432</v>
      </c>
      <c r="N1874" s="84" t="s">
        <v>432</v>
      </c>
      <c r="O1874" s="84" t="s">
        <v>432</v>
      </c>
      <c r="P1874" s="84" t="s">
        <v>432</v>
      </c>
      <c r="Q1874" s="84" t="s">
        <v>432</v>
      </c>
      <c r="R1874" s="84" t="s">
        <v>432</v>
      </c>
      <c r="S1874" s="109" t="s">
        <v>2209</v>
      </c>
      <c r="T1874" s="84" t="s">
        <v>432</v>
      </c>
      <c r="U1874" s="84" t="s">
        <v>432</v>
      </c>
      <c r="V1874" s="109" t="s">
        <v>2209</v>
      </c>
      <c r="W1874" s="84" t="s">
        <v>432</v>
      </c>
      <c r="X1874" s="84" t="s">
        <v>432</v>
      </c>
      <c r="Y1874" s="84" t="s">
        <v>432</v>
      </c>
      <c r="Z1874" s="84" t="s">
        <v>432</v>
      </c>
      <c r="AA1874" s="84" t="s">
        <v>432</v>
      </c>
      <c r="AB1874" s="84" t="s">
        <v>432</v>
      </c>
      <c r="AC1874" s="84" t="s">
        <v>432</v>
      </c>
      <c r="AD1874" s="84" t="s">
        <v>432</v>
      </c>
      <c r="AE1874" s="84" t="s">
        <v>432</v>
      </c>
      <c r="AF1874" s="87">
        <v>80998</v>
      </c>
      <c r="AG1874" s="84" t="s">
        <v>432</v>
      </c>
      <c r="AH1874" s="84" t="s">
        <v>432</v>
      </c>
      <c r="AI1874" s="84" t="s">
        <v>432</v>
      </c>
      <c r="AJ1874" s="84" t="s">
        <v>432</v>
      </c>
      <c r="AK1874" s="137" t="s">
        <v>432</v>
      </c>
      <c r="AL1874" s="601" t="s">
        <v>432</v>
      </c>
      <c r="AM1874" s="137" t="s">
        <v>432</v>
      </c>
      <c r="AN1874" s="137" t="s">
        <v>432</v>
      </c>
      <c r="AO1874" s="137" t="s">
        <v>432</v>
      </c>
      <c r="AP1874" s="137" t="s">
        <v>432</v>
      </c>
      <c r="AQ1874" s="137" t="s">
        <v>432</v>
      </c>
      <c r="AR1874" s="137" t="s">
        <v>432</v>
      </c>
      <c r="AS1874" s="137" t="s">
        <v>432</v>
      </c>
      <c r="AT1874" s="137" t="s">
        <v>432</v>
      </c>
      <c r="AU1874" s="137" t="s">
        <v>432</v>
      </c>
      <c r="AV1874" s="137" t="s">
        <v>432</v>
      </c>
      <c r="AW1874" s="137" t="s">
        <v>432</v>
      </c>
      <c r="AX1874" s="137" t="s">
        <v>432</v>
      </c>
      <c r="AY1874" s="137" t="s">
        <v>432</v>
      </c>
      <c r="AZ1874" s="137" t="s">
        <v>432</v>
      </c>
      <c r="BA1874" s="137" t="s">
        <v>432</v>
      </c>
      <c r="BB1874" s="239" t="str">
        <f t="shared" si="557"/>
        <v>Populaçãox</v>
      </c>
      <c r="BC1874" s="239" t="str">
        <f t="shared" si="558"/>
        <v>PopulaçãoxRMBH</v>
      </c>
      <c r="BD1874" s="239" t="str">
        <f t="shared" si="559"/>
        <v>PopulaçãoRMBH</v>
      </c>
    </row>
    <row r="1875" spans="1:56" s="1" customFormat="1" ht="38.25" customHeight="1" x14ac:dyDescent="0.25">
      <c r="A1875" s="275" t="str">
        <f>'Q100b-totais'!$B$19</f>
        <v>2.4</v>
      </c>
      <c r="B1875" s="54" t="str">
        <f>'Q100b-totais'!$C$19</f>
        <v>População</v>
      </c>
      <c r="C1875" s="167" t="s">
        <v>432</v>
      </c>
      <c r="D1875" s="378" t="s">
        <v>2812</v>
      </c>
      <c r="E1875" s="1506" t="s">
        <v>1754</v>
      </c>
      <c r="F1875" s="1102" t="s">
        <v>6044</v>
      </c>
      <c r="G1875" s="110" t="s">
        <v>77</v>
      </c>
      <c r="H1875" s="168" t="s">
        <v>1298</v>
      </c>
      <c r="I1875" s="167">
        <v>1</v>
      </c>
      <c r="J1875" s="93" t="s">
        <v>432</v>
      </c>
      <c r="K1875" s="84" t="s">
        <v>432</v>
      </c>
      <c r="L1875" s="84" t="s">
        <v>432</v>
      </c>
      <c r="M1875" s="84" t="s">
        <v>432</v>
      </c>
      <c r="N1875" s="84" t="s">
        <v>432</v>
      </c>
      <c r="O1875" s="84" t="s">
        <v>432</v>
      </c>
      <c r="P1875" s="84" t="s">
        <v>432</v>
      </c>
      <c r="Q1875" s="84" t="s">
        <v>432</v>
      </c>
      <c r="R1875" s="84" t="s">
        <v>432</v>
      </c>
      <c r="S1875" s="109" t="s">
        <v>2209</v>
      </c>
      <c r="T1875" s="84" t="s">
        <v>432</v>
      </c>
      <c r="U1875" s="84" t="s">
        <v>432</v>
      </c>
      <c r="V1875" s="109" t="s">
        <v>2209</v>
      </c>
      <c r="W1875" s="84" t="s">
        <v>432</v>
      </c>
      <c r="X1875" s="84" t="s">
        <v>432</v>
      </c>
      <c r="Y1875" s="84" t="s">
        <v>432</v>
      </c>
      <c r="Z1875" s="84" t="s">
        <v>432</v>
      </c>
      <c r="AA1875" s="84" t="s">
        <v>432</v>
      </c>
      <c r="AB1875" s="84" t="s">
        <v>432</v>
      </c>
      <c r="AC1875" s="84" t="s">
        <v>432</v>
      </c>
      <c r="AD1875" s="84" t="s">
        <v>432</v>
      </c>
      <c r="AE1875" s="84" t="s">
        <v>432</v>
      </c>
      <c r="AF1875" s="87">
        <v>5555</v>
      </c>
      <c r="AG1875" s="84" t="s">
        <v>432</v>
      </c>
      <c r="AH1875" s="84" t="s">
        <v>432</v>
      </c>
      <c r="AI1875" s="84" t="s">
        <v>432</v>
      </c>
      <c r="AJ1875" s="84" t="s">
        <v>432</v>
      </c>
      <c r="AK1875" s="137" t="s">
        <v>432</v>
      </c>
      <c r="AL1875" s="601" t="s">
        <v>432</v>
      </c>
      <c r="AM1875" s="137" t="s">
        <v>432</v>
      </c>
      <c r="AN1875" s="137" t="s">
        <v>432</v>
      </c>
      <c r="AO1875" s="137" t="s">
        <v>432</v>
      </c>
      <c r="AP1875" s="137" t="s">
        <v>432</v>
      </c>
      <c r="AQ1875" s="137" t="s">
        <v>432</v>
      </c>
      <c r="AR1875" s="137" t="s">
        <v>432</v>
      </c>
      <c r="AS1875" s="137" t="s">
        <v>432</v>
      </c>
      <c r="AT1875" s="137" t="s">
        <v>432</v>
      </c>
      <c r="AU1875" s="137" t="s">
        <v>432</v>
      </c>
      <c r="AV1875" s="137" t="s">
        <v>432</v>
      </c>
      <c r="AW1875" s="137" t="s">
        <v>432</v>
      </c>
      <c r="AX1875" s="137" t="s">
        <v>432</v>
      </c>
      <c r="AY1875" s="137" t="s">
        <v>432</v>
      </c>
      <c r="AZ1875" s="137" t="s">
        <v>432</v>
      </c>
      <c r="BA1875" s="137" t="s">
        <v>432</v>
      </c>
      <c r="BB1875" s="239" t="str">
        <f t="shared" si="557"/>
        <v>Populaçãox</v>
      </c>
      <c r="BC1875" s="239" t="str">
        <f t="shared" si="558"/>
        <v>PopulaçãoxRMBH</v>
      </c>
      <c r="BD1875" s="239" t="str">
        <f t="shared" si="559"/>
        <v>PopulaçãoRMBH</v>
      </c>
    </row>
    <row r="1876" spans="1:56" s="1" customFormat="1" ht="38.25" customHeight="1" x14ac:dyDescent="0.25">
      <c r="A1876" s="275" t="str">
        <f>'Q100b-totais'!$B$19</f>
        <v>2.4</v>
      </c>
      <c r="B1876" s="54" t="str">
        <f>'Q100b-totais'!$C$19</f>
        <v>População</v>
      </c>
      <c r="C1876" s="167" t="s">
        <v>432</v>
      </c>
      <c r="D1876" s="378" t="s">
        <v>2812</v>
      </c>
      <c r="E1876" s="1506" t="s">
        <v>1755</v>
      </c>
      <c r="F1876" s="1102" t="s">
        <v>6044</v>
      </c>
      <c r="G1876" s="110" t="s">
        <v>77</v>
      </c>
      <c r="H1876" s="168" t="s">
        <v>1298</v>
      </c>
      <c r="I1876" s="167">
        <v>1</v>
      </c>
      <c r="J1876" s="93" t="s">
        <v>432</v>
      </c>
      <c r="K1876" s="84" t="s">
        <v>432</v>
      </c>
      <c r="L1876" s="84" t="s">
        <v>432</v>
      </c>
      <c r="M1876" s="84" t="s">
        <v>432</v>
      </c>
      <c r="N1876" s="84" t="s">
        <v>432</v>
      </c>
      <c r="O1876" s="84" t="s">
        <v>432</v>
      </c>
      <c r="P1876" s="84" t="s">
        <v>432</v>
      </c>
      <c r="Q1876" s="84" t="s">
        <v>432</v>
      </c>
      <c r="R1876" s="84" t="s">
        <v>432</v>
      </c>
      <c r="S1876" s="109" t="s">
        <v>2209</v>
      </c>
      <c r="T1876" s="84" t="s">
        <v>432</v>
      </c>
      <c r="U1876" s="84" t="s">
        <v>432</v>
      </c>
      <c r="V1876" s="109" t="s">
        <v>2209</v>
      </c>
      <c r="W1876" s="84" t="s">
        <v>432</v>
      </c>
      <c r="X1876" s="84" t="s">
        <v>432</v>
      </c>
      <c r="Y1876" s="84" t="s">
        <v>432</v>
      </c>
      <c r="Z1876" s="84" t="s">
        <v>432</v>
      </c>
      <c r="AA1876" s="84" t="s">
        <v>432</v>
      </c>
      <c r="AB1876" s="84" t="s">
        <v>432</v>
      </c>
      <c r="AC1876" s="84" t="s">
        <v>432</v>
      </c>
      <c r="AD1876" s="84" t="s">
        <v>432</v>
      </c>
      <c r="AE1876" s="84" t="s">
        <v>432</v>
      </c>
      <c r="AF1876" s="87">
        <v>58740</v>
      </c>
      <c r="AG1876" s="84" t="s">
        <v>432</v>
      </c>
      <c r="AH1876" s="84" t="s">
        <v>432</v>
      </c>
      <c r="AI1876" s="84" t="s">
        <v>432</v>
      </c>
      <c r="AJ1876" s="84" t="s">
        <v>432</v>
      </c>
      <c r="AK1876" s="137" t="s">
        <v>432</v>
      </c>
      <c r="AL1876" s="601" t="s">
        <v>432</v>
      </c>
      <c r="AM1876" s="137" t="s">
        <v>432</v>
      </c>
      <c r="AN1876" s="137" t="s">
        <v>432</v>
      </c>
      <c r="AO1876" s="137" t="s">
        <v>432</v>
      </c>
      <c r="AP1876" s="137" t="s">
        <v>432</v>
      </c>
      <c r="AQ1876" s="137" t="s">
        <v>432</v>
      </c>
      <c r="AR1876" s="137" t="s">
        <v>432</v>
      </c>
      <c r="AS1876" s="137" t="s">
        <v>432</v>
      </c>
      <c r="AT1876" s="137" t="s">
        <v>432</v>
      </c>
      <c r="AU1876" s="137" t="s">
        <v>432</v>
      </c>
      <c r="AV1876" s="137" t="s">
        <v>432</v>
      </c>
      <c r="AW1876" s="137" t="s">
        <v>432</v>
      </c>
      <c r="AX1876" s="137" t="s">
        <v>432</v>
      </c>
      <c r="AY1876" s="137" t="s">
        <v>432</v>
      </c>
      <c r="AZ1876" s="137" t="s">
        <v>432</v>
      </c>
      <c r="BA1876" s="137" t="s">
        <v>432</v>
      </c>
      <c r="BB1876" s="239" t="str">
        <f t="shared" si="557"/>
        <v>Populaçãox</v>
      </c>
      <c r="BC1876" s="239" t="str">
        <f t="shared" si="558"/>
        <v>PopulaçãoxRMBH</v>
      </c>
      <c r="BD1876" s="239" t="str">
        <f t="shared" si="559"/>
        <v>PopulaçãoRMBH</v>
      </c>
    </row>
    <row r="1877" spans="1:56" s="1" customFormat="1" ht="38.25" customHeight="1" x14ac:dyDescent="0.25">
      <c r="A1877" s="275" t="str">
        <f>'Q100b-totais'!$B$19</f>
        <v>2.4</v>
      </c>
      <c r="B1877" s="54" t="str">
        <f>'Q100b-totais'!$C$19</f>
        <v>População</v>
      </c>
      <c r="C1877" s="167" t="s">
        <v>432</v>
      </c>
      <c r="D1877" s="378" t="s">
        <v>2812</v>
      </c>
      <c r="E1877" s="1506" t="s">
        <v>1756</v>
      </c>
      <c r="F1877" s="1102" t="s">
        <v>6044</v>
      </c>
      <c r="G1877" s="110" t="s">
        <v>77</v>
      </c>
      <c r="H1877" s="168" t="s">
        <v>1298</v>
      </c>
      <c r="I1877" s="167">
        <v>1</v>
      </c>
      <c r="J1877" s="93" t="s">
        <v>432</v>
      </c>
      <c r="K1877" s="84" t="s">
        <v>432</v>
      </c>
      <c r="L1877" s="84" t="s">
        <v>432</v>
      </c>
      <c r="M1877" s="84" t="s">
        <v>432</v>
      </c>
      <c r="N1877" s="84" t="s">
        <v>432</v>
      </c>
      <c r="O1877" s="84" t="s">
        <v>432</v>
      </c>
      <c r="P1877" s="84" t="s">
        <v>432</v>
      </c>
      <c r="Q1877" s="84" t="s">
        <v>432</v>
      </c>
      <c r="R1877" s="84" t="s">
        <v>432</v>
      </c>
      <c r="S1877" s="109" t="s">
        <v>2209</v>
      </c>
      <c r="T1877" s="84" t="s">
        <v>432</v>
      </c>
      <c r="U1877" s="84" t="s">
        <v>432</v>
      </c>
      <c r="V1877" s="109" t="s">
        <v>2209</v>
      </c>
      <c r="W1877" s="84" t="s">
        <v>432</v>
      </c>
      <c r="X1877" s="84" t="s">
        <v>432</v>
      </c>
      <c r="Y1877" s="84" t="s">
        <v>432</v>
      </c>
      <c r="Z1877" s="84" t="s">
        <v>432</v>
      </c>
      <c r="AA1877" s="84" t="s">
        <v>432</v>
      </c>
      <c r="AB1877" s="84" t="s">
        <v>432</v>
      </c>
      <c r="AC1877" s="84" t="s">
        <v>432</v>
      </c>
      <c r="AD1877" s="84" t="s">
        <v>432</v>
      </c>
      <c r="AE1877" s="84" t="s">
        <v>432</v>
      </c>
      <c r="AF1877" s="87">
        <v>15342</v>
      </c>
      <c r="AG1877" s="84" t="s">
        <v>432</v>
      </c>
      <c r="AH1877" s="84" t="s">
        <v>432</v>
      </c>
      <c r="AI1877" s="84" t="s">
        <v>432</v>
      </c>
      <c r="AJ1877" s="84" t="s">
        <v>432</v>
      </c>
      <c r="AK1877" s="137" t="s">
        <v>432</v>
      </c>
      <c r="AL1877" s="601" t="s">
        <v>432</v>
      </c>
      <c r="AM1877" s="137" t="s">
        <v>432</v>
      </c>
      <c r="AN1877" s="137" t="s">
        <v>432</v>
      </c>
      <c r="AO1877" s="137" t="s">
        <v>432</v>
      </c>
      <c r="AP1877" s="137" t="s">
        <v>432</v>
      </c>
      <c r="AQ1877" s="137" t="s">
        <v>432</v>
      </c>
      <c r="AR1877" s="137" t="s">
        <v>432</v>
      </c>
      <c r="AS1877" s="137" t="s">
        <v>432</v>
      </c>
      <c r="AT1877" s="137" t="s">
        <v>432</v>
      </c>
      <c r="AU1877" s="137" t="s">
        <v>432</v>
      </c>
      <c r="AV1877" s="137" t="s">
        <v>432</v>
      </c>
      <c r="AW1877" s="137" t="s">
        <v>432</v>
      </c>
      <c r="AX1877" s="137" t="s">
        <v>432</v>
      </c>
      <c r="AY1877" s="137" t="s">
        <v>432</v>
      </c>
      <c r="AZ1877" s="137" t="s">
        <v>432</v>
      </c>
      <c r="BA1877" s="137" t="s">
        <v>432</v>
      </c>
      <c r="BB1877" s="239" t="str">
        <f t="shared" si="557"/>
        <v>Populaçãox</v>
      </c>
      <c r="BC1877" s="239" t="str">
        <f t="shared" si="558"/>
        <v>PopulaçãoxRMBH</v>
      </c>
      <c r="BD1877" s="239" t="str">
        <f t="shared" si="559"/>
        <v>PopulaçãoRMBH</v>
      </c>
    </row>
    <row r="1878" spans="1:56" s="1" customFormat="1" ht="38.25" customHeight="1" x14ac:dyDescent="0.25">
      <c r="A1878" s="275" t="str">
        <f>'Q100b-totais'!$B$19</f>
        <v>2.4</v>
      </c>
      <c r="B1878" s="54" t="str">
        <f>'Q100b-totais'!$C$19</f>
        <v>População</v>
      </c>
      <c r="C1878" s="167" t="s">
        <v>432</v>
      </c>
      <c r="D1878" s="378" t="s">
        <v>2812</v>
      </c>
      <c r="E1878" s="1506" t="s">
        <v>1757</v>
      </c>
      <c r="F1878" s="1102" t="s">
        <v>6044</v>
      </c>
      <c r="G1878" s="110" t="s">
        <v>77</v>
      </c>
      <c r="H1878" s="168" t="s">
        <v>1298</v>
      </c>
      <c r="I1878" s="167">
        <v>1</v>
      </c>
      <c r="J1878" s="93" t="s">
        <v>432</v>
      </c>
      <c r="K1878" s="84" t="s">
        <v>432</v>
      </c>
      <c r="L1878" s="84" t="s">
        <v>432</v>
      </c>
      <c r="M1878" s="84" t="s">
        <v>432</v>
      </c>
      <c r="N1878" s="84" t="s">
        <v>432</v>
      </c>
      <c r="O1878" s="84" t="s">
        <v>432</v>
      </c>
      <c r="P1878" s="84" t="s">
        <v>432</v>
      </c>
      <c r="Q1878" s="84" t="s">
        <v>432</v>
      </c>
      <c r="R1878" s="84" t="s">
        <v>432</v>
      </c>
      <c r="S1878" s="109" t="s">
        <v>2209</v>
      </c>
      <c r="T1878" s="84" t="s">
        <v>432</v>
      </c>
      <c r="U1878" s="84" t="s">
        <v>432</v>
      </c>
      <c r="V1878" s="109" t="s">
        <v>2209</v>
      </c>
      <c r="W1878" s="84" t="s">
        <v>432</v>
      </c>
      <c r="X1878" s="84" t="s">
        <v>432</v>
      </c>
      <c r="Y1878" s="84" t="s">
        <v>432</v>
      </c>
      <c r="Z1878" s="84" t="s">
        <v>432</v>
      </c>
      <c r="AA1878" s="84" t="s">
        <v>432</v>
      </c>
      <c r="AB1878" s="84" t="s">
        <v>432</v>
      </c>
      <c r="AC1878" s="84" t="s">
        <v>432</v>
      </c>
      <c r="AD1878" s="84" t="s">
        <v>432</v>
      </c>
      <c r="AE1878" s="84" t="s">
        <v>432</v>
      </c>
      <c r="AF1878" s="87">
        <v>296317</v>
      </c>
      <c r="AG1878" s="84" t="s">
        <v>432</v>
      </c>
      <c r="AH1878" s="84" t="s">
        <v>432</v>
      </c>
      <c r="AI1878" s="84" t="s">
        <v>432</v>
      </c>
      <c r="AJ1878" s="84" t="s">
        <v>432</v>
      </c>
      <c r="AK1878" s="137" t="s">
        <v>432</v>
      </c>
      <c r="AL1878" s="601" t="s">
        <v>432</v>
      </c>
      <c r="AM1878" s="137" t="s">
        <v>432</v>
      </c>
      <c r="AN1878" s="137" t="s">
        <v>432</v>
      </c>
      <c r="AO1878" s="137" t="s">
        <v>432</v>
      </c>
      <c r="AP1878" s="137" t="s">
        <v>432</v>
      </c>
      <c r="AQ1878" s="137" t="s">
        <v>432</v>
      </c>
      <c r="AR1878" s="137" t="s">
        <v>432</v>
      </c>
      <c r="AS1878" s="137" t="s">
        <v>432</v>
      </c>
      <c r="AT1878" s="137" t="s">
        <v>432</v>
      </c>
      <c r="AU1878" s="137" t="s">
        <v>432</v>
      </c>
      <c r="AV1878" s="137" t="s">
        <v>432</v>
      </c>
      <c r="AW1878" s="137" t="s">
        <v>432</v>
      </c>
      <c r="AX1878" s="137" t="s">
        <v>432</v>
      </c>
      <c r="AY1878" s="137" t="s">
        <v>432</v>
      </c>
      <c r="AZ1878" s="137" t="s">
        <v>432</v>
      </c>
      <c r="BA1878" s="137" t="s">
        <v>432</v>
      </c>
      <c r="BB1878" s="239" t="str">
        <f t="shared" si="557"/>
        <v>Populaçãox</v>
      </c>
      <c r="BC1878" s="239" t="str">
        <f t="shared" si="558"/>
        <v>PopulaçãoxRMBH</v>
      </c>
      <c r="BD1878" s="239" t="str">
        <f t="shared" si="559"/>
        <v>PopulaçãoRMBH</v>
      </c>
    </row>
    <row r="1879" spans="1:56" s="1" customFormat="1" ht="38.25" customHeight="1" x14ac:dyDescent="0.25">
      <c r="A1879" s="275" t="str">
        <f>'Q100b-totais'!$B$19</f>
        <v>2.4</v>
      </c>
      <c r="B1879" s="54" t="str">
        <f>'Q100b-totais'!$C$19</f>
        <v>População</v>
      </c>
      <c r="C1879" s="167" t="s">
        <v>432</v>
      </c>
      <c r="D1879" s="378" t="s">
        <v>2812</v>
      </c>
      <c r="E1879" s="1506" t="s">
        <v>1758</v>
      </c>
      <c r="F1879" s="1102" t="s">
        <v>6044</v>
      </c>
      <c r="G1879" s="110" t="s">
        <v>77</v>
      </c>
      <c r="H1879" s="168" t="s">
        <v>1298</v>
      </c>
      <c r="I1879" s="167">
        <v>1</v>
      </c>
      <c r="J1879" s="93" t="s">
        <v>432</v>
      </c>
      <c r="K1879" s="84" t="s">
        <v>432</v>
      </c>
      <c r="L1879" s="84" t="s">
        <v>432</v>
      </c>
      <c r="M1879" s="84" t="s">
        <v>432</v>
      </c>
      <c r="N1879" s="84" t="s">
        <v>432</v>
      </c>
      <c r="O1879" s="84" t="s">
        <v>432</v>
      </c>
      <c r="P1879" s="84" t="s">
        <v>432</v>
      </c>
      <c r="Q1879" s="84" t="s">
        <v>432</v>
      </c>
      <c r="R1879" s="84" t="s">
        <v>432</v>
      </c>
      <c r="S1879" s="109" t="s">
        <v>2209</v>
      </c>
      <c r="T1879" s="84" t="s">
        <v>432</v>
      </c>
      <c r="U1879" s="84" t="s">
        <v>432</v>
      </c>
      <c r="V1879" s="109" t="s">
        <v>2209</v>
      </c>
      <c r="W1879" s="84" t="s">
        <v>432</v>
      </c>
      <c r="X1879" s="84" t="s">
        <v>432</v>
      </c>
      <c r="Y1879" s="84" t="s">
        <v>432</v>
      </c>
      <c r="Z1879" s="84" t="s">
        <v>432</v>
      </c>
      <c r="AA1879" s="84" t="s">
        <v>432</v>
      </c>
      <c r="AB1879" s="84" t="s">
        <v>432</v>
      </c>
      <c r="AC1879" s="84" t="s">
        <v>432</v>
      </c>
      <c r="AD1879" s="84" t="s">
        <v>432</v>
      </c>
      <c r="AE1879" s="84" t="s">
        <v>432</v>
      </c>
      <c r="AF1879" s="87">
        <v>9090</v>
      </c>
      <c r="AG1879" s="84" t="s">
        <v>432</v>
      </c>
      <c r="AH1879" s="84" t="s">
        <v>432</v>
      </c>
      <c r="AI1879" s="84" t="s">
        <v>432</v>
      </c>
      <c r="AJ1879" s="84" t="s">
        <v>432</v>
      </c>
      <c r="AK1879" s="137" t="s">
        <v>432</v>
      </c>
      <c r="AL1879" s="601" t="s">
        <v>432</v>
      </c>
      <c r="AM1879" s="137" t="s">
        <v>432</v>
      </c>
      <c r="AN1879" s="137" t="s">
        <v>432</v>
      </c>
      <c r="AO1879" s="137" t="s">
        <v>432</v>
      </c>
      <c r="AP1879" s="137" t="s">
        <v>432</v>
      </c>
      <c r="AQ1879" s="137" t="s">
        <v>432</v>
      </c>
      <c r="AR1879" s="137" t="s">
        <v>432</v>
      </c>
      <c r="AS1879" s="137" t="s">
        <v>432</v>
      </c>
      <c r="AT1879" s="137" t="s">
        <v>432</v>
      </c>
      <c r="AU1879" s="137" t="s">
        <v>432</v>
      </c>
      <c r="AV1879" s="137" t="s">
        <v>432</v>
      </c>
      <c r="AW1879" s="137" t="s">
        <v>432</v>
      </c>
      <c r="AX1879" s="137" t="s">
        <v>432</v>
      </c>
      <c r="AY1879" s="137" t="s">
        <v>432</v>
      </c>
      <c r="AZ1879" s="137" t="s">
        <v>432</v>
      </c>
      <c r="BA1879" s="137" t="s">
        <v>432</v>
      </c>
      <c r="BB1879" s="239" t="str">
        <f t="shared" si="557"/>
        <v>Populaçãox</v>
      </c>
      <c r="BC1879" s="239" t="str">
        <f t="shared" si="558"/>
        <v>PopulaçãoxRMBH</v>
      </c>
      <c r="BD1879" s="239" t="str">
        <f t="shared" si="559"/>
        <v>PopulaçãoRMBH</v>
      </c>
    </row>
    <row r="1880" spans="1:56" s="1" customFormat="1" ht="38.25" customHeight="1" x14ac:dyDescent="0.25">
      <c r="A1880" s="275" t="str">
        <f>'Q100b-totais'!$B$19</f>
        <v>2.4</v>
      </c>
      <c r="B1880" s="54" t="str">
        <f>'Q100b-totais'!$C$19</f>
        <v>População</v>
      </c>
      <c r="C1880" s="167" t="s">
        <v>432</v>
      </c>
      <c r="D1880" s="378" t="s">
        <v>2812</v>
      </c>
      <c r="E1880" s="1506" t="s">
        <v>1759</v>
      </c>
      <c r="F1880" s="1102" t="s">
        <v>6044</v>
      </c>
      <c r="G1880" s="110" t="s">
        <v>77</v>
      </c>
      <c r="H1880" s="168" t="s">
        <v>1298</v>
      </c>
      <c r="I1880" s="167">
        <v>1</v>
      </c>
      <c r="J1880" s="93" t="s">
        <v>432</v>
      </c>
      <c r="K1880" s="84" t="s">
        <v>432</v>
      </c>
      <c r="L1880" s="84" t="s">
        <v>432</v>
      </c>
      <c r="M1880" s="84" t="s">
        <v>432</v>
      </c>
      <c r="N1880" s="84" t="s">
        <v>432</v>
      </c>
      <c r="O1880" s="84" t="s">
        <v>432</v>
      </c>
      <c r="P1880" s="84" t="s">
        <v>432</v>
      </c>
      <c r="Q1880" s="84" t="s">
        <v>432</v>
      </c>
      <c r="R1880" s="84" t="s">
        <v>432</v>
      </c>
      <c r="S1880" s="109" t="s">
        <v>2209</v>
      </c>
      <c r="T1880" s="84" t="s">
        <v>432</v>
      </c>
      <c r="U1880" s="84" t="s">
        <v>432</v>
      </c>
      <c r="V1880" s="109" t="s">
        <v>2209</v>
      </c>
      <c r="W1880" s="84" t="s">
        <v>432</v>
      </c>
      <c r="X1880" s="84" t="s">
        <v>432</v>
      </c>
      <c r="Y1880" s="84" t="s">
        <v>432</v>
      </c>
      <c r="Z1880" s="84" t="s">
        <v>432</v>
      </c>
      <c r="AA1880" s="84" t="s">
        <v>432</v>
      </c>
      <c r="AB1880" s="84" t="s">
        <v>432</v>
      </c>
      <c r="AC1880" s="84" t="s">
        <v>432</v>
      </c>
      <c r="AD1880" s="84" t="s">
        <v>432</v>
      </c>
      <c r="AE1880" s="84" t="s">
        <v>432</v>
      </c>
      <c r="AF1880" s="87">
        <v>5276</v>
      </c>
      <c r="AG1880" s="84" t="s">
        <v>432</v>
      </c>
      <c r="AH1880" s="84" t="s">
        <v>432</v>
      </c>
      <c r="AI1880" s="84" t="s">
        <v>432</v>
      </c>
      <c r="AJ1880" s="84" t="s">
        <v>432</v>
      </c>
      <c r="AK1880" s="137" t="s">
        <v>432</v>
      </c>
      <c r="AL1880" s="601" t="s">
        <v>432</v>
      </c>
      <c r="AM1880" s="137" t="s">
        <v>432</v>
      </c>
      <c r="AN1880" s="137" t="s">
        <v>432</v>
      </c>
      <c r="AO1880" s="137" t="s">
        <v>432</v>
      </c>
      <c r="AP1880" s="137" t="s">
        <v>432</v>
      </c>
      <c r="AQ1880" s="137" t="s">
        <v>432</v>
      </c>
      <c r="AR1880" s="137" t="s">
        <v>432</v>
      </c>
      <c r="AS1880" s="137" t="s">
        <v>432</v>
      </c>
      <c r="AT1880" s="137" t="s">
        <v>432</v>
      </c>
      <c r="AU1880" s="137" t="s">
        <v>432</v>
      </c>
      <c r="AV1880" s="137" t="s">
        <v>432</v>
      </c>
      <c r="AW1880" s="137" t="s">
        <v>432</v>
      </c>
      <c r="AX1880" s="137" t="s">
        <v>432</v>
      </c>
      <c r="AY1880" s="137" t="s">
        <v>432</v>
      </c>
      <c r="AZ1880" s="137" t="s">
        <v>432</v>
      </c>
      <c r="BA1880" s="137" t="s">
        <v>432</v>
      </c>
      <c r="BB1880" s="239" t="str">
        <f t="shared" si="557"/>
        <v>Populaçãox</v>
      </c>
      <c r="BC1880" s="239" t="str">
        <f t="shared" si="558"/>
        <v>PopulaçãoxRMBH</v>
      </c>
      <c r="BD1880" s="239" t="str">
        <f t="shared" si="559"/>
        <v>PopulaçãoRMBH</v>
      </c>
    </row>
    <row r="1881" spans="1:56" s="1" customFormat="1" ht="63.75" customHeight="1" x14ac:dyDescent="0.25">
      <c r="A1881" s="275" t="str">
        <f>'Q100b-totais'!$B$19</f>
        <v>2.4</v>
      </c>
      <c r="B1881" s="54" t="str">
        <f>'Q100b-totais'!$C$19</f>
        <v>População</v>
      </c>
      <c r="C1881" s="167" t="s">
        <v>432</v>
      </c>
      <c r="D1881" s="323" t="s">
        <v>2812</v>
      </c>
      <c r="E1881" s="1505" t="s">
        <v>1298</v>
      </c>
      <c r="F1881" s="14" t="s">
        <v>503</v>
      </c>
      <c r="G1881" s="412" t="s">
        <v>502</v>
      </c>
      <c r="H1881" s="168" t="s">
        <v>1298</v>
      </c>
      <c r="I1881" s="167">
        <v>1</v>
      </c>
      <c r="J1881" s="93" t="s">
        <v>432</v>
      </c>
      <c r="K1881" s="84" t="s">
        <v>432</v>
      </c>
      <c r="L1881" s="84" t="s">
        <v>432</v>
      </c>
      <c r="M1881" s="84" t="s">
        <v>432</v>
      </c>
      <c r="N1881" s="84" t="s">
        <v>432</v>
      </c>
      <c r="O1881" s="84" t="s">
        <v>432</v>
      </c>
      <c r="P1881" s="84" t="s">
        <v>432</v>
      </c>
      <c r="Q1881" s="84" t="s">
        <v>432</v>
      </c>
      <c r="R1881" s="84" t="s">
        <v>432</v>
      </c>
      <c r="S1881" s="109" t="s">
        <v>2209</v>
      </c>
      <c r="T1881" s="23" t="s">
        <v>432</v>
      </c>
      <c r="U1881" s="23" t="s">
        <v>432</v>
      </c>
      <c r="V1881" s="109" t="s">
        <v>2209</v>
      </c>
      <c r="W1881" s="23" t="s">
        <v>432</v>
      </c>
      <c r="X1881" s="23" t="s">
        <v>432</v>
      </c>
      <c r="Y1881" s="23" t="s">
        <v>432</v>
      </c>
      <c r="Z1881" s="23" t="s">
        <v>432</v>
      </c>
      <c r="AA1881" s="23" t="s">
        <v>432</v>
      </c>
      <c r="AB1881" s="23" t="s">
        <v>432</v>
      </c>
      <c r="AC1881" s="23" t="s">
        <v>432</v>
      </c>
      <c r="AD1881" s="23" t="s">
        <v>432</v>
      </c>
      <c r="AE1881" s="23" t="s">
        <v>432</v>
      </c>
      <c r="AF1881" s="20">
        <f>SUM(AF1854:AF1880)+SUM(AF1883:AF1889)</f>
        <v>4883970</v>
      </c>
      <c r="AG1881" s="23" t="s">
        <v>432</v>
      </c>
      <c r="AH1881" s="23" t="s">
        <v>432</v>
      </c>
      <c r="AI1881" s="23" t="s">
        <v>432</v>
      </c>
      <c r="AJ1881" s="23" t="s">
        <v>432</v>
      </c>
      <c r="AK1881" s="137" t="s">
        <v>432</v>
      </c>
      <c r="AL1881" s="601" t="s">
        <v>432</v>
      </c>
      <c r="AM1881" s="137" t="s">
        <v>432</v>
      </c>
      <c r="AN1881" s="137" t="s">
        <v>432</v>
      </c>
      <c r="AO1881" s="137" t="s">
        <v>432</v>
      </c>
      <c r="AP1881" s="137" t="s">
        <v>432</v>
      </c>
      <c r="AQ1881" s="137" t="s">
        <v>432</v>
      </c>
      <c r="AR1881" s="137" t="s">
        <v>432</v>
      </c>
      <c r="AS1881" s="137" t="s">
        <v>432</v>
      </c>
      <c r="AT1881" s="137" t="s">
        <v>432</v>
      </c>
      <c r="AU1881" s="137" t="s">
        <v>432</v>
      </c>
      <c r="AV1881" s="137" t="s">
        <v>432</v>
      </c>
      <c r="AW1881" s="137" t="s">
        <v>432</v>
      </c>
      <c r="AX1881" s="137" t="s">
        <v>432</v>
      </c>
      <c r="AY1881" s="137" t="s">
        <v>432</v>
      </c>
      <c r="AZ1881" s="137" t="s">
        <v>432</v>
      </c>
      <c r="BA1881" s="137" t="s">
        <v>432</v>
      </c>
      <c r="BB1881" s="239" t="str">
        <f t="shared" si="557"/>
        <v>Populaçãox</v>
      </c>
      <c r="BC1881" s="239" t="str">
        <f t="shared" si="558"/>
        <v>PopulaçãoxRMBH</v>
      </c>
      <c r="BD1881" s="239" t="str">
        <f t="shared" si="559"/>
        <v>PopulaçãoRMBH</v>
      </c>
    </row>
    <row r="1882" spans="1:56" s="1" customFormat="1" ht="63.75" customHeight="1" x14ac:dyDescent="0.25">
      <c r="A1882" s="275" t="str">
        <f>'Q100b-totais'!B19</f>
        <v>2.4</v>
      </c>
      <c r="B1882" s="54" t="str">
        <f>'Q100b-totais'!C19</f>
        <v>População</v>
      </c>
      <c r="C1882" s="167" t="s">
        <v>432</v>
      </c>
      <c r="D1882" s="378" t="s">
        <v>2812</v>
      </c>
      <c r="E1882" s="1506" t="s">
        <v>3522</v>
      </c>
      <c r="F1882" s="1102" t="s">
        <v>3523</v>
      </c>
      <c r="G1882" s="412" t="s">
        <v>3524</v>
      </c>
      <c r="H1882" s="168" t="s">
        <v>1298</v>
      </c>
      <c r="I1882" s="167">
        <v>1</v>
      </c>
      <c r="J1882" s="1101" t="s">
        <v>432</v>
      </c>
      <c r="K1882" s="84" t="s">
        <v>432</v>
      </c>
      <c r="L1882" s="84" t="s">
        <v>432</v>
      </c>
      <c r="M1882" s="84" t="s">
        <v>432</v>
      </c>
      <c r="N1882" s="84" t="s">
        <v>432</v>
      </c>
      <c r="O1882" s="84" t="s">
        <v>432</v>
      </c>
      <c r="P1882" s="84" t="s">
        <v>432</v>
      </c>
      <c r="Q1882" s="84" t="s">
        <v>432</v>
      </c>
      <c r="R1882" s="84" t="s">
        <v>432</v>
      </c>
      <c r="S1882" s="109" t="s">
        <v>2209</v>
      </c>
      <c r="T1882" s="23" t="s">
        <v>432</v>
      </c>
      <c r="U1882" s="23" t="s">
        <v>432</v>
      </c>
      <c r="V1882" s="109" t="s">
        <v>2209</v>
      </c>
      <c r="W1882" s="23" t="s">
        <v>432</v>
      </c>
      <c r="X1882" s="23" t="s">
        <v>432</v>
      </c>
      <c r="Y1882" s="23" t="s">
        <v>432</v>
      </c>
      <c r="Z1882" s="23" t="s">
        <v>432</v>
      </c>
      <c r="AA1882" s="23" t="s">
        <v>432</v>
      </c>
      <c r="AB1882" s="23" t="s">
        <v>432</v>
      </c>
      <c r="AC1882" s="23" t="s">
        <v>432</v>
      </c>
      <c r="AD1882" s="23" t="s">
        <v>432</v>
      </c>
      <c r="AE1882" s="23" t="s">
        <v>432</v>
      </c>
      <c r="AF1882" s="20">
        <f>AF1881-AF1855</f>
        <v>2508819</v>
      </c>
      <c r="AG1882" s="23" t="s">
        <v>432</v>
      </c>
      <c r="AH1882" s="23" t="s">
        <v>432</v>
      </c>
      <c r="AI1882" s="23" t="s">
        <v>432</v>
      </c>
      <c r="AJ1882" s="23" t="s">
        <v>432</v>
      </c>
      <c r="AK1882" s="137" t="s">
        <v>432</v>
      </c>
      <c r="AL1882" s="601" t="s">
        <v>432</v>
      </c>
      <c r="AM1882" s="137" t="s">
        <v>432</v>
      </c>
      <c r="AN1882" s="137" t="s">
        <v>432</v>
      </c>
      <c r="AO1882" s="137" t="s">
        <v>432</v>
      </c>
      <c r="AP1882" s="137" t="s">
        <v>432</v>
      </c>
      <c r="AQ1882" s="137" t="s">
        <v>432</v>
      </c>
      <c r="AR1882" s="137" t="s">
        <v>432</v>
      </c>
      <c r="AS1882" s="137" t="s">
        <v>432</v>
      </c>
      <c r="AT1882" s="137" t="s">
        <v>432</v>
      </c>
      <c r="AU1882" s="137" t="s">
        <v>432</v>
      </c>
      <c r="AV1882" s="137" t="s">
        <v>432</v>
      </c>
      <c r="AW1882" s="137" t="s">
        <v>432</v>
      </c>
      <c r="AX1882" s="137" t="s">
        <v>432</v>
      </c>
      <c r="AY1882" s="137" t="s">
        <v>432</v>
      </c>
      <c r="AZ1882" s="137" t="s">
        <v>432</v>
      </c>
      <c r="BA1882" s="137" t="s">
        <v>432</v>
      </c>
      <c r="BB1882" s="239" t="str">
        <f>B1882&amp;C1882</f>
        <v>Populaçãox</v>
      </c>
      <c r="BC1882" s="239" t="str">
        <f>B1882&amp;C1882&amp;H1882</f>
        <v>PopulaçãoxRMBH</v>
      </c>
      <c r="BD1882" s="239" t="str">
        <f>B1882&amp;H1882</f>
        <v>PopulaçãoRMBH</v>
      </c>
    </row>
    <row r="1883" spans="1:56" s="1" customFormat="1" ht="38.25" customHeight="1" x14ac:dyDescent="0.25">
      <c r="A1883" s="275" t="str">
        <f>'Q100b-totais'!$B$19</f>
        <v>2.4</v>
      </c>
      <c r="B1883" s="54" t="str">
        <f>'Q100b-totais'!$C$19</f>
        <v>População</v>
      </c>
      <c r="C1883" s="167" t="s">
        <v>432</v>
      </c>
      <c r="D1883" s="378" t="s">
        <v>2812</v>
      </c>
      <c r="E1883" s="1506" t="s">
        <v>1760</v>
      </c>
      <c r="F1883" s="1102" t="s">
        <v>6044</v>
      </c>
      <c r="G1883" s="110" t="s">
        <v>77</v>
      </c>
      <c r="H1883" s="168" t="s">
        <v>1298</v>
      </c>
      <c r="I1883" s="167">
        <v>1</v>
      </c>
      <c r="J1883" s="93" t="s">
        <v>432</v>
      </c>
      <c r="K1883" s="84" t="s">
        <v>432</v>
      </c>
      <c r="L1883" s="84" t="s">
        <v>432</v>
      </c>
      <c r="M1883" s="84" t="s">
        <v>432</v>
      </c>
      <c r="N1883" s="84" t="s">
        <v>432</v>
      </c>
      <c r="O1883" s="84" t="s">
        <v>432</v>
      </c>
      <c r="P1883" s="84" t="s">
        <v>432</v>
      </c>
      <c r="Q1883" s="84" t="s">
        <v>432</v>
      </c>
      <c r="R1883" s="84" t="s">
        <v>432</v>
      </c>
      <c r="S1883" s="109" t="s">
        <v>2209</v>
      </c>
      <c r="T1883" s="84" t="s">
        <v>432</v>
      </c>
      <c r="U1883" s="84" t="s">
        <v>432</v>
      </c>
      <c r="V1883" s="109" t="s">
        <v>2209</v>
      </c>
      <c r="W1883" s="84" t="s">
        <v>432</v>
      </c>
      <c r="X1883" s="84" t="s">
        <v>432</v>
      </c>
      <c r="Y1883" s="84" t="s">
        <v>432</v>
      </c>
      <c r="Z1883" s="84" t="s">
        <v>432</v>
      </c>
      <c r="AA1883" s="84" t="s">
        <v>432</v>
      </c>
      <c r="AB1883" s="84" t="s">
        <v>432</v>
      </c>
      <c r="AC1883" s="84" t="s">
        <v>432</v>
      </c>
      <c r="AD1883" s="84" t="s">
        <v>432</v>
      </c>
      <c r="AE1883" s="84" t="s">
        <v>432</v>
      </c>
      <c r="AF1883" s="87">
        <v>126269</v>
      </c>
      <c r="AG1883" s="84" t="s">
        <v>432</v>
      </c>
      <c r="AH1883" s="84" t="s">
        <v>432</v>
      </c>
      <c r="AI1883" s="84" t="s">
        <v>432</v>
      </c>
      <c r="AJ1883" s="84" t="s">
        <v>432</v>
      </c>
      <c r="AK1883" s="137" t="s">
        <v>432</v>
      </c>
      <c r="AL1883" s="601" t="s">
        <v>432</v>
      </c>
      <c r="AM1883" s="137" t="s">
        <v>432</v>
      </c>
      <c r="AN1883" s="137" t="s">
        <v>432</v>
      </c>
      <c r="AO1883" s="137" t="s">
        <v>432</v>
      </c>
      <c r="AP1883" s="137" t="s">
        <v>432</v>
      </c>
      <c r="AQ1883" s="137" t="s">
        <v>432</v>
      </c>
      <c r="AR1883" s="137" t="s">
        <v>432</v>
      </c>
      <c r="AS1883" s="137" t="s">
        <v>432</v>
      </c>
      <c r="AT1883" s="137" t="s">
        <v>432</v>
      </c>
      <c r="AU1883" s="137" t="s">
        <v>432</v>
      </c>
      <c r="AV1883" s="137" t="s">
        <v>432</v>
      </c>
      <c r="AW1883" s="137" t="s">
        <v>432</v>
      </c>
      <c r="AX1883" s="137" t="s">
        <v>432</v>
      </c>
      <c r="AY1883" s="137" t="s">
        <v>432</v>
      </c>
      <c r="AZ1883" s="137" t="s">
        <v>432</v>
      </c>
      <c r="BA1883" s="137" t="s">
        <v>432</v>
      </c>
      <c r="BB1883" s="239" t="str">
        <f t="shared" si="557"/>
        <v>Populaçãox</v>
      </c>
      <c r="BC1883" s="239" t="str">
        <f t="shared" si="558"/>
        <v>PopulaçãoxRMBH</v>
      </c>
      <c r="BD1883" s="239" t="str">
        <f t="shared" si="559"/>
        <v>PopulaçãoRMBH</v>
      </c>
    </row>
    <row r="1884" spans="1:56" s="1" customFormat="1" ht="38.25" customHeight="1" x14ac:dyDescent="0.25">
      <c r="A1884" s="275" t="str">
        <f>'Q100b-totais'!$B$19</f>
        <v>2.4</v>
      </c>
      <c r="B1884" s="54" t="str">
        <f>'Q100b-totais'!$C$19</f>
        <v>População</v>
      </c>
      <c r="C1884" s="167" t="s">
        <v>432</v>
      </c>
      <c r="D1884" s="378" t="s">
        <v>2812</v>
      </c>
      <c r="E1884" s="1506" t="s">
        <v>1761</v>
      </c>
      <c r="F1884" s="1102" t="s">
        <v>6044</v>
      </c>
      <c r="G1884" s="110" t="s">
        <v>77</v>
      </c>
      <c r="H1884" s="168" t="s">
        <v>1298</v>
      </c>
      <c r="I1884" s="167">
        <v>1</v>
      </c>
      <c r="J1884" s="93" t="s">
        <v>432</v>
      </c>
      <c r="K1884" s="84" t="s">
        <v>432</v>
      </c>
      <c r="L1884" s="84" t="s">
        <v>432</v>
      </c>
      <c r="M1884" s="84" t="s">
        <v>432</v>
      </c>
      <c r="N1884" s="84" t="s">
        <v>432</v>
      </c>
      <c r="O1884" s="84" t="s">
        <v>432</v>
      </c>
      <c r="P1884" s="84" t="s">
        <v>432</v>
      </c>
      <c r="Q1884" s="84" t="s">
        <v>432</v>
      </c>
      <c r="R1884" s="84" t="s">
        <v>432</v>
      </c>
      <c r="S1884" s="109" t="s">
        <v>2209</v>
      </c>
      <c r="T1884" s="84" t="s">
        <v>432</v>
      </c>
      <c r="U1884" s="84" t="s">
        <v>432</v>
      </c>
      <c r="V1884" s="109" t="s">
        <v>2209</v>
      </c>
      <c r="W1884" s="84" t="s">
        <v>432</v>
      </c>
      <c r="X1884" s="84" t="s">
        <v>432</v>
      </c>
      <c r="Y1884" s="84" t="s">
        <v>432</v>
      </c>
      <c r="Z1884" s="84" t="s">
        <v>432</v>
      </c>
      <c r="AA1884" s="84" t="s">
        <v>432</v>
      </c>
      <c r="AB1884" s="84" t="s">
        <v>432</v>
      </c>
      <c r="AC1884" s="84" t="s">
        <v>432</v>
      </c>
      <c r="AD1884" s="84" t="s">
        <v>432</v>
      </c>
      <c r="AE1884" s="84" t="s">
        <v>432</v>
      </c>
      <c r="AF1884" s="87">
        <v>202942</v>
      </c>
      <c r="AG1884" s="84" t="s">
        <v>432</v>
      </c>
      <c r="AH1884" s="84" t="s">
        <v>432</v>
      </c>
      <c r="AI1884" s="84" t="s">
        <v>432</v>
      </c>
      <c r="AJ1884" s="84" t="s">
        <v>432</v>
      </c>
      <c r="AK1884" s="137" t="s">
        <v>432</v>
      </c>
      <c r="AL1884" s="601" t="s">
        <v>432</v>
      </c>
      <c r="AM1884" s="137" t="s">
        <v>432</v>
      </c>
      <c r="AN1884" s="137" t="s">
        <v>432</v>
      </c>
      <c r="AO1884" s="137" t="s">
        <v>432</v>
      </c>
      <c r="AP1884" s="137" t="s">
        <v>432</v>
      </c>
      <c r="AQ1884" s="137" t="s">
        <v>432</v>
      </c>
      <c r="AR1884" s="137" t="s">
        <v>432</v>
      </c>
      <c r="AS1884" s="137" t="s">
        <v>432</v>
      </c>
      <c r="AT1884" s="137" t="s">
        <v>432</v>
      </c>
      <c r="AU1884" s="137" t="s">
        <v>432</v>
      </c>
      <c r="AV1884" s="137" t="s">
        <v>432</v>
      </c>
      <c r="AW1884" s="137" t="s">
        <v>432</v>
      </c>
      <c r="AX1884" s="137" t="s">
        <v>432</v>
      </c>
      <c r="AY1884" s="137" t="s">
        <v>432</v>
      </c>
      <c r="AZ1884" s="137" t="s">
        <v>432</v>
      </c>
      <c r="BA1884" s="137" t="s">
        <v>432</v>
      </c>
      <c r="BB1884" s="239" t="str">
        <f t="shared" si="557"/>
        <v>Populaçãox</v>
      </c>
      <c r="BC1884" s="239" t="str">
        <f t="shared" si="558"/>
        <v>PopulaçãoxRMBH</v>
      </c>
      <c r="BD1884" s="239" t="str">
        <f t="shared" si="559"/>
        <v>PopulaçãoRMBH</v>
      </c>
    </row>
    <row r="1885" spans="1:56" s="1" customFormat="1" ht="38.25" customHeight="1" x14ac:dyDescent="0.25">
      <c r="A1885" s="275" t="str">
        <f>'Q100b-totais'!$B$19</f>
        <v>2.4</v>
      </c>
      <c r="B1885" s="54" t="str">
        <f>'Q100b-totais'!$C$19</f>
        <v>População</v>
      </c>
      <c r="C1885" s="167" t="s">
        <v>432</v>
      </c>
      <c r="D1885" s="378" t="s">
        <v>2812</v>
      </c>
      <c r="E1885" s="1506" t="s">
        <v>1762</v>
      </c>
      <c r="F1885" s="1102" t="s">
        <v>6044</v>
      </c>
      <c r="G1885" s="110" t="s">
        <v>77</v>
      </c>
      <c r="H1885" s="168" t="s">
        <v>1298</v>
      </c>
      <c r="I1885" s="167">
        <v>1</v>
      </c>
      <c r="J1885" s="93" t="s">
        <v>432</v>
      </c>
      <c r="K1885" s="84" t="s">
        <v>432</v>
      </c>
      <c r="L1885" s="84" t="s">
        <v>432</v>
      </c>
      <c r="M1885" s="84" t="s">
        <v>432</v>
      </c>
      <c r="N1885" s="84" t="s">
        <v>432</v>
      </c>
      <c r="O1885" s="84" t="s">
        <v>432</v>
      </c>
      <c r="P1885" s="84" t="s">
        <v>432</v>
      </c>
      <c r="Q1885" s="84" t="s">
        <v>432</v>
      </c>
      <c r="R1885" s="84" t="s">
        <v>432</v>
      </c>
      <c r="S1885" s="109" t="s">
        <v>2209</v>
      </c>
      <c r="T1885" s="84" t="s">
        <v>432</v>
      </c>
      <c r="U1885" s="84" t="s">
        <v>432</v>
      </c>
      <c r="V1885" s="109" t="s">
        <v>2209</v>
      </c>
      <c r="W1885" s="84" t="s">
        <v>432</v>
      </c>
      <c r="X1885" s="84" t="s">
        <v>432</v>
      </c>
      <c r="Y1885" s="84" t="s">
        <v>432</v>
      </c>
      <c r="Z1885" s="84" t="s">
        <v>432</v>
      </c>
      <c r="AA1885" s="84" t="s">
        <v>432</v>
      </c>
      <c r="AB1885" s="84" t="s">
        <v>432</v>
      </c>
      <c r="AC1885" s="84" t="s">
        <v>432</v>
      </c>
      <c r="AD1885" s="84" t="s">
        <v>432</v>
      </c>
      <c r="AE1885" s="84" t="s">
        <v>432</v>
      </c>
      <c r="AF1885" s="87">
        <v>25537</v>
      </c>
      <c r="AG1885" s="84" t="s">
        <v>432</v>
      </c>
      <c r="AH1885" s="84" t="s">
        <v>432</v>
      </c>
      <c r="AI1885" s="84" t="s">
        <v>432</v>
      </c>
      <c r="AJ1885" s="84" t="s">
        <v>432</v>
      </c>
      <c r="AK1885" s="137" t="s">
        <v>432</v>
      </c>
      <c r="AL1885" s="601" t="s">
        <v>432</v>
      </c>
      <c r="AM1885" s="137" t="s">
        <v>432</v>
      </c>
      <c r="AN1885" s="137" t="s">
        <v>432</v>
      </c>
      <c r="AO1885" s="137" t="s">
        <v>432</v>
      </c>
      <c r="AP1885" s="137" t="s">
        <v>432</v>
      </c>
      <c r="AQ1885" s="137" t="s">
        <v>432</v>
      </c>
      <c r="AR1885" s="137" t="s">
        <v>432</v>
      </c>
      <c r="AS1885" s="137" t="s">
        <v>432</v>
      </c>
      <c r="AT1885" s="137" t="s">
        <v>432</v>
      </c>
      <c r="AU1885" s="137" t="s">
        <v>432</v>
      </c>
      <c r="AV1885" s="137" t="s">
        <v>432</v>
      </c>
      <c r="AW1885" s="137" t="s">
        <v>432</v>
      </c>
      <c r="AX1885" s="137" t="s">
        <v>432</v>
      </c>
      <c r="AY1885" s="137" t="s">
        <v>432</v>
      </c>
      <c r="AZ1885" s="137" t="s">
        <v>432</v>
      </c>
      <c r="BA1885" s="137" t="s">
        <v>432</v>
      </c>
      <c r="BB1885" s="239" t="str">
        <f t="shared" si="557"/>
        <v>Populaçãox</v>
      </c>
      <c r="BC1885" s="239" t="str">
        <f t="shared" si="558"/>
        <v>PopulaçãoxRMBH</v>
      </c>
      <c r="BD1885" s="239" t="str">
        <f t="shared" si="559"/>
        <v>PopulaçãoRMBH</v>
      </c>
    </row>
    <row r="1886" spans="1:56" s="1" customFormat="1" ht="38.25" customHeight="1" x14ac:dyDescent="0.25">
      <c r="A1886" s="275" t="str">
        <f>'Q100b-totais'!$B$19</f>
        <v>2.4</v>
      </c>
      <c r="B1886" s="54" t="str">
        <f>'Q100b-totais'!$C$19</f>
        <v>População</v>
      </c>
      <c r="C1886" s="167" t="s">
        <v>432</v>
      </c>
      <c r="D1886" s="378" t="s">
        <v>2812</v>
      </c>
      <c r="E1886" s="1506" t="s">
        <v>1763</v>
      </c>
      <c r="F1886" s="1102" t="s">
        <v>6044</v>
      </c>
      <c r="G1886" s="110" t="s">
        <v>77</v>
      </c>
      <c r="H1886" s="168" t="s">
        <v>1298</v>
      </c>
      <c r="I1886" s="167">
        <v>1</v>
      </c>
      <c r="J1886" s="93" t="s">
        <v>432</v>
      </c>
      <c r="K1886" s="84" t="s">
        <v>432</v>
      </c>
      <c r="L1886" s="84" t="s">
        <v>432</v>
      </c>
      <c r="M1886" s="84" t="s">
        <v>432</v>
      </c>
      <c r="N1886" s="84" t="s">
        <v>432</v>
      </c>
      <c r="O1886" s="84" t="s">
        <v>432</v>
      </c>
      <c r="P1886" s="84" t="s">
        <v>432</v>
      </c>
      <c r="Q1886" s="84" t="s">
        <v>432</v>
      </c>
      <c r="R1886" s="84" t="s">
        <v>432</v>
      </c>
      <c r="S1886" s="109" t="s">
        <v>2209</v>
      </c>
      <c r="T1886" s="84" t="s">
        <v>432</v>
      </c>
      <c r="U1886" s="84" t="s">
        <v>432</v>
      </c>
      <c r="V1886" s="109" t="s">
        <v>2209</v>
      </c>
      <c r="W1886" s="84" t="s">
        <v>432</v>
      </c>
      <c r="X1886" s="84" t="s">
        <v>432</v>
      </c>
      <c r="Y1886" s="84" t="s">
        <v>432</v>
      </c>
      <c r="Z1886" s="84" t="s">
        <v>432</v>
      </c>
      <c r="AA1886" s="84" t="s">
        <v>432</v>
      </c>
      <c r="AB1886" s="84" t="s">
        <v>432</v>
      </c>
      <c r="AC1886" s="84" t="s">
        <v>432</v>
      </c>
      <c r="AD1886" s="84" t="s">
        <v>432</v>
      </c>
      <c r="AE1886" s="84" t="s">
        <v>432</v>
      </c>
      <c r="AF1886" s="87">
        <v>19799</v>
      </c>
      <c r="AG1886" s="84" t="s">
        <v>432</v>
      </c>
      <c r="AH1886" s="84" t="s">
        <v>432</v>
      </c>
      <c r="AI1886" s="84" t="s">
        <v>432</v>
      </c>
      <c r="AJ1886" s="84" t="s">
        <v>432</v>
      </c>
      <c r="AK1886" s="137" t="s">
        <v>432</v>
      </c>
      <c r="AL1886" s="601" t="s">
        <v>432</v>
      </c>
      <c r="AM1886" s="137" t="s">
        <v>432</v>
      </c>
      <c r="AN1886" s="137" t="s">
        <v>432</v>
      </c>
      <c r="AO1886" s="137" t="s">
        <v>432</v>
      </c>
      <c r="AP1886" s="137" t="s">
        <v>432</v>
      </c>
      <c r="AQ1886" s="137" t="s">
        <v>432</v>
      </c>
      <c r="AR1886" s="137" t="s">
        <v>432</v>
      </c>
      <c r="AS1886" s="137" t="s">
        <v>432</v>
      </c>
      <c r="AT1886" s="137" t="s">
        <v>432</v>
      </c>
      <c r="AU1886" s="137" t="s">
        <v>432</v>
      </c>
      <c r="AV1886" s="137" t="s">
        <v>432</v>
      </c>
      <c r="AW1886" s="137" t="s">
        <v>432</v>
      </c>
      <c r="AX1886" s="137" t="s">
        <v>432</v>
      </c>
      <c r="AY1886" s="137" t="s">
        <v>432</v>
      </c>
      <c r="AZ1886" s="137" t="s">
        <v>432</v>
      </c>
      <c r="BA1886" s="137" t="s">
        <v>432</v>
      </c>
      <c r="BB1886" s="239" t="str">
        <f t="shared" si="557"/>
        <v>Populaçãox</v>
      </c>
      <c r="BC1886" s="239" t="str">
        <f t="shared" si="558"/>
        <v>PopulaçãoxRMBH</v>
      </c>
      <c r="BD1886" s="239" t="str">
        <f t="shared" si="559"/>
        <v>PopulaçãoRMBH</v>
      </c>
    </row>
    <row r="1887" spans="1:56" s="1" customFormat="1" ht="38.25" customHeight="1" x14ac:dyDescent="0.25">
      <c r="A1887" s="413" t="str">
        <f>'Q100b-totais'!$B$19</f>
        <v>2.4</v>
      </c>
      <c r="B1887" s="54" t="str">
        <f>'Q100b-totais'!$C$19</f>
        <v>População</v>
      </c>
      <c r="C1887" s="167" t="s">
        <v>432</v>
      </c>
      <c r="D1887" s="378" t="s">
        <v>2812</v>
      </c>
      <c r="E1887" s="1506" t="s">
        <v>1764</v>
      </c>
      <c r="F1887" s="1102" t="s">
        <v>6044</v>
      </c>
      <c r="G1887" s="110" t="s">
        <v>77</v>
      </c>
      <c r="H1887" s="168" t="s">
        <v>1298</v>
      </c>
      <c r="I1887" s="167">
        <v>1</v>
      </c>
      <c r="J1887" s="93" t="s">
        <v>432</v>
      </c>
      <c r="K1887" s="84" t="s">
        <v>432</v>
      </c>
      <c r="L1887" s="84" t="s">
        <v>432</v>
      </c>
      <c r="M1887" s="84" t="s">
        <v>432</v>
      </c>
      <c r="N1887" s="84" t="s">
        <v>432</v>
      </c>
      <c r="O1887" s="84" t="s">
        <v>432</v>
      </c>
      <c r="P1887" s="84" t="s">
        <v>432</v>
      </c>
      <c r="Q1887" s="84" t="s">
        <v>432</v>
      </c>
      <c r="R1887" s="84" t="s">
        <v>432</v>
      </c>
      <c r="S1887" s="109" t="s">
        <v>2209</v>
      </c>
      <c r="T1887" s="84" t="s">
        <v>432</v>
      </c>
      <c r="U1887" s="84" t="s">
        <v>432</v>
      </c>
      <c r="V1887" s="109" t="s">
        <v>2209</v>
      </c>
      <c r="W1887" s="84" t="s">
        <v>432</v>
      </c>
      <c r="X1887" s="84" t="s">
        <v>432</v>
      </c>
      <c r="Y1887" s="84" t="s">
        <v>432</v>
      </c>
      <c r="Z1887" s="84" t="s">
        <v>432</v>
      </c>
      <c r="AA1887" s="84" t="s">
        <v>432</v>
      </c>
      <c r="AB1887" s="84" t="s">
        <v>432</v>
      </c>
      <c r="AC1887" s="84" t="s">
        <v>432</v>
      </c>
      <c r="AD1887" s="84" t="s">
        <v>432</v>
      </c>
      <c r="AE1887" s="84" t="s">
        <v>432</v>
      </c>
      <c r="AF1887" s="87">
        <v>25814</v>
      </c>
      <c r="AG1887" s="84" t="s">
        <v>432</v>
      </c>
      <c r="AH1887" s="84" t="s">
        <v>432</v>
      </c>
      <c r="AI1887" s="84" t="s">
        <v>432</v>
      </c>
      <c r="AJ1887" s="84" t="s">
        <v>432</v>
      </c>
      <c r="AK1887" s="137" t="s">
        <v>432</v>
      </c>
      <c r="AL1887" s="601" t="s">
        <v>432</v>
      </c>
      <c r="AM1887" s="137" t="s">
        <v>432</v>
      </c>
      <c r="AN1887" s="137" t="s">
        <v>432</v>
      </c>
      <c r="AO1887" s="137" t="s">
        <v>432</v>
      </c>
      <c r="AP1887" s="137" t="s">
        <v>432</v>
      </c>
      <c r="AQ1887" s="137" t="s">
        <v>432</v>
      </c>
      <c r="AR1887" s="137" t="s">
        <v>432</v>
      </c>
      <c r="AS1887" s="137" t="s">
        <v>432</v>
      </c>
      <c r="AT1887" s="137" t="s">
        <v>432</v>
      </c>
      <c r="AU1887" s="137" t="s">
        <v>432</v>
      </c>
      <c r="AV1887" s="137" t="s">
        <v>432</v>
      </c>
      <c r="AW1887" s="137" t="s">
        <v>432</v>
      </c>
      <c r="AX1887" s="137" t="s">
        <v>432</v>
      </c>
      <c r="AY1887" s="137" t="s">
        <v>432</v>
      </c>
      <c r="AZ1887" s="137" t="s">
        <v>432</v>
      </c>
      <c r="BA1887" s="137" t="s">
        <v>432</v>
      </c>
      <c r="BB1887" s="239" t="str">
        <f t="shared" si="557"/>
        <v>Populaçãox</v>
      </c>
      <c r="BC1887" s="239" t="str">
        <f t="shared" si="558"/>
        <v>PopulaçãoxRMBH</v>
      </c>
      <c r="BD1887" s="239" t="str">
        <f t="shared" si="559"/>
        <v>PopulaçãoRMBH</v>
      </c>
    </row>
    <row r="1888" spans="1:56" s="1" customFormat="1" ht="38.25" customHeight="1" x14ac:dyDescent="0.25">
      <c r="A1888" s="413" t="str">
        <f>'Q100b-totais'!$B$19</f>
        <v>2.4</v>
      </c>
      <c r="B1888" s="54" t="str">
        <f>'Q100b-totais'!$C$19</f>
        <v>População</v>
      </c>
      <c r="C1888" s="167" t="s">
        <v>432</v>
      </c>
      <c r="D1888" s="378" t="s">
        <v>2812</v>
      </c>
      <c r="E1888" s="1506" t="s">
        <v>1765</v>
      </c>
      <c r="F1888" s="1102" t="s">
        <v>6044</v>
      </c>
      <c r="G1888" s="110" t="s">
        <v>77</v>
      </c>
      <c r="H1888" s="168" t="s">
        <v>1298</v>
      </c>
      <c r="I1888" s="167">
        <v>1</v>
      </c>
      <c r="J1888" s="93" t="s">
        <v>432</v>
      </c>
      <c r="K1888" s="84" t="s">
        <v>432</v>
      </c>
      <c r="L1888" s="84" t="s">
        <v>432</v>
      </c>
      <c r="M1888" s="84" t="s">
        <v>432</v>
      </c>
      <c r="N1888" s="84" t="s">
        <v>432</v>
      </c>
      <c r="O1888" s="84" t="s">
        <v>432</v>
      </c>
      <c r="P1888" s="84" t="s">
        <v>432</v>
      </c>
      <c r="Q1888" s="84" t="s">
        <v>432</v>
      </c>
      <c r="R1888" s="84" t="s">
        <v>432</v>
      </c>
      <c r="S1888" s="109" t="s">
        <v>2209</v>
      </c>
      <c r="T1888" s="84" t="s">
        <v>432</v>
      </c>
      <c r="U1888" s="84" t="s">
        <v>432</v>
      </c>
      <c r="V1888" s="109" t="s">
        <v>2209</v>
      </c>
      <c r="W1888" s="84" t="s">
        <v>432</v>
      </c>
      <c r="X1888" s="84" t="s">
        <v>432</v>
      </c>
      <c r="Y1888" s="84" t="s">
        <v>432</v>
      </c>
      <c r="Z1888" s="84" t="s">
        <v>432</v>
      </c>
      <c r="AA1888" s="84" t="s">
        <v>432</v>
      </c>
      <c r="AB1888" s="84" t="s">
        <v>432</v>
      </c>
      <c r="AC1888" s="84" t="s">
        <v>432</v>
      </c>
      <c r="AD1888" s="84" t="s">
        <v>432</v>
      </c>
      <c r="AE1888" s="84" t="s">
        <v>432</v>
      </c>
      <c r="AF1888" s="87">
        <v>3794</v>
      </c>
      <c r="AG1888" s="84" t="s">
        <v>432</v>
      </c>
      <c r="AH1888" s="84" t="s">
        <v>432</v>
      </c>
      <c r="AI1888" s="84" t="s">
        <v>432</v>
      </c>
      <c r="AJ1888" s="84" t="s">
        <v>432</v>
      </c>
      <c r="AK1888" s="137" t="s">
        <v>432</v>
      </c>
      <c r="AL1888" s="601" t="s">
        <v>432</v>
      </c>
      <c r="AM1888" s="137" t="s">
        <v>432</v>
      </c>
      <c r="AN1888" s="137" t="s">
        <v>432</v>
      </c>
      <c r="AO1888" s="137" t="s">
        <v>432</v>
      </c>
      <c r="AP1888" s="137" t="s">
        <v>432</v>
      </c>
      <c r="AQ1888" s="137" t="s">
        <v>432</v>
      </c>
      <c r="AR1888" s="137" t="s">
        <v>432</v>
      </c>
      <c r="AS1888" s="137" t="s">
        <v>432</v>
      </c>
      <c r="AT1888" s="137" t="s">
        <v>432</v>
      </c>
      <c r="AU1888" s="137" t="s">
        <v>432</v>
      </c>
      <c r="AV1888" s="137" t="s">
        <v>432</v>
      </c>
      <c r="AW1888" s="137" t="s">
        <v>432</v>
      </c>
      <c r="AX1888" s="137" t="s">
        <v>432</v>
      </c>
      <c r="AY1888" s="137" t="s">
        <v>432</v>
      </c>
      <c r="AZ1888" s="137" t="s">
        <v>432</v>
      </c>
      <c r="BA1888" s="137" t="s">
        <v>432</v>
      </c>
      <c r="BB1888" s="239" t="str">
        <f t="shared" si="557"/>
        <v>Populaçãox</v>
      </c>
      <c r="BC1888" s="239" t="str">
        <f t="shared" si="558"/>
        <v>PopulaçãoxRMBH</v>
      </c>
      <c r="BD1888" s="239" t="str">
        <f t="shared" si="559"/>
        <v>PopulaçãoRMBH</v>
      </c>
    </row>
    <row r="1889" spans="1:56" s="1" customFormat="1" ht="38.25" customHeight="1" x14ac:dyDescent="0.25">
      <c r="A1889" s="413" t="str">
        <f>'Q100b-totais'!$B$19</f>
        <v>2.4</v>
      </c>
      <c r="B1889" s="54" t="str">
        <f>'Q100b-totais'!$C$19</f>
        <v>População</v>
      </c>
      <c r="C1889" s="167" t="s">
        <v>432</v>
      </c>
      <c r="D1889" s="378" t="s">
        <v>2812</v>
      </c>
      <c r="E1889" s="1506" t="s">
        <v>1766</v>
      </c>
      <c r="F1889" s="1102" t="s">
        <v>6044</v>
      </c>
      <c r="G1889" s="110" t="s">
        <v>77</v>
      </c>
      <c r="H1889" s="168" t="s">
        <v>1298</v>
      </c>
      <c r="I1889" s="167">
        <v>1</v>
      </c>
      <c r="J1889" s="93" t="s">
        <v>432</v>
      </c>
      <c r="K1889" s="84" t="s">
        <v>432</v>
      </c>
      <c r="L1889" s="84" t="s">
        <v>432</v>
      </c>
      <c r="M1889" s="84" t="s">
        <v>432</v>
      </c>
      <c r="N1889" s="84" t="s">
        <v>432</v>
      </c>
      <c r="O1889" s="84" t="s">
        <v>432</v>
      </c>
      <c r="P1889" s="84" t="s">
        <v>432</v>
      </c>
      <c r="Q1889" s="84" t="s">
        <v>432</v>
      </c>
      <c r="R1889" s="84" t="s">
        <v>432</v>
      </c>
      <c r="S1889" s="109" t="s">
        <v>2209</v>
      </c>
      <c r="T1889" s="84" t="s">
        <v>432</v>
      </c>
      <c r="U1889" s="84" t="s">
        <v>432</v>
      </c>
      <c r="V1889" s="109" t="s">
        <v>2209</v>
      </c>
      <c r="W1889" s="84" t="s">
        <v>432</v>
      </c>
      <c r="X1889" s="84" t="s">
        <v>432</v>
      </c>
      <c r="Y1889" s="84" t="s">
        <v>432</v>
      </c>
      <c r="Z1889" s="84" t="s">
        <v>432</v>
      </c>
      <c r="AA1889" s="84" t="s">
        <v>432</v>
      </c>
      <c r="AB1889" s="84" t="s">
        <v>432</v>
      </c>
      <c r="AC1889" s="84" t="s">
        <v>432</v>
      </c>
      <c r="AD1889" s="84" t="s">
        <v>432</v>
      </c>
      <c r="AE1889" s="84" t="s">
        <v>432</v>
      </c>
      <c r="AF1889" s="87">
        <v>104527</v>
      </c>
      <c r="AG1889" s="84" t="s">
        <v>432</v>
      </c>
      <c r="AH1889" s="84" t="s">
        <v>432</v>
      </c>
      <c r="AI1889" s="84" t="s">
        <v>432</v>
      </c>
      <c r="AJ1889" s="84" t="s">
        <v>432</v>
      </c>
      <c r="AK1889" s="137" t="s">
        <v>432</v>
      </c>
      <c r="AL1889" s="601" t="s">
        <v>432</v>
      </c>
      <c r="AM1889" s="137" t="s">
        <v>432</v>
      </c>
      <c r="AN1889" s="137" t="s">
        <v>432</v>
      </c>
      <c r="AO1889" s="137" t="s">
        <v>432</v>
      </c>
      <c r="AP1889" s="137" t="s">
        <v>432</v>
      </c>
      <c r="AQ1889" s="137" t="s">
        <v>432</v>
      </c>
      <c r="AR1889" s="137" t="s">
        <v>432</v>
      </c>
      <c r="AS1889" s="137" t="s">
        <v>432</v>
      </c>
      <c r="AT1889" s="137" t="s">
        <v>432</v>
      </c>
      <c r="AU1889" s="137" t="s">
        <v>432</v>
      </c>
      <c r="AV1889" s="137" t="s">
        <v>432</v>
      </c>
      <c r="AW1889" s="137" t="s">
        <v>432</v>
      </c>
      <c r="AX1889" s="137" t="s">
        <v>432</v>
      </c>
      <c r="AY1889" s="137" t="s">
        <v>432</v>
      </c>
      <c r="AZ1889" s="137" t="s">
        <v>432</v>
      </c>
      <c r="BA1889" s="137" t="s">
        <v>432</v>
      </c>
      <c r="BB1889" s="239" t="str">
        <f t="shared" si="557"/>
        <v>Populaçãox</v>
      </c>
      <c r="BC1889" s="239" t="str">
        <f t="shared" si="558"/>
        <v>PopulaçãoxRMBH</v>
      </c>
      <c r="BD1889" s="239" t="str">
        <f t="shared" si="559"/>
        <v>PopulaçãoRMBH</v>
      </c>
    </row>
    <row r="1890" spans="1:56" s="1" customFormat="1" ht="11.25" customHeight="1" x14ac:dyDescent="0.25">
      <c r="A1890" s="398"/>
      <c r="B1890" s="221"/>
      <c r="C1890" s="399"/>
      <c r="D1890" s="987"/>
      <c r="E1890" s="1533"/>
      <c r="F1890" s="405"/>
      <c r="G1890" s="405"/>
      <c r="H1890" s="399"/>
      <c r="I1890" s="405"/>
      <c r="J1890" s="221"/>
      <c r="K1890" s="403"/>
      <c r="L1890" s="403"/>
      <c r="M1890" s="403"/>
      <c r="N1890" s="403"/>
      <c r="O1890" s="403"/>
      <c r="P1890" s="403"/>
      <c r="Q1890" s="403"/>
      <c r="R1890" s="403"/>
      <c r="S1890" s="403"/>
      <c r="T1890" s="403"/>
      <c r="U1890" s="403"/>
      <c r="V1890" s="403"/>
      <c r="W1890" s="403"/>
      <c r="X1890" s="403"/>
      <c r="Y1890" s="403"/>
      <c r="Z1890" s="403"/>
      <c r="AA1890" s="403"/>
      <c r="AB1890" s="403"/>
      <c r="AC1890" s="403"/>
      <c r="AD1890" s="403"/>
      <c r="AE1890" s="403"/>
      <c r="AF1890" s="403"/>
      <c r="AG1890" s="403"/>
      <c r="AH1890" s="403"/>
      <c r="AI1890" s="403"/>
      <c r="AJ1890" s="403"/>
      <c r="AK1890" s="223"/>
      <c r="AL1890" s="223"/>
      <c r="AM1890" s="223"/>
      <c r="AN1890" s="223"/>
      <c r="AO1890" s="223"/>
      <c r="AP1890" s="223"/>
      <c r="AQ1890" s="223"/>
      <c r="AR1890" s="223"/>
      <c r="AS1890" s="223"/>
      <c r="AT1890" s="223"/>
      <c r="AU1890" s="223"/>
      <c r="AV1890" s="223"/>
      <c r="AW1890" s="223"/>
      <c r="AX1890" s="223"/>
      <c r="AY1890" s="223"/>
      <c r="AZ1890" s="223"/>
      <c r="BA1890" s="223"/>
      <c r="BB1890" s="400"/>
      <c r="BC1890" s="400"/>
      <c r="BD1890" s="400"/>
    </row>
    <row r="1891" spans="1:56" s="1" customFormat="1" ht="51" customHeight="1" x14ac:dyDescent="0.25">
      <c r="A1891" s="262" t="s">
        <v>432</v>
      </c>
      <c r="B1891" s="252" t="s">
        <v>742</v>
      </c>
      <c r="C1891" s="167" t="s">
        <v>432</v>
      </c>
      <c r="D1891" s="324" t="s">
        <v>305</v>
      </c>
      <c r="E1891" s="1496" t="s">
        <v>432</v>
      </c>
      <c r="F1891" s="11" t="s">
        <v>661</v>
      </c>
      <c r="G1891" s="167" t="s">
        <v>3879</v>
      </c>
      <c r="H1891" s="167" t="s">
        <v>432</v>
      </c>
      <c r="I1891" s="167" t="s">
        <v>432</v>
      </c>
      <c r="J1891" s="107" t="s">
        <v>432</v>
      </c>
      <c r="K1891" s="107" t="s">
        <v>432</v>
      </c>
      <c r="L1891" s="107" t="s">
        <v>432</v>
      </c>
      <c r="M1891" s="107" t="s">
        <v>432</v>
      </c>
      <c r="N1891" s="107" t="s">
        <v>432</v>
      </c>
      <c r="O1891" s="107" t="s">
        <v>432</v>
      </c>
      <c r="P1891" s="107" t="s">
        <v>432</v>
      </c>
      <c r="Q1891" s="107" t="s">
        <v>432</v>
      </c>
      <c r="R1891" s="107" t="s">
        <v>432</v>
      </c>
      <c r="S1891" s="109" t="s">
        <v>2209</v>
      </c>
      <c r="T1891" s="107" t="s">
        <v>432</v>
      </c>
      <c r="U1891" s="107" t="s">
        <v>432</v>
      </c>
      <c r="V1891" s="109" t="s">
        <v>2209</v>
      </c>
      <c r="W1891" s="107" t="s">
        <v>432</v>
      </c>
      <c r="X1891" s="107" t="s">
        <v>432</v>
      </c>
      <c r="Y1891" s="107" t="s">
        <v>432</v>
      </c>
      <c r="Z1891" s="107" t="s">
        <v>432</v>
      </c>
      <c r="AA1891" s="107" t="s">
        <v>432</v>
      </c>
      <c r="AB1891" s="107" t="s">
        <v>432</v>
      </c>
      <c r="AC1891" s="107" t="s">
        <v>432</v>
      </c>
      <c r="AD1891" s="107" t="s">
        <v>432</v>
      </c>
      <c r="AE1891" s="107" t="s">
        <v>432</v>
      </c>
      <c r="AF1891" s="107" t="s">
        <v>432</v>
      </c>
      <c r="AG1891" s="107" t="s">
        <v>432</v>
      </c>
      <c r="AH1891" s="107" t="s">
        <v>432</v>
      </c>
      <c r="AI1891" s="107" t="s">
        <v>432</v>
      </c>
      <c r="AJ1891" s="107" t="s">
        <v>432</v>
      </c>
      <c r="AK1891" s="137" t="s">
        <v>432</v>
      </c>
      <c r="AL1891" s="1332" t="s">
        <v>432</v>
      </c>
      <c r="AM1891" s="137" t="s">
        <v>432</v>
      </c>
      <c r="AN1891" s="137" t="s">
        <v>432</v>
      </c>
      <c r="AO1891" s="137" t="s">
        <v>432</v>
      </c>
      <c r="AP1891" s="137" t="s">
        <v>432</v>
      </c>
      <c r="AQ1891" s="137" t="s">
        <v>432</v>
      </c>
      <c r="AR1891" s="137" t="s">
        <v>432</v>
      </c>
      <c r="AS1891" s="137" t="s">
        <v>432</v>
      </c>
      <c r="AT1891" s="137" t="s">
        <v>432</v>
      </c>
      <c r="AU1891" s="137" t="s">
        <v>432</v>
      </c>
      <c r="AV1891" s="137" t="s">
        <v>432</v>
      </c>
      <c r="AW1891" s="137" t="s">
        <v>432</v>
      </c>
      <c r="AX1891" s="137" t="s">
        <v>432</v>
      </c>
      <c r="AY1891" s="137" t="s">
        <v>432</v>
      </c>
      <c r="AZ1891" s="137" t="s">
        <v>432</v>
      </c>
      <c r="BA1891" s="137" t="s">
        <v>432</v>
      </c>
      <c r="BB1891" s="239" t="str">
        <f>B1891&amp;C1891</f>
        <v>geralx</v>
      </c>
      <c r="BC1891" s="239" t="str">
        <f>B1891&amp;C1891&amp;H1891</f>
        <v>geralxx</v>
      </c>
      <c r="BD1891" s="239" t="str">
        <f>B1891&amp;H1891</f>
        <v>geralx</v>
      </c>
    </row>
    <row r="1892" spans="1:56" s="1" customFormat="1" ht="10.5" customHeight="1" x14ac:dyDescent="0.25">
      <c r="A1892" s="398"/>
      <c r="B1892" s="221"/>
      <c r="C1892" s="399"/>
      <c r="D1892" s="987"/>
      <c r="E1892" s="1533"/>
      <c r="F1892" s="405"/>
      <c r="G1892" s="405"/>
      <c r="H1892" s="399"/>
      <c r="I1892" s="405"/>
      <c r="J1892" s="221"/>
      <c r="K1892" s="403"/>
      <c r="L1892" s="403"/>
      <c r="M1892" s="403"/>
      <c r="N1892" s="403"/>
      <c r="O1892" s="403"/>
      <c r="P1892" s="403"/>
      <c r="Q1892" s="403"/>
      <c r="R1892" s="403"/>
      <c r="S1892" s="403"/>
      <c r="T1892" s="403"/>
      <c r="U1892" s="403"/>
      <c r="V1892" s="403"/>
      <c r="W1892" s="403"/>
      <c r="X1892" s="403"/>
      <c r="Y1892" s="403"/>
      <c r="Z1892" s="403"/>
      <c r="AA1892" s="403"/>
      <c r="AB1892" s="403"/>
      <c r="AC1892" s="403"/>
      <c r="AD1892" s="403"/>
      <c r="AE1892" s="403"/>
      <c r="AF1892" s="403"/>
      <c r="AG1892" s="403"/>
      <c r="AH1892" s="403"/>
      <c r="AI1892" s="403"/>
      <c r="AJ1892" s="403"/>
      <c r="AK1892" s="223"/>
      <c r="AL1892" s="223"/>
      <c r="AM1892" s="223"/>
      <c r="AN1892" s="223"/>
      <c r="AO1892" s="223"/>
      <c r="AP1892" s="223"/>
      <c r="AQ1892" s="223"/>
      <c r="AR1892" s="223"/>
      <c r="AS1892" s="223"/>
      <c r="AT1892" s="223"/>
      <c r="AU1892" s="223"/>
      <c r="AV1892" s="223"/>
      <c r="AW1892" s="223"/>
      <c r="AX1892" s="223"/>
      <c r="AY1892" s="223"/>
      <c r="AZ1892" s="223"/>
      <c r="BA1892" s="223"/>
      <c r="BB1892" s="400"/>
      <c r="BC1892" s="400"/>
      <c r="BD1892" s="400"/>
    </row>
    <row r="1893" spans="1:56" s="1" customFormat="1" ht="59.25" customHeight="1" x14ac:dyDescent="0.25">
      <c r="A1893" s="275" t="str">
        <f>'Q100b-totais'!$B$17</f>
        <v>2.2</v>
      </c>
      <c r="B1893" s="54" t="str">
        <f>'Q100b-totais'!$C$17</f>
        <v>Frota e condutores de veículos automotores</v>
      </c>
      <c r="C1893" s="167" t="s">
        <v>432</v>
      </c>
      <c r="D1893" s="984" t="s">
        <v>306</v>
      </c>
      <c r="E1893" s="1505" t="s">
        <v>1306</v>
      </c>
      <c r="F1893" s="25" t="s">
        <v>445</v>
      </c>
      <c r="G1893" s="404" t="s">
        <v>446</v>
      </c>
      <c r="H1893" s="167" t="s">
        <v>432</v>
      </c>
      <c r="I1893" s="172">
        <v>1</v>
      </c>
      <c r="J1893" s="58" t="s">
        <v>432</v>
      </c>
      <c r="K1893" s="20" t="s">
        <v>432</v>
      </c>
      <c r="L1893" s="20" t="s">
        <v>432</v>
      </c>
      <c r="M1893" s="20" t="s">
        <v>432</v>
      </c>
      <c r="N1893" s="20" t="s">
        <v>432</v>
      </c>
      <c r="O1893" s="20" t="s">
        <v>432</v>
      </c>
      <c r="P1893" s="20" t="s">
        <v>432</v>
      </c>
      <c r="Q1893" s="20" t="s">
        <v>432</v>
      </c>
      <c r="R1893" s="20" t="s">
        <v>432</v>
      </c>
      <c r="S1893" s="109" t="s">
        <v>2209</v>
      </c>
      <c r="T1893" s="64">
        <f>T1855/T818</f>
        <v>4.3079750555632446</v>
      </c>
      <c r="U1893" s="64">
        <f>U1855/U818</f>
        <v>4.4002154380212728</v>
      </c>
      <c r="V1893" s="109" t="s">
        <v>2209</v>
      </c>
      <c r="W1893" s="64">
        <f t="shared" ref="W1893:AJ1893" si="560">W1855/W818</f>
        <v>4.2395865204308985</v>
      </c>
      <c r="X1893" s="64">
        <f t="shared" si="560"/>
        <v>4.1338409702040799</v>
      </c>
      <c r="Y1893" s="64">
        <f t="shared" si="560"/>
        <v>3.9707046250598408</v>
      </c>
      <c r="Z1893" s="64">
        <f t="shared" si="560"/>
        <v>3.90483784690728</v>
      </c>
      <c r="AA1893" s="64">
        <f t="shared" si="560"/>
        <v>3.7805469653972685</v>
      </c>
      <c r="AB1893" s="64">
        <f t="shared" si="560"/>
        <v>3.5644087859664548</v>
      </c>
      <c r="AC1893" s="64">
        <f t="shared" si="560"/>
        <v>3.3032754343790556</v>
      </c>
      <c r="AD1893" s="64">
        <f t="shared" si="560"/>
        <v>3.0978872737637166</v>
      </c>
      <c r="AE1893" s="64">
        <f t="shared" si="560"/>
        <v>2.8394658238399555</v>
      </c>
      <c r="AF1893" s="64">
        <f t="shared" si="560"/>
        <v>2.5326326295372561</v>
      </c>
      <c r="AG1893" s="64">
        <f t="shared" si="560"/>
        <v>2.390887999158152</v>
      </c>
      <c r="AH1893" s="64">
        <f t="shared" si="560"/>
        <v>2.2922859950380374</v>
      </c>
      <c r="AI1893" s="64">
        <f t="shared" si="560"/>
        <v>2.2751667258592794</v>
      </c>
      <c r="AJ1893" s="64">
        <f t="shared" si="560"/>
        <v>2.2299385920939558</v>
      </c>
      <c r="AK1893" s="137" t="s">
        <v>432</v>
      </c>
      <c r="AL1893" s="1332" t="s">
        <v>432</v>
      </c>
      <c r="AM1893" s="137" t="s">
        <v>432</v>
      </c>
      <c r="AN1893" s="137" t="s">
        <v>432</v>
      </c>
      <c r="AO1893" s="137" t="s">
        <v>432</v>
      </c>
      <c r="AP1893" s="137" t="s">
        <v>432</v>
      </c>
      <c r="AQ1893" s="137" t="s">
        <v>432</v>
      </c>
      <c r="AR1893" s="137" t="s">
        <v>432</v>
      </c>
      <c r="AS1893" s="137" t="s">
        <v>432</v>
      </c>
      <c r="AT1893" s="137" t="s">
        <v>432</v>
      </c>
      <c r="AU1893" s="137" t="s">
        <v>432</v>
      </c>
      <c r="AV1893" s="137" t="s">
        <v>432</v>
      </c>
      <c r="AW1893" s="137" t="s">
        <v>432</v>
      </c>
      <c r="AX1893" s="137" t="s">
        <v>432</v>
      </c>
      <c r="AY1893" s="137" t="s">
        <v>432</v>
      </c>
      <c r="AZ1893" s="137" t="s">
        <v>432</v>
      </c>
      <c r="BA1893" s="137" t="s">
        <v>432</v>
      </c>
      <c r="BB1893" s="239" t="str">
        <f>B1893&amp;C1893</f>
        <v>Frota e condutores de veículos automotoresx</v>
      </c>
      <c r="BC1893" s="239" t="str">
        <f>B1893&amp;C1893&amp;H1893</f>
        <v>Frota e condutores de veículos automotoresxx</v>
      </c>
      <c r="BD1893" s="239" t="str">
        <f>B1893&amp;H1893</f>
        <v>Frota e condutores de veículos automotoresx</v>
      </c>
    </row>
    <row r="1894" spans="1:56" s="1" customFormat="1" ht="84.75" customHeight="1" x14ac:dyDescent="0.25">
      <c r="A1894" s="275" t="str">
        <f>'Q100b-totais'!$B$17</f>
        <v>2.2</v>
      </c>
      <c r="B1894" s="54" t="str">
        <f>'Q100b-totais'!$C$17</f>
        <v>Frota e condutores de veículos automotores</v>
      </c>
      <c r="C1894" s="167" t="s">
        <v>432</v>
      </c>
      <c r="D1894" s="984" t="s">
        <v>307</v>
      </c>
      <c r="E1894" s="1505" t="s">
        <v>1306</v>
      </c>
      <c r="F1894" s="25" t="s">
        <v>1441</v>
      </c>
      <c r="G1894" s="404" t="s">
        <v>447</v>
      </c>
      <c r="H1894" s="167" t="s">
        <v>432</v>
      </c>
      <c r="I1894" s="172">
        <v>1</v>
      </c>
      <c r="J1894" s="58" t="s">
        <v>432</v>
      </c>
      <c r="K1894" s="20" t="s">
        <v>432</v>
      </c>
      <c r="L1894" s="20" t="s">
        <v>432</v>
      </c>
      <c r="M1894" s="20" t="s">
        <v>432</v>
      </c>
      <c r="N1894" s="20" t="s">
        <v>432</v>
      </c>
      <c r="O1894" s="20" t="s">
        <v>432</v>
      </c>
      <c r="P1894" s="20" t="s">
        <v>432</v>
      </c>
      <c r="Q1894" s="20" t="s">
        <v>432</v>
      </c>
      <c r="R1894" s="20" t="s">
        <v>432</v>
      </c>
      <c r="S1894" s="109" t="s">
        <v>2209</v>
      </c>
      <c r="T1894" s="64">
        <f>T1855/T821</f>
        <v>3.7860531173532905</v>
      </c>
      <c r="U1894" s="64">
        <f>U1855/U821</f>
        <v>3.8469652548402284</v>
      </c>
      <c r="V1894" s="109" t="s">
        <v>2209</v>
      </c>
      <c r="W1894" s="64">
        <f t="shared" ref="W1894:AJ1894" si="561">W1855/W821</f>
        <v>3.6973454601409772</v>
      </c>
      <c r="X1894" s="64">
        <f t="shared" si="561"/>
        <v>3.6027731254120106</v>
      </c>
      <c r="Y1894" s="64">
        <f t="shared" si="561"/>
        <v>3.4650521152667078</v>
      </c>
      <c r="Z1894" s="64">
        <f t="shared" si="561"/>
        <v>3.4099849416379668</v>
      </c>
      <c r="AA1894" s="64">
        <f t="shared" si="561"/>
        <v>3.2923918165941286</v>
      </c>
      <c r="AB1894" s="64">
        <f t="shared" si="561"/>
        <v>3.1056754228065113</v>
      </c>
      <c r="AC1894" s="64">
        <f t="shared" si="561"/>
        <v>2.8803828036776276</v>
      </c>
      <c r="AD1894" s="64">
        <f t="shared" si="561"/>
        <v>2.7015467103416211</v>
      </c>
      <c r="AE1894" s="64">
        <f t="shared" si="561"/>
        <v>2.4778889898070422</v>
      </c>
      <c r="AF1894" s="64">
        <f t="shared" si="561"/>
        <v>2.1976633153275191</v>
      </c>
      <c r="AG1894" s="64">
        <f t="shared" si="561"/>
        <v>2.0633115352714322</v>
      </c>
      <c r="AH1894" s="64">
        <f t="shared" si="561"/>
        <v>1.9647647360328038</v>
      </c>
      <c r="AI1894" s="64">
        <f t="shared" si="561"/>
        <v>1.9387515708785894</v>
      </c>
      <c r="AJ1894" s="64">
        <f t="shared" si="561"/>
        <v>1.8869007401841522</v>
      </c>
      <c r="AK1894" s="137" t="s">
        <v>432</v>
      </c>
      <c r="AL1894" s="601" t="s">
        <v>432</v>
      </c>
      <c r="AM1894" s="137" t="s">
        <v>432</v>
      </c>
      <c r="AN1894" s="137" t="s">
        <v>432</v>
      </c>
      <c r="AO1894" s="137" t="s">
        <v>432</v>
      </c>
      <c r="AP1894" s="137" t="s">
        <v>432</v>
      </c>
      <c r="AQ1894" s="137" t="s">
        <v>432</v>
      </c>
      <c r="AR1894" s="137" t="s">
        <v>432</v>
      </c>
      <c r="AS1894" s="137" t="s">
        <v>432</v>
      </c>
      <c r="AT1894" s="137" t="s">
        <v>432</v>
      </c>
      <c r="AU1894" s="137" t="s">
        <v>432</v>
      </c>
      <c r="AV1894" s="137" t="s">
        <v>432</v>
      </c>
      <c r="AW1894" s="137" t="s">
        <v>432</v>
      </c>
      <c r="AX1894" s="137" t="s">
        <v>432</v>
      </c>
      <c r="AY1894" s="137" t="s">
        <v>432</v>
      </c>
      <c r="AZ1894" s="137" t="s">
        <v>432</v>
      </c>
      <c r="BA1894" s="137" t="s">
        <v>432</v>
      </c>
      <c r="BB1894" s="239" t="str">
        <f>B1894&amp;C1894</f>
        <v>Frota e condutores de veículos automotoresx</v>
      </c>
      <c r="BC1894" s="239" t="str">
        <f>B1894&amp;C1894&amp;H1894</f>
        <v>Frota e condutores de veículos automotoresxx</v>
      </c>
      <c r="BD1894" s="239" t="str">
        <f>B1894&amp;H1894</f>
        <v>Frota e condutores de veículos automotoresx</v>
      </c>
    </row>
    <row r="1895" spans="1:56" s="1" customFormat="1" ht="87.75" customHeight="1" x14ac:dyDescent="0.25">
      <c r="A1895" s="275" t="str">
        <f>'Q100b-totais'!$B$17</f>
        <v>2.2</v>
      </c>
      <c r="B1895" s="54" t="str">
        <f>'Q100b-totais'!$C$17</f>
        <v>Frota e condutores de veículos automotores</v>
      </c>
      <c r="C1895" s="167" t="s">
        <v>432</v>
      </c>
      <c r="D1895" s="984" t="s">
        <v>308</v>
      </c>
      <c r="E1895" s="1505" t="s">
        <v>1306</v>
      </c>
      <c r="F1895" s="25" t="s">
        <v>1442</v>
      </c>
      <c r="G1895" s="404" t="s">
        <v>448</v>
      </c>
      <c r="H1895" s="167" t="s">
        <v>432</v>
      </c>
      <c r="I1895" s="172">
        <v>1</v>
      </c>
      <c r="J1895" s="58" t="s">
        <v>432</v>
      </c>
      <c r="K1895" s="20" t="s">
        <v>432</v>
      </c>
      <c r="L1895" s="20" t="s">
        <v>432</v>
      </c>
      <c r="M1895" s="20" t="s">
        <v>432</v>
      </c>
      <c r="N1895" s="20" t="s">
        <v>432</v>
      </c>
      <c r="O1895" s="20" t="s">
        <v>432</v>
      </c>
      <c r="P1895" s="20" t="s">
        <v>432</v>
      </c>
      <c r="Q1895" s="20" t="s">
        <v>432</v>
      </c>
      <c r="R1895" s="20" t="s">
        <v>432</v>
      </c>
      <c r="S1895" s="109" t="s">
        <v>2209</v>
      </c>
      <c r="T1895" s="20" t="s">
        <v>432</v>
      </c>
      <c r="U1895" s="20" t="s">
        <v>432</v>
      </c>
      <c r="V1895" s="109" t="s">
        <v>2209</v>
      </c>
      <c r="W1895" s="20" t="s">
        <v>432</v>
      </c>
      <c r="X1895" s="20" t="s">
        <v>432</v>
      </c>
      <c r="Y1895" s="20" t="s">
        <v>432</v>
      </c>
      <c r="Z1895" s="64">
        <f t="shared" ref="Z1895:AJ1895" si="562">Z1855/Z843</f>
        <v>29.070271339879788</v>
      </c>
      <c r="AA1895" s="64">
        <f t="shared" si="562"/>
        <v>26.669312644555724</v>
      </c>
      <c r="AB1895" s="64">
        <f t="shared" si="562"/>
        <v>23.394909487926849</v>
      </c>
      <c r="AC1895" s="64">
        <f t="shared" si="562"/>
        <v>19.658448954319187</v>
      </c>
      <c r="AD1895" s="64">
        <f t="shared" si="562"/>
        <v>17.121131356319577</v>
      </c>
      <c r="AE1895" s="64">
        <f t="shared" si="562"/>
        <v>15.276914739884393</v>
      </c>
      <c r="AF1895" s="64">
        <f t="shared" si="562"/>
        <v>13.499701604515151</v>
      </c>
      <c r="AG1895" s="64">
        <f t="shared" si="562"/>
        <v>12.476348365435404</v>
      </c>
      <c r="AH1895" s="64">
        <f t="shared" si="562"/>
        <v>11.894769505746842</v>
      </c>
      <c r="AI1895" s="64">
        <f t="shared" si="562"/>
        <v>11.786913070764315</v>
      </c>
      <c r="AJ1895" s="64">
        <f t="shared" si="562"/>
        <v>11.472416286341929</v>
      </c>
      <c r="AK1895" s="137" t="s">
        <v>432</v>
      </c>
      <c r="AL1895" s="601" t="s">
        <v>432</v>
      </c>
      <c r="AM1895" s="137" t="s">
        <v>432</v>
      </c>
      <c r="AN1895" s="137" t="s">
        <v>432</v>
      </c>
      <c r="AO1895" s="137" t="s">
        <v>432</v>
      </c>
      <c r="AP1895" s="137" t="s">
        <v>432</v>
      </c>
      <c r="AQ1895" s="137" t="s">
        <v>432</v>
      </c>
      <c r="AR1895" s="137" t="s">
        <v>432</v>
      </c>
      <c r="AS1895" s="137" t="s">
        <v>432</v>
      </c>
      <c r="AT1895" s="137" t="s">
        <v>432</v>
      </c>
      <c r="AU1895" s="137" t="s">
        <v>432</v>
      </c>
      <c r="AV1895" s="137" t="s">
        <v>432</v>
      </c>
      <c r="AW1895" s="137" t="s">
        <v>432</v>
      </c>
      <c r="AX1895" s="137" t="s">
        <v>432</v>
      </c>
      <c r="AY1895" s="137" t="s">
        <v>432</v>
      </c>
      <c r="AZ1895" s="137" t="s">
        <v>432</v>
      </c>
      <c r="BA1895" s="137" t="s">
        <v>432</v>
      </c>
      <c r="BB1895" s="239" t="str">
        <f>B1895&amp;C1895</f>
        <v>Frota e condutores de veículos automotoresx</v>
      </c>
      <c r="BC1895" s="239" t="str">
        <f>B1895&amp;C1895&amp;H1895</f>
        <v>Frota e condutores de veículos automotoresxx</v>
      </c>
      <c r="BD1895" s="239" t="str">
        <f>B1895&amp;H1895</f>
        <v>Frota e condutores de veículos automotoresx</v>
      </c>
    </row>
    <row r="1896" spans="1:56" s="1" customFormat="1" ht="72" customHeight="1" x14ac:dyDescent="0.25">
      <c r="A1896" s="275" t="str">
        <f>'Q100b-totais'!$B$17</f>
        <v>2.2</v>
      </c>
      <c r="B1896" s="54" t="str">
        <f>'Q100b-totais'!$C$17</f>
        <v>Frota e condutores de veículos automotores</v>
      </c>
      <c r="C1896" s="167" t="s">
        <v>432</v>
      </c>
      <c r="D1896" s="984" t="s">
        <v>309</v>
      </c>
      <c r="E1896" s="1505" t="s">
        <v>1306</v>
      </c>
      <c r="F1896" s="25" t="s">
        <v>1443</v>
      </c>
      <c r="G1896" s="404" t="s">
        <v>449</v>
      </c>
      <c r="H1896" s="167" t="s">
        <v>432</v>
      </c>
      <c r="I1896" s="172">
        <v>1</v>
      </c>
      <c r="J1896" s="58" t="s">
        <v>432</v>
      </c>
      <c r="K1896" s="64">
        <f t="shared" ref="K1896:R1896" si="563">K1855/K814</f>
        <v>4.210379216556726</v>
      </c>
      <c r="L1896" s="64">
        <f t="shared" si="563"/>
        <v>4.1378591378040541</v>
      </c>
      <c r="M1896" s="64">
        <f t="shared" si="563"/>
        <v>4.0012084057885584</v>
      </c>
      <c r="N1896" s="64">
        <f t="shared" si="563"/>
        <v>3.8081561036667821</v>
      </c>
      <c r="O1896" s="64">
        <f t="shared" si="563"/>
        <v>3.6087171309978183</v>
      </c>
      <c r="P1896" s="64">
        <f t="shared" si="563"/>
        <v>3.4927554626283408</v>
      </c>
      <c r="Q1896" s="64">
        <f t="shared" si="563"/>
        <v>3.4313041091055267</v>
      </c>
      <c r="R1896" s="64">
        <f t="shared" si="563"/>
        <v>3.3790392509163998</v>
      </c>
      <c r="S1896" s="109" t="s">
        <v>2209</v>
      </c>
      <c r="T1896" s="64">
        <f>T1855/T814</f>
        <v>3.2304010671110928</v>
      </c>
      <c r="U1896" s="64">
        <f>U1855/U814</f>
        <v>3.2932721519080452</v>
      </c>
      <c r="V1896" s="109" t="s">
        <v>2209</v>
      </c>
      <c r="W1896" s="64">
        <f t="shared" ref="W1896:AJ1896" si="564">W1855/W814</f>
        <v>3.1462678042834757</v>
      </c>
      <c r="X1896" s="64">
        <f t="shared" si="564"/>
        <v>3.0400353444822819</v>
      </c>
      <c r="Y1896" s="64">
        <f t="shared" si="564"/>
        <v>2.9167150506418942</v>
      </c>
      <c r="Z1896" s="64">
        <f t="shared" si="564"/>
        <v>2.8604264298396234</v>
      </c>
      <c r="AA1896" s="64">
        <f t="shared" si="564"/>
        <v>2.7526737797493848</v>
      </c>
      <c r="AB1896" s="64">
        <f t="shared" si="564"/>
        <v>2.5769929141070369</v>
      </c>
      <c r="AC1896" s="64">
        <f t="shared" si="564"/>
        <v>2.3645465547569002</v>
      </c>
      <c r="AD1896" s="64">
        <f t="shared" si="564"/>
        <v>2.1988008225717741</v>
      </c>
      <c r="AE1896" s="64">
        <f t="shared" si="564"/>
        <v>2.0101358467370147</v>
      </c>
      <c r="AF1896" s="64">
        <f t="shared" si="564"/>
        <v>1.7826364981187814</v>
      </c>
      <c r="AG1896" s="64">
        <f t="shared" si="564"/>
        <v>1.6684372300881551</v>
      </c>
      <c r="AH1896" s="64">
        <f t="shared" si="564"/>
        <v>1.5894177472161133</v>
      </c>
      <c r="AI1896" s="64">
        <f t="shared" si="564"/>
        <v>1.5684713325425068</v>
      </c>
      <c r="AJ1896" s="64">
        <f t="shared" si="564"/>
        <v>1.5262137647307492</v>
      </c>
      <c r="AK1896" s="137" t="s">
        <v>432</v>
      </c>
      <c r="AL1896" s="601" t="s">
        <v>432</v>
      </c>
      <c r="AM1896" s="137" t="s">
        <v>432</v>
      </c>
      <c r="AN1896" s="137" t="s">
        <v>432</v>
      </c>
      <c r="AO1896" s="137" t="s">
        <v>432</v>
      </c>
      <c r="AP1896" s="137" t="s">
        <v>432</v>
      </c>
      <c r="AQ1896" s="137" t="s">
        <v>432</v>
      </c>
      <c r="AR1896" s="137" t="s">
        <v>432</v>
      </c>
      <c r="AS1896" s="137" t="s">
        <v>432</v>
      </c>
      <c r="AT1896" s="137" t="s">
        <v>432</v>
      </c>
      <c r="AU1896" s="137" t="s">
        <v>432</v>
      </c>
      <c r="AV1896" s="137" t="s">
        <v>432</v>
      </c>
      <c r="AW1896" s="137" t="s">
        <v>432</v>
      </c>
      <c r="AX1896" s="137" t="s">
        <v>432</v>
      </c>
      <c r="AY1896" s="137" t="s">
        <v>432</v>
      </c>
      <c r="AZ1896" s="137" t="s">
        <v>432</v>
      </c>
      <c r="BA1896" s="137" t="s">
        <v>432</v>
      </c>
      <c r="BB1896" s="239" t="str">
        <f>B1896&amp;C1896</f>
        <v>Frota e condutores de veículos automotoresx</v>
      </c>
      <c r="BC1896" s="239" t="str">
        <f>B1896&amp;C1896&amp;H1896</f>
        <v>Frota e condutores de veículos automotoresxx</v>
      </c>
      <c r="BD1896" s="239" t="str">
        <f>B1896&amp;H1896</f>
        <v>Frota e condutores de veículos automotoresx</v>
      </c>
    </row>
    <row r="1897" spans="1:56" s="1" customFormat="1" ht="12.75" customHeight="1" x14ac:dyDescent="0.25">
      <c r="A1897" s="398"/>
      <c r="B1897" s="221"/>
      <c r="C1897" s="399"/>
      <c r="D1897" s="987"/>
      <c r="E1897" s="1533"/>
      <c r="F1897" s="405"/>
      <c r="G1897" s="405"/>
      <c r="H1897" s="399"/>
      <c r="I1897" s="405"/>
      <c r="J1897" s="221"/>
      <c r="K1897" s="403"/>
      <c r="L1897" s="403"/>
      <c r="M1897" s="403"/>
      <c r="N1897" s="403"/>
      <c r="O1897" s="403"/>
      <c r="P1897" s="403"/>
      <c r="Q1897" s="403"/>
      <c r="R1897" s="403"/>
      <c r="S1897" s="403"/>
      <c r="T1897" s="403"/>
      <c r="U1897" s="403"/>
      <c r="V1897" s="403"/>
      <c r="W1897" s="403"/>
      <c r="X1897" s="403"/>
      <c r="Y1897" s="403"/>
      <c r="Z1897" s="403"/>
      <c r="AA1897" s="403"/>
      <c r="AB1897" s="403"/>
      <c r="AC1897" s="403"/>
      <c r="AD1897" s="403"/>
      <c r="AE1897" s="403"/>
      <c r="AF1897" s="403"/>
      <c r="AG1897" s="403"/>
      <c r="AH1897" s="403"/>
      <c r="AI1897" s="403"/>
      <c r="AJ1897" s="403"/>
      <c r="AK1897" s="223"/>
      <c r="AL1897" s="223"/>
      <c r="AM1897" s="223"/>
      <c r="AN1897" s="223"/>
      <c r="AO1897" s="223"/>
      <c r="AP1897" s="223"/>
      <c r="AQ1897" s="223"/>
      <c r="AR1897" s="223"/>
      <c r="AS1897" s="223"/>
      <c r="AT1897" s="223"/>
      <c r="AU1897" s="223"/>
      <c r="AV1897" s="223"/>
      <c r="AW1897" s="223"/>
      <c r="AX1897" s="223"/>
      <c r="AY1897" s="223"/>
      <c r="AZ1897" s="223"/>
      <c r="BA1897" s="223"/>
      <c r="BB1897" s="400"/>
      <c r="BC1897" s="400"/>
      <c r="BD1897" s="400"/>
    </row>
    <row r="1898" spans="1:56" s="1" customFormat="1" ht="25.5" x14ac:dyDescent="0.25">
      <c r="A1898" s="262" t="s">
        <v>432</v>
      </c>
      <c r="B1898" s="252" t="s">
        <v>742</v>
      </c>
      <c r="C1898" s="167" t="s">
        <v>432</v>
      </c>
      <c r="D1898" s="324" t="s">
        <v>310</v>
      </c>
      <c r="E1898" s="1496" t="s">
        <v>432</v>
      </c>
      <c r="F1898" s="165" t="s">
        <v>867</v>
      </c>
      <c r="G1898" s="167" t="s">
        <v>3879</v>
      </c>
      <c r="H1898" s="167" t="s">
        <v>432</v>
      </c>
      <c r="I1898" s="167" t="s">
        <v>432</v>
      </c>
      <c r="J1898" s="107" t="s">
        <v>432</v>
      </c>
      <c r="K1898" s="107" t="s">
        <v>432</v>
      </c>
      <c r="L1898" s="107" t="s">
        <v>432</v>
      </c>
      <c r="M1898" s="107" t="s">
        <v>432</v>
      </c>
      <c r="N1898" s="107" t="s">
        <v>432</v>
      </c>
      <c r="O1898" s="107" t="s">
        <v>432</v>
      </c>
      <c r="P1898" s="107" t="s">
        <v>432</v>
      </c>
      <c r="Q1898" s="107" t="s">
        <v>432</v>
      </c>
      <c r="R1898" s="107" t="s">
        <v>432</v>
      </c>
      <c r="S1898" s="109" t="s">
        <v>2209</v>
      </c>
      <c r="T1898" s="107" t="s">
        <v>432</v>
      </c>
      <c r="U1898" s="107" t="s">
        <v>432</v>
      </c>
      <c r="V1898" s="109" t="s">
        <v>2209</v>
      </c>
      <c r="W1898" s="107" t="s">
        <v>432</v>
      </c>
      <c r="X1898" s="107" t="s">
        <v>432</v>
      </c>
      <c r="Y1898" s="107" t="s">
        <v>432</v>
      </c>
      <c r="Z1898" s="107" t="s">
        <v>432</v>
      </c>
      <c r="AA1898" s="107" t="s">
        <v>432</v>
      </c>
      <c r="AB1898" s="107" t="s">
        <v>432</v>
      </c>
      <c r="AC1898" s="107" t="s">
        <v>432</v>
      </c>
      <c r="AD1898" s="107" t="s">
        <v>432</v>
      </c>
      <c r="AE1898" s="107" t="s">
        <v>432</v>
      </c>
      <c r="AF1898" s="107" t="s">
        <v>432</v>
      </c>
      <c r="AG1898" s="107" t="s">
        <v>432</v>
      </c>
      <c r="AH1898" s="107" t="s">
        <v>432</v>
      </c>
      <c r="AI1898" s="107" t="s">
        <v>432</v>
      </c>
      <c r="AJ1898" s="107" t="s">
        <v>432</v>
      </c>
      <c r="AK1898" s="137" t="s">
        <v>432</v>
      </c>
      <c r="AL1898" s="601" t="s">
        <v>432</v>
      </c>
      <c r="AM1898" s="137" t="s">
        <v>432</v>
      </c>
      <c r="AN1898" s="137" t="s">
        <v>432</v>
      </c>
      <c r="AO1898" s="137" t="s">
        <v>432</v>
      </c>
      <c r="AP1898" s="137" t="s">
        <v>432</v>
      </c>
      <c r="AQ1898" s="137" t="s">
        <v>432</v>
      </c>
      <c r="AR1898" s="137" t="s">
        <v>432</v>
      </c>
      <c r="AS1898" s="137" t="s">
        <v>432</v>
      </c>
      <c r="AT1898" s="137" t="s">
        <v>432</v>
      </c>
      <c r="AU1898" s="137" t="s">
        <v>432</v>
      </c>
      <c r="AV1898" s="137" t="s">
        <v>432</v>
      </c>
      <c r="AW1898" s="137" t="s">
        <v>432</v>
      </c>
      <c r="AX1898" s="137" t="s">
        <v>432</v>
      </c>
      <c r="AY1898" s="137" t="s">
        <v>432</v>
      </c>
      <c r="AZ1898" s="137" t="s">
        <v>432</v>
      </c>
      <c r="BA1898" s="137" t="s">
        <v>432</v>
      </c>
      <c r="BB1898" s="239" t="str">
        <f t="shared" ref="BB1898:BB1945" si="565">B1898&amp;C1898</f>
        <v>geralx</v>
      </c>
      <c r="BC1898" s="239" t="str">
        <f t="shared" ref="BC1898:BC1945" si="566">B1898&amp;C1898&amp;H1898</f>
        <v>geralxx</v>
      </c>
      <c r="BD1898" s="239" t="str">
        <f t="shared" ref="BD1898:BD1945" si="567">B1898&amp;H1898</f>
        <v>geralx</v>
      </c>
    </row>
    <row r="1899" spans="1:56" s="1" customFormat="1" ht="25.5" x14ac:dyDescent="0.25">
      <c r="A1899" s="262" t="s">
        <v>432</v>
      </c>
      <c r="B1899" s="252" t="s">
        <v>742</v>
      </c>
      <c r="C1899" s="167" t="s">
        <v>432</v>
      </c>
      <c r="D1899" s="325" t="s">
        <v>311</v>
      </c>
      <c r="E1899" s="1496" t="s">
        <v>432</v>
      </c>
      <c r="F1899" s="165" t="s">
        <v>890</v>
      </c>
      <c r="G1899" s="167" t="s">
        <v>3879</v>
      </c>
      <c r="H1899" s="167" t="s">
        <v>432</v>
      </c>
      <c r="I1899" s="167" t="s">
        <v>432</v>
      </c>
      <c r="J1899" s="107" t="s">
        <v>432</v>
      </c>
      <c r="K1899" s="107" t="s">
        <v>432</v>
      </c>
      <c r="L1899" s="107" t="s">
        <v>432</v>
      </c>
      <c r="M1899" s="107" t="s">
        <v>432</v>
      </c>
      <c r="N1899" s="107" t="s">
        <v>432</v>
      </c>
      <c r="O1899" s="107" t="s">
        <v>432</v>
      </c>
      <c r="P1899" s="107" t="s">
        <v>432</v>
      </c>
      <c r="Q1899" s="107" t="s">
        <v>432</v>
      </c>
      <c r="R1899" s="107" t="s">
        <v>432</v>
      </c>
      <c r="S1899" s="109" t="s">
        <v>2209</v>
      </c>
      <c r="T1899" s="107" t="s">
        <v>432</v>
      </c>
      <c r="U1899" s="107" t="s">
        <v>432</v>
      </c>
      <c r="V1899" s="109" t="s">
        <v>2209</v>
      </c>
      <c r="W1899" s="107" t="s">
        <v>432</v>
      </c>
      <c r="X1899" s="107" t="s">
        <v>432</v>
      </c>
      <c r="Y1899" s="107" t="s">
        <v>432</v>
      </c>
      <c r="Z1899" s="107" t="s">
        <v>432</v>
      </c>
      <c r="AA1899" s="107" t="s">
        <v>432</v>
      </c>
      <c r="AB1899" s="107" t="s">
        <v>432</v>
      </c>
      <c r="AC1899" s="107" t="s">
        <v>432</v>
      </c>
      <c r="AD1899" s="107" t="s">
        <v>432</v>
      </c>
      <c r="AE1899" s="107" t="s">
        <v>432</v>
      </c>
      <c r="AF1899" s="107" t="s">
        <v>432</v>
      </c>
      <c r="AG1899" s="107" t="s">
        <v>432</v>
      </c>
      <c r="AH1899" s="107" t="s">
        <v>432</v>
      </c>
      <c r="AI1899" s="107" t="s">
        <v>432</v>
      </c>
      <c r="AJ1899" s="107" t="s">
        <v>432</v>
      </c>
      <c r="AK1899" s="137" t="s">
        <v>432</v>
      </c>
      <c r="AL1899" s="601" t="s">
        <v>432</v>
      </c>
      <c r="AM1899" s="137" t="s">
        <v>432</v>
      </c>
      <c r="AN1899" s="137" t="s">
        <v>432</v>
      </c>
      <c r="AO1899" s="137" t="s">
        <v>432</v>
      </c>
      <c r="AP1899" s="137" t="s">
        <v>432</v>
      </c>
      <c r="AQ1899" s="137" t="s">
        <v>432</v>
      </c>
      <c r="AR1899" s="137" t="s">
        <v>432</v>
      </c>
      <c r="AS1899" s="137" t="s">
        <v>432</v>
      </c>
      <c r="AT1899" s="137" t="s">
        <v>432</v>
      </c>
      <c r="AU1899" s="137" t="s">
        <v>432</v>
      </c>
      <c r="AV1899" s="137" t="s">
        <v>432</v>
      </c>
      <c r="AW1899" s="137" t="s">
        <v>432</v>
      </c>
      <c r="AX1899" s="137" t="s">
        <v>432</v>
      </c>
      <c r="AY1899" s="137" t="s">
        <v>432</v>
      </c>
      <c r="AZ1899" s="137" t="s">
        <v>432</v>
      </c>
      <c r="BA1899" s="137" t="s">
        <v>432</v>
      </c>
      <c r="BB1899" s="239" t="str">
        <f t="shared" si="565"/>
        <v>geralx</v>
      </c>
      <c r="BC1899" s="239" t="str">
        <f t="shared" si="566"/>
        <v>geralxx</v>
      </c>
      <c r="BD1899" s="239" t="str">
        <f t="shared" si="567"/>
        <v>geralx</v>
      </c>
    </row>
    <row r="1900" spans="1:56" s="3" customFormat="1" ht="59.25" customHeight="1" x14ac:dyDescent="0.25">
      <c r="A1900" s="262" t="str">
        <f>'Q100b-totais'!B22</f>
        <v>2.7</v>
      </c>
      <c r="B1900" s="252" t="str">
        <f>'Q100b-totais'!C22</f>
        <v>Outras cidades/regiões</v>
      </c>
      <c r="C1900" s="167" t="s">
        <v>743</v>
      </c>
      <c r="D1900" s="1323" t="s">
        <v>3026</v>
      </c>
      <c r="E1900" s="1499" t="s">
        <v>3026</v>
      </c>
      <c r="F1900" s="252" t="s">
        <v>4253</v>
      </c>
      <c r="G1900" s="230" t="s">
        <v>3507</v>
      </c>
      <c r="H1900" s="167" t="s">
        <v>2408</v>
      </c>
      <c r="I1900" s="167" t="s">
        <v>432</v>
      </c>
      <c r="J1900" s="107" t="s">
        <v>432</v>
      </c>
      <c r="K1900" s="107" t="s">
        <v>432</v>
      </c>
      <c r="L1900" s="107" t="s">
        <v>432</v>
      </c>
      <c r="M1900" s="107" t="s">
        <v>432</v>
      </c>
      <c r="N1900" s="107" t="s">
        <v>432</v>
      </c>
      <c r="O1900" s="107" t="s">
        <v>432</v>
      </c>
      <c r="P1900" s="107" t="s">
        <v>432</v>
      </c>
      <c r="Q1900" s="107" t="s">
        <v>432</v>
      </c>
      <c r="R1900" s="107" t="s">
        <v>432</v>
      </c>
      <c r="S1900" s="109" t="s">
        <v>2209</v>
      </c>
      <c r="T1900" s="107" t="s">
        <v>432</v>
      </c>
      <c r="U1900" s="107" t="s">
        <v>432</v>
      </c>
      <c r="V1900" s="109" t="s">
        <v>2209</v>
      </c>
      <c r="W1900" s="107" t="s">
        <v>432</v>
      </c>
      <c r="X1900" s="107" t="s">
        <v>432</v>
      </c>
      <c r="Y1900" s="107" t="s">
        <v>432</v>
      </c>
      <c r="Z1900" s="107" t="s">
        <v>432</v>
      </c>
      <c r="AA1900" s="107" t="s">
        <v>432</v>
      </c>
      <c r="AB1900" s="107" t="s">
        <v>432</v>
      </c>
      <c r="AC1900" s="107" t="s">
        <v>432</v>
      </c>
      <c r="AD1900" s="107" t="s">
        <v>432</v>
      </c>
      <c r="AE1900" s="107" t="s">
        <v>432</v>
      </c>
      <c r="AF1900" s="107" t="s">
        <v>432</v>
      </c>
      <c r="AG1900" s="107" t="s">
        <v>432</v>
      </c>
      <c r="AH1900" s="107" t="s">
        <v>432</v>
      </c>
      <c r="AI1900" s="107" t="s">
        <v>432</v>
      </c>
      <c r="AJ1900" s="107" t="s">
        <v>432</v>
      </c>
      <c r="AK1900" s="107" t="s">
        <v>432</v>
      </c>
      <c r="AL1900" s="601" t="s">
        <v>432</v>
      </c>
      <c r="AM1900" s="137" t="s">
        <v>432</v>
      </c>
      <c r="AN1900" s="137" t="s">
        <v>432</v>
      </c>
      <c r="AO1900" s="137" t="s">
        <v>432</v>
      </c>
      <c r="AP1900" s="137" t="s">
        <v>432</v>
      </c>
      <c r="AQ1900" s="137" t="s">
        <v>432</v>
      </c>
      <c r="AR1900" s="137" t="s">
        <v>432</v>
      </c>
      <c r="AS1900" s="137" t="s">
        <v>432</v>
      </c>
      <c r="AT1900" s="137" t="s">
        <v>432</v>
      </c>
      <c r="AU1900" s="137" t="s">
        <v>432</v>
      </c>
      <c r="AV1900" s="137" t="s">
        <v>432</v>
      </c>
      <c r="AW1900" s="137" t="s">
        <v>432</v>
      </c>
      <c r="AX1900" s="137" t="s">
        <v>432</v>
      </c>
      <c r="AY1900" s="137" t="s">
        <v>432</v>
      </c>
      <c r="AZ1900" s="137" t="s">
        <v>432</v>
      </c>
      <c r="BA1900" s="137" t="s">
        <v>432</v>
      </c>
      <c r="BB1900" s="239" t="str">
        <f t="shared" si="565"/>
        <v>Outras cidades/regiõesacessibilidade</v>
      </c>
      <c r="BC1900" s="239" t="str">
        <f t="shared" si="566"/>
        <v>Outras cidades/regiõesacessibilidadesigla/verbete</v>
      </c>
      <c r="BD1900" s="239" t="str">
        <f t="shared" si="567"/>
        <v>Outras cidades/regiõessigla/verbete</v>
      </c>
    </row>
    <row r="1901" spans="1:56" s="1" customFormat="1" ht="33" customHeight="1" x14ac:dyDescent="0.25">
      <c r="A1901" s="262" t="s">
        <v>432</v>
      </c>
      <c r="B1901" s="252" t="s">
        <v>742</v>
      </c>
      <c r="C1901" s="167" t="s">
        <v>432</v>
      </c>
      <c r="D1901" s="897" t="s">
        <v>2560</v>
      </c>
      <c r="E1901" s="1496"/>
      <c r="F1901" s="181" t="s">
        <v>2852</v>
      </c>
      <c r="G1901" s="167" t="s">
        <v>3719</v>
      </c>
      <c r="H1901" s="167" t="s">
        <v>2408</v>
      </c>
      <c r="I1901" s="167" t="s">
        <v>432</v>
      </c>
      <c r="J1901" s="107" t="s">
        <v>432</v>
      </c>
      <c r="K1901" s="107" t="s">
        <v>432</v>
      </c>
      <c r="L1901" s="107" t="s">
        <v>432</v>
      </c>
      <c r="M1901" s="107" t="s">
        <v>432</v>
      </c>
      <c r="N1901" s="107" t="s">
        <v>432</v>
      </c>
      <c r="O1901" s="107" t="s">
        <v>432</v>
      </c>
      <c r="P1901" s="107" t="s">
        <v>432</v>
      </c>
      <c r="Q1901" s="107" t="s">
        <v>432</v>
      </c>
      <c r="R1901" s="107" t="s">
        <v>432</v>
      </c>
      <c r="S1901" s="109" t="s">
        <v>2209</v>
      </c>
      <c r="T1901" s="107" t="s">
        <v>432</v>
      </c>
      <c r="U1901" s="107" t="s">
        <v>432</v>
      </c>
      <c r="V1901" s="109" t="s">
        <v>2209</v>
      </c>
      <c r="W1901" s="107" t="s">
        <v>432</v>
      </c>
      <c r="X1901" s="107" t="s">
        <v>432</v>
      </c>
      <c r="Y1901" s="107" t="s">
        <v>432</v>
      </c>
      <c r="Z1901" s="107" t="s">
        <v>432</v>
      </c>
      <c r="AA1901" s="107" t="s">
        <v>432</v>
      </c>
      <c r="AB1901" s="107" t="s">
        <v>432</v>
      </c>
      <c r="AC1901" s="107" t="s">
        <v>432</v>
      </c>
      <c r="AD1901" s="107" t="s">
        <v>432</v>
      </c>
      <c r="AE1901" s="107" t="s">
        <v>432</v>
      </c>
      <c r="AF1901" s="107" t="s">
        <v>432</v>
      </c>
      <c r="AG1901" s="107" t="s">
        <v>432</v>
      </c>
      <c r="AH1901" s="107" t="s">
        <v>432</v>
      </c>
      <c r="AI1901" s="107" t="s">
        <v>432</v>
      </c>
      <c r="AJ1901" s="107" t="s">
        <v>432</v>
      </c>
      <c r="AK1901" s="137" t="s">
        <v>432</v>
      </c>
      <c r="AL1901" s="601" t="s">
        <v>432</v>
      </c>
      <c r="AM1901" s="137" t="s">
        <v>432</v>
      </c>
      <c r="AN1901" s="137" t="s">
        <v>432</v>
      </c>
      <c r="AO1901" s="137" t="s">
        <v>432</v>
      </c>
      <c r="AP1901" s="137" t="s">
        <v>432</v>
      </c>
      <c r="AQ1901" s="137" t="s">
        <v>432</v>
      </c>
      <c r="AR1901" s="137" t="s">
        <v>432</v>
      </c>
      <c r="AS1901" s="137" t="s">
        <v>432</v>
      </c>
      <c r="AT1901" s="137" t="s">
        <v>432</v>
      </c>
      <c r="AU1901" s="137" t="s">
        <v>432</v>
      </c>
      <c r="AV1901" s="137" t="s">
        <v>432</v>
      </c>
      <c r="AW1901" s="137" t="s">
        <v>432</v>
      </c>
      <c r="AX1901" s="137" t="s">
        <v>432</v>
      </c>
      <c r="AY1901" s="137" t="s">
        <v>432</v>
      </c>
      <c r="AZ1901" s="137" t="s">
        <v>432</v>
      </c>
      <c r="BA1901" s="137" t="s">
        <v>432</v>
      </c>
      <c r="BB1901" s="239" t="str">
        <f t="shared" si="565"/>
        <v>geralx</v>
      </c>
      <c r="BC1901" s="239" t="str">
        <f t="shared" si="566"/>
        <v>geralxsigla/verbete</v>
      </c>
      <c r="BD1901" s="239" t="str">
        <f t="shared" si="567"/>
        <v>geralsigla/verbete</v>
      </c>
    </row>
    <row r="1902" spans="1:56" s="1" customFormat="1" ht="190.5" customHeight="1" x14ac:dyDescent="0.25">
      <c r="A1902" s="262" t="s">
        <v>432</v>
      </c>
      <c r="B1902" s="252" t="s">
        <v>742</v>
      </c>
      <c r="C1902" s="167" t="s">
        <v>743</v>
      </c>
      <c r="D1902" s="897" t="s">
        <v>2489</v>
      </c>
      <c r="E1902" s="1496" t="s">
        <v>432</v>
      </c>
      <c r="F1902" s="181" t="s">
        <v>5345</v>
      </c>
      <c r="G1902" s="230" t="s">
        <v>3507</v>
      </c>
      <c r="H1902" s="167" t="s">
        <v>2408</v>
      </c>
      <c r="I1902" s="167" t="s">
        <v>432</v>
      </c>
      <c r="J1902" s="107" t="s">
        <v>432</v>
      </c>
      <c r="K1902" s="107" t="s">
        <v>432</v>
      </c>
      <c r="L1902" s="107" t="s">
        <v>432</v>
      </c>
      <c r="M1902" s="107" t="s">
        <v>432</v>
      </c>
      <c r="N1902" s="107" t="s">
        <v>432</v>
      </c>
      <c r="O1902" s="107" t="s">
        <v>432</v>
      </c>
      <c r="P1902" s="107" t="s">
        <v>432</v>
      </c>
      <c r="Q1902" s="107" t="s">
        <v>432</v>
      </c>
      <c r="R1902" s="107" t="s">
        <v>432</v>
      </c>
      <c r="S1902" s="109" t="s">
        <v>2209</v>
      </c>
      <c r="T1902" s="107" t="s">
        <v>432</v>
      </c>
      <c r="U1902" s="107" t="s">
        <v>432</v>
      </c>
      <c r="V1902" s="109" t="s">
        <v>2209</v>
      </c>
      <c r="W1902" s="107" t="s">
        <v>432</v>
      </c>
      <c r="X1902" s="107" t="s">
        <v>432</v>
      </c>
      <c r="Y1902" s="107" t="s">
        <v>432</v>
      </c>
      <c r="Z1902" s="107" t="s">
        <v>432</v>
      </c>
      <c r="AA1902" s="107" t="s">
        <v>432</v>
      </c>
      <c r="AB1902" s="107" t="s">
        <v>432</v>
      </c>
      <c r="AC1902" s="107" t="s">
        <v>432</v>
      </c>
      <c r="AD1902" s="107" t="s">
        <v>432</v>
      </c>
      <c r="AE1902" s="107" t="s">
        <v>432</v>
      </c>
      <c r="AF1902" s="107" t="s">
        <v>432</v>
      </c>
      <c r="AG1902" s="107" t="s">
        <v>432</v>
      </c>
      <c r="AH1902" s="107" t="s">
        <v>432</v>
      </c>
      <c r="AI1902" s="107" t="s">
        <v>432</v>
      </c>
      <c r="AJ1902" s="107" t="s">
        <v>432</v>
      </c>
      <c r="AK1902" s="137" t="s">
        <v>432</v>
      </c>
      <c r="AL1902" s="601" t="s">
        <v>432</v>
      </c>
      <c r="AM1902" s="137" t="s">
        <v>432</v>
      </c>
      <c r="AN1902" s="137" t="s">
        <v>432</v>
      </c>
      <c r="AO1902" s="137" t="s">
        <v>432</v>
      </c>
      <c r="AP1902" s="137" t="s">
        <v>432</v>
      </c>
      <c r="AQ1902" s="137" t="s">
        <v>432</v>
      </c>
      <c r="AR1902" s="137" t="s">
        <v>432</v>
      </c>
      <c r="AS1902" s="137" t="s">
        <v>432</v>
      </c>
      <c r="AT1902" s="137" t="s">
        <v>432</v>
      </c>
      <c r="AU1902" s="137" t="s">
        <v>432</v>
      </c>
      <c r="AV1902" s="137" t="s">
        <v>432</v>
      </c>
      <c r="AW1902" s="137" t="s">
        <v>432</v>
      </c>
      <c r="AX1902" s="137" t="s">
        <v>432</v>
      </c>
      <c r="AY1902" s="137" t="s">
        <v>432</v>
      </c>
      <c r="AZ1902" s="137" t="s">
        <v>432</v>
      </c>
      <c r="BA1902" s="137" t="s">
        <v>432</v>
      </c>
      <c r="BB1902" s="239" t="str">
        <f t="shared" si="565"/>
        <v>geralacessibilidade</v>
      </c>
      <c r="BC1902" s="239" t="str">
        <f t="shared" si="566"/>
        <v>geralacessibilidadesigla/verbete</v>
      </c>
      <c r="BD1902" s="239" t="str">
        <f t="shared" si="567"/>
        <v>geralsigla/verbete</v>
      </c>
    </row>
    <row r="1903" spans="1:56" s="3" customFormat="1" ht="182.25" customHeight="1" x14ac:dyDescent="0.25">
      <c r="A1903" s="275" t="str">
        <f>'Q100b-totais'!$B$50</f>
        <v>6.2</v>
      </c>
      <c r="B1903" s="1205" t="str">
        <f>'Q100b-totais'!$C$50</f>
        <v>Sistema de bicicleta</v>
      </c>
      <c r="C1903" s="1369" t="s">
        <v>432</v>
      </c>
      <c r="D1903" s="324" t="s">
        <v>4768</v>
      </c>
      <c r="E1903" s="1509" t="s">
        <v>1767</v>
      </c>
      <c r="F1903" s="53" t="s">
        <v>4770</v>
      </c>
      <c r="G1903" s="230" t="s">
        <v>4610</v>
      </c>
      <c r="H1903" s="167" t="s">
        <v>2408</v>
      </c>
      <c r="I1903" s="167" t="s">
        <v>432</v>
      </c>
      <c r="J1903" s="107" t="s">
        <v>432</v>
      </c>
      <c r="K1903" s="107" t="s">
        <v>432</v>
      </c>
      <c r="L1903" s="107" t="s">
        <v>432</v>
      </c>
      <c r="M1903" s="107" t="s">
        <v>432</v>
      </c>
      <c r="N1903" s="107" t="s">
        <v>432</v>
      </c>
      <c r="O1903" s="107" t="s">
        <v>432</v>
      </c>
      <c r="P1903" s="107" t="s">
        <v>432</v>
      </c>
      <c r="Q1903" s="107" t="s">
        <v>432</v>
      </c>
      <c r="R1903" s="107" t="s">
        <v>432</v>
      </c>
      <c r="S1903" s="109" t="s">
        <v>2209</v>
      </c>
      <c r="T1903" s="107" t="s">
        <v>432</v>
      </c>
      <c r="U1903" s="107" t="s">
        <v>432</v>
      </c>
      <c r="V1903" s="109" t="s">
        <v>2209</v>
      </c>
      <c r="W1903" s="107" t="s">
        <v>432</v>
      </c>
      <c r="X1903" s="107" t="s">
        <v>432</v>
      </c>
      <c r="Y1903" s="107" t="s">
        <v>432</v>
      </c>
      <c r="Z1903" s="107" t="s">
        <v>432</v>
      </c>
      <c r="AA1903" s="107" t="s">
        <v>432</v>
      </c>
      <c r="AB1903" s="107" t="s">
        <v>432</v>
      </c>
      <c r="AC1903" s="107" t="s">
        <v>432</v>
      </c>
      <c r="AD1903" s="107" t="s">
        <v>432</v>
      </c>
      <c r="AE1903" s="107" t="s">
        <v>432</v>
      </c>
      <c r="AF1903" s="107" t="s">
        <v>432</v>
      </c>
      <c r="AG1903" s="107" t="s">
        <v>432</v>
      </c>
      <c r="AH1903" s="107" t="s">
        <v>432</v>
      </c>
      <c r="AI1903" s="107" t="s">
        <v>432</v>
      </c>
      <c r="AJ1903" s="107" t="s">
        <v>432</v>
      </c>
      <c r="AK1903" s="137" t="s">
        <v>432</v>
      </c>
      <c r="AL1903" s="600" t="s">
        <v>432</v>
      </c>
      <c r="AM1903" s="137" t="s">
        <v>432</v>
      </c>
      <c r="AN1903" s="137" t="s">
        <v>432</v>
      </c>
      <c r="AO1903" s="137" t="s">
        <v>432</v>
      </c>
      <c r="AP1903" s="137" t="s">
        <v>432</v>
      </c>
      <c r="AQ1903" s="137" t="s">
        <v>432</v>
      </c>
      <c r="AR1903" s="137" t="s">
        <v>432</v>
      </c>
      <c r="AS1903" s="137" t="s">
        <v>432</v>
      </c>
      <c r="AT1903" s="137" t="s">
        <v>432</v>
      </c>
      <c r="AU1903" s="137" t="s">
        <v>432</v>
      </c>
      <c r="AV1903" s="137" t="s">
        <v>432</v>
      </c>
      <c r="AW1903" s="137" t="s">
        <v>432</v>
      </c>
      <c r="AX1903" s="137" t="s">
        <v>432</v>
      </c>
      <c r="AY1903" s="137" t="s">
        <v>432</v>
      </c>
      <c r="AZ1903" s="137" t="s">
        <v>432</v>
      </c>
      <c r="BA1903" s="137" t="s">
        <v>432</v>
      </c>
      <c r="BB1903" s="239" t="str">
        <f t="shared" si="565"/>
        <v>Sistema de bicicletax</v>
      </c>
      <c r="BC1903" s="239" t="str">
        <f t="shared" si="566"/>
        <v>Sistema de bicicletaxsigla/verbete</v>
      </c>
      <c r="BD1903" s="239" t="str">
        <f t="shared" si="567"/>
        <v>Sistema de bicicletasigla/verbete</v>
      </c>
    </row>
    <row r="1904" spans="1:56" s="3" customFormat="1" ht="53.25" customHeight="1" x14ac:dyDescent="0.25">
      <c r="A1904" s="275" t="str">
        <f>'Q100b-totais'!$B$50</f>
        <v>6.2</v>
      </c>
      <c r="B1904" s="1205" t="str">
        <f>'Q100b-totais'!$C$50</f>
        <v>Sistema de bicicleta</v>
      </c>
      <c r="C1904" s="1369" t="s">
        <v>432</v>
      </c>
      <c r="D1904" s="324" t="s">
        <v>4768</v>
      </c>
      <c r="E1904" s="1505" t="s">
        <v>432</v>
      </c>
      <c r="F1904" s="53" t="s">
        <v>4778</v>
      </c>
      <c r="G1904" s="230" t="s">
        <v>4610</v>
      </c>
      <c r="H1904" s="167" t="s">
        <v>2408</v>
      </c>
      <c r="I1904" s="167" t="s">
        <v>432</v>
      </c>
      <c r="J1904" s="107" t="s">
        <v>432</v>
      </c>
      <c r="K1904" s="107" t="s">
        <v>432</v>
      </c>
      <c r="L1904" s="107" t="s">
        <v>432</v>
      </c>
      <c r="M1904" s="107" t="s">
        <v>432</v>
      </c>
      <c r="N1904" s="107" t="s">
        <v>432</v>
      </c>
      <c r="O1904" s="107" t="s">
        <v>432</v>
      </c>
      <c r="P1904" s="107" t="s">
        <v>432</v>
      </c>
      <c r="Q1904" s="107" t="s">
        <v>432</v>
      </c>
      <c r="R1904" s="107" t="s">
        <v>432</v>
      </c>
      <c r="S1904" s="109" t="s">
        <v>2209</v>
      </c>
      <c r="T1904" s="107" t="s">
        <v>432</v>
      </c>
      <c r="U1904" s="107" t="s">
        <v>432</v>
      </c>
      <c r="V1904" s="109" t="s">
        <v>2209</v>
      </c>
      <c r="W1904" s="107" t="s">
        <v>432</v>
      </c>
      <c r="X1904" s="107" t="s">
        <v>432</v>
      </c>
      <c r="Y1904" s="107" t="s">
        <v>432</v>
      </c>
      <c r="Z1904" s="107" t="s">
        <v>432</v>
      </c>
      <c r="AA1904" s="107" t="s">
        <v>432</v>
      </c>
      <c r="AB1904" s="107" t="s">
        <v>432</v>
      </c>
      <c r="AC1904" s="107" t="s">
        <v>432</v>
      </c>
      <c r="AD1904" s="107" t="s">
        <v>432</v>
      </c>
      <c r="AE1904" s="107" t="s">
        <v>432</v>
      </c>
      <c r="AF1904" s="107" t="s">
        <v>432</v>
      </c>
      <c r="AG1904" s="107" t="s">
        <v>432</v>
      </c>
      <c r="AH1904" s="107" t="s">
        <v>432</v>
      </c>
      <c r="AI1904" s="107" t="s">
        <v>432</v>
      </c>
      <c r="AJ1904" s="107" t="s">
        <v>432</v>
      </c>
      <c r="AK1904" s="137" t="s">
        <v>432</v>
      </c>
      <c r="AL1904" s="600" t="s">
        <v>432</v>
      </c>
      <c r="AM1904" s="137" t="s">
        <v>432</v>
      </c>
      <c r="AN1904" s="137" t="s">
        <v>432</v>
      </c>
      <c r="AO1904" s="137" t="s">
        <v>432</v>
      </c>
      <c r="AP1904" s="137" t="s">
        <v>432</v>
      </c>
      <c r="AQ1904" s="137" t="s">
        <v>432</v>
      </c>
      <c r="AR1904" s="137" t="s">
        <v>432</v>
      </c>
      <c r="AS1904" s="137" t="s">
        <v>432</v>
      </c>
      <c r="AT1904" s="137" t="s">
        <v>432</v>
      </c>
      <c r="AU1904" s="137" t="s">
        <v>432</v>
      </c>
      <c r="AV1904" s="137" t="s">
        <v>432</v>
      </c>
      <c r="AW1904" s="137" t="s">
        <v>432</v>
      </c>
      <c r="AX1904" s="137" t="s">
        <v>432</v>
      </c>
      <c r="AY1904" s="137" t="s">
        <v>432</v>
      </c>
      <c r="AZ1904" s="137" t="s">
        <v>432</v>
      </c>
      <c r="BA1904" s="137" t="s">
        <v>432</v>
      </c>
      <c r="BB1904" s="239" t="str">
        <f t="shared" si="565"/>
        <v>Sistema de bicicletax</v>
      </c>
      <c r="BC1904" s="239" t="str">
        <f t="shared" si="566"/>
        <v>Sistema de bicicletaxsigla/verbete</v>
      </c>
      <c r="BD1904" s="239" t="str">
        <f t="shared" si="567"/>
        <v>Sistema de bicicletasigla/verbete</v>
      </c>
    </row>
    <row r="1905" spans="1:56" s="1" customFormat="1" ht="86.25" customHeight="1" x14ac:dyDescent="0.25">
      <c r="A1905" s="275" t="str">
        <f>'Q100b-totais'!$B$50</f>
        <v>6.2</v>
      </c>
      <c r="B1905" s="1205" t="str">
        <f>'Q100b-totais'!$C$50</f>
        <v>Sistema de bicicleta</v>
      </c>
      <c r="C1905" s="167" t="s">
        <v>432</v>
      </c>
      <c r="D1905" s="324" t="s">
        <v>4773</v>
      </c>
      <c r="E1905" s="1505" t="s">
        <v>4747</v>
      </c>
      <c r="F1905" s="1205" t="s">
        <v>4779</v>
      </c>
      <c r="G1905" s="58" t="s">
        <v>4746</v>
      </c>
      <c r="H1905" s="173" t="s">
        <v>432</v>
      </c>
      <c r="I1905" s="57">
        <v>1</v>
      </c>
      <c r="J1905" s="137" t="s">
        <v>432</v>
      </c>
      <c r="K1905" s="137" t="s">
        <v>432</v>
      </c>
      <c r="L1905" s="137" t="s">
        <v>432</v>
      </c>
      <c r="M1905" s="137" t="s">
        <v>432</v>
      </c>
      <c r="N1905" s="137" t="s">
        <v>432</v>
      </c>
      <c r="O1905" s="137" t="s">
        <v>432</v>
      </c>
      <c r="P1905" s="137" t="s">
        <v>432</v>
      </c>
      <c r="Q1905" s="137" t="s">
        <v>432</v>
      </c>
      <c r="R1905" s="137" t="s">
        <v>432</v>
      </c>
      <c r="S1905" s="109" t="s">
        <v>2209</v>
      </c>
      <c r="T1905" s="137" t="s">
        <v>432</v>
      </c>
      <c r="U1905" s="137" t="s">
        <v>432</v>
      </c>
      <c r="V1905" s="109" t="s">
        <v>2209</v>
      </c>
      <c r="W1905" s="137" t="s">
        <v>432</v>
      </c>
      <c r="X1905" s="137" t="s">
        <v>432</v>
      </c>
      <c r="Y1905" s="137" t="s">
        <v>432</v>
      </c>
      <c r="Z1905" s="137" t="s">
        <v>432</v>
      </c>
      <c r="AA1905" s="137" t="s">
        <v>432</v>
      </c>
      <c r="AB1905" s="137" t="s">
        <v>432</v>
      </c>
      <c r="AC1905" s="137" t="s">
        <v>432</v>
      </c>
      <c r="AD1905" s="137" t="s">
        <v>432</v>
      </c>
      <c r="AE1905" s="137" t="s">
        <v>432</v>
      </c>
      <c r="AF1905" s="137" t="s">
        <v>432</v>
      </c>
      <c r="AG1905" s="613">
        <f>AG1906</f>
        <v>52</v>
      </c>
      <c r="AH1905" s="613">
        <f>AG1905+AH1906</f>
        <v>64</v>
      </c>
      <c r="AI1905" s="613">
        <f>AH1905+AI1906</f>
        <v>89</v>
      </c>
      <c r="AJ1905" s="72">
        <f>AI1905+AJ1906</f>
        <v>158</v>
      </c>
      <c r="AK1905" s="613">
        <f>AJ1905+AJ1906</f>
        <v>227</v>
      </c>
      <c r="AL1905" s="600" t="s">
        <v>432</v>
      </c>
      <c r="AM1905" s="137" t="s">
        <v>432</v>
      </c>
      <c r="AN1905" s="137" t="s">
        <v>432</v>
      </c>
      <c r="AO1905" s="137" t="s">
        <v>432</v>
      </c>
      <c r="AP1905" s="137" t="s">
        <v>432</v>
      </c>
      <c r="AQ1905" s="137" t="s">
        <v>432</v>
      </c>
      <c r="AR1905" s="137" t="s">
        <v>432</v>
      </c>
      <c r="AS1905" s="137" t="s">
        <v>432</v>
      </c>
      <c r="AT1905" s="137" t="s">
        <v>432</v>
      </c>
      <c r="AU1905" s="137" t="s">
        <v>432</v>
      </c>
      <c r="AV1905" s="137" t="s">
        <v>432</v>
      </c>
      <c r="AW1905" s="137" t="s">
        <v>432</v>
      </c>
      <c r="AX1905" s="137" t="s">
        <v>432</v>
      </c>
      <c r="AY1905" s="137" t="s">
        <v>432</v>
      </c>
      <c r="AZ1905" s="137" t="s">
        <v>432</v>
      </c>
      <c r="BA1905" s="137" t="s">
        <v>432</v>
      </c>
      <c r="BB1905" s="239" t="str">
        <f t="shared" si="565"/>
        <v>Sistema de bicicletax</v>
      </c>
      <c r="BC1905" s="239" t="str">
        <f t="shared" si="566"/>
        <v>Sistema de bicicletaxx</v>
      </c>
      <c r="BD1905" s="239" t="str">
        <f t="shared" si="567"/>
        <v>Sistema de bicicletax</v>
      </c>
    </row>
    <row r="1906" spans="1:56" s="1" customFormat="1" ht="60.75" customHeight="1" x14ac:dyDescent="0.25">
      <c r="A1906" s="275" t="str">
        <f>'Q100b-totais'!$B$50</f>
        <v>6.2</v>
      </c>
      <c r="B1906" s="1205" t="str">
        <f>'Q100b-totais'!$C$50</f>
        <v>Sistema de bicicleta</v>
      </c>
      <c r="C1906" s="167" t="s">
        <v>432</v>
      </c>
      <c r="D1906" s="324" t="s">
        <v>4774</v>
      </c>
      <c r="E1906" s="1505" t="s">
        <v>1306</v>
      </c>
      <c r="F1906" s="11" t="s">
        <v>4775</v>
      </c>
      <c r="G1906" s="93" t="s">
        <v>77</v>
      </c>
      <c r="H1906" s="173" t="s">
        <v>432</v>
      </c>
      <c r="I1906" s="57">
        <v>1</v>
      </c>
      <c r="J1906" s="137" t="s">
        <v>432</v>
      </c>
      <c r="K1906" s="137" t="s">
        <v>432</v>
      </c>
      <c r="L1906" s="137" t="s">
        <v>432</v>
      </c>
      <c r="M1906" s="137" t="s">
        <v>432</v>
      </c>
      <c r="N1906" s="137" t="s">
        <v>432</v>
      </c>
      <c r="O1906" s="137" t="s">
        <v>432</v>
      </c>
      <c r="P1906" s="137" t="s">
        <v>432</v>
      </c>
      <c r="Q1906" s="137" t="s">
        <v>432</v>
      </c>
      <c r="R1906" s="137" t="s">
        <v>432</v>
      </c>
      <c r="S1906" s="109" t="s">
        <v>2209</v>
      </c>
      <c r="T1906" s="137" t="s">
        <v>432</v>
      </c>
      <c r="U1906" s="137" t="s">
        <v>432</v>
      </c>
      <c r="V1906" s="109" t="s">
        <v>2209</v>
      </c>
      <c r="W1906" s="137" t="s">
        <v>432</v>
      </c>
      <c r="X1906" s="137" t="s">
        <v>432</v>
      </c>
      <c r="Y1906" s="137" t="s">
        <v>432</v>
      </c>
      <c r="Z1906" s="137" t="s">
        <v>432</v>
      </c>
      <c r="AA1906" s="137" t="s">
        <v>432</v>
      </c>
      <c r="AB1906" s="137" t="s">
        <v>432</v>
      </c>
      <c r="AC1906" s="137" t="s">
        <v>432</v>
      </c>
      <c r="AD1906" s="137" t="s">
        <v>432</v>
      </c>
      <c r="AE1906" s="137" t="s">
        <v>432</v>
      </c>
      <c r="AF1906" s="137" t="s">
        <v>432</v>
      </c>
      <c r="AG1906" s="96">
        <v>52</v>
      </c>
      <c r="AH1906" s="88">
        <v>12</v>
      </c>
      <c r="AI1906" s="96">
        <v>25</v>
      </c>
      <c r="AJ1906" s="88">
        <v>69</v>
      </c>
      <c r="AK1906" s="96">
        <v>31</v>
      </c>
      <c r="AL1906" s="600" t="s">
        <v>432</v>
      </c>
      <c r="AM1906" s="137" t="s">
        <v>432</v>
      </c>
      <c r="AN1906" s="137" t="s">
        <v>432</v>
      </c>
      <c r="AO1906" s="137" t="s">
        <v>432</v>
      </c>
      <c r="AP1906" s="137" t="s">
        <v>432</v>
      </c>
      <c r="AQ1906" s="137" t="s">
        <v>432</v>
      </c>
      <c r="AR1906" s="137" t="s">
        <v>432</v>
      </c>
      <c r="AS1906" s="137" t="s">
        <v>432</v>
      </c>
      <c r="AT1906" s="137" t="s">
        <v>432</v>
      </c>
      <c r="AU1906" s="137" t="s">
        <v>432</v>
      </c>
      <c r="AV1906" s="137" t="s">
        <v>432</v>
      </c>
      <c r="AW1906" s="137" t="s">
        <v>432</v>
      </c>
      <c r="AX1906" s="137" t="s">
        <v>432</v>
      </c>
      <c r="AY1906" s="137" t="s">
        <v>432</v>
      </c>
      <c r="AZ1906" s="137" t="s">
        <v>432</v>
      </c>
      <c r="BA1906" s="137" t="s">
        <v>432</v>
      </c>
      <c r="BB1906" s="239" t="str">
        <f t="shared" si="565"/>
        <v>Sistema de bicicletax</v>
      </c>
      <c r="BC1906" s="239" t="str">
        <f t="shared" si="566"/>
        <v>Sistema de bicicletaxx</v>
      </c>
      <c r="BD1906" s="239" t="str">
        <f t="shared" si="567"/>
        <v>Sistema de bicicletax</v>
      </c>
    </row>
    <row r="1907" spans="1:56" s="1" customFormat="1" ht="84" customHeight="1" x14ac:dyDescent="0.25">
      <c r="A1907" s="275" t="str">
        <f>'Q100b-totais'!$B$50</f>
        <v>6.2</v>
      </c>
      <c r="B1907" s="1205" t="str">
        <f>'Q100b-totais'!$C$50</f>
        <v>Sistema de bicicleta</v>
      </c>
      <c r="C1907" s="167" t="s">
        <v>432</v>
      </c>
      <c r="D1907" s="324" t="s">
        <v>4776</v>
      </c>
      <c r="E1907" s="1505" t="s">
        <v>4747</v>
      </c>
      <c r="F1907" s="11" t="s">
        <v>4993</v>
      </c>
      <c r="G1907" s="110" t="s">
        <v>933</v>
      </c>
      <c r="H1907" s="173" t="s">
        <v>765</v>
      </c>
      <c r="I1907" s="167" t="s">
        <v>432</v>
      </c>
      <c r="J1907" s="137" t="s">
        <v>432</v>
      </c>
      <c r="K1907" s="137" t="s">
        <v>432</v>
      </c>
      <c r="L1907" s="137" t="s">
        <v>432</v>
      </c>
      <c r="M1907" s="137" t="s">
        <v>432</v>
      </c>
      <c r="N1907" s="137" t="s">
        <v>432</v>
      </c>
      <c r="O1907" s="137" t="s">
        <v>432</v>
      </c>
      <c r="P1907" s="137" t="s">
        <v>432</v>
      </c>
      <c r="Q1907" s="137" t="s">
        <v>432</v>
      </c>
      <c r="R1907" s="137" t="s">
        <v>432</v>
      </c>
      <c r="S1907" s="109" t="s">
        <v>2209</v>
      </c>
      <c r="T1907" s="137" t="s">
        <v>432</v>
      </c>
      <c r="U1907" s="137" t="s">
        <v>432</v>
      </c>
      <c r="V1907" s="109" t="s">
        <v>2209</v>
      </c>
      <c r="W1907" s="137" t="s">
        <v>432</v>
      </c>
      <c r="X1907" s="137" t="s">
        <v>432</v>
      </c>
      <c r="Y1907" s="137" t="s">
        <v>432</v>
      </c>
      <c r="Z1907" s="137" t="s">
        <v>432</v>
      </c>
      <c r="AA1907" s="137" t="s">
        <v>432</v>
      </c>
      <c r="AB1907" s="137" t="s">
        <v>432</v>
      </c>
      <c r="AC1907" s="137" t="s">
        <v>432</v>
      </c>
      <c r="AD1907" s="137" t="s">
        <v>432</v>
      </c>
      <c r="AE1907" s="137" t="s">
        <v>432</v>
      </c>
      <c r="AF1907" s="137" t="s">
        <v>432</v>
      </c>
      <c r="AG1907" s="137" t="s">
        <v>432</v>
      </c>
      <c r="AH1907" s="137" t="s">
        <v>432</v>
      </c>
      <c r="AI1907" s="137" t="s">
        <v>432</v>
      </c>
      <c r="AJ1907" s="88">
        <v>25</v>
      </c>
      <c r="AK1907" s="88">
        <v>25</v>
      </c>
      <c r="AL1907" s="600" t="s">
        <v>432</v>
      </c>
      <c r="AM1907" s="88">
        <v>25</v>
      </c>
      <c r="AN1907" s="88">
        <v>25</v>
      </c>
      <c r="AO1907" s="137" t="s">
        <v>432</v>
      </c>
      <c r="AP1907" s="137" t="s">
        <v>432</v>
      </c>
      <c r="AQ1907" s="137" t="s">
        <v>432</v>
      </c>
      <c r="AR1907" s="137" t="s">
        <v>432</v>
      </c>
      <c r="AS1907" s="137" t="s">
        <v>432</v>
      </c>
      <c r="AT1907" s="137" t="s">
        <v>432</v>
      </c>
      <c r="AU1907" s="137" t="s">
        <v>432</v>
      </c>
      <c r="AV1907" s="137" t="s">
        <v>432</v>
      </c>
      <c r="AW1907" s="137" t="s">
        <v>432</v>
      </c>
      <c r="AX1907" s="137" t="s">
        <v>432</v>
      </c>
      <c r="AY1907" s="137" t="s">
        <v>432</v>
      </c>
      <c r="AZ1907" s="137" t="s">
        <v>432</v>
      </c>
      <c r="BA1907" s="137" t="s">
        <v>432</v>
      </c>
      <c r="BB1907" s="239" t="str">
        <f t="shared" si="565"/>
        <v>Sistema de bicicletax</v>
      </c>
      <c r="BC1907" s="239" t="str">
        <f t="shared" si="566"/>
        <v>Sistema de bicicletaxmeta/RPI</v>
      </c>
      <c r="BD1907" s="239" t="str">
        <f t="shared" si="567"/>
        <v>Sistema de bicicletameta/RPI</v>
      </c>
    </row>
    <row r="1908" spans="1:56" s="1" customFormat="1" ht="84" customHeight="1" x14ac:dyDescent="0.25">
      <c r="A1908" s="275" t="str">
        <f>'Q100b-totais'!$B$50</f>
        <v>6.2</v>
      </c>
      <c r="B1908" s="1205" t="str">
        <f>'Q100b-totais'!$C$50</f>
        <v>Sistema de bicicleta</v>
      </c>
      <c r="C1908" s="1369" t="s">
        <v>432</v>
      </c>
      <c r="D1908" s="324" t="s">
        <v>4777</v>
      </c>
      <c r="E1908" s="1505" t="s">
        <v>432</v>
      </c>
      <c r="F1908" s="1205" t="s">
        <v>4790</v>
      </c>
      <c r="G1908" s="230" t="s">
        <v>4610</v>
      </c>
      <c r="H1908" s="167" t="s">
        <v>2408</v>
      </c>
      <c r="I1908" s="167" t="s">
        <v>432</v>
      </c>
      <c r="J1908" s="137" t="s">
        <v>432</v>
      </c>
      <c r="K1908" s="137" t="s">
        <v>432</v>
      </c>
      <c r="L1908" s="137" t="s">
        <v>432</v>
      </c>
      <c r="M1908" s="137" t="s">
        <v>432</v>
      </c>
      <c r="N1908" s="137" t="s">
        <v>432</v>
      </c>
      <c r="O1908" s="137" t="s">
        <v>432</v>
      </c>
      <c r="P1908" s="137" t="s">
        <v>432</v>
      </c>
      <c r="Q1908" s="137" t="s">
        <v>432</v>
      </c>
      <c r="R1908" s="137" t="s">
        <v>432</v>
      </c>
      <c r="S1908" s="109" t="s">
        <v>2209</v>
      </c>
      <c r="T1908" s="137" t="s">
        <v>432</v>
      </c>
      <c r="U1908" s="137" t="s">
        <v>432</v>
      </c>
      <c r="V1908" s="109" t="s">
        <v>2209</v>
      </c>
      <c r="W1908" s="137" t="s">
        <v>432</v>
      </c>
      <c r="X1908" s="137" t="s">
        <v>432</v>
      </c>
      <c r="Y1908" s="137" t="s">
        <v>432</v>
      </c>
      <c r="Z1908" s="137" t="s">
        <v>432</v>
      </c>
      <c r="AA1908" s="137" t="s">
        <v>432</v>
      </c>
      <c r="AB1908" s="137" t="s">
        <v>432</v>
      </c>
      <c r="AC1908" s="137" t="s">
        <v>432</v>
      </c>
      <c r="AD1908" s="137" t="s">
        <v>432</v>
      </c>
      <c r="AE1908" s="137" t="s">
        <v>432</v>
      </c>
      <c r="AF1908" s="137" t="s">
        <v>432</v>
      </c>
      <c r="AG1908" s="137" t="s">
        <v>432</v>
      </c>
      <c r="AH1908" s="137" t="s">
        <v>432</v>
      </c>
      <c r="AI1908" s="137" t="s">
        <v>432</v>
      </c>
      <c r="AJ1908" s="137" t="s">
        <v>432</v>
      </c>
      <c r="AK1908" s="137" t="s">
        <v>432</v>
      </c>
      <c r="AL1908" s="600" t="s">
        <v>432</v>
      </c>
      <c r="AM1908" s="137" t="s">
        <v>432</v>
      </c>
      <c r="AN1908" s="137" t="s">
        <v>432</v>
      </c>
      <c r="AO1908" s="137" t="s">
        <v>432</v>
      </c>
      <c r="AP1908" s="137" t="s">
        <v>432</v>
      </c>
      <c r="AQ1908" s="137" t="s">
        <v>432</v>
      </c>
      <c r="AR1908" s="137" t="s">
        <v>432</v>
      </c>
      <c r="AS1908" s="137" t="s">
        <v>432</v>
      </c>
      <c r="AT1908" s="137" t="s">
        <v>432</v>
      </c>
      <c r="AU1908" s="137" t="s">
        <v>432</v>
      </c>
      <c r="AV1908" s="137" t="s">
        <v>432</v>
      </c>
      <c r="AW1908" s="137" t="s">
        <v>432</v>
      </c>
      <c r="AX1908" s="137" t="s">
        <v>432</v>
      </c>
      <c r="AY1908" s="137" t="s">
        <v>432</v>
      </c>
      <c r="AZ1908" s="137" t="s">
        <v>432</v>
      </c>
      <c r="BA1908" s="137" t="s">
        <v>432</v>
      </c>
      <c r="BB1908" s="239" t="str">
        <f t="shared" si="565"/>
        <v>Sistema de bicicletax</v>
      </c>
      <c r="BC1908" s="239" t="str">
        <f t="shared" si="566"/>
        <v>Sistema de bicicletaxsigla/verbete</v>
      </c>
      <c r="BD1908" s="239" t="str">
        <f t="shared" si="567"/>
        <v>Sistema de bicicletasigla/verbete</v>
      </c>
    </row>
    <row r="1909" spans="1:56" s="1" customFormat="1" ht="103.5" customHeight="1" x14ac:dyDescent="0.25">
      <c r="A1909" s="275" t="str">
        <f>'Q100b-totais'!$B$50</f>
        <v>6.2</v>
      </c>
      <c r="B1909" s="1205" t="str">
        <f>'Q100b-totais'!$C$50</f>
        <v>Sistema de bicicleta</v>
      </c>
      <c r="C1909" s="167" t="s">
        <v>432</v>
      </c>
      <c r="D1909" s="324" t="s">
        <v>4777</v>
      </c>
      <c r="E1909" s="1505" t="s">
        <v>4747</v>
      </c>
      <c r="F1909" s="11" t="s">
        <v>4780</v>
      </c>
      <c r="G1909" s="58" t="s">
        <v>4772</v>
      </c>
      <c r="H1909" s="173" t="s">
        <v>765</v>
      </c>
      <c r="I1909" s="167" t="s">
        <v>432</v>
      </c>
      <c r="J1909" s="137" t="s">
        <v>432</v>
      </c>
      <c r="K1909" s="137" t="s">
        <v>432</v>
      </c>
      <c r="L1909" s="137" t="s">
        <v>432</v>
      </c>
      <c r="M1909" s="137" t="s">
        <v>432</v>
      </c>
      <c r="N1909" s="137" t="s">
        <v>432</v>
      </c>
      <c r="O1909" s="137" t="s">
        <v>432</v>
      </c>
      <c r="P1909" s="137" t="s">
        <v>432</v>
      </c>
      <c r="Q1909" s="137" t="s">
        <v>432</v>
      </c>
      <c r="R1909" s="137" t="s">
        <v>432</v>
      </c>
      <c r="S1909" s="109" t="s">
        <v>2209</v>
      </c>
      <c r="T1909" s="137" t="s">
        <v>432</v>
      </c>
      <c r="U1909" s="137" t="s">
        <v>432</v>
      </c>
      <c r="V1909" s="109" t="s">
        <v>2209</v>
      </c>
      <c r="W1909" s="137" t="s">
        <v>432</v>
      </c>
      <c r="X1909" s="137" t="s">
        <v>432</v>
      </c>
      <c r="Y1909" s="137" t="s">
        <v>432</v>
      </c>
      <c r="Z1909" s="137" t="s">
        <v>432</v>
      </c>
      <c r="AA1909" s="137" t="s">
        <v>432</v>
      </c>
      <c r="AB1909" s="137" t="s">
        <v>432</v>
      </c>
      <c r="AC1909" s="137" t="s">
        <v>432</v>
      </c>
      <c r="AD1909" s="137" t="s">
        <v>432</v>
      </c>
      <c r="AE1909" s="137" t="s">
        <v>432</v>
      </c>
      <c r="AF1909" s="137" t="s">
        <v>432</v>
      </c>
      <c r="AG1909" s="137" t="s">
        <v>432</v>
      </c>
      <c r="AH1909" s="137" t="s">
        <v>432</v>
      </c>
      <c r="AI1909" s="137" t="s">
        <v>432</v>
      </c>
      <c r="AJ1909" s="47">
        <f>AJ1906/AJ1907</f>
        <v>2.76</v>
      </c>
      <c r="AK1909" s="47">
        <f>AK1906/AK1907</f>
        <v>1.24</v>
      </c>
      <c r="AL1909" s="600" t="s">
        <v>432</v>
      </c>
      <c r="AM1909" s="137" t="s">
        <v>432</v>
      </c>
      <c r="AN1909" s="137" t="s">
        <v>432</v>
      </c>
      <c r="AO1909" s="137" t="s">
        <v>432</v>
      </c>
      <c r="AP1909" s="137" t="s">
        <v>432</v>
      </c>
      <c r="AQ1909" s="137" t="s">
        <v>432</v>
      </c>
      <c r="AR1909" s="137" t="s">
        <v>432</v>
      </c>
      <c r="AS1909" s="137" t="s">
        <v>432</v>
      </c>
      <c r="AT1909" s="137" t="s">
        <v>432</v>
      </c>
      <c r="AU1909" s="137" t="s">
        <v>432</v>
      </c>
      <c r="AV1909" s="137" t="s">
        <v>432</v>
      </c>
      <c r="AW1909" s="137" t="s">
        <v>432</v>
      </c>
      <c r="AX1909" s="137" t="s">
        <v>432</v>
      </c>
      <c r="AY1909" s="137" t="s">
        <v>432</v>
      </c>
      <c r="AZ1909" s="137" t="s">
        <v>432</v>
      </c>
      <c r="BA1909" s="137" t="s">
        <v>432</v>
      </c>
      <c r="BB1909" s="239" t="str">
        <f t="shared" si="565"/>
        <v>Sistema de bicicletax</v>
      </c>
      <c r="BC1909" s="239" t="str">
        <f t="shared" si="566"/>
        <v>Sistema de bicicletaxmeta/RPI</v>
      </c>
      <c r="BD1909" s="239" t="str">
        <f t="shared" si="567"/>
        <v>Sistema de bicicletameta/RPI</v>
      </c>
    </row>
    <row r="1910" spans="1:56" s="1" customFormat="1" ht="37.5" customHeight="1" x14ac:dyDescent="0.25">
      <c r="A1910" s="262" t="str">
        <f>'Q100b-totais'!B22</f>
        <v>2.7</v>
      </c>
      <c r="B1910" s="252" t="str">
        <f>'Q100b-totais'!C22</f>
        <v>Outras cidades/regiões</v>
      </c>
      <c r="C1910" s="167" t="s">
        <v>743</v>
      </c>
      <c r="D1910" s="325" t="s">
        <v>3295</v>
      </c>
      <c r="E1910" s="1445" t="s">
        <v>3295</v>
      </c>
      <c r="F1910" s="1205" t="s">
        <v>4207</v>
      </c>
      <c r="G1910" s="230" t="s">
        <v>3507</v>
      </c>
      <c r="H1910" s="167" t="s">
        <v>2408</v>
      </c>
      <c r="I1910" s="167" t="s">
        <v>432</v>
      </c>
      <c r="J1910" s="107" t="s">
        <v>432</v>
      </c>
      <c r="K1910" s="107" t="s">
        <v>432</v>
      </c>
      <c r="L1910" s="107" t="s">
        <v>432</v>
      </c>
      <c r="M1910" s="107" t="s">
        <v>432</v>
      </c>
      <c r="N1910" s="107" t="s">
        <v>432</v>
      </c>
      <c r="O1910" s="107" t="s">
        <v>432</v>
      </c>
      <c r="P1910" s="107" t="s">
        <v>432</v>
      </c>
      <c r="Q1910" s="107" t="s">
        <v>432</v>
      </c>
      <c r="R1910" s="107" t="s">
        <v>432</v>
      </c>
      <c r="S1910" s="109" t="s">
        <v>2209</v>
      </c>
      <c r="T1910" s="107" t="s">
        <v>432</v>
      </c>
      <c r="U1910" s="107" t="s">
        <v>432</v>
      </c>
      <c r="V1910" s="109" t="s">
        <v>2209</v>
      </c>
      <c r="W1910" s="107" t="s">
        <v>432</v>
      </c>
      <c r="X1910" s="107" t="s">
        <v>432</v>
      </c>
      <c r="Y1910" s="107" t="s">
        <v>432</v>
      </c>
      <c r="Z1910" s="107" t="s">
        <v>432</v>
      </c>
      <c r="AA1910" s="107" t="s">
        <v>432</v>
      </c>
      <c r="AB1910" s="107" t="s">
        <v>432</v>
      </c>
      <c r="AC1910" s="107" t="s">
        <v>432</v>
      </c>
      <c r="AD1910" s="107" t="s">
        <v>432</v>
      </c>
      <c r="AE1910" s="107" t="s">
        <v>432</v>
      </c>
      <c r="AF1910" s="107" t="s">
        <v>432</v>
      </c>
      <c r="AG1910" s="107" t="s">
        <v>432</v>
      </c>
      <c r="AH1910" s="107" t="s">
        <v>432</v>
      </c>
      <c r="AI1910" s="107" t="s">
        <v>432</v>
      </c>
      <c r="AJ1910" s="107" t="s">
        <v>432</v>
      </c>
      <c r="AK1910" s="137" t="s">
        <v>432</v>
      </c>
      <c r="AL1910" s="601" t="s">
        <v>432</v>
      </c>
      <c r="AM1910" s="137" t="s">
        <v>432</v>
      </c>
      <c r="AN1910" s="137" t="s">
        <v>432</v>
      </c>
      <c r="AO1910" s="137" t="s">
        <v>432</v>
      </c>
      <c r="AP1910" s="137" t="s">
        <v>432</v>
      </c>
      <c r="AQ1910" s="137" t="s">
        <v>432</v>
      </c>
      <c r="AR1910" s="137" t="s">
        <v>432</v>
      </c>
      <c r="AS1910" s="137" t="s">
        <v>432</v>
      </c>
      <c r="AT1910" s="137" t="s">
        <v>432</v>
      </c>
      <c r="AU1910" s="137" t="s">
        <v>432</v>
      </c>
      <c r="AV1910" s="137" t="s">
        <v>432</v>
      </c>
      <c r="AW1910" s="137" t="s">
        <v>432</v>
      </c>
      <c r="AX1910" s="137" t="s">
        <v>432</v>
      </c>
      <c r="AY1910" s="137" t="s">
        <v>432</v>
      </c>
      <c r="AZ1910" s="137" t="s">
        <v>432</v>
      </c>
      <c r="BA1910" s="137" t="s">
        <v>432</v>
      </c>
      <c r="BB1910" s="239" t="str">
        <f t="shared" si="565"/>
        <v>Outras cidades/regiõesacessibilidade</v>
      </c>
      <c r="BC1910" s="239" t="str">
        <f t="shared" si="566"/>
        <v>Outras cidades/regiõesacessibilidadesigla/verbete</v>
      </c>
      <c r="BD1910" s="239" t="str">
        <f t="shared" si="567"/>
        <v>Outras cidades/regiõessigla/verbete</v>
      </c>
    </row>
    <row r="1911" spans="1:56" s="1" customFormat="1" ht="64.5" customHeight="1" x14ac:dyDescent="0.25">
      <c r="A1911" s="262" t="str">
        <f>'Q100b-totais'!B49</f>
        <v>6.1</v>
      </c>
      <c r="B1911" s="252" t="str">
        <f>'Q100b-totais'!C49</f>
        <v>Calçadas e passarelas</v>
      </c>
      <c r="C1911" s="167" t="s">
        <v>743</v>
      </c>
      <c r="D1911" s="325" t="s">
        <v>5254</v>
      </c>
      <c r="E1911" s="1496" t="s">
        <v>1283</v>
      </c>
      <c r="F1911" s="70" t="s">
        <v>5375</v>
      </c>
      <c r="G1911" s="230" t="s">
        <v>5166</v>
      </c>
      <c r="H1911" s="167" t="s">
        <v>2408</v>
      </c>
      <c r="I1911" s="167" t="s">
        <v>432</v>
      </c>
      <c r="J1911" s="107" t="s">
        <v>432</v>
      </c>
      <c r="K1911" s="107" t="s">
        <v>432</v>
      </c>
      <c r="L1911" s="107" t="s">
        <v>432</v>
      </c>
      <c r="M1911" s="107" t="s">
        <v>432</v>
      </c>
      <c r="N1911" s="107" t="s">
        <v>432</v>
      </c>
      <c r="O1911" s="107" t="s">
        <v>432</v>
      </c>
      <c r="P1911" s="107" t="s">
        <v>432</v>
      </c>
      <c r="Q1911" s="107" t="s">
        <v>432</v>
      </c>
      <c r="R1911" s="107" t="s">
        <v>432</v>
      </c>
      <c r="S1911" s="109" t="s">
        <v>2209</v>
      </c>
      <c r="T1911" s="107" t="s">
        <v>432</v>
      </c>
      <c r="U1911" s="107" t="s">
        <v>432</v>
      </c>
      <c r="V1911" s="109" t="s">
        <v>2209</v>
      </c>
      <c r="W1911" s="107" t="s">
        <v>432</v>
      </c>
      <c r="X1911" s="107" t="s">
        <v>432</v>
      </c>
      <c r="Y1911" s="107" t="s">
        <v>432</v>
      </c>
      <c r="Z1911" s="107" t="s">
        <v>432</v>
      </c>
      <c r="AA1911" s="107" t="s">
        <v>432</v>
      </c>
      <c r="AB1911" s="107" t="s">
        <v>432</v>
      </c>
      <c r="AC1911" s="107" t="s">
        <v>432</v>
      </c>
      <c r="AD1911" s="107" t="s">
        <v>432</v>
      </c>
      <c r="AE1911" s="107" t="s">
        <v>432</v>
      </c>
      <c r="AF1911" s="107" t="s">
        <v>432</v>
      </c>
      <c r="AG1911" s="107" t="s">
        <v>432</v>
      </c>
      <c r="AH1911" s="107" t="s">
        <v>432</v>
      </c>
      <c r="AI1911" s="107" t="s">
        <v>432</v>
      </c>
      <c r="AJ1911" s="107" t="s">
        <v>432</v>
      </c>
      <c r="AK1911" s="137" t="s">
        <v>432</v>
      </c>
      <c r="AL1911" s="601" t="s">
        <v>432</v>
      </c>
      <c r="AM1911" s="137" t="s">
        <v>432</v>
      </c>
      <c r="AN1911" s="137" t="s">
        <v>432</v>
      </c>
      <c r="AO1911" s="137" t="s">
        <v>432</v>
      </c>
      <c r="AP1911" s="137" t="s">
        <v>432</v>
      </c>
      <c r="AQ1911" s="137" t="s">
        <v>432</v>
      </c>
      <c r="AR1911" s="137" t="s">
        <v>432</v>
      </c>
      <c r="AS1911" s="137" t="s">
        <v>432</v>
      </c>
      <c r="AT1911" s="137" t="s">
        <v>432</v>
      </c>
      <c r="AU1911" s="137" t="s">
        <v>432</v>
      </c>
      <c r="AV1911" s="137" t="s">
        <v>432</v>
      </c>
      <c r="AW1911" s="137" t="s">
        <v>432</v>
      </c>
      <c r="AX1911" s="137" t="s">
        <v>432</v>
      </c>
      <c r="AY1911" s="137" t="s">
        <v>432</v>
      </c>
      <c r="AZ1911" s="137" t="s">
        <v>432</v>
      </c>
      <c r="BA1911" s="137" t="s">
        <v>432</v>
      </c>
      <c r="BB1911" s="239" t="str">
        <f t="shared" si="565"/>
        <v>Calçadas e passarelasacessibilidade</v>
      </c>
      <c r="BC1911" s="239" t="str">
        <f t="shared" si="566"/>
        <v>Calçadas e passarelasacessibilidadesigla/verbete</v>
      </c>
      <c r="BD1911" s="239" t="str">
        <f t="shared" si="567"/>
        <v>Calçadas e passarelassigla/verbete</v>
      </c>
    </row>
    <row r="1912" spans="1:56" s="1" customFormat="1" ht="153" customHeight="1" x14ac:dyDescent="0.25">
      <c r="A1912" s="262" t="str">
        <f>'Q100b-totais'!B49</f>
        <v>6.1</v>
      </c>
      <c r="B1912" s="252" t="str">
        <f>'Q100b-totais'!C49</f>
        <v>Calçadas e passarelas</v>
      </c>
      <c r="C1912" s="167" t="s">
        <v>432</v>
      </c>
      <c r="D1912" s="325" t="s">
        <v>4731</v>
      </c>
      <c r="E1912" s="1496" t="s">
        <v>1767</v>
      </c>
      <c r="F1912" s="70" t="s">
        <v>6195</v>
      </c>
      <c r="G1912" s="230" t="s">
        <v>3507</v>
      </c>
      <c r="H1912" s="167" t="s">
        <v>2408</v>
      </c>
      <c r="I1912" s="167" t="s">
        <v>432</v>
      </c>
      <c r="J1912" s="107" t="s">
        <v>432</v>
      </c>
      <c r="K1912" s="107" t="s">
        <v>432</v>
      </c>
      <c r="L1912" s="107" t="s">
        <v>432</v>
      </c>
      <c r="M1912" s="107" t="s">
        <v>432</v>
      </c>
      <c r="N1912" s="107" t="s">
        <v>432</v>
      </c>
      <c r="O1912" s="107" t="s">
        <v>432</v>
      </c>
      <c r="P1912" s="107" t="s">
        <v>432</v>
      </c>
      <c r="Q1912" s="107" t="s">
        <v>432</v>
      </c>
      <c r="R1912" s="107" t="s">
        <v>432</v>
      </c>
      <c r="S1912" s="109" t="s">
        <v>2209</v>
      </c>
      <c r="T1912" s="107" t="s">
        <v>432</v>
      </c>
      <c r="U1912" s="107" t="s">
        <v>432</v>
      </c>
      <c r="V1912" s="109" t="s">
        <v>2209</v>
      </c>
      <c r="W1912" s="107" t="s">
        <v>432</v>
      </c>
      <c r="X1912" s="107" t="s">
        <v>432</v>
      </c>
      <c r="Y1912" s="107" t="s">
        <v>432</v>
      </c>
      <c r="Z1912" s="107" t="s">
        <v>432</v>
      </c>
      <c r="AA1912" s="107" t="s">
        <v>432</v>
      </c>
      <c r="AB1912" s="107" t="s">
        <v>432</v>
      </c>
      <c r="AC1912" s="107" t="s">
        <v>432</v>
      </c>
      <c r="AD1912" s="107" t="s">
        <v>432</v>
      </c>
      <c r="AE1912" s="107" t="s">
        <v>432</v>
      </c>
      <c r="AF1912" s="107" t="s">
        <v>432</v>
      </c>
      <c r="AG1912" s="107" t="s">
        <v>432</v>
      </c>
      <c r="AH1912" s="107" t="s">
        <v>432</v>
      </c>
      <c r="AI1912" s="107" t="s">
        <v>432</v>
      </c>
      <c r="AJ1912" s="107" t="s">
        <v>432</v>
      </c>
      <c r="AK1912" s="137" t="s">
        <v>432</v>
      </c>
      <c r="AL1912" s="600" t="s">
        <v>432</v>
      </c>
      <c r="AM1912" s="137" t="s">
        <v>432</v>
      </c>
      <c r="AN1912" s="137" t="s">
        <v>432</v>
      </c>
      <c r="AO1912" s="137" t="s">
        <v>432</v>
      </c>
      <c r="AP1912" s="137" t="s">
        <v>432</v>
      </c>
      <c r="AQ1912" s="137" t="s">
        <v>432</v>
      </c>
      <c r="AR1912" s="137" t="s">
        <v>432</v>
      </c>
      <c r="AS1912" s="137" t="s">
        <v>432</v>
      </c>
      <c r="AT1912" s="137" t="s">
        <v>432</v>
      </c>
      <c r="AU1912" s="137" t="s">
        <v>432</v>
      </c>
      <c r="AV1912" s="137" t="s">
        <v>432</v>
      </c>
      <c r="AW1912" s="137" t="s">
        <v>432</v>
      </c>
      <c r="AX1912" s="137" t="s">
        <v>432</v>
      </c>
      <c r="AY1912" s="137" t="s">
        <v>432</v>
      </c>
      <c r="AZ1912" s="137" t="s">
        <v>432</v>
      </c>
      <c r="BA1912" s="137" t="s">
        <v>432</v>
      </c>
      <c r="BB1912" s="239" t="str">
        <f t="shared" si="565"/>
        <v>Calçadas e passarelasx</v>
      </c>
      <c r="BC1912" s="239" t="str">
        <f t="shared" si="566"/>
        <v>Calçadas e passarelasxsigla/verbete</v>
      </c>
      <c r="BD1912" s="239" t="str">
        <f t="shared" si="567"/>
        <v>Calçadas e passarelassigla/verbete</v>
      </c>
    </row>
    <row r="1913" spans="1:56" s="3" customFormat="1" ht="146.25" customHeight="1" x14ac:dyDescent="0.25">
      <c r="A1913" s="262" t="str">
        <f>'Q100b-totais'!B49</f>
        <v>6.1</v>
      </c>
      <c r="B1913" s="252" t="str">
        <f>'Q100b-totais'!C49</f>
        <v>Calçadas e passarelas</v>
      </c>
      <c r="C1913" s="167" t="s">
        <v>743</v>
      </c>
      <c r="D1913" s="968" t="s">
        <v>4731</v>
      </c>
      <c r="E1913" s="1509" t="s">
        <v>3460</v>
      </c>
      <c r="F1913" s="1205" t="s">
        <v>4732</v>
      </c>
      <c r="G1913" s="230" t="s">
        <v>3507</v>
      </c>
      <c r="H1913" s="167" t="s">
        <v>2408</v>
      </c>
      <c r="I1913" s="167" t="s">
        <v>432</v>
      </c>
      <c r="J1913" s="107" t="s">
        <v>432</v>
      </c>
      <c r="K1913" s="107" t="s">
        <v>432</v>
      </c>
      <c r="L1913" s="107" t="s">
        <v>432</v>
      </c>
      <c r="M1913" s="107" t="s">
        <v>432</v>
      </c>
      <c r="N1913" s="107" t="s">
        <v>432</v>
      </c>
      <c r="O1913" s="107" t="s">
        <v>432</v>
      </c>
      <c r="P1913" s="107" t="s">
        <v>432</v>
      </c>
      <c r="Q1913" s="107" t="s">
        <v>432</v>
      </c>
      <c r="R1913" s="107" t="s">
        <v>432</v>
      </c>
      <c r="S1913" s="109" t="s">
        <v>2209</v>
      </c>
      <c r="T1913" s="107" t="s">
        <v>432</v>
      </c>
      <c r="U1913" s="107" t="s">
        <v>432</v>
      </c>
      <c r="V1913" s="109" t="s">
        <v>2209</v>
      </c>
      <c r="W1913" s="107" t="s">
        <v>432</v>
      </c>
      <c r="X1913" s="107" t="s">
        <v>432</v>
      </c>
      <c r="Y1913" s="107" t="s">
        <v>432</v>
      </c>
      <c r="Z1913" s="107" t="s">
        <v>432</v>
      </c>
      <c r="AA1913" s="107" t="s">
        <v>432</v>
      </c>
      <c r="AB1913" s="107" t="s">
        <v>432</v>
      </c>
      <c r="AC1913" s="107" t="s">
        <v>432</v>
      </c>
      <c r="AD1913" s="107" t="s">
        <v>432</v>
      </c>
      <c r="AE1913" s="107" t="s">
        <v>432</v>
      </c>
      <c r="AF1913" s="107" t="s">
        <v>432</v>
      </c>
      <c r="AG1913" s="107" t="s">
        <v>432</v>
      </c>
      <c r="AH1913" s="107" t="s">
        <v>432</v>
      </c>
      <c r="AI1913" s="107" t="s">
        <v>432</v>
      </c>
      <c r="AJ1913" s="107" t="s">
        <v>432</v>
      </c>
      <c r="AK1913" s="137" t="s">
        <v>432</v>
      </c>
      <c r="AL1913" s="600" t="s">
        <v>432</v>
      </c>
      <c r="AM1913" s="137" t="s">
        <v>432</v>
      </c>
      <c r="AN1913" s="137" t="s">
        <v>432</v>
      </c>
      <c r="AO1913" s="137" t="s">
        <v>432</v>
      </c>
      <c r="AP1913" s="137" t="s">
        <v>432</v>
      </c>
      <c r="AQ1913" s="137" t="s">
        <v>432</v>
      </c>
      <c r="AR1913" s="137" t="s">
        <v>432</v>
      </c>
      <c r="AS1913" s="137" t="s">
        <v>432</v>
      </c>
      <c r="AT1913" s="137" t="s">
        <v>432</v>
      </c>
      <c r="AU1913" s="137" t="s">
        <v>432</v>
      </c>
      <c r="AV1913" s="137" t="s">
        <v>432</v>
      </c>
      <c r="AW1913" s="137" t="s">
        <v>432</v>
      </c>
      <c r="AX1913" s="137" t="s">
        <v>432</v>
      </c>
      <c r="AY1913" s="137" t="s">
        <v>432</v>
      </c>
      <c r="AZ1913" s="137" t="s">
        <v>432</v>
      </c>
      <c r="BA1913" s="137" t="s">
        <v>432</v>
      </c>
      <c r="BB1913" s="239" t="str">
        <f t="shared" si="565"/>
        <v>Calçadas e passarelasacessibilidade</v>
      </c>
      <c r="BC1913" s="239" t="str">
        <f t="shared" si="566"/>
        <v>Calçadas e passarelasacessibilidadesigla/verbete</v>
      </c>
      <c r="BD1913" s="239" t="str">
        <f t="shared" si="567"/>
        <v>Calçadas e passarelassigla/verbete</v>
      </c>
    </row>
    <row r="1914" spans="1:56" s="1" customFormat="1" ht="25.5" x14ac:dyDescent="0.25">
      <c r="A1914" s="262" t="s">
        <v>432</v>
      </c>
      <c r="B1914" s="252" t="s">
        <v>742</v>
      </c>
      <c r="C1914" s="167" t="s">
        <v>432</v>
      </c>
      <c r="D1914" s="983" t="s">
        <v>312</v>
      </c>
      <c r="E1914" s="1496" t="s">
        <v>432</v>
      </c>
      <c r="F1914" s="181" t="s">
        <v>891</v>
      </c>
      <c r="G1914" s="167" t="s">
        <v>3879</v>
      </c>
      <c r="H1914" s="167" t="s">
        <v>432</v>
      </c>
      <c r="I1914" s="167" t="s">
        <v>432</v>
      </c>
      <c r="J1914" s="107" t="s">
        <v>432</v>
      </c>
      <c r="K1914" s="107" t="s">
        <v>432</v>
      </c>
      <c r="L1914" s="107" t="s">
        <v>432</v>
      </c>
      <c r="M1914" s="107" t="s">
        <v>432</v>
      </c>
      <c r="N1914" s="107" t="s">
        <v>432</v>
      </c>
      <c r="O1914" s="107" t="s">
        <v>432</v>
      </c>
      <c r="P1914" s="107" t="s">
        <v>432</v>
      </c>
      <c r="Q1914" s="107" t="s">
        <v>432</v>
      </c>
      <c r="R1914" s="107" t="s">
        <v>432</v>
      </c>
      <c r="S1914" s="109" t="s">
        <v>2209</v>
      </c>
      <c r="T1914" s="107" t="s">
        <v>432</v>
      </c>
      <c r="U1914" s="107" t="s">
        <v>432</v>
      </c>
      <c r="V1914" s="109" t="s">
        <v>2209</v>
      </c>
      <c r="W1914" s="107" t="s">
        <v>432</v>
      </c>
      <c r="X1914" s="107" t="s">
        <v>432</v>
      </c>
      <c r="Y1914" s="107" t="s">
        <v>432</v>
      </c>
      <c r="Z1914" s="107" t="s">
        <v>432</v>
      </c>
      <c r="AA1914" s="107" t="s">
        <v>432</v>
      </c>
      <c r="AB1914" s="107" t="s">
        <v>432</v>
      </c>
      <c r="AC1914" s="107" t="s">
        <v>432</v>
      </c>
      <c r="AD1914" s="107" t="s">
        <v>432</v>
      </c>
      <c r="AE1914" s="107" t="s">
        <v>432</v>
      </c>
      <c r="AF1914" s="107" t="s">
        <v>432</v>
      </c>
      <c r="AG1914" s="107" t="s">
        <v>432</v>
      </c>
      <c r="AH1914" s="107" t="s">
        <v>432</v>
      </c>
      <c r="AI1914" s="107" t="s">
        <v>432</v>
      </c>
      <c r="AJ1914" s="107" t="s">
        <v>432</v>
      </c>
      <c r="AK1914" s="137" t="s">
        <v>432</v>
      </c>
      <c r="AL1914" s="601" t="s">
        <v>432</v>
      </c>
      <c r="AM1914" s="137" t="s">
        <v>432</v>
      </c>
      <c r="AN1914" s="137" t="s">
        <v>432</v>
      </c>
      <c r="AO1914" s="137" t="s">
        <v>432</v>
      </c>
      <c r="AP1914" s="137" t="s">
        <v>432</v>
      </c>
      <c r="AQ1914" s="137" t="s">
        <v>432</v>
      </c>
      <c r="AR1914" s="137" t="s">
        <v>432</v>
      </c>
      <c r="AS1914" s="137" t="s">
        <v>432</v>
      </c>
      <c r="AT1914" s="137" t="s">
        <v>432</v>
      </c>
      <c r="AU1914" s="137" t="s">
        <v>432</v>
      </c>
      <c r="AV1914" s="137" t="s">
        <v>432</v>
      </c>
      <c r="AW1914" s="137" t="s">
        <v>432</v>
      </c>
      <c r="AX1914" s="137" t="s">
        <v>432</v>
      </c>
      <c r="AY1914" s="137" t="s">
        <v>432</v>
      </c>
      <c r="AZ1914" s="137" t="s">
        <v>432</v>
      </c>
      <c r="BA1914" s="137" t="s">
        <v>432</v>
      </c>
      <c r="BB1914" s="239" t="str">
        <f t="shared" si="565"/>
        <v>geralx</v>
      </c>
      <c r="BC1914" s="239" t="str">
        <f t="shared" si="566"/>
        <v>geralxx</v>
      </c>
      <c r="BD1914" s="239" t="str">
        <f t="shared" si="567"/>
        <v>geralx</v>
      </c>
    </row>
    <row r="1915" spans="1:56" s="1" customFormat="1" ht="25.5" x14ac:dyDescent="0.25">
      <c r="A1915" s="262" t="s">
        <v>432</v>
      </c>
      <c r="B1915" s="252" t="s">
        <v>742</v>
      </c>
      <c r="C1915" s="167" t="s">
        <v>432</v>
      </c>
      <c r="D1915" s="324" t="s">
        <v>3258</v>
      </c>
      <c r="E1915" s="1445" t="s">
        <v>432</v>
      </c>
      <c r="F1915" s="252" t="s">
        <v>3488</v>
      </c>
      <c r="G1915" s="167" t="s">
        <v>3719</v>
      </c>
      <c r="H1915" s="167" t="s">
        <v>2408</v>
      </c>
      <c r="I1915" s="167" t="s">
        <v>432</v>
      </c>
      <c r="J1915" s="107" t="s">
        <v>432</v>
      </c>
      <c r="K1915" s="107" t="s">
        <v>432</v>
      </c>
      <c r="L1915" s="107" t="s">
        <v>432</v>
      </c>
      <c r="M1915" s="107" t="s">
        <v>432</v>
      </c>
      <c r="N1915" s="107" t="s">
        <v>432</v>
      </c>
      <c r="O1915" s="107" t="s">
        <v>432</v>
      </c>
      <c r="P1915" s="107" t="s">
        <v>432</v>
      </c>
      <c r="Q1915" s="107" t="s">
        <v>432</v>
      </c>
      <c r="R1915" s="107" t="s">
        <v>432</v>
      </c>
      <c r="S1915" s="109" t="s">
        <v>2209</v>
      </c>
      <c r="T1915" s="107" t="s">
        <v>432</v>
      </c>
      <c r="U1915" s="107" t="s">
        <v>432</v>
      </c>
      <c r="V1915" s="109" t="s">
        <v>2209</v>
      </c>
      <c r="W1915" s="107" t="s">
        <v>432</v>
      </c>
      <c r="X1915" s="107" t="s">
        <v>432</v>
      </c>
      <c r="Y1915" s="107" t="s">
        <v>432</v>
      </c>
      <c r="Z1915" s="107" t="s">
        <v>432</v>
      </c>
      <c r="AA1915" s="107" t="s">
        <v>432</v>
      </c>
      <c r="AB1915" s="107" t="s">
        <v>432</v>
      </c>
      <c r="AC1915" s="107" t="s">
        <v>432</v>
      </c>
      <c r="AD1915" s="107" t="s">
        <v>432</v>
      </c>
      <c r="AE1915" s="107" t="s">
        <v>432</v>
      </c>
      <c r="AF1915" s="107" t="s">
        <v>432</v>
      </c>
      <c r="AG1915" s="107" t="s">
        <v>432</v>
      </c>
      <c r="AH1915" s="107" t="s">
        <v>432</v>
      </c>
      <c r="AI1915" s="107" t="s">
        <v>432</v>
      </c>
      <c r="AJ1915" s="107" t="s">
        <v>432</v>
      </c>
      <c r="AK1915" s="137" t="s">
        <v>432</v>
      </c>
      <c r="AL1915" s="601" t="s">
        <v>432</v>
      </c>
      <c r="AM1915" s="137" t="s">
        <v>432</v>
      </c>
      <c r="AN1915" s="137" t="s">
        <v>432</v>
      </c>
      <c r="AO1915" s="137" t="s">
        <v>432</v>
      </c>
      <c r="AP1915" s="137" t="s">
        <v>432</v>
      </c>
      <c r="AQ1915" s="137" t="s">
        <v>432</v>
      </c>
      <c r="AR1915" s="137" t="s">
        <v>432</v>
      </c>
      <c r="AS1915" s="137" t="s">
        <v>432</v>
      </c>
      <c r="AT1915" s="137" t="s">
        <v>432</v>
      </c>
      <c r="AU1915" s="137" t="s">
        <v>432</v>
      </c>
      <c r="AV1915" s="137" t="s">
        <v>432</v>
      </c>
      <c r="AW1915" s="137" t="s">
        <v>432</v>
      </c>
      <c r="AX1915" s="137" t="s">
        <v>432</v>
      </c>
      <c r="AY1915" s="137" t="s">
        <v>432</v>
      </c>
      <c r="AZ1915" s="137" t="s">
        <v>432</v>
      </c>
      <c r="BA1915" s="137" t="s">
        <v>432</v>
      </c>
      <c r="BB1915" s="239" t="str">
        <f t="shared" si="565"/>
        <v>geralx</v>
      </c>
      <c r="BC1915" s="239" t="str">
        <f t="shared" si="566"/>
        <v>geralxsigla/verbete</v>
      </c>
      <c r="BD1915" s="239" t="str">
        <f t="shared" si="567"/>
        <v>geralsigla/verbete</v>
      </c>
    </row>
    <row r="1916" spans="1:56" s="1" customFormat="1" ht="25.5" x14ac:dyDescent="0.25">
      <c r="A1916" s="262" t="s">
        <v>432</v>
      </c>
      <c r="B1916" s="252" t="s">
        <v>742</v>
      </c>
      <c r="C1916" s="167" t="s">
        <v>432</v>
      </c>
      <c r="D1916" s="324" t="s">
        <v>313</v>
      </c>
      <c r="E1916" s="1496" t="s">
        <v>432</v>
      </c>
      <c r="F1916" s="11" t="s">
        <v>904</v>
      </c>
      <c r="G1916" s="167" t="s">
        <v>3879</v>
      </c>
      <c r="H1916" s="167" t="s">
        <v>432</v>
      </c>
      <c r="I1916" s="167" t="s">
        <v>432</v>
      </c>
      <c r="J1916" s="107" t="s">
        <v>432</v>
      </c>
      <c r="K1916" s="107" t="s">
        <v>432</v>
      </c>
      <c r="L1916" s="107" t="s">
        <v>432</v>
      </c>
      <c r="M1916" s="107" t="s">
        <v>432</v>
      </c>
      <c r="N1916" s="107" t="s">
        <v>432</v>
      </c>
      <c r="O1916" s="107" t="s">
        <v>432</v>
      </c>
      <c r="P1916" s="107" t="s">
        <v>432</v>
      </c>
      <c r="Q1916" s="107" t="s">
        <v>432</v>
      </c>
      <c r="R1916" s="107" t="s">
        <v>432</v>
      </c>
      <c r="S1916" s="109" t="s">
        <v>2209</v>
      </c>
      <c r="T1916" s="107" t="s">
        <v>432</v>
      </c>
      <c r="U1916" s="107" t="s">
        <v>432</v>
      </c>
      <c r="V1916" s="109" t="s">
        <v>2209</v>
      </c>
      <c r="W1916" s="107" t="s">
        <v>432</v>
      </c>
      <c r="X1916" s="107" t="s">
        <v>432</v>
      </c>
      <c r="Y1916" s="107" t="s">
        <v>432</v>
      </c>
      <c r="Z1916" s="107" t="s">
        <v>432</v>
      </c>
      <c r="AA1916" s="107" t="s">
        <v>432</v>
      </c>
      <c r="AB1916" s="107" t="s">
        <v>432</v>
      </c>
      <c r="AC1916" s="107" t="s">
        <v>432</v>
      </c>
      <c r="AD1916" s="107" t="s">
        <v>432</v>
      </c>
      <c r="AE1916" s="107" t="s">
        <v>432</v>
      </c>
      <c r="AF1916" s="107" t="s">
        <v>432</v>
      </c>
      <c r="AG1916" s="107" t="s">
        <v>432</v>
      </c>
      <c r="AH1916" s="107" t="s">
        <v>432</v>
      </c>
      <c r="AI1916" s="107" t="s">
        <v>432</v>
      </c>
      <c r="AJ1916" s="107" t="s">
        <v>432</v>
      </c>
      <c r="AK1916" s="137" t="s">
        <v>432</v>
      </c>
      <c r="AL1916" s="601" t="s">
        <v>432</v>
      </c>
      <c r="AM1916" s="137" t="s">
        <v>432</v>
      </c>
      <c r="AN1916" s="137" t="s">
        <v>432</v>
      </c>
      <c r="AO1916" s="137" t="s">
        <v>432</v>
      </c>
      <c r="AP1916" s="137" t="s">
        <v>432</v>
      </c>
      <c r="AQ1916" s="137" t="s">
        <v>432</v>
      </c>
      <c r="AR1916" s="137" t="s">
        <v>432</v>
      </c>
      <c r="AS1916" s="137" t="s">
        <v>432</v>
      </c>
      <c r="AT1916" s="137" t="s">
        <v>432</v>
      </c>
      <c r="AU1916" s="137" t="s">
        <v>432</v>
      </c>
      <c r="AV1916" s="137" t="s">
        <v>432</v>
      </c>
      <c r="AW1916" s="137" t="s">
        <v>432</v>
      </c>
      <c r="AX1916" s="137" t="s">
        <v>432</v>
      </c>
      <c r="AY1916" s="137" t="s">
        <v>432</v>
      </c>
      <c r="AZ1916" s="137" t="s">
        <v>432</v>
      </c>
      <c r="BA1916" s="137" t="s">
        <v>432</v>
      </c>
      <c r="BB1916" s="239" t="str">
        <f t="shared" si="565"/>
        <v>geralx</v>
      </c>
      <c r="BC1916" s="239" t="str">
        <f t="shared" si="566"/>
        <v>geralxx</v>
      </c>
      <c r="BD1916" s="239" t="str">
        <f t="shared" si="567"/>
        <v>geralx</v>
      </c>
    </row>
    <row r="1917" spans="1:56" s="127" customFormat="1" ht="25.5" x14ac:dyDescent="0.25">
      <c r="A1917" s="262" t="s">
        <v>432</v>
      </c>
      <c r="B1917" s="53" t="s">
        <v>742</v>
      </c>
      <c r="C1917" s="167" t="s">
        <v>743</v>
      </c>
      <c r="D1917" s="325" t="s">
        <v>740</v>
      </c>
      <c r="E1917" s="1445" t="s">
        <v>432</v>
      </c>
      <c r="F1917" s="252" t="s">
        <v>741</v>
      </c>
      <c r="G1917" s="167" t="s">
        <v>3719</v>
      </c>
      <c r="H1917" s="168" t="s">
        <v>2408</v>
      </c>
      <c r="I1917" s="167" t="s">
        <v>432</v>
      </c>
      <c r="J1917" s="109" t="s">
        <v>432</v>
      </c>
      <c r="K1917" s="109" t="s">
        <v>432</v>
      </c>
      <c r="L1917" s="109" t="s">
        <v>432</v>
      </c>
      <c r="M1917" s="109" t="s">
        <v>432</v>
      </c>
      <c r="N1917" s="109" t="s">
        <v>432</v>
      </c>
      <c r="O1917" s="109" t="s">
        <v>432</v>
      </c>
      <c r="P1917" s="109" t="s">
        <v>432</v>
      </c>
      <c r="Q1917" s="109" t="s">
        <v>432</v>
      </c>
      <c r="R1917" s="109" t="s">
        <v>432</v>
      </c>
      <c r="S1917" s="109" t="s">
        <v>2209</v>
      </c>
      <c r="T1917" s="109" t="s">
        <v>432</v>
      </c>
      <c r="U1917" s="109" t="s">
        <v>432</v>
      </c>
      <c r="V1917" s="109" t="s">
        <v>2209</v>
      </c>
      <c r="W1917" s="109" t="s">
        <v>432</v>
      </c>
      <c r="X1917" s="109" t="s">
        <v>432</v>
      </c>
      <c r="Y1917" s="109" t="s">
        <v>432</v>
      </c>
      <c r="Z1917" s="109" t="s">
        <v>432</v>
      </c>
      <c r="AA1917" s="109" t="s">
        <v>432</v>
      </c>
      <c r="AB1917" s="109" t="s">
        <v>432</v>
      </c>
      <c r="AC1917" s="109" t="s">
        <v>432</v>
      </c>
      <c r="AD1917" s="109" t="s">
        <v>432</v>
      </c>
      <c r="AE1917" s="109" t="s">
        <v>432</v>
      </c>
      <c r="AF1917" s="109" t="s">
        <v>432</v>
      </c>
      <c r="AG1917" s="109" t="s">
        <v>432</v>
      </c>
      <c r="AH1917" s="109" t="s">
        <v>432</v>
      </c>
      <c r="AI1917" s="109" t="s">
        <v>432</v>
      </c>
      <c r="AJ1917" s="109" t="s">
        <v>432</v>
      </c>
      <c r="AK1917" s="137" t="s">
        <v>432</v>
      </c>
      <c r="AL1917" s="601" t="s">
        <v>432</v>
      </c>
      <c r="AM1917" s="137" t="s">
        <v>432</v>
      </c>
      <c r="AN1917" s="137" t="s">
        <v>432</v>
      </c>
      <c r="AO1917" s="137" t="s">
        <v>432</v>
      </c>
      <c r="AP1917" s="137" t="s">
        <v>432</v>
      </c>
      <c r="AQ1917" s="137" t="s">
        <v>432</v>
      </c>
      <c r="AR1917" s="137" t="s">
        <v>432</v>
      </c>
      <c r="AS1917" s="137" t="s">
        <v>432</v>
      </c>
      <c r="AT1917" s="137" t="s">
        <v>432</v>
      </c>
      <c r="AU1917" s="137" t="s">
        <v>432</v>
      </c>
      <c r="AV1917" s="137" t="s">
        <v>432</v>
      </c>
      <c r="AW1917" s="137" t="s">
        <v>432</v>
      </c>
      <c r="AX1917" s="137" t="s">
        <v>432</v>
      </c>
      <c r="AY1917" s="137" t="s">
        <v>432</v>
      </c>
      <c r="AZ1917" s="137" t="s">
        <v>432</v>
      </c>
      <c r="BA1917" s="137" t="s">
        <v>432</v>
      </c>
      <c r="BB1917" s="239" t="str">
        <f t="shared" si="565"/>
        <v>geralacessibilidade</v>
      </c>
      <c r="BC1917" s="239" t="str">
        <f t="shared" si="566"/>
        <v>geralacessibilidadesigla/verbete</v>
      </c>
      <c r="BD1917" s="239" t="str">
        <f t="shared" si="567"/>
        <v>geralsigla/verbete</v>
      </c>
    </row>
    <row r="1918" spans="1:56" s="127" customFormat="1" ht="25.5" x14ac:dyDescent="0.25">
      <c r="A1918" s="262" t="s">
        <v>432</v>
      </c>
      <c r="B1918" s="53" t="s">
        <v>742</v>
      </c>
      <c r="C1918" s="229" t="s">
        <v>743</v>
      </c>
      <c r="D1918" s="847" t="s">
        <v>2254</v>
      </c>
      <c r="E1918" s="1496" t="s">
        <v>1767</v>
      </c>
      <c r="F1918" s="53" t="s">
        <v>2257</v>
      </c>
      <c r="G1918" s="167" t="s">
        <v>3719</v>
      </c>
      <c r="H1918" s="168" t="s">
        <v>2408</v>
      </c>
      <c r="I1918" s="167" t="s">
        <v>432</v>
      </c>
      <c r="J1918" s="109" t="s">
        <v>432</v>
      </c>
      <c r="K1918" s="109" t="s">
        <v>432</v>
      </c>
      <c r="L1918" s="109" t="s">
        <v>432</v>
      </c>
      <c r="M1918" s="109" t="s">
        <v>432</v>
      </c>
      <c r="N1918" s="109" t="s">
        <v>432</v>
      </c>
      <c r="O1918" s="109" t="s">
        <v>432</v>
      </c>
      <c r="P1918" s="109" t="s">
        <v>432</v>
      </c>
      <c r="Q1918" s="109" t="s">
        <v>432</v>
      </c>
      <c r="R1918" s="109" t="s">
        <v>432</v>
      </c>
      <c r="S1918" s="109" t="s">
        <v>2209</v>
      </c>
      <c r="T1918" s="109" t="s">
        <v>432</v>
      </c>
      <c r="U1918" s="109" t="s">
        <v>432</v>
      </c>
      <c r="V1918" s="109" t="s">
        <v>2209</v>
      </c>
      <c r="W1918" s="109" t="s">
        <v>432</v>
      </c>
      <c r="X1918" s="109" t="s">
        <v>432</v>
      </c>
      <c r="Y1918" s="109" t="s">
        <v>432</v>
      </c>
      <c r="Z1918" s="109" t="s">
        <v>432</v>
      </c>
      <c r="AA1918" s="109" t="s">
        <v>432</v>
      </c>
      <c r="AB1918" s="109" t="s">
        <v>432</v>
      </c>
      <c r="AC1918" s="109" t="s">
        <v>432</v>
      </c>
      <c r="AD1918" s="109" t="s">
        <v>432</v>
      </c>
      <c r="AE1918" s="109" t="s">
        <v>432</v>
      </c>
      <c r="AF1918" s="109" t="s">
        <v>432</v>
      </c>
      <c r="AG1918" s="109" t="s">
        <v>432</v>
      </c>
      <c r="AH1918" s="109" t="s">
        <v>432</v>
      </c>
      <c r="AI1918" s="109" t="s">
        <v>432</v>
      </c>
      <c r="AJ1918" s="109" t="s">
        <v>432</v>
      </c>
      <c r="AK1918" s="137" t="s">
        <v>432</v>
      </c>
      <c r="AL1918" s="601" t="s">
        <v>432</v>
      </c>
      <c r="AM1918" s="137" t="s">
        <v>432</v>
      </c>
      <c r="AN1918" s="137" t="s">
        <v>432</v>
      </c>
      <c r="AO1918" s="137" t="s">
        <v>432</v>
      </c>
      <c r="AP1918" s="137" t="s">
        <v>432</v>
      </c>
      <c r="AQ1918" s="137" t="s">
        <v>432</v>
      </c>
      <c r="AR1918" s="137" t="s">
        <v>432</v>
      </c>
      <c r="AS1918" s="137" t="s">
        <v>432</v>
      </c>
      <c r="AT1918" s="137" t="s">
        <v>432</v>
      </c>
      <c r="AU1918" s="137" t="s">
        <v>432</v>
      </c>
      <c r="AV1918" s="137" t="s">
        <v>432</v>
      </c>
      <c r="AW1918" s="137" t="s">
        <v>432</v>
      </c>
      <c r="AX1918" s="137" t="s">
        <v>432</v>
      </c>
      <c r="AY1918" s="137" t="s">
        <v>432</v>
      </c>
      <c r="AZ1918" s="137" t="s">
        <v>432</v>
      </c>
      <c r="BA1918" s="137" t="s">
        <v>432</v>
      </c>
      <c r="BB1918" s="239" t="str">
        <f t="shared" si="565"/>
        <v>geralacessibilidade</v>
      </c>
      <c r="BC1918" s="239" t="str">
        <f t="shared" si="566"/>
        <v>geralacessibilidadesigla/verbete</v>
      </c>
      <c r="BD1918" s="239" t="str">
        <f t="shared" si="567"/>
        <v>geralsigla/verbete</v>
      </c>
    </row>
    <row r="1919" spans="1:56" s="1" customFormat="1" ht="25.5" x14ac:dyDescent="0.25">
      <c r="A1919" s="262" t="s">
        <v>432</v>
      </c>
      <c r="B1919" s="252" t="s">
        <v>742</v>
      </c>
      <c r="C1919" s="167" t="s">
        <v>432</v>
      </c>
      <c r="D1919" s="968" t="s">
        <v>314</v>
      </c>
      <c r="E1919" s="1496" t="s">
        <v>432</v>
      </c>
      <c r="F1919" s="53" t="s">
        <v>892</v>
      </c>
      <c r="G1919" s="167" t="s">
        <v>3879</v>
      </c>
      <c r="H1919" s="167" t="s">
        <v>432</v>
      </c>
      <c r="I1919" s="167" t="s">
        <v>432</v>
      </c>
      <c r="J1919" s="109" t="s">
        <v>432</v>
      </c>
      <c r="K1919" s="109" t="s">
        <v>432</v>
      </c>
      <c r="L1919" s="109" t="s">
        <v>432</v>
      </c>
      <c r="M1919" s="109" t="s">
        <v>432</v>
      </c>
      <c r="N1919" s="109" t="s">
        <v>432</v>
      </c>
      <c r="O1919" s="109" t="s">
        <v>432</v>
      </c>
      <c r="P1919" s="109" t="s">
        <v>432</v>
      </c>
      <c r="Q1919" s="109" t="s">
        <v>432</v>
      </c>
      <c r="R1919" s="109" t="s">
        <v>432</v>
      </c>
      <c r="S1919" s="109" t="s">
        <v>2209</v>
      </c>
      <c r="T1919" s="109" t="s">
        <v>432</v>
      </c>
      <c r="U1919" s="109" t="s">
        <v>432</v>
      </c>
      <c r="V1919" s="109" t="s">
        <v>2209</v>
      </c>
      <c r="W1919" s="109" t="s">
        <v>432</v>
      </c>
      <c r="X1919" s="109" t="s">
        <v>432</v>
      </c>
      <c r="Y1919" s="109" t="s">
        <v>432</v>
      </c>
      <c r="Z1919" s="109" t="s">
        <v>432</v>
      </c>
      <c r="AA1919" s="109" t="s">
        <v>432</v>
      </c>
      <c r="AB1919" s="109" t="s">
        <v>432</v>
      </c>
      <c r="AC1919" s="109" t="s">
        <v>432</v>
      </c>
      <c r="AD1919" s="109" t="s">
        <v>432</v>
      </c>
      <c r="AE1919" s="109" t="s">
        <v>432</v>
      </c>
      <c r="AF1919" s="109" t="s">
        <v>432</v>
      </c>
      <c r="AG1919" s="109" t="s">
        <v>432</v>
      </c>
      <c r="AH1919" s="109" t="s">
        <v>432</v>
      </c>
      <c r="AI1919" s="109" t="s">
        <v>432</v>
      </c>
      <c r="AJ1919" s="109" t="s">
        <v>432</v>
      </c>
      <c r="AK1919" s="137" t="s">
        <v>432</v>
      </c>
      <c r="AL1919" s="601" t="s">
        <v>432</v>
      </c>
      <c r="AM1919" s="137" t="s">
        <v>432</v>
      </c>
      <c r="AN1919" s="137" t="s">
        <v>432</v>
      </c>
      <c r="AO1919" s="137" t="s">
        <v>432</v>
      </c>
      <c r="AP1919" s="137" t="s">
        <v>432</v>
      </c>
      <c r="AQ1919" s="137" t="s">
        <v>432</v>
      </c>
      <c r="AR1919" s="137" t="s">
        <v>432</v>
      </c>
      <c r="AS1919" s="137" t="s">
        <v>432</v>
      </c>
      <c r="AT1919" s="137" t="s">
        <v>432</v>
      </c>
      <c r="AU1919" s="137" t="s">
        <v>432</v>
      </c>
      <c r="AV1919" s="137" t="s">
        <v>432</v>
      </c>
      <c r="AW1919" s="137" t="s">
        <v>432</v>
      </c>
      <c r="AX1919" s="137" t="s">
        <v>432</v>
      </c>
      <c r="AY1919" s="137" t="s">
        <v>432</v>
      </c>
      <c r="AZ1919" s="137" t="s">
        <v>432</v>
      </c>
      <c r="BA1919" s="137" t="s">
        <v>432</v>
      </c>
      <c r="BB1919" s="239" t="str">
        <f t="shared" si="565"/>
        <v>geralx</v>
      </c>
      <c r="BC1919" s="239" t="str">
        <f t="shared" si="566"/>
        <v>geralxx</v>
      </c>
      <c r="BD1919" s="239" t="str">
        <f t="shared" si="567"/>
        <v>geralx</v>
      </c>
    </row>
    <row r="1920" spans="1:56" s="1" customFormat="1" ht="39" customHeight="1" x14ac:dyDescent="0.25">
      <c r="A1920" s="262" t="str">
        <f>'Q100b-totais'!B24</f>
        <v>3.1</v>
      </c>
      <c r="B1920" s="252" t="str">
        <f>'Q100b-totais'!C24</f>
        <v>Normas produzidas</v>
      </c>
      <c r="C1920" s="167" t="s">
        <v>432</v>
      </c>
      <c r="D1920" s="968" t="s">
        <v>3816</v>
      </c>
      <c r="E1920" s="1496" t="s">
        <v>1298</v>
      </c>
      <c r="F1920" s="53" t="s">
        <v>5456</v>
      </c>
      <c r="G1920" s="167" t="s">
        <v>3719</v>
      </c>
      <c r="H1920" s="167" t="s">
        <v>2408</v>
      </c>
      <c r="I1920" s="167" t="s">
        <v>432</v>
      </c>
      <c r="J1920" s="109" t="s">
        <v>432</v>
      </c>
      <c r="K1920" s="109" t="s">
        <v>432</v>
      </c>
      <c r="L1920" s="109" t="s">
        <v>432</v>
      </c>
      <c r="M1920" s="109" t="s">
        <v>432</v>
      </c>
      <c r="N1920" s="109" t="s">
        <v>432</v>
      </c>
      <c r="O1920" s="109" t="s">
        <v>432</v>
      </c>
      <c r="P1920" s="109" t="s">
        <v>432</v>
      </c>
      <c r="Q1920" s="109" t="s">
        <v>432</v>
      </c>
      <c r="R1920" s="109" t="s">
        <v>432</v>
      </c>
      <c r="S1920" s="109" t="s">
        <v>2209</v>
      </c>
      <c r="T1920" s="109" t="s">
        <v>432</v>
      </c>
      <c r="U1920" s="109" t="s">
        <v>432</v>
      </c>
      <c r="V1920" s="109" t="s">
        <v>2209</v>
      </c>
      <c r="W1920" s="109" t="s">
        <v>432</v>
      </c>
      <c r="X1920" s="109" t="s">
        <v>432</v>
      </c>
      <c r="Y1920" s="109" t="s">
        <v>432</v>
      </c>
      <c r="Z1920" s="109" t="s">
        <v>432</v>
      </c>
      <c r="AA1920" s="109" t="s">
        <v>432</v>
      </c>
      <c r="AB1920" s="109" t="s">
        <v>432</v>
      </c>
      <c r="AC1920" s="109" t="s">
        <v>432</v>
      </c>
      <c r="AD1920" s="109" t="s">
        <v>432</v>
      </c>
      <c r="AE1920" s="109" t="s">
        <v>432</v>
      </c>
      <c r="AF1920" s="109" t="s">
        <v>432</v>
      </c>
      <c r="AG1920" s="109" t="s">
        <v>432</v>
      </c>
      <c r="AH1920" s="109" t="s">
        <v>432</v>
      </c>
      <c r="AI1920" s="109" t="s">
        <v>432</v>
      </c>
      <c r="AJ1920" s="109" t="s">
        <v>432</v>
      </c>
      <c r="AK1920" s="137" t="s">
        <v>432</v>
      </c>
      <c r="AL1920" s="601" t="s">
        <v>432</v>
      </c>
      <c r="AM1920" s="137" t="s">
        <v>432</v>
      </c>
      <c r="AN1920" s="137" t="s">
        <v>432</v>
      </c>
      <c r="AO1920" s="137" t="s">
        <v>432</v>
      </c>
      <c r="AP1920" s="137" t="s">
        <v>432</v>
      </c>
      <c r="AQ1920" s="137" t="s">
        <v>432</v>
      </c>
      <c r="AR1920" s="137" t="s">
        <v>432</v>
      </c>
      <c r="AS1920" s="137" t="s">
        <v>432</v>
      </c>
      <c r="AT1920" s="137" t="s">
        <v>432</v>
      </c>
      <c r="AU1920" s="137" t="s">
        <v>432</v>
      </c>
      <c r="AV1920" s="137" t="s">
        <v>432</v>
      </c>
      <c r="AW1920" s="137" t="s">
        <v>432</v>
      </c>
      <c r="AX1920" s="137" t="s">
        <v>432</v>
      </c>
      <c r="AY1920" s="137" t="s">
        <v>432</v>
      </c>
      <c r="AZ1920" s="137" t="s">
        <v>432</v>
      </c>
      <c r="BA1920" s="137" t="s">
        <v>432</v>
      </c>
      <c r="BB1920" s="239" t="str">
        <f t="shared" si="565"/>
        <v>Normas produzidasx</v>
      </c>
      <c r="BC1920" s="239" t="str">
        <f t="shared" si="566"/>
        <v>Normas produzidasxsigla/verbete</v>
      </c>
      <c r="BD1920" s="239" t="str">
        <f t="shared" si="567"/>
        <v>Normas produzidassigla/verbete</v>
      </c>
    </row>
    <row r="1921" spans="1:56" s="1" customFormat="1" ht="30" customHeight="1" x14ac:dyDescent="0.25">
      <c r="A1921" s="262" t="str">
        <f>'Q100b-totais'!B24</f>
        <v>3.1</v>
      </c>
      <c r="B1921" s="252" t="str">
        <f>'Q100b-totais'!C24</f>
        <v>Normas produzidas</v>
      </c>
      <c r="C1921" s="167" t="s">
        <v>743</v>
      </c>
      <c r="D1921" s="968" t="s">
        <v>3458</v>
      </c>
      <c r="E1921" s="1496" t="s">
        <v>3459</v>
      </c>
      <c r="F1921" s="53" t="s">
        <v>5455</v>
      </c>
      <c r="G1921" s="230" t="s">
        <v>3507</v>
      </c>
      <c r="H1921" s="167" t="s">
        <v>2408</v>
      </c>
      <c r="I1921" s="167" t="s">
        <v>432</v>
      </c>
      <c r="J1921" s="109" t="s">
        <v>432</v>
      </c>
      <c r="K1921" s="109" t="s">
        <v>432</v>
      </c>
      <c r="L1921" s="109" t="s">
        <v>432</v>
      </c>
      <c r="M1921" s="109" t="s">
        <v>432</v>
      </c>
      <c r="N1921" s="109" t="s">
        <v>432</v>
      </c>
      <c r="O1921" s="109" t="s">
        <v>432</v>
      </c>
      <c r="P1921" s="109" t="s">
        <v>432</v>
      </c>
      <c r="Q1921" s="109" t="s">
        <v>432</v>
      </c>
      <c r="R1921" s="109" t="s">
        <v>432</v>
      </c>
      <c r="S1921" s="109" t="s">
        <v>2209</v>
      </c>
      <c r="T1921" s="109" t="s">
        <v>432</v>
      </c>
      <c r="U1921" s="109" t="s">
        <v>432</v>
      </c>
      <c r="V1921" s="109" t="s">
        <v>2209</v>
      </c>
      <c r="W1921" s="109" t="s">
        <v>432</v>
      </c>
      <c r="X1921" s="109" t="s">
        <v>432</v>
      </c>
      <c r="Y1921" s="109" t="s">
        <v>432</v>
      </c>
      <c r="Z1921" s="109" t="s">
        <v>432</v>
      </c>
      <c r="AA1921" s="109" t="s">
        <v>432</v>
      </c>
      <c r="AB1921" s="109" t="s">
        <v>432</v>
      </c>
      <c r="AC1921" s="109" t="s">
        <v>432</v>
      </c>
      <c r="AD1921" s="109" t="s">
        <v>432</v>
      </c>
      <c r="AE1921" s="109" t="s">
        <v>432</v>
      </c>
      <c r="AF1921" s="109" t="s">
        <v>432</v>
      </c>
      <c r="AG1921" s="109" t="s">
        <v>432</v>
      </c>
      <c r="AH1921" s="109" t="s">
        <v>432</v>
      </c>
      <c r="AI1921" s="109" t="s">
        <v>432</v>
      </c>
      <c r="AJ1921" s="109" t="s">
        <v>432</v>
      </c>
      <c r="AK1921" s="137" t="s">
        <v>432</v>
      </c>
      <c r="AL1921" s="601" t="s">
        <v>432</v>
      </c>
      <c r="AM1921" s="137" t="s">
        <v>432</v>
      </c>
      <c r="AN1921" s="137" t="s">
        <v>432</v>
      </c>
      <c r="AO1921" s="137" t="s">
        <v>432</v>
      </c>
      <c r="AP1921" s="137" t="s">
        <v>432</v>
      </c>
      <c r="AQ1921" s="137" t="s">
        <v>432</v>
      </c>
      <c r="AR1921" s="137" t="s">
        <v>432</v>
      </c>
      <c r="AS1921" s="137" t="s">
        <v>432</v>
      </c>
      <c r="AT1921" s="137" t="s">
        <v>432</v>
      </c>
      <c r="AU1921" s="137" t="s">
        <v>432</v>
      </c>
      <c r="AV1921" s="137" t="s">
        <v>432</v>
      </c>
      <c r="AW1921" s="137" t="s">
        <v>432</v>
      </c>
      <c r="AX1921" s="137" t="s">
        <v>432</v>
      </c>
      <c r="AY1921" s="137" t="s">
        <v>432</v>
      </c>
      <c r="AZ1921" s="137" t="s">
        <v>432</v>
      </c>
      <c r="BA1921" s="137" t="s">
        <v>432</v>
      </c>
      <c r="BB1921" s="239" t="str">
        <f t="shared" si="565"/>
        <v>Normas produzidasacessibilidade</v>
      </c>
      <c r="BC1921" s="239" t="str">
        <f t="shared" si="566"/>
        <v>Normas produzidasacessibilidadesigla/verbete</v>
      </c>
      <c r="BD1921" s="239" t="str">
        <f t="shared" si="567"/>
        <v>Normas produzidassigla/verbete</v>
      </c>
    </row>
    <row r="1922" spans="1:56" s="1" customFormat="1" ht="25.5" x14ac:dyDescent="0.25">
      <c r="A1922" s="262" t="s">
        <v>432</v>
      </c>
      <c r="B1922" s="252" t="s">
        <v>742</v>
      </c>
      <c r="C1922" s="167" t="s">
        <v>432</v>
      </c>
      <c r="D1922" s="968" t="s">
        <v>875</v>
      </c>
      <c r="E1922" s="1496" t="s">
        <v>432</v>
      </c>
      <c r="F1922" s="11" t="s">
        <v>842</v>
      </c>
      <c r="G1922" s="167" t="s">
        <v>3879</v>
      </c>
      <c r="H1922" s="167" t="s">
        <v>432</v>
      </c>
      <c r="I1922" s="167" t="s">
        <v>432</v>
      </c>
      <c r="J1922" s="109" t="s">
        <v>432</v>
      </c>
      <c r="K1922" s="109" t="s">
        <v>432</v>
      </c>
      <c r="L1922" s="109" t="s">
        <v>432</v>
      </c>
      <c r="M1922" s="109" t="s">
        <v>432</v>
      </c>
      <c r="N1922" s="109" t="s">
        <v>432</v>
      </c>
      <c r="O1922" s="109" t="s">
        <v>432</v>
      </c>
      <c r="P1922" s="109" t="s">
        <v>432</v>
      </c>
      <c r="Q1922" s="109" t="s">
        <v>432</v>
      </c>
      <c r="R1922" s="109" t="s">
        <v>432</v>
      </c>
      <c r="S1922" s="109" t="s">
        <v>2209</v>
      </c>
      <c r="T1922" s="109" t="s">
        <v>432</v>
      </c>
      <c r="U1922" s="109" t="s">
        <v>432</v>
      </c>
      <c r="V1922" s="109" t="s">
        <v>2209</v>
      </c>
      <c r="W1922" s="109" t="s">
        <v>432</v>
      </c>
      <c r="X1922" s="109" t="s">
        <v>432</v>
      </c>
      <c r="Y1922" s="109" t="s">
        <v>432</v>
      </c>
      <c r="Z1922" s="109" t="s">
        <v>432</v>
      </c>
      <c r="AA1922" s="109" t="s">
        <v>432</v>
      </c>
      <c r="AB1922" s="109" t="s">
        <v>432</v>
      </c>
      <c r="AC1922" s="109" t="s">
        <v>432</v>
      </c>
      <c r="AD1922" s="109" t="s">
        <v>432</v>
      </c>
      <c r="AE1922" s="109" t="s">
        <v>432</v>
      </c>
      <c r="AF1922" s="109" t="s">
        <v>432</v>
      </c>
      <c r="AG1922" s="109" t="s">
        <v>432</v>
      </c>
      <c r="AH1922" s="109" t="s">
        <v>432</v>
      </c>
      <c r="AI1922" s="109" t="s">
        <v>432</v>
      </c>
      <c r="AJ1922" s="109" t="s">
        <v>432</v>
      </c>
      <c r="AK1922" s="137" t="s">
        <v>432</v>
      </c>
      <c r="AL1922" s="601" t="s">
        <v>432</v>
      </c>
      <c r="AM1922" s="137" t="s">
        <v>432</v>
      </c>
      <c r="AN1922" s="137" t="s">
        <v>432</v>
      </c>
      <c r="AO1922" s="137" t="s">
        <v>432</v>
      </c>
      <c r="AP1922" s="137" t="s">
        <v>432</v>
      </c>
      <c r="AQ1922" s="137" t="s">
        <v>432</v>
      </c>
      <c r="AR1922" s="137" t="s">
        <v>432</v>
      </c>
      <c r="AS1922" s="137" t="s">
        <v>432</v>
      </c>
      <c r="AT1922" s="137" t="s">
        <v>432</v>
      </c>
      <c r="AU1922" s="137" t="s">
        <v>432</v>
      </c>
      <c r="AV1922" s="137" t="s">
        <v>432</v>
      </c>
      <c r="AW1922" s="137" t="s">
        <v>432</v>
      </c>
      <c r="AX1922" s="137" t="s">
        <v>432</v>
      </c>
      <c r="AY1922" s="137" t="s">
        <v>432</v>
      </c>
      <c r="AZ1922" s="137" t="s">
        <v>432</v>
      </c>
      <c r="BA1922" s="137" t="s">
        <v>432</v>
      </c>
      <c r="BB1922" s="239" t="str">
        <f t="shared" si="565"/>
        <v>geralx</v>
      </c>
      <c r="BC1922" s="239" t="str">
        <f t="shared" si="566"/>
        <v>geralxx</v>
      </c>
      <c r="BD1922" s="239" t="str">
        <f t="shared" si="567"/>
        <v>geralx</v>
      </c>
    </row>
    <row r="1923" spans="1:56" s="1" customFormat="1" ht="43.5" customHeight="1" x14ac:dyDescent="0.25">
      <c r="A1923" s="262" t="s">
        <v>432</v>
      </c>
      <c r="B1923" s="252" t="s">
        <v>742</v>
      </c>
      <c r="C1923" s="167" t="s">
        <v>432</v>
      </c>
      <c r="D1923" s="324" t="s">
        <v>316</v>
      </c>
      <c r="E1923" s="1496" t="s">
        <v>432</v>
      </c>
      <c r="F1923" s="165" t="s">
        <v>893</v>
      </c>
      <c r="G1923" s="167" t="s">
        <v>3879</v>
      </c>
      <c r="H1923" s="167" t="s">
        <v>432</v>
      </c>
      <c r="I1923" s="167" t="s">
        <v>432</v>
      </c>
      <c r="J1923" s="107" t="s">
        <v>432</v>
      </c>
      <c r="K1923" s="107" t="s">
        <v>432</v>
      </c>
      <c r="L1923" s="107" t="s">
        <v>432</v>
      </c>
      <c r="M1923" s="107" t="s">
        <v>432</v>
      </c>
      <c r="N1923" s="107" t="s">
        <v>432</v>
      </c>
      <c r="O1923" s="107" t="s">
        <v>432</v>
      </c>
      <c r="P1923" s="107" t="s">
        <v>432</v>
      </c>
      <c r="Q1923" s="107" t="s">
        <v>432</v>
      </c>
      <c r="R1923" s="107" t="s">
        <v>432</v>
      </c>
      <c r="S1923" s="109" t="s">
        <v>2209</v>
      </c>
      <c r="T1923" s="107" t="s">
        <v>432</v>
      </c>
      <c r="U1923" s="107" t="s">
        <v>432</v>
      </c>
      <c r="V1923" s="109" t="s">
        <v>2209</v>
      </c>
      <c r="W1923" s="107" t="s">
        <v>432</v>
      </c>
      <c r="X1923" s="107" t="s">
        <v>432</v>
      </c>
      <c r="Y1923" s="107" t="s">
        <v>432</v>
      </c>
      <c r="Z1923" s="107" t="s">
        <v>432</v>
      </c>
      <c r="AA1923" s="107" t="s">
        <v>432</v>
      </c>
      <c r="AB1923" s="107" t="s">
        <v>432</v>
      </c>
      <c r="AC1923" s="107" t="s">
        <v>432</v>
      </c>
      <c r="AD1923" s="107" t="s">
        <v>432</v>
      </c>
      <c r="AE1923" s="107" t="s">
        <v>432</v>
      </c>
      <c r="AF1923" s="107" t="s">
        <v>432</v>
      </c>
      <c r="AG1923" s="107" t="s">
        <v>432</v>
      </c>
      <c r="AH1923" s="107" t="s">
        <v>432</v>
      </c>
      <c r="AI1923" s="107" t="s">
        <v>432</v>
      </c>
      <c r="AJ1923" s="107" t="s">
        <v>432</v>
      </c>
      <c r="AK1923" s="137" t="s">
        <v>432</v>
      </c>
      <c r="AL1923" s="601" t="s">
        <v>432</v>
      </c>
      <c r="AM1923" s="137" t="s">
        <v>432</v>
      </c>
      <c r="AN1923" s="137" t="s">
        <v>432</v>
      </c>
      <c r="AO1923" s="137" t="s">
        <v>432</v>
      </c>
      <c r="AP1923" s="137" t="s">
        <v>432</v>
      </c>
      <c r="AQ1923" s="137" t="s">
        <v>432</v>
      </c>
      <c r="AR1923" s="137" t="s">
        <v>432</v>
      </c>
      <c r="AS1923" s="137" t="s">
        <v>432</v>
      </c>
      <c r="AT1923" s="137" t="s">
        <v>432</v>
      </c>
      <c r="AU1923" s="137" t="s">
        <v>432</v>
      </c>
      <c r="AV1923" s="137" t="s">
        <v>432</v>
      </c>
      <c r="AW1923" s="137" t="s">
        <v>432</v>
      </c>
      <c r="AX1923" s="137" t="s">
        <v>432</v>
      </c>
      <c r="AY1923" s="137" t="s">
        <v>432</v>
      </c>
      <c r="AZ1923" s="137" t="s">
        <v>432</v>
      </c>
      <c r="BA1923" s="137" t="s">
        <v>432</v>
      </c>
      <c r="BB1923" s="239" t="str">
        <f>B1923&amp;C1923</f>
        <v>geralx</v>
      </c>
      <c r="BC1923" s="239" t="str">
        <f>B1923&amp;C1923&amp;H1923</f>
        <v>geralxx</v>
      </c>
      <c r="BD1923" s="239" t="str">
        <f>B1923&amp;H1923</f>
        <v>geralx</v>
      </c>
    </row>
    <row r="1924" spans="1:56" s="1" customFormat="1" ht="25.5" x14ac:dyDescent="0.25">
      <c r="A1924" s="262" t="s">
        <v>432</v>
      </c>
      <c r="B1924" s="53" t="s">
        <v>742</v>
      </c>
      <c r="C1924" s="229"/>
      <c r="D1924" s="324" t="s">
        <v>315</v>
      </c>
      <c r="E1924" s="254" t="s">
        <v>1767</v>
      </c>
      <c r="F1924" s="12" t="s">
        <v>2253</v>
      </c>
      <c r="G1924" s="167" t="s">
        <v>3719</v>
      </c>
      <c r="H1924" s="168" t="s">
        <v>2408</v>
      </c>
      <c r="I1924" s="167" t="s">
        <v>432</v>
      </c>
      <c r="J1924" s="109" t="s">
        <v>432</v>
      </c>
      <c r="K1924" s="109" t="s">
        <v>432</v>
      </c>
      <c r="L1924" s="109" t="s">
        <v>432</v>
      </c>
      <c r="M1924" s="109" t="s">
        <v>432</v>
      </c>
      <c r="N1924" s="109" t="s">
        <v>432</v>
      </c>
      <c r="O1924" s="109" t="s">
        <v>432</v>
      </c>
      <c r="P1924" s="109" t="s">
        <v>432</v>
      </c>
      <c r="Q1924" s="109" t="s">
        <v>432</v>
      </c>
      <c r="R1924" s="109" t="s">
        <v>432</v>
      </c>
      <c r="S1924" s="109" t="s">
        <v>2209</v>
      </c>
      <c r="T1924" s="109" t="s">
        <v>432</v>
      </c>
      <c r="U1924" s="109" t="s">
        <v>432</v>
      </c>
      <c r="V1924" s="109" t="s">
        <v>2209</v>
      </c>
      <c r="W1924" s="109" t="s">
        <v>432</v>
      </c>
      <c r="X1924" s="109" t="s">
        <v>432</v>
      </c>
      <c r="Y1924" s="109" t="s">
        <v>432</v>
      </c>
      <c r="Z1924" s="109" t="s">
        <v>432</v>
      </c>
      <c r="AA1924" s="109" t="s">
        <v>432</v>
      </c>
      <c r="AB1924" s="109" t="s">
        <v>432</v>
      </c>
      <c r="AC1924" s="109" t="s">
        <v>432</v>
      </c>
      <c r="AD1924" s="109" t="s">
        <v>432</v>
      </c>
      <c r="AE1924" s="109" t="s">
        <v>432</v>
      </c>
      <c r="AF1924" s="109" t="s">
        <v>432</v>
      </c>
      <c r="AG1924" s="109" t="s">
        <v>432</v>
      </c>
      <c r="AH1924" s="109" t="s">
        <v>432</v>
      </c>
      <c r="AI1924" s="109" t="s">
        <v>432</v>
      </c>
      <c r="AJ1924" s="109" t="s">
        <v>432</v>
      </c>
      <c r="AK1924" s="137" t="s">
        <v>432</v>
      </c>
      <c r="AL1924" s="601" t="s">
        <v>432</v>
      </c>
      <c r="AM1924" s="137" t="s">
        <v>432</v>
      </c>
      <c r="AN1924" s="137" t="s">
        <v>432</v>
      </c>
      <c r="AO1924" s="137" t="s">
        <v>432</v>
      </c>
      <c r="AP1924" s="137" t="s">
        <v>432</v>
      </c>
      <c r="AQ1924" s="137" t="s">
        <v>432</v>
      </c>
      <c r="AR1924" s="137" t="s">
        <v>432</v>
      </c>
      <c r="AS1924" s="137" t="s">
        <v>432</v>
      </c>
      <c r="AT1924" s="137" t="s">
        <v>432</v>
      </c>
      <c r="AU1924" s="137" t="s">
        <v>432</v>
      </c>
      <c r="AV1924" s="137" t="s">
        <v>432</v>
      </c>
      <c r="AW1924" s="137" t="s">
        <v>432</v>
      </c>
      <c r="AX1924" s="137" t="s">
        <v>432</v>
      </c>
      <c r="AY1924" s="137" t="s">
        <v>432</v>
      </c>
      <c r="AZ1924" s="137" t="s">
        <v>432</v>
      </c>
      <c r="BA1924" s="137" t="s">
        <v>432</v>
      </c>
      <c r="BB1924" s="239" t="str">
        <f t="shared" si="565"/>
        <v>geral</v>
      </c>
      <c r="BC1924" s="239" t="str">
        <f t="shared" si="566"/>
        <v>geralsigla/verbete</v>
      </c>
      <c r="BD1924" s="239" t="str">
        <f t="shared" si="567"/>
        <v>geralsigla/verbete</v>
      </c>
    </row>
    <row r="1925" spans="1:56" s="1" customFormat="1" ht="139.5" customHeight="1" x14ac:dyDescent="0.25">
      <c r="A1925" s="262" t="s">
        <v>432</v>
      </c>
      <c r="B1925" s="53" t="s">
        <v>742</v>
      </c>
      <c r="C1925" s="229" t="s">
        <v>743</v>
      </c>
      <c r="D1925" s="324" t="s">
        <v>315</v>
      </c>
      <c r="E1925" s="254" t="s">
        <v>1767</v>
      </c>
      <c r="F1925" s="252" t="s">
        <v>2255</v>
      </c>
      <c r="G1925" s="230" t="s">
        <v>3507</v>
      </c>
      <c r="H1925" s="167" t="s">
        <v>2408</v>
      </c>
      <c r="I1925" s="167" t="s">
        <v>432</v>
      </c>
      <c r="J1925" s="109" t="s">
        <v>432</v>
      </c>
      <c r="K1925" s="109" t="s">
        <v>432</v>
      </c>
      <c r="L1925" s="109" t="s">
        <v>432</v>
      </c>
      <c r="M1925" s="109" t="s">
        <v>432</v>
      </c>
      <c r="N1925" s="109" t="s">
        <v>432</v>
      </c>
      <c r="O1925" s="109" t="s">
        <v>432</v>
      </c>
      <c r="P1925" s="109" t="s">
        <v>432</v>
      </c>
      <c r="Q1925" s="109" t="s">
        <v>432</v>
      </c>
      <c r="R1925" s="109" t="s">
        <v>432</v>
      </c>
      <c r="S1925" s="109" t="s">
        <v>2209</v>
      </c>
      <c r="T1925" s="109" t="s">
        <v>432</v>
      </c>
      <c r="U1925" s="109" t="s">
        <v>432</v>
      </c>
      <c r="V1925" s="109" t="s">
        <v>2209</v>
      </c>
      <c r="W1925" s="109" t="s">
        <v>432</v>
      </c>
      <c r="X1925" s="109" t="s">
        <v>432</v>
      </c>
      <c r="Y1925" s="109" t="s">
        <v>432</v>
      </c>
      <c r="Z1925" s="109" t="s">
        <v>432</v>
      </c>
      <c r="AA1925" s="109" t="s">
        <v>432</v>
      </c>
      <c r="AB1925" s="109" t="s">
        <v>432</v>
      </c>
      <c r="AC1925" s="109" t="s">
        <v>432</v>
      </c>
      <c r="AD1925" s="109" t="s">
        <v>432</v>
      </c>
      <c r="AE1925" s="109" t="s">
        <v>432</v>
      </c>
      <c r="AF1925" s="109" t="s">
        <v>432</v>
      </c>
      <c r="AG1925" s="109" t="s">
        <v>432</v>
      </c>
      <c r="AH1925" s="109" t="s">
        <v>432</v>
      </c>
      <c r="AI1925" s="109" t="s">
        <v>432</v>
      </c>
      <c r="AJ1925" s="109" t="s">
        <v>432</v>
      </c>
      <c r="AK1925" s="137" t="s">
        <v>432</v>
      </c>
      <c r="AL1925" s="601" t="s">
        <v>432</v>
      </c>
      <c r="AM1925" s="137" t="s">
        <v>432</v>
      </c>
      <c r="AN1925" s="137" t="s">
        <v>432</v>
      </c>
      <c r="AO1925" s="137" t="s">
        <v>432</v>
      </c>
      <c r="AP1925" s="137" t="s">
        <v>432</v>
      </c>
      <c r="AQ1925" s="137" t="s">
        <v>432</v>
      </c>
      <c r="AR1925" s="137" t="s">
        <v>432</v>
      </c>
      <c r="AS1925" s="137" t="s">
        <v>432</v>
      </c>
      <c r="AT1925" s="137" t="s">
        <v>432</v>
      </c>
      <c r="AU1925" s="137" t="s">
        <v>432</v>
      </c>
      <c r="AV1925" s="137" t="s">
        <v>432</v>
      </c>
      <c r="AW1925" s="137" t="s">
        <v>432</v>
      </c>
      <c r="AX1925" s="137" t="s">
        <v>432</v>
      </c>
      <c r="AY1925" s="137" t="s">
        <v>432</v>
      </c>
      <c r="AZ1925" s="137" t="s">
        <v>432</v>
      </c>
      <c r="BA1925" s="137" t="s">
        <v>432</v>
      </c>
      <c r="BB1925" s="239" t="str">
        <f t="shared" si="565"/>
        <v>geralacessibilidade</v>
      </c>
      <c r="BC1925" s="239" t="str">
        <f t="shared" si="566"/>
        <v>geralacessibilidadesigla/verbete</v>
      </c>
      <c r="BD1925" s="239" t="str">
        <f t="shared" si="567"/>
        <v>geralsigla/verbete</v>
      </c>
    </row>
    <row r="1926" spans="1:56" s="1" customFormat="1" ht="51" x14ac:dyDescent="0.25">
      <c r="A1926" s="262" t="str">
        <f>'Q100b-totais'!B62</f>
        <v>8.10</v>
      </c>
      <c r="B1926" s="53" t="str">
        <f>'Q100b-totais'!C62</f>
        <v>Sistema de transporte coletivo com um todo</v>
      </c>
      <c r="C1926" s="229" t="s">
        <v>743</v>
      </c>
      <c r="D1926" s="324" t="s">
        <v>6210</v>
      </c>
      <c r="E1926" s="254" t="s">
        <v>6172</v>
      </c>
      <c r="F1926" s="252" t="s">
        <v>6211</v>
      </c>
      <c r="G1926" s="230" t="s">
        <v>3507</v>
      </c>
      <c r="H1926" s="167" t="s">
        <v>2408</v>
      </c>
      <c r="I1926" s="167" t="s">
        <v>432</v>
      </c>
      <c r="J1926" s="109" t="s">
        <v>432</v>
      </c>
      <c r="K1926" s="109" t="s">
        <v>432</v>
      </c>
      <c r="L1926" s="109" t="s">
        <v>432</v>
      </c>
      <c r="M1926" s="109" t="s">
        <v>432</v>
      </c>
      <c r="N1926" s="109" t="s">
        <v>432</v>
      </c>
      <c r="O1926" s="109" t="s">
        <v>432</v>
      </c>
      <c r="P1926" s="109" t="s">
        <v>432</v>
      </c>
      <c r="Q1926" s="109" t="s">
        <v>432</v>
      </c>
      <c r="R1926" s="109" t="s">
        <v>432</v>
      </c>
      <c r="S1926" s="109" t="s">
        <v>2209</v>
      </c>
      <c r="T1926" s="109" t="s">
        <v>432</v>
      </c>
      <c r="U1926" s="109" t="s">
        <v>432</v>
      </c>
      <c r="V1926" s="109" t="s">
        <v>2209</v>
      </c>
      <c r="W1926" s="109" t="s">
        <v>432</v>
      </c>
      <c r="X1926" s="109" t="s">
        <v>432</v>
      </c>
      <c r="Y1926" s="109" t="s">
        <v>432</v>
      </c>
      <c r="Z1926" s="109" t="s">
        <v>432</v>
      </c>
      <c r="AA1926" s="109" t="s">
        <v>432</v>
      </c>
      <c r="AB1926" s="109" t="s">
        <v>432</v>
      </c>
      <c r="AC1926" s="109" t="s">
        <v>432</v>
      </c>
      <c r="AD1926" s="109" t="s">
        <v>432</v>
      </c>
      <c r="AE1926" s="109" t="s">
        <v>432</v>
      </c>
      <c r="AF1926" s="109" t="s">
        <v>432</v>
      </c>
      <c r="AG1926" s="109" t="s">
        <v>432</v>
      </c>
      <c r="AH1926" s="109" t="s">
        <v>432</v>
      </c>
      <c r="AI1926" s="109" t="s">
        <v>432</v>
      </c>
      <c r="AJ1926" s="109" t="s">
        <v>432</v>
      </c>
      <c r="AK1926" s="137" t="s">
        <v>432</v>
      </c>
      <c r="AL1926" s="601" t="s">
        <v>432</v>
      </c>
      <c r="AM1926" s="137" t="s">
        <v>432</v>
      </c>
      <c r="AN1926" s="137" t="s">
        <v>432</v>
      </c>
      <c r="AO1926" s="137" t="s">
        <v>432</v>
      </c>
      <c r="AP1926" s="137" t="s">
        <v>432</v>
      </c>
      <c r="AQ1926" s="137" t="s">
        <v>432</v>
      </c>
      <c r="AR1926" s="137" t="s">
        <v>432</v>
      </c>
      <c r="AS1926" s="137" t="s">
        <v>432</v>
      </c>
      <c r="AT1926" s="137" t="s">
        <v>432</v>
      </c>
      <c r="AU1926" s="137" t="s">
        <v>432</v>
      </c>
      <c r="AV1926" s="137" t="s">
        <v>432</v>
      </c>
      <c r="AW1926" s="137" t="s">
        <v>432</v>
      </c>
      <c r="AX1926" s="137" t="s">
        <v>432</v>
      </c>
      <c r="AY1926" s="137" t="s">
        <v>432</v>
      </c>
      <c r="AZ1926" s="137" t="s">
        <v>432</v>
      </c>
      <c r="BA1926" s="137" t="s">
        <v>432</v>
      </c>
      <c r="BB1926" s="239" t="str">
        <f t="shared" ref="BB1926" si="568">B1926&amp;C1926</f>
        <v>Sistema de transporte coletivo com um todoacessibilidade</v>
      </c>
      <c r="BC1926" s="239" t="str">
        <f t="shared" ref="BC1926" si="569">B1926&amp;C1926&amp;H1926</f>
        <v>Sistema de transporte coletivo com um todoacessibilidadesigla/verbete</v>
      </c>
      <c r="BD1926" s="239" t="str">
        <f t="shared" ref="BD1926" si="570">B1926&amp;H1926</f>
        <v>Sistema de transporte coletivo com um todosigla/verbete</v>
      </c>
    </row>
    <row r="1927" spans="1:56" s="3" customFormat="1" ht="136.5" customHeight="1" x14ac:dyDescent="0.25">
      <c r="A1927" s="262" t="str">
        <f>'Q100b-totais'!B50</f>
        <v>6.2</v>
      </c>
      <c r="B1927" s="252" t="str">
        <f>'Q100b-totais'!C50</f>
        <v>Sistema de bicicleta</v>
      </c>
      <c r="C1927" s="1369" t="s">
        <v>432</v>
      </c>
      <c r="D1927" s="968" t="s">
        <v>4750</v>
      </c>
      <c r="E1927" s="1496" t="s">
        <v>1306</v>
      </c>
      <c r="F1927" s="53" t="s">
        <v>5407</v>
      </c>
      <c r="G1927" s="230" t="s">
        <v>4610</v>
      </c>
      <c r="H1927" s="167" t="s">
        <v>2408</v>
      </c>
      <c r="I1927" s="167" t="s">
        <v>432</v>
      </c>
      <c r="J1927" s="107" t="s">
        <v>432</v>
      </c>
      <c r="K1927" s="107" t="s">
        <v>432</v>
      </c>
      <c r="L1927" s="107" t="s">
        <v>432</v>
      </c>
      <c r="M1927" s="107" t="s">
        <v>432</v>
      </c>
      <c r="N1927" s="107" t="s">
        <v>432</v>
      </c>
      <c r="O1927" s="107" t="s">
        <v>432</v>
      </c>
      <c r="P1927" s="107" t="s">
        <v>432</v>
      </c>
      <c r="Q1927" s="107" t="s">
        <v>432</v>
      </c>
      <c r="R1927" s="107" t="s">
        <v>432</v>
      </c>
      <c r="S1927" s="109" t="s">
        <v>2209</v>
      </c>
      <c r="T1927" s="107" t="s">
        <v>432</v>
      </c>
      <c r="U1927" s="107" t="s">
        <v>432</v>
      </c>
      <c r="V1927" s="109" t="s">
        <v>2209</v>
      </c>
      <c r="W1927" s="107" t="s">
        <v>432</v>
      </c>
      <c r="X1927" s="107" t="s">
        <v>432</v>
      </c>
      <c r="Y1927" s="107" t="s">
        <v>432</v>
      </c>
      <c r="Z1927" s="107" t="s">
        <v>432</v>
      </c>
      <c r="AA1927" s="107" t="s">
        <v>432</v>
      </c>
      <c r="AB1927" s="107" t="s">
        <v>432</v>
      </c>
      <c r="AC1927" s="107" t="s">
        <v>432</v>
      </c>
      <c r="AD1927" s="107" t="s">
        <v>432</v>
      </c>
      <c r="AE1927" s="107" t="s">
        <v>432</v>
      </c>
      <c r="AF1927" s="107" t="s">
        <v>432</v>
      </c>
      <c r="AG1927" s="107" t="s">
        <v>432</v>
      </c>
      <c r="AH1927" s="107" t="s">
        <v>432</v>
      </c>
      <c r="AI1927" s="107" t="s">
        <v>432</v>
      </c>
      <c r="AJ1927" s="107" t="s">
        <v>432</v>
      </c>
      <c r="AK1927" s="137" t="s">
        <v>432</v>
      </c>
      <c r="AL1927" s="600" t="s">
        <v>432</v>
      </c>
      <c r="AM1927" s="137" t="s">
        <v>432</v>
      </c>
      <c r="AN1927" s="137" t="s">
        <v>432</v>
      </c>
      <c r="AO1927" s="137" t="s">
        <v>432</v>
      </c>
      <c r="AP1927" s="137" t="s">
        <v>432</v>
      </c>
      <c r="AQ1927" s="137" t="s">
        <v>432</v>
      </c>
      <c r="AR1927" s="137" t="s">
        <v>432</v>
      </c>
      <c r="AS1927" s="137" t="s">
        <v>432</v>
      </c>
      <c r="AT1927" s="137" t="s">
        <v>432</v>
      </c>
      <c r="AU1927" s="137" t="s">
        <v>432</v>
      </c>
      <c r="AV1927" s="137" t="s">
        <v>432</v>
      </c>
      <c r="AW1927" s="137" t="s">
        <v>432</v>
      </c>
      <c r="AX1927" s="137" t="s">
        <v>432</v>
      </c>
      <c r="AY1927" s="137" t="s">
        <v>432</v>
      </c>
      <c r="AZ1927" s="137" t="s">
        <v>432</v>
      </c>
      <c r="BA1927" s="137" t="s">
        <v>432</v>
      </c>
      <c r="BB1927" s="239" t="str">
        <f t="shared" si="565"/>
        <v>Sistema de bicicletax</v>
      </c>
      <c r="BC1927" s="239" t="str">
        <f t="shared" si="566"/>
        <v>Sistema de bicicletaxsigla/verbete</v>
      </c>
      <c r="BD1927" s="239" t="str">
        <f t="shared" si="567"/>
        <v>Sistema de bicicletasigla/verbete</v>
      </c>
    </row>
    <row r="1928" spans="1:56" s="1" customFormat="1" ht="25.5" x14ac:dyDescent="0.25">
      <c r="A1928" s="262" t="str">
        <f>'Q100b-totais'!B21</f>
        <v>2.6</v>
      </c>
      <c r="B1928" s="53" t="str">
        <f>'Q100b-totais'!C21</f>
        <v>Cidades da RMBH</v>
      </c>
      <c r="C1928" s="167" t="s">
        <v>432</v>
      </c>
      <c r="D1928" s="323" t="s">
        <v>1755</v>
      </c>
      <c r="E1928" s="1491" t="s">
        <v>1755</v>
      </c>
      <c r="F1928" s="468" t="str">
        <f>pend!C203</f>
        <v>município da RMBH (faltando completar)</v>
      </c>
      <c r="G1928" s="230" t="s">
        <v>3507</v>
      </c>
      <c r="H1928" s="167" t="s">
        <v>2408</v>
      </c>
      <c r="I1928" s="167" t="s">
        <v>432</v>
      </c>
      <c r="J1928" s="109" t="s">
        <v>432</v>
      </c>
      <c r="K1928" s="109" t="s">
        <v>432</v>
      </c>
      <c r="L1928" s="109" t="s">
        <v>432</v>
      </c>
      <c r="M1928" s="109" t="s">
        <v>432</v>
      </c>
      <c r="N1928" s="109" t="s">
        <v>432</v>
      </c>
      <c r="O1928" s="109" t="s">
        <v>432</v>
      </c>
      <c r="P1928" s="109" t="s">
        <v>432</v>
      </c>
      <c r="Q1928" s="109" t="s">
        <v>432</v>
      </c>
      <c r="R1928" s="109" t="s">
        <v>432</v>
      </c>
      <c r="S1928" s="109" t="s">
        <v>2209</v>
      </c>
      <c r="T1928" s="109" t="s">
        <v>432</v>
      </c>
      <c r="U1928" s="109" t="s">
        <v>432</v>
      </c>
      <c r="V1928" s="109" t="s">
        <v>2209</v>
      </c>
      <c r="W1928" s="109" t="s">
        <v>432</v>
      </c>
      <c r="X1928" s="109" t="s">
        <v>432</v>
      </c>
      <c r="Y1928" s="109" t="s">
        <v>432</v>
      </c>
      <c r="Z1928" s="109" t="s">
        <v>432</v>
      </c>
      <c r="AA1928" s="109" t="s">
        <v>432</v>
      </c>
      <c r="AB1928" s="109" t="s">
        <v>432</v>
      </c>
      <c r="AC1928" s="109" t="s">
        <v>432</v>
      </c>
      <c r="AD1928" s="109" t="s">
        <v>432</v>
      </c>
      <c r="AE1928" s="109" t="s">
        <v>432</v>
      </c>
      <c r="AF1928" s="109" t="s">
        <v>432</v>
      </c>
      <c r="AG1928" s="109" t="s">
        <v>432</v>
      </c>
      <c r="AH1928" s="109" t="s">
        <v>432</v>
      </c>
      <c r="AI1928" s="109" t="s">
        <v>432</v>
      </c>
      <c r="AJ1928" s="109" t="s">
        <v>432</v>
      </c>
      <c r="AK1928" s="137" t="s">
        <v>432</v>
      </c>
      <c r="AL1928" s="601" t="s">
        <v>432</v>
      </c>
      <c r="AM1928" s="137" t="s">
        <v>432</v>
      </c>
      <c r="AN1928" s="137" t="s">
        <v>432</v>
      </c>
      <c r="AO1928" s="137" t="s">
        <v>432</v>
      </c>
      <c r="AP1928" s="137" t="s">
        <v>432</v>
      </c>
      <c r="AQ1928" s="137" t="s">
        <v>432</v>
      </c>
      <c r="AR1928" s="137" t="s">
        <v>432</v>
      </c>
      <c r="AS1928" s="137" t="s">
        <v>432</v>
      </c>
      <c r="AT1928" s="137" t="s">
        <v>432</v>
      </c>
      <c r="AU1928" s="137" t="s">
        <v>432</v>
      </c>
      <c r="AV1928" s="137" t="s">
        <v>432</v>
      </c>
      <c r="AW1928" s="137" t="s">
        <v>432</v>
      </c>
      <c r="AX1928" s="137" t="s">
        <v>432</v>
      </c>
      <c r="AY1928" s="137" t="s">
        <v>432</v>
      </c>
      <c r="AZ1928" s="137" t="s">
        <v>432</v>
      </c>
      <c r="BA1928" s="137" t="s">
        <v>432</v>
      </c>
      <c r="BB1928" s="239" t="str">
        <f t="shared" si="565"/>
        <v>Cidades da RMBHx</v>
      </c>
      <c r="BC1928" s="239" t="str">
        <f t="shared" si="566"/>
        <v>Cidades da RMBHxsigla/verbete</v>
      </c>
      <c r="BD1928" s="239" t="str">
        <f t="shared" si="567"/>
        <v>Cidades da RMBHsigla/verbete</v>
      </c>
    </row>
    <row r="1929" spans="1:56" s="1" customFormat="1" ht="105.75" customHeight="1" x14ac:dyDescent="0.25">
      <c r="A1929" s="275" t="str">
        <f>'Q100b-totais'!$B$56</f>
        <v>8.4</v>
      </c>
      <c r="B1929" s="54" t="s">
        <v>641</v>
      </c>
      <c r="C1929" s="229" t="s">
        <v>432</v>
      </c>
      <c r="D1929" s="324" t="s">
        <v>317</v>
      </c>
      <c r="E1929" s="1496" t="s">
        <v>1306</v>
      </c>
      <c r="F1929" s="11" t="s">
        <v>4702</v>
      </c>
      <c r="G1929" s="230" t="s">
        <v>3507</v>
      </c>
      <c r="H1929" s="167" t="s">
        <v>2408</v>
      </c>
      <c r="I1929" s="167" t="s">
        <v>432</v>
      </c>
      <c r="J1929" s="137" t="s">
        <v>432</v>
      </c>
      <c r="K1929" s="137" t="s">
        <v>432</v>
      </c>
      <c r="L1929" s="137" t="s">
        <v>432</v>
      </c>
      <c r="M1929" s="137" t="s">
        <v>432</v>
      </c>
      <c r="N1929" s="137" t="s">
        <v>432</v>
      </c>
      <c r="O1929" s="137" t="s">
        <v>432</v>
      </c>
      <c r="P1929" s="137" t="s">
        <v>432</v>
      </c>
      <c r="Q1929" s="137" t="s">
        <v>432</v>
      </c>
      <c r="R1929" s="137" t="s">
        <v>432</v>
      </c>
      <c r="S1929" s="109" t="s">
        <v>2209</v>
      </c>
      <c r="T1929" s="137" t="s">
        <v>432</v>
      </c>
      <c r="U1929" s="137" t="s">
        <v>432</v>
      </c>
      <c r="V1929" s="109" t="s">
        <v>2209</v>
      </c>
      <c r="W1929" s="137" t="s">
        <v>432</v>
      </c>
      <c r="X1929" s="137" t="s">
        <v>432</v>
      </c>
      <c r="Y1929" s="137" t="s">
        <v>432</v>
      </c>
      <c r="Z1929" s="137" t="s">
        <v>432</v>
      </c>
      <c r="AA1929" s="137" t="s">
        <v>432</v>
      </c>
      <c r="AB1929" s="137" t="s">
        <v>432</v>
      </c>
      <c r="AC1929" s="137" t="s">
        <v>432</v>
      </c>
      <c r="AD1929" s="137" t="s">
        <v>432</v>
      </c>
      <c r="AE1929" s="137" t="s">
        <v>432</v>
      </c>
      <c r="AF1929" s="137" t="s">
        <v>432</v>
      </c>
      <c r="AG1929" s="137" t="s">
        <v>432</v>
      </c>
      <c r="AH1929" s="137" t="s">
        <v>432</v>
      </c>
      <c r="AI1929" s="137" t="s">
        <v>432</v>
      </c>
      <c r="AJ1929" s="137" t="s">
        <v>432</v>
      </c>
      <c r="AK1929" s="137" t="s">
        <v>432</v>
      </c>
      <c r="AL1929" s="601" t="s">
        <v>432</v>
      </c>
      <c r="AM1929" s="137" t="s">
        <v>432</v>
      </c>
      <c r="AN1929" s="137" t="s">
        <v>432</v>
      </c>
      <c r="AO1929" s="137" t="s">
        <v>432</v>
      </c>
      <c r="AP1929" s="137" t="s">
        <v>432</v>
      </c>
      <c r="AQ1929" s="137" t="s">
        <v>432</v>
      </c>
      <c r="AR1929" s="137" t="s">
        <v>432</v>
      </c>
      <c r="AS1929" s="137" t="s">
        <v>432</v>
      </c>
      <c r="AT1929" s="137" t="s">
        <v>432</v>
      </c>
      <c r="AU1929" s="137" t="s">
        <v>432</v>
      </c>
      <c r="AV1929" s="137" t="s">
        <v>432</v>
      </c>
      <c r="AW1929" s="137" t="s">
        <v>432</v>
      </c>
      <c r="AX1929" s="137" t="s">
        <v>432</v>
      </c>
      <c r="AY1929" s="137" t="s">
        <v>432</v>
      </c>
      <c r="AZ1929" s="137" t="s">
        <v>432</v>
      </c>
      <c r="BA1929" s="137" t="s">
        <v>432</v>
      </c>
      <c r="BB1929" s="239" t="str">
        <f t="shared" si="565"/>
        <v>Táxix</v>
      </c>
      <c r="BC1929" s="239" t="str">
        <f t="shared" si="566"/>
        <v>Táxixsigla/verbete</v>
      </c>
      <c r="BD1929" s="239" t="str">
        <f t="shared" si="567"/>
        <v>Táxisigla/verbete</v>
      </c>
    </row>
    <row r="1930" spans="1:56" s="1" customFormat="1" ht="31.5" x14ac:dyDescent="0.25">
      <c r="A1930" s="275" t="str">
        <f>'Q100b-totais'!$B$56</f>
        <v>8.4</v>
      </c>
      <c r="B1930" s="54" t="s">
        <v>641</v>
      </c>
      <c r="C1930" s="229" t="s">
        <v>432</v>
      </c>
      <c r="D1930" s="324" t="s">
        <v>318</v>
      </c>
      <c r="E1930" s="1496" t="s">
        <v>1298</v>
      </c>
      <c r="F1930" s="11" t="s">
        <v>671</v>
      </c>
      <c r="G1930" s="230" t="s">
        <v>3507</v>
      </c>
      <c r="H1930" s="167" t="s">
        <v>2408</v>
      </c>
      <c r="I1930" s="167" t="s">
        <v>432</v>
      </c>
      <c r="J1930" s="137" t="s">
        <v>432</v>
      </c>
      <c r="K1930" s="137" t="s">
        <v>432</v>
      </c>
      <c r="L1930" s="137" t="s">
        <v>432</v>
      </c>
      <c r="M1930" s="137" t="s">
        <v>432</v>
      </c>
      <c r="N1930" s="137" t="s">
        <v>432</v>
      </c>
      <c r="O1930" s="137" t="s">
        <v>432</v>
      </c>
      <c r="P1930" s="137" t="s">
        <v>432</v>
      </c>
      <c r="Q1930" s="137" t="s">
        <v>432</v>
      </c>
      <c r="R1930" s="137" t="s">
        <v>432</v>
      </c>
      <c r="S1930" s="109" t="s">
        <v>2209</v>
      </c>
      <c r="T1930" s="137" t="s">
        <v>432</v>
      </c>
      <c r="U1930" s="137" t="s">
        <v>432</v>
      </c>
      <c r="V1930" s="109" t="s">
        <v>2209</v>
      </c>
      <c r="W1930" s="137" t="s">
        <v>432</v>
      </c>
      <c r="X1930" s="137" t="s">
        <v>432</v>
      </c>
      <c r="Y1930" s="137" t="s">
        <v>432</v>
      </c>
      <c r="Z1930" s="137" t="s">
        <v>432</v>
      </c>
      <c r="AA1930" s="137" t="s">
        <v>432</v>
      </c>
      <c r="AB1930" s="137" t="s">
        <v>432</v>
      </c>
      <c r="AC1930" s="137" t="s">
        <v>432</v>
      </c>
      <c r="AD1930" s="137" t="s">
        <v>432</v>
      </c>
      <c r="AE1930" s="137" t="s">
        <v>432</v>
      </c>
      <c r="AF1930" s="137" t="s">
        <v>432</v>
      </c>
      <c r="AG1930" s="137" t="s">
        <v>432</v>
      </c>
      <c r="AH1930" s="137" t="s">
        <v>432</v>
      </c>
      <c r="AI1930" s="137" t="s">
        <v>432</v>
      </c>
      <c r="AJ1930" s="137" t="s">
        <v>432</v>
      </c>
      <c r="AK1930" s="137" t="s">
        <v>432</v>
      </c>
      <c r="AL1930" s="601" t="s">
        <v>432</v>
      </c>
      <c r="AM1930" s="137" t="s">
        <v>432</v>
      </c>
      <c r="AN1930" s="137" t="s">
        <v>432</v>
      </c>
      <c r="AO1930" s="137" t="s">
        <v>432</v>
      </c>
      <c r="AP1930" s="137" t="s">
        <v>432</v>
      </c>
      <c r="AQ1930" s="137" t="s">
        <v>432</v>
      </c>
      <c r="AR1930" s="137" t="s">
        <v>432</v>
      </c>
      <c r="AS1930" s="137" t="s">
        <v>432</v>
      </c>
      <c r="AT1930" s="137" t="s">
        <v>432</v>
      </c>
      <c r="AU1930" s="137" t="s">
        <v>432</v>
      </c>
      <c r="AV1930" s="137" t="s">
        <v>432</v>
      </c>
      <c r="AW1930" s="137" t="s">
        <v>432</v>
      </c>
      <c r="AX1930" s="137" t="s">
        <v>432</v>
      </c>
      <c r="AY1930" s="137" t="s">
        <v>432</v>
      </c>
      <c r="AZ1930" s="137" t="s">
        <v>432</v>
      </c>
      <c r="BA1930" s="137" t="s">
        <v>432</v>
      </c>
      <c r="BB1930" s="239" t="str">
        <f t="shared" si="565"/>
        <v>Táxix</v>
      </c>
      <c r="BC1930" s="239" t="str">
        <f t="shared" si="566"/>
        <v>Táxixsigla/verbete</v>
      </c>
      <c r="BD1930" s="239" t="str">
        <f t="shared" si="567"/>
        <v>Táxisigla/verbete</v>
      </c>
    </row>
    <row r="1931" spans="1:56" s="1" customFormat="1" ht="47.25" x14ac:dyDescent="0.25">
      <c r="A1931" s="275" t="str">
        <f>'Q100b-totais'!$B$56</f>
        <v>8.4</v>
      </c>
      <c r="B1931" s="54" t="s">
        <v>641</v>
      </c>
      <c r="C1931" s="229" t="s">
        <v>432</v>
      </c>
      <c r="D1931" s="324" t="s">
        <v>319</v>
      </c>
      <c r="E1931" s="1496" t="s">
        <v>1298</v>
      </c>
      <c r="F1931" s="11" t="s">
        <v>672</v>
      </c>
      <c r="G1931" s="230" t="s">
        <v>3507</v>
      </c>
      <c r="H1931" s="167" t="s">
        <v>2408</v>
      </c>
      <c r="I1931" s="167" t="s">
        <v>432</v>
      </c>
      <c r="J1931" s="137" t="s">
        <v>432</v>
      </c>
      <c r="K1931" s="137" t="s">
        <v>432</v>
      </c>
      <c r="L1931" s="137" t="s">
        <v>432</v>
      </c>
      <c r="M1931" s="137" t="s">
        <v>432</v>
      </c>
      <c r="N1931" s="137" t="s">
        <v>432</v>
      </c>
      <c r="O1931" s="137" t="s">
        <v>432</v>
      </c>
      <c r="P1931" s="137" t="s">
        <v>432</v>
      </c>
      <c r="Q1931" s="137" t="s">
        <v>432</v>
      </c>
      <c r="R1931" s="137" t="s">
        <v>432</v>
      </c>
      <c r="S1931" s="109" t="s">
        <v>2209</v>
      </c>
      <c r="T1931" s="137" t="s">
        <v>432</v>
      </c>
      <c r="U1931" s="137" t="s">
        <v>432</v>
      </c>
      <c r="V1931" s="109" t="s">
        <v>2209</v>
      </c>
      <c r="W1931" s="137" t="s">
        <v>432</v>
      </c>
      <c r="X1931" s="137" t="s">
        <v>432</v>
      </c>
      <c r="Y1931" s="137" t="s">
        <v>432</v>
      </c>
      <c r="Z1931" s="137" t="s">
        <v>432</v>
      </c>
      <c r="AA1931" s="137" t="s">
        <v>432</v>
      </c>
      <c r="AB1931" s="137" t="s">
        <v>432</v>
      </c>
      <c r="AC1931" s="137" t="s">
        <v>432</v>
      </c>
      <c r="AD1931" s="137" t="s">
        <v>432</v>
      </c>
      <c r="AE1931" s="137" t="s">
        <v>432</v>
      </c>
      <c r="AF1931" s="137" t="s">
        <v>432</v>
      </c>
      <c r="AG1931" s="137" t="s">
        <v>432</v>
      </c>
      <c r="AH1931" s="137" t="s">
        <v>432</v>
      </c>
      <c r="AI1931" s="137" t="s">
        <v>432</v>
      </c>
      <c r="AJ1931" s="137" t="s">
        <v>432</v>
      </c>
      <c r="AK1931" s="137" t="s">
        <v>432</v>
      </c>
      <c r="AL1931" s="601" t="s">
        <v>432</v>
      </c>
      <c r="AM1931" s="137" t="s">
        <v>432</v>
      </c>
      <c r="AN1931" s="137" t="s">
        <v>432</v>
      </c>
      <c r="AO1931" s="137" t="s">
        <v>432</v>
      </c>
      <c r="AP1931" s="137" t="s">
        <v>432</v>
      </c>
      <c r="AQ1931" s="137" t="s">
        <v>432</v>
      </c>
      <c r="AR1931" s="137" t="s">
        <v>432</v>
      </c>
      <c r="AS1931" s="137" t="s">
        <v>432</v>
      </c>
      <c r="AT1931" s="137" t="s">
        <v>432</v>
      </c>
      <c r="AU1931" s="137" t="s">
        <v>432</v>
      </c>
      <c r="AV1931" s="137" t="s">
        <v>432</v>
      </c>
      <c r="AW1931" s="137" t="s">
        <v>432</v>
      </c>
      <c r="AX1931" s="137" t="s">
        <v>432</v>
      </c>
      <c r="AY1931" s="137" t="s">
        <v>432</v>
      </c>
      <c r="AZ1931" s="137" t="s">
        <v>432</v>
      </c>
      <c r="BA1931" s="137" t="s">
        <v>432</v>
      </c>
      <c r="BB1931" s="239" t="str">
        <f t="shared" si="565"/>
        <v>Táxix</v>
      </c>
      <c r="BC1931" s="239" t="str">
        <f t="shared" si="566"/>
        <v>Táxixsigla/verbete</v>
      </c>
      <c r="BD1931" s="239" t="str">
        <f t="shared" si="567"/>
        <v>Táxisigla/verbete</v>
      </c>
    </row>
    <row r="1932" spans="1:56" s="1" customFormat="1" ht="38.25" x14ac:dyDescent="0.25">
      <c r="A1932" s="275" t="str">
        <f>'Q100b-totais'!$B$56</f>
        <v>8.4</v>
      </c>
      <c r="B1932" s="54" t="s">
        <v>641</v>
      </c>
      <c r="C1932" s="229" t="s">
        <v>432</v>
      </c>
      <c r="D1932" s="324" t="s">
        <v>320</v>
      </c>
      <c r="E1932" s="1496" t="s">
        <v>1298</v>
      </c>
      <c r="F1932" s="11" t="s">
        <v>4703</v>
      </c>
      <c r="G1932" s="230" t="s">
        <v>3507</v>
      </c>
      <c r="H1932" s="167" t="s">
        <v>2408</v>
      </c>
      <c r="I1932" s="167" t="s">
        <v>432</v>
      </c>
      <c r="J1932" s="137" t="s">
        <v>432</v>
      </c>
      <c r="K1932" s="137" t="s">
        <v>432</v>
      </c>
      <c r="L1932" s="137" t="s">
        <v>432</v>
      </c>
      <c r="M1932" s="137" t="s">
        <v>432</v>
      </c>
      <c r="N1932" s="137" t="s">
        <v>432</v>
      </c>
      <c r="O1932" s="137" t="s">
        <v>432</v>
      </c>
      <c r="P1932" s="137" t="s">
        <v>432</v>
      </c>
      <c r="Q1932" s="137" t="s">
        <v>432</v>
      </c>
      <c r="R1932" s="137" t="s">
        <v>432</v>
      </c>
      <c r="S1932" s="109" t="s">
        <v>2209</v>
      </c>
      <c r="T1932" s="137" t="s">
        <v>432</v>
      </c>
      <c r="U1932" s="137" t="s">
        <v>432</v>
      </c>
      <c r="V1932" s="109" t="s">
        <v>2209</v>
      </c>
      <c r="W1932" s="137" t="s">
        <v>432</v>
      </c>
      <c r="X1932" s="137" t="s">
        <v>432</v>
      </c>
      <c r="Y1932" s="137" t="s">
        <v>432</v>
      </c>
      <c r="Z1932" s="137" t="s">
        <v>432</v>
      </c>
      <c r="AA1932" s="137" t="s">
        <v>432</v>
      </c>
      <c r="AB1932" s="137" t="s">
        <v>432</v>
      </c>
      <c r="AC1932" s="137" t="s">
        <v>432</v>
      </c>
      <c r="AD1932" s="137" t="s">
        <v>432</v>
      </c>
      <c r="AE1932" s="137" t="s">
        <v>432</v>
      </c>
      <c r="AF1932" s="137" t="s">
        <v>432</v>
      </c>
      <c r="AG1932" s="137" t="s">
        <v>432</v>
      </c>
      <c r="AH1932" s="137" t="s">
        <v>432</v>
      </c>
      <c r="AI1932" s="137" t="s">
        <v>432</v>
      </c>
      <c r="AJ1932" s="137" t="s">
        <v>432</v>
      </c>
      <c r="AK1932" s="137" t="s">
        <v>432</v>
      </c>
      <c r="AL1932" s="601" t="s">
        <v>432</v>
      </c>
      <c r="AM1932" s="137" t="s">
        <v>432</v>
      </c>
      <c r="AN1932" s="137" t="s">
        <v>432</v>
      </c>
      <c r="AO1932" s="137" t="s">
        <v>432</v>
      </c>
      <c r="AP1932" s="137" t="s">
        <v>432</v>
      </c>
      <c r="AQ1932" s="137" t="s">
        <v>432</v>
      </c>
      <c r="AR1932" s="137" t="s">
        <v>432</v>
      </c>
      <c r="AS1932" s="137" t="s">
        <v>432</v>
      </c>
      <c r="AT1932" s="137" t="s">
        <v>432</v>
      </c>
      <c r="AU1932" s="137" t="s">
        <v>432</v>
      </c>
      <c r="AV1932" s="137" t="s">
        <v>432</v>
      </c>
      <c r="AW1932" s="137" t="s">
        <v>432</v>
      </c>
      <c r="AX1932" s="137" t="s">
        <v>432</v>
      </c>
      <c r="AY1932" s="137" t="s">
        <v>432</v>
      </c>
      <c r="AZ1932" s="137" t="s">
        <v>432</v>
      </c>
      <c r="BA1932" s="137" t="s">
        <v>432</v>
      </c>
      <c r="BB1932" s="239" t="str">
        <f t="shared" si="565"/>
        <v>Táxix</v>
      </c>
      <c r="BC1932" s="239" t="str">
        <f t="shared" si="566"/>
        <v>Táxixsigla/verbete</v>
      </c>
      <c r="BD1932" s="239" t="str">
        <f t="shared" si="567"/>
        <v>Táxisigla/verbete</v>
      </c>
    </row>
    <row r="1933" spans="1:56" s="1" customFormat="1" ht="47.25" customHeight="1" x14ac:dyDescent="0.25">
      <c r="A1933" s="275" t="str">
        <f>'Q100b-totais'!$B$56</f>
        <v>8.4</v>
      </c>
      <c r="B1933" s="54" t="s">
        <v>641</v>
      </c>
      <c r="C1933" s="229" t="s">
        <v>432</v>
      </c>
      <c r="D1933" s="324" t="s">
        <v>321</v>
      </c>
      <c r="E1933" s="1496" t="s">
        <v>1298</v>
      </c>
      <c r="F1933" s="11" t="s">
        <v>4704</v>
      </c>
      <c r="G1933" s="230" t="s">
        <v>3507</v>
      </c>
      <c r="H1933" s="167" t="s">
        <v>2408</v>
      </c>
      <c r="I1933" s="167" t="s">
        <v>432</v>
      </c>
      <c r="J1933" s="137" t="s">
        <v>432</v>
      </c>
      <c r="K1933" s="137" t="s">
        <v>432</v>
      </c>
      <c r="L1933" s="137" t="s">
        <v>432</v>
      </c>
      <c r="M1933" s="137" t="s">
        <v>432</v>
      </c>
      <c r="N1933" s="137" t="s">
        <v>432</v>
      </c>
      <c r="O1933" s="137" t="s">
        <v>432</v>
      </c>
      <c r="P1933" s="137" t="s">
        <v>432</v>
      </c>
      <c r="Q1933" s="137" t="s">
        <v>432</v>
      </c>
      <c r="R1933" s="137" t="s">
        <v>432</v>
      </c>
      <c r="S1933" s="109" t="s">
        <v>2209</v>
      </c>
      <c r="T1933" s="137" t="s">
        <v>432</v>
      </c>
      <c r="U1933" s="137" t="s">
        <v>432</v>
      </c>
      <c r="V1933" s="109" t="s">
        <v>2209</v>
      </c>
      <c r="W1933" s="137" t="s">
        <v>432</v>
      </c>
      <c r="X1933" s="137" t="s">
        <v>432</v>
      </c>
      <c r="Y1933" s="137" t="s">
        <v>432</v>
      </c>
      <c r="Z1933" s="137" t="s">
        <v>432</v>
      </c>
      <c r="AA1933" s="137" t="s">
        <v>432</v>
      </c>
      <c r="AB1933" s="137" t="s">
        <v>432</v>
      </c>
      <c r="AC1933" s="137" t="s">
        <v>432</v>
      </c>
      <c r="AD1933" s="137" t="s">
        <v>432</v>
      </c>
      <c r="AE1933" s="137" t="s">
        <v>432</v>
      </c>
      <c r="AF1933" s="137" t="s">
        <v>432</v>
      </c>
      <c r="AG1933" s="137" t="s">
        <v>432</v>
      </c>
      <c r="AH1933" s="137" t="s">
        <v>432</v>
      </c>
      <c r="AI1933" s="137" t="s">
        <v>432</v>
      </c>
      <c r="AJ1933" s="137" t="s">
        <v>432</v>
      </c>
      <c r="AK1933" s="137" t="s">
        <v>432</v>
      </c>
      <c r="AL1933" s="601" t="s">
        <v>432</v>
      </c>
      <c r="AM1933" s="137" t="s">
        <v>432</v>
      </c>
      <c r="AN1933" s="137" t="s">
        <v>432</v>
      </c>
      <c r="AO1933" s="137" t="s">
        <v>432</v>
      </c>
      <c r="AP1933" s="137" t="s">
        <v>432</v>
      </c>
      <c r="AQ1933" s="137" t="s">
        <v>432</v>
      </c>
      <c r="AR1933" s="137" t="s">
        <v>432</v>
      </c>
      <c r="AS1933" s="137" t="s">
        <v>432</v>
      </c>
      <c r="AT1933" s="137" t="s">
        <v>432</v>
      </c>
      <c r="AU1933" s="137" t="s">
        <v>432</v>
      </c>
      <c r="AV1933" s="137" t="s">
        <v>432</v>
      </c>
      <c r="AW1933" s="137" t="s">
        <v>432</v>
      </c>
      <c r="AX1933" s="137" t="s">
        <v>432</v>
      </c>
      <c r="AY1933" s="137" t="s">
        <v>432</v>
      </c>
      <c r="AZ1933" s="137" t="s">
        <v>432</v>
      </c>
      <c r="BA1933" s="137" t="s">
        <v>432</v>
      </c>
      <c r="BB1933" s="239" t="str">
        <f t="shared" si="565"/>
        <v>Táxix</v>
      </c>
      <c r="BC1933" s="239" t="str">
        <f t="shared" si="566"/>
        <v>Táxixsigla/verbete</v>
      </c>
      <c r="BD1933" s="239" t="str">
        <f t="shared" si="567"/>
        <v>Táxisigla/verbete</v>
      </c>
    </row>
    <row r="1934" spans="1:56" s="1" customFormat="1" ht="51.75" customHeight="1" x14ac:dyDescent="0.25">
      <c r="A1934" s="275" t="str">
        <f>'Q100b-totais'!$B$56</f>
        <v>8.4</v>
      </c>
      <c r="B1934" s="54" t="s">
        <v>641</v>
      </c>
      <c r="C1934" s="229" t="s">
        <v>432</v>
      </c>
      <c r="D1934" s="324" t="s">
        <v>322</v>
      </c>
      <c r="E1934" s="1496" t="s">
        <v>1298</v>
      </c>
      <c r="F1934" s="11" t="s">
        <v>4705</v>
      </c>
      <c r="G1934" s="230" t="s">
        <v>3507</v>
      </c>
      <c r="H1934" s="167" t="s">
        <v>2408</v>
      </c>
      <c r="I1934" s="167" t="s">
        <v>432</v>
      </c>
      <c r="J1934" s="137" t="s">
        <v>432</v>
      </c>
      <c r="K1934" s="137" t="s">
        <v>432</v>
      </c>
      <c r="L1934" s="137" t="s">
        <v>432</v>
      </c>
      <c r="M1934" s="137" t="s">
        <v>432</v>
      </c>
      <c r="N1934" s="137" t="s">
        <v>432</v>
      </c>
      <c r="O1934" s="137" t="s">
        <v>432</v>
      </c>
      <c r="P1934" s="137" t="s">
        <v>432</v>
      </c>
      <c r="Q1934" s="137" t="s">
        <v>432</v>
      </c>
      <c r="R1934" s="137" t="s">
        <v>432</v>
      </c>
      <c r="S1934" s="109" t="s">
        <v>2209</v>
      </c>
      <c r="T1934" s="137" t="s">
        <v>432</v>
      </c>
      <c r="U1934" s="137" t="s">
        <v>432</v>
      </c>
      <c r="V1934" s="109" t="s">
        <v>2209</v>
      </c>
      <c r="W1934" s="137" t="s">
        <v>432</v>
      </c>
      <c r="X1934" s="137" t="s">
        <v>432</v>
      </c>
      <c r="Y1934" s="137" t="s">
        <v>432</v>
      </c>
      <c r="Z1934" s="137" t="s">
        <v>432</v>
      </c>
      <c r="AA1934" s="137" t="s">
        <v>432</v>
      </c>
      <c r="AB1934" s="137" t="s">
        <v>432</v>
      </c>
      <c r="AC1934" s="137" t="s">
        <v>432</v>
      </c>
      <c r="AD1934" s="137" t="s">
        <v>432</v>
      </c>
      <c r="AE1934" s="137" t="s">
        <v>432</v>
      </c>
      <c r="AF1934" s="137" t="s">
        <v>432</v>
      </c>
      <c r="AG1934" s="137" t="s">
        <v>432</v>
      </c>
      <c r="AH1934" s="137" t="s">
        <v>432</v>
      </c>
      <c r="AI1934" s="137" t="s">
        <v>432</v>
      </c>
      <c r="AJ1934" s="137" t="s">
        <v>432</v>
      </c>
      <c r="AK1934" s="137" t="s">
        <v>432</v>
      </c>
      <c r="AL1934" s="601" t="s">
        <v>432</v>
      </c>
      <c r="AM1934" s="137" t="s">
        <v>432</v>
      </c>
      <c r="AN1934" s="137" t="s">
        <v>432</v>
      </c>
      <c r="AO1934" s="137" t="s">
        <v>432</v>
      </c>
      <c r="AP1934" s="137" t="s">
        <v>432</v>
      </c>
      <c r="AQ1934" s="137" t="s">
        <v>432</v>
      </c>
      <c r="AR1934" s="137" t="s">
        <v>432</v>
      </c>
      <c r="AS1934" s="137" t="s">
        <v>432</v>
      </c>
      <c r="AT1934" s="137" t="s">
        <v>432</v>
      </c>
      <c r="AU1934" s="137" t="s">
        <v>432</v>
      </c>
      <c r="AV1934" s="137" t="s">
        <v>432</v>
      </c>
      <c r="AW1934" s="137" t="s">
        <v>432</v>
      </c>
      <c r="AX1934" s="137" t="s">
        <v>432</v>
      </c>
      <c r="AY1934" s="137" t="s">
        <v>432</v>
      </c>
      <c r="AZ1934" s="137" t="s">
        <v>432</v>
      </c>
      <c r="BA1934" s="137" t="s">
        <v>432</v>
      </c>
      <c r="BB1934" s="239" t="str">
        <f t="shared" si="565"/>
        <v>Táxix</v>
      </c>
      <c r="BC1934" s="239" t="str">
        <f t="shared" si="566"/>
        <v>Táxixsigla/verbete</v>
      </c>
      <c r="BD1934" s="239" t="str">
        <f t="shared" si="567"/>
        <v>Táxisigla/verbete</v>
      </c>
    </row>
    <row r="1935" spans="1:56" s="1" customFormat="1" ht="51.75" customHeight="1" x14ac:dyDescent="0.25">
      <c r="A1935" s="262" t="str">
        <f>'Q100b-totais'!B22</f>
        <v>2.7</v>
      </c>
      <c r="B1935" s="252" t="str">
        <f>'Q100b-totais'!C22</f>
        <v>Outras cidades/regiões</v>
      </c>
      <c r="C1935" s="229" t="s">
        <v>432</v>
      </c>
      <c r="D1935" s="325" t="s">
        <v>4191</v>
      </c>
      <c r="E1935" s="1445" t="s">
        <v>4191</v>
      </c>
      <c r="F1935" s="1205" t="s">
        <v>4195</v>
      </c>
      <c r="G1935" s="230" t="s">
        <v>3507</v>
      </c>
      <c r="H1935" s="167" t="s">
        <v>2408</v>
      </c>
      <c r="I1935" s="167" t="s">
        <v>432</v>
      </c>
      <c r="J1935" s="137" t="s">
        <v>432</v>
      </c>
      <c r="K1935" s="137" t="s">
        <v>432</v>
      </c>
      <c r="L1935" s="137" t="s">
        <v>432</v>
      </c>
      <c r="M1935" s="137" t="s">
        <v>432</v>
      </c>
      <c r="N1935" s="137" t="s">
        <v>432</v>
      </c>
      <c r="O1935" s="137" t="s">
        <v>432</v>
      </c>
      <c r="P1935" s="137" t="s">
        <v>432</v>
      </c>
      <c r="Q1935" s="137" t="s">
        <v>432</v>
      </c>
      <c r="R1935" s="137" t="s">
        <v>432</v>
      </c>
      <c r="S1935" s="109" t="s">
        <v>2209</v>
      </c>
      <c r="T1935" s="137" t="s">
        <v>432</v>
      </c>
      <c r="U1935" s="137" t="s">
        <v>432</v>
      </c>
      <c r="V1935" s="109" t="s">
        <v>2209</v>
      </c>
      <c r="W1935" s="137" t="s">
        <v>432</v>
      </c>
      <c r="X1935" s="137" t="s">
        <v>432</v>
      </c>
      <c r="Y1935" s="137" t="s">
        <v>432</v>
      </c>
      <c r="Z1935" s="137" t="s">
        <v>432</v>
      </c>
      <c r="AA1935" s="137" t="s">
        <v>432</v>
      </c>
      <c r="AB1935" s="137" t="s">
        <v>432</v>
      </c>
      <c r="AC1935" s="137" t="s">
        <v>432</v>
      </c>
      <c r="AD1935" s="137" t="s">
        <v>432</v>
      </c>
      <c r="AE1935" s="137" t="s">
        <v>432</v>
      </c>
      <c r="AF1935" s="137" t="s">
        <v>432</v>
      </c>
      <c r="AG1935" s="137" t="s">
        <v>432</v>
      </c>
      <c r="AH1935" s="137" t="s">
        <v>432</v>
      </c>
      <c r="AI1935" s="137" t="s">
        <v>432</v>
      </c>
      <c r="AJ1935" s="137" t="s">
        <v>432</v>
      </c>
      <c r="AK1935" s="137" t="s">
        <v>432</v>
      </c>
      <c r="AL1935" s="601" t="s">
        <v>432</v>
      </c>
      <c r="AM1935" s="137" t="s">
        <v>432</v>
      </c>
      <c r="AN1935" s="137" t="s">
        <v>432</v>
      </c>
      <c r="AO1935" s="137" t="s">
        <v>432</v>
      </c>
      <c r="AP1935" s="137" t="s">
        <v>432</v>
      </c>
      <c r="AQ1935" s="137" t="s">
        <v>432</v>
      </c>
      <c r="AR1935" s="137" t="s">
        <v>432</v>
      </c>
      <c r="AS1935" s="137" t="s">
        <v>432</v>
      </c>
      <c r="AT1935" s="137" t="s">
        <v>432</v>
      </c>
      <c r="AU1935" s="137" t="s">
        <v>432</v>
      </c>
      <c r="AV1935" s="137" t="s">
        <v>432</v>
      </c>
      <c r="AW1935" s="137" t="s">
        <v>432</v>
      </c>
      <c r="AX1935" s="137" t="s">
        <v>432</v>
      </c>
      <c r="AY1935" s="137" t="s">
        <v>432</v>
      </c>
      <c r="AZ1935" s="137" t="s">
        <v>432</v>
      </c>
      <c r="BA1935" s="137" t="s">
        <v>432</v>
      </c>
      <c r="BB1935" s="239" t="str">
        <f t="shared" si="565"/>
        <v>Outras cidades/regiõesx</v>
      </c>
      <c r="BC1935" s="239" t="str">
        <f t="shared" si="566"/>
        <v>Outras cidades/regiõesxsigla/verbete</v>
      </c>
      <c r="BD1935" s="239" t="str">
        <f t="shared" si="567"/>
        <v>Outras cidades/regiõessigla/verbete</v>
      </c>
    </row>
    <row r="1936" spans="1:56" s="1" customFormat="1" ht="121.5" customHeight="1" x14ac:dyDescent="0.25">
      <c r="A1936" s="262" t="s">
        <v>432</v>
      </c>
      <c r="B1936" s="252" t="s">
        <v>742</v>
      </c>
      <c r="C1936" s="229" t="s">
        <v>743</v>
      </c>
      <c r="D1936" s="324" t="s">
        <v>4451</v>
      </c>
      <c r="E1936" s="1496" t="s">
        <v>1767</v>
      </c>
      <c r="F1936" s="1338" t="s">
        <v>4660</v>
      </c>
      <c r="G1936" s="230" t="s">
        <v>3507</v>
      </c>
      <c r="H1936" s="167" t="s">
        <v>2408</v>
      </c>
      <c r="I1936" s="167" t="s">
        <v>432</v>
      </c>
      <c r="J1936" s="137" t="s">
        <v>432</v>
      </c>
      <c r="K1936" s="137" t="s">
        <v>432</v>
      </c>
      <c r="L1936" s="137" t="s">
        <v>432</v>
      </c>
      <c r="M1936" s="137" t="s">
        <v>432</v>
      </c>
      <c r="N1936" s="137" t="s">
        <v>432</v>
      </c>
      <c r="O1936" s="137" t="s">
        <v>432</v>
      </c>
      <c r="P1936" s="137" t="s">
        <v>432</v>
      </c>
      <c r="Q1936" s="137" t="s">
        <v>432</v>
      </c>
      <c r="R1936" s="137" t="s">
        <v>432</v>
      </c>
      <c r="S1936" s="109" t="s">
        <v>2209</v>
      </c>
      <c r="T1936" s="137" t="s">
        <v>432</v>
      </c>
      <c r="U1936" s="137" t="s">
        <v>432</v>
      </c>
      <c r="V1936" s="109" t="s">
        <v>2209</v>
      </c>
      <c r="W1936" s="137" t="s">
        <v>432</v>
      </c>
      <c r="X1936" s="137" t="s">
        <v>432</v>
      </c>
      <c r="Y1936" s="137" t="s">
        <v>432</v>
      </c>
      <c r="Z1936" s="137" t="s">
        <v>432</v>
      </c>
      <c r="AA1936" s="137" t="s">
        <v>432</v>
      </c>
      <c r="AB1936" s="137" t="s">
        <v>432</v>
      </c>
      <c r="AC1936" s="137" t="s">
        <v>432</v>
      </c>
      <c r="AD1936" s="137" t="s">
        <v>432</v>
      </c>
      <c r="AE1936" s="137" t="s">
        <v>432</v>
      </c>
      <c r="AF1936" s="137" t="s">
        <v>432</v>
      </c>
      <c r="AG1936" s="137" t="s">
        <v>432</v>
      </c>
      <c r="AH1936" s="137" t="s">
        <v>432</v>
      </c>
      <c r="AI1936" s="137" t="s">
        <v>432</v>
      </c>
      <c r="AJ1936" s="137" t="s">
        <v>432</v>
      </c>
      <c r="AK1936" s="137" t="s">
        <v>432</v>
      </c>
      <c r="AL1936" s="601" t="s">
        <v>432</v>
      </c>
      <c r="AM1936" s="137" t="s">
        <v>432</v>
      </c>
      <c r="AN1936" s="137" t="s">
        <v>432</v>
      </c>
      <c r="AO1936" s="137" t="s">
        <v>432</v>
      </c>
      <c r="AP1936" s="137" t="s">
        <v>432</v>
      </c>
      <c r="AQ1936" s="137" t="s">
        <v>432</v>
      </c>
      <c r="AR1936" s="137" t="s">
        <v>432</v>
      </c>
      <c r="AS1936" s="137" t="s">
        <v>432</v>
      </c>
      <c r="AT1936" s="137" t="s">
        <v>432</v>
      </c>
      <c r="AU1936" s="137" t="s">
        <v>432</v>
      </c>
      <c r="AV1936" s="137" t="s">
        <v>432</v>
      </c>
      <c r="AW1936" s="137" t="s">
        <v>432</v>
      </c>
      <c r="AX1936" s="137" t="s">
        <v>432</v>
      </c>
      <c r="AY1936" s="137" t="s">
        <v>432</v>
      </c>
      <c r="AZ1936" s="137" t="s">
        <v>432</v>
      </c>
      <c r="BA1936" s="137" t="s">
        <v>432</v>
      </c>
      <c r="BB1936" s="239" t="str">
        <f t="shared" si="565"/>
        <v>geralacessibilidade</v>
      </c>
      <c r="BC1936" s="239" t="str">
        <f t="shared" si="566"/>
        <v>geralacessibilidadesigla/verbete</v>
      </c>
      <c r="BD1936" s="239" t="str">
        <f t="shared" si="567"/>
        <v>geralsigla/verbete</v>
      </c>
    </row>
    <row r="1937" spans="1:56" s="1" customFormat="1" ht="49.5" customHeight="1" x14ac:dyDescent="0.25">
      <c r="A1937" s="262" t="s">
        <v>432</v>
      </c>
      <c r="B1937" s="252" t="s">
        <v>742</v>
      </c>
      <c r="C1937" s="229" t="s">
        <v>743</v>
      </c>
      <c r="D1937" s="324" t="s">
        <v>2532</v>
      </c>
      <c r="E1937" s="1496" t="s">
        <v>1767</v>
      </c>
      <c r="F1937" s="1344" t="s">
        <v>2533</v>
      </c>
      <c r="G1937" s="230" t="s">
        <v>3507</v>
      </c>
      <c r="H1937" s="167" t="s">
        <v>2408</v>
      </c>
      <c r="I1937" s="167" t="s">
        <v>432</v>
      </c>
      <c r="J1937" s="137" t="s">
        <v>432</v>
      </c>
      <c r="K1937" s="137" t="s">
        <v>432</v>
      </c>
      <c r="L1937" s="137" t="s">
        <v>432</v>
      </c>
      <c r="M1937" s="137" t="s">
        <v>432</v>
      </c>
      <c r="N1937" s="137" t="s">
        <v>432</v>
      </c>
      <c r="O1937" s="137" t="s">
        <v>432</v>
      </c>
      <c r="P1937" s="137" t="s">
        <v>432</v>
      </c>
      <c r="Q1937" s="137" t="s">
        <v>432</v>
      </c>
      <c r="R1937" s="137" t="s">
        <v>432</v>
      </c>
      <c r="S1937" s="109" t="s">
        <v>2209</v>
      </c>
      <c r="T1937" s="137" t="s">
        <v>432</v>
      </c>
      <c r="U1937" s="137" t="s">
        <v>432</v>
      </c>
      <c r="V1937" s="109" t="s">
        <v>2209</v>
      </c>
      <c r="W1937" s="137" t="s">
        <v>432</v>
      </c>
      <c r="X1937" s="137" t="s">
        <v>432</v>
      </c>
      <c r="Y1937" s="137" t="s">
        <v>432</v>
      </c>
      <c r="Z1937" s="137" t="s">
        <v>432</v>
      </c>
      <c r="AA1937" s="137" t="s">
        <v>432</v>
      </c>
      <c r="AB1937" s="137" t="s">
        <v>432</v>
      </c>
      <c r="AC1937" s="137" t="s">
        <v>432</v>
      </c>
      <c r="AD1937" s="137" t="s">
        <v>432</v>
      </c>
      <c r="AE1937" s="137" t="s">
        <v>432</v>
      </c>
      <c r="AF1937" s="137" t="s">
        <v>432</v>
      </c>
      <c r="AG1937" s="137" t="s">
        <v>432</v>
      </c>
      <c r="AH1937" s="137" t="s">
        <v>432</v>
      </c>
      <c r="AI1937" s="137" t="s">
        <v>432</v>
      </c>
      <c r="AJ1937" s="137" t="s">
        <v>432</v>
      </c>
      <c r="AK1937" s="137" t="s">
        <v>432</v>
      </c>
      <c r="AL1937" s="601" t="s">
        <v>432</v>
      </c>
      <c r="AM1937" s="137" t="s">
        <v>432</v>
      </c>
      <c r="AN1937" s="137" t="s">
        <v>432</v>
      </c>
      <c r="AO1937" s="137" t="s">
        <v>432</v>
      </c>
      <c r="AP1937" s="137" t="s">
        <v>432</v>
      </c>
      <c r="AQ1937" s="137" t="s">
        <v>432</v>
      </c>
      <c r="AR1937" s="137" t="s">
        <v>432</v>
      </c>
      <c r="AS1937" s="137" t="s">
        <v>432</v>
      </c>
      <c r="AT1937" s="137" t="s">
        <v>432</v>
      </c>
      <c r="AU1937" s="137" t="s">
        <v>432</v>
      </c>
      <c r="AV1937" s="137" t="s">
        <v>432</v>
      </c>
      <c r="AW1937" s="137" t="s">
        <v>432</v>
      </c>
      <c r="AX1937" s="137" t="s">
        <v>432</v>
      </c>
      <c r="AY1937" s="137" t="s">
        <v>432</v>
      </c>
      <c r="AZ1937" s="137" t="s">
        <v>432</v>
      </c>
      <c r="BA1937" s="137" t="s">
        <v>432</v>
      </c>
      <c r="BB1937" s="239" t="str">
        <f t="shared" si="565"/>
        <v>geralacessibilidade</v>
      </c>
      <c r="BC1937" s="239" t="str">
        <f t="shared" si="566"/>
        <v>geralacessibilidadesigla/verbete</v>
      </c>
      <c r="BD1937" s="239" t="str">
        <f t="shared" si="567"/>
        <v>geralsigla/verbete</v>
      </c>
    </row>
    <row r="1938" spans="1:56" s="1" customFormat="1" ht="57.75" customHeight="1" x14ac:dyDescent="0.25">
      <c r="A1938" s="262" t="str">
        <f>'Q100b-totais'!B62</f>
        <v>8.10</v>
      </c>
      <c r="B1938" s="252" t="str">
        <f>'Q100b-totais'!C62</f>
        <v>Sistema de transporte coletivo com um todo</v>
      </c>
      <c r="C1938" s="229" t="s">
        <v>743</v>
      </c>
      <c r="D1938" s="324" t="s">
        <v>5077</v>
      </c>
      <c r="E1938" s="1496"/>
      <c r="F1938" s="1344" t="s">
        <v>5078</v>
      </c>
      <c r="G1938" s="230" t="s">
        <v>3719</v>
      </c>
      <c r="H1938" s="167" t="s">
        <v>2408</v>
      </c>
      <c r="I1938" s="167" t="s">
        <v>432</v>
      </c>
      <c r="J1938" s="137" t="s">
        <v>432</v>
      </c>
      <c r="K1938" s="137" t="s">
        <v>432</v>
      </c>
      <c r="L1938" s="137" t="s">
        <v>432</v>
      </c>
      <c r="M1938" s="137" t="s">
        <v>432</v>
      </c>
      <c r="N1938" s="137" t="s">
        <v>432</v>
      </c>
      <c r="O1938" s="137" t="s">
        <v>432</v>
      </c>
      <c r="P1938" s="137" t="s">
        <v>432</v>
      </c>
      <c r="Q1938" s="137" t="s">
        <v>432</v>
      </c>
      <c r="R1938" s="137" t="s">
        <v>432</v>
      </c>
      <c r="S1938" s="109" t="s">
        <v>2209</v>
      </c>
      <c r="T1938" s="137" t="s">
        <v>432</v>
      </c>
      <c r="U1938" s="137" t="s">
        <v>432</v>
      </c>
      <c r="V1938" s="109" t="s">
        <v>2209</v>
      </c>
      <c r="W1938" s="137" t="s">
        <v>432</v>
      </c>
      <c r="X1938" s="137" t="s">
        <v>432</v>
      </c>
      <c r="Y1938" s="137" t="s">
        <v>432</v>
      </c>
      <c r="Z1938" s="137" t="s">
        <v>432</v>
      </c>
      <c r="AA1938" s="137" t="s">
        <v>432</v>
      </c>
      <c r="AB1938" s="137" t="s">
        <v>432</v>
      </c>
      <c r="AC1938" s="137" t="s">
        <v>432</v>
      </c>
      <c r="AD1938" s="137" t="s">
        <v>432</v>
      </c>
      <c r="AE1938" s="137" t="s">
        <v>432</v>
      </c>
      <c r="AF1938" s="137" t="s">
        <v>432</v>
      </c>
      <c r="AG1938" s="137" t="s">
        <v>432</v>
      </c>
      <c r="AH1938" s="137" t="s">
        <v>432</v>
      </c>
      <c r="AI1938" s="137" t="s">
        <v>432</v>
      </c>
      <c r="AJ1938" s="137" t="s">
        <v>432</v>
      </c>
      <c r="AK1938" s="137" t="s">
        <v>432</v>
      </c>
      <c r="AL1938" s="601" t="s">
        <v>432</v>
      </c>
      <c r="AM1938" s="137" t="s">
        <v>432</v>
      </c>
      <c r="AN1938" s="137" t="s">
        <v>432</v>
      </c>
      <c r="AO1938" s="137" t="s">
        <v>432</v>
      </c>
      <c r="AP1938" s="137" t="s">
        <v>432</v>
      </c>
      <c r="AQ1938" s="137" t="s">
        <v>432</v>
      </c>
      <c r="AR1938" s="137" t="s">
        <v>432</v>
      </c>
      <c r="AS1938" s="137" t="s">
        <v>432</v>
      </c>
      <c r="AT1938" s="137" t="s">
        <v>432</v>
      </c>
      <c r="AU1938" s="137" t="s">
        <v>432</v>
      </c>
      <c r="AV1938" s="137" t="s">
        <v>432</v>
      </c>
      <c r="AW1938" s="137" t="s">
        <v>432</v>
      </c>
      <c r="AX1938" s="137" t="s">
        <v>432</v>
      </c>
      <c r="AY1938" s="137" t="s">
        <v>432</v>
      </c>
      <c r="AZ1938" s="137" t="s">
        <v>432</v>
      </c>
      <c r="BA1938" s="137" t="s">
        <v>432</v>
      </c>
      <c r="BB1938" s="239" t="str">
        <f t="shared" si="565"/>
        <v>Sistema de transporte coletivo com um todoacessibilidade</v>
      </c>
      <c r="BC1938" s="239" t="str">
        <f t="shared" si="566"/>
        <v>Sistema de transporte coletivo com um todoacessibilidadesigla/verbete</v>
      </c>
      <c r="BD1938" s="239" t="str">
        <f t="shared" si="567"/>
        <v>Sistema de transporte coletivo com um todosigla/verbete</v>
      </c>
    </row>
    <row r="1939" spans="1:56" s="1" customFormat="1" ht="25.5" x14ac:dyDescent="0.25">
      <c r="A1939" s="262" t="s">
        <v>432</v>
      </c>
      <c r="B1939" s="252" t="s">
        <v>742</v>
      </c>
      <c r="C1939" s="167" t="s">
        <v>432</v>
      </c>
      <c r="D1939" s="324" t="s">
        <v>323</v>
      </c>
      <c r="E1939" s="1496" t="s">
        <v>432</v>
      </c>
      <c r="F1939" s="11" t="s">
        <v>4452</v>
      </c>
      <c r="G1939" s="167" t="s">
        <v>3879</v>
      </c>
      <c r="H1939" s="167" t="s">
        <v>432</v>
      </c>
      <c r="I1939" s="167" t="s">
        <v>432</v>
      </c>
      <c r="J1939" s="107" t="s">
        <v>432</v>
      </c>
      <c r="K1939" s="107" t="s">
        <v>432</v>
      </c>
      <c r="L1939" s="107" t="s">
        <v>432</v>
      </c>
      <c r="M1939" s="107" t="s">
        <v>432</v>
      </c>
      <c r="N1939" s="107" t="s">
        <v>432</v>
      </c>
      <c r="O1939" s="107" t="s">
        <v>432</v>
      </c>
      <c r="P1939" s="107" t="s">
        <v>432</v>
      </c>
      <c r="Q1939" s="107" t="s">
        <v>432</v>
      </c>
      <c r="R1939" s="107" t="s">
        <v>432</v>
      </c>
      <c r="S1939" s="109" t="s">
        <v>2209</v>
      </c>
      <c r="T1939" s="107" t="s">
        <v>432</v>
      </c>
      <c r="U1939" s="107" t="s">
        <v>432</v>
      </c>
      <c r="V1939" s="109" t="s">
        <v>2209</v>
      </c>
      <c r="W1939" s="107" t="s">
        <v>432</v>
      </c>
      <c r="X1939" s="107" t="s">
        <v>432</v>
      </c>
      <c r="Y1939" s="107" t="s">
        <v>432</v>
      </c>
      <c r="Z1939" s="107" t="s">
        <v>432</v>
      </c>
      <c r="AA1939" s="107" t="s">
        <v>432</v>
      </c>
      <c r="AB1939" s="107" t="s">
        <v>432</v>
      </c>
      <c r="AC1939" s="107" t="s">
        <v>432</v>
      </c>
      <c r="AD1939" s="107" t="s">
        <v>432</v>
      </c>
      <c r="AE1939" s="107" t="s">
        <v>432</v>
      </c>
      <c r="AF1939" s="107" t="s">
        <v>432</v>
      </c>
      <c r="AG1939" s="107" t="s">
        <v>432</v>
      </c>
      <c r="AH1939" s="107" t="s">
        <v>432</v>
      </c>
      <c r="AI1939" s="107" t="s">
        <v>432</v>
      </c>
      <c r="AJ1939" s="108" t="s">
        <v>432</v>
      </c>
      <c r="AK1939" s="137" t="s">
        <v>432</v>
      </c>
      <c r="AL1939" s="601" t="s">
        <v>432</v>
      </c>
      <c r="AM1939" s="137" t="s">
        <v>432</v>
      </c>
      <c r="AN1939" s="137" t="s">
        <v>432</v>
      </c>
      <c r="AO1939" s="137" t="s">
        <v>432</v>
      </c>
      <c r="AP1939" s="137" t="s">
        <v>432</v>
      </c>
      <c r="AQ1939" s="137" t="s">
        <v>432</v>
      </c>
      <c r="AR1939" s="137" t="s">
        <v>432</v>
      </c>
      <c r="AS1939" s="137" t="s">
        <v>432</v>
      </c>
      <c r="AT1939" s="137" t="s">
        <v>432</v>
      </c>
      <c r="AU1939" s="137" t="s">
        <v>432</v>
      </c>
      <c r="AV1939" s="137" t="s">
        <v>432</v>
      </c>
      <c r="AW1939" s="137" t="s">
        <v>432</v>
      </c>
      <c r="AX1939" s="137" t="s">
        <v>432</v>
      </c>
      <c r="AY1939" s="137" t="s">
        <v>432</v>
      </c>
      <c r="AZ1939" s="137" t="s">
        <v>432</v>
      </c>
      <c r="BA1939" s="137" t="s">
        <v>432</v>
      </c>
      <c r="BB1939" s="239" t="str">
        <f t="shared" si="565"/>
        <v>geralx</v>
      </c>
      <c r="BC1939" s="239" t="str">
        <f t="shared" si="566"/>
        <v>geralxx</v>
      </c>
      <c r="BD1939" s="239" t="str">
        <f t="shared" si="567"/>
        <v>geralx</v>
      </c>
    </row>
    <row r="1940" spans="1:56" ht="36.75" customHeight="1" x14ac:dyDescent="0.25">
      <c r="A1940" s="275" t="str">
        <f>'Q100b-totais'!$B$65</f>
        <v>9.2</v>
      </c>
      <c r="B1940" s="53" t="str">
        <f>'Q100b-totais'!$C$65</f>
        <v>Estacionamento</v>
      </c>
      <c r="C1940" s="229" t="s">
        <v>432</v>
      </c>
      <c r="D1940" s="325" t="s">
        <v>324</v>
      </c>
      <c r="E1940" s="1512" t="s">
        <v>432</v>
      </c>
      <c r="F1940" s="15" t="s">
        <v>424</v>
      </c>
      <c r="G1940" s="168" t="s">
        <v>1587</v>
      </c>
      <c r="H1940" s="173" t="s">
        <v>2408</v>
      </c>
      <c r="I1940" s="167" t="s">
        <v>432</v>
      </c>
      <c r="J1940" s="109" t="s">
        <v>432</v>
      </c>
      <c r="K1940" s="109" t="s">
        <v>432</v>
      </c>
      <c r="L1940" s="109" t="s">
        <v>432</v>
      </c>
      <c r="M1940" s="109" t="s">
        <v>432</v>
      </c>
      <c r="N1940" s="109" t="s">
        <v>432</v>
      </c>
      <c r="O1940" s="109" t="s">
        <v>432</v>
      </c>
      <c r="P1940" s="109" t="s">
        <v>432</v>
      </c>
      <c r="Q1940" s="109" t="s">
        <v>432</v>
      </c>
      <c r="R1940" s="109" t="s">
        <v>432</v>
      </c>
      <c r="S1940" s="109" t="s">
        <v>2209</v>
      </c>
      <c r="T1940" s="109" t="s">
        <v>432</v>
      </c>
      <c r="U1940" s="109" t="s">
        <v>432</v>
      </c>
      <c r="V1940" s="109" t="s">
        <v>2209</v>
      </c>
      <c r="W1940" s="109" t="s">
        <v>432</v>
      </c>
      <c r="X1940" s="109" t="s">
        <v>432</v>
      </c>
      <c r="Y1940" s="109" t="s">
        <v>432</v>
      </c>
      <c r="Z1940" s="109" t="s">
        <v>432</v>
      </c>
      <c r="AA1940" s="109" t="s">
        <v>432</v>
      </c>
      <c r="AB1940" s="109" t="s">
        <v>432</v>
      </c>
      <c r="AC1940" s="109" t="s">
        <v>432</v>
      </c>
      <c r="AD1940" s="109" t="s">
        <v>432</v>
      </c>
      <c r="AE1940" s="109" t="s">
        <v>432</v>
      </c>
      <c r="AF1940" s="109" t="s">
        <v>432</v>
      </c>
      <c r="AG1940" s="109" t="s">
        <v>432</v>
      </c>
      <c r="AH1940" s="109" t="s">
        <v>432</v>
      </c>
      <c r="AI1940" s="109" t="s">
        <v>432</v>
      </c>
      <c r="AJ1940" s="109" t="s">
        <v>432</v>
      </c>
      <c r="AK1940" s="137" t="s">
        <v>432</v>
      </c>
      <c r="AL1940" s="601" t="s">
        <v>432</v>
      </c>
      <c r="AM1940" s="137" t="s">
        <v>432</v>
      </c>
      <c r="AN1940" s="137" t="s">
        <v>432</v>
      </c>
      <c r="AO1940" s="137" t="s">
        <v>432</v>
      </c>
      <c r="AP1940" s="137" t="s">
        <v>432</v>
      </c>
      <c r="AQ1940" s="137" t="s">
        <v>432</v>
      </c>
      <c r="AR1940" s="137" t="s">
        <v>432</v>
      </c>
      <c r="AS1940" s="137" t="s">
        <v>432</v>
      </c>
      <c r="AT1940" s="137" t="s">
        <v>432</v>
      </c>
      <c r="AU1940" s="137" t="s">
        <v>432</v>
      </c>
      <c r="AV1940" s="137" t="s">
        <v>432</v>
      </c>
      <c r="AW1940" s="137" t="s">
        <v>432</v>
      </c>
      <c r="AX1940" s="137" t="s">
        <v>432</v>
      </c>
      <c r="AY1940" s="137" t="s">
        <v>432</v>
      </c>
      <c r="AZ1940" s="137" t="s">
        <v>432</v>
      </c>
      <c r="BA1940" s="137" t="s">
        <v>432</v>
      </c>
      <c r="BB1940" s="239" t="str">
        <f t="shared" si="565"/>
        <v>Estacionamentox</v>
      </c>
      <c r="BC1940" s="239" t="str">
        <f t="shared" si="566"/>
        <v>Estacionamentoxsigla/verbete</v>
      </c>
      <c r="BD1940" s="239" t="str">
        <f t="shared" si="567"/>
        <v>Estacionamentosigla/verbete</v>
      </c>
    </row>
    <row r="1941" spans="1:56" s="1" customFormat="1" ht="21" customHeight="1" x14ac:dyDescent="0.25">
      <c r="A1941" s="262" t="str">
        <f>'Q100b-totais'!B56</f>
        <v>8.4</v>
      </c>
      <c r="B1941" s="252" t="str">
        <f>'Q100b-totais'!C56</f>
        <v>Táxi</v>
      </c>
      <c r="C1941" s="167" t="s">
        <v>432</v>
      </c>
      <c r="D1941" s="324" t="s">
        <v>325</v>
      </c>
      <c r="E1941" s="1496" t="s">
        <v>432</v>
      </c>
      <c r="F1941" s="11" t="s">
        <v>2681</v>
      </c>
      <c r="G1941" s="167" t="s">
        <v>3879</v>
      </c>
      <c r="H1941" s="167" t="s">
        <v>432</v>
      </c>
      <c r="I1941" s="167" t="s">
        <v>432</v>
      </c>
      <c r="J1941" s="109" t="s">
        <v>432</v>
      </c>
      <c r="K1941" s="109" t="s">
        <v>432</v>
      </c>
      <c r="L1941" s="109" t="s">
        <v>432</v>
      </c>
      <c r="M1941" s="109" t="s">
        <v>432</v>
      </c>
      <c r="N1941" s="109" t="s">
        <v>432</v>
      </c>
      <c r="O1941" s="109" t="s">
        <v>432</v>
      </c>
      <c r="P1941" s="109" t="s">
        <v>432</v>
      </c>
      <c r="Q1941" s="109" t="s">
        <v>432</v>
      </c>
      <c r="R1941" s="109" t="s">
        <v>432</v>
      </c>
      <c r="S1941" s="109" t="s">
        <v>2209</v>
      </c>
      <c r="T1941" s="109" t="s">
        <v>432</v>
      </c>
      <c r="U1941" s="109" t="s">
        <v>432</v>
      </c>
      <c r="V1941" s="109" t="s">
        <v>2209</v>
      </c>
      <c r="W1941" s="109" t="s">
        <v>432</v>
      </c>
      <c r="X1941" s="109" t="s">
        <v>432</v>
      </c>
      <c r="Y1941" s="109" t="s">
        <v>432</v>
      </c>
      <c r="Z1941" s="109" t="s">
        <v>432</v>
      </c>
      <c r="AA1941" s="109" t="s">
        <v>432</v>
      </c>
      <c r="AB1941" s="109" t="s">
        <v>432</v>
      </c>
      <c r="AC1941" s="109" t="s">
        <v>432</v>
      </c>
      <c r="AD1941" s="109" t="s">
        <v>432</v>
      </c>
      <c r="AE1941" s="109" t="s">
        <v>432</v>
      </c>
      <c r="AF1941" s="109" t="s">
        <v>432</v>
      </c>
      <c r="AG1941" s="109" t="s">
        <v>432</v>
      </c>
      <c r="AH1941" s="109" t="s">
        <v>432</v>
      </c>
      <c r="AI1941" s="109" t="s">
        <v>432</v>
      </c>
      <c r="AJ1941" s="109" t="s">
        <v>432</v>
      </c>
      <c r="AK1941" s="137" t="s">
        <v>432</v>
      </c>
      <c r="AL1941" s="601" t="s">
        <v>432</v>
      </c>
      <c r="AM1941" s="137" t="s">
        <v>432</v>
      </c>
      <c r="AN1941" s="137" t="s">
        <v>432</v>
      </c>
      <c r="AO1941" s="137" t="s">
        <v>432</v>
      </c>
      <c r="AP1941" s="137" t="s">
        <v>432</v>
      </c>
      <c r="AQ1941" s="137" t="s">
        <v>432</v>
      </c>
      <c r="AR1941" s="137" t="s">
        <v>432</v>
      </c>
      <c r="AS1941" s="137" t="s">
        <v>432</v>
      </c>
      <c r="AT1941" s="137" t="s">
        <v>432</v>
      </c>
      <c r="AU1941" s="137" t="s">
        <v>432</v>
      </c>
      <c r="AV1941" s="137" t="s">
        <v>432</v>
      </c>
      <c r="AW1941" s="137" t="s">
        <v>432</v>
      </c>
      <c r="AX1941" s="137" t="s">
        <v>432</v>
      </c>
      <c r="AY1941" s="137" t="s">
        <v>432</v>
      </c>
      <c r="AZ1941" s="137" t="s">
        <v>432</v>
      </c>
      <c r="BA1941" s="137" t="s">
        <v>432</v>
      </c>
      <c r="BB1941" s="239" t="str">
        <f t="shared" si="565"/>
        <v>Táxix</v>
      </c>
      <c r="BC1941" s="239" t="str">
        <f t="shared" si="566"/>
        <v>Táxixx</v>
      </c>
      <c r="BD1941" s="239" t="str">
        <f t="shared" si="567"/>
        <v>Táxix</v>
      </c>
    </row>
    <row r="1942" spans="1:56" s="1" customFormat="1" ht="38.25" customHeight="1" x14ac:dyDescent="0.25">
      <c r="A1942" s="262" t="str">
        <f>'Q100b-totais'!B67</f>
        <v>9.4</v>
      </c>
      <c r="B1942" s="252" t="str">
        <f>'Q100b-totais'!C67</f>
        <v>Sinalização estatigráfica</v>
      </c>
      <c r="C1942" s="167" t="s">
        <v>743</v>
      </c>
      <c r="D1942" s="324" t="s">
        <v>3391</v>
      </c>
      <c r="E1942" s="1496" t="s">
        <v>1767</v>
      </c>
      <c r="F1942" s="11" t="s">
        <v>3393</v>
      </c>
      <c r="G1942" s="230" t="s">
        <v>3507</v>
      </c>
      <c r="H1942" s="167" t="s">
        <v>2408</v>
      </c>
      <c r="I1942" s="167" t="s">
        <v>432</v>
      </c>
      <c r="J1942" s="137" t="s">
        <v>432</v>
      </c>
      <c r="K1942" s="137" t="s">
        <v>432</v>
      </c>
      <c r="L1942" s="137" t="s">
        <v>432</v>
      </c>
      <c r="M1942" s="137" t="s">
        <v>432</v>
      </c>
      <c r="N1942" s="137" t="s">
        <v>432</v>
      </c>
      <c r="O1942" s="137" t="s">
        <v>432</v>
      </c>
      <c r="P1942" s="137" t="s">
        <v>432</v>
      </c>
      <c r="Q1942" s="137" t="s">
        <v>432</v>
      </c>
      <c r="R1942" s="137" t="s">
        <v>432</v>
      </c>
      <c r="S1942" s="109" t="s">
        <v>2209</v>
      </c>
      <c r="T1942" s="137" t="s">
        <v>432</v>
      </c>
      <c r="U1942" s="137" t="s">
        <v>432</v>
      </c>
      <c r="V1942" s="109" t="s">
        <v>2209</v>
      </c>
      <c r="W1942" s="137" t="s">
        <v>432</v>
      </c>
      <c r="X1942" s="137" t="s">
        <v>432</v>
      </c>
      <c r="Y1942" s="137" t="s">
        <v>432</v>
      </c>
      <c r="Z1942" s="137" t="s">
        <v>432</v>
      </c>
      <c r="AA1942" s="137" t="s">
        <v>432</v>
      </c>
      <c r="AB1942" s="137" t="s">
        <v>432</v>
      </c>
      <c r="AC1942" s="137" t="s">
        <v>432</v>
      </c>
      <c r="AD1942" s="137" t="s">
        <v>432</v>
      </c>
      <c r="AE1942" s="137" t="s">
        <v>432</v>
      </c>
      <c r="AF1942" s="137" t="s">
        <v>432</v>
      </c>
      <c r="AG1942" s="137" t="s">
        <v>432</v>
      </c>
      <c r="AH1942" s="137" t="s">
        <v>432</v>
      </c>
      <c r="AI1942" s="137" t="s">
        <v>432</v>
      </c>
      <c r="AJ1942" s="137" t="s">
        <v>432</v>
      </c>
      <c r="AK1942" s="137" t="s">
        <v>432</v>
      </c>
      <c r="AL1942" s="601" t="s">
        <v>432</v>
      </c>
      <c r="AM1942" s="137" t="s">
        <v>432</v>
      </c>
      <c r="AN1942" s="137" t="s">
        <v>432</v>
      </c>
      <c r="AO1942" s="137" t="s">
        <v>432</v>
      </c>
      <c r="AP1942" s="137" t="s">
        <v>432</v>
      </c>
      <c r="AQ1942" s="137" t="s">
        <v>432</v>
      </c>
      <c r="AR1942" s="137" t="s">
        <v>432</v>
      </c>
      <c r="AS1942" s="137" t="s">
        <v>432</v>
      </c>
      <c r="AT1942" s="137" t="s">
        <v>432</v>
      </c>
      <c r="AU1942" s="137" t="s">
        <v>432</v>
      </c>
      <c r="AV1942" s="137" t="s">
        <v>432</v>
      </c>
      <c r="AW1942" s="137" t="s">
        <v>432</v>
      </c>
      <c r="AX1942" s="137" t="s">
        <v>432</v>
      </c>
      <c r="AY1942" s="137" t="s">
        <v>432</v>
      </c>
      <c r="AZ1942" s="137" t="s">
        <v>432</v>
      </c>
      <c r="BA1942" s="137" t="s">
        <v>432</v>
      </c>
      <c r="BB1942" s="239" t="str">
        <f t="shared" si="565"/>
        <v>Sinalização estatigráficaacessibilidade</v>
      </c>
      <c r="BC1942" s="239" t="str">
        <f t="shared" si="566"/>
        <v>Sinalização estatigráficaacessibilidadesigla/verbete</v>
      </c>
      <c r="BD1942" s="239" t="str">
        <f t="shared" si="567"/>
        <v>Sinalização estatigráficasigla/verbete</v>
      </c>
    </row>
    <row r="1943" spans="1:56" s="1" customFormat="1" ht="34.5" customHeight="1" x14ac:dyDescent="0.25">
      <c r="A1943" s="262" t="str">
        <f>'Q100b-totais'!B24</f>
        <v>3.1</v>
      </c>
      <c r="B1943" s="252" t="str">
        <f>'Q100b-totais'!C24</f>
        <v>Normas produzidas</v>
      </c>
      <c r="C1943" s="167" t="s">
        <v>432</v>
      </c>
      <c r="D1943" s="324" t="s">
        <v>5315</v>
      </c>
      <c r="E1943" s="1496" t="s">
        <v>5317</v>
      </c>
      <c r="F1943" s="1205" t="s">
        <v>5454</v>
      </c>
      <c r="G1943" s="230" t="s">
        <v>3507</v>
      </c>
      <c r="H1943" s="167" t="s">
        <v>2408</v>
      </c>
      <c r="I1943" s="167" t="s">
        <v>432</v>
      </c>
      <c r="J1943" s="137" t="s">
        <v>432</v>
      </c>
      <c r="K1943" s="137" t="s">
        <v>432</v>
      </c>
      <c r="L1943" s="137" t="s">
        <v>432</v>
      </c>
      <c r="M1943" s="137" t="s">
        <v>432</v>
      </c>
      <c r="N1943" s="137" t="s">
        <v>432</v>
      </c>
      <c r="O1943" s="137" t="s">
        <v>432</v>
      </c>
      <c r="P1943" s="137" t="s">
        <v>432</v>
      </c>
      <c r="Q1943" s="137" t="s">
        <v>432</v>
      </c>
      <c r="R1943" s="137" t="s">
        <v>432</v>
      </c>
      <c r="S1943" s="109" t="s">
        <v>2209</v>
      </c>
      <c r="T1943" s="137" t="s">
        <v>432</v>
      </c>
      <c r="U1943" s="137" t="s">
        <v>432</v>
      </c>
      <c r="V1943" s="109" t="s">
        <v>2209</v>
      </c>
      <c r="W1943" s="137" t="s">
        <v>432</v>
      </c>
      <c r="X1943" s="137" t="s">
        <v>432</v>
      </c>
      <c r="Y1943" s="137" t="s">
        <v>432</v>
      </c>
      <c r="Z1943" s="137" t="s">
        <v>432</v>
      </c>
      <c r="AA1943" s="137" t="s">
        <v>432</v>
      </c>
      <c r="AB1943" s="137" t="s">
        <v>432</v>
      </c>
      <c r="AC1943" s="137" t="s">
        <v>432</v>
      </c>
      <c r="AD1943" s="137" t="s">
        <v>432</v>
      </c>
      <c r="AE1943" s="137" t="s">
        <v>432</v>
      </c>
      <c r="AF1943" s="137" t="s">
        <v>432</v>
      </c>
      <c r="AG1943" s="137" t="s">
        <v>432</v>
      </c>
      <c r="AH1943" s="137" t="s">
        <v>432</v>
      </c>
      <c r="AI1943" s="137" t="s">
        <v>432</v>
      </c>
      <c r="AJ1943" s="137" t="s">
        <v>432</v>
      </c>
      <c r="AK1943" s="137" t="s">
        <v>432</v>
      </c>
      <c r="AL1943" s="601" t="s">
        <v>432</v>
      </c>
      <c r="AM1943" s="137" t="s">
        <v>432</v>
      </c>
      <c r="AN1943" s="137" t="s">
        <v>432</v>
      </c>
      <c r="AO1943" s="137" t="s">
        <v>432</v>
      </c>
      <c r="AP1943" s="137" t="s">
        <v>432</v>
      </c>
      <c r="AQ1943" s="137" t="s">
        <v>432</v>
      </c>
      <c r="AR1943" s="137" t="s">
        <v>432</v>
      </c>
      <c r="AS1943" s="137" t="s">
        <v>432</v>
      </c>
      <c r="AT1943" s="137" t="s">
        <v>432</v>
      </c>
      <c r="AU1943" s="137" t="s">
        <v>432</v>
      </c>
      <c r="AV1943" s="137" t="s">
        <v>432</v>
      </c>
      <c r="AW1943" s="137" t="s">
        <v>432</v>
      </c>
      <c r="AX1943" s="137" t="s">
        <v>432</v>
      </c>
      <c r="AY1943" s="137" t="s">
        <v>432</v>
      </c>
      <c r="AZ1943" s="137" t="s">
        <v>432</v>
      </c>
      <c r="BA1943" s="137" t="s">
        <v>432</v>
      </c>
      <c r="BB1943" s="239" t="str">
        <f t="shared" si="565"/>
        <v>Normas produzidasx</v>
      </c>
      <c r="BC1943" s="239" t="str">
        <f t="shared" si="566"/>
        <v>Normas produzidasxsigla/verbete</v>
      </c>
      <c r="BD1943" s="239" t="str">
        <f t="shared" si="567"/>
        <v>Normas produzidassigla/verbete</v>
      </c>
    </row>
    <row r="1944" spans="1:56" s="1" customFormat="1" ht="88.5" customHeight="1" x14ac:dyDescent="0.25">
      <c r="A1944" s="262" t="str">
        <f>'Q100b-totais'!B62</f>
        <v>8.10</v>
      </c>
      <c r="B1944" s="252" t="str">
        <f>'Q100b-totais'!C62</f>
        <v>Sistema de transporte coletivo com um todo</v>
      </c>
      <c r="C1944" s="167" t="s">
        <v>743</v>
      </c>
      <c r="D1944" s="324" t="s">
        <v>3170</v>
      </c>
      <c r="E1944" s="1496" t="s">
        <v>1767</v>
      </c>
      <c r="F1944" s="11" t="s">
        <v>5108</v>
      </c>
      <c r="G1944" s="230" t="s">
        <v>3507</v>
      </c>
      <c r="H1944" s="167" t="s">
        <v>2408</v>
      </c>
      <c r="I1944" s="167" t="s">
        <v>432</v>
      </c>
      <c r="J1944" s="137" t="s">
        <v>432</v>
      </c>
      <c r="K1944" s="137" t="s">
        <v>432</v>
      </c>
      <c r="L1944" s="137" t="s">
        <v>432</v>
      </c>
      <c r="M1944" s="137" t="s">
        <v>432</v>
      </c>
      <c r="N1944" s="137" t="s">
        <v>432</v>
      </c>
      <c r="O1944" s="137" t="s">
        <v>432</v>
      </c>
      <c r="P1944" s="137" t="s">
        <v>432</v>
      </c>
      <c r="Q1944" s="137" t="s">
        <v>432</v>
      </c>
      <c r="R1944" s="137" t="s">
        <v>432</v>
      </c>
      <c r="S1944" s="109" t="s">
        <v>2209</v>
      </c>
      <c r="T1944" s="137" t="s">
        <v>432</v>
      </c>
      <c r="U1944" s="137" t="s">
        <v>432</v>
      </c>
      <c r="V1944" s="109" t="s">
        <v>2209</v>
      </c>
      <c r="W1944" s="137" t="s">
        <v>432</v>
      </c>
      <c r="X1944" s="137" t="s">
        <v>432</v>
      </c>
      <c r="Y1944" s="137" t="s">
        <v>432</v>
      </c>
      <c r="Z1944" s="137" t="s">
        <v>432</v>
      </c>
      <c r="AA1944" s="137" t="s">
        <v>432</v>
      </c>
      <c r="AB1944" s="137" t="s">
        <v>432</v>
      </c>
      <c r="AC1944" s="137" t="s">
        <v>432</v>
      </c>
      <c r="AD1944" s="137" t="s">
        <v>432</v>
      </c>
      <c r="AE1944" s="137" t="s">
        <v>432</v>
      </c>
      <c r="AF1944" s="137" t="s">
        <v>432</v>
      </c>
      <c r="AG1944" s="137" t="s">
        <v>432</v>
      </c>
      <c r="AH1944" s="137" t="s">
        <v>432</v>
      </c>
      <c r="AI1944" s="137" t="s">
        <v>432</v>
      </c>
      <c r="AJ1944" s="137" t="s">
        <v>432</v>
      </c>
      <c r="AK1944" s="137" t="s">
        <v>432</v>
      </c>
      <c r="AL1944" s="601" t="s">
        <v>432</v>
      </c>
      <c r="AM1944" s="137" t="s">
        <v>432</v>
      </c>
      <c r="AN1944" s="137" t="s">
        <v>432</v>
      </c>
      <c r="AO1944" s="137" t="s">
        <v>432</v>
      </c>
      <c r="AP1944" s="137" t="s">
        <v>432</v>
      </c>
      <c r="AQ1944" s="137" t="s">
        <v>432</v>
      </c>
      <c r="AR1944" s="137" t="s">
        <v>432</v>
      </c>
      <c r="AS1944" s="137" t="s">
        <v>432</v>
      </c>
      <c r="AT1944" s="137" t="s">
        <v>432</v>
      </c>
      <c r="AU1944" s="137" t="s">
        <v>432</v>
      </c>
      <c r="AV1944" s="137" t="s">
        <v>432</v>
      </c>
      <c r="AW1944" s="137" t="s">
        <v>432</v>
      </c>
      <c r="AX1944" s="137" t="s">
        <v>432</v>
      </c>
      <c r="AY1944" s="137" t="s">
        <v>432</v>
      </c>
      <c r="AZ1944" s="137" t="s">
        <v>432</v>
      </c>
      <c r="BA1944" s="137" t="s">
        <v>432</v>
      </c>
      <c r="BB1944" s="239" t="str">
        <f t="shared" si="565"/>
        <v>Sistema de transporte coletivo com um todoacessibilidade</v>
      </c>
      <c r="BC1944" s="239" t="str">
        <f t="shared" si="566"/>
        <v>Sistema de transporte coletivo com um todoacessibilidadesigla/verbete</v>
      </c>
      <c r="BD1944" s="239" t="str">
        <f t="shared" si="567"/>
        <v>Sistema de transporte coletivo com um todosigla/verbete</v>
      </c>
    </row>
    <row r="1945" spans="1:56" s="1" customFormat="1" ht="88.5" customHeight="1" x14ac:dyDescent="0.25">
      <c r="A1945" s="262" t="str">
        <f>'Q100b-totais'!B62</f>
        <v>8.10</v>
      </c>
      <c r="B1945" s="252" t="str">
        <f>'Q100b-totais'!C62</f>
        <v>Sistema de transporte coletivo com um todo</v>
      </c>
      <c r="C1945" s="167" t="s">
        <v>743</v>
      </c>
      <c r="D1945" s="324" t="s">
        <v>3171</v>
      </c>
      <c r="E1945" s="1496" t="s">
        <v>1767</v>
      </c>
      <c r="F1945" s="11" t="s">
        <v>5092</v>
      </c>
      <c r="G1945" s="230" t="s">
        <v>3507</v>
      </c>
      <c r="H1945" s="167" t="s">
        <v>2408</v>
      </c>
      <c r="I1945" s="167" t="s">
        <v>432</v>
      </c>
      <c r="J1945" s="137" t="s">
        <v>432</v>
      </c>
      <c r="K1945" s="137" t="s">
        <v>432</v>
      </c>
      <c r="L1945" s="137" t="s">
        <v>432</v>
      </c>
      <c r="M1945" s="137" t="s">
        <v>432</v>
      </c>
      <c r="N1945" s="137" t="s">
        <v>432</v>
      </c>
      <c r="O1945" s="137" t="s">
        <v>432</v>
      </c>
      <c r="P1945" s="137" t="s">
        <v>432</v>
      </c>
      <c r="Q1945" s="137" t="s">
        <v>432</v>
      </c>
      <c r="R1945" s="137" t="s">
        <v>432</v>
      </c>
      <c r="S1945" s="109" t="s">
        <v>2209</v>
      </c>
      <c r="T1945" s="137" t="s">
        <v>432</v>
      </c>
      <c r="U1945" s="137" t="s">
        <v>432</v>
      </c>
      <c r="V1945" s="109" t="s">
        <v>2209</v>
      </c>
      <c r="W1945" s="137" t="s">
        <v>432</v>
      </c>
      <c r="X1945" s="137" t="s">
        <v>432</v>
      </c>
      <c r="Y1945" s="137" t="s">
        <v>432</v>
      </c>
      <c r="Z1945" s="137" t="s">
        <v>432</v>
      </c>
      <c r="AA1945" s="137" t="s">
        <v>432</v>
      </c>
      <c r="AB1945" s="137" t="s">
        <v>432</v>
      </c>
      <c r="AC1945" s="137" t="s">
        <v>432</v>
      </c>
      <c r="AD1945" s="137" t="s">
        <v>432</v>
      </c>
      <c r="AE1945" s="137" t="s">
        <v>432</v>
      </c>
      <c r="AF1945" s="137" t="s">
        <v>432</v>
      </c>
      <c r="AG1945" s="137" t="s">
        <v>432</v>
      </c>
      <c r="AH1945" s="137" t="s">
        <v>432</v>
      </c>
      <c r="AI1945" s="137" t="s">
        <v>432</v>
      </c>
      <c r="AJ1945" s="137" t="s">
        <v>432</v>
      </c>
      <c r="AK1945" s="137" t="s">
        <v>432</v>
      </c>
      <c r="AL1945" s="601" t="s">
        <v>432</v>
      </c>
      <c r="AM1945" s="137" t="s">
        <v>432</v>
      </c>
      <c r="AN1945" s="137" t="s">
        <v>432</v>
      </c>
      <c r="AO1945" s="137" t="s">
        <v>432</v>
      </c>
      <c r="AP1945" s="137" t="s">
        <v>432</v>
      </c>
      <c r="AQ1945" s="137" t="s">
        <v>432</v>
      </c>
      <c r="AR1945" s="137" t="s">
        <v>432</v>
      </c>
      <c r="AS1945" s="137" t="s">
        <v>432</v>
      </c>
      <c r="AT1945" s="137" t="s">
        <v>432</v>
      </c>
      <c r="AU1945" s="137" t="s">
        <v>432</v>
      </c>
      <c r="AV1945" s="137" t="s">
        <v>432</v>
      </c>
      <c r="AW1945" s="137" t="s">
        <v>432</v>
      </c>
      <c r="AX1945" s="137" t="s">
        <v>432</v>
      </c>
      <c r="AY1945" s="137" t="s">
        <v>432</v>
      </c>
      <c r="AZ1945" s="137" t="s">
        <v>432</v>
      </c>
      <c r="BA1945" s="137" t="s">
        <v>432</v>
      </c>
      <c r="BB1945" s="239" t="str">
        <f t="shared" si="565"/>
        <v>Sistema de transporte coletivo com um todoacessibilidade</v>
      </c>
      <c r="BC1945" s="239" t="str">
        <f t="shared" si="566"/>
        <v>Sistema de transporte coletivo com um todoacessibilidadesigla/verbete</v>
      </c>
      <c r="BD1945" s="239" t="str">
        <f t="shared" si="567"/>
        <v>Sistema de transporte coletivo com um todosigla/verbete</v>
      </c>
    </row>
    <row r="1946" spans="1:56" s="1" customFormat="1" ht="51" x14ac:dyDescent="0.25">
      <c r="A1946" s="262" t="str">
        <f>'Q100b-totais'!B62</f>
        <v>8.10</v>
      </c>
      <c r="B1946" s="252" t="str">
        <f>'Q100b-totais'!C62</f>
        <v>Sistema de transporte coletivo com um todo</v>
      </c>
      <c r="C1946" s="167" t="s">
        <v>743</v>
      </c>
      <c r="D1946" s="324" t="s">
        <v>3171</v>
      </c>
      <c r="E1946" s="1496" t="s">
        <v>3010</v>
      </c>
      <c r="F1946" s="11" t="s">
        <v>3819</v>
      </c>
      <c r="G1946" s="230" t="s">
        <v>3507</v>
      </c>
      <c r="H1946" s="167" t="s">
        <v>2408</v>
      </c>
      <c r="I1946" s="167" t="s">
        <v>432</v>
      </c>
      <c r="J1946" s="137" t="s">
        <v>432</v>
      </c>
      <c r="K1946" s="137" t="s">
        <v>432</v>
      </c>
      <c r="L1946" s="137" t="s">
        <v>432</v>
      </c>
      <c r="M1946" s="137" t="s">
        <v>432</v>
      </c>
      <c r="N1946" s="137" t="s">
        <v>432</v>
      </c>
      <c r="O1946" s="137" t="s">
        <v>432</v>
      </c>
      <c r="P1946" s="137" t="s">
        <v>432</v>
      </c>
      <c r="Q1946" s="137" t="s">
        <v>432</v>
      </c>
      <c r="R1946" s="137" t="s">
        <v>432</v>
      </c>
      <c r="S1946" s="109" t="s">
        <v>2209</v>
      </c>
      <c r="T1946" s="137" t="s">
        <v>432</v>
      </c>
      <c r="U1946" s="137" t="s">
        <v>432</v>
      </c>
      <c r="V1946" s="109" t="s">
        <v>2209</v>
      </c>
      <c r="W1946" s="137" t="s">
        <v>432</v>
      </c>
      <c r="X1946" s="137" t="s">
        <v>432</v>
      </c>
      <c r="Y1946" s="137" t="s">
        <v>432</v>
      </c>
      <c r="Z1946" s="137" t="s">
        <v>432</v>
      </c>
      <c r="AA1946" s="137" t="s">
        <v>432</v>
      </c>
      <c r="AB1946" s="137" t="s">
        <v>432</v>
      </c>
      <c r="AC1946" s="137" t="s">
        <v>432</v>
      </c>
      <c r="AD1946" s="137" t="s">
        <v>432</v>
      </c>
      <c r="AE1946" s="137" t="s">
        <v>432</v>
      </c>
      <c r="AF1946" s="137" t="s">
        <v>432</v>
      </c>
      <c r="AG1946" s="137" t="s">
        <v>432</v>
      </c>
      <c r="AH1946" s="137" t="s">
        <v>432</v>
      </c>
      <c r="AI1946" s="137" t="s">
        <v>432</v>
      </c>
      <c r="AJ1946" s="137" t="s">
        <v>432</v>
      </c>
      <c r="AK1946" s="137" t="s">
        <v>432</v>
      </c>
      <c r="AL1946" s="601" t="s">
        <v>432</v>
      </c>
      <c r="AM1946" s="137" t="s">
        <v>432</v>
      </c>
      <c r="AN1946" s="137" t="s">
        <v>432</v>
      </c>
      <c r="AO1946" s="137" t="s">
        <v>432</v>
      </c>
      <c r="AP1946" s="137" t="s">
        <v>432</v>
      </c>
      <c r="AQ1946" s="137" t="s">
        <v>432</v>
      </c>
      <c r="AR1946" s="137" t="s">
        <v>432</v>
      </c>
      <c r="AS1946" s="137" t="s">
        <v>432</v>
      </c>
      <c r="AT1946" s="137" t="s">
        <v>432</v>
      </c>
      <c r="AU1946" s="137" t="s">
        <v>432</v>
      </c>
      <c r="AV1946" s="137" t="s">
        <v>432</v>
      </c>
      <c r="AW1946" s="137" t="s">
        <v>432</v>
      </c>
      <c r="AX1946" s="137" t="s">
        <v>432</v>
      </c>
      <c r="AY1946" s="137" t="s">
        <v>432</v>
      </c>
      <c r="AZ1946" s="137" t="s">
        <v>432</v>
      </c>
      <c r="BA1946" s="137" t="s">
        <v>432</v>
      </c>
      <c r="BB1946" s="239" t="str">
        <f t="shared" ref="BB1946:BB1951" si="571">B1946&amp;C1946</f>
        <v>Sistema de transporte coletivo com um todoacessibilidade</v>
      </c>
      <c r="BC1946" s="239" t="str">
        <f t="shared" ref="BC1946:BC1951" si="572">B1946&amp;C1946&amp;H1946</f>
        <v>Sistema de transporte coletivo com um todoacessibilidadesigla/verbete</v>
      </c>
      <c r="BD1946" s="239" t="str">
        <f t="shared" ref="BD1946:BD1951" si="573">B1946&amp;H1946</f>
        <v>Sistema de transporte coletivo com um todosigla/verbete</v>
      </c>
    </row>
    <row r="1947" spans="1:56" s="1" customFormat="1" ht="179.25" customHeight="1" x14ac:dyDescent="0.25">
      <c r="A1947" s="262" t="str">
        <f>'Q100b-totais'!B62</f>
        <v>8.10</v>
      </c>
      <c r="B1947" s="252" t="str">
        <f>'Q100b-totais'!C62</f>
        <v>Sistema de transporte coletivo com um todo</v>
      </c>
      <c r="C1947" s="167" t="s">
        <v>743</v>
      </c>
      <c r="D1947" s="324" t="s">
        <v>3171</v>
      </c>
      <c r="E1947" s="1496" t="s">
        <v>1705</v>
      </c>
      <c r="F1947" s="5" t="s">
        <v>3480</v>
      </c>
      <c r="G1947" s="230" t="s">
        <v>3507</v>
      </c>
      <c r="H1947" s="167" t="s">
        <v>2408</v>
      </c>
      <c r="I1947" s="167" t="s">
        <v>432</v>
      </c>
      <c r="J1947" s="137" t="s">
        <v>432</v>
      </c>
      <c r="K1947" s="137" t="s">
        <v>432</v>
      </c>
      <c r="L1947" s="137" t="s">
        <v>432</v>
      </c>
      <c r="M1947" s="137" t="s">
        <v>432</v>
      </c>
      <c r="N1947" s="137" t="s">
        <v>432</v>
      </c>
      <c r="O1947" s="137" t="s">
        <v>432</v>
      </c>
      <c r="P1947" s="137" t="s">
        <v>432</v>
      </c>
      <c r="Q1947" s="137" t="s">
        <v>432</v>
      </c>
      <c r="R1947" s="137" t="s">
        <v>432</v>
      </c>
      <c r="S1947" s="109" t="s">
        <v>2209</v>
      </c>
      <c r="T1947" s="137" t="s">
        <v>432</v>
      </c>
      <c r="U1947" s="137" t="s">
        <v>432</v>
      </c>
      <c r="V1947" s="109" t="s">
        <v>2209</v>
      </c>
      <c r="W1947" s="137" t="s">
        <v>432</v>
      </c>
      <c r="X1947" s="137" t="s">
        <v>432</v>
      </c>
      <c r="Y1947" s="137" t="s">
        <v>432</v>
      </c>
      <c r="Z1947" s="137" t="s">
        <v>432</v>
      </c>
      <c r="AA1947" s="137" t="s">
        <v>432</v>
      </c>
      <c r="AB1947" s="137" t="s">
        <v>432</v>
      </c>
      <c r="AC1947" s="137" t="s">
        <v>432</v>
      </c>
      <c r="AD1947" s="137" t="s">
        <v>432</v>
      </c>
      <c r="AE1947" s="137" t="s">
        <v>432</v>
      </c>
      <c r="AF1947" s="137" t="s">
        <v>432</v>
      </c>
      <c r="AG1947" s="137" t="s">
        <v>432</v>
      </c>
      <c r="AH1947" s="137" t="s">
        <v>432</v>
      </c>
      <c r="AI1947" s="137" t="s">
        <v>432</v>
      </c>
      <c r="AJ1947" s="137" t="s">
        <v>432</v>
      </c>
      <c r="AK1947" s="137" t="s">
        <v>432</v>
      </c>
      <c r="AL1947" s="601" t="s">
        <v>432</v>
      </c>
      <c r="AM1947" s="137" t="s">
        <v>432</v>
      </c>
      <c r="AN1947" s="137" t="s">
        <v>432</v>
      </c>
      <c r="AO1947" s="137" t="s">
        <v>432</v>
      </c>
      <c r="AP1947" s="137" t="s">
        <v>432</v>
      </c>
      <c r="AQ1947" s="137" t="s">
        <v>432</v>
      </c>
      <c r="AR1947" s="137" t="s">
        <v>432</v>
      </c>
      <c r="AS1947" s="137" t="s">
        <v>432</v>
      </c>
      <c r="AT1947" s="137" t="s">
        <v>432</v>
      </c>
      <c r="AU1947" s="137" t="s">
        <v>432</v>
      </c>
      <c r="AV1947" s="137" t="s">
        <v>432</v>
      </c>
      <c r="AW1947" s="137" t="s">
        <v>432</v>
      </c>
      <c r="AX1947" s="137" t="s">
        <v>432</v>
      </c>
      <c r="AY1947" s="137" t="s">
        <v>432</v>
      </c>
      <c r="AZ1947" s="137" t="s">
        <v>432</v>
      </c>
      <c r="BA1947" s="137" t="s">
        <v>432</v>
      </c>
      <c r="BB1947" s="239" t="str">
        <f t="shared" si="571"/>
        <v>Sistema de transporte coletivo com um todoacessibilidade</v>
      </c>
      <c r="BC1947" s="239" t="str">
        <f t="shared" si="572"/>
        <v>Sistema de transporte coletivo com um todoacessibilidadesigla/verbete</v>
      </c>
      <c r="BD1947" s="239" t="str">
        <f t="shared" si="573"/>
        <v>Sistema de transporte coletivo com um todosigla/verbete</v>
      </c>
    </row>
    <row r="1948" spans="1:56" s="1" customFormat="1" ht="51" x14ac:dyDescent="0.25">
      <c r="A1948" s="262" t="str">
        <f>'Q100b-totais'!B62</f>
        <v>8.10</v>
      </c>
      <c r="B1948" s="252" t="str">
        <f>'Q100b-totais'!C62</f>
        <v>Sistema de transporte coletivo com um todo</v>
      </c>
      <c r="C1948" s="167" t="s">
        <v>743</v>
      </c>
      <c r="D1948" s="324" t="s">
        <v>3172</v>
      </c>
      <c r="E1948" s="1496" t="s">
        <v>1767</v>
      </c>
      <c r="F1948" s="11" t="s">
        <v>3176</v>
      </c>
      <c r="G1948" s="230" t="s">
        <v>3507</v>
      </c>
      <c r="H1948" s="167" t="s">
        <v>2408</v>
      </c>
      <c r="I1948" s="167" t="s">
        <v>432</v>
      </c>
      <c r="J1948" s="137" t="s">
        <v>432</v>
      </c>
      <c r="K1948" s="137" t="s">
        <v>432</v>
      </c>
      <c r="L1948" s="137" t="s">
        <v>432</v>
      </c>
      <c r="M1948" s="137" t="s">
        <v>432</v>
      </c>
      <c r="N1948" s="137" t="s">
        <v>432</v>
      </c>
      <c r="O1948" s="137" t="s">
        <v>432</v>
      </c>
      <c r="P1948" s="137" t="s">
        <v>432</v>
      </c>
      <c r="Q1948" s="137" t="s">
        <v>432</v>
      </c>
      <c r="R1948" s="137" t="s">
        <v>432</v>
      </c>
      <c r="S1948" s="109" t="s">
        <v>2209</v>
      </c>
      <c r="T1948" s="137" t="s">
        <v>432</v>
      </c>
      <c r="U1948" s="137" t="s">
        <v>432</v>
      </c>
      <c r="V1948" s="109" t="s">
        <v>2209</v>
      </c>
      <c r="W1948" s="137" t="s">
        <v>432</v>
      </c>
      <c r="X1948" s="137" t="s">
        <v>432</v>
      </c>
      <c r="Y1948" s="137" t="s">
        <v>432</v>
      </c>
      <c r="Z1948" s="137" t="s">
        <v>432</v>
      </c>
      <c r="AA1948" s="137" t="s">
        <v>432</v>
      </c>
      <c r="AB1948" s="137" t="s">
        <v>432</v>
      </c>
      <c r="AC1948" s="137" t="s">
        <v>432</v>
      </c>
      <c r="AD1948" s="137" t="s">
        <v>432</v>
      </c>
      <c r="AE1948" s="137" t="s">
        <v>432</v>
      </c>
      <c r="AF1948" s="137" t="s">
        <v>432</v>
      </c>
      <c r="AG1948" s="137" t="s">
        <v>432</v>
      </c>
      <c r="AH1948" s="137" t="s">
        <v>432</v>
      </c>
      <c r="AI1948" s="137" t="s">
        <v>432</v>
      </c>
      <c r="AJ1948" s="137" t="s">
        <v>432</v>
      </c>
      <c r="AK1948" s="137" t="s">
        <v>432</v>
      </c>
      <c r="AL1948" s="601" t="s">
        <v>432</v>
      </c>
      <c r="AM1948" s="137" t="s">
        <v>432</v>
      </c>
      <c r="AN1948" s="137" t="s">
        <v>432</v>
      </c>
      <c r="AO1948" s="137" t="s">
        <v>432</v>
      </c>
      <c r="AP1948" s="137" t="s">
        <v>432</v>
      </c>
      <c r="AQ1948" s="137" t="s">
        <v>432</v>
      </c>
      <c r="AR1948" s="137" t="s">
        <v>432</v>
      </c>
      <c r="AS1948" s="137" t="s">
        <v>432</v>
      </c>
      <c r="AT1948" s="137" t="s">
        <v>432</v>
      </c>
      <c r="AU1948" s="137" t="s">
        <v>432</v>
      </c>
      <c r="AV1948" s="137" t="s">
        <v>432</v>
      </c>
      <c r="AW1948" s="137" t="s">
        <v>432</v>
      </c>
      <c r="AX1948" s="137" t="s">
        <v>432</v>
      </c>
      <c r="AY1948" s="137" t="s">
        <v>432</v>
      </c>
      <c r="AZ1948" s="137" t="s">
        <v>432</v>
      </c>
      <c r="BA1948" s="137" t="s">
        <v>432</v>
      </c>
      <c r="BB1948" s="239" t="str">
        <f t="shared" si="571"/>
        <v>Sistema de transporte coletivo com um todoacessibilidade</v>
      </c>
      <c r="BC1948" s="239" t="str">
        <f t="shared" si="572"/>
        <v>Sistema de transporte coletivo com um todoacessibilidadesigla/verbete</v>
      </c>
      <c r="BD1948" s="239" t="str">
        <f t="shared" si="573"/>
        <v>Sistema de transporte coletivo com um todosigla/verbete</v>
      </c>
    </row>
    <row r="1949" spans="1:56" s="1" customFormat="1" ht="51" x14ac:dyDescent="0.25">
      <c r="A1949" s="262" t="str">
        <f>'Q100b-totais'!B62</f>
        <v>8.10</v>
      </c>
      <c r="B1949" s="252" t="str">
        <f>'Q100b-totais'!C62</f>
        <v>Sistema de transporte coletivo com um todo</v>
      </c>
      <c r="C1949" s="167" t="s">
        <v>743</v>
      </c>
      <c r="D1949" s="324" t="s">
        <v>3173</v>
      </c>
      <c r="E1949" s="1496" t="s">
        <v>1767</v>
      </c>
      <c r="F1949" s="11" t="s">
        <v>3179</v>
      </c>
      <c r="G1949" s="230" t="s">
        <v>3507</v>
      </c>
      <c r="H1949" s="167" t="s">
        <v>2408</v>
      </c>
      <c r="I1949" s="167" t="s">
        <v>432</v>
      </c>
      <c r="J1949" s="137" t="s">
        <v>432</v>
      </c>
      <c r="K1949" s="137" t="s">
        <v>432</v>
      </c>
      <c r="L1949" s="137" t="s">
        <v>432</v>
      </c>
      <c r="M1949" s="137" t="s">
        <v>432</v>
      </c>
      <c r="N1949" s="137" t="s">
        <v>432</v>
      </c>
      <c r="O1949" s="137" t="s">
        <v>432</v>
      </c>
      <c r="P1949" s="137" t="s">
        <v>432</v>
      </c>
      <c r="Q1949" s="137" t="s">
        <v>432</v>
      </c>
      <c r="R1949" s="137" t="s">
        <v>432</v>
      </c>
      <c r="S1949" s="109" t="s">
        <v>2209</v>
      </c>
      <c r="T1949" s="137" t="s">
        <v>432</v>
      </c>
      <c r="U1949" s="137" t="s">
        <v>432</v>
      </c>
      <c r="V1949" s="109" t="s">
        <v>2209</v>
      </c>
      <c r="W1949" s="137" t="s">
        <v>432</v>
      </c>
      <c r="X1949" s="137" t="s">
        <v>432</v>
      </c>
      <c r="Y1949" s="137" t="s">
        <v>432</v>
      </c>
      <c r="Z1949" s="137" t="s">
        <v>432</v>
      </c>
      <c r="AA1949" s="137" t="s">
        <v>432</v>
      </c>
      <c r="AB1949" s="137" t="s">
        <v>432</v>
      </c>
      <c r="AC1949" s="137" t="s">
        <v>432</v>
      </c>
      <c r="AD1949" s="137" t="s">
        <v>432</v>
      </c>
      <c r="AE1949" s="137" t="s">
        <v>432</v>
      </c>
      <c r="AF1949" s="137" t="s">
        <v>432</v>
      </c>
      <c r="AG1949" s="137" t="s">
        <v>432</v>
      </c>
      <c r="AH1949" s="137" t="s">
        <v>432</v>
      </c>
      <c r="AI1949" s="137" t="s">
        <v>432</v>
      </c>
      <c r="AJ1949" s="137" t="s">
        <v>432</v>
      </c>
      <c r="AK1949" s="137" t="s">
        <v>432</v>
      </c>
      <c r="AL1949" s="601" t="s">
        <v>432</v>
      </c>
      <c r="AM1949" s="137" t="s">
        <v>432</v>
      </c>
      <c r="AN1949" s="137" t="s">
        <v>432</v>
      </c>
      <c r="AO1949" s="137" t="s">
        <v>432</v>
      </c>
      <c r="AP1949" s="137" t="s">
        <v>432</v>
      </c>
      <c r="AQ1949" s="137" t="s">
        <v>432</v>
      </c>
      <c r="AR1949" s="137" t="s">
        <v>432</v>
      </c>
      <c r="AS1949" s="137" t="s">
        <v>432</v>
      </c>
      <c r="AT1949" s="137" t="s">
        <v>432</v>
      </c>
      <c r="AU1949" s="137" t="s">
        <v>432</v>
      </c>
      <c r="AV1949" s="137" t="s">
        <v>432</v>
      </c>
      <c r="AW1949" s="137" t="s">
        <v>432</v>
      </c>
      <c r="AX1949" s="137" t="s">
        <v>432</v>
      </c>
      <c r="AY1949" s="137" t="s">
        <v>432</v>
      </c>
      <c r="AZ1949" s="137" t="s">
        <v>432</v>
      </c>
      <c r="BA1949" s="137" t="s">
        <v>432</v>
      </c>
      <c r="BB1949" s="239" t="str">
        <f t="shared" si="571"/>
        <v>Sistema de transporte coletivo com um todoacessibilidade</v>
      </c>
      <c r="BC1949" s="239" t="str">
        <f t="shared" si="572"/>
        <v>Sistema de transporte coletivo com um todoacessibilidadesigla/verbete</v>
      </c>
      <c r="BD1949" s="239" t="str">
        <f t="shared" si="573"/>
        <v>Sistema de transporte coletivo com um todosigla/verbete</v>
      </c>
    </row>
    <row r="1950" spans="1:56" s="1" customFormat="1" ht="51" x14ac:dyDescent="0.25">
      <c r="A1950" s="262" t="str">
        <f>'Q100b-totais'!B62</f>
        <v>8.10</v>
      </c>
      <c r="B1950" s="252" t="str">
        <f>'Q100b-totais'!C62</f>
        <v>Sistema de transporte coletivo com um todo</v>
      </c>
      <c r="C1950" s="167" t="s">
        <v>743</v>
      </c>
      <c r="D1950" s="324" t="s">
        <v>3174</v>
      </c>
      <c r="E1950" s="1496" t="s">
        <v>1767</v>
      </c>
      <c r="F1950" s="11" t="s">
        <v>3178</v>
      </c>
      <c r="G1950" s="230" t="s">
        <v>3507</v>
      </c>
      <c r="H1950" s="167" t="s">
        <v>2408</v>
      </c>
      <c r="I1950" s="167" t="s">
        <v>432</v>
      </c>
      <c r="J1950" s="137" t="s">
        <v>432</v>
      </c>
      <c r="K1950" s="137" t="s">
        <v>432</v>
      </c>
      <c r="L1950" s="137" t="s">
        <v>432</v>
      </c>
      <c r="M1950" s="137" t="s">
        <v>432</v>
      </c>
      <c r="N1950" s="137" t="s">
        <v>432</v>
      </c>
      <c r="O1950" s="137" t="s">
        <v>432</v>
      </c>
      <c r="P1950" s="137" t="s">
        <v>432</v>
      </c>
      <c r="Q1950" s="137" t="s">
        <v>432</v>
      </c>
      <c r="R1950" s="137" t="s">
        <v>432</v>
      </c>
      <c r="S1950" s="109" t="s">
        <v>2209</v>
      </c>
      <c r="T1950" s="137" t="s">
        <v>432</v>
      </c>
      <c r="U1950" s="137" t="s">
        <v>432</v>
      </c>
      <c r="V1950" s="109" t="s">
        <v>2209</v>
      </c>
      <c r="W1950" s="137" t="s">
        <v>432</v>
      </c>
      <c r="X1950" s="137" t="s">
        <v>432</v>
      </c>
      <c r="Y1950" s="137" t="s">
        <v>432</v>
      </c>
      <c r="Z1950" s="137" t="s">
        <v>432</v>
      </c>
      <c r="AA1950" s="137" t="s">
        <v>432</v>
      </c>
      <c r="AB1950" s="137" t="s">
        <v>432</v>
      </c>
      <c r="AC1950" s="137" t="s">
        <v>432</v>
      </c>
      <c r="AD1950" s="137" t="s">
        <v>432</v>
      </c>
      <c r="AE1950" s="137" t="s">
        <v>432</v>
      </c>
      <c r="AF1950" s="137" t="s">
        <v>432</v>
      </c>
      <c r="AG1950" s="137" t="s">
        <v>432</v>
      </c>
      <c r="AH1950" s="137" t="s">
        <v>432</v>
      </c>
      <c r="AI1950" s="137" t="s">
        <v>432</v>
      </c>
      <c r="AJ1950" s="137" t="s">
        <v>432</v>
      </c>
      <c r="AK1950" s="137" t="s">
        <v>432</v>
      </c>
      <c r="AL1950" s="601" t="s">
        <v>432</v>
      </c>
      <c r="AM1950" s="137" t="s">
        <v>432</v>
      </c>
      <c r="AN1950" s="137" t="s">
        <v>432</v>
      </c>
      <c r="AO1950" s="137" t="s">
        <v>432</v>
      </c>
      <c r="AP1950" s="137" t="s">
        <v>432</v>
      </c>
      <c r="AQ1950" s="137" t="s">
        <v>432</v>
      </c>
      <c r="AR1950" s="137" t="s">
        <v>432</v>
      </c>
      <c r="AS1950" s="137" t="s">
        <v>432</v>
      </c>
      <c r="AT1950" s="137" t="s">
        <v>432</v>
      </c>
      <c r="AU1950" s="137" t="s">
        <v>432</v>
      </c>
      <c r="AV1950" s="137" t="s">
        <v>432</v>
      </c>
      <c r="AW1950" s="137" t="s">
        <v>432</v>
      </c>
      <c r="AX1950" s="137" t="s">
        <v>432</v>
      </c>
      <c r="AY1950" s="137" t="s">
        <v>432</v>
      </c>
      <c r="AZ1950" s="137" t="s">
        <v>432</v>
      </c>
      <c r="BA1950" s="137" t="s">
        <v>432</v>
      </c>
      <c r="BB1950" s="239" t="str">
        <f t="shared" si="571"/>
        <v>Sistema de transporte coletivo com um todoacessibilidade</v>
      </c>
      <c r="BC1950" s="239" t="str">
        <f t="shared" si="572"/>
        <v>Sistema de transporte coletivo com um todoacessibilidadesigla/verbete</v>
      </c>
      <c r="BD1950" s="239" t="str">
        <f t="shared" si="573"/>
        <v>Sistema de transporte coletivo com um todosigla/verbete</v>
      </c>
    </row>
    <row r="1951" spans="1:56" s="1" customFormat="1" ht="51" x14ac:dyDescent="0.25">
      <c r="A1951" s="262" t="str">
        <f>'Q100b-totais'!B62</f>
        <v>8.10</v>
      </c>
      <c r="B1951" s="252" t="str">
        <f>'Q100b-totais'!C62</f>
        <v>Sistema de transporte coletivo com um todo</v>
      </c>
      <c r="C1951" s="167" t="s">
        <v>743</v>
      </c>
      <c r="D1951" s="324" t="s">
        <v>3175</v>
      </c>
      <c r="E1951" s="1496" t="s">
        <v>1767</v>
      </c>
      <c r="F1951" s="11" t="s">
        <v>3177</v>
      </c>
      <c r="G1951" s="230" t="s">
        <v>3507</v>
      </c>
      <c r="H1951" s="167" t="s">
        <v>2408</v>
      </c>
      <c r="I1951" s="167" t="s">
        <v>432</v>
      </c>
      <c r="J1951" s="137" t="s">
        <v>432</v>
      </c>
      <c r="K1951" s="137" t="s">
        <v>432</v>
      </c>
      <c r="L1951" s="137" t="s">
        <v>432</v>
      </c>
      <c r="M1951" s="137" t="s">
        <v>432</v>
      </c>
      <c r="N1951" s="137" t="s">
        <v>432</v>
      </c>
      <c r="O1951" s="137" t="s">
        <v>432</v>
      </c>
      <c r="P1951" s="137" t="s">
        <v>432</v>
      </c>
      <c r="Q1951" s="137" t="s">
        <v>432</v>
      </c>
      <c r="R1951" s="137" t="s">
        <v>432</v>
      </c>
      <c r="S1951" s="109" t="s">
        <v>2209</v>
      </c>
      <c r="T1951" s="137" t="s">
        <v>432</v>
      </c>
      <c r="U1951" s="137" t="s">
        <v>432</v>
      </c>
      <c r="V1951" s="109" t="s">
        <v>2209</v>
      </c>
      <c r="W1951" s="137" t="s">
        <v>432</v>
      </c>
      <c r="X1951" s="137" t="s">
        <v>432</v>
      </c>
      <c r="Y1951" s="137" t="s">
        <v>432</v>
      </c>
      <c r="Z1951" s="137" t="s">
        <v>432</v>
      </c>
      <c r="AA1951" s="137" t="s">
        <v>432</v>
      </c>
      <c r="AB1951" s="137" t="s">
        <v>432</v>
      </c>
      <c r="AC1951" s="137" t="s">
        <v>432</v>
      </c>
      <c r="AD1951" s="137" t="s">
        <v>432</v>
      </c>
      <c r="AE1951" s="137" t="s">
        <v>432</v>
      </c>
      <c r="AF1951" s="137" t="s">
        <v>432</v>
      </c>
      <c r="AG1951" s="137" t="s">
        <v>432</v>
      </c>
      <c r="AH1951" s="137" t="s">
        <v>432</v>
      </c>
      <c r="AI1951" s="137" t="s">
        <v>432</v>
      </c>
      <c r="AJ1951" s="137" t="s">
        <v>432</v>
      </c>
      <c r="AK1951" s="137" t="s">
        <v>432</v>
      </c>
      <c r="AL1951" s="601" t="s">
        <v>432</v>
      </c>
      <c r="AM1951" s="137" t="s">
        <v>432</v>
      </c>
      <c r="AN1951" s="137" t="s">
        <v>432</v>
      </c>
      <c r="AO1951" s="137" t="s">
        <v>432</v>
      </c>
      <c r="AP1951" s="137" t="s">
        <v>432</v>
      </c>
      <c r="AQ1951" s="137" t="s">
        <v>432</v>
      </c>
      <c r="AR1951" s="137" t="s">
        <v>432</v>
      </c>
      <c r="AS1951" s="137" t="s">
        <v>432</v>
      </c>
      <c r="AT1951" s="137" t="s">
        <v>432</v>
      </c>
      <c r="AU1951" s="137" t="s">
        <v>432</v>
      </c>
      <c r="AV1951" s="137" t="s">
        <v>432</v>
      </c>
      <c r="AW1951" s="137" t="s">
        <v>432</v>
      </c>
      <c r="AX1951" s="137" t="s">
        <v>432</v>
      </c>
      <c r="AY1951" s="137" t="s">
        <v>432</v>
      </c>
      <c r="AZ1951" s="137" t="s">
        <v>432</v>
      </c>
      <c r="BA1951" s="137" t="s">
        <v>432</v>
      </c>
      <c r="BB1951" s="239" t="str">
        <f t="shared" si="571"/>
        <v>Sistema de transporte coletivo com um todoacessibilidade</v>
      </c>
      <c r="BC1951" s="239" t="str">
        <f t="shared" si="572"/>
        <v>Sistema de transporte coletivo com um todoacessibilidadesigla/verbete</v>
      </c>
      <c r="BD1951" s="239" t="str">
        <f t="shared" si="573"/>
        <v>Sistema de transporte coletivo com um todosigla/verbete</v>
      </c>
    </row>
    <row r="1952" spans="1:56" s="1" customFormat="1" ht="38.25" x14ac:dyDescent="0.25">
      <c r="A1952" s="262" t="s">
        <v>432</v>
      </c>
      <c r="B1952" s="252" t="s">
        <v>742</v>
      </c>
      <c r="C1952" s="167" t="s">
        <v>432</v>
      </c>
      <c r="D1952" s="324" t="s">
        <v>4302</v>
      </c>
      <c r="E1952" s="1496" t="s">
        <v>1767</v>
      </c>
      <c r="F1952" s="1205" t="s">
        <v>4303</v>
      </c>
      <c r="G1952" s="230" t="s">
        <v>3507</v>
      </c>
      <c r="H1952" s="167" t="s">
        <v>2408</v>
      </c>
      <c r="I1952" s="167" t="s">
        <v>432</v>
      </c>
      <c r="J1952" s="137" t="s">
        <v>432</v>
      </c>
      <c r="K1952" s="137" t="s">
        <v>432</v>
      </c>
      <c r="L1952" s="137" t="s">
        <v>432</v>
      </c>
      <c r="M1952" s="137" t="s">
        <v>432</v>
      </c>
      <c r="N1952" s="137" t="s">
        <v>432</v>
      </c>
      <c r="O1952" s="137" t="s">
        <v>432</v>
      </c>
      <c r="P1952" s="137" t="s">
        <v>432</v>
      </c>
      <c r="Q1952" s="137" t="s">
        <v>432</v>
      </c>
      <c r="R1952" s="137" t="s">
        <v>432</v>
      </c>
      <c r="S1952" s="109" t="s">
        <v>2209</v>
      </c>
      <c r="T1952" s="137" t="s">
        <v>432</v>
      </c>
      <c r="U1952" s="137" t="s">
        <v>432</v>
      </c>
      <c r="V1952" s="109" t="s">
        <v>2209</v>
      </c>
      <c r="W1952" s="137" t="s">
        <v>432</v>
      </c>
      <c r="X1952" s="137" t="s">
        <v>432</v>
      </c>
      <c r="Y1952" s="137" t="s">
        <v>432</v>
      </c>
      <c r="Z1952" s="137" t="s">
        <v>432</v>
      </c>
      <c r="AA1952" s="137" t="s">
        <v>432</v>
      </c>
      <c r="AB1952" s="137" t="s">
        <v>432</v>
      </c>
      <c r="AC1952" s="137" t="s">
        <v>432</v>
      </c>
      <c r="AD1952" s="137" t="s">
        <v>432</v>
      </c>
      <c r="AE1952" s="137" t="s">
        <v>432</v>
      </c>
      <c r="AF1952" s="137" t="s">
        <v>432</v>
      </c>
      <c r="AG1952" s="137" t="s">
        <v>432</v>
      </c>
      <c r="AH1952" s="137" t="s">
        <v>432</v>
      </c>
      <c r="AI1952" s="137" t="s">
        <v>432</v>
      </c>
      <c r="AJ1952" s="137" t="s">
        <v>432</v>
      </c>
      <c r="AK1952" s="137" t="s">
        <v>432</v>
      </c>
      <c r="AL1952" s="601" t="s">
        <v>432</v>
      </c>
      <c r="AM1952" s="137" t="s">
        <v>432</v>
      </c>
      <c r="AN1952" s="137" t="s">
        <v>432</v>
      </c>
      <c r="AO1952" s="137" t="s">
        <v>432</v>
      </c>
      <c r="AP1952" s="137" t="s">
        <v>432</v>
      </c>
      <c r="AQ1952" s="137" t="s">
        <v>432</v>
      </c>
      <c r="AR1952" s="137" t="s">
        <v>432</v>
      </c>
      <c r="AS1952" s="137" t="s">
        <v>432</v>
      </c>
      <c r="AT1952" s="137" t="s">
        <v>432</v>
      </c>
      <c r="AU1952" s="137" t="s">
        <v>432</v>
      </c>
      <c r="AV1952" s="137" t="s">
        <v>432</v>
      </c>
      <c r="AW1952" s="137" t="s">
        <v>432</v>
      </c>
      <c r="AX1952" s="137" t="s">
        <v>432</v>
      </c>
      <c r="AY1952" s="137" t="s">
        <v>432</v>
      </c>
      <c r="AZ1952" s="137" t="s">
        <v>432</v>
      </c>
      <c r="BA1952" s="137" t="s">
        <v>432</v>
      </c>
      <c r="BB1952" s="239" t="str">
        <f t="shared" ref="BB1952:BB1973" si="574">B1952&amp;C1952</f>
        <v>geralx</v>
      </c>
      <c r="BC1952" s="239" t="str">
        <f t="shared" ref="BC1952:BC1973" si="575">B1952&amp;C1952&amp;H1952</f>
        <v>geralxsigla/verbete</v>
      </c>
      <c r="BD1952" s="239" t="str">
        <f t="shared" ref="BD1952:BD1973" si="576">B1952&amp;H1952</f>
        <v>geralsigla/verbete</v>
      </c>
    </row>
    <row r="1953" spans="1:56" s="1" customFormat="1" ht="15.75" customHeight="1" x14ac:dyDescent="0.25">
      <c r="A1953" s="262" t="s">
        <v>432</v>
      </c>
      <c r="B1953" s="252" t="s">
        <v>742</v>
      </c>
      <c r="C1953" s="167" t="s">
        <v>432</v>
      </c>
      <c r="D1953" s="324" t="s">
        <v>326</v>
      </c>
      <c r="E1953" s="1496" t="s">
        <v>432</v>
      </c>
      <c r="F1953" s="11" t="s">
        <v>327</v>
      </c>
      <c r="G1953" s="167" t="s">
        <v>3879</v>
      </c>
      <c r="H1953" s="167" t="s">
        <v>432</v>
      </c>
      <c r="I1953" s="167" t="s">
        <v>432</v>
      </c>
      <c r="J1953" s="109" t="s">
        <v>432</v>
      </c>
      <c r="K1953" s="109" t="s">
        <v>432</v>
      </c>
      <c r="L1953" s="109" t="s">
        <v>432</v>
      </c>
      <c r="M1953" s="109" t="s">
        <v>432</v>
      </c>
      <c r="N1953" s="109" t="s">
        <v>432</v>
      </c>
      <c r="O1953" s="109" t="s">
        <v>432</v>
      </c>
      <c r="P1953" s="109" t="s">
        <v>432</v>
      </c>
      <c r="Q1953" s="109" t="s">
        <v>432</v>
      </c>
      <c r="R1953" s="109" t="s">
        <v>432</v>
      </c>
      <c r="S1953" s="109" t="s">
        <v>2209</v>
      </c>
      <c r="T1953" s="109" t="s">
        <v>432</v>
      </c>
      <c r="U1953" s="109" t="s">
        <v>432</v>
      </c>
      <c r="V1953" s="109" t="s">
        <v>2209</v>
      </c>
      <c r="W1953" s="109" t="s">
        <v>432</v>
      </c>
      <c r="X1953" s="109" t="s">
        <v>432</v>
      </c>
      <c r="Y1953" s="109" t="s">
        <v>432</v>
      </c>
      <c r="Z1953" s="109" t="s">
        <v>432</v>
      </c>
      <c r="AA1953" s="109" t="s">
        <v>432</v>
      </c>
      <c r="AB1953" s="109" t="s">
        <v>432</v>
      </c>
      <c r="AC1953" s="109" t="s">
        <v>432</v>
      </c>
      <c r="AD1953" s="109" t="s">
        <v>432</v>
      </c>
      <c r="AE1953" s="109" t="s">
        <v>432</v>
      </c>
      <c r="AF1953" s="109" t="s">
        <v>432</v>
      </c>
      <c r="AG1953" s="109" t="s">
        <v>432</v>
      </c>
      <c r="AH1953" s="109" t="s">
        <v>432</v>
      </c>
      <c r="AI1953" s="109" t="s">
        <v>432</v>
      </c>
      <c r="AJ1953" s="109" t="s">
        <v>432</v>
      </c>
      <c r="AK1953" s="137" t="s">
        <v>432</v>
      </c>
      <c r="AL1953" s="601" t="s">
        <v>432</v>
      </c>
      <c r="AM1953" s="137" t="s">
        <v>432</v>
      </c>
      <c r="AN1953" s="137" t="s">
        <v>432</v>
      </c>
      <c r="AO1953" s="137" t="s">
        <v>432</v>
      </c>
      <c r="AP1953" s="137" t="s">
        <v>432</v>
      </c>
      <c r="AQ1953" s="137" t="s">
        <v>432</v>
      </c>
      <c r="AR1953" s="137" t="s">
        <v>432</v>
      </c>
      <c r="AS1953" s="137" t="s">
        <v>432</v>
      </c>
      <c r="AT1953" s="137" t="s">
        <v>432</v>
      </c>
      <c r="AU1953" s="137" t="s">
        <v>432</v>
      </c>
      <c r="AV1953" s="137" t="s">
        <v>432</v>
      </c>
      <c r="AW1953" s="137" t="s">
        <v>432</v>
      </c>
      <c r="AX1953" s="137" t="s">
        <v>432</v>
      </c>
      <c r="AY1953" s="137" t="s">
        <v>432</v>
      </c>
      <c r="AZ1953" s="137" t="s">
        <v>432</v>
      </c>
      <c r="BA1953" s="137" t="s">
        <v>432</v>
      </c>
      <c r="BB1953" s="239" t="str">
        <f t="shared" si="574"/>
        <v>geralx</v>
      </c>
      <c r="BC1953" s="239" t="str">
        <f t="shared" si="575"/>
        <v>geralxx</v>
      </c>
      <c r="BD1953" s="239" t="str">
        <f t="shared" si="576"/>
        <v>geralx</v>
      </c>
    </row>
    <row r="1954" spans="1:56" s="1" customFormat="1" ht="36.75" customHeight="1" x14ac:dyDescent="0.25">
      <c r="A1954" s="262" t="str">
        <f>'Q100b-totais'!B24</f>
        <v>3.1</v>
      </c>
      <c r="B1954" s="252" t="str">
        <f>'Q100b-totais'!C24</f>
        <v>Normas produzidas</v>
      </c>
      <c r="C1954" s="229" t="s">
        <v>743</v>
      </c>
      <c r="D1954" s="324" t="s">
        <v>3511</v>
      </c>
      <c r="E1954" s="1496" t="s">
        <v>1266</v>
      </c>
      <c r="F1954" s="1104" t="s">
        <v>3515</v>
      </c>
      <c r="G1954" s="230" t="s">
        <v>3507</v>
      </c>
      <c r="H1954" s="167" t="s">
        <v>2408</v>
      </c>
      <c r="I1954" s="167" t="s">
        <v>432</v>
      </c>
      <c r="J1954" s="109" t="s">
        <v>432</v>
      </c>
      <c r="K1954" s="109" t="s">
        <v>432</v>
      </c>
      <c r="L1954" s="109" t="s">
        <v>432</v>
      </c>
      <c r="M1954" s="109" t="s">
        <v>432</v>
      </c>
      <c r="N1954" s="109" t="s">
        <v>432</v>
      </c>
      <c r="O1954" s="109" t="s">
        <v>432</v>
      </c>
      <c r="P1954" s="109" t="s">
        <v>432</v>
      </c>
      <c r="Q1954" s="109" t="s">
        <v>432</v>
      </c>
      <c r="R1954" s="109" t="s">
        <v>432</v>
      </c>
      <c r="S1954" s="109" t="s">
        <v>2209</v>
      </c>
      <c r="T1954" s="109" t="s">
        <v>432</v>
      </c>
      <c r="U1954" s="109" t="s">
        <v>432</v>
      </c>
      <c r="V1954" s="109" t="s">
        <v>2209</v>
      </c>
      <c r="W1954" s="109" t="s">
        <v>432</v>
      </c>
      <c r="X1954" s="109" t="s">
        <v>432</v>
      </c>
      <c r="Y1954" s="109" t="s">
        <v>432</v>
      </c>
      <c r="Z1954" s="109" t="s">
        <v>432</v>
      </c>
      <c r="AA1954" s="109" t="s">
        <v>432</v>
      </c>
      <c r="AB1954" s="109" t="s">
        <v>432</v>
      </c>
      <c r="AC1954" s="109" t="s">
        <v>432</v>
      </c>
      <c r="AD1954" s="109" t="s">
        <v>432</v>
      </c>
      <c r="AE1954" s="109" t="s">
        <v>432</v>
      </c>
      <c r="AF1954" s="109" t="s">
        <v>432</v>
      </c>
      <c r="AG1954" s="109" t="s">
        <v>432</v>
      </c>
      <c r="AH1954" s="109" t="s">
        <v>432</v>
      </c>
      <c r="AI1954" s="109" t="s">
        <v>432</v>
      </c>
      <c r="AJ1954" s="109" t="s">
        <v>432</v>
      </c>
      <c r="AK1954" s="137" t="s">
        <v>432</v>
      </c>
      <c r="AL1954" s="601" t="s">
        <v>432</v>
      </c>
      <c r="AM1954" s="137" t="s">
        <v>432</v>
      </c>
      <c r="AN1954" s="137" t="s">
        <v>432</v>
      </c>
      <c r="AO1954" s="137" t="s">
        <v>432</v>
      </c>
      <c r="AP1954" s="137" t="s">
        <v>432</v>
      </c>
      <c r="AQ1954" s="137" t="s">
        <v>432</v>
      </c>
      <c r="AR1954" s="137" t="s">
        <v>432</v>
      </c>
      <c r="AS1954" s="137" t="s">
        <v>432</v>
      </c>
      <c r="AT1954" s="137" t="s">
        <v>432</v>
      </c>
      <c r="AU1954" s="137" t="s">
        <v>432</v>
      </c>
      <c r="AV1954" s="137" t="s">
        <v>432</v>
      </c>
      <c r="AW1954" s="137" t="s">
        <v>432</v>
      </c>
      <c r="AX1954" s="137" t="s">
        <v>432</v>
      </c>
      <c r="AY1954" s="137" t="s">
        <v>432</v>
      </c>
      <c r="AZ1954" s="137" t="s">
        <v>432</v>
      </c>
      <c r="BA1954" s="137" t="s">
        <v>432</v>
      </c>
      <c r="BB1954" s="239" t="str">
        <f t="shared" si="574"/>
        <v>Normas produzidasacessibilidade</v>
      </c>
      <c r="BC1954" s="239" t="str">
        <f t="shared" si="575"/>
        <v>Normas produzidasacessibilidadesigla/verbete</v>
      </c>
      <c r="BD1954" s="239" t="str">
        <f t="shared" si="576"/>
        <v>Normas produzidassigla/verbete</v>
      </c>
    </row>
    <row r="1955" spans="1:56" s="1" customFormat="1" ht="36.75" customHeight="1" x14ac:dyDescent="0.25">
      <c r="A1955" s="262" t="str">
        <f>'Q100b-totais'!B24</f>
        <v>3.1</v>
      </c>
      <c r="B1955" s="252" t="str">
        <f>'Q100b-totais'!C24</f>
        <v>Normas produzidas</v>
      </c>
      <c r="C1955" s="229" t="s">
        <v>432</v>
      </c>
      <c r="D1955" s="324" t="s">
        <v>3520</v>
      </c>
      <c r="E1955" s="1496" t="s">
        <v>1266</v>
      </c>
      <c r="F1955" s="1104" t="s">
        <v>3521</v>
      </c>
      <c r="G1955" s="230" t="s">
        <v>3507</v>
      </c>
      <c r="H1955" s="167" t="s">
        <v>2408</v>
      </c>
      <c r="I1955" s="167" t="s">
        <v>432</v>
      </c>
      <c r="J1955" s="109" t="s">
        <v>432</v>
      </c>
      <c r="K1955" s="109" t="s">
        <v>432</v>
      </c>
      <c r="L1955" s="109" t="s">
        <v>432</v>
      </c>
      <c r="M1955" s="109" t="s">
        <v>432</v>
      </c>
      <c r="N1955" s="109" t="s">
        <v>432</v>
      </c>
      <c r="O1955" s="109" t="s">
        <v>432</v>
      </c>
      <c r="P1955" s="109" t="s">
        <v>432</v>
      </c>
      <c r="Q1955" s="109" t="s">
        <v>432</v>
      </c>
      <c r="R1955" s="109" t="s">
        <v>432</v>
      </c>
      <c r="S1955" s="109" t="s">
        <v>2209</v>
      </c>
      <c r="T1955" s="109" t="s">
        <v>432</v>
      </c>
      <c r="U1955" s="109" t="s">
        <v>432</v>
      </c>
      <c r="V1955" s="109" t="s">
        <v>2209</v>
      </c>
      <c r="W1955" s="109" t="s">
        <v>432</v>
      </c>
      <c r="X1955" s="109" t="s">
        <v>432</v>
      </c>
      <c r="Y1955" s="109" t="s">
        <v>432</v>
      </c>
      <c r="Z1955" s="109" t="s">
        <v>432</v>
      </c>
      <c r="AA1955" s="109" t="s">
        <v>432</v>
      </c>
      <c r="AB1955" s="109" t="s">
        <v>432</v>
      </c>
      <c r="AC1955" s="109" t="s">
        <v>432</v>
      </c>
      <c r="AD1955" s="109" t="s">
        <v>432</v>
      </c>
      <c r="AE1955" s="109" t="s">
        <v>432</v>
      </c>
      <c r="AF1955" s="109" t="s">
        <v>432</v>
      </c>
      <c r="AG1955" s="109" t="s">
        <v>432</v>
      </c>
      <c r="AH1955" s="109" t="s">
        <v>432</v>
      </c>
      <c r="AI1955" s="109" t="s">
        <v>432</v>
      </c>
      <c r="AJ1955" s="109" t="s">
        <v>432</v>
      </c>
      <c r="AK1955" s="137" t="s">
        <v>432</v>
      </c>
      <c r="AL1955" s="601" t="s">
        <v>432</v>
      </c>
      <c r="AM1955" s="137" t="s">
        <v>432</v>
      </c>
      <c r="AN1955" s="137" t="s">
        <v>432</v>
      </c>
      <c r="AO1955" s="137" t="s">
        <v>432</v>
      </c>
      <c r="AP1955" s="137" t="s">
        <v>432</v>
      </c>
      <c r="AQ1955" s="137" t="s">
        <v>432</v>
      </c>
      <c r="AR1955" s="137" t="s">
        <v>432</v>
      </c>
      <c r="AS1955" s="137" t="s">
        <v>432</v>
      </c>
      <c r="AT1955" s="137" t="s">
        <v>432</v>
      </c>
      <c r="AU1955" s="137" t="s">
        <v>432</v>
      </c>
      <c r="AV1955" s="137" t="s">
        <v>432</v>
      </c>
      <c r="AW1955" s="137" t="s">
        <v>432</v>
      </c>
      <c r="AX1955" s="137" t="s">
        <v>432</v>
      </c>
      <c r="AY1955" s="137" t="s">
        <v>432</v>
      </c>
      <c r="AZ1955" s="137" t="s">
        <v>432</v>
      </c>
      <c r="BA1955" s="137" t="s">
        <v>432</v>
      </c>
      <c r="BB1955" s="239" t="str">
        <f t="shared" si="574"/>
        <v>Normas produzidasx</v>
      </c>
      <c r="BC1955" s="239" t="str">
        <f t="shared" si="575"/>
        <v>Normas produzidasxsigla/verbete</v>
      </c>
      <c r="BD1955" s="239" t="str">
        <f t="shared" si="576"/>
        <v>Normas produzidassigla/verbete</v>
      </c>
    </row>
    <row r="1956" spans="1:56" s="1" customFormat="1" ht="302.25" customHeight="1" x14ac:dyDescent="0.25">
      <c r="A1956" s="262" t="str">
        <f>'Q100b-totais'!B24</f>
        <v>3.1</v>
      </c>
      <c r="B1956" s="252" t="str">
        <f>'Q100b-totais'!C24</f>
        <v>Normas produzidas</v>
      </c>
      <c r="C1956" s="229" t="s">
        <v>743</v>
      </c>
      <c r="D1956" s="324" t="s">
        <v>2476</v>
      </c>
      <c r="E1956" s="1496" t="s">
        <v>1306</v>
      </c>
      <c r="F1956" s="11" t="s">
        <v>5619</v>
      </c>
      <c r="G1956" s="230" t="s">
        <v>3507</v>
      </c>
      <c r="H1956" s="167" t="s">
        <v>2408</v>
      </c>
      <c r="I1956" s="167" t="s">
        <v>432</v>
      </c>
      <c r="J1956" s="109" t="s">
        <v>432</v>
      </c>
      <c r="K1956" s="109" t="s">
        <v>432</v>
      </c>
      <c r="L1956" s="109" t="s">
        <v>432</v>
      </c>
      <c r="M1956" s="109" t="s">
        <v>432</v>
      </c>
      <c r="N1956" s="109" t="s">
        <v>432</v>
      </c>
      <c r="O1956" s="109" t="s">
        <v>432</v>
      </c>
      <c r="P1956" s="109" t="s">
        <v>432</v>
      </c>
      <c r="Q1956" s="109" t="s">
        <v>432</v>
      </c>
      <c r="R1956" s="109" t="s">
        <v>432</v>
      </c>
      <c r="S1956" s="109" t="s">
        <v>2209</v>
      </c>
      <c r="T1956" s="109" t="s">
        <v>432</v>
      </c>
      <c r="U1956" s="109" t="s">
        <v>432</v>
      </c>
      <c r="V1956" s="109" t="s">
        <v>2209</v>
      </c>
      <c r="W1956" s="109" t="s">
        <v>432</v>
      </c>
      <c r="X1956" s="109" t="s">
        <v>432</v>
      </c>
      <c r="Y1956" s="109" t="s">
        <v>432</v>
      </c>
      <c r="Z1956" s="109" t="s">
        <v>432</v>
      </c>
      <c r="AA1956" s="109" t="s">
        <v>432</v>
      </c>
      <c r="AB1956" s="109" t="s">
        <v>432</v>
      </c>
      <c r="AC1956" s="109" t="s">
        <v>432</v>
      </c>
      <c r="AD1956" s="109" t="s">
        <v>432</v>
      </c>
      <c r="AE1956" s="109" t="s">
        <v>432</v>
      </c>
      <c r="AF1956" s="109" t="s">
        <v>432</v>
      </c>
      <c r="AG1956" s="109" t="s">
        <v>432</v>
      </c>
      <c r="AH1956" s="109" t="s">
        <v>432</v>
      </c>
      <c r="AI1956" s="109" t="s">
        <v>432</v>
      </c>
      <c r="AJ1956" s="109" t="s">
        <v>432</v>
      </c>
      <c r="AK1956" s="137" t="s">
        <v>432</v>
      </c>
      <c r="AL1956" s="601" t="s">
        <v>432</v>
      </c>
      <c r="AM1956" s="137" t="s">
        <v>432</v>
      </c>
      <c r="AN1956" s="137" t="s">
        <v>432</v>
      </c>
      <c r="AO1956" s="137" t="s">
        <v>432</v>
      </c>
      <c r="AP1956" s="137" t="s">
        <v>432</v>
      </c>
      <c r="AQ1956" s="137" t="s">
        <v>432</v>
      </c>
      <c r="AR1956" s="137" t="s">
        <v>432</v>
      </c>
      <c r="AS1956" s="137" t="s">
        <v>432</v>
      </c>
      <c r="AT1956" s="137" t="s">
        <v>432</v>
      </c>
      <c r="AU1956" s="137" t="s">
        <v>432</v>
      </c>
      <c r="AV1956" s="137" t="s">
        <v>432</v>
      </c>
      <c r="AW1956" s="137" t="s">
        <v>432</v>
      </c>
      <c r="AX1956" s="137" t="s">
        <v>432</v>
      </c>
      <c r="AY1956" s="137" t="s">
        <v>432</v>
      </c>
      <c r="AZ1956" s="137" t="s">
        <v>432</v>
      </c>
      <c r="BA1956" s="137" t="s">
        <v>432</v>
      </c>
      <c r="BB1956" s="239" t="str">
        <f t="shared" si="574"/>
        <v>Normas produzidasacessibilidade</v>
      </c>
      <c r="BC1956" s="239" t="str">
        <f t="shared" si="575"/>
        <v>Normas produzidasacessibilidadesigla/verbete</v>
      </c>
      <c r="BD1956" s="239" t="str">
        <f t="shared" si="576"/>
        <v>Normas produzidassigla/verbete</v>
      </c>
    </row>
    <row r="1957" spans="1:56" s="1" customFormat="1" ht="132" customHeight="1" x14ac:dyDescent="0.25">
      <c r="A1957" s="262" t="str">
        <f>'Q100b-totais'!B24</f>
        <v>3.1</v>
      </c>
      <c r="B1957" s="252" t="str">
        <f>'Q100b-totais'!C24</f>
        <v>Normas produzidas</v>
      </c>
      <c r="C1957" s="229" t="s">
        <v>432</v>
      </c>
      <c r="D1957" s="324" t="s">
        <v>2476</v>
      </c>
      <c r="E1957" s="1496" t="s">
        <v>1767</v>
      </c>
      <c r="F1957" s="11" t="s">
        <v>3504</v>
      </c>
      <c r="G1957" s="230" t="s">
        <v>3507</v>
      </c>
      <c r="H1957" s="167" t="s">
        <v>2408</v>
      </c>
      <c r="I1957" s="167" t="s">
        <v>432</v>
      </c>
      <c r="J1957" s="109" t="s">
        <v>432</v>
      </c>
      <c r="K1957" s="109" t="s">
        <v>432</v>
      </c>
      <c r="L1957" s="109" t="s">
        <v>432</v>
      </c>
      <c r="M1957" s="109" t="s">
        <v>432</v>
      </c>
      <c r="N1957" s="109" t="s">
        <v>432</v>
      </c>
      <c r="O1957" s="109" t="s">
        <v>432</v>
      </c>
      <c r="P1957" s="109" t="s">
        <v>432</v>
      </c>
      <c r="Q1957" s="109" t="s">
        <v>432</v>
      </c>
      <c r="R1957" s="109" t="s">
        <v>432</v>
      </c>
      <c r="S1957" s="109" t="s">
        <v>2209</v>
      </c>
      <c r="T1957" s="109" t="s">
        <v>432</v>
      </c>
      <c r="U1957" s="109" t="s">
        <v>432</v>
      </c>
      <c r="V1957" s="109" t="s">
        <v>2209</v>
      </c>
      <c r="W1957" s="109" t="s">
        <v>432</v>
      </c>
      <c r="X1957" s="109" t="s">
        <v>432</v>
      </c>
      <c r="Y1957" s="109" t="s">
        <v>432</v>
      </c>
      <c r="Z1957" s="109" t="s">
        <v>432</v>
      </c>
      <c r="AA1957" s="109" t="s">
        <v>432</v>
      </c>
      <c r="AB1957" s="109" t="s">
        <v>432</v>
      </c>
      <c r="AC1957" s="109" t="s">
        <v>432</v>
      </c>
      <c r="AD1957" s="109" t="s">
        <v>432</v>
      </c>
      <c r="AE1957" s="109" t="s">
        <v>432</v>
      </c>
      <c r="AF1957" s="109" t="s">
        <v>432</v>
      </c>
      <c r="AG1957" s="109" t="s">
        <v>432</v>
      </c>
      <c r="AH1957" s="109" t="s">
        <v>432</v>
      </c>
      <c r="AI1957" s="109" t="s">
        <v>432</v>
      </c>
      <c r="AJ1957" s="109" t="s">
        <v>432</v>
      </c>
      <c r="AK1957" s="137" t="s">
        <v>432</v>
      </c>
      <c r="AL1957" s="601" t="s">
        <v>432</v>
      </c>
      <c r="AM1957" s="137" t="s">
        <v>432</v>
      </c>
      <c r="AN1957" s="137" t="s">
        <v>432</v>
      </c>
      <c r="AO1957" s="137" t="s">
        <v>432</v>
      </c>
      <c r="AP1957" s="137" t="s">
        <v>432</v>
      </c>
      <c r="AQ1957" s="137" t="s">
        <v>432</v>
      </c>
      <c r="AR1957" s="137" t="s">
        <v>432</v>
      </c>
      <c r="AS1957" s="137" t="s">
        <v>432</v>
      </c>
      <c r="AT1957" s="137" t="s">
        <v>432</v>
      </c>
      <c r="AU1957" s="137" t="s">
        <v>432</v>
      </c>
      <c r="AV1957" s="137" t="s">
        <v>432</v>
      </c>
      <c r="AW1957" s="137" t="s">
        <v>432</v>
      </c>
      <c r="AX1957" s="137" t="s">
        <v>432</v>
      </c>
      <c r="AY1957" s="137" t="s">
        <v>432</v>
      </c>
      <c r="AZ1957" s="137" t="s">
        <v>432</v>
      </c>
      <c r="BA1957" s="137" t="s">
        <v>432</v>
      </c>
      <c r="BB1957" s="239" t="str">
        <f t="shared" si="574"/>
        <v>Normas produzidasx</v>
      </c>
      <c r="BC1957" s="239" t="str">
        <f t="shared" si="575"/>
        <v>Normas produzidasxsigla/verbete</v>
      </c>
      <c r="BD1957" s="239" t="str">
        <f t="shared" si="576"/>
        <v>Normas produzidassigla/verbete</v>
      </c>
    </row>
    <row r="1958" spans="1:56" s="1" customFormat="1" ht="116.25" customHeight="1" x14ac:dyDescent="0.25">
      <c r="A1958" s="262" t="str">
        <f>'Q100b-totais'!B24</f>
        <v>3.1</v>
      </c>
      <c r="B1958" s="252" t="str">
        <f>'Q100b-totais'!C24</f>
        <v>Normas produzidas</v>
      </c>
      <c r="C1958" s="229" t="s">
        <v>743</v>
      </c>
      <c r="D1958" s="324" t="s">
        <v>2476</v>
      </c>
      <c r="E1958" s="1496" t="s">
        <v>3459</v>
      </c>
      <c r="F1958" s="53" t="s">
        <v>3505</v>
      </c>
      <c r="G1958" s="230" t="s">
        <v>3507</v>
      </c>
      <c r="H1958" s="167" t="s">
        <v>2408</v>
      </c>
      <c r="I1958" s="167" t="s">
        <v>432</v>
      </c>
      <c r="J1958" s="109" t="s">
        <v>432</v>
      </c>
      <c r="K1958" s="109" t="s">
        <v>432</v>
      </c>
      <c r="L1958" s="109" t="s">
        <v>432</v>
      </c>
      <c r="M1958" s="109" t="s">
        <v>432</v>
      </c>
      <c r="N1958" s="109" t="s">
        <v>432</v>
      </c>
      <c r="O1958" s="109" t="s">
        <v>432</v>
      </c>
      <c r="P1958" s="109" t="s">
        <v>432</v>
      </c>
      <c r="Q1958" s="109" t="s">
        <v>432</v>
      </c>
      <c r="R1958" s="109" t="s">
        <v>432</v>
      </c>
      <c r="S1958" s="109" t="s">
        <v>2209</v>
      </c>
      <c r="T1958" s="109" t="s">
        <v>432</v>
      </c>
      <c r="U1958" s="109" t="s">
        <v>432</v>
      </c>
      <c r="V1958" s="109" t="s">
        <v>2209</v>
      </c>
      <c r="W1958" s="109" t="s">
        <v>432</v>
      </c>
      <c r="X1958" s="109" t="s">
        <v>432</v>
      </c>
      <c r="Y1958" s="109" t="s">
        <v>432</v>
      </c>
      <c r="Z1958" s="109" t="s">
        <v>432</v>
      </c>
      <c r="AA1958" s="109" t="s">
        <v>432</v>
      </c>
      <c r="AB1958" s="109" t="s">
        <v>432</v>
      </c>
      <c r="AC1958" s="109" t="s">
        <v>432</v>
      </c>
      <c r="AD1958" s="109" t="s">
        <v>432</v>
      </c>
      <c r="AE1958" s="109" t="s">
        <v>432</v>
      </c>
      <c r="AF1958" s="109" t="s">
        <v>432</v>
      </c>
      <c r="AG1958" s="109" t="s">
        <v>432</v>
      </c>
      <c r="AH1958" s="109" t="s">
        <v>432</v>
      </c>
      <c r="AI1958" s="109" t="s">
        <v>432</v>
      </c>
      <c r="AJ1958" s="109" t="s">
        <v>432</v>
      </c>
      <c r="AK1958" s="137" t="s">
        <v>432</v>
      </c>
      <c r="AL1958" s="601" t="s">
        <v>432</v>
      </c>
      <c r="AM1958" s="137" t="s">
        <v>432</v>
      </c>
      <c r="AN1958" s="137" t="s">
        <v>432</v>
      </c>
      <c r="AO1958" s="137" t="s">
        <v>432</v>
      </c>
      <c r="AP1958" s="137" t="s">
        <v>432</v>
      </c>
      <c r="AQ1958" s="137" t="s">
        <v>432</v>
      </c>
      <c r="AR1958" s="137" t="s">
        <v>432</v>
      </c>
      <c r="AS1958" s="137" t="s">
        <v>432</v>
      </c>
      <c r="AT1958" s="137" t="s">
        <v>432</v>
      </c>
      <c r="AU1958" s="137" t="s">
        <v>432</v>
      </c>
      <c r="AV1958" s="137" t="s">
        <v>432</v>
      </c>
      <c r="AW1958" s="137" t="s">
        <v>432</v>
      </c>
      <c r="AX1958" s="137" t="s">
        <v>432</v>
      </c>
      <c r="AY1958" s="137" t="s">
        <v>432</v>
      </c>
      <c r="AZ1958" s="137" t="s">
        <v>432</v>
      </c>
      <c r="BA1958" s="137" t="s">
        <v>432</v>
      </c>
      <c r="BB1958" s="239" t="str">
        <f t="shared" si="574"/>
        <v>Normas produzidasacessibilidade</v>
      </c>
      <c r="BC1958" s="239" t="str">
        <f t="shared" si="575"/>
        <v>Normas produzidasacessibilidadesigla/verbete</v>
      </c>
      <c r="BD1958" s="239" t="str">
        <f t="shared" si="576"/>
        <v>Normas produzidassigla/verbete</v>
      </c>
    </row>
    <row r="1959" spans="1:56" s="1" customFormat="1" ht="40.5" customHeight="1" x14ac:dyDescent="0.25">
      <c r="A1959" s="262" t="str">
        <f>'Q100b-totais'!B24</f>
        <v>3.1</v>
      </c>
      <c r="B1959" s="252" t="str">
        <f>'Q100b-totais'!C24</f>
        <v>Normas produzidas</v>
      </c>
      <c r="C1959" s="229" t="s">
        <v>743</v>
      </c>
      <c r="D1959" s="324" t="s">
        <v>2476</v>
      </c>
      <c r="E1959" s="1496" t="s">
        <v>1371</v>
      </c>
      <c r="F1959" s="1097" t="s">
        <v>4295</v>
      </c>
      <c r="G1959" s="230" t="s">
        <v>3507</v>
      </c>
      <c r="H1959" s="167" t="s">
        <v>2408</v>
      </c>
      <c r="I1959" s="167" t="s">
        <v>432</v>
      </c>
      <c r="J1959" s="109" t="s">
        <v>432</v>
      </c>
      <c r="K1959" s="109" t="s">
        <v>432</v>
      </c>
      <c r="L1959" s="109" t="s">
        <v>432</v>
      </c>
      <c r="M1959" s="109" t="s">
        <v>432</v>
      </c>
      <c r="N1959" s="109" t="s">
        <v>432</v>
      </c>
      <c r="O1959" s="109" t="s">
        <v>432</v>
      </c>
      <c r="P1959" s="109" t="s">
        <v>432</v>
      </c>
      <c r="Q1959" s="109" t="s">
        <v>432</v>
      </c>
      <c r="R1959" s="109" t="s">
        <v>432</v>
      </c>
      <c r="S1959" s="109" t="s">
        <v>2209</v>
      </c>
      <c r="T1959" s="109" t="s">
        <v>432</v>
      </c>
      <c r="U1959" s="109" t="s">
        <v>432</v>
      </c>
      <c r="V1959" s="109" t="s">
        <v>2209</v>
      </c>
      <c r="W1959" s="109" t="s">
        <v>432</v>
      </c>
      <c r="X1959" s="109" t="s">
        <v>432</v>
      </c>
      <c r="Y1959" s="109" t="s">
        <v>432</v>
      </c>
      <c r="Z1959" s="109" t="s">
        <v>432</v>
      </c>
      <c r="AA1959" s="109" t="s">
        <v>432</v>
      </c>
      <c r="AB1959" s="109" t="s">
        <v>432</v>
      </c>
      <c r="AC1959" s="109" t="s">
        <v>432</v>
      </c>
      <c r="AD1959" s="109" t="s">
        <v>432</v>
      </c>
      <c r="AE1959" s="109" t="s">
        <v>432</v>
      </c>
      <c r="AF1959" s="109" t="s">
        <v>432</v>
      </c>
      <c r="AG1959" s="109" t="s">
        <v>432</v>
      </c>
      <c r="AH1959" s="109" t="s">
        <v>432</v>
      </c>
      <c r="AI1959" s="109" t="s">
        <v>432</v>
      </c>
      <c r="AJ1959" s="109" t="s">
        <v>432</v>
      </c>
      <c r="AK1959" s="137" t="s">
        <v>432</v>
      </c>
      <c r="AL1959" s="601" t="s">
        <v>432</v>
      </c>
      <c r="AM1959" s="137" t="s">
        <v>432</v>
      </c>
      <c r="AN1959" s="137" t="s">
        <v>432</v>
      </c>
      <c r="AO1959" s="137" t="s">
        <v>432</v>
      </c>
      <c r="AP1959" s="137" t="s">
        <v>432</v>
      </c>
      <c r="AQ1959" s="137" t="s">
        <v>432</v>
      </c>
      <c r="AR1959" s="137" t="s">
        <v>432</v>
      </c>
      <c r="AS1959" s="137" t="s">
        <v>432</v>
      </c>
      <c r="AT1959" s="137" t="s">
        <v>432</v>
      </c>
      <c r="AU1959" s="137" t="s">
        <v>432</v>
      </c>
      <c r="AV1959" s="137" t="s">
        <v>432</v>
      </c>
      <c r="AW1959" s="137" t="s">
        <v>432</v>
      </c>
      <c r="AX1959" s="137" t="s">
        <v>432</v>
      </c>
      <c r="AY1959" s="137" t="s">
        <v>432</v>
      </c>
      <c r="AZ1959" s="137" t="s">
        <v>432</v>
      </c>
      <c r="BA1959" s="137" t="s">
        <v>432</v>
      </c>
      <c r="BB1959" s="239" t="str">
        <f t="shared" si="574"/>
        <v>Normas produzidasacessibilidade</v>
      </c>
      <c r="BC1959" s="239" t="str">
        <f t="shared" si="575"/>
        <v>Normas produzidasacessibilidadesigla/verbete</v>
      </c>
      <c r="BD1959" s="239" t="str">
        <f t="shared" si="576"/>
        <v>Normas produzidassigla/verbete</v>
      </c>
    </row>
    <row r="1960" spans="1:56" s="1" customFormat="1" ht="246" customHeight="1" x14ac:dyDescent="0.25">
      <c r="A1960" s="262" t="str">
        <f>'Q100b-totais'!B24</f>
        <v>3.1</v>
      </c>
      <c r="B1960" s="252" t="str">
        <f>'Q100b-totais'!C24</f>
        <v>Normas produzidas</v>
      </c>
      <c r="C1960" s="229" t="s">
        <v>743</v>
      </c>
      <c r="D1960" s="324" t="s">
        <v>2476</v>
      </c>
      <c r="E1960" s="1496" t="s">
        <v>1266</v>
      </c>
      <c r="F1960" s="11" t="s">
        <v>3503</v>
      </c>
      <c r="G1960" s="230" t="s">
        <v>3507</v>
      </c>
      <c r="H1960" s="167" t="s">
        <v>2408</v>
      </c>
      <c r="I1960" s="167" t="s">
        <v>432</v>
      </c>
      <c r="J1960" s="109" t="s">
        <v>432</v>
      </c>
      <c r="K1960" s="109" t="s">
        <v>432</v>
      </c>
      <c r="L1960" s="109" t="s">
        <v>432</v>
      </c>
      <c r="M1960" s="109" t="s">
        <v>432</v>
      </c>
      <c r="N1960" s="109" t="s">
        <v>432</v>
      </c>
      <c r="O1960" s="109" t="s">
        <v>432</v>
      </c>
      <c r="P1960" s="109" t="s">
        <v>432</v>
      </c>
      <c r="Q1960" s="109" t="s">
        <v>432</v>
      </c>
      <c r="R1960" s="109" t="s">
        <v>432</v>
      </c>
      <c r="S1960" s="109" t="s">
        <v>2209</v>
      </c>
      <c r="T1960" s="109" t="s">
        <v>432</v>
      </c>
      <c r="U1960" s="109" t="s">
        <v>432</v>
      </c>
      <c r="V1960" s="109" t="s">
        <v>2209</v>
      </c>
      <c r="W1960" s="109" t="s">
        <v>432</v>
      </c>
      <c r="X1960" s="109" t="s">
        <v>432</v>
      </c>
      <c r="Y1960" s="109" t="s">
        <v>432</v>
      </c>
      <c r="Z1960" s="109" t="s">
        <v>432</v>
      </c>
      <c r="AA1960" s="109" t="s">
        <v>432</v>
      </c>
      <c r="AB1960" s="109" t="s">
        <v>432</v>
      </c>
      <c r="AC1960" s="109" t="s">
        <v>432</v>
      </c>
      <c r="AD1960" s="109" t="s">
        <v>432</v>
      </c>
      <c r="AE1960" s="109" t="s">
        <v>432</v>
      </c>
      <c r="AF1960" s="109" t="s">
        <v>432</v>
      </c>
      <c r="AG1960" s="109" t="s">
        <v>432</v>
      </c>
      <c r="AH1960" s="109" t="s">
        <v>432</v>
      </c>
      <c r="AI1960" s="109" t="s">
        <v>432</v>
      </c>
      <c r="AJ1960" s="109" t="s">
        <v>432</v>
      </c>
      <c r="AK1960" s="137" t="s">
        <v>432</v>
      </c>
      <c r="AL1960" s="601" t="s">
        <v>432</v>
      </c>
      <c r="AM1960" s="137" t="s">
        <v>432</v>
      </c>
      <c r="AN1960" s="137" t="s">
        <v>432</v>
      </c>
      <c r="AO1960" s="137" t="s">
        <v>432</v>
      </c>
      <c r="AP1960" s="137" t="s">
        <v>432</v>
      </c>
      <c r="AQ1960" s="137" t="s">
        <v>432</v>
      </c>
      <c r="AR1960" s="137" t="s">
        <v>432</v>
      </c>
      <c r="AS1960" s="137" t="s">
        <v>432</v>
      </c>
      <c r="AT1960" s="137" t="s">
        <v>432</v>
      </c>
      <c r="AU1960" s="137" t="s">
        <v>432</v>
      </c>
      <c r="AV1960" s="137" t="s">
        <v>432</v>
      </c>
      <c r="AW1960" s="137" t="s">
        <v>432</v>
      </c>
      <c r="AX1960" s="137" t="s">
        <v>432</v>
      </c>
      <c r="AY1960" s="137" t="s">
        <v>432</v>
      </c>
      <c r="AZ1960" s="137" t="s">
        <v>432</v>
      </c>
      <c r="BA1960" s="137" t="s">
        <v>432</v>
      </c>
      <c r="BB1960" s="239" t="str">
        <f t="shared" si="574"/>
        <v>Normas produzidasacessibilidade</v>
      </c>
      <c r="BC1960" s="239" t="str">
        <f t="shared" si="575"/>
        <v>Normas produzidasacessibilidadesigla/verbete</v>
      </c>
      <c r="BD1960" s="239" t="str">
        <f t="shared" si="576"/>
        <v>Normas produzidassigla/verbete</v>
      </c>
    </row>
    <row r="1961" spans="1:56" s="1" customFormat="1" ht="48" customHeight="1" x14ac:dyDescent="0.25">
      <c r="A1961" s="262" t="str">
        <f>'Q100b-totais'!B24</f>
        <v>3.1</v>
      </c>
      <c r="B1961" s="252" t="str">
        <f>'Q100b-totais'!C24</f>
        <v>Normas produzidas</v>
      </c>
      <c r="C1961" s="229" t="s">
        <v>743</v>
      </c>
      <c r="D1961" s="324" t="s">
        <v>2476</v>
      </c>
      <c r="E1961" s="1496" t="s">
        <v>2056</v>
      </c>
      <c r="F1961" s="1205" t="s">
        <v>5451</v>
      </c>
      <c r="G1961" s="230" t="s">
        <v>3507</v>
      </c>
      <c r="H1961" s="167" t="s">
        <v>2408</v>
      </c>
      <c r="I1961" s="167" t="s">
        <v>432</v>
      </c>
      <c r="J1961" s="109" t="s">
        <v>432</v>
      </c>
      <c r="K1961" s="109" t="s">
        <v>432</v>
      </c>
      <c r="L1961" s="109" t="s">
        <v>432</v>
      </c>
      <c r="M1961" s="109" t="s">
        <v>432</v>
      </c>
      <c r="N1961" s="109" t="s">
        <v>432</v>
      </c>
      <c r="O1961" s="109" t="s">
        <v>432</v>
      </c>
      <c r="P1961" s="109" t="s">
        <v>432</v>
      </c>
      <c r="Q1961" s="109" t="s">
        <v>432</v>
      </c>
      <c r="R1961" s="109" t="s">
        <v>432</v>
      </c>
      <c r="S1961" s="109" t="s">
        <v>2209</v>
      </c>
      <c r="T1961" s="109" t="s">
        <v>432</v>
      </c>
      <c r="U1961" s="109" t="s">
        <v>432</v>
      </c>
      <c r="V1961" s="109" t="s">
        <v>2209</v>
      </c>
      <c r="W1961" s="109" t="s">
        <v>432</v>
      </c>
      <c r="X1961" s="109" t="s">
        <v>432</v>
      </c>
      <c r="Y1961" s="109" t="s">
        <v>432</v>
      </c>
      <c r="Z1961" s="109" t="s">
        <v>432</v>
      </c>
      <c r="AA1961" s="109" t="s">
        <v>432</v>
      </c>
      <c r="AB1961" s="109" t="s">
        <v>432</v>
      </c>
      <c r="AC1961" s="109" t="s">
        <v>432</v>
      </c>
      <c r="AD1961" s="109" t="s">
        <v>432</v>
      </c>
      <c r="AE1961" s="109" t="s">
        <v>432</v>
      </c>
      <c r="AF1961" s="109" t="s">
        <v>432</v>
      </c>
      <c r="AG1961" s="109" t="s">
        <v>432</v>
      </c>
      <c r="AH1961" s="109" t="s">
        <v>432</v>
      </c>
      <c r="AI1961" s="109" t="s">
        <v>432</v>
      </c>
      <c r="AJ1961" s="109" t="s">
        <v>432</v>
      </c>
      <c r="AK1961" s="137" t="s">
        <v>432</v>
      </c>
      <c r="AL1961" s="601" t="s">
        <v>432</v>
      </c>
      <c r="AM1961" s="137" t="s">
        <v>432</v>
      </c>
      <c r="AN1961" s="137" t="s">
        <v>432</v>
      </c>
      <c r="AO1961" s="137" t="s">
        <v>432</v>
      </c>
      <c r="AP1961" s="137" t="s">
        <v>432</v>
      </c>
      <c r="AQ1961" s="137" t="s">
        <v>432</v>
      </c>
      <c r="AR1961" s="137" t="s">
        <v>432</v>
      </c>
      <c r="AS1961" s="137" t="s">
        <v>432</v>
      </c>
      <c r="AT1961" s="137" t="s">
        <v>432</v>
      </c>
      <c r="AU1961" s="137" t="s">
        <v>432</v>
      </c>
      <c r="AV1961" s="137" t="s">
        <v>432</v>
      </c>
      <c r="AW1961" s="137" t="s">
        <v>432</v>
      </c>
      <c r="AX1961" s="137" t="s">
        <v>432</v>
      </c>
      <c r="AY1961" s="137" t="s">
        <v>432</v>
      </c>
      <c r="AZ1961" s="137" t="s">
        <v>432</v>
      </c>
      <c r="BA1961" s="137" t="s">
        <v>432</v>
      </c>
      <c r="BB1961" s="239" t="str">
        <f>B1961&amp;C1961</f>
        <v>Normas produzidasacessibilidade</v>
      </c>
      <c r="BC1961" s="239" t="str">
        <f>B1961&amp;C1961&amp;H1961</f>
        <v>Normas produzidasacessibilidadesigla/verbete</v>
      </c>
      <c r="BD1961" s="239" t="str">
        <f>B1961&amp;H1961</f>
        <v>Normas produzidassigla/verbete</v>
      </c>
    </row>
    <row r="1962" spans="1:56" s="1" customFormat="1" ht="176.25" customHeight="1" x14ac:dyDescent="0.25">
      <c r="A1962" s="262" t="str">
        <f>'Q100b-totais'!B24</f>
        <v>3.1</v>
      </c>
      <c r="B1962" s="252" t="str">
        <f>'Q100b-totais'!C24</f>
        <v>Normas produzidas</v>
      </c>
      <c r="C1962" s="229" t="s">
        <v>743</v>
      </c>
      <c r="D1962" s="324" t="s">
        <v>2476</v>
      </c>
      <c r="E1962" s="1496" t="s">
        <v>1298</v>
      </c>
      <c r="F1962" s="11" t="s">
        <v>3490</v>
      </c>
      <c r="G1962" s="230" t="s">
        <v>3507</v>
      </c>
      <c r="H1962" s="167" t="s">
        <v>2408</v>
      </c>
      <c r="I1962" s="167" t="s">
        <v>432</v>
      </c>
      <c r="J1962" s="109" t="s">
        <v>432</v>
      </c>
      <c r="K1962" s="109" t="s">
        <v>432</v>
      </c>
      <c r="L1962" s="109" t="s">
        <v>432</v>
      </c>
      <c r="M1962" s="109" t="s">
        <v>432</v>
      </c>
      <c r="N1962" s="109" t="s">
        <v>432</v>
      </c>
      <c r="O1962" s="109" t="s">
        <v>432</v>
      </c>
      <c r="P1962" s="109" t="s">
        <v>432</v>
      </c>
      <c r="Q1962" s="109" t="s">
        <v>432</v>
      </c>
      <c r="R1962" s="109" t="s">
        <v>432</v>
      </c>
      <c r="S1962" s="109" t="s">
        <v>2209</v>
      </c>
      <c r="T1962" s="109" t="s">
        <v>432</v>
      </c>
      <c r="U1962" s="109" t="s">
        <v>432</v>
      </c>
      <c r="V1962" s="109" t="s">
        <v>2209</v>
      </c>
      <c r="W1962" s="109" t="s">
        <v>432</v>
      </c>
      <c r="X1962" s="109" t="s">
        <v>432</v>
      </c>
      <c r="Y1962" s="109" t="s">
        <v>432</v>
      </c>
      <c r="Z1962" s="109" t="s">
        <v>432</v>
      </c>
      <c r="AA1962" s="109" t="s">
        <v>432</v>
      </c>
      <c r="AB1962" s="109" t="s">
        <v>432</v>
      </c>
      <c r="AC1962" s="109" t="s">
        <v>432</v>
      </c>
      <c r="AD1962" s="109" t="s">
        <v>432</v>
      </c>
      <c r="AE1962" s="109" t="s">
        <v>432</v>
      </c>
      <c r="AF1962" s="109" t="s">
        <v>432</v>
      </c>
      <c r="AG1962" s="109" t="s">
        <v>432</v>
      </c>
      <c r="AH1962" s="109" t="s">
        <v>432</v>
      </c>
      <c r="AI1962" s="109" t="s">
        <v>432</v>
      </c>
      <c r="AJ1962" s="109" t="s">
        <v>432</v>
      </c>
      <c r="AK1962" s="137" t="s">
        <v>432</v>
      </c>
      <c r="AL1962" s="601" t="s">
        <v>432</v>
      </c>
      <c r="AM1962" s="137" t="s">
        <v>432</v>
      </c>
      <c r="AN1962" s="137" t="s">
        <v>432</v>
      </c>
      <c r="AO1962" s="137" t="s">
        <v>432</v>
      </c>
      <c r="AP1962" s="137" t="s">
        <v>432</v>
      </c>
      <c r="AQ1962" s="137" t="s">
        <v>432</v>
      </c>
      <c r="AR1962" s="137" t="s">
        <v>432</v>
      </c>
      <c r="AS1962" s="137" t="s">
        <v>432</v>
      </c>
      <c r="AT1962" s="137" t="s">
        <v>432</v>
      </c>
      <c r="AU1962" s="137" t="s">
        <v>432</v>
      </c>
      <c r="AV1962" s="137" t="s">
        <v>432</v>
      </c>
      <c r="AW1962" s="137" t="s">
        <v>432</v>
      </c>
      <c r="AX1962" s="137" t="s">
        <v>432</v>
      </c>
      <c r="AY1962" s="137" t="s">
        <v>432</v>
      </c>
      <c r="AZ1962" s="137" t="s">
        <v>432</v>
      </c>
      <c r="BA1962" s="137" t="s">
        <v>432</v>
      </c>
      <c r="BB1962" s="239" t="str">
        <f t="shared" si="574"/>
        <v>Normas produzidasacessibilidade</v>
      </c>
      <c r="BC1962" s="239" t="str">
        <f t="shared" si="575"/>
        <v>Normas produzidasacessibilidadesigla/verbete</v>
      </c>
      <c r="BD1962" s="239" t="str">
        <f t="shared" si="576"/>
        <v>Normas produzidassigla/verbete</v>
      </c>
    </row>
    <row r="1963" spans="1:56" s="1" customFormat="1" ht="66" customHeight="1" x14ac:dyDescent="0.25">
      <c r="A1963" s="262" t="str">
        <f>'Q100b-totais'!B24</f>
        <v>3.1</v>
      </c>
      <c r="B1963" s="252" t="str">
        <f>'Q100b-totais'!C24</f>
        <v>Normas produzidas</v>
      </c>
      <c r="C1963" s="229" t="s">
        <v>743</v>
      </c>
      <c r="D1963" s="324" t="s">
        <v>2476</v>
      </c>
      <c r="E1963" s="1496" t="s">
        <v>5317</v>
      </c>
      <c r="F1963" s="1205" t="s">
        <v>5318</v>
      </c>
      <c r="G1963" s="230" t="s">
        <v>3507</v>
      </c>
      <c r="H1963" s="167" t="s">
        <v>2408</v>
      </c>
      <c r="I1963" s="167" t="s">
        <v>432</v>
      </c>
      <c r="J1963" s="109" t="s">
        <v>432</v>
      </c>
      <c r="K1963" s="109" t="s">
        <v>432</v>
      </c>
      <c r="L1963" s="109" t="s">
        <v>432</v>
      </c>
      <c r="M1963" s="109" t="s">
        <v>432</v>
      </c>
      <c r="N1963" s="109" t="s">
        <v>432</v>
      </c>
      <c r="O1963" s="109" t="s">
        <v>432</v>
      </c>
      <c r="P1963" s="109" t="s">
        <v>432</v>
      </c>
      <c r="Q1963" s="109" t="s">
        <v>432</v>
      </c>
      <c r="R1963" s="109" t="s">
        <v>432</v>
      </c>
      <c r="S1963" s="109" t="s">
        <v>2209</v>
      </c>
      <c r="T1963" s="109" t="s">
        <v>432</v>
      </c>
      <c r="U1963" s="109" t="s">
        <v>432</v>
      </c>
      <c r="V1963" s="109" t="s">
        <v>2209</v>
      </c>
      <c r="W1963" s="109" t="s">
        <v>432</v>
      </c>
      <c r="X1963" s="109" t="s">
        <v>432</v>
      </c>
      <c r="Y1963" s="109" t="s">
        <v>432</v>
      </c>
      <c r="Z1963" s="109" t="s">
        <v>432</v>
      </c>
      <c r="AA1963" s="109" t="s">
        <v>432</v>
      </c>
      <c r="AB1963" s="109" t="s">
        <v>432</v>
      </c>
      <c r="AC1963" s="109" t="s">
        <v>432</v>
      </c>
      <c r="AD1963" s="109" t="s">
        <v>432</v>
      </c>
      <c r="AE1963" s="109" t="s">
        <v>432</v>
      </c>
      <c r="AF1963" s="109" t="s">
        <v>432</v>
      </c>
      <c r="AG1963" s="109" t="s">
        <v>432</v>
      </c>
      <c r="AH1963" s="109" t="s">
        <v>432</v>
      </c>
      <c r="AI1963" s="109" t="s">
        <v>432</v>
      </c>
      <c r="AJ1963" s="109" t="s">
        <v>432</v>
      </c>
      <c r="AK1963" s="137" t="s">
        <v>432</v>
      </c>
      <c r="AL1963" s="601" t="s">
        <v>432</v>
      </c>
      <c r="AM1963" s="137" t="s">
        <v>432</v>
      </c>
      <c r="AN1963" s="137" t="s">
        <v>432</v>
      </c>
      <c r="AO1963" s="137" t="s">
        <v>432</v>
      </c>
      <c r="AP1963" s="137" t="s">
        <v>432</v>
      </c>
      <c r="AQ1963" s="137" t="s">
        <v>432</v>
      </c>
      <c r="AR1963" s="137" t="s">
        <v>432</v>
      </c>
      <c r="AS1963" s="137" t="s">
        <v>432</v>
      </c>
      <c r="AT1963" s="137" t="s">
        <v>432</v>
      </c>
      <c r="AU1963" s="137" t="s">
        <v>432</v>
      </c>
      <c r="AV1963" s="137" t="s">
        <v>432</v>
      </c>
      <c r="AW1963" s="137" t="s">
        <v>432</v>
      </c>
      <c r="AX1963" s="137" t="s">
        <v>432</v>
      </c>
      <c r="AY1963" s="137" t="s">
        <v>432</v>
      </c>
      <c r="AZ1963" s="137" t="s">
        <v>432</v>
      </c>
      <c r="BA1963" s="137" t="s">
        <v>432</v>
      </c>
      <c r="BB1963" s="239" t="str">
        <f t="shared" si="574"/>
        <v>Normas produzidasacessibilidade</v>
      </c>
      <c r="BC1963" s="239" t="str">
        <f t="shared" si="575"/>
        <v>Normas produzidasacessibilidadesigla/verbete</v>
      </c>
      <c r="BD1963" s="239" t="str">
        <f t="shared" si="576"/>
        <v>Normas produzidassigla/verbete</v>
      </c>
    </row>
    <row r="1964" spans="1:56" s="1" customFormat="1" ht="66" customHeight="1" x14ac:dyDescent="0.25">
      <c r="A1964" s="262" t="str">
        <f>'Q100b-totais'!B24</f>
        <v>3.1</v>
      </c>
      <c r="B1964" s="252" t="str">
        <f>'Q100b-totais'!C24</f>
        <v>Normas produzidas</v>
      </c>
      <c r="C1964" s="229" t="s">
        <v>743</v>
      </c>
      <c r="D1964" s="324" t="s">
        <v>2547</v>
      </c>
      <c r="E1964" s="1496" t="s">
        <v>1306</v>
      </c>
      <c r="F1964" s="1205" t="s">
        <v>5457</v>
      </c>
      <c r="G1964" s="230" t="s">
        <v>3719</v>
      </c>
      <c r="H1964" s="167" t="s">
        <v>2408</v>
      </c>
      <c r="I1964" s="167" t="s">
        <v>432</v>
      </c>
      <c r="J1964" s="109" t="s">
        <v>432</v>
      </c>
      <c r="K1964" s="109" t="s">
        <v>432</v>
      </c>
      <c r="L1964" s="109" t="s">
        <v>432</v>
      </c>
      <c r="M1964" s="109" t="s">
        <v>432</v>
      </c>
      <c r="N1964" s="109" t="s">
        <v>432</v>
      </c>
      <c r="O1964" s="109" t="s">
        <v>432</v>
      </c>
      <c r="P1964" s="109" t="s">
        <v>432</v>
      </c>
      <c r="Q1964" s="109" t="s">
        <v>432</v>
      </c>
      <c r="R1964" s="109" t="s">
        <v>432</v>
      </c>
      <c r="S1964" s="109" t="s">
        <v>2209</v>
      </c>
      <c r="T1964" s="109" t="s">
        <v>432</v>
      </c>
      <c r="U1964" s="109" t="s">
        <v>432</v>
      </c>
      <c r="V1964" s="109" t="s">
        <v>2209</v>
      </c>
      <c r="W1964" s="109" t="s">
        <v>432</v>
      </c>
      <c r="X1964" s="109" t="s">
        <v>432</v>
      </c>
      <c r="Y1964" s="109" t="s">
        <v>432</v>
      </c>
      <c r="Z1964" s="109" t="s">
        <v>432</v>
      </c>
      <c r="AA1964" s="109" t="s">
        <v>432</v>
      </c>
      <c r="AB1964" s="109" t="s">
        <v>432</v>
      </c>
      <c r="AC1964" s="109" t="s">
        <v>432</v>
      </c>
      <c r="AD1964" s="109" t="s">
        <v>432</v>
      </c>
      <c r="AE1964" s="109" t="s">
        <v>432</v>
      </c>
      <c r="AF1964" s="109" t="s">
        <v>432</v>
      </c>
      <c r="AG1964" s="109" t="s">
        <v>432</v>
      </c>
      <c r="AH1964" s="109" t="s">
        <v>432</v>
      </c>
      <c r="AI1964" s="109" t="s">
        <v>432</v>
      </c>
      <c r="AJ1964" s="109" t="s">
        <v>432</v>
      </c>
      <c r="AK1964" s="137" t="s">
        <v>432</v>
      </c>
      <c r="AL1964" s="601" t="s">
        <v>432</v>
      </c>
      <c r="AM1964" s="137" t="s">
        <v>432</v>
      </c>
      <c r="AN1964" s="137" t="s">
        <v>432</v>
      </c>
      <c r="AO1964" s="137" t="s">
        <v>432</v>
      </c>
      <c r="AP1964" s="137" t="s">
        <v>432</v>
      </c>
      <c r="AQ1964" s="137" t="s">
        <v>432</v>
      </c>
      <c r="AR1964" s="137" t="s">
        <v>432</v>
      </c>
      <c r="AS1964" s="137" t="s">
        <v>432</v>
      </c>
      <c r="AT1964" s="137" t="s">
        <v>432</v>
      </c>
      <c r="AU1964" s="137" t="s">
        <v>432</v>
      </c>
      <c r="AV1964" s="137" t="s">
        <v>432</v>
      </c>
      <c r="AW1964" s="137" t="s">
        <v>432</v>
      </c>
      <c r="AX1964" s="137" t="s">
        <v>432</v>
      </c>
      <c r="AY1964" s="137" t="s">
        <v>432</v>
      </c>
      <c r="AZ1964" s="137" t="s">
        <v>432</v>
      </c>
      <c r="BA1964" s="137" t="s">
        <v>432</v>
      </c>
      <c r="BB1964" s="239" t="str">
        <f>B1964&amp;C1964</f>
        <v>Normas produzidasacessibilidade</v>
      </c>
      <c r="BC1964" s="239" t="str">
        <f>B1964&amp;C1964&amp;H1964</f>
        <v>Normas produzidasacessibilidadesigla/verbete</v>
      </c>
      <c r="BD1964" s="239" t="str">
        <f>B1964&amp;H1964</f>
        <v>Normas produzidassigla/verbete</v>
      </c>
    </row>
    <row r="1965" spans="1:56" s="1" customFormat="1" ht="66" customHeight="1" x14ac:dyDescent="0.25">
      <c r="A1965" s="262" t="str">
        <f>'Q100b-totais'!B24</f>
        <v>3.1</v>
      </c>
      <c r="B1965" s="252" t="str">
        <f>'Q100b-totais'!C24</f>
        <v>Normas produzidas</v>
      </c>
      <c r="C1965" s="229" t="s">
        <v>743</v>
      </c>
      <c r="D1965" s="324" t="s">
        <v>5453</v>
      </c>
      <c r="E1965" s="1496" t="s">
        <v>2056</v>
      </c>
      <c r="F1965" s="1205" t="s">
        <v>5458</v>
      </c>
      <c r="G1965" s="230" t="s">
        <v>3719</v>
      </c>
      <c r="H1965" s="167" t="s">
        <v>2408</v>
      </c>
      <c r="I1965" s="167" t="s">
        <v>432</v>
      </c>
      <c r="J1965" s="109" t="s">
        <v>432</v>
      </c>
      <c r="K1965" s="109" t="s">
        <v>432</v>
      </c>
      <c r="L1965" s="109" t="s">
        <v>432</v>
      </c>
      <c r="M1965" s="109" t="s">
        <v>432</v>
      </c>
      <c r="N1965" s="109" t="s">
        <v>432</v>
      </c>
      <c r="O1965" s="109" t="s">
        <v>432</v>
      </c>
      <c r="P1965" s="109" t="s">
        <v>432</v>
      </c>
      <c r="Q1965" s="109" t="s">
        <v>432</v>
      </c>
      <c r="R1965" s="109" t="s">
        <v>432</v>
      </c>
      <c r="S1965" s="109" t="s">
        <v>2209</v>
      </c>
      <c r="T1965" s="109" t="s">
        <v>432</v>
      </c>
      <c r="U1965" s="109" t="s">
        <v>432</v>
      </c>
      <c r="V1965" s="109" t="s">
        <v>2209</v>
      </c>
      <c r="W1965" s="109" t="s">
        <v>432</v>
      </c>
      <c r="X1965" s="109" t="s">
        <v>432</v>
      </c>
      <c r="Y1965" s="109" t="s">
        <v>432</v>
      </c>
      <c r="Z1965" s="109" t="s">
        <v>432</v>
      </c>
      <c r="AA1965" s="109" t="s">
        <v>432</v>
      </c>
      <c r="AB1965" s="109" t="s">
        <v>432</v>
      </c>
      <c r="AC1965" s="109" t="s">
        <v>432</v>
      </c>
      <c r="AD1965" s="109" t="s">
        <v>432</v>
      </c>
      <c r="AE1965" s="109" t="s">
        <v>432</v>
      </c>
      <c r="AF1965" s="109" t="s">
        <v>432</v>
      </c>
      <c r="AG1965" s="109" t="s">
        <v>432</v>
      </c>
      <c r="AH1965" s="109" t="s">
        <v>432</v>
      </c>
      <c r="AI1965" s="109" t="s">
        <v>432</v>
      </c>
      <c r="AJ1965" s="109" t="s">
        <v>432</v>
      </c>
      <c r="AK1965" s="137" t="s">
        <v>432</v>
      </c>
      <c r="AL1965" s="601" t="s">
        <v>432</v>
      </c>
      <c r="AM1965" s="137" t="s">
        <v>432</v>
      </c>
      <c r="AN1965" s="137" t="s">
        <v>432</v>
      </c>
      <c r="AO1965" s="137" t="s">
        <v>432</v>
      </c>
      <c r="AP1965" s="137" t="s">
        <v>432</v>
      </c>
      <c r="AQ1965" s="137" t="s">
        <v>432</v>
      </c>
      <c r="AR1965" s="137" t="s">
        <v>432</v>
      </c>
      <c r="AS1965" s="137" t="s">
        <v>432</v>
      </c>
      <c r="AT1965" s="137" t="s">
        <v>432</v>
      </c>
      <c r="AU1965" s="137" t="s">
        <v>432</v>
      </c>
      <c r="AV1965" s="137" t="s">
        <v>432</v>
      </c>
      <c r="AW1965" s="137" t="s">
        <v>432</v>
      </c>
      <c r="AX1965" s="137" t="s">
        <v>432</v>
      </c>
      <c r="AY1965" s="137" t="s">
        <v>432</v>
      </c>
      <c r="AZ1965" s="137" t="s">
        <v>432</v>
      </c>
      <c r="BA1965" s="137" t="s">
        <v>432</v>
      </c>
      <c r="BB1965" s="239" t="str">
        <f>B1965&amp;C1965</f>
        <v>Normas produzidasacessibilidade</v>
      </c>
      <c r="BC1965" s="239" t="str">
        <f>B1965&amp;C1965&amp;H1965</f>
        <v>Normas produzidasacessibilidadesigla/verbete</v>
      </c>
      <c r="BD1965" s="239" t="str">
        <f>B1965&amp;H1965</f>
        <v>Normas produzidassigla/verbete</v>
      </c>
    </row>
    <row r="1966" spans="1:56" s="1" customFormat="1" ht="66" customHeight="1" x14ac:dyDescent="0.25">
      <c r="A1966" s="262" t="str">
        <f>'Q100b-totais'!B24</f>
        <v>3.1</v>
      </c>
      <c r="B1966" s="252" t="str">
        <f>'Q100b-totais'!C24</f>
        <v>Normas produzidas</v>
      </c>
      <c r="C1966" s="229" t="s">
        <v>743</v>
      </c>
      <c r="D1966" s="324" t="s">
        <v>2475</v>
      </c>
      <c r="E1966" s="1496" t="s">
        <v>5320</v>
      </c>
      <c r="F1966" s="1205" t="s">
        <v>5321</v>
      </c>
      <c r="G1966" s="230" t="s">
        <v>3507</v>
      </c>
      <c r="H1966" s="167" t="s">
        <v>2408</v>
      </c>
      <c r="I1966" s="167" t="s">
        <v>432</v>
      </c>
      <c r="J1966" s="109" t="s">
        <v>432</v>
      </c>
      <c r="K1966" s="109" t="s">
        <v>432</v>
      </c>
      <c r="L1966" s="109" t="s">
        <v>432</v>
      </c>
      <c r="M1966" s="109" t="s">
        <v>432</v>
      </c>
      <c r="N1966" s="109" t="s">
        <v>432</v>
      </c>
      <c r="O1966" s="109" t="s">
        <v>432</v>
      </c>
      <c r="P1966" s="109" t="s">
        <v>432</v>
      </c>
      <c r="Q1966" s="109" t="s">
        <v>432</v>
      </c>
      <c r="R1966" s="109" t="s">
        <v>432</v>
      </c>
      <c r="S1966" s="109" t="s">
        <v>2209</v>
      </c>
      <c r="T1966" s="109" t="s">
        <v>432</v>
      </c>
      <c r="U1966" s="109" t="s">
        <v>432</v>
      </c>
      <c r="V1966" s="109" t="s">
        <v>2209</v>
      </c>
      <c r="W1966" s="109" t="s">
        <v>432</v>
      </c>
      <c r="X1966" s="109" t="s">
        <v>432</v>
      </c>
      <c r="Y1966" s="109" t="s">
        <v>432</v>
      </c>
      <c r="Z1966" s="109" t="s">
        <v>432</v>
      </c>
      <c r="AA1966" s="109" t="s">
        <v>432</v>
      </c>
      <c r="AB1966" s="109" t="s">
        <v>432</v>
      </c>
      <c r="AC1966" s="109" t="s">
        <v>432</v>
      </c>
      <c r="AD1966" s="109" t="s">
        <v>432</v>
      </c>
      <c r="AE1966" s="109" t="s">
        <v>432</v>
      </c>
      <c r="AF1966" s="109" t="s">
        <v>432</v>
      </c>
      <c r="AG1966" s="109" t="s">
        <v>432</v>
      </c>
      <c r="AH1966" s="109" t="s">
        <v>432</v>
      </c>
      <c r="AI1966" s="109" t="s">
        <v>432</v>
      </c>
      <c r="AJ1966" s="109" t="s">
        <v>432</v>
      </c>
      <c r="AK1966" s="137" t="s">
        <v>432</v>
      </c>
      <c r="AL1966" s="601" t="s">
        <v>432</v>
      </c>
      <c r="AM1966" s="137" t="s">
        <v>432</v>
      </c>
      <c r="AN1966" s="137" t="s">
        <v>432</v>
      </c>
      <c r="AO1966" s="137" t="s">
        <v>432</v>
      </c>
      <c r="AP1966" s="137" t="s">
        <v>432</v>
      </c>
      <c r="AQ1966" s="137" t="s">
        <v>432</v>
      </c>
      <c r="AR1966" s="137" t="s">
        <v>432</v>
      </c>
      <c r="AS1966" s="137" t="s">
        <v>432</v>
      </c>
      <c r="AT1966" s="137" t="s">
        <v>432</v>
      </c>
      <c r="AU1966" s="137" t="s">
        <v>432</v>
      </c>
      <c r="AV1966" s="137" t="s">
        <v>432</v>
      </c>
      <c r="AW1966" s="137" t="s">
        <v>432</v>
      </c>
      <c r="AX1966" s="137" t="s">
        <v>432</v>
      </c>
      <c r="AY1966" s="137" t="s">
        <v>432</v>
      </c>
      <c r="AZ1966" s="137" t="s">
        <v>432</v>
      </c>
      <c r="BA1966" s="137" t="s">
        <v>432</v>
      </c>
      <c r="BB1966" s="239" t="str">
        <f t="shared" si="574"/>
        <v>Normas produzidasacessibilidade</v>
      </c>
      <c r="BC1966" s="239" t="str">
        <f t="shared" si="575"/>
        <v>Normas produzidasacessibilidadesigla/verbete</v>
      </c>
      <c r="BD1966" s="239" t="str">
        <f t="shared" si="576"/>
        <v>Normas produzidassigla/verbete</v>
      </c>
    </row>
    <row r="1967" spans="1:56" s="1" customFormat="1" ht="86.25" customHeight="1" x14ac:dyDescent="0.25">
      <c r="A1967" s="262" t="str">
        <f>'Q100b-totais'!B24</f>
        <v>3.1</v>
      </c>
      <c r="B1967" s="252" t="str">
        <f>'Q100b-totais'!C24</f>
        <v>Normas produzidas</v>
      </c>
      <c r="C1967" s="229" t="s">
        <v>743</v>
      </c>
      <c r="D1967" s="324" t="s">
        <v>2475</v>
      </c>
      <c r="E1967" s="1496" t="s">
        <v>1306</v>
      </c>
      <c r="F1967" s="11" t="s">
        <v>2477</v>
      </c>
      <c r="G1967" s="230" t="s">
        <v>3507</v>
      </c>
      <c r="H1967" s="167" t="s">
        <v>2408</v>
      </c>
      <c r="I1967" s="167" t="s">
        <v>432</v>
      </c>
      <c r="J1967" s="109" t="s">
        <v>432</v>
      </c>
      <c r="K1967" s="109" t="s">
        <v>432</v>
      </c>
      <c r="L1967" s="109" t="s">
        <v>432</v>
      </c>
      <c r="M1967" s="109" t="s">
        <v>432</v>
      </c>
      <c r="N1967" s="109" t="s">
        <v>432</v>
      </c>
      <c r="O1967" s="109" t="s">
        <v>432</v>
      </c>
      <c r="P1967" s="109" t="s">
        <v>432</v>
      </c>
      <c r="Q1967" s="109" t="s">
        <v>432</v>
      </c>
      <c r="R1967" s="109" t="s">
        <v>432</v>
      </c>
      <c r="S1967" s="109" t="s">
        <v>2209</v>
      </c>
      <c r="T1967" s="109" t="s">
        <v>432</v>
      </c>
      <c r="U1967" s="109" t="s">
        <v>432</v>
      </c>
      <c r="V1967" s="109" t="s">
        <v>2209</v>
      </c>
      <c r="W1967" s="109" t="s">
        <v>432</v>
      </c>
      <c r="X1967" s="109" t="s">
        <v>432</v>
      </c>
      <c r="Y1967" s="109" t="s">
        <v>432</v>
      </c>
      <c r="Z1967" s="109" t="s">
        <v>432</v>
      </c>
      <c r="AA1967" s="109" t="s">
        <v>432</v>
      </c>
      <c r="AB1967" s="109" t="s">
        <v>432</v>
      </c>
      <c r="AC1967" s="109" t="s">
        <v>432</v>
      </c>
      <c r="AD1967" s="109" t="s">
        <v>432</v>
      </c>
      <c r="AE1967" s="109" t="s">
        <v>432</v>
      </c>
      <c r="AF1967" s="109" t="s">
        <v>432</v>
      </c>
      <c r="AG1967" s="109" t="s">
        <v>432</v>
      </c>
      <c r="AH1967" s="109" t="s">
        <v>432</v>
      </c>
      <c r="AI1967" s="109" t="s">
        <v>432</v>
      </c>
      <c r="AJ1967" s="109" t="s">
        <v>432</v>
      </c>
      <c r="AK1967" s="137" t="s">
        <v>432</v>
      </c>
      <c r="AL1967" s="601" t="s">
        <v>432</v>
      </c>
      <c r="AM1967" s="137" t="s">
        <v>432</v>
      </c>
      <c r="AN1967" s="137" t="s">
        <v>432</v>
      </c>
      <c r="AO1967" s="137" t="s">
        <v>432</v>
      </c>
      <c r="AP1967" s="137" t="s">
        <v>432</v>
      </c>
      <c r="AQ1967" s="137" t="s">
        <v>432</v>
      </c>
      <c r="AR1967" s="137" t="s">
        <v>432</v>
      </c>
      <c r="AS1967" s="137" t="s">
        <v>432</v>
      </c>
      <c r="AT1967" s="137" t="s">
        <v>432</v>
      </c>
      <c r="AU1967" s="137" t="s">
        <v>432</v>
      </c>
      <c r="AV1967" s="137" t="s">
        <v>432</v>
      </c>
      <c r="AW1967" s="137" t="s">
        <v>432</v>
      </c>
      <c r="AX1967" s="137" t="s">
        <v>432</v>
      </c>
      <c r="AY1967" s="137" t="s">
        <v>432</v>
      </c>
      <c r="AZ1967" s="137" t="s">
        <v>432</v>
      </c>
      <c r="BA1967" s="137" t="s">
        <v>432</v>
      </c>
      <c r="BB1967" s="239" t="str">
        <f t="shared" si="574"/>
        <v>Normas produzidasacessibilidade</v>
      </c>
      <c r="BC1967" s="239" t="str">
        <f t="shared" si="575"/>
        <v>Normas produzidasacessibilidadesigla/verbete</v>
      </c>
      <c r="BD1967" s="239" t="str">
        <f t="shared" si="576"/>
        <v>Normas produzidassigla/verbete</v>
      </c>
    </row>
    <row r="1968" spans="1:56" s="1" customFormat="1" ht="31.5" x14ac:dyDescent="0.25">
      <c r="A1968" s="262" t="str">
        <f>'Q100b-totais'!B24</f>
        <v>3.1</v>
      </c>
      <c r="B1968" s="252" t="str">
        <f>'Q100b-totais'!C24</f>
        <v>Normas produzidas</v>
      </c>
      <c r="C1968" s="229" t="s">
        <v>743</v>
      </c>
      <c r="D1968" s="324" t="s">
        <v>2475</v>
      </c>
      <c r="E1968" s="1496" t="s">
        <v>1266</v>
      </c>
      <c r="F1968" s="1104" t="s">
        <v>3513</v>
      </c>
      <c r="G1968" s="230" t="s">
        <v>3507</v>
      </c>
      <c r="H1968" s="167" t="s">
        <v>2408</v>
      </c>
      <c r="I1968" s="167" t="s">
        <v>432</v>
      </c>
      <c r="J1968" s="107" t="s">
        <v>432</v>
      </c>
      <c r="K1968" s="107" t="s">
        <v>432</v>
      </c>
      <c r="L1968" s="107" t="s">
        <v>432</v>
      </c>
      <c r="M1968" s="107" t="s">
        <v>432</v>
      </c>
      <c r="N1968" s="107" t="s">
        <v>432</v>
      </c>
      <c r="O1968" s="107" t="s">
        <v>432</v>
      </c>
      <c r="P1968" s="107" t="s">
        <v>432</v>
      </c>
      <c r="Q1968" s="107" t="s">
        <v>432</v>
      </c>
      <c r="R1968" s="107" t="s">
        <v>432</v>
      </c>
      <c r="S1968" s="109" t="s">
        <v>2209</v>
      </c>
      <c r="T1968" s="107" t="s">
        <v>432</v>
      </c>
      <c r="U1968" s="107" t="s">
        <v>432</v>
      </c>
      <c r="V1968" s="109" t="s">
        <v>2209</v>
      </c>
      <c r="W1968" s="107" t="s">
        <v>432</v>
      </c>
      <c r="X1968" s="107" t="s">
        <v>432</v>
      </c>
      <c r="Y1968" s="107" t="s">
        <v>432</v>
      </c>
      <c r="Z1968" s="107" t="s">
        <v>432</v>
      </c>
      <c r="AA1968" s="107" t="s">
        <v>432</v>
      </c>
      <c r="AB1968" s="107" t="s">
        <v>432</v>
      </c>
      <c r="AC1968" s="107" t="s">
        <v>432</v>
      </c>
      <c r="AD1968" s="107" t="s">
        <v>432</v>
      </c>
      <c r="AE1968" s="107" t="s">
        <v>432</v>
      </c>
      <c r="AF1968" s="107" t="s">
        <v>432</v>
      </c>
      <c r="AG1968" s="107" t="s">
        <v>432</v>
      </c>
      <c r="AH1968" s="107" t="s">
        <v>432</v>
      </c>
      <c r="AI1968" s="107" t="s">
        <v>432</v>
      </c>
      <c r="AJ1968" s="107" t="s">
        <v>432</v>
      </c>
      <c r="AK1968" s="107" t="s">
        <v>432</v>
      </c>
      <c r="AL1968" s="601" t="s">
        <v>432</v>
      </c>
      <c r="AM1968" s="137" t="s">
        <v>432</v>
      </c>
      <c r="AN1968" s="137" t="s">
        <v>432</v>
      </c>
      <c r="AO1968" s="137" t="s">
        <v>432</v>
      </c>
      <c r="AP1968" s="137" t="s">
        <v>432</v>
      </c>
      <c r="AQ1968" s="137" t="s">
        <v>432</v>
      </c>
      <c r="AR1968" s="137" t="s">
        <v>432</v>
      </c>
      <c r="AS1968" s="137" t="s">
        <v>432</v>
      </c>
      <c r="AT1968" s="137" t="s">
        <v>432</v>
      </c>
      <c r="AU1968" s="137" t="s">
        <v>432</v>
      </c>
      <c r="AV1968" s="137" t="s">
        <v>432</v>
      </c>
      <c r="AW1968" s="137" t="s">
        <v>432</v>
      </c>
      <c r="AX1968" s="137" t="s">
        <v>432</v>
      </c>
      <c r="AY1968" s="137" t="s">
        <v>432</v>
      </c>
      <c r="AZ1968" s="137" t="s">
        <v>432</v>
      </c>
      <c r="BA1968" s="137" t="s">
        <v>432</v>
      </c>
      <c r="BB1968" s="239" t="str">
        <f t="shared" si="574"/>
        <v>Normas produzidasacessibilidade</v>
      </c>
      <c r="BC1968" s="239" t="str">
        <f t="shared" si="575"/>
        <v>Normas produzidasacessibilidadesigla/verbete</v>
      </c>
      <c r="BD1968" s="239" t="str">
        <f t="shared" si="576"/>
        <v>Normas produzidassigla/verbete</v>
      </c>
    </row>
    <row r="1969" spans="1:56" s="1" customFormat="1" ht="63" customHeight="1" x14ac:dyDescent="0.25">
      <c r="A1969" s="262" t="str">
        <f>'Q100b-totais'!B24</f>
        <v>3.1</v>
      </c>
      <c r="B1969" s="252" t="str">
        <f>'Q100b-totais'!C24</f>
        <v>Normas produzidas</v>
      </c>
      <c r="C1969" s="229" t="s">
        <v>743</v>
      </c>
      <c r="D1969" s="324" t="s">
        <v>2475</v>
      </c>
      <c r="E1969" s="1496" t="s">
        <v>5317</v>
      </c>
      <c r="F1969" s="1205" t="s">
        <v>5319</v>
      </c>
      <c r="G1969" s="230" t="s">
        <v>3507</v>
      </c>
      <c r="H1969" s="167" t="s">
        <v>2408</v>
      </c>
      <c r="I1969" s="167" t="s">
        <v>432</v>
      </c>
      <c r="J1969" s="107" t="s">
        <v>432</v>
      </c>
      <c r="K1969" s="107" t="s">
        <v>432</v>
      </c>
      <c r="L1969" s="107" t="s">
        <v>432</v>
      </c>
      <c r="M1969" s="107" t="s">
        <v>432</v>
      </c>
      <c r="N1969" s="107" t="s">
        <v>432</v>
      </c>
      <c r="O1969" s="107" t="s">
        <v>432</v>
      </c>
      <c r="P1969" s="107" t="s">
        <v>432</v>
      </c>
      <c r="Q1969" s="107" t="s">
        <v>432</v>
      </c>
      <c r="R1969" s="107" t="s">
        <v>432</v>
      </c>
      <c r="S1969" s="109" t="s">
        <v>2209</v>
      </c>
      <c r="T1969" s="107" t="s">
        <v>432</v>
      </c>
      <c r="U1969" s="107" t="s">
        <v>432</v>
      </c>
      <c r="V1969" s="109" t="s">
        <v>2209</v>
      </c>
      <c r="W1969" s="107" t="s">
        <v>432</v>
      </c>
      <c r="X1969" s="107" t="s">
        <v>432</v>
      </c>
      <c r="Y1969" s="107" t="s">
        <v>432</v>
      </c>
      <c r="Z1969" s="107" t="s">
        <v>432</v>
      </c>
      <c r="AA1969" s="107" t="s">
        <v>432</v>
      </c>
      <c r="AB1969" s="107" t="s">
        <v>432</v>
      </c>
      <c r="AC1969" s="107" t="s">
        <v>432</v>
      </c>
      <c r="AD1969" s="107" t="s">
        <v>432</v>
      </c>
      <c r="AE1969" s="107" t="s">
        <v>432</v>
      </c>
      <c r="AF1969" s="107" t="s">
        <v>432</v>
      </c>
      <c r="AG1969" s="107" t="s">
        <v>432</v>
      </c>
      <c r="AH1969" s="107" t="s">
        <v>432</v>
      </c>
      <c r="AI1969" s="107" t="s">
        <v>432</v>
      </c>
      <c r="AJ1969" s="107" t="s">
        <v>432</v>
      </c>
      <c r="AK1969" s="107" t="s">
        <v>432</v>
      </c>
      <c r="AL1969" s="601" t="s">
        <v>432</v>
      </c>
      <c r="AM1969" s="137" t="s">
        <v>432</v>
      </c>
      <c r="AN1969" s="137" t="s">
        <v>432</v>
      </c>
      <c r="AO1969" s="137" t="s">
        <v>432</v>
      </c>
      <c r="AP1969" s="137" t="s">
        <v>432</v>
      </c>
      <c r="AQ1969" s="137" t="s">
        <v>432</v>
      </c>
      <c r="AR1969" s="137" t="s">
        <v>432</v>
      </c>
      <c r="AS1969" s="137" t="s">
        <v>432</v>
      </c>
      <c r="AT1969" s="137" t="s">
        <v>432</v>
      </c>
      <c r="AU1969" s="137" t="s">
        <v>432</v>
      </c>
      <c r="AV1969" s="137" t="s">
        <v>432</v>
      </c>
      <c r="AW1969" s="137" t="s">
        <v>432</v>
      </c>
      <c r="AX1969" s="137" t="s">
        <v>432</v>
      </c>
      <c r="AY1969" s="137" t="s">
        <v>432</v>
      </c>
      <c r="AZ1969" s="137" t="s">
        <v>432</v>
      </c>
      <c r="BA1969" s="137" t="s">
        <v>432</v>
      </c>
      <c r="BB1969" s="239" t="str">
        <f t="shared" si="574"/>
        <v>Normas produzidasacessibilidade</v>
      </c>
      <c r="BC1969" s="239" t="str">
        <f t="shared" si="575"/>
        <v>Normas produzidasacessibilidadesigla/verbete</v>
      </c>
      <c r="BD1969" s="239" t="str">
        <f t="shared" si="576"/>
        <v>Normas produzidassigla/verbete</v>
      </c>
    </row>
    <row r="1970" spans="1:56" s="1" customFormat="1" ht="76.5" x14ac:dyDescent="0.25">
      <c r="A1970" s="262" t="str">
        <f>'Q100b-totais'!B24</f>
        <v>3.1</v>
      </c>
      <c r="B1970" s="252" t="str">
        <f>'Q100b-totais'!C24</f>
        <v>Normas produzidas</v>
      </c>
      <c r="C1970" s="229" t="s">
        <v>743</v>
      </c>
      <c r="D1970" s="325" t="s">
        <v>6208</v>
      </c>
      <c r="E1970" s="254" t="s">
        <v>6172</v>
      </c>
      <c r="F1970" s="252" t="s">
        <v>6215</v>
      </c>
      <c r="G1970" s="230" t="s">
        <v>3507</v>
      </c>
      <c r="H1970" s="167" t="s">
        <v>2408</v>
      </c>
      <c r="I1970" s="167" t="s">
        <v>432</v>
      </c>
      <c r="J1970" s="107" t="s">
        <v>432</v>
      </c>
      <c r="K1970" s="107" t="s">
        <v>432</v>
      </c>
      <c r="L1970" s="107" t="s">
        <v>432</v>
      </c>
      <c r="M1970" s="107" t="s">
        <v>432</v>
      </c>
      <c r="N1970" s="107" t="s">
        <v>432</v>
      </c>
      <c r="O1970" s="107" t="s">
        <v>432</v>
      </c>
      <c r="P1970" s="107" t="s">
        <v>432</v>
      </c>
      <c r="Q1970" s="107" t="s">
        <v>432</v>
      </c>
      <c r="R1970" s="107" t="s">
        <v>432</v>
      </c>
      <c r="S1970" s="109" t="s">
        <v>2209</v>
      </c>
      <c r="T1970" s="107" t="s">
        <v>432</v>
      </c>
      <c r="U1970" s="107" t="s">
        <v>432</v>
      </c>
      <c r="V1970" s="109" t="s">
        <v>2209</v>
      </c>
      <c r="W1970" s="107" t="s">
        <v>432</v>
      </c>
      <c r="X1970" s="107" t="s">
        <v>432</v>
      </c>
      <c r="Y1970" s="107" t="s">
        <v>432</v>
      </c>
      <c r="Z1970" s="107" t="s">
        <v>432</v>
      </c>
      <c r="AA1970" s="107" t="s">
        <v>432</v>
      </c>
      <c r="AB1970" s="107" t="s">
        <v>432</v>
      </c>
      <c r="AC1970" s="107" t="s">
        <v>432</v>
      </c>
      <c r="AD1970" s="107" t="s">
        <v>432</v>
      </c>
      <c r="AE1970" s="107" t="s">
        <v>432</v>
      </c>
      <c r="AF1970" s="107" t="s">
        <v>432</v>
      </c>
      <c r="AG1970" s="107" t="s">
        <v>432</v>
      </c>
      <c r="AH1970" s="107" t="s">
        <v>432</v>
      </c>
      <c r="AI1970" s="107" t="s">
        <v>432</v>
      </c>
      <c r="AJ1970" s="107" t="s">
        <v>432</v>
      </c>
      <c r="AK1970" s="107" t="s">
        <v>432</v>
      </c>
      <c r="AL1970" s="601" t="s">
        <v>432</v>
      </c>
      <c r="AM1970" s="137" t="s">
        <v>432</v>
      </c>
      <c r="AN1970" s="137" t="s">
        <v>432</v>
      </c>
      <c r="AO1970" s="137" t="s">
        <v>432</v>
      </c>
      <c r="AP1970" s="137" t="s">
        <v>432</v>
      </c>
      <c r="AQ1970" s="137" t="s">
        <v>432</v>
      </c>
      <c r="AR1970" s="137" t="s">
        <v>432</v>
      </c>
      <c r="AS1970" s="137" t="s">
        <v>432</v>
      </c>
      <c r="AT1970" s="137" t="s">
        <v>432</v>
      </c>
      <c r="AU1970" s="137" t="s">
        <v>432</v>
      </c>
      <c r="AV1970" s="137" t="s">
        <v>432</v>
      </c>
      <c r="AW1970" s="137" t="s">
        <v>432</v>
      </c>
      <c r="AX1970" s="137" t="s">
        <v>432</v>
      </c>
      <c r="AY1970" s="137" t="s">
        <v>432</v>
      </c>
      <c r="AZ1970" s="137" t="s">
        <v>432</v>
      </c>
      <c r="BA1970" s="137" t="s">
        <v>432</v>
      </c>
      <c r="BB1970" s="239" t="str">
        <f t="shared" ref="BB1970" si="577">B1970&amp;C1970</f>
        <v>Normas produzidasacessibilidade</v>
      </c>
      <c r="BC1970" s="239" t="str">
        <f t="shared" ref="BC1970" si="578">B1970&amp;C1970&amp;H1970</f>
        <v>Normas produzidasacessibilidadesigla/verbete</v>
      </c>
      <c r="BD1970" s="239" t="str">
        <f t="shared" ref="BD1970" si="579">B1970&amp;H1970</f>
        <v>Normas produzidassigla/verbete</v>
      </c>
    </row>
    <row r="1971" spans="1:56" s="1" customFormat="1" ht="63" customHeight="1" x14ac:dyDescent="0.25">
      <c r="A1971" s="262" t="str">
        <f>'Q100b-totais'!B47</f>
        <v>5.5</v>
      </c>
      <c r="B1971" s="53" t="str">
        <f>'Q100b-totais'!C47</f>
        <v>Outros meio ambiente</v>
      </c>
      <c r="C1971" s="229" t="s">
        <v>432</v>
      </c>
      <c r="D1971" s="939" t="s">
        <v>6225</v>
      </c>
      <c r="E1971" s="509" t="s">
        <v>1306</v>
      </c>
      <c r="F1971" s="1172" t="s">
        <v>6226</v>
      </c>
      <c r="G1971" s="230" t="s">
        <v>3507</v>
      </c>
      <c r="H1971" s="167" t="s">
        <v>2408</v>
      </c>
      <c r="I1971" s="167" t="s">
        <v>432</v>
      </c>
      <c r="J1971" s="107" t="s">
        <v>432</v>
      </c>
      <c r="K1971" s="107" t="s">
        <v>432</v>
      </c>
      <c r="L1971" s="107" t="s">
        <v>432</v>
      </c>
      <c r="M1971" s="107" t="s">
        <v>432</v>
      </c>
      <c r="N1971" s="107" t="s">
        <v>432</v>
      </c>
      <c r="O1971" s="107" t="s">
        <v>432</v>
      </c>
      <c r="P1971" s="107" t="s">
        <v>432</v>
      </c>
      <c r="Q1971" s="107" t="s">
        <v>432</v>
      </c>
      <c r="R1971" s="107" t="s">
        <v>432</v>
      </c>
      <c r="S1971" s="109" t="s">
        <v>2209</v>
      </c>
      <c r="T1971" s="107" t="s">
        <v>432</v>
      </c>
      <c r="U1971" s="107" t="s">
        <v>432</v>
      </c>
      <c r="V1971" s="109" t="s">
        <v>2209</v>
      </c>
      <c r="W1971" s="107" t="s">
        <v>432</v>
      </c>
      <c r="X1971" s="107" t="s">
        <v>432</v>
      </c>
      <c r="Y1971" s="107" t="s">
        <v>432</v>
      </c>
      <c r="Z1971" s="107" t="s">
        <v>432</v>
      </c>
      <c r="AA1971" s="107" t="s">
        <v>432</v>
      </c>
      <c r="AB1971" s="107" t="s">
        <v>432</v>
      </c>
      <c r="AC1971" s="107" t="s">
        <v>432</v>
      </c>
      <c r="AD1971" s="107" t="s">
        <v>432</v>
      </c>
      <c r="AE1971" s="107" t="s">
        <v>432</v>
      </c>
      <c r="AF1971" s="107" t="s">
        <v>432</v>
      </c>
      <c r="AG1971" s="107" t="s">
        <v>432</v>
      </c>
      <c r="AH1971" s="107" t="s">
        <v>432</v>
      </c>
      <c r="AI1971" s="107" t="s">
        <v>432</v>
      </c>
      <c r="AJ1971" s="107" t="s">
        <v>432</v>
      </c>
      <c r="AK1971" s="107" t="s">
        <v>432</v>
      </c>
      <c r="AL1971" s="601" t="s">
        <v>432</v>
      </c>
      <c r="AM1971" s="137" t="s">
        <v>432</v>
      </c>
      <c r="AN1971" s="137" t="s">
        <v>432</v>
      </c>
      <c r="AO1971" s="137" t="s">
        <v>432</v>
      </c>
      <c r="AP1971" s="137" t="s">
        <v>432</v>
      </c>
      <c r="AQ1971" s="137" t="s">
        <v>432</v>
      </c>
      <c r="AR1971" s="137" t="s">
        <v>432</v>
      </c>
      <c r="AS1971" s="137" t="s">
        <v>432</v>
      </c>
      <c r="AT1971" s="137" t="s">
        <v>432</v>
      </c>
      <c r="AU1971" s="137" t="s">
        <v>432</v>
      </c>
      <c r="AV1971" s="137" t="s">
        <v>432</v>
      </c>
      <c r="AW1971" s="137" t="s">
        <v>432</v>
      </c>
      <c r="AX1971" s="137" t="s">
        <v>432</v>
      </c>
      <c r="AY1971" s="137" t="s">
        <v>432</v>
      </c>
      <c r="AZ1971" s="137" t="s">
        <v>432</v>
      </c>
      <c r="BA1971" s="137" t="s">
        <v>432</v>
      </c>
      <c r="BB1971" s="239" t="str">
        <f>B1971&amp;C1971</f>
        <v>Outros meio ambientex</v>
      </c>
      <c r="BC1971" s="239" t="str">
        <f>B1971&amp;C1971&amp;H1971</f>
        <v>Outros meio ambientexsigla/verbete</v>
      </c>
      <c r="BD1971" s="239" t="str">
        <f>B1971&amp;H1971</f>
        <v>Outros meio ambientesigla/verbete</v>
      </c>
    </row>
    <row r="1972" spans="1:56" s="1" customFormat="1" ht="182.25" customHeight="1" x14ac:dyDescent="0.25">
      <c r="A1972" s="262" t="str">
        <f>'Q100b-totais'!B24</f>
        <v>3.1</v>
      </c>
      <c r="B1972" s="53" t="str">
        <f>'Q100b-totais'!C24</f>
        <v>Normas produzidas</v>
      </c>
      <c r="C1972" s="229" t="s">
        <v>432</v>
      </c>
      <c r="D1972" s="716" t="s">
        <v>6169</v>
      </c>
      <c r="E1972" s="1499" t="s">
        <v>6166</v>
      </c>
      <c r="F1972" s="1151" t="s">
        <v>6224</v>
      </c>
      <c r="G1972" s="230" t="s">
        <v>3507</v>
      </c>
      <c r="H1972" s="167" t="s">
        <v>2408</v>
      </c>
      <c r="I1972" s="167" t="s">
        <v>432</v>
      </c>
      <c r="J1972" s="107" t="s">
        <v>432</v>
      </c>
      <c r="K1972" s="107" t="s">
        <v>432</v>
      </c>
      <c r="L1972" s="107" t="s">
        <v>432</v>
      </c>
      <c r="M1972" s="107" t="s">
        <v>432</v>
      </c>
      <c r="N1972" s="107" t="s">
        <v>432</v>
      </c>
      <c r="O1972" s="107" t="s">
        <v>432</v>
      </c>
      <c r="P1972" s="107" t="s">
        <v>432</v>
      </c>
      <c r="Q1972" s="107" t="s">
        <v>432</v>
      </c>
      <c r="R1972" s="107" t="s">
        <v>432</v>
      </c>
      <c r="S1972" s="109" t="s">
        <v>2209</v>
      </c>
      <c r="T1972" s="107" t="s">
        <v>432</v>
      </c>
      <c r="U1972" s="107" t="s">
        <v>432</v>
      </c>
      <c r="V1972" s="109" t="s">
        <v>2209</v>
      </c>
      <c r="W1972" s="107" t="s">
        <v>432</v>
      </c>
      <c r="X1972" s="107" t="s">
        <v>432</v>
      </c>
      <c r="Y1972" s="107" t="s">
        <v>432</v>
      </c>
      <c r="Z1972" s="107" t="s">
        <v>432</v>
      </c>
      <c r="AA1972" s="107" t="s">
        <v>432</v>
      </c>
      <c r="AB1972" s="107" t="s">
        <v>432</v>
      </c>
      <c r="AC1972" s="107" t="s">
        <v>432</v>
      </c>
      <c r="AD1972" s="107" t="s">
        <v>432</v>
      </c>
      <c r="AE1972" s="107" t="s">
        <v>432</v>
      </c>
      <c r="AF1972" s="107" t="s">
        <v>432</v>
      </c>
      <c r="AG1972" s="107" t="s">
        <v>432</v>
      </c>
      <c r="AH1972" s="107" t="s">
        <v>432</v>
      </c>
      <c r="AI1972" s="107" t="s">
        <v>432</v>
      </c>
      <c r="AJ1972" s="107" t="s">
        <v>432</v>
      </c>
      <c r="AK1972" s="107" t="s">
        <v>432</v>
      </c>
      <c r="AL1972" s="601" t="s">
        <v>432</v>
      </c>
      <c r="AM1972" s="137" t="s">
        <v>432</v>
      </c>
      <c r="AN1972" s="137" t="s">
        <v>432</v>
      </c>
      <c r="AO1972" s="137" t="s">
        <v>432</v>
      </c>
      <c r="AP1972" s="137" t="s">
        <v>432</v>
      </c>
      <c r="AQ1972" s="137" t="s">
        <v>432</v>
      </c>
      <c r="AR1972" s="137" t="s">
        <v>432</v>
      </c>
      <c r="AS1972" s="137" t="s">
        <v>432</v>
      </c>
      <c r="AT1972" s="137" t="s">
        <v>432</v>
      </c>
      <c r="AU1972" s="137" t="s">
        <v>432</v>
      </c>
      <c r="AV1972" s="137" t="s">
        <v>432</v>
      </c>
      <c r="AW1972" s="137" t="s">
        <v>432</v>
      </c>
      <c r="AX1972" s="137" t="s">
        <v>432</v>
      </c>
      <c r="AY1972" s="137" t="s">
        <v>432</v>
      </c>
      <c r="AZ1972" s="137" t="s">
        <v>432</v>
      </c>
      <c r="BA1972" s="137" t="s">
        <v>432</v>
      </c>
      <c r="BB1972" s="239" t="str">
        <f>B1972&amp;C1972</f>
        <v>Normas produzidasx</v>
      </c>
      <c r="BC1972" s="239" t="str">
        <f>B1972&amp;C1972&amp;H1972</f>
        <v>Normas produzidasxsigla/verbete</v>
      </c>
      <c r="BD1972" s="239" t="str">
        <f>B1972&amp;H1972</f>
        <v>Normas produzidassigla/verbete</v>
      </c>
    </row>
    <row r="1973" spans="1:56" s="1" customFormat="1" ht="267.75" customHeight="1" x14ac:dyDescent="0.25">
      <c r="A1973" s="262" t="str">
        <f>'Q100b-totais'!B24</f>
        <v>3.1</v>
      </c>
      <c r="B1973" s="53" t="str">
        <f>'Q100b-totais'!C24</f>
        <v>Normas produzidas</v>
      </c>
      <c r="C1973" s="229" t="s">
        <v>743</v>
      </c>
      <c r="D1973" s="324" t="s">
        <v>3509</v>
      </c>
      <c r="E1973" s="1496" t="s">
        <v>1767</v>
      </c>
      <c r="F1973" s="1104" t="s">
        <v>3510</v>
      </c>
      <c r="G1973" s="230" t="s">
        <v>3507</v>
      </c>
      <c r="H1973" s="167" t="s">
        <v>2408</v>
      </c>
      <c r="I1973" s="167" t="s">
        <v>432</v>
      </c>
      <c r="J1973" s="107" t="s">
        <v>432</v>
      </c>
      <c r="K1973" s="107" t="s">
        <v>432</v>
      </c>
      <c r="L1973" s="107" t="s">
        <v>432</v>
      </c>
      <c r="M1973" s="107" t="s">
        <v>432</v>
      </c>
      <c r="N1973" s="107" t="s">
        <v>432</v>
      </c>
      <c r="O1973" s="107" t="s">
        <v>432</v>
      </c>
      <c r="P1973" s="107" t="s">
        <v>432</v>
      </c>
      <c r="Q1973" s="107" t="s">
        <v>432</v>
      </c>
      <c r="R1973" s="107" t="s">
        <v>432</v>
      </c>
      <c r="S1973" s="109" t="s">
        <v>2209</v>
      </c>
      <c r="T1973" s="107" t="s">
        <v>432</v>
      </c>
      <c r="U1973" s="107" t="s">
        <v>432</v>
      </c>
      <c r="V1973" s="109" t="s">
        <v>2209</v>
      </c>
      <c r="W1973" s="107" t="s">
        <v>432</v>
      </c>
      <c r="X1973" s="107" t="s">
        <v>432</v>
      </c>
      <c r="Y1973" s="107" t="s">
        <v>432</v>
      </c>
      <c r="Z1973" s="107" t="s">
        <v>432</v>
      </c>
      <c r="AA1973" s="107" t="s">
        <v>432</v>
      </c>
      <c r="AB1973" s="107" t="s">
        <v>432</v>
      </c>
      <c r="AC1973" s="107" t="s">
        <v>432</v>
      </c>
      <c r="AD1973" s="107" t="s">
        <v>432</v>
      </c>
      <c r="AE1973" s="107" t="s">
        <v>432</v>
      </c>
      <c r="AF1973" s="107" t="s">
        <v>432</v>
      </c>
      <c r="AG1973" s="107" t="s">
        <v>432</v>
      </c>
      <c r="AH1973" s="107" t="s">
        <v>432</v>
      </c>
      <c r="AI1973" s="107" t="s">
        <v>432</v>
      </c>
      <c r="AJ1973" s="107" t="s">
        <v>432</v>
      </c>
      <c r="AK1973" s="107" t="s">
        <v>432</v>
      </c>
      <c r="AL1973" s="601" t="s">
        <v>432</v>
      </c>
      <c r="AM1973" s="137" t="s">
        <v>432</v>
      </c>
      <c r="AN1973" s="137" t="s">
        <v>432</v>
      </c>
      <c r="AO1973" s="137" t="s">
        <v>432</v>
      </c>
      <c r="AP1973" s="137" t="s">
        <v>432</v>
      </c>
      <c r="AQ1973" s="137" t="s">
        <v>432</v>
      </c>
      <c r="AR1973" s="137" t="s">
        <v>432</v>
      </c>
      <c r="AS1973" s="137" t="s">
        <v>432</v>
      </c>
      <c r="AT1973" s="137" t="s">
        <v>432</v>
      </c>
      <c r="AU1973" s="137" t="s">
        <v>432</v>
      </c>
      <c r="AV1973" s="137" t="s">
        <v>432</v>
      </c>
      <c r="AW1973" s="137" t="s">
        <v>432</v>
      </c>
      <c r="AX1973" s="137" t="s">
        <v>432</v>
      </c>
      <c r="AY1973" s="137" t="s">
        <v>432</v>
      </c>
      <c r="AZ1973" s="137" t="s">
        <v>432</v>
      </c>
      <c r="BA1973" s="137" t="s">
        <v>432</v>
      </c>
      <c r="BB1973" s="239" t="str">
        <f t="shared" si="574"/>
        <v>Normas produzidasacessibilidade</v>
      </c>
      <c r="BC1973" s="239" t="str">
        <f t="shared" si="575"/>
        <v>Normas produzidasacessibilidadesigla/verbete</v>
      </c>
      <c r="BD1973" s="239" t="str">
        <f t="shared" si="576"/>
        <v>Normas produzidassigla/verbete</v>
      </c>
    </row>
    <row r="1974" spans="1:56" s="1" customFormat="1" ht="47.25" x14ac:dyDescent="0.25">
      <c r="A1974" s="1438">
        <v>7</v>
      </c>
      <c r="B1974" s="252" t="s">
        <v>3558</v>
      </c>
      <c r="C1974" s="167" t="s">
        <v>432</v>
      </c>
      <c r="D1974" s="324" t="s">
        <v>3556</v>
      </c>
      <c r="E1974" s="1496" t="s">
        <v>1767</v>
      </c>
      <c r="F1974" s="1122" t="s">
        <v>3557</v>
      </c>
      <c r="G1974" s="230" t="s">
        <v>3507</v>
      </c>
      <c r="H1974" s="167" t="s">
        <v>2408</v>
      </c>
      <c r="I1974" s="167" t="s">
        <v>432</v>
      </c>
      <c r="J1974" s="107" t="s">
        <v>432</v>
      </c>
      <c r="K1974" s="107" t="s">
        <v>432</v>
      </c>
      <c r="L1974" s="107" t="s">
        <v>432</v>
      </c>
      <c r="M1974" s="107" t="s">
        <v>432</v>
      </c>
      <c r="N1974" s="107" t="s">
        <v>432</v>
      </c>
      <c r="O1974" s="107" t="s">
        <v>432</v>
      </c>
      <c r="P1974" s="107" t="s">
        <v>432</v>
      </c>
      <c r="Q1974" s="107" t="s">
        <v>432</v>
      </c>
      <c r="R1974" s="107" t="s">
        <v>432</v>
      </c>
      <c r="S1974" s="109" t="s">
        <v>2209</v>
      </c>
      <c r="T1974" s="107" t="s">
        <v>432</v>
      </c>
      <c r="U1974" s="107" t="s">
        <v>432</v>
      </c>
      <c r="V1974" s="109" t="s">
        <v>2209</v>
      </c>
      <c r="W1974" s="107" t="s">
        <v>432</v>
      </c>
      <c r="X1974" s="107" t="s">
        <v>432</v>
      </c>
      <c r="Y1974" s="107" t="s">
        <v>432</v>
      </c>
      <c r="Z1974" s="107" t="s">
        <v>432</v>
      </c>
      <c r="AA1974" s="107" t="s">
        <v>432</v>
      </c>
      <c r="AB1974" s="107" t="s">
        <v>432</v>
      </c>
      <c r="AC1974" s="107" t="s">
        <v>432</v>
      </c>
      <c r="AD1974" s="107" t="s">
        <v>432</v>
      </c>
      <c r="AE1974" s="107" t="s">
        <v>432</v>
      </c>
      <c r="AF1974" s="107" t="s">
        <v>432</v>
      </c>
      <c r="AG1974" s="107" t="s">
        <v>432</v>
      </c>
      <c r="AH1974" s="107" t="s">
        <v>432</v>
      </c>
      <c r="AI1974" s="107" t="s">
        <v>432</v>
      </c>
      <c r="AJ1974" s="107" t="s">
        <v>432</v>
      </c>
      <c r="AK1974" s="107" t="s">
        <v>432</v>
      </c>
      <c r="AL1974" s="601" t="s">
        <v>432</v>
      </c>
      <c r="AM1974" s="137" t="s">
        <v>432</v>
      </c>
      <c r="AN1974" s="137" t="s">
        <v>432</v>
      </c>
      <c r="AO1974" s="137" t="s">
        <v>432</v>
      </c>
      <c r="AP1974" s="137" t="s">
        <v>432</v>
      </c>
      <c r="AQ1974" s="137" t="s">
        <v>432</v>
      </c>
      <c r="AR1974" s="137" t="s">
        <v>432</v>
      </c>
      <c r="AS1974" s="137" t="s">
        <v>432</v>
      </c>
      <c r="AT1974" s="137" t="s">
        <v>432</v>
      </c>
      <c r="AU1974" s="137" t="s">
        <v>432</v>
      </c>
      <c r="AV1974" s="137" t="s">
        <v>432</v>
      </c>
      <c r="AW1974" s="137" t="s">
        <v>432</v>
      </c>
      <c r="AX1974" s="137" t="s">
        <v>432</v>
      </c>
      <c r="AY1974" s="137" t="s">
        <v>432</v>
      </c>
      <c r="AZ1974" s="137" t="s">
        <v>432</v>
      </c>
      <c r="BA1974" s="137" t="s">
        <v>432</v>
      </c>
      <c r="BB1974" s="239" t="str">
        <f>B1974&amp;C1974</f>
        <v>Sistema de transporte de cargax</v>
      </c>
      <c r="BC1974" s="239" t="str">
        <f>B1974&amp;C1974&amp;H1974</f>
        <v>Sistema de transporte de cargaxsigla/verbete</v>
      </c>
      <c r="BD1974" s="239" t="str">
        <f>B1974&amp;H1974</f>
        <v>Sistema de transporte de cargasigla/verbete</v>
      </c>
    </row>
    <row r="1975" spans="1:56" s="1" customFormat="1" ht="83.25" customHeight="1" x14ac:dyDescent="0.25">
      <c r="A1975" s="1484" t="str">
        <f>'Q100b-totais'!B64</f>
        <v>9.1</v>
      </c>
      <c r="B1975" s="252" t="str">
        <f>'Q100b-totais'!C64</f>
        <v>Acidentes de trânsito</v>
      </c>
      <c r="C1975" s="229" t="s">
        <v>432</v>
      </c>
      <c r="D1975" s="324" t="s">
        <v>5606</v>
      </c>
      <c r="E1975" s="1496" t="s">
        <v>1767</v>
      </c>
      <c r="F1975" s="1205" t="s">
        <v>5607</v>
      </c>
      <c r="G1975" s="230" t="s">
        <v>3507</v>
      </c>
      <c r="H1975" s="167" t="s">
        <v>2408</v>
      </c>
      <c r="I1975" s="167" t="s">
        <v>432</v>
      </c>
      <c r="J1975" s="107" t="s">
        <v>432</v>
      </c>
      <c r="K1975" s="107" t="s">
        <v>432</v>
      </c>
      <c r="L1975" s="107" t="s">
        <v>432</v>
      </c>
      <c r="M1975" s="107" t="s">
        <v>432</v>
      </c>
      <c r="N1975" s="107" t="s">
        <v>432</v>
      </c>
      <c r="O1975" s="107" t="s">
        <v>432</v>
      </c>
      <c r="P1975" s="107" t="s">
        <v>432</v>
      </c>
      <c r="Q1975" s="107" t="s">
        <v>432</v>
      </c>
      <c r="R1975" s="107" t="s">
        <v>432</v>
      </c>
      <c r="S1975" s="109" t="s">
        <v>2209</v>
      </c>
      <c r="T1975" s="107" t="s">
        <v>432</v>
      </c>
      <c r="U1975" s="107" t="s">
        <v>432</v>
      </c>
      <c r="V1975" s="109" t="s">
        <v>2209</v>
      </c>
      <c r="W1975" s="107" t="s">
        <v>432</v>
      </c>
      <c r="X1975" s="107" t="s">
        <v>432</v>
      </c>
      <c r="Y1975" s="107" t="s">
        <v>432</v>
      </c>
      <c r="Z1975" s="107" t="s">
        <v>432</v>
      </c>
      <c r="AA1975" s="107" t="s">
        <v>432</v>
      </c>
      <c r="AB1975" s="107" t="s">
        <v>432</v>
      </c>
      <c r="AC1975" s="107" t="s">
        <v>432</v>
      </c>
      <c r="AD1975" s="107" t="s">
        <v>432</v>
      </c>
      <c r="AE1975" s="107" t="s">
        <v>432</v>
      </c>
      <c r="AF1975" s="107" t="s">
        <v>432</v>
      </c>
      <c r="AG1975" s="107" t="s">
        <v>432</v>
      </c>
      <c r="AH1975" s="107" t="s">
        <v>432</v>
      </c>
      <c r="AI1975" s="107" t="s">
        <v>432</v>
      </c>
      <c r="AJ1975" s="107" t="s">
        <v>432</v>
      </c>
      <c r="AK1975" s="107" t="s">
        <v>432</v>
      </c>
      <c r="AL1975" s="601" t="s">
        <v>432</v>
      </c>
      <c r="AM1975" s="137" t="s">
        <v>432</v>
      </c>
      <c r="AN1975" s="137" t="s">
        <v>432</v>
      </c>
      <c r="AO1975" s="137" t="s">
        <v>432</v>
      </c>
      <c r="AP1975" s="137" t="s">
        <v>432</v>
      </c>
      <c r="AQ1975" s="137" t="s">
        <v>432</v>
      </c>
      <c r="AR1975" s="137" t="s">
        <v>432</v>
      </c>
      <c r="AS1975" s="137" t="s">
        <v>432</v>
      </c>
      <c r="AT1975" s="137" t="s">
        <v>432</v>
      </c>
      <c r="AU1975" s="137" t="s">
        <v>432</v>
      </c>
      <c r="AV1975" s="137" t="s">
        <v>432</v>
      </c>
      <c r="AW1975" s="137" t="s">
        <v>432</v>
      </c>
      <c r="AX1975" s="137" t="s">
        <v>432</v>
      </c>
      <c r="AY1975" s="137" t="s">
        <v>432</v>
      </c>
      <c r="AZ1975" s="137" t="s">
        <v>432</v>
      </c>
      <c r="BA1975" s="137" t="s">
        <v>432</v>
      </c>
      <c r="BB1975" s="239" t="str">
        <f>B1975&amp;C1975</f>
        <v>Acidentes de trânsitox</v>
      </c>
      <c r="BC1975" s="239" t="str">
        <f>B1975&amp;C1975&amp;H1975</f>
        <v>Acidentes de trânsitoxsigla/verbete</v>
      </c>
      <c r="BD1975" s="239" t="str">
        <f>B1975&amp;H1975</f>
        <v>Acidentes de trânsitosigla/verbete</v>
      </c>
    </row>
    <row r="1976" spans="1:56" s="1" customFormat="1" ht="121.5" customHeight="1" x14ac:dyDescent="0.25">
      <c r="A1976" s="1484" t="str">
        <f>'Q100b-totais'!B65</f>
        <v>9.2</v>
      </c>
      <c r="B1976" s="252" t="str">
        <f>'Q100b-totais'!C65</f>
        <v>Estacionamento</v>
      </c>
      <c r="C1976" s="229" t="s">
        <v>432</v>
      </c>
      <c r="D1976" s="324" t="s">
        <v>6197</v>
      </c>
      <c r="E1976" s="1496" t="s">
        <v>1767</v>
      </c>
      <c r="F1976" s="1205" t="s">
        <v>6198</v>
      </c>
      <c r="G1976" s="230" t="s">
        <v>3507</v>
      </c>
      <c r="H1976" s="167" t="s">
        <v>2408</v>
      </c>
      <c r="I1976" s="167" t="s">
        <v>432</v>
      </c>
      <c r="J1976" s="107" t="s">
        <v>432</v>
      </c>
      <c r="K1976" s="107" t="s">
        <v>432</v>
      </c>
      <c r="L1976" s="107" t="s">
        <v>432</v>
      </c>
      <c r="M1976" s="107" t="s">
        <v>432</v>
      </c>
      <c r="N1976" s="107" t="s">
        <v>432</v>
      </c>
      <c r="O1976" s="107" t="s">
        <v>432</v>
      </c>
      <c r="P1976" s="107" t="s">
        <v>432</v>
      </c>
      <c r="Q1976" s="107" t="s">
        <v>432</v>
      </c>
      <c r="R1976" s="107" t="s">
        <v>432</v>
      </c>
      <c r="S1976" s="109" t="s">
        <v>2209</v>
      </c>
      <c r="T1976" s="107" t="s">
        <v>432</v>
      </c>
      <c r="U1976" s="107" t="s">
        <v>432</v>
      </c>
      <c r="V1976" s="109" t="s">
        <v>2209</v>
      </c>
      <c r="W1976" s="107" t="s">
        <v>432</v>
      </c>
      <c r="X1976" s="107" t="s">
        <v>432</v>
      </c>
      <c r="Y1976" s="107" t="s">
        <v>432</v>
      </c>
      <c r="Z1976" s="107" t="s">
        <v>432</v>
      </c>
      <c r="AA1976" s="107" t="s">
        <v>432</v>
      </c>
      <c r="AB1976" s="107" t="s">
        <v>432</v>
      </c>
      <c r="AC1976" s="107" t="s">
        <v>432</v>
      </c>
      <c r="AD1976" s="107" t="s">
        <v>432</v>
      </c>
      <c r="AE1976" s="107" t="s">
        <v>432</v>
      </c>
      <c r="AF1976" s="107" t="s">
        <v>432</v>
      </c>
      <c r="AG1976" s="107" t="s">
        <v>432</v>
      </c>
      <c r="AH1976" s="107" t="s">
        <v>432</v>
      </c>
      <c r="AI1976" s="107" t="s">
        <v>432</v>
      </c>
      <c r="AJ1976" s="107" t="s">
        <v>432</v>
      </c>
      <c r="AK1976" s="107" t="s">
        <v>432</v>
      </c>
      <c r="AL1976" s="601" t="s">
        <v>432</v>
      </c>
      <c r="AM1976" s="137" t="s">
        <v>432</v>
      </c>
      <c r="AN1976" s="137" t="s">
        <v>432</v>
      </c>
      <c r="AO1976" s="137" t="s">
        <v>432</v>
      </c>
      <c r="AP1976" s="137" t="s">
        <v>432</v>
      </c>
      <c r="AQ1976" s="137" t="s">
        <v>432</v>
      </c>
      <c r="AR1976" s="137" t="s">
        <v>432</v>
      </c>
      <c r="AS1976" s="137" t="s">
        <v>432</v>
      </c>
      <c r="AT1976" s="137" t="s">
        <v>432</v>
      </c>
      <c r="AU1976" s="137" t="s">
        <v>432</v>
      </c>
      <c r="AV1976" s="137" t="s">
        <v>432</v>
      </c>
      <c r="AW1976" s="137" t="s">
        <v>432</v>
      </c>
      <c r="AX1976" s="137" t="s">
        <v>432</v>
      </c>
      <c r="AY1976" s="137" t="s">
        <v>432</v>
      </c>
      <c r="AZ1976" s="137" t="s">
        <v>432</v>
      </c>
      <c r="BA1976" s="137" t="s">
        <v>432</v>
      </c>
      <c r="BB1976" s="239" t="str">
        <f>B1976&amp;C1976</f>
        <v>Estacionamentox</v>
      </c>
      <c r="BC1976" s="239" t="str">
        <f>B1976&amp;C1976&amp;H1976</f>
        <v>Estacionamentoxsigla/verbete</v>
      </c>
      <c r="BD1976" s="239" t="str">
        <f>B1976&amp;H1976</f>
        <v>Estacionamentosigla/verbete</v>
      </c>
    </row>
    <row r="1977" spans="1:56" s="1" customFormat="1" ht="52.5" customHeight="1" x14ac:dyDescent="0.25">
      <c r="A1977" s="262" t="str">
        <f>'Q100b-totais'!B62</f>
        <v>8.10</v>
      </c>
      <c r="B1977" s="54" t="str">
        <f>'Q100b-totais'!C62</f>
        <v>Sistema de transporte coletivo com um todo</v>
      </c>
      <c r="C1977" s="167" t="s">
        <v>743</v>
      </c>
      <c r="D1977" s="324" t="s">
        <v>3199</v>
      </c>
      <c r="E1977" s="1364" t="s">
        <v>1767</v>
      </c>
      <c r="F1977" s="11" t="s">
        <v>3198</v>
      </c>
      <c r="G1977" s="230" t="s">
        <v>3507</v>
      </c>
      <c r="H1977" s="167" t="s">
        <v>2408</v>
      </c>
      <c r="I1977" s="167" t="s">
        <v>432</v>
      </c>
      <c r="J1977" s="107" t="s">
        <v>432</v>
      </c>
      <c r="K1977" s="107" t="s">
        <v>432</v>
      </c>
      <c r="L1977" s="107" t="s">
        <v>432</v>
      </c>
      <c r="M1977" s="107" t="s">
        <v>432</v>
      </c>
      <c r="N1977" s="107" t="s">
        <v>432</v>
      </c>
      <c r="O1977" s="107" t="s">
        <v>432</v>
      </c>
      <c r="P1977" s="107" t="s">
        <v>432</v>
      </c>
      <c r="Q1977" s="107" t="s">
        <v>432</v>
      </c>
      <c r="R1977" s="107" t="s">
        <v>432</v>
      </c>
      <c r="S1977" s="109" t="s">
        <v>2209</v>
      </c>
      <c r="T1977" s="107" t="s">
        <v>432</v>
      </c>
      <c r="U1977" s="107" t="s">
        <v>432</v>
      </c>
      <c r="V1977" s="109" t="s">
        <v>2209</v>
      </c>
      <c r="W1977" s="107" t="s">
        <v>432</v>
      </c>
      <c r="X1977" s="107" t="s">
        <v>432</v>
      </c>
      <c r="Y1977" s="107" t="s">
        <v>432</v>
      </c>
      <c r="Z1977" s="107" t="s">
        <v>432</v>
      </c>
      <c r="AA1977" s="107" t="s">
        <v>432</v>
      </c>
      <c r="AB1977" s="107" t="s">
        <v>432</v>
      </c>
      <c r="AC1977" s="107" t="s">
        <v>432</v>
      </c>
      <c r="AD1977" s="107" t="s">
        <v>432</v>
      </c>
      <c r="AE1977" s="107" t="s">
        <v>432</v>
      </c>
      <c r="AF1977" s="107" t="s">
        <v>432</v>
      </c>
      <c r="AG1977" s="107" t="s">
        <v>432</v>
      </c>
      <c r="AH1977" s="107" t="s">
        <v>432</v>
      </c>
      <c r="AI1977" s="107" t="s">
        <v>432</v>
      </c>
      <c r="AJ1977" s="107" t="s">
        <v>432</v>
      </c>
      <c r="AK1977" s="107" t="s">
        <v>432</v>
      </c>
      <c r="AL1977" s="601" t="s">
        <v>432</v>
      </c>
      <c r="AM1977" s="137" t="s">
        <v>432</v>
      </c>
      <c r="AN1977" s="137" t="s">
        <v>432</v>
      </c>
      <c r="AO1977" s="137" t="s">
        <v>432</v>
      </c>
      <c r="AP1977" s="137" t="s">
        <v>432</v>
      </c>
      <c r="AQ1977" s="137" t="s">
        <v>432</v>
      </c>
      <c r="AR1977" s="137" t="s">
        <v>432</v>
      </c>
      <c r="AS1977" s="137" t="s">
        <v>432</v>
      </c>
      <c r="AT1977" s="137" t="s">
        <v>432</v>
      </c>
      <c r="AU1977" s="137" t="s">
        <v>432</v>
      </c>
      <c r="AV1977" s="137" t="s">
        <v>432</v>
      </c>
      <c r="AW1977" s="137" t="s">
        <v>432</v>
      </c>
      <c r="AX1977" s="137" t="s">
        <v>432</v>
      </c>
      <c r="AY1977" s="137" t="s">
        <v>432</v>
      </c>
      <c r="AZ1977" s="137" t="s">
        <v>432</v>
      </c>
      <c r="BA1977" s="137" t="s">
        <v>432</v>
      </c>
      <c r="BB1977" s="239" t="str">
        <f t="shared" ref="BB1977:BB1997" si="580">B1977&amp;C1977</f>
        <v>Sistema de transporte coletivo com um todoacessibilidade</v>
      </c>
      <c r="BC1977" s="239" t="str">
        <f t="shared" ref="BC1977:BC1990" si="581">B1977&amp;C1977&amp;H1977</f>
        <v>Sistema de transporte coletivo com um todoacessibilidadesigla/verbete</v>
      </c>
      <c r="BD1977" s="239" t="str">
        <f t="shared" ref="BD1977:BD1990" si="582">B1977&amp;H1977</f>
        <v>Sistema de transporte coletivo com um todosigla/verbete</v>
      </c>
    </row>
    <row r="1978" spans="1:56" s="1" customFormat="1" ht="84" customHeight="1" x14ac:dyDescent="0.25">
      <c r="A1978" s="262" t="str">
        <f>'Q100b-totais'!B62</f>
        <v>8.10</v>
      </c>
      <c r="B1978" s="54" t="str">
        <f>'Q100b-totais'!C62</f>
        <v>Sistema de transporte coletivo com um todo</v>
      </c>
      <c r="C1978" s="167" t="s">
        <v>743</v>
      </c>
      <c r="D1978" s="324" t="s">
        <v>5201</v>
      </c>
      <c r="E1978" s="1364" t="s">
        <v>432</v>
      </c>
      <c r="F1978" s="1205" t="s">
        <v>5202</v>
      </c>
      <c r="G1978" s="230" t="s">
        <v>3507</v>
      </c>
      <c r="H1978" s="167" t="s">
        <v>2408</v>
      </c>
      <c r="I1978" s="167" t="s">
        <v>432</v>
      </c>
      <c r="J1978" s="107" t="s">
        <v>432</v>
      </c>
      <c r="K1978" s="107" t="s">
        <v>432</v>
      </c>
      <c r="L1978" s="107" t="s">
        <v>432</v>
      </c>
      <c r="M1978" s="107" t="s">
        <v>432</v>
      </c>
      <c r="N1978" s="107" t="s">
        <v>432</v>
      </c>
      <c r="O1978" s="107" t="s">
        <v>432</v>
      </c>
      <c r="P1978" s="107" t="s">
        <v>432</v>
      </c>
      <c r="Q1978" s="107" t="s">
        <v>432</v>
      </c>
      <c r="R1978" s="107" t="s">
        <v>432</v>
      </c>
      <c r="S1978" s="109" t="s">
        <v>2209</v>
      </c>
      <c r="T1978" s="107" t="s">
        <v>432</v>
      </c>
      <c r="U1978" s="107" t="s">
        <v>432</v>
      </c>
      <c r="V1978" s="109" t="s">
        <v>2209</v>
      </c>
      <c r="W1978" s="107" t="s">
        <v>432</v>
      </c>
      <c r="X1978" s="107" t="s">
        <v>432</v>
      </c>
      <c r="Y1978" s="107" t="s">
        <v>432</v>
      </c>
      <c r="Z1978" s="107" t="s">
        <v>432</v>
      </c>
      <c r="AA1978" s="107" t="s">
        <v>432</v>
      </c>
      <c r="AB1978" s="107" t="s">
        <v>432</v>
      </c>
      <c r="AC1978" s="107" t="s">
        <v>432</v>
      </c>
      <c r="AD1978" s="107" t="s">
        <v>432</v>
      </c>
      <c r="AE1978" s="107" t="s">
        <v>432</v>
      </c>
      <c r="AF1978" s="107" t="s">
        <v>432</v>
      </c>
      <c r="AG1978" s="107" t="s">
        <v>432</v>
      </c>
      <c r="AH1978" s="107" t="s">
        <v>432</v>
      </c>
      <c r="AI1978" s="107" t="s">
        <v>432</v>
      </c>
      <c r="AJ1978" s="107" t="s">
        <v>432</v>
      </c>
      <c r="AK1978" s="107" t="s">
        <v>432</v>
      </c>
      <c r="AL1978" s="601" t="s">
        <v>432</v>
      </c>
      <c r="AM1978" s="137" t="s">
        <v>432</v>
      </c>
      <c r="AN1978" s="137" t="s">
        <v>432</v>
      </c>
      <c r="AO1978" s="137" t="s">
        <v>432</v>
      </c>
      <c r="AP1978" s="137" t="s">
        <v>432</v>
      </c>
      <c r="AQ1978" s="137" t="s">
        <v>432</v>
      </c>
      <c r="AR1978" s="137" t="s">
        <v>432</v>
      </c>
      <c r="AS1978" s="137" t="s">
        <v>432</v>
      </c>
      <c r="AT1978" s="137" t="s">
        <v>432</v>
      </c>
      <c r="AU1978" s="137" t="s">
        <v>432</v>
      </c>
      <c r="AV1978" s="137" t="s">
        <v>432</v>
      </c>
      <c r="AW1978" s="137" t="s">
        <v>432</v>
      </c>
      <c r="AX1978" s="137" t="s">
        <v>432</v>
      </c>
      <c r="AY1978" s="137" t="s">
        <v>432</v>
      </c>
      <c r="AZ1978" s="137" t="s">
        <v>432</v>
      </c>
      <c r="BA1978" s="137" t="s">
        <v>432</v>
      </c>
      <c r="BB1978" s="239" t="str">
        <f t="shared" si="580"/>
        <v>Sistema de transporte coletivo com um todoacessibilidade</v>
      </c>
      <c r="BC1978" s="239" t="str">
        <f t="shared" si="581"/>
        <v>Sistema de transporte coletivo com um todoacessibilidadesigla/verbete</v>
      </c>
      <c r="BD1978" s="239" t="str">
        <f t="shared" si="582"/>
        <v>Sistema de transporte coletivo com um todosigla/verbete</v>
      </c>
    </row>
    <row r="1979" spans="1:56" s="1" customFormat="1" ht="218.25" customHeight="1" x14ac:dyDescent="0.25">
      <c r="A1979" s="262" t="str">
        <f>'Q100b-totais'!B54</f>
        <v>8.2</v>
      </c>
      <c r="B1979" s="54" t="str">
        <f>'Q100b-totais'!C54</f>
        <v>BRT</v>
      </c>
      <c r="C1979" s="167" t="s">
        <v>743</v>
      </c>
      <c r="D1979" s="324" t="s">
        <v>5197</v>
      </c>
      <c r="E1979" s="1364" t="s">
        <v>432</v>
      </c>
      <c r="F1979" s="1205" t="s">
        <v>5207</v>
      </c>
      <c r="G1979" s="230" t="s">
        <v>3507</v>
      </c>
      <c r="H1979" s="167" t="s">
        <v>2408</v>
      </c>
      <c r="I1979" s="167" t="s">
        <v>432</v>
      </c>
      <c r="J1979" s="107" t="s">
        <v>432</v>
      </c>
      <c r="K1979" s="107" t="s">
        <v>432</v>
      </c>
      <c r="L1979" s="107" t="s">
        <v>432</v>
      </c>
      <c r="M1979" s="107" t="s">
        <v>432</v>
      </c>
      <c r="N1979" s="107" t="s">
        <v>432</v>
      </c>
      <c r="O1979" s="107" t="s">
        <v>432</v>
      </c>
      <c r="P1979" s="107" t="s">
        <v>432</v>
      </c>
      <c r="Q1979" s="107" t="s">
        <v>432</v>
      </c>
      <c r="R1979" s="107" t="s">
        <v>432</v>
      </c>
      <c r="S1979" s="109" t="s">
        <v>2209</v>
      </c>
      <c r="T1979" s="107" t="s">
        <v>432</v>
      </c>
      <c r="U1979" s="107" t="s">
        <v>432</v>
      </c>
      <c r="V1979" s="109" t="s">
        <v>2209</v>
      </c>
      <c r="W1979" s="107" t="s">
        <v>432</v>
      </c>
      <c r="X1979" s="107" t="s">
        <v>432</v>
      </c>
      <c r="Y1979" s="107" t="s">
        <v>432</v>
      </c>
      <c r="Z1979" s="107" t="s">
        <v>432</v>
      </c>
      <c r="AA1979" s="107" t="s">
        <v>432</v>
      </c>
      <c r="AB1979" s="107" t="s">
        <v>432</v>
      </c>
      <c r="AC1979" s="107" t="s">
        <v>432</v>
      </c>
      <c r="AD1979" s="107" t="s">
        <v>432</v>
      </c>
      <c r="AE1979" s="107" t="s">
        <v>432</v>
      </c>
      <c r="AF1979" s="107" t="s">
        <v>432</v>
      </c>
      <c r="AG1979" s="107" t="s">
        <v>432</v>
      </c>
      <c r="AH1979" s="107" t="s">
        <v>432</v>
      </c>
      <c r="AI1979" s="107" t="s">
        <v>432</v>
      </c>
      <c r="AJ1979" s="107" t="s">
        <v>432</v>
      </c>
      <c r="AK1979" s="107" t="s">
        <v>432</v>
      </c>
      <c r="AL1979" s="601" t="s">
        <v>432</v>
      </c>
      <c r="AM1979" s="137" t="s">
        <v>432</v>
      </c>
      <c r="AN1979" s="137" t="s">
        <v>432</v>
      </c>
      <c r="AO1979" s="137" t="s">
        <v>432</v>
      </c>
      <c r="AP1979" s="137" t="s">
        <v>432</v>
      </c>
      <c r="AQ1979" s="137" t="s">
        <v>432</v>
      </c>
      <c r="AR1979" s="137" t="s">
        <v>432</v>
      </c>
      <c r="AS1979" s="137" t="s">
        <v>432</v>
      </c>
      <c r="AT1979" s="137" t="s">
        <v>432</v>
      </c>
      <c r="AU1979" s="137" t="s">
        <v>432</v>
      </c>
      <c r="AV1979" s="137" t="s">
        <v>432</v>
      </c>
      <c r="AW1979" s="137" t="s">
        <v>432</v>
      </c>
      <c r="AX1979" s="137" t="s">
        <v>432</v>
      </c>
      <c r="AY1979" s="137" t="s">
        <v>432</v>
      </c>
      <c r="AZ1979" s="137" t="s">
        <v>432</v>
      </c>
      <c r="BA1979" s="137" t="s">
        <v>432</v>
      </c>
      <c r="BB1979" s="239" t="str">
        <f t="shared" si="580"/>
        <v>BRTacessibilidade</v>
      </c>
      <c r="BC1979" s="239" t="str">
        <f t="shared" si="581"/>
        <v>BRTacessibilidadesigla/verbete</v>
      </c>
      <c r="BD1979" s="239" t="str">
        <f t="shared" si="582"/>
        <v>BRTsigla/verbete</v>
      </c>
    </row>
    <row r="1980" spans="1:56" s="1" customFormat="1" ht="43.5" customHeight="1" x14ac:dyDescent="0.25">
      <c r="A1980" s="262" t="str">
        <f>'Q100b-totais'!B54</f>
        <v>8.2</v>
      </c>
      <c r="B1980" s="54" t="str">
        <f>'Q100b-totais'!C54</f>
        <v>BRT</v>
      </c>
      <c r="C1980" s="167" t="s">
        <v>743</v>
      </c>
      <c r="D1980" s="324" t="s">
        <v>5197</v>
      </c>
      <c r="E1980" s="1364" t="s">
        <v>5897</v>
      </c>
      <c r="F1980" s="1205" t="s">
        <v>5899</v>
      </c>
      <c r="G1980" s="230" t="s">
        <v>5898</v>
      </c>
      <c r="H1980" s="167" t="s">
        <v>2408</v>
      </c>
      <c r="I1980" s="167" t="s">
        <v>432</v>
      </c>
      <c r="J1980" s="107" t="s">
        <v>432</v>
      </c>
      <c r="K1980" s="107" t="s">
        <v>432</v>
      </c>
      <c r="L1980" s="107" t="s">
        <v>432</v>
      </c>
      <c r="M1980" s="107" t="s">
        <v>432</v>
      </c>
      <c r="N1980" s="107" t="s">
        <v>432</v>
      </c>
      <c r="O1980" s="107" t="s">
        <v>432</v>
      </c>
      <c r="P1980" s="107" t="s">
        <v>432</v>
      </c>
      <c r="Q1980" s="107" t="s">
        <v>432</v>
      </c>
      <c r="R1980" s="107" t="s">
        <v>432</v>
      </c>
      <c r="S1980" s="109" t="s">
        <v>2209</v>
      </c>
      <c r="T1980" s="107" t="s">
        <v>432</v>
      </c>
      <c r="U1980" s="107" t="s">
        <v>432</v>
      </c>
      <c r="V1980" s="109" t="s">
        <v>2209</v>
      </c>
      <c r="W1980" s="107" t="s">
        <v>432</v>
      </c>
      <c r="X1980" s="107" t="s">
        <v>432</v>
      </c>
      <c r="Y1980" s="107" t="s">
        <v>432</v>
      </c>
      <c r="Z1980" s="107" t="s">
        <v>432</v>
      </c>
      <c r="AA1980" s="107" t="s">
        <v>432</v>
      </c>
      <c r="AB1980" s="107" t="s">
        <v>432</v>
      </c>
      <c r="AC1980" s="107" t="s">
        <v>432</v>
      </c>
      <c r="AD1980" s="107" t="s">
        <v>432</v>
      </c>
      <c r="AE1980" s="107" t="s">
        <v>432</v>
      </c>
      <c r="AF1980" s="107" t="s">
        <v>432</v>
      </c>
      <c r="AG1980" s="107" t="s">
        <v>432</v>
      </c>
      <c r="AH1980" s="107" t="s">
        <v>432</v>
      </c>
      <c r="AI1980" s="107" t="s">
        <v>432</v>
      </c>
      <c r="AJ1980" s="107" t="s">
        <v>432</v>
      </c>
      <c r="AK1980" s="107" t="s">
        <v>432</v>
      </c>
      <c r="AL1980" s="601" t="s">
        <v>432</v>
      </c>
      <c r="AM1980" s="137" t="s">
        <v>432</v>
      </c>
      <c r="AN1980" s="137" t="s">
        <v>432</v>
      </c>
      <c r="AO1980" s="137" t="s">
        <v>432</v>
      </c>
      <c r="AP1980" s="137" t="s">
        <v>432</v>
      </c>
      <c r="AQ1980" s="137" t="s">
        <v>432</v>
      </c>
      <c r="AR1980" s="137" t="s">
        <v>432</v>
      </c>
      <c r="AS1980" s="137" t="s">
        <v>432</v>
      </c>
      <c r="AT1980" s="137" t="s">
        <v>432</v>
      </c>
      <c r="AU1980" s="137" t="s">
        <v>432</v>
      </c>
      <c r="AV1980" s="137" t="s">
        <v>432</v>
      </c>
      <c r="AW1980" s="137" t="s">
        <v>432</v>
      </c>
      <c r="AX1980" s="137" t="s">
        <v>432</v>
      </c>
      <c r="AY1980" s="137" t="s">
        <v>432</v>
      </c>
      <c r="AZ1980" s="137" t="s">
        <v>432</v>
      </c>
      <c r="BA1980" s="137" t="s">
        <v>432</v>
      </c>
      <c r="BB1980" s="239" t="str">
        <f t="shared" ref="BB1980" si="583">B1980&amp;C1980</f>
        <v>BRTacessibilidade</v>
      </c>
      <c r="BC1980" s="239" t="str">
        <f t="shared" ref="BC1980" si="584">B1980&amp;C1980&amp;H1980</f>
        <v>BRTacessibilidadesigla/verbete</v>
      </c>
      <c r="BD1980" s="239" t="str">
        <f t="shared" ref="BD1980" si="585">B1980&amp;H1980</f>
        <v>BRTsigla/verbete</v>
      </c>
    </row>
    <row r="1981" spans="1:56" s="1" customFormat="1" ht="68.25" customHeight="1" x14ac:dyDescent="0.25">
      <c r="A1981" s="262" t="str">
        <f>'Q100b-totais'!B54</f>
        <v>8.2</v>
      </c>
      <c r="B1981" s="54" t="str">
        <f>'Q100b-totais'!C54</f>
        <v>BRT</v>
      </c>
      <c r="C1981" s="167" t="s">
        <v>743</v>
      </c>
      <c r="D1981" s="324" t="s">
        <v>5203</v>
      </c>
      <c r="E1981" s="1364" t="s">
        <v>432</v>
      </c>
      <c r="F1981" s="1205" t="s">
        <v>5204</v>
      </c>
      <c r="G1981" s="230" t="s">
        <v>3507</v>
      </c>
      <c r="H1981" s="167" t="s">
        <v>2408</v>
      </c>
      <c r="I1981" s="167" t="s">
        <v>432</v>
      </c>
      <c r="J1981" s="107" t="s">
        <v>432</v>
      </c>
      <c r="K1981" s="107" t="s">
        <v>432</v>
      </c>
      <c r="L1981" s="107" t="s">
        <v>432</v>
      </c>
      <c r="M1981" s="107" t="s">
        <v>432</v>
      </c>
      <c r="N1981" s="107" t="s">
        <v>432</v>
      </c>
      <c r="O1981" s="107" t="s">
        <v>432</v>
      </c>
      <c r="P1981" s="107" t="s">
        <v>432</v>
      </c>
      <c r="Q1981" s="107" t="s">
        <v>432</v>
      </c>
      <c r="R1981" s="107" t="s">
        <v>432</v>
      </c>
      <c r="S1981" s="109" t="s">
        <v>2209</v>
      </c>
      <c r="T1981" s="107" t="s">
        <v>432</v>
      </c>
      <c r="U1981" s="107" t="s">
        <v>432</v>
      </c>
      <c r="V1981" s="109" t="s">
        <v>2209</v>
      </c>
      <c r="W1981" s="107" t="s">
        <v>432</v>
      </c>
      <c r="X1981" s="107" t="s">
        <v>432</v>
      </c>
      <c r="Y1981" s="107" t="s">
        <v>432</v>
      </c>
      <c r="Z1981" s="107" t="s">
        <v>432</v>
      </c>
      <c r="AA1981" s="107" t="s">
        <v>432</v>
      </c>
      <c r="AB1981" s="107" t="s">
        <v>432</v>
      </c>
      <c r="AC1981" s="107" t="s">
        <v>432</v>
      </c>
      <c r="AD1981" s="107" t="s">
        <v>432</v>
      </c>
      <c r="AE1981" s="107" t="s">
        <v>432</v>
      </c>
      <c r="AF1981" s="107" t="s">
        <v>432</v>
      </c>
      <c r="AG1981" s="107" t="s">
        <v>432</v>
      </c>
      <c r="AH1981" s="107" t="s">
        <v>432</v>
      </c>
      <c r="AI1981" s="107" t="s">
        <v>432</v>
      </c>
      <c r="AJ1981" s="107" t="s">
        <v>432</v>
      </c>
      <c r="AK1981" s="107" t="s">
        <v>432</v>
      </c>
      <c r="AL1981" s="601" t="s">
        <v>432</v>
      </c>
      <c r="AM1981" s="137" t="s">
        <v>432</v>
      </c>
      <c r="AN1981" s="137" t="s">
        <v>432</v>
      </c>
      <c r="AO1981" s="137" t="s">
        <v>432</v>
      </c>
      <c r="AP1981" s="137" t="s">
        <v>432</v>
      </c>
      <c r="AQ1981" s="137" t="s">
        <v>432</v>
      </c>
      <c r="AR1981" s="137" t="s">
        <v>432</v>
      </c>
      <c r="AS1981" s="137" t="s">
        <v>432</v>
      </c>
      <c r="AT1981" s="137" t="s">
        <v>432</v>
      </c>
      <c r="AU1981" s="137" t="s">
        <v>432</v>
      </c>
      <c r="AV1981" s="137" t="s">
        <v>432</v>
      </c>
      <c r="AW1981" s="137" t="s">
        <v>432</v>
      </c>
      <c r="AX1981" s="137" t="s">
        <v>432</v>
      </c>
      <c r="AY1981" s="137" t="s">
        <v>432</v>
      </c>
      <c r="AZ1981" s="137" t="s">
        <v>432</v>
      </c>
      <c r="BA1981" s="137" t="s">
        <v>432</v>
      </c>
      <c r="BB1981" s="239" t="str">
        <f t="shared" si="580"/>
        <v>BRTacessibilidade</v>
      </c>
      <c r="BC1981" s="239" t="str">
        <f t="shared" si="581"/>
        <v>BRTacessibilidadesigla/verbete</v>
      </c>
      <c r="BD1981" s="239" t="str">
        <f t="shared" si="582"/>
        <v>BRTsigla/verbete</v>
      </c>
    </row>
    <row r="1982" spans="1:56" ht="166.5" customHeight="1" x14ac:dyDescent="0.25">
      <c r="A1982" s="262" t="str">
        <f>'Q100b-totais'!B54</f>
        <v>8.2</v>
      </c>
      <c r="B1982" s="54" t="str">
        <f>'Q100b-totais'!C54</f>
        <v>BRT</v>
      </c>
      <c r="C1982" s="167" t="s">
        <v>743</v>
      </c>
      <c r="D1982" s="324" t="s">
        <v>5200</v>
      </c>
      <c r="E1982" s="1364" t="s">
        <v>432</v>
      </c>
      <c r="F1982" s="1205" t="s">
        <v>5206</v>
      </c>
      <c r="G1982" s="230" t="s">
        <v>3507</v>
      </c>
      <c r="H1982" s="167" t="s">
        <v>2408</v>
      </c>
      <c r="I1982" s="167" t="s">
        <v>432</v>
      </c>
      <c r="J1982" s="107" t="s">
        <v>432</v>
      </c>
      <c r="K1982" s="107" t="s">
        <v>432</v>
      </c>
      <c r="L1982" s="107" t="s">
        <v>432</v>
      </c>
      <c r="M1982" s="107" t="s">
        <v>432</v>
      </c>
      <c r="N1982" s="107" t="s">
        <v>432</v>
      </c>
      <c r="O1982" s="107" t="s">
        <v>432</v>
      </c>
      <c r="P1982" s="107" t="s">
        <v>432</v>
      </c>
      <c r="Q1982" s="107" t="s">
        <v>432</v>
      </c>
      <c r="R1982" s="107" t="s">
        <v>432</v>
      </c>
      <c r="S1982" s="109" t="s">
        <v>2209</v>
      </c>
      <c r="T1982" s="107" t="s">
        <v>432</v>
      </c>
      <c r="U1982" s="107" t="s">
        <v>432</v>
      </c>
      <c r="V1982" s="109" t="s">
        <v>2209</v>
      </c>
      <c r="W1982" s="107" t="s">
        <v>432</v>
      </c>
      <c r="X1982" s="107" t="s">
        <v>432</v>
      </c>
      <c r="Y1982" s="107" t="s">
        <v>432</v>
      </c>
      <c r="Z1982" s="107" t="s">
        <v>432</v>
      </c>
      <c r="AA1982" s="107" t="s">
        <v>432</v>
      </c>
      <c r="AB1982" s="107" t="s">
        <v>432</v>
      </c>
      <c r="AC1982" s="107" t="s">
        <v>432</v>
      </c>
      <c r="AD1982" s="107" t="s">
        <v>432</v>
      </c>
      <c r="AE1982" s="107" t="s">
        <v>432</v>
      </c>
      <c r="AF1982" s="107" t="s">
        <v>432</v>
      </c>
      <c r="AG1982" s="107" t="s">
        <v>432</v>
      </c>
      <c r="AH1982" s="107" t="s">
        <v>432</v>
      </c>
      <c r="AI1982" s="107" t="s">
        <v>432</v>
      </c>
      <c r="AJ1982" s="107" t="s">
        <v>432</v>
      </c>
      <c r="AK1982" s="107" t="s">
        <v>432</v>
      </c>
      <c r="AL1982" s="601" t="s">
        <v>432</v>
      </c>
      <c r="AM1982" s="137" t="s">
        <v>432</v>
      </c>
      <c r="AN1982" s="137" t="s">
        <v>432</v>
      </c>
      <c r="AO1982" s="137" t="s">
        <v>432</v>
      </c>
      <c r="AP1982" s="137" t="s">
        <v>432</v>
      </c>
      <c r="AQ1982" s="137" t="s">
        <v>432</v>
      </c>
      <c r="AR1982" s="137" t="s">
        <v>432</v>
      </c>
      <c r="AS1982" s="137" t="s">
        <v>432</v>
      </c>
      <c r="AT1982" s="137" t="s">
        <v>432</v>
      </c>
      <c r="AU1982" s="137" t="s">
        <v>432</v>
      </c>
      <c r="AV1982" s="137" t="s">
        <v>432</v>
      </c>
      <c r="AW1982" s="137" t="s">
        <v>432</v>
      </c>
      <c r="AX1982" s="137" t="s">
        <v>432</v>
      </c>
      <c r="AY1982" s="137" t="s">
        <v>432</v>
      </c>
      <c r="AZ1982" s="137" t="s">
        <v>432</v>
      </c>
      <c r="BA1982" s="137" t="s">
        <v>432</v>
      </c>
      <c r="BB1982" s="239" t="str">
        <f t="shared" si="580"/>
        <v>BRTacessibilidade</v>
      </c>
      <c r="BC1982" s="239" t="str">
        <f t="shared" si="581"/>
        <v>BRTacessibilidadesigla/verbete</v>
      </c>
      <c r="BD1982" s="239" t="str">
        <f t="shared" si="582"/>
        <v>BRTsigla/verbete</v>
      </c>
    </row>
    <row r="1983" spans="1:56" s="105" customFormat="1" ht="69" customHeight="1" x14ac:dyDescent="0.25">
      <c r="A1983" s="262" t="str">
        <f>'Q100b-totais'!B54</f>
        <v>8.2</v>
      </c>
      <c r="B1983" s="54" t="str">
        <f>'Q100b-totais'!C54</f>
        <v>BRT</v>
      </c>
      <c r="C1983" s="167" t="s">
        <v>743</v>
      </c>
      <c r="D1983" s="324" t="s">
        <v>5200</v>
      </c>
      <c r="E1983" s="1499" t="s">
        <v>1266</v>
      </c>
      <c r="F1983" s="1151" t="s">
        <v>5377</v>
      </c>
      <c r="G1983" s="230" t="s">
        <v>5166</v>
      </c>
      <c r="H1983" s="167" t="s">
        <v>2408</v>
      </c>
      <c r="I1983" s="167" t="s">
        <v>432</v>
      </c>
      <c r="J1983" s="107" t="s">
        <v>432</v>
      </c>
      <c r="K1983" s="107" t="s">
        <v>432</v>
      </c>
      <c r="L1983" s="107" t="s">
        <v>432</v>
      </c>
      <c r="M1983" s="107" t="s">
        <v>432</v>
      </c>
      <c r="N1983" s="107" t="s">
        <v>432</v>
      </c>
      <c r="O1983" s="107" t="s">
        <v>432</v>
      </c>
      <c r="P1983" s="107" t="s">
        <v>432</v>
      </c>
      <c r="Q1983" s="107" t="s">
        <v>432</v>
      </c>
      <c r="R1983" s="107" t="s">
        <v>432</v>
      </c>
      <c r="S1983" s="109" t="s">
        <v>2209</v>
      </c>
      <c r="T1983" s="107" t="s">
        <v>432</v>
      </c>
      <c r="U1983" s="107" t="s">
        <v>432</v>
      </c>
      <c r="V1983" s="109" t="s">
        <v>2209</v>
      </c>
      <c r="W1983" s="107" t="s">
        <v>432</v>
      </c>
      <c r="X1983" s="107" t="s">
        <v>432</v>
      </c>
      <c r="Y1983" s="107" t="s">
        <v>432</v>
      </c>
      <c r="Z1983" s="107" t="s">
        <v>432</v>
      </c>
      <c r="AA1983" s="107" t="s">
        <v>432</v>
      </c>
      <c r="AB1983" s="107" t="s">
        <v>432</v>
      </c>
      <c r="AC1983" s="107" t="s">
        <v>432</v>
      </c>
      <c r="AD1983" s="107" t="s">
        <v>432</v>
      </c>
      <c r="AE1983" s="107" t="s">
        <v>432</v>
      </c>
      <c r="AF1983" s="107" t="s">
        <v>432</v>
      </c>
      <c r="AG1983" s="107" t="s">
        <v>432</v>
      </c>
      <c r="AH1983" s="107" t="s">
        <v>432</v>
      </c>
      <c r="AI1983" s="107" t="s">
        <v>432</v>
      </c>
      <c r="AJ1983" s="107" t="s">
        <v>432</v>
      </c>
      <c r="AK1983" s="107" t="s">
        <v>432</v>
      </c>
      <c r="AL1983" s="601" t="s">
        <v>432</v>
      </c>
      <c r="AM1983" s="137" t="s">
        <v>432</v>
      </c>
      <c r="AN1983" s="137" t="s">
        <v>432</v>
      </c>
      <c r="AO1983" s="137" t="s">
        <v>432</v>
      </c>
      <c r="AP1983" s="137" t="s">
        <v>432</v>
      </c>
      <c r="AQ1983" s="137" t="s">
        <v>432</v>
      </c>
      <c r="AR1983" s="137" t="s">
        <v>432</v>
      </c>
      <c r="AS1983" s="137" t="s">
        <v>432</v>
      </c>
      <c r="AT1983" s="137" t="s">
        <v>432</v>
      </c>
      <c r="AU1983" s="137" t="s">
        <v>432</v>
      </c>
      <c r="AV1983" s="137" t="s">
        <v>432</v>
      </c>
      <c r="AW1983" s="137" t="s">
        <v>432</v>
      </c>
      <c r="AX1983" s="137" t="s">
        <v>432</v>
      </c>
      <c r="AY1983" s="137" t="s">
        <v>432</v>
      </c>
      <c r="AZ1983" s="137" t="s">
        <v>432</v>
      </c>
      <c r="BA1983" s="137" t="s">
        <v>432</v>
      </c>
      <c r="BB1983" s="239" t="str">
        <f t="shared" si="580"/>
        <v>BRTacessibilidade</v>
      </c>
      <c r="BC1983" s="239" t="str">
        <f t="shared" si="581"/>
        <v>BRTacessibilidadesigla/verbete</v>
      </c>
      <c r="BD1983" s="239" t="str">
        <f t="shared" si="582"/>
        <v>BRTsigla/verbete</v>
      </c>
    </row>
    <row r="1984" spans="1:56" s="105" customFormat="1" ht="69.75" customHeight="1" x14ac:dyDescent="0.25">
      <c r="A1984" s="262" t="str">
        <f>'Q100b-totais'!B54</f>
        <v>8.2</v>
      </c>
      <c r="B1984" s="54" t="str">
        <f>'Q100b-totais'!C54</f>
        <v>BRT</v>
      </c>
      <c r="C1984" s="167" t="s">
        <v>743</v>
      </c>
      <c r="D1984" s="324" t="s">
        <v>5200</v>
      </c>
      <c r="E1984" s="509" t="s">
        <v>1266</v>
      </c>
      <c r="F1984" s="1151" t="s">
        <v>5378</v>
      </c>
      <c r="G1984" s="230" t="s">
        <v>5166</v>
      </c>
      <c r="H1984" s="167" t="s">
        <v>2408</v>
      </c>
      <c r="I1984" s="167" t="s">
        <v>432</v>
      </c>
      <c r="J1984" s="107" t="s">
        <v>432</v>
      </c>
      <c r="K1984" s="107" t="s">
        <v>432</v>
      </c>
      <c r="L1984" s="107" t="s">
        <v>432</v>
      </c>
      <c r="M1984" s="107" t="s">
        <v>432</v>
      </c>
      <c r="N1984" s="107" t="s">
        <v>432</v>
      </c>
      <c r="O1984" s="107" t="s">
        <v>432</v>
      </c>
      <c r="P1984" s="107" t="s">
        <v>432</v>
      </c>
      <c r="Q1984" s="107" t="s">
        <v>432</v>
      </c>
      <c r="R1984" s="107" t="s">
        <v>432</v>
      </c>
      <c r="S1984" s="109" t="s">
        <v>2209</v>
      </c>
      <c r="T1984" s="107" t="s">
        <v>432</v>
      </c>
      <c r="U1984" s="107" t="s">
        <v>432</v>
      </c>
      <c r="V1984" s="109" t="s">
        <v>2209</v>
      </c>
      <c r="W1984" s="107" t="s">
        <v>432</v>
      </c>
      <c r="X1984" s="107" t="s">
        <v>432</v>
      </c>
      <c r="Y1984" s="107" t="s">
        <v>432</v>
      </c>
      <c r="Z1984" s="107" t="s">
        <v>432</v>
      </c>
      <c r="AA1984" s="107" t="s">
        <v>432</v>
      </c>
      <c r="AB1984" s="107" t="s">
        <v>432</v>
      </c>
      <c r="AC1984" s="107" t="s">
        <v>432</v>
      </c>
      <c r="AD1984" s="107" t="s">
        <v>432</v>
      </c>
      <c r="AE1984" s="107" t="s">
        <v>432</v>
      </c>
      <c r="AF1984" s="107" t="s">
        <v>432</v>
      </c>
      <c r="AG1984" s="107" t="s">
        <v>432</v>
      </c>
      <c r="AH1984" s="107" t="s">
        <v>432</v>
      </c>
      <c r="AI1984" s="107" t="s">
        <v>432</v>
      </c>
      <c r="AJ1984" s="107" t="s">
        <v>432</v>
      </c>
      <c r="AK1984" s="107" t="s">
        <v>432</v>
      </c>
      <c r="AL1984" s="601" t="s">
        <v>432</v>
      </c>
      <c r="AM1984" s="137" t="s">
        <v>432</v>
      </c>
      <c r="AN1984" s="137" t="s">
        <v>432</v>
      </c>
      <c r="AO1984" s="137" t="s">
        <v>432</v>
      </c>
      <c r="AP1984" s="137" t="s">
        <v>432</v>
      </c>
      <c r="AQ1984" s="137" t="s">
        <v>432</v>
      </c>
      <c r="AR1984" s="137" t="s">
        <v>432</v>
      </c>
      <c r="AS1984" s="137" t="s">
        <v>432</v>
      </c>
      <c r="AT1984" s="137" t="s">
        <v>432</v>
      </c>
      <c r="AU1984" s="137" t="s">
        <v>432</v>
      </c>
      <c r="AV1984" s="137" t="s">
        <v>432</v>
      </c>
      <c r="AW1984" s="137" t="s">
        <v>432</v>
      </c>
      <c r="AX1984" s="137" t="s">
        <v>432</v>
      </c>
      <c r="AY1984" s="137" t="s">
        <v>432</v>
      </c>
      <c r="AZ1984" s="137" t="s">
        <v>432</v>
      </c>
      <c r="BA1984" s="137" t="s">
        <v>432</v>
      </c>
      <c r="BB1984" s="239" t="str">
        <f t="shared" si="580"/>
        <v>BRTacessibilidade</v>
      </c>
      <c r="BC1984" s="239" t="str">
        <f t="shared" si="581"/>
        <v>BRTacessibilidadesigla/verbete</v>
      </c>
      <c r="BD1984" s="239" t="str">
        <f t="shared" si="582"/>
        <v>BRTsigla/verbete</v>
      </c>
    </row>
    <row r="1985" spans="1:56" s="1" customFormat="1" ht="51" x14ac:dyDescent="0.25">
      <c r="A1985" s="262" t="str">
        <f>'Q100b-totais'!B62</f>
        <v>8.10</v>
      </c>
      <c r="B1985" s="252" t="str">
        <f>'Q100b-totais'!C62</f>
        <v>Sistema de transporte coletivo com um todo</v>
      </c>
      <c r="C1985" s="167" t="s">
        <v>743</v>
      </c>
      <c r="D1985" s="939" t="s">
        <v>3191</v>
      </c>
      <c r="E1985" s="509" t="s">
        <v>1767</v>
      </c>
      <c r="F1985" s="5" t="s">
        <v>3192</v>
      </c>
      <c r="G1985" s="230" t="s">
        <v>3507</v>
      </c>
      <c r="H1985" s="167" t="s">
        <v>2408</v>
      </c>
      <c r="I1985" s="167" t="s">
        <v>432</v>
      </c>
      <c r="J1985" s="109" t="s">
        <v>432</v>
      </c>
      <c r="K1985" s="109" t="s">
        <v>432</v>
      </c>
      <c r="L1985" s="109" t="s">
        <v>432</v>
      </c>
      <c r="M1985" s="109" t="s">
        <v>432</v>
      </c>
      <c r="N1985" s="109" t="s">
        <v>432</v>
      </c>
      <c r="O1985" s="109" t="s">
        <v>432</v>
      </c>
      <c r="P1985" s="109" t="s">
        <v>432</v>
      </c>
      <c r="Q1985" s="109" t="s">
        <v>432</v>
      </c>
      <c r="R1985" s="109" t="s">
        <v>432</v>
      </c>
      <c r="S1985" s="109" t="s">
        <v>2209</v>
      </c>
      <c r="T1985" s="109" t="s">
        <v>432</v>
      </c>
      <c r="U1985" s="109" t="s">
        <v>432</v>
      </c>
      <c r="V1985" s="109" t="s">
        <v>2209</v>
      </c>
      <c r="W1985" s="109" t="s">
        <v>432</v>
      </c>
      <c r="X1985" s="109" t="s">
        <v>432</v>
      </c>
      <c r="Y1985" s="109" t="s">
        <v>432</v>
      </c>
      <c r="Z1985" s="109" t="s">
        <v>432</v>
      </c>
      <c r="AA1985" s="109" t="s">
        <v>432</v>
      </c>
      <c r="AB1985" s="109" t="s">
        <v>432</v>
      </c>
      <c r="AC1985" s="109" t="s">
        <v>432</v>
      </c>
      <c r="AD1985" s="109" t="s">
        <v>432</v>
      </c>
      <c r="AE1985" s="109" t="s">
        <v>432</v>
      </c>
      <c r="AF1985" s="109" t="s">
        <v>432</v>
      </c>
      <c r="AG1985" s="109" t="s">
        <v>432</v>
      </c>
      <c r="AH1985" s="109" t="s">
        <v>432</v>
      </c>
      <c r="AI1985" s="109" t="s">
        <v>432</v>
      </c>
      <c r="AJ1985" s="109" t="s">
        <v>432</v>
      </c>
      <c r="AK1985" s="137" t="s">
        <v>432</v>
      </c>
      <c r="AL1985" s="601" t="s">
        <v>432</v>
      </c>
      <c r="AM1985" s="137" t="s">
        <v>432</v>
      </c>
      <c r="AN1985" s="137" t="s">
        <v>432</v>
      </c>
      <c r="AO1985" s="137" t="s">
        <v>432</v>
      </c>
      <c r="AP1985" s="137" t="s">
        <v>432</v>
      </c>
      <c r="AQ1985" s="137" t="s">
        <v>432</v>
      </c>
      <c r="AR1985" s="137" t="s">
        <v>432</v>
      </c>
      <c r="AS1985" s="137" t="s">
        <v>432</v>
      </c>
      <c r="AT1985" s="137" t="s">
        <v>432</v>
      </c>
      <c r="AU1985" s="137" t="s">
        <v>432</v>
      </c>
      <c r="AV1985" s="137" t="s">
        <v>432</v>
      </c>
      <c r="AW1985" s="137" t="s">
        <v>432</v>
      </c>
      <c r="AX1985" s="137" t="s">
        <v>432</v>
      </c>
      <c r="AY1985" s="137" t="s">
        <v>432</v>
      </c>
      <c r="AZ1985" s="137" t="s">
        <v>432</v>
      </c>
      <c r="BA1985" s="137" t="s">
        <v>432</v>
      </c>
      <c r="BB1985" s="239" t="str">
        <f t="shared" si="580"/>
        <v>Sistema de transporte coletivo com um todoacessibilidade</v>
      </c>
      <c r="BC1985" s="239" t="str">
        <f t="shared" si="581"/>
        <v>Sistema de transporte coletivo com um todoacessibilidadesigla/verbete</v>
      </c>
      <c r="BD1985" s="239" t="str">
        <f t="shared" si="582"/>
        <v>Sistema de transporte coletivo com um todosigla/verbete</v>
      </c>
    </row>
    <row r="1986" spans="1:56" s="1" customFormat="1" ht="68.25" customHeight="1" x14ac:dyDescent="0.25">
      <c r="A1986" s="262" t="str">
        <f>'Q100b-totais'!B54</f>
        <v>8.2</v>
      </c>
      <c r="B1986" s="252" t="str">
        <f>'Q100b-totais'!C54</f>
        <v>BRT</v>
      </c>
      <c r="C1986" s="167" t="s">
        <v>743</v>
      </c>
      <c r="D1986" s="939" t="s">
        <v>3191</v>
      </c>
      <c r="E1986" s="509" t="s">
        <v>1266</v>
      </c>
      <c r="F1986" s="1172" t="s">
        <v>5169</v>
      </c>
      <c r="G1986" s="230" t="s">
        <v>5166</v>
      </c>
      <c r="H1986" s="167" t="s">
        <v>2408</v>
      </c>
      <c r="I1986" s="167" t="s">
        <v>432</v>
      </c>
      <c r="J1986" s="109" t="s">
        <v>432</v>
      </c>
      <c r="K1986" s="109" t="s">
        <v>432</v>
      </c>
      <c r="L1986" s="109" t="s">
        <v>432</v>
      </c>
      <c r="M1986" s="109" t="s">
        <v>432</v>
      </c>
      <c r="N1986" s="109" t="s">
        <v>432</v>
      </c>
      <c r="O1986" s="109" t="s">
        <v>432</v>
      </c>
      <c r="P1986" s="109" t="s">
        <v>432</v>
      </c>
      <c r="Q1986" s="109" t="s">
        <v>432</v>
      </c>
      <c r="R1986" s="109" t="s">
        <v>432</v>
      </c>
      <c r="S1986" s="109" t="s">
        <v>2209</v>
      </c>
      <c r="T1986" s="109" t="s">
        <v>432</v>
      </c>
      <c r="U1986" s="109" t="s">
        <v>432</v>
      </c>
      <c r="V1986" s="109" t="s">
        <v>2209</v>
      </c>
      <c r="W1986" s="109" t="s">
        <v>432</v>
      </c>
      <c r="X1986" s="109" t="s">
        <v>432</v>
      </c>
      <c r="Y1986" s="109" t="s">
        <v>432</v>
      </c>
      <c r="Z1986" s="109" t="s">
        <v>432</v>
      </c>
      <c r="AA1986" s="109" t="s">
        <v>432</v>
      </c>
      <c r="AB1986" s="109" t="s">
        <v>432</v>
      </c>
      <c r="AC1986" s="109" t="s">
        <v>432</v>
      </c>
      <c r="AD1986" s="109" t="s">
        <v>432</v>
      </c>
      <c r="AE1986" s="109" t="s">
        <v>432</v>
      </c>
      <c r="AF1986" s="109" t="s">
        <v>432</v>
      </c>
      <c r="AG1986" s="109" t="s">
        <v>432</v>
      </c>
      <c r="AH1986" s="109" t="s">
        <v>432</v>
      </c>
      <c r="AI1986" s="109" t="s">
        <v>432</v>
      </c>
      <c r="AJ1986" s="109" t="s">
        <v>432</v>
      </c>
      <c r="AK1986" s="137" t="s">
        <v>432</v>
      </c>
      <c r="AL1986" s="601" t="s">
        <v>432</v>
      </c>
      <c r="AM1986" s="137" t="s">
        <v>432</v>
      </c>
      <c r="AN1986" s="137" t="s">
        <v>432</v>
      </c>
      <c r="AO1986" s="137" t="s">
        <v>432</v>
      </c>
      <c r="AP1986" s="137" t="s">
        <v>432</v>
      </c>
      <c r="AQ1986" s="137" t="s">
        <v>432</v>
      </c>
      <c r="AR1986" s="137" t="s">
        <v>432</v>
      </c>
      <c r="AS1986" s="137" t="s">
        <v>432</v>
      </c>
      <c r="AT1986" s="137" t="s">
        <v>432</v>
      </c>
      <c r="AU1986" s="137" t="s">
        <v>432</v>
      </c>
      <c r="AV1986" s="137" t="s">
        <v>432</v>
      </c>
      <c r="AW1986" s="137" t="s">
        <v>432</v>
      </c>
      <c r="AX1986" s="137" t="s">
        <v>432</v>
      </c>
      <c r="AY1986" s="137" t="s">
        <v>432</v>
      </c>
      <c r="AZ1986" s="137" t="s">
        <v>432</v>
      </c>
      <c r="BA1986" s="137" t="s">
        <v>432</v>
      </c>
      <c r="BB1986" s="239" t="str">
        <f t="shared" si="580"/>
        <v>BRTacessibilidade</v>
      </c>
      <c r="BC1986" s="239" t="str">
        <f t="shared" si="581"/>
        <v>BRTacessibilidadesigla/verbete</v>
      </c>
      <c r="BD1986" s="239" t="str">
        <f t="shared" si="582"/>
        <v>BRTsigla/verbete</v>
      </c>
    </row>
    <row r="1987" spans="1:56" s="1" customFormat="1" ht="107.25" customHeight="1" x14ac:dyDescent="0.25">
      <c r="A1987" s="262" t="str">
        <f>'Q100b-totais'!B62</f>
        <v>8.10</v>
      </c>
      <c r="B1987" s="252" t="str">
        <f>'Q100b-totais'!C62</f>
        <v>Sistema de transporte coletivo com um todo</v>
      </c>
      <c r="C1987" s="229" t="s">
        <v>743</v>
      </c>
      <c r="D1987" s="939" t="s">
        <v>3182</v>
      </c>
      <c r="E1987" s="509" t="s">
        <v>1767</v>
      </c>
      <c r="F1987" s="5" t="s">
        <v>5079</v>
      </c>
      <c r="G1987" s="230" t="s">
        <v>3507</v>
      </c>
      <c r="H1987" s="167" t="s">
        <v>2408</v>
      </c>
      <c r="I1987" s="167" t="s">
        <v>432</v>
      </c>
      <c r="J1987" s="109" t="s">
        <v>432</v>
      </c>
      <c r="K1987" s="109" t="s">
        <v>432</v>
      </c>
      <c r="L1987" s="109" t="s">
        <v>432</v>
      </c>
      <c r="M1987" s="109" t="s">
        <v>432</v>
      </c>
      <c r="N1987" s="109" t="s">
        <v>432</v>
      </c>
      <c r="O1987" s="109" t="s">
        <v>432</v>
      </c>
      <c r="P1987" s="109" t="s">
        <v>432</v>
      </c>
      <c r="Q1987" s="109" t="s">
        <v>432</v>
      </c>
      <c r="R1987" s="109" t="s">
        <v>432</v>
      </c>
      <c r="S1987" s="109" t="s">
        <v>2209</v>
      </c>
      <c r="T1987" s="109" t="s">
        <v>432</v>
      </c>
      <c r="U1987" s="109" t="s">
        <v>432</v>
      </c>
      <c r="V1987" s="109" t="s">
        <v>2209</v>
      </c>
      <c r="W1987" s="109" t="s">
        <v>432</v>
      </c>
      <c r="X1987" s="109" t="s">
        <v>432</v>
      </c>
      <c r="Y1987" s="109" t="s">
        <v>432</v>
      </c>
      <c r="Z1987" s="109" t="s">
        <v>432</v>
      </c>
      <c r="AA1987" s="109" t="s">
        <v>432</v>
      </c>
      <c r="AB1987" s="109" t="s">
        <v>432</v>
      </c>
      <c r="AC1987" s="109" t="s">
        <v>432</v>
      </c>
      <c r="AD1987" s="109" t="s">
        <v>432</v>
      </c>
      <c r="AE1987" s="109" t="s">
        <v>432</v>
      </c>
      <c r="AF1987" s="109" t="s">
        <v>432</v>
      </c>
      <c r="AG1987" s="109" t="s">
        <v>432</v>
      </c>
      <c r="AH1987" s="109" t="s">
        <v>432</v>
      </c>
      <c r="AI1987" s="109" t="s">
        <v>432</v>
      </c>
      <c r="AJ1987" s="109" t="s">
        <v>432</v>
      </c>
      <c r="AK1987" s="137" t="s">
        <v>432</v>
      </c>
      <c r="AL1987" s="601" t="s">
        <v>432</v>
      </c>
      <c r="AM1987" s="137" t="s">
        <v>432</v>
      </c>
      <c r="AN1987" s="137" t="s">
        <v>432</v>
      </c>
      <c r="AO1987" s="137" t="s">
        <v>432</v>
      </c>
      <c r="AP1987" s="137" t="s">
        <v>432</v>
      </c>
      <c r="AQ1987" s="137" t="s">
        <v>432</v>
      </c>
      <c r="AR1987" s="137" t="s">
        <v>432</v>
      </c>
      <c r="AS1987" s="137" t="s">
        <v>432</v>
      </c>
      <c r="AT1987" s="137" t="s">
        <v>432</v>
      </c>
      <c r="AU1987" s="137" t="s">
        <v>432</v>
      </c>
      <c r="AV1987" s="137" t="s">
        <v>432</v>
      </c>
      <c r="AW1987" s="137" t="s">
        <v>432</v>
      </c>
      <c r="AX1987" s="137" t="s">
        <v>432</v>
      </c>
      <c r="AY1987" s="137" t="s">
        <v>432</v>
      </c>
      <c r="AZ1987" s="137" t="s">
        <v>432</v>
      </c>
      <c r="BA1987" s="137" t="s">
        <v>432</v>
      </c>
      <c r="BB1987" s="239" t="str">
        <f t="shared" si="580"/>
        <v>Sistema de transporte coletivo com um todoacessibilidade</v>
      </c>
      <c r="BC1987" s="239" t="str">
        <f t="shared" si="581"/>
        <v>Sistema de transporte coletivo com um todoacessibilidadesigla/verbete</v>
      </c>
      <c r="BD1987" s="239" t="str">
        <f t="shared" si="582"/>
        <v>Sistema de transporte coletivo com um todosigla/verbete</v>
      </c>
    </row>
    <row r="1988" spans="1:56" s="1" customFormat="1" ht="107.25" customHeight="1" x14ac:dyDescent="0.25">
      <c r="A1988" s="262" t="str">
        <f>'Q100b-totais'!B62</f>
        <v>8.10</v>
      </c>
      <c r="B1988" s="53" t="str">
        <f>'Q100b-totais'!C62</f>
        <v>Sistema de transporte coletivo com um todo</v>
      </c>
      <c r="C1988" s="229" t="s">
        <v>743</v>
      </c>
      <c r="D1988" s="325" t="s">
        <v>3182</v>
      </c>
      <c r="E1988" s="254" t="s">
        <v>1306</v>
      </c>
      <c r="F1988" s="1151" t="s">
        <v>5388</v>
      </c>
      <c r="G1988" s="230" t="s">
        <v>5166</v>
      </c>
      <c r="H1988" s="167" t="s">
        <v>2408</v>
      </c>
      <c r="I1988" s="167" t="s">
        <v>432</v>
      </c>
      <c r="J1988" s="109" t="s">
        <v>432</v>
      </c>
      <c r="K1988" s="109" t="s">
        <v>432</v>
      </c>
      <c r="L1988" s="109" t="s">
        <v>432</v>
      </c>
      <c r="M1988" s="109" t="s">
        <v>432</v>
      </c>
      <c r="N1988" s="109" t="s">
        <v>432</v>
      </c>
      <c r="O1988" s="109" t="s">
        <v>432</v>
      </c>
      <c r="P1988" s="109" t="s">
        <v>432</v>
      </c>
      <c r="Q1988" s="109" t="s">
        <v>432</v>
      </c>
      <c r="R1988" s="109" t="s">
        <v>432</v>
      </c>
      <c r="S1988" s="109" t="s">
        <v>2209</v>
      </c>
      <c r="T1988" s="109" t="s">
        <v>432</v>
      </c>
      <c r="U1988" s="109" t="s">
        <v>432</v>
      </c>
      <c r="V1988" s="109" t="s">
        <v>2209</v>
      </c>
      <c r="W1988" s="109" t="s">
        <v>432</v>
      </c>
      <c r="X1988" s="109" t="s">
        <v>432</v>
      </c>
      <c r="Y1988" s="109" t="s">
        <v>432</v>
      </c>
      <c r="Z1988" s="109" t="s">
        <v>432</v>
      </c>
      <c r="AA1988" s="109" t="s">
        <v>432</v>
      </c>
      <c r="AB1988" s="109" t="s">
        <v>432</v>
      </c>
      <c r="AC1988" s="109" t="s">
        <v>432</v>
      </c>
      <c r="AD1988" s="109" t="s">
        <v>432</v>
      </c>
      <c r="AE1988" s="109" t="s">
        <v>432</v>
      </c>
      <c r="AF1988" s="109" t="s">
        <v>432</v>
      </c>
      <c r="AG1988" s="109" t="s">
        <v>432</v>
      </c>
      <c r="AH1988" s="109" t="s">
        <v>432</v>
      </c>
      <c r="AI1988" s="109" t="s">
        <v>432</v>
      </c>
      <c r="AJ1988" s="109" t="s">
        <v>432</v>
      </c>
      <c r="AK1988" s="137" t="s">
        <v>432</v>
      </c>
      <c r="AL1988" s="601" t="s">
        <v>432</v>
      </c>
      <c r="AM1988" s="137" t="s">
        <v>432</v>
      </c>
      <c r="AN1988" s="137" t="s">
        <v>432</v>
      </c>
      <c r="AO1988" s="137" t="s">
        <v>432</v>
      </c>
      <c r="AP1988" s="137" t="s">
        <v>432</v>
      </c>
      <c r="AQ1988" s="137" t="s">
        <v>432</v>
      </c>
      <c r="AR1988" s="137" t="s">
        <v>432</v>
      </c>
      <c r="AS1988" s="137" t="s">
        <v>432</v>
      </c>
      <c r="AT1988" s="137" t="s">
        <v>432</v>
      </c>
      <c r="AU1988" s="137" t="s">
        <v>432</v>
      </c>
      <c r="AV1988" s="137" t="s">
        <v>432</v>
      </c>
      <c r="AW1988" s="137" t="s">
        <v>432</v>
      </c>
      <c r="AX1988" s="137" t="s">
        <v>432</v>
      </c>
      <c r="AY1988" s="137" t="s">
        <v>432</v>
      </c>
      <c r="AZ1988" s="137" t="s">
        <v>432</v>
      </c>
      <c r="BA1988" s="137" t="s">
        <v>432</v>
      </c>
      <c r="BB1988" s="239" t="str">
        <f t="shared" si="580"/>
        <v>Sistema de transporte coletivo com um todoacessibilidade</v>
      </c>
      <c r="BC1988" s="239" t="str">
        <f t="shared" si="581"/>
        <v>Sistema de transporte coletivo com um todoacessibilidadesigla/verbete</v>
      </c>
      <c r="BD1988" s="239" t="str">
        <f t="shared" si="582"/>
        <v>Sistema de transporte coletivo com um todosigla/verbete</v>
      </c>
    </row>
    <row r="1989" spans="1:56" s="1" customFormat="1" ht="99.75" customHeight="1" x14ac:dyDescent="0.25">
      <c r="A1989" s="262" t="str">
        <f>'Q100b-totais'!B62</f>
        <v>8.10</v>
      </c>
      <c r="B1989" s="53" t="str">
        <f>'Q100b-totais'!C62</f>
        <v>Sistema de transporte coletivo com um todo</v>
      </c>
      <c r="C1989" s="229" t="s">
        <v>743</v>
      </c>
      <c r="D1989" s="939" t="s">
        <v>3182</v>
      </c>
      <c r="E1989" s="509" t="s">
        <v>1705</v>
      </c>
      <c r="F1989" s="5" t="s">
        <v>5392</v>
      </c>
      <c r="G1989" s="230" t="s">
        <v>3507</v>
      </c>
      <c r="H1989" s="167" t="s">
        <v>2408</v>
      </c>
      <c r="I1989" s="167" t="s">
        <v>432</v>
      </c>
      <c r="J1989" s="109" t="s">
        <v>432</v>
      </c>
      <c r="K1989" s="109" t="s">
        <v>432</v>
      </c>
      <c r="L1989" s="109" t="s">
        <v>432</v>
      </c>
      <c r="M1989" s="109" t="s">
        <v>432</v>
      </c>
      <c r="N1989" s="109" t="s">
        <v>432</v>
      </c>
      <c r="O1989" s="109" t="s">
        <v>432</v>
      </c>
      <c r="P1989" s="109" t="s">
        <v>432</v>
      </c>
      <c r="Q1989" s="109" t="s">
        <v>432</v>
      </c>
      <c r="R1989" s="109" t="s">
        <v>432</v>
      </c>
      <c r="S1989" s="109" t="s">
        <v>2209</v>
      </c>
      <c r="T1989" s="109" t="s">
        <v>432</v>
      </c>
      <c r="U1989" s="109" t="s">
        <v>432</v>
      </c>
      <c r="V1989" s="109" t="s">
        <v>2209</v>
      </c>
      <c r="W1989" s="109" t="s">
        <v>432</v>
      </c>
      <c r="X1989" s="109" t="s">
        <v>432</v>
      </c>
      <c r="Y1989" s="109" t="s">
        <v>432</v>
      </c>
      <c r="Z1989" s="109" t="s">
        <v>432</v>
      </c>
      <c r="AA1989" s="109" t="s">
        <v>432</v>
      </c>
      <c r="AB1989" s="109" t="s">
        <v>432</v>
      </c>
      <c r="AC1989" s="109" t="s">
        <v>432</v>
      </c>
      <c r="AD1989" s="109" t="s">
        <v>432</v>
      </c>
      <c r="AE1989" s="109" t="s">
        <v>432</v>
      </c>
      <c r="AF1989" s="109" t="s">
        <v>432</v>
      </c>
      <c r="AG1989" s="109" t="s">
        <v>432</v>
      </c>
      <c r="AH1989" s="109" t="s">
        <v>432</v>
      </c>
      <c r="AI1989" s="109" t="s">
        <v>432</v>
      </c>
      <c r="AJ1989" s="109" t="s">
        <v>432</v>
      </c>
      <c r="AK1989" s="137" t="s">
        <v>432</v>
      </c>
      <c r="AL1989" s="601" t="s">
        <v>432</v>
      </c>
      <c r="AM1989" s="137" t="s">
        <v>432</v>
      </c>
      <c r="AN1989" s="137" t="s">
        <v>432</v>
      </c>
      <c r="AO1989" s="137" t="s">
        <v>432</v>
      </c>
      <c r="AP1989" s="137" t="s">
        <v>432</v>
      </c>
      <c r="AQ1989" s="137" t="s">
        <v>432</v>
      </c>
      <c r="AR1989" s="137" t="s">
        <v>432</v>
      </c>
      <c r="AS1989" s="137" t="s">
        <v>432</v>
      </c>
      <c r="AT1989" s="137" t="s">
        <v>432</v>
      </c>
      <c r="AU1989" s="137" t="s">
        <v>432</v>
      </c>
      <c r="AV1989" s="137" t="s">
        <v>432</v>
      </c>
      <c r="AW1989" s="137" t="s">
        <v>432</v>
      </c>
      <c r="AX1989" s="137" t="s">
        <v>432</v>
      </c>
      <c r="AY1989" s="137" t="s">
        <v>432</v>
      </c>
      <c r="AZ1989" s="137" t="s">
        <v>432</v>
      </c>
      <c r="BA1989" s="137" t="s">
        <v>432</v>
      </c>
      <c r="BB1989" s="239" t="str">
        <f t="shared" si="580"/>
        <v>Sistema de transporte coletivo com um todoacessibilidade</v>
      </c>
      <c r="BC1989" s="239" t="str">
        <f t="shared" si="581"/>
        <v>Sistema de transporte coletivo com um todoacessibilidadesigla/verbete</v>
      </c>
      <c r="BD1989" s="239" t="str">
        <f t="shared" si="582"/>
        <v>Sistema de transporte coletivo com um todosigla/verbete</v>
      </c>
    </row>
    <row r="1990" spans="1:56" s="1" customFormat="1" ht="25.5" x14ac:dyDescent="0.25">
      <c r="A1990" s="262" t="s">
        <v>432</v>
      </c>
      <c r="B1990" s="54" t="s">
        <v>742</v>
      </c>
      <c r="C1990" s="229" t="s">
        <v>432</v>
      </c>
      <c r="D1990" s="939" t="s">
        <v>328</v>
      </c>
      <c r="E1990" s="509" t="s">
        <v>432</v>
      </c>
      <c r="F1990" s="5" t="s">
        <v>4892</v>
      </c>
      <c r="G1990" s="167" t="s">
        <v>3719</v>
      </c>
      <c r="H1990" s="168" t="s">
        <v>2408</v>
      </c>
      <c r="I1990" s="167" t="s">
        <v>432</v>
      </c>
      <c r="J1990" s="109" t="s">
        <v>432</v>
      </c>
      <c r="K1990" s="109" t="s">
        <v>432</v>
      </c>
      <c r="L1990" s="109" t="s">
        <v>432</v>
      </c>
      <c r="M1990" s="109" t="s">
        <v>432</v>
      </c>
      <c r="N1990" s="109" t="s">
        <v>432</v>
      </c>
      <c r="O1990" s="109" t="s">
        <v>432</v>
      </c>
      <c r="P1990" s="109" t="s">
        <v>432</v>
      </c>
      <c r="Q1990" s="109" t="s">
        <v>432</v>
      </c>
      <c r="R1990" s="109" t="s">
        <v>432</v>
      </c>
      <c r="S1990" s="109" t="s">
        <v>2209</v>
      </c>
      <c r="T1990" s="109" t="s">
        <v>432</v>
      </c>
      <c r="U1990" s="109" t="s">
        <v>432</v>
      </c>
      <c r="V1990" s="109" t="s">
        <v>2209</v>
      </c>
      <c r="W1990" s="109" t="s">
        <v>432</v>
      </c>
      <c r="X1990" s="109" t="s">
        <v>432</v>
      </c>
      <c r="Y1990" s="109" t="s">
        <v>432</v>
      </c>
      <c r="Z1990" s="109" t="s">
        <v>432</v>
      </c>
      <c r="AA1990" s="109" t="s">
        <v>432</v>
      </c>
      <c r="AB1990" s="109" t="s">
        <v>432</v>
      </c>
      <c r="AC1990" s="109" t="s">
        <v>432</v>
      </c>
      <c r="AD1990" s="109" t="s">
        <v>432</v>
      </c>
      <c r="AE1990" s="109" t="s">
        <v>432</v>
      </c>
      <c r="AF1990" s="109" t="s">
        <v>432</v>
      </c>
      <c r="AG1990" s="109" t="s">
        <v>432</v>
      </c>
      <c r="AH1990" s="109" t="s">
        <v>432</v>
      </c>
      <c r="AI1990" s="109" t="s">
        <v>432</v>
      </c>
      <c r="AJ1990" s="109" t="s">
        <v>432</v>
      </c>
      <c r="AK1990" s="137" t="s">
        <v>432</v>
      </c>
      <c r="AL1990" s="601" t="s">
        <v>432</v>
      </c>
      <c r="AM1990" s="137" t="s">
        <v>432</v>
      </c>
      <c r="AN1990" s="137" t="s">
        <v>432</v>
      </c>
      <c r="AO1990" s="137" t="s">
        <v>432</v>
      </c>
      <c r="AP1990" s="137" t="s">
        <v>432</v>
      </c>
      <c r="AQ1990" s="137" t="s">
        <v>432</v>
      </c>
      <c r="AR1990" s="137" t="s">
        <v>432</v>
      </c>
      <c r="AS1990" s="137" t="s">
        <v>432</v>
      </c>
      <c r="AT1990" s="137" t="s">
        <v>432</v>
      </c>
      <c r="AU1990" s="137" t="s">
        <v>432</v>
      </c>
      <c r="AV1990" s="137" t="s">
        <v>432</v>
      </c>
      <c r="AW1990" s="137" t="s">
        <v>432</v>
      </c>
      <c r="AX1990" s="137" t="s">
        <v>432</v>
      </c>
      <c r="AY1990" s="137" t="s">
        <v>432</v>
      </c>
      <c r="AZ1990" s="137" t="s">
        <v>432</v>
      </c>
      <c r="BA1990" s="137" t="s">
        <v>432</v>
      </c>
      <c r="BB1990" s="239" t="str">
        <f t="shared" si="580"/>
        <v>geralx</v>
      </c>
      <c r="BC1990" s="239" t="str">
        <f t="shared" si="581"/>
        <v>geralxsigla/verbete</v>
      </c>
      <c r="BD1990" s="239" t="str">
        <f t="shared" si="582"/>
        <v>geralsigla/verbete</v>
      </c>
    </row>
    <row r="1991" spans="1:56" s="1" customFormat="1" ht="45" customHeight="1" x14ac:dyDescent="0.25">
      <c r="A1991" s="262" t="str">
        <f>'Q100b-totais'!B44</f>
        <v>5.2</v>
      </c>
      <c r="B1991" s="54" t="str">
        <f>'Q100b-totais'!C44</f>
        <v>Poluição do ar</v>
      </c>
      <c r="C1991" s="229" t="s">
        <v>432</v>
      </c>
      <c r="D1991" s="939" t="s">
        <v>4890</v>
      </c>
      <c r="E1991" s="1538" t="s">
        <v>2272</v>
      </c>
      <c r="F1991" s="151" t="s">
        <v>4916</v>
      </c>
      <c r="G1991" s="110" t="s">
        <v>77</v>
      </c>
      <c r="H1991" s="173" t="s">
        <v>819</v>
      </c>
      <c r="I1991" s="167" t="s">
        <v>432</v>
      </c>
      <c r="J1991" s="109" t="s">
        <v>432</v>
      </c>
      <c r="K1991" s="109" t="s">
        <v>432</v>
      </c>
      <c r="L1991" s="109" t="s">
        <v>432</v>
      </c>
      <c r="M1991" s="109" t="s">
        <v>432</v>
      </c>
      <c r="N1991" s="109" t="s">
        <v>432</v>
      </c>
      <c r="O1991" s="109" t="s">
        <v>432</v>
      </c>
      <c r="P1991" s="109" t="s">
        <v>432</v>
      </c>
      <c r="Q1991" s="109" t="s">
        <v>432</v>
      </c>
      <c r="R1991" s="109" t="s">
        <v>432</v>
      </c>
      <c r="S1991" s="109" t="s">
        <v>2209</v>
      </c>
      <c r="T1991" s="109" t="s">
        <v>432</v>
      </c>
      <c r="U1991" s="109" t="s">
        <v>432</v>
      </c>
      <c r="V1991" s="109" t="s">
        <v>2209</v>
      </c>
      <c r="W1991" s="109" t="s">
        <v>432</v>
      </c>
      <c r="X1991" s="109" t="s">
        <v>432</v>
      </c>
      <c r="Y1991" s="109" t="s">
        <v>432</v>
      </c>
      <c r="Z1991" s="109" t="s">
        <v>432</v>
      </c>
      <c r="AA1991" s="109" t="s">
        <v>432</v>
      </c>
      <c r="AB1991" s="109" t="s">
        <v>432</v>
      </c>
      <c r="AC1991" s="109" t="s">
        <v>432</v>
      </c>
      <c r="AD1991" s="109" t="s">
        <v>432</v>
      </c>
      <c r="AE1991" s="109" t="s">
        <v>432</v>
      </c>
      <c r="AF1991" s="109" t="s">
        <v>432</v>
      </c>
      <c r="AG1991" s="109" t="s">
        <v>432</v>
      </c>
      <c r="AH1991" s="109" t="s">
        <v>432</v>
      </c>
      <c r="AI1991" s="109" t="s">
        <v>432</v>
      </c>
      <c r="AJ1991" s="185">
        <v>45</v>
      </c>
      <c r="AK1991" s="137" t="s">
        <v>432</v>
      </c>
      <c r="AL1991" s="601" t="s">
        <v>432</v>
      </c>
      <c r="AM1991" s="137" t="s">
        <v>432</v>
      </c>
      <c r="AN1991" s="137" t="s">
        <v>432</v>
      </c>
      <c r="AO1991" s="137" t="s">
        <v>432</v>
      </c>
      <c r="AP1991" s="137" t="s">
        <v>432</v>
      </c>
      <c r="AQ1991" s="137" t="s">
        <v>432</v>
      </c>
      <c r="AR1991" s="137" t="s">
        <v>432</v>
      </c>
      <c r="AS1991" s="137" t="s">
        <v>432</v>
      </c>
      <c r="AT1991" s="137" t="s">
        <v>432</v>
      </c>
      <c r="AU1991" s="137" t="s">
        <v>432</v>
      </c>
      <c r="AV1991" s="137" t="s">
        <v>432</v>
      </c>
      <c r="AW1991" s="137" t="s">
        <v>432</v>
      </c>
      <c r="AX1991" s="137" t="s">
        <v>432</v>
      </c>
      <c r="AY1991" s="137" t="s">
        <v>432</v>
      </c>
      <c r="AZ1991" s="137" t="s">
        <v>432</v>
      </c>
      <c r="BA1991" s="137" t="s">
        <v>432</v>
      </c>
      <c r="BB1991" s="239" t="str">
        <f t="shared" si="580"/>
        <v>Poluição do arx</v>
      </c>
      <c r="BC1991" s="239" t="str">
        <f>B1991&amp;C1991&amp;I1991</f>
        <v>Poluição do arxx</v>
      </c>
      <c r="BD1991" s="239" t="str">
        <f>B1991&amp;I1991</f>
        <v>Poluição do arx</v>
      </c>
    </row>
    <row r="1992" spans="1:56" s="1" customFormat="1" ht="45" customHeight="1" x14ac:dyDescent="0.25">
      <c r="A1992" s="262" t="str">
        <f>'Q100b-totais'!B44</f>
        <v>5.2</v>
      </c>
      <c r="B1992" s="54" t="str">
        <f>'Q100b-totais'!C44</f>
        <v>Poluição do ar</v>
      </c>
      <c r="C1992" s="229" t="s">
        <v>432</v>
      </c>
      <c r="D1992" s="939" t="s">
        <v>4890</v>
      </c>
      <c r="E1992" s="1538" t="s">
        <v>3373</v>
      </c>
      <c r="F1992" s="151" t="s">
        <v>4917</v>
      </c>
      <c r="G1992" s="110" t="s">
        <v>77</v>
      </c>
      <c r="H1992" s="173" t="s">
        <v>819</v>
      </c>
      <c r="I1992" s="167" t="s">
        <v>432</v>
      </c>
      <c r="J1992" s="109" t="s">
        <v>432</v>
      </c>
      <c r="K1992" s="109" t="s">
        <v>432</v>
      </c>
      <c r="L1992" s="109" t="s">
        <v>432</v>
      </c>
      <c r="M1992" s="109" t="s">
        <v>432</v>
      </c>
      <c r="N1992" s="109" t="s">
        <v>432</v>
      </c>
      <c r="O1992" s="109" t="s">
        <v>432</v>
      </c>
      <c r="P1992" s="109" t="s">
        <v>432</v>
      </c>
      <c r="Q1992" s="109" t="s">
        <v>432</v>
      </c>
      <c r="R1992" s="109" t="s">
        <v>432</v>
      </c>
      <c r="S1992" s="109" t="s">
        <v>2209</v>
      </c>
      <c r="T1992" s="109" t="s">
        <v>432</v>
      </c>
      <c r="U1992" s="109" t="s">
        <v>432</v>
      </c>
      <c r="V1992" s="109" t="s">
        <v>2209</v>
      </c>
      <c r="W1992" s="109" t="s">
        <v>432</v>
      </c>
      <c r="X1992" s="109" t="s">
        <v>432</v>
      </c>
      <c r="Y1992" s="109" t="s">
        <v>432</v>
      </c>
      <c r="Z1992" s="109" t="s">
        <v>432</v>
      </c>
      <c r="AA1992" s="109" t="s">
        <v>432</v>
      </c>
      <c r="AB1992" s="109" t="s">
        <v>432</v>
      </c>
      <c r="AC1992" s="109" t="s">
        <v>432</v>
      </c>
      <c r="AD1992" s="109" t="s">
        <v>432</v>
      </c>
      <c r="AE1992" s="109" t="s">
        <v>432</v>
      </c>
      <c r="AF1992" s="109" t="s">
        <v>432</v>
      </c>
      <c r="AG1992" s="109" t="s">
        <v>432</v>
      </c>
      <c r="AH1992" s="109" t="s">
        <v>432</v>
      </c>
      <c r="AI1992" s="109" t="s">
        <v>432</v>
      </c>
      <c r="AJ1992" s="185">
        <v>19</v>
      </c>
      <c r="AK1992" s="137" t="s">
        <v>432</v>
      </c>
      <c r="AL1992" s="601" t="s">
        <v>432</v>
      </c>
      <c r="AM1992" s="137" t="s">
        <v>432</v>
      </c>
      <c r="AN1992" s="137" t="s">
        <v>432</v>
      </c>
      <c r="AO1992" s="137" t="s">
        <v>432</v>
      </c>
      <c r="AP1992" s="137" t="s">
        <v>432</v>
      </c>
      <c r="AQ1992" s="137" t="s">
        <v>432</v>
      </c>
      <c r="AR1992" s="137" t="s">
        <v>432</v>
      </c>
      <c r="AS1992" s="137" t="s">
        <v>432</v>
      </c>
      <c r="AT1992" s="137" t="s">
        <v>432</v>
      </c>
      <c r="AU1992" s="137" t="s">
        <v>432</v>
      </c>
      <c r="AV1992" s="137" t="s">
        <v>432</v>
      </c>
      <c r="AW1992" s="137" t="s">
        <v>432</v>
      </c>
      <c r="AX1992" s="137" t="s">
        <v>432</v>
      </c>
      <c r="AY1992" s="137" t="s">
        <v>432</v>
      </c>
      <c r="AZ1992" s="137" t="s">
        <v>432</v>
      </c>
      <c r="BA1992" s="137" t="s">
        <v>432</v>
      </c>
      <c r="BB1992" s="239" t="str">
        <f t="shared" si="580"/>
        <v>Poluição do arx</v>
      </c>
      <c r="BC1992" s="239" t="str">
        <f>B1992&amp;C1992&amp;I1992</f>
        <v>Poluição do arxx</v>
      </c>
      <c r="BD1992" s="239" t="str">
        <f>B1992&amp;I1992</f>
        <v>Poluição do arx</v>
      </c>
    </row>
    <row r="1993" spans="1:56" s="1" customFormat="1" ht="49.5" customHeight="1" x14ac:dyDescent="0.25">
      <c r="A1993" s="262" t="str">
        <f>'Q100b-totais'!B44</f>
        <v>5.2</v>
      </c>
      <c r="B1993" s="54" t="str">
        <f>'Q100b-totais'!C44</f>
        <v>Poluição do ar</v>
      </c>
      <c r="C1993" s="229" t="s">
        <v>432</v>
      </c>
      <c r="D1993" s="939" t="s">
        <v>4890</v>
      </c>
      <c r="E1993" s="1538" t="s">
        <v>1767</v>
      </c>
      <c r="F1993" s="151" t="s">
        <v>4917</v>
      </c>
      <c r="G1993" s="110" t="s">
        <v>77</v>
      </c>
      <c r="H1993" s="173" t="s">
        <v>819</v>
      </c>
      <c r="I1993" s="167" t="s">
        <v>432</v>
      </c>
      <c r="J1993" s="109" t="s">
        <v>432</v>
      </c>
      <c r="K1993" s="109" t="s">
        <v>432</v>
      </c>
      <c r="L1993" s="109" t="s">
        <v>432</v>
      </c>
      <c r="M1993" s="109" t="s">
        <v>432</v>
      </c>
      <c r="N1993" s="109" t="s">
        <v>432</v>
      </c>
      <c r="O1993" s="109" t="s">
        <v>432</v>
      </c>
      <c r="P1993" s="109" t="s">
        <v>432</v>
      </c>
      <c r="Q1993" s="109" t="s">
        <v>432</v>
      </c>
      <c r="R1993" s="109" t="s">
        <v>432</v>
      </c>
      <c r="S1993" s="109" t="s">
        <v>2209</v>
      </c>
      <c r="T1993" s="109" t="s">
        <v>432</v>
      </c>
      <c r="U1993" s="109" t="s">
        <v>432</v>
      </c>
      <c r="V1993" s="109" t="s">
        <v>2209</v>
      </c>
      <c r="W1993" s="109" t="s">
        <v>432</v>
      </c>
      <c r="X1993" s="109" t="s">
        <v>432</v>
      </c>
      <c r="Y1993" s="109" t="s">
        <v>432</v>
      </c>
      <c r="Z1993" s="109" t="s">
        <v>432</v>
      </c>
      <c r="AA1993" s="109" t="s">
        <v>432</v>
      </c>
      <c r="AB1993" s="109" t="s">
        <v>432</v>
      </c>
      <c r="AC1993" s="109" t="s">
        <v>432</v>
      </c>
      <c r="AD1993" s="109" t="s">
        <v>432</v>
      </c>
      <c r="AE1993" s="109" t="s">
        <v>432</v>
      </c>
      <c r="AF1993" s="109" t="s">
        <v>432</v>
      </c>
      <c r="AG1993" s="109" t="s">
        <v>432</v>
      </c>
      <c r="AH1993" s="109" t="s">
        <v>432</v>
      </c>
      <c r="AI1993" s="109" t="s">
        <v>432</v>
      </c>
      <c r="AJ1993" s="185">
        <v>12</v>
      </c>
      <c r="AK1993" s="137" t="s">
        <v>432</v>
      </c>
      <c r="AL1993" s="601" t="s">
        <v>432</v>
      </c>
      <c r="AM1993" s="137" t="s">
        <v>432</v>
      </c>
      <c r="AN1993" s="137" t="s">
        <v>432</v>
      </c>
      <c r="AO1993" s="137" t="s">
        <v>432</v>
      </c>
      <c r="AP1993" s="137" t="s">
        <v>432</v>
      </c>
      <c r="AQ1993" s="137" t="s">
        <v>432</v>
      </c>
      <c r="AR1993" s="137" t="s">
        <v>432</v>
      </c>
      <c r="AS1993" s="137" t="s">
        <v>432</v>
      </c>
      <c r="AT1993" s="137" t="s">
        <v>432</v>
      </c>
      <c r="AU1993" s="137" t="s">
        <v>432</v>
      </c>
      <c r="AV1993" s="137" t="s">
        <v>432</v>
      </c>
      <c r="AW1993" s="137" t="s">
        <v>432</v>
      </c>
      <c r="AX1993" s="137" t="s">
        <v>432</v>
      </c>
      <c r="AY1993" s="137" t="s">
        <v>432</v>
      </c>
      <c r="AZ1993" s="137" t="s">
        <v>432</v>
      </c>
      <c r="BA1993" s="137" t="s">
        <v>432</v>
      </c>
      <c r="BB1993" s="239" t="str">
        <f t="shared" si="580"/>
        <v>Poluição do arx</v>
      </c>
      <c r="BC1993" s="239" t="str">
        <f>B1993&amp;C1993&amp;I1993</f>
        <v>Poluição do arxx</v>
      </c>
      <c r="BD1993" s="239" t="str">
        <f>B1993&amp;I1993</f>
        <v>Poluição do arx</v>
      </c>
    </row>
    <row r="1994" spans="1:56" s="1" customFormat="1" ht="95.25" customHeight="1" x14ac:dyDescent="0.25">
      <c r="A1994" s="275" t="str">
        <f>'Q100b-totais'!$B$44</f>
        <v>5.2</v>
      </c>
      <c r="B1994" s="54" t="str">
        <f>'Q100b-totais'!$C$44</f>
        <v>Poluição do ar</v>
      </c>
      <c r="C1994" s="229" t="s">
        <v>432</v>
      </c>
      <c r="D1994" s="324" t="s">
        <v>4891</v>
      </c>
      <c r="E1994" s="1402" t="s">
        <v>1306</v>
      </c>
      <c r="F1994" s="14" t="s">
        <v>2011</v>
      </c>
      <c r="G1994" s="408" t="s">
        <v>725</v>
      </c>
      <c r="H1994" s="167" t="s">
        <v>432</v>
      </c>
      <c r="I1994" s="57">
        <v>1</v>
      </c>
      <c r="J1994" s="107" t="s">
        <v>432</v>
      </c>
      <c r="K1994" s="107" t="s">
        <v>432</v>
      </c>
      <c r="L1994" s="107" t="s">
        <v>432</v>
      </c>
      <c r="M1994" s="107" t="s">
        <v>432</v>
      </c>
      <c r="N1994" s="107" t="s">
        <v>432</v>
      </c>
      <c r="O1994" s="107" t="s">
        <v>432</v>
      </c>
      <c r="P1994" s="107" t="s">
        <v>432</v>
      </c>
      <c r="Q1994" s="107" t="s">
        <v>432</v>
      </c>
      <c r="R1994" s="107" t="s">
        <v>432</v>
      </c>
      <c r="S1994" s="109" t="s">
        <v>2209</v>
      </c>
      <c r="T1994" s="107" t="s">
        <v>432</v>
      </c>
      <c r="U1994" s="107" t="s">
        <v>432</v>
      </c>
      <c r="V1994" s="109" t="s">
        <v>2209</v>
      </c>
      <c r="W1994" s="122">
        <f t="shared" ref="W1994:AK1994" si="586">W2043*0.5431</f>
        <v>11.56803</v>
      </c>
      <c r="X1994" s="122">
        <f t="shared" si="586"/>
        <v>13.903360000000001</v>
      </c>
      <c r="Y1994" s="122">
        <f t="shared" si="586"/>
        <v>21.12659</v>
      </c>
      <c r="Z1994" s="122">
        <f t="shared" si="586"/>
        <v>15.532660000000002</v>
      </c>
      <c r="AA1994" s="122">
        <f t="shared" si="586"/>
        <v>11.67665</v>
      </c>
      <c r="AB1994" s="122">
        <f t="shared" si="586"/>
        <v>14.06629</v>
      </c>
      <c r="AC1994" s="122">
        <f t="shared" si="586"/>
        <v>14.174910000000002</v>
      </c>
      <c r="AD1994" s="122">
        <f t="shared" si="586"/>
        <v>15.098180000000001</v>
      </c>
      <c r="AE1994" s="122">
        <f t="shared" si="586"/>
        <v>15.206800000000001</v>
      </c>
      <c r="AF1994" s="122">
        <f t="shared" si="586"/>
        <v>16.999030000000001</v>
      </c>
      <c r="AG1994" s="122">
        <f t="shared" si="586"/>
        <v>28.078270000000003</v>
      </c>
      <c r="AH1994" s="122">
        <f t="shared" si="586"/>
        <v>16.51024</v>
      </c>
      <c r="AI1994" s="122" t="e">
        <f t="shared" si="586"/>
        <v>#VALUE!</v>
      </c>
      <c r="AJ1994" s="122" t="e">
        <f t="shared" si="586"/>
        <v>#VALUE!</v>
      </c>
      <c r="AK1994" s="122" t="e">
        <f t="shared" si="586"/>
        <v>#VALUE!</v>
      </c>
      <c r="AL1994" s="601" t="s">
        <v>432</v>
      </c>
      <c r="AM1994" s="137" t="s">
        <v>432</v>
      </c>
      <c r="AN1994" s="137" t="s">
        <v>432</v>
      </c>
      <c r="AO1994" s="137" t="s">
        <v>432</v>
      </c>
      <c r="AP1994" s="137" t="s">
        <v>432</v>
      </c>
      <c r="AQ1994" s="137" t="s">
        <v>432</v>
      </c>
      <c r="AR1994" s="137" t="s">
        <v>432</v>
      </c>
      <c r="AS1994" s="137" t="s">
        <v>432</v>
      </c>
      <c r="AT1994" s="137" t="s">
        <v>432</v>
      </c>
      <c r="AU1994" s="137" t="s">
        <v>432</v>
      </c>
      <c r="AV1994" s="137" t="s">
        <v>432</v>
      </c>
      <c r="AW1994" s="137" t="s">
        <v>432</v>
      </c>
      <c r="AX1994" s="137" t="s">
        <v>432</v>
      </c>
      <c r="AY1994" s="137" t="s">
        <v>432</v>
      </c>
      <c r="AZ1994" s="137" t="s">
        <v>432</v>
      </c>
      <c r="BA1994" s="137" t="s">
        <v>432</v>
      </c>
      <c r="BB1994" s="239" t="str">
        <f t="shared" si="580"/>
        <v>Poluição do arx</v>
      </c>
      <c r="BC1994" s="239" t="str">
        <f>B1994&amp;C1994&amp;H1994</f>
        <v>Poluição do arxx</v>
      </c>
      <c r="BD1994" s="239" t="str">
        <f>B1994&amp;H1994</f>
        <v>Poluição do arx</v>
      </c>
    </row>
    <row r="1995" spans="1:56" s="1" customFormat="1" ht="149.25" customHeight="1" x14ac:dyDescent="0.25">
      <c r="A1995" s="275" t="str">
        <f>'Q100b-totais'!$B$44</f>
        <v>5.2</v>
      </c>
      <c r="B1995" s="54" t="str">
        <f>'Q100b-totais'!$C$44</f>
        <v>Poluição do ar</v>
      </c>
      <c r="C1995" s="229" t="s">
        <v>432</v>
      </c>
      <c r="D1995" s="324" t="s">
        <v>4918</v>
      </c>
      <c r="E1995" s="1402" t="s">
        <v>432</v>
      </c>
      <c r="F1995" s="14" t="s">
        <v>1368</v>
      </c>
      <c r="G1995" s="173" t="s">
        <v>1249</v>
      </c>
      <c r="H1995" s="173" t="s">
        <v>2408</v>
      </c>
      <c r="I1995" s="57" t="s">
        <v>432</v>
      </c>
      <c r="J1995" s="107" t="s">
        <v>432</v>
      </c>
      <c r="K1995" s="107" t="s">
        <v>432</v>
      </c>
      <c r="L1995" s="107" t="s">
        <v>432</v>
      </c>
      <c r="M1995" s="107" t="s">
        <v>432</v>
      </c>
      <c r="N1995" s="107" t="s">
        <v>432</v>
      </c>
      <c r="O1995" s="107" t="s">
        <v>432</v>
      </c>
      <c r="P1995" s="107" t="s">
        <v>432</v>
      </c>
      <c r="Q1995" s="107" t="s">
        <v>432</v>
      </c>
      <c r="R1995" s="107" t="s">
        <v>432</v>
      </c>
      <c r="S1995" s="109" t="s">
        <v>2209</v>
      </c>
      <c r="T1995" s="107" t="s">
        <v>432</v>
      </c>
      <c r="U1995" s="107" t="s">
        <v>432</v>
      </c>
      <c r="V1995" s="109" t="s">
        <v>2209</v>
      </c>
      <c r="W1995" s="107" t="s">
        <v>432</v>
      </c>
      <c r="X1995" s="107" t="s">
        <v>432</v>
      </c>
      <c r="Y1995" s="107" t="s">
        <v>432</v>
      </c>
      <c r="Z1995" s="107" t="s">
        <v>432</v>
      </c>
      <c r="AA1995" s="107" t="s">
        <v>432</v>
      </c>
      <c r="AB1995" s="107" t="s">
        <v>432</v>
      </c>
      <c r="AC1995" s="107" t="s">
        <v>432</v>
      </c>
      <c r="AD1995" s="107" t="s">
        <v>432</v>
      </c>
      <c r="AE1995" s="107" t="s">
        <v>432</v>
      </c>
      <c r="AF1995" s="107" t="s">
        <v>432</v>
      </c>
      <c r="AG1995" s="107" t="s">
        <v>432</v>
      </c>
      <c r="AH1995" s="107" t="s">
        <v>432</v>
      </c>
      <c r="AI1995" s="107" t="s">
        <v>432</v>
      </c>
      <c r="AJ1995" s="107" t="s">
        <v>432</v>
      </c>
      <c r="AK1995" s="137" t="s">
        <v>432</v>
      </c>
      <c r="AL1995" s="601" t="s">
        <v>432</v>
      </c>
      <c r="AM1995" s="137" t="s">
        <v>432</v>
      </c>
      <c r="AN1995" s="137" t="s">
        <v>432</v>
      </c>
      <c r="AO1995" s="137" t="s">
        <v>432</v>
      </c>
      <c r="AP1995" s="137" t="s">
        <v>432</v>
      </c>
      <c r="AQ1995" s="137" t="s">
        <v>432</v>
      </c>
      <c r="AR1995" s="137" t="s">
        <v>432</v>
      </c>
      <c r="AS1995" s="137" t="s">
        <v>432</v>
      </c>
      <c r="AT1995" s="137" t="s">
        <v>432</v>
      </c>
      <c r="AU1995" s="137" t="s">
        <v>432</v>
      </c>
      <c r="AV1995" s="137" t="s">
        <v>432</v>
      </c>
      <c r="AW1995" s="137" t="s">
        <v>432</v>
      </c>
      <c r="AX1995" s="137" t="s">
        <v>432</v>
      </c>
      <c r="AY1995" s="137" t="s">
        <v>432</v>
      </c>
      <c r="AZ1995" s="137" t="s">
        <v>432</v>
      </c>
      <c r="BA1995" s="137" t="s">
        <v>432</v>
      </c>
      <c r="BB1995" s="239" t="str">
        <f t="shared" si="580"/>
        <v>Poluição do arx</v>
      </c>
      <c r="BC1995" s="239" t="str">
        <f>B1995&amp;C1995&amp;H1995</f>
        <v>Poluição do arxsigla/verbete</v>
      </c>
      <c r="BD1995" s="239" t="str">
        <f>B1995&amp;H1995</f>
        <v>Poluição do arsigla/verbete</v>
      </c>
    </row>
    <row r="1996" spans="1:56" s="1" customFormat="1" ht="31.5" x14ac:dyDescent="0.25">
      <c r="A1996" s="275" t="str">
        <f>'Q100b-totais'!$B$44</f>
        <v>5.2</v>
      </c>
      <c r="B1996" s="54" t="str">
        <f>'Q100b-totais'!$C$44</f>
        <v>Poluição do ar</v>
      </c>
      <c r="C1996" s="229" t="s">
        <v>432</v>
      </c>
      <c r="D1996" s="362" t="s">
        <v>3767</v>
      </c>
      <c r="E1996" s="1507" t="s">
        <v>1767</v>
      </c>
      <c r="F1996" s="427" t="s">
        <v>1295</v>
      </c>
      <c r="G1996" s="110" t="s">
        <v>77</v>
      </c>
      <c r="H1996" s="173" t="s">
        <v>765</v>
      </c>
      <c r="I1996" s="167" t="s">
        <v>432</v>
      </c>
      <c r="J1996" s="84">
        <v>50</v>
      </c>
      <c r="K1996" s="84">
        <v>50</v>
      </c>
      <c r="L1996" s="84">
        <v>50</v>
      </c>
      <c r="M1996" s="84">
        <v>50</v>
      </c>
      <c r="N1996" s="84">
        <v>50</v>
      </c>
      <c r="O1996" s="84">
        <v>50</v>
      </c>
      <c r="P1996" s="84">
        <v>50</v>
      </c>
      <c r="Q1996" s="84">
        <v>50</v>
      </c>
      <c r="R1996" s="84">
        <v>50</v>
      </c>
      <c r="S1996" s="109" t="s">
        <v>2209</v>
      </c>
      <c r="T1996" s="84">
        <v>50</v>
      </c>
      <c r="U1996" s="84">
        <v>50</v>
      </c>
      <c r="V1996" s="109" t="s">
        <v>2209</v>
      </c>
      <c r="W1996" s="84">
        <v>50</v>
      </c>
      <c r="X1996" s="84">
        <v>50</v>
      </c>
      <c r="Y1996" s="84">
        <v>50</v>
      </c>
      <c r="Z1996" s="84">
        <v>50</v>
      </c>
      <c r="AA1996" s="84">
        <v>50</v>
      </c>
      <c r="AB1996" s="84">
        <v>50</v>
      </c>
      <c r="AC1996" s="84">
        <v>50</v>
      </c>
      <c r="AD1996" s="84">
        <v>50</v>
      </c>
      <c r="AE1996" s="84">
        <v>50</v>
      </c>
      <c r="AF1996" s="84">
        <v>50</v>
      </c>
      <c r="AG1996" s="84">
        <v>50</v>
      </c>
      <c r="AH1996" s="84">
        <v>50</v>
      </c>
      <c r="AI1996" s="84">
        <v>50</v>
      </c>
      <c r="AJ1996" s="84">
        <v>50</v>
      </c>
      <c r="AK1996" s="84">
        <v>50</v>
      </c>
      <c r="AL1996" s="601" t="s">
        <v>432</v>
      </c>
      <c r="AM1996" s="137" t="s">
        <v>432</v>
      </c>
      <c r="AN1996" s="137" t="s">
        <v>432</v>
      </c>
      <c r="AO1996" s="137" t="s">
        <v>432</v>
      </c>
      <c r="AP1996" s="137" t="s">
        <v>432</v>
      </c>
      <c r="AQ1996" s="137" t="s">
        <v>432</v>
      </c>
      <c r="AR1996" s="137" t="s">
        <v>432</v>
      </c>
      <c r="AS1996" s="137" t="s">
        <v>432</v>
      </c>
      <c r="AT1996" s="137" t="s">
        <v>432</v>
      </c>
      <c r="AU1996" s="137" t="s">
        <v>432</v>
      </c>
      <c r="AV1996" s="137" t="s">
        <v>432</v>
      </c>
      <c r="AW1996" s="137" t="s">
        <v>432</v>
      </c>
      <c r="AX1996" s="137" t="s">
        <v>432</v>
      </c>
      <c r="AY1996" s="137" t="s">
        <v>432</v>
      </c>
      <c r="AZ1996" s="137" t="s">
        <v>432</v>
      </c>
      <c r="BA1996" s="137" t="s">
        <v>432</v>
      </c>
      <c r="BB1996" s="239" t="str">
        <f t="shared" si="580"/>
        <v>Poluição do arx</v>
      </c>
      <c r="BC1996" s="239" t="str">
        <f>B1996&amp;C1996&amp;H1996</f>
        <v>Poluição do arxmeta/RPI</v>
      </c>
      <c r="BD1996" s="239" t="str">
        <f>B1996&amp;H1996</f>
        <v>Poluição do armeta/RPI</v>
      </c>
    </row>
    <row r="1997" spans="1:56" s="1" customFormat="1" ht="31.5" x14ac:dyDescent="0.25">
      <c r="A1997" s="275" t="str">
        <f>'Q100b-totais'!$B$44</f>
        <v>5.2</v>
      </c>
      <c r="B1997" s="54" t="str">
        <f>'Q100b-totais'!$C$44</f>
        <v>Poluição do ar</v>
      </c>
      <c r="C1997" s="229" t="s">
        <v>432</v>
      </c>
      <c r="D1997" s="362" t="s">
        <v>3768</v>
      </c>
      <c r="E1997" s="1507" t="s">
        <v>1767</v>
      </c>
      <c r="F1997" s="427" t="s">
        <v>1319</v>
      </c>
      <c r="G1997" s="110" t="s">
        <v>77</v>
      </c>
      <c r="H1997" s="173" t="s">
        <v>765</v>
      </c>
      <c r="I1997" s="167" t="s">
        <v>432</v>
      </c>
      <c r="J1997" s="137" t="s">
        <v>432</v>
      </c>
      <c r="K1997" s="137" t="s">
        <v>432</v>
      </c>
      <c r="L1997" s="137" t="s">
        <v>432</v>
      </c>
      <c r="M1997" s="137" t="s">
        <v>432</v>
      </c>
      <c r="N1997" s="137" t="s">
        <v>432</v>
      </c>
      <c r="O1997" s="137" t="s">
        <v>432</v>
      </c>
      <c r="P1997" s="137" t="s">
        <v>432</v>
      </c>
      <c r="Q1997" s="137" t="s">
        <v>432</v>
      </c>
      <c r="R1997" s="137" t="s">
        <v>432</v>
      </c>
      <c r="S1997" s="109" t="s">
        <v>2209</v>
      </c>
      <c r="T1997" s="137" t="s">
        <v>432</v>
      </c>
      <c r="U1997" s="84">
        <v>20</v>
      </c>
      <c r="V1997" s="109" t="s">
        <v>2209</v>
      </c>
      <c r="W1997" s="84">
        <v>20</v>
      </c>
      <c r="X1997" s="84">
        <v>20</v>
      </c>
      <c r="Y1997" s="84">
        <v>20</v>
      </c>
      <c r="Z1997" s="84">
        <v>20</v>
      </c>
      <c r="AA1997" s="84">
        <v>20</v>
      </c>
      <c r="AB1997" s="84">
        <v>20</v>
      </c>
      <c r="AC1997" s="84">
        <v>20</v>
      </c>
      <c r="AD1997" s="84">
        <v>20</v>
      </c>
      <c r="AE1997" s="84">
        <v>20</v>
      </c>
      <c r="AF1997" s="84">
        <v>20</v>
      </c>
      <c r="AG1997" s="84">
        <v>20</v>
      </c>
      <c r="AH1997" s="84">
        <v>20</v>
      </c>
      <c r="AI1997" s="84">
        <v>20</v>
      </c>
      <c r="AJ1997" s="84">
        <v>20</v>
      </c>
      <c r="AK1997" s="84">
        <v>20</v>
      </c>
      <c r="AL1997" s="601" t="s">
        <v>432</v>
      </c>
      <c r="AM1997" s="137" t="s">
        <v>432</v>
      </c>
      <c r="AN1997" s="137" t="s">
        <v>432</v>
      </c>
      <c r="AO1997" s="137" t="s">
        <v>432</v>
      </c>
      <c r="AP1997" s="137" t="s">
        <v>432</v>
      </c>
      <c r="AQ1997" s="137" t="s">
        <v>432</v>
      </c>
      <c r="AR1997" s="137" t="s">
        <v>432</v>
      </c>
      <c r="AS1997" s="137" t="s">
        <v>432</v>
      </c>
      <c r="AT1997" s="137" t="s">
        <v>432</v>
      </c>
      <c r="AU1997" s="137" t="s">
        <v>432</v>
      </c>
      <c r="AV1997" s="137" t="s">
        <v>432</v>
      </c>
      <c r="AW1997" s="137" t="s">
        <v>432</v>
      </c>
      <c r="AX1997" s="137" t="s">
        <v>432</v>
      </c>
      <c r="AY1997" s="137" t="s">
        <v>432</v>
      </c>
      <c r="AZ1997" s="137" t="s">
        <v>432</v>
      </c>
      <c r="BA1997" s="137" t="s">
        <v>432</v>
      </c>
      <c r="BB1997" s="239" t="str">
        <f t="shared" si="580"/>
        <v>Poluição do arx</v>
      </c>
      <c r="BC1997" s="239" t="str">
        <f>B1997&amp;C1997&amp;H1997</f>
        <v>Poluição do arxmeta/RPI</v>
      </c>
      <c r="BD1997" s="239" t="str">
        <f>B1997&amp;H1997</f>
        <v>Poluição do armeta/RPI</v>
      </c>
    </row>
    <row r="1998" spans="1:56" s="1" customFormat="1" ht="12.75" customHeight="1" x14ac:dyDescent="0.25">
      <c r="A1998" s="398"/>
      <c r="B1998" s="221"/>
      <c r="C1998" s="399"/>
      <c r="D1998" s="987"/>
      <c r="E1998" s="1533"/>
      <c r="F1998" s="405"/>
      <c r="G1998" s="405"/>
      <c r="H1998" s="399"/>
      <c r="I1998" s="405"/>
      <c r="J1998" s="221"/>
      <c r="K1998" s="403"/>
      <c r="L1998" s="403"/>
      <c r="M1998" s="403"/>
      <c r="N1998" s="403"/>
      <c r="O1998" s="403"/>
      <c r="P1998" s="403"/>
      <c r="Q1998" s="403"/>
      <c r="R1998" s="403"/>
      <c r="S1998" s="403"/>
      <c r="T1998" s="403"/>
      <c r="U1998" s="403"/>
      <c r="V1998" s="403"/>
      <c r="W1998" s="403"/>
      <c r="X1998" s="403"/>
      <c r="Y1998" s="403"/>
      <c r="Z1998" s="403"/>
      <c r="AA1998" s="403"/>
      <c r="AB1998" s="403"/>
      <c r="AC1998" s="403"/>
      <c r="AD1998" s="403"/>
      <c r="AE1998" s="403"/>
      <c r="AF1998" s="403"/>
      <c r="AG1998" s="403"/>
      <c r="AH1998" s="403"/>
      <c r="AI1998" s="403"/>
      <c r="AJ1998" s="403"/>
      <c r="AK1998" s="223"/>
      <c r="AL1998" s="223"/>
      <c r="AM1998" s="223"/>
      <c r="AN1998" s="223"/>
      <c r="AO1998" s="223"/>
      <c r="AP1998" s="223"/>
      <c r="AQ1998" s="223"/>
      <c r="AR1998" s="223"/>
      <c r="AS1998" s="223"/>
      <c r="AT1998" s="223"/>
      <c r="AU1998" s="223"/>
      <c r="AV1998" s="223"/>
      <c r="AW1998" s="223"/>
      <c r="AX1998" s="223"/>
      <c r="AY1998" s="223"/>
      <c r="AZ1998" s="223"/>
      <c r="BA1998" s="223"/>
      <c r="BB1998" s="400"/>
      <c r="BC1998" s="400"/>
      <c r="BD1998" s="400"/>
    </row>
    <row r="1999" spans="1:56" s="1" customFormat="1" ht="78" customHeight="1" x14ac:dyDescent="0.25">
      <c r="A1999" s="275" t="str">
        <f>'Q100b-totais'!$B$44</f>
        <v>5.2</v>
      </c>
      <c r="B1999" s="54" t="str">
        <f>'Q100b-totais'!$C$44</f>
        <v>Poluição do ar</v>
      </c>
      <c r="C1999" s="229" t="s">
        <v>432</v>
      </c>
      <c r="D1999" s="1192" t="s">
        <v>4919</v>
      </c>
      <c r="E1999" s="1539" t="s">
        <v>2272</v>
      </c>
      <c r="F1999" s="188" t="s">
        <v>5036</v>
      </c>
      <c r="G1999" s="230" t="s">
        <v>3507</v>
      </c>
      <c r="H1999" s="167" t="s">
        <v>2408</v>
      </c>
      <c r="I1999" s="167" t="s">
        <v>432</v>
      </c>
      <c r="J1999" s="109" t="s">
        <v>432</v>
      </c>
      <c r="K1999" s="109" t="s">
        <v>432</v>
      </c>
      <c r="L1999" s="109" t="s">
        <v>432</v>
      </c>
      <c r="M1999" s="109" t="s">
        <v>432</v>
      </c>
      <c r="N1999" s="109" t="s">
        <v>432</v>
      </c>
      <c r="O1999" s="109" t="s">
        <v>432</v>
      </c>
      <c r="P1999" s="109" t="s">
        <v>432</v>
      </c>
      <c r="Q1999" s="109" t="s">
        <v>432</v>
      </c>
      <c r="R1999" s="109" t="s">
        <v>432</v>
      </c>
      <c r="S1999" s="109" t="s">
        <v>2209</v>
      </c>
      <c r="T1999" s="109" t="s">
        <v>432</v>
      </c>
      <c r="U1999" s="109" t="s">
        <v>432</v>
      </c>
      <c r="V1999" s="109" t="s">
        <v>2209</v>
      </c>
      <c r="W1999" s="109" t="s">
        <v>432</v>
      </c>
      <c r="X1999" s="109" t="s">
        <v>432</v>
      </c>
      <c r="Y1999" s="109" t="s">
        <v>432</v>
      </c>
      <c r="Z1999" s="109" t="s">
        <v>432</v>
      </c>
      <c r="AA1999" s="109" t="s">
        <v>432</v>
      </c>
      <c r="AB1999" s="109" t="s">
        <v>432</v>
      </c>
      <c r="AC1999" s="109" t="s">
        <v>432</v>
      </c>
      <c r="AD1999" s="109" t="s">
        <v>432</v>
      </c>
      <c r="AE1999" s="109" t="s">
        <v>432</v>
      </c>
      <c r="AF1999" s="109" t="s">
        <v>432</v>
      </c>
      <c r="AG1999" s="109" t="s">
        <v>432</v>
      </c>
      <c r="AH1999" s="109" t="s">
        <v>432</v>
      </c>
      <c r="AI1999" s="109" t="s">
        <v>432</v>
      </c>
      <c r="AJ1999" s="109" t="s">
        <v>432</v>
      </c>
      <c r="AK1999" s="137" t="s">
        <v>432</v>
      </c>
      <c r="AL1999" s="601" t="s">
        <v>432</v>
      </c>
      <c r="AM1999" s="137" t="s">
        <v>432</v>
      </c>
      <c r="AN1999" s="137" t="s">
        <v>432</v>
      </c>
      <c r="AO1999" s="137" t="s">
        <v>432</v>
      </c>
      <c r="AP1999" s="137" t="s">
        <v>432</v>
      </c>
      <c r="AQ1999" s="137" t="s">
        <v>432</v>
      </c>
      <c r="AR1999" s="137" t="s">
        <v>432</v>
      </c>
      <c r="AS1999" s="137" t="s">
        <v>432</v>
      </c>
      <c r="AT1999" s="137" t="s">
        <v>432</v>
      </c>
      <c r="AU1999" s="137" t="s">
        <v>432</v>
      </c>
      <c r="AV1999" s="137" t="s">
        <v>432</v>
      </c>
      <c r="AW1999" s="137" t="s">
        <v>432</v>
      </c>
      <c r="AX1999" s="137" t="s">
        <v>432</v>
      </c>
      <c r="AY1999" s="137" t="s">
        <v>432</v>
      </c>
      <c r="AZ1999" s="137" t="s">
        <v>432</v>
      </c>
      <c r="BA1999" s="137" t="s">
        <v>432</v>
      </c>
      <c r="BB1999" s="239" t="str">
        <f>B1999&amp;C1999</f>
        <v>Poluição do arx</v>
      </c>
      <c r="BC1999" s="239" t="str">
        <f>B1999&amp;C1999&amp;H1999</f>
        <v>Poluição do arxsigla/verbete</v>
      </c>
      <c r="BD1999" s="239" t="str">
        <f>B1999&amp;H1999</f>
        <v>Poluição do arsigla/verbete</v>
      </c>
    </row>
    <row r="2000" spans="1:56" s="1" customFormat="1" ht="35.25" customHeight="1" x14ac:dyDescent="0.25">
      <c r="A2000" s="275" t="str">
        <f>'Q100b-totais'!$B$44</f>
        <v>5.2</v>
      </c>
      <c r="B2000" s="54" t="str">
        <f>'Q100b-totais'!$C$44</f>
        <v>Poluição do ar</v>
      </c>
      <c r="C2000" s="229" t="s">
        <v>432</v>
      </c>
      <c r="D2000" s="988" t="s">
        <v>4919</v>
      </c>
      <c r="E2000" s="1540" t="s">
        <v>1257</v>
      </c>
      <c r="F2000" s="338" t="s">
        <v>2012</v>
      </c>
      <c r="G2000" s="110" t="s">
        <v>77</v>
      </c>
      <c r="H2000" s="173" t="s">
        <v>819</v>
      </c>
      <c r="I2000" s="167" t="s">
        <v>432</v>
      </c>
      <c r="J2000" s="109" t="s">
        <v>432</v>
      </c>
      <c r="K2000" s="109" t="s">
        <v>432</v>
      </c>
      <c r="L2000" s="109" t="s">
        <v>432</v>
      </c>
      <c r="M2000" s="109" t="s">
        <v>432</v>
      </c>
      <c r="N2000" s="109" t="s">
        <v>432</v>
      </c>
      <c r="O2000" s="109" t="s">
        <v>432</v>
      </c>
      <c r="P2000" s="109" t="s">
        <v>432</v>
      </c>
      <c r="Q2000" s="109" t="s">
        <v>432</v>
      </c>
      <c r="R2000" s="137" t="s">
        <v>432</v>
      </c>
      <c r="S2000" s="109" t="s">
        <v>2209</v>
      </c>
      <c r="T2000" s="137" t="s">
        <v>432</v>
      </c>
      <c r="U2000" s="137" t="s">
        <v>432</v>
      </c>
      <c r="V2000" s="109" t="s">
        <v>2209</v>
      </c>
      <c r="W2000" s="137" t="s">
        <v>432</v>
      </c>
      <c r="X2000" s="137" t="s">
        <v>432</v>
      </c>
      <c r="Y2000" s="137" t="s">
        <v>432</v>
      </c>
      <c r="Z2000" s="137" t="s">
        <v>432</v>
      </c>
      <c r="AA2000" s="137" t="s">
        <v>432</v>
      </c>
      <c r="AB2000" s="137" t="s">
        <v>432</v>
      </c>
      <c r="AC2000" s="137" t="s">
        <v>432</v>
      </c>
      <c r="AD2000" s="137" t="s">
        <v>432</v>
      </c>
      <c r="AE2000" s="137" t="s">
        <v>432</v>
      </c>
      <c r="AF2000" s="137" t="s">
        <v>432</v>
      </c>
      <c r="AG2000" s="185">
        <v>34</v>
      </c>
      <c r="AH2000" s="137" t="s">
        <v>432</v>
      </c>
      <c r="AI2000" s="137" t="s">
        <v>432</v>
      </c>
      <c r="AJ2000" s="137" t="s">
        <v>432</v>
      </c>
      <c r="AK2000" s="137" t="s">
        <v>432</v>
      </c>
      <c r="AL2000" s="601" t="s">
        <v>432</v>
      </c>
      <c r="AM2000" s="137" t="s">
        <v>432</v>
      </c>
      <c r="AN2000" s="137" t="s">
        <v>432</v>
      </c>
      <c r="AO2000" s="137" t="s">
        <v>432</v>
      </c>
      <c r="AP2000" s="137" t="s">
        <v>432</v>
      </c>
      <c r="AQ2000" s="137" t="s">
        <v>432</v>
      </c>
      <c r="AR2000" s="137" t="s">
        <v>432</v>
      </c>
      <c r="AS2000" s="137" t="s">
        <v>432</v>
      </c>
      <c r="AT2000" s="137" t="s">
        <v>432</v>
      </c>
      <c r="AU2000" s="137" t="s">
        <v>432</v>
      </c>
      <c r="AV2000" s="137" t="s">
        <v>432</v>
      </c>
      <c r="AW2000" s="137" t="s">
        <v>432</v>
      </c>
      <c r="AX2000" s="137" t="s">
        <v>432</v>
      </c>
      <c r="AY2000" s="137" t="s">
        <v>432</v>
      </c>
      <c r="AZ2000" s="137" t="s">
        <v>432</v>
      </c>
      <c r="BA2000" s="137" t="s">
        <v>432</v>
      </c>
      <c r="BB2000" s="239" t="str">
        <f>B2000&amp;C2000</f>
        <v>Poluição do arx</v>
      </c>
      <c r="BC2000" s="239" t="str">
        <f>B2000&amp;C2000&amp;H2000</f>
        <v>Poluição do arxbenchmarking</v>
      </c>
      <c r="BD2000" s="239" t="str">
        <f>B2000&amp;H2000</f>
        <v>Poluição do arbenchmarking</v>
      </c>
    </row>
    <row r="2001" spans="1:56" s="1" customFormat="1" ht="34.5" customHeight="1" x14ac:dyDescent="0.25">
      <c r="A2001" s="275" t="str">
        <f>'Q100b-totais'!$B$44</f>
        <v>5.2</v>
      </c>
      <c r="B2001" s="54" t="str">
        <f>'Q100b-totais'!$C$44</f>
        <v>Poluição do ar</v>
      </c>
      <c r="C2001" s="229" t="s">
        <v>432</v>
      </c>
      <c r="D2001" s="988" t="s">
        <v>4919</v>
      </c>
      <c r="E2001" s="1540" t="s">
        <v>1258</v>
      </c>
      <c r="F2001" s="338" t="s">
        <v>2012</v>
      </c>
      <c r="G2001" s="110" t="s">
        <v>77</v>
      </c>
      <c r="H2001" s="173" t="s">
        <v>819</v>
      </c>
      <c r="I2001" s="167" t="s">
        <v>432</v>
      </c>
      <c r="J2001" s="109" t="s">
        <v>432</v>
      </c>
      <c r="K2001" s="109" t="s">
        <v>432</v>
      </c>
      <c r="L2001" s="109" t="s">
        <v>432</v>
      </c>
      <c r="M2001" s="109" t="s">
        <v>432</v>
      </c>
      <c r="N2001" s="109" t="s">
        <v>432</v>
      </c>
      <c r="O2001" s="109" t="s">
        <v>432</v>
      </c>
      <c r="P2001" s="109" t="s">
        <v>432</v>
      </c>
      <c r="Q2001" s="109" t="s">
        <v>432</v>
      </c>
      <c r="R2001" s="137" t="s">
        <v>432</v>
      </c>
      <c r="S2001" s="109" t="s">
        <v>2209</v>
      </c>
      <c r="T2001" s="137" t="s">
        <v>432</v>
      </c>
      <c r="U2001" s="137" t="s">
        <v>432</v>
      </c>
      <c r="V2001" s="109" t="s">
        <v>2209</v>
      </c>
      <c r="W2001" s="137" t="s">
        <v>432</v>
      </c>
      <c r="X2001" s="137" t="s">
        <v>432</v>
      </c>
      <c r="Y2001" s="137" t="s">
        <v>432</v>
      </c>
      <c r="Z2001" s="137" t="s">
        <v>432</v>
      </c>
      <c r="AA2001" s="137" t="s">
        <v>432</v>
      </c>
      <c r="AB2001" s="137" t="s">
        <v>432</v>
      </c>
      <c r="AC2001" s="137" t="s">
        <v>432</v>
      </c>
      <c r="AD2001" s="137" t="s">
        <v>432</v>
      </c>
      <c r="AE2001" s="137" t="s">
        <v>432</v>
      </c>
      <c r="AF2001" s="137" t="s">
        <v>432</v>
      </c>
      <c r="AG2001" s="185">
        <v>39</v>
      </c>
      <c r="AH2001" s="137" t="s">
        <v>432</v>
      </c>
      <c r="AI2001" s="137" t="s">
        <v>432</v>
      </c>
      <c r="AJ2001" s="137" t="s">
        <v>432</v>
      </c>
      <c r="AK2001" s="137" t="s">
        <v>432</v>
      </c>
      <c r="AL2001" s="601" t="s">
        <v>432</v>
      </c>
      <c r="AM2001" s="137" t="s">
        <v>432</v>
      </c>
      <c r="AN2001" s="137" t="s">
        <v>432</v>
      </c>
      <c r="AO2001" s="137" t="s">
        <v>432</v>
      </c>
      <c r="AP2001" s="137" t="s">
        <v>432</v>
      </c>
      <c r="AQ2001" s="137" t="s">
        <v>432</v>
      </c>
      <c r="AR2001" s="137" t="s">
        <v>432</v>
      </c>
      <c r="AS2001" s="137" t="s">
        <v>432</v>
      </c>
      <c r="AT2001" s="137" t="s">
        <v>432</v>
      </c>
      <c r="AU2001" s="137" t="s">
        <v>432</v>
      </c>
      <c r="AV2001" s="137" t="s">
        <v>432</v>
      </c>
      <c r="AW2001" s="137" t="s">
        <v>432</v>
      </c>
      <c r="AX2001" s="137" t="s">
        <v>432</v>
      </c>
      <c r="AY2001" s="137" t="s">
        <v>432</v>
      </c>
      <c r="AZ2001" s="137" t="s">
        <v>432</v>
      </c>
      <c r="BA2001" s="137" t="s">
        <v>432</v>
      </c>
      <c r="BB2001" s="239" t="str">
        <f>B2001&amp;C2001</f>
        <v>Poluição do arx</v>
      </c>
      <c r="BC2001" s="239" t="str">
        <f>B2001&amp;C2001&amp;H2001</f>
        <v>Poluição do arxbenchmarking</v>
      </c>
      <c r="BD2001" s="239" t="str">
        <f>B2001&amp;H2001</f>
        <v>Poluição do arbenchmarking</v>
      </c>
    </row>
    <row r="2002" spans="1:56" s="1" customFormat="1" ht="34.5" customHeight="1" x14ac:dyDescent="0.25">
      <c r="A2002" s="275" t="str">
        <f>'Q100b-totais'!$B$44</f>
        <v>5.2</v>
      </c>
      <c r="B2002" s="54" t="str">
        <f>'Q100b-totais'!$C$44</f>
        <v>Poluição do ar</v>
      </c>
      <c r="C2002" s="229" t="s">
        <v>432</v>
      </c>
      <c r="D2002" s="988" t="s">
        <v>4919</v>
      </c>
      <c r="E2002" s="1540" t="s">
        <v>1259</v>
      </c>
      <c r="F2002" s="338" t="s">
        <v>2012</v>
      </c>
      <c r="G2002" s="110" t="s">
        <v>77</v>
      </c>
      <c r="H2002" s="173" t="s">
        <v>819</v>
      </c>
      <c r="I2002" s="167" t="s">
        <v>432</v>
      </c>
      <c r="J2002" s="109" t="s">
        <v>432</v>
      </c>
      <c r="K2002" s="109" t="s">
        <v>432</v>
      </c>
      <c r="L2002" s="109" t="s">
        <v>432</v>
      </c>
      <c r="M2002" s="109" t="s">
        <v>432</v>
      </c>
      <c r="N2002" s="109" t="s">
        <v>432</v>
      </c>
      <c r="O2002" s="109" t="s">
        <v>432</v>
      </c>
      <c r="P2002" s="109" t="s">
        <v>432</v>
      </c>
      <c r="Q2002" s="109" t="s">
        <v>432</v>
      </c>
      <c r="R2002" s="137" t="s">
        <v>432</v>
      </c>
      <c r="S2002" s="109" t="s">
        <v>2209</v>
      </c>
      <c r="T2002" s="137" t="s">
        <v>432</v>
      </c>
      <c r="U2002" s="137" t="s">
        <v>432</v>
      </c>
      <c r="V2002" s="109" t="s">
        <v>2209</v>
      </c>
      <c r="W2002" s="137" t="s">
        <v>432</v>
      </c>
      <c r="X2002" s="137" t="s">
        <v>432</v>
      </c>
      <c r="Y2002" s="137" t="s">
        <v>432</v>
      </c>
      <c r="Z2002" s="137" t="s">
        <v>432</v>
      </c>
      <c r="AA2002" s="137" t="s">
        <v>432</v>
      </c>
      <c r="AB2002" s="137" t="s">
        <v>432</v>
      </c>
      <c r="AC2002" s="137" t="s">
        <v>432</v>
      </c>
      <c r="AD2002" s="137" t="s">
        <v>432</v>
      </c>
      <c r="AE2002" s="137" t="s">
        <v>432</v>
      </c>
      <c r="AF2002" s="137" t="s">
        <v>432</v>
      </c>
      <c r="AG2002" s="185">
        <v>31</v>
      </c>
      <c r="AH2002" s="137" t="s">
        <v>432</v>
      </c>
      <c r="AI2002" s="137" t="s">
        <v>432</v>
      </c>
      <c r="AJ2002" s="137" t="s">
        <v>432</v>
      </c>
      <c r="AK2002" s="137" t="s">
        <v>432</v>
      </c>
      <c r="AL2002" s="601" t="s">
        <v>432</v>
      </c>
      <c r="AM2002" s="137" t="s">
        <v>432</v>
      </c>
      <c r="AN2002" s="137" t="s">
        <v>432</v>
      </c>
      <c r="AO2002" s="137" t="s">
        <v>432</v>
      </c>
      <c r="AP2002" s="137" t="s">
        <v>432</v>
      </c>
      <c r="AQ2002" s="137" t="s">
        <v>432</v>
      </c>
      <c r="AR2002" s="137" t="s">
        <v>432</v>
      </c>
      <c r="AS2002" s="137" t="s">
        <v>432</v>
      </c>
      <c r="AT2002" s="137" t="s">
        <v>432</v>
      </c>
      <c r="AU2002" s="137" t="s">
        <v>432</v>
      </c>
      <c r="AV2002" s="137" t="s">
        <v>432</v>
      </c>
      <c r="AW2002" s="137" t="s">
        <v>432</v>
      </c>
      <c r="AX2002" s="137" t="s">
        <v>432</v>
      </c>
      <c r="AY2002" s="137" t="s">
        <v>432</v>
      </c>
      <c r="AZ2002" s="137" t="s">
        <v>432</v>
      </c>
      <c r="BA2002" s="137" t="s">
        <v>432</v>
      </c>
      <c r="BB2002" s="239" t="str">
        <f>B2002&amp;C2002</f>
        <v>Poluição do arx</v>
      </c>
      <c r="BC2002" s="239" t="str">
        <f>B2002&amp;C2002&amp;H2002</f>
        <v>Poluição do arxbenchmarking</v>
      </c>
      <c r="BD2002" s="239" t="str">
        <f>B2002&amp;H2002</f>
        <v>Poluição do arbenchmarking</v>
      </c>
    </row>
    <row r="2003" spans="1:56" s="1" customFormat="1" ht="31.5" customHeight="1" x14ac:dyDescent="0.25">
      <c r="A2003" s="275" t="str">
        <f>'Q100b-totais'!$B$44</f>
        <v>5.2</v>
      </c>
      <c r="B2003" s="54" t="str">
        <f>'Q100b-totais'!$C$44</f>
        <v>Poluição do ar</v>
      </c>
      <c r="C2003" s="229" t="s">
        <v>432</v>
      </c>
      <c r="D2003" s="988" t="s">
        <v>4919</v>
      </c>
      <c r="E2003" s="1540" t="s">
        <v>1260</v>
      </c>
      <c r="F2003" s="338" t="s">
        <v>2012</v>
      </c>
      <c r="G2003" s="110" t="s">
        <v>77</v>
      </c>
      <c r="H2003" s="173" t="s">
        <v>819</v>
      </c>
      <c r="I2003" s="167" t="s">
        <v>432</v>
      </c>
      <c r="J2003" s="109" t="s">
        <v>432</v>
      </c>
      <c r="K2003" s="109" t="s">
        <v>432</v>
      </c>
      <c r="L2003" s="109" t="s">
        <v>432</v>
      </c>
      <c r="M2003" s="109" t="s">
        <v>432</v>
      </c>
      <c r="N2003" s="109" t="s">
        <v>432</v>
      </c>
      <c r="O2003" s="109" t="s">
        <v>432</v>
      </c>
      <c r="P2003" s="109" t="s">
        <v>432</v>
      </c>
      <c r="Q2003" s="109" t="s">
        <v>432</v>
      </c>
      <c r="R2003" s="137" t="s">
        <v>432</v>
      </c>
      <c r="S2003" s="109" t="s">
        <v>2209</v>
      </c>
      <c r="T2003" s="137" t="s">
        <v>432</v>
      </c>
      <c r="U2003" s="137" t="s">
        <v>432</v>
      </c>
      <c r="V2003" s="109" t="s">
        <v>2209</v>
      </c>
      <c r="W2003" s="137" t="s">
        <v>432</v>
      </c>
      <c r="X2003" s="137" t="s">
        <v>432</v>
      </c>
      <c r="Y2003" s="137" t="s">
        <v>432</v>
      </c>
      <c r="Z2003" s="137" t="s">
        <v>432</v>
      </c>
      <c r="AA2003" s="137" t="s">
        <v>432</v>
      </c>
      <c r="AB2003" s="137" t="s">
        <v>432</v>
      </c>
      <c r="AC2003" s="137" t="s">
        <v>432</v>
      </c>
      <c r="AD2003" s="137" t="s">
        <v>432</v>
      </c>
      <c r="AE2003" s="137" t="s">
        <v>432</v>
      </c>
      <c r="AF2003" s="137" t="s">
        <v>432</v>
      </c>
      <c r="AG2003" s="185">
        <v>30.909999999999997</v>
      </c>
      <c r="AH2003" s="137" t="s">
        <v>432</v>
      </c>
      <c r="AI2003" s="137" t="s">
        <v>432</v>
      </c>
      <c r="AJ2003" s="137" t="s">
        <v>432</v>
      </c>
      <c r="AK2003" s="137" t="s">
        <v>432</v>
      </c>
      <c r="AL2003" s="601" t="s">
        <v>432</v>
      </c>
      <c r="AM2003" s="137" t="s">
        <v>432</v>
      </c>
      <c r="AN2003" s="137" t="s">
        <v>432</v>
      </c>
      <c r="AO2003" s="137" t="s">
        <v>432</v>
      </c>
      <c r="AP2003" s="137" t="s">
        <v>432</v>
      </c>
      <c r="AQ2003" s="137" t="s">
        <v>432</v>
      </c>
      <c r="AR2003" s="137" t="s">
        <v>432</v>
      </c>
      <c r="AS2003" s="137" t="s">
        <v>432</v>
      </c>
      <c r="AT2003" s="137" t="s">
        <v>432</v>
      </c>
      <c r="AU2003" s="137" t="s">
        <v>432</v>
      </c>
      <c r="AV2003" s="137" t="s">
        <v>432</v>
      </c>
      <c r="AW2003" s="137" t="s">
        <v>432</v>
      </c>
      <c r="AX2003" s="137" t="s">
        <v>432</v>
      </c>
      <c r="AY2003" s="137" t="s">
        <v>432</v>
      </c>
      <c r="AZ2003" s="137" t="s">
        <v>432</v>
      </c>
      <c r="BA2003" s="137" t="s">
        <v>432</v>
      </c>
      <c r="BB2003" s="239" t="str">
        <f>B2003&amp;C2003</f>
        <v>Poluição do arx</v>
      </c>
      <c r="BC2003" s="239" t="str">
        <f>B2003&amp;C2003&amp;H2003</f>
        <v>Poluição do arxbenchmarking</v>
      </c>
      <c r="BD2003" s="239" t="str">
        <f>B2003&amp;H2003</f>
        <v>Poluição do arbenchmarking</v>
      </c>
    </row>
    <row r="2004" spans="1:56" s="1" customFormat="1" ht="46.5" customHeight="1" x14ac:dyDescent="0.25">
      <c r="A2004" s="275" t="str">
        <f>'Q100b-totais'!$B$44</f>
        <v>5.2</v>
      </c>
      <c r="B2004" s="54" t="str">
        <f>'Q100b-totais'!$C$44</f>
        <v>Poluição do ar</v>
      </c>
      <c r="C2004" s="229" t="s">
        <v>432</v>
      </c>
      <c r="D2004" s="988" t="s">
        <v>4919</v>
      </c>
      <c r="E2004" s="1540" t="s">
        <v>1261</v>
      </c>
      <c r="F2004" s="338" t="s">
        <v>2012</v>
      </c>
      <c r="G2004" s="110" t="s">
        <v>77</v>
      </c>
      <c r="H2004" s="173" t="s">
        <v>819</v>
      </c>
      <c r="I2004" s="167" t="s">
        <v>432</v>
      </c>
      <c r="J2004" s="109" t="s">
        <v>432</v>
      </c>
      <c r="K2004" s="109" t="s">
        <v>432</v>
      </c>
      <c r="L2004" s="109" t="s">
        <v>432</v>
      </c>
      <c r="M2004" s="109" t="s">
        <v>432</v>
      </c>
      <c r="N2004" s="109" t="s">
        <v>432</v>
      </c>
      <c r="O2004" s="109" t="s">
        <v>432</v>
      </c>
      <c r="P2004" s="109" t="s">
        <v>432</v>
      </c>
      <c r="Q2004" s="109" t="s">
        <v>432</v>
      </c>
      <c r="R2004" s="137" t="s">
        <v>432</v>
      </c>
      <c r="S2004" s="109" t="s">
        <v>2209</v>
      </c>
      <c r="T2004" s="137" t="s">
        <v>432</v>
      </c>
      <c r="U2004" s="137" t="s">
        <v>432</v>
      </c>
      <c r="V2004" s="109" t="s">
        <v>2209</v>
      </c>
      <c r="W2004" s="137" t="s">
        <v>432</v>
      </c>
      <c r="X2004" s="137" t="s">
        <v>432</v>
      </c>
      <c r="Y2004" s="137" t="s">
        <v>432</v>
      </c>
      <c r="Z2004" s="137" t="s">
        <v>432</v>
      </c>
      <c r="AA2004" s="137" t="s">
        <v>432</v>
      </c>
      <c r="AB2004" s="137" t="s">
        <v>432</v>
      </c>
      <c r="AC2004" s="137" t="s">
        <v>432</v>
      </c>
      <c r="AD2004" s="137" t="s">
        <v>432</v>
      </c>
      <c r="AE2004" s="137" t="s">
        <v>432</v>
      </c>
      <c r="AF2004" s="137" t="s">
        <v>432</v>
      </c>
      <c r="AG2004" s="185">
        <v>30</v>
      </c>
      <c r="AH2004" s="137" t="s">
        <v>432</v>
      </c>
      <c r="AI2004" s="137" t="s">
        <v>432</v>
      </c>
      <c r="AJ2004" s="137" t="s">
        <v>432</v>
      </c>
      <c r="AK2004" s="137" t="s">
        <v>432</v>
      </c>
      <c r="AL2004" s="601" t="s">
        <v>432</v>
      </c>
      <c r="AM2004" s="137" t="s">
        <v>432</v>
      </c>
      <c r="AN2004" s="137" t="s">
        <v>432</v>
      </c>
      <c r="AO2004" s="137" t="s">
        <v>432</v>
      </c>
      <c r="AP2004" s="137" t="s">
        <v>432</v>
      </c>
      <c r="AQ2004" s="137" t="s">
        <v>432</v>
      </c>
      <c r="AR2004" s="137" t="s">
        <v>432</v>
      </c>
      <c r="AS2004" s="137" t="s">
        <v>432</v>
      </c>
      <c r="AT2004" s="137" t="s">
        <v>432</v>
      </c>
      <c r="AU2004" s="137" t="s">
        <v>432</v>
      </c>
      <c r="AV2004" s="137" t="s">
        <v>432</v>
      </c>
      <c r="AW2004" s="137" t="s">
        <v>432</v>
      </c>
      <c r="AX2004" s="137" t="s">
        <v>432</v>
      </c>
      <c r="AY2004" s="137" t="s">
        <v>432</v>
      </c>
      <c r="AZ2004" s="137" t="s">
        <v>432</v>
      </c>
      <c r="BA2004" s="137" t="s">
        <v>432</v>
      </c>
      <c r="BB2004" s="239" t="str">
        <f t="shared" ref="BB2004:BB2047" si="587">B2004&amp;C2004</f>
        <v>Poluição do arx</v>
      </c>
      <c r="BC2004" s="239" t="str">
        <f t="shared" ref="BC2004:BC2047" si="588">B2004&amp;C2004&amp;H2004</f>
        <v>Poluição do arxbenchmarking</v>
      </c>
      <c r="BD2004" s="239" t="str">
        <f t="shared" ref="BD2004:BD2047" si="589">B2004&amp;H2004</f>
        <v>Poluição do arbenchmarking</v>
      </c>
    </row>
    <row r="2005" spans="1:56" s="1" customFormat="1" ht="57.75" customHeight="1" x14ac:dyDescent="0.25">
      <c r="A2005" s="276" t="str">
        <f>'Q100b-totais'!$B$44</f>
        <v>5.2</v>
      </c>
      <c r="B2005" s="252" t="str">
        <f>'Q100b-totais'!$C$44</f>
        <v>Poluição do ar</v>
      </c>
      <c r="C2005" s="167" t="s">
        <v>432</v>
      </c>
      <c r="D2005" s="988" t="s">
        <v>4919</v>
      </c>
      <c r="E2005" s="1541" t="s">
        <v>1307</v>
      </c>
      <c r="F2005" s="338" t="s">
        <v>2013</v>
      </c>
      <c r="G2005" s="110" t="s">
        <v>77</v>
      </c>
      <c r="H2005" s="168" t="s">
        <v>1298</v>
      </c>
      <c r="I2005" s="167">
        <v>1</v>
      </c>
      <c r="J2005" s="109" t="s">
        <v>432</v>
      </c>
      <c r="K2005" s="109" t="s">
        <v>432</v>
      </c>
      <c r="L2005" s="109" t="s">
        <v>432</v>
      </c>
      <c r="M2005" s="109" t="s">
        <v>432</v>
      </c>
      <c r="N2005" s="109" t="s">
        <v>432</v>
      </c>
      <c r="O2005" s="109" t="s">
        <v>432</v>
      </c>
      <c r="P2005" s="109" t="s">
        <v>432</v>
      </c>
      <c r="Q2005" s="109" t="s">
        <v>432</v>
      </c>
      <c r="R2005" s="137" t="s">
        <v>432</v>
      </c>
      <c r="S2005" s="109" t="s">
        <v>2209</v>
      </c>
      <c r="T2005" s="137" t="s">
        <v>432</v>
      </c>
      <c r="U2005" s="137" t="s">
        <v>432</v>
      </c>
      <c r="V2005" s="109" t="s">
        <v>2209</v>
      </c>
      <c r="W2005" s="137" t="s">
        <v>432</v>
      </c>
      <c r="X2005" s="137" t="s">
        <v>432</v>
      </c>
      <c r="Y2005" s="137" t="s">
        <v>432</v>
      </c>
      <c r="Z2005" s="137" t="s">
        <v>432</v>
      </c>
      <c r="AA2005" s="137" t="s">
        <v>432</v>
      </c>
      <c r="AB2005" s="137" t="s">
        <v>432</v>
      </c>
      <c r="AC2005" s="137" t="s">
        <v>432</v>
      </c>
      <c r="AD2005" s="137" t="s">
        <v>432</v>
      </c>
      <c r="AE2005" s="137" t="s">
        <v>432</v>
      </c>
      <c r="AF2005" s="137" t="s">
        <v>432</v>
      </c>
      <c r="AG2005" s="185">
        <v>42.633333333333333</v>
      </c>
      <c r="AH2005" s="137" t="s">
        <v>432</v>
      </c>
      <c r="AI2005" s="137" t="s">
        <v>432</v>
      </c>
      <c r="AJ2005" s="137" t="s">
        <v>432</v>
      </c>
      <c r="AK2005" s="137" t="s">
        <v>432</v>
      </c>
      <c r="AL2005" s="601" t="s">
        <v>432</v>
      </c>
      <c r="AM2005" s="137" t="s">
        <v>432</v>
      </c>
      <c r="AN2005" s="137" t="s">
        <v>432</v>
      </c>
      <c r="AO2005" s="137" t="s">
        <v>432</v>
      </c>
      <c r="AP2005" s="137" t="s">
        <v>432</v>
      </c>
      <c r="AQ2005" s="137" t="s">
        <v>432</v>
      </c>
      <c r="AR2005" s="137" t="s">
        <v>432</v>
      </c>
      <c r="AS2005" s="137" t="s">
        <v>432</v>
      </c>
      <c r="AT2005" s="137" t="s">
        <v>432</v>
      </c>
      <c r="AU2005" s="137" t="s">
        <v>432</v>
      </c>
      <c r="AV2005" s="137" t="s">
        <v>432</v>
      </c>
      <c r="AW2005" s="137" t="s">
        <v>432</v>
      </c>
      <c r="AX2005" s="137" t="s">
        <v>432</v>
      </c>
      <c r="AY2005" s="137" t="s">
        <v>432</v>
      </c>
      <c r="AZ2005" s="137" t="s">
        <v>432</v>
      </c>
      <c r="BA2005" s="137" t="s">
        <v>432</v>
      </c>
      <c r="BB2005" s="239" t="str">
        <f t="shared" si="587"/>
        <v>Poluição do arx</v>
      </c>
      <c r="BC2005" s="239" t="str">
        <f t="shared" si="588"/>
        <v>Poluição do arxRMBH</v>
      </c>
      <c r="BD2005" s="239" t="str">
        <f t="shared" si="589"/>
        <v>Poluição do arRMBH</v>
      </c>
    </row>
    <row r="2006" spans="1:56" s="1" customFormat="1" ht="56.25" customHeight="1" x14ac:dyDescent="0.25">
      <c r="A2006" s="276" t="str">
        <f>'Q100b-totais'!$B$44</f>
        <v>5.2</v>
      </c>
      <c r="B2006" s="252" t="str">
        <f>'Q100b-totais'!$C$44</f>
        <v>Poluição do ar</v>
      </c>
      <c r="C2006" s="167" t="s">
        <v>432</v>
      </c>
      <c r="D2006" s="988" t="s">
        <v>4919</v>
      </c>
      <c r="E2006" s="1541" t="s">
        <v>1306</v>
      </c>
      <c r="F2006" s="338" t="s">
        <v>2014</v>
      </c>
      <c r="G2006" s="110" t="s">
        <v>77</v>
      </c>
      <c r="H2006" s="167" t="s">
        <v>432</v>
      </c>
      <c r="I2006" s="167">
        <v>1</v>
      </c>
      <c r="J2006" s="109" t="s">
        <v>432</v>
      </c>
      <c r="K2006" s="109" t="s">
        <v>432</v>
      </c>
      <c r="L2006" s="109" t="s">
        <v>432</v>
      </c>
      <c r="M2006" s="109" t="s">
        <v>432</v>
      </c>
      <c r="N2006" s="109" t="s">
        <v>432</v>
      </c>
      <c r="O2006" s="109" t="s">
        <v>432</v>
      </c>
      <c r="P2006" s="109" t="s">
        <v>432</v>
      </c>
      <c r="Q2006" s="109" t="s">
        <v>432</v>
      </c>
      <c r="R2006" s="137" t="s">
        <v>432</v>
      </c>
      <c r="S2006" s="109" t="s">
        <v>2209</v>
      </c>
      <c r="T2006" s="137" t="s">
        <v>432</v>
      </c>
      <c r="U2006" s="137" t="s">
        <v>432</v>
      </c>
      <c r="V2006" s="109" t="s">
        <v>2209</v>
      </c>
      <c r="W2006" s="137" t="s">
        <v>432</v>
      </c>
      <c r="X2006" s="137" t="s">
        <v>432</v>
      </c>
      <c r="Y2006" s="137" t="s">
        <v>432</v>
      </c>
      <c r="Z2006" s="137" t="s">
        <v>432</v>
      </c>
      <c r="AA2006" s="137" t="s">
        <v>432</v>
      </c>
      <c r="AB2006" s="137" t="s">
        <v>432</v>
      </c>
      <c r="AC2006" s="137" t="s">
        <v>432</v>
      </c>
      <c r="AD2006" s="137" t="s">
        <v>432</v>
      </c>
      <c r="AE2006" s="137" t="s">
        <v>432</v>
      </c>
      <c r="AF2006" s="137" t="s">
        <v>432</v>
      </c>
      <c r="AG2006" s="351">
        <v>51.7</v>
      </c>
      <c r="AH2006" s="137" t="s">
        <v>432</v>
      </c>
      <c r="AI2006" s="137" t="s">
        <v>432</v>
      </c>
      <c r="AJ2006" s="137" t="s">
        <v>432</v>
      </c>
      <c r="AK2006" s="137" t="s">
        <v>432</v>
      </c>
      <c r="AL2006" s="601" t="s">
        <v>432</v>
      </c>
      <c r="AM2006" s="137" t="s">
        <v>432</v>
      </c>
      <c r="AN2006" s="137" t="s">
        <v>432</v>
      </c>
      <c r="AO2006" s="137" t="s">
        <v>432</v>
      </c>
      <c r="AP2006" s="137" t="s">
        <v>432</v>
      </c>
      <c r="AQ2006" s="137" t="s">
        <v>432</v>
      </c>
      <c r="AR2006" s="137" t="s">
        <v>432</v>
      </c>
      <c r="AS2006" s="137" t="s">
        <v>432</v>
      </c>
      <c r="AT2006" s="137" t="s">
        <v>432</v>
      </c>
      <c r="AU2006" s="137" t="s">
        <v>432</v>
      </c>
      <c r="AV2006" s="137" t="s">
        <v>432</v>
      </c>
      <c r="AW2006" s="137" t="s">
        <v>432</v>
      </c>
      <c r="AX2006" s="137" t="s">
        <v>432</v>
      </c>
      <c r="AY2006" s="137" t="s">
        <v>432</v>
      </c>
      <c r="AZ2006" s="137" t="s">
        <v>432</v>
      </c>
      <c r="BA2006" s="137" t="s">
        <v>432</v>
      </c>
      <c r="BB2006" s="239" t="str">
        <f t="shared" si="587"/>
        <v>Poluição do arx</v>
      </c>
      <c r="BC2006" s="239" t="str">
        <f t="shared" si="588"/>
        <v>Poluição do arxx</v>
      </c>
      <c r="BD2006" s="239" t="str">
        <f t="shared" si="589"/>
        <v>Poluição do arx</v>
      </c>
    </row>
    <row r="2007" spans="1:56" s="1" customFormat="1" ht="43.5" customHeight="1" x14ac:dyDescent="0.25">
      <c r="A2007" s="275" t="str">
        <f>'Q100b-totais'!$B$44</f>
        <v>5.2</v>
      </c>
      <c r="B2007" s="54" t="str">
        <f>'Q100b-totais'!$C$44</f>
        <v>Poluição do ar</v>
      </c>
      <c r="C2007" s="229" t="s">
        <v>432</v>
      </c>
      <c r="D2007" s="988" t="s">
        <v>4920</v>
      </c>
      <c r="E2007" s="1540" t="s">
        <v>1774</v>
      </c>
      <c r="F2007" s="338" t="s">
        <v>2012</v>
      </c>
      <c r="G2007" s="110" t="s">
        <v>77</v>
      </c>
      <c r="H2007" s="173" t="s">
        <v>819</v>
      </c>
      <c r="I2007" s="167" t="s">
        <v>432</v>
      </c>
      <c r="J2007" s="109" t="s">
        <v>432</v>
      </c>
      <c r="K2007" s="109" t="s">
        <v>432</v>
      </c>
      <c r="L2007" s="109" t="s">
        <v>432</v>
      </c>
      <c r="M2007" s="109" t="s">
        <v>432</v>
      </c>
      <c r="N2007" s="109" t="s">
        <v>432</v>
      </c>
      <c r="O2007" s="109" t="s">
        <v>432</v>
      </c>
      <c r="P2007" s="109" t="s">
        <v>432</v>
      </c>
      <c r="Q2007" s="109" t="s">
        <v>432</v>
      </c>
      <c r="R2007" s="137" t="s">
        <v>432</v>
      </c>
      <c r="S2007" s="109" t="s">
        <v>2209</v>
      </c>
      <c r="T2007" s="137" t="s">
        <v>432</v>
      </c>
      <c r="U2007" s="137" t="s">
        <v>432</v>
      </c>
      <c r="V2007" s="109" t="s">
        <v>2209</v>
      </c>
      <c r="W2007" s="137" t="s">
        <v>432</v>
      </c>
      <c r="X2007" s="137" t="s">
        <v>432</v>
      </c>
      <c r="Y2007" s="137" t="s">
        <v>432</v>
      </c>
      <c r="Z2007" s="137" t="s">
        <v>432</v>
      </c>
      <c r="AA2007" s="137" t="s">
        <v>432</v>
      </c>
      <c r="AB2007" s="137" t="s">
        <v>432</v>
      </c>
      <c r="AC2007" s="137" t="s">
        <v>432</v>
      </c>
      <c r="AD2007" s="137" t="s">
        <v>432</v>
      </c>
      <c r="AE2007" s="137" t="s">
        <v>432</v>
      </c>
      <c r="AF2007" s="137" t="s">
        <v>432</v>
      </c>
      <c r="AG2007" s="185">
        <v>31</v>
      </c>
      <c r="AH2007" s="137" t="s">
        <v>432</v>
      </c>
      <c r="AI2007" s="137" t="s">
        <v>432</v>
      </c>
      <c r="AJ2007" s="137" t="s">
        <v>432</v>
      </c>
      <c r="AK2007" s="137" t="s">
        <v>432</v>
      </c>
      <c r="AL2007" s="601" t="s">
        <v>432</v>
      </c>
      <c r="AM2007" s="137" t="s">
        <v>432</v>
      </c>
      <c r="AN2007" s="137" t="s">
        <v>432</v>
      </c>
      <c r="AO2007" s="137" t="s">
        <v>432</v>
      </c>
      <c r="AP2007" s="137" t="s">
        <v>432</v>
      </c>
      <c r="AQ2007" s="137" t="s">
        <v>432</v>
      </c>
      <c r="AR2007" s="137" t="s">
        <v>432</v>
      </c>
      <c r="AS2007" s="137" t="s">
        <v>432</v>
      </c>
      <c r="AT2007" s="137" t="s">
        <v>432</v>
      </c>
      <c r="AU2007" s="137" t="s">
        <v>432</v>
      </c>
      <c r="AV2007" s="137" t="s">
        <v>432</v>
      </c>
      <c r="AW2007" s="137" t="s">
        <v>432</v>
      </c>
      <c r="AX2007" s="137" t="s">
        <v>432</v>
      </c>
      <c r="AY2007" s="137" t="s">
        <v>432</v>
      </c>
      <c r="AZ2007" s="137" t="s">
        <v>432</v>
      </c>
      <c r="BA2007" s="137" t="s">
        <v>432</v>
      </c>
      <c r="BB2007" s="239" t="str">
        <f t="shared" si="587"/>
        <v>Poluição do arx</v>
      </c>
      <c r="BC2007" s="239" t="str">
        <f t="shared" si="588"/>
        <v>Poluição do arxbenchmarking</v>
      </c>
      <c r="BD2007" s="239" t="str">
        <f t="shared" si="589"/>
        <v>Poluição do arbenchmarking</v>
      </c>
    </row>
    <row r="2008" spans="1:56" s="1" customFormat="1" ht="39" customHeight="1" x14ac:dyDescent="0.25">
      <c r="A2008" s="275" t="str">
        <f>'Q100b-totais'!$B$44</f>
        <v>5.2</v>
      </c>
      <c r="B2008" s="54" t="str">
        <f>'Q100b-totais'!$C$44</f>
        <v>Poluição do ar</v>
      </c>
      <c r="C2008" s="229" t="s">
        <v>432</v>
      </c>
      <c r="D2008" s="988" t="s">
        <v>4919</v>
      </c>
      <c r="E2008" s="1541" t="s">
        <v>1263</v>
      </c>
      <c r="F2008" s="338" t="s">
        <v>2012</v>
      </c>
      <c r="G2008" s="110" t="s">
        <v>77</v>
      </c>
      <c r="H2008" s="173" t="s">
        <v>819</v>
      </c>
      <c r="I2008" s="167" t="s">
        <v>432</v>
      </c>
      <c r="J2008" s="109" t="s">
        <v>432</v>
      </c>
      <c r="K2008" s="109" t="s">
        <v>432</v>
      </c>
      <c r="L2008" s="109" t="s">
        <v>432</v>
      </c>
      <c r="M2008" s="109" t="s">
        <v>432</v>
      </c>
      <c r="N2008" s="109" t="s">
        <v>432</v>
      </c>
      <c r="O2008" s="109" t="s">
        <v>432</v>
      </c>
      <c r="P2008" s="109" t="s">
        <v>432</v>
      </c>
      <c r="Q2008" s="109" t="s">
        <v>432</v>
      </c>
      <c r="R2008" s="137" t="s">
        <v>432</v>
      </c>
      <c r="S2008" s="109" t="s">
        <v>2209</v>
      </c>
      <c r="T2008" s="137" t="s">
        <v>432</v>
      </c>
      <c r="U2008" s="137" t="s">
        <v>432</v>
      </c>
      <c r="V2008" s="109" t="s">
        <v>2209</v>
      </c>
      <c r="W2008" s="137" t="s">
        <v>432</v>
      </c>
      <c r="X2008" s="137" t="s">
        <v>432</v>
      </c>
      <c r="Y2008" s="137" t="s">
        <v>432</v>
      </c>
      <c r="Z2008" s="137" t="s">
        <v>432</v>
      </c>
      <c r="AA2008" s="137" t="s">
        <v>432</v>
      </c>
      <c r="AB2008" s="137" t="s">
        <v>432</v>
      </c>
      <c r="AC2008" s="137" t="s">
        <v>432</v>
      </c>
      <c r="AD2008" s="137" t="s">
        <v>432</v>
      </c>
      <c r="AE2008" s="137" t="s">
        <v>432</v>
      </c>
      <c r="AF2008" s="137" t="s">
        <v>432</v>
      </c>
      <c r="AG2008" s="185">
        <v>34</v>
      </c>
      <c r="AH2008" s="137" t="s">
        <v>432</v>
      </c>
      <c r="AI2008" s="137" t="s">
        <v>432</v>
      </c>
      <c r="AJ2008" s="137" t="s">
        <v>432</v>
      </c>
      <c r="AK2008" s="137" t="s">
        <v>432</v>
      </c>
      <c r="AL2008" s="601" t="s">
        <v>432</v>
      </c>
      <c r="AM2008" s="137" t="s">
        <v>432</v>
      </c>
      <c r="AN2008" s="137" t="s">
        <v>432</v>
      </c>
      <c r="AO2008" s="137" t="s">
        <v>432</v>
      </c>
      <c r="AP2008" s="137" t="s">
        <v>432</v>
      </c>
      <c r="AQ2008" s="137" t="s">
        <v>432</v>
      </c>
      <c r="AR2008" s="137" t="s">
        <v>432</v>
      </c>
      <c r="AS2008" s="137" t="s">
        <v>432</v>
      </c>
      <c r="AT2008" s="137" t="s">
        <v>432</v>
      </c>
      <c r="AU2008" s="137" t="s">
        <v>432</v>
      </c>
      <c r="AV2008" s="137" t="s">
        <v>432</v>
      </c>
      <c r="AW2008" s="137" t="s">
        <v>432</v>
      </c>
      <c r="AX2008" s="137" t="s">
        <v>432</v>
      </c>
      <c r="AY2008" s="137" t="s">
        <v>432</v>
      </c>
      <c r="AZ2008" s="137" t="s">
        <v>432</v>
      </c>
      <c r="BA2008" s="137" t="s">
        <v>432</v>
      </c>
      <c r="BB2008" s="239" t="str">
        <f t="shared" si="587"/>
        <v>Poluição do arx</v>
      </c>
      <c r="BC2008" s="239" t="str">
        <f t="shared" si="588"/>
        <v>Poluição do arxbenchmarking</v>
      </c>
      <c r="BD2008" s="239" t="str">
        <f t="shared" si="589"/>
        <v>Poluição do arbenchmarking</v>
      </c>
    </row>
    <row r="2009" spans="1:56" s="1" customFormat="1" ht="35.25" customHeight="1" x14ac:dyDescent="0.25">
      <c r="A2009" s="275" t="str">
        <f>'Q100b-totais'!$B$44</f>
        <v>5.2</v>
      </c>
      <c r="B2009" s="54" t="str">
        <f>'Q100b-totais'!$C$44</f>
        <v>Poluição do ar</v>
      </c>
      <c r="C2009" s="229" t="s">
        <v>432</v>
      </c>
      <c r="D2009" s="988" t="s">
        <v>4919</v>
      </c>
      <c r="E2009" s="1541" t="s">
        <v>1264</v>
      </c>
      <c r="F2009" s="338" t="s">
        <v>2012</v>
      </c>
      <c r="G2009" s="110" t="s">
        <v>77</v>
      </c>
      <c r="H2009" s="173" t="s">
        <v>819</v>
      </c>
      <c r="I2009" s="167" t="s">
        <v>432</v>
      </c>
      <c r="J2009" s="109" t="s">
        <v>432</v>
      </c>
      <c r="K2009" s="109" t="s">
        <v>432</v>
      </c>
      <c r="L2009" s="109" t="s">
        <v>432</v>
      </c>
      <c r="M2009" s="109" t="s">
        <v>432</v>
      </c>
      <c r="N2009" s="109" t="s">
        <v>432</v>
      </c>
      <c r="O2009" s="109" t="s">
        <v>432</v>
      </c>
      <c r="P2009" s="109" t="s">
        <v>432</v>
      </c>
      <c r="Q2009" s="109" t="s">
        <v>432</v>
      </c>
      <c r="R2009" s="137" t="s">
        <v>432</v>
      </c>
      <c r="S2009" s="109" t="s">
        <v>2209</v>
      </c>
      <c r="T2009" s="137" t="s">
        <v>432</v>
      </c>
      <c r="U2009" s="137" t="s">
        <v>432</v>
      </c>
      <c r="V2009" s="109" t="s">
        <v>2209</v>
      </c>
      <c r="W2009" s="137" t="s">
        <v>432</v>
      </c>
      <c r="X2009" s="137" t="s">
        <v>432</v>
      </c>
      <c r="Y2009" s="137" t="s">
        <v>432</v>
      </c>
      <c r="Z2009" s="137" t="s">
        <v>432</v>
      </c>
      <c r="AA2009" s="137" t="s">
        <v>432</v>
      </c>
      <c r="AB2009" s="137" t="s">
        <v>432</v>
      </c>
      <c r="AC2009" s="137" t="s">
        <v>432</v>
      </c>
      <c r="AD2009" s="137" t="s">
        <v>432</v>
      </c>
      <c r="AE2009" s="137" t="s">
        <v>432</v>
      </c>
      <c r="AF2009" s="137" t="s">
        <v>432</v>
      </c>
      <c r="AG2009" s="185">
        <v>38</v>
      </c>
      <c r="AH2009" s="137" t="s">
        <v>432</v>
      </c>
      <c r="AI2009" s="137" t="s">
        <v>432</v>
      </c>
      <c r="AJ2009" s="137" t="s">
        <v>432</v>
      </c>
      <c r="AK2009" s="137" t="s">
        <v>432</v>
      </c>
      <c r="AL2009" s="601" t="s">
        <v>432</v>
      </c>
      <c r="AM2009" s="137" t="s">
        <v>432</v>
      </c>
      <c r="AN2009" s="137" t="s">
        <v>432</v>
      </c>
      <c r="AO2009" s="137" t="s">
        <v>432</v>
      </c>
      <c r="AP2009" s="137" t="s">
        <v>432</v>
      </c>
      <c r="AQ2009" s="137" t="s">
        <v>432</v>
      </c>
      <c r="AR2009" s="137" t="s">
        <v>432</v>
      </c>
      <c r="AS2009" s="137" t="s">
        <v>432</v>
      </c>
      <c r="AT2009" s="137" t="s">
        <v>432</v>
      </c>
      <c r="AU2009" s="137" t="s">
        <v>432</v>
      </c>
      <c r="AV2009" s="137" t="s">
        <v>432</v>
      </c>
      <c r="AW2009" s="137" t="s">
        <v>432</v>
      </c>
      <c r="AX2009" s="137" t="s">
        <v>432</v>
      </c>
      <c r="AY2009" s="137" t="s">
        <v>432</v>
      </c>
      <c r="AZ2009" s="137" t="s">
        <v>432</v>
      </c>
      <c r="BA2009" s="137" t="s">
        <v>432</v>
      </c>
      <c r="BB2009" s="239" t="str">
        <f t="shared" si="587"/>
        <v>Poluição do arx</v>
      </c>
      <c r="BC2009" s="239" t="str">
        <f t="shared" si="588"/>
        <v>Poluição do arxbenchmarking</v>
      </c>
      <c r="BD2009" s="239" t="str">
        <f t="shared" si="589"/>
        <v>Poluição do arbenchmarking</v>
      </c>
    </row>
    <row r="2010" spans="1:56" s="1" customFormat="1" ht="36" customHeight="1" x14ac:dyDescent="0.25">
      <c r="A2010" s="275" t="str">
        <f>'Q100b-totais'!$B$44</f>
        <v>5.2</v>
      </c>
      <c r="B2010" s="54" t="str">
        <f>'Q100b-totais'!$C$44</f>
        <v>Poluição do ar</v>
      </c>
      <c r="C2010" s="229" t="s">
        <v>432</v>
      </c>
      <c r="D2010" s="988" t="s">
        <v>4919</v>
      </c>
      <c r="E2010" s="1507" t="s">
        <v>1265</v>
      </c>
      <c r="F2010" s="338" t="s">
        <v>2012</v>
      </c>
      <c r="G2010" s="110" t="s">
        <v>77</v>
      </c>
      <c r="H2010" s="173" t="s">
        <v>819</v>
      </c>
      <c r="I2010" s="167" t="s">
        <v>432</v>
      </c>
      <c r="J2010" s="109" t="s">
        <v>432</v>
      </c>
      <c r="K2010" s="109" t="s">
        <v>432</v>
      </c>
      <c r="L2010" s="109" t="s">
        <v>432</v>
      </c>
      <c r="M2010" s="109" t="s">
        <v>432</v>
      </c>
      <c r="N2010" s="109" t="s">
        <v>432</v>
      </c>
      <c r="O2010" s="109" t="s">
        <v>432</v>
      </c>
      <c r="P2010" s="109" t="s">
        <v>432</v>
      </c>
      <c r="Q2010" s="109" t="s">
        <v>432</v>
      </c>
      <c r="R2010" s="137" t="s">
        <v>432</v>
      </c>
      <c r="S2010" s="109" t="s">
        <v>2209</v>
      </c>
      <c r="T2010" s="137" t="s">
        <v>432</v>
      </c>
      <c r="U2010" s="137" t="s">
        <v>432</v>
      </c>
      <c r="V2010" s="109" t="s">
        <v>2209</v>
      </c>
      <c r="W2010" s="137" t="s">
        <v>432</v>
      </c>
      <c r="X2010" s="137" t="s">
        <v>432</v>
      </c>
      <c r="Y2010" s="137" t="s">
        <v>432</v>
      </c>
      <c r="Z2010" s="137" t="s">
        <v>432</v>
      </c>
      <c r="AA2010" s="137" t="s">
        <v>432</v>
      </c>
      <c r="AB2010" s="137" t="s">
        <v>432</v>
      </c>
      <c r="AC2010" s="137" t="s">
        <v>432</v>
      </c>
      <c r="AD2010" s="137" t="s">
        <v>432</v>
      </c>
      <c r="AE2010" s="137" t="s">
        <v>432</v>
      </c>
      <c r="AF2010" s="137" t="s">
        <v>432</v>
      </c>
      <c r="AG2010" s="185">
        <v>45.7</v>
      </c>
      <c r="AH2010" s="137" t="s">
        <v>432</v>
      </c>
      <c r="AI2010" s="137" t="s">
        <v>432</v>
      </c>
      <c r="AJ2010" s="137" t="s">
        <v>432</v>
      </c>
      <c r="AK2010" s="137" t="s">
        <v>432</v>
      </c>
      <c r="AL2010" s="601" t="s">
        <v>432</v>
      </c>
      <c r="AM2010" s="137" t="s">
        <v>432</v>
      </c>
      <c r="AN2010" s="137" t="s">
        <v>432</v>
      </c>
      <c r="AO2010" s="137" t="s">
        <v>432</v>
      </c>
      <c r="AP2010" s="137" t="s">
        <v>432</v>
      </c>
      <c r="AQ2010" s="137" t="s">
        <v>432</v>
      </c>
      <c r="AR2010" s="137" t="s">
        <v>432</v>
      </c>
      <c r="AS2010" s="137" t="s">
        <v>432</v>
      </c>
      <c r="AT2010" s="137" t="s">
        <v>432</v>
      </c>
      <c r="AU2010" s="137" t="s">
        <v>432</v>
      </c>
      <c r="AV2010" s="137" t="s">
        <v>432</v>
      </c>
      <c r="AW2010" s="137" t="s">
        <v>432</v>
      </c>
      <c r="AX2010" s="137" t="s">
        <v>432</v>
      </c>
      <c r="AY2010" s="137" t="s">
        <v>432</v>
      </c>
      <c r="AZ2010" s="137" t="s">
        <v>432</v>
      </c>
      <c r="BA2010" s="137" t="s">
        <v>432</v>
      </c>
      <c r="BB2010" s="239" t="str">
        <f t="shared" si="587"/>
        <v>Poluição do arx</v>
      </c>
      <c r="BC2010" s="239" t="str">
        <f t="shared" si="588"/>
        <v>Poluição do arxbenchmarking</v>
      </c>
      <c r="BD2010" s="239" t="str">
        <f t="shared" si="589"/>
        <v>Poluição do arbenchmarking</v>
      </c>
    </row>
    <row r="2011" spans="1:56" s="1" customFormat="1" ht="42.75" customHeight="1" x14ac:dyDescent="0.25">
      <c r="A2011" s="275" t="str">
        <f>'Q100b-totais'!$B$44</f>
        <v>5.2</v>
      </c>
      <c r="B2011" s="54" t="str">
        <f>'Q100b-totais'!$C$44</f>
        <v>Poluição do ar</v>
      </c>
      <c r="C2011" s="229" t="s">
        <v>432</v>
      </c>
      <c r="D2011" s="988" t="s">
        <v>4919</v>
      </c>
      <c r="E2011" s="1507" t="s">
        <v>1266</v>
      </c>
      <c r="F2011" s="338" t="s">
        <v>2012</v>
      </c>
      <c r="G2011" s="110" t="s">
        <v>77</v>
      </c>
      <c r="H2011" s="173" t="s">
        <v>819</v>
      </c>
      <c r="I2011" s="167" t="s">
        <v>432</v>
      </c>
      <c r="J2011" s="109" t="s">
        <v>432</v>
      </c>
      <c r="K2011" s="109" t="s">
        <v>432</v>
      </c>
      <c r="L2011" s="109" t="s">
        <v>432</v>
      </c>
      <c r="M2011" s="109" t="s">
        <v>432</v>
      </c>
      <c r="N2011" s="109" t="s">
        <v>432</v>
      </c>
      <c r="O2011" s="109" t="s">
        <v>432</v>
      </c>
      <c r="P2011" s="109" t="s">
        <v>432</v>
      </c>
      <c r="Q2011" s="109" t="s">
        <v>432</v>
      </c>
      <c r="R2011" s="137" t="s">
        <v>432</v>
      </c>
      <c r="S2011" s="109" t="s">
        <v>2209</v>
      </c>
      <c r="T2011" s="137" t="s">
        <v>432</v>
      </c>
      <c r="U2011" s="137" t="s">
        <v>432</v>
      </c>
      <c r="V2011" s="109" t="s">
        <v>2209</v>
      </c>
      <c r="W2011" s="137" t="s">
        <v>432</v>
      </c>
      <c r="X2011" s="137" t="s">
        <v>432</v>
      </c>
      <c r="Y2011" s="137" t="s">
        <v>432</v>
      </c>
      <c r="Z2011" s="137" t="s">
        <v>432</v>
      </c>
      <c r="AA2011" s="137" t="s">
        <v>432</v>
      </c>
      <c r="AB2011" s="137" t="s">
        <v>432</v>
      </c>
      <c r="AC2011" s="137" t="s">
        <v>432</v>
      </c>
      <c r="AD2011" s="137" t="s">
        <v>432</v>
      </c>
      <c r="AE2011" s="137" t="s">
        <v>432</v>
      </c>
      <c r="AF2011" s="137" t="s">
        <v>432</v>
      </c>
      <c r="AG2011" s="185">
        <v>31.478571428571424</v>
      </c>
      <c r="AH2011" s="137" t="s">
        <v>432</v>
      </c>
      <c r="AI2011" s="137" t="s">
        <v>432</v>
      </c>
      <c r="AJ2011" s="137" t="s">
        <v>432</v>
      </c>
      <c r="AK2011" s="137" t="s">
        <v>432</v>
      </c>
      <c r="AL2011" s="601" t="s">
        <v>432</v>
      </c>
      <c r="AM2011" s="137" t="s">
        <v>432</v>
      </c>
      <c r="AN2011" s="137" t="s">
        <v>432</v>
      </c>
      <c r="AO2011" s="137" t="s">
        <v>432</v>
      </c>
      <c r="AP2011" s="137" t="s">
        <v>432</v>
      </c>
      <c r="AQ2011" s="137" t="s">
        <v>432</v>
      </c>
      <c r="AR2011" s="137" t="s">
        <v>432</v>
      </c>
      <c r="AS2011" s="137" t="s">
        <v>432</v>
      </c>
      <c r="AT2011" s="137" t="s">
        <v>432</v>
      </c>
      <c r="AU2011" s="137" t="s">
        <v>432</v>
      </c>
      <c r="AV2011" s="137" t="s">
        <v>432</v>
      </c>
      <c r="AW2011" s="137" t="s">
        <v>432</v>
      </c>
      <c r="AX2011" s="137" t="s">
        <v>432</v>
      </c>
      <c r="AY2011" s="137" t="s">
        <v>432</v>
      </c>
      <c r="AZ2011" s="137" t="s">
        <v>432</v>
      </c>
      <c r="BA2011" s="137" t="s">
        <v>432</v>
      </c>
      <c r="BB2011" s="239" t="str">
        <f t="shared" si="587"/>
        <v>Poluição do arx</v>
      </c>
      <c r="BC2011" s="239" t="str">
        <f t="shared" si="588"/>
        <v>Poluição do arxbenchmarking</v>
      </c>
      <c r="BD2011" s="239" t="str">
        <f t="shared" si="589"/>
        <v>Poluição do arbenchmarking</v>
      </c>
    </row>
    <row r="2012" spans="1:56" s="1" customFormat="1" ht="39" customHeight="1" x14ac:dyDescent="0.25">
      <c r="A2012" s="275" t="str">
        <f>'Q100b-totais'!$B$44</f>
        <v>5.2</v>
      </c>
      <c r="B2012" s="54" t="str">
        <f>'Q100b-totais'!$C$44</f>
        <v>Poluição do ar</v>
      </c>
      <c r="C2012" s="229" t="s">
        <v>432</v>
      </c>
      <c r="D2012" s="988" t="s">
        <v>4919</v>
      </c>
      <c r="E2012" s="1507" t="s">
        <v>1267</v>
      </c>
      <c r="F2012" s="338" t="s">
        <v>2012</v>
      </c>
      <c r="G2012" s="110" t="s">
        <v>77</v>
      </c>
      <c r="H2012" s="173" t="s">
        <v>819</v>
      </c>
      <c r="I2012" s="167" t="s">
        <v>432</v>
      </c>
      <c r="J2012" s="109" t="s">
        <v>432</v>
      </c>
      <c r="K2012" s="109" t="s">
        <v>432</v>
      </c>
      <c r="L2012" s="109" t="s">
        <v>432</v>
      </c>
      <c r="M2012" s="109" t="s">
        <v>432</v>
      </c>
      <c r="N2012" s="109" t="s">
        <v>432</v>
      </c>
      <c r="O2012" s="109" t="s">
        <v>432</v>
      </c>
      <c r="P2012" s="109" t="s">
        <v>432</v>
      </c>
      <c r="Q2012" s="109" t="s">
        <v>432</v>
      </c>
      <c r="R2012" s="137" t="s">
        <v>432</v>
      </c>
      <c r="S2012" s="109" t="s">
        <v>2209</v>
      </c>
      <c r="T2012" s="137" t="s">
        <v>432</v>
      </c>
      <c r="U2012" s="137" t="s">
        <v>432</v>
      </c>
      <c r="V2012" s="109" t="s">
        <v>2209</v>
      </c>
      <c r="W2012" s="137" t="s">
        <v>432</v>
      </c>
      <c r="X2012" s="137" t="s">
        <v>432</v>
      </c>
      <c r="Y2012" s="137" t="s">
        <v>432</v>
      </c>
      <c r="Z2012" s="137" t="s">
        <v>432</v>
      </c>
      <c r="AA2012" s="137" t="s">
        <v>432</v>
      </c>
      <c r="AB2012" s="137" t="s">
        <v>432</v>
      </c>
      <c r="AC2012" s="137" t="s">
        <v>432</v>
      </c>
      <c r="AD2012" s="137" t="s">
        <v>432</v>
      </c>
      <c r="AE2012" s="137" t="s">
        <v>432</v>
      </c>
      <c r="AF2012" s="137" t="s">
        <v>432</v>
      </c>
      <c r="AG2012" s="185">
        <v>35</v>
      </c>
      <c r="AH2012" s="137" t="s">
        <v>432</v>
      </c>
      <c r="AI2012" s="137" t="s">
        <v>432</v>
      </c>
      <c r="AJ2012" s="137" t="s">
        <v>432</v>
      </c>
      <c r="AK2012" s="137" t="s">
        <v>432</v>
      </c>
      <c r="AL2012" s="601" t="s">
        <v>432</v>
      </c>
      <c r="AM2012" s="137" t="s">
        <v>432</v>
      </c>
      <c r="AN2012" s="137" t="s">
        <v>432</v>
      </c>
      <c r="AO2012" s="137" t="s">
        <v>432</v>
      </c>
      <c r="AP2012" s="137" t="s">
        <v>432</v>
      </c>
      <c r="AQ2012" s="137" t="s">
        <v>432</v>
      </c>
      <c r="AR2012" s="137" t="s">
        <v>432</v>
      </c>
      <c r="AS2012" s="137" t="s">
        <v>432</v>
      </c>
      <c r="AT2012" s="137" t="s">
        <v>432</v>
      </c>
      <c r="AU2012" s="137" t="s">
        <v>432</v>
      </c>
      <c r="AV2012" s="137" t="s">
        <v>432</v>
      </c>
      <c r="AW2012" s="137" t="s">
        <v>432</v>
      </c>
      <c r="AX2012" s="137" t="s">
        <v>432</v>
      </c>
      <c r="AY2012" s="137" t="s">
        <v>432</v>
      </c>
      <c r="AZ2012" s="137" t="s">
        <v>432</v>
      </c>
      <c r="BA2012" s="137" t="s">
        <v>432</v>
      </c>
      <c r="BB2012" s="239" t="str">
        <f t="shared" si="587"/>
        <v>Poluição do arx</v>
      </c>
      <c r="BC2012" s="239" t="str">
        <f t="shared" si="588"/>
        <v>Poluição do arxbenchmarking</v>
      </c>
      <c r="BD2012" s="239" t="str">
        <f t="shared" si="589"/>
        <v>Poluição do arbenchmarking</v>
      </c>
    </row>
    <row r="2013" spans="1:56" s="1" customFormat="1" ht="31.5" x14ac:dyDescent="0.25">
      <c r="A2013" s="275" t="str">
        <f>'Q100b-totais'!$B$44</f>
        <v>5.2</v>
      </c>
      <c r="B2013" s="54" t="str">
        <f>'Q100b-totais'!$C$44</f>
        <v>Poluição do ar</v>
      </c>
      <c r="C2013" s="229" t="s">
        <v>432</v>
      </c>
      <c r="D2013" s="362" t="s">
        <v>4921</v>
      </c>
      <c r="E2013" s="1507" t="s">
        <v>1775</v>
      </c>
      <c r="F2013" s="338" t="s">
        <v>2012</v>
      </c>
      <c r="G2013" s="110" t="s">
        <v>77</v>
      </c>
      <c r="H2013" s="173" t="s">
        <v>819</v>
      </c>
      <c r="I2013" s="167" t="s">
        <v>432</v>
      </c>
      <c r="J2013" s="109" t="s">
        <v>432</v>
      </c>
      <c r="K2013" s="109" t="s">
        <v>432</v>
      </c>
      <c r="L2013" s="109" t="s">
        <v>432</v>
      </c>
      <c r="M2013" s="109" t="s">
        <v>432</v>
      </c>
      <c r="N2013" s="109" t="s">
        <v>432</v>
      </c>
      <c r="O2013" s="109" t="s">
        <v>432</v>
      </c>
      <c r="P2013" s="109" t="s">
        <v>432</v>
      </c>
      <c r="Q2013" s="109" t="s">
        <v>432</v>
      </c>
      <c r="R2013" s="137" t="s">
        <v>432</v>
      </c>
      <c r="S2013" s="109" t="s">
        <v>2209</v>
      </c>
      <c r="T2013" s="137" t="s">
        <v>432</v>
      </c>
      <c r="U2013" s="137" t="s">
        <v>432</v>
      </c>
      <c r="V2013" s="109" t="s">
        <v>2209</v>
      </c>
      <c r="W2013" s="137" t="s">
        <v>432</v>
      </c>
      <c r="X2013" s="137" t="s">
        <v>432</v>
      </c>
      <c r="Y2013" s="137" t="s">
        <v>432</v>
      </c>
      <c r="Z2013" s="137" t="s">
        <v>432</v>
      </c>
      <c r="AA2013" s="137" t="s">
        <v>432</v>
      </c>
      <c r="AB2013" s="137" t="s">
        <v>432</v>
      </c>
      <c r="AC2013" s="137" t="s">
        <v>432</v>
      </c>
      <c r="AD2013" s="137" t="s">
        <v>432</v>
      </c>
      <c r="AE2013" s="137" t="s">
        <v>432</v>
      </c>
      <c r="AF2013" s="137" t="s">
        <v>432</v>
      </c>
      <c r="AG2013" s="185">
        <v>30</v>
      </c>
      <c r="AH2013" s="137" t="s">
        <v>432</v>
      </c>
      <c r="AI2013" s="137" t="s">
        <v>432</v>
      </c>
      <c r="AJ2013" s="137" t="s">
        <v>432</v>
      </c>
      <c r="AK2013" s="137" t="s">
        <v>432</v>
      </c>
      <c r="AL2013" s="601" t="s">
        <v>432</v>
      </c>
      <c r="AM2013" s="137" t="s">
        <v>432</v>
      </c>
      <c r="AN2013" s="137" t="s">
        <v>432</v>
      </c>
      <c r="AO2013" s="137" t="s">
        <v>432</v>
      </c>
      <c r="AP2013" s="137" t="s">
        <v>432</v>
      </c>
      <c r="AQ2013" s="137" t="s">
        <v>432</v>
      </c>
      <c r="AR2013" s="137" t="s">
        <v>432</v>
      </c>
      <c r="AS2013" s="137" t="s">
        <v>432</v>
      </c>
      <c r="AT2013" s="137" t="s">
        <v>432</v>
      </c>
      <c r="AU2013" s="137" t="s">
        <v>432</v>
      </c>
      <c r="AV2013" s="137" t="s">
        <v>432</v>
      </c>
      <c r="AW2013" s="137" t="s">
        <v>432</v>
      </c>
      <c r="AX2013" s="137" t="s">
        <v>432</v>
      </c>
      <c r="AY2013" s="137" t="s">
        <v>432</v>
      </c>
      <c r="AZ2013" s="137" t="s">
        <v>432</v>
      </c>
      <c r="BA2013" s="137" t="s">
        <v>432</v>
      </c>
      <c r="BB2013" s="239" t="str">
        <f t="shared" si="587"/>
        <v>Poluição do arx</v>
      </c>
      <c r="BC2013" s="239" t="str">
        <f t="shared" si="588"/>
        <v>Poluição do arxbenchmarking</v>
      </c>
      <c r="BD2013" s="239" t="str">
        <f t="shared" si="589"/>
        <v>Poluição do arbenchmarking</v>
      </c>
    </row>
    <row r="2014" spans="1:56" s="1" customFormat="1" ht="38.25" x14ac:dyDescent="0.25">
      <c r="A2014" s="276" t="str">
        <f>'Q100b-totais'!$B$44</f>
        <v>5.2</v>
      </c>
      <c r="B2014" s="53" t="str">
        <f>'Q100b-totais'!$C$44</f>
        <v>Poluição do ar</v>
      </c>
      <c r="C2014" s="229" t="s">
        <v>432</v>
      </c>
      <c r="D2014" s="988" t="s">
        <v>4919</v>
      </c>
      <c r="E2014" s="1513" t="s">
        <v>1269</v>
      </c>
      <c r="F2014" s="338" t="s">
        <v>2015</v>
      </c>
      <c r="G2014" s="110" t="s">
        <v>77</v>
      </c>
      <c r="H2014" s="168" t="s">
        <v>1298</v>
      </c>
      <c r="I2014" s="167">
        <v>1</v>
      </c>
      <c r="J2014" s="109" t="s">
        <v>432</v>
      </c>
      <c r="K2014" s="109" t="s">
        <v>432</v>
      </c>
      <c r="L2014" s="109" t="s">
        <v>432</v>
      </c>
      <c r="M2014" s="109" t="s">
        <v>432</v>
      </c>
      <c r="N2014" s="109" t="s">
        <v>432</v>
      </c>
      <c r="O2014" s="109" t="s">
        <v>432</v>
      </c>
      <c r="P2014" s="109" t="s">
        <v>432</v>
      </c>
      <c r="Q2014" s="109" t="s">
        <v>432</v>
      </c>
      <c r="R2014" s="137" t="s">
        <v>432</v>
      </c>
      <c r="S2014" s="109" t="s">
        <v>2209</v>
      </c>
      <c r="T2014" s="137" t="s">
        <v>432</v>
      </c>
      <c r="U2014" s="137" t="s">
        <v>432</v>
      </c>
      <c r="V2014" s="109" t="s">
        <v>2209</v>
      </c>
      <c r="W2014" s="137" t="s">
        <v>432</v>
      </c>
      <c r="X2014" s="137" t="s">
        <v>432</v>
      </c>
      <c r="Y2014" s="137" t="s">
        <v>432</v>
      </c>
      <c r="Z2014" s="137" t="s">
        <v>432</v>
      </c>
      <c r="AA2014" s="137" t="s">
        <v>432</v>
      </c>
      <c r="AB2014" s="137" t="s">
        <v>432</v>
      </c>
      <c r="AC2014" s="137" t="s">
        <v>432</v>
      </c>
      <c r="AD2014" s="137" t="s">
        <v>432</v>
      </c>
      <c r="AE2014" s="137" t="s">
        <v>432</v>
      </c>
      <c r="AF2014" s="137" t="s">
        <v>432</v>
      </c>
      <c r="AG2014" s="185">
        <v>30.7</v>
      </c>
      <c r="AH2014" s="137" t="s">
        <v>432</v>
      </c>
      <c r="AI2014" s="137" t="s">
        <v>432</v>
      </c>
      <c r="AJ2014" s="137" t="s">
        <v>432</v>
      </c>
      <c r="AK2014" s="137" t="s">
        <v>432</v>
      </c>
      <c r="AL2014" s="601" t="s">
        <v>432</v>
      </c>
      <c r="AM2014" s="137" t="s">
        <v>432</v>
      </c>
      <c r="AN2014" s="137" t="s">
        <v>432</v>
      </c>
      <c r="AO2014" s="137" t="s">
        <v>432</v>
      </c>
      <c r="AP2014" s="137" t="s">
        <v>432</v>
      </c>
      <c r="AQ2014" s="137" t="s">
        <v>432</v>
      </c>
      <c r="AR2014" s="137" t="s">
        <v>432</v>
      </c>
      <c r="AS2014" s="137" t="s">
        <v>432</v>
      </c>
      <c r="AT2014" s="137" t="s">
        <v>432</v>
      </c>
      <c r="AU2014" s="137" t="s">
        <v>432</v>
      </c>
      <c r="AV2014" s="137" t="s">
        <v>432</v>
      </c>
      <c r="AW2014" s="137" t="s">
        <v>432</v>
      </c>
      <c r="AX2014" s="137" t="s">
        <v>432</v>
      </c>
      <c r="AY2014" s="137" t="s">
        <v>432</v>
      </c>
      <c r="AZ2014" s="137" t="s">
        <v>432</v>
      </c>
      <c r="BA2014" s="137" t="s">
        <v>432</v>
      </c>
      <c r="BB2014" s="239" t="str">
        <f t="shared" si="587"/>
        <v>Poluição do arx</v>
      </c>
      <c r="BC2014" s="239" t="str">
        <f t="shared" si="588"/>
        <v>Poluição do arxRMBH</v>
      </c>
      <c r="BD2014" s="239" t="str">
        <f t="shared" si="589"/>
        <v>Poluição do arRMBH</v>
      </c>
    </row>
    <row r="2015" spans="1:56" s="1" customFormat="1" ht="36.75" customHeight="1" x14ac:dyDescent="0.25">
      <c r="A2015" s="275" t="str">
        <f>'Q100b-totais'!$B$44</f>
        <v>5.2</v>
      </c>
      <c r="B2015" s="54" t="str">
        <f>'Q100b-totais'!$C$44</f>
        <v>Poluição do ar</v>
      </c>
      <c r="C2015" s="229" t="s">
        <v>432</v>
      </c>
      <c r="D2015" s="988" t="s">
        <v>4919</v>
      </c>
      <c r="E2015" s="1507" t="s">
        <v>1270</v>
      </c>
      <c r="F2015" s="338" t="s">
        <v>2012</v>
      </c>
      <c r="G2015" s="110" t="s">
        <v>77</v>
      </c>
      <c r="H2015" s="173" t="s">
        <v>819</v>
      </c>
      <c r="I2015" s="167" t="s">
        <v>432</v>
      </c>
      <c r="J2015" s="109" t="s">
        <v>432</v>
      </c>
      <c r="K2015" s="109" t="s">
        <v>432</v>
      </c>
      <c r="L2015" s="109" t="s">
        <v>432</v>
      </c>
      <c r="M2015" s="109" t="s">
        <v>432</v>
      </c>
      <c r="N2015" s="109" t="s">
        <v>432</v>
      </c>
      <c r="O2015" s="109" t="s">
        <v>432</v>
      </c>
      <c r="P2015" s="109" t="s">
        <v>432</v>
      </c>
      <c r="Q2015" s="109" t="s">
        <v>432</v>
      </c>
      <c r="R2015" s="137" t="s">
        <v>432</v>
      </c>
      <c r="S2015" s="109" t="s">
        <v>2209</v>
      </c>
      <c r="T2015" s="137" t="s">
        <v>432</v>
      </c>
      <c r="U2015" s="137" t="s">
        <v>432</v>
      </c>
      <c r="V2015" s="109" t="s">
        <v>2209</v>
      </c>
      <c r="W2015" s="137" t="s">
        <v>432</v>
      </c>
      <c r="X2015" s="137" t="s">
        <v>432</v>
      </c>
      <c r="Y2015" s="137" t="s">
        <v>432</v>
      </c>
      <c r="Z2015" s="137" t="s">
        <v>432</v>
      </c>
      <c r="AA2015" s="137" t="s">
        <v>432</v>
      </c>
      <c r="AB2015" s="137" t="s">
        <v>432</v>
      </c>
      <c r="AC2015" s="137" t="s">
        <v>432</v>
      </c>
      <c r="AD2015" s="137" t="s">
        <v>432</v>
      </c>
      <c r="AE2015" s="137" t="s">
        <v>432</v>
      </c>
      <c r="AF2015" s="137" t="s">
        <v>432</v>
      </c>
      <c r="AG2015" s="185">
        <v>26</v>
      </c>
      <c r="AH2015" s="137" t="s">
        <v>432</v>
      </c>
      <c r="AI2015" s="137" t="s">
        <v>432</v>
      </c>
      <c r="AJ2015" s="137" t="s">
        <v>432</v>
      </c>
      <c r="AK2015" s="137" t="s">
        <v>432</v>
      </c>
      <c r="AL2015" s="601" t="s">
        <v>432</v>
      </c>
      <c r="AM2015" s="137" t="s">
        <v>432</v>
      </c>
      <c r="AN2015" s="137" t="s">
        <v>432</v>
      </c>
      <c r="AO2015" s="137" t="s">
        <v>432</v>
      </c>
      <c r="AP2015" s="137" t="s">
        <v>432</v>
      </c>
      <c r="AQ2015" s="137" t="s">
        <v>432</v>
      </c>
      <c r="AR2015" s="137" t="s">
        <v>432</v>
      </c>
      <c r="AS2015" s="137" t="s">
        <v>432</v>
      </c>
      <c r="AT2015" s="137" t="s">
        <v>432</v>
      </c>
      <c r="AU2015" s="137" t="s">
        <v>432</v>
      </c>
      <c r="AV2015" s="137" t="s">
        <v>432</v>
      </c>
      <c r="AW2015" s="137" t="s">
        <v>432</v>
      </c>
      <c r="AX2015" s="137" t="s">
        <v>432</v>
      </c>
      <c r="AY2015" s="137" t="s">
        <v>432</v>
      </c>
      <c r="AZ2015" s="137" t="s">
        <v>432</v>
      </c>
      <c r="BA2015" s="137" t="s">
        <v>432</v>
      </c>
      <c r="BB2015" s="239" t="str">
        <f t="shared" si="587"/>
        <v>Poluição do arx</v>
      </c>
      <c r="BC2015" s="239" t="str">
        <f t="shared" si="588"/>
        <v>Poluição do arxbenchmarking</v>
      </c>
      <c r="BD2015" s="239" t="str">
        <f t="shared" si="589"/>
        <v>Poluição do arbenchmarking</v>
      </c>
    </row>
    <row r="2016" spans="1:56" s="1" customFormat="1" ht="25.5" customHeight="1" x14ac:dyDescent="0.25">
      <c r="A2016" s="275" t="str">
        <f>'Q100b-totais'!$B$44</f>
        <v>5.2</v>
      </c>
      <c r="B2016" s="54" t="str">
        <f>'Q100b-totais'!$C$44</f>
        <v>Poluição do ar</v>
      </c>
      <c r="C2016" s="229" t="s">
        <v>432</v>
      </c>
      <c r="D2016" s="988" t="s">
        <v>4919</v>
      </c>
      <c r="E2016" s="1507" t="s">
        <v>1776</v>
      </c>
      <c r="F2016" s="338" t="s">
        <v>2012</v>
      </c>
      <c r="G2016" s="110" t="s">
        <v>77</v>
      </c>
      <c r="H2016" s="173" t="s">
        <v>819</v>
      </c>
      <c r="I2016" s="167" t="s">
        <v>432</v>
      </c>
      <c r="J2016" s="109" t="s">
        <v>432</v>
      </c>
      <c r="K2016" s="109" t="s">
        <v>432</v>
      </c>
      <c r="L2016" s="109" t="s">
        <v>432</v>
      </c>
      <c r="M2016" s="109" t="s">
        <v>432</v>
      </c>
      <c r="N2016" s="109" t="s">
        <v>432</v>
      </c>
      <c r="O2016" s="109" t="s">
        <v>432</v>
      </c>
      <c r="P2016" s="109" t="s">
        <v>432</v>
      </c>
      <c r="Q2016" s="109" t="s">
        <v>432</v>
      </c>
      <c r="R2016" s="137" t="s">
        <v>432</v>
      </c>
      <c r="S2016" s="109" t="s">
        <v>2209</v>
      </c>
      <c r="T2016" s="137" t="s">
        <v>432</v>
      </c>
      <c r="U2016" s="137" t="s">
        <v>432</v>
      </c>
      <c r="V2016" s="109" t="s">
        <v>2209</v>
      </c>
      <c r="W2016" s="137" t="s">
        <v>432</v>
      </c>
      <c r="X2016" s="137" t="s">
        <v>432</v>
      </c>
      <c r="Y2016" s="137" t="s">
        <v>432</v>
      </c>
      <c r="Z2016" s="137" t="s">
        <v>432</v>
      </c>
      <c r="AA2016" s="137" t="s">
        <v>432</v>
      </c>
      <c r="AB2016" s="137" t="s">
        <v>432</v>
      </c>
      <c r="AC2016" s="137" t="s">
        <v>432</v>
      </c>
      <c r="AD2016" s="137" t="s">
        <v>432</v>
      </c>
      <c r="AE2016" s="137" t="s">
        <v>432</v>
      </c>
      <c r="AF2016" s="137" t="s">
        <v>432</v>
      </c>
      <c r="AG2016" s="185">
        <v>33</v>
      </c>
      <c r="AH2016" s="137" t="s">
        <v>432</v>
      </c>
      <c r="AI2016" s="137" t="s">
        <v>432</v>
      </c>
      <c r="AJ2016" s="137" t="s">
        <v>432</v>
      </c>
      <c r="AK2016" s="137" t="s">
        <v>432</v>
      </c>
      <c r="AL2016" s="601" t="s">
        <v>432</v>
      </c>
      <c r="AM2016" s="137" t="s">
        <v>432</v>
      </c>
      <c r="AN2016" s="137" t="s">
        <v>432</v>
      </c>
      <c r="AO2016" s="137" t="s">
        <v>432</v>
      </c>
      <c r="AP2016" s="137" t="s">
        <v>432</v>
      </c>
      <c r="AQ2016" s="137" t="s">
        <v>432</v>
      </c>
      <c r="AR2016" s="137" t="s">
        <v>432</v>
      </c>
      <c r="AS2016" s="137" t="s">
        <v>432</v>
      </c>
      <c r="AT2016" s="137" t="s">
        <v>432</v>
      </c>
      <c r="AU2016" s="137" t="s">
        <v>432</v>
      </c>
      <c r="AV2016" s="137" t="s">
        <v>432</v>
      </c>
      <c r="AW2016" s="137" t="s">
        <v>432</v>
      </c>
      <c r="AX2016" s="137" t="s">
        <v>432</v>
      </c>
      <c r="AY2016" s="137" t="s">
        <v>432</v>
      </c>
      <c r="AZ2016" s="137" t="s">
        <v>432</v>
      </c>
      <c r="BA2016" s="137" t="s">
        <v>432</v>
      </c>
      <c r="BB2016" s="239" t="str">
        <f t="shared" si="587"/>
        <v>Poluição do arx</v>
      </c>
      <c r="BC2016" s="239" t="str">
        <f t="shared" si="588"/>
        <v>Poluição do arxbenchmarking</v>
      </c>
      <c r="BD2016" s="239" t="str">
        <f t="shared" si="589"/>
        <v>Poluição do arbenchmarking</v>
      </c>
    </row>
    <row r="2017" spans="1:56" s="1" customFormat="1" ht="36.75" customHeight="1" x14ac:dyDescent="0.25">
      <c r="A2017" s="275" t="str">
        <f>'Q100b-totais'!$B$44</f>
        <v>5.2</v>
      </c>
      <c r="B2017" s="54" t="str">
        <f>'Q100b-totais'!$C$44</f>
        <v>Poluição do ar</v>
      </c>
      <c r="C2017" s="229" t="s">
        <v>432</v>
      </c>
      <c r="D2017" s="988" t="s">
        <v>4919</v>
      </c>
      <c r="E2017" s="1507" t="s">
        <v>1272</v>
      </c>
      <c r="F2017" s="338" t="s">
        <v>2012</v>
      </c>
      <c r="G2017" s="110" t="s">
        <v>77</v>
      </c>
      <c r="H2017" s="173" t="s">
        <v>819</v>
      </c>
      <c r="I2017" s="167" t="s">
        <v>432</v>
      </c>
      <c r="J2017" s="109" t="s">
        <v>432</v>
      </c>
      <c r="K2017" s="109" t="s">
        <v>432</v>
      </c>
      <c r="L2017" s="109" t="s">
        <v>432</v>
      </c>
      <c r="M2017" s="109" t="s">
        <v>432</v>
      </c>
      <c r="N2017" s="109" t="s">
        <v>432</v>
      </c>
      <c r="O2017" s="109" t="s">
        <v>432</v>
      </c>
      <c r="P2017" s="109" t="s">
        <v>432</v>
      </c>
      <c r="Q2017" s="109" t="s">
        <v>432</v>
      </c>
      <c r="R2017" s="137" t="s">
        <v>432</v>
      </c>
      <c r="S2017" s="109" t="s">
        <v>2209</v>
      </c>
      <c r="T2017" s="137" t="s">
        <v>432</v>
      </c>
      <c r="U2017" s="137" t="s">
        <v>432</v>
      </c>
      <c r="V2017" s="109" t="s">
        <v>2209</v>
      </c>
      <c r="W2017" s="137" t="s">
        <v>432</v>
      </c>
      <c r="X2017" s="137" t="s">
        <v>432</v>
      </c>
      <c r="Y2017" s="137" t="s">
        <v>432</v>
      </c>
      <c r="Z2017" s="137" t="s">
        <v>432</v>
      </c>
      <c r="AA2017" s="137" t="s">
        <v>432</v>
      </c>
      <c r="AB2017" s="137" t="s">
        <v>432</v>
      </c>
      <c r="AC2017" s="137" t="s">
        <v>432</v>
      </c>
      <c r="AD2017" s="137" t="s">
        <v>432</v>
      </c>
      <c r="AE2017" s="137" t="s">
        <v>432</v>
      </c>
      <c r="AF2017" s="137" t="s">
        <v>432</v>
      </c>
      <c r="AG2017" s="185">
        <v>29</v>
      </c>
      <c r="AH2017" s="137" t="s">
        <v>432</v>
      </c>
      <c r="AI2017" s="137" t="s">
        <v>432</v>
      </c>
      <c r="AJ2017" s="137" t="s">
        <v>432</v>
      </c>
      <c r="AK2017" s="137" t="s">
        <v>432</v>
      </c>
      <c r="AL2017" s="601" t="s">
        <v>432</v>
      </c>
      <c r="AM2017" s="137" t="s">
        <v>432</v>
      </c>
      <c r="AN2017" s="137" t="s">
        <v>432</v>
      </c>
      <c r="AO2017" s="137" t="s">
        <v>432</v>
      </c>
      <c r="AP2017" s="137" t="s">
        <v>432</v>
      </c>
      <c r="AQ2017" s="137" t="s">
        <v>432</v>
      </c>
      <c r="AR2017" s="137" t="s">
        <v>432</v>
      </c>
      <c r="AS2017" s="137" t="s">
        <v>432</v>
      </c>
      <c r="AT2017" s="137" t="s">
        <v>432</v>
      </c>
      <c r="AU2017" s="137" t="s">
        <v>432</v>
      </c>
      <c r="AV2017" s="137" t="s">
        <v>432</v>
      </c>
      <c r="AW2017" s="137" t="s">
        <v>432</v>
      </c>
      <c r="AX2017" s="137" t="s">
        <v>432</v>
      </c>
      <c r="AY2017" s="137" t="s">
        <v>432</v>
      </c>
      <c r="AZ2017" s="137" t="s">
        <v>432</v>
      </c>
      <c r="BA2017" s="137" t="s">
        <v>432</v>
      </c>
      <c r="BB2017" s="239" t="str">
        <f t="shared" si="587"/>
        <v>Poluição do arx</v>
      </c>
      <c r="BC2017" s="239" t="str">
        <f t="shared" si="588"/>
        <v>Poluição do arxbenchmarking</v>
      </c>
      <c r="BD2017" s="239" t="str">
        <f t="shared" si="589"/>
        <v>Poluição do arbenchmarking</v>
      </c>
    </row>
    <row r="2018" spans="1:56" s="1" customFormat="1" ht="49.5" customHeight="1" x14ac:dyDescent="0.25">
      <c r="A2018" s="275" t="str">
        <f>'Q100b-totais'!$B$44</f>
        <v>5.2</v>
      </c>
      <c r="B2018" s="54" t="str">
        <f>'Q100b-totais'!$C$44</f>
        <v>Poluição do ar</v>
      </c>
      <c r="C2018" s="229" t="s">
        <v>432</v>
      </c>
      <c r="D2018" s="988" t="s">
        <v>4919</v>
      </c>
      <c r="E2018" s="1507" t="s">
        <v>1273</v>
      </c>
      <c r="F2018" s="338" t="s">
        <v>2012</v>
      </c>
      <c r="G2018" s="110" t="s">
        <v>77</v>
      </c>
      <c r="H2018" s="173" t="s">
        <v>819</v>
      </c>
      <c r="I2018" s="167" t="s">
        <v>432</v>
      </c>
      <c r="J2018" s="109" t="s">
        <v>432</v>
      </c>
      <c r="K2018" s="109" t="s">
        <v>432</v>
      </c>
      <c r="L2018" s="109" t="s">
        <v>432</v>
      </c>
      <c r="M2018" s="109" t="s">
        <v>432</v>
      </c>
      <c r="N2018" s="109" t="s">
        <v>432</v>
      </c>
      <c r="O2018" s="109" t="s">
        <v>432</v>
      </c>
      <c r="P2018" s="109" t="s">
        <v>432</v>
      </c>
      <c r="Q2018" s="109" t="s">
        <v>432</v>
      </c>
      <c r="R2018" s="137" t="s">
        <v>432</v>
      </c>
      <c r="S2018" s="109" t="s">
        <v>2209</v>
      </c>
      <c r="T2018" s="137" t="s">
        <v>432</v>
      </c>
      <c r="U2018" s="137" t="s">
        <v>432</v>
      </c>
      <c r="V2018" s="109" t="s">
        <v>2209</v>
      </c>
      <c r="W2018" s="137" t="s">
        <v>432</v>
      </c>
      <c r="X2018" s="137" t="s">
        <v>432</v>
      </c>
      <c r="Y2018" s="137" t="s">
        <v>432</v>
      </c>
      <c r="Z2018" s="137" t="s">
        <v>432</v>
      </c>
      <c r="AA2018" s="137" t="s">
        <v>432</v>
      </c>
      <c r="AB2018" s="137" t="s">
        <v>432</v>
      </c>
      <c r="AC2018" s="137" t="s">
        <v>432</v>
      </c>
      <c r="AD2018" s="137" t="s">
        <v>432</v>
      </c>
      <c r="AE2018" s="137" t="s">
        <v>432</v>
      </c>
      <c r="AF2018" s="137" t="s">
        <v>432</v>
      </c>
      <c r="AG2018" s="185">
        <v>46</v>
      </c>
      <c r="AH2018" s="137" t="s">
        <v>432</v>
      </c>
      <c r="AI2018" s="137" t="s">
        <v>432</v>
      </c>
      <c r="AJ2018" s="137" t="s">
        <v>432</v>
      </c>
      <c r="AK2018" s="137" t="s">
        <v>432</v>
      </c>
      <c r="AL2018" s="601" t="s">
        <v>432</v>
      </c>
      <c r="AM2018" s="137" t="s">
        <v>432</v>
      </c>
      <c r="AN2018" s="137" t="s">
        <v>432</v>
      </c>
      <c r="AO2018" s="137" t="s">
        <v>432</v>
      </c>
      <c r="AP2018" s="137" t="s">
        <v>432</v>
      </c>
      <c r="AQ2018" s="137" t="s">
        <v>432</v>
      </c>
      <c r="AR2018" s="137" t="s">
        <v>432</v>
      </c>
      <c r="AS2018" s="137" t="s">
        <v>432</v>
      </c>
      <c r="AT2018" s="137" t="s">
        <v>432</v>
      </c>
      <c r="AU2018" s="137" t="s">
        <v>432</v>
      </c>
      <c r="AV2018" s="137" t="s">
        <v>432</v>
      </c>
      <c r="AW2018" s="137" t="s">
        <v>432</v>
      </c>
      <c r="AX2018" s="137" t="s">
        <v>432</v>
      </c>
      <c r="AY2018" s="137" t="s">
        <v>432</v>
      </c>
      <c r="AZ2018" s="137" t="s">
        <v>432</v>
      </c>
      <c r="BA2018" s="137" t="s">
        <v>432</v>
      </c>
      <c r="BB2018" s="239" t="str">
        <f t="shared" si="587"/>
        <v>Poluição do arx</v>
      </c>
      <c r="BC2018" s="239" t="str">
        <f t="shared" si="588"/>
        <v>Poluição do arxbenchmarking</v>
      </c>
      <c r="BD2018" s="239" t="str">
        <f t="shared" si="589"/>
        <v>Poluição do arbenchmarking</v>
      </c>
    </row>
    <row r="2019" spans="1:56" s="1" customFormat="1" ht="35.25" customHeight="1" x14ac:dyDescent="0.25">
      <c r="A2019" s="275" t="str">
        <f>'Q100b-totais'!$B$44</f>
        <v>5.2</v>
      </c>
      <c r="B2019" s="54" t="str">
        <f>'Q100b-totais'!$C$44</f>
        <v>Poluição do ar</v>
      </c>
      <c r="C2019" s="229" t="s">
        <v>432</v>
      </c>
      <c r="D2019" s="988" t="s">
        <v>4919</v>
      </c>
      <c r="E2019" s="1507" t="s">
        <v>1274</v>
      </c>
      <c r="F2019" s="338" t="s">
        <v>2012</v>
      </c>
      <c r="G2019" s="110" t="s">
        <v>77</v>
      </c>
      <c r="H2019" s="173" t="s">
        <v>819</v>
      </c>
      <c r="I2019" s="167" t="s">
        <v>432</v>
      </c>
      <c r="J2019" s="109" t="s">
        <v>432</v>
      </c>
      <c r="K2019" s="109" t="s">
        <v>432</v>
      </c>
      <c r="L2019" s="109" t="s">
        <v>432</v>
      </c>
      <c r="M2019" s="109" t="s">
        <v>432</v>
      </c>
      <c r="N2019" s="109" t="s">
        <v>432</v>
      </c>
      <c r="O2019" s="109" t="s">
        <v>432</v>
      </c>
      <c r="P2019" s="109" t="s">
        <v>432</v>
      </c>
      <c r="Q2019" s="109" t="s">
        <v>432</v>
      </c>
      <c r="R2019" s="137" t="s">
        <v>432</v>
      </c>
      <c r="S2019" s="109" t="s">
        <v>2209</v>
      </c>
      <c r="T2019" s="137" t="s">
        <v>432</v>
      </c>
      <c r="U2019" s="137" t="s">
        <v>432</v>
      </c>
      <c r="V2019" s="109" t="s">
        <v>2209</v>
      </c>
      <c r="W2019" s="137" t="s">
        <v>432</v>
      </c>
      <c r="X2019" s="137" t="s">
        <v>432</v>
      </c>
      <c r="Y2019" s="137" t="s">
        <v>432</v>
      </c>
      <c r="Z2019" s="137" t="s">
        <v>432</v>
      </c>
      <c r="AA2019" s="137" t="s">
        <v>432</v>
      </c>
      <c r="AB2019" s="137" t="s">
        <v>432</v>
      </c>
      <c r="AC2019" s="137" t="s">
        <v>432</v>
      </c>
      <c r="AD2019" s="137" t="s">
        <v>432</v>
      </c>
      <c r="AE2019" s="137" t="s">
        <v>432</v>
      </c>
      <c r="AF2019" s="137" t="s">
        <v>432</v>
      </c>
      <c r="AG2019" s="185">
        <v>21</v>
      </c>
      <c r="AH2019" s="137" t="s">
        <v>432</v>
      </c>
      <c r="AI2019" s="137" t="s">
        <v>432</v>
      </c>
      <c r="AJ2019" s="137" t="s">
        <v>432</v>
      </c>
      <c r="AK2019" s="137" t="s">
        <v>432</v>
      </c>
      <c r="AL2019" s="601" t="s">
        <v>432</v>
      </c>
      <c r="AM2019" s="137" t="s">
        <v>432</v>
      </c>
      <c r="AN2019" s="137" t="s">
        <v>432</v>
      </c>
      <c r="AO2019" s="137" t="s">
        <v>432</v>
      </c>
      <c r="AP2019" s="137" t="s">
        <v>432</v>
      </c>
      <c r="AQ2019" s="137" t="s">
        <v>432</v>
      </c>
      <c r="AR2019" s="137" t="s">
        <v>432</v>
      </c>
      <c r="AS2019" s="137" t="s">
        <v>432</v>
      </c>
      <c r="AT2019" s="137" t="s">
        <v>432</v>
      </c>
      <c r="AU2019" s="137" t="s">
        <v>432</v>
      </c>
      <c r="AV2019" s="137" t="s">
        <v>432</v>
      </c>
      <c r="AW2019" s="137" t="s">
        <v>432</v>
      </c>
      <c r="AX2019" s="137" t="s">
        <v>432</v>
      </c>
      <c r="AY2019" s="137" t="s">
        <v>432</v>
      </c>
      <c r="AZ2019" s="137" t="s">
        <v>432</v>
      </c>
      <c r="BA2019" s="137" t="s">
        <v>432</v>
      </c>
      <c r="BB2019" s="239" t="str">
        <f t="shared" si="587"/>
        <v>Poluição do arx</v>
      </c>
      <c r="BC2019" s="239" t="str">
        <f t="shared" si="588"/>
        <v>Poluição do arxbenchmarking</v>
      </c>
      <c r="BD2019" s="239" t="str">
        <f t="shared" si="589"/>
        <v>Poluição do arbenchmarking</v>
      </c>
    </row>
    <row r="2020" spans="1:56" s="1" customFormat="1" ht="36" customHeight="1" x14ac:dyDescent="0.25">
      <c r="A2020" s="275" t="str">
        <f>'Q100b-totais'!$B$44</f>
        <v>5.2</v>
      </c>
      <c r="B2020" s="54" t="str">
        <f>'Q100b-totais'!$C$44</f>
        <v>Poluição do ar</v>
      </c>
      <c r="C2020" s="229" t="s">
        <v>432</v>
      </c>
      <c r="D2020" s="988" t="s">
        <v>4919</v>
      </c>
      <c r="E2020" s="1507" t="s">
        <v>1275</v>
      </c>
      <c r="F2020" s="338" t="s">
        <v>2012</v>
      </c>
      <c r="G2020" s="110" t="s">
        <v>77</v>
      </c>
      <c r="H2020" s="173" t="s">
        <v>819</v>
      </c>
      <c r="I2020" s="167" t="s">
        <v>432</v>
      </c>
      <c r="J2020" s="109" t="s">
        <v>432</v>
      </c>
      <c r="K2020" s="109" t="s">
        <v>432</v>
      </c>
      <c r="L2020" s="109" t="s">
        <v>432</v>
      </c>
      <c r="M2020" s="109" t="s">
        <v>432</v>
      </c>
      <c r="N2020" s="109" t="s">
        <v>432</v>
      </c>
      <c r="O2020" s="109" t="s">
        <v>432</v>
      </c>
      <c r="P2020" s="109" t="s">
        <v>432</v>
      </c>
      <c r="Q2020" s="109" t="s">
        <v>432</v>
      </c>
      <c r="R2020" s="137" t="s">
        <v>432</v>
      </c>
      <c r="S2020" s="109" t="s">
        <v>2209</v>
      </c>
      <c r="T2020" s="137" t="s">
        <v>432</v>
      </c>
      <c r="U2020" s="137" t="s">
        <v>432</v>
      </c>
      <c r="V2020" s="109" t="s">
        <v>2209</v>
      </c>
      <c r="W2020" s="137" t="s">
        <v>432</v>
      </c>
      <c r="X2020" s="137" t="s">
        <v>432</v>
      </c>
      <c r="Y2020" s="137" t="s">
        <v>432</v>
      </c>
      <c r="Z2020" s="137" t="s">
        <v>432</v>
      </c>
      <c r="AA2020" s="137" t="s">
        <v>432</v>
      </c>
      <c r="AB2020" s="137" t="s">
        <v>432</v>
      </c>
      <c r="AC2020" s="137" t="s">
        <v>432</v>
      </c>
      <c r="AD2020" s="137" t="s">
        <v>432</v>
      </c>
      <c r="AE2020" s="137" t="s">
        <v>432</v>
      </c>
      <c r="AF2020" s="137" t="s">
        <v>432</v>
      </c>
      <c r="AG2020" s="185">
        <v>35</v>
      </c>
      <c r="AH2020" s="137" t="s">
        <v>432</v>
      </c>
      <c r="AI2020" s="137" t="s">
        <v>432</v>
      </c>
      <c r="AJ2020" s="137" t="s">
        <v>432</v>
      </c>
      <c r="AK2020" s="137" t="s">
        <v>432</v>
      </c>
      <c r="AL2020" s="601" t="s">
        <v>432</v>
      </c>
      <c r="AM2020" s="137" t="s">
        <v>432</v>
      </c>
      <c r="AN2020" s="137" t="s">
        <v>432</v>
      </c>
      <c r="AO2020" s="137" t="s">
        <v>432</v>
      </c>
      <c r="AP2020" s="137" t="s">
        <v>432</v>
      </c>
      <c r="AQ2020" s="137" t="s">
        <v>432</v>
      </c>
      <c r="AR2020" s="137" t="s">
        <v>432</v>
      </c>
      <c r="AS2020" s="137" t="s">
        <v>432</v>
      </c>
      <c r="AT2020" s="137" t="s">
        <v>432</v>
      </c>
      <c r="AU2020" s="137" t="s">
        <v>432</v>
      </c>
      <c r="AV2020" s="137" t="s">
        <v>432</v>
      </c>
      <c r="AW2020" s="137" t="s">
        <v>432</v>
      </c>
      <c r="AX2020" s="137" t="s">
        <v>432</v>
      </c>
      <c r="AY2020" s="137" t="s">
        <v>432</v>
      </c>
      <c r="AZ2020" s="137" t="s">
        <v>432</v>
      </c>
      <c r="BA2020" s="137" t="s">
        <v>432</v>
      </c>
      <c r="BB2020" s="239" t="str">
        <f t="shared" si="587"/>
        <v>Poluição do arx</v>
      </c>
      <c r="BC2020" s="239" t="str">
        <f t="shared" si="588"/>
        <v>Poluição do arxbenchmarking</v>
      </c>
      <c r="BD2020" s="239" t="str">
        <f t="shared" si="589"/>
        <v>Poluição do arbenchmarking</v>
      </c>
    </row>
    <row r="2021" spans="1:56" s="1" customFormat="1" ht="39.75" customHeight="1" x14ac:dyDescent="0.25">
      <c r="A2021" s="275" t="str">
        <f>'Q100b-totais'!$B$44</f>
        <v>5.2</v>
      </c>
      <c r="B2021" s="54" t="str">
        <f>'Q100b-totais'!$C$44</f>
        <v>Poluição do ar</v>
      </c>
      <c r="C2021" s="229" t="s">
        <v>432</v>
      </c>
      <c r="D2021" s="988" t="s">
        <v>4919</v>
      </c>
      <c r="E2021" s="1507" t="s">
        <v>1276</v>
      </c>
      <c r="F2021" s="338" t="s">
        <v>2012</v>
      </c>
      <c r="G2021" s="110" t="s">
        <v>77</v>
      </c>
      <c r="H2021" s="173" t="s">
        <v>819</v>
      </c>
      <c r="I2021" s="167" t="s">
        <v>432</v>
      </c>
      <c r="J2021" s="109" t="s">
        <v>432</v>
      </c>
      <c r="K2021" s="109" t="s">
        <v>432</v>
      </c>
      <c r="L2021" s="109" t="s">
        <v>432</v>
      </c>
      <c r="M2021" s="109" t="s">
        <v>432</v>
      </c>
      <c r="N2021" s="109" t="s">
        <v>432</v>
      </c>
      <c r="O2021" s="109" t="s">
        <v>432</v>
      </c>
      <c r="P2021" s="109" t="s">
        <v>432</v>
      </c>
      <c r="Q2021" s="109" t="s">
        <v>432</v>
      </c>
      <c r="R2021" s="137" t="s">
        <v>432</v>
      </c>
      <c r="S2021" s="109" t="s">
        <v>2209</v>
      </c>
      <c r="T2021" s="137" t="s">
        <v>432</v>
      </c>
      <c r="U2021" s="137" t="s">
        <v>432</v>
      </c>
      <c r="V2021" s="109" t="s">
        <v>2209</v>
      </c>
      <c r="W2021" s="137" t="s">
        <v>432</v>
      </c>
      <c r="X2021" s="137" t="s">
        <v>432</v>
      </c>
      <c r="Y2021" s="137" t="s">
        <v>432</v>
      </c>
      <c r="Z2021" s="137" t="s">
        <v>432</v>
      </c>
      <c r="AA2021" s="137" t="s">
        <v>432</v>
      </c>
      <c r="AB2021" s="137" t="s">
        <v>432</v>
      </c>
      <c r="AC2021" s="137" t="s">
        <v>432</v>
      </c>
      <c r="AD2021" s="137" t="s">
        <v>432</v>
      </c>
      <c r="AE2021" s="137" t="s">
        <v>432</v>
      </c>
      <c r="AF2021" s="137" t="s">
        <v>432</v>
      </c>
      <c r="AG2021" s="185">
        <v>45</v>
      </c>
      <c r="AH2021" s="137" t="s">
        <v>432</v>
      </c>
      <c r="AI2021" s="137" t="s">
        <v>432</v>
      </c>
      <c r="AJ2021" s="137" t="s">
        <v>432</v>
      </c>
      <c r="AK2021" s="137" t="s">
        <v>432</v>
      </c>
      <c r="AL2021" s="601" t="s">
        <v>432</v>
      </c>
      <c r="AM2021" s="137" t="s">
        <v>432</v>
      </c>
      <c r="AN2021" s="137" t="s">
        <v>432</v>
      </c>
      <c r="AO2021" s="137" t="s">
        <v>432</v>
      </c>
      <c r="AP2021" s="137" t="s">
        <v>432</v>
      </c>
      <c r="AQ2021" s="137" t="s">
        <v>432</v>
      </c>
      <c r="AR2021" s="137" t="s">
        <v>432</v>
      </c>
      <c r="AS2021" s="137" t="s">
        <v>432</v>
      </c>
      <c r="AT2021" s="137" t="s">
        <v>432</v>
      </c>
      <c r="AU2021" s="137" t="s">
        <v>432</v>
      </c>
      <c r="AV2021" s="137" t="s">
        <v>432</v>
      </c>
      <c r="AW2021" s="137" t="s">
        <v>432</v>
      </c>
      <c r="AX2021" s="137" t="s">
        <v>432</v>
      </c>
      <c r="AY2021" s="137" t="s">
        <v>432</v>
      </c>
      <c r="AZ2021" s="137" t="s">
        <v>432</v>
      </c>
      <c r="BA2021" s="137" t="s">
        <v>432</v>
      </c>
      <c r="BB2021" s="239" t="str">
        <f t="shared" si="587"/>
        <v>Poluição do arx</v>
      </c>
      <c r="BC2021" s="239" t="str">
        <f t="shared" si="588"/>
        <v>Poluição do arxbenchmarking</v>
      </c>
      <c r="BD2021" s="239" t="str">
        <f t="shared" si="589"/>
        <v>Poluição do arbenchmarking</v>
      </c>
    </row>
    <row r="2022" spans="1:56" s="1" customFormat="1" ht="39" customHeight="1" x14ac:dyDescent="0.25">
      <c r="A2022" s="275" t="str">
        <f>'Q100b-totais'!$B$44</f>
        <v>5.2</v>
      </c>
      <c r="B2022" s="54" t="str">
        <f>'Q100b-totais'!$C$44</f>
        <v>Poluição do ar</v>
      </c>
      <c r="C2022" s="229" t="s">
        <v>432</v>
      </c>
      <c r="D2022" s="988" t="s">
        <v>4919</v>
      </c>
      <c r="E2022" s="1507" t="s">
        <v>1277</v>
      </c>
      <c r="F2022" s="338" t="s">
        <v>2012</v>
      </c>
      <c r="G2022" s="110" t="s">
        <v>77</v>
      </c>
      <c r="H2022" s="173" t="s">
        <v>819</v>
      </c>
      <c r="I2022" s="167" t="s">
        <v>432</v>
      </c>
      <c r="J2022" s="109" t="s">
        <v>432</v>
      </c>
      <c r="K2022" s="109" t="s">
        <v>432</v>
      </c>
      <c r="L2022" s="109" t="s">
        <v>432</v>
      </c>
      <c r="M2022" s="109" t="s">
        <v>432</v>
      </c>
      <c r="N2022" s="109" t="s">
        <v>432</v>
      </c>
      <c r="O2022" s="109" t="s">
        <v>432</v>
      </c>
      <c r="P2022" s="109" t="s">
        <v>432</v>
      </c>
      <c r="Q2022" s="109" t="s">
        <v>432</v>
      </c>
      <c r="R2022" s="137" t="s">
        <v>432</v>
      </c>
      <c r="S2022" s="109" t="s">
        <v>2209</v>
      </c>
      <c r="T2022" s="137" t="s">
        <v>432</v>
      </c>
      <c r="U2022" s="137" t="s">
        <v>432</v>
      </c>
      <c r="V2022" s="109" t="s">
        <v>2209</v>
      </c>
      <c r="W2022" s="137" t="s">
        <v>432</v>
      </c>
      <c r="X2022" s="137" t="s">
        <v>432</v>
      </c>
      <c r="Y2022" s="137" t="s">
        <v>432</v>
      </c>
      <c r="Z2022" s="137" t="s">
        <v>432</v>
      </c>
      <c r="AA2022" s="137" t="s">
        <v>432</v>
      </c>
      <c r="AB2022" s="137" t="s">
        <v>432</v>
      </c>
      <c r="AC2022" s="137" t="s">
        <v>432</v>
      </c>
      <c r="AD2022" s="137" t="s">
        <v>432</v>
      </c>
      <c r="AE2022" s="137" t="s">
        <v>432</v>
      </c>
      <c r="AF2022" s="137" t="s">
        <v>432</v>
      </c>
      <c r="AG2022" s="185">
        <v>32</v>
      </c>
      <c r="AH2022" s="137" t="s">
        <v>432</v>
      </c>
      <c r="AI2022" s="137" t="s">
        <v>432</v>
      </c>
      <c r="AJ2022" s="137" t="s">
        <v>432</v>
      </c>
      <c r="AK2022" s="137" t="s">
        <v>432</v>
      </c>
      <c r="AL2022" s="601" t="s">
        <v>432</v>
      </c>
      <c r="AM2022" s="137" t="s">
        <v>432</v>
      </c>
      <c r="AN2022" s="137" t="s">
        <v>432</v>
      </c>
      <c r="AO2022" s="137" t="s">
        <v>432</v>
      </c>
      <c r="AP2022" s="137" t="s">
        <v>432</v>
      </c>
      <c r="AQ2022" s="137" t="s">
        <v>432</v>
      </c>
      <c r="AR2022" s="137" t="s">
        <v>432</v>
      </c>
      <c r="AS2022" s="137" t="s">
        <v>432</v>
      </c>
      <c r="AT2022" s="137" t="s">
        <v>432</v>
      </c>
      <c r="AU2022" s="137" t="s">
        <v>432</v>
      </c>
      <c r="AV2022" s="137" t="s">
        <v>432</v>
      </c>
      <c r="AW2022" s="137" t="s">
        <v>432</v>
      </c>
      <c r="AX2022" s="137" t="s">
        <v>432</v>
      </c>
      <c r="AY2022" s="137" t="s">
        <v>432</v>
      </c>
      <c r="AZ2022" s="137" t="s">
        <v>432</v>
      </c>
      <c r="BA2022" s="137" t="s">
        <v>432</v>
      </c>
      <c r="BB2022" s="239" t="str">
        <f t="shared" si="587"/>
        <v>Poluição do arx</v>
      </c>
      <c r="BC2022" s="239" t="str">
        <f t="shared" si="588"/>
        <v>Poluição do arxbenchmarking</v>
      </c>
      <c r="BD2022" s="239" t="str">
        <f t="shared" si="589"/>
        <v>Poluição do arbenchmarking</v>
      </c>
    </row>
    <row r="2023" spans="1:56" s="1" customFormat="1" ht="36" customHeight="1" x14ac:dyDescent="0.25">
      <c r="A2023" s="275" t="str">
        <f>'Q100b-totais'!$B$44</f>
        <v>5.2</v>
      </c>
      <c r="B2023" s="54" t="str">
        <f>'Q100b-totais'!$C$44</f>
        <v>Poluição do ar</v>
      </c>
      <c r="C2023" s="229" t="s">
        <v>432</v>
      </c>
      <c r="D2023" s="988" t="s">
        <v>4919</v>
      </c>
      <c r="E2023" s="1507" t="s">
        <v>1278</v>
      </c>
      <c r="F2023" s="338" t="s">
        <v>2012</v>
      </c>
      <c r="G2023" s="110" t="s">
        <v>77</v>
      </c>
      <c r="H2023" s="173" t="s">
        <v>819</v>
      </c>
      <c r="I2023" s="167" t="s">
        <v>432</v>
      </c>
      <c r="J2023" s="109" t="s">
        <v>432</v>
      </c>
      <c r="K2023" s="109" t="s">
        <v>432</v>
      </c>
      <c r="L2023" s="109" t="s">
        <v>432</v>
      </c>
      <c r="M2023" s="109" t="s">
        <v>432</v>
      </c>
      <c r="N2023" s="109" t="s">
        <v>432</v>
      </c>
      <c r="O2023" s="109" t="s">
        <v>432</v>
      </c>
      <c r="P2023" s="109" t="s">
        <v>432</v>
      </c>
      <c r="Q2023" s="109" t="s">
        <v>432</v>
      </c>
      <c r="R2023" s="137" t="s">
        <v>432</v>
      </c>
      <c r="S2023" s="109" t="s">
        <v>2209</v>
      </c>
      <c r="T2023" s="137" t="s">
        <v>432</v>
      </c>
      <c r="U2023" s="137" t="s">
        <v>432</v>
      </c>
      <c r="V2023" s="109" t="s">
        <v>2209</v>
      </c>
      <c r="W2023" s="137" t="s">
        <v>432</v>
      </c>
      <c r="X2023" s="137" t="s">
        <v>432</v>
      </c>
      <c r="Y2023" s="137" t="s">
        <v>432</v>
      </c>
      <c r="Z2023" s="137" t="s">
        <v>432</v>
      </c>
      <c r="AA2023" s="137" t="s">
        <v>432</v>
      </c>
      <c r="AB2023" s="137" t="s">
        <v>432</v>
      </c>
      <c r="AC2023" s="137" t="s">
        <v>432</v>
      </c>
      <c r="AD2023" s="137" t="s">
        <v>432</v>
      </c>
      <c r="AE2023" s="137" t="s">
        <v>432</v>
      </c>
      <c r="AF2023" s="137" t="s">
        <v>432</v>
      </c>
      <c r="AG2023" s="185">
        <v>41.5</v>
      </c>
      <c r="AH2023" s="137" t="s">
        <v>432</v>
      </c>
      <c r="AI2023" s="137" t="s">
        <v>432</v>
      </c>
      <c r="AJ2023" s="137" t="s">
        <v>432</v>
      </c>
      <c r="AK2023" s="137" t="s">
        <v>432</v>
      </c>
      <c r="AL2023" s="601" t="s">
        <v>432</v>
      </c>
      <c r="AM2023" s="137" t="s">
        <v>432</v>
      </c>
      <c r="AN2023" s="137" t="s">
        <v>432</v>
      </c>
      <c r="AO2023" s="137" t="s">
        <v>432</v>
      </c>
      <c r="AP2023" s="137" t="s">
        <v>432</v>
      </c>
      <c r="AQ2023" s="137" t="s">
        <v>432</v>
      </c>
      <c r="AR2023" s="137" t="s">
        <v>432</v>
      </c>
      <c r="AS2023" s="137" t="s">
        <v>432</v>
      </c>
      <c r="AT2023" s="137" t="s">
        <v>432</v>
      </c>
      <c r="AU2023" s="137" t="s">
        <v>432</v>
      </c>
      <c r="AV2023" s="137" t="s">
        <v>432</v>
      </c>
      <c r="AW2023" s="137" t="s">
        <v>432</v>
      </c>
      <c r="AX2023" s="137" t="s">
        <v>432</v>
      </c>
      <c r="AY2023" s="137" t="s">
        <v>432</v>
      </c>
      <c r="AZ2023" s="137" t="s">
        <v>432</v>
      </c>
      <c r="BA2023" s="137" t="s">
        <v>432</v>
      </c>
      <c r="BB2023" s="239" t="str">
        <f t="shared" si="587"/>
        <v>Poluição do arx</v>
      </c>
      <c r="BC2023" s="239" t="str">
        <f t="shared" si="588"/>
        <v>Poluição do arxbenchmarking</v>
      </c>
      <c r="BD2023" s="239" t="str">
        <f t="shared" si="589"/>
        <v>Poluição do arbenchmarking</v>
      </c>
    </row>
    <row r="2024" spans="1:56" s="1" customFormat="1" ht="42.75" customHeight="1" x14ac:dyDescent="0.25">
      <c r="A2024" s="275" t="str">
        <f>'Q100b-totais'!$B$44</f>
        <v>5.2</v>
      </c>
      <c r="B2024" s="54" t="str">
        <f>'Q100b-totais'!$C$44</f>
        <v>Poluição do ar</v>
      </c>
      <c r="C2024" s="229" t="s">
        <v>432</v>
      </c>
      <c r="D2024" s="988" t="s">
        <v>4919</v>
      </c>
      <c r="E2024" s="1507" t="s">
        <v>1279</v>
      </c>
      <c r="F2024" s="338" t="s">
        <v>2012</v>
      </c>
      <c r="G2024" s="110" t="s">
        <v>77</v>
      </c>
      <c r="H2024" s="173" t="s">
        <v>819</v>
      </c>
      <c r="I2024" s="167" t="s">
        <v>432</v>
      </c>
      <c r="J2024" s="109" t="s">
        <v>432</v>
      </c>
      <c r="K2024" s="109" t="s">
        <v>432</v>
      </c>
      <c r="L2024" s="109" t="s">
        <v>432</v>
      </c>
      <c r="M2024" s="109" t="s">
        <v>432</v>
      </c>
      <c r="N2024" s="109" t="s">
        <v>432</v>
      </c>
      <c r="O2024" s="109" t="s">
        <v>432</v>
      </c>
      <c r="P2024" s="109" t="s">
        <v>432</v>
      </c>
      <c r="Q2024" s="109" t="s">
        <v>432</v>
      </c>
      <c r="R2024" s="137" t="s">
        <v>432</v>
      </c>
      <c r="S2024" s="109" t="s">
        <v>2209</v>
      </c>
      <c r="T2024" s="137" t="s">
        <v>432</v>
      </c>
      <c r="U2024" s="137" t="s">
        <v>432</v>
      </c>
      <c r="V2024" s="109" t="s">
        <v>2209</v>
      </c>
      <c r="W2024" s="137" t="s">
        <v>432</v>
      </c>
      <c r="X2024" s="137" t="s">
        <v>432</v>
      </c>
      <c r="Y2024" s="137" t="s">
        <v>432</v>
      </c>
      <c r="Z2024" s="137" t="s">
        <v>432</v>
      </c>
      <c r="AA2024" s="137" t="s">
        <v>432</v>
      </c>
      <c r="AB2024" s="137" t="s">
        <v>432</v>
      </c>
      <c r="AC2024" s="137" t="s">
        <v>432</v>
      </c>
      <c r="AD2024" s="137" t="s">
        <v>432</v>
      </c>
      <c r="AE2024" s="137" t="s">
        <v>432</v>
      </c>
      <c r="AF2024" s="137" t="s">
        <v>432</v>
      </c>
      <c r="AG2024" s="185">
        <v>31</v>
      </c>
      <c r="AH2024" s="137" t="s">
        <v>432</v>
      </c>
      <c r="AI2024" s="137" t="s">
        <v>432</v>
      </c>
      <c r="AJ2024" s="137" t="s">
        <v>432</v>
      </c>
      <c r="AK2024" s="137" t="s">
        <v>432</v>
      </c>
      <c r="AL2024" s="601" t="s">
        <v>432</v>
      </c>
      <c r="AM2024" s="137" t="s">
        <v>432</v>
      </c>
      <c r="AN2024" s="137" t="s">
        <v>432</v>
      </c>
      <c r="AO2024" s="137" t="s">
        <v>432</v>
      </c>
      <c r="AP2024" s="137" t="s">
        <v>432</v>
      </c>
      <c r="AQ2024" s="137" t="s">
        <v>432</v>
      </c>
      <c r="AR2024" s="137" t="s">
        <v>432</v>
      </c>
      <c r="AS2024" s="137" t="s">
        <v>432</v>
      </c>
      <c r="AT2024" s="137" t="s">
        <v>432</v>
      </c>
      <c r="AU2024" s="137" t="s">
        <v>432</v>
      </c>
      <c r="AV2024" s="137" t="s">
        <v>432</v>
      </c>
      <c r="AW2024" s="137" t="s">
        <v>432</v>
      </c>
      <c r="AX2024" s="137" t="s">
        <v>432</v>
      </c>
      <c r="AY2024" s="137" t="s">
        <v>432</v>
      </c>
      <c r="AZ2024" s="137" t="s">
        <v>432</v>
      </c>
      <c r="BA2024" s="137" t="s">
        <v>432</v>
      </c>
      <c r="BB2024" s="239" t="str">
        <f t="shared" si="587"/>
        <v>Poluição do arx</v>
      </c>
      <c r="BC2024" s="239" t="str">
        <f t="shared" si="588"/>
        <v>Poluição do arxbenchmarking</v>
      </c>
      <c r="BD2024" s="239" t="str">
        <f t="shared" si="589"/>
        <v>Poluição do arbenchmarking</v>
      </c>
    </row>
    <row r="2025" spans="1:56" s="1" customFormat="1" ht="54.75" customHeight="1" x14ac:dyDescent="0.25">
      <c r="A2025" s="275" t="str">
        <f>'Q100b-totais'!$B$44</f>
        <v>5.2</v>
      </c>
      <c r="B2025" s="54" t="str">
        <f>'Q100b-totais'!$C$44</f>
        <v>Poluição do ar</v>
      </c>
      <c r="C2025" s="229" t="s">
        <v>432</v>
      </c>
      <c r="D2025" s="988" t="s">
        <v>4919</v>
      </c>
      <c r="E2025" s="1507" t="s">
        <v>1280</v>
      </c>
      <c r="F2025" s="338" t="s">
        <v>2012</v>
      </c>
      <c r="G2025" s="110" t="s">
        <v>77</v>
      </c>
      <c r="H2025" s="173" t="s">
        <v>819</v>
      </c>
      <c r="I2025" s="167" t="s">
        <v>432</v>
      </c>
      <c r="J2025" s="109" t="s">
        <v>432</v>
      </c>
      <c r="K2025" s="109" t="s">
        <v>432</v>
      </c>
      <c r="L2025" s="109" t="s">
        <v>432</v>
      </c>
      <c r="M2025" s="109" t="s">
        <v>432</v>
      </c>
      <c r="N2025" s="109" t="s">
        <v>432</v>
      </c>
      <c r="O2025" s="109" t="s">
        <v>432</v>
      </c>
      <c r="P2025" s="109" t="s">
        <v>432</v>
      </c>
      <c r="Q2025" s="109" t="s">
        <v>432</v>
      </c>
      <c r="R2025" s="137" t="s">
        <v>432</v>
      </c>
      <c r="S2025" s="109" t="s">
        <v>2209</v>
      </c>
      <c r="T2025" s="137" t="s">
        <v>432</v>
      </c>
      <c r="U2025" s="137" t="s">
        <v>432</v>
      </c>
      <c r="V2025" s="109" t="s">
        <v>2209</v>
      </c>
      <c r="W2025" s="137" t="s">
        <v>432</v>
      </c>
      <c r="X2025" s="137" t="s">
        <v>432</v>
      </c>
      <c r="Y2025" s="137" t="s">
        <v>432</v>
      </c>
      <c r="Z2025" s="137" t="s">
        <v>432</v>
      </c>
      <c r="AA2025" s="137" t="s">
        <v>432</v>
      </c>
      <c r="AB2025" s="137" t="s">
        <v>432</v>
      </c>
      <c r="AC2025" s="137" t="s">
        <v>432</v>
      </c>
      <c r="AD2025" s="137" t="s">
        <v>432</v>
      </c>
      <c r="AE2025" s="137" t="s">
        <v>432</v>
      </c>
      <c r="AF2025" s="137" t="s">
        <v>432</v>
      </c>
      <c r="AG2025" s="185">
        <v>22</v>
      </c>
      <c r="AH2025" s="137" t="s">
        <v>432</v>
      </c>
      <c r="AI2025" s="137" t="s">
        <v>432</v>
      </c>
      <c r="AJ2025" s="137" t="s">
        <v>432</v>
      </c>
      <c r="AK2025" s="137" t="s">
        <v>432</v>
      </c>
      <c r="AL2025" s="601" t="s">
        <v>432</v>
      </c>
      <c r="AM2025" s="137" t="s">
        <v>432</v>
      </c>
      <c r="AN2025" s="137" t="s">
        <v>432</v>
      </c>
      <c r="AO2025" s="137" t="s">
        <v>432</v>
      </c>
      <c r="AP2025" s="137" t="s">
        <v>432</v>
      </c>
      <c r="AQ2025" s="137" t="s">
        <v>432</v>
      </c>
      <c r="AR2025" s="137" t="s">
        <v>432</v>
      </c>
      <c r="AS2025" s="137" t="s">
        <v>432</v>
      </c>
      <c r="AT2025" s="137" t="s">
        <v>432</v>
      </c>
      <c r="AU2025" s="137" t="s">
        <v>432</v>
      </c>
      <c r="AV2025" s="137" t="s">
        <v>432</v>
      </c>
      <c r="AW2025" s="137" t="s">
        <v>432</v>
      </c>
      <c r="AX2025" s="137" t="s">
        <v>432</v>
      </c>
      <c r="AY2025" s="137" t="s">
        <v>432</v>
      </c>
      <c r="AZ2025" s="137" t="s">
        <v>432</v>
      </c>
      <c r="BA2025" s="137" t="s">
        <v>432</v>
      </c>
      <c r="BB2025" s="239" t="str">
        <f t="shared" si="587"/>
        <v>Poluição do arx</v>
      </c>
      <c r="BC2025" s="239" t="str">
        <f t="shared" si="588"/>
        <v>Poluição do arxbenchmarking</v>
      </c>
      <c r="BD2025" s="239" t="str">
        <f t="shared" si="589"/>
        <v>Poluição do arbenchmarking</v>
      </c>
    </row>
    <row r="2026" spans="1:56" s="1" customFormat="1" ht="54" customHeight="1" x14ac:dyDescent="0.25">
      <c r="A2026" s="275" t="str">
        <f>'Q100b-totais'!$B$44</f>
        <v>5.2</v>
      </c>
      <c r="B2026" s="54" t="str">
        <f>'Q100b-totais'!$C$44</f>
        <v>Poluição do ar</v>
      </c>
      <c r="C2026" s="229" t="s">
        <v>432</v>
      </c>
      <c r="D2026" s="988" t="s">
        <v>4919</v>
      </c>
      <c r="E2026" s="1507" t="s">
        <v>1281</v>
      </c>
      <c r="F2026" s="338" t="s">
        <v>2012</v>
      </c>
      <c r="G2026" s="110" t="s">
        <v>77</v>
      </c>
      <c r="H2026" s="173" t="s">
        <v>819</v>
      </c>
      <c r="I2026" s="167" t="s">
        <v>432</v>
      </c>
      <c r="J2026" s="109" t="s">
        <v>432</v>
      </c>
      <c r="K2026" s="109" t="s">
        <v>432</v>
      </c>
      <c r="L2026" s="109" t="s">
        <v>432</v>
      </c>
      <c r="M2026" s="109" t="s">
        <v>432</v>
      </c>
      <c r="N2026" s="109" t="s">
        <v>432</v>
      </c>
      <c r="O2026" s="109" t="s">
        <v>432</v>
      </c>
      <c r="P2026" s="109" t="s">
        <v>432</v>
      </c>
      <c r="Q2026" s="109" t="s">
        <v>432</v>
      </c>
      <c r="R2026" s="137" t="s">
        <v>432</v>
      </c>
      <c r="S2026" s="109" t="s">
        <v>2209</v>
      </c>
      <c r="T2026" s="137" t="s">
        <v>432</v>
      </c>
      <c r="U2026" s="137" t="s">
        <v>432</v>
      </c>
      <c r="V2026" s="109" t="s">
        <v>2209</v>
      </c>
      <c r="W2026" s="137" t="s">
        <v>432</v>
      </c>
      <c r="X2026" s="137" t="s">
        <v>432</v>
      </c>
      <c r="Y2026" s="137" t="s">
        <v>432</v>
      </c>
      <c r="Z2026" s="137" t="s">
        <v>432</v>
      </c>
      <c r="AA2026" s="137" t="s">
        <v>432</v>
      </c>
      <c r="AB2026" s="137" t="s">
        <v>432</v>
      </c>
      <c r="AC2026" s="137" t="s">
        <v>432</v>
      </c>
      <c r="AD2026" s="137" t="s">
        <v>432</v>
      </c>
      <c r="AE2026" s="137" t="s">
        <v>432</v>
      </c>
      <c r="AF2026" s="137" t="s">
        <v>432</v>
      </c>
      <c r="AG2026" s="185">
        <v>30</v>
      </c>
      <c r="AH2026" s="137" t="s">
        <v>432</v>
      </c>
      <c r="AI2026" s="137" t="s">
        <v>432</v>
      </c>
      <c r="AJ2026" s="137" t="s">
        <v>432</v>
      </c>
      <c r="AK2026" s="137" t="s">
        <v>432</v>
      </c>
      <c r="AL2026" s="601" t="s">
        <v>432</v>
      </c>
      <c r="AM2026" s="137" t="s">
        <v>432</v>
      </c>
      <c r="AN2026" s="137" t="s">
        <v>432</v>
      </c>
      <c r="AO2026" s="137" t="s">
        <v>432</v>
      </c>
      <c r="AP2026" s="137" t="s">
        <v>432</v>
      </c>
      <c r="AQ2026" s="137" t="s">
        <v>432</v>
      </c>
      <c r="AR2026" s="137" t="s">
        <v>432</v>
      </c>
      <c r="AS2026" s="137" t="s">
        <v>432</v>
      </c>
      <c r="AT2026" s="137" t="s">
        <v>432</v>
      </c>
      <c r="AU2026" s="137" t="s">
        <v>432</v>
      </c>
      <c r="AV2026" s="137" t="s">
        <v>432</v>
      </c>
      <c r="AW2026" s="137" t="s">
        <v>432</v>
      </c>
      <c r="AX2026" s="137" t="s">
        <v>432</v>
      </c>
      <c r="AY2026" s="137" t="s">
        <v>432</v>
      </c>
      <c r="AZ2026" s="137" t="s">
        <v>432</v>
      </c>
      <c r="BA2026" s="137" t="s">
        <v>432</v>
      </c>
      <c r="BB2026" s="239" t="str">
        <f t="shared" si="587"/>
        <v>Poluição do arx</v>
      </c>
      <c r="BC2026" s="239" t="str">
        <f t="shared" si="588"/>
        <v>Poluição do arxbenchmarking</v>
      </c>
      <c r="BD2026" s="239" t="str">
        <f t="shared" si="589"/>
        <v>Poluição do arbenchmarking</v>
      </c>
    </row>
    <row r="2027" spans="1:56" s="1" customFormat="1" ht="39" customHeight="1" x14ac:dyDescent="0.25">
      <c r="A2027" s="275" t="str">
        <f>'Q100b-totais'!$B$44</f>
        <v>5.2</v>
      </c>
      <c r="B2027" s="54" t="str">
        <f>'Q100b-totais'!$C$44</f>
        <v>Poluição do ar</v>
      </c>
      <c r="C2027" s="229" t="s">
        <v>432</v>
      </c>
      <c r="D2027" s="988" t="s">
        <v>4919</v>
      </c>
      <c r="E2027" s="1507" t="s">
        <v>1282</v>
      </c>
      <c r="F2027" s="338" t="s">
        <v>2012</v>
      </c>
      <c r="G2027" s="110" t="s">
        <v>77</v>
      </c>
      <c r="H2027" s="173" t="s">
        <v>819</v>
      </c>
      <c r="I2027" s="167" t="s">
        <v>432</v>
      </c>
      <c r="J2027" s="109" t="s">
        <v>432</v>
      </c>
      <c r="K2027" s="109" t="s">
        <v>432</v>
      </c>
      <c r="L2027" s="109" t="s">
        <v>432</v>
      </c>
      <c r="M2027" s="109" t="s">
        <v>432</v>
      </c>
      <c r="N2027" s="109" t="s">
        <v>432</v>
      </c>
      <c r="O2027" s="109" t="s">
        <v>432</v>
      </c>
      <c r="P2027" s="109" t="s">
        <v>432</v>
      </c>
      <c r="Q2027" s="109" t="s">
        <v>432</v>
      </c>
      <c r="R2027" s="137" t="s">
        <v>432</v>
      </c>
      <c r="S2027" s="109" t="s">
        <v>2209</v>
      </c>
      <c r="T2027" s="137" t="s">
        <v>432</v>
      </c>
      <c r="U2027" s="137" t="s">
        <v>432</v>
      </c>
      <c r="V2027" s="109" t="s">
        <v>2209</v>
      </c>
      <c r="W2027" s="137" t="s">
        <v>432</v>
      </c>
      <c r="X2027" s="137" t="s">
        <v>432</v>
      </c>
      <c r="Y2027" s="137" t="s">
        <v>432</v>
      </c>
      <c r="Z2027" s="137" t="s">
        <v>432</v>
      </c>
      <c r="AA2027" s="137" t="s">
        <v>432</v>
      </c>
      <c r="AB2027" s="137" t="s">
        <v>432</v>
      </c>
      <c r="AC2027" s="137" t="s">
        <v>432</v>
      </c>
      <c r="AD2027" s="137" t="s">
        <v>432</v>
      </c>
      <c r="AE2027" s="137" t="s">
        <v>432</v>
      </c>
      <c r="AF2027" s="137" t="s">
        <v>432</v>
      </c>
      <c r="AG2027" s="185">
        <v>50</v>
      </c>
      <c r="AH2027" s="137" t="s">
        <v>432</v>
      </c>
      <c r="AI2027" s="137" t="s">
        <v>432</v>
      </c>
      <c r="AJ2027" s="137" t="s">
        <v>432</v>
      </c>
      <c r="AK2027" s="137" t="s">
        <v>432</v>
      </c>
      <c r="AL2027" s="601" t="s">
        <v>432</v>
      </c>
      <c r="AM2027" s="137" t="s">
        <v>432</v>
      </c>
      <c r="AN2027" s="137" t="s">
        <v>432</v>
      </c>
      <c r="AO2027" s="137" t="s">
        <v>432</v>
      </c>
      <c r="AP2027" s="137" t="s">
        <v>432</v>
      </c>
      <c r="AQ2027" s="137" t="s">
        <v>432</v>
      </c>
      <c r="AR2027" s="137" t="s">
        <v>432</v>
      </c>
      <c r="AS2027" s="137" t="s">
        <v>432</v>
      </c>
      <c r="AT2027" s="137" t="s">
        <v>432</v>
      </c>
      <c r="AU2027" s="137" t="s">
        <v>432</v>
      </c>
      <c r="AV2027" s="137" t="s">
        <v>432</v>
      </c>
      <c r="AW2027" s="137" t="s">
        <v>432</v>
      </c>
      <c r="AX2027" s="137" t="s">
        <v>432</v>
      </c>
      <c r="AY2027" s="137" t="s">
        <v>432</v>
      </c>
      <c r="AZ2027" s="137" t="s">
        <v>432</v>
      </c>
      <c r="BA2027" s="137" t="s">
        <v>432</v>
      </c>
      <c r="BB2027" s="239" t="str">
        <f t="shared" si="587"/>
        <v>Poluição do arx</v>
      </c>
      <c r="BC2027" s="239" t="str">
        <f t="shared" si="588"/>
        <v>Poluição do arxbenchmarking</v>
      </c>
      <c r="BD2027" s="239" t="str">
        <f t="shared" si="589"/>
        <v>Poluição do arbenchmarking</v>
      </c>
    </row>
    <row r="2028" spans="1:56" s="1" customFormat="1" ht="57" customHeight="1" x14ac:dyDescent="0.25">
      <c r="A2028" s="275" t="str">
        <f>'Q100b-totais'!$B$44</f>
        <v>5.2</v>
      </c>
      <c r="B2028" s="54" t="str">
        <f>'Q100b-totais'!$C$44</f>
        <v>Poluição do ar</v>
      </c>
      <c r="C2028" s="229" t="s">
        <v>432</v>
      </c>
      <c r="D2028" s="988" t="s">
        <v>4919</v>
      </c>
      <c r="E2028" s="1507" t="s">
        <v>1283</v>
      </c>
      <c r="F2028" s="338" t="s">
        <v>2012</v>
      </c>
      <c r="G2028" s="110" t="s">
        <v>77</v>
      </c>
      <c r="H2028" s="173" t="s">
        <v>819</v>
      </c>
      <c r="I2028" s="167" t="s">
        <v>432</v>
      </c>
      <c r="J2028" s="109" t="s">
        <v>432</v>
      </c>
      <c r="K2028" s="109" t="s">
        <v>432</v>
      </c>
      <c r="L2028" s="109" t="s">
        <v>432</v>
      </c>
      <c r="M2028" s="109" t="s">
        <v>432</v>
      </c>
      <c r="N2028" s="109" t="s">
        <v>432</v>
      </c>
      <c r="O2028" s="109" t="s">
        <v>432</v>
      </c>
      <c r="P2028" s="109" t="s">
        <v>432</v>
      </c>
      <c r="Q2028" s="109" t="s">
        <v>432</v>
      </c>
      <c r="R2028" s="137" t="s">
        <v>432</v>
      </c>
      <c r="S2028" s="109" t="s">
        <v>2209</v>
      </c>
      <c r="T2028" s="137" t="s">
        <v>432</v>
      </c>
      <c r="U2028" s="137" t="s">
        <v>432</v>
      </c>
      <c r="V2028" s="109" t="s">
        <v>2209</v>
      </c>
      <c r="W2028" s="137" t="s">
        <v>432</v>
      </c>
      <c r="X2028" s="137" t="s">
        <v>432</v>
      </c>
      <c r="Y2028" s="137" t="s">
        <v>432</v>
      </c>
      <c r="Z2028" s="137" t="s">
        <v>432</v>
      </c>
      <c r="AA2028" s="137" t="s">
        <v>432</v>
      </c>
      <c r="AB2028" s="137" t="s">
        <v>432</v>
      </c>
      <c r="AC2028" s="137" t="s">
        <v>432</v>
      </c>
      <c r="AD2028" s="137" t="s">
        <v>432</v>
      </c>
      <c r="AE2028" s="137" t="s">
        <v>432</v>
      </c>
      <c r="AF2028" s="137" t="s">
        <v>432</v>
      </c>
      <c r="AG2028" s="185">
        <v>67</v>
      </c>
      <c r="AH2028" s="137" t="s">
        <v>432</v>
      </c>
      <c r="AI2028" s="137" t="s">
        <v>432</v>
      </c>
      <c r="AJ2028" s="137" t="s">
        <v>432</v>
      </c>
      <c r="AK2028" s="137" t="s">
        <v>432</v>
      </c>
      <c r="AL2028" s="601" t="s">
        <v>432</v>
      </c>
      <c r="AM2028" s="137" t="s">
        <v>432</v>
      </c>
      <c r="AN2028" s="137" t="s">
        <v>432</v>
      </c>
      <c r="AO2028" s="137" t="s">
        <v>432</v>
      </c>
      <c r="AP2028" s="137" t="s">
        <v>432</v>
      </c>
      <c r="AQ2028" s="137" t="s">
        <v>432</v>
      </c>
      <c r="AR2028" s="137" t="s">
        <v>432</v>
      </c>
      <c r="AS2028" s="137" t="s">
        <v>432</v>
      </c>
      <c r="AT2028" s="137" t="s">
        <v>432</v>
      </c>
      <c r="AU2028" s="137" t="s">
        <v>432</v>
      </c>
      <c r="AV2028" s="137" t="s">
        <v>432</v>
      </c>
      <c r="AW2028" s="137" t="s">
        <v>432</v>
      </c>
      <c r="AX2028" s="137" t="s">
        <v>432</v>
      </c>
      <c r="AY2028" s="137" t="s">
        <v>432</v>
      </c>
      <c r="AZ2028" s="137" t="s">
        <v>432</v>
      </c>
      <c r="BA2028" s="137" t="s">
        <v>432</v>
      </c>
      <c r="BB2028" s="239" t="str">
        <f t="shared" si="587"/>
        <v>Poluição do arx</v>
      </c>
      <c r="BC2028" s="239" t="str">
        <f t="shared" si="588"/>
        <v>Poluição do arxbenchmarking</v>
      </c>
      <c r="BD2028" s="239" t="str">
        <f t="shared" si="589"/>
        <v>Poluição do arbenchmarking</v>
      </c>
    </row>
    <row r="2029" spans="1:56" s="1" customFormat="1" ht="47.25" customHeight="1" x14ac:dyDescent="0.25">
      <c r="A2029" s="275" t="str">
        <f>'Q100b-totais'!$B$44</f>
        <v>5.2</v>
      </c>
      <c r="B2029" s="54" t="str">
        <f>'Q100b-totais'!$C$44</f>
        <v>Poluição do ar</v>
      </c>
      <c r="C2029" s="229" t="s">
        <v>432</v>
      </c>
      <c r="D2029" s="988" t="s">
        <v>4919</v>
      </c>
      <c r="E2029" s="1507" t="s">
        <v>1284</v>
      </c>
      <c r="F2029" s="338" t="s">
        <v>1590</v>
      </c>
      <c r="G2029" s="110" t="s">
        <v>77</v>
      </c>
      <c r="H2029" s="173" t="s">
        <v>819</v>
      </c>
      <c r="I2029" s="167" t="s">
        <v>432</v>
      </c>
      <c r="J2029" s="107" t="s">
        <v>432</v>
      </c>
      <c r="K2029" s="107" t="s">
        <v>432</v>
      </c>
      <c r="L2029" s="107" t="s">
        <v>432</v>
      </c>
      <c r="M2029" s="107" t="s">
        <v>432</v>
      </c>
      <c r="N2029" s="107" t="s">
        <v>432</v>
      </c>
      <c r="O2029" s="107" t="s">
        <v>432</v>
      </c>
      <c r="P2029" s="107" t="s">
        <v>432</v>
      </c>
      <c r="Q2029" s="107" t="s">
        <v>432</v>
      </c>
      <c r="R2029" s="107" t="s">
        <v>432</v>
      </c>
      <c r="S2029" s="109" t="s">
        <v>2209</v>
      </c>
      <c r="T2029" s="107" t="s">
        <v>432</v>
      </c>
      <c r="U2029" s="107" t="s">
        <v>432</v>
      </c>
      <c r="V2029" s="109" t="s">
        <v>2209</v>
      </c>
      <c r="W2029" s="107" t="s">
        <v>432</v>
      </c>
      <c r="X2029" s="107" t="s">
        <v>432</v>
      </c>
      <c r="Y2029" s="107" t="s">
        <v>432</v>
      </c>
      <c r="Z2029" s="107" t="s">
        <v>432</v>
      </c>
      <c r="AA2029" s="353" t="s">
        <v>432</v>
      </c>
      <c r="AB2029" s="353" t="s">
        <v>432</v>
      </c>
      <c r="AC2029" s="353" t="s">
        <v>432</v>
      </c>
      <c r="AD2029" s="353" t="s">
        <v>432</v>
      </c>
      <c r="AE2029" s="353" t="s">
        <v>432</v>
      </c>
      <c r="AF2029" s="353" t="s">
        <v>432</v>
      </c>
      <c r="AG2029" s="352">
        <v>17</v>
      </c>
      <c r="AH2029" s="353" t="s">
        <v>432</v>
      </c>
      <c r="AI2029" s="107" t="s">
        <v>432</v>
      </c>
      <c r="AJ2029" s="107" t="s">
        <v>432</v>
      </c>
      <c r="AK2029" s="137" t="s">
        <v>432</v>
      </c>
      <c r="AL2029" s="601" t="s">
        <v>432</v>
      </c>
      <c r="AM2029" s="137" t="s">
        <v>432</v>
      </c>
      <c r="AN2029" s="137" t="s">
        <v>432</v>
      </c>
      <c r="AO2029" s="137" t="s">
        <v>432</v>
      </c>
      <c r="AP2029" s="137" t="s">
        <v>432</v>
      </c>
      <c r="AQ2029" s="137" t="s">
        <v>432</v>
      </c>
      <c r="AR2029" s="137" t="s">
        <v>432</v>
      </c>
      <c r="AS2029" s="137" t="s">
        <v>432</v>
      </c>
      <c r="AT2029" s="137" t="s">
        <v>432</v>
      </c>
      <c r="AU2029" s="137" t="s">
        <v>432</v>
      </c>
      <c r="AV2029" s="137" t="s">
        <v>432</v>
      </c>
      <c r="AW2029" s="137" t="s">
        <v>432</v>
      </c>
      <c r="AX2029" s="137" t="s">
        <v>432</v>
      </c>
      <c r="AY2029" s="137" t="s">
        <v>432</v>
      </c>
      <c r="AZ2029" s="137" t="s">
        <v>432</v>
      </c>
      <c r="BA2029" s="137" t="s">
        <v>432</v>
      </c>
      <c r="BB2029" s="239" t="str">
        <f t="shared" ref="BB2029:BB2039" si="590">B2029&amp;C2029</f>
        <v>Poluição do arx</v>
      </c>
      <c r="BC2029" s="239" t="str">
        <f t="shared" ref="BC2029:BC2039" si="591">B2029&amp;C2029&amp;H2029</f>
        <v>Poluição do arxbenchmarking</v>
      </c>
      <c r="BD2029" s="239" t="str">
        <f t="shared" ref="BD2029:BD2039" si="592">B2029&amp;H2029</f>
        <v>Poluição do arbenchmarking</v>
      </c>
    </row>
    <row r="2030" spans="1:56" s="1" customFormat="1" ht="57" customHeight="1" x14ac:dyDescent="0.25">
      <c r="A2030" s="275" t="str">
        <f>'Q100b-totais'!$B$44</f>
        <v>5.2</v>
      </c>
      <c r="B2030" s="54" t="str">
        <f>'Q100b-totais'!$C$44</f>
        <v>Poluição do ar</v>
      </c>
      <c r="C2030" s="229" t="s">
        <v>432</v>
      </c>
      <c r="D2030" s="988" t="s">
        <v>4919</v>
      </c>
      <c r="E2030" s="1507" t="s">
        <v>1285</v>
      </c>
      <c r="F2030" s="338" t="s">
        <v>1590</v>
      </c>
      <c r="G2030" s="110" t="s">
        <v>77</v>
      </c>
      <c r="H2030" s="173" t="s">
        <v>819</v>
      </c>
      <c r="I2030" s="167" t="s">
        <v>432</v>
      </c>
      <c r="J2030" s="107" t="s">
        <v>432</v>
      </c>
      <c r="K2030" s="107" t="s">
        <v>432</v>
      </c>
      <c r="L2030" s="107" t="s">
        <v>432</v>
      </c>
      <c r="M2030" s="107" t="s">
        <v>432</v>
      </c>
      <c r="N2030" s="107" t="s">
        <v>432</v>
      </c>
      <c r="O2030" s="107" t="s">
        <v>432</v>
      </c>
      <c r="P2030" s="107" t="s">
        <v>432</v>
      </c>
      <c r="Q2030" s="107" t="s">
        <v>432</v>
      </c>
      <c r="R2030" s="107" t="s">
        <v>432</v>
      </c>
      <c r="S2030" s="109" t="s">
        <v>2209</v>
      </c>
      <c r="T2030" s="107" t="s">
        <v>432</v>
      </c>
      <c r="U2030" s="107" t="s">
        <v>432</v>
      </c>
      <c r="V2030" s="109" t="s">
        <v>2209</v>
      </c>
      <c r="W2030" s="107" t="s">
        <v>432</v>
      </c>
      <c r="X2030" s="107" t="s">
        <v>432</v>
      </c>
      <c r="Y2030" s="107" t="s">
        <v>432</v>
      </c>
      <c r="Z2030" s="107" t="s">
        <v>432</v>
      </c>
      <c r="AA2030" s="107" t="s">
        <v>432</v>
      </c>
      <c r="AB2030" s="107" t="s">
        <v>432</v>
      </c>
      <c r="AC2030" s="107" t="s">
        <v>432</v>
      </c>
      <c r="AD2030" s="107" t="s">
        <v>432</v>
      </c>
      <c r="AE2030" s="107" t="s">
        <v>432</v>
      </c>
      <c r="AF2030" s="107" t="s">
        <v>432</v>
      </c>
      <c r="AG2030" s="185">
        <v>81</v>
      </c>
      <c r="AH2030" s="107" t="s">
        <v>432</v>
      </c>
      <c r="AI2030" s="107" t="s">
        <v>432</v>
      </c>
      <c r="AJ2030" s="107" t="s">
        <v>432</v>
      </c>
      <c r="AK2030" s="137" t="s">
        <v>432</v>
      </c>
      <c r="AL2030" s="601" t="s">
        <v>432</v>
      </c>
      <c r="AM2030" s="137" t="s">
        <v>432</v>
      </c>
      <c r="AN2030" s="137" t="s">
        <v>432</v>
      </c>
      <c r="AO2030" s="137" t="s">
        <v>432</v>
      </c>
      <c r="AP2030" s="137" t="s">
        <v>432</v>
      </c>
      <c r="AQ2030" s="137" t="s">
        <v>432</v>
      </c>
      <c r="AR2030" s="137" t="s">
        <v>432</v>
      </c>
      <c r="AS2030" s="137" t="s">
        <v>432</v>
      </c>
      <c r="AT2030" s="137" t="s">
        <v>432</v>
      </c>
      <c r="AU2030" s="137" t="s">
        <v>432</v>
      </c>
      <c r="AV2030" s="137" t="s">
        <v>432</v>
      </c>
      <c r="AW2030" s="137" t="s">
        <v>432</v>
      </c>
      <c r="AX2030" s="137" t="s">
        <v>432</v>
      </c>
      <c r="AY2030" s="137" t="s">
        <v>432</v>
      </c>
      <c r="AZ2030" s="137" t="s">
        <v>432</v>
      </c>
      <c r="BA2030" s="137" t="s">
        <v>432</v>
      </c>
      <c r="BB2030" s="239" t="str">
        <f t="shared" si="590"/>
        <v>Poluição do arx</v>
      </c>
      <c r="BC2030" s="239" t="str">
        <f t="shared" si="591"/>
        <v>Poluição do arxbenchmarking</v>
      </c>
      <c r="BD2030" s="239" t="str">
        <f t="shared" si="592"/>
        <v>Poluição do arbenchmarking</v>
      </c>
    </row>
    <row r="2031" spans="1:56" s="1" customFormat="1" ht="41.25" customHeight="1" x14ac:dyDescent="0.25">
      <c r="A2031" s="275" t="str">
        <f>'Q100b-totais'!$B$44</f>
        <v>5.2</v>
      </c>
      <c r="B2031" s="54" t="str">
        <f>'Q100b-totais'!$C$44</f>
        <v>Poluição do ar</v>
      </c>
      <c r="C2031" s="229" t="s">
        <v>432</v>
      </c>
      <c r="D2031" s="988" t="s">
        <v>4919</v>
      </c>
      <c r="E2031" s="1507" t="s">
        <v>1286</v>
      </c>
      <c r="F2031" s="338" t="s">
        <v>1590</v>
      </c>
      <c r="G2031" s="110" t="s">
        <v>77</v>
      </c>
      <c r="H2031" s="173" t="s">
        <v>819</v>
      </c>
      <c r="I2031" s="167" t="s">
        <v>432</v>
      </c>
      <c r="J2031" s="107" t="s">
        <v>432</v>
      </c>
      <c r="K2031" s="107" t="s">
        <v>432</v>
      </c>
      <c r="L2031" s="107" t="s">
        <v>432</v>
      </c>
      <c r="M2031" s="107" t="s">
        <v>432</v>
      </c>
      <c r="N2031" s="107" t="s">
        <v>432</v>
      </c>
      <c r="O2031" s="107" t="s">
        <v>432</v>
      </c>
      <c r="P2031" s="107" t="s">
        <v>432</v>
      </c>
      <c r="Q2031" s="107" t="s">
        <v>432</v>
      </c>
      <c r="R2031" s="107" t="s">
        <v>432</v>
      </c>
      <c r="S2031" s="109" t="s">
        <v>2209</v>
      </c>
      <c r="T2031" s="107" t="s">
        <v>432</v>
      </c>
      <c r="U2031" s="107" t="s">
        <v>432</v>
      </c>
      <c r="V2031" s="109" t="s">
        <v>2209</v>
      </c>
      <c r="W2031" s="107" t="s">
        <v>432</v>
      </c>
      <c r="X2031" s="107" t="s">
        <v>432</v>
      </c>
      <c r="Y2031" s="107" t="s">
        <v>432</v>
      </c>
      <c r="Z2031" s="107" t="s">
        <v>432</v>
      </c>
      <c r="AA2031" s="107" t="s">
        <v>432</v>
      </c>
      <c r="AB2031" s="107" t="s">
        <v>432</v>
      </c>
      <c r="AC2031" s="107" t="s">
        <v>432</v>
      </c>
      <c r="AD2031" s="107" t="s">
        <v>432</v>
      </c>
      <c r="AE2031" s="107" t="s">
        <v>432</v>
      </c>
      <c r="AF2031" s="107" t="s">
        <v>432</v>
      </c>
      <c r="AG2031" s="185">
        <v>35.5</v>
      </c>
      <c r="AH2031" s="107" t="s">
        <v>432</v>
      </c>
      <c r="AI2031" s="107" t="s">
        <v>432</v>
      </c>
      <c r="AJ2031" s="107" t="s">
        <v>432</v>
      </c>
      <c r="AK2031" s="137" t="s">
        <v>432</v>
      </c>
      <c r="AL2031" s="601" t="s">
        <v>432</v>
      </c>
      <c r="AM2031" s="137" t="s">
        <v>432</v>
      </c>
      <c r="AN2031" s="137" t="s">
        <v>432</v>
      </c>
      <c r="AO2031" s="137" t="s">
        <v>432</v>
      </c>
      <c r="AP2031" s="137" t="s">
        <v>432</v>
      </c>
      <c r="AQ2031" s="137" t="s">
        <v>432</v>
      </c>
      <c r="AR2031" s="137" t="s">
        <v>432</v>
      </c>
      <c r="AS2031" s="137" t="s">
        <v>432</v>
      </c>
      <c r="AT2031" s="137" t="s">
        <v>432</v>
      </c>
      <c r="AU2031" s="137" t="s">
        <v>432</v>
      </c>
      <c r="AV2031" s="137" t="s">
        <v>432</v>
      </c>
      <c r="AW2031" s="137" t="s">
        <v>432</v>
      </c>
      <c r="AX2031" s="137" t="s">
        <v>432</v>
      </c>
      <c r="AY2031" s="137" t="s">
        <v>432</v>
      </c>
      <c r="AZ2031" s="137" t="s">
        <v>432</v>
      </c>
      <c r="BA2031" s="137" t="s">
        <v>432</v>
      </c>
      <c r="BB2031" s="239" t="str">
        <f t="shared" si="590"/>
        <v>Poluição do arx</v>
      </c>
      <c r="BC2031" s="239" t="str">
        <f t="shared" si="591"/>
        <v>Poluição do arxbenchmarking</v>
      </c>
      <c r="BD2031" s="239" t="str">
        <f t="shared" si="592"/>
        <v>Poluição do arbenchmarking</v>
      </c>
    </row>
    <row r="2032" spans="1:56" s="1" customFormat="1" ht="54.75" customHeight="1" x14ac:dyDescent="0.25">
      <c r="A2032" s="275" t="str">
        <f>'Q100b-totais'!$B$44</f>
        <v>5.2</v>
      </c>
      <c r="B2032" s="54" t="str">
        <f>'Q100b-totais'!$C$44</f>
        <v>Poluição do ar</v>
      </c>
      <c r="C2032" s="229" t="s">
        <v>432</v>
      </c>
      <c r="D2032" s="988" t="s">
        <v>4919</v>
      </c>
      <c r="E2032" s="1507" t="s">
        <v>1287</v>
      </c>
      <c r="F2032" s="338" t="s">
        <v>1590</v>
      </c>
      <c r="G2032" s="110" t="s">
        <v>77</v>
      </c>
      <c r="H2032" s="173" t="s">
        <v>819</v>
      </c>
      <c r="I2032" s="167" t="s">
        <v>432</v>
      </c>
      <c r="J2032" s="107" t="s">
        <v>432</v>
      </c>
      <c r="K2032" s="107" t="s">
        <v>432</v>
      </c>
      <c r="L2032" s="107" t="s">
        <v>432</v>
      </c>
      <c r="M2032" s="107" t="s">
        <v>432</v>
      </c>
      <c r="N2032" s="107" t="s">
        <v>432</v>
      </c>
      <c r="O2032" s="107" t="s">
        <v>432</v>
      </c>
      <c r="P2032" s="107" t="s">
        <v>432</v>
      </c>
      <c r="Q2032" s="107" t="s">
        <v>432</v>
      </c>
      <c r="R2032" s="107" t="s">
        <v>432</v>
      </c>
      <c r="S2032" s="109" t="s">
        <v>2209</v>
      </c>
      <c r="T2032" s="107" t="s">
        <v>432</v>
      </c>
      <c r="U2032" s="107" t="s">
        <v>432</v>
      </c>
      <c r="V2032" s="109" t="s">
        <v>2209</v>
      </c>
      <c r="W2032" s="107" t="s">
        <v>432</v>
      </c>
      <c r="X2032" s="107" t="s">
        <v>432</v>
      </c>
      <c r="Y2032" s="107" t="s">
        <v>432</v>
      </c>
      <c r="Z2032" s="107" t="s">
        <v>432</v>
      </c>
      <c r="AA2032" s="107" t="s">
        <v>432</v>
      </c>
      <c r="AB2032" s="107" t="s">
        <v>432</v>
      </c>
      <c r="AC2032" s="107" t="s">
        <v>432</v>
      </c>
      <c r="AD2032" s="107" t="s">
        <v>432</v>
      </c>
      <c r="AE2032" s="107" t="s">
        <v>432</v>
      </c>
      <c r="AF2032" s="107" t="s">
        <v>432</v>
      </c>
      <c r="AG2032" s="185">
        <v>35</v>
      </c>
      <c r="AH2032" s="107" t="s">
        <v>432</v>
      </c>
      <c r="AI2032" s="107" t="s">
        <v>432</v>
      </c>
      <c r="AJ2032" s="107" t="s">
        <v>432</v>
      </c>
      <c r="AK2032" s="137" t="s">
        <v>432</v>
      </c>
      <c r="AL2032" s="601" t="s">
        <v>432</v>
      </c>
      <c r="AM2032" s="137" t="s">
        <v>432</v>
      </c>
      <c r="AN2032" s="137" t="s">
        <v>432</v>
      </c>
      <c r="AO2032" s="137" t="s">
        <v>432</v>
      </c>
      <c r="AP2032" s="137" t="s">
        <v>432</v>
      </c>
      <c r="AQ2032" s="137" t="s">
        <v>432</v>
      </c>
      <c r="AR2032" s="137" t="s">
        <v>432</v>
      </c>
      <c r="AS2032" s="137" t="s">
        <v>432</v>
      </c>
      <c r="AT2032" s="137" t="s">
        <v>432</v>
      </c>
      <c r="AU2032" s="137" t="s">
        <v>432</v>
      </c>
      <c r="AV2032" s="137" t="s">
        <v>432</v>
      </c>
      <c r="AW2032" s="137" t="s">
        <v>432</v>
      </c>
      <c r="AX2032" s="137" t="s">
        <v>432</v>
      </c>
      <c r="AY2032" s="137" t="s">
        <v>432</v>
      </c>
      <c r="AZ2032" s="137" t="s">
        <v>432</v>
      </c>
      <c r="BA2032" s="137" t="s">
        <v>432</v>
      </c>
      <c r="BB2032" s="239" t="str">
        <f t="shared" si="590"/>
        <v>Poluição do arx</v>
      </c>
      <c r="BC2032" s="239" t="str">
        <f t="shared" si="591"/>
        <v>Poluição do arxbenchmarking</v>
      </c>
      <c r="BD2032" s="239" t="str">
        <f t="shared" si="592"/>
        <v>Poluição do arbenchmarking</v>
      </c>
    </row>
    <row r="2033" spans="1:56" s="1" customFormat="1" ht="61.5" customHeight="1" x14ac:dyDescent="0.25">
      <c r="A2033" s="275" t="str">
        <f>'Q100b-totais'!$B$44</f>
        <v>5.2</v>
      </c>
      <c r="B2033" s="54" t="str">
        <f>'Q100b-totais'!$C$44</f>
        <v>Poluição do ar</v>
      </c>
      <c r="C2033" s="229" t="s">
        <v>432</v>
      </c>
      <c r="D2033" s="988" t="s">
        <v>4919</v>
      </c>
      <c r="E2033" s="1507" t="s">
        <v>1288</v>
      </c>
      <c r="F2033" s="338" t="s">
        <v>1590</v>
      </c>
      <c r="G2033" s="110" t="s">
        <v>77</v>
      </c>
      <c r="H2033" s="173" t="s">
        <v>819</v>
      </c>
      <c r="I2033" s="167" t="s">
        <v>432</v>
      </c>
      <c r="J2033" s="107" t="s">
        <v>432</v>
      </c>
      <c r="K2033" s="107" t="s">
        <v>432</v>
      </c>
      <c r="L2033" s="107" t="s">
        <v>432</v>
      </c>
      <c r="M2033" s="107" t="s">
        <v>432</v>
      </c>
      <c r="N2033" s="107" t="s">
        <v>432</v>
      </c>
      <c r="O2033" s="107" t="s">
        <v>432</v>
      </c>
      <c r="P2033" s="107" t="s">
        <v>432</v>
      </c>
      <c r="Q2033" s="107" t="s">
        <v>432</v>
      </c>
      <c r="R2033" s="107" t="s">
        <v>432</v>
      </c>
      <c r="S2033" s="109" t="s">
        <v>2209</v>
      </c>
      <c r="T2033" s="107" t="s">
        <v>432</v>
      </c>
      <c r="U2033" s="107" t="s">
        <v>432</v>
      </c>
      <c r="V2033" s="109" t="s">
        <v>2209</v>
      </c>
      <c r="W2033" s="107" t="s">
        <v>432</v>
      </c>
      <c r="X2033" s="107" t="s">
        <v>432</v>
      </c>
      <c r="Y2033" s="107" t="s">
        <v>432</v>
      </c>
      <c r="Z2033" s="107" t="s">
        <v>432</v>
      </c>
      <c r="AA2033" s="107" t="s">
        <v>432</v>
      </c>
      <c r="AB2033" s="107" t="s">
        <v>432</v>
      </c>
      <c r="AC2033" s="107" t="s">
        <v>432</v>
      </c>
      <c r="AD2033" s="107" t="s">
        <v>432</v>
      </c>
      <c r="AE2033" s="107" t="s">
        <v>432</v>
      </c>
      <c r="AF2033" s="107" t="s">
        <v>432</v>
      </c>
      <c r="AG2033" s="185">
        <v>39</v>
      </c>
      <c r="AH2033" s="107" t="s">
        <v>432</v>
      </c>
      <c r="AI2033" s="107" t="s">
        <v>432</v>
      </c>
      <c r="AJ2033" s="107" t="s">
        <v>432</v>
      </c>
      <c r="AK2033" s="137" t="s">
        <v>432</v>
      </c>
      <c r="AL2033" s="601" t="s">
        <v>432</v>
      </c>
      <c r="AM2033" s="137" t="s">
        <v>432</v>
      </c>
      <c r="AN2033" s="137" t="s">
        <v>432</v>
      </c>
      <c r="AO2033" s="137" t="s">
        <v>432</v>
      </c>
      <c r="AP2033" s="137" t="s">
        <v>432</v>
      </c>
      <c r="AQ2033" s="137" t="s">
        <v>432</v>
      </c>
      <c r="AR2033" s="137" t="s">
        <v>432</v>
      </c>
      <c r="AS2033" s="137" t="s">
        <v>432</v>
      </c>
      <c r="AT2033" s="137" t="s">
        <v>432</v>
      </c>
      <c r="AU2033" s="137" t="s">
        <v>432</v>
      </c>
      <c r="AV2033" s="137" t="s">
        <v>432</v>
      </c>
      <c r="AW2033" s="137" t="s">
        <v>432</v>
      </c>
      <c r="AX2033" s="137" t="s">
        <v>432</v>
      </c>
      <c r="AY2033" s="137" t="s">
        <v>432</v>
      </c>
      <c r="AZ2033" s="137" t="s">
        <v>432</v>
      </c>
      <c r="BA2033" s="137" t="s">
        <v>432</v>
      </c>
      <c r="BB2033" s="239" t="str">
        <f t="shared" si="590"/>
        <v>Poluição do arx</v>
      </c>
      <c r="BC2033" s="239" t="str">
        <f t="shared" si="591"/>
        <v>Poluição do arxbenchmarking</v>
      </c>
      <c r="BD2033" s="239" t="str">
        <f t="shared" si="592"/>
        <v>Poluição do arbenchmarking</v>
      </c>
    </row>
    <row r="2034" spans="1:56" s="1" customFormat="1" ht="61.5" customHeight="1" x14ac:dyDescent="0.25">
      <c r="A2034" s="275" t="str">
        <f>'Q100b-totais'!$B$44</f>
        <v>5.2</v>
      </c>
      <c r="B2034" s="54" t="str">
        <f>'Q100b-totais'!$C$44</f>
        <v>Poluição do ar</v>
      </c>
      <c r="C2034" s="229" t="s">
        <v>432</v>
      </c>
      <c r="D2034" s="988" t="s">
        <v>4919</v>
      </c>
      <c r="E2034" s="1507" t="s">
        <v>1289</v>
      </c>
      <c r="F2034" s="338" t="s">
        <v>1590</v>
      </c>
      <c r="G2034" s="110" t="s">
        <v>77</v>
      </c>
      <c r="H2034" s="173" t="s">
        <v>819</v>
      </c>
      <c r="I2034" s="167" t="s">
        <v>432</v>
      </c>
      <c r="J2034" s="107" t="s">
        <v>432</v>
      </c>
      <c r="K2034" s="107" t="s">
        <v>432</v>
      </c>
      <c r="L2034" s="107" t="s">
        <v>432</v>
      </c>
      <c r="M2034" s="107" t="s">
        <v>432</v>
      </c>
      <c r="N2034" s="107" t="s">
        <v>432</v>
      </c>
      <c r="O2034" s="107" t="s">
        <v>432</v>
      </c>
      <c r="P2034" s="107" t="s">
        <v>432</v>
      </c>
      <c r="Q2034" s="107" t="s">
        <v>432</v>
      </c>
      <c r="R2034" s="107" t="s">
        <v>432</v>
      </c>
      <c r="S2034" s="109" t="s">
        <v>2209</v>
      </c>
      <c r="T2034" s="107" t="s">
        <v>432</v>
      </c>
      <c r="U2034" s="107" t="s">
        <v>432</v>
      </c>
      <c r="V2034" s="109" t="s">
        <v>2209</v>
      </c>
      <c r="W2034" s="107" t="s">
        <v>432</v>
      </c>
      <c r="X2034" s="107" t="s">
        <v>432</v>
      </c>
      <c r="Y2034" s="107" t="s">
        <v>432</v>
      </c>
      <c r="Z2034" s="107" t="s">
        <v>432</v>
      </c>
      <c r="AA2034" s="107" t="s">
        <v>432</v>
      </c>
      <c r="AB2034" s="107" t="s">
        <v>432</v>
      </c>
      <c r="AC2034" s="107" t="s">
        <v>432</v>
      </c>
      <c r="AD2034" s="107" t="s">
        <v>432</v>
      </c>
      <c r="AE2034" s="107" t="s">
        <v>432</v>
      </c>
      <c r="AF2034" s="107" t="s">
        <v>432</v>
      </c>
      <c r="AG2034" s="185">
        <v>38</v>
      </c>
      <c r="AH2034" s="107" t="s">
        <v>432</v>
      </c>
      <c r="AI2034" s="107" t="s">
        <v>432</v>
      </c>
      <c r="AJ2034" s="107" t="s">
        <v>432</v>
      </c>
      <c r="AK2034" s="137" t="s">
        <v>432</v>
      </c>
      <c r="AL2034" s="601" t="s">
        <v>432</v>
      </c>
      <c r="AM2034" s="137" t="s">
        <v>432</v>
      </c>
      <c r="AN2034" s="137" t="s">
        <v>432</v>
      </c>
      <c r="AO2034" s="137" t="s">
        <v>432</v>
      </c>
      <c r="AP2034" s="137" t="s">
        <v>432</v>
      </c>
      <c r="AQ2034" s="137" t="s">
        <v>432</v>
      </c>
      <c r="AR2034" s="137" t="s">
        <v>432</v>
      </c>
      <c r="AS2034" s="137" t="s">
        <v>432</v>
      </c>
      <c r="AT2034" s="137" t="s">
        <v>432</v>
      </c>
      <c r="AU2034" s="137" t="s">
        <v>432</v>
      </c>
      <c r="AV2034" s="137" t="s">
        <v>432</v>
      </c>
      <c r="AW2034" s="137" t="s">
        <v>432</v>
      </c>
      <c r="AX2034" s="137" t="s">
        <v>432</v>
      </c>
      <c r="AY2034" s="137" t="s">
        <v>432</v>
      </c>
      <c r="AZ2034" s="137" t="s">
        <v>432</v>
      </c>
      <c r="BA2034" s="137" t="s">
        <v>432</v>
      </c>
      <c r="BB2034" s="239" t="str">
        <f t="shared" si="590"/>
        <v>Poluição do arx</v>
      </c>
      <c r="BC2034" s="239" t="str">
        <f t="shared" si="591"/>
        <v>Poluição do arxbenchmarking</v>
      </c>
      <c r="BD2034" s="239" t="str">
        <f t="shared" si="592"/>
        <v>Poluição do arbenchmarking</v>
      </c>
    </row>
    <row r="2035" spans="1:56" s="1" customFormat="1" ht="57" customHeight="1" x14ac:dyDescent="0.25">
      <c r="A2035" s="275" t="str">
        <f>'Q100b-totais'!$B$44</f>
        <v>5.2</v>
      </c>
      <c r="B2035" s="54" t="str">
        <f>'Q100b-totais'!$C$44</f>
        <v>Poluição do ar</v>
      </c>
      <c r="C2035" s="229" t="s">
        <v>432</v>
      </c>
      <c r="D2035" s="988" t="s">
        <v>4919</v>
      </c>
      <c r="E2035" s="1507" t="s">
        <v>1290</v>
      </c>
      <c r="F2035" s="338" t="s">
        <v>1590</v>
      </c>
      <c r="G2035" s="110" t="s">
        <v>77</v>
      </c>
      <c r="H2035" s="173" t="s">
        <v>819</v>
      </c>
      <c r="I2035" s="167" t="s">
        <v>432</v>
      </c>
      <c r="J2035" s="107" t="s">
        <v>432</v>
      </c>
      <c r="K2035" s="107" t="s">
        <v>432</v>
      </c>
      <c r="L2035" s="107" t="s">
        <v>432</v>
      </c>
      <c r="M2035" s="107" t="s">
        <v>432</v>
      </c>
      <c r="N2035" s="107" t="s">
        <v>432</v>
      </c>
      <c r="O2035" s="107" t="s">
        <v>432</v>
      </c>
      <c r="P2035" s="107" t="s">
        <v>432</v>
      </c>
      <c r="Q2035" s="107" t="s">
        <v>432</v>
      </c>
      <c r="R2035" s="107" t="s">
        <v>432</v>
      </c>
      <c r="S2035" s="109" t="s">
        <v>2209</v>
      </c>
      <c r="T2035" s="107" t="s">
        <v>432</v>
      </c>
      <c r="U2035" s="107" t="s">
        <v>432</v>
      </c>
      <c r="V2035" s="109" t="s">
        <v>2209</v>
      </c>
      <c r="W2035" s="107" t="s">
        <v>432</v>
      </c>
      <c r="X2035" s="107" t="s">
        <v>432</v>
      </c>
      <c r="Y2035" s="107" t="s">
        <v>432</v>
      </c>
      <c r="Z2035" s="107" t="s">
        <v>432</v>
      </c>
      <c r="AA2035" s="107" t="s">
        <v>432</v>
      </c>
      <c r="AB2035" s="107" t="s">
        <v>432</v>
      </c>
      <c r="AC2035" s="107" t="s">
        <v>432</v>
      </c>
      <c r="AD2035" s="107" t="s">
        <v>432</v>
      </c>
      <c r="AE2035" s="107" t="s">
        <v>432</v>
      </c>
      <c r="AF2035" s="107" t="s">
        <v>432</v>
      </c>
      <c r="AG2035" s="185">
        <v>23</v>
      </c>
      <c r="AH2035" s="107" t="s">
        <v>432</v>
      </c>
      <c r="AI2035" s="107" t="s">
        <v>432</v>
      </c>
      <c r="AJ2035" s="107" t="s">
        <v>432</v>
      </c>
      <c r="AK2035" s="137" t="s">
        <v>432</v>
      </c>
      <c r="AL2035" s="601" t="s">
        <v>432</v>
      </c>
      <c r="AM2035" s="137" t="s">
        <v>432</v>
      </c>
      <c r="AN2035" s="137" t="s">
        <v>432</v>
      </c>
      <c r="AO2035" s="137" t="s">
        <v>432</v>
      </c>
      <c r="AP2035" s="137" t="s">
        <v>432</v>
      </c>
      <c r="AQ2035" s="137" t="s">
        <v>432</v>
      </c>
      <c r="AR2035" s="137" t="s">
        <v>432</v>
      </c>
      <c r="AS2035" s="137" t="s">
        <v>432</v>
      </c>
      <c r="AT2035" s="137" t="s">
        <v>432</v>
      </c>
      <c r="AU2035" s="137" t="s">
        <v>432</v>
      </c>
      <c r="AV2035" s="137" t="s">
        <v>432</v>
      </c>
      <c r="AW2035" s="137" t="s">
        <v>432</v>
      </c>
      <c r="AX2035" s="137" t="s">
        <v>432</v>
      </c>
      <c r="AY2035" s="137" t="s">
        <v>432</v>
      </c>
      <c r="AZ2035" s="137" t="s">
        <v>432</v>
      </c>
      <c r="BA2035" s="137" t="s">
        <v>432</v>
      </c>
      <c r="BB2035" s="239" t="str">
        <f t="shared" si="590"/>
        <v>Poluição do arx</v>
      </c>
      <c r="BC2035" s="239" t="str">
        <f t="shared" si="591"/>
        <v>Poluição do arxbenchmarking</v>
      </c>
      <c r="BD2035" s="239" t="str">
        <f t="shared" si="592"/>
        <v>Poluição do arbenchmarking</v>
      </c>
    </row>
    <row r="2036" spans="1:56" s="1" customFormat="1" ht="45" customHeight="1" x14ac:dyDescent="0.25">
      <c r="A2036" s="275" t="str">
        <f>'Q100b-totais'!$B$44</f>
        <v>5.2</v>
      </c>
      <c r="B2036" s="54" t="str">
        <f>'Q100b-totais'!$C$44</f>
        <v>Poluição do ar</v>
      </c>
      <c r="C2036" s="229" t="s">
        <v>432</v>
      </c>
      <c r="D2036" s="988" t="s">
        <v>4919</v>
      </c>
      <c r="E2036" s="1507" t="s">
        <v>1705</v>
      </c>
      <c r="F2036" s="338" t="s">
        <v>1590</v>
      </c>
      <c r="G2036" s="110" t="s">
        <v>77</v>
      </c>
      <c r="H2036" s="173" t="s">
        <v>819</v>
      </c>
      <c r="I2036" s="167" t="s">
        <v>432</v>
      </c>
      <c r="J2036" s="107" t="s">
        <v>432</v>
      </c>
      <c r="K2036" s="107" t="s">
        <v>432</v>
      </c>
      <c r="L2036" s="107" t="s">
        <v>432</v>
      </c>
      <c r="M2036" s="107" t="s">
        <v>432</v>
      </c>
      <c r="N2036" s="107" t="s">
        <v>432</v>
      </c>
      <c r="O2036" s="107" t="s">
        <v>432</v>
      </c>
      <c r="P2036" s="107" t="s">
        <v>432</v>
      </c>
      <c r="Q2036" s="107" t="s">
        <v>432</v>
      </c>
      <c r="R2036" s="107" t="s">
        <v>432</v>
      </c>
      <c r="S2036" s="109" t="s">
        <v>2209</v>
      </c>
      <c r="T2036" s="107" t="s">
        <v>432</v>
      </c>
      <c r="U2036" s="107" t="s">
        <v>432</v>
      </c>
      <c r="V2036" s="109" t="s">
        <v>2209</v>
      </c>
      <c r="W2036" s="107" t="s">
        <v>432</v>
      </c>
      <c r="X2036" s="107" t="s">
        <v>432</v>
      </c>
      <c r="Y2036" s="107" t="s">
        <v>432</v>
      </c>
      <c r="Z2036" s="107" t="s">
        <v>432</v>
      </c>
      <c r="AA2036" s="107" t="s">
        <v>432</v>
      </c>
      <c r="AB2036" s="107" t="s">
        <v>432</v>
      </c>
      <c r="AC2036" s="107" t="s">
        <v>432</v>
      </c>
      <c r="AD2036" s="107" t="s">
        <v>432</v>
      </c>
      <c r="AE2036" s="107" t="s">
        <v>432</v>
      </c>
      <c r="AF2036" s="107" t="s">
        <v>432</v>
      </c>
      <c r="AG2036" s="185">
        <v>34.555555555555557</v>
      </c>
      <c r="AH2036" s="107" t="s">
        <v>432</v>
      </c>
      <c r="AI2036" s="107" t="s">
        <v>432</v>
      </c>
      <c r="AJ2036" s="107" t="s">
        <v>432</v>
      </c>
      <c r="AK2036" s="137" t="s">
        <v>432</v>
      </c>
      <c r="AL2036" s="601" t="s">
        <v>432</v>
      </c>
      <c r="AM2036" s="137" t="s">
        <v>432</v>
      </c>
      <c r="AN2036" s="137" t="s">
        <v>432</v>
      </c>
      <c r="AO2036" s="137" t="s">
        <v>432</v>
      </c>
      <c r="AP2036" s="137" t="s">
        <v>432</v>
      </c>
      <c r="AQ2036" s="137" t="s">
        <v>432</v>
      </c>
      <c r="AR2036" s="137" t="s">
        <v>432</v>
      </c>
      <c r="AS2036" s="137" t="s">
        <v>432</v>
      </c>
      <c r="AT2036" s="137" t="s">
        <v>432</v>
      </c>
      <c r="AU2036" s="137" t="s">
        <v>432</v>
      </c>
      <c r="AV2036" s="137" t="s">
        <v>432</v>
      </c>
      <c r="AW2036" s="137" t="s">
        <v>432</v>
      </c>
      <c r="AX2036" s="137" t="s">
        <v>432</v>
      </c>
      <c r="AY2036" s="137" t="s">
        <v>432</v>
      </c>
      <c r="AZ2036" s="137" t="s">
        <v>432</v>
      </c>
      <c r="BA2036" s="137" t="s">
        <v>432</v>
      </c>
      <c r="BB2036" s="239" t="str">
        <f t="shared" si="590"/>
        <v>Poluição do arx</v>
      </c>
      <c r="BC2036" s="239" t="str">
        <f t="shared" si="591"/>
        <v>Poluição do arxbenchmarking</v>
      </c>
      <c r="BD2036" s="239" t="str">
        <f t="shared" si="592"/>
        <v>Poluição do arbenchmarking</v>
      </c>
    </row>
    <row r="2037" spans="1:56" s="1" customFormat="1" ht="41.25" customHeight="1" x14ac:dyDescent="0.25">
      <c r="A2037" s="275" t="str">
        <f>'Q100b-totais'!$B$44</f>
        <v>5.2</v>
      </c>
      <c r="B2037" s="54" t="str">
        <f>'Q100b-totais'!$C$44</f>
        <v>Poluição do ar</v>
      </c>
      <c r="C2037" s="229" t="s">
        <v>432</v>
      </c>
      <c r="D2037" s="988" t="s">
        <v>4919</v>
      </c>
      <c r="E2037" s="1507" t="s">
        <v>1777</v>
      </c>
      <c r="F2037" s="338" t="s">
        <v>1590</v>
      </c>
      <c r="G2037" s="110" t="s">
        <v>77</v>
      </c>
      <c r="H2037" s="173" t="s">
        <v>819</v>
      </c>
      <c r="I2037" s="167" t="s">
        <v>432</v>
      </c>
      <c r="J2037" s="107" t="s">
        <v>432</v>
      </c>
      <c r="K2037" s="107" t="s">
        <v>432</v>
      </c>
      <c r="L2037" s="107" t="s">
        <v>432</v>
      </c>
      <c r="M2037" s="107" t="s">
        <v>432</v>
      </c>
      <c r="N2037" s="107" t="s">
        <v>432</v>
      </c>
      <c r="O2037" s="107" t="s">
        <v>432</v>
      </c>
      <c r="P2037" s="107" t="s">
        <v>432</v>
      </c>
      <c r="Q2037" s="107" t="s">
        <v>432</v>
      </c>
      <c r="R2037" s="107" t="s">
        <v>432</v>
      </c>
      <c r="S2037" s="109" t="s">
        <v>2209</v>
      </c>
      <c r="T2037" s="107" t="s">
        <v>432</v>
      </c>
      <c r="U2037" s="107" t="s">
        <v>432</v>
      </c>
      <c r="V2037" s="109" t="s">
        <v>2209</v>
      </c>
      <c r="W2037" s="107" t="s">
        <v>432</v>
      </c>
      <c r="X2037" s="107" t="s">
        <v>432</v>
      </c>
      <c r="Y2037" s="107" t="s">
        <v>432</v>
      </c>
      <c r="Z2037" s="107" t="s">
        <v>432</v>
      </c>
      <c r="AA2037" s="107" t="s">
        <v>432</v>
      </c>
      <c r="AB2037" s="107" t="s">
        <v>432</v>
      </c>
      <c r="AC2037" s="107" t="s">
        <v>432</v>
      </c>
      <c r="AD2037" s="107" t="s">
        <v>432</v>
      </c>
      <c r="AE2037" s="107" t="s">
        <v>432</v>
      </c>
      <c r="AF2037" s="107" t="s">
        <v>432</v>
      </c>
      <c r="AG2037" s="185">
        <v>32</v>
      </c>
      <c r="AH2037" s="107" t="s">
        <v>432</v>
      </c>
      <c r="AI2037" s="107" t="s">
        <v>432</v>
      </c>
      <c r="AJ2037" s="107" t="s">
        <v>432</v>
      </c>
      <c r="AK2037" s="137" t="s">
        <v>432</v>
      </c>
      <c r="AL2037" s="601" t="s">
        <v>432</v>
      </c>
      <c r="AM2037" s="137" t="s">
        <v>432</v>
      </c>
      <c r="AN2037" s="137" t="s">
        <v>432</v>
      </c>
      <c r="AO2037" s="137" t="s">
        <v>432</v>
      </c>
      <c r="AP2037" s="137" t="s">
        <v>432</v>
      </c>
      <c r="AQ2037" s="137" t="s">
        <v>432</v>
      </c>
      <c r="AR2037" s="137" t="s">
        <v>432</v>
      </c>
      <c r="AS2037" s="137" t="s">
        <v>432</v>
      </c>
      <c r="AT2037" s="137" t="s">
        <v>432</v>
      </c>
      <c r="AU2037" s="137" t="s">
        <v>432</v>
      </c>
      <c r="AV2037" s="137" t="s">
        <v>432</v>
      </c>
      <c r="AW2037" s="137" t="s">
        <v>432</v>
      </c>
      <c r="AX2037" s="137" t="s">
        <v>432</v>
      </c>
      <c r="AY2037" s="137" t="s">
        <v>432</v>
      </c>
      <c r="AZ2037" s="137" t="s">
        <v>432</v>
      </c>
      <c r="BA2037" s="137" t="s">
        <v>432</v>
      </c>
      <c r="BB2037" s="239" t="str">
        <f t="shared" si="590"/>
        <v>Poluição do arx</v>
      </c>
      <c r="BC2037" s="239" t="str">
        <f t="shared" si="591"/>
        <v>Poluição do arxbenchmarking</v>
      </c>
      <c r="BD2037" s="239" t="str">
        <f t="shared" si="592"/>
        <v>Poluição do arbenchmarking</v>
      </c>
    </row>
    <row r="2038" spans="1:56" s="1" customFormat="1" ht="49.5" customHeight="1" x14ac:dyDescent="0.25">
      <c r="A2038" s="275" t="str">
        <f>'Q100b-totais'!$B$44</f>
        <v>5.2</v>
      </c>
      <c r="B2038" s="54" t="str">
        <f>'Q100b-totais'!$C$44</f>
        <v>Poluição do ar</v>
      </c>
      <c r="C2038" s="229" t="s">
        <v>432</v>
      </c>
      <c r="D2038" s="988" t="s">
        <v>4919</v>
      </c>
      <c r="E2038" s="1507" t="s">
        <v>1293</v>
      </c>
      <c r="F2038" s="338" t="s">
        <v>1590</v>
      </c>
      <c r="G2038" s="110" t="s">
        <v>77</v>
      </c>
      <c r="H2038" s="173" t="s">
        <v>819</v>
      </c>
      <c r="I2038" s="167" t="s">
        <v>432</v>
      </c>
      <c r="J2038" s="107" t="s">
        <v>432</v>
      </c>
      <c r="K2038" s="107" t="s">
        <v>432</v>
      </c>
      <c r="L2038" s="107" t="s">
        <v>432</v>
      </c>
      <c r="M2038" s="107" t="s">
        <v>432</v>
      </c>
      <c r="N2038" s="107" t="s">
        <v>432</v>
      </c>
      <c r="O2038" s="107" t="s">
        <v>432</v>
      </c>
      <c r="P2038" s="107" t="s">
        <v>432</v>
      </c>
      <c r="Q2038" s="107" t="s">
        <v>432</v>
      </c>
      <c r="R2038" s="107" t="s">
        <v>432</v>
      </c>
      <c r="S2038" s="109" t="s">
        <v>2209</v>
      </c>
      <c r="T2038" s="107" t="s">
        <v>432</v>
      </c>
      <c r="U2038" s="107" t="s">
        <v>432</v>
      </c>
      <c r="V2038" s="109" t="s">
        <v>2209</v>
      </c>
      <c r="W2038" s="107" t="s">
        <v>432</v>
      </c>
      <c r="X2038" s="107" t="s">
        <v>432</v>
      </c>
      <c r="Y2038" s="107" t="s">
        <v>432</v>
      </c>
      <c r="Z2038" s="107" t="s">
        <v>432</v>
      </c>
      <c r="AA2038" s="107" t="s">
        <v>432</v>
      </c>
      <c r="AB2038" s="107" t="s">
        <v>432</v>
      </c>
      <c r="AC2038" s="107" t="s">
        <v>432</v>
      </c>
      <c r="AD2038" s="107" t="s">
        <v>432</v>
      </c>
      <c r="AE2038" s="107" t="s">
        <v>432</v>
      </c>
      <c r="AF2038" s="107" t="s">
        <v>432</v>
      </c>
      <c r="AG2038" s="185">
        <v>35</v>
      </c>
      <c r="AH2038" s="107" t="s">
        <v>432</v>
      </c>
      <c r="AI2038" s="107" t="s">
        <v>432</v>
      </c>
      <c r="AJ2038" s="107" t="s">
        <v>432</v>
      </c>
      <c r="AK2038" s="137" t="s">
        <v>432</v>
      </c>
      <c r="AL2038" s="601" t="s">
        <v>432</v>
      </c>
      <c r="AM2038" s="137" t="s">
        <v>432</v>
      </c>
      <c r="AN2038" s="137" t="s">
        <v>432</v>
      </c>
      <c r="AO2038" s="137" t="s">
        <v>432</v>
      </c>
      <c r="AP2038" s="137" t="s">
        <v>432</v>
      </c>
      <c r="AQ2038" s="137" t="s">
        <v>432</v>
      </c>
      <c r="AR2038" s="137" t="s">
        <v>432</v>
      </c>
      <c r="AS2038" s="137" t="s">
        <v>432</v>
      </c>
      <c r="AT2038" s="137" t="s">
        <v>432</v>
      </c>
      <c r="AU2038" s="137" t="s">
        <v>432</v>
      </c>
      <c r="AV2038" s="137" t="s">
        <v>432</v>
      </c>
      <c r="AW2038" s="137" t="s">
        <v>432</v>
      </c>
      <c r="AX2038" s="137" t="s">
        <v>432</v>
      </c>
      <c r="AY2038" s="137" t="s">
        <v>432</v>
      </c>
      <c r="AZ2038" s="137" t="s">
        <v>432</v>
      </c>
      <c r="BA2038" s="137" t="s">
        <v>432</v>
      </c>
      <c r="BB2038" s="239" t="str">
        <f t="shared" si="590"/>
        <v>Poluição do arx</v>
      </c>
      <c r="BC2038" s="239" t="str">
        <f t="shared" si="591"/>
        <v>Poluição do arxbenchmarking</v>
      </c>
      <c r="BD2038" s="239" t="str">
        <f t="shared" si="592"/>
        <v>Poluição do arbenchmarking</v>
      </c>
    </row>
    <row r="2039" spans="1:56" s="1" customFormat="1" ht="41.25" customHeight="1" x14ac:dyDescent="0.25">
      <c r="A2039" s="275" t="str">
        <f>'Q100b-totais'!$B$44</f>
        <v>5.2</v>
      </c>
      <c r="B2039" s="54" t="str">
        <f>'Q100b-totais'!$C$44</f>
        <v>Poluição do ar</v>
      </c>
      <c r="C2039" s="229" t="s">
        <v>432</v>
      </c>
      <c r="D2039" s="988" t="s">
        <v>4919</v>
      </c>
      <c r="E2039" s="1507" t="s">
        <v>1294</v>
      </c>
      <c r="F2039" s="338" t="s">
        <v>1590</v>
      </c>
      <c r="G2039" s="110" t="s">
        <v>77</v>
      </c>
      <c r="H2039" s="173" t="s">
        <v>819</v>
      </c>
      <c r="I2039" s="167" t="s">
        <v>432</v>
      </c>
      <c r="J2039" s="107" t="s">
        <v>432</v>
      </c>
      <c r="K2039" s="107" t="s">
        <v>432</v>
      </c>
      <c r="L2039" s="107" t="s">
        <v>432</v>
      </c>
      <c r="M2039" s="107" t="s">
        <v>432</v>
      </c>
      <c r="N2039" s="107" t="s">
        <v>432</v>
      </c>
      <c r="O2039" s="107" t="s">
        <v>432</v>
      </c>
      <c r="P2039" s="107" t="s">
        <v>432</v>
      </c>
      <c r="Q2039" s="107" t="s">
        <v>432</v>
      </c>
      <c r="R2039" s="107" t="s">
        <v>432</v>
      </c>
      <c r="S2039" s="109" t="s">
        <v>2209</v>
      </c>
      <c r="T2039" s="107" t="s">
        <v>432</v>
      </c>
      <c r="U2039" s="107" t="s">
        <v>432</v>
      </c>
      <c r="V2039" s="109" t="s">
        <v>2209</v>
      </c>
      <c r="W2039" s="107" t="s">
        <v>432</v>
      </c>
      <c r="X2039" s="107" t="s">
        <v>432</v>
      </c>
      <c r="Y2039" s="107" t="s">
        <v>432</v>
      </c>
      <c r="Z2039" s="107" t="s">
        <v>432</v>
      </c>
      <c r="AA2039" s="107" t="s">
        <v>432</v>
      </c>
      <c r="AB2039" s="107" t="s">
        <v>432</v>
      </c>
      <c r="AC2039" s="107" t="s">
        <v>432</v>
      </c>
      <c r="AD2039" s="107" t="s">
        <v>432</v>
      </c>
      <c r="AE2039" s="107" t="s">
        <v>432</v>
      </c>
      <c r="AF2039" s="107" t="s">
        <v>432</v>
      </c>
      <c r="AG2039" s="185">
        <v>25</v>
      </c>
      <c r="AH2039" s="107" t="s">
        <v>432</v>
      </c>
      <c r="AI2039" s="107" t="s">
        <v>432</v>
      </c>
      <c r="AJ2039" s="107" t="s">
        <v>432</v>
      </c>
      <c r="AK2039" s="137" t="s">
        <v>432</v>
      </c>
      <c r="AL2039" s="601" t="s">
        <v>432</v>
      </c>
      <c r="AM2039" s="137" t="s">
        <v>432</v>
      </c>
      <c r="AN2039" s="137" t="s">
        <v>432</v>
      </c>
      <c r="AO2039" s="137" t="s">
        <v>432</v>
      </c>
      <c r="AP2039" s="137" t="s">
        <v>432</v>
      </c>
      <c r="AQ2039" s="137" t="s">
        <v>432</v>
      </c>
      <c r="AR2039" s="137" t="s">
        <v>432</v>
      </c>
      <c r="AS2039" s="137" t="s">
        <v>432</v>
      </c>
      <c r="AT2039" s="137" t="s">
        <v>432</v>
      </c>
      <c r="AU2039" s="137" t="s">
        <v>432</v>
      </c>
      <c r="AV2039" s="137" t="s">
        <v>432</v>
      </c>
      <c r="AW2039" s="137" t="s">
        <v>432</v>
      </c>
      <c r="AX2039" s="137" t="s">
        <v>432</v>
      </c>
      <c r="AY2039" s="137" t="s">
        <v>432</v>
      </c>
      <c r="AZ2039" s="137" t="s">
        <v>432</v>
      </c>
      <c r="BA2039" s="137" t="s">
        <v>432</v>
      </c>
      <c r="BB2039" s="239" t="str">
        <f t="shared" si="590"/>
        <v>Poluição do arx</v>
      </c>
      <c r="BC2039" s="239" t="str">
        <f t="shared" si="591"/>
        <v>Poluição do arxbenchmarking</v>
      </c>
      <c r="BD2039" s="239" t="str">
        <f t="shared" si="592"/>
        <v>Poluição do arbenchmarking</v>
      </c>
    </row>
    <row r="2040" spans="1:56" s="1" customFormat="1" ht="12.75" customHeight="1" x14ac:dyDescent="0.25">
      <c r="A2040" s="398"/>
      <c r="B2040" s="221"/>
      <c r="C2040" s="399"/>
      <c r="D2040" s="987"/>
      <c r="E2040" s="1533"/>
      <c r="F2040" s="405"/>
      <c r="G2040" s="405"/>
      <c r="H2040" s="399"/>
      <c r="I2040" s="405"/>
      <c r="J2040" s="221"/>
      <c r="K2040" s="403"/>
      <c r="L2040" s="403"/>
      <c r="M2040" s="403"/>
      <c r="N2040" s="403"/>
      <c r="O2040" s="403"/>
      <c r="P2040" s="403"/>
      <c r="Q2040" s="403"/>
      <c r="R2040" s="403"/>
      <c r="S2040" s="403"/>
      <c r="T2040" s="403"/>
      <c r="U2040" s="403"/>
      <c r="V2040" s="403"/>
      <c r="W2040" s="403"/>
      <c r="X2040" s="403"/>
      <c r="Y2040" s="403"/>
      <c r="Z2040" s="403"/>
      <c r="AA2040" s="403"/>
      <c r="AB2040" s="403"/>
      <c r="AC2040" s="403"/>
      <c r="AD2040" s="403"/>
      <c r="AE2040" s="403"/>
      <c r="AF2040" s="403"/>
      <c r="AG2040" s="403"/>
      <c r="AH2040" s="403"/>
      <c r="AI2040" s="403"/>
      <c r="AJ2040" s="403"/>
      <c r="AK2040" s="223"/>
      <c r="AL2040" s="223"/>
      <c r="AM2040" s="223"/>
      <c r="AN2040" s="223"/>
      <c r="AO2040" s="223"/>
      <c r="AP2040" s="223"/>
      <c r="AQ2040" s="223"/>
      <c r="AR2040" s="223"/>
      <c r="AS2040" s="223"/>
      <c r="AT2040" s="223"/>
      <c r="AU2040" s="223"/>
      <c r="AV2040" s="223"/>
      <c r="AW2040" s="223"/>
      <c r="AX2040" s="223"/>
      <c r="AY2040" s="223"/>
      <c r="AZ2040" s="223"/>
      <c r="BA2040" s="223"/>
      <c r="BB2040" s="400"/>
      <c r="BC2040" s="400"/>
      <c r="BD2040" s="400"/>
    </row>
    <row r="2041" spans="1:56" s="1" customFormat="1" ht="63" x14ac:dyDescent="0.25">
      <c r="A2041" s="275" t="str">
        <f>'Q100b-totais'!$B$44</f>
        <v>5.2</v>
      </c>
      <c r="B2041" s="54" t="str">
        <f>'Q100b-totais'!$C$44</f>
        <v>Poluição do ar</v>
      </c>
      <c r="C2041" s="229" t="s">
        <v>432</v>
      </c>
      <c r="D2041" s="325" t="s">
        <v>1242</v>
      </c>
      <c r="E2041" s="1512" t="s">
        <v>1306</v>
      </c>
      <c r="F2041" s="188" t="s">
        <v>1674</v>
      </c>
      <c r="G2041" s="110" t="s">
        <v>77</v>
      </c>
      <c r="H2041" s="167" t="s">
        <v>432</v>
      </c>
      <c r="I2041" s="57">
        <v>1</v>
      </c>
      <c r="J2041" s="109" t="s">
        <v>432</v>
      </c>
      <c r="K2041" s="109" t="s">
        <v>432</v>
      </c>
      <c r="L2041" s="109" t="s">
        <v>432</v>
      </c>
      <c r="M2041" s="109" t="s">
        <v>432</v>
      </c>
      <c r="N2041" s="109" t="s">
        <v>432</v>
      </c>
      <c r="O2041" s="109" t="s">
        <v>432</v>
      </c>
      <c r="P2041" s="109" t="s">
        <v>432</v>
      </c>
      <c r="Q2041" s="109" t="s">
        <v>432</v>
      </c>
      <c r="R2041" s="109" t="s">
        <v>432</v>
      </c>
      <c r="S2041" s="109" t="s">
        <v>2209</v>
      </c>
      <c r="T2041" s="109" t="s">
        <v>432</v>
      </c>
      <c r="U2041" s="109" t="s">
        <v>432</v>
      </c>
      <c r="V2041" s="109" t="s">
        <v>2209</v>
      </c>
      <c r="W2041" s="137" t="s">
        <v>432</v>
      </c>
      <c r="X2041" s="340">
        <v>20.8</v>
      </c>
      <c r="Y2041" s="340">
        <v>25.3</v>
      </c>
      <c r="Z2041" s="340">
        <v>17.8</v>
      </c>
      <c r="AA2041" s="340">
        <v>16.100000000000001</v>
      </c>
      <c r="AB2041" s="340">
        <v>19.399999999999999</v>
      </c>
      <c r="AC2041" s="340">
        <v>19.8</v>
      </c>
      <c r="AD2041" s="340">
        <v>20.2</v>
      </c>
      <c r="AE2041" s="340">
        <v>24.8</v>
      </c>
      <c r="AF2041" s="340">
        <v>25.3</v>
      </c>
      <c r="AG2041" s="107" t="s">
        <v>3115</v>
      </c>
      <c r="AH2041" s="107" t="s">
        <v>3115</v>
      </c>
      <c r="AI2041" s="622" t="s">
        <v>2213</v>
      </c>
      <c r="AJ2041" s="622" t="s">
        <v>2213</v>
      </c>
      <c r="AK2041" s="622" t="s">
        <v>2213</v>
      </c>
      <c r="AL2041" s="601" t="s">
        <v>432</v>
      </c>
      <c r="AM2041" s="137" t="s">
        <v>432</v>
      </c>
      <c r="AN2041" s="137" t="s">
        <v>432</v>
      </c>
      <c r="AO2041" s="137" t="s">
        <v>432</v>
      </c>
      <c r="AP2041" s="137" t="s">
        <v>432</v>
      </c>
      <c r="AQ2041" s="137" t="s">
        <v>432</v>
      </c>
      <c r="AR2041" s="137" t="s">
        <v>432</v>
      </c>
      <c r="AS2041" s="137" t="s">
        <v>432</v>
      </c>
      <c r="AT2041" s="137" t="s">
        <v>432</v>
      </c>
      <c r="AU2041" s="137" t="s">
        <v>432</v>
      </c>
      <c r="AV2041" s="137" t="s">
        <v>432</v>
      </c>
      <c r="AW2041" s="137" t="s">
        <v>432</v>
      </c>
      <c r="AX2041" s="137" t="s">
        <v>432</v>
      </c>
      <c r="AY2041" s="137" t="s">
        <v>432</v>
      </c>
      <c r="AZ2041" s="137" t="s">
        <v>432</v>
      </c>
      <c r="BA2041" s="137" t="s">
        <v>432</v>
      </c>
      <c r="BB2041" s="239" t="str">
        <f t="shared" si="587"/>
        <v>Poluição do arx</v>
      </c>
      <c r="BC2041" s="239" t="str">
        <f t="shared" si="588"/>
        <v>Poluição do arxx</v>
      </c>
      <c r="BD2041" s="239" t="str">
        <f t="shared" si="589"/>
        <v>Poluição do arx</v>
      </c>
    </row>
    <row r="2042" spans="1:56" s="1" customFormat="1" ht="63" x14ac:dyDescent="0.25">
      <c r="A2042" s="275" t="str">
        <f>'Q100b-totais'!$B$44</f>
        <v>5.2</v>
      </c>
      <c r="B2042" s="54" t="str">
        <f>'Q100b-totais'!$C$44</f>
        <v>Poluição do ar</v>
      </c>
      <c r="C2042" s="229" t="s">
        <v>432</v>
      </c>
      <c r="D2042" s="325" t="s">
        <v>1243</v>
      </c>
      <c r="E2042" s="1512" t="s">
        <v>1306</v>
      </c>
      <c r="F2042" s="188" t="s">
        <v>1675</v>
      </c>
      <c r="G2042" s="110" t="s">
        <v>77</v>
      </c>
      <c r="H2042" s="167" t="s">
        <v>432</v>
      </c>
      <c r="I2042" s="57">
        <v>1</v>
      </c>
      <c r="J2042" s="109" t="s">
        <v>432</v>
      </c>
      <c r="K2042" s="109" t="s">
        <v>432</v>
      </c>
      <c r="L2042" s="109" t="s">
        <v>432</v>
      </c>
      <c r="M2042" s="109" t="s">
        <v>432</v>
      </c>
      <c r="N2042" s="109" t="s">
        <v>432</v>
      </c>
      <c r="O2042" s="109" t="s">
        <v>432</v>
      </c>
      <c r="P2042" s="109" t="s">
        <v>432</v>
      </c>
      <c r="Q2042" s="109" t="s">
        <v>432</v>
      </c>
      <c r="R2042" s="109" t="s">
        <v>432</v>
      </c>
      <c r="S2042" s="109" t="s">
        <v>2209</v>
      </c>
      <c r="T2042" s="109" t="s">
        <v>432</v>
      </c>
      <c r="U2042" s="109" t="s">
        <v>432</v>
      </c>
      <c r="V2042" s="109" t="s">
        <v>2209</v>
      </c>
      <c r="W2042" s="137" t="s">
        <v>432</v>
      </c>
      <c r="X2042" s="339">
        <v>16.5</v>
      </c>
      <c r="Y2042" s="339">
        <v>18.100000000000001</v>
      </c>
      <c r="Z2042" s="339">
        <v>18.100000000000001</v>
      </c>
      <c r="AA2042" s="339">
        <v>14.3</v>
      </c>
      <c r="AB2042" s="339">
        <v>16.8</v>
      </c>
      <c r="AC2042" s="339">
        <v>16.600000000000001</v>
      </c>
      <c r="AD2042" s="339">
        <v>14.5</v>
      </c>
      <c r="AE2042" s="339">
        <v>15.1</v>
      </c>
      <c r="AF2042" s="339">
        <v>12.3</v>
      </c>
      <c r="AG2042" s="107" t="s">
        <v>3115</v>
      </c>
      <c r="AH2042" s="107" t="s">
        <v>3115</v>
      </c>
      <c r="AI2042" s="622" t="s">
        <v>2213</v>
      </c>
      <c r="AJ2042" s="622" t="s">
        <v>2213</v>
      </c>
      <c r="AK2042" s="622" t="s">
        <v>2213</v>
      </c>
      <c r="AL2042" s="601" t="s">
        <v>432</v>
      </c>
      <c r="AM2042" s="137" t="s">
        <v>432</v>
      </c>
      <c r="AN2042" s="137" t="s">
        <v>432</v>
      </c>
      <c r="AO2042" s="137" t="s">
        <v>432</v>
      </c>
      <c r="AP2042" s="137" t="s">
        <v>432</v>
      </c>
      <c r="AQ2042" s="137" t="s">
        <v>432</v>
      </c>
      <c r="AR2042" s="137" t="s">
        <v>432</v>
      </c>
      <c r="AS2042" s="137" t="s">
        <v>432</v>
      </c>
      <c r="AT2042" s="137" t="s">
        <v>432</v>
      </c>
      <c r="AU2042" s="137" t="s">
        <v>432</v>
      </c>
      <c r="AV2042" s="137" t="s">
        <v>432</v>
      </c>
      <c r="AW2042" s="137" t="s">
        <v>432</v>
      </c>
      <c r="AX2042" s="137" t="s">
        <v>432</v>
      </c>
      <c r="AY2042" s="137" t="s">
        <v>432</v>
      </c>
      <c r="AZ2042" s="137" t="s">
        <v>432</v>
      </c>
      <c r="BA2042" s="137" t="s">
        <v>432</v>
      </c>
      <c r="BB2042" s="239" t="str">
        <f t="shared" si="587"/>
        <v>Poluição do arx</v>
      </c>
      <c r="BC2042" s="239" t="str">
        <f t="shared" si="588"/>
        <v>Poluição do arxx</v>
      </c>
      <c r="BD2042" s="239" t="str">
        <f t="shared" si="589"/>
        <v>Poluição do arx</v>
      </c>
    </row>
    <row r="2043" spans="1:56" s="1" customFormat="1" ht="298.5" customHeight="1" x14ac:dyDescent="0.25">
      <c r="A2043" s="275" t="str">
        <f>'Q100b-totais'!$B$44</f>
        <v>5.2</v>
      </c>
      <c r="B2043" s="54" t="str">
        <f>'Q100b-totais'!$C$44</f>
        <v>Poluição do ar</v>
      </c>
      <c r="C2043" s="229" t="s">
        <v>935</v>
      </c>
      <c r="D2043" s="377" t="s">
        <v>1250</v>
      </c>
      <c r="E2043" s="1513" t="s">
        <v>1306</v>
      </c>
      <c r="F2043" s="338" t="s">
        <v>3771</v>
      </c>
      <c r="G2043" s="110" t="s">
        <v>77</v>
      </c>
      <c r="H2043" s="167" t="s">
        <v>432</v>
      </c>
      <c r="I2043" s="57">
        <v>1</v>
      </c>
      <c r="J2043" s="109" t="s">
        <v>432</v>
      </c>
      <c r="K2043" s="109" t="s">
        <v>432</v>
      </c>
      <c r="L2043" s="109" t="s">
        <v>432</v>
      </c>
      <c r="M2043" s="109" t="s">
        <v>432</v>
      </c>
      <c r="N2043" s="109" t="s">
        <v>432</v>
      </c>
      <c r="O2043" s="109" t="s">
        <v>432</v>
      </c>
      <c r="P2043" s="109" t="s">
        <v>432</v>
      </c>
      <c r="Q2043" s="109" t="s">
        <v>432</v>
      </c>
      <c r="R2043" s="109" t="s">
        <v>432</v>
      </c>
      <c r="S2043" s="109" t="s">
        <v>2209</v>
      </c>
      <c r="T2043" s="109" t="s">
        <v>432</v>
      </c>
      <c r="U2043" s="116">
        <v>13.2</v>
      </c>
      <c r="V2043" s="109" t="s">
        <v>2209</v>
      </c>
      <c r="W2043" s="116">
        <v>21.3</v>
      </c>
      <c r="X2043" s="341">
        <v>25.6</v>
      </c>
      <c r="Y2043" s="341">
        <v>38.9</v>
      </c>
      <c r="Z2043" s="341">
        <v>28.6</v>
      </c>
      <c r="AA2043" s="341">
        <v>21.5</v>
      </c>
      <c r="AB2043" s="341">
        <v>25.9</v>
      </c>
      <c r="AC2043" s="341">
        <v>26.1</v>
      </c>
      <c r="AD2043" s="342">
        <v>27.8</v>
      </c>
      <c r="AE2043" s="342">
        <v>28</v>
      </c>
      <c r="AF2043" s="342">
        <v>31.3</v>
      </c>
      <c r="AG2043" s="119">
        <v>51.7</v>
      </c>
      <c r="AH2043" s="84">
        <v>30.4</v>
      </c>
      <c r="AI2043" s="622" t="s">
        <v>2213</v>
      </c>
      <c r="AJ2043" s="622" t="s">
        <v>2213</v>
      </c>
      <c r="AK2043" s="622" t="s">
        <v>2213</v>
      </c>
      <c r="AL2043" s="601" t="s">
        <v>432</v>
      </c>
      <c r="AM2043" s="137" t="s">
        <v>432</v>
      </c>
      <c r="AN2043" s="137" t="s">
        <v>432</v>
      </c>
      <c r="AO2043" s="137" t="s">
        <v>432</v>
      </c>
      <c r="AP2043" s="137" t="s">
        <v>432</v>
      </c>
      <c r="AQ2043" s="137" t="s">
        <v>432</v>
      </c>
      <c r="AR2043" s="137" t="s">
        <v>432</v>
      </c>
      <c r="AS2043" s="137" t="s">
        <v>432</v>
      </c>
      <c r="AT2043" s="137" t="s">
        <v>432</v>
      </c>
      <c r="AU2043" s="137" t="s">
        <v>432</v>
      </c>
      <c r="AV2043" s="137" t="s">
        <v>432</v>
      </c>
      <c r="AW2043" s="137" t="s">
        <v>432</v>
      </c>
      <c r="AX2043" s="137" t="s">
        <v>432</v>
      </c>
      <c r="AY2043" s="137" t="s">
        <v>432</v>
      </c>
      <c r="AZ2043" s="137" t="s">
        <v>432</v>
      </c>
      <c r="BA2043" s="137" t="s">
        <v>432</v>
      </c>
      <c r="BB2043" s="239" t="str">
        <f t="shared" si="587"/>
        <v>Poluição do arCMMCE</v>
      </c>
      <c r="BC2043" s="239" t="str">
        <f t="shared" si="588"/>
        <v>Poluição do arCMMCEx</v>
      </c>
      <c r="BD2043" s="239" t="str">
        <f t="shared" si="589"/>
        <v>Poluição do arx</v>
      </c>
    </row>
    <row r="2044" spans="1:56" s="1" customFormat="1" ht="93.75" customHeight="1" x14ac:dyDescent="0.25">
      <c r="A2044" s="275" t="str">
        <f>'Q100b-totais'!$B$44</f>
        <v>5.2</v>
      </c>
      <c r="B2044" s="54" t="str">
        <f>'Q100b-totais'!$C$44</f>
        <v>Poluição do ar</v>
      </c>
      <c r="C2044" s="229" t="s">
        <v>432</v>
      </c>
      <c r="D2044" s="324" t="s">
        <v>1254</v>
      </c>
      <c r="E2044" s="1402" t="s">
        <v>1306</v>
      </c>
      <c r="F2044" s="115" t="s">
        <v>3117</v>
      </c>
      <c r="G2044" s="409" t="s">
        <v>77</v>
      </c>
      <c r="H2044" s="167" t="s">
        <v>432</v>
      </c>
      <c r="I2044" s="57">
        <v>1</v>
      </c>
      <c r="J2044" s="107" t="s">
        <v>432</v>
      </c>
      <c r="K2044" s="107" t="s">
        <v>432</v>
      </c>
      <c r="L2044" s="107" t="s">
        <v>432</v>
      </c>
      <c r="M2044" s="107" t="s">
        <v>432</v>
      </c>
      <c r="N2044" s="107" t="s">
        <v>432</v>
      </c>
      <c r="O2044" s="107" t="s">
        <v>432</v>
      </c>
      <c r="P2044" s="107" t="s">
        <v>432</v>
      </c>
      <c r="Q2044" s="107" t="s">
        <v>432</v>
      </c>
      <c r="R2044" s="107" t="s">
        <v>432</v>
      </c>
      <c r="S2044" s="109" t="s">
        <v>2209</v>
      </c>
      <c r="T2044" s="107" t="s">
        <v>432</v>
      </c>
      <c r="U2044" s="107" t="s">
        <v>432</v>
      </c>
      <c r="V2044" s="109" t="s">
        <v>2209</v>
      </c>
      <c r="W2044" s="95" t="s">
        <v>714</v>
      </c>
      <c r="X2044" s="95" t="s">
        <v>721</v>
      </c>
      <c r="Y2044" s="95" t="s">
        <v>714</v>
      </c>
      <c r="Z2044" s="95" t="s">
        <v>721</v>
      </c>
      <c r="AA2044" s="95" t="s">
        <v>714</v>
      </c>
      <c r="AB2044" s="95" t="s">
        <v>714</v>
      </c>
      <c r="AC2044" s="95" t="s">
        <v>714</v>
      </c>
      <c r="AD2044" s="95" t="s">
        <v>714</v>
      </c>
      <c r="AE2044" s="95" t="s">
        <v>721</v>
      </c>
      <c r="AF2044" s="95" t="s">
        <v>721</v>
      </c>
      <c r="AG2044" s="95" t="s">
        <v>721</v>
      </c>
      <c r="AH2044" s="84" t="s">
        <v>714</v>
      </c>
      <c r="AI2044" s="622" t="s">
        <v>2213</v>
      </c>
      <c r="AJ2044" s="622" t="s">
        <v>2213</v>
      </c>
      <c r="AK2044" s="622" t="s">
        <v>2213</v>
      </c>
      <c r="AL2044" s="601" t="s">
        <v>432</v>
      </c>
      <c r="AM2044" s="137" t="s">
        <v>432</v>
      </c>
      <c r="AN2044" s="137" t="s">
        <v>432</v>
      </c>
      <c r="AO2044" s="137" t="s">
        <v>432</v>
      </c>
      <c r="AP2044" s="137" t="s">
        <v>432</v>
      </c>
      <c r="AQ2044" s="137" t="s">
        <v>432</v>
      </c>
      <c r="AR2044" s="137" t="s">
        <v>432</v>
      </c>
      <c r="AS2044" s="137" t="s">
        <v>432</v>
      </c>
      <c r="AT2044" s="137" t="s">
        <v>432</v>
      </c>
      <c r="AU2044" s="137" t="s">
        <v>432</v>
      </c>
      <c r="AV2044" s="137" t="s">
        <v>432</v>
      </c>
      <c r="AW2044" s="137" t="s">
        <v>432</v>
      </c>
      <c r="AX2044" s="137" t="s">
        <v>432</v>
      </c>
      <c r="AY2044" s="137" t="s">
        <v>432</v>
      </c>
      <c r="AZ2044" s="137" t="s">
        <v>432</v>
      </c>
      <c r="BA2044" s="137" t="s">
        <v>432</v>
      </c>
      <c r="BB2044" s="239" t="str">
        <f>B2044&amp;C2044</f>
        <v>Poluição do arx</v>
      </c>
      <c r="BC2044" s="239" t="str">
        <f>B2044&amp;C2044&amp;H2044</f>
        <v>Poluição do arxx</v>
      </c>
      <c r="BD2044" s="239" t="str">
        <f>B2044&amp;H2044</f>
        <v>Poluição do arx</v>
      </c>
    </row>
    <row r="2045" spans="1:56" s="1" customFormat="1" ht="63.75" customHeight="1" x14ac:dyDescent="0.25">
      <c r="A2045" s="275" t="str">
        <f>'Q100b-totais'!$B$44</f>
        <v>5.2</v>
      </c>
      <c r="B2045" s="54" t="str">
        <f>'Q100b-totais'!$C$44</f>
        <v>Poluição do ar</v>
      </c>
      <c r="C2045" s="229" t="s">
        <v>432</v>
      </c>
      <c r="D2045" s="324" t="s">
        <v>1252</v>
      </c>
      <c r="E2045" s="1402" t="s">
        <v>1306</v>
      </c>
      <c r="F2045" s="14" t="s">
        <v>3116</v>
      </c>
      <c r="G2045" s="110" t="s">
        <v>77</v>
      </c>
      <c r="H2045" s="167" t="s">
        <v>432</v>
      </c>
      <c r="I2045" s="57">
        <v>1</v>
      </c>
      <c r="J2045" s="107" t="s">
        <v>432</v>
      </c>
      <c r="K2045" s="107" t="s">
        <v>432</v>
      </c>
      <c r="L2045" s="107" t="s">
        <v>432</v>
      </c>
      <c r="M2045" s="107" t="s">
        <v>432</v>
      </c>
      <c r="N2045" s="107" t="s">
        <v>432</v>
      </c>
      <c r="O2045" s="107" t="s">
        <v>432</v>
      </c>
      <c r="P2045" s="107" t="s">
        <v>432</v>
      </c>
      <c r="Q2045" s="107" t="s">
        <v>432</v>
      </c>
      <c r="R2045" s="107" t="s">
        <v>432</v>
      </c>
      <c r="S2045" s="109" t="s">
        <v>2209</v>
      </c>
      <c r="T2045" s="107" t="s">
        <v>432</v>
      </c>
      <c r="U2045" s="107" t="s">
        <v>432</v>
      </c>
      <c r="V2045" s="109" t="s">
        <v>2209</v>
      </c>
      <c r="W2045" s="116">
        <v>67</v>
      </c>
      <c r="X2045" s="120">
        <v>119</v>
      </c>
      <c r="Y2045" s="120">
        <v>73</v>
      </c>
      <c r="Z2045" s="120">
        <v>154</v>
      </c>
      <c r="AA2045" s="120">
        <v>16</v>
      </c>
      <c r="AB2045" s="120">
        <v>6</v>
      </c>
      <c r="AC2045" s="120">
        <v>52</v>
      </c>
      <c r="AD2045" s="120">
        <v>49</v>
      </c>
      <c r="AE2045" s="88">
        <v>190</v>
      </c>
      <c r="AF2045" s="88">
        <v>255</v>
      </c>
      <c r="AG2045" s="121">
        <v>162</v>
      </c>
      <c r="AH2045" s="84">
        <v>8</v>
      </c>
      <c r="AI2045" s="622" t="s">
        <v>2213</v>
      </c>
      <c r="AJ2045" s="622" t="s">
        <v>2213</v>
      </c>
      <c r="AK2045" s="622" t="s">
        <v>2213</v>
      </c>
      <c r="AL2045" s="601" t="s">
        <v>432</v>
      </c>
      <c r="AM2045" s="137" t="s">
        <v>432</v>
      </c>
      <c r="AN2045" s="137" t="s">
        <v>432</v>
      </c>
      <c r="AO2045" s="137" t="s">
        <v>432</v>
      </c>
      <c r="AP2045" s="137" t="s">
        <v>432</v>
      </c>
      <c r="AQ2045" s="137" t="s">
        <v>432</v>
      </c>
      <c r="AR2045" s="137" t="s">
        <v>432</v>
      </c>
      <c r="AS2045" s="137" t="s">
        <v>432</v>
      </c>
      <c r="AT2045" s="137" t="s">
        <v>432</v>
      </c>
      <c r="AU2045" s="137" t="s">
        <v>432</v>
      </c>
      <c r="AV2045" s="137" t="s">
        <v>432</v>
      </c>
      <c r="AW2045" s="137" t="s">
        <v>432</v>
      </c>
      <c r="AX2045" s="137" t="s">
        <v>432</v>
      </c>
      <c r="AY2045" s="137" t="s">
        <v>432</v>
      </c>
      <c r="AZ2045" s="137" t="s">
        <v>432</v>
      </c>
      <c r="BA2045" s="137" t="s">
        <v>432</v>
      </c>
      <c r="BB2045" s="239" t="str">
        <f t="shared" si="587"/>
        <v>Poluição do arx</v>
      </c>
      <c r="BC2045" s="239" t="str">
        <f t="shared" si="588"/>
        <v>Poluição do arxx</v>
      </c>
      <c r="BD2045" s="239" t="str">
        <f t="shared" si="589"/>
        <v>Poluição do arx</v>
      </c>
    </row>
    <row r="2046" spans="1:56" s="1" customFormat="1" ht="75" customHeight="1" x14ac:dyDescent="0.25">
      <c r="A2046" s="275" t="str">
        <f>'Q100b-totais'!$B$44</f>
        <v>5.2</v>
      </c>
      <c r="B2046" s="54" t="str">
        <f>'Q100b-totais'!$C$44</f>
        <v>Poluição do ar</v>
      </c>
      <c r="C2046" s="229" t="s">
        <v>432</v>
      </c>
      <c r="D2046" s="324" t="s">
        <v>1253</v>
      </c>
      <c r="E2046" s="1402" t="s">
        <v>1306</v>
      </c>
      <c r="F2046" s="15" t="s">
        <v>3124</v>
      </c>
      <c r="G2046" s="408" t="s">
        <v>724</v>
      </c>
      <c r="H2046" s="167" t="s">
        <v>432</v>
      </c>
      <c r="I2046" s="57">
        <v>1</v>
      </c>
      <c r="J2046" s="107" t="s">
        <v>432</v>
      </c>
      <c r="K2046" s="107" t="s">
        <v>432</v>
      </c>
      <c r="L2046" s="107" t="s">
        <v>432</v>
      </c>
      <c r="M2046" s="107" t="s">
        <v>432</v>
      </c>
      <c r="N2046" s="107" t="s">
        <v>432</v>
      </c>
      <c r="O2046" s="107" t="s">
        <v>432</v>
      </c>
      <c r="P2046" s="107" t="s">
        <v>432</v>
      </c>
      <c r="Q2046" s="107" t="s">
        <v>432</v>
      </c>
      <c r="R2046" s="107" t="s">
        <v>432</v>
      </c>
      <c r="S2046" s="109" t="s">
        <v>2209</v>
      </c>
      <c r="T2046" s="107" t="s">
        <v>432</v>
      </c>
      <c r="U2046" s="107" t="s">
        <v>432</v>
      </c>
      <c r="V2046" s="109" t="s">
        <v>2209</v>
      </c>
      <c r="W2046" s="21">
        <f>(365-W2045)/365</f>
        <v>0.81643835616438354</v>
      </c>
      <c r="X2046" s="21">
        <f>(365-X2045)/365</f>
        <v>0.67397260273972603</v>
      </c>
      <c r="Y2046" s="21">
        <f>(365-Y2045)/365</f>
        <v>0.8</v>
      </c>
      <c r="Z2046" s="21">
        <f>(366-Z2045)/366</f>
        <v>0.57923497267759561</v>
      </c>
      <c r="AA2046" s="21">
        <f>(365-AA2045)/365</f>
        <v>0.95616438356164379</v>
      </c>
      <c r="AB2046" s="21">
        <f>(365-AB2045)/365</f>
        <v>0.98356164383561639</v>
      </c>
      <c r="AC2046" s="21">
        <f>(365-AC2045)/365</f>
        <v>0.8575342465753425</v>
      </c>
      <c r="AD2046" s="21">
        <f>(366-AD2045)/366</f>
        <v>0.86612021857923494</v>
      </c>
      <c r="AE2046" s="21">
        <f>(365-AE2045)/365</f>
        <v>0.47945205479452052</v>
      </c>
      <c r="AF2046" s="21">
        <f>(365-AF2045)/365</f>
        <v>0.30136986301369861</v>
      </c>
      <c r="AG2046" s="21">
        <f>(365-AG2045)/365</f>
        <v>0.55616438356164388</v>
      </c>
      <c r="AH2046" s="21">
        <f>(365-AH2045)/366</f>
        <v>0.97540983606557374</v>
      </c>
      <c r="AI2046" s="21" t="e">
        <f>(365-AI2045)/365</f>
        <v>#VALUE!</v>
      </c>
      <c r="AJ2046" s="21" t="e">
        <f>(365-AJ2045)/365</f>
        <v>#VALUE!</v>
      </c>
      <c r="AK2046" s="21" t="e">
        <f>(365-AK2045)/365</f>
        <v>#VALUE!</v>
      </c>
      <c r="AL2046" s="601" t="s">
        <v>432</v>
      </c>
      <c r="AM2046" s="21" t="e">
        <f>(365-AM2045)/366</f>
        <v>#VALUE!</v>
      </c>
      <c r="AN2046" s="137" t="s">
        <v>432</v>
      </c>
      <c r="AO2046" s="137" t="s">
        <v>432</v>
      </c>
      <c r="AP2046" s="137" t="s">
        <v>432</v>
      </c>
      <c r="AQ2046" s="137" t="s">
        <v>432</v>
      </c>
      <c r="AR2046" s="137" t="s">
        <v>432</v>
      </c>
      <c r="AS2046" s="137" t="s">
        <v>432</v>
      </c>
      <c r="AT2046" s="137" t="s">
        <v>432</v>
      </c>
      <c r="AU2046" s="137" t="s">
        <v>432</v>
      </c>
      <c r="AV2046" s="137" t="s">
        <v>432</v>
      </c>
      <c r="AW2046" s="137" t="s">
        <v>432</v>
      </c>
      <c r="AX2046" s="137" t="s">
        <v>432</v>
      </c>
      <c r="AY2046" s="137" t="s">
        <v>432</v>
      </c>
      <c r="AZ2046" s="137" t="s">
        <v>432</v>
      </c>
      <c r="BA2046" s="137" t="s">
        <v>432</v>
      </c>
      <c r="BB2046" s="239" t="str">
        <f t="shared" si="587"/>
        <v>Poluição do arx</v>
      </c>
      <c r="BC2046" s="239" t="str">
        <f t="shared" si="588"/>
        <v>Poluição do arxx</v>
      </c>
      <c r="BD2046" s="239" t="str">
        <f t="shared" si="589"/>
        <v>Poluição do arx</v>
      </c>
    </row>
    <row r="2047" spans="1:56" s="1" customFormat="1" ht="97.5" customHeight="1" x14ac:dyDescent="0.25">
      <c r="A2047" s="275" t="str">
        <f>'Q100b-totais'!$B$44</f>
        <v>5.2</v>
      </c>
      <c r="B2047" s="54" t="str">
        <f>'Q100b-totais'!$C$44</f>
        <v>Poluição do ar</v>
      </c>
      <c r="C2047" s="229" t="s">
        <v>432</v>
      </c>
      <c r="D2047" s="325" t="s">
        <v>1251</v>
      </c>
      <c r="E2047" s="1512" t="s">
        <v>1371</v>
      </c>
      <c r="F2047" s="188" t="s">
        <v>3123</v>
      </c>
      <c r="G2047" s="409" t="s">
        <v>77</v>
      </c>
      <c r="H2047" s="168" t="s">
        <v>1298</v>
      </c>
      <c r="I2047" s="57">
        <v>1</v>
      </c>
      <c r="J2047" s="109" t="s">
        <v>432</v>
      </c>
      <c r="K2047" s="109" t="s">
        <v>432</v>
      </c>
      <c r="L2047" s="109" t="s">
        <v>432</v>
      </c>
      <c r="M2047" s="109" t="s">
        <v>432</v>
      </c>
      <c r="N2047" s="109" t="s">
        <v>432</v>
      </c>
      <c r="O2047" s="109" t="s">
        <v>432</v>
      </c>
      <c r="P2047" s="109" t="s">
        <v>432</v>
      </c>
      <c r="Q2047" s="109" t="s">
        <v>432</v>
      </c>
      <c r="R2047" s="109" t="s">
        <v>432</v>
      </c>
      <c r="S2047" s="109" t="s">
        <v>2209</v>
      </c>
      <c r="T2047" s="109" t="s">
        <v>432</v>
      </c>
      <c r="U2047" s="109" t="s">
        <v>432</v>
      </c>
      <c r="V2047" s="109" t="s">
        <v>2209</v>
      </c>
      <c r="W2047" s="344" t="s">
        <v>432</v>
      </c>
      <c r="X2047" s="344" t="s">
        <v>432</v>
      </c>
      <c r="Y2047" s="344" t="s">
        <v>432</v>
      </c>
      <c r="Z2047" s="344" t="s">
        <v>432</v>
      </c>
      <c r="AA2047" s="344" t="s">
        <v>432</v>
      </c>
      <c r="AB2047" s="344" t="s">
        <v>432</v>
      </c>
      <c r="AC2047" s="344" t="s">
        <v>432</v>
      </c>
      <c r="AD2047" s="344" t="s">
        <v>432</v>
      </c>
      <c r="AE2047" s="344" t="s">
        <v>432</v>
      </c>
      <c r="AF2047" s="345">
        <v>41.2</v>
      </c>
      <c r="AG2047" s="346" t="s">
        <v>432</v>
      </c>
      <c r="AH2047" s="346" t="s">
        <v>432</v>
      </c>
      <c r="AI2047" s="346" t="s">
        <v>432</v>
      </c>
      <c r="AJ2047" s="622" t="s">
        <v>2213</v>
      </c>
      <c r="AK2047" s="622" t="s">
        <v>2213</v>
      </c>
      <c r="AL2047" s="601" t="s">
        <v>432</v>
      </c>
      <c r="AM2047" s="137" t="s">
        <v>432</v>
      </c>
      <c r="AN2047" s="137" t="s">
        <v>432</v>
      </c>
      <c r="AO2047" s="137" t="s">
        <v>432</v>
      </c>
      <c r="AP2047" s="137" t="s">
        <v>432</v>
      </c>
      <c r="AQ2047" s="137" t="s">
        <v>432</v>
      </c>
      <c r="AR2047" s="137" t="s">
        <v>432</v>
      </c>
      <c r="AS2047" s="137" t="s">
        <v>432</v>
      </c>
      <c r="AT2047" s="137" t="s">
        <v>432</v>
      </c>
      <c r="AU2047" s="137" t="s">
        <v>432</v>
      </c>
      <c r="AV2047" s="137" t="s">
        <v>432</v>
      </c>
      <c r="AW2047" s="137" t="s">
        <v>432</v>
      </c>
      <c r="AX2047" s="137" t="s">
        <v>432</v>
      </c>
      <c r="AY2047" s="137" t="s">
        <v>432</v>
      </c>
      <c r="AZ2047" s="137" t="s">
        <v>432</v>
      </c>
      <c r="BA2047" s="137" t="s">
        <v>432</v>
      </c>
      <c r="BB2047" s="239" t="str">
        <f t="shared" si="587"/>
        <v>Poluição do arx</v>
      </c>
      <c r="BC2047" s="239" t="str">
        <f t="shared" si="588"/>
        <v>Poluição do arxRMBH</v>
      </c>
      <c r="BD2047" s="239" t="str">
        <f t="shared" si="589"/>
        <v>Poluição do arRMBH</v>
      </c>
    </row>
    <row r="2048" spans="1:56" s="1" customFormat="1" ht="112.5" customHeight="1" x14ac:dyDescent="0.25">
      <c r="A2048" s="275" t="str">
        <f>'Q100b-totais'!$B$44</f>
        <v>5.2</v>
      </c>
      <c r="B2048" s="54" t="str">
        <f>'Q100b-totais'!$C$44</f>
        <v>Poluição do ar</v>
      </c>
      <c r="C2048" s="229" t="s">
        <v>432</v>
      </c>
      <c r="D2048" s="377" t="s">
        <v>1244</v>
      </c>
      <c r="E2048" s="1513" t="s">
        <v>1307</v>
      </c>
      <c r="F2048" s="338" t="s">
        <v>3118</v>
      </c>
      <c r="G2048" s="409" t="s">
        <v>77</v>
      </c>
      <c r="H2048" s="168" t="s">
        <v>1298</v>
      </c>
      <c r="I2048" s="57">
        <v>1</v>
      </c>
      <c r="J2048" s="109" t="s">
        <v>432</v>
      </c>
      <c r="K2048" s="109" t="s">
        <v>432</v>
      </c>
      <c r="L2048" s="109" t="s">
        <v>432</v>
      </c>
      <c r="M2048" s="109" t="s">
        <v>432</v>
      </c>
      <c r="N2048" s="109" t="s">
        <v>432</v>
      </c>
      <c r="O2048" s="109" t="s">
        <v>432</v>
      </c>
      <c r="P2048" s="109" t="s">
        <v>432</v>
      </c>
      <c r="Q2048" s="109" t="s">
        <v>432</v>
      </c>
      <c r="R2048" s="109" t="s">
        <v>432</v>
      </c>
      <c r="S2048" s="109" t="s">
        <v>2209</v>
      </c>
      <c r="T2048" s="109" t="s">
        <v>432</v>
      </c>
      <c r="U2048" s="339">
        <v>32</v>
      </c>
      <c r="V2048" s="109" t="s">
        <v>2209</v>
      </c>
      <c r="W2048" s="339">
        <v>47</v>
      </c>
      <c r="X2048" s="339">
        <v>49.7</v>
      </c>
      <c r="Y2048" s="339">
        <v>37.200000000000003</v>
      </c>
      <c r="Z2048" s="339">
        <v>20.6</v>
      </c>
      <c r="AA2048" s="339">
        <v>40.9</v>
      </c>
      <c r="AB2048" s="339">
        <v>50.6</v>
      </c>
      <c r="AC2048" s="339">
        <v>48.5</v>
      </c>
      <c r="AD2048" s="339">
        <v>48.7</v>
      </c>
      <c r="AE2048" s="339">
        <v>31.6</v>
      </c>
      <c r="AF2048" s="339">
        <v>41.6</v>
      </c>
      <c r="AG2048" s="339">
        <v>33.200000000000003</v>
      </c>
      <c r="AH2048" s="339">
        <v>36.5</v>
      </c>
      <c r="AI2048" s="339">
        <v>38.700000000000003</v>
      </c>
      <c r="AJ2048" s="622" t="s">
        <v>2213</v>
      </c>
      <c r="AK2048" s="622" t="s">
        <v>2213</v>
      </c>
      <c r="AL2048" s="601" t="s">
        <v>432</v>
      </c>
      <c r="AM2048" s="137" t="s">
        <v>432</v>
      </c>
      <c r="AN2048" s="137" t="s">
        <v>432</v>
      </c>
      <c r="AO2048" s="137" t="s">
        <v>432</v>
      </c>
      <c r="AP2048" s="137" t="s">
        <v>432</v>
      </c>
      <c r="AQ2048" s="137" t="s">
        <v>432</v>
      </c>
      <c r="AR2048" s="137" t="s">
        <v>432</v>
      </c>
      <c r="AS2048" s="137" t="s">
        <v>432</v>
      </c>
      <c r="AT2048" s="137" t="s">
        <v>432</v>
      </c>
      <c r="AU2048" s="137" t="s">
        <v>432</v>
      </c>
      <c r="AV2048" s="137" t="s">
        <v>432</v>
      </c>
      <c r="AW2048" s="137" t="s">
        <v>432</v>
      </c>
      <c r="AX2048" s="137" t="s">
        <v>432</v>
      </c>
      <c r="AY2048" s="137" t="s">
        <v>432</v>
      </c>
      <c r="AZ2048" s="137" t="s">
        <v>432</v>
      </c>
      <c r="BA2048" s="137" t="s">
        <v>432</v>
      </c>
      <c r="BB2048" s="239" t="str">
        <f>B2048&amp;C2048</f>
        <v>Poluição do arx</v>
      </c>
      <c r="BC2048" s="239" t="str">
        <f>B2048&amp;C2048&amp;H2048</f>
        <v>Poluição do arxRMBH</v>
      </c>
      <c r="BD2048" s="239" t="str">
        <f>B2048&amp;H2048</f>
        <v>Poluição do arRMBH</v>
      </c>
    </row>
    <row r="2049" spans="1:56" s="1" customFormat="1" ht="82.5" customHeight="1" x14ac:dyDescent="0.25">
      <c r="A2049" s="275" t="str">
        <f>'Q100b-totais'!$B$44</f>
        <v>5.2</v>
      </c>
      <c r="B2049" s="54" t="str">
        <f>'Q100b-totais'!$C$44</f>
        <v>Poluição do ar</v>
      </c>
      <c r="C2049" s="229" t="s">
        <v>432</v>
      </c>
      <c r="D2049" s="377" t="s">
        <v>1245</v>
      </c>
      <c r="E2049" s="1513" t="s">
        <v>1307</v>
      </c>
      <c r="F2049" s="338" t="s">
        <v>3122</v>
      </c>
      <c r="G2049" s="409" t="s">
        <v>77</v>
      </c>
      <c r="H2049" s="168" t="s">
        <v>1298</v>
      </c>
      <c r="I2049" s="57">
        <v>1</v>
      </c>
      <c r="J2049" s="109" t="s">
        <v>432</v>
      </c>
      <c r="K2049" s="109" t="s">
        <v>432</v>
      </c>
      <c r="L2049" s="109" t="s">
        <v>432</v>
      </c>
      <c r="M2049" s="109" t="s">
        <v>432</v>
      </c>
      <c r="N2049" s="109" t="s">
        <v>432</v>
      </c>
      <c r="O2049" s="109" t="s">
        <v>432</v>
      </c>
      <c r="P2049" s="109" t="s">
        <v>432</v>
      </c>
      <c r="Q2049" s="109" t="s">
        <v>432</v>
      </c>
      <c r="R2049" s="109" t="s">
        <v>432</v>
      </c>
      <c r="S2049" s="109" t="s">
        <v>2209</v>
      </c>
      <c r="T2049" s="109" t="s">
        <v>432</v>
      </c>
      <c r="U2049" s="109" t="s">
        <v>432</v>
      </c>
      <c r="V2049" s="109" t="s">
        <v>2209</v>
      </c>
      <c r="W2049" s="255" t="s">
        <v>432</v>
      </c>
      <c r="X2049" s="255" t="s">
        <v>432</v>
      </c>
      <c r="Y2049" s="255" t="s">
        <v>432</v>
      </c>
      <c r="Z2049" s="339">
        <v>41.2</v>
      </c>
      <c r="AA2049" s="339">
        <v>30.8</v>
      </c>
      <c r="AB2049" s="339">
        <v>40.6</v>
      </c>
      <c r="AC2049" s="339">
        <v>41</v>
      </c>
      <c r="AD2049" s="339">
        <v>38.4</v>
      </c>
      <c r="AE2049" s="339">
        <v>22.1</v>
      </c>
      <c r="AF2049" s="339">
        <v>32.5</v>
      </c>
      <c r="AG2049" s="339">
        <v>36.6</v>
      </c>
      <c r="AH2049" s="339">
        <v>30.6</v>
      </c>
      <c r="AI2049" s="339">
        <v>34.1</v>
      </c>
      <c r="AJ2049" s="622" t="s">
        <v>2213</v>
      </c>
      <c r="AK2049" s="622" t="s">
        <v>2213</v>
      </c>
      <c r="AL2049" s="601" t="s">
        <v>432</v>
      </c>
      <c r="AM2049" s="137" t="s">
        <v>432</v>
      </c>
      <c r="AN2049" s="137" t="s">
        <v>432</v>
      </c>
      <c r="AO2049" s="137" t="s">
        <v>432</v>
      </c>
      <c r="AP2049" s="137" t="s">
        <v>432</v>
      </c>
      <c r="AQ2049" s="137" t="s">
        <v>432</v>
      </c>
      <c r="AR2049" s="137" t="s">
        <v>432</v>
      </c>
      <c r="AS2049" s="137" t="s">
        <v>432</v>
      </c>
      <c r="AT2049" s="137" t="s">
        <v>432</v>
      </c>
      <c r="AU2049" s="137" t="s">
        <v>432</v>
      </c>
      <c r="AV2049" s="137" t="s">
        <v>432</v>
      </c>
      <c r="AW2049" s="137" t="s">
        <v>432</v>
      </c>
      <c r="AX2049" s="137" t="s">
        <v>432</v>
      </c>
      <c r="AY2049" s="137" t="s">
        <v>432</v>
      </c>
      <c r="AZ2049" s="137" t="s">
        <v>432</v>
      </c>
      <c r="BA2049" s="137" t="s">
        <v>432</v>
      </c>
      <c r="BB2049" s="239" t="str">
        <f>B2049&amp;C2049</f>
        <v>Poluição do arx</v>
      </c>
      <c r="BC2049" s="239" t="str">
        <f>B2049&amp;C2049&amp;H2049</f>
        <v>Poluição do arxRMBH</v>
      </c>
      <c r="BD2049" s="239" t="str">
        <f>B2049&amp;H2049</f>
        <v>Poluição do arRMBH</v>
      </c>
    </row>
    <row r="2050" spans="1:56" s="1" customFormat="1" ht="84" customHeight="1" x14ac:dyDescent="0.25">
      <c r="A2050" s="275" t="str">
        <f>'Q100b-totais'!$B$44</f>
        <v>5.2</v>
      </c>
      <c r="B2050" s="54" t="str">
        <f>'Q100b-totais'!$C$44</f>
        <v>Poluição do ar</v>
      </c>
      <c r="C2050" s="229" t="s">
        <v>432</v>
      </c>
      <c r="D2050" s="377" t="s">
        <v>3769</v>
      </c>
      <c r="E2050" s="1513" t="s">
        <v>1307</v>
      </c>
      <c r="F2050" s="338" t="s">
        <v>3121</v>
      </c>
      <c r="G2050" s="409" t="s">
        <v>77</v>
      </c>
      <c r="H2050" s="168" t="s">
        <v>1298</v>
      </c>
      <c r="I2050" s="57">
        <v>1</v>
      </c>
      <c r="J2050" s="109" t="s">
        <v>432</v>
      </c>
      <c r="K2050" s="109" t="s">
        <v>432</v>
      </c>
      <c r="L2050" s="109" t="s">
        <v>432</v>
      </c>
      <c r="M2050" s="109" t="s">
        <v>432</v>
      </c>
      <c r="N2050" s="109" t="s">
        <v>432</v>
      </c>
      <c r="O2050" s="109" t="s">
        <v>432</v>
      </c>
      <c r="P2050" s="109" t="s">
        <v>432</v>
      </c>
      <c r="Q2050" s="109" t="s">
        <v>432</v>
      </c>
      <c r="R2050" s="109" t="s">
        <v>432</v>
      </c>
      <c r="S2050" s="109" t="s">
        <v>2209</v>
      </c>
      <c r="T2050" s="109" t="s">
        <v>432</v>
      </c>
      <c r="U2050" s="109" t="s">
        <v>432</v>
      </c>
      <c r="V2050" s="109" t="s">
        <v>2209</v>
      </c>
      <c r="W2050" s="109" t="s">
        <v>432</v>
      </c>
      <c r="X2050" s="109" t="s">
        <v>432</v>
      </c>
      <c r="Y2050" s="109" t="s">
        <v>432</v>
      </c>
      <c r="Z2050" s="109" t="s">
        <v>432</v>
      </c>
      <c r="AA2050" s="339">
        <v>46.8</v>
      </c>
      <c r="AB2050" s="339">
        <v>40.1</v>
      </c>
      <c r="AC2050" s="339">
        <v>55.5</v>
      </c>
      <c r="AD2050" s="339">
        <v>50.2</v>
      </c>
      <c r="AE2050" s="339">
        <v>29.1</v>
      </c>
      <c r="AF2050" s="339">
        <v>60</v>
      </c>
      <c r="AG2050" s="339">
        <v>58.1</v>
      </c>
      <c r="AH2050" s="339">
        <v>50.6</v>
      </c>
      <c r="AI2050" s="339">
        <v>49.7</v>
      </c>
      <c r="AJ2050" s="622" t="s">
        <v>2213</v>
      </c>
      <c r="AK2050" s="622" t="s">
        <v>2213</v>
      </c>
      <c r="AL2050" s="601" t="s">
        <v>432</v>
      </c>
      <c r="AM2050" s="137" t="s">
        <v>432</v>
      </c>
      <c r="AN2050" s="137" t="s">
        <v>432</v>
      </c>
      <c r="AO2050" s="137" t="s">
        <v>432</v>
      </c>
      <c r="AP2050" s="137" t="s">
        <v>432</v>
      </c>
      <c r="AQ2050" s="137" t="s">
        <v>432</v>
      </c>
      <c r="AR2050" s="137" t="s">
        <v>432</v>
      </c>
      <c r="AS2050" s="137" t="s">
        <v>432</v>
      </c>
      <c r="AT2050" s="137" t="s">
        <v>432</v>
      </c>
      <c r="AU2050" s="137" t="s">
        <v>432</v>
      </c>
      <c r="AV2050" s="137" t="s">
        <v>432</v>
      </c>
      <c r="AW2050" s="137" t="s">
        <v>432</v>
      </c>
      <c r="AX2050" s="137" t="s">
        <v>432</v>
      </c>
      <c r="AY2050" s="137" t="s">
        <v>432</v>
      </c>
      <c r="AZ2050" s="137" t="s">
        <v>432</v>
      </c>
      <c r="BA2050" s="137" t="s">
        <v>432</v>
      </c>
      <c r="BB2050" s="239" t="str">
        <f>B2050&amp;C2050</f>
        <v>Poluição do arx</v>
      </c>
      <c r="BC2050" s="239" t="str">
        <f>B2050&amp;C2050&amp;H2050</f>
        <v>Poluição do arxRMBH</v>
      </c>
      <c r="BD2050" s="239" t="str">
        <f>B2050&amp;H2050</f>
        <v>Poluição do arRMBH</v>
      </c>
    </row>
    <row r="2051" spans="1:56" s="1" customFormat="1" ht="101.25" customHeight="1" x14ac:dyDescent="0.25">
      <c r="A2051" s="275" t="str">
        <f>'Q100b-totais'!$B$44</f>
        <v>5.2</v>
      </c>
      <c r="B2051" s="54" t="str">
        <f>'Q100b-totais'!$C$44</f>
        <v>Poluição do ar</v>
      </c>
      <c r="C2051" s="229" t="s">
        <v>432</v>
      </c>
      <c r="D2051" s="377" t="s">
        <v>1246</v>
      </c>
      <c r="E2051" s="1513" t="s">
        <v>1269</v>
      </c>
      <c r="F2051" s="338" t="s">
        <v>3120</v>
      </c>
      <c r="G2051" s="409" t="s">
        <v>77</v>
      </c>
      <c r="H2051" s="168" t="s">
        <v>1298</v>
      </c>
      <c r="I2051" s="57">
        <v>1</v>
      </c>
      <c r="J2051" s="109" t="s">
        <v>432</v>
      </c>
      <c r="K2051" s="109" t="s">
        <v>432</v>
      </c>
      <c r="L2051" s="109" t="s">
        <v>432</v>
      </c>
      <c r="M2051" s="109" t="s">
        <v>432</v>
      </c>
      <c r="N2051" s="109" t="s">
        <v>432</v>
      </c>
      <c r="O2051" s="109" t="s">
        <v>432</v>
      </c>
      <c r="P2051" s="109" t="s">
        <v>432</v>
      </c>
      <c r="Q2051" s="109" t="s">
        <v>432</v>
      </c>
      <c r="R2051" s="109" t="s">
        <v>432</v>
      </c>
      <c r="S2051" s="109" t="s">
        <v>2209</v>
      </c>
      <c r="T2051" s="109" t="s">
        <v>432</v>
      </c>
      <c r="U2051" s="109" t="s">
        <v>432</v>
      </c>
      <c r="V2051" s="109" t="s">
        <v>2209</v>
      </c>
      <c r="W2051" s="109" t="s">
        <v>432</v>
      </c>
      <c r="X2051" s="109" t="s">
        <v>432</v>
      </c>
      <c r="Y2051" s="339">
        <v>55.6</v>
      </c>
      <c r="Z2051" s="109" t="s">
        <v>432</v>
      </c>
      <c r="AA2051" s="340">
        <v>13</v>
      </c>
      <c r="AB2051" s="340">
        <v>10.7</v>
      </c>
      <c r="AC2051" s="340">
        <v>15.1</v>
      </c>
      <c r="AD2051" s="340">
        <v>19</v>
      </c>
      <c r="AE2051" s="340">
        <v>16.2</v>
      </c>
      <c r="AF2051" s="340">
        <v>22.8</v>
      </c>
      <c r="AG2051" s="340">
        <v>30.7</v>
      </c>
      <c r="AH2051" s="340">
        <v>32.9</v>
      </c>
      <c r="AI2051" s="339">
        <v>30.2</v>
      </c>
      <c r="AJ2051" s="622" t="s">
        <v>2213</v>
      </c>
      <c r="AK2051" s="622" t="s">
        <v>2213</v>
      </c>
      <c r="AL2051" s="601" t="s">
        <v>432</v>
      </c>
      <c r="AM2051" s="137" t="s">
        <v>432</v>
      </c>
      <c r="AN2051" s="137" t="s">
        <v>432</v>
      </c>
      <c r="AO2051" s="137" t="s">
        <v>432</v>
      </c>
      <c r="AP2051" s="137" t="s">
        <v>432</v>
      </c>
      <c r="AQ2051" s="137" t="s">
        <v>432</v>
      </c>
      <c r="AR2051" s="137" t="s">
        <v>432</v>
      </c>
      <c r="AS2051" s="137" t="s">
        <v>432</v>
      </c>
      <c r="AT2051" s="137" t="s">
        <v>432</v>
      </c>
      <c r="AU2051" s="137" t="s">
        <v>432</v>
      </c>
      <c r="AV2051" s="137" t="s">
        <v>432</v>
      </c>
      <c r="AW2051" s="137" t="s">
        <v>432</v>
      </c>
      <c r="AX2051" s="137" t="s">
        <v>432</v>
      </c>
      <c r="AY2051" s="137" t="s">
        <v>432</v>
      </c>
      <c r="AZ2051" s="137" t="s">
        <v>432</v>
      </c>
      <c r="BA2051" s="137" t="s">
        <v>432</v>
      </c>
      <c r="BB2051" s="239" t="str">
        <f>B2051&amp;C2051</f>
        <v>Poluição do arx</v>
      </c>
      <c r="BC2051" s="239" t="str">
        <f>B2051&amp;C2051&amp;H2051</f>
        <v>Poluição do arxRMBH</v>
      </c>
      <c r="BD2051" s="239" t="str">
        <f>B2051&amp;H2051</f>
        <v>Poluição do arRMBH</v>
      </c>
    </row>
    <row r="2052" spans="1:56" s="1" customFormat="1" ht="99" customHeight="1" x14ac:dyDescent="0.25">
      <c r="A2052" s="275" t="str">
        <f>'Q100b-totais'!$B$44</f>
        <v>5.2</v>
      </c>
      <c r="B2052" s="54" t="str">
        <f>'Q100b-totais'!$C$44</f>
        <v>Poluição do ar</v>
      </c>
      <c r="C2052" s="229" t="s">
        <v>432</v>
      </c>
      <c r="D2052" s="377" t="s">
        <v>1247</v>
      </c>
      <c r="E2052" s="1513" t="s">
        <v>1269</v>
      </c>
      <c r="F2052" s="338" t="s">
        <v>3119</v>
      </c>
      <c r="G2052" s="409" t="s">
        <v>77</v>
      </c>
      <c r="H2052" s="168" t="s">
        <v>1298</v>
      </c>
      <c r="I2052" s="57">
        <v>1</v>
      </c>
      <c r="J2052" s="109" t="s">
        <v>432</v>
      </c>
      <c r="K2052" s="109" t="s">
        <v>432</v>
      </c>
      <c r="L2052" s="109" t="s">
        <v>432</v>
      </c>
      <c r="M2052" s="109" t="s">
        <v>432</v>
      </c>
      <c r="N2052" s="109" t="s">
        <v>432</v>
      </c>
      <c r="O2052" s="109" t="s">
        <v>432</v>
      </c>
      <c r="P2052" s="109" t="s">
        <v>432</v>
      </c>
      <c r="Q2052" s="109" t="s">
        <v>432</v>
      </c>
      <c r="R2052" s="109" t="s">
        <v>432</v>
      </c>
      <c r="S2052" s="109" t="s">
        <v>2209</v>
      </c>
      <c r="T2052" s="109" t="s">
        <v>432</v>
      </c>
      <c r="U2052" s="109" t="s">
        <v>432</v>
      </c>
      <c r="V2052" s="109" t="s">
        <v>2209</v>
      </c>
      <c r="W2052" s="109" t="s">
        <v>432</v>
      </c>
      <c r="X2052" s="109" t="s">
        <v>432</v>
      </c>
      <c r="Y2052" s="109" t="s">
        <v>432</v>
      </c>
      <c r="Z2052" s="109" t="s">
        <v>432</v>
      </c>
      <c r="AA2052" s="339">
        <v>17.600000000000001</v>
      </c>
      <c r="AB2052" s="339">
        <v>19.899999999999999</v>
      </c>
      <c r="AC2052" s="339">
        <v>11.9</v>
      </c>
      <c r="AD2052" s="339">
        <v>22.6</v>
      </c>
      <c r="AE2052" s="339">
        <v>17.5</v>
      </c>
      <c r="AF2052" s="339">
        <v>25.7</v>
      </c>
      <c r="AG2052" s="110" t="s">
        <v>432</v>
      </c>
      <c r="AH2052" s="339">
        <v>24.6</v>
      </c>
      <c r="AI2052" s="339">
        <v>24.2</v>
      </c>
      <c r="AJ2052" s="622" t="s">
        <v>2213</v>
      </c>
      <c r="AK2052" s="622" t="s">
        <v>2213</v>
      </c>
      <c r="AL2052" s="601" t="s">
        <v>432</v>
      </c>
      <c r="AM2052" s="137" t="s">
        <v>432</v>
      </c>
      <c r="AN2052" s="137" t="s">
        <v>432</v>
      </c>
      <c r="AO2052" s="137" t="s">
        <v>432</v>
      </c>
      <c r="AP2052" s="137" t="s">
        <v>432</v>
      </c>
      <c r="AQ2052" s="137" t="s">
        <v>432</v>
      </c>
      <c r="AR2052" s="137" t="s">
        <v>432</v>
      </c>
      <c r="AS2052" s="137" t="s">
        <v>432</v>
      </c>
      <c r="AT2052" s="137" t="s">
        <v>432</v>
      </c>
      <c r="AU2052" s="137" t="s">
        <v>432</v>
      </c>
      <c r="AV2052" s="137" t="s">
        <v>432</v>
      </c>
      <c r="AW2052" s="137" t="s">
        <v>432</v>
      </c>
      <c r="AX2052" s="137" t="s">
        <v>432</v>
      </c>
      <c r="AY2052" s="137" t="s">
        <v>432</v>
      </c>
      <c r="AZ2052" s="137" t="s">
        <v>432</v>
      </c>
      <c r="BA2052" s="137" t="s">
        <v>432</v>
      </c>
      <c r="BB2052" s="239" t="str">
        <f>B2052&amp;C2052</f>
        <v>Poluição do arx</v>
      </c>
      <c r="BC2052" s="239" t="str">
        <f>B2052&amp;C2052&amp;H2052</f>
        <v>Poluição do arxRMBH</v>
      </c>
      <c r="BD2052" s="239" t="str">
        <f>B2052&amp;H2052</f>
        <v>Poluição do arRMBH</v>
      </c>
    </row>
    <row r="2053" spans="1:56" x14ac:dyDescent="0.25">
      <c r="A2053" s="910"/>
      <c r="B2053" s="911"/>
      <c r="C2053" s="912"/>
      <c r="D2053" s="981"/>
      <c r="E2053" s="1528"/>
      <c r="F2053" s="913"/>
      <c r="G2053" s="913"/>
      <c r="H2053" s="913"/>
      <c r="I2053" s="914"/>
      <c r="J2053" s="914"/>
      <c r="K2053" s="910"/>
      <c r="L2053" s="910"/>
      <c r="M2053" s="910"/>
      <c r="N2053" s="910"/>
      <c r="O2053" s="910"/>
      <c r="P2053" s="910"/>
      <c r="Q2053" s="910"/>
      <c r="R2053" s="910"/>
      <c r="S2053" s="910"/>
      <c r="T2053" s="910"/>
      <c r="U2053" s="910"/>
      <c r="V2053" s="910"/>
      <c r="W2053" s="910"/>
      <c r="X2053" s="910"/>
      <c r="Y2053" s="910"/>
      <c r="Z2053" s="910"/>
      <c r="AA2053" s="910"/>
      <c r="AB2053" s="910"/>
      <c r="AC2053" s="910"/>
      <c r="AD2053" s="910"/>
      <c r="AE2053" s="910"/>
      <c r="AF2053" s="910"/>
      <c r="AG2053" s="910"/>
      <c r="AH2053" s="910"/>
      <c r="AI2053" s="910"/>
      <c r="AJ2053" s="910"/>
      <c r="AK2053" s="910"/>
      <c r="AL2053" s="910"/>
      <c r="AM2053" s="910"/>
      <c r="AN2053" s="910"/>
      <c r="AO2053" s="910"/>
      <c r="AP2053" s="910"/>
      <c r="AQ2053" s="910"/>
      <c r="AR2053" s="910"/>
      <c r="AS2053" s="910"/>
      <c r="AT2053" s="910"/>
      <c r="AU2053" s="910"/>
      <c r="AV2053" s="910"/>
      <c r="AW2053" s="910"/>
      <c r="AX2053" s="910"/>
      <c r="AY2053" s="910"/>
      <c r="AZ2053" s="910"/>
      <c r="BA2053" s="910"/>
      <c r="BB2053" s="910"/>
      <c r="BC2053" s="910"/>
      <c r="BD2053" s="910"/>
    </row>
    <row r="2054" spans="1:56" ht="30.75" customHeight="1" x14ac:dyDescent="0.25">
      <c r="A2054" s="275" t="str">
        <f>'Q100b-totais'!$B$44</f>
        <v>5.2</v>
      </c>
      <c r="B2054" s="1205" t="str">
        <f>'Q100b-totais'!$C$44</f>
        <v>Poluição do ar</v>
      </c>
      <c r="C2054" s="167" t="s">
        <v>432</v>
      </c>
      <c r="D2054" s="362" t="s">
        <v>4919</v>
      </c>
      <c r="E2054" s="1502" t="s">
        <v>3443</v>
      </c>
      <c r="F2054" s="355" t="s">
        <v>1590</v>
      </c>
      <c r="G2054" s="1173" t="s">
        <v>77</v>
      </c>
      <c r="H2054" s="173" t="s">
        <v>819</v>
      </c>
      <c r="I2054" s="167" t="s">
        <v>3426</v>
      </c>
      <c r="J2054" s="109" t="s">
        <v>432</v>
      </c>
      <c r="K2054" s="109" t="s">
        <v>432</v>
      </c>
      <c r="L2054" s="109" t="s">
        <v>432</v>
      </c>
      <c r="M2054" s="109" t="s">
        <v>432</v>
      </c>
      <c r="N2054" s="109" t="s">
        <v>432</v>
      </c>
      <c r="O2054" s="109" t="s">
        <v>432</v>
      </c>
      <c r="P2054" s="109" t="s">
        <v>432</v>
      </c>
      <c r="Q2054" s="109" t="s">
        <v>432</v>
      </c>
      <c r="R2054" s="109" t="s">
        <v>432</v>
      </c>
      <c r="S2054" s="109" t="s">
        <v>2209</v>
      </c>
      <c r="T2054" s="109" t="s">
        <v>432</v>
      </c>
      <c r="U2054" s="109" t="s">
        <v>432</v>
      </c>
      <c r="V2054" s="109" t="s">
        <v>2209</v>
      </c>
      <c r="W2054" s="109" t="s">
        <v>432</v>
      </c>
      <c r="X2054" s="109" t="s">
        <v>432</v>
      </c>
      <c r="Y2054" s="109" t="s">
        <v>432</v>
      </c>
      <c r="Z2054" s="109" t="s">
        <v>432</v>
      </c>
      <c r="AA2054" s="109" t="s">
        <v>432</v>
      </c>
      <c r="AB2054" s="109" t="s">
        <v>432</v>
      </c>
      <c r="AC2054" s="109" t="s">
        <v>432</v>
      </c>
      <c r="AD2054" s="109" t="s">
        <v>432</v>
      </c>
      <c r="AE2054" s="109" t="s">
        <v>432</v>
      </c>
      <c r="AF2054" s="109" t="s">
        <v>432</v>
      </c>
      <c r="AG2054" s="83">
        <v>24.718499999999999</v>
      </c>
      <c r="AH2054" s="268" t="s">
        <v>432</v>
      </c>
      <c r="AI2054" s="268" t="s">
        <v>432</v>
      </c>
      <c r="AJ2054" s="268" t="s">
        <v>432</v>
      </c>
      <c r="AK2054" s="268" t="s">
        <v>432</v>
      </c>
      <c r="AL2054" s="601" t="s">
        <v>432</v>
      </c>
      <c r="AM2054" s="268" t="s">
        <v>432</v>
      </c>
      <c r="AN2054" s="268" t="s">
        <v>432</v>
      </c>
      <c r="AO2054" s="268" t="s">
        <v>432</v>
      </c>
      <c r="AP2054" s="268" t="s">
        <v>432</v>
      </c>
      <c r="AQ2054" s="268" t="s">
        <v>432</v>
      </c>
      <c r="AR2054" s="268" t="s">
        <v>432</v>
      </c>
      <c r="AS2054" s="268" t="s">
        <v>432</v>
      </c>
      <c r="AT2054" s="268" t="s">
        <v>432</v>
      </c>
      <c r="AU2054" s="268" t="s">
        <v>432</v>
      </c>
      <c r="AV2054" s="268" t="s">
        <v>432</v>
      </c>
      <c r="AW2054" s="268" t="s">
        <v>432</v>
      </c>
      <c r="AX2054" s="268" t="s">
        <v>432</v>
      </c>
      <c r="AY2054" s="268" t="s">
        <v>432</v>
      </c>
      <c r="AZ2054" s="268" t="s">
        <v>432</v>
      </c>
      <c r="BA2054" s="268" t="s">
        <v>432</v>
      </c>
      <c r="BB2054" s="396" t="str">
        <f t="shared" ref="BB2054:BB2090" si="593">B2054&amp;C2054</f>
        <v>Poluição do arx</v>
      </c>
      <c r="BC2054" s="396" t="str">
        <f t="shared" ref="BC2054:BC2090" si="594">B2054&amp;C2054&amp;H2054</f>
        <v>Poluição do arxbenchmarking</v>
      </c>
      <c r="BD2054" s="396" t="str">
        <f t="shared" ref="BD2054:BD2090" si="595">B2054&amp;H2054</f>
        <v>Poluição do arbenchmarking</v>
      </c>
    </row>
    <row r="2055" spans="1:56" s="105" customFormat="1" ht="30.75" customHeight="1" x14ac:dyDescent="0.25">
      <c r="A2055" s="275" t="str">
        <f>'Q100b-totais'!$B$44</f>
        <v>5.2</v>
      </c>
      <c r="B2055" s="1205" t="str">
        <f>'Q100b-totais'!$C$44</f>
        <v>Poluição do ar</v>
      </c>
      <c r="C2055" s="167" t="s">
        <v>432</v>
      </c>
      <c r="D2055" s="324" t="s">
        <v>4919</v>
      </c>
      <c r="E2055" s="1542" t="s">
        <v>3363</v>
      </c>
      <c r="F2055" s="252" t="s">
        <v>1590</v>
      </c>
      <c r="G2055" s="1173" t="s">
        <v>3789</v>
      </c>
      <c r="H2055" s="173" t="s">
        <v>819</v>
      </c>
      <c r="I2055" s="167" t="s">
        <v>3426</v>
      </c>
      <c r="J2055" s="109" t="s">
        <v>432</v>
      </c>
      <c r="K2055" s="109" t="s">
        <v>432</v>
      </c>
      <c r="L2055" s="109" t="s">
        <v>432</v>
      </c>
      <c r="M2055" s="109" t="s">
        <v>432</v>
      </c>
      <c r="N2055" s="109" t="s">
        <v>432</v>
      </c>
      <c r="O2055" s="109" t="s">
        <v>432</v>
      </c>
      <c r="P2055" s="109" t="s">
        <v>432</v>
      </c>
      <c r="Q2055" s="109" t="s">
        <v>432</v>
      </c>
      <c r="R2055" s="109" t="s">
        <v>432</v>
      </c>
      <c r="S2055" s="109" t="s">
        <v>2209</v>
      </c>
      <c r="T2055" s="109" t="s">
        <v>432</v>
      </c>
      <c r="U2055" s="109" t="s">
        <v>432</v>
      </c>
      <c r="V2055" s="109" t="s">
        <v>2209</v>
      </c>
      <c r="W2055" s="109" t="s">
        <v>432</v>
      </c>
      <c r="X2055" s="109" t="s">
        <v>432</v>
      </c>
      <c r="Y2055" s="109" t="s">
        <v>432</v>
      </c>
      <c r="Z2055" s="109" t="s">
        <v>432</v>
      </c>
      <c r="AA2055" s="109" t="s">
        <v>432</v>
      </c>
      <c r="AB2055" s="109" t="s">
        <v>432</v>
      </c>
      <c r="AC2055" s="109" t="s">
        <v>432</v>
      </c>
      <c r="AD2055" s="109" t="s">
        <v>432</v>
      </c>
      <c r="AE2055" s="109" t="s">
        <v>432</v>
      </c>
      <c r="AF2055" s="268" t="s">
        <v>432</v>
      </c>
      <c r="AG2055" s="268" t="s">
        <v>432</v>
      </c>
      <c r="AH2055" s="268" t="s">
        <v>432</v>
      </c>
      <c r="AI2055" s="268" t="s">
        <v>432</v>
      </c>
      <c r="AJ2055" s="268" t="s">
        <v>432</v>
      </c>
      <c r="AK2055" s="268" t="s">
        <v>432</v>
      </c>
      <c r="AL2055" s="601" t="s">
        <v>432</v>
      </c>
      <c r="AM2055" s="268" t="s">
        <v>432</v>
      </c>
      <c r="AN2055" s="268" t="s">
        <v>432</v>
      </c>
      <c r="AO2055" s="268" t="s">
        <v>432</v>
      </c>
      <c r="AP2055" s="268" t="s">
        <v>432</v>
      </c>
      <c r="AQ2055" s="268" t="s">
        <v>432</v>
      </c>
      <c r="AR2055" s="268" t="s">
        <v>432</v>
      </c>
      <c r="AS2055" s="268" t="s">
        <v>432</v>
      </c>
      <c r="AT2055" s="268" t="s">
        <v>432</v>
      </c>
      <c r="AU2055" s="268" t="s">
        <v>432</v>
      </c>
      <c r="AV2055" s="268" t="s">
        <v>432</v>
      </c>
      <c r="AW2055" s="268" t="s">
        <v>432</v>
      </c>
      <c r="AX2055" s="268" t="s">
        <v>432</v>
      </c>
      <c r="AY2055" s="268" t="s">
        <v>432</v>
      </c>
      <c r="AZ2055" s="268" t="s">
        <v>432</v>
      </c>
      <c r="BA2055" s="268" t="s">
        <v>432</v>
      </c>
      <c r="BB2055" s="396" t="str">
        <f t="shared" si="593"/>
        <v>Poluição do arx</v>
      </c>
      <c r="BC2055" s="396" t="str">
        <f t="shared" si="594"/>
        <v>Poluição do arxbenchmarking</v>
      </c>
      <c r="BD2055" s="396" t="str">
        <f t="shared" si="595"/>
        <v>Poluição do arbenchmarking</v>
      </c>
    </row>
    <row r="2056" spans="1:56" s="105" customFormat="1" ht="30.75" customHeight="1" x14ac:dyDescent="0.25">
      <c r="A2056" s="275" t="str">
        <f>'Q100b-totais'!$B$44</f>
        <v>5.2</v>
      </c>
      <c r="B2056" s="1205" t="str">
        <f>'Q100b-totais'!$C$44</f>
        <v>Poluição do ar</v>
      </c>
      <c r="C2056" s="167" t="s">
        <v>432</v>
      </c>
      <c r="D2056" s="324" t="s">
        <v>4919</v>
      </c>
      <c r="E2056" s="1542" t="s">
        <v>3335</v>
      </c>
      <c r="F2056" s="252" t="s">
        <v>1590</v>
      </c>
      <c r="G2056" s="1173" t="s">
        <v>3789</v>
      </c>
      <c r="H2056" s="173" t="s">
        <v>819</v>
      </c>
      <c r="I2056" s="167" t="s">
        <v>3426</v>
      </c>
      <c r="J2056" s="109" t="s">
        <v>432</v>
      </c>
      <c r="K2056" s="109" t="s">
        <v>432</v>
      </c>
      <c r="L2056" s="109" t="s">
        <v>432</v>
      </c>
      <c r="M2056" s="109" t="s">
        <v>432</v>
      </c>
      <c r="N2056" s="109" t="s">
        <v>432</v>
      </c>
      <c r="O2056" s="109" t="s">
        <v>432</v>
      </c>
      <c r="P2056" s="109" t="s">
        <v>432</v>
      </c>
      <c r="Q2056" s="109" t="s">
        <v>432</v>
      </c>
      <c r="R2056" s="109" t="s">
        <v>432</v>
      </c>
      <c r="S2056" s="109" t="s">
        <v>2209</v>
      </c>
      <c r="T2056" s="109" t="s">
        <v>432</v>
      </c>
      <c r="U2056" s="109" t="s">
        <v>432</v>
      </c>
      <c r="V2056" s="109" t="s">
        <v>2209</v>
      </c>
      <c r="W2056" s="109" t="s">
        <v>432</v>
      </c>
      <c r="X2056" s="109" t="s">
        <v>432</v>
      </c>
      <c r="Y2056" s="109" t="s">
        <v>432</v>
      </c>
      <c r="Z2056" s="109" t="s">
        <v>432</v>
      </c>
      <c r="AA2056" s="109" t="s">
        <v>432</v>
      </c>
      <c r="AB2056" s="109" t="s">
        <v>432</v>
      </c>
      <c r="AC2056" s="109" t="s">
        <v>432</v>
      </c>
      <c r="AD2056" s="109" t="s">
        <v>432</v>
      </c>
      <c r="AE2056" s="109" t="s">
        <v>432</v>
      </c>
      <c r="AF2056" s="268" t="s">
        <v>432</v>
      </c>
      <c r="AG2056" s="268" t="s">
        <v>432</v>
      </c>
      <c r="AH2056" s="268" t="s">
        <v>432</v>
      </c>
      <c r="AI2056" s="268" t="s">
        <v>432</v>
      </c>
      <c r="AJ2056" s="268" t="s">
        <v>432</v>
      </c>
      <c r="AK2056" s="268" t="s">
        <v>432</v>
      </c>
      <c r="AL2056" s="601" t="s">
        <v>432</v>
      </c>
      <c r="AM2056" s="268" t="s">
        <v>432</v>
      </c>
      <c r="AN2056" s="268" t="s">
        <v>432</v>
      </c>
      <c r="AO2056" s="268" t="s">
        <v>432</v>
      </c>
      <c r="AP2056" s="268" t="s">
        <v>432</v>
      </c>
      <c r="AQ2056" s="268" t="s">
        <v>432</v>
      </c>
      <c r="AR2056" s="268" t="s">
        <v>432</v>
      </c>
      <c r="AS2056" s="268" t="s">
        <v>432</v>
      </c>
      <c r="AT2056" s="268" t="s">
        <v>432</v>
      </c>
      <c r="AU2056" s="268" t="s">
        <v>432</v>
      </c>
      <c r="AV2056" s="268" t="s">
        <v>432</v>
      </c>
      <c r="AW2056" s="268" t="s">
        <v>432</v>
      </c>
      <c r="AX2056" s="268" t="s">
        <v>432</v>
      </c>
      <c r="AY2056" s="268" t="s">
        <v>432</v>
      </c>
      <c r="AZ2056" s="268" t="s">
        <v>432</v>
      </c>
      <c r="BA2056" s="268" t="s">
        <v>432</v>
      </c>
      <c r="BB2056" s="396" t="str">
        <f t="shared" si="593"/>
        <v>Poluição do arx</v>
      </c>
      <c r="BC2056" s="396" t="str">
        <f t="shared" si="594"/>
        <v>Poluição do arxbenchmarking</v>
      </c>
      <c r="BD2056" s="396" t="str">
        <f t="shared" si="595"/>
        <v>Poluição do arbenchmarking</v>
      </c>
    </row>
    <row r="2057" spans="1:56" ht="30.75" customHeight="1" x14ac:dyDescent="0.25">
      <c r="A2057" s="275" t="str">
        <f>'Q100b-totais'!$B$44</f>
        <v>5.2</v>
      </c>
      <c r="B2057" s="1205" t="str">
        <f>'Q100b-totais'!$C$44</f>
        <v>Poluição do ar</v>
      </c>
      <c r="C2057" s="167" t="s">
        <v>432</v>
      </c>
      <c r="D2057" s="362" t="s">
        <v>4919</v>
      </c>
      <c r="E2057" s="1501" t="s">
        <v>3336</v>
      </c>
      <c r="F2057" s="355" t="s">
        <v>1590</v>
      </c>
      <c r="G2057" s="1173" t="s">
        <v>77</v>
      </c>
      <c r="H2057" s="173" t="s">
        <v>819</v>
      </c>
      <c r="I2057" s="167" t="s">
        <v>3426</v>
      </c>
      <c r="J2057" s="109" t="s">
        <v>432</v>
      </c>
      <c r="K2057" s="109" t="s">
        <v>432</v>
      </c>
      <c r="L2057" s="109" t="s">
        <v>432</v>
      </c>
      <c r="M2057" s="109" t="s">
        <v>432</v>
      </c>
      <c r="N2057" s="109" t="s">
        <v>432</v>
      </c>
      <c r="O2057" s="109" t="s">
        <v>432</v>
      </c>
      <c r="P2057" s="109" t="s">
        <v>432</v>
      </c>
      <c r="Q2057" s="109" t="s">
        <v>432</v>
      </c>
      <c r="R2057" s="109" t="s">
        <v>432</v>
      </c>
      <c r="S2057" s="109" t="s">
        <v>2209</v>
      </c>
      <c r="T2057" s="109" t="s">
        <v>432</v>
      </c>
      <c r="U2057" s="109" t="s">
        <v>432</v>
      </c>
      <c r="V2057" s="109" t="s">
        <v>2209</v>
      </c>
      <c r="W2057" s="109" t="s">
        <v>432</v>
      </c>
      <c r="X2057" s="109" t="s">
        <v>432</v>
      </c>
      <c r="Y2057" s="109" t="s">
        <v>432</v>
      </c>
      <c r="Z2057" s="109" t="s">
        <v>432</v>
      </c>
      <c r="AA2057" s="109" t="s">
        <v>432</v>
      </c>
      <c r="AB2057" s="109" t="s">
        <v>432</v>
      </c>
      <c r="AC2057" s="109" t="s">
        <v>432</v>
      </c>
      <c r="AD2057" s="109" t="s">
        <v>432</v>
      </c>
      <c r="AE2057" s="109" t="s">
        <v>432</v>
      </c>
      <c r="AF2057" s="268" t="s">
        <v>432</v>
      </c>
      <c r="AG2057" s="83">
        <v>24.902000000000001</v>
      </c>
      <c r="AH2057" s="268" t="s">
        <v>432</v>
      </c>
      <c r="AI2057" s="268" t="s">
        <v>432</v>
      </c>
      <c r="AJ2057" s="268" t="s">
        <v>432</v>
      </c>
      <c r="AK2057" s="268" t="s">
        <v>432</v>
      </c>
      <c r="AL2057" s="601" t="s">
        <v>432</v>
      </c>
      <c r="AM2057" s="268" t="s">
        <v>432</v>
      </c>
      <c r="AN2057" s="268" t="s">
        <v>432</v>
      </c>
      <c r="AO2057" s="268" t="s">
        <v>432</v>
      </c>
      <c r="AP2057" s="268" t="s">
        <v>432</v>
      </c>
      <c r="AQ2057" s="268" t="s">
        <v>432</v>
      </c>
      <c r="AR2057" s="268" t="s">
        <v>432</v>
      </c>
      <c r="AS2057" s="268" t="s">
        <v>432</v>
      </c>
      <c r="AT2057" s="268" t="s">
        <v>432</v>
      </c>
      <c r="AU2057" s="268" t="s">
        <v>432</v>
      </c>
      <c r="AV2057" s="268" t="s">
        <v>432</v>
      </c>
      <c r="AW2057" s="268" t="s">
        <v>432</v>
      </c>
      <c r="AX2057" s="268" t="s">
        <v>432</v>
      </c>
      <c r="AY2057" s="268" t="s">
        <v>432</v>
      </c>
      <c r="AZ2057" s="268" t="s">
        <v>432</v>
      </c>
      <c r="BA2057" s="268" t="s">
        <v>432</v>
      </c>
      <c r="BB2057" s="396" t="str">
        <f t="shared" si="593"/>
        <v>Poluição do arx</v>
      </c>
      <c r="BC2057" s="396" t="str">
        <f t="shared" si="594"/>
        <v>Poluição do arxbenchmarking</v>
      </c>
      <c r="BD2057" s="396" t="str">
        <f t="shared" si="595"/>
        <v>Poluição do arbenchmarking</v>
      </c>
    </row>
    <row r="2058" spans="1:56" s="105" customFormat="1" ht="30.75" customHeight="1" x14ac:dyDescent="0.25">
      <c r="A2058" s="275" t="str">
        <f>'Q100b-totais'!$B$44</f>
        <v>5.2</v>
      </c>
      <c r="B2058" s="1205" t="str">
        <f>'Q100b-totais'!$C$44</f>
        <v>Poluição do ar</v>
      </c>
      <c r="C2058" s="167" t="s">
        <v>432</v>
      </c>
      <c r="D2058" s="324" t="s">
        <v>4919</v>
      </c>
      <c r="E2058" s="1445" t="s">
        <v>3356</v>
      </c>
      <c r="F2058" s="252" t="s">
        <v>1590</v>
      </c>
      <c r="G2058" s="1173" t="s">
        <v>3789</v>
      </c>
      <c r="H2058" s="173" t="s">
        <v>819</v>
      </c>
      <c r="I2058" s="167" t="s">
        <v>3426</v>
      </c>
      <c r="J2058" s="109" t="s">
        <v>432</v>
      </c>
      <c r="K2058" s="109" t="s">
        <v>432</v>
      </c>
      <c r="L2058" s="109" t="s">
        <v>432</v>
      </c>
      <c r="M2058" s="109" t="s">
        <v>432</v>
      </c>
      <c r="N2058" s="109" t="s">
        <v>432</v>
      </c>
      <c r="O2058" s="109" t="s">
        <v>432</v>
      </c>
      <c r="P2058" s="109" t="s">
        <v>432</v>
      </c>
      <c r="Q2058" s="109" t="s">
        <v>432</v>
      </c>
      <c r="R2058" s="109" t="s">
        <v>432</v>
      </c>
      <c r="S2058" s="109" t="s">
        <v>2209</v>
      </c>
      <c r="T2058" s="109" t="s">
        <v>432</v>
      </c>
      <c r="U2058" s="109" t="s">
        <v>432</v>
      </c>
      <c r="V2058" s="109" t="s">
        <v>2209</v>
      </c>
      <c r="W2058" s="109" t="s">
        <v>432</v>
      </c>
      <c r="X2058" s="109" t="s">
        <v>432</v>
      </c>
      <c r="Y2058" s="109" t="s">
        <v>432</v>
      </c>
      <c r="Z2058" s="109" t="s">
        <v>432</v>
      </c>
      <c r="AA2058" s="109" t="s">
        <v>432</v>
      </c>
      <c r="AB2058" s="109" t="s">
        <v>432</v>
      </c>
      <c r="AC2058" s="109" t="s">
        <v>432</v>
      </c>
      <c r="AD2058" s="109" t="s">
        <v>432</v>
      </c>
      <c r="AE2058" s="109" t="s">
        <v>432</v>
      </c>
      <c r="AF2058" s="268" t="s">
        <v>432</v>
      </c>
      <c r="AG2058" s="268" t="s">
        <v>432</v>
      </c>
      <c r="AH2058" s="268" t="s">
        <v>432</v>
      </c>
      <c r="AI2058" s="268" t="s">
        <v>432</v>
      </c>
      <c r="AJ2058" s="268" t="s">
        <v>432</v>
      </c>
      <c r="AK2058" s="268" t="s">
        <v>432</v>
      </c>
      <c r="AL2058" s="601" t="s">
        <v>432</v>
      </c>
      <c r="AM2058" s="268" t="s">
        <v>432</v>
      </c>
      <c r="AN2058" s="268" t="s">
        <v>432</v>
      </c>
      <c r="AO2058" s="268" t="s">
        <v>432</v>
      </c>
      <c r="AP2058" s="268" t="s">
        <v>432</v>
      </c>
      <c r="AQ2058" s="268" t="s">
        <v>432</v>
      </c>
      <c r="AR2058" s="268" t="s">
        <v>432</v>
      </c>
      <c r="AS2058" s="268" t="s">
        <v>432</v>
      </c>
      <c r="AT2058" s="268" t="s">
        <v>432</v>
      </c>
      <c r="AU2058" s="268" t="s">
        <v>432</v>
      </c>
      <c r="AV2058" s="268" t="s">
        <v>432</v>
      </c>
      <c r="AW2058" s="268" t="s">
        <v>432</v>
      </c>
      <c r="AX2058" s="268" t="s">
        <v>432</v>
      </c>
      <c r="AY2058" s="268" t="s">
        <v>432</v>
      </c>
      <c r="AZ2058" s="268" t="s">
        <v>432</v>
      </c>
      <c r="BA2058" s="268" t="s">
        <v>432</v>
      </c>
      <c r="BB2058" s="396" t="str">
        <f t="shared" si="593"/>
        <v>Poluição do arx</v>
      </c>
      <c r="BC2058" s="396" t="str">
        <f t="shared" si="594"/>
        <v>Poluição do arxbenchmarking</v>
      </c>
      <c r="BD2058" s="396" t="str">
        <f t="shared" si="595"/>
        <v>Poluição do arbenchmarking</v>
      </c>
    </row>
    <row r="2059" spans="1:56" s="105" customFormat="1" ht="30.75" customHeight="1" x14ac:dyDescent="0.25">
      <c r="A2059" s="275" t="str">
        <f>'Q100b-totais'!$B$44</f>
        <v>5.2</v>
      </c>
      <c r="B2059" s="1205" t="str">
        <f>'Q100b-totais'!$C$44</f>
        <v>Poluição do ar</v>
      </c>
      <c r="C2059" s="167" t="s">
        <v>432</v>
      </c>
      <c r="D2059" s="362" t="s">
        <v>4919</v>
      </c>
      <c r="E2059" s="1523" t="s">
        <v>3347</v>
      </c>
      <c r="F2059" s="355" t="s">
        <v>1590</v>
      </c>
      <c r="G2059" s="1173" t="s">
        <v>77</v>
      </c>
      <c r="H2059" s="173" t="s">
        <v>819</v>
      </c>
      <c r="I2059" s="167" t="s">
        <v>3426</v>
      </c>
      <c r="J2059" s="109" t="s">
        <v>432</v>
      </c>
      <c r="K2059" s="109" t="s">
        <v>432</v>
      </c>
      <c r="L2059" s="109" t="s">
        <v>432</v>
      </c>
      <c r="M2059" s="109" t="s">
        <v>432</v>
      </c>
      <c r="N2059" s="109" t="s">
        <v>432</v>
      </c>
      <c r="O2059" s="109" t="s">
        <v>432</v>
      </c>
      <c r="P2059" s="109" t="s">
        <v>432</v>
      </c>
      <c r="Q2059" s="109" t="s">
        <v>432</v>
      </c>
      <c r="R2059" s="109" t="s">
        <v>432</v>
      </c>
      <c r="S2059" s="109" t="s">
        <v>2209</v>
      </c>
      <c r="T2059" s="109" t="s">
        <v>432</v>
      </c>
      <c r="U2059" s="109" t="s">
        <v>432</v>
      </c>
      <c r="V2059" s="109" t="s">
        <v>2209</v>
      </c>
      <c r="W2059" s="109" t="s">
        <v>432</v>
      </c>
      <c r="X2059" s="109" t="s">
        <v>432</v>
      </c>
      <c r="Y2059" s="109" t="s">
        <v>432</v>
      </c>
      <c r="Z2059" s="109" t="s">
        <v>432</v>
      </c>
      <c r="AA2059" s="109" t="s">
        <v>432</v>
      </c>
      <c r="AB2059" s="109" t="s">
        <v>432</v>
      </c>
      <c r="AC2059" s="109" t="s">
        <v>432</v>
      </c>
      <c r="AD2059" s="109" t="s">
        <v>432</v>
      </c>
      <c r="AE2059" s="109" t="s">
        <v>432</v>
      </c>
      <c r="AF2059" s="268" t="s">
        <v>432</v>
      </c>
      <c r="AG2059" s="83">
        <v>24.484000000000002</v>
      </c>
      <c r="AH2059" s="268" t="s">
        <v>432</v>
      </c>
      <c r="AI2059" s="268" t="s">
        <v>432</v>
      </c>
      <c r="AJ2059" s="268" t="s">
        <v>432</v>
      </c>
      <c r="AK2059" s="268" t="s">
        <v>432</v>
      </c>
      <c r="AL2059" s="601" t="s">
        <v>432</v>
      </c>
      <c r="AM2059" s="268" t="s">
        <v>432</v>
      </c>
      <c r="AN2059" s="268" t="s">
        <v>432</v>
      </c>
      <c r="AO2059" s="268" t="s">
        <v>432</v>
      </c>
      <c r="AP2059" s="268" t="s">
        <v>432</v>
      </c>
      <c r="AQ2059" s="268" t="s">
        <v>432</v>
      </c>
      <c r="AR2059" s="268" t="s">
        <v>432</v>
      </c>
      <c r="AS2059" s="268" t="s">
        <v>432</v>
      </c>
      <c r="AT2059" s="268" t="s">
        <v>432</v>
      </c>
      <c r="AU2059" s="268" t="s">
        <v>432</v>
      </c>
      <c r="AV2059" s="268" t="s">
        <v>432</v>
      </c>
      <c r="AW2059" s="268" t="s">
        <v>432</v>
      </c>
      <c r="AX2059" s="268" t="s">
        <v>432</v>
      </c>
      <c r="AY2059" s="268" t="s">
        <v>432</v>
      </c>
      <c r="AZ2059" s="268" t="s">
        <v>432</v>
      </c>
      <c r="BA2059" s="268" t="s">
        <v>432</v>
      </c>
      <c r="BB2059" s="396" t="str">
        <f t="shared" si="593"/>
        <v>Poluição do arx</v>
      </c>
      <c r="BC2059" s="396" t="str">
        <f t="shared" si="594"/>
        <v>Poluição do arxbenchmarking</v>
      </c>
      <c r="BD2059" s="396" t="str">
        <f t="shared" si="595"/>
        <v>Poluição do arbenchmarking</v>
      </c>
    </row>
    <row r="2060" spans="1:56" s="105" customFormat="1" ht="30.75" customHeight="1" x14ac:dyDescent="0.25">
      <c r="A2060" s="275" t="str">
        <f>'Q100b-totais'!$B$44</f>
        <v>5.2</v>
      </c>
      <c r="B2060" s="1205" t="str">
        <f>'Q100b-totais'!$C$44</f>
        <v>Poluição do ar</v>
      </c>
      <c r="C2060" s="167" t="s">
        <v>432</v>
      </c>
      <c r="D2060" s="362" t="s">
        <v>4919</v>
      </c>
      <c r="E2060" s="1523" t="s">
        <v>3352</v>
      </c>
      <c r="F2060" s="355" t="s">
        <v>1590</v>
      </c>
      <c r="G2060" s="1173" t="s">
        <v>77</v>
      </c>
      <c r="H2060" s="173" t="s">
        <v>819</v>
      </c>
      <c r="I2060" s="167" t="s">
        <v>3426</v>
      </c>
      <c r="J2060" s="109" t="s">
        <v>432</v>
      </c>
      <c r="K2060" s="109" t="s">
        <v>432</v>
      </c>
      <c r="L2060" s="109" t="s">
        <v>432</v>
      </c>
      <c r="M2060" s="109" t="s">
        <v>432</v>
      </c>
      <c r="N2060" s="109" t="s">
        <v>432</v>
      </c>
      <c r="O2060" s="109" t="s">
        <v>432</v>
      </c>
      <c r="P2060" s="109" t="s">
        <v>432</v>
      </c>
      <c r="Q2060" s="109" t="s">
        <v>432</v>
      </c>
      <c r="R2060" s="109" t="s">
        <v>432</v>
      </c>
      <c r="S2060" s="109" t="s">
        <v>2209</v>
      </c>
      <c r="T2060" s="109" t="s">
        <v>432</v>
      </c>
      <c r="U2060" s="109" t="s">
        <v>432</v>
      </c>
      <c r="V2060" s="109" t="s">
        <v>2209</v>
      </c>
      <c r="W2060" s="109" t="s">
        <v>432</v>
      </c>
      <c r="X2060" s="109" t="s">
        <v>432</v>
      </c>
      <c r="Y2060" s="109" t="s">
        <v>432</v>
      </c>
      <c r="Z2060" s="109" t="s">
        <v>432</v>
      </c>
      <c r="AA2060" s="109" t="s">
        <v>432</v>
      </c>
      <c r="AB2060" s="109" t="s">
        <v>432</v>
      </c>
      <c r="AC2060" s="109" t="s">
        <v>432</v>
      </c>
      <c r="AD2060" s="109" t="s">
        <v>432</v>
      </c>
      <c r="AE2060" s="109" t="s">
        <v>432</v>
      </c>
      <c r="AF2060" s="268" t="s">
        <v>432</v>
      </c>
      <c r="AG2060" s="1178">
        <v>31.477</v>
      </c>
      <c r="AH2060" s="268" t="s">
        <v>432</v>
      </c>
      <c r="AI2060" s="268" t="s">
        <v>432</v>
      </c>
      <c r="AJ2060" s="268" t="s">
        <v>432</v>
      </c>
      <c r="AK2060" s="268" t="s">
        <v>432</v>
      </c>
      <c r="AL2060" s="601" t="s">
        <v>432</v>
      </c>
      <c r="AM2060" s="268" t="s">
        <v>432</v>
      </c>
      <c r="AN2060" s="268" t="s">
        <v>432</v>
      </c>
      <c r="AO2060" s="268" t="s">
        <v>432</v>
      </c>
      <c r="AP2060" s="268" t="s">
        <v>432</v>
      </c>
      <c r="AQ2060" s="268" t="s">
        <v>432</v>
      </c>
      <c r="AR2060" s="268" t="s">
        <v>432</v>
      </c>
      <c r="AS2060" s="268" t="s">
        <v>432</v>
      </c>
      <c r="AT2060" s="268" t="s">
        <v>432</v>
      </c>
      <c r="AU2060" s="268" t="s">
        <v>432</v>
      </c>
      <c r="AV2060" s="268" t="s">
        <v>432</v>
      </c>
      <c r="AW2060" s="268" t="s">
        <v>432</v>
      </c>
      <c r="AX2060" s="268" t="s">
        <v>432</v>
      </c>
      <c r="AY2060" s="268" t="s">
        <v>432</v>
      </c>
      <c r="AZ2060" s="268" t="s">
        <v>432</v>
      </c>
      <c r="BA2060" s="268" t="s">
        <v>432</v>
      </c>
      <c r="BB2060" s="396" t="str">
        <f t="shared" si="593"/>
        <v>Poluição do arx</v>
      </c>
      <c r="BC2060" s="396" t="str">
        <f t="shared" si="594"/>
        <v>Poluição do arxbenchmarking</v>
      </c>
      <c r="BD2060" s="396" t="str">
        <f t="shared" si="595"/>
        <v>Poluição do arbenchmarking</v>
      </c>
    </row>
    <row r="2061" spans="1:56" s="105" customFormat="1" ht="30.75" customHeight="1" x14ac:dyDescent="0.25">
      <c r="A2061" s="275" t="str">
        <f>'Q100b-totais'!$B$44</f>
        <v>5.2</v>
      </c>
      <c r="B2061" s="1205" t="str">
        <f>'Q100b-totais'!$C$44</f>
        <v>Poluição do ar</v>
      </c>
      <c r="C2061" s="167" t="s">
        <v>432</v>
      </c>
      <c r="D2061" s="362" t="s">
        <v>4919</v>
      </c>
      <c r="E2061" s="1523" t="s">
        <v>1772</v>
      </c>
      <c r="F2061" s="355" t="s">
        <v>1590</v>
      </c>
      <c r="G2061" s="1173" t="s">
        <v>77</v>
      </c>
      <c r="H2061" s="173" t="s">
        <v>819</v>
      </c>
      <c r="I2061" s="167" t="s">
        <v>3426</v>
      </c>
      <c r="J2061" s="109" t="s">
        <v>432</v>
      </c>
      <c r="K2061" s="109" t="s">
        <v>432</v>
      </c>
      <c r="L2061" s="109" t="s">
        <v>432</v>
      </c>
      <c r="M2061" s="109" t="s">
        <v>432</v>
      </c>
      <c r="N2061" s="109" t="s">
        <v>432</v>
      </c>
      <c r="O2061" s="109" t="s">
        <v>432</v>
      </c>
      <c r="P2061" s="109" t="s">
        <v>432</v>
      </c>
      <c r="Q2061" s="109" t="s">
        <v>432</v>
      </c>
      <c r="R2061" s="109" t="s">
        <v>432</v>
      </c>
      <c r="S2061" s="109" t="s">
        <v>2209</v>
      </c>
      <c r="T2061" s="109" t="s">
        <v>432</v>
      </c>
      <c r="U2061" s="109" t="s">
        <v>432</v>
      </c>
      <c r="V2061" s="109" t="s">
        <v>2209</v>
      </c>
      <c r="W2061" s="109" t="s">
        <v>432</v>
      </c>
      <c r="X2061" s="109" t="s">
        <v>432</v>
      </c>
      <c r="Y2061" s="109" t="s">
        <v>432</v>
      </c>
      <c r="Z2061" s="109" t="s">
        <v>432</v>
      </c>
      <c r="AA2061" s="109" t="s">
        <v>432</v>
      </c>
      <c r="AB2061" s="109" t="s">
        <v>432</v>
      </c>
      <c r="AC2061" s="109" t="s">
        <v>432</v>
      </c>
      <c r="AD2061" s="109" t="s">
        <v>432</v>
      </c>
      <c r="AE2061" s="109" t="s">
        <v>432</v>
      </c>
      <c r="AF2061" s="268" t="s">
        <v>432</v>
      </c>
      <c r="AG2061" s="268" t="s">
        <v>432</v>
      </c>
      <c r="AH2061" s="83">
        <v>47.6</v>
      </c>
      <c r="AI2061" s="268" t="s">
        <v>432</v>
      </c>
      <c r="AJ2061" s="268" t="s">
        <v>432</v>
      </c>
      <c r="AK2061" s="268" t="s">
        <v>432</v>
      </c>
      <c r="AL2061" s="601" t="s">
        <v>432</v>
      </c>
      <c r="AM2061" s="268" t="s">
        <v>432</v>
      </c>
      <c r="AN2061" s="268" t="s">
        <v>432</v>
      </c>
      <c r="AO2061" s="268" t="s">
        <v>432</v>
      </c>
      <c r="AP2061" s="268" t="s">
        <v>432</v>
      </c>
      <c r="AQ2061" s="268" t="s">
        <v>432</v>
      </c>
      <c r="AR2061" s="268" t="s">
        <v>432</v>
      </c>
      <c r="AS2061" s="268" t="s">
        <v>432</v>
      </c>
      <c r="AT2061" s="268" t="s">
        <v>432</v>
      </c>
      <c r="AU2061" s="268" t="s">
        <v>432</v>
      </c>
      <c r="AV2061" s="268" t="s">
        <v>432</v>
      </c>
      <c r="AW2061" s="268" t="s">
        <v>432</v>
      </c>
      <c r="AX2061" s="268" t="s">
        <v>432</v>
      </c>
      <c r="AY2061" s="268" t="s">
        <v>432</v>
      </c>
      <c r="AZ2061" s="268" t="s">
        <v>432</v>
      </c>
      <c r="BA2061" s="268" t="s">
        <v>432</v>
      </c>
      <c r="BB2061" s="396" t="str">
        <f t="shared" si="593"/>
        <v>Poluição do arx</v>
      </c>
      <c r="BC2061" s="396" t="str">
        <f t="shared" si="594"/>
        <v>Poluição do arxbenchmarking</v>
      </c>
      <c r="BD2061" s="396" t="str">
        <f t="shared" si="595"/>
        <v>Poluição do arbenchmarking</v>
      </c>
    </row>
    <row r="2062" spans="1:56" s="105" customFormat="1" ht="30.75" customHeight="1" x14ac:dyDescent="0.25">
      <c r="A2062" s="275" t="str">
        <f>'Q100b-totais'!$B$44</f>
        <v>5.2</v>
      </c>
      <c r="B2062" s="1205" t="str">
        <f>'Q100b-totais'!$C$44</f>
        <v>Poluição do ar</v>
      </c>
      <c r="C2062" s="167" t="s">
        <v>432</v>
      </c>
      <c r="D2062" s="324" t="s">
        <v>4919</v>
      </c>
      <c r="E2062" s="1542" t="s">
        <v>3359</v>
      </c>
      <c r="F2062" s="252" t="s">
        <v>1590</v>
      </c>
      <c r="G2062" s="1173" t="s">
        <v>3789</v>
      </c>
      <c r="H2062" s="173" t="s">
        <v>819</v>
      </c>
      <c r="I2062" s="167" t="s">
        <v>3426</v>
      </c>
      <c r="J2062" s="109" t="s">
        <v>432</v>
      </c>
      <c r="K2062" s="109" t="s">
        <v>432</v>
      </c>
      <c r="L2062" s="109" t="s">
        <v>432</v>
      </c>
      <c r="M2062" s="109" t="s">
        <v>432</v>
      </c>
      <c r="N2062" s="109" t="s">
        <v>432</v>
      </c>
      <c r="O2062" s="109" t="s">
        <v>432</v>
      </c>
      <c r="P2062" s="109" t="s">
        <v>432</v>
      </c>
      <c r="Q2062" s="109" t="s">
        <v>432</v>
      </c>
      <c r="R2062" s="109" t="s">
        <v>432</v>
      </c>
      <c r="S2062" s="109" t="s">
        <v>2209</v>
      </c>
      <c r="T2062" s="109" t="s">
        <v>432</v>
      </c>
      <c r="U2062" s="109" t="s">
        <v>432</v>
      </c>
      <c r="V2062" s="109" t="s">
        <v>2209</v>
      </c>
      <c r="W2062" s="109" t="s">
        <v>432</v>
      </c>
      <c r="X2062" s="109" t="s">
        <v>432</v>
      </c>
      <c r="Y2062" s="109" t="s">
        <v>432</v>
      </c>
      <c r="Z2062" s="109" t="s">
        <v>432</v>
      </c>
      <c r="AA2062" s="109" t="s">
        <v>432</v>
      </c>
      <c r="AB2062" s="109" t="s">
        <v>432</v>
      </c>
      <c r="AC2062" s="109" t="s">
        <v>432</v>
      </c>
      <c r="AD2062" s="109" t="s">
        <v>432</v>
      </c>
      <c r="AE2062" s="109" t="s">
        <v>432</v>
      </c>
      <c r="AF2062" s="268" t="s">
        <v>432</v>
      </c>
      <c r="AG2062" s="268" t="s">
        <v>432</v>
      </c>
      <c r="AH2062" s="268" t="s">
        <v>432</v>
      </c>
      <c r="AI2062" s="268" t="s">
        <v>432</v>
      </c>
      <c r="AJ2062" s="268" t="s">
        <v>432</v>
      </c>
      <c r="AK2062" s="268" t="s">
        <v>432</v>
      </c>
      <c r="AL2062" s="601" t="s">
        <v>432</v>
      </c>
      <c r="AM2062" s="268" t="s">
        <v>432</v>
      </c>
      <c r="AN2062" s="268" t="s">
        <v>432</v>
      </c>
      <c r="AO2062" s="268" t="s">
        <v>432</v>
      </c>
      <c r="AP2062" s="268" t="s">
        <v>432</v>
      </c>
      <c r="AQ2062" s="268" t="s">
        <v>432</v>
      </c>
      <c r="AR2062" s="268" t="s">
        <v>432</v>
      </c>
      <c r="AS2062" s="268" t="s">
        <v>432</v>
      </c>
      <c r="AT2062" s="268" t="s">
        <v>432</v>
      </c>
      <c r="AU2062" s="268" t="s">
        <v>432</v>
      </c>
      <c r="AV2062" s="268" t="s">
        <v>432</v>
      </c>
      <c r="AW2062" s="268" t="s">
        <v>432</v>
      </c>
      <c r="AX2062" s="268" t="s">
        <v>432</v>
      </c>
      <c r="AY2062" s="268" t="s">
        <v>432</v>
      </c>
      <c r="AZ2062" s="268" t="s">
        <v>432</v>
      </c>
      <c r="BA2062" s="268" t="s">
        <v>432</v>
      </c>
      <c r="BB2062" s="396" t="str">
        <f t="shared" si="593"/>
        <v>Poluição do arx</v>
      </c>
      <c r="BC2062" s="396" t="str">
        <f t="shared" si="594"/>
        <v>Poluição do arxbenchmarking</v>
      </c>
      <c r="BD2062" s="396" t="str">
        <f t="shared" si="595"/>
        <v>Poluição do arbenchmarking</v>
      </c>
    </row>
    <row r="2063" spans="1:56" ht="30.75" customHeight="1" x14ac:dyDescent="0.25">
      <c r="A2063" s="275" t="str">
        <f>'Q100b-totais'!$B$44</f>
        <v>5.2</v>
      </c>
      <c r="B2063" s="1205" t="str">
        <f>'Q100b-totais'!$C$44</f>
        <v>Poluição do ar</v>
      </c>
      <c r="C2063" s="167" t="s">
        <v>432</v>
      </c>
      <c r="D2063" s="362" t="s">
        <v>4919</v>
      </c>
      <c r="E2063" s="1502" t="s">
        <v>3444</v>
      </c>
      <c r="F2063" s="355" t="s">
        <v>1590</v>
      </c>
      <c r="G2063" s="1173" t="s">
        <v>77</v>
      </c>
      <c r="H2063" s="173" t="s">
        <v>819</v>
      </c>
      <c r="I2063" s="167" t="s">
        <v>3426</v>
      </c>
      <c r="J2063" s="109" t="s">
        <v>432</v>
      </c>
      <c r="K2063" s="109" t="s">
        <v>432</v>
      </c>
      <c r="L2063" s="109" t="s">
        <v>432</v>
      </c>
      <c r="M2063" s="109" t="s">
        <v>432</v>
      </c>
      <c r="N2063" s="109" t="s">
        <v>432</v>
      </c>
      <c r="O2063" s="109" t="s">
        <v>432</v>
      </c>
      <c r="P2063" s="109" t="s">
        <v>432</v>
      </c>
      <c r="Q2063" s="109" t="s">
        <v>432</v>
      </c>
      <c r="R2063" s="109" t="s">
        <v>432</v>
      </c>
      <c r="S2063" s="109" t="s">
        <v>2209</v>
      </c>
      <c r="T2063" s="109" t="s">
        <v>432</v>
      </c>
      <c r="U2063" s="109" t="s">
        <v>432</v>
      </c>
      <c r="V2063" s="109" t="s">
        <v>2209</v>
      </c>
      <c r="W2063" s="109" t="s">
        <v>432</v>
      </c>
      <c r="X2063" s="109" t="s">
        <v>432</v>
      </c>
      <c r="Y2063" s="109" t="s">
        <v>432</v>
      </c>
      <c r="Z2063" s="109" t="s">
        <v>432</v>
      </c>
      <c r="AA2063" s="109" t="s">
        <v>432</v>
      </c>
      <c r="AB2063" s="109" t="s">
        <v>432</v>
      </c>
      <c r="AC2063" s="109" t="s">
        <v>432</v>
      </c>
      <c r="AD2063" s="109" t="s">
        <v>432</v>
      </c>
      <c r="AE2063" s="109" t="s">
        <v>432</v>
      </c>
      <c r="AF2063" s="268" t="s">
        <v>432</v>
      </c>
      <c r="AG2063" s="83">
        <v>26.515999999999998</v>
      </c>
      <c r="AH2063" s="268" t="s">
        <v>432</v>
      </c>
      <c r="AI2063" s="268" t="s">
        <v>432</v>
      </c>
      <c r="AJ2063" s="268" t="s">
        <v>432</v>
      </c>
      <c r="AK2063" s="268" t="s">
        <v>432</v>
      </c>
      <c r="AL2063" s="601" t="s">
        <v>432</v>
      </c>
      <c r="AM2063" s="268" t="s">
        <v>432</v>
      </c>
      <c r="AN2063" s="268" t="s">
        <v>432</v>
      </c>
      <c r="AO2063" s="268" t="s">
        <v>432</v>
      </c>
      <c r="AP2063" s="268" t="s">
        <v>432</v>
      </c>
      <c r="AQ2063" s="268" t="s">
        <v>432</v>
      </c>
      <c r="AR2063" s="268" t="s">
        <v>432</v>
      </c>
      <c r="AS2063" s="268" t="s">
        <v>432</v>
      </c>
      <c r="AT2063" s="268" t="s">
        <v>432</v>
      </c>
      <c r="AU2063" s="268" t="s">
        <v>432</v>
      </c>
      <c r="AV2063" s="268" t="s">
        <v>432</v>
      </c>
      <c r="AW2063" s="268" t="s">
        <v>432</v>
      </c>
      <c r="AX2063" s="268" t="s">
        <v>432</v>
      </c>
      <c r="AY2063" s="268" t="s">
        <v>432</v>
      </c>
      <c r="AZ2063" s="268" t="s">
        <v>432</v>
      </c>
      <c r="BA2063" s="268" t="s">
        <v>432</v>
      </c>
      <c r="BB2063" s="396" t="str">
        <f t="shared" si="593"/>
        <v>Poluição do arx</v>
      </c>
      <c r="BC2063" s="396" t="str">
        <f t="shared" si="594"/>
        <v>Poluição do arxbenchmarking</v>
      </c>
      <c r="BD2063" s="396" t="str">
        <f t="shared" si="595"/>
        <v>Poluição do arbenchmarking</v>
      </c>
    </row>
    <row r="2064" spans="1:56" ht="30.75" customHeight="1" x14ac:dyDescent="0.25">
      <c r="A2064" s="275" t="str">
        <f>'Q100b-totais'!$B$44</f>
        <v>5.2</v>
      </c>
      <c r="B2064" s="1205" t="str">
        <f>'Q100b-totais'!$C$44</f>
        <v>Poluição do ar</v>
      </c>
      <c r="C2064" s="167" t="s">
        <v>432</v>
      </c>
      <c r="D2064" s="362" t="s">
        <v>4919</v>
      </c>
      <c r="E2064" s="1502" t="s">
        <v>3362</v>
      </c>
      <c r="F2064" s="355" t="s">
        <v>1590</v>
      </c>
      <c r="G2064" s="1173" t="s">
        <v>77</v>
      </c>
      <c r="H2064" s="173" t="s">
        <v>819</v>
      </c>
      <c r="I2064" s="167" t="s">
        <v>3426</v>
      </c>
      <c r="J2064" s="109" t="s">
        <v>432</v>
      </c>
      <c r="K2064" s="109" t="s">
        <v>432</v>
      </c>
      <c r="L2064" s="109" t="s">
        <v>432</v>
      </c>
      <c r="M2064" s="109" t="s">
        <v>432</v>
      </c>
      <c r="N2064" s="109" t="s">
        <v>432</v>
      </c>
      <c r="O2064" s="109" t="s">
        <v>432</v>
      </c>
      <c r="P2064" s="109" t="s">
        <v>432</v>
      </c>
      <c r="Q2064" s="109" t="s">
        <v>432</v>
      </c>
      <c r="R2064" s="109" t="s">
        <v>432</v>
      </c>
      <c r="S2064" s="109" t="s">
        <v>2209</v>
      </c>
      <c r="T2064" s="109" t="s">
        <v>432</v>
      </c>
      <c r="U2064" s="109" t="s">
        <v>432</v>
      </c>
      <c r="V2064" s="109" t="s">
        <v>2209</v>
      </c>
      <c r="W2064" s="109" t="s">
        <v>432</v>
      </c>
      <c r="X2064" s="109" t="s">
        <v>432</v>
      </c>
      <c r="Y2064" s="109" t="s">
        <v>432</v>
      </c>
      <c r="Z2064" s="109" t="s">
        <v>432</v>
      </c>
      <c r="AA2064" s="109" t="s">
        <v>432</v>
      </c>
      <c r="AB2064" s="109" t="s">
        <v>432</v>
      </c>
      <c r="AC2064" s="109" t="s">
        <v>432</v>
      </c>
      <c r="AD2064" s="109" t="s">
        <v>432</v>
      </c>
      <c r="AE2064" s="109" t="s">
        <v>432</v>
      </c>
      <c r="AF2064" s="268" t="s">
        <v>432</v>
      </c>
      <c r="AG2064" s="83">
        <v>33.237666666666662</v>
      </c>
      <c r="AH2064" s="268" t="s">
        <v>432</v>
      </c>
      <c r="AI2064" s="268" t="s">
        <v>432</v>
      </c>
      <c r="AJ2064" s="268" t="s">
        <v>432</v>
      </c>
      <c r="AK2064" s="268" t="s">
        <v>432</v>
      </c>
      <c r="AL2064" s="601" t="s">
        <v>432</v>
      </c>
      <c r="AM2064" s="268" t="s">
        <v>432</v>
      </c>
      <c r="AN2064" s="268" t="s">
        <v>432</v>
      </c>
      <c r="AO2064" s="268" t="s">
        <v>432</v>
      </c>
      <c r="AP2064" s="268" t="s">
        <v>432</v>
      </c>
      <c r="AQ2064" s="268" t="s">
        <v>432</v>
      </c>
      <c r="AR2064" s="268" t="s">
        <v>432</v>
      </c>
      <c r="AS2064" s="268" t="s">
        <v>432</v>
      </c>
      <c r="AT2064" s="268" t="s">
        <v>432</v>
      </c>
      <c r="AU2064" s="268" t="s">
        <v>432</v>
      </c>
      <c r="AV2064" s="268" t="s">
        <v>432</v>
      </c>
      <c r="AW2064" s="268" t="s">
        <v>432</v>
      </c>
      <c r="AX2064" s="268" t="s">
        <v>432</v>
      </c>
      <c r="AY2064" s="268" t="s">
        <v>432</v>
      </c>
      <c r="AZ2064" s="268" t="s">
        <v>432</v>
      </c>
      <c r="BA2064" s="268" t="s">
        <v>432</v>
      </c>
      <c r="BB2064" s="396" t="str">
        <f t="shared" si="593"/>
        <v>Poluição do arx</v>
      </c>
      <c r="BC2064" s="396" t="str">
        <f t="shared" si="594"/>
        <v>Poluição do arxbenchmarking</v>
      </c>
      <c r="BD2064" s="396" t="str">
        <f t="shared" si="595"/>
        <v>Poluição do arbenchmarking</v>
      </c>
    </row>
    <row r="2065" spans="1:56" s="105" customFormat="1" ht="30.75" customHeight="1" x14ac:dyDescent="0.25">
      <c r="A2065" s="275" t="str">
        <f>'Q100b-totais'!$B$44</f>
        <v>5.2</v>
      </c>
      <c r="B2065" s="1205" t="str">
        <f>'Q100b-totais'!$C$44</f>
        <v>Poluição do ar</v>
      </c>
      <c r="C2065" s="167" t="s">
        <v>432</v>
      </c>
      <c r="D2065" s="362" t="s">
        <v>4919</v>
      </c>
      <c r="E2065" s="1523" t="s">
        <v>3425</v>
      </c>
      <c r="F2065" s="355" t="s">
        <v>1590</v>
      </c>
      <c r="G2065" s="1173" t="s">
        <v>77</v>
      </c>
      <c r="H2065" s="173" t="s">
        <v>819</v>
      </c>
      <c r="I2065" s="167" t="s">
        <v>3426</v>
      </c>
      <c r="J2065" s="109" t="s">
        <v>432</v>
      </c>
      <c r="K2065" s="109" t="s">
        <v>432</v>
      </c>
      <c r="L2065" s="109" t="s">
        <v>432</v>
      </c>
      <c r="M2065" s="109" t="s">
        <v>432</v>
      </c>
      <c r="N2065" s="109" t="s">
        <v>432</v>
      </c>
      <c r="O2065" s="109" t="s">
        <v>432</v>
      </c>
      <c r="P2065" s="109" t="s">
        <v>432</v>
      </c>
      <c r="Q2065" s="109" t="s">
        <v>432</v>
      </c>
      <c r="R2065" s="109" t="s">
        <v>432</v>
      </c>
      <c r="S2065" s="109" t="s">
        <v>2209</v>
      </c>
      <c r="T2065" s="109" t="s">
        <v>432</v>
      </c>
      <c r="U2065" s="109" t="s">
        <v>432</v>
      </c>
      <c r="V2065" s="109" t="s">
        <v>2209</v>
      </c>
      <c r="W2065" s="109" t="s">
        <v>432</v>
      </c>
      <c r="X2065" s="109" t="s">
        <v>432</v>
      </c>
      <c r="Y2065" s="109" t="s">
        <v>432</v>
      </c>
      <c r="Z2065" s="109" t="s">
        <v>432</v>
      </c>
      <c r="AA2065" s="109" t="s">
        <v>432</v>
      </c>
      <c r="AB2065" s="109" t="s">
        <v>432</v>
      </c>
      <c r="AC2065" s="109" t="s">
        <v>432</v>
      </c>
      <c r="AD2065" s="109" t="s">
        <v>432</v>
      </c>
      <c r="AE2065" s="109" t="s">
        <v>432</v>
      </c>
      <c r="AF2065" s="83">
        <v>25.263999999999999</v>
      </c>
      <c r="AG2065" s="268" t="s">
        <v>432</v>
      </c>
      <c r="AH2065" s="268" t="s">
        <v>432</v>
      </c>
      <c r="AI2065" s="268" t="s">
        <v>432</v>
      </c>
      <c r="AJ2065" s="268" t="s">
        <v>432</v>
      </c>
      <c r="AK2065" s="268" t="s">
        <v>432</v>
      </c>
      <c r="AL2065" s="601" t="s">
        <v>432</v>
      </c>
      <c r="AM2065" s="268" t="s">
        <v>432</v>
      </c>
      <c r="AN2065" s="268" t="s">
        <v>432</v>
      </c>
      <c r="AO2065" s="268" t="s">
        <v>432</v>
      </c>
      <c r="AP2065" s="268" t="s">
        <v>432</v>
      </c>
      <c r="AQ2065" s="268" t="s">
        <v>432</v>
      </c>
      <c r="AR2065" s="268" t="s">
        <v>432</v>
      </c>
      <c r="AS2065" s="268" t="s">
        <v>432</v>
      </c>
      <c r="AT2065" s="268" t="s">
        <v>432</v>
      </c>
      <c r="AU2065" s="268" t="s">
        <v>432</v>
      </c>
      <c r="AV2065" s="268" t="s">
        <v>432</v>
      </c>
      <c r="AW2065" s="268" t="s">
        <v>432</v>
      </c>
      <c r="AX2065" s="268" t="s">
        <v>432</v>
      </c>
      <c r="AY2065" s="268" t="s">
        <v>432</v>
      </c>
      <c r="AZ2065" s="268" t="s">
        <v>432</v>
      </c>
      <c r="BA2065" s="268" t="s">
        <v>432</v>
      </c>
      <c r="BB2065" s="396" t="str">
        <f t="shared" si="593"/>
        <v>Poluição do arx</v>
      </c>
      <c r="BC2065" s="396" t="str">
        <f t="shared" si="594"/>
        <v>Poluição do arxbenchmarking</v>
      </c>
      <c r="BD2065" s="396" t="str">
        <f t="shared" si="595"/>
        <v>Poluição do arbenchmarking</v>
      </c>
    </row>
    <row r="2066" spans="1:56" s="105" customFormat="1" ht="30.75" customHeight="1" x14ac:dyDescent="0.25">
      <c r="A2066" s="275" t="str">
        <f>'Q100b-totais'!$B$44</f>
        <v>5.2</v>
      </c>
      <c r="B2066" s="1205" t="str">
        <f>'Q100b-totais'!$C$44</f>
        <v>Poluição do ar</v>
      </c>
      <c r="C2066" s="167" t="s">
        <v>432</v>
      </c>
      <c r="D2066" s="362" t="s">
        <v>4919</v>
      </c>
      <c r="E2066" s="1523" t="s">
        <v>3337</v>
      </c>
      <c r="F2066" s="355" t="s">
        <v>1590</v>
      </c>
      <c r="G2066" s="1173" t="s">
        <v>77</v>
      </c>
      <c r="H2066" s="173" t="s">
        <v>819</v>
      </c>
      <c r="I2066" s="167" t="s">
        <v>3426</v>
      </c>
      <c r="J2066" s="109" t="s">
        <v>432</v>
      </c>
      <c r="K2066" s="109" t="s">
        <v>432</v>
      </c>
      <c r="L2066" s="109" t="s">
        <v>432</v>
      </c>
      <c r="M2066" s="109" t="s">
        <v>432</v>
      </c>
      <c r="N2066" s="109" t="s">
        <v>432</v>
      </c>
      <c r="O2066" s="109" t="s">
        <v>432</v>
      </c>
      <c r="P2066" s="109" t="s">
        <v>432</v>
      </c>
      <c r="Q2066" s="109" t="s">
        <v>432</v>
      </c>
      <c r="R2066" s="109" t="s">
        <v>432</v>
      </c>
      <c r="S2066" s="109" t="s">
        <v>2209</v>
      </c>
      <c r="T2066" s="109" t="s">
        <v>432</v>
      </c>
      <c r="U2066" s="109" t="s">
        <v>432</v>
      </c>
      <c r="V2066" s="109" t="s">
        <v>2209</v>
      </c>
      <c r="W2066" s="109" t="s">
        <v>432</v>
      </c>
      <c r="X2066" s="109" t="s">
        <v>432</v>
      </c>
      <c r="Y2066" s="109" t="s">
        <v>432</v>
      </c>
      <c r="Z2066" s="109" t="s">
        <v>432</v>
      </c>
      <c r="AA2066" s="109" t="s">
        <v>432</v>
      </c>
      <c r="AB2066" s="109" t="s">
        <v>432</v>
      </c>
      <c r="AC2066" s="109" t="s">
        <v>432</v>
      </c>
      <c r="AD2066" s="109" t="s">
        <v>432</v>
      </c>
      <c r="AE2066" s="109" t="s">
        <v>432</v>
      </c>
      <c r="AF2066" s="268" t="s">
        <v>432</v>
      </c>
      <c r="AG2066" s="268" t="s">
        <v>432</v>
      </c>
      <c r="AH2066" s="83">
        <v>22.137</v>
      </c>
      <c r="AI2066" s="268" t="s">
        <v>432</v>
      </c>
      <c r="AJ2066" s="268" t="s">
        <v>432</v>
      </c>
      <c r="AK2066" s="268" t="s">
        <v>432</v>
      </c>
      <c r="AL2066" s="601" t="s">
        <v>432</v>
      </c>
      <c r="AM2066" s="268" t="s">
        <v>432</v>
      </c>
      <c r="AN2066" s="268" t="s">
        <v>432</v>
      </c>
      <c r="AO2066" s="268" t="s">
        <v>432</v>
      </c>
      <c r="AP2066" s="268" t="s">
        <v>432</v>
      </c>
      <c r="AQ2066" s="268" t="s">
        <v>432</v>
      </c>
      <c r="AR2066" s="268" t="s">
        <v>432</v>
      </c>
      <c r="AS2066" s="268" t="s">
        <v>432</v>
      </c>
      <c r="AT2066" s="268" t="s">
        <v>432</v>
      </c>
      <c r="AU2066" s="268" t="s">
        <v>432</v>
      </c>
      <c r="AV2066" s="268" t="s">
        <v>432</v>
      </c>
      <c r="AW2066" s="268" t="s">
        <v>432</v>
      </c>
      <c r="AX2066" s="268" t="s">
        <v>432</v>
      </c>
      <c r="AY2066" s="268" t="s">
        <v>432</v>
      </c>
      <c r="AZ2066" s="268" t="s">
        <v>432</v>
      </c>
      <c r="BA2066" s="268" t="s">
        <v>432</v>
      </c>
      <c r="BB2066" s="396" t="str">
        <f t="shared" si="593"/>
        <v>Poluição do arx</v>
      </c>
      <c r="BC2066" s="396" t="str">
        <f t="shared" si="594"/>
        <v>Poluição do arxbenchmarking</v>
      </c>
      <c r="BD2066" s="396" t="str">
        <f t="shared" si="595"/>
        <v>Poluição do arbenchmarking</v>
      </c>
    </row>
    <row r="2067" spans="1:56" s="105" customFormat="1" ht="30.75" customHeight="1" x14ac:dyDescent="0.25">
      <c r="A2067" s="275" t="str">
        <f>'Q100b-totais'!$B$44</f>
        <v>5.2</v>
      </c>
      <c r="B2067" s="1205" t="str">
        <f>'Q100b-totais'!$C$44</f>
        <v>Poluição do ar</v>
      </c>
      <c r="C2067" s="167" t="s">
        <v>432</v>
      </c>
      <c r="D2067" s="362" t="s">
        <v>4919</v>
      </c>
      <c r="E2067" s="1523" t="s">
        <v>3340</v>
      </c>
      <c r="F2067" s="355" t="s">
        <v>1590</v>
      </c>
      <c r="G2067" s="1173" t="s">
        <v>77</v>
      </c>
      <c r="H2067" s="173" t="s">
        <v>819</v>
      </c>
      <c r="I2067" s="167" t="s">
        <v>3426</v>
      </c>
      <c r="J2067" s="109" t="s">
        <v>432</v>
      </c>
      <c r="K2067" s="109" t="s">
        <v>432</v>
      </c>
      <c r="L2067" s="109" t="s">
        <v>432</v>
      </c>
      <c r="M2067" s="109" t="s">
        <v>432</v>
      </c>
      <c r="N2067" s="109" t="s">
        <v>432</v>
      </c>
      <c r="O2067" s="109" t="s">
        <v>432</v>
      </c>
      <c r="P2067" s="109" t="s">
        <v>432</v>
      </c>
      <c r="Q2067" s="109" t="s">
        <v>432</v>
      </c>
      <c r="R2067" s="109" t="s">
        <v>432</v>
      </c>
      <c r="S2067" s="109" t="s">
        <v>2209</v>
      </c>
      <c r="T2067" s="109" t="s">
        <v>432</v>
      </c>
      <c r="U2067" s="109" t="s">
        <v>432</v>
      </c>
      <c r="V2067" s="109" t="s">
        <v>2209</v>
      </c>
      <c r="W2067" s="109" t="s">
        <v>432</v>
      </c>
      <c r="X2067" s="109" t="s">
        <v>432</v>
      </c>
      <c r="Y2067" s="109" t="s">
        <v>432</v>
      </c>
      <c r="Z2067" s="109" t="s">
        <v>432</v>
      </c>
      <c r="AA2067" s="109" t="s">
        <v>432</v>
      </c>
      <c r="AB2067" s="109" t="s">
        <v>432</v>
      </c>
      <c r="AC2067" s="109" t="s">
        <v>432</v>
      </c>
      <c r="AD2067" s="109" t="s">
        <v>432</v>
      </c>
      <c r="AE2067" s="109" t="s">
        <v>432</v>
      </c>
      <c r="AF2067" s="268" t="s">
        <v>432</v>
      </c>
      <c r="AG2067" s="83">
        <v>58.822000000000003</v>
      </c>
      <c r="AH2067" s="268" t="s">
        <v>432</v>
      </c>
      <c r="AI2067" s="268" t="s">
        <v>432</v>
      </c>
      <c r="AJ2067" s="268" t="s">
        <v>432</v>
      </c>
      <c r="AK2067" s="268" t="s">
        <v>432</v>
      </c>
      <c r="AL2067" s="601" t="s">
        <v>432</v>
      </c>
      <c r="AM2067" s="268" t="s">
        <v>432</v>
      </c>
      <c r="AN2067" s="268" t="s">
        <v>432</v>
      </c>
      <c r="AO2067" s="268" t="s">
        <v>432</v>
      </c>
      <c r="AP2067" s="268" t="s">
        <v>432</v>
      </c>
      <c r="AQ2067" s="268" t="s">
        <v>432</v>
      </c>
      <c r="AR2067" s="268" t="s">
        <v>432</v>
      </c>
      <c r="AS2067" s="268" t="s">
        <v>432</v>
      </c>
      <c r="AT2067" s="268" t="s">
        <v>432</v>
      </c>
      <c r="AU2067" s="268" t="s">
        <v>432</v>
      </c>
      <c r="AV2067" s="268" t="s">
        <v>432</v>
      </c>
      <c r="AW2067" s="268" t="s">
        <v>432</v>
      </c>
      <c r="AX2067" s="268" t="s">
        <v>432</v>
      </c>
      <c r="AY2067" s="268" t="s">
        <v>432</v>
      </c>
      <c r="AZ2067" s="268" t="s">
        <v>432</v>
      </c>
      <c r="BA2067" s="268" t="s">
        <v>432</v>
      </c>
      <c r="BB2067" s="396" t="str">
        <f t="shared" si="593"/>
        <v>Poluição do arx</v>
      </c>
      <c r="BC2067" s="396" t="str">
        <f t="shared" si="594"/>
        <v>Poluição do arxbenchmarking</v>
      </c>
      <c r="BD2067" s="396" t="str">
        <f t="shared" si="595"/>
        <v>Poluição do arbenchmarking</v>
      </c>
    </row>
    <row r="2068" spans="1:56" s="105" customFormat="1" ht="30.75" customHeight="1" x14ac:dyDescent="0.25">
      <c r="A2068" s="275" t="str">
        <f>'Q100b-totais'!$B$44</f>
        <v>5.2</v>
      </c>
      <c r="B2068" s="1205" t="str">
        <f>'Q100b-totais'!$C$44</f>
        <v>Poluição do ar</v>
      </c>
      <c r="C2068" s="167" t="s">
        <v>432</v>
      </c>
      <c r="D2068" s="362" t="s">
        <v>4919</v>
      </c>
      <c r="E2068" s="1523" t="s">
        <v>3357</v>
      </c>
      <c r="F2068" s="355" t="s">
        <v>1590</v>
      </c>
      <c r="G2068" s="1173" t="s">
        <v>77</v>
      </c>
      <c r="H2068" s="173" t="s">
        <v>819</v>
      </c>
      <c r="I2068" s="167" t="s">
        <v>3426</v>
      </c>
      <c r="J2068" s="109" t="s">
        <v>432</v>
      </c>
      <c r="K2068" s="109" t="s">
        <v>432</v>
      </c>
      <c r="L2068" s="109" t="s">
        <v>432</v>
      </c>
      <c r="M2068" s="109" t="s">
        <v>432</v>
      </c>
      <c r="N2068" s="109" t="s">
        <v>432</v>
      </c>
      <c r="O2068" s="109" t="s">
        <v>432</v>
      </c>
      <c r="P2068" s="109" t="s">
        <v>432</v>
      </c>
      <c r="Q2068" s="109" t="s">
        <v>432</v>
      </c>
      <c r="R2068" s="109" t="s">
        <v>432</v>
      </c>
      <c r="S2068" s="109" t="s">
        <v>2209</v>
      </c>
      <c r="T2068" s="109" t="s">
        <v>432</v>
      </c>
      <c r="U2068" s="109" t="s">
        <v>432</v>
      </c>
      <c r="V2068" s="109" t="s">
        <v>2209</v>
      </c>
      <c r="W2068" s="109" t="s">
        <v>432</v>
      </c>
      <c r="X2068" s="109" t="s">
        <v>432</v>
      </c>
      <c r="Y2068" s="109" t="s">
        <v>432</v>
      </c>
      <c r="Z2068" s="109" t="s">
        <v>432</v>
      </c>
      <c r="AA2068" s="109" t="s">
        <v>432</v>
      </c>
      <c r="AB2068" s="109" t="s">
        <v>432</v>
      </c>
      <c r="AC2068" s="109" t="s">
        <v>432</v>
      </c>
      <c r="AD2068" s="109" t="s">
        <v>432</v>
      </c>
      <c r="AE2068" s="109" t="s">
        <v>432</v>
      </c>
      <c r="AF2068" s="268" t="s">
        <v>432</v>
      </c>
      <c r="AG2068" s="83"/>
      <c r="AH2068" s="83">
        <v>21.518000000000001</v>
      </c>
      <c r="AI2068" s="268" t="s">
        <v>432</v>
      </c>
      <c r="AJ2068" s="268" t="s">
        <v>432</v>
      </c>
      <c r="AK2068" s="268" t="s">
        <v>432</v>
      </c>
      <c r="AL2068" s="601" t="s">
        <v>432</v>
      </c>
      <c r="AM2068" s="268" t="s">
        <v>432</v>
      </c>
      <c r="AN2068" s="268" t="s">
        <v>432</v>
      </c>
      <c r="AO2068" s="268" t="s">
        <v>432</v>
      </c>
      <c r="AP2068" s="268" t="s">
        <v>432</v>
      </c>
      <c r="AQ2068" s="268" t="s">
        <v>432</v>
      </c>
      <c r="AR2068" s="268" t="s">
        <v>432</v>
      </c>
      <c r="AS2068" s="268" t="s">
        <v>432</v>
      </c>
      <c r="AT2068" s="268" t="s">
        <v>432</v>
      </c>
      <c r="AU2068" s="268" t="s">
        <v>432</v>
      </c>
      <c r="AV2068" s="268" t="s">
        <v>432</v>
      </c>
      <c r="AW2068" s="268" t="s">
        <v>432</v>
      </c>
      <c r="AX2068" s="268" t="s">
        <v>432</v>
      </c>
      <c r="AY2068" s="268" t="s">
        <v>432</v>
      </c>
      <c r="AZ2068" s="268" t="s">
        <v>432</v>
      </c>
      <c r="BA2068" s="268" t="s">
        <v>432</v>
      </c>
      <c r="BB2068" s="396" t="str">
        <f t="shared" si="593"/>
        <v>Poluição do arx</v>
      </c>
      <c r="BC2068" s="396" t="str">
        <f t="shared" si="594"/>
        <v>Poluição do arxbenchmarking</v>
      </c>
      <c r="BD2068" s="396" t="str">
        <f t="shared" si="595"/>
        <v>Poluição do arbenchmarking</v>
      </c>
    </row>
    <row r="2069" spans="1:56" ht="30.75" customHeight="1" x14ac:dyDescent="0.25">
      <c r="A2069" s="275" t="str">
        <f>'Q100b-totais'!$B$44</f>
        <v>5.2</v>
      </c>
      <c r="B2069" s="1205" t="str">
        <f>'Q100b-totais'!$C$44</f>
        <v>Poluição do ar</v>
      </c>
      <c r="C2069" s="167" t="s">
        <v>432</v>
      </c>
      <c r="D2069" s="362" t="s">
        <v>4919</v>
      </c>
      <c r="E2069" s="1502" t="s">
        <v>3349</v>
      </c>
      <c r="F2069" s="355" t="s">
        <v>1590</v>
      </c>
      <c r="G2069" s="1173" t="s">
        <v>77</v>
      </c>
      <c r="H2069" s="173" t="s">
        <v>819</v>
      </c>
      <c r="I2069" s="167" t="s">
        <v>3426</v>
      </c>
      <c r="J2069" s="109" t="s">
        <v>432</v>
      </c>
      <c r="K2069" s="109" t="s">
        <v>432</v>
      </c>
      <c r="L2069" s="109" t="s">
        <v>432</v>
      </c>
      <c r="M2069" s="109" t="s">
        <v>432</v>
      </c>
      <c r="N2069" s="109" t="s">
        <v>432</v>
      </c>
      <c r="O2069" s="109" t="s">
        <v>432</v>
      </c>
      <c r="P2069" s="109" t="s">
        <v>432</v>
      </c>
      <c r="Q2069" s="109" t="s">
        <v>432</v>
      </c>
      <c r="R2069" s="109" t="s">
        <v>432</v>
      </c>
      <c r="S2069" s="109" t="s">
        <v>2209</v>
      </c>
      <c r="T2069" s="109" t="s">
        <v>432</v>
      </c>
      <c r="U2069" s="109" t="s">
        <v>432</v>
      </c>
      <c r="V2069" s="109" t="s">
        <v>2209</v>
      </c>
      <c r="W2069" s="109" t="s">
        <v>432</v>
      </c>
      <c r="X2069" s="109" t="s">
        <v>432</v>
      </c>
      <c r="Y2069" s="109" t="s">
        <v>432</v>
      </c>
      <c r="Z2069" s="109" t="s">
        <v>432</v>
      </c>
      <c r="AA2069" s="109" t="s">
        <v>432</v>
      </c>
      <c r="AB2069" s="109" t="s">
        <v>432</v>
      </c>
      <c r="AC2069" s="109" t="s">
        <v>432</v>
      </c>
      <c r="AD2069" s="109" t="s">
        <v>432</v>
      </c>
      <c r="AE2069" s="109" t="s">
        <v>432</v>
      </c>
      <c r="AF2069" s="268" t="s">
        <v>432</v>
      </c>
      <c r="AG2069" s="83">
        <v>14.661</v>
      </c>
      <c r="AH2069" s="268" t="s">
        <v>432</v>
      </c>
      <c r="AI2069" s="268" t="s">
        <v>432</v>
      </c>
      <c r="AJ2069" s="268" t="s">
        <v>432</v>
      </c>
      <c r="AK2069" s="268" t="s">
        <v>432</v>
      </c>
      <c r="AL2069" s="601" t="s">
        <v>432</v>
      </c>
      <c r="AM2069" s="268" t="s">
        <v>432</v>
      </c>
      <c r="AN2069" s="268" t="s">
        <v>432</v>
      </c>
      <c r="AO2069" s="268" t="s">
        <v>432</v>
      </c>
      <c r="AP2069" s="268" t="s">
        <v>432</v>
      </c>
      <c r="AQ2069" s="268" t="s">
        <v>432</v>
      </c>
      <c r="AR2069" s="268" t="s">
        <v>432</v>
      </c>
      <c r="AS2069" s="268" t="s">
        <v>432</v>
      </c>
      <c r="AT2069" s="268" t="s">
        <v>432</v>
      </c>
      <c r="AU2069" s="268" t="s">
        <v>432</v>
      </c>
      <c r="AV2069" s="268" t="s">
        <v>432</v>
      </c>
      <c r="AW2069" s="268" t="s">
        <v>432</v>
      </c>
      <c r="AX2069" s="268" t="s">
        <v>432</v>
      </c>
      <c r="AY2069" s="268" t="s">
        <v>432</v>
      </c>
      <c r="AZ2069" s="268" t="s">
        <v>432</v>
      </c>
      <c r="BA2069" s="268" t="s">
        <v>432</v>
      </c>
      <c r="BB2069" s="396" t="str">
        <f t="shared" si="593"/>
        <v>Poluição do arx</v>
      </c>
      <c r="BC2069" s="396" t="str">
        <f t="shared" si="594"/>
        <v>Poluição do arxbenchmarking</v>
      </c>
      <c r="BD2069" s="396" t="str">
        <f t="shared" si="595"/>
        <v>Poluição do arbenchmarking</v>
      </c>
    </row>
    <row r="2070" spans="1:56" s="105" customFormat="1" ht="30.75" customHeight="1" x14ac:dyDescent="0.25">
      <c r="A2070" s="275" t="str">
        <f>'Q100b-totais'!$B$44</f>
        <v>5.2</v>
      </c>
      <c r="B2070" s="1205" t="str">
        <f>'Q100b-totais'!$C$44</f>
        <v>Poluição do ar</v>
      </c>
      <c r="C2070" s="167" t="s">
        <v>432</v>
      </c>
      <c r="D2070" s="362" t="s">
        <v>4919</v>
      </c>
      <c r="E2070" s="1523" t="s">
        <v>3351</v>
      </c>
      <c r="F2070" s="355" t="s">
        <v>1590</v>
      </c>
      <c r="G2070" s="1173" t="s">
        <v>77</v>
      </c>
      <c r="H2070" s="173" t="s">
        <v>819</v>
      </c>
      <c r="I2070" s="167" t="s">
        <v>3426</v>
      </c>
      <c r="J2070" s="109" t="s">
        <v>432</v>
      </c>
      <c r="K2070" s="109" t="s">
        <v>432</v>
      </c>
      <c r="L2070" s="109" t="s">
        <v>432</v>
      </c>
      <c r="M2070" s="109" t="s">
        <v>432</v>
      </c>
      <c r="N2070" s="109" t="s">
        <v>432</v>
      </c>
      <c r="O2070" s="109" t="s">
        <v>432</v>
      </c>
      <c r="P2070" s="109" t="s">
        <v>432</v>
      </c>
      <c r="Q2070" s="109" t="s">
        <v>432</v>
      </c>
      <c r="R2070" s="109" t="s">
        <v>432</v>
      </c>
      <c r="S2070" s="109" t="s">
        <v>2209</v>
      </c>
      <c r="T2070" s="109" t="s">
        <v>432</v>
      </c>
      <c r="U2070" s="109" t="s">
        <v>432</v>
      </c>
      <c r="V2070" s="109" t="s">
        <v>2209</v>
      </c>
      <c r="W2070" s="109" t="s">
        <v>432</v>
      </c>
      <c r="X2070" s="109" t="s">
        <v>432</v>
      </c>
      <c r="Y2070" s="109" t="s">
        <v>432</v>
      </c>
      <c r="Z2070" s="109" t="s">
        <v>432</v>
      </c>
      <c r="AA2070" s="109" t="s">
        <v>432</v>
      </c>
      <c r="AB2070" s="109" t="s">
        <v>432</v>
      </c>
      <c r="AC2070" s="109" t="s">
        <v>432</v>
      </c>
      <c r="AD2070" s="109" t="s">
        <v>432</v>
      </c>
      <c r="AE2070" s="109" t="s">
        <v>432</v>
      </c>
      <c r="AF2070" s="268" t="s">
        <v>432</v>
      </c>
      <c r="AG2070" s="268" t="s">
        <v>432</v>
      </c>
      <c r="AH2070" s="83">
        <v>18.085999999999999</v>
      </c>
      <c r="AI2070" s="268" t="s">
        <v>432</v>
      </c>
      <c r="AJ2070" s="268" t="s">
        <v>432</v>
      </c>
      <c r="AK2070" s="268" t="s">
        <v>432</v>
      </c>
      <c r="AL2070" s="601" t="s">
        <v>432</v>
      </c>
      <c r="AM2070" s="268" t="s">
        <v>432</v>
      </c>
      <c r="AN2070" s="268" t="s">
        <v>432</v>
      </c>
      <c r="AO2070" s="268" t="s">
        <v>432</v>
      </c>
      <c r="AP2070" s="268" t="s">
        <v>432</v>
      </c>
      <c r="AQ2070" s="268" t="s">
        <v>432</v>
      </c>
      <c r="AR2070" s="268" t="s">
        <v>432</v>
      </c>
      <c r="AS2070" s="268" t="s">
        <v>432</v>
      </c>
      <c r="AT2070" s="268" t="s">
        <v>432</v>
      </c>
      <c r="AU2070" s="268" t="s">
        <v>432</v>
      </c>
      <c r="AV2070" s="268" t="s">
        <v>432</v>
      </c>
      <c r="AW2070" s="268" t="s">
        <v>432</v>
      </c>
      <c r="AX2070" s="268" t="s">
        <v>432</v>
      </c>
      <c r="AY2070" s="268" t="s">
        <v>432</v>
      </c>
      <c r="AZ2070" s="268" t="s">
        <v>432</v>
      </c>
      <c r="BA2070" s="268" t="s">
        <v>432</v>
      </c>
      <c r="BB2070" s="396" t="str">
        <f t="shared" si="593"/>
        <v>Poluição do arx</v>
      </c>
      <c r="BC2070" s="396" t="str">
        <f t="shared" si="594"/>
        <v>Poluição do arxbenchmarking</v>
      </c>
      <c r="BD2070" s="396" t="str">
        <f t="shared" si="595"/>
        <v>Poluição do arbenchmarking</v>
      </c>
    </row>
    <row r="2071" spans="1:56" s="105" customFormat="1" ht="30.75" customHeight="1" x14ac:dyDescent="0.25">
      <c r="A2071" s="275" t="str">
        <f>'Q100b-totais'!$B$44</f>
        <v>5.2</v>
      </c>
      <c r="B2071" s="1205" t="str">
        <f>'Q100b-totais'!$C$44</f>
        <v>Poluição do ar</v>
      </c>
      <c r="C2071" s="167" t="s">
        <v>432</v>
      </c>
      <c r="D2071" s="362" t="s">
        <v>4919</v>
      </c>
      <c r="E2071" s="1523" t="s">
        <v>3354</v>
      </c>
      <c r="F2071" s="355" t="s">
        <v>1590</v>
      </c>
      <c r="G2071" s="1173" t="s">
        <v>77</v>
      </c>
      <c r="H2071" s="173" t="s">
        <v>819</v>
      </c>
      <c r="I2071" s="167" t="s">
        <v>3426</v>
      </c>
      <c r="J2071" s="109" t="s">
        <v>432</v>
      </c>
      <c r="K2071" s="109" t="s">
        <v>432</v>
      </c>
      <c r="L2071" s="109" t="s">
        <v>432</v>
      </c>
      <c r="M2071" s="109" t="s">
        <v>432</v>
      </c>
      <c r="N2071" s="109" t="s">
        <v>432</v>
      </c>
      <c r="O2071" s="109" t="s">
        <v>432</v>
      </c>
      <c r="P2071" s="109" t="s">
        <v>432</v>
      </c>
      <c r="Q2071" s="109" t="s">
        <v>432</v>
      </c>
      <c r="R2071" s="109" t="s">
        <v>432</v>
      </c>
      <c r="S2071" s="109" t="s">
        <v>2209</v>
      </c>
      <c r="T2071" s="109" t="s">
        <v>432</v>
      </c>
      <c r="U2071" s="109" t="s">
        <v>432</v>
      </c>
      <c r="V2071" s="109" t="s">
        <v>2209</v>
      </c>
      <c r="W2071" s="109" t="s">
        <v>432</v>
      </c>
      <c r="X2071" s="109" t="s">
        <v>432</v>
      </c>
      <c r="Y2071" s="109" t="s">
        <v>432</v>
      </c>
      <c r="Z2071" s="109" t="s">
        <v>432</v>
      </c>
      <c r="AA2071" s="109" t="s">
        <v>432</v>
      </c>
      <c r="AB2071" s="109" t="s">
        <v>432</v>
      </c>
      <c r="AC2071" s="109" t="s">
        <v>432</v>
      </c>
      <c r="AD2071" s="109" t="s">
        <v>432</v>
      </c>
      <c r="AE2071" s="109" t="s">
        <v>432</v>
      </c>
      <c r="AF2071" s="268" t="s">
        <v>432</v>
      </c>
      <c r="AG2071" s="268" t="s">
        <v>432</v>
      </c>
      <c r="AH2071" s="83">
        <v>17.745999999999999</v>
      </c>
      <c r="AI2071" s="268" t="s">
        <v>432</v>
      </c>
      <c r="AJ2071" s="268" t="s">
        <v>432</v>
      </c>
      <c r="AK2071" s="268" t="s">
        <v>432</v>
      </c>
      <c r="AL2071" s="601" t="s">
        <v>432</v>
      </c>
      <c r="AM2071" s="268" t="s">
        <v>432</v>
      </c>
      <c r="AN2071" s="268" t="s">
        <v>432</v>
      </c>
      <c r="AO2071" s="268" t="s">
        <v>432</v>
      </c>
      <c r="AP2071" s="268" t="s">
        <v>432</v>
      </c>
      <c r="AQ2071" s="268" t="s">
        <v>432</v>
      </c>
      <c r="AR2071" s="268" t="s">
        <v>432</v>
      </c>
      <c r="AS2071" s="268" t="s">
        <v>432</v>
      </c>
      <c r="AT2071" s="268" t="s">
        <v>432</v>
      </c>
      <c r="AU2071" s="268" t="s">
        <v>432</v>
      </c>
      <c r="AV2071" s="268" t="s">
        <v>432</v>
      </c>
      <c r="AW2071" s="268" t="s">
        <v>432</v>
      </c>
      <c r="AX2071" s="268" t="s">
        <v>432</v>
      </c>
      <c r="AY2071" s="268" t="s">
        <v>432</v>
      </c>
      <c r="AZ2071" s="268" t="s">
        <v>432</v>
      </c>
      <c r="BA2071" s="268" t="s">
        <v>432</v>
      </c>
      <c r="BB2071" s="396" t="str">
        <f t="shared" si="593"/>
        <v>Poluição do arx</v>
      </c>
      <c r="BC2071" s="396" t="str">
        <f t="shared" si="594"/>
        <v>Poluição do arxbenchmarking</v>
      </c>
      <c r="BD2071" s="396" t="str">
        <f t="shared" si="595"/>
        <v>Poluição do arbenchmarking</v>
      </c>
    </row>
    <row r="2072" spans="1:56" s="105" customFormat="1" ht="30.75" customHeight="1" x14ac:dyDescent="0.25">
      <c r="A2072" s="275" t="str">
        <f>'Q100b-totais'!$B$44</f>
        <v>5.2</v>
      </c>
      <c r="B2072" s="1205" t="str">
        <f>'Q100b-totais'!$C$44</f>
        <v>Poluição do ar</v>
      </c>
      <c r="C2072" s="167" t="s">
        <v>432</v>
      </c>
      <c r="D2072" s="362" t="s">
        <v>4919</v>
      </c>
      <c r="E2072" s="1523" t="s">
        <v>3346</v>
      </c>
      <c r="F2072" s="355" t="s">
        <v>1590</v>
      </c>
      <c r="G2072" s="1173" t="s">
        <v>77</v>
      </c>
      <c r="H2072" s="173" t="s">
        <v>819</v>
      </c>
      <c r="I2072" s="167" t="s">
        <v>3426</v>
      </c>
      <c r="J2072" s="109" t="s">
        <v>432</v>
      </c>
      <c r="K2072" s="109" t="s">
        <v>432</v>
      </c>
      <c r="L2072" s="109" t="s">
        <v>432</v>
      </c>
      <c r="M2072" s="109" t="s">
        <v>432</v>
      </c>
      <c r="N2072" s="109" t="s">
        <v>432</v>
      </c>
      <c r="O2072" s="109" t="s">
        <v>432</v>
      </c>
      <c r="P2072" s="109" t="s">
        <v>432</v>
      </c>
      <c r="Q2072" s="109" t="s">
        <v>432</v>
      </c>
      <c r="R2072" s="109" t="s">
        <v>432</v>
      </c>
      <c r="S2072" s="109" t="s">
        <v>2209</v>
      </c>
      <c r="T2072" s="109" t="s">
        <v>432</v>
      </c>
      <c r="U2072" s="109" t="s">
        <v>432</v>
      </c>
      <c r="V2072" s="109" t="s">
        <v>2209</v>
      </c>
      <c r="W2072" s="109" t="s">
        <v>432</v>
      </c>
      <c r="X2072" s="109" t="s">
        <v>432</v>
      </c>
      <c r="Y2072" s="109" t="s">
        <v>432</v>
      </c>
      <c r="Z2072" s="109" t="s">
        <v>432</v>
      </c>
      <c r="AA2072" s="109" t="s">
        <v>432</v>
      </c>
      <c r="AB2072" s="109" t="s">
        <v>432</v>
      </c>
      <c r="AC2072" s="109" t="s">
        <v>432</v>
      </c>
      <c r="AD2072" s="109" t="s">
        <v>432</v>
      </c>
      <c r="AE2072" s="109" t="s">
        <v>432</v>
      </c>
      <c r="AF2072" s="268" t="s">
        <v>432</v>
      </c>
      <c r="AG2072" s="268" t="s">
        <v>432</v>
      </c>
      <c r="AH2072" s="83">
        <v>25.825500000000002</v>
      </c>
      <c r="AI2072" s="268" t="s">
        <v>432</v>
      </c>
      <c r="AJ2072" s="268" t="s">
        <v>432</v>
      </c>
      <c r="AK2072" s="268" t="s">
        <v>432</v>
      </c>
      <c r="AL2072" s="601" t="s">
        <v>432</v>
      </c>
      <c r="AM2072" s="268" t="s">
        <v>432</v>
      </c>
      <c r="AN2072" s="268" t="s">
        <v>432</v>
      </c>
      <c r="AO2072" s="268" t="s">
        <v>432</v>
      </c>
      <c r="AP2072" s="268" t="s">
        <v>432</v>
      </c>
      <c r="AQ2072" s="268" t="s">
        <v>432</v>
      </c>
      <c r="AR2072" s="268" t="s">
        <v>432</v>
      </c>
      <c r="AS2072" s="268" t="s">
        <v>432</v>
      </c>
      <c r="AT2072" s="268" t="s">
        <v>432</v>
      </c>
      <c r="AU2072" s="268" t="s">
        <v>432</v>
      </c>
      <c r="AV2072" s="268" t="s">
        <v>432</v>
      </c>
      <c r="AW2072" s="268" t="s">
        <v>432</v>
      </c>
      <c r="AX2072" s="268" t="s">
        <v>432</v>
      </c>
      <c r="AY2072" s="268" t="s">
        <v>432</v>
      </c>
      <c r="AZ2072" s="268" t="s">
        <v>432</v>
      </c>
      <c r="BA2072" s="268" t="s">
        <v>432</v>
      </c>
      <c r="BB2072" s="396" t="str">
        <f t="shared" si="593"/>
        <v>Poluição do arx</v>
      </c>
      <c r="BC2072" s="396" t="str">
        <f t="shared" si="594"/>
        <v>Poluição do arxbenchmarking</v>
      </c>
      <c r="BD2072" s="396" t="str">
        <f t="shared" si="595"/>
        <v>Poluição do arbenchmarking</v>
      </c>
    </row>
    <row r="2073" spans="1:56" ht="30.75" customHeight="1" x14ac:dyDescent="0.25">
      <c r="A2073" s="275" t="str">
        <f>'Q100b-totais'!$B$44</f>
        <v>5.2</v>
      </c>
      <c r="B2073" s="1205" t="str">
        <f>'Q100b-totais'!$C$44</f>
        <v>Poluição do ar</v>
      </c>
      <c r="C2073" s="167" t="s">
        <v>432</v>
      </c>
      <c r="D2073" s="362" t="s">
        <v>4919</v>
      </c>
      <c r="E2073" s="1502" t="s">
        <v>3360</v>
      </c>
      <c r="F2073" s="355" t="s">
        <v>1590</v>
      </c>
      <c r="G2073" s="1173" t="s">
        <v>77</v>
      </c>
      <c r="H2073" s="173" t="s">
        <v>819</v>
      </c>
      <c r="I2073" s="167" t="s">
        <v>3426</v>
      </c>
      <c r="J2073" s="109" t="s">
        <v>432</v>
      </c>
      <c r="K2073" s="109" t="s">
        <v>432</v>
      </c>
      <c r="L2073" s="109" t="s">
        <v>432</v>
      </c>
      <c r="M2073" s="109" t="s">
        <v>432</v>
      </c>
      <c r="N2073" s="109" t="s">
        <v>432</v>
      </c>
      <c r="O2073" s="109" t="s">
        <v>432</v>
      </c>
      <c r="P2073" s="109" t="s">
        <v>432</v>
      </c>
      <c r="Q2073" s="109" t="s">
        <v>432</v>
      </c>
      <c r="R2073" s="109" t="s">
        <v>432</v>
      </c>
      <c r="S2073" s="109" t="s">
        <v>2209</v>
      </c>
      <c r="T2073" s="109" t="s">
        <v>432</v>
      </c>
      <c r="U2073" s="109" t="s">
        <v>432</v>
      </c>
      <c r="V2073" s="109" t="s">
        <v>2209</v>
      </c>
      <c r="W2073" s="109" t="s">
        <v>432</v>
      </c>
      <c r="X2073" s="109" t="s">
        <v>432</v>
      </c>
      <c r="Y2073" s="109" t="s">
        <v>432</v>
      </c>
      <c r="Z2073" s="109" t="s">
        <v>432</v>
      </c>
      <c r="AA2073" s="109" t="s">
        <v>432</v>
      </c>
      <c r="AB2073" s="109" t="s">
        <v>432</v>
      </c>
      <c r="AC2073" s="109" t="s">
        <v>432</v>
      </c>
      <c r="AD2073" s="109" t="s">
        <v>432</v>
      </c>
      <c r="AE2073" s="109" t="s">
        <v>432</v>
      </c>
      <c r="AF2073" s="268" t="s">
        <v>432</v>
      </c>
      <c r="AG2073" s="83">
        <v>13.0655</v>
      </c>
      <c r="AH2073" s="268" t="s">
        <v>432</v>
      </c>
      <c r="AI2073" s="268" t="s">
        <v>432</v>
      </c>
      <c r="AJ2073" s="268" t="s">
        <v>432</v>
      </c>
      <c r="AK2073" s="268" t="s">
        <v>432</v>
      </c>
      <c r="AL2073" s="601" t="s">
        <v>432</v>
      </c>
      <c r="AM2073" s="268" t="s">
        <v>432</v>
      </c>
      <c r="AN2073" s="268" t="s">
        <v>432</v>
      </c>
      <c r="AO2073" s="268" t="s">
        <v>432</v>
      </c>
      <c r="AP2073" s="268" t="s">
        <v>432</v>
      </c>
      <c r="AQ2073" s="268" t="s">
        <v>432</v>
      </c>
      <c r="AR2073" s="268" t="s">
        <v>432</v>
      </c>
      <c r="AS2073" s="268" t="s">
        <v>432</v>
      </c>
      <c r="AT2073" s="268" t="s">
        <v>432</v>
      </c>
      <c r="AU2073" s="268" t="s">
        <v>432</v>
      </c>
      <c r="AV2073" s="268" t="s">
        <v>432</v>
      </c>
      <c r="AW2073" s="268" t="s">
        <v>432</v>
      </c>
      <c r="AX2073" s="268" t="s">
        <v>432</v>
      </c>
      <c r="AY2073" s="268" t="s">
        <v>432</v>
      </c>
      <c r="AZ2073" s="268" t="s">
        <v>432</v>
      </c>
      <c r="BA2073" s="268" t="s">
        <v>432</v>
      </c>
      <c r="BB2073" s="396" t="str">
        <f t="shared" si="593"/>
        <v>Poluição do arx</v>
      </c>
      <c r="BC2073" s="396" t="str">
        <f t="shared" si="594"/>
        <v>Poluição do arxbenchmarking</v>
      </c>
      <c r="BD2073" s="396" t="str">
        <f t="shared" si="595"/>
        <v>Poluição do arbenchmarking</v>
      </c>
    </row>
    <row r="2074" spans="1:56" s="105" customFormat="1" ht="30.75" customHeight="1" x14ac:dyDescent="0.25">
      <c r="A2074" s="275" t="str">
        <f>'Q100b-totais'!$B$44</f>
        <v>5.2</v>
      </c>
      <c r="B2074" s="1205" t="str">
        <f>'Q100b-totais'!$C$44</f>
        <v>Poluição do ar</v>
      </c>
      <c r="C2074" s="167" t="s">
        <v>432</v>
      </c>
      <c r="D2074" s="362" t="s">
        <v>4919</v>
      </c>
      <c r="E2074" s="1523" t="s">
        <v>3344</v>
      </c>
      <c r="F2074" s="355" t="s">
        <v>1590</v>
      </c>
      <c r="G2074" s="1173" t="s">
        <v>77</v>
      </c>
      <c r="H2074" s="173" t="s">
        <v>819</v>
      </c>
      <c r="I2074" s="167" t="s">
        <v>3426</v>
      </c>
      <c r="J2074" s="109" t="s">
        <v>432</v>
      </c>
      <c r="K2074" s="109" t="s">
        <v>432</v>
      </c>
      <c r="L2074" s="109" t="s">
        <v>432</v>
      </c>
      <c r="M2074" s="109" t="s">
        <v>432</v>
      </c>
      <c r="N2074" s="109" t="s">
        <v>432</v>
      </c>
      <c r="O2074" s="109" t="s">
        <v>432</v>
      </c>
      <c r="P2074" s="109" t="s">
        <v>432</v>
      </c>
      <c r="Q2074" s="109" t="s">
        <v>432</v>
      </c>
      <c r="R2074" s="109" t="s">
        <v>432</v>
      </c>
      <c r="S2074" s="109" t="s">
        <v>2209</v>
      </c>
      <c r="T2074" s="109" t="s">
        <v>432</v>
      </c>
      <c r="U2074" s="109" t="s">
        <v>432</v>
      </c>
      <c r="V2074" s="109" t="s">
        <v>2209</v>
      </c>
      <c r="W2074" s="109" t="s">
        <v>432</v>
      </c>
      <c r="X2074" s="109" t="s">
        <v>432</v>
      </c>
      <c r="Y2074" s="109" t="s">
        <v>432</v>
      </c>
      <c r="Z2074" s="109" t="s">
        <v>432</v>
      </c>
      <c r="AA2074" s="109" t="s">
        <v>432</v>
      </c>
      <c r="AB2074" s="109" t="s">
        <v>432</v>
      </c>
      <c r="AC2074" s="109" t="s">
        <v>432</v>
      </c>
      <c r="AD2074" s="109" t="s">
        <v>432</v>
      </c>
      <c r="AE2074" s="109" t="s">
        <v>432</v>
      </c>
      <c r="AF2074" s="268" t="s">
        <v>432</v>
      </c>
      <c r="AG2074" s="268" t="s">
        <v>432</v>
      </c>
      <c r="AH2074" s="83">
        <v>30.998000000000001</v>
      </c>
      <c r="AI2074" s="268" t="s">
        <v>432</v>
      </c>
      <c r="AJ2074" s="268" t="s">
        <v>432</v>
      </c>
      <c r="AK2074" s="268" t="s">
        <v>432</v>
      </c>
      <c r="AL2074" s="601" t="s">
        <v>432</v>
      </c>
      <c r="AM2074" s="268" t="s">
        <v>432</v>
      </c>
      <c r="AN2074" s="268" t="s">
        <v>432</v>
      </c>
      <c r="AO2074" s="268" t="s">
        <v>432</v>
      </c>
      <c r="AP2074" s="268" t="s">
        <v>432</v>
      </c>
      <c r="AQ2074" s="268" t="s">
        <v>432</v>
      </c>
      <c r="AR2074" s="268" t="s">
        <v>432</v>
      </c>
      <c r="AS2074" s="268" t="s">
        <v>432</v>
      </c>
      <c r="AT2074" s="268" t="s">
        <v>432</v>
      </c>
      <c r="AU2074" s="268" t="s">
        <v>432</v>
      </c>
      <c r="AV2074" s="268" t="s">
        <v>432</v>
      </c>
      <c r="AW2074" s="268" t="s">
        <v>432</v>
      </c>
      <c r="AX2074" s="268" t="s">
        <v>432</v>
      </c>
      <c r="AY2074" s="268" t="s">
        <v>432</v>
      </c>
      <c r="AZ2074" s="268" t="s">
        <v>432</v>
      </c>
      <c r="BA2074" s="268" t="s">
        <v>432</v>
      </c>
      <c r="BB2074" s="396" t="str">
        <f t="shared" si="593"/>
        <v>Poluição do arx</v>
      </c>
      <c r="BC2074" s="396" t="str">
        <f t="shared" si="594"/>
        <v>Poluição do arxbenchmarking</v>
      </c>
      <c r="BD2074" s="396" t="str">
        <f t="shared" si="595"/>
        <v>Poluição do arbenchmarking</v>
      </c>
    </row>
    <row r="2075" spans="1:56" s="105" customFormat="1" ht="30.75" customHeight="1" x14ac:dyDescent="0.25">
      <c r="A2075" s="275" t="str">
        <f>'Q100b-totais'!$B$44</f>
        <v>5.2</v>
      </c>
      <c r="B2075" s="1205" t="str">
        <f>'Q100b-totais'!$C$44</f>
        <v>Poluição do ar</v>
      </c>
      <c r="C2075" s="167" t="s">
        <v>432</v>
      </c>
      <c r="D2075" s="362" t="s">
        <v>4919</v>
      </c>
      <c r="E2075" s="1523" t="s">
        <v>3361</v>
      </c>
      <c r="F2075" s="355" t="s">
        <v>1590</v>
      </c>
      <c r="G2075" s="1173" t="s">
        <v>77</v>
      </c>
      <c r="H2075" s="173" t="s">
        <v>819</v>
      </c>
      <c r="I2075" s="167" t="s">
        <v>3426</v>
      </c>
      <c r="J2075" s="109" t="s">
        <v>432</v>
      </c>
      <c r="K2075" s="109" t="s">
        <v>432</v>
      </c>
      <c r="L2075" s="109" t="s">
        <v>432</v>
      </c>
      <c r="M2075" s="109" t="s">
        <v>432</v>
      </c>
      <c r="N2075" s="109" t="s">
        <v>432</v>
      </c>
      <c r="O2075" s="109" t="s">
        <v>432</v>
      </c>
      <c r="P2075" s="109" t="s">
        <v>432</v>
      </c>
      <c r="Q2075" s="109" t="s">
        <v>432</v>
      </c>
      <c r="R2075" s="109" t="s">
        <v>432</v>
      </c>
      <c r="S2075" s="109" t="s">
        <v>2209</v>
      </c>
      <c r="T2075" s="109" t="s">
        <v>432</v>
      </c>
      <c r="U2075" s="109" t="s">
        <v>432</v>
      </c>
      <c r="V2075" s="109" t="s">
        <v>2209</v>
      </c>
      <c r="W2075" s="109" t="s">
        <v>432</v>
      </c>
      <c r="X2075" s="109" t="s">
        <v>432</v>
      </c>
      <c r="Y2075" s="109" t="s">
        <v>432</v>
      </c>
      <c r="Z2075" s="109" t="s">
        <v>432</v>
      </c>
      <c r="AA2075" s="109" t="s">
        <v>432</v>
      </c>
      <c r="AB2075" s="109" t="s">
        <v>432</v>
      </c>
      <c r="AC2075" s="109" t="s">
        <v>432</v>
      </c>
      <c r="AD2075" s="109" t="s">
        <v>432</v>
      </c>
      <c r="AE2075" s="109" t="s">
        <v>432</v>
      </c>
      <c r="AF2075" s="268" t="s">
        <v>432</v>
      </c>
      <c r="AG2075" s="268" t="s">
        <v>432</v>
      </c>
      <c r="AH2075" s="83">
        <v>21</v>
      </c>
      <c r="AI2075" s="268" t="s">
        <v>432</v>
      </c>
      <c r="AJ2075" s="268" t="s">
        <v>432</v>
      </c>
      <c r="AK2075" s="268" t="s">
        <v>432</v>
      </c>
      <c r="AL2075" s="601" t="s">
        <v>432</v>
      </c>
      <c r="AM2075" s="268" t="s">
        <v>432</v>
      </c>
      <c r="AN2075" s="268" t="s">
        <v>432</v>
      </c>
      <c r="AO2075" s="268" t="s">
        <v>432</v>
      </c>
      <c r="AP2075" s="268" t="s">
        <v>432</v>
      </c>
      <c r="AQ2075" s="268" t="s">
        <v>432</v>
      </c>
      <c r="AR2075" s="268" t="s">
        <v>432</v>
      </c>
      <c r="AS2075" s="268" t="s">
        <v>432</v>
      </c>
      <c r="AT2075" s="268" t="s">
        <v>432</v>
      </c>
      <c r="AU2075" s="268" t="s">
        <v>432</v>
      </c>
      <c r="AV2075" s="268" t="s">
        <v>432</v>
      </c>
      <c r="AW2075" s="268" t="s">
        <v>432</v>
      </c>
      <c r="AX2075" s="268" t="s">
        <v>432</v>
      </c>
      <c r="AY2075" s="268" t="s">
        <v>432</v>
      </c>
      <c r="AZ2075" s="268" t="s">
        <v>432</v>
      </c>
      <c r="BA2075" s="268" t="s">
        <v>432</v>
      </c>
      <c r="BB2075" s="396" t="str">
        <f t="shared" si="593"/>
        <v>Poluição do arx</v>
      </c>
      <c r="BC2075" s="396" t="str">
        <f t="shared" si="594"/>
        <v>Poluição do arxbenchmarking</v>
      </c>
      <c r="BD2075" s="396" t="str">
        <f t="shared" si="595"/>
        <v>Poluição do arbenchmarking</v>
      </c>
    </row>
    <row r="2076" spans="1:56" ht="30.75" customHeight="1" x14ac:dyDescent="0.25">
      <c r="A2076" s="275" t="str">
        <f>'Q100b-totais'!$B$44</f>
        <v>5.2</v>
      </c>
      <c r="B2076" s="1205" t="str">
        <f>'Q100b-totais'!$C$44</f>
        <v>Poluição do ar</v>
      </c>
      <c r="C2076" s="167" t="s">
        <v>432</v>
      </c>
      <c r="D2076" s="362" t="s">
        <v>4919</v>
      </c>
      <c r="E2076" s="1502" t="s">
        <v>3445</v>
      </c>
      <c r="F2076" s="355" t="s">
        <v>1590</v>
      </c>
      <c r="G2076" s="1173" t="s">
        <v>77</v>
      </c>
      <c r="H2076" s="173" t="s">
        <v>819</v>
      </c>
      <c r="I2076" s="167" t="s">
        <v>3426</v>
      </c>
      <c r="J2076" s="109" t="s">
        <v>432</v>
      </c>
      <c r="K2076" s="109" t="s">
        <v>432</v>
      </c>
      <c r="L2076" s="109" t="s">
        <v>432</v>
      </c>
      <c r="M2076" s="109" t="s">
        <v>432</v>
      </c>
      <c r="N2076" s="109" t="s">
        <v>432</v>
      </c>
      <c r="O2076" s="109" t="s">
        <v>432</v>
      </c>
      <c r="P2076" s="109" t="s">
        <v>432</v>
      </c>
      <c r="Q2076" s="109" t="s">
        <v>432</v>
      </c>
      <c r="R2076" s="109" t="s">
        <v>432</v>
      </c>
      <c r="S2076" s="109" t="s">
        <v>2209</v>
      </c>
      <c r="T2076" s="109" t="s">
        <v>432</v>
      </c>
      <c r="U2076" s="109" t="s">
        <v>432</v>
      </c>
      <c r="V2076" s="109" t="s">
        <v>2209</v>
      </c>
      <c r="W2076" s="109" t="s">
        <v>432</v>
      </c>
      <c r="X2076" s="109" t="s">
        <v>432</v>
      </c>
      <c r="Y2076" s="109" t="s">
        <v>432</v>
      </c>
      <c r="Z2076" s="109" t="s">
        <v>432</v>
      </c>
      <c r="AA2076" s="109" t="s">
        <v>432</v>
      </c>
      <c r="AB2076" s="109" t="s">
        <v>432</v>
      </c>
      <c r="AC2076" s="109" t="s">
        <v>432</v>
      </c>
      <c r="AD2076" s="109" t="s">
        <v>432</v>
      </c>
      <c r="AE2076" s="109" t="s">
        <v>432</v>
      </c>
      <c r="AF2076" s="268" t="s">
        <v>432</v>
      </c>
      <c r="AG2076" s="83">
        <v>21.809333333333331</v>
      </c>
      <c r="AH2076" s="268" t="s">
        <v>432</v>
      </c>
      <c r="AI2076" s="268" t="s">
        <v>432</v>
      </c>
      <c r="AJ2076" s="268" t="s">
        <v>432</v>
      </c>
      <c r="AK2076" s="268" t="s">
        <v>432</v>
      </c>
      <c r="AL2076" s="601" t="s">
        <v>432</v>
      </c>
      <c r="AM2076" s="268" t="s">
        <v>432</v>
      </c>
      <c r="AN2076" s="268" t="s">
        <v>432</v>
      </c>
      <c r="AO2076" s="268" t="s">
        <v>432</v>
      </c>
      <c r="AP2076" s="268" t="s">
        <v>432</v>
      </c>
      <c r="AQ2076" s="268" t="s">
        <v>432</v>
      </c>
      <c r="AR2076" s="268" t="s">
        <v>432</v>
      </c>
      <c r="AS2076" s="268" t="s">
        <v>432</v>
      </c>
      <c r="AT2076" s="268" t="s">
        <v>432</v>
      </c>
      <c r="AU2076" s="268" t="s">
        <v>432</v>
      </c>
      <c r="AV2076" s="268" t="s">
        <v>432</v>
      </c>
      <c r="AW2076" s="268" t="s">
        <v>432</v>
      </c>
      <c r="AX2076" s="268" t="s">
        <v>432</v>
      </c>
      <c r="AY2076" s="268" t="s">
        <v>432</v>
      </c>
      <c r="AZ2076" s="268" t="s">
        <v>432</v>
      </c>
      <c r="BA2076" s="268" t="s">
        <v>432</v>
      </c>
      <c r="BB2076" s="396" t="str">
        <f t="shared" si="593"/>
        <v>Poluição do arx</v>
      </c>
      <c r="BC2076" s="396" t="str">
        <f t="shared" si="594"/>
        <v>Poluição do arxbenchmarking</v>
      </c>
      <c r="BD2076" s="396" t="str">
        <f t="shared" si="595"/>
        <v>Poluição do arbenchmarking</v>
      </c>
    </row>
    <row r="2077" spans="1:56" ht="30.75" customHeight="1" x14ac:dyDescent="0.25">
      <c r="A2077" s="275" t="str">
        <f>'Q100b-totais'!$B$44</f>
        <v>5.2</v>
      </c>
      <c r="B2077" s="1205" t="str">
        <f>'Q100b-totais'!$C$44</f>
        <v>Poluição do ar</v>
      </c>
      <c r="C2077" s="167" t="s">
        <v>432</v>
      </c>
      <c r="D2077" s="362" t="s">
        <v>4919</v>
      </c>
      <c r="E2077" s="1502" t="s">
        <v>3446</v>
      </c>
      <c r="F2077" s="355" t="s">
        <v>1590</v>
      </c>
      <c r="G2077" s="1173" t="s">
        <v>77</v>
      </c>
      <c r="H2077" s="173" t="s">
        <v>819</v>
      </c>
      <c r="I2077" s="167" t="s">
        <v>3426</v>
      </c>
      <c r="J2077" s="109" t="s">
        <v>432</v>
      </c>
      <c r="K2077" s="109" t="s">
        <v>432</v>
      </c>
      <c r="L2077" s="109" t="s">
        <v>432</v>
      </c>
      <c r="M2077" s="109" t="s">
        <v>432</v>
      </c>
      <c r="N2077" s="109" t="s">
        <v>432</v>
      </c>
      <c r="O2077" s="109" t="s">
        <v>432</v>
      </c>
      <c r="P2077" s="109" t="s">
        <v>432</v>
      </c>
      <c r="Q2077" s="109" t="s">
        <v>432</v>
      </c>
      <c r="R2077" s="109" t="s">
        <v>432</v>
      </c>
      <c r="S2077" s="109" t="s">
        <v>2209</v>
      </c>
      <c r="T2077" s="109" t="s">
        <v>432</v>
      </c>
      <c r="U2077" s="109" t="s">
        <v>432</v>
      </c>
      <c r="V2077" s="109" t="s">
        <v>2209</v>
      </c>
      <c r="W2077" s="109" t="s">
        <v>432</v>
      </c>
      <c r="X2077" s="109" t="s">
        <v>432</v>
      </c>
      <c r="Y2077" s="109" t="s">
        <v>432</v>
      </c>
      <c r="Z2077" s="109" t="s">
        <v>432</v>
      </c>
      <c r="AA2077" s="109" t="s">
        <v>432</v>
      </c>
      <c r="AB2077" s="109" t="s">
        <v>432</v>
      </c>
      <c r="AC2077" s="109" t="s">
        <v>432</v>
      </c>
      <c r="AD2077" s="109" t="s">
        <v>432</v>
      </c>
      <c r="AE2077" s="109" t="s">
        <v>432</v>
      </c>
      <c r="AF2077" s="268" t="s">
        <v>432</v>
      </c>
      <c r="AG2077" s="83">
        <v>21.754714285714282</v>
      </c>
      <c r="AH2077" s="268" t="s">
        <v>432</v>
      </c>
      <c r="AI2077" s="268" t="s">
        <v>432</v>
      </c>
      <c r="AJ2077" s="268" t="s">
        <v>432</v>
      </c>
      <c r="AK2077" s="268" t="s">
        <v>432</v>
      </c>
      <c r="AL2077" s="601" t="s">
        <v>432</v>
      </c>
      <c r="AM2077" s="268" t="s">
        <v>432</v>
      </c>
      <c r="AN2077" s="268" t="s">
        <v>432</v>
      </c>
      <c r="AO2077" s="268" t="s">
        <v>432</v>
      </c>
      <c r="AP2077" s="268" t="s">
        <v>432</v>
      </c>
      <c r="AQ2077" s="268" t="s">
        <v>432</v>
      </c>
      <c r="AR2077" s="268" t="s">
        <v>432</v>
      </c>
      <c r="AS2077" s="268" t="s">
        <v>432</v>
      </c>
      <c r="AT2077" s="268" t="s">
        <v>432</v>
      </c>
      <c r="AU2077" s="268" t="s">
        <v>432</v>
      </c>
      <c r="AV2077" s="268" t="s">
        <v>432</v>
      </c>
      <c r="AW2077" s="268" t="s">
        <v>432</v>
      </c>
      <c r="AX2077" s="268" t="s">
        <v>432</v>
      </c>
      <c r="AY2077" s="268" t="s">
        <v>432</v>
      </c>
      <c r="AZ2077" s="268" t="s">
        <v>432</v>
      </c>
      <c r="BA2077" s="268" t="s">
        <v>432</v>
      </c>
      <c r="BB2077" s="396" t="str">
        <f t="shared" si="593"/>
        <v>Poluição do arx</v>
      </c>
      <c r="BC2077" s="396" t="str">
        <f t="shared" si="594"/>
        <v>Poluição do arxbenchmarking</v>
      </c>
      <c r="BD2077" s="396" t="str">
        <f t="shared" si="595"/>
        <v>Poluição do arbenchmarking</v>
      </c>
    </row>
    <row r="2078" spans="1:56" s="105" customFormat="1" ht="30.75" customHeight="1" x14ac:dyDescent="0.25">
      <c r="A2078" s="275" t="str">
        <f>'Q100b-totais'!$B$44</f>
        <v>5.2</v>
      </c>
      <c r="B2078" s="1205" t="str">
        <f>'Q100b-totais'!$C$44</f>
        <v>Poluição do ar</v>
      </c>
      <c r="C2078" s="167" t="s">
        <v>432</v>
      </c>
      <c r="D2078" s="362" t="s">
        <v>4919</v>
      </c>
      <c r="E2078" s="1523" t="s">
        <v>3358</v>
      </c>
      <c r="F2078" s="355" t="s">
        <v>1590</v>
      </c>
      <c r="G2078" s="1173" t="s">
        <v>77</v>
      </c>
      <c r="H2078" s="173" t="s">
        <v>819</v>
      </c>
      <c r="I2078" s="167" t="s">
        <v>3426</v>
      </c>
      <c r="J2078" s="109" t="s">
        <v>432</v>
      </c>
      <c r="K2078" s="109" t="s">
        <v>432</v>
      </c>
      <c r="L2078" s="109" t="s">
        <v>432</v>
      </c>
      <c r="M2078" s="109" t="s">
        <v>432</v>
      </c>
      <c r="N2078" s="109" t="s">
        <v>432</v>
      </c>
      <c r="O2078" s="109" t="s">
        <v>432</v>
      </c>
      <c r="P2078" s="109" t="s">
        <v>432</v>
      </c>
      <c r="Q2078" s="109" t="s">
        <v>432</v>
      </c>
      <c r="R2078" s="109" t="s">
        <v>432</v>
      </c>
      <c r="S2078" s="109" t="s">
        <v>2209</v>
      </c>
      <c r="T2078" s="109" t="s">
        <v>432</v>
      </c>
      <c r="U2078" s="109" t="s">
        <v>432</v>
      </c>
      <c r="V2078" s="109" t="s">
        <v>2209</v>
      </c>
      <c r="W2078" s="109" t="s">
        <v>432</v>
      </c>
      <c r="X2078" s="109" t="s">
        <v>432</v>
      </c>
      <c r="Y2078" s="109" t="s">
        <v>432</v>
      </c>
      <c r="Z2078" s="109" t="s">
        <v>432</v>
      </c>
      <c r="AA2078" s="109" t="s">
        <v>432</v>
      </c>
      <c r="AB2078" s="109" t="s">
        <v>432</v>
      </c>
      <c r="AC2078" s="109" t="s">
        <v>432</v>
      </c>
      <c r="AD2078" s="109" t="s">
        <v>432</v>
      </c>
      <c r="AE2078" s="109" t="s">
        <v>432</v>
      </c>
      <c r="AF2078" s="83">
        <v>31.619</v>
      </c>
      <c r="AG2078" s="268" t="s">
        <v>432</v>
      </c>
      <c r="AH2078" s="268" t="s">
        <v>432</v>
      </c>
      <c r="AI2078" s="268" t="s">
        <v>432</v>
      </c>
      <c r="AJ2078" s="268" t="s">
        <v>432</v>
      </c>
      <c r="AK2078" s="268" t="s">
        <v>432</v>
      </c>
      <c r="AL2078" s="601" t="s">
        <v>432</v>
      </c>
      <c r="AM2078" s="268" t="s">
        <v>432</v>
      </c>
      <c r="AN2078" s="268" t="s">
        <v>432</v>
      </c>
      <c r="AO2078" s="268" t="s">
        <v>432</v>
      </c>
      <c r="AP2078" s="268" t="s">
        <v>432</v>
      </c>
      <c r="AQ2078" s="268" t="s">
        <v>432</v>
      </c>
      <c r="AR2078" s="268" t="s">
        <v>432</v>
      </c>
      <c r="AS2078" s="268" t="s">
        <v>432</v>
      </c>
      <c r="AT2078" s="268" t="s">
        <v>432</v>
      </c>
      <c r="AU2078" s="268" t="s">
        <v>432</v>
      </c>
      <c r="AV2078" s="268" t="s">
        <v>432</v>
      </c>
      <c r="AW2078" s="268" t="s">
        <v>432</v>
      </c>
      <c r="AX2078" s="268" t="s">
        <v>432</v>
      </c>
      <c r="AY2078" s="268" t="s">
        <v>432</v>
      </c>
      <c r="AZ2078" s="268" t="s">
        <v>432</v>
      </c>
      <c r="BA2078" s="268" t="s">
        <v>432</v>
      </c>
      <c r="BB2078" s="396" t="str">
        <f t="shared" si="593"/>
        <v>Poluição do arx</v>
      </c>
      <c r="BC2078" s="396" t="str">
        <f t="shared" si="594"/>
        <v>Poluição do arxbenchmarking</v>
      </c>
      <c r="BD2078" s="396" t="str">
        <f t="shared" si="595"/>
        <v>Poluição do arbenchmarking</v>
      </c>
    </row>
    <row r="2079" spans="1:56" s="105" customFormat="1" ht="30.75" customHeight="1" x14ac:dyDescent="0.25">
      <c r="A2079" s="275" t="str">
        <f>'Q100b-totais'!$B$44</f>
        <v>5.2</v>
      </c>
      <c r="B2079" s="1205" t="str">
        <f>'Q100b-totais'!$C$44</f>
        <v>Poluição do ar</v>
      </c>
      <c r="C2079" s="167" t="s">
        <v>432</v>
      </c>
      <c r="D2079" s="362" t="s">
        <v>4919</v>
      </c>
      <c r="E2079" s="1523" t="s">
        <v>3341</v>
      </c>
      <c r="F2079" s="355" t="s">
        <v>1590</v>
      </c>
      <c r="G2079" s="1173" t="s">
        <v>77</v>
      </c>
      <c r="H2079" s="173" t="s">
        <v>819</v>
      </c>
      <c r="I2079" s="167" t="s">
        <v>3426</v>
      </c>
      <c r="J2079" s="109" t="s">
        <v>432</v>
      </c>
      <c r="K2079" s="109" t="s">
        <v>432</v>
      </c>
      <c r="L2079" s="109" t="s">
        <v>432</v>
      </c>
      <c r="M2079" s="109" t="s">
        <v>432</v>
      </c>
      <c r="N2079" s="109" t="s">
        <v>432</v>
      </c>
      <c r="O2079" s="109" t="s">
        <v>432</v>
      </c>
      <c r="P2079" s="109" t="s">
        <v>432</v>
      </c>
      <c r="Q2079" s="109" t="s">
        <v>432</v>
      </c>
      <c r="R2079" s="109" t="s">
        <v>432</v>
      </c>
      <c r="S2079" s="109" t="s">
        <v>2209</v>
      </c>
      <c r="T2079" s="109" t="s">
        <v>432</v>
      </c>
      <c r="U2079" s="109" t="s">
        <v>432</v>
      </c>
      <c r="V2079" s="109" t="s">
        <v>2209</v>
      </c>
      <c r="W2079" s="109" t="s">
        <v>432</v>
      </c>
      <c r="X2079" s="109" t="s">
        <v>432</v>
      </c>
      <c r="Y2079" s="109" t="s">
        <v>432</v>
      </c>
      <c r="Z2079" s="109" t="s">
        <v>432</v>
      </c>
      <c r="AA2079" s="109" t="s">
        <v>432</v>
      </c>
      <c r="AB2079" s="109" t="s">
        <v>432</v>
      </c>
      <c r="AC2079" s="109" t="s">
        <v>432</v>
      </c>
      <c r="AD2079" s="109" t="s">
        <v>432</v>
      </c>
      <c r="AE2079" s="109" t="s">
        <v>432</v>
      </c>
      <c r="AF2079" s="268" t="s">
        <v>432</v>
      </c>
      <c r="AG2079" s="83">
        <v>18.003</v>
      </c>
      <c r="AH2079" s="268" t="s">
        <v>432</v>
      </c>
      <c r="AI2079" s="268" t="s">
        <v>432</v>
      </c>
      <c r="AJ2079" s="268" t="s">
        <v>432</v>
      </c>
      <c r="AK2079" s="268" t="s">
        <v>432</v>
      </c>
      <c r="AL2079" s="601" t="s">
        <v>432</v>
      </c>
      <c r="AM2079" s="268" t="s">
        <v>432</v>
      </c>
      <c r="AN2079" s="268" t="s">
        <v>432</v>
      </c>
      <c r="AO2079" s="268" t="s">
        <v>432</v>
      </c>
      <c r="AP2079" s="268" t="s">
        <v>432</v>
      </c>
      <c r="AQ2079" s="268" t="s">
        <v>432</v>
      </c>
      <c r="AR2079" s="268" t="s">
        <v>432</v>
      </c>
      <c r="AS2079" s="268" t="s">
        <v>432</v>
      </c>
      <c r="AT2079" s="268" t="s">
        <v>432</v>
      </c>
      <c r="AU2079" s="268" t="s">
        <v>432</v>
      </c>
      <c r="AV2079" s="268" t="s">
        <v>432</v>
      </c>
      <c r="AW2079" s="268" t="s">
        <v>432</v>
      </c>
      <c r="AX2079" s="268" t="s">
        <v>432</v>
      </c>
      <c r="AY2079" s="268" t="s">
        <v>432</v>
      </c>
      <c r="AZ2079" s="268" t="s">
        <v>432</v>
      </c>
      <c r="BA2079" s="268" t="s">
        <v>432</v>
      </c>
      <c r="BB2079" s="396" t="str">
        <f t="shared" si="593"/>
        <v>Poluição do arx</v>
      </c>
      <c r="BC2079" s="396" t="str">
        <f t="shared" si="594"/>
        <v>Poluição do arxbenchmarking</v>
      </c>
      <c r="BD2079" s="396" t="str">
        <f t="shared" si="595"/>
        <v>Poluição do arbenchmarking</v>
      </c>
    </row>
    <row r="2080" spans="1:56" s="105" customFormat="1" ht="30.75" customHeight="1" x14ac:dyDescent="0.25">
      <c r="A2080" s="275" t="str">
        <f>'Q100b-totais'!$B$44</f>
        <v>5.2</v>
      </c>
      <c r="B2080" s="1205" t="str">
        <f>'Q100b-totais'!$C$44</f>
        <v>Poluição do ar</v>
      </c>
      <c r="C2080" s="167" t="s">
        <v>432</v>
      </c>
      <c r="D2080" s="362" t="s">
        <v>4919</v>
      </c>
      <c r="E2080" s="1523" t="s">
        <v>3348</v>
      </c>
      <c r="F2080" s="355" t="s">
        <v>1590</v>
      </c>
      <c r="G2080" s="1173" t="s">
        <v>77</v>
      </c>
      <c r="H2080" s="173" t="s">
        <v>819</v>
      </c>
      <c r="I2080" s="167" t="s">
        <v>3426</v>
      </c>
      <c r="J2080" s="109" t="s">
        <v>432</v>
      </c>
      <c r="K2080" s="109" t="s">
        <v>432</v>
      </c>
      <c r="L2080" s="109" t="s">
        <v>432</v>
      </c>
      <c r="M2080" s="109" t="s">
        <v>432</v>
      </c>
      <c r="N2080" s="109" t="s">
        <v>432</v>
      </c>
      <c r="O2080" s="109" t="s">
        <v>432</v>
      </c>
      <c r="P2080" s="109" t="s">
        <v>432</v>
      </c>
      <c r="Q2080" s="109" t="s">
        <v>432</v>
      </c>
      <c r="R2080" s="109" t="s">
        <v>432</v>
      </c>
      <c r="S2080" s="109" t="s">
        <v>2209</v>
      </c>
      <c r="T2080" s="109" t="s">
        <v>432</v>
      </c>
      <c r="U2080" s="109" t="s">
        <v>432</v>
      </c>
      <c r="V2080" s="109" t="s">
        <v>2209</v>
      </c>
      <c r="W2080" s="109" t="s">
        <v>432</v>
      </c>
      <c r="X2080" s="109" t="s">
        <v>432</v>
      </c>
      <c r="Y2080" s="109" t="s">
        <v>432</v>
      </c>
      <c r="Z2080" s="109" t="s">
        <v>432</v>
      </c>
      <c r="AA2080" s="109" t="s">
        <v>432</v>
      </c>
      <c r="AB2080" s="109" t="s">
        <v>432</v>
      </c>
      <c r="AC2080" s="109" t="s">
        <v>432</v>
      </c>
      <c r="AD2080" s="109" t="s">
        <v>432</v>
      </c>
      <c r="AE2080" s="109" t="s">
        <v>432</v>
      </c>
      <c r="AF2080" s="268" t="s">
        <v>432</v>
      </c>
      <c r="AG2080" s="268" t="s">
        <v>432</v>
      </c>
      <c r="AH2080" s="83">
        <v>21.282499999999999</v>
      </c>
      <c r="AI2080" s="268" t="s">
        <v>432</v>
      </c>
      <c r="AJ2080" s="268" t="s">
        <v>432</v>
      </c>
      <c r="AK2080" s="268" t="s">
        <v>432</v>
      </c>
      <c r="AL2080" s="601" t="s">
        <v>432</v>
      </c>
      <c r="AM2080" s="268" t="s">
        <v>432</v>
      </c>
      <c r="AN2080" s="268" t="s">
        <v>432</v>
      </c>
      <c r="AO2080" s="268" t="s">
        <v>432</v>
      </c>
      <c r="AP2080" s="268" t="s">
        <v>432</v>
      </c>
      <c r="AQ2080" s="268" t="s">
        <v>432</v>
      </c>
      <c r="AR2080" s="268" t="s">
        <v>432</v>
      </c>
      <c r="AS2080" s="268" t="s">
        <v>432</v>
      </c>
      <c r="AT2080" s="268" t="s">
        <v>432</v>
      </c>
      <c r="AU2080" s="268" t="s">
        <v>432</v>
      </c>
      <c r="AV2080" s="268" t="s">
        <v>432</v>
      </c>
      <c r="AW2080" s="268" t="s">
        <v>432</v>
      </c>
      <c r="AX2080" s="268" t="s">
        <v>432</v>
      </c>
      <c r="AY2080" s="268" t="s">
        <v>432</v>
      </c>
      <c r="AZ2080" s="268" t="s">
        <v>432</v>
      </c>
      <c r="BA2080" s="268" t="s">
        <v>432</v>
      </c>
      <c r="BB2080" s="396" t="str">
        <f t="shared" si="593"/>
        <v>Poluição do arx</v>
      </c>
      <c r="BC2080" s="396" t="str">
        <f t="shared" si="594"/>
        <v>Poluição do arxbenchmarking</v>
      </c>
      <c r="BD2080" s="396" t="str">
        <f t="shared" si="595"/>
        <v>Poluição do arbenchmarking</v>
      </c>
    </row>
    <row r="2081" spans="1:56" s="105" customFormat="1" ht="30.75" customHeight="1" x14ac:dyDescent="0.25">
      <c r="A2081" s="275" t="str">
        <f>'Q100b-totais'!$B$44</f>
        <v>5.2</v>
      </c>
      <c r="B2081" s="1205" t="str">
        <f>'Q100b-totais'!$C$44</f>
        <v>Poluição do ar</v>
      </c>
      <c r="C2081" s="167" t="s">
        <v>432</v>
      </c>
      <c r="D2081" s="324" t="s">
        <v>4919</v>
      </c>
      <c r="E2081" s="1445" t="s">
        <v>3791</v>
      </c>
      <c r="F2081" s="252" t="s">
        <v>1590</v>
      </c>
      <c r="G2081" s="1173" t="s">
        <v>3789</v>
      </c>
      <c r="H2081" s="173" t="s">
        <v>819</v>
      </c>
      <c r="I2081" s="167" t="s">
        <v>3426</v>
      </c>
      <c r="J2081" s="109" t="s">
        <v>432</v>
      </c>
      <c r="K2081" s="109" t="s">
        <v>432</v>
      </c>
      <c r="L2081" s="109" t="s">
        <v>432</v>
      </c>
      <c r="M2081" s="109" t="s">
        <v>432</v>
      </c>
      <c r="N2081" s="109" t="s">
        <v>432</v>
      </c>
      <c r="O2081" s="109" t="s">
        <v>432</v>
      </c>
      <c r="P2081" s="109" t="s">
        <v>432</v>
      </c>
      <c r="Q2081" s="109" t="s">
        <v>432</v>
      </c>
      <c r="R2081" s="109" t="s">
        <v>432</v>
      </c>
      <c r="S2081" s="109" t="s">
        <v>2209</v>
      </c>
      <c r="T2081" s="109" t="s">
        <v>432</v>
      </c>
      <c r="U2081" s="109" t="s">
        <v>432</v>
      </c>
      <c r="V2081" s="109" t="s">
        <v>2209</v>
      </c>
      <c r="W2081" s="109" t="s">
        <v>432</v>
      </c>
      <c r="X2081" s="109" t="s">
        <v>432</v>
      </c>
      <c r="Y2081" s="109" t="s">
        <v>432</v>
      </c>
      <c r="Z2081" s="109" t="s">
        <v>432</v>
      </c>
      <c r="AA2081" s="109" t="s">
        <v>432</v>
      </c>
      <c r="AB2081" s="109" t="s">
        <v>432</v>
      </c>
      <c r="AC2081" s="109" t="s">
        <v>432</v>
      </c>
      <c r="AD2081" s="109" t="s">
        <v>432</v>
      </c>
      <c r="AE2081" s="109" t="s">
        <v>432</v>
      </c>
      <c r="AF2081" s="268" t="s">
        <v>432</v>
      </c>
      <c r="AG2081" s="268" t="s">
        <v>432</v>
      </c>
      <c r="AH2081" s="268" t="s">
        <v>432</v>
      </c>
      <c r="AI2081" s="268" t="s">
        <v>432</v>
      </c>
      <c r="AJ2081" s="268" t="s">
        <v>432</v>
      </c>
      <c r="AK2081" s="268" t="s">
        <v>432</v>
      </c>
      <c r="AL2081" s="601" t="s">
        <v>432</v>
      </c>
      <c r="AM2081" s="268" t="s">
        <v>432</v>
      </c>
      <c r="AN2081" s="268" t="s">
        <v>432</v>
      </c>
      <c r="AO2081" s="268" t="s">
        <v>432</v>
      </c>
      <c r="AP2081" s="268" t="s">
        <v>432</v>
      </c>
      <c r="AQ2081" s="268" t="s">
        <v>432</v>
      </c>
      <c r="AR2081" s="268" t="s">
        <v>432</v>
      </c>
      <c r="AS2081" s="268" t="s">
        <v>432</v>
      </c>
      <c r="AT2081" s="268" t="s">
        <v>432</v>
      </c>
      <c r="AU2081" s="268" t="s">
        <v>432</v>
      </c>
      <c r="AV2081" s="268" t="s">
        <v>432</v>
      </c>
      <c r="AW2081" s="268" t="s">
        <v>432</v>
      </c>
      <c r="AX2081" s="268" t="s">
        <v>432</v>
      </c>
      <c r="AY2081" s="268" t="s">
        <v>432</v>
      </c>
      <c r="AZ2081" s="268" t="s">
        <v>432</v>
      </c>
      <c r="BA2081" s="268" t="s">
        <v>432</v>
      </c>
      <c r="BB2081" s="396" t="str">
        <f t="shared" si="593"/>
        <v>Poluição do arx</v>
      </c>
      <c r="BC2081" s="396" t="str">
        <f t="shared" si="594"/>
        <v>Poluição do arxbenchmarking</v>
      </c>
      <c r="BD2081" s="396" t="str">
        <f t="shared" si="595"/>
        <v>Poluição do arbenchmarking</v>
      </c>
    </row>
    <row r="2082" spans="1:56" s="105" customFormat="1" ht="30.75" customHeight="1" x14ac:dyDescent="0.25">
      <c r="A2082" s="275" t="str">
        <f>'Q100b-totais'!$B$44</f>
        <v>5.2</v>
      </c>
      <c r="B2082" s="1205" t="str">
        <f>'Q100b-totais'!$C$44</f>
        <v>Poluição do ar</v>
      </c>
      <c r="C2082" s="167" t="s">
        <v>432</v>
      </c>
      <c r="D2082" s="362" t="s">
        <v>4919</v>
      </c>
      <c r="E2082" s="1502" t="s">
        <v>3770</v>
      </c>
      <c r="F2082" s="355" t="s">
        <v>1590</v>
      </c>
      <c r="G2082" s="1173" t="s">
        <v>77</v>
      </c>
      <c r="H2082" s="173" t="s">
        <v>819</v>
      </c>
      <c r="I2082" s="167" t="s">
        <v>3426</v>
      </c>
      <c r="J2082" s="109" t="s">
        <v>432</v>
      </c>
      <c r="K2082" s="109" t="s">
        <v>432</v>
      </c>
      <c r="L2082" s="109" t="s">
        <v>432</v>
      </c>
      <c r="M2082" s="109" t="s">
        <v>432</v>
      </c>
      <c r="N2082" s="109" t="s">
        <v>432</v>
      </c>
      <c r="O2082" s="109" t="s">
        <v>432</v>
      </c>
      <c r="P2082" s="109" t="s">
        <v>432</v>
      </c>
      <c r="Q2082" s="109" t="s">
        <v>432</v>
      </c>
      <c r="R2082" s="109" t="s">
        <v>432</v>
      </c>
      <c r="S2082" s="109" t="s">
        <v>2209</v>
      </c>
      <c r="T2082" s="109" t="s">
        <v>432</v>
      </c>
      <c r="U2082" s="109" t="s">
        <v>432</v>
      </c>
      <c r="V2082" s="109" t="s">
        <v>2209</v>
      </c>
      <c r="W2082" s="109" t="s">
        <v>432</v>
      </c>
      <c r="X2082" s="109" t="s">
        <v>432</v>
      </c>
      <c r="Y2082" s="109" t="s">
        <v>432</v>
      </c>
      <c r="Z2082" s="109" t="s">
        <v>432</v>
      </c>
      <c r="AA2082" s="109" t="s">
        <v>432</v>
      </c>
      <c r="AB2082" s="109" t="s">
        <v>432</v>
      </c>
      <c r="AC2082" s="109" t="s">
        <v>432</v>
      </c>
      <c r="AD2082" s="109" t="s">
        <v>432</v>
      </c>
      <c r="AE2082" s="109" t="s">
        <v>432</v>
      </c>
      <c r="AF2082" s="268" t="s">
        <v>432</v>
      </c>
      <c r="AG2082" s="268" t="s">
        <v>432</v>
      </c>
      <c r="AH2082" s="83">
        <v>22.560500000000001</v>
      </c>
      <c r="AI2082" s="268" t="s">
        <v>432</v>
      </c>
      <c r="AJ2082" s="268" t="s">
        <v>432</v>
      </c>
      <c r="AK2082" s="268" t="s">
        <v>432</v>
      </c>
      <c r="AL2082" s="601" t="s">
        <v>432</v>
      </c>
      <c r="AM2082" s="268" t="s">
        <v>432</v>
      </c>
      <c r="AN2082" s="268" t="s">
        <v>432</v>
      </c>
      <c r="AO2082" s="268" t="s">
        <v>432</v>
      </c>
      <c r="AP2082" s="268" t="s">
        <v>432</v>
      </c>
      <c r="AQ2082" s="268" t="s">
        <v>432</v>
      </c>
      <c r="AR2082" s="268" t="s">
        <v>432</v>
      </c>
      <c r="AS2082" s="268" t="s">
        <v>432</v>
      </c>
      <c r="AT2082" s="268" t="s">
        <v>432</v>
      </c>
      <c r="AU2082" s="268" t="s">
        <v>432</v>
      </c>
      <c r="AV2082" s="268" t="s">
        <v>432</v>
      </c>
      <c r="AW2082" s="268" t="s">
        <v>432</v>
      </c>
      <c r="AX2082" s="268" t="s">
        <v>432</v>
      </c>
      <c r="AY2082" s="268" t="s">
        <v>432</v>
      </c>
      <c r="AZ2082" s="268" t="s">
        <v>432</v>
      </c>
      <c r="BA2082" s="268" t="s">
        <v>432</v>
      </c>
      <c r="BB2082" s="396" t="str">
        <f t="shared" si="593"/>
        <v>Poluição do arx</v>
      </c>
      <c r="BC2082" s="396" t="str">
        <f t="shared" si="594"/>
        <v>Poluição do arxbenchmarking</v>
      </c>
      <c r="BD2082" s="396" t="str">
        <f t="shared" si="595"/>
        <v>Poluição do arbenchmarking</v>
      </c>
    </row>
    <row r="2083" spans="1:56" ht="30.75" customHeight="1" x14ac:dyDescent="0.25">
      <c r="A2083" s="275" t="str">
        <f>'Q100b-totais'!$B$44</f>
        <v>5.2</v>
      </c>
      <c r="B2083" s="1205" t="str">
        <f>'Q100b-totais'!$C$44</f>
        <v>Poluição do ar</v>
      </c>
      <c r="C2083" s="167" t="s">
        <v>432</v>
      </c>
      <c r="D2083" s="362" t="s">
        <v>4919</v>
      </c>
      <c r="E2083" s="1502" t="s">
        <v>3478</v>
      </c>
      <c r="F2083" s="355" t="s">
        <v>1590</v>
      </c>
      <c r="G2083" s="1173" t="s">
        <v>77</v>
      </c>
      <c r="H2083" s="173" t="s">
        <v>819</v>
      </c>
      <c r="I2083" s="167" t="s">
        <v>3426</v>
      </c>
      <c r="J2083" s="109" t="s">
        <v>432</v>
      </c>
      <c r="K2083" s="109" t="s">
        <v>432</v>
      </c>
      <c r="L2083" s="109" t="s">
        <v>432</v>
      </c>
      <c r="M2083" s="109" t="s">
        <v>432</v>
      </c>
      <c r="N2083" s="109" t="s">
        <v>432</v>
      </c>
      <c r="O2083" s="109" t="s">
        <v>432</v>
      </c>
      <c r="P2083" s="109" t="s">
        <v>432</v>
      </c>
      <c r="Q2083" s="109" t="s">
        <v>432</v>
      </c>
      <c r="R2083" s="109" t="s">
        <v>432</v>
      </c>
      <c r="S2083" s="109" t="s">
        <v>2209</v>
      </c>
      <c r="T2083" s="109" t="s">
        <v>432</v>
      </c>
      <c r="U2083" s="109" t="s">
        <v>432</v>
      </c>
      <c r="V2083" s="109" t="s">
        <v>2209</v>
      </c>
      <c r="W2083" s="109" t="s">
        <v>432</v>
      </c>
      <c r="X2083" s="109" t="s">
        <v>432</v>
      </c>
      <c r="Y2083" s="109" t="s">
        <v>432</v>
      </c>
      <c r="Z2083" s="109" t="s">
        <v>432</v>
      </c>
      <c r="AA2083" s="109" t="s">
        <v>432</v>
      </c>
      <c r="AB2083" s="109" t="s">
        <v>432</v>
      </c>
      <c r="AC2083" s="109" t="s">
        <v>432</v>
      </c>
      <c r="AD2083" s="109" t="s">
        <v>432</v>
      </c>
      <c r="AE2083" s="109" t="s">
        <v>432</v>
      </c>
      <c r="AF2083" s="268" t="s">
        <v>432</v>
      </c>
      <c r="AG2083" s="83">
        <v>23.598500000000001</v>
      </c>
      <c r="AH2083" s="268" t="s">
        <v>432</v>
      </c>
      <c r="AI2083" s="268" t="s">
        <v>432</v>
      </c>
      <c r="AJ2083" s="268" t="s">
        <v>432</v>
      </c>
      <c r="AK2083" s="268" t="s">
        <v>432</v>
      </c>
      <c r="AL2083" s="601" t="s">
        <v>432</v>
      </c>
      <c r="AM2083" s="268" t="s">
        <v>432</v>
      </c>
      <c r="AN2083" s="268" t="s">
        <v>432</v>
      </c>
      <c r="AO2083" s="268" t="s">
        <v>432</v>
      </c>
      <c r="AP2083" s="268" t="s">
        <v>432</v>
      </c>
      <c r="AQ2083" s="268" t="s">
        <v>432</v>
      </c>
      <c r="AR2083" s="268" t="s">
        <v>432</v>
      </c>
      <c r="AS2083" s="268" t="s">
        <v>432</v>
      </c>
      <c r="AT2083" s="268" t="s">
        <v>432</v>
      </c>
      <c r="AU2083" s="268" t="s">
        <v>432</v>
      </c>
      <c r="AV2083" s="268" t="s">
        <v>432</v>
      </c>
      <c r="AW2083" s="268" t="s">
        <v>432</v>
      </c>
      <c r="AX2083" s="268" t="s">
        <v>432</v>
      </c>
      <c r="AY2083" s="268" t="s">
        <v>432</v>
      </c>
      <c r="AZ2083" s="268" t="s">
        <v>432</v>
      </c>
      <c r="BA2083" s="268" t="s">
        <v>432</v>
      </c>
      <c r="BB2083" s="396" t="str">
        <f t="shared" si="593"/>
        <v>Poluição do arx</v>
      </c>
      <c r="BC2083" s="396" t="str">
        <f t="shared" si="594"/>
        <v>Poluição do arxbenchmarking</v>
      </c>
      <c r="BD2083" s="396" t="str">
        <f t="shared" si="595"/>
        <v>Poluição do arbenchmarking</v>
      </c>
    </row>
    <row r="2084" spans="1:56" s="105" customFormat="1" ht="30.75" customHeight="1" x14ac:dyDescent="0.25">
      <c r="A2084" s="275" t="str">
        <f>'Q100b-totais'!$B$44</f>
        <v>5.2</v>
      </c>
      <c r="B2084" s="1205" t="str">
        <f>'Q100b-totais'!$C$44</f>
        <v>Poluição do ar</v>
      </c>
      <c r="C2084" s="167" t="s">
        <v>432</v>
      </c>
      <c r="D2084" s="362" t="s">
        <v>4919</v>
      </c>
      <c r="E2084" s="1502" t="s">
        <v>3790</v>
      </c>
      <c r="F2084" s="355" t="s">
        <v>1590</v>
      </c>
      <c r="G2084" s="1173" t="s">
        <v>77</v>
      </c>
      <c r="H2084" s="173" t="s">
        <v>819</v>
      </c>
      <c r="I2084" s="167" t="s">
        <v>3426</v>
      </c>
      <c r="J2084" s="109" t="s">
        <v>432</v>
      </c>
      <c r="K2084" s="109" t="s">
        <v>432</v>
      </c>
      <c r="L2084" s="109" t="s">
        <v>432</v>
      </c>
      <c r="M2084" s="109" t="s">
        <v>432</v>
      </c>
      <c r="N2084" s="109" t="s">
        <v>432</v>
      </c>
      <c r="O2084" s="109" t="s">
        <v>432</v>
      </c>
      <c r="P2084" s="109" t="s">
        <v>432</v>
      </c>
      <c r="Q2084" s="109" t="s">
        <v>432</v>
      </c>
      <c r="R2084" s="109" t="s">
        <v>432</v>
      </c>
      <c r="S2084" s="109" t="s">
        <v>2209</v>
      </c>
      <c r="T2084" s="109" t="s">
        <v>432</v>
      </c>
      <c r="U2084" s="109" t="s">
        <v>432</v>
      </c>
      <c r="V2084" s="109" t="s">
        <v>2209</v>
      </c>
      <c r="W2084" s="109" t="s">
        <v>432</v>
      </c>
      <c r="X2084" s="109" t="s">
        <v>432</v>
      </c>
      <c r="Y2084" s="109" t="s">
        <v>432</v>
      </c>
      <c r="Z2084" s="109" t="s">
        <v>432</v>
      </c>
      <c r="AA2084" s="109" t="s">
        <v>432</v>
      </c>
      <c r="AB2084" s="109" t="s">
        <v>432</v>
      </c>
      <c r="AC2084" s="109" t="s">
        <v>432</v>
      </c>
      <c r="AD2084" s="109" t="s">
        <v>432</v>
      </c>
      <c r="AE2084" s="109" t="s">
        <v>432</v>
      </c>
      <c r="AF2084" s="268" t="s">
        <v>432</v>
      </c>
      <c r="AG2084" s="268" t="s">
        <v>432</v>
      </c>
      <c r="AH2084" s="83">
        <v>39.085999999999999</v>
      </c>
      <c r="AI2084" s="268" t="s">
        <v>432</v>
      </c>
      <c r="AJ2084" s="268" t="s">
        <v>432</v>
      </c>
      <c r="AK2084" s="268" t="s">
        <v>432</v>
      </c>
      <c r="AL2084" s="601" t="s">
        <v>432</v>
      </c>
      <c r="AM2084" s="268" t="s">
        <v>432</v>
      </c>
      <c r="AN2084" s="268" t="s">
        <v>432</v>
      </c>
      <c r="AO2084" s="268" t="s">
        <v>432</v>
      </c>
      <c r="AP2084" s="268" t="s">
        <v>432</v>
      </c>
      <c r="AQ2084" s="268" t="s">
        <v>432</v>
      </c>
      <c r="AR2084" s="268" t="s">
        <v>432</v>
      </c>
      <c r="AS2084" s="268" t="s">
        <v>432</v>
      </c>
      <c r="AT2084" s="268" t="s">
        <v>432</v>
      </c>
      <c r="AU2084" s="268" t="s">
        <v>432</v>
      </c>
      <c r="AV2084" s="268" t="s">
        <v>432</v>
      </c>
      <c r="AW2084" s="268" t="s">
        <v>432</v>
      </c>
      <c r="AX2084" s="268" t="s">
        <v>432</v>
      </c>
      <c r="AY2084" s="268" t="s">
        <v>432</v>
      </c>
      <c r="AZ2084" s="268" t="s">
        <v>432</v>
      </c>
      <c r="BA2084" s="268" t="s">
        <v>432</v>
      </c>
      <c r="BB2084" s="396" t="str">
        <f t="shared" si="593"/>
        <v>Poluição do arx</v>
      </c>
      <c r="BC2084" s="396" t="str">
        <f t="shared" si="594"/>
        <v>Poluição do arxbenchmarking</v>
      </c>
      <c r="BD2084" s="396" t="str">
        <f t="shared" si="595"/>
        <v>Poluição do arbenchmarking</v>
      </c>
    </row>
    <row r="2085" spans="1:56" s="105" customFormat="1" ht="30.75" customHeight="1" x14ac:dyDescent="0.25">
      <c r="A2085" s="275" t="str">
        <f>'Q100b-totais'!$B$44</f>
        <v>5.2</v>
      </c>
      <c r="B2085" s="1205" t="str">
        <f>'Q100b-totais'!$C$44</f>
        <v>Poluição do ar</v>
      </c>
      <c r="C2085" s="167" t="s">
        <v>432</v>
      </c>
      <c r="D2085" s="362" t="s">
        <v>4919</v>
      </c>
      <c r="E2085" s="1523" t="s">
        <v>3339</v>
      </c>
      <c r="F2085" s="355" t="s">
        <v>1590</v>
      </c>
      <c r="G2085" s="1173" t="s">
        <v>77</v>
      </c>
      <c r="H2085" s="173" t="s">
        <v>819</v>
      </c>
      <c r="I2085" s="167" t="s">
        <v>3426</v>
      </c>
      <c r="J2085" s="109" t="s">
        <v>432</v>
      </c>
      <c r="K2085" s="109" t="s">
        <v>432</v>
      </c>
      <c r="L2085" s="109" t="s">
        <v>432</v>
      </c>
      <c r="M2085" s="109" t="s">
        <v>432</v>
      </c>
      <c r="N2085" s="109" t="s">
        <v>432</v>
      </c>
      <c r="O2085" s="109" t="s">
        <v>432</v>
      </c>
      <c r="P2085" s="109" t="s">
        <v>432</v>
      </c>
      <c r="Q2085" s="109" t="s">
        <v>432</v>
      </c>
      <c r="R2085" s="109" t="s">
        <v>432</v>
      </c>
      <c r="S2085" s="109" t="s">
        <v>2209</v>
      </c>
      <c r="T2085" s="109" t="s">
        <v>432</v>
      </c>
      <c r="U2085" s="109" t="s">
        <v>432</v>
      </c>
      <c r="V2085" s="109" t="s">
        <v>2209</v>
      </c>
      <c r="W2085" s="109" t="s">
        <v>432</v>
      </c>
      <c r="X2085" s="109" t="s">
        <v>432</v>
      </c>
      <c r="Y2085" s="109" t="s">
        <v>432</v>
      </c>
      <c r="Z2085" s="109" t="s">
        <v>432</v>
      </c>
      <c r="AA2085" s="109" t="s">
        <v>432</v>
      </c>
      <c r="AB2085" s="109" t="s">
        <v>432</v>
      </c>
      <c r="AC2085" s="109" t="s">
        <v>432</v>
      </c>
      <c r="AD2085" s="109" t="s">
        <v>432</v>
      </c>
      <c r="AE2085" s="109" t="s">
        <v>432</v>
      </c>
      <c r="AF2085" s="268" t="s">
        <v>432</v>
      </c>
      <c r="AG2085" s="268" t="s">
        <v>432</v>
      </c>
      <c r="AH2085" s="83">
        <v>21.48</v>
      </c>
      <c r="AI2085" s="268" t="s">
        <v>432</v>
      </c>
      <c r="AJ2085" s="268" t="s">
        <v>432</v>
      </c>
      <c r="AK2085" s="268" t="s">
        <v>432</v>
      </c>
      <c r="AL2085" s="601" t="s">
        <v>432</v>
      </c>
      <c r="AM2085" s="268" t="s">
        <v>432</v>
      </c>
      <c r="AN2085" s="268" t="s">
        <v>432</v>
      </c>
      <c r="AO2085" s="268" t="s">
        <v>432</v>
      </c>
      <c r="AP2085" s="268" t="s">
        <v>432</v>
      </c>
      <c r="AQ2085" s="268" t="s">
        <v>432</v>
      </c>
      <c r="AR2085" s="268" t="s">
        <v>432</v>
      </c>
      <c r="AS2085" s="268" t="s">
        <v>432</v>
      </c>
      <c r="AT2085" s="268" t="s">
        <v>432</v>
      </c>
      <c r="AU2085" s="268" t="s">
        <v>432</v>
      </c>
      <c r="AV2085" s="268" t="s">
        <v>432</v>
      </c>
      <c r="AW2085" s="268" t="s">
        <v>432</v>
      </c>
      <c r="AX2085" s="268" t="s">
        <v>432</v>
      </c>
      <c r="AY2085" s="268" t="s">
        <v>432</v>
      </c>
      <c r="AZ2085" s="268" t="s">
        <v>432</v>
      </c>
      <c r="BA2085" s="268" t="s">
        <v>432</v>
      </c>
      <c r="BB2085" s="396" t="str">
        <f t="shared" si="593"/>
        <v>Poluição do arx</v>
      </c>
      <c r="BC2085" s="396" t="str">
        <f t="shared" si="594"/>
        <v>Poluição do arxbenchmarking</v>
      </c>
      <c r="BD2085" s="396" t="str">
        <f t="shared" si="595"/>
        <v>Poluição do arbenchmarking</v>
      </c>
    </row>
    <row r="2086" spans="1:56" s="105" customFormat="1" ht="30.75" customHeight="1" x14ac:dyDescent="0.25">
      <c r="A2086" s="275" t="str">
        <f>'Q100b-totais'!$B$44</f>
        <v>5.2</v>
      </c>
      <c r="B2086" s="1205" t="str">
        <f>'Q100b-totais'!$C$44</f>
        <v>Poluição do ar</v>
      </c>
      <c r="C2086" s="167" t="s">
        <v>432</v>
      </c>
      <c r="D2086" s="362" t="s">
        <v>4919</v>
      </c>
      <c r="E2086" s="1523" t="s">
        <v>3342</v>
      </c>
      <c r="F2086" s="355" t="s">
        <v>1590</v>
      </c>
      <c r="G2086" s="1173" t="s">
        <v>77</v>
      </c>
      <c r="H2086" s="173" t="s">
        <v>819</v>
      </c>
      <c r="I2086" s="167" t="s">
        <v>3426</v>
      </c>
      <c r="J2086" s="109" t="s">
        <v>432</v>
      </c>
      <c r="K2086" s="109" t="s">
        <v>432</v>
      </c>
      <c r="L2086" s="109" t="s">
        <v>432</v>
      </c>
      <c r="M2086" s="109" t="s">
        <v>432</v>
      </c>
      <c r="N2086" s="109" t="s">
        <v>432</v>
      </c>
      <c r="O2086" s="109" t="s">
        <v>432</v>
      </c>
      <c r="P2086" s="109" t="s">
        <v>432</v>
      </c>
      <c r="Q2086" s="109" t="s">
        <v>432</v>
      </c>
      <c r="R2086" s="109" t="s">
        <v>432</v>
      </c>
      <c r="S2086" s="109" t="s">
        <v>2209</v>
      </c>
      <c r="T2086" s="109" t="s">
        <v>432</v>
      </c>
      <c r="U2086" s="109" t="s">
        <v>432</v>
      </c>
      <c r="V2086" s="109" t="s">
        <v>2209</v>
      </c>
      <c r="W2086" s="109" t="s">
        <v>432</v>
      </c>
      <c r="X2086" s="109" t="s">
        <v>432</v>
      </c>
      <c r="Y2086" s="109" t="s">
        <v>432</v>
      </c>
      <c r="Z2086" s="109" t="s">
        <v>432</v>
      </c>
      <c r="AA2086" s="109" t="s">
        <v>432</v>
      </c>
      <c r="AB2086" s="109" t="s">
        <v>432</v>
      </c>
      <c r="AC2086" s="109" t="s">
        <v>432</v>
      </c>
      <c r="AD2086" s="109" t="s">
        <v>432</v>
      </c>
      <c r="AE2086" s="109" t="s">
        <v>432</v>
      </c>
      <c r="AF2086" s="268" t="s">
        <v>432</v>
      </c>
      <c r="AG2086" s="268" t="s">
        <v>432</v>
      </c>
      <c r="AH2086" s="83">
        <v>23.588000000000001</v>
      </c>
      <c r="AI2086" s="268" t="s">
        <v>432</v>
      </c>
      <c r="AJ2086" s="268" t="s">
        <v>432</v>
      </c>
      <c r="AK2086" s="268" t="s">
        <v>432</v>
      </c>
      <c r="AL2086" s="601" t="s">
        <v>432</v>
      </c>
      <c r="AM2086" s="268" t="s">
        <v>432</v>
      </c>
      <c r="AN2086" s="268" t="s">
        <v>432</v>
      </c>
      <c r="AO2086" s="268" t="s">
        <v>432</v>
      </c>
      <c r="AP2086" s="268" t="s">
        <v>432</v>
      </c>
      <c r="AQ2086" s="268" t="s">
        <v>432</v>
      </c>
      <c r="AR2086" s="268" t="s">
        <v>432</v>
      </c>
      <c r="AS2086" s="268" t="s">
        <v>432</v>
      </c>
      <c r="AT2086" s="268" t="s">
        <v>432</v>
      </c>
      <c r="AU2086" s="268" t="s">
        <v>432</v>
      </c>
      <c r="AV2086" s="268" t="s">
        <v>432</v>
      </c>
      <c r="AW2086" s="268" t="s">
        <v>432</v>
      </c>
      <c r="AX2086" s="268" t="s">
        <v>432</v>
      </c>
      <c r="AY2086" s="268" t="s">
        <v>432</v>
      </c>
      <c r="AZ2086" s="268" t="s">
        <v>432</v>
      </c>
      <c r="BA2086" s="268" t="s">
        <v>432</v>
      </c>
      <c r="BB2086" s="396" t="str">
        <f t="shared" si="593"/>
        <v>Poluição do arx</v>
      </c>
      <c r="BC2086" s="396" t="str">
        <f t="shared" si="594"/>
        <v>Poluição do arxbenchmarking</v>
      </c>
      <c r="BD2086" s="396" t="str">
        <f t="shared" si="595"/>
        <v>Poluição do arbenchmarking</v>
      </c>
    </row>
    <row r="2087" spans="1:56" s="105" customFormat="1" ht="30.75" customHeight="1" x14ac:dyDescent="0.25">
      <c r="A2087" s="275" t="str">
        <f>'Q100b-totais'!$B$44</f>
        <v>5.2</v>
      </c>
      <c r="B2087" s="1205" t="str">
        <f>'Q100b-totais'!$C$44</f>
        <v>Poluição do ar</v>
      </c>
      <c r="C2087" s="167" t="s">
        <v>432</v>
      </c>
      <c r="D2087" s="362" t="s">
        <v>4919</v>
      </c>
      <c r="E2087" s="1502" t="s">
        <v>3477</v>
      </c>
      <c r="F2087" s="355" t="s">
        <v>1590</v>
      </c>
      <c r="G2087" s="1173" t="s">
        <v>77</v>
      </c>
      <c r="H2087" s="173" t="s">
        <v>819</v>
      </c>
      <c r="I2087" s="167" t="s">
        <v>3426</v>
      </c>
      <c r="J2087" s="109" t="s">
        <v>432</v>
      </c>
      <c r="K2087" s="109" t="s">
        <v>432</v>
      </c>
      <c r="L2087" s="109" t="s">
        <v>432</v>
      </c>
      <c r="M2087" s="109" t="s">
        <v>432</v>
      </c>
      <c r="N2087" s="109" t="s">
        <v>432</v>
      </c>
      <c r="O2087" s="109" t="s">
        <v>432</v>
      </c>
      <c r="P2087" s="109" t="s">
        <v>432</v>
      </c>
      <c r="Q2087" s="109" t="s">
        <v>432</v>
      </c>
      <c r="R2087" s="109" t="s">
        <v>432</v>
      </c>
      <c r="S2087" s="109" t="s">
        <v>2209</v>
      </c>
      <c r="T2087" s="109" t="s">
        <v>432</v>
      </c>
      <c r="U2087" s="109" t="s">
        <v>432</v>
      </c>
      <c r="V2087" s="109" t="s">
        <v>2209</v>
      </c>
      <c r="W2087" s="109" t="s">
        <v>432</v>
      </c>
      <c r="X2087" s="109" t="s">
        <v>432</v>
      </c>
      <c r="Y2087" s="109" t="s">
        <v>432</v>
      </c>
      <c r="Z2087" s="109" t="s">
        <v>432</v>
      </c>
      <c r="AA2087" s="109" t="s">
        <v>432</v>
      </c>
      <c r="AB2087" s="109" t="s">
        <v>432</v>
      </c>
      <c r="AC2087" s="109" t="s">
        <v>432</v>
      </c>
      <c r="AD2087" s="109" t="s">
        <v>432</v>
      </c>
      <c r="AE2087" s="109" t="s">
        <v>432</v>
      </c>
      <c r="AF2087" s="268" t="s">
        <v>432</v>
      </c>
      <c r="AG2087" s="83">
        <v>28.881</v>
      </c>
      <c r="AH2087" s="268" t="s">
        <v>432</v>
      </c>
      <c r="AI2087" s="268" t="s">
        <v>432</v>
      </c>
      <c r="AJ2087" s="268" t="s">
        <v>432</v>
      </c>
      <c r="AK2087" s="268" t="s">
        <v>432</v>
      </c>
      <c r="AL2087" s="601" t="s">
        <v>432</v>
      </c>
      <c r="AM2087" s="268" t="s">
        <v>432</v>
      </c>
      <c r="AN2087" s="268" t="s">
        <v>432</v>
      </c>
      <c r="AO2087" s="268" t="s">
        <v>432</v>
      </c>
      <c r="AP2087" s="268" t="s">
        <v>432</v>
      </c>
      <c r="AQ2087" s="268" t="s">
        <v>432</v>
      </c>
      <c r="AR2087" s="268" t="s">
        <v>432</v>
      </c>
      <c r="AS2087" s="268" t="s">
        <v>432</v>
      </c>
      <c r="AT2087" s="268" t="s">
        <v>432</v>
      </c>
      <c r="AU2087" s="268" t="s">
        <v>432</v>
      </c>
      <c r="AV2087" s="268" t="s">
        <v>432</v>
      </c>
      <c r="AW2087" s="268" t="s">
        <v>432</v>
      </c>
      <c r="AX2087" s="268" t="s">
        <v>432</v>
      </c>
      <c r="AY2087" s="268" t="s">
        <v>432</v>
      </c>
      <c r="AZ2087" s="268" t="s">
        <v>432</v>
      </c>
      <c r="BA2087" s="268" t="s">
        <v>432</v>
      </c>
      <c r="BB2087" s="396" t="str">
        <f t="shared" si="593"/>
        <v>Poluição do arx</v>
      </c>
      <c r="BC2087" s="396" t="str">
        <f t="shared" si="594"/>
        <v>Poluição do arxbenchmarking</v>
      </c>
      <c r="BD2087" s="396" t="str">
        <f t="shared" si="595"/>
        <v>Poluição do arbenchmarking</v>
      </c>
    </row>
    <row r="2088" spans="1:56" s="105" customFormat="1" ht="30.75" customHeight="1" x14ac:dyDescent="0.25">
      <c r="A2088" s="275" t="str">
        <f>'Q100b-totais'!$B$44</f>
        <v>5.2</v>
      </c>
      <c r="B2088" s="1205" t="str">
        <f>'Q100b-totais'!$C$44</f>
        <v>Poluição do ar</v>
      </c>
      <c r="C2088" s="167" t="s">
        <v>432</v>
      </c>
      <c r="D2088" s="324" t="s">
        <v>4919</v>
      </c>
      <c r="E2088" s="1542" t="s">
        <v>3353</v>
      </c>
      <c r="F2088" s="252" t="s">
        <v>1590</v>
      </c>
      <c r="G2088" s="1173" t="s">
        <v>3789</v>
      </c>
      <c r="H2088" s="173" t="s">
        <v>819</v>
      </c>
      <c r="I2088" s="167" t="s">
        <v>3426</v>
      </c>
      <c r="J2088" s="109" t="s">
        <v>432</v>
      </c>
      <c r="K2088" s="109" t="s">
        <v>432</v>
      </c>
      <c r="L2088" s="109" t="s">
        <v>432</v>
      </c>
      <c r="M2088" s="109" t="s">
        <v>432</v>
      </c>
      <c r="N2088" s="109" t="s">
        <v>432</v>
      </c>
      <c r="O2088" s="109" t="s">
        <v>432</v>
      </c>
      <c r="P2088" s="109" t="s">
        <v>432</v>
      </c>
      <c r="Q2088" s="109" t="s">
        <v>432</v>
      </c>
      <c r="R2088" s="109" t="s">
        <v>432</v>
      </c>
      <c r="S2088" s="109" t="s">
        <v>2209</v>
      </c>
      <c r="T2088" s="109" t="s">
        <v>432</v>
      </c>
      <c r="U2088" s="109" t="s">
        <v>432</v>
      </c>
      <c r="V2088" s="109" t="s">
        <v>2209</v>
      </c>
      <c r="W2088" s="109" t="s">
        <v>432</v>
      </c>
      <c r="X2088" s="109" t="s">
        <v>432</v>
      </c>
      <c r="Y2088" s="109" t="s">
        <v>432</v>
      </c>
      <c r="Z2088" s="109" t="s">
        <v>432</v>
      </c>
      <c r="AA2088" s="109" t="s">
        <v>432</v>
      </c>
      <c r="AB2088" s="109" t="s">
        <v>432</v>
      </c>
      <c r="AC2088" s="109" t="s">
        <v>432</v>
      </c>
      <c r="AD2088" s="109" t="s">
        <v>432</v>
      </c>
      <c r="AE2088" s="109" t="s">
        <v>432</v>
      </c>
      <c r="AF2088" s="268" t="s">
        <v>432</v>
      </c>
      <c r="AG2088" s="268" t="s">
        <v>432</v>
      </c>
      <c r="AH2088" s="268" t="s">
        <v>432</v>
      </c>
      <c r="AI2088" s="268" t="s">
        <v>432</v>
      </c>
      <c r="AJ2088" s="268" t="s">
        <v>432</v>
      </c>
      <c r="AK2088" s="268" t="s">
        <v>432</v>
      </c>
      <c r="AL2088" s="601" t="s">
        <v>432</v>
      </c>
      <c r="AM2088" s="268" t="s">
        <v>432</v>
      </c>
      <c r="AN2088" s="268" t="s">
        <v>432</v>
      </c>
      <c r="AO2088" s="268" t="s">
        <v>432</v>
      </c>
      <c r="AP2088" s="268" t="s">
        <v>432</v>
      </c>
      <c r="AQ2088" s="268" t="s">
        <v>432</v>
      </c>
      <c r="AR2088" s="268" t="s">
        <v>432</v>
      </c>
      <c r="AS2088" s="268" t="s">
        <v>432</v>
      </c>
      <c r="AT2088" s="268" t="s">
        <v>432</v>
      </c>
      <c r="AU2088" s="268" t="s">
        <v>432</v>
      </c>
      <c r="AV2088" s="268" t="s">
        <v>432</v>
      </c>
      <c r="AW2088" s="268" t="s">
        <v>432</v>
      </c>
      <c r="AX2088" s="268" t="s">
        <v>432</v>
      </c>
      <c r="AY2088" s="268" t="s">
        <v>432</v>
      </c>
      <c r="AZ2088" s="268" t="s">
        <v>432</v>
      </c>
      <c r="BA2088" s="268" t="s">
        <v>432</v>
      </c>
      <c r="BB2088" s="396" t="str">
        <f t="shared" si="593"/>
        <v>Poluição do arx</v>
      </c>
      <c r="BC2088" s="396" t="str">
        <f t="shared" si="594"/>
        <v>Poluição do arxbenchmarking</v>
      </c>
      <c r="BD2088" s="396" t="str">
        <f t="shared" si="595"/>
        <v>Poluição do arbenchmarking</v>
      </c>
    </row>
    <row r="2089" spans="1:56" s="105" customFormat="1" ht="30.75" customHeight="1" x14ac:dyDescent="0.25">
      <c r="A2089" s="275" t="str">
        <f>'Q100b-totais'!$B$44</f>
        <v>5.2</v>
      </c>
      <c r="B2089" s="1205" t="str">
        <f>'Q100b-totais'!$C$44</f>
        <v>Poluição do ar</v>
      </c>
      <c r="C2089" s="167" t="s">
        <v>432</v>
      </c>
      <c r="D2089" s="324" t="s">
        <v>4919</v>
      </c>
      <c r="E2089" s="1542" t="s">
        <v>3343</v>
      </c>
      <c r="F2089" s="252" t="s">
        <v>1590</v>
      </c>
      <c r="G2089" s="1173" t="s">
        <v>3789</v>
      </c>
      <c r="H2089" s="173" t="s">
        <v>819</v>
      </c>
      <c r="I2089" s="167" t="s">
        <v>3426</v>
      </c>
      <c r="J2089" s="109" t="s">
        <v>432</v>
      </c>
      <c r="K2089" s="109" t="s">
        <v>432</v>
      </c>
      <c r="L2089" s="109" t="s">
        <v>432</v>
      </c>
      <c r="M2089" s="109" t="s">
        <v>432</v>
      </c>
      <c r="N2089" s="109" t="s">
        <v>432</v>
      </c>
      <c r="O2089" s="109" t="s">
        <v>432</v>
      </c>
      <c r="P2089" s="109" t="s">
        <v>432</v>
      </c>
      <c r="Q2089" s="109" t="s">
        <v>432</v>
      </c>
      <c r="R2089" s="109" t="s">
        <v>432</v>
      </c>
      <c r="S2089" s="109" t="s">
        <v>2209</v>
      </c>
      <c r="T2089" s="109" t="s">
        <v>432</v>
      </c>
      <c r="U2089" s="109" t="s">
        <v>432</v>
      </c>
      <c r="V2089" s="109" t="s">
        <v>2209</v>
      </c>
      <c r="W2089" s="109" t="s">
        <v>432</v>
      </c>
      <c r="X2089" s="109" t="s">
        <v>432</v>
      </c>
      <c r="Y2089" s="109" t="s">
        <v>432</v>
      </c>
      <c r="Z2089" s="109" t="s">
        <v>432</v>
      </c>
      <c r="AA2089" s="109" t="s">
        <v>432</v>
      </c>
      <c r="AB2089" s="109" t="s">
        <v>432</v>
      </c>
      <c r="AC2089" s="109" t="s">
        <v>432</v>
      </c>
      <c r="AD2089" s="109" t="s">
        <v>432</v>
      </c>
      <c r="AE2089" s="109" t="s">
        <v>432</v>
      </c>
      <c r="AF2089" s="268" t="s">
        <v>432</v>
      </c>
      <c r="AG2089" s="268" t="s">
        <v>432</v>
      </c>
      <c r="AH2089" s="268" t="s">
        <v>432</v>
      </c>
      <c r="AI2089" s="268" t="s">
        <v>432</v>
      </c>
      <c r="AJ2089" s="268" t="s">
        <v>432</v>
      </c>
      <c r="AK2089" s="268" t="s">
        <v>432</v>
      </c>
      <c r="AL2089" s="601" t="s">
        <v>432</v>
      </c>
      <c r="AM2089" s="268" t="s">
        <v>432</v>
      </c>
      <c r="AN2089" s="268" t="s">
        <v>432</v>
      </c>
      <c r="AO2089" s="268" t="s">
        <v>432</v>
      </c>
      <c r="AP2089" s="268" t="s">
        <v>432</v>
      </c>
      <c r="AQ2089" s="268" t="s">
        <v>432</v>
      </c>
      <c r="AR2089" s="268" t="s">
        <v>432</v>
      </c>
      <c r="AS2089" s="268" t="s">
        <v>432</v>
      </c>
      <c r="AT2089" s="268" t="s">
        <v>432</v>
      </c>
      <c r="AU2089" s="268" t="s">
        <v>432</v>
      </c>
      <c r="AV2089" s="268" t="s">
        <v>432</v>
      </c>
      <c r="AW2089" s="268" t="s">
        <v>432</v>
      </c>
      <c r="AX2089" s="268" t="s">
        <v>432</v>
      </c>
      <c r="AY2089" s="268" t="s">
        <v>432</v>
      </c>
      <c r="AZ2089" s="268" t="s">
        <v>432</v>
      </c>
      <c r="BA2089" s="268" t="s">
        <v>432</v>
      </c>
      <c r="BB2089" s="396" t="str">
        <f t="shared" si="593"/>
        <v>Poluição do arx</v>
      </c>
      <c r="BC2089" s="396" t="str">
        <f t="shared" si="594"/>
        <v>Poluição do arxbenchmarking</v>
      </c>
      <c r="BD2089" s="396" t="str">
        <f t="shared" si="595"/>
        <v>Poluição do arbenchmarking</v>
      </c>
    </row>
    <row r="2090" spans="1:56" s="105" customFormat="1" ht="30.75" customHeight="1" x14ac:dyDescent="0.25">
      <c r="A2090" s="275" t="str">
        <f>'Q100b-totais'!$B$44</f>
        <v>5.2</v>
      </c>
      <c r="B2090" s="1205" t="str">
        <f>'Q100b-totais'!$C$44</f>
        <v>Poluição do ar</v>
      </c>
      <c r="C2090" s="167" t="s">
        <v>432</v>
      </c>
      <c r="D2090" s="324" t="s">
        <v>4919</v>
      </c>
      <c r="E2090" s="1542" t="s">
        <v>3338</v>
      </c>
      <c r="F2090" s="252" t="s">
        <v>1590</v>
      </c>
      <c r="G2090" s="1173" t="s">
        <v>3789</v>
      </c>
      <c r="H2090" s="173" t="s">
        <v>819</v>
      </c>
      <c r="I2090" s="167" t="s">
        <v>3426</v>
      </c>
      <c r="J2090" s="109" t="s">
        <v>432</v>
      </c>
      <c r="K2090" s="109" t="s">
        <v>432</v>
      </c>
      <c r="L2090" s="109" t="s">
        <v>432</v>
      </c>
      <c r="M2090" s="109" t="s">
        <v>432</v>
      </c>
      <c r="N2090" s="109" t="s">
        <v>432</v>
      </c>
      <c r="O2090" s="109" t="s">
        <v>432</v>
      </c>
      <c r="P2090" s="109" t="s">
        <v>432</v>
      </c>
      <c r="Q2090" s="109" t="s">
        <v>432</v>
      </c>
      <c r="R2090" s="109" t="s">
        <v>432</v>
      </c>
      <c r="S2090" s="109" t="s">
        <v>2209</v>
      </c>
      <c r="T2090" s="109" t="s">
        <v>432</v>
      </c>
      <c r="U2090" s="109" t="s">
        <v>432</v>
      </c>
      <c r="V2090" s="109" t="s">
        <v>2209</v>
      </c>
      <c r="W2090" s="109" t="s">
        <v>432</v>
      </c>
      <c r="X2090" s="109" t="s">
        <v>432</v>
      </c>
      <c r="Y2090" s="109" t="s">
        <v>432</v>
      </c>
      <c r="Z2090" s="109" t="s">
        <v>432</v>
      </c>
      <c r="AA2090" s="109" t="s">
        <v>432</v>
      </c>
      <c r="AB2090" s="109" t="s">
        <v>432</v>
      </c>
      <c r="AC2090" s="109" t="s">
        <v>432</v>
      </c>
      <c r="AD2090" s="109" t="s">
        <v>432</v>
      </c>
      <c r="AE2090" s="109" t="s">
        <v>432</v>
      </c>
      <c r="AF2090" s="268" t="s">
        <v>432</v>
      </c>
      <c r="AG2090" s="268" t="s">
        <v>432</v>
      </c>
      <c r="AH2090" s="268" t="s">
        <v>432</v>
      </c>
      <c r="AI2090" s="268" t="s">
        <v>432</v>
      </c>
      <c r="AJ2090" s="268" t="s">
        <v>432</v>
      </c>
      <c r="AK2090" s="268" t="s">
        <v>432</v>
      </c>
      <c r="AL2090" s="601" t="s">
        <v>432</v>
      </c>
      <c r="AM2090" s="268" t="s">
        <v>432</v>
      </c>
      <c r="AN2090" s="268" t="s">
        <v>432</v>
      </c>
      <c r="AO2090" s="268" t="s">
        <v>432</v>
      </c>
      <c r="AP2090" s="268" t="s">
        <v>432</v>
      </c>
      <c r="AQ2090" s="268" t="s">
        <v>432</v>
      </c>
      <c r="AR2090" s="268" t="s">
        <v>432</v>
      </c>
      <c r="AS2090" s="268" t="s">
        <v>432</v>
      </c>
      <c r="AT2090" s="268" t="s">
        <v>432</v>
      </c>
      <c r="AU2090" s="268" t="s">
        <v>432</v>
      </c>
      <c r="AV2090" s="268" t="s">
        <v>432</v>
      </c>
      <c r="AW2090" s="268" t="s">
        <v>432</v>
      </c>
      <c r="AX2090" s="268" t="s">
        <v>432</v>
      </c>
      <c r="AY2090" s="268" t="s">
        <v>432</v>
      </c>
      <c r="AZ2090" s="268" t="s">
        <v>432</v>
      </c>
      <c r="BA2090" s="268" t="s">
        <v>432</v>
      </c>
      <c r="BB2090" s="396" t="str">
        <f t="shared" si="593"/>
        <v>Poluição do arx</v>
      </c>
      <c r="BC2090" s="396" t="str">
        <f t="shared" si="594"/>
        <v>Poluição do arxbenchmarking</v>
      </c>
      <c r="BD2090" s="396" t="str">
        <f t="shared" si="595"/>
        <v>Poluição do arbenchmarking</v>
      </c>
    </row>
    <row r="2091" spans="1:56" ht="30.75" customHeight="1" x14ac:dyDescent="0.25">
      <c r="A2091" s="275" t="str">
        <f>'Q100b-totais'!$B$44</f>
        <v>5.2</v>
      </c>
      <c r="B2091" s="1205" t="str">
        <f>'Q100b-totais'!$C$44</f>
        <v>Poluição do ar</v>
      </c>
      <c r="C2091" s="167" t="s">
        <v>432</v>
      </c>
      <c r="D2091" s="362" t="s">
        <v>4919</v>
      </c>
      <c r="E2091" s="1502" t="s">
        <v>3476</v>
      </c>
      <c r="F2091" s="355" t="s">
        <v>1590</v>
      </c>
      <c r="G2091" s="1173" t="s">
        <v>77</v>
      </c>
      <c r="H2091" s="173" t="s">
        <v>819</v>
      </c>
      <c r="I2091" s="167" t="s">
        <v>3426</v>
      </c>
      <c r="J2091" s="109" t="s">
        <v>432</v>
      </c>
      <c r="K2091" s="109" t="s">
        <v>432</v>
      </c>
      <c r="L2091" s="109" t="s">
        <v>432</v>
      </c>
      <c r="M2091" s="109" t="s">
        <v>432</v>
      </c>
      <c r="N2091" s="109" t="s">
        <v>432</v>
      </c>
      <c r="O2091" s="109" t="s">
        <v>432</v>
      </c>
      <c r="P2091" s="109" t="s">
        <v>432</v>
      </c>
      <c r="Q2091" s="109" t="s">
        <v>432</v>
      </c>
      <c r="R2091" s="109" t="s">
        <v>432</v>
      </c>
      <c r="S2091" s="109" t="s">
        <v>2209</v>
      </c>
      <c r="T2091" s="109" t="s">
        <v>432</v>
      </c>
      <c r="U2091" s="109" t="s">
        <v>432</v>
      </c>
      <c r="V2091" s="109" t="s">
        <v>2209</v>
      </c>
      <c r="W2091" s="109" t="s">
        <v>432</v>
      </c>
      <c r="X2091" s="109" t="s">
        <v>432</v>
      </c>
      <c r="Y2091" s="109" t="s">
        <v>432</v>
      </c>
      <c r="Z2091" s="109" t="s">
        <v>432</v>
      </c>
      <c r="AA2091" s="109" t="s">
        <v>432</v>
      </c>
      <c r="AB2091" s="109" t="s">
        <v>432</v>
      </c>
      <c r="AC2091" s="109" t="s">
        <v>432</v>
      </c>
      <c r="AD2091" s="109" t="s">
        <v>432</v>
      </c>
      <c r="AE2091" s="109" t="s">
        <v>432</v>
      </c>
      <c r="AF2091" s="268" t="s">
        <v>432</v>
      </c>
      <c r="AG2091" s="83">
        <v>27.272500000000001</v>
      </c>
      <c r="AH2091" s="268" t="s">
        <v>432</v>
      </c>
      <c r="AI2091" s="268" t="s">
        <v>432</v>
      </c>
      <c r="AJ2091" s="268" t="s">
        <v>432</v>
      </c>
      <c r="AK2091" s="268" t="s">
        <v>432</v>
      </c>
      <c r="AL2091" s="601" t="s">
        <v>432</v>
      </c>
      <c r="AM2091" s="268" t="s">
        <v>432</v>
      </c>
      <c r="AN2091" s="268" t="s">
        <v>432</v>
      </c>
      <c r="AO2091" s="268" t="s">
        <v>432</v>
      </c>
      <c r="AP2091" s="268" t="s">
        <v>432</v>
      </c>
      <c r="AQ2091" s="268" t="s">
        <v>432</v>
      </c>
      <c r="AR2091" s="268" t="s">
        <v>432</v>
      </c>
      <c r="AS2091" s="268" t="s">
        <v>432</v>
      </c>
      <c r="AT2091" s="268" t="s">
        <v>432</v>
      </c>
      <c r="AU2091" s="268" t="s">
        <v>432</v>
      </c>
      <c r="AV2091" s="268" t="s">
        <v>432</v>
      </c>
      <c r="AW2091" s="268" t="s">
        <v>432</v>
      </c>
      <c r="AX2091" s="268" t="s">
        <v>432</v>
      </c>
      <c r="AY2091" s="268" t="s">
        <v>432</v>
      </c>
      <c r="AZ2091" s="268" t="s">
        <v>432</v>
      </c>
      <c r="BA2091" s="268" t="s">
        <v>432</v>
      </c>
      <c r="BB2091" s="396" t="str">
        <f>B2091&amp;C2091</f>
        <v>Poluição do arx</v>
      </c>
      <c r="BC2091" s="396" t="str">
        <f>B2091&amp;C2091&amp;H2091</f>
        <v>Poluição do arxbenchmarking</v>
      </c>
      <c r="BD2091" s="396" t="str">
        <f>B2091&amp;H2091</f>
        <v>Poluição do arbenchmarking</v>
      </c>
    </row>
    <row r="2092" spans="1:56" s="1" customFormat="1" ht="12.75" customHeight="1" x14ac:dyDescent="0.25">
      <c r="A2092" s="398"/>
      <c r="B2092" s="221"/>
      <c r="C2092" s="399"/>
      <c r="D2092" s="987"/>
      <c r="E2092" s="1533"/>
      <c r="F2092" s="405"/>
      <c r="G2092" s="405"/>
      <c r="H2092" s="399"/>
      <c r="I2092" s="405"/>
      <c r="J2092" s="221"/>
      <c r="K2092" s="403"/>
      <c r="L2092" s="403"/>
      <c r="M2092" s="403"/>
      <c r="N2092" s="403"/>
      <c r="O2092" s="403"/>
      <c r="P2092" s="403"/>
      <c r="Q2092" s="403"/>
      <c r="R2092" s="403"/>
      <c r="S2092" s="403"/>
      <c r="T2092" s="403"/>
      <c r="U2092" s="403"/>
      <c r="V2092" s="403"/>
      <c r="W2092" s="403"/>
      <c r="X2092" s="403"/>
      <c r="Y2092" s="403"/>
      <c r="Z2092" s="403"/>
      <c r="AA2092" s="403"/>
      <c r="AB2092" s="403"/>
      <c r="AC2092" s="403"/>
      <c r="AD2092" s="403"/>
      <c r="AE2092" s="403"/>
      <c r="AF2092" s="403"/>
      <c r="AG2092" s="403"/>
      <c r="AH2092" s="403"/>
      <c r="AI2092" s="403"/>
      <c r="AJ2092" s="403"/>
      <c r="AK2092" s="223"/>
      <c r="AL2092" s="223"/>
      <c r="AM2092" s="223"/>
      <c r="AN2092" s="223"/>
      <c r="AO2092" s="223"/>
      <c r="AP2092" s="223"/>
      <c r="AQ2092" s="223"/>
      <c r="AR2092" s="223"/>
      <c r="AS2092" s="223"/>
      <c r="AT2092" s="223"/>
      <c r="AU2092" s="223"/>
      <c r="AV2092" s="223"/>
      <c r="AW2092" s="223"/>
      <c r="AX2092" s="223"/>
      <c r="AY2092" s="223"/>
      <c r="AZ2092" s="223"/>
      <c r="BA2092" s="223"/>
      <c r="BB2092" s="400"/>
      <c r="BC2092" s="400"/>
      <c r="BD2092" s="400"/>
    </row>
    <row r="2093" spans="1:56" s="1" customFormat="1" ht="114" customHeight="1" x14ac:dyDescent="0.25">
      <c r="A2093" s="275" t="str">
        <f>'Q100b-totais'!$B$44</f>
        <v>5.2</v>
      </c>
      <c r="B2093" s="1205" t="str">
        <f>'Q100b-totais'!$C$44</f>
        <v>Poluição do ar</v>
      </c>
      <c r="C2093" s="167" t="s">
        <v>432</v>
      </c>
      <c r="D2093" s="378" t="s">
        <v>4922</v>
      </c>
      <c r="E2093" s="1494" t="s">
        <v>1306</v>
      </c>
      <c r="F2093" s="354" t="s">
        <v>3792</v>
      </c>
      <c r="G2093" s="1175" t="s">
        <v>77</v>
      </c>
      <c r="H2093" s="167" t="s">
        <v>432</v>
      </c>
      <c r="I2093" s="172">
        <v>1</v>
      </c>
      <c r="J2093" s="343" t="s">
        <v>432</v>
      </c>
      <c r="K2093" s="343" t="s">
        <v>432</v>
      </c>
      <c r="L2093" s="343" t="s">
        <v>432</v>
      </c>
      <c r="M2093" s="343" t="s">
        <v>432</v>
      </c>
      <c r="N2093" s="343" t="s">
        <v>432</v>
      </c>
      <c r="O2093" s="343" t="s">
        <v>432</v>
      </c>
      <c r="P2093" s="343" t="s">
        <v>432</v>
      </c>
      <c r="Q2093" s="343" t="s">
        <v>432</v>
      </c>
      <c r="R2093" s="343" t="s">
        <v>432</v>
      </c>
      <c r="S2093" s="109" t="s">
        <v>2209</v>
      </c>
      <c r="T2093" s="343" t="s">
        <v>432</v>
      </c>
      <c r="U2093" s="343" t="s">
        <v>432</v>
      </c>
      <c r="V2093" s="109" t="s">
        <v>2209</v>
      </c>
      <c r="W2093" s="343" t="s">
        <v>432</v>
      </c>
      <c r="X2093" s="343" t="s">
        <v>432</v>
      </c>
      <c r="Y2093" s="343" t="s">
        <v>432</v>
      </c>
      <c r="Z2093" s="343" t="s">
        <v>432</v>
      </c>
      <c r="AA2093" s="343" t="s">
        <v>432</v>
      </c>
      <c r="AB2093" s="394">
        <v>2</v>
      </c>
      <c r="AC2093" s="394">
        <v>0</v>
      </c>
      <c r="AD2093" s="394">
        <v>4</v>
      </c>
      <c r="AE2093" s="394">
        <v>0</v>
      </c>
      <c r="AF2093" s="394">
        <v>1</v>
      </c>
      <c r="AG2093" s="394">
        <v>7</v>
      </c>
      <c r="AH2093" s="394">
        <v>6</v>
      </c>
      <c r="AI2093" s="622" t="s">
        <v>2213</v>
      </c>
      <c r="AJ2093" s="622" t="s">
        <v>2213</v>
      </c>
      <c r="AK2093" s="622" t="s">
        <v>2213</v>
      </c>
      <c r="AL2093" s="601" t="s">
        <v>432</v>
      </c>
      <c r="AM2093" s="395" t="s">
        <v>432</v>
      </c>
      <c r="AN2093" s="395" t="s">
        <v>432</v>
      </c>
      <c r="AO2093" s="395" t="s">
        <v>432</v>
      </c>
      <c r="AP2093" s="395" t="s">
        <v>432</v>
      </c>
      <c r="AQ2093" s="395" t="s">
        <v>432</v>
      </c>
      <c r="AR2093" s="395" t="s">
        <v>432</v>
      </c>
      <c r="AS2093" s="395" t="s">
        <v>432</v>
      </c>
      <c r="AT2093" s="395" t="s">
        <v>432</v>
      </c>
      <c r="AU2093" s="395" t="s">
        <v>432</v>
      </c>
      <c r="AV2093" s="395" t="s">
        <v>432</v>
      </c>
      <c r="AW2093" s="395" t="s">
        <v>432</v>
      </c>
      <c r="AX2093" s="395" t="s">
        <v>432</v>
      </c>
      <c r="AY2093" s="395" t="s">
        <v>432</v>
      </c>
      <c r="AZ2093" s="395" t="s">
        <v>432</v>
      </c>
      <c r="BA2093" s="395" t="s">
        <v>432</v>
      </c>
      <c r="BB2093" s="396" t="str">
        <f>B2093&amp;C2093</f>
        <v>Poluição do arx</v>
      </c>
      <c r="BC2093" s="396" t="str">
        <f>B2093&amp;C2093&amp;H2093</f>
        <v>Poluição do arxx</v>
      </c>
      <c r="BD2093" s="396" t="str">
        <f>B2093&amp;H2093</f>
        <v>Poluição do arx</v>
      </c>
    </row>
    <row r="2094" spans="1:56" s="1" customFormat="1" ht="73.5" customHeight="1" x14ac:dyDescent="0.25">
      <c r="A2094" s="275" t="str">
        <f>'Q100b-totais'!$B$44</f>
        <v>5.2</v>
      </c>
      <c r="B2094" s="1205" t="str">
        <f>'Q100b-totais'!$C$44</f>
        <v>Poluição do ar</v>
      </c>
      <c r="C2094" s="167" t="s">
        <v>432</v>
      </c>
      <c r="D2094" s="378" t="s">
        <v>4923</v>
      </c>
      <c r="E2094" s="1494" t="s">
        <v>1306</v>
      </c>
      <c r="F2094" s="354" t="s">
        <v>3794</v>
      </c>
      <c r="G2094" s="24" t="s">
        <v>2044</v>
      </c>
      <c r="H2094" s="167" t="s">
        <v>3056</v>
      </c>
      <c r="I2094" s="172" t="s">
        <v>432</v>
      </c>
      <c r="J2094" s="394">
        <v>1</v>
      </c>
      <c r="K2094" s="394">
        <v>1</v>
      </c>
      <c r="L2094" s="394">
        <v>1</v>
      </c>
      <c r="M2094" s="394">
        <v>1</v>
      </c>
      <c r="N2094" s="394">
        <v>1</v>
      </c>
      <c r="O2094" s="394">
        <v>1</v>
      </c>
      <c r="P2094" s="394">
        <v>1</v>
      </c>
      <c r="Q2094" s="394">
        <v>1</v>
      </c>
      <c r="R2094" s="394">
        <v>1</v>
      </c>
      <c r="S2094" s="109" t="s">
        <v>2209</v>
      </c>
      <c r="T2094" s="394">
        <v>1</v>
      </c>
      <c r="U2094" s="394">
        <v>1</v>
      </c>
      <c r="V2094" s="109" t="s">
        <v>2209</v>
      </c>
      <c r="W2094" s="394">
        <v>1</v>
      </c>
      <c r="X2094" s="394">
        <v>1</v>
      </c>
      <c r="Y2094" s="394">
        <v>1</v>
      </c>
      <c r="Z2094" s="394">
        <v>1</v>
      </c>
      <c r="AA2094" s="394">
        <v>1</v>
      </c>
      <c r="AB2094" s="394">
        <v>1</v>
      </c>
      <c r="AC2094" s="394">
        <v>1</v>
      </c>
      <c r="AD2094" s="394">
        <v>1</v>
      </c>
      <c r="AE2094" s="394">
        <v>1</v>
      </c>
      <c r="AF2094" s="394">
        <v>1</v>
      </c>
      <c r="AG2094" s="394">
        <v>1</v>
      </c>
      <c r="AH2094" s="394">
        <v>1</v>
      </c>
      <c r="AI2094" s="394">
        <v>1</v>
      </c>
      <c r="AJ2094" s="394">
        <v>1</v>
      </c>
      <c r="AK2094" s="394">
        <v>1</v>
      </c>
      <c r="AL2094" s="601" t="s">
        <v>432</v>
      </c>
      <c r="AM2094" s="395" t="s">
        <v>432</v>
      </c>
      <c r="AN2094" s="395" t="s">
        <v>432</v>
      </c>
      <c r="AO2094" s="395" t="s">
        <v>432</v>
      </c>
      <c r="AP2094" s="395" t="s">
        <v>432</v>
      </c>
      <c r="AQ2094" s="395" t="s">
        <v>432</v>
      </c>
      <c r="AR2094" s="395" t="s">
        <v>432</v>
      </c>
      <c r="AS2094" s="395" t="s">
        <v>432</v>
      </c>
      <c r="AT2094" s="395" t="s">
        <v>432</v>
      </c>
      <c r="AU2094" s="395" t="s">
        <v>432</v>
      </c>
      <c r="AV2094" s="395" t="s">
        <v>432</v>
      </c>
      <c r="AW2094" s="395" t="s">
        <v>432</v>
      </c>
      <c r="AX2094" s="395" t="s">
        <v>432</v>
      </c>
      <c r="AY2094" s="395" t="s">
        <v>432</v>
      </c>
      <c r="AZ2094" s="395" t="s">
        <v>432</v>
      </c>
      <c r="BA2094" s="395" t="s">
        <v>432</v>
      </c>
      <c r="BB2094" s="396" t="str">
        <f>B2094&amp;C2094</f>
        <v>Poluição do arx</v>
      </c>
      <c r="BC2094" s="396" t="str">
        <f>B2094&amp;C2094&amp;H2094</f>
        <v>Poluição do arxRPI/meta</v>
      </c>
      <c r="BD2094" s="396" t="str">
        <f>B2094&amp;H2094</f>
        <v>Poluição do arRPI/meta</v>
      </c>
    </row>
    <row r="2095" spans="1:56" s="1" customFormat="1" ht="12.75" customHeight="1" x14ac:dyDescent="0.25">
      <c r="A2095" s="398"/>
      <c r="B2095" s="522"/>
      <c r="C2095" s="520"/>
      <c r="D2095" s="987"/>
      <c r="E2095" s="1537"/>
      <c r="F2095" s="405"/>
      <c r="G2095" s="992"/>
      <c r="H2095" s="399"/>
      <c r="I2095" s="902"/>
      <c r="J2095" s="904"/>
      <c r="K2095" s="905"/>
      <c r="L2095" s="905"/>
      <c r="M2095" s="905"/>
      <c r="N2095" s="905"/>
      <c r="O2095" s="905"/>
      <c r="P2095" s="905"/>
      <c r="Q2095" s="905"/>
      <c r="R2095" s="905"/>
      <c r="S2095" s="403"/>
      <c r="T2095" s="905"/>
      <c r="U2095" s="905"/>
      <c r="V2095" s="403"/>
      <c r="W2095" s="905"/>
      <c r="X2095" s="905"/>
      <c r="Y2095" s="905"/>
      <c r="Z2095" s="905"/>
      <c r="AA2095" s="905"/>
      <c r="AB2095" s="905"/>
      <c r="AC2095" s="905"/>
      <c r="AD2095" s="905"/>
      <c r="AE2095" s="905"/>
      <c r="AF2095" s="905"/>
      <c r="AG2095" s="905"/>
      <c r="AH2095" s="905"/>
      <c r="AI2095" s="905"/>
      <c r="AJ2095" s="905"/>
      <c r="AK2095" s="652"/>
      <c r="AL2095" s="652"/>
      <c r="AM2095" s="652"/>
      <c r="AN2095" s="652"/>
      <c r="AO2095" s="652"/>
      <c r="AP2095" s="652"/>
      <c r="AQ2095" s="652"/>
      <c r="AR2095" s="652"/>
      <c r="AS2095" s="652"/>
      <c r="AT2095" s="652"/>
      <c r="AU2095" s="652"/>
      <c r="AV2095" s="652"/>
      <c r="AW2095" s="652"/>
      <c r="AX2095" s="652"/>
      <c r="AY2095" s="652"/>
      <c r="AZ2095" s="652"/>
      <c r="BA2095" s="652"/>
      <c r="BB2095" s="906"/>
      <c r="BC2095" s="906"/>
      <c r="BD2095" s="906"/>
    </row>
    <row r="2096" spans="1:56" s="1" customFormat="1" ht="63" customHeight="1" x14ac:dyDescent="0.25">
      <c r="A2096" s="262" t="s">
        <v>432</v>
      </c>
      <c r="B2096" s="252" t="s">
        <v>742</v>
      </c>
      <c r="C2096" s="167" t="s">
        <v>432</v>
      </c>
      <c r="D2096" s="325" t="s">
        <v>329</v>
      </c>
      <c r="E2096" s="1496" t="s">
        <v>1306</v>
      </c>
      <c r="F2096" s="165" t="s">
        <v>6230</v>
      </c>
      <c r="G2096" s="167" t="s">
        <v>3879</v>
      </c>
      <c r="H2096" s="167" t="s">
        <v>432</v>
      </c>
      <c r="I2096" s="167" t="s">
        <v>432</v>
      </c>
      <c r="J2096" s="107" t="s">
        <v>432</v>
      </c>
      <c r="K2096" s="107" t="s">
        <v>432</v>
      </c>
      <c r="L2096" s="107" t="s">
        <v>432</v>
      </c>
      <c r="M2096" s="107" t="s">
        <v>432</v>
      </c>
      <c r="N2096" s="107" t="s">
        <v>432</v>
      </c>
      <c r="O2096" s="107" t="s">
        <v>432</v>
      </c>
      <c r="P2096" s="107" t="s">
        <v>432</v>
      </c>
      <c r="Q2096" s="107" t="s">
        <v>432</v>
      </c>
      <c r="R2096" s="107" t="s">
        <v>432</v>
      </c>
      <c r="S2096" s="109" t="s">
        <v>2209</v>
      </c>
      <c r="T2096" s="107" t="s">
        <v>432</v>
      </c>
      <c r="U2096" s="107" t="s">
        <v>432</v>
      </c>
      <c r="V2096" s="109" t="s">
        <v>2209</v>
      </c>
      <c r="W2096" s="107" t="s">
        <v>432</v>
      </c>
      <c r="X2096" s="107" t="s">
        <v>432</v>
      </c>
      <c r="Y2096" s="107" t="s">
        <v>432</v>
      </c>
      <c r="Z2096" s="107" t="s">
        <v>432</v>
      </c>
      <c r="AA2096" s="107" t="s">
        <v>432</v>
      </c>
      <c r="AB2096" s="107" t="s">
        <v>432</v>
      </c>
      <c r="AC2096" s="107" t="s">
        <v>432</v>
      </c>
      <c r="AD2096" s="107" t="s">
        <v>432</v>
      </c>
      <c r="AE2096" s="107" t="s">
        <v>432</v>
      </c>
      <c r="AF2096" s="107" t="s">
        <v>432</v>
      </c>
      <c r="AG2096" s="107" t="s">
        <v>432</v>
      </c>
      <c r="AH2096" s="107" t="s">
        <v>432</v>
      </c>
      <c r="AI2096" s="107" t="s">
        <v>432</v>
      </c>
      <c r="AJ2096" s="107" t="s">
        <v>432</v>
      </c>
      <c r="AK2096" s="137" t="s">
        <v>432</v>
      </c>
      <c r="AL2096" s="601" t="s">
        <v>432</v>
      </c>
      <c r="AM2096" s="137" t="s">
        <v>432</v>
      </c>
      <c r="AN2096" s="137" t="s">
        <v>432</v>
      </c>
      <c r="AO2096" s="137" t="s">
        <v>432</v>
      </c>
      <c r="AP2096" s="137" t="s">
        <v>432</v>
      </c>
      <c r="AQ2096" s="137" t="s">
        <v>432</v>
      </c>
      <c r="AR2096" s="137" t="s">
        <v>432</v>
      </c>
      <c r="AS2096" s="137" t="s">
        <v>432</v>
      </c>
      <c r="AT2096" s="137" t="s">
        <v>432</v>
      </c>
      <c r="AU2096" s="137" t="s">
        <v>432</v>
      </c>
      <c r="AV2096" s="137" t="s">
        <v>432</v>
      </c>
      <c r="AW2096" s="137" t="s">
        <v>432</v>
      </c>
      <c r="AX2096" s="137" t="s">
        <v>432</v>
      </c>
      <c r="AY2096" s="137" t="s">
        <v>432</v>
      </c>
      <c r="AZ2096" s="137" t="s">
        <v>432</v>
      </c>
      <c r="BA2096" s="137" t="s">
        <v>432</v>
      </c>
      <c r="BB2096" s="239" t="str">
        <f>B2096&amp;C2096</f>
        <v>geralx</v>
      </c>
      <c r="BC2096" s="239" t="str">
        <f>B2096&amp;C2096&amp;H2096</f>
        <v>geralxx</v>
      </c>
      <c r="BD2096" s="239" t="str">
        <f>B2096&amp;H2096</f>
        <v>geralx</v>
      </c>
    </row>
    <row r="2097" spans="1:56" s="127" customFormat="1" ht="35.25" customHeight="1" x14ac:dyDescent="0.25">
      <c r="A2097" s="262" t="s">
        <v>432</v>
      </c>
      <c r="B2097" s="53" t="s">
        <v>742</v>
      </c>
      <c r="C2097" s="229" t="s">
        <v>743</v>
      </c>
      <c r="D2097" s="847" t="s">
        <v>2256</v>
      </c>
      <c r="E2097" s="1496" t="s">
        <v>1767</v>
      </c>
      <c r="F2097" s="53" t="s">
        <v>4607</v>
      </c>
      <c r="G2097" s="167" t="s">
        <v>3719</v>
      </c>
      <c r="H2097" s="168" t="s">
        <v>2408</v>
      </c>
      <c r="I2097" s="167" t="s">
        <v>432</v>
      </c>
      <c r="J2097" s="109" t="s">
        <v>432</v>
      </c>
      <c r="K2097" s="109" t="s">
        <v>432</v>
      </c>
      <c r="L2097" s="109" t="s">
        <v>432</v>
      </c>
      <c r="M2097" s="109" t="s">
        <v>432</v>
      </c>
      <c r="N2097" s="109" t="s">
        <v>432</v>
      </c>
      <c r="O2097" s="109" t="s">
        <v>432</v>
      </c>
      <c r="P2097" s="109" t="s">
        <v>432</v>
      </c>
      <c r="Q2097" s="109" t="s">
        <v>432</v>
      </c>
      <c r="R2097" s="109" t="s">
        <v>432</v>
      </c>
      <c r="S2097" s="109" t="s">
        <v>2209</v>
      </c>
      <c r="T2097" s="109" t="s">
        <v>432</v>
      </c>
      <c r="U2097" s="109" t="s">
        <v>432</v>
      </c>
      <c r="V2097" s="109" t="s">
        <v>2209</v>
      </c>
      <c r="W2097" s="109" t="s">
        <v>432</v>
      </c>
      <c r="X2097" s="109" t="s">
        <v>432</v>
      </c>
      <c r="Y2097" s="109" t="s">
        <v>432</v>
      </c>
      <c r="Z2097" s="109" t="s">
        <v>432</v>
      </c>
      <c r="AA2097" s="109" t="s">
        <v>432</v>
      </c>
      <c r="AB2097" s="109" t="s">
        <v>432</v>
      </c>
      <c r="AC2097" s="109" t="s">
        <v>432</v>
      </c>
      <c r="AD2097" s="109" t="s">
        <v>432</v>
      </c>
      <c r="AE2097" s="109" t="s">
        <v>432</v>
      </c>
      <c r="AF2097" s="109" t="s">
        <v>432</v>
      </c>
      <c r="AG2097" s="109" t="s">
        <v>432</v>
      </c>
      <c r="AH2097" s="109" t="s">
        <v>432</v>
      </c>
      <c r="AI2097" s="109" t="s">
        <v>432</v>
      </c>
      <c r="AJ2097" s="109" t="s">
        <v>432</v>
      </c>
      <c r="AK2097" s="137" t="s">
        <v>432</v>
      </c>
      <c r="AL2097" s="601" t="s">
        <v>432</v>
      </c>
      <c r="AM2097" s="137" t="s">
        <v>432</v>
      </c>
      <c r="AN2097" s="137" t="s">
        <v>432</v>
      </c>
      <c r="AO2097" s="137" t="s">
        <v>432</v>
      </c>
      <c r="AP2097" s="137" t="s">
        <v>432</v>
      </c>
      <c r="AQ2097" s="137" t="s">
        <v>432</v>
      </c>
      <c r="AR2097" s="137" t="s">
        <v>432</v>
      </c>
      <c r="AS2097" s="137" t="s">
        <v>432</v>
      </c>
      <c r="AT2097" s="137" t="s">
        <v>432</v>
      </c>
      <c r="AU2097" s="137" t="s">
        <v>432</v>
      </c>
      <c r="AV2097" s="137" t="s">
        <v>432</v>
      </c>
      <c r="AW2097" s="137" t="s">
        <v>432</v>
      </c>
      <c r="AX2097" s="137" t="s">
        <v>432</v>
      </c>
      <c r="AY2097" s="137" t="s">
        <v>432</v>
      </c>
      <c r="AZ2097" s="137" t="s">
        <v>432</v>
      </c>
      <c r="BA2097" s="137" t="s">
        <v>432</v>
      </c>
      <c r="BB2097" s="239" t="str">
        <f>B2097&amp;C2097</f>
        <v>geralacessibilidade</v>
      </c>
      <c r="BC2097" s="239" t="str">
        <f>B2097&amp;C2097&amp;H2097</f>
        <v>geralacessibilidadesigla/verbete</v>
      </c>
      <c r="BD2097" s="239" t="str">
        <f>B2097&amp;H2097</f>
        <v>geralsigla/verbete</v>
      </c>
    </row>
    <row r="2098" spans="1:56" s="1" customFormat="1" ht="12.75" customHeight="1" x14ac:dyDescent="0.25">
      <c r="A2098" s="398"/>
      <c r="B2098" s="522"/>
      <c r="C2098" s="520"/>
      <c r="D2098" s="987"/>
      <c r="E2098" s="1537"/>
      <c r="F2098" s="405"/>
      <c r="G2098" s="992"/>
      <c r="H2098" s="399"/>
      <c r="I2098" s="902"/>
      <c r="J2098" s="904"/>
      <c r="K2098" s="905"/>
      <c r="L2098" s="905"/>
      <c r="M2098" s="905"/>
      <c r="N2098" s="905"/>
      <c r="O2098" s="905"/>
      <c r="P2098" s="905"/>
      <c r="Q2098" s="905"/>
      <c r="R2098" s="905"/>
      <c r="S2098" s="403"/>
      <c r="T2098" s="905"/>
      <c r="U2098" s="905"/>
      <c r="V2098" s="403"/>
      <c r="W2098" s="905"/>
      <c r="X2098" s="905"/>
      <c r="Y2098" s="905"/>
      <c r="Z2098" s="905"/>
      <c r="AA2098" s="905"/>
      <c r="AB2098" s="905"/>
      <c r="AC2098" s="905"/>
      <c r="AD2098" s="905"/>
      <c r="AE2098" s="905"/>
      <c r="AF2098" s="905"/>
      <c r="AG2098" s="905"/>
      <c r="AH2098" s="905"/>
      <c r="AI2098" s="905"/>
      <c r="AJ2098" s="905"/>
      <c r="AK2098" s="652"/>
      <c r="AL2098" s="652"/>
      <c r="AM2098" s="652"/>
      <c r="AN2098" s="652"/>
      <c r="AO2098" s="652"/>
      <c r="AP2098" s="652"/>
      <c r="AQ2098" s="652"/>
      <c r="AR2098" s="652"/>
      <c r="AS2098" s="652"/>
      <c r="AT2098" s="652"/>
      <c r="AU2098" s="652"/>
      <c r="AV2098" s="652"/>
      <c r="AW2098" s="652"/>
      <c r="AX2098" s="652"/>
      <c r="AY2098" s="652"/>
      <c r="AZ2098" s="652"/>
      <c r="BA2098" s="652"/>
      <c r="BB2098" s="906"/>
      <c r="BC2098" s="906"/>
      <c r="BD2098" s="906"/>
    </row>
    <row r="2099" spans="1:56" s="1" customFormat="1" ht="51" x14ac:dyDescent="0.25">
      <c r="A2099" s="275" t="str">
        <f>'Q100b-totais'!$B$62</f>
        <v>8.10</v>
      </c>
      <c r="B2099" s="54" t="str">
        <f>'Q100b-totais'!$C$62</f>
        <v>Sistema de transporte coletivo com um todo</v>
      </c>
      <c r="C2099" s="229" t="s">
        <v>432</v>
      </c>
      <c r="D2099" s="989" t="s">
        <v>3169</v>
      </c>
      <c r="E2099" s="1496" t="s">
        <v>1705</v>
      </c>
      <c r="F2099" s="5" t="s">
        <v>3181</v>
      </c>
      <c r="G2099" s="230" t="s">
        <v>3507</v>
      </c>
      <c r="H2099" s="167" t="s">
        <v>2408</v>
      </c>
      <c r="I2099" s="391" t="s">
        <v>432</v>
      </c>
      <c r="J2099" s="343" t="s">
        <v>432</v>
      </c>
      <c r="K2099" s="343" t="s">
        <v>432</v>
      </c>
      <c r="L2099" s="343" t="s">
        <v>432</v>
      </c>
      <c r="M2099" s="343" t="s">
        <v>432</v>
      </c>
      <c r="N2099" s="343" t="s">
        <v>432</v>
      </c>
      <c r="O2099" s="343" t="s">
        <v>432</v>
      </c>
      <c r="P2099" s="343" t="s">
        <v>432</v>
      </c>
      <c r="Q2099" s="343" t="s">
        <v>432</v>
      </c>
      <c r="R2099" s="343" t="s">
        <v>432</v>
      </c>
      <c r="S2099" s="109" t="s">
        <v>2209</v>
      </c>
      <c r="T2099" s="343" t="s">
        <v>432</v>
      </c>
      <c r="U2099" s="343" t="s">
        <v>432</v>
      </c>
      <c r="V2099" s="109" t="s">
        <v>2209</v>
      </c>
      <c r="W2099" s="343" t="s">
        <v>432</v>
      </c>
      <c r="X2099" s="343" t="s">
        <v>432</v>
      </c>
      <c r="Y2099" s="343" t="s">
        <v>432</v>
      </c>
      <c r="Z2099" s="343" t="s">
        <v>432</v>
      </c>
      <c r="AA2099" s="343" t="s">
        <v>432</v>
      </c>
      <c r="AB2099" s="343" t="s">
        <v>432</v>
      </c>
      <c r="AC2099" s="343" t="s">
        <v>432</v>
      </c>
      <c r="AD2099" s="343" t="s">
        <v>432</v>
      </c>
      <c r="AE2099" s="343" t="s">
        <v>432</v>
      </c>
      <c r="AF2099" s="343" t="s">
        <v>432</v>
      </c>
      <c r="AG2099" s="343" t="s">
        <v>432</v>
      </c>
      <c r="AH2099" s="343" t="s">
        <v>432</v>
      </c>
      <c r="AI2099" s="343" t="s">
        <v>432</v>
      </c>
      <c r="AJ2099" s="343" t="s">
        <v>432</v>
      </c>
      <c r="AK2099" s="343" t="s">
        <v>432</v>
      </c>
      <c r="AL2099" s="601" t="s">
        <v>432</v>
      </c>
      <c r="AM2099" s="395" t="s">
        <v>432</v>
      </c>
      <c r="AN2099" s="395" t="s">
        <v>432</v>
      </c>
      <c r="AO2099" s="395" t="s">
        <v>432</v>
      </c>
      <c r="AP2099" s="395" t="s">
        <v>432</v>
      </c>
      <c r="AQ2099" s="395" t="s">
        <v>432</v>
      </c>
      <c r="AR2099" s="395" t="s">
        <v>432</v>
      </c>
      <c r="AS2099" s="395" t="s">
        <v>432</v>
      </c>
      <c r="AT2099" s="395" t="s">
        <v>432</v>
      </c>
      <c r="AU2099" s="395" t="s">
        <v>432</v>
      </c>
      <c r="AV2099" s="395" t="s">
        <v>432</v>
      </c>
      <c r="AW2099" s="395" t="s">
        <v>432</v>
      </c>
      <c r="AX2099" s="395" t="s">
        <v>432</v>
      </c>
      <c r="AY2099" s="395" t="s">
        <v>432</v>
      </c>
      <c r="AZ2099" s="395" t="s">
        <v>432</v>
      </c>
      <c r="BA2099" s="395" t="s">
        <v>432</v>
      </c>
      <c r="BB2099" s="396" t="str">
        <f>B2099&amp;C2099</f>
        <v>Sistema de transporte coletivo com um todox</v>
      </c>
      <c r="BC2099" s="396" t="str">
        <f>B2099&amp;C2099&amp;H2099</f>
        <v>Sistema de transporte coletivo com um todoxsigla/verbete</v>
      </c>
      <c r="BD2099" s="396" t="str">
        <f>B2099&amp;H2099</f>
        <v>Sistema de transporte coletivo com um todosigla/verbete</v>
      </c>
    </row>
    <row r="2100" spans="1:56" s="1" customFormat="1" ht="12.75" customHeight="1" x14ac:dyDescent="0.25">
      <c r="A2100" s="398"/>
      <c r="B2100" s="522"/>
      <c r="C2100" s="520"/>
      <c r="D2100" s="987"/>
      <c r="E2100" s="1537"/>
      <c r="F2100" s="405"/>
      <c r="G2100" s="992"/>
      <c r="H2100" s="399"/>
      <c r="I2100" s="902"/>
      <c r="J2100" s="904"/>
      <c r="K2100" s="905"/>
      <c r="L2100" s="905"/>
      <c r="M2100" s="905"/>
      <c r="N2100" s="905"/>
      <c r="O2100" s="905"/>
      <c r="P2100" s="905"/>
      <c r="Q2100" s="905"/>
      <c r="R2100" s="905"/>
      <c r="S2100" s="403"/>
      <c r="T2100" s="905"/>
      <c r="U2100" s="905"/>
      <c r="V2100" s="403"/>
      <c r="W2100" s="905"/>
      <c r="X2100" s="905"/>
      <c r="Y2100" s="905"/>
      <c r="Z2100" s="905"/>
      <c r="AA2100" s="905"/>
      <c r="AB2100" s="905"/>
      <c r="AC2100" s="905"/>
      <c r="AD2100" s="905"/>
      <c r="AE2100" s="905"/>
      <c r="AF2100" s="905"/>
      <c r="AG2100" s="905"/>
      <c r="AH2100" s="905"/>
      <c r="AI2100" s="905"/>
      <c r="AJ2100" s="905"/>
      <c r="AK2100" s="652"/>
      <c r="AL2100" s="652"/>
      <c r="AM2100" s="652"/>
      <c r="AN2100" s="652"/>
      <c r="AO2100" s="652"/>
      <c r="AP2100" s="652"/>
      <c r="AQ2100" s="652"/>
      <c r="AR2100" s="652"/>
      <c r="AS2100" s="652"/>
      <c r="AT2100" s="652"/>
      <c r="AU2100" s="652"/>
      <c r="AV2100" s="652"/>
      <c r="AW2100" s="652"/>
      <c r="AX2100" s="652"/>
      <c r="AY2100" s="652"/>
      <c r="AZ2100" s="652"/>
      <c r="BA2100" s="652"/>
      <c r="BB2100" s="906"/>
      <c r="BC2100" s="906"/>
      <c r="BD2100" s="906"/>
    </row>
    <row r="2101" spans="1:56" s="1" customFormat="1" ht="261" customHeight="1" x14ac:dyDescent="0.25">
      <c r="A2101" s="275" t="str">
        <f>'Q100b-totais'!$B$62</f>
        <v>8.10</v>
      </c>
      <c r="B2101" s="54" t="str">
        <f>'Q100b-totais'!$C$62</f>
        <v>Sistema de transporte coletivo com um todo</v>
      </c>
      <c r="C2101" s="229" t="s">
        <v>432</v>
      </c>
      <c r="D2101" s="1371" t="s">
        <v>4827</v>
      </c>
      <c r="E2101" s="1445" t="s">
        <v>432</v>
      </c>
      <c r="F2101" s="1374" t="s">
        <v>5029</v>
      </c>
      <c r="G2101" s="230" t="s">
        <v>3507</v>
      </c>
      <c r="H2101" s="167" t="s">
        <v>2408</v>
      </c>
      <c r="I2101" s="391" t="s">
        <v>432</v>
      </c>
      <c r="J2101" s="343" t="s">
        <v>432</v>
      </c>
      <c r="K2101" s="343" t="s">
        <v>432</v>
      </c>
      <c r="L2101" s="343" t="s">
        <v>432</v>
      </c>
      <c r="M2101" s="343" t="s">
        <v>432</v>
      </c>
      <c r="N2101" s="343" t="s">
        <v>432</v>
      </c>
      <c r="O2101" s="343" t="s">
        <v>432</v>
      </c>
      <c r="P2101" s="343" t="s">
        <v>432</v>
      </c>
      <c r="Q2101" s="343" t="s">
        <v>432</v>
      </c>
      <c r="R2101" s="343" t="s">
        <v>432</v>
      </c>
      <c r="S2101" s="109" t="s">
        <v>2209</v>
      </c>
      <c r="T2101" s="343" t="s">
        <v>432</v>
      </c>
      <c r="U2101" s="343" t="s">
        <v>432</v>
      </c>
      <c r="V2101" s="109" t="s">
        <v>2209</v>
      </c>
      <c r="W2101" s="343" t="s">
        <v>432</v>
      </c>
      <c r="X2101" s="343" t="s">
        <v>432</v>
      </c>
      <c r="Y2101" s="343" t="s">
        <v>432</v>
      </c>
      <c r="Z2101" s="343" t="s">
        <v>432</v>
      </c>
      <c r="AA2101" s="343" t="s">
        <v>432</v>
      </c>
      <c r="AB2101" s="343" t="s">
        <v>432</v>
      </c>
      <c r="AC2101" s="343" t="s">
        <v>432</v>
      </c>
      <c r="AD2101" s="343" t="s">
        <v>432</v>
      </c>
      <c r="AE2101" s="343" t="s">
        <v>432</v>
      </c>
      <c r="AF2101" s="343" t="s">
        <v>432</v>
      </c>
      <c r="AG2101" s="343" t="s">
        <v>432</v>
      </c>
      <c r="AH2101" s="343" t="s">
        <v>432</v>
      </c>
      <c r="AI2101" s="343" t="s">
        <v>432</v>
      </c>
      <c r="AJ2101" s="343" t="s">
        <v>432</v>
      </c>
      <c r="AK2101" s="343" t="s">
        <v>432</v>
      </c>
      <c r="AL2101" s="601" t="s">
        <v>432</v>
      </c>
      <c r="AM2101" s="395" t="s">
        <v>432</v>
      </c>
      <c r="AN2101" s="395" t="s">
        <v>432</v>
      </c>
      <c r="AO2101" s="395" t="s">
        <v>432</v>
      </c>
      <c r="AP2101" s="395" t="s">
        <v>432</v>
      </c>
      <c r="AQ2101" s="395" t="s">
        <v>432</v>
      </c>
      <c r="AR2101" s="395" t="s">
        <v>432</v>
      </c>
      <c r="AS2101" s="395" t="s">
        <v>432</v>
      </c>
      <c r="AT2101" s="395" t="s">
        <v>432</v>
      </c>
      <c r="AU2101" s="395" t="s">
        <v>432</v>
      </c>
      <c r="AV2101" s="395" t="s">
        <v>432</v>
      </c>
      <c r="AW2101" s="395" t="s">
        <v>432</v>
      </c>
      <c r="AX2101" s="395" t="s">
        <v>432</v>
      </c>
      <c r="AY2101" s="395" t="s">
        <v>432</v>
      </c>
      <c r="AZ2101" s="395" t="s">
        <v>432</v>
      </c>
      <c r="BA2101" s="395" t="s">
        <v>432</v>
      </c>
      <c r="BB2101" s="396" t="str">
        <f t="shared" ref="BB2101:BB2106" si="596">B2101&amp;C2101</f>
        <v>Sistema de transporte coletivo com um todox</v>
      </c>
      <c r="BC2101" s="396" t="str">
        <f t="shared" ref="BC2101:BC2106" si="597">B2101&amp;C2101&amp;H2101</f>
        <v>Sistema de transporte coletivo com um todoxsigla/verbete</v>
      </c>
      <c r="BD2101" s="396" t="str">
        <f t="shared" ref="BD2101:BD2106" si="598">B2101&amp;H2101</f>
        <v>Sistema de transporte coletivo com um todosigla/verbete</v>
      </c>
    </row>
    <row r="2102" spans="1:56" s="1" customFormat="1" ht="51" x14ac:dyDescent="0.25">
      <c r="A2102" s="275" t="str">
        <f>'Q100b-totais'!$B$62</f>
        <v>8.10</v>
      </c>
      <c r="B2102" s="54" t="str">
        <f>'Q100b-totais'!$C$62</f>
        <v>Sistema de transporte coletivo com um todo</v>
      </c>
      <c r="C2102" s="229" t="s">
        <v>432</v>
      </c>
      <c r="D2102" s="1379" t="s">
        <v>4827</v>
      </c>
      <c r="E2102" s="1445" t="s">
        <v>1306</v>
      </c>
      <c r="F2102" s="1374" t="s">
        <v>4981</v>
      </c>
      <c r="G2102" s="416" t="s">
        <v>77</v>
      </c>
      <c r="H2102" s="173" t="s">
        <v>432</v>
      </c>
      <c r="I2102" s="167">
        <v>1</v>
      </c>
      <c r="J2102" s="343" t="s">
        <v>432</v>
      </c>
      <c r="K2102" s="343" t="s">
        <v>432</v>
      </c>
      <c r="L2102" s="343" t="s">
        <v>432</v>
      </c>
      <c r="M2102" s="343" t="s">
        <v>432</v>
      </c>
      <c r="N2102" s="343" t="s">
        <v>432</v>
      </c>
      <c r="O2102" s="343" t="s">
        <v>432</v>
      </c>
      <c r="P2102" s="343" t="s">
        <v>432</v>
      </c>
      <c r="Q2102" s="343" t="s">
        <v>432</v>
      </c>
      <c r="R2102" s="343" t="s">
        <v>432</v>
      </c>
      <c r="S2102" s="109" t="s">
        <v>2209</v>
      </c>
      <c r="T2102" s="343" t="s">
        <v>432</v>
      </c>
      <c r="U2102" s="343" t="s">
        <v>432</v>
      </c>
      <c r="V2102" s="109" t="s">
        <v>2209</v>
      </c>
      <c r="W2102" s="343" t="s">
        <v>432</v>
      </c>
      <c r="X2102" s="343" t="s">
        <v>432</v>
      </c>
      <c r="Y2102" s="343" t="s">
        <v>432</v>
      </c>
      <c r="Z2102" s="343" t="s">
        <v>432</v>
      </c>
      <c r="AA2102" s="343" t="s">
        <v>432</v>
      </c>
      <c r="AB2102" s="343" t="s">
        <v>432</v>
      </c>
      <c r="AC2102" s="343" t="s">
        <v>432</v>
      </c>
      <c r="AD2102" s="343" t="s">
        <v>432</v>
      </c>
      <c r="AE2102" s="343" t="s">
        <v>432</v>
      </c>
      <c r="AF2102" s="343" t="s">
        <v>432</v>
      </c>
      <c r="AG2102" s="343" t="s">
        <v>432</v>
      </c>
      <c r="AH2102" s="343" t="s">
        <v>432</v>
      </c>
      <c r="AI2102" s="343" t="s">
        <v>432</v>
      </c>
      <c r="AJ2102" s="343" t="s">
        <v>432</v>
      </c>
      <c r="AK2102" s="1375">
        <v>0.28000000000000003</v>
      </c>
      <c r="AL2102" s="601" t="s">
        <v>432</v>
      </c>
      <c r="AM2102" s="395" t="s">
        <v>432</v>
      </c>
      <c r="AN2102" s="395" t="s">
        <v>432</v>
      </c>
      <c r="AO2102" s="395" t="s">
        <v>432</v>
      </c>
      <c r="AP2102" s="395" t="s">
        <v>432</v>
      </c>
      <c r="AQ2102" s="395" t="s">
        <v>432</v>
      </c>
      <c r="AR2102" s="395" t="s">
        <v>432</v>
      </c>
      <c r="AS2102" s="395" t="s">
        <v>432</v>
      </c>
      <c r="AT2102" s="395" t="s">
        <v>432</v>
      </c>
      <c r="AU2102" s="395" t="s">
        <v>432</v>
      </c>
      <c r="AV2102" s="395" t="s">
        <v>432</v>
      </c>
      <c r="AW2102" s="395" t="s">
        <v>432</v>
      </c>
      <c r="AX2102" s="395" t="s">
        <v>432</v>
      </c>
      <c r="AY2102" s="395" t="s">
        <v>432</v>
      </c>
      <c r="AZ2102" s="395" t="s">
        <v>432</v>
      </c>
      <c r="BA2102" s="395" t="s">
        <v>432</v>
      </c>
      <c r="BB2102" s="396" t="str">
        <f t="shared" si="596"/>
        <v>Sistema de transporte coletivo com um todox</v>
      </c>
      <c r="BC2102" s="396" t="str">
        <f t="shared" si="597"/>
        <v>Sistema de transporte coletivo com um todoxx</v>
      </c>
      <c r="BD2102" s="396" t="str">
        <f t="shared" si="598"/>
        <v>Sistema de transporte coletivo com um todox</v>
      </c>
    </row>
    <row r="2103" spans="1:56" s="1" customFormat="1" ht="51" x14ac:dyDescent="0.25">
      <c r="A2103" s="275" t="str">
        <f>'Q100b-totais'!$B$62</f>
        <v>8.10</v>
      </c>
      <c r="B2103" s="54" t="str">
        <f>'Q100b-totais'!$C$62</f>
        <v>Sistema de transporte coletivo com um todo</v>
      </c>
      <c r="C2103" s="229" t="s">
        <v>432</v>
      </c>
      <c r="D2103" s="1379" t="s">
        <v>4827</v>
      </c>
      <c r="E2103" s="1445" t="s">
        <v>1700</v>
      </c>
      <c r="F2103" s="1374" t="s">
        <v>4982</v>
      </c>
      <c r="G2103" s="416" t="s">
        <v>77</v>
      </c>
      <c r="H2103" s="173" t="s">
        <v>819</v>
      </c>
      <c r="I2103" s="167" t="s">
        <v>4975</v>
      </c>
      <c r="J2103" s="343" t="s">
        <v>432</v>
      </c>
      <c r="K2103" s="343" t="s">
        <v>432</v>
      </c>
      <c r="L2103" s="343" t="s">
        <v>432</v>
      </c>
      <c r="M2103" s="343" t="s">
        <v>432</v>
      </c>
      <c r="N2103" s="343" t="s">
        <v>432</v>
      </c>
      <c r="O2103" s="343" t="s">
        <v>432</v>
      </c>
      <c r="P2103" s="343" t="s">
        <v>432</v>
      </c>
      <c r="Q2103" s="343" t="s">
        <v>432</v>
      </c>
      <c r="R2103" s="343" t="s">
        <v>432</v>
      </c>
      <c r="S2103" s="109" t="s">
        <v>2209</v>
      </c>
      <c r="T2103" s="343" t="s">
        <v>432</v>
      </c>
      <c r="U2103" s="343" t="s">
        <v>432</v>
      </c>
      <c r="V2103" s="109" t="s">
        <v>2209</v>
      </c>
      <c r="W2103" s="343" t="s">
        <v>432</v>
      </c>
      <c r="X2103" s="343" t="s">
        <v>432</v>
      </c>
      <c r="Y2103" s="343" t="s">
        <v>432</v>
      </c>
      <c r="Z2103" s="343" t="s">
        <v>432</v>
      </c>
      <c r="AA2103" s="343" t="s">
        <v>432</v>
      </c>
      <c r="AB2103" s="343" t="s">
        <v>432</v>
      </c>
      <c r="AC2103" s="343" t="s">
        <v>432</v>
      </c>
      <c r="AD2103" s="343" t="s">
        <v>432</v>
      </c>
      <c r="AE2103" s="343" t="s">
        <v>432</v>
      </c>
      <c r="AF2103" s="343" t="s">
        <v>432</v>
      </c>
      <c r="AG2103" s="343" t="s">
        <v>432</v>
      </c>
      <c r="AH2103" s="343" t="s">
        <v>432</v>
      </c>
      <c r="AI2103" s="343" t="s">
        <v>432</v>
      </c>
      <c r="AJ2103" s="343" t="s">
        <v>432</v>
      </c>
      <c r="AK2103" s="1375">
        <v>0.17</v>
      </c>
      <c r="AL2103" s="601" t="s">
        <v>432</v>
      </c>
      <c r="AM2103" s="395" t="s">
        <v>432</v>
      </c>
      <c r="AN2103" s="395" t="s">
        <v>432</v>
      </c>
      <c r="AO2103" s="395" t="s">
        <v>432</v>
      </c>
      <c r="AP2103" s="395" t="s">
        <v>432</v>
      </c>
      <c r="AQ2103" s="395" t="s">
        <v>432</v>
      </c>
      <c r="AR2103" s="395" t="s">
        <v>432</v>
      </c>
      <c r="AS2103" s="395" t="s">
        <v>432</v>
      </c>
      <c r="AT2103" s="395" t="s">
        <v>432</v>
      </c>
      <c r="AU2103" s="395" t="s">
        <v>432</v>
      </c>
      <c r="AV2103" s="395" t="s">
        <v>432</v>
      </c>
      <c r="AW2103" s="395" t="s">
        <v>432</v>
      </c>
      <c r="AX2103" s="395" t="s">
        <v>432</v>
      </c>
      <c r="AY2103" s="395" t="s">
        <v>432</v>
      </c>
      <c r="AZ2103" s="395" t="s">
        <v>432</v>
      </c>
      <c r="BA2103" s="395" t="s">
        <v>432</v>
      </c>
      <c r="BB2103" s="396" t="str">
        <f t="shared" si="596"/>
        <v>Sistema de transporte coletivo com um todox</v>
      </c>
      <c r="BC2103" s="396" t="str">
        <f t="shared" si="597"/>
        <v>Sistema de transporte coletivo com um todoxbenchmarking</v>
      </c>
      <c r="BD2103" s="396" t="str">
        <f t="shared" si="598"/>
        <v>Sistema de transporte coletivo com um todobenchmarking</v>
      </c>
    </row>
    <row r="2104" spans="1:56" s="1" customFormat="1" ht="62.25" customHeight="1" x14ac:dyDescent="0.25">
      <c r="A2104" s="275" t="str">
        <f>'Q100b-totais'!$B$62</f>
        <v>8.10</v>
      </c>
      <c r="B2104" s="54" t="str">
        <f>'Q100b-totais'!$C$62</f>
        <v>Sistema de transporte coletivo com um todo</v>
      </c>
      <c r="C2104" s="229" t="s">
        <v>432</v>
      </c>
      <c r="D2104" s="1371" t="s">
        <v>4827</v>
      </c>
      <c r="E2104" s="1445" t="s">
        <v>1283</v>
      </c>
      <c r="F2104" s="1172" t="s">
        <v>4983</v>
      </c>
      <c r="G2104" s="416" t="s">
        <v>77</v>
      </c>
      <c r="H2104" s="173" t="s">
        <v>819</v>
      </c>
      <c r="I2104" s="167" t="s">
        <v>4974</v>
      </c>
      <c r="J2104" s="343" t="s">
        <v>432</v>
      </c>
      <c r="K2104" s="343" t="s">
        <v>432</v>
      </c>
      <c r="L2104" s="343" t="s">
        <v>432</v>
      </c>
      <c r="M2104" s="343" t="s">
        <v>432</v>
      </c>
      <c r="N2104" s="343" t="s">
        <v>432</v>
      </c>
      <c r="O2104" s="343" t="s">
        <v>432</v>
      </c>
      <c r="P2104" s="343" t="s">
        <v>432</v>
      </c>
      <c r="Q2104" s="343" t="s">
        <v>432</v>
      </c>
      <c r="R2104" s="343" t="s">
        <v>432</v>
      </c>
      <c r="S2104" s="109" t="s">
        <v>2209</v>
      </c>
      <c r="T2104" s="343" t="s">
        <v>432</v>
      </c>
      <c r="U2104" s="343" t="s">
        <v>432</v>
      </c>
      <c r="V2104" s="109" t="s">
        <v>2209</v>
      </c>
      <c r="W2104" s="343" t="s">
        <v>432</v>
      </c>
      <c r="X2104" s="343" t="s">
        <v>432</v>
      </c>
      <c r="Y2104" s="343" t="s">
        <v>432</v>
      </c>
      <c r="Z2104" s="343" t="s">
        <v>432</v>
      </c>
      <c r="AA2104" s="343" t="s">
        <v>432</v>
      </c>
      <c r="AB2104" s="343" t="s">
        <v>432</v>
      </c>
      <c r="AC2104" s="343" t="s">
        <v>432</v>
      </c>
      <c r="AD2104" s="343" t="s">
        <v>432</v>
      </c>
      <c r="AE2104" s="343" t="s">
        <v>432</v>
      </c>
      <c r="AF2104" s="1375">
        <v>0.36</v>
      </c>
      <c r="AG2104" s="343" t="s">
        <v>432</v>
      </c>
      <c r="AH2104" s="343" t="s">
        <v>432</v>
      </c>
      <c r="AI2104" s="343" t="s">
        <v>432</v>
      </c>
      <c r="AJ2104" s="343" t="s">
        <v>432</v>
      </c>
      <c r="AK2104" s="1375">
        <v>0.47</v>
      </c>
      <c r="AL2104" s="601" t="s">
        <v>432</v>
      </c>
      <c r="AM2104" s="395" t="s">
        <v>432</v>
      </c>
      <c r="AN2104" s="395" t="s">
        <v>432</v>
      </c>
      <c r="AO2104" s="395" t="s">
        <v>432</v>
      </c>
      <c r="AP2104" s="395" t="s">
        <v>432</v>
      </c>
      <c r="AQ2104" s="395" t="s">
        <v>432</v>
      </c>
      <c r="AR2104" s="395" t="s">
        <v>432</v>
      </c>
      <c r="AS2104" s="395" t="s">
        <v>432</v>
      </c>
      <c r="AT2104" s="395" t="s">
        <v>432</v>
      </c>
      <c r="AU2104" s="395" t="s">
        <v>432</v>
      </c>
      <c r="AV2104" s="395" t="s">
        <v>432</v>
      </c>
      <c r="AW2104" s="395" t="s">
        <v>432</v>
      </c>
      <c r="AX2104" s="395" t="s">
        <v>432</v>
      </c>
      <c r="AY2104" s="395" t="s">
        <v>432</v>
      </c>
      <c r="AZ2104" s="395" t="s">
        <v>432</v>
      </c>
      <c r="BA2104" s="395" t="s">
        <v>432</v>
      </c>
      <c r="BB2104" s="396" t="str">
        <f t="shared" si="596"/>
        <v>Sistema de transporte coletivo com um todox</v>
      </c>
      <c r="BC2104" s="396" t="str">
        <f t="shared" si="597"/>
        <v>Sistema de transporte coletivo com um todoxbenchmarking</v>
      </c>
      <c r="BD2104" s="396" t="str">
        <f t="shared" si="598"/>
        <v>Sistema de transporte coletivo com um todobenchmarking</v>
      </c>
    </row>
    <row r="2105" spans="1:56" s="1" customFormat="1" ht="60" customHeight="1" x14ac:dyDescent="0.25">
      <c r="A2105" s="275" t="str">
        <f>'Q100b-totais'!$B$62</f>
        <v>8.10</v>
      </c>
      <c r="B2105" s="54" t="str">
        <f>'Q100b-totais'!$C$62</f>
        <v>Sistema de transporte coletivo com um todo</v>
      </c>
      <c r="C2105" s="229" t="s">
        <v>432</v>
      </c>
      <c r="D2105" s="939" t="s">
        <v>4828</v>
      </c>
      <c r="E2105" s="1445" t="s">
        <v>1283</v>
      </c>
      <c r="F2105" s="1172" t="s">
        <v>4984</v>
      </c>
      <c r="G2105" s="416" t="s">
        <v>77</v>
      </c>
      <c r="H2105" s="173" t="s">
        <v>819</v>
      </c>
      <c r="I2105" s="167" t="s">
        <v>4974</v>
      </c>
      <c r="J2105" s="343" t="s">
        <v>432</v>
      </c>
      <c r="K2105" s="343" t="s">
        <v>432</v>
      </c>
      <c r="L2105" s="343" t="s">
        <v>432</v>
      </c>
      <c r="M2105" s="343" t="s">
        <v>432</v>
      </c>
      <c r="N2105" s="343" t="s">
        <v>432</v>
      </c>
      <c r="O2105" s="343" t="s">
        <v>432</v>
      </c>
      <c r="P2105" s="343" t="s">
        <v>432</v>
      </c>
      <c r="Q2105" s="343" t="s">
        <v>432</v>
      </c>
      <c r="R2105" s="343" t="s">
        <v>432</v>
      </c>
      <c r="S2105" s="109" t="s">
        <v>2209</v>
      </c>
      <c r="T2105" s="343" t="s">
        <v>432</v>
      </c>
      <c r="U2105" s="343" t="s">
        <v>432</v>
      </c>
      <c r="V2105" s="109" t="s">
        <v>2209</v>
      </c>
      <c r="W2105" s="343" t="s">
        <v>432</v>
      </c>
      <c r="X2105" s="343" t="s">
        <v>432</v>
      </c>
      <c r="Y2105" s="343" t="s">
        <v>432</v>
      </c>
      <c r="Z2105" s="343" t="s">
        <v>432</v>
      </c>
      <c r="AA2105" s="343" t="s">
        <v>432</v>
      </c>
      <c r="AB2105" s="343" t="s">
        <v>432</v>
      </c>
      <c r="AC2105" s="343" t="s">
        <v>432</v>
      </c>
      <c r="AD2105" s="343" t="s">
        <v>432</v>
      </c>
      <c r="AE2105" s="343" t="s">
        <v>432</v>
      </c>
      <c r="AF2105" s="343" t="s">
        <v>432</v>
      </c>
      <c r="AG2105" s="343" t="s">
        <v>432</v>
      </c>
      <c r="AH2105" s="343" t="s">
        <v>432</v>
      </c>
      <c r="AI2105" s="343" t="s">
        <v>432</v>
      </c>
      <c r="AJ2105" s="343" t="s">
        <v>432</v>
      </c>
      <c r="AK2105" s="343" t="s">
        <v>432</v>
      </c>
      <c r="AL2105" s="601" t="s">
        <v>432</v>
      </c>
      <c r="AM2105" s="395" t="s">
        <v>432</v>
      </c>
      <c r="AN2105" s="395" t="s">
        <v>432</v>
      </c>
      <c r="AO2105" s="395" t="s">
        <v>432</v>
      </c>
      <c r="AP2105" s="1375">
        <v>0.56000000000000005</v>
      </c>
      <c r="AQ2105" s="395" t="s">
        <v>432</v>
      </c>
      <c r="AR2105" s="395" t="s">
        <v>432</v>
      </c>
      <c r="AS2105" s="395" t="s">
        <v>432</v>
      </c>
      <c r="AT2105" s="395" t="s">
        <v>432</v>
      </c>
      <c r="AU2105" s="395" t="s">
        <v>432</v>
      </c>
      <c r="AV2105" s="395" t="s">
        <v>432</v>
      </c>
      <c r="AW2105" s="395" t="s">
        <v>432</v>
      </c>
      <c r="AX2105" s="395" t="s">
        <v>432</v>
      </c>
      <c r="AY2105" s="395" t="s">
        <v>432</v>
      </c>
      <c r="AZ2105" s="395" t="s">
        <v>432</v>
      </c>
      <c r="BA2105" s="395" t="s">
        <v>432</v>
      </c>
      <c r="BB2105" s="396" t="str">
        <f t="shared" si="596"/>
        <v>Sistema de transporte coletivo com um todox</v>
      </c>
      <c r="BC2105" s="396" t="str">
        <f t="shared" si="597"/>
        <v>Sistema de transporte coletivo com um todoxbenchmarking</v>
      </c>
      <c r="BD2105" s="396" t="str">
        <f t="shared" si="598"/>
        <v>Sistema de transporte coletivo com um todobenchmarking</v>
      </c>
    </row>
    <row r="2106" spans="1:56" s="1" customFormat="1" ht="51" x14ac:dyDescent="0.25">
      <c r="A2106" s="275" t="str">
        <f>'Q100b-totais'!$B$62</f>
        <v>8.10</v>
      </c>
      <c r="B2106" s="54" t="str">
        <f>'Q100b-totais'!$C$62</f>
        <v>Sistema de transporte coletivo com um todo</v>
      </c>
      <c r="C2106" s="229" t="s">
        <v>432</v>
      </c>
      <c r="D2106" s="1379" t="s">
        <v>4827</v>
      </c>
      <c r="E2106" s="1445" t="s">
        <v>1705</v>
      </c>
      <c r="F2106" s="1374" t="s">
        <v>4985</v>
      </c>
      <c r="G2106" s="416" t="s">
        <v>77</v>
      </c>
      <c r="H2106" s="173" t="s">
        <v>819</v>
      </c>
      <c r="I2106" s="167" t="s">
        <v>4976</v>
      </c>
      <c r="J2106" s="343" t="s">
        <v>432</v>
      </c>
      <c r="K2106" s="343" t="s">
        <v>432</v>
      </c>
      <c r="L2106" s="343" t="s">
        <v>432</v>
      </c>
      <c r="M2106" s="343" t="s">
        <v>432</v>
      </c>
      <c r="N2106" s="343" t="s">
        <v>432</v>
      </c>
      <c r="O2106" s="343" t="s">
        <v>432</v>
      </c>
      <c r="P2106" s="343" t="s">
        <v>432</v>
      </c>
      <c r="Q2106" s="343" t="s">
        <v>432</v>
      </c>
      <c r="R2106" s="343" t="s">
        <v>432</v>
      </c>
      <c r="S2106" s="109" t="s">
        <v>2209</v>
      </c>
      <c r="T2106" s="343" t="s">
        <v>432</v>
      </c>
      <c r="U2106" s="343" t="s">
        <v>432</v>
      </c>
      <c r="V2106" s="109" t="s">
        <v>2209</v>
      </c>
      <c r="W2106" s="343" t="s">
        <v>432</v>
      </c>
      <c r="X2106" s="343" t="s">
        <v>432</v>
      </c>
      <c r="Y2106" s="343" t="s">
        <v>432</v>
      </c>
      <c r="Z2106" s="343" t="s">
        <v>432</v>
      </c>
      <c r="AA2106" s="343" t="s">
        <v>432</v>
      </c>
      <c r="AB2106" s="343" t="s">
        <v>432</v>
      </c>
      <c r="AC2106" s="343" t="s">
        <v>432</v>
      </c>
      <c r="AD2106" s="343" t="s">
        <v>432</v>
      </c>
      <c r="AE2106" s="343" t="s">
        <v>432</v>
      </c>
      <c r="AF2106" s="343" t="s">
        <v>432</v>
      </c>
      <c r="AG2106" s="343" t="s">
        <v>432</v>
      </c>
      <c r="AH2106" s="343" t="s">
        <v>432</v>
      </c>
      <c r="AI2106" s="343" t="s">
        <v>432</v>
      </c>
      <c r="AJ2106" s="343" t="s">
        <v>432</v>
      </c>
      <c r="AK2106" s="1375">
        <v>0.25</v>
      </c>
      <c r="AL2106" s="601" t="s">
        <v>432</v>
      </c>
      <c r="AM2106" s="395" t="s">
        <v>432</v>
      </c>
      <c r="AN2106" s="395" t="s">
        <v>432</v>
      </c>
      <c r="AO2106" s="395" t="s">
        <v>432</v>
      </c>
      <c r="AP2106" s="395" t="s">
        <v>432</v>
      </c>
      <c r="AQ2106" s="395" t="s">
        <v>432</v>
      </c>
      <c r="AR2106" s="395" t="s">
        <v>432</v>
      </c>
      <c r="AS2106" s="395" t="s">
        <v>432</v>
      </c>
      <c r="AT2106" s="395" t="s">
        <v>432</v>
      </c>
      <c r="AU2106" s="395" t="s">
        <v>432</v>
      </c>
      <c r="AV2106" s="395" t="s">
        <v>432</v>
      </c>
      <c r="AW2106" s="395" t="s">
        <v>432</v>
      </c>
      <c r="AX2106" s="395" t="s">
        <v>432</v>
      </c>
      <c r="AY2106" s="395" t="s">
        <v>432</v>
      </c>
      <c r="AZ2106" s="395" t="s">
        <v>432</v>
      </c>
      <c r="BA2106" s="395" t="s">
        <v>432</v>
      </c>
      <c r="BB2106" s="396" t="str">
        <f t="shared" si="596"/>
        <v>Sistema de transporte coletivo com um todox</v>
      </c>
      <c r="BC2106" s="396" t="str">
        <f t="shared" si="597"/>
        <v>Sistema de transporte coletivo com um todoxbenchmarking</v>
      </c>
      <c r="BD2106" s="396" t="str">
        <f t="shared" si="598"/>
        <v>Sistema de transporte coletivo com um todobenchmarking</v>
      </c>
    </row>
    <row r="2107" spans="1:56" s="1" customFormat="1" ht="12.75" customHeight="1" x14ac:dyDescent="0.25">
      <c r="A2107" s="398"/>
      <c r="B2107" s="221"/>
      <c r="C2107" s="399"/>
      <c r="D2107" s="987"/>
      <c r="E2107" s="1533"/>
      <c r="F2107" s="405"/>
      <c r="G2107" s="405"/>
      <c r="H2107" s="399"/>
      <c r="I2107" s="405"/>
      <c r="J2107" s="221"/>
      <c r="K2107" s="403"/>
      <c r="L2107" s="403"/>
      <c r="M2107" s="403"/>
      <c r="N2107" s="403"/>
      <c r="O2107" s="403"/>
      <c r="P2107" s="403"/>
      <c r="Q2107" s="403"/>
      <c r="R2107" s="403"/>
      <c r="S2107" s="403"/>
      <c r="T2107" s="403"/>
      <c r="U2107" s="403"/>
      <c r="V2107" s="403"/>
      <c r="W2107" s="403"/>
      <c r="X2107" s="403"/>
      <c r="Y2107" s="403"/>
      <c r="Z2107" s="403"/>
      <c r="AA2107" s="403"/>
      <c r="AB2107" s="403"/>
      <c r="AC2107" s="403"/>
      <c r="AD2107" s="403"/>
      <c r="AE2107" s="403"/>
      <c r="AF2107" s="403"/>
      <c r="AG2107" s="403"/>
      <c r="AH2107" s="403"/>
      <c r="AI2107" s="403"/>
      <c r="AJ2107" s="403"/>
      <c r="AK2107" s="223"/>
      <c r="AL2107" s="223"/>
      <c r="AM2107" s="223"/>
      <c r="AN2107" s="223"/>
      <c r="AO2107" s="223"/>
      <c r="AP2107" s="223"/>
      <c r="AQ2107" s="223"/>
      <c r="AR2107" s="223"/>
      <c r="AS2107" s="223"/>
      <c r="AT2107" s="223"/>
      <c r="AU2107" s="223"/>
      <c r="AV2107" s="223"/>
      <c r="AW2107" s="223"/>
      <c r="AX2107" s="223"/>
      <c r="AY2107" s="223"/>
      <c r="AZ2107" s="223"/>
      <c r="BA2107" s="223"/>
      <c r="BB2107" s="400"/>
      <c r="BC2107" s="400"/>
      <c r="BD2107" s="400"/>
    </row>
    <row r="2108" spans="1:56" s="1" customFormat="1" ht="51" x14ac:dyDescent="0.25">
      <c r="A2108" s="275" t="str">
        <f>'Q100b-totais'!$B$62</f>
        <v>8.10</v>
      </c>
      <c r="B2108" s="54" t="str">
        <f>'Q100b-totais'!$C$62</f>
        <v>Sistema de transporte coletivo com um todo</v>
      </c>
      <c r="C2108" s="229" t="s">
        <v>432</v>
      </c>
      <c r="D2108" s="1379" t="s">
        <v>4827</v>
      </c>
      <c r="E2108" s="1445" t="s">
        <v>3015</v>
      </c>
      <c r="F2108" s="1374" t="s">
        <v>4994</v>
      </c>
      <c r="G2108" s="416" t="s">
        <v>77</v>
      </c>
      <c r="H2108" s="173" t="s">
        <v>819</v>
      </c>
      <c r="I2108" s="167" t="s">
        <v>4977</v>
      </c>
      <c r="J2108" s="343" t="s">
        <v>432</v>
      </c>
      <c r="K2108" s="343" t="s">
        <v>432</v>
      </c>
      <c r="L2108" s="343" t="s">
        <v>432</v>
      </c>
      <c r="M2108" s="343" t="s">
        <v>432</v>
      </c>
      <c r="N2108" s="343" t="s">
        <v>432</v>
      </c>
      <c r="O2108" s="343" t="s">
        <v>432</v>
      </c>
      <c r="P2108" s="343" t="s">
        <v>432</v>
      </c>
      <c r="Q2108" s="343" t="s">
        <v>432</v>
      </c>
      <c r="R2108" s="343" t="s">
        <v>432</v>
      </c>
      <c r="S2108" s="109" t="s">
        <v>2209</v>
      </c>
      <c r="T2108" s="343" t="s">
        <v>432</v>
      </c>
      <c r="U2108" s="343" t="s">
        <v>432</v>
      </c>
      <c r="V2108" s="109" t="s">
        <v>2209</v>
      </c>
      <c r="W2108" s="343" t="s">
        <v>432</v>
      </c>
      <c r="X2108" s="343" t="s">
        <v>432</v>
      </c>
      <c r="Y2108" s="343" t="s">
        <v>432</v>
      </c>
      <c r="Z2108" s="343" t="s">
        <v>432</v>
      </c>
      <c r="AA2108" s="343" t="s">
        <v>432</v>
      </c>
      <c r="AB2108" s="343" t="s">
        <v>432</v>
      </c>
      <c r="AC2108" s="343" t="s">
        <v>432</v>
      </c>
      <c r="AD2108" s="343" t="s">
        <v>432</v>
      </c>
      <c r="AE2108" s="343" t="s">
        <v>432</v>
      </c>
      <c r="AF2108" s="343" t="s">
        <v>432</v>
      </c>
      <c r="AG2108" s="343" t="s">
        <v>432</v>
      </c>
      <c r="AH2108" s="343" t="s">
        <v>432</v>
      </c>
      <c r="AI2108" s="343" t="s">
        <v>432</v>
      </c>
      <c r="AJ2108" s="343" t="s">
        <v>432</v>
      </c>
      <c r="AK2108" s="1375">
        <v>0.99</v>
      </c>
      <c r="AL2108" s="601" t="s">
        <v>432</v>
      </c>
      <c r="AM2108" s="395" t="s">
        <v>432</v>
      </c>
      <c r="AN2108" s="395" t="s">
        <v>432</v>
      </c>
      <c r="AO2108" s="395" t="s">
        <v>432</v>
      </c>
      <c r="AP2108" s="395" t="s">
        <v>432</v>
      </c>
      <c r="AQ2108" s="395" t="s">
        <v>432</v>
      </c>
      <c r="AR2108" s="395" t="s">
        <v>432</v>
      </c>
      <c r="AS2108" s="395" t="s">
        <v>432</v>
      </c>
      <c r="AT2108" s="395" t="s">
        <v>432</v>
      </c>
      <c r="AU2108" s="395" t="s">
        <v>432</v>
      </c>
      <c r="AV2108" s="395" t="s">
        <v>432</v>
      </c>
      <c r="AW2108" s="395" t="s">
        <v>432</v>
      </c>
      <c r="AX2108" s="395" t="s">
        <v>432</v>
      </c>
      <c r="AY2108" s="395" t="s">
        <v>432</v>
      </c>
      <c r="AZ2108" s="395" t="s">
        <v>432</v>
      </c>
      <c r="BA2108" s="395" t="s">
        <v>432</v>
      </c>
      <c r="BB2108" s="396" t="str">
        <f t="shared" ref="BB2108:BB2129" si="599">B2108&amp;C2108</f>
        <v>Sistema de transporte coletivo com um todox</v>
      </c>
      <c r="BC2108" s="396" t="str">
        <f t="shared" ref="BC2108:BC2129" si="600">B2108&amp;C2108&amp;H2108</f>
        <v>Sistema de transporte coletivo com um todoxbenchmarking</v>
      </c>
      <c r="BD2108" s="396" t="str">
        <f t="shared" ref="BD2108:BD2129" si="601">B2108&amp;H2108</f>
        <v>Sistema de transporte coletivo com um todobenchmarking</v>
      </c>
    </row>
    <row r="2109" spans="1:56" s="1" customFormat="1" ht="51" x14ac:dyDescent="0.25">
      <c r="A2109" s="275" t="str">
        <f>'Q100b-totais'!$B$62</f>
        <v>8.10</v>
      </c>
      <c r="B2109" s="54" t="str">
        <f>'Q100b-totais'!$C$62</f>
        <v>Sistema de transporte coletivo com um todo</v>
      </c>
      <c r="C2109" s="229" t="s">
        <v>432</v>
      </c>
      <c r="D2109" s="1386" t="s">
        <v>4827</v>
      </c>
      <c r="E2109" s="1445" t="s">
        <v>5019</v>
      </c>
      <c r="F2109" s="1374" t="s">
        <v>5020</v>
      </c>
      <c r="G2109" s="416" t="s">
        <v>77</v>
      </c>
      <c r="H2109" s="173" t="s">
        <v>819</v>
      </c>
      <c r="I2109" s="167" t="s">
        <v>3426</v>
      </c>
      <c r="J2109" s="343" t="s">
        <v>432</v>
      </c>
      <c r="K2109" s="343" t="s">
        <v>432</v>
      </c>
      <c r="L2109" s="343" t="s">
        <v>432</v>
      </c>
      <c r="M2109" s="343" t="s">
        <v>432</v>
      </c>
      <c r="N2109" s="343" t="s">
        <v>432</v>
      </c>
      <c r="O2109" s="343" t="s">
        <v>432</v>
      </c>
      <c r="P2109" s="343" t="s">
        <v>432</v>
      </c>
      <c r="Q2109" s="343" t="s">
        <v>432</v>
      </c>
      <c r="R2109" s="343" t="s">
        <v>432</v>
      </c>
      <c r="S2109" s="109" t="s">
        <v>2209</v>
      </c>
      <c r="T2109" s="343" t="s">
        <v>432</v>
      </c>
      <c r="U2109" s="343" t="s">
        <v>432</v>
      </c>
      <c r="V2109" s="109" t="s">
        <v>2209</v>
      </c>
      <c r="W2109" s="343" t="s">
        <v>432</v>
      </c>
      <c r="X2109" s="343" t="s">
        <v>432</v>
      </c>
      <c r="Y2109" s="343" t="s">
        <v>432</v>
      </c>
      <c r="Z2109" s="343" t="s">
        <v>432</v>
      </c>
      <c r="AA2109" s="343" t="s">
        <v>432</v>
      </c>
      <c r="AB2109" s="343" t="s">
        <v>432</v>
      </c>
      <c r="AC2109" s="343" t="s">
        <v>432</v>
      </c>
      <c r="AD2109" s="343" t="s">
        <v>432</v>
      </c>
      <c r="AE2109" s="343" t="s">
        <v>432</v>
      </c>
      <c r="AF2109" s="343" t="s">
        <v>432</v>
      </c>
      <c r="AG2109" s="343" t="s">
        <v>432</v>
      </c>
      <c r="AH2109" s="343" t="s">
        <v>432</v>
      </c>
      <c r="AI2109" s="343" t="s">
        <v>432</v>
      </c>
      <c r="AJ2109" s="343" t="s">
        <v>432</v>
      </c>
      <c r="AK2109" s="1375">
        <v>0.63</v>
      </c>
      <c r="AL2109" s="601" t="s">
        <v>432</v>
      </c>
      <c r="AM2109" s="395" t="s">
        <v>432</v>
      </c>
      <c r="AN2109" s="395" t="s">
        <v>432</v>
      </c>
      <c r="AO2109" s="395" t="s">
        <v>432</v>
      </c>
      <c r="AP2109" s="395" t="s">
        <v>432</v>
      </c>
      <c r="AQ2109" s="395" t="s">
        <v>432</v>
      </c>
      <c r="AR2109" s="395" t="s">
        <v>432</v>
      </c>
      <c r="AS2109" s="395" t="s">
        <v>432</v>
      </c>
      <c r="AT2109" s="395" t="s">
        <v>432</v>
      </c>
      <c r="AU2109" s="395" t="s">
        <v>432</v>
      </c>
      <c r="AV2109" s="395" t="s">
        <v>432</v>
      </c>
      <c r="AW2109" s="395" t="s">
        <v>432</v>
      </c>
      <c r="AX2109" s="395" t="s">
        <v>432</v>
      </c>
      <c r="AY2109" s="395" t="s">
        <v>432</v>
      </c>
      <c r="AZ2109" s="395" t="s">
        <v>432</v>
      </c>
      <c r="BA2109" s="395" t="s">
        <v>432</v>
      </c>
      <c r="BB2109" s="396" t="str">
        <f t="shared" si="599"/>
        <v>Sistema de transporte coletivo com um todox</v>
      </c>
      <c r="BC2109" s="396" t="str">
        <f t="shared" si="600"/>
        <v>Sistema de transporte coletivo com um todoxbenchmarking</v>
      </c>
      <c r="BD2109" s="396" t="str">
        <f t="shared" si="601"/>
        <v>Sistema de transporte coletivo com um todobenchmarking</v>
      </c>
    </row>
    <row r="2110" spans="1:56" s="1" customFormat="1" ht="51" x14ac:dyDescent="0.25">
      <c r="A2110" s="275" t="str">
        <f>'Q100b-totais'!$B$62</f>
        <v>8.10</v>
      </c>
      <c r="B2110" s="54" t="str">
        <f>'Q100b-totais'!$C$62</f>
        <v>Sistema de transporte coletivo com um todo</v>
      </c>
      <c r="C2110" s="229" t="s">
        <v>432</v>
      </c>
      <c r="D2110" s="1385" t="s">
        <v>4827</v>
      </c>
      <c r="E2110" s="1445" t="s">
        <v>1768</v>
      </c>
      <c r="F2110" s="1374" t="s">
        <v>4999</v>
      </c>
      <c r="G2110" s="416" t="s">
        <v>77</v>
      </c>
      <c r="H2110" s="173" t="s">
        <v>819</v>
      </c>
      <c r="I2110" s="167" t="s">
        <v>3426</v>
      </c>
      <c r="J2110" s="343" t="s">
        <v>432</v>
      </c>
      <c r="K2110" s="343" t="s">
        <v>432</v>
      </c>
      <c r="L2110" s="343" t="s">
        <v>432</v>
      </c>
      <c r="M2110" s="343" t="s">
        <v>432</v>
      </c>
      <c r="N2110" s="343" t="s">
        <v>432</v>
      </c>
      <c r="O2110" s="343" t="s">
        <v>432</v>
      </c>
      <c r="P2110" s="343" t="s">
        <v>432</v>
      </c>
      <c r="Q2110" s="343" t="s">
        <v>432</v>
      </c>
      <c r="R2110" s="343" t="s">
        <v>432</v>
      </c>
      <c r="S2110" s="109" t="s">
        <v>2209</v>
      </c>
      <c r="T2110" s="343" t="s">
        <v>432</v>
      </c>
      <c r="U2110" s="343" t="s">
        <v>432</v>
      </c>
      <c r="V2110" s="109" t="s">
        <v>2209</v>
      </c>
      <c r="W2110" s="343" t="s">
        <v>432</v>
      </c>
      <c r="X2110" s="343" t="s">
        <v>432</v>
      </c>
      <c r="Y2110" s="343" t="s">
        <v>432</v>
      </c>
      <c r="Z2110" s="343" t="s">
        <v>432</v>
      </c>
      <c r="AA2110" s="343" t="s">
        <v>432</v>
      </c>
      <c r="AB2110" s="343" t="s">
        <v>432</v>
      </c>
      <c r="AC2110" s="343" t="s">
        <v>432</v>
      </c>
      <c r="AD2110" s="343" t="s">
        <v>432</v>
      </c>
      <c r="AE2110" s="343" t="s">
        <v>432</v>
      </c>
      <c r="AF2110" s="343" t="s">
        <v>432</v>
      </c>
      <c r="AG2110" s="343" t="s">
        <v>432</v>
      </c>
      <c r="AH2110" s="343" t="s">
        <v>432</v>
      </c>
      <c r="AI2110" s="343" t="s">
        <v>432</v>
      </c>
      <c r="AJ2110" s="343" t="s">
        <v>432</v>
      </c>
      <c r="AK2110" s="1375">
        <v>0.65</v>
      </c>
      <c r="AL2110" s="601" t="s">
        <v>432</v>
      </c>
      <c r="AM2110" s="395" t="s">
        <v>432</v>
      </c>
      <c r="AN2110" s="395" t="s">
        <v>432</v>
      </c>
      <c r="AO2110" s="395" t="s">
        <v>432</v>
      </c>
      <c r="AP2110" s="395" t="s">
        <v>432</v>
      </c>
      <c r="AQ2110" s="395" t="s">
        <v>432</v>
      </c>
      <c r="AR2110" s="395" t="s">
        <v>432</v>
      </c>
      <c r="AS2110" s="395" t="s">
        <v>432</v>
      </c>
      <c r="AT2110" s="395" t="s">
        <v>432</v>
      </c>
      <c r="AU2110" s="395" t="s">
        <v>432</v>
      </c>
      <c r="AV2110" s="395" t="s">
        <v>432</v>
      </c>
      <c r="AW2110" s="395" t="s">
        <v>432</v>
      </c>
      <c r="AX2110" s="395" t="s">
        <v>432</v>
      </c>
      <c r="AY2110" s="395" t="s">
        <v>432</v>
      </c>
      <c r="AZ2110" s="395" t="s">
        <v>432</v>
      </c>
      <c r="BA2110" s="395" t="s">
        <v>432</v>
      </c>
      <c r="BB2110" s="396" t="str">
        <f t="shared" si="599"/>
        <v>Sistema de transporte coletivo com um todox</v>
      </c>
      <c r="BC2110" s="396" t="str">
        <f t="shared" si="600"/>
        <v>Sistema de transporte coletivo com um todoxbenchmarking</v>
      </c>
      <c r="BD2110" s="396" t="str">
        <f t="shared" si="601"/>
        <v>Sistema de transporte coletivo com um todobenchmarking</v>
      </c>
    </row>
    <row r="2111" spans="1:56" s="1" customFormat="1" ht="51" x14ac:dyDescent="0.25">
      <c r="A2111" s="275" t="str">
        <f>'Q100b-totais'!$B$62</f>
        <v>8.10</v>
      </c>
      <c r="B2111" s="54" t="str">
        <f>'Q100b-totais'!$C$62</f>
        <v>Sistema de transporte coletivo com um todo</v>
      </c>
      <c r="C2111" s="229" t="s">
        <v>432</v>
      </c>
      <c r="D2111" s="1386" t="s">
        <v>4827</v>
      </c>
      <c r="E2111" s="1445" t="s">
        <v>5023</v>
      </c>
      <c r="F2111" s="1374" t="s">
        <v>5024</v>
      </c>
      <c r="G2111" s="416" t="s">
        <v>77</v>
      </c>
      <c r="H2111" s="173" t="s">
        <v>819</v>
      </c>
      <c r="I2111" s="167" t="s">
        <v>3426</v>
      </c>
      <c r="J2111" s="343" t="s">
        <v>432</v>
      </c>
      <c r="K2111" s="343" t="s">
        <v>432</v>
      </c>
      <c r="L2111" s="343" t="s">
        <v>432</v>
      </c>
      <c r="M2111" s="343" t="s">
        <v>432</v>
      </c>
      <c r="N2111" s="343" t="s">
        <v>432</v>
      </c>
      <c r="O2111" s="343" t="s">
        <v>432</v>
      </c>
      <c r="P2111" s="343" t="s">
        <v>432</v>
      </c>
      <c r="Q2111" s="343" t="s">
        <v>432</v>
      </c>
      <c r="R2111" s="343" t="s">
        <v>432</v>
      </c>
      <c r="S2111" s="109" t="s">
        <v>2209</v>
      </c>
      <c r="T2111" s="343" t="s">
        <v>432</v>
      </c>
      <c r="U2111" s="343" t="s">
        <v>432</v>
      </c>
      <c r="V2111" s="109" t="s">
        <v>2209</v>
      </c>
      <c r="W2111" s="343" t="s">
        <v>432</v>
      </c>
      <c r="X2111" s="343" t="s">
        <v>432</v>
      </c>
      <c r="Y2111" s="343" t="s">
        <v>432</v>
      </c>
      <c r="Z2111" s="343" t="s">
        <v>432</v>
      </c>
      <c r="AA2111" s="343" t="s">
        <v>432</v>
      </c>
      <c r="AB2111" s="343" t="s">
        <v>432</v>
      </c>
      <c r="AC2111" s="343" t="s">
        <v>432</v>
      </c>
      <c r="AD2111" s="343" t="s">
        <v>432</v>
      </c>
      <c r="AE2111" s="343" t="s">
        <v>432</v>
      </c>
      <c r="AF2111" s="343" t="s">
        <v>432</v>
      </c>
      <c r="AG2111" s="343" t="s">
        <v>432</v>
      </c>
      <c r="AH2111" s="343" t="s">
        <v>432</v>
      </c>
      <c r="AI2111" s="343" t="s">
        <v>432</v>
      </c>
      <c r="AJ2111" s="343" t="s">
        <v>432</v>
      </c>
      <c r="AK2111" s="1375">
        <v>0.4</v>
      </c>
      <c r="AL2111" s="601" t="s">
        <v>432</v>
      </c>
      <c r="AM2111" s="395" t="s">
        <v>432</v>
      </c>
      <c r="AN2111" s="395" t="s">
        <v>432</v>
      </c>
      <c r="AO2111" s="395" t="s">
        <v>432</v>
      </c>
      <c r="AP2111" s="395" t="s">
        <v>432</v>
      </c>
      <c r="AQ2111" s="395" t="s">
        <v>432</v>
      </c>
      <c r="AR2111" s="395" t="s">
        <v>432</v>
      </c>
      <c r="AS2111" s="395" t="s">
        <v>432</v>
      </c>
      <c r="AT2111" s="395" t="s">
        <v>432</v>
      </c>
      <c r="AU2111" s="395" t="s">
        <v>432</v>
      </c>
      <c r="AV2111" s="395" t="s">
        <v>432</v>
      </c>
      <c r="AW2111" s="395" t="s">
        <v>432</v>
      </c>
      <c r="AX2111" s="395" t="s">
        <v>432</v>
      </c>
      <c r="AY2111" s="395" t="s">
        <v>432</v>
      </c>
      <c r="AZ2111" s="395" t="s">
        <v>432</v>
      </c>
      <c r="BA2111" s="395" t="s">
        <v>432</v>
      </c>
      <c r="BB2111" s="396" t="str">
        <f t="shared" si="599"/>
        <v>Sistema de transporte coletivo com um todox</v>
      </c>
      <c r="BC2111" s="396" t="str">
        <f t="shared" si="600"/>
        <v>Sistema de transporte coletivo com um todoxbenchmarking</v>
      </c>
      <c r="BD2111" s="396" t="str">
        <f t="shared" si="601"/>
        <v>Sistema de transporte coletivo com um todobenchmarking</v>
      </c>
    </row>
    <row r="2112" spans="1:56" s="1" customFormat="1" ht="51" x14ac:dyDescent="0.25">
      <c r="A2112" s="275" t="str">
        <f>'Q100b-totais'!$B$62</f>
        <v>8.10</v>
      </c>
      <c r="B2112" s="54" t="str">
        <f>'Q100b-totais'!$C$62</f>
        <v>Sistema de transporte coletivo com um todo</v>
      </c>
      <c r="C2112" s="229" t="s">
        <v>432</v>
      </c>
      <c r="D2112" s="1385" t="s">
        <v>4827</v>
      </c>
      <c r="E2112" s="1445" t="s">
        <v>5011</v>
      </c>
      <c r="F2112" s="1374" t="s">
        <v>5012</v>
      </c>
      <c r="G2112" s="416" t="s">
        <v>77</v>
      </c>
      <c r="H2112" s="173" t="s">
        <v>819</v>
      </c>
      <c r="I2112" s="167" t="s">
        <v>3426</v>
      </c>
      <c r="J2112" s="343" t="s">
        <v>432</v>
      </c>
      <c r="K2112" s="343" t="s">
        <v>432</v>
      </c>
      <c r="L2112" s="343" t="s">
        <v>432</v>
      </c>
      <c r="M2112" s="343" t="s">
        <v>432</v>
      </c>
      <c r="N2112" s="343" t="s">
        <v>432</v>
      </c>
      <c r="O2112" s="343" t="s">
        <v>432</v>
      </c>
      <c r="P2112" s="343" t="s">
        <v>432</v>
      </c>
      <c r="Q2112" s="343" t="s">
        <v>432</v>
      </c>
      <c r="R2112" s="343" t="s">
        <v>432</v>
      </c>
      <c r="S2112" s="109" t="s">
        <v>2209</v>
      </c>
      <c r="T2112" s="343" t="s">
        <v>432</v>
      </c>
      <c r="U2112" s="343" t="s">
        <v>432</v>
      </c>
      <c r="V2112" s="109" t="s">
        <v>2209</v>
      </c>
      <c r="W2112" s="343" t="s">
        <v>432</v>
      </c>
      <c r="X2112" s="343" t="s">
        <v>432</v>
      </c>
      <c r="Y2112" s="343" t="s">
        <v>432</v>
      </c>
      <c r="Z2112" s="343" t="s">
        <v>432</v>
      </c>
      <c r="AA2112" s="343" t="s">
        <v>432</v>
      </c>
      <c r="AB2112" s="343" t="s">
        <v>432</v>
      </c>
      <c r="AC2112" s="343" t="s">
        <v>432</v>
      </c>
      <c r="AD2112" s="343" t="s">
        <v>432</v>
      </c>
      <c r="AE2112" s="343" t="s">
        <v>432</v>
      </c>
      <c r="AF2112" s="343" t="s">
        <v>432</v>
      </c>
      <c r="AG2112" s="343" t="s">
        <v>432</v>
      </c>
      <c r="AH2112" s="343" t="s">
        <v>432</v>
      </c>
      <c r="AI2112" s="343" t="s">
        <v>432</v>
      </c>
      <c r="AJ2112" s="343" t="s">
        <v>432</v>
      </c>
      <c r="AK2112" s="1375">
        <v>0.55000000000000004</v>
      </c>
      <c r="AL2112" s="601" t="s">
        <v>432</v>
      </c>
      <c r="AM2112" s="395" t="s">
        <v>432</v>
      </c>
      <c r="AN2112" s="395" t="s">
        <v>432</v>
      </c>
      <c r="AO2112" s="395" t="s">
        <v>432</v>
      </c>
      <c r="AP2112" s="395" t="s">
        <v>432</v>
      </c>
      <c r="AQ2112" s="395" t="s">
        <v>432</v>
      </c>
      <c r="AR2112" s="395" t="s">
        <v>432</v>
      </c>
      <c r="AS2112" s="395" t="s">
        <v>432</v>
      </c>
      <c r="AT2112" s="395" t="s">
        <v>432</v>
      </c>
      <c r="AU2112" s="395" t="s">
        <v>432</v>
      </c>
      <c r="AV2112" s="395" t="s">
        <v>432</v>
      </c>
      <c r="AW2112" s="395" t="s">
        <v>432</v>
      </c>
      <c r="AX2112" s="395" t="s">
        <v>432</v>
      </c>
      <c r="AY2112" s="395" t="s">
        <v>432</v>
      </c>
      <c r="AZ2112" s="395" t="s">
        <v>432</v>
      </c>
      <c r="BA2112" s="395" t="s">
        <v>432</v>
      </c>
      <c r="BB2112" s="396" t="str">
        <f t="shared" si="599"/>
        <v>Sistema de transporte coletivo com um todox</v>
      </c>
      <c r="BC2112" s="396" t="str">
        <f t="shared" si="600"/>
        <v>Sistema de transporte coletivo com um todoxbenchmarking</v>
      </c>
      <c r="BD2112" s="396" t="str">
        <f t="shared" si="601"/>
        <v>Sistema de transporte coletivo com um todobenchmarking</v>
      </c>
    </row>
    <row r="2113" spans="1:56" s="1" customFormat="1" ht="51" x14ac:dyDescent="0.25">
      <c r="A2113" s="275" t="str">
        <f>'Q100b-totais'!$B$62</f>
        <v>8.10</v>
      </c>
      <c r="B2113" s="54" t="str">
        <f>'Q100b-totais'!$C$62</f>
        <v>Sistema de transporte coletivo com um todo</v>
      </c>
      <c r="C2113" s="229" t="s">
        <v>432</v>
      </c>
      <c r="D2113" s="1386" t="s">
        <v>4827</v>
      </c>
      <c r="E2113" s="1445" t="s">
        <v>5013</v>
      </c>
      <c r="F2113" s="1374" t="s">
        <v>5014</v>
      </c>
      <c r="G2113" s="416" t="s">
        <v>77</v>
      </c>
      <c r="H2113" s="173" t="s">
        <v>819</v>
      </c>
      <c r="I2113" s="167" t="s">
        <v>3426</v>
      </c>
      <c r="J2113" s="343" t="s">
        <v>432</v>
      </c>
      <c r="K2113" s="343" t="s">
        <v>432</v>
      </c>
      <c r="L2113" s="343" t="s">
        <v>432</v>
      </c>
      <c r="M2113" s="343" t="s">
        <v>432</v>
      </c>
      <c r="N2113" s="343" t="s">
        <v>432</v>
      </c>
      <c r="O2113" s="343" t="s">
        <v>432</v>
      </c>
      <c r="P2113" s="343" t="s">
        <v>432</v>
      </c>
      <c r="Q2113" s="343" t="s">
        <v>432</v>
      </c>
      <c r="R2113" s="343" t="s">
        <v>432</v>
      </c>
      <c r="S2113" s="109" t="s">
        <v>2209</v>
      </c>
      <c r="T2113" s="343" t="s">
        <v>432</v>
      </c>
      <c r="U2113" s="343" t="s">
        <v>432</v>
      </c>
      <c r="V2113" s="109" t="s">
        <v>2209</v>
      </c>
      <c r="W2113" s="343" t="s">
        <v>432</v>
      </c>
      <c r="X2113" s="343" t="s">
        <v>432</v>
      </c>
      <c r="Y2113" s="343" t="s">
        <v>432</v>
      </c>
      <c r="Z2113" s="343" t="s">
        <v>432</v>
      </c>
      <c r="AA2113" s="343" t="s">
        <v>432</v>
      </c>
      <c r="AB2113" s="343" t="s">
        <v>432</v>
      </c>
      <c r="AC2113" s="343" t="s">
        <v>432</v>
      </c>
      <c r="AD2113" s="343" t="s">
        <v>432</v>
      </c>
      <c r="AE2113" s="343" t="s">
        <v>432</v>
      </c>
      <c r="AF2113" s="343" t="s">
        <v>432</v>
      </c>
      <c r="AG2113" s="343" t="s">
        <v>432</v>
      </c>
      <c r="AH2113" s="343" t="s">
        <v>432</v>
      </c>
      <c r="AI2113" s="343" t="s">
        <v>432</v>
      </c>
      <c r="AJ2113" s="343" t="s">
        <v>432</v>
      </c>
      <c r="AK2113" s="1375">
        <v>0.39</v>
      </c>
      <c r="AL2113" s="601" t="s">
        <v>432</v>
      </c>
      <c r="AM2113" s="395" t="s">
        <v>432</v>
      </c>
      <c r="AN2113" s="395" t="s">
        <v>432</v>
      </c>
      <c r="AO2113" s="395" t="s">
        <v>432</v>
      </c>
      <c r="AP2113" s="395" t="s">
        <v>432</v>
      </c>
      <c r="AQ2113" s="395" t="s">
        <v>432</v>
      </c>
      <c r="AR2113" s="395" t="s">
        <v>432</v>
      </c>
      <c r="AS2113" s="395" t="s">
        <v>432</v>
      </c>
      <c r="AT2113" s="395" t="s">
        <v>432</v>
      </c>
      <c r="AU2113" s="395" t="s">
        <v>432</v>
      </c>
      <c r="AV2113" s="395" t="s">
        <v>432</v>
      </c>
      <c r="AW2113" s="395" t="s">
        <v>432</v>
      </c>
      <c r="AX2113" s="395" t="s">
        <v>432</v>
      </c>
      <c r="AY2113" s="395" t="s">
        <v>432</v>
      </c>
      <c r="AZ2113" s="395" t="s">
        <v>432</v>
      </c>
      <c r="BA2113" s="395" t="s">
        <v>432</v>
      </c>
      <c r="BB2113" s="396" t="str">
        <f t="shared" si="599"/>
        <v>Sistema de transporte coletivo com um todox</v>
      </c>
      <c r="BC2113" s="396" t="str">
        <f t="shared" si="600"/>
        <v>Sistema de transporte coletivo com um todoxbenchmarking</v>
      </c>
      <c r="BD2113" s="396" t="str">
        <f t="shared" si="601"/>
        <v>Sistema de transporte coletivo com um todobenchmarking</v>
      </c>
    </row>
    <row r="2114" spans="1:56" s="1" customFormat="1" ht="51" x14ac:dyDescent="0.25">
      <c r="A2114" s="275" t="str">
        <f>'Q100b-totais'!$B$62</f>
        <v>8.10</v>
      </c>
      <c r="B2114" s="54" t="str">
        <f>'Q100b-totais'!$C$62</f>
        <v>Sistema de transporte coletivo com um todo</v>
      </c>
      <c r="C2114" s="229" t="s">
        <v>432</v>
      </c>
      <c r="D2114" s="1384" t="s">
        <v>4827</v>
      </c>
      <c r="E2114" s="1445" t="s">
        <v>1989</v>
      </c>
      <c r="F2114" s="1374" t="s">
        <v>4997</v>
      </c>
      <c r="G2114" s="416" t="s">
        <v>77</v>
      </c>
      <c r="H2114" s="173" t="s">
        <v>819</v>
      </c>
      <c r="I2114" s="167" t="s">
        <v>3426</v>
      </c>
      <c r="J2114" s="343" t="s">
        <v>432</v>
      </c>
      <c r="K2114" s="343" t="s">
        <v>432</v>
      </c>
      <c r="L2114" s="343" t="s">
        <v>432</v>
      </c>
      <c r="M2114" s="343" t="s">
        <v>432</v>
      </c>
      <c r="N2114" s="343" t="s">
        <v>432</v>
      </c>
      <c r="O2114" s="343" t="s">
        <v>432</v>
      </c>
      <c r="P2114" s="343" t="s">
        <v>432</v>
      </c>
      <c r="Q2114" s="343" t="s">
        <v>432</v>
      </c>
      <c r="R2114" s="343" t="s">
        <v>432</v>
      </c>
      <c r="S2114" s="109" t="s">
        <v>2209</v>
      </c>
      <c r="T2114" s="343" t="s">
        <v>432</v>
      </c>
      <c r="U2114" s="343" t="s">
        <v>432</v>
      </c>
      <c r="V2114" s="109" t="s">
        <v>2209</v>
      </c>
      <c r="W2114" s="343" t="s">
        <v>432</v>
      </c>
      <c r="X2114" s="343" t="s">
        <v>432</v>
      </c>
      <c r="Y2114" s="343" t="s">
        <v>432</v>
      </c>
      <c r="Z2114" s="343" t="s">
        <v>432</v>
      </c>
      <c r="AA2114" s="343" t="s">
        <v>432</v>
      </c>
      <c r="AB2114" s="343" t="s">
        <v>432</v>
      </c>
      <c r="AC2114" s="343" t="s">
        <v>432</v>
      </c>
      <c r="AD2114" s="343" t="s">
        <v>432</v>
      </c>
      <c r="AE2114" s="343" t="s">
        <v>432</v>
      </c>
      <c r="AF2114" s="343" t="s">
        <v>432</v>
      </c>
      <c r="AG2114" s="343" t="s">
        <v>432</v>
      </c>
      <c r="AH2114" s="343" t="s">
        <v>432</v>
      </c>
      <c r="AI2114" s="343" t="s">
        <v>432</v>
      </c>
      <c r="AJ2114" s="343" t="s">
        <v>432</v>
      </c>
      <c r="AK2114" s="1375">
        <v>0.25</v>
      </c>
      <c r="AL2114" s="601" t="s">
        <v>432</v>
      </c>
      <c r="AM2114" s="395" t="s">
        <v>432</v>
      </c>
      <c r="AN2114" s="395" t="s">
        <v>432</v>
      </c>
      <c r="AO2114" s="395" t="s">
        <v>432</v>
      </c>
      <c r="AP2114" s="395" t="s">
        <v>432</v>
      </c>
      <c r="AQ2114" s="395" t="s">
        <v>432</v>
      </c>
      <c r="AR2114" s="395" t="s">
        <v>432</v>
      </c>
      <c r="AS2114" s="395" t="s">
        <v>432</v>
      </c>
      <c r="AT2114" s="395" t="s">
        <v>432</v>
      </c>
      <c r="AU2114" s="395" t="s">
        <v>432</v>
      </c>
      <c r="AV2114" s="395" t="s">
        <v>432</v>
      </c>
      <c r="AW2114" s="395" t="s">
        <v>432</v>
      </c>
      <c r="AX2114" s="395" t="s">
        <v>432</v>
      </c>
      <c r="AY2114" s="395" t="s">
        <v>432</v>
      </c>
      <c r="AZ2114" s="395" t="s">
        <v>432</v>
      </c>
      <c r="BA2114" s="395" t="s">
        <v>432</v>
      </c>
      <c r="BB2114" s="396" t="str">
        <f t="shared" si="599"/>
        <v>Sistema de transporte coletivo com um todox</v>
      </c>
      <c r="BC2114" s="396" t="str">
        <f t="shared" si="600"/>
        <v>Sistema de transporte coletivo com um todoxbenchmarking</v>
      </c>
      <c r="BD2114" s="396" t="str">
        <f t="shared" si="601"/>
        <v>Sistema de transporte coletivo com um todobenchmarking</v>
      </c>
    </row>
    <row r="2115" spans="1:56" s="1" customFormat="1" ht="51" x14ac:dyDescent="0.25">
      <c r="A2115" s="275" t="str">
        <f>'Q100b-totais'!$B$62</f>
        <v>8.10</v>
      </c>
      <c r="B2115" s="54" t="str">
        <f>'Q100b-totais'!$C$62</f>
        <v>Sistema de transporte coletivo com um todo</v>
      </c>
      <c r="C2115" s="229" t="s">
        <v>432</v>
      </c>
      <c r="D2115" s="1386" t="s">
        <v>4827</v>
      </c>
      <c r="E2115" s="1445" t="s">
        <v>5015</v>
      </c>
      <c r="F2115" s="1374" t="s">
        <v>5016</v>
      </c>
      <c r="G2115" s="416" t="s">
        <v>77</v>
      </c>
      <c r="H2115" s="173" t="s">
        <v>819</v>
      </c>
      <c r="I2115" s="167" t="s">
        <v>3426</v>
      </c>
      <c r="J2115" s="343" t="s">
        <v>432</v>
      </c>
      <c r="K2115" s="343" t="s">
        <v>432</v>
      </c>
      <c r="L2115" s="343" t="s">
        <v>432</v>
      </c>
      <c r="M2115" s="343" t="s">
        <v>432</v>
      </c>
      <c r="N2115" s="343" t="s">
        <v>432</v>
      </c>
      <c r="O2115" s="343" t="s">
        <v>432</v>
      </c>
      <c r="P2115" s="343" t="s">
        <v>432</v>
      </c>
      <c r="Q2115" s="343" t="s">
        <v>432</v>
      </c>
      <c r="R2115" s="343" t="s">
        <v>432</v>
      </c>
      <c r="S2115" s="109" t="s">
        <v>2209</v>
      </c>
      <c r="T2115" s="343" t="s">
        <v>432</v>
      </c>
      <c r="U2115" s="343" t="s">
        <v>432</v>
      </c>
      <c r="V2115" s="109" t="s">
        <v>2209</v>
      </c>
      <c r="W2115" s="343" t="s">
        <v>432</v>
      </c>
      <c r="X2115" s="343" t="s">
        <v>432</v>
      </c>
      <c r="Y2115" s="343" t="s">
        <v>432</v>
      </c>
      <c r="Z2115" s="343" t="s">
        <v>432</v>
      </c>
      <c r="AA2115" s="343" t="s">
        <v>432</v>
      </c>
      <c r="AB2115" s="343" t="s">
        <v>432</v>
      </c>
      <c r="AC2115" s="343" t="s">
        <v>432</v>
      </c>
      <c r="AD2115" s="343" t="s">
        <v>432</v>
      </c>
      <c r="AE2115" s="343" t="s">
        <v>432</v>
      </c>
      <c r="AF2115" s="343" t="s">
        <v>432</v>
      </c>
      <c r="AG2115" s="343" t="s">
        <v>432</v>
      </c>
      <c r="AH2115" s="343" t="s">
        <v>432</v>
      </c>
      <c r="AI2115" s="343" t="s">
        <v>432</v>
      </c>
      <c r="AJ2115" s="343" t="s">
        <v>432</v>
      </c>
      <c r="AK2115" s="1375">
        <v>0.44</v>
      </c>
      <c r="AL2115" s="601" t="s">
        <v>432</v>
      </c>
      <c r="AM2115" s="395" t="s">
        <v>432</v>
      </c>
      <c r="AN2115" s="395" t="s">
        <v>432</v>
      </c>
      <c r="AO2115" s="395" t="s">
        <v>432</v>
      </c>
      <c r="AP2115" s="395" t="s">
        <v>432</v>
      </c>
      <c r="AQ2115" s="395" t="s">
        <v>432</v>
      </c>
      <c r="AR2115" s="395" t="s">
        <v>432</v>
      </c>
      <c r="AS2115" s="395" t="s">
        <v>432</v>
      </c>
      <c r="AT2115" s="395" t="s">
        <v>432</v>
      </c>
      <c r="AU2115" s="395" t="s">
        <v>432</v>
      </c>
      <c r="AV2115" s="395" t="s">
        <v>432</v>
      </c>
      <c r="AW2115" s="395" t="s">
        <v>432</v>
      </c>
      <c r="AX2115" s="395" t="s">
        <v>432</v>
      </c>
      <c r="AY2115" s="395" t="s">
        <v>432</v>
      </c>
      <c r="AZ2115" s="395" t="s">
        <v>432</v>
      </c>
      <c r="BA2115" s="395" t="s">
        <v>432</v>
      </c>
      <c r="BB2115" s="396" t="str">
        <f t="shared" si="599"/>
        <v>Sistema de transporte coletivo com um todox</v>
      </c>
      <c r="BC2115" s="396" t="str">
        <f t="shared" si="600"/>
        <v>Sistema de transporte coletivo com um todoxbenchmarking</v>
      </c>
      <c r="BD2115" s="396" t="str">
        <f t="shared" si="601"/>
        <v>Sistema de transporte coletivo com um todobenchmarking</v>
      </c>
    </row>
    <row r="2116" spans="1:56" s="1" customFormat="1" ht="51" x14ac:dyDescent="0.25">
      <c r="A2116" s="275" t="str">
        <f>'Q100b-totais'!$B$62</f>
        <v>8.10</v>
      </c>
      <c r="B2116" s="54" t="str">
        <f>'Q100b-totais'!$C$62</f>
        <v>Sistema de transporte coletivo com um todo</v>
      </c>
      <c r="C2116" s="229" t="s">
        <v>432</v>
      </c>
      <c r="D2116" s="1385" t="s">
        <v>4827</v>
      </c>
      <c r="E2116" s="1445" t="s">
        <v>1769</v>
      </c>
      <c r="F2116" s="1374" t="s">
        <v>5007</v>
      </c>
      <c r="G2116" s="416" t="s">
        <v>77</v>
      </c>
      <c r="H2116" s="173" t="s">
        <v>819</v>
      </c>
      <c r="I2116" s="167" t="s">
        <v>3426</v>
      </c>
      <c r="J2116" s="343" t="s">
        <v>432</v>
      </c>
      <c r="K2116" s="343" t="s">
        <v>432</v>
      </c>
      <c r="L2116" s="343" t="s">
        <v>432</v>
      </c>
      <c r="M2116" s="343" t="s">
        <v>432</v>
      </c>
      <c r="N2116" s="343" t="s">
        <v>432</v>
      </c>
      <c r="O2116" s="343" t="s">
        <v>432</v>
      </c>
      <c r="P2116" s="343" t="s">
        <v>432</v>
      </c>
      <c r="Q2116" s="343" t="s">
        <v>432</v>
      </c>
      <c r="R2116" s="343" t="s">
        <v>432</v>
      </c>
      <c r="S2116" s="109" t="s">
        <v>2209</v>
      </c>
      <c r="T2116" s="343" t="s">
        <v>432</v>
      </c>
      <c r="U2116" s="343" t="s">
        <v>432</v>
      </c>
      <c r="V2116" s="109" t="s">
        <v>2209</v>
      </c>
      <c r="W2116" s="343" t="s">
        <v>432</v>
      </c>
      <c r="X2116" s="343" t="s">
        <v>432</v>
      </c>
      <c r="Y2116" s="343" t="s">
        <v>432</v>
      </c>
      <c r="Z2116" s="343" t="s">
        <v>432</v>
      </c>
      <c r="AA2116" s="343" t="s">
        <v>432</v>
      </c>
      <c r="AB2116" s="343" t="s">
        <v>432</v>
      </c>
      <c r="AC2116" s="343" t="s">
        <v>432</v>
      </c>
      <c r="AD2116" s="343" t="s">
        <v>432</v>
      </c>
      <c r="AE2116" s="343" t="s">
        <v>432</v>
      </c>
      <c r="AF2116" s="343" t="s">
        <v>432</v>
      </c>
      <c r="AG2116" s="343" t="s">
        <v>432</v>
      </c>
      <c r="AH2116" s="343" t="s">
        <v>432</v>
      </c>
      <c r="AI2116" s="343" t="s">
        <v>432</v>
      </c>
      <c r="AJ2116" s="343" t="s">
        <v>432</v>
      </c>
      <c r="AK2116" s="1375">
        <v>0.91</v>
      </c>
      <c r="AL2116" s="601" t="s">
        <v>432</v>
      </c>
      <c r="AM2116" s="395" t="s">
        <v>432</v>
      </c>
      <c r="AN2116" s="395" t="s">
        <v>432</v>
      </c>
      <c r="AO2116" s="395" t="s">
        <v>432</v>
      </c>
      <c r="AP2116" s="395" t="s">
        <v>432</v>
      </c>
      <c r="AQ2116" s="395" t="s">
        <v>432</v>
      </c>
      <c r="AR2116" s="395" t="s">
        <v>432</v>
      </c>
      <c r="AS2116" s="395" t="s">
        <v>432</v>
      </c>
      <c r="AT2116" s="395" t="s">
        <v>432</v>
      </c>
      <c r="AU2116" s="395" t="s">
        <v>432</v>
      </c>
      <c r="AV2116" s="395" t="s">
        <v>432</v>
      </c>
      <c r="AW2116" s="395" t="s">
        <v>432</v>
      </c>
      <c r="AX2116" s="395" t="s">
        <v>432</v>
      </c>
      <c r="AY2116" s="395" t="s">
        <v>432</v>
      </c>
      <c r="AZ2116" s="395" t="s">
        <v>432</v>
      </c>
      <c r="BA2116" s="395" t="s">
        <v>432</v>
      </c>
      <c r="BB2116" s="396" t="str">
        <f t="shared" si="599"/>
        <v>Sistema de transporte coletivo com um todox</v>
      </c>
      <c r="BC2116" s="396" t="str">
        <f t="shared" si="600"/>
        <v>Sistema de transporte coletivo com um todoxbenchmarking</v>
      </c>
      <c r="BD2116" s="396" t="str">
        <f t="shared" si="601"/>
        <v>Sistema de transporte coletivo com um todobenchmarking</v>
      </c>
    </row>
    <row r="2117" spans="1:56" s="1" customFormat="1" ht="51" x14ac:dyDescent="0.25">
      <c r="A2117" s="275" t="str">
        <f>'Q100b-totais'!$B$62</f>
        <v>8.10</v>
      </c>
      <c r="B2117" s="54" t="str">
        <f>'Q100b-totais'!$C$62</f>
        <v>Sistema de transporte coletivo com um todo</v>
      </c>
      <c r="C2117" s="229" t="s">
        <v>432</v>
      </c>
      <c r="D2117" s="1386" t="s">
        <v>4827</v>
      </c>
      <c r="E2117" s="1445" t="s">
        <v>5025</v>
      </c>
      <c r="F2117" s="1374" t="s">
        <v>5026</v>
      </c>
      <c r="G2117" s="416" t="s">
        <v>77</v>
      </c>
      <c r="H2117" s="173" t="s">
        <v>819</v>
      </c>
      <c r="I2117" s="167" t="s">
        <v>3426</v>
      </c>
      <c r="J2117" s="343" t="s">
        <v>432</v>
      </c>
      <c r="K2117" s="343" t="s">
        <v>432</v>
      </c>
      <c r="L2117" s="343" t="s">
        <v>432</v>
      </c>
      <c r="M2117" s="343" t="s">
        <v>432</v>
      </c>
      <c r="N2117" s="343" t="s">
        <v>432</v>
      </c>
      <c r="O2117" s="343" t="s">
        <v>432</v>
      </c>
      <c r="P2117" s="343" t="s">
        <v>432</v>
      </c>
      <c r="Q2117" s="343" t="s">
        <v>432</v>
      </c>
      <c r="R2117" s="343" t="s">
        <v>432</v>
      </c>
      <c r="S2117" s="109" t="s">
        <v>2209</v>
      </c>
      <c r="T2117" s="343" t="s">
        <v>432</v>
      </c>
      <c r="U2117" s="343" t="s">
        <v>432</v>
      </c>
      <c r="V2117" s="109" t="s">
        <v>2209</v>
      </c>
      <c r="W2117" s="343" t="s">
        <v>432</v>
      </c>
      <c r="X2117" s="343" t="s">
        <v>432</v>
      </c>
      <c r="Y2117" s="343" t="s">
        <v>432</v>
      </c>
      <c r="Z2117" s="343" t="s">
        <v>432</v>
      </c>
      <c r="AA2117" s="343" t="s">
        <v>432</v>
      </c>
      <c r="AB2117" s="343" t="s">
        <v>432</v>
      </c>
      <c r="AC2117" s="343" t="s">
        <v>432</v>
      </c>
      <c r="AD2117" s="343" t="s">
        <v>432</v>
      </c>
      <c r="AE2117" s="343" t="s">
        <v>432</v>
      </c>
      <c r="AF2117" s="343" t="s">
        <v>432</v>
      </c>
      <c r="AG2117" s="343" t="s">
        <v>432</v>
      </c>
      <c r="AH2117" s="343" t="s">
        <v>432</v>
      </c>
      <c r="AI2117" s="343" t="s">
        <v>432</v>
      </c>
      <c r="AJ2117" s="343" t="s">
        <v>432</v>
      </c>
      <c r="AK2117" s="1375">
        <v>0.24</v>
      </c>
      <c r="AL2117" s="601" t="s">
        <v>432</v>
      </c>
      <c r="AM2117" s="395" t="s">
        <v>432</v>
      </c>
      <c r="AN2117" s="395" t="s">
        <v>432</v>
      </c>
      <c r="AO2117" s="395" t="s">
        <v>432</v>
      </c>
      <c r="AP2117" s="395" t="s">
        <v>432</v>
      </c>
      <c r="AQ2117" s="395" t="s">
        <v>432</v>
      </c>
      <c r="AR2117" s="395" t="s">
        <v>432</v>
      </c>
      <c r="AS2117" s="395" t="s">
        <v>432</v>
      </c>
      <c r="AT2117" s="395" t="s">
        <v>432</v>
      </c>
      <c r="AU2117" s="395" t="s">
        <v>432</v>
      </c>
      <c r="AV2117" s="395" t="s">
        <v>432</v>
      </c>
      <c r="AW2117" s="395" t="s">
        <v>432</v>
      </c>
      <c r="AX2117" s="395" t="s">
        <v>432</v>
      </c>
      <c r="AY2117" s="395" t="s">
        <v>432</v>
      </c>
      <c r="AZ2117" s="395" t="s">
        <v>432</v>
      </c>
      <c r="BA2117" s="395" t="s">
        <v>432</v>
      </c>
      <c r="BB2117" s="396" t="str">
        <f t="shared" si="599"/>
        <v>Sistema de transporte coletivo com um todox</v>
      </c>
      <c r="BC2117" s="396" t="str">
        <f t="shared" si="600"/>
        <v>Sistema de transporte coletivo com um todoxbenchmarking</v>
      </c>
      <c r="BD2117" s="396" t="str">
        <f t="shared" si="601"/>
        <v>Sistema de transporte coletivo com um todobenchmarking</v>
      </c>
    </row>
    <row r="2118" spans="1:56" s="1" customFormat="1" ht="51" x14ac:dyDescent="0.25">
      <c r="A2118" s="275" t="str">
        <f>'Q100b-totais'!$B$62</f>
        <v>8.10</v>
      </c>
      <c r="B2118" s="54" t="str">
        <f>'Q100b-totais'!$C$62</f>
        <v>Sistema de transporte coletivo com um todo</v>
      </c>
      <c r="C2118" s="229" t="s">
        <v>432</v>
      </c>
      <c r="D2118" s="1379" t="s">
        <v>4827</v>
      </c>
      <c r="E2118" s="1445" t="s">
        <v>3292</v>
      </c>
      <c r="F2118" s="1374" t="s">
        <v>5001</v>
      </c>
      <c r="G2118" s="416" t="s">
        <v>77</v>
      </c>
      <c r="H2118" s="173" t="s">
        <v>819</v>
      </c>
      <c r="I2118" s="167" t="s">
        <v>4977</v>
      </c>
      <c r="J2118" s="343" t="s">
        <v>432</v>
      </c>
      <c r="K2118" s="343" t="s">
        <v>432</v>
      </c>
      <c r="L2118" s="343" t="s">
        <v>432</v>
      </c>
      <c r="M2118" s="343" t="s">
        <v>432</v>
      </c>
      <c r="N2118" s="343" t="s">
        <v>432</v>
      </c>
      <c r="O2118" s="343" t="s">
        <v>432</v>
      </c>
      <c r="P2118" s="343" t="s">
        <v>432</v>
      </c>
      <c r="Q2118" s="343" t="s">
        <v>432</v>
      </c>
      <c r="R2118" s="343" t="s">
        <v>432</v>
      </c>
      <c r="S2118" s="109" t="s">
        <v>2209</v>
      </c>
      <c r="T2118" s="343" t="s">
        <v>432</v>
      </c>
      <c r="U2118" s="343" t="s">
        <v>432</v>
      </c>
      <c r="V2118" s="109" t="s">
        <v>2209</v>
      </c>
      <c r="W2118" s="343" t="s">
        <v>432</v>
      </c>
      <c r="X2118" s="343" t="s">
        <v>432</v>
      </c>
      <c r="Y2118" s="343" t="s">
        <v>432</v>
      </c>
      <c r="Z2118" s="343" t="s">
        <v>432</v>
      </c>
      <c r="AA2118" s="343" t="s">
        <v>432</v>
      </c>
      <c r="AB2118" s="343" t="s">
        <v>432</v>
      </c>
      <c r="AC2118" s="343" t="s">
        <v>432</v>
      </c>
      <c r="AD2118" s="343" t="s">
        <v>432</v>
      </c>
      <c r="AE2118" s="343" t="s">
        <v>432</v>
      </c>
      <c r="AF2118" s="343" t="s">
        <v>432</v>
      </c>
      <c r="AG2118" s="343" t="s">
        <v>432</v>
      </c>
      <c r="AH2118" s="343" t="s">
        <v>432</v>
      </c>
      <c r="AI2118" s="343" t="s">
        <v>432</v>
      </c>
      <c r="AJ2118" s="343" t="s">
        <v>432</v>
      </c>
      <c r="AK2118" s="1375">
        <v>0.92</v>
      </c>
      <c r="AL2118" s="601" t="s">
        <v>432</v>
      </c>
      <c r="AM2118" s="395" t="s">
        <v>432</v>
      </c>
      <c r="AN2118" s="395" t="s">
        <v>432</v>
      </c>
      <c r="AO2118" s="395" t="s">
        <v>432</v>
      </c>
      <c r="AP2118" s="395" t="s">
        <v>432</v>
      </c>
      <c r="AQ2118" s="395" t="s">
        <v>432</v>
      </c>
      <c r="AR2118" s="395" t="s">
        <v>432</v>
      </c>
      <c r="AS2118" s="395" t="s">
        <v>432</v>
      </c>
      <c r="AT2118" s="395" t="s">
        <v>432</v>
      </c>
      <c r="AU2118" s="395" t="s">
        <v>432</v>
      </c>
      <c r="AV2118" s="395" t="s">
        <v>432</v>
      </c>
      <c r="AW2118" s="395" t="s">
        <v>432</v>
      </c>
      <c r="AX2118" s="395" t="s">
        <v>432</v>
      </c>
      <c r="AY2118" s="395" t="s">
        <v>432</v>
      </c>
      <c r="AZ2118" s="395" t="s">
        <v>432</v>
      </c>
      <c r="BA2118" s="395" t="s">
        <v>432</v>
      </c>
      <c r="BB2118" s="396" t="str">
        <f t="shared" si="599"/>
        <v>Sistema de transporte coletivo com um todox</v>
      </c>
      <c r="BC2118" s="396" t="str">
        <f t="shared" si="600"/>
        <v>Sistema de transporte coletivo com um todoxbenchmarking</v>
      </c>
      <c r="BD2118" s="396" t="str">
        <f t="shared" si="601"/>
        <v>Sistema de transporte coletivo com um todobenchmarking</v>
      </c>
    </row>
    <row r="2119" spans="1:56" s="1" customFormat="1" ht="51" x14ac:dyDescent="0.25">
      <c r="A2119" s="275" t="str">
        <f>'Q100b-totais'!$B$62</f>
        <v>8.10</v>
      </c>
      <c r="B2119" s="54" t="str">
        <f>'Q100b-totais'!$C$62</f>
        <v>Sistema de transporte coletivo com um todo</v>
      </c>
      <c r="C2119" s="229" t="s">
        <v>432</v>
      </c>
      <c r="D2119" s="1384" t="s">
        <v>4827</v>
      </c>
      <c r="E2119" s="1445" t="s">
        <v>4996</v>
      </c>
      <c r="F2119" s="1374" t="s">
        <v>5002</v>
      </c>
      <c r="G2119" s="416" t="s">
        <v>77</v>
      </c>
      <c r="H2119" s="173" t="s">
        <v>819</v>
      </c>
      <c r="I2119" s="167" t="s">
        <v>3426</v>
      </c>
      <c r="J2119" s="343" t="s">
        <v>432</v>
      </c>
      <c r="K2119" s="343" t="s">
        <v>432</v>
      </c>
      <c r="L2119" s="343" t="s">
        <v>432</v>
      </c>
      <c r="M2119" s="343" t="s">
        <v>432</v>
      </c>
      <c r="N2119" s="343" t="s">
        <v>432</v>
      </c>
      <c r="O2119" s="343" t="s">
        <v>432</v>
      </c>
      <c r="P2119" s="343" t="s">
        <v>432</v>
      </c>
      <c r="Q2119" s="343" t="s">
        <v>432</v>
      </c>
      <c r="R2119" s="343" t="s">
        <v>432</v>
      </c>
      <c r="S2119" s="109" t="s">
        <v>2209</v>
      </c>
      <c r="T2119" s="343" t="s">
        <v>432</v>
      </c>
      <c r="U2119" s="343" t="s">
        <v>432</v>
      </c>
      <c r="V2119" s="109" t="s">
        <v>2209</v>
      </c>
      <c r="W2119" s="343" t="s">
        <v>432</v>
      </c>
      <c r="X2119" s="343" t="s">
        <v>432</v>
      </c>
      <c r="Y2119" s="343" t="s">
        <v>432</v>
      </c>
      <c r="Z2119" s="343" t="s">
        <v>432</v>
      </c>
      <c r="AA2119" s="343" t="s">
        <v>432</v>
      </c>
      <c r="AB2119" s="343" t="s">
        <v>432</v>
      </c>
      <c r="AC2119" s="343" t="s">
        <v>432</v>
      </c>
      <c r="AD2119" s="343" t="s">
        <v>432</v>
      </c>
      <c r="AE2119" s="343" t="s">
        <v>432</v>
      </c>
      <c r="AF2119" s="343" t="s">
        <v>432</v>
      </c>
      <c r="AG2119" s="343" t="s">
        <v>432</v>
      </c>
      <c r="AH2119" s="343" t="s">
        <v>432</v>
      </c>
      <c r="AI2119" s="343" t="s">
        <v>432</v>
      </c>
      <c r="AJ2119" s="343" t="s">
        <v>432</v>
      </c>
      <c r="AK2119" s="1375">
        <v>0.46</v>
      </c>
      <c r="AL2119" s="601" t="s">
        <v>432</v>
      </c>
      <c r="AM2119" s="395" t="s">
        <v>432</v>
      </c>
      <c r="AN2119" s="395" t="s">
        <v>432</v>
      </c>
      <c r="AO2119" s="395" t="s">
        <v>432</v>
      </c>
      <c r="AP2119" s="395" t="s">
        <v>432</v>
      </c>
      <c r="AQ2119" s="395" t="s">
        <v>432</v>
      </c>
      <c r="AR2119" s="395" t="s">
        <v>432</v>
      </c>
      <c r="AS2119" s="395" t="s">
        <v>432</v>
      </c>
      <c r="AT2119" s="395" t="s">
        <v>432</v>
      </c>
      <c r="AU2119" s="395" t="s">
        <v>432</v>
      </c>
      <c r="AV2119" s="395" t="s">
        <v>432</v>
      </c>
      <c r="AW2119" s="395" t="s">
        <v>432</v>
      </c>
      <c r="AX2119" s="395" t="s">
        <v>432</v>
      </c>
      <c r="AY2119" s="395" t="s">
        <v>432</v>
      </c>
      <c r="AZ2119" s="395" t="s">
        <v>432</v>
      </c>
      <c r="BA2119" s="395" t="s">
        <v>432</v>
      </c>
      <c r="BB2119" s="396" t="str">
        <f t="shared" si="599"/>
        <v>Sistema de transporte coletivo com um todox</v>
      </c>
      <c r="BC2119" s="396" t="str">
        <f t="shared" si="600"/>
        <v>Sistema de transporte coletivo com um todoxbenchmarking</v>
      </c>
      <c r="BD2119" s="396" t="str">
        <f t="shared" si="601"/>
        <v>Sistema de transporte coletivo com um todobenchmarking</v>
      </c>
    </row>
    <row r="2120" spans="1:56" s="1" customFormat="1" ht="51" x14ac:dyDescent="0.25">
      <c r="A2120" s="275" t="str">
        <f>'Q100b-totais'!$B$62</f>
        <v>8.10</v>
      </c>
      <c r="B2120" s="54" t="str">
        <f>'Q100b-totais'!$C$62</f>
        <v>Sistema de transporte coletivo com um todo</v>
      </c>
      <c r="C2120" s="229" t="s">
        <v>432</v>
      </c>
      <c r="D2120" s="1384" t="s">
        <v>4827</v>
      </c>
      <c r="E2120" s="1445" t="s">
        <v>2273</v>
      </c>
      <c r="F2120" s="1374" t="s">
        <v>4998</v>
      </c>
      <c r="G2120" s="416" t="s">
        <v>77</v>
      </c>
      <c r="H2120" s="173" t="s">
        <v>819</v>
      </c>
      <c r="I2120" s="167" t="s">
        <v>3426</v>
      </c>
      <c r="J2120" s="343" t="s">
        <v>432</v>
      </c>
      <c r="K2120" s="343" t="s">
        <v>432</v>
      </c>
      <c r="L2120" s="343" t="s">
        <v>432</v>
      </c>
      <c r="M2120" s="343" t="s">
        <v>432</v>
      </c>
      <c r="N2120" s="343" t="s">
        <v>432</v>
      </c>
      <c r="O2120" s="343" t="s">
        <v>432</v>
      </c>
      <c r="P2120" s="343" t="s">
        <v>432</v>
      </c>
      <c r="Q2120" s="343" t="s">
        <v>432</v>
      </c>
      <c r="R2120" s="343" t="s">
        <v>432</v>
      </c>
      <c r="S2120" s="109" t="s">
        <v>2209</v>
      </c>
      <c r="T2120" s="343" t="s">
        <v>432</v>
      </c>
      <c r="U2120" s="343" t="s">
        <v>432</v>
      </c>
      <c r="V2120" s="109" t="s">
        <v>2209</v>
      </c>
      <c r="W2120" s="343" t="s">
        <v>432</v>
      </c>
      <c r="X2120" s="343" t="s">
        <v>432</v>
      </c>
      <c r="Y2120" s="343" t="s">
        <v>432</v>
      </c>
      <c r="Z2120" s="343" t="s">
        <v>432</v>
      </c>
      <c r="AA2120" s="343" t="s">
        <v>432</v>
      </c>
      <c r="AB2120" s="343" t="s">
        <v>432</v>
      </c>
      <c r="AC2120" s="343" t="s">
        <v>432</v>
      </c>
      <c r="AD2120" s="343" t="s">
        <v>432</v>
      </c>
      <c r="AE2120" s="343" t="s">
        <v>432</v>
      </c>
      <c r="AF2120" s="343" t="s">
        <v>432</v>
      </c>
      <c r="AG2120" s="343" t="s">
        <v>432</v>
      </c>
      <c r="AH2120" s="343" t="s">
        <v>432</v>
      </c>
      <c r="AI2120" s="343" t="s">
        <v>432</v>
      </c>
      <c r="AJ2120" s="343" t="s">
        <v>432</v>
      </c>
      <c r="AK2120" s="1375">
        <v>0.47</v>
      </c>
      <c r="AL2120" s="601" t="s">
        <v>432</v>
      </c>
      <c r="AM2120" s="395" t="s">
        <v>432</v>
      </c>
      <c r="AN2120" s="395" t="s">
        <v>432</v>
      </c>
      <c r="AO2120" s="395" t="s">
        <v>432</v>
      </c>
      <c r="AP2120" s="395" t="s">
        <v>432</v>
      </c>
      <c r="AQ2120" s="395" t="s">
        <v>432</v>
      </c>
      <c r="AR2120" s="395" t="s">
        <v>432</v>
      </c>
      <c r="AS2120" s="395" t="s">
        <v>432</v>
      </c>
      <c r="AT2120" s="395" t="s">
        <v>432</v>
      </c>
      <c r="AU2120" s="395" t="s">
        <v>432</v>
      </c>
      <c r="AV2120" s="395" t="s">
        <v>432</v>
      </c>
      <c r="AW2120" s="395" t="s">
        <v>432</v>
      </c>
      <c r="AX2120" s="395" t="s">
        <v>432</v>
      </c>
      <c r="AY2120" s="395" t="s">
        <v>432</v>
      </c>
      <c r="AZ2120" s="395" t="s">
        <v>432</v>
      </c>
      <c r="BA2120" s="395" t="s">
        <v>432</v>
      </c>
      <c r="BB2120" s="396" t="str">
        <f t="shared" si="599"/>
        <v>Sistema de transporte coletivo com um todox</v>
      </c>
      <c r="BC2120" s="396" t="str">
        <f t="shared" si="600"/>
        <v>Sistema de transporte coletivo com um todoxbenchmarking</v>
      </c>
      <c r="BD2120" s="396" t="str">
        <f t="shared" si="601"/>
        <v>Sistema de transporte coletivo com um todobenchmarking</v>
      </c>
    </row>
    <row r="2121" spans="1:56" s="1" customFormat="1" ht="51" x14ac:dyDescent="0.25">
      <c r="A2121" s="275" t="str">
        <f>'Q100b-totais'!$B$62</f>
        <v>8.10</v>
      </c>
      <c r="B2121" s="54" t="str">
        <f>'Q100b-totais'!$C$62</f>
        <v>Sistema de transporte coletivo com um todo</v>
      </c>
      <c r="C2121" s="229" t="s">
        <v>432</v>
      </c>
      <c r="D2121" s="1385" t="s">
        <v>4827</v>
      </c>
      <c r="E2121" s="1445" t="s">
        <v>1770</v>
      </c>
      <c r="F2121" s="1374" t="s">
        <v>5010</v>
      </c>
      <c r="G2121" s="416" t="s">
        <v>77</v>
      </c>
      <c r="H2121" s="173" t="s">
        <v>819</v>
      </c>
      <c r="I2121" s="167" t="s">
        <v>3426</v>
      </c>
      <c r="J2121" s="343" t="s">
        <v>432</v>
      </c>
      <c r="K2121" s="343" t="s">
        <v>432</v>
      </c>
      <c r="L2121" s="343" t="s">
        <v>432</v>
      </c>
      <c r="M2121" s="343" t="s">
        <v>432</v>
      </c>
      <c r="N2121" s="343" t="s">
        <v>432</v>
      </c>
      <c r="O2121" s="343" t="s">
        <v>432</v>
      </c>
      <c r="P2121" s="343" t="s">
        <v>432</v>
      </c>
      <c r="Q2121" s="343" t="s">
        <v>432</v>
      </c>
      <c r="R2121" s="343" t="s">
        <v>432</v>
      </c>
      <c r="S2121" s="109" t="s">
        <v>2209</v>
      </c>
      <c r="T2121" s="343" t="s">
        <v>432</v>
      </c>
      <c r="U2121" s="343" t="s">
        <v>432</v>
      </c>
      <c r="V2121" s="109" t="s">
        <v>2209</v>
      </c>
      <c r="W2121" s="343" t="s">
        <v>432</v>
      </c>
      <c r="X2121" s="343" t="s">
        <v>432</v>
      </c>
      <c r="Y2121" s="343" t="s">
        <v>432</v>
      </c>
      <c r="Z2121" s="343" t="s">
        <v>432</v>
      </c>
      <c r="AA2121" s="343" t="s">
        <v>432</v>
      </c>
      <c r="AB2121" s="343" t="s">
        <v>432</v>
      </c>
      <c r="AC2121" s="343" t="s">
        <v>432</v>
      </c>
      <c r="AD2121" s="343" t="s">
        <v>432</v>
      </c>
      <c r="AE2121" s="343" t="s">
        <v>432</v>
      </c>
      <c r="AF2121" s="343" t="s">
        <v>432</v>
      </c>
      <c r="AG2121" s="343" t="s">
        <v>432</v>
      </c>
      <c r="AH2121" s="343" t="s">
        <v>432</v>
      </c>
      <c r="AI2121" s="343" t="s">
        <v>432</v>
      </c>
      <c r="AJ2121" s="343" t="s">
        <v>432</v>
      </c>
      <c r="AK2121" s="1375">
        <v>0.77</v>
      </c>
      <c r="AL2121" s="601" t="s">
        <v>432</v>
      </c>
      <c r="AM2121" s="395" t="s">
        <v>432</v>
      </c>
      <c r="AN2121" s="395" t="s">
        <v>432</v>
      </c>
      <c r="AO2121" s="395" t="s">
        <v>432</v>
      </c>
      <c r="AP2121" s="395" t="s">
        <v>432</v>
      </c>
      <c r="AQ2121" s="395" t="s">
        <v>432</v>
      </c>
      <c r="AR2121" s="395" t="s">
        <v>432</v>
      </c>
      <c r="AS2121" s="395" t="s">
        <v>432</v>
      </c>
      <c r="AT2121" s="395" t="s">
        <v>432</v>
      </c>
      <c r="AU2121" s="395" t="s">
        <v>432</v>
      </c>
      <c r="AV2121" s="395" t="s">
        <v>432</v>
      </c>
      <c r="AW2121" s="395" t="s">
        <v>432</v>
      </c>
      <c r="AX2121" s="395" t="s">
        <v>432</v>
      </c>
      <c r="AY2121" s="395" t="s">
        <v>432</v>
      </c>
      <c r="AZ2121" s="395" t="s">
        <v>432</v>
      </c>
      <c r="BA2121" s="395" t="s">
        <v>432</v>
      </c>
      <c r="BB2121" s="396" t="str">
        <f t="shared" si="599"/>
        <v>Sistema de transporte coletivo com um todox</v>
      </c>
      <c r="BC2121" s="396" t="str">
        <f t="shared" si="600"/>
        <v>Sistema de transporte coletivo com um todoxbenchmarking</v>
      </c>
      <c r="BD2121" s="396" t="str">
        <f t="shared" si="601"/>
        <v>Sistema de transporte coletivo com um todobenchmarking</v>
      </c>
    </row>
    <row r="2122" spans="1:56" s="1" customFormat="1" ht="51" x14ac:dyDescent="0.25">
      <c r="A2122" s="275" t="str">
        <f>'Q100b-totais'!$B$62</f>
        <v>8.10</v>
      </c>
      <c r="B2122" s="54" t="str">
        <f>'Q100b-totais'!$C$62</f>
        <v>Sistema de transporte coletivo com um todo</v>
      </c>
      <c r="C2122" s="229" t="s">
        <v>432</v>
      </c>
      <c r="D2122" s="1379" t="s">
        <v>4827</v>
      </c>
      <c r="E2122" s="1445" t="s">
        <v>3295</v>
      </c>
      <c r="F2122" s="1374" t="s">
        <v>5003</v>
      </c>
      <c r="G2122" s="416" t="s">
        <v>77</v>
      </c>
      <c r="H2122" s="173" t="s">
        <v>819</v>
      </c>
      <c r="I2122" s="167" t="s">
        <v>4977</v>
      </c>
      <c r="J2122" s="343" t="s">
        <v>432</v>
      </c>
      <c r="K2122" s="343" t="s">
        <v>432</v>
      </c>
      <c r="L2122" s="343" t="s">
        <v>432</v>
      </c>
      <c r="M2122" s="343" t="s">
        <v>432</v>
      </c>
      <c r="N2122" s="343" t="s">
        <v>432</v>
      </c>
      <c r="O2122" s="343" t="s">
        <v>432</v>
      </c>
      <c r="P2122" s="343" t="s">
        <v>432</v>
      </c>
      <c r="Q2122" s="343" t="s">
        <v>432</v>
      </c>
      <c r="R2122" s="343" t="s">
        <v>432</v>
      </c>
      <c r="S2122" s="109" t="s">
        <v>2209</v>
      </c>
      <c r="T2122" s="343" t="s">
        <v>432</v>
      </c>
      <c r="U2122" s="343" t="s">
        <v>432</v>
      </c>
      <c r="V2122" s="109" t="s">
        <v>2209</v>
      </c>
      <c r="W2122" s="343" t="s">
        <v>432</v>
      </c>
      <c r="X2122" s="343" t="s">
        <v>432</v>
      </c>
      <c r="Y2122" s="343" t="s">
        <v>432</v>
      </c>
      <c r="Z2122" s="343" t="s">
        <v>432</v>
      </c>
      <c r="AA2122" s="343" t="s">
        <v>432</v>
      </c>
      <c r="AB2122" s="343" t="s">
        <v>432</v>
      </c>
      <c r="AC2122" s="343" t="s">
        <v>432</v>
      </c>
      <c r="AD2122" s="343" t="s">
        <v>432</v>
      </c>
      <c r="AE2122" s="343" t="s">
        <v>432</v>
      </c>
      <c r="AF2122" s="343" t="s">
        <v>432</v>
      </c>
      <c r="AG2122" s="343" t="s">
        <v>432</v>
      </c>
      <c r="AH2122" s="343" t="s">
        <v>432</v>
      </c>
      <c r="AI2122" s="343" t="s">
        <v>432</v>
      </c>
      <c r="AJ2122" s="343" t="s">
        <v>432</v>
      </c>
      <c r="AK2122" s="1375">
        <v>1</v>
      </c>
      <c r="AL2122" s="601" t="s">
        <v>432</v>
      </c>
      <c r="AM2122" s="395" t="s">
        <v>432</v>
      </c>
      <c r="AN2122" s="395" t="s">
        <v>432</v>
      </c>
      <c r="AO2122" s="395" t="s">
        <v>432</v>
      </c>
      <c r="AP2122" s="395" t="s">
        <v>432</v>
      </c>
      <c r="AQ2122" s="395" t="s">
        <v>432</v>
      </c>
      <c r="AR2122" s="395" t="s">
        <v>432</v>
      </c>
      <c r="AS2122" s="395" t="s">
        <v>432</v>
      </c>
      <c r="AT2122" s="395" t="s">
        <v>432</v>
      </c>
      <c r="AU2122" s="395" t="s">
        <v>432</v>
      </c>
      <c r="AV2122" s="395" t="s">
        <v>432</v>
      </c>
      <c r="AW2122" s="395" t="s">
        <v>432</v>
      </c>
      <c r="AX2122" s="395" t="s">
        <v>432</v>
      </c>
      <c r="AY2122" s="395" t="s">
        <v>432</v>
      </c>
      <c r="AZ2122" s="395" t="s">
        <v>432</v>
      </c>
      <c r="BA2122" s="395" t="s">
        <v>432</v>
      </c>
      <c r="BB2122" s="396" t="str">
        <f t="shared" si="599"/>
        <v>Sistema de transporte coletivo com um todox</v>
      </c>
      <c r="BC2122" s="396" t="str">
        <f t="shared" si="600"/>
        <v>Sistema de transporte coletivo com um todoxbenchmarking</v>
      </c>
      <c r="BD2122" s="396" t="str">
        <f t="shared" si="601"/>
        <v>Sistema de transporte coletivo com um todobenchmarking</v>
      </c>
    </row>
    <row r="2123" spans="1:56" s="1" customFormat="1" ht="51" x14ac:dyDescent="0.25">
      <c r="A2123" s="275" t="str">
        <f>'Q100b-totais'!$B$62</f>
        <v>8.10</v>
      </c>
      <c r="B2123" s="54" t="str">
        <f>'Q100b-totais'!$C$62</f>
        <v>Sistema de transporte coletivo com um todo</v>
      </c>
      <c r="C2123" s="229" t="s">
        <v>432</v>
      </c>
      <c r="D2123" s="1384" t="s">
        <v>4827</v>
      </c>
      <c r="E2123" s="1445" t="s">
        <v>4995</v>
      </c>
      <c r="F2123" s="1374" t="s">
        <v>5004</v>
      </c>
      <c r="G2123" s="416" t="s">
        <v>77</v>
      </c>
      <c r="H2123" s="173" t="s">
        <v>819</v>
      </c>
      <c r="I2123" s="167" t="s">
        <v>3426</v>
      </c>
      <c r="J2123" s="343" t="s">
        <v>432</v>
      </c>
      <c r="K2123" s="343" t="s">
        <v>432</v>
      </c>
      <c r="L2123" s="343" t="s">
        <v>432</v>
      </c>
      <c r="M2123" s="343" t="s">
        <v>432</v>
      </c>
      <c r="N2123" s="343" t="s">
        <v>432</v>
      </c>
      <c r="O2123" s="343" t="s">
        <v>432</v>
      </c>
      <c r="P2123" s="343" t="s">
        <v>432</v>
      </c>
      <c r="Q2123" s="343" t="s">
        <v>432</v>
      </c>
      <c r="R2123" s="343" t="s">
        <v>432</v>
      </c>
      <c r="S2123" s="109" t="s">
        <v>2209</v>
      </c>
      <c r="T2123" s="343" t="s">
        <v>432</v>
      </c>
      <c r="U2123" s="343" t="s">
        <v>432</v>
      </c>
      <c r="V2123" s="109" t="s">
        <v>2209</v>
      </c>
      <c r="W2123" s="343" t="s">
        <v>432</v>
      </c>
      <c r="X2123" s="343" t="s">
        <v>432</v>
      </c>
      <c r="Y2123" s="343" t="s">
        <v>432</v>
      </c>
      <c r="Z2123" s="343" t="s">
        <v>432</v>
      </c>
      <c r="AA2123" s="343" t="s">
        <v>432</v>
      </c>
      <c r="AB2123" s="343" t="s">
        <v>432</v>
      </c>
      <c r="AC2123" s="343" t="s">
        <v>432</v>
      </c>
      <c r="AD2123" s="343" t="s">
        <v>432</v>
      </c>
      <c r="AE2123" s="343" t="s">
        <v>432</v>
      </c>
      <c r="AF2123" s="343" t="s">
        <v>432</v>
      </c>
      <c r="AG2123" s="343" t="s">
        <v>432</v>
      </c>
      <c r="AH2123" s="343" t="s">
        <v>432</v>
      </c>
      <c r="AI2123" s="343" t="s">
        <v>432</v>
      </c>
      <c r="AJ2123" s="343" t="s">
        <v>432</v>
      </c>
      <c r="AK2123" s="1375">
        <v>0.6</v>
      </c>
      <c r="AL2123" s="601" t="s">
        <v>432</v>
      </c>
      <c r="AM2123" s="395" t="s">
        <v>432</v>
      </c>
      <c r="AN2123" s="395" t="s">
        <v>432</v>
      </c>
      <c r="AO2123" s="395" t="s">
        <v>432</v>
      </c>
      <c r="AP2123" s="395" t="s">
        <v>432</v>
      </c>
      <c r="AQ2123" s="395" t="s">
        <v>432</v>
      </c>
      <c r="AR2123" s="395" t="s">
        <v>432</v>
      </c>
      <c r="AS2123" s="395" t="s">
        <v>432</v>
      </c>
      <c r="AT2123" s="395" t="s">
        <v>432</v>
      </c>
      <c r="AU2123" s="395" t="s">
        <v>432</v>
      </c>
      <c r="AV2123" s="395" t="s">
        <v>432</v>
      </c>
      <c r="AW2123" s="395" t="s">
        <v>432</v>
      </c>
      <c r="AX2123" s="395" t="s">
        <v>432</v>
      </c>
      <c r="AY2123" s="395" t="s">
        <v>432</v>
      </c>
      <c r="AZ2123" s="395" t="s">
        <v>432</v>
      </c>
      <c r="BA2123" s="395" t="s">
        <v>432</v>
      </c>
      <c r="BB2123" s="396" t="str">
        <f t="shared" si="599"/>
        <v>Sistema de transporte coletivo com um todox</v>
      </c>
      <c r="BC2123" s="396" t="str">
        <f t="shared" si="600"/>
        <v>Sistema de transporte coletivo com um todoxbenchmarking</v>
      </c>
      <c r="BD2123" s="396" t="str">
        <f t="shared" si="601"/>
        <v>Sistema de transporte coletivo com um todobenchmarking</v>
      </c>
    </row>
    <row r="2124" spans="1:56" s="1" customFormat="1" ht="51" x14ac:dyDescent="0.25">
      <c r="A2124" s="275" t="str">
        <f>'Q100b-totais'!$B$62</f>
        <v>8.10</v>
      </c>
      <c r="B2124" s="54" t="str">
        <f>'Q100b-totais'!$C$62</f>
        <v>Sistema de transporte coletivo com um todo</v>
      </c>
      <c r="C2124" s="229" t="s">
        <v>432</v>
      </c>
      <c r="D2124" s="1385" t="s">
        <v>4827</v>
      </c>
      <c r="E2124" s="1445" t="s">
        <v>1987</v>
      </c>
      <c r="F2124" s="1374" t="s">
        <v>5005</v>
      </c>
      <c r="G2124" s="416" t="s">
        <v>77</v>
      </c>
      <c r="H2124" s="173" t="s">
        <v>819</v>
      </c>
      <c r="I2124" s="167" t="s">
        <v>3426</v>
      </c>
      <c r="J2124" s="343" t="s">
        <v>432</v>
      </c>
      <c r="K2124" s="343" t="s">
        <v>432</v>
      </c>
      <c r="L2124" s="343" t="s">
        <v>432</v>
      </c>
      <c r="M2124" s="343" t="s">
        <v>432</v>
      </c>
      <c r="N2124" s="343" t="s">
        <v>432</v>
      </c>
      <c r="O2124" s="343" t="s">
        <v>432</v>
      </c>
      <c r="P2124" s="343" t="s">
        <v>432</v>
      </c>
      <c r="Q2124" s="343" t="s">
        <v>432</v>
      </c>
      <c r="R2124" s="343" t="s">
        <v>432</v>
      </c>
      <c r="S2124" s="109" t="s">
        <v>2209</v>
      </c>
      <c r="T2124" s="343" t="s">
        <v>432</v>
      </c>
      <c r="U2124" s="343" t="s">
        <v>432</v>
      </c>
      <c r="V2124" s="109" t="s">
        <v>2209</v>
      </c>
      <c r="W2124" s="343" t="s">
        <v>432</v>
      </c>
      <c r="X2124" s="343" t="s">
        <v>432</v>
      </c>
      <c r="Y2124" s="343" t="s">
        <v>432</v>
      </c>
      <c r="Z2124" s="343" t="s">
        <v>432</v>
      </c>
      <c r="AA2124" s="343" t="s">
        <v>432</v>
      </c>
      <c r="AB2124" s="343" t="s">
        <v>432</v>
      </c>
      <c r="AC2124" s="343" t="s">
        <v>432</v>
      </c>
      <c r="AD2124" s="343" t="s">
        <v>432</v>
      </c>
      <c r="AE2124" s="343" t="s">
        <v>432</v>
      </c>
      <c r="AF2124" s="343" t="s">
        <v>432</v>
      </c>
      <c r="AG2124" s="343" t="s">
        <v>432</v>
      </c>
      <c r="AH2124" s="343" t="s">
        <v>432</v>
      </c>
      <c r="AI2124" s="343" t="s">
        <v>432</v>
      </c>
      <c r="AJ2124" s="343" t="s">
        <v>432</v>
      </c>
      <c r="AK2124" s="1375">
        <v>0.41</v>
      </c>
      <c r="AL2124" s="601" t="s">
        <v>432</v>
      </c>
      <c r="AM2124" s="395" t="s">
        <v>432</v>
      </c>
      <c r="AN2124" s="395" t="s">
        <v>432</v>
      </c>
      <c r="AO2124" s="395" t="s">
        <v>432</v>
      </c>
      <c r="AP2124" s="395" t="s">
        <v>432</v>
      </c>
      <c r="AQ2124" s="395" t="s">
        <v>432</v>
      </c>
      <c r="AR2124" s="395" t="s">
        <v>432</v>
      </c>
      <c r="AS2124" s="395" t="s">
        <v>432</v>
      </c>
      <c r="AT2124" s="395" t="s">
        <v>432</v>
      </c>
      <c r="AU2124" s="395" t="s">
        <v>432</v>
      </c>
      <c r="AV2124" s="395" t="s">
        <v>432</v>
      </c>
      <c r="AW2124" s="395" t="s">
        <v>432</v>
      </c>
      <c r="AX2124" s="395" t="s">
        <v>432</v>
      </c>
      <c r="AY2124" s="395" t="s">
        <v>432</v>
      </c>
      <c r="AZ2124" s="395" t="s">
        <v>432</v>
      </c>
      <c r="BA2124" s="395" t="s">
        <v>432</v>
      </c>
      <c r="BB2124" s="396" t="str">
        <f t="shared" si="599"/>
        <v>Sistema de transporte coletivo com um todox</v>
      </c>
      <c r="BC2124" s="396" t="str">
        <f t="shared" si="600"/>
        <v>Sistema de transporte coletivo com um todoxbenchmarking</v>
      </c>
      <c r="BD2124" s="396" t="str">
        <f t="shared" si="601"/>
        <v>Sistema de transporte coletivo com um todobenchmarking</v>
      </c>
    </row>
    <row r="2125" spans="1:56" s="1" customFormat="1" ht="51" x14ac:dyDescent="0.25">
      <c r="A2125" s="275" t="str">
        <f>'Q100b-totais'!$B$62</f>
        <v>8.10</v>
      </c>
      <c r="B2125" s="54" t="str">
        <f>'Q100b-totais'!$C$62</f>
        <v>Sistema de transporte coletivo com um todo</v>
      </c>
      <c r="C2125" s="229" t="s">
        <v>432</v>
      </c>
      <c r="D2125" s="1386" t="s">
        <v>4827</v>
      </c>
      <c r="E2125" s="1445" t="s">
        <v>5017</v>
      </c>
      <c r="F2125" s="1374" t="s">
        <v>5018</v>
      </c>
      <c r="G2125" s="416" t="s">
        <v>77</v>
      </c>
      <c r="H2125" s="173" t="s">
        <v>819</v>
      </c>
      <c r="I2125" s="167" t="s">
        <v>3426</v>
      </c>
      <c r="J2125" s="343" t="s">
        <v>432</v>
      </c>
      <c r="K2125" s="343" t="s">
        <v>432</v>
      </c>
      <c r="L2125" s="343" t="s">
        <v>432</v>
      </c>
      <c r="M2125" s="343" t="s">
        <v>432</v>
      </c>
      <c r="N2125" s="343" t="s">
        <v>432</v>
      </c>
      <c r="O2125" s="343" t="s">
        <v>432</v>
      </c>
      <c r="P2125" s="343" t="s">
        <v>432</v>
      </c>
      <c r="Q2125" s="343" t="s">
        <v>432</v>
      </c>
      <c r="R2125" s="343" t="s">
        <v>432</v>
      </c>
      <c r="S2125" s="109" t="s">
        <v>2209</v>
      </c>
      <c r="T2125" s="343" t="s">
        <v>432</v>
      </c>
      <c r="U2125" s="343" t="s">
        <v>432</v>
      </c>
      <c r="V2125" s="109" t="s">
        <v>2209</v>
      </c>
      <c r="W2125" s="343" t="s">
        <v>432</v>
      </c>
      <c r="X2125" s="343" t="s">
        <v>432</v>
      </c>
      <c r="Y2125" s="343" t="s">
        <v>432</v>
      </c>
      <c r="Z2125" s="343" t="s">
        <v>432</v>
      </c>
      <c r="AA2125" s="343" t="s">
        <v>432</v>
      </c>
      <c r="AB2125" s="343" t="s">
        <v>432</v>
      </c>
      <c r="AC2125" s="343" t="s">
        <v>432</v>
      </c>
      <c r="AD2125" s="343" t="s">
        <v>432</v>
      </c>
      <c r="AE2125" s="343" t="s">
        <v>432</v>
      </c>
      <c r="AF2125" s="343" t="s">
        <v>432</v>
      </c>
      <c r="AG2125" s="343" t="s">
        <v>432</v>
      </c>
      <c r="AH2125" s="343" t="s">
        <v>432</v>
      </c>
      <c r="AI2125" s="343" t="s">
        <v>432</v>
      </c>
      <c r="AJ2125" s="343" t="s">
        <v>432</v>
      </c>
      <c r="AK2125" s="1375">
        <v>0.84</v>
      </c>
      <c r="AL2125" s="601" t="s">
        <v>432</v>
      </c>
      <c r="AM2125" s="395" t="s">
        <v>432</v>
      </c>
      <c r="AN2125" s="395" t="s">
        <v>432</v>
      </c>
      <c r="AO2125" s="395" t="s">
        <v>432</v>
      </c>
      <c r="AP2125" s="395" t="s">
        <v>432</v>
      </c>
      <c r="AQ2125" s="395" t="s">
        <v>432</v>
      </c>
      <c r="AR2125" s="395" t="s">
        <v>432</v>
      </c>
      <c r="AS2125" s="395" t="s">
        <v>432</v>
      </c>
      <c r="AT2125" s="395" t="s">
        <v>432</v>
      </c>
      <c r="AU2125" s="395" t="s">
        <v>432</v>
      </c>
      <c r="AV2125" s="395" t="s">
        <v>432</v>
      </c>
      <c r="AW2125" s="395" t="s">
        <v>432</v>
      </c>
      <c r="AX2125" s="395" t="s">
        <v>432</v>
      </c>
      <c r="AY2125" s="395" t="s">
        <v>432</v>
      </c>
      <c r="AZ2125" s="395" t="s">
        <v>432</v>
      </c>
      <c r="BA2125" s="395" t="s">
        <v>432</v>
      </c>
      <c r="BB2125" s="396" t="str">
        <f t="shared" si="599"/>
        <v>Sistema de transporte coletivo com um todox</v>
      </c>
      <c r="BC2125" s="396" t="str">
        <f t="shared" si="600"/>
        <v>Sistema de transporte coletivo com um todoxbenchmarking</v>
      </c>
      <c r="BD2125" s="396" t="str">
        <f t="shared" si="601"/>
        <v>Sistema de transporte coletivo com um todobenchmarking</v>
      </c>
    </row>
    <row r="2126" spans="1:56" s="1" customFormat="1" ht="51" x14ac:dyDescent="0.25">
      <c r="A2126" s="275" t="str">
        <f>'Q100b-totais'!$B$62</f>
        <v>8.10</v>
      </c>
      <c r="B2126" s="54" t="str">
        <f>'Q100b-totais'!$C$62</f>
        <v>Sistema de transporte coletivo com um todo</v>
      </c>
      <c r="C2126" s="229" t="s">
        <v>432</v>
      </c>
      <c r="D2126" s="1386" t="s">
        <v>4827</v>
      </c>
      <c r="E2126" s="1445" t="s">
        <v>5027</v>
      </c>
      <c r="F2126" s="1374" t="s">
        <v>5028</v>
      </c>
      <c r="G2126" s="416" t="s">
        <v>77</v>
      </c>
      <c r="H2126" s="173" t="s">
        <v>819</v>
      </c>
      <c r="I2126" s="167" t="s">
        <v>3426</v>
      </c>
      <c r="J2126" s="343" t="s">
        <v>432</v>
      </c>
      <c r="K2126" s="343" t="s">
        <v>432</v>
      </c>
      <c r="L2126" s="343" t="s">
        <v>432</v>
      </c>
      <c r="M2126" s="343" t="s">
        <v>432</v>
      </c>
      <c r="N2126" s="343" t="s">
        <v>432</v>
      </c>
      <c r="O2126" s="343" t="s">
        <v>432</v>
      </c>
      <c r="P2126" s="343" t="s">
        <v>432</v>
      </c>
      <c r="Q2126" s="343" t="s">
        <v>432</v>
      </c>
      <c r="R2126" s="343" t="s">
        <v>432</v>
      </c>
      <c r="S2126" s="109" t="s">
        <v>2209</v>
      </c>
      <c r="T2126" s="343" t="s">
        <v>432</v>
      </c>
      <c r="U2126" s="343" t="s">
        <v>432</v>
      </c>
      <c r="V2126" s="109" t="s">
        <v>2209</v>
      </c>
      <c r="W2126" s="343" t="s">
        <v>432</v>
      </c>
      <c r="X2126" s="343" t="s">
        <v>432</v>
      </c>
      <c r="Y2126" s="343" t="s">
        <v>432</v>
      </c>
      <c r="Z2126" s="343" t="s">
        <v>432</v>
      </c>
      <c r="AA2126" s="343" t="s">
        <v>432</v>
      </c>
      <c r="AB2126" s="343" t="s">
        <v>432</v>
      </c>
      <c r="AC2126" s="343" t="s">
        <v>432</v>
      </c>
      <c r="AD2126" s="343" t="s">
        <v>432</v>
      </c>
      <c r="AE2126" s="343" t="s">
        <v>432</v>
      </c>
      <c r="AF2126" s="343" t="s">
        <v>432</v>
      </c>
      <c r="AG2126" s="343" t="s">
        <v>432</v>
      </c>
      <c r="AH2126" s="343" t="s">
        <v>432</v>
      </c>
      <c r="AI2126" s="343" t="s">
        <v>432</v>
      </c>
      <c r="AJ2126" s="343" t="s">
        <v>432</v>
      </c>
      <c r="AK2126" s="1375">
        <v>0.41</v>
      </c>
      <c r="AL2126" s="601" t="s">
        <v>432</v>
      </c>
      <c r="AM2126" s="395" t="s">
        <v>432</v>
      </c>
      <c r="AN2126" s="395" t="s">
        <v>432</v>
      </c>
      <c r="AO2126" s="395" t="s">
        <v>432</v>
      </c>
      <c r="AP2126" s="395" t="s">
        <v>432</v>
      </c>
      <c r="AQ2126" s="395" t="s">
        <v>432</v>
      </c>
      <c r="AR2126" s="395" t="s">
        <v>432</v>
      </c>
      <c r="AS2126" s="395" t="s">
        <v>432</v>
      </c>
      <c r="AT2126" s="395" t="s">
        <v>432</v>
      </c>
      <c r="AU2126" s="395" t="s">
        <v>432</v>
      </c>
      <c r="AV2126" s="395" t="s">
        <v>432</v>
      </c>
      <c r="AW2126" s="395" t="s">
        <v>432</v>
      </c>
      <c r="AX2126" s="395" t="s">
        <v>432</v>
      </c>
      <c r="AY2126" s="395" t="s">
        <v>432</v>
      </c>
      <c r="AZ2126" s="395" t="s">
        <v>432</v>
      </c>
      <c r="BA2126" s="395" t="s">
        <v>432</v>
      </c>
      <c r="BB2126" s="396" t="str">
        <f t="shared" si="599"/>
        <v>Sistema de transporte coletivo com um todox</v>
      </c>
      <c r="BC2126" s="396" t="str">
        <f t="shared" si="600"/>
        <v>Sistema de transporte coletivo com um todoxbenchmarking</v>
      </c>
      <c r="BD2126" s="396" t="str">
        <f t="shared" si="601"/>
        <v>Sistema de transporte coletivo com um todobenchmarking</v>
      </c>
    </row>
    <row r="2127" spans="1:56" s="1" customFormat="1" ht="51" x14ac:dyDescent="0.25">
      <c r="A2127" s="275" t="str">
        <f>'Q100b-totais'!$B$62</f>
        <v>8.10</v>
      </c>
      <c r="B2127" s="54" t="str">
        <f>'Q100b-totais'!$C$62</f>
        <v>Sistema de transporte coletivo com um todo</v>
      </c>
      <c r="C2127" s="229" t="s">
        <v>432</v>
      </c>
      <c r="D2127" s="1385" t="s">
        <v>4827</v>
      </c>
      <c r="E2127" s="1445" t="s">
        <v>5000</v>
      </c>
      <c r="F2127" s="1374" t="s">
        <v>5006</v>
      </c>
      <c r="G2127" s="416" t="s">
        <v>77</v>
      </c>
      <c r="H2127" s="173" t="s">
        <v>819</v>
      </c>
      <c r="I2127" s="167" t="s">
        <v>3426</v>
      </c>
      <c r="J2127" s="343" t="s">
        <v>432</v>
      </c>
      <c r="K2127" s="343" t="s">
        <v>432</v>
      </c>
      <c r="L2127" s="343" t="s">
        <v>432</v>
      </c>
      <c r="M2127" s="343" t="s">
        <v>432</v>
      </c>
      <c r="N2127" s="343" t="s">
        <v>432</v>
      </c>
      <c r="O2127" s="343" t="s">
        <v>432</v>
      </c>
      <c r="P2127" s="343" t="s">
        <v>432</v>
      </c>
      <c r="Q2127" s="343" t="s">
        <v>432</v>
      </c>
      <c r="R2127" s="343" t="s">
        <v>432</v>
      </c>
      <c r="S2127" s="109" t="s">
        <v>2209</v>
      </c>
      <c r="T2127" s="343" t="s">
        <v>432</v>
      </c>
      <c r="U2127" s="343" t="s">
        <v>432</v>
      </c>
      <c r="V2127" s="109" t="s">
        <v>2209</v>
      </c>
      <c r="W2127" s="343" t="s">
        <v>432</v>
      </c>
      <c r="X2127" s="343" t="s">
        <v>432</v>
      </c>
      <c r="Y2127" s="343" t="s">
        <v>432</v>
      </c>
      <c r="Z2127" s="343" t="s">
        <v>432</v>
      </c>
      <c r="AA2127" s="343" t="s">
        <v>432</v>
      </c>
      <c r="AB2127" s="343" t="s">
        <v>432</v>
      </c>
      <c r="AC2127" s="343" t="s">
        <v>432</v>
      </c>
      <c r="AD2127" s="343" t="s">
        <v>432</v>
      </c>
      <c r="AE2127" s="343" t="s">
        <v>432</v>
      </c>
      <c r="AF2127" s="343" t="s">
        <v>432</v>
      </c>
      <c r="AG2127" s="343" t="s">
        <v>432</v>
      </c>
      <c r="AH2127" s="343" t="s">
        <v>432</v>
      </c>
      <c r="AI2127" s="343" t="s">
        <v>432</v>
      </c>
      <c r="AJ2127" s="343" t="s">
        <v>432</v>
      </c>
      <c r="AK2127" s="1375">
        <v>0.83</v>
      </c>
      <c r="AL2127" s="601" t="s">
        <v>432</v>
      </c>
      <c r="AM2127" s="395" t="s">
        <v>432</v>
      </c>
      <c r="AN2127" s="395" t="s">
        <v>432</v>
      </c>
      <c r="AO2127" s="395" t="s">
        <v>432</v>
      </c>
      <c r="AP2127" s="395" t="s">
        <v>432</v>
      </c>
      <c r="AQ2127" s="395" t="s">
        <v>432</v>
      </c>
      <c r="AR2127" s="395" t="s">
        <v>432</v>
      </c>
      <c r="AS2127" s="395" t="s">
        <v>432</v>
      </c>
      <c r="AT2127" s="395" t="s">
        <v>432</v>
      </c>
      <c r="AU2127" s="395" t="s">
        <v>432</v>
      </c>
      <c r="AV2127" s="395" t="s">
        <v>432</v>
      </c>
      <c r="AW2127" s="395" t="s">
        <v>432</v>
      </c>
      <c r="AX2127" s="395" t="s">
        <v>432</v>
      </c>
      <c r="AY2127" s="395" t="s">
        <v>432</v>
      </c>
      <c r="AZ2127" s="395" t="s">
        <v>432</v>
      </c>
      <c r="BA2127" s="395" t="s">
        <v>432</v>
      </c>
      <c r="BB2127" s="396" t="str">
        <f t="shared" si="599"/>
        <v>Sistema de transporte coletivo com um todox</v>
      </c>
      <c r="BC2127" s="396" t="str">
        <f t="shared" si="600"/>
        <v>Sistema de transporte coletivo com um todoxbenchmarking</v>
      </c>
      <c r="BD2127" s="396" t="str">
        <f t="shared" si="601"/>
        <v>Sistema de transporte coletivo com um todobenchmarking</v>
      </c>
    </row>
    <row r="2128" spans="1:56" s="1" customFormat="1" ht="51" x14ac:dyDescent="0.25">
      <c r="A2128" s="275" t="str">
        <f>'Q100b-totais'!$B$62</f>
        <v>8.10</v>
      </c>
      <c r="B2128" s="54" t="str">
        <f>'Q100b-totais'!$C$62</f>
        <v>Sistema de transporte coletivo com um todo</v>
      </c>
      <c r="C2128" s="229" t="s">
        <v>432</v>
      </c>
      <c r="D2128" s="1385" t="s">
        <v>4827</v>
      </c>
      <c r="E2128" s="1445" t="s">
        <v>5008</v>
      </c>
      <c r="F2128" s="1374" t="s">
        <v>5009</v>
      </c>
      <c r="G2128" s="416" t="s">
        <v>77</v>
      </c>
      <c r="H2128" s="173" t="s">
        <v>819</v>
      </c>
      <c r="I2128" s="167" t="s">
        <v>3426</v>
      </c>
      <c r="J2128" s="343" t="s">
        <v>432</v>
      </c>
      <c r="K2128" s="343" t="s">
        <v>432</v>
      </c>
      <c r="L2128" s="343" t="s">
        <v>432</v>
      </c>
      <c r="M2128" s="343" t="s">
        <v>432</v>
      </c>
      <c r="N2128" s="343" t="s">
        <v>432</v>
      </c>
      <c r="O2128" s="343" t="s">
        <v>432</v>
      </c>
      <c r="P2128" s="343" t="s">
        <v>432</v>
      </c>
      <c r="Q2128" s="343" t="s">
        <v>432</v>
      </c>
      <c r="R2128" s="343" t="s">
        <v>432</v>
      </c>
      <c r="S2128" s="109" t="s">
        <v>2209</v>
      </c>
      <c r="T2128" s="343" t="s">
        <v>432</v>
      </c>
      <c r="U2128" s="343" t="s">
        <v>432</v>
      </c>
      <c r="V2128" s="109" t="s">
        <v>2209</v>
      </c>
      <c r="W2128" s="343" t="s">
        <v>432</v>
      </c>
      <c r="X2128" s="343" t="s">
        <v>432</v>
      </c>
      <c r="Y2128" s="343" t="s">
        <v>432</v>
      </c>
      <c r="Z2128" s="343" t="s">
        <v>432</v>
      </c>
      <c r="AA2128" s="343" t="s">
        <v>432</v>
      </c>
      <c r="AB2128" s="343" t="s">
        <v>432</v>
      </c>
      <c r="AC2128" s="343" t="s">
        <v>432</v>
      </c>
      <c r="AD2128" s="343" t="s">
        <v>432</v>
      </c>
      <c r="AE2128" s="343" t="s">
        <v>432</v>
      </c>
      <c r="AF2128" s="343" t="s">
        <v>432</v>
      </c>
      <c r="AG2128" s="343" t="s">
        <v>432</v>
      </c>
      <c r="AH2128" s="343" t="s">
        <v>432</v>
      </c>
      <c r="AI2128" s="343" t="s">
        <v>432</v>
      </c>
      <c r="AJ2128" s="343" t="s">
        <v>432</v>
      </c>
      <c r="AK2128" s="1375">
        <v>0.4</v>
      </c>
      <c r="AL2128" s="601" t="s">
        <v>432</v>
      </c>
      <c r="AM2128" s="395" t="s">
        <v>432</v>
      </c>
      <c r="AN2128" s="395" t="s">
        <v>432</v>
      </c>
      <c r="AO2128" s="395" t="s">
        <v>432</v>
      </c>
      <c r="AP2128" s="395" t="s">
        <v>432</v>
      </c>
      <c r="AQ2128" s="395" t="s">
        <v>432</v>
      </c>
      <c r="AR2128" s="395" t="s">
        <v>432</v>
      </c>
      <c r="AS2128" s="395" t="s">
        <v>432</v>
      </c>
      <c r="AT2128" s="395" t="s">
        <v>432</v>
      </c>
      <c r="AU2128" s="395" t="s">
        <v>432</v>
      </c>
      <c r="AV2128" s="395" t="s">
        <v>432</v>
      </c>
      <c r="AW2128" s="395" t="s">
        <v>432</v>
      </c>
      <c r="AX2128" s="395" t="s">
        <v>432</v>
      </c>
      <c r="AY2128" s="395" t="s">
        <v>432</v>
      </c>
      <c r="AZ2128" s="395" t="s">
        <v>432</v>
      </c>
      <c r="BA2128" s="395" t="s">
        <v>432</v>
      </c>
      <c r="BB2128" s="396" t="str">
        <f t="shared" si="599"/>
        <v>Sistema de transporte coletivo com um todox</v>
      </c>
      <c r="BC2128" s="396" t="str">
        <f t="shared" si="600"/>
        <v>Sistema de transporte coletivo com um todoxbenchmarking</v>
      </c>
      <c r="BD2128" s="396" t="str">
        <f t="shared" si="601"/>
        <v>Sistema de transporte coletivo com um todobenchmarking</v>
      </c>
    </row>
    <row r="2129" spans="1:56" s="1" customFormat="1" ht="51" x14ac:dyDescent="0.25">
      <c r="A2129" s="275" t="str">
        <f>'Q100b-totais'!$B$62</f>
        <v>8.10</v>
      </c>
      <c r="B2129" s="54" t="str">
        <f>'Q100b-totais'!$C$62</f>
        <v>Sistema de transporte coletivo com um todo</v>
      </c>
      <c r="C2129" s="229" t="s">
        <v>432</v>
      </c>
      <c r="D2129" s="1386" t="s">
        <v>4827</v>
      </c>
      <c r="E2129" s="1445" t="s">
        <v>5021</v>
      </c>
      <c r="F2129" s="1374" t="s">
        <v>5022</v>
      </c>
      <c r="G2129" s="416" t="s">
        <v>77</v>
      </c>
      <c r="H2129" s="173" t="s">
        <v>819</v>
      </c>
      <c r="I2129" s="167" t="s">
        <v>3426</v>
      </c>
      <c r="J2129" s="343" t="s">
        <v>432</v>
      </c>
      <c r="K2129" s="343" t="s">
        <v>432</v>
      </c>
      <c r="L2129" s="343" t="s">
        <v>432</v>
      </c>
      <c r="M2129" s="343" t="s">
        <v>432</v>
      </c>
      <c r="N2129" s="343" t="s">
        <v>432</v>
      </c>
      <c r="O2129" s="343" t="s">
        <v>432</v>
      </c>
      <c r="P2129" s="343" t="s">
        <v>432</v>
      </c>
      <c r="Q2129" s="343" t="s">
        <v>432</v>
      </c>
      <c r="R2129" s="343" t="s">
        <v>432</v>
      </c>
      <c r="S2129" s="109" t="s">
        <v>2209</v>
      </c>
      <c r="T2129" s="343" t="s">
        <v>432</v>
      </c>
      <c r="U2129" s="343" t="s">
        <v>432</v>
      </c>
      <c r="V2129" s="109" t="s">
        <v>2209</v>
      </c>
      <c r="W2129" s="343" t="s">
        <v>432</v>
      </c>
      <c r="X2129" s="343" t="s">
        <v>432</v>
      </c>
      <c r="Y2129" s="343" t="s">
        <v>432</v>
      </c>
      <c r="Z2129" s="343" t="s">
        <v>432</v>
      </c>
      <c r="AA2129" s="343" t="s">
        <v>432</v>
      </c>
      <c r="AB2129" s="343" t="s">
        <v>432</v>
      </c>
      <c r="AC2129" s="343" t="s">
        <v>432</v>
      </c>
      <c r="AD2129" s="343" t="s">
        <v>432</v>
      </c>
      <c r="AE2129" s="343" t="s">
        <v>432</v>
      </c>
      <c r="AF2129" s="343" t="s">
        <v>432</v>
      </c>
      <c r="AG2129" s="343" t="s">
        <v>432</v>
      </c>
      <c r="AH2129" s="343" t="s">
        <v>432</v>
      </c>
      <c r="AI2129" s="343" t="s">
        <v>432</v>
      </c>
      <c r="AJ2129" s="343" t="s">
        <v>432</v>
      </c>
      <c r="AK2129" s="1375">
        <v>0.56999999999999995</v>
      </c>
      <c r="AL2129" s="601" t="s">
        <v>432</v>
      </c>
      <c r="AM2129" s="395" t="s">
        <v>432</v>
      </c>
      <c r="AN2129" s="395" t="s">
        <v>432</v>
      </c>
      <c r="AO2129" s="395" t="s">
        <v>432</v>
      </c>
      <c r="AP2129" s="395" t="s">
        <v>432</v>
      </c>
      <c r="AQ2129" s="395" t="s">
        <v>432</v>
      </c>
      <c r="AR2129" s="395" t="s">
        <v>432</v>
      </c>
      <c r="AS2129" s="395" t="s">
        <v>432</v>
      </c>
      <c r="AT2129" s="395" t="s">
        <v>432</v>
      </c>
      <c r="AU2129" s="395" t="s">
        <v>432</v>
      </c>
      <c r="AV2129" s="395" t="s">
        <v>432</v>
      </c>
      <c r="AW2129" s="395" t="s">
        <v>432</v>
      </c>
      <c r="AX2129" s="395" t="s">
        <v>432</v>
      </c>
      <c r="AY2129" s="395" t="s">
        <v>432</v>
      </c>
      <c r="AZ2129" s="395" t="s">
        <v>432</v>
      </c>
      <c r="BA2129" s="395" t="s">
        <v>432</v>
      </c>
      <c r="BB2129" s="396" t="str">
        <f t="shared" si="599"/>
        <v>Sistema de transporte coletivo com um todox</v>
      </c>
      <c r="BC2129" s="396" t="str">
        <f t="shared" si="600"/>
        <v>Sistema de transporte coletivo com um todoxbenchmarking</v>
      </c>
      <c r="BD2129" s="396" t="str">
        <f t="shared" si="601"/>
        <v>Sistema de transporte coletivo com um todobenchmarking</v>
      </c>
    </row>
    <row r="2130" spans="1:56" s="1" customFormat="1" ht="12.75" customHeight="1" x14ac:dyDescent="0.25">
      <c r="A2130" s="398"/>
      <c r="B2130" s="221"/>
      <c r="C2130" s="399"/>
      <c r="D2130" s="987"/>
      <c r="E2130" s="1533"/>
      <c r="F2130" s="405"/>
      <c r="G2130" s="405"/>
      <c r="H2130" s="399"/>
      <c r="I2130" s="405"/>
      <c r="J2130" s="221"/>
      <c r="K2130" s="403"/>
      <c r="L2130" s="403"/>
      <c r="M2130" s="403"/>
      <c r="N2130" s="403"/>
      <c r="O2130" s="403"/>
      <c r="P2130" s="403"/>
      <c r="Q2130" s="403"/>
      <c r="R2130" s="403"/>
      <c r="S2130" s="403"/>
      <c r="T2130" s="403"/>
      <c r="U2130" s="403"/>
      <c r="V2130" s="403"/>
      <c r="W2130" s="403"/>
      <c r="X2130" s="403"/>
      <c r="Y2130" s="403"/>
      <c r="Z2130" s="403"/>
      <c r="AA2130" s="403"/>
      <c r="AB2130" s="403"/>
      <c r="AC2130" s="403"/>
      <c r="AD2130" s="403"/>
      <c r="AE2130" s="403"/>
      <c r="AF2130" s="403"/>
      <c r="AG2130" s="403"/>
      <c r="AH2130" s="403"/>
      <c r="AI2130" s="403"/>
      <c r="AJ2130" s="403"/>
      <c r="AK2130" s="223"/>
      <c r="AL2130" s="223"/>
      <c r="AM2130" s="223"/>
      <c r="AN2130" s="223"/>
      <c r="AO2130" s="223"/>
      <c r="AP2130" s="223"/>
      <c r="AQ2130" s="223"/>
      <c r="AR2130" s="223"/>
      <c r="AS2130" s="223"/>
      <c r="AT2130" s="223"/>
      <c r="AU2130" s="223"/>
      <c r="AV2130" s="223"/>
      <c r="AW2130" s="223"/>
      <c r="AX2130" s="223"/>
      <c r="AY2130" s="223"/>
      <c r="AZ2130" s="223"/>
      <c r="BA2130" s="223"/>
      <c r="BB2130" s="400"/>
      <c r="BC2130" s="400"/>
      <c r="BD2130" s="400"/>
    </row>
    <row r="2131" spans="1:56" s="127" customFormat="1" ht="25.5" x14ac:dyDescent="0.25">
      <c r="A2131" s="262" t="s">
        <v>432</v>
      </c>
      <c r="B2131" s="53" t="s">
        <v>742</v>
      </c>
      <c r="C2131" s="229" t="s">
        <v>743</v>
      </c>
      <c r="D2131" s="847" t="s">
        <v>2258</v>
      </c>
      <c r="E2131" s="1496" t="s">
        <v>1767</v>
      </c>
      <c r="F2131" s="53" t="s">
        <v>2259</v>
      </c>
      <c r="G2131" s="167" t="s">
        <v>3719</v>
      </c>
      <c r="H2131" s="168" t="s">
        <v>2408</v>
      </c>
      <c r="I2131" s="167" t="s">
        <v>432</v>
      </c>
      <c r="J2131" s="109" t="s">
        <v>432</v>
      </c>
      <c r="K2131" s="109" t="s">
        <v>432</v>
      </c>
      <c r="L2131" s="109" t="s">
        <v>432</v>
      </c>
      <c r="M2131" s="109" t="s">
        <v>432</v>
      </c>
      <c r="N2131" s="109" t="s">
        <v>432</v>
      </c>
      <c r="O2131" s="109" t="s">
        <v>432</v>
      </c>
      <c r="P2131" s="109" t="s">
        <v>432</v>
      </c>
      <c r="Q2131" s="109" t="s">
        <v>432</v>
      </c>
      <c r="R2131" s="109" t="s">
        <v>432</v>
      </c>
      <c r="S2131" s="109" t="s">
        <v>2209</v>
      </c>
      <c r="T2131" s="109" t="s">
        <v>432</v>
      </c>
      <c r="U2131" s="109" t="s">
        <v>432</v>
      </c>
      <c r="V2131" s="109" t="s">
        <v>2209</v>
      </c>
      <c r="W2131" s="109" t="s">
        <v>432</v>
      </c>
      <c r="X2131" s="109" t="s">
        <v>432</v>
      </c>
      <c r="Y2131" s="109" t="s">
        <v>432</v>
      </c>
      <c r="Z2131" s="109" t="s">
        <v>432</v>
      </c>
      <c r="AA2131" s="109" t="s">
        <v>432</v>
      </c>
      <c r="AB2131" s="109" t="s">
        <v>432</v>
      </c>
      <c r="AC2131" s="109" t="s">
        <v>432</v>
      </c>
      <c r="AD2131" s="109" t="s">
        <v>432</v>
      </c>
      <c r="AE2131" s="109" t="s">
        <v>432</v>
      </c>
      <c r="AF2131" s="109" t="s">
        <v>432</v>
      </c>
      <c r="AG2131" s="109" t="s">
        <v>432</v>
      </c>
      <c r="AH2131" s="109" t="s">
        <v>432</v>
      </c>
      <c r="AI2131" s="109" t="s">
        <v>432</v>
      </c>
      <c r="AJ2131" s="109" t="s">
        <v>432</v>
      </c>
      <c r="AK2131" s="137" t="s">
        <v>432</v>
      </c>
      <c r="AL2131" s="601" t="s">
        <v>432</v>
      </c>
      <c r="AM2131" s="137" t="s">
        <v>432</v>
      </c>
      <c r="AN2131" s="137" t="s">
        <v>432</v>
      </c>
      <c r="AO2131" s="137" t="s">
        <v>432</v>
      </c>
      <c r="AP2131" s="137" t="s">
        <v>432</v>
      </c>
      <c r="AQ2131" s="137" t="s">
        <v>432</v>
      </c>
      <c r="AR2131" s="137" t="s">
        <v>432</v>
      </c>
      <c r="AS2131" s="137" t="s">
        <v>432</v>
      </c>
      <c r="AT2131" s="137" t="s">
        <v>432</v>
      </c>
      <c r="AU2131" s="137" t="s">
        <v>432</v>
      </c>
      <c r="AV2131" s="137" t="s">
        <v>432</v>
      </c>
      <c r="AW2131" s="137" t="s">
        <v>432</v>
      </c>
      <c r="AX2131" s="137" t="s">
        <v>432</v>
      </c>
      <c r="AY2131" s="137" t="s">
        <v>432</v>
      </c>
      <c r="AZ2131" s="137" t="s">
        <v>432</v>
      </c>
      <c r="BA2131" s="137" t="s">
        <v>432</v>
      </c>
      <c r="BB2131" s="239" t="str">
        <f t="shared" ref="BB2131:BB2159" si="602">B2131&amp;C2131</f>
        <v>geralacessibilidade</v>
      </c>
      <c r="BC2131" s="239" t="str">
        <f t="shared" ref="BC2131:BC2159" si="603">B2131&amp;C2131&amp;H2131</f>
        <v>geralacessibilidadesigla/verbete</v>
      </c>
      <c r="BD2131" s="239" t="str">
        <f t="shared" ref="BD2131:BD2159" si="604">B2131&amp;H2131</f>
        <v>geralsigla/verbete</v>
      </c>
    </row>
    <row r="2132" spans="1:56" s="127" customFormat="1" ht="47.25" x14ac:dyDescent="0.25">
      <c r="A2132" s="262" t="str">
        <f>'Q100b-totais'!B24</f>
        <v>3.1</v>
      </c>
      <c r="B2132" s="53" t="str">
        <f>'Q100b-totais'!C24</f>
        <v>Normas produzidas</v>
      </c>
      <c r="C2132" s="229" t="s">
        <v>743</v>
      </c>
      <c r="D2132" s="847" t="s">
        <v>5423</v>
      </c>
      <c r="E2132" s="1496" t="s">
        <v>1306</v>
      </c>
      <c r="F2132" s="53" t="s">
        <v>5523</v>
      </c>
      <c r="G2132" s="230" t="s">
        <v>3507</v>
      </c>
      <c r="H2132" s="167" t="s">
        <v>2408</v>
      </c>
      <c r="I2132" s="391" t="s">
        <v>432</v>
      </c>
      <c r="J2132" s="343" t="s">
        <v>432</v>
      </c>
      <c r="K2132" s="343" t="s">
        <v>432</v>
      </c>
      <c r="L2132" s="343" t="s">
        <v>432</v>
      </c>
      <c r="M2132" s="343" t="s">
        <v>432</v>
      </c>
      <c r="N2132" s="343" t="s">
        <v>432</v>
      </c>
      <c r="O2132" s="343" t="s">
        <v>432</v>
      </c>
      <c r="P2132" s="343" t="s">
        <v>432</v>
      </c>
      <c r="Q2132" s="343" t="s">
        <v>432</v>
      </c>
      <c r="R2132" s="343" t="s">
        <v>432</v>
      </c>
      <c r="S2132" s="109" t="s">
        <v>2209</v>
      </c>
      <c r="T2132" s="343" t="s">
        <v>432</v>
      </c>
      <c r="U2132" s="343" t="s">
        <v>432</v>
      </c>
      <c r="V2132" s="109" t="s">
        <v>2209</v>
      </c>
      <c r="W2132" s="343" t="s">
        <v>432</v>
      </c>
      <c r="X2132" s="343" t="s">
        <v>432</v>
      </c>
      <c r="Y2132" s="343" t="s">
        <v>432</v>
      </c>
      <c r="Z2132" s="343" t="s">
        <v>432</v>
      </c>
      <c r="AA2132" s="343" t="s">
        <v>432</v>
      </c>
      <c r="AB2132" s="343" t="s">
        <v>432</v>
      </c>
      <c r="AC2132" s="343" t="s">
        <v>432</v>
      </c>
      <c r="AD2132" s="343" t="s">
        <v>432</v>
      </c>
      <c r="AE2132" s="343" t="s">
        <v>432</v>
      </c>
      <c r="AF2132" s="343" t="s">
        <v>432</v>
      </c>
      <c r="AG2132" s="343" t="s">
        <v>432</v>
      </c>
      <c r="AH2132" s="343" t="s">
        <v>432</v>
      </c>
      <c r="AI2132" s="343" t="s">
        <v>432</v>
      </c>
      <c r="AJ2132" s="343" t="s">
        <v>432</v>
      </c>
      <c r="AK2132" s="343" t="s">
        <v>432</v>
      </c>
      <c r="AL2132" s="601" t="s">
        <v>432</v>
      </c>
      <c r="AM2132" s="395" t="s">
        <v>432</v>
      </c>
      <c r="AN2132" s="395" t="s">
        <v>432</v>
      </c>
      <c r="AO2132" s="395" t="s">
        <v>432</v>
      </c>
      <c r="AP2132" s="395" t="s">
        <v>432</v>
      </c>
      <c r="AQ2132" s="395" t="s">
        <v>432</v>
      </c>
      <c r="AR2132" s="395" t="s">
        <v>432</v>
      </c>
      <c r="AS2132" s="395" t="s">
        <v>432</v>
      </c>
      <c r="AT2132" s="395" t="s">
        <v>432</v>
      </c>
      <c r="AU2132" s="395" t="s">
        <v>432</v>
      </c>
      <c r="AV2132" s="395" t="s">
        <v>432</v>
      </c>
      <c r="AW2132" s="395" t="s">
        <v>432</v>
      </c>
      <c r="AX2132" s="395" t="s">
        <v>432</v>
      </c>
      <c r="AY2132" s="395" t="s">
        <v>432</v>
      </c>
      <c r="AZ2132" s="395" t="s">
        <v>432</v>
      </c>
      <c r="BA2132" s="395" t="s">
        <v>432</v>
      </c>
      <c r="BB2132" s="396" t="str">
        <f>B2132&amp;C2132</f>
        <v>Normas produzidasacessibilidade</v>
      </c>
      <c r="BC2132" s="396" t="str">
        <f>B2132&amp;C2132&amp;H2132</f>
        <v>Normas produzidasacessibilidadesigla/verbete</v>
      </c>
      <c r="BD2132" s="396" t="str">
        <f>B2132&amp;H2132</f>
        <v>Normas produzidassigla/verbete</v>
      </c>
    </row>
    <row r="2133" spans="1:56" s="127" customFormat="1" ht="57" customHeight="1" x14ac:dyDescent="0.25">
      <c r="A2133" s="262" t="str">
        <f>'Q100b-totais'!B24</f>
        <v>3.1</v>
      </c>
      <c r="B2133" s="53" t="str">
        <f>'Q100b-totais'!C24</f>
        <v>Normas produzidas</v>
      </c>
      <c r="C2133" s="229" t="s">
        <v>743</v>
      </c>
      <c r="D2133" s="847" t="s">
        <v>5423</v>
      </c>
      <c r="E2133" s="1496" t="s">
        <v>1767</v>
      </c>
      <c r="F2133" s="53" t="s">
        <v>5524</v>
      </c>
      <c r="G2133" s="230" t="s">
        <v>3507</v>
      </c>
      <c r="H2133" s="167" t="s">
        <v>2408</v>
      </c>
      <c r="I2133" s="391" t="s">
        <v>432</v>
      </c>
      <c r="J2133" s="343" t="s">
        <v>432</v>
      </c>
      <c r="K2133" s="343" t="s">
        <v>432</v>
      </c>
      <c r="L2133" s="343" t="s">
        <v>432</v>
      </c>
      <c r="M2133" s="343" t="s">
        <v>432</v>
      </c>
      <c r="N2133" s="343" t="s">
        <v>432</v>
      </c>
      <c r="O2133" s="343" t="s">
        <v>432</v>
      </c>
      <c r="P2133" s="343" t="s">
        <v>432</v>
      </c>
      <c r="Q2133" s="343" t="s">
        <v>432</v>
      </c>
      <c r="R2133" s="343" t="s">
        <v>432</v>
      </c>
      <c r="S2133" s="109" t="s">
        <v>2209</v>
      </c>
      <c r="T2133" s="343" t="s">
        <v>432</v>
      </c>
      <c r="U2133" s="343" t="s">
        <v>432</v>
      </c>
      <c r="V2133" s="109" t="s">
        <v>2209</v>
      </c>
      <c r="W2133" s="343" t="s">
        <v>432</v>
      </c>
      <c r="X2133" s="343" t="s">
        <v>432</v>
      </c>
      <c r="Y2133" s="343" t="s">
        <v>432</v>
      </c>
      <c r="Z2133" s="343" t="s">
        <v>432</v>
      </c>
      <c r="AA2133" s="343" t="s">
        <v>432</v>
      </c>
      <c r="AB2133" s="343" t="s">
        <v>432</v>
      </c>
      <c r="AC2133" s="343" t="s">
        <v>432</v>
      </c>
      <c r="AD2133" s="343" t="s">
        <v>432</v>
      </c>
      <c r="AE2133" s="343" t="s">
        <v>432</v>
      </c>
      <c r="AF2133" s="343" t="s">
        <v>432</v>
      </c>
      <c r="AG2133" s="343" t="s">
        <v>432</v>
      </c>
      <c r="AH2133" s="343" t="s">
        <v>432</v>
      </c>
      <c r="AI2133" s="343" t="s">
        <v>432</v>
      </c>
      <c r="AJ2133" s="343" t="s">
        <v>432</v>
      </c>
      <c r="AK2133" s="343" t="s">
        <v>432</v>
      </c>
      <c r="AL2133" s="601" t="s">
        <v>432</v>
      </c>
      <c r="AM2133" s="395" t="s">
        <v>432</v>
      </c>
      <c r="AN2133" s="395" t="s">
        <v>432</v>
      </c>
      <c r="AO2133" s="395" t="s">
        <v>432</v>
      </c>
      <c r="AP2133" s="395" t="s">
        <v>432</v>
      </c>
      <c r="AQ2133" s="395" t="s">
        <v>432</v>
      </c>
      <c r="AR2133" s="395" t="s">
        <v>432</v>
      </c>
      <c r="AS2133" s="395" t="s">
        <v>432</v>
      </c>
      <c r="AT2133" s="395" t="s">
        <v>432</v>
      </c>
      <c r="AU2133" s="395" t="s">
        <v>432</v>
      </c>
      <c r="AV2133" s="395" t="s">
        <v>432</v>
      </c>
      <c r="AW2133" s="395" t="s">
        <v>432</v>
      </c>
      <c r="AX2133" s="395" t="s">
        <v>432</v>
      </c>
      <c r="AY2133" s="395" t="s">
        <v>432</v>
      </c>
      <c r="AZ2133" s="395" t="s">
        <v>432</v>
      </c>
      <c r="BA2133" s="395" t="s">
        <v>432</v>
      </c>
      <c r="BB2133" s="396" t="str">
        <f>B2133&amp;C2133</f>
        <v>Normas produzidasacessibilidade</v>
      </c>
      <c r="BC2133" s="396" t="str">
        <f>B2133&amp;C2133&amp;H2133</f>
        <v>Normas produzidasacessibilidadesigla/verbete</v>
      </c>
      <c r="BD2133" s="396" t="str">
        <f>B2133&amp;H2133</f>
        <v>Normas produzidassigla/verbete</v>
      </c>
    </row>
    <row r="2134" spans="1:56" s="127" customFormat="1" ht="57" customHeight="1" x14ac:dyDescent="0.25">
      <c r="A2134" s="262" t="str">
        <f>'Q100b-totais'!B24</f>
        <v>3.1</v>
      </c>
      <c r="B2134" s="53" t="str">
        <f>'Q100b-totais'!C24</f>
        <v>Normas produzidas</v>
      </c>
      <c r="C2134" s="229" t="s">
        <v>743</v>
      </c>
      <c r="D2134" s="847" t="s">
        <v>5521</v>
      </c>
      <c r="E2134" s="1496" t="s">
        <v>1306</v>
      </c>
      <c r="F2134" s="53" t="s">
        <v>5522</v>
      </c>
      <c r="G2134" s="230" t="s">
        <v>3507</v>
      </c>
      <c r="H2134" s="167" t="s">
        <v>2408</v>
      </c>
      <c r="I2134" s="391" t="s">
        <v>432</v>
      </c>
      <c r="J2134" s="343" t="s">
        <v>432</v>
      </c>
      <c r="K2134" s="343" t="s">
        <v>432</v>
      </c>
      <c r="L2134" s="343" t="s">
        <v>432</v>
      </c>
      <c r="M2134" s="343" t="s">
        <v>432</v>
      </c>
      <c r="N2134" s="343" t="s">
        <v>432</v>
      </c>
      <c r="O2134" s="343" t="s">
        <v>432</v>
      </c>
      <c r="P2134" s="343" t="s">
        <v>432</v>
      </c>
      <c r="Q2134" s="343" t="s">
        <v>432</v>
      </c>
      <c r="R2134" s="343" t="s">
        <v>432</v>
      </c>
      <c r="S2134" s="109" t="s">
        <v>2209</v>
      </c>
      <c r="T2134" s="343" t="s">
        <v>432</v>
      </c>
      <c r="U2134" s="343" t="s">
        <v>432</v>
      </c>
      <c r="V2134" s="109" t="s">
        <v>2209</v>
      </c>
      <c r="W2134" s="343" t="s">
        <v>432</v>
      </c>
      <c r="X2134" s="343" t="s">
        <v>432</v>
      </c>
      <c r="Y2134" s="343" t="s">
        <v>432</v>
      </c>
      <c r="Z2134" s="343" t="s">
        <v>432</v>
      </c>
      <c r="AA2134" s="343" t="s">
        <v>432</v>
      </c>
      <c r="AB2134" s="343" t="s">
        <v>432</v>
      </c>
      <c r="AC2134" s="343" t="s">
        <v>432</v>
      </c>
      <c r="AD2134" s="343" t="s">
        <v>432</v>
      </c>
      <c r="AE2134" s="343" t="s">
        <v>432</v>
      </c>
      <c r="AF2134" s="343" t="s">
        <v>432</v>
      </c>
      <c r="AG2134" s="343" t="s">
        <v>432</v>
      </c>
      <c r="AH2134" s="343" t="s">
        <v>432</v>
      </c>
      <c r="AI2134" s="343" t="s">
        <v>432</v>
      </c>
      <c r="AJ2134" s="343" t="s">
        <v>432</v>
      </c>
      <c r="AK2134" s="343" t="s">
        <v>432</v>
      </c>
      <c r="AL2134" s="601" t="s">
        <v>432</v>
      </c>
      <c r="AM2134" s="395" t="s">
        <v>432</v>
      </c>
      <c r="AN2134" s="395" t="s">
        <v>432</v>
      </c>
      <c r="AO2134" s="395" t="s">
        <v>432</v>
      </c>
      <c r="AP2134" s="395" t="s">
        <v>432</v>
      </c>
      <c r="AQ2134" s="395" t="s">
        <v>432</v>
      </c>
      <c r="AR2134" s="395" t="s">
        <v>432</v>
      </c>
      <c r="AS2134" s="395" t="s">
        <v>432</v>
      </c>
      <c r="AT2134" s="395" t="s">
        <v>432</v>
      </c>
      <c r="AU2134" s="395" t="s">
        <v>432</v>
      </c>
      <c r="AV2134" s="395" t="s">
        <v>432</v>
      </c>
      <c r="AW2134" s="395" t="s">
        <v>432</v>
      </c>
      <c r="AX2134" s="395" t="s">
        <v>432</v>
      </c>
      <c r="AY2134" s="395" t="s">
        <v>432</v>
      </c>
      <c r="AZ2134" s="395" t="s">
        <v>432</v>
      </c>
      <c r="BA2134" s="395" t="s">
        <v>432</v>
      </c>
      <c r="BB2134" s="396" t="str">
        <f>B2134&amp;C2134</f>
        <v>Normas produzidasacessibilidade</v>
      </c>
      <c r="BC2134" s="396" t="str">
        <f>B2134&amp;C2134&amp;H2134</f>
        <v>Normas produzidasacessibilidadesigla/verbete</v>
      </c>
      <c r="BD2134" s="396" t="str">
        <f>B2134&amp;H2134</f>
        <v>Normas produzidassigla/verbete</v>
      </c>
    </row>
    <row r="2135" spans="1:56" s="127" customFormat="1" ht="31.5" x14ac:dyDescent="0.25">
      <c r="A2135" s="262" t="s">
        <v>432</v>
      </c>
      <c r="B2135" s="53" t="s">
        <v>742</v>
      </c>
      <c r="C2135" s="229" t="s">
        <v>432</v>
      </c>
      <c r="D2135" s="325" t="s">
        <v>5279</v>
      </c>
      <c r="E2135" s="1445" t="s">
        <v>432</v>
      </c>
      <c r="F2135" s="13" t="s">
        <v>5270</v>
      </c>
      <c r="G2135" s="230" t="s">
        <v>3507</v>
      </c>
      <c r="H2135" s="167" t="s">
        <v>2408</v>
      </c>
      <c r="I2135" s="391" t="s">
        <v>432</v>
      </c>
      <c r="J2135" s="343" t="s">
        <v>432</v>
      </c>
      <c r="K2135" s="343" t="s">
        <v>432</v>
      </c>
      <c r="L2135" s="343" t="s">
        <v>432</v>
      </c>
      <c r="M2135" s="343" t="s">
        <v>432</v>
      </c>
      <c r="N2135" s="343" t="s">
        <v>432</v>
      </c>
      <c r="O2135" s="343" t="s">
        <v>432</v>
      </c>
      <c r="P2135" s="343" t="s">
        <v>432</v>
      </c>
      <c r="Q2135" s="343" t="s">
        <v>432</v>
      </c>
      <c r="R2135" s="343" t="s">
        <v>432</v>
      </c>
      <c r="S2135" s="109" t="s">
        <v>2209</v>
      </c>
      <c r="T2135" s="343" t="s">
        <v>432</v>
      </c>
      <c r="U2135" s="343" t="s">
        <v>432</v>
      </c>
      <c r="V2135" s="109" t="s">
        <v>2209</v>
      </c>
      <c r="W2135" s="343" t="s">
        <v>432</v>
      </c>
      <c r="X2135" s="343" t="s">
        <v>432</v>
      </c>
      <c r="Y2135" s="343" t="s">
        <v>432</v>
      </c>
      <c r="Z2135" s="343" t="s">
        <v>432</v>
      </c>
      <c r="AA2135" s="343" t="s">
        <v>432</v>
      </c>
      <c r="AB2135" s="343" t="s">
        <v>432</v>
      </c>
      <c r="AC2135" s="343" t="s">
        <v>432</v>
      </c>
      <c r="AD2135" s="343" t="s">
        <v>432</v>
      </c>
      <c r="AE2135" s="343" t="s">
        <v>432</v>
      </c>
      <c r="AF2135" s="343" t="s">
        <v>432</v>
      </c>
      <c r="AG2135" s="343" t="s">
        <v>432</v>
      </c>
      <c r="AH2135" s="343" t="s">
        <v>432</v>
      </c>
      <c r="AI2135" s="343" t="s">
        <v>432</v>
      </c>
      <c r="AJ2135" s="343" t="s">
        <v>432</v>
      </c>
      <c r="AK2135" s="343" t="s">
        <v>432</v>
      </c>
      <c r="AL2135" s="601" t="s">
        <v>432</v>
      </c>
      <c r="AM2135" s="395" t="s">
        <v>432</v>
      </c>
      <c r="AN2135" s="395" t="s">
        <v>432</v>
      </c>
      <c r="AO2135" s="395" t="s">
        <v>432</v>
      </c>
      <c r="AP2135" s="395" t="s">
        <v>432</v>
      </c>
      <c r="AQ2135" s="395" t="s">
        <v>432</v>
      </c>
      <c r="AR2135" s="395" t="s">
        <v>432</v>
      </c>
      <c r="AS2135" s="395" t="s">
        <v>432</v>
      </c>
      <c r="AT2135" s="395" t="s">
        <v>432</v>
      </c>
      <c r="AU2135" s="395" t="s">
        <v>432</v>
      </c>
      <c r="AV2135" s="395" t="s">
        <v>432</v>
      </c>
      <c r="AW2135" s="395" t="s">
        <v>432</v>
      </c>
      <c r="AX2135" s="395" t="s">
        <v>432</v>
      </c>
      <c r="AY2135" s="395" t="s">
        <v>432</v>
      </c>
      <c r="AZ2135" s="395" t="s">
        <v>432</v>
      </c>
      <c r="BA2135" s="395" t="s">
        <v>432</v>
      </c>
      <c r="BB2135" s="396" t="str">
        <f t="shared" si="602"/>
        <v>geralx</v>
      </c>
      <c r="BC2135" s="396" t="str">
        <f t="shared" si="603"/>
        <v>geralxsigla/verbete</v>
      </c>
      <c r="BD2135" s="396" t="str">
        <f t="shared" si="604"/>
        <v>geralsigla/verbete</v>
      </c>
    </row>
    <row r="2136" spans="1:56" s="1" customFormat="1" ht="205.5" customHeight="1" x14ac:dyDescent="0.25">
      <c r="A2136" s="262" t="s">
        <v>604</v>
      </c>
      <c r="B2136" s="252" t="s">
        <v>736</v>
      </c>
      <c r="C2136" s="167" t="s">
        <v>432</v>
      </c>
      <c r="D2136" s="325" t="s">
        <v>1308</v>
      </c>
      <c r="E2136" s="1445" t="s">
        <v>432</v>
      </c>
      <c r="F2136" s="350" t="s">
        <v>2197</v>
      </c>
      <c r="G2136" s="230" t="s">
        <v>3507</v>
      </c>
      <c r="H2136" s="167" t="s">
        <v>2408</v>
      </c>
      <c r="I2136" s="391" t="s">
        <v>432</v>
      </c>
      <c r="J2136" s="343" t="s">
        <v>432</v>
      </c>
      <c r="K2136" s="343" t="s">
        <v>432</v>
      </c>
      <c r="L2136" s="343" t="s">
        <v>432</v>
      </c>
      <c r="M2136" s="343" t="s">
        <v>432</v>
      </c>
      <c r="N2136" s="343" t="s">
        <v>432</v>
      </c>
      <c r="O2136" s="343" t="s">
        <v>432</v>
      </c>
      <c r="P2136" s="343" t="s">
        <v>432</v>
      </c>
      <c r="Q2136" s="343" t="s">
        <v>432</v>
      </c>
      <c r="R2136" s="343" t="s">
        <v>432</v>
      </c>
      <c r="S2136" s="109" t="s">
        <v>2209</v>
      </c>
      <c r="T2136" s="343" t="s">
        <v>432</v>
      </c>
      <c r="U2136" s="343" t="s">
        <v>432</v>
      </c>
      <c r="V2136" s="109" t="s">
        <v>2209</v>
      </c>
      <c r="W2136" s="343" t="s">
        <v>432</v>
      </c>
      <c r="X2136" s="343" t="s">
        <v>432</v>
      </c>
      <c r="Y2136" s="343" t="s">
        <v>432</v>
      </c>
      <c r="Z2136" s="343" t="s">
        <v>432</v>
      </c>
      <c r="AA2136" s="343" t="s">
        <v>432</v>
      </c>
      <c r="AB2136" s="343" t="s">
        <v>432</v>
      </c>
      <c r="AC2136" s="343" t="s">
        <v>432</v>
      </c>
      <c r="AD2136" s="343" t="s">
        <v>432</v>
      </c>
      <c r="AE2136" s="343" t="s">
        <v>432</v>
      </c>
      <c r="AF2136" s="343" t="s">
        <v>432</v>
      </c>
      <c r="AG2136" s="343" t="s">
        <v>432</v>
      </c>
      <c r="AH2136" s="343" t="s">
        <v>432</v>
      </c>
      <c r="AI2136" s="343" t="s">
        <v>432</v>
      </c>
      <c r="AJ2136" s="343" t="s">
        <v>432</v>
      </c>
      <c r="AK2136" s="343" t="s">
        <v>432</v>
      </c>
      <c r="AL2136" s="601" t="s">
        <v>432</v>
      </c>
      <c r="AM2136" s="395" t="s">
        <v>432</v>
      </c>
      <c r="AN2136" s="395" t="s">
        <v>432</v>
      </c>
      <c r="AO2136" s="395" t="s">
        <v>432</v>
      </c>
      <c r="AP2136" s="395" t="s">
        <v>432</v>
      </c>
      <c r="AQ2136" s="395" t="s">
        <v>432</v>
      </c>
      <c r="AR2136" s="395" t="s">
        <v>432</v>
      </c>
      <c r="AS2136" s="395" t="s">
        <v>432</v>
      </c>
      <c r="AT2136" s="395" t="s">
        <v>432</v>
      </c>
      <c r="AU2136" s="395" t="s">
        <v>432</v>
      </c>
      <c r="AV2136" s="395" t="s">
        <v>432</v>
      </c>
      <c r="AW2136" s="395" t="s">
        <v>432</v>
      </c>
      <c r="AX2136" s="395" t="s">
        <v>432</v>
      </c>
      <c r="AY2136" s="395" t="s">
        <v>432</v>
      </c>
      <c r="AZ2136" s="395" t="s">
        <v>432</v>
      </c>
      <c r="BA2136" s="395" t="s">
        <v>432</v>
      </c>
      <c r="BB2136" s="396" t="str">
        <f t="shared" si="602"/>
        <v>Poluição do arx</v>
      </c>
      <c r="BC2136" s="396" t="str">
        <f t="shared" si="603"/>
        <v>Poluição do arxsigla/verbete</v>
      </c>
      <c r="BD2136" s="396" t="str">
        <f t="shared" si="604"/>
        <v>Poluição do arsigla/verbete</v>
      </c>
    </row>
    <row r="2137" spans="1:56" s="1" customFormat="1" ht="79.5" customHeight="1" x14ac:dyDescent="0.25">
      <c r="A2137" s="262" t="s">
        <v>604</v>
      </c>
      <c r="B2137" s="252" t="s">
        <v>736</v>
      </c>
      <c r="C2137" s="167" t="s">
        <v>432</v>
      </c>
      <c r="D2137" s="325" t="s">
        <v>1308</v>
      </c>
      <c r="E2137" s="1445" t="s">
        <v>432</v>
      </c>
      <c r="F2137" s="102" t="s">
        <v>2196</v>
      </c>
      <c r="G2137" s="167" t="s">
        <v>77</v>
      </c>
      <c r="H2137" s="173" t="s">
        <v>819</v>
      </c>
      <c r="I2137" s="167" t="s">
        <v>432</v>
      </c>
      <c r="J2137" s="343" t="s">
        <v>432</v>
      </c>
      <c r="K2137" s="343" t="s">
        <v>432</v>
      </c>
      <c r="L2137" s="343" t="s">
        <v>432</v>
      </c>
      <c r="M2137" s="343" t="s">
        <v>432</v>
      </c>
      <c r="N2137" s="343" t="s">
        <v>432</v>
      </c>
      <c r="O2137" s="343" t="s">
        <v>432</v>
      </c>
      <c r="P2137" s="343" t="s">
        <v>432</v>
      </c>
      <c r="Q2137" s="343" t="s">
        <v>432</v>
      </c>
      <c r="R2137" s="343" t="s">
        <v>432</v>
      </c>
      <c r="S2137" s="109" t="s">
        <v>2209</v>
      </c>
      <c r="T2137" s="343" t="s">
        <v>432</v>
      </c>
      <c r="U2137" s="343" t="s">
        <v>432</v>
      </c>
      <c r="V2137" s="109" t="s">
        <v>2209</v>
      </c>
      <c r="W2137" s="343" t="s">
        <v>432</v>
      </c>
      <c r="X2137" s="343" t="s">
        <v>432</v>
      </c>
      <c r="Y2137" s="343" t="s">
        <v>432</v>
      </c>
      <c r="Z2137" s="343" t="s">
        <v>432</v>
      </c>
      <c r="AA2137" s="343" t="s">
        <v>432</v>
      </c>
      <c r="AB2137" s="343" t="s">
        <v>432</v>
      </c>
      <c r="AC2137" s="343" t="s">
        <v>432</v>
      </c>
      <c r="AD2137" s="343" t="s">
        <v>432</v>
      </c>
      <c r="AE2137" s="343" t="s">
        <v>432</v>
      </c>
      <c r="AF2137" s="343" t="s">
        <v>432</v>
      </c>
      <c r="AG2137" s="343" t="s">
        <v>432</v>
      </c>
      <c r="AH2137" s="343" t="s">
        <v>432</v>
      </c>
      <c r="AI2137" s="343" t="s">
        <v>432</v>
      </c>
      <c r="AJ2137" s="343" t="s">
        <v>432</v>
      </c>
      <c r="AK2137" s="343" t="s">
        <v>432</v>
      </c>
      <c r="AL2137" s="601" t="s">
        <v>432</v>
      </c>
      <c r="AM2137" s="395" t="s">
        <v>432</v>
      </c>
      <c r="AN2137" s="395" t="s">
        <v>432</v>
      </c>
      <c r="AO2137" s="395" t="s">
        <v>432</v>
      </c>
      <c r="AP2137" s="395" t="s">
        <v>432</v>
      </c>
      <c r="AQ2137" s="395" t="s">
        <v>432</v>
      </c>
      <c r="AR2137" s="395" t="s">
        <v>432</v>
      </c>
      <c r="AS2137" s="395" t="s">
        <v>432</v>
      </c>
      <c r="AT2137" s="395" t="s">
        <v>432</v>
      </c>
      <c r="AU2137" s="395" t="s">
        <v>432</v>
      </c>
      <c r="AV2137" s="395" t="s">
        <v>432</v>
      </c>
      <c r="AW2137" s="395" t="s">
        <v>432</v>
      </c>
      <c r="AX2137" s="395" t="s">
        <v>432</v>
      </c>
      <c r="AY2137" s="395" t="s">
        <v>432</v>
      </c>
      <c r="AZ2137" s="395" t="s">
        <v>432</v>
      </c>
      <c r="BA2137" s="395" t="s">
        <v>432</v>
      </c>
      <c r="BB2137" s="396" t="str">
        <f t="shared" si="602"/>
        <v>Poluição do arx</v>
      </c>
      <c r="BC2137" s="396" t="str">
        <f t="shared" si="603"/>
        <v>Poluição do arxbenchmarking</v>
      </c>
      <c r="BD2137" s="396" t="str">
        <f t="shared" si="604"/>
        <v>Poluição do arbenchmarking</v>
      </c>
    </row>
    <row r="2138" spans="1:56" s="1" customFormat="1" ht="28.5" customHeight="1" x14ac:dyDescent="0.25">
      <c r="A2138" s="262" t="str">
        <f>'Q100b-totais'!B54</f>
        <v>8.2</v>
      </c>
      <c r="B2138" s="252" t="str">
        <f>'Q100b-totais'!C54</f>
        <v>BRT</v>
      </c>
      <c r="C2138" s="167" t="s">
        <v>743</v>
      </c>
      <c r="D2138" s="325" t="s">
        <v>1997</v>
      </c>
      <c r="E2138" s="1445" t="s">
        <v>432</v>
      </c>
      <c r="F2138" s="102" t="s">
        <v>1908</v>
      </c>
      <c r="G2138" s="167" t="s">
        <v>432</v>
      </c>
      <c r="H2138" s="173" t="s">
        <v>2408</v>
      </c>
      <c r="I2138" s="391" t="s">
        <v>432</v>
      </c>
      <c r="J2138" s="343" t="s">
        <v>432</v>
      </c>
      <c r="K2138" s="343" t="s">
        <v>432</v>
      </c>
      <c r="L2138" s="343" t="s">
        <v>432</v>
      </c>
      <c r="M2138" s="343" t="s">
        <v>432</v>
      </c>
      <c r="N2138" s="343" t="s">
        <v>432</v>
      </c>
      <c r="O2138" s="343" t="s">
        <v>432</v>
      </c>
      <c r="P2138" s="343" t="s">
        <v>432</v>
      </c>
      <c r="Q2138" s="343" t="s">
        <v>432</v>
      </c>
      <c r="R2138" s="343" t="s">
        <v>432</v>
      </c>
      <c r="S2138" s="109" t="s">
        <v>2209</v>
      </c>
      <c r="T2138" s="343" t="s">
        <v>432</v>
      </c>
      <c r="U2138" s="343" t="s">
        <v>432</v>
      </c>
      <c r="V2138" s="109" t="s">
        <v>2209</v>
      </c>
      <c r="W2138" s="343" t="s">
        <v>432</v>
      </c>
      <c r="X2138" s="343" t="s">
        <v>432</v>
      </c>
      <c r="Y2138" s="343" t="s">
        <v>432</v>
      </c>
      <c r="Z2138" s="343" t="s">
        <v>432</v>
      </c>
      <c r="AA2138" s="343" t="s">
        <v>432</v>
      </c>
      <c r="AB2138" s="343" t="s">
        <v>432</v>
      </c>
      <c r="AC2138" s="343" t="s">
        <v>432</v>
      </c>
      <c r="AD2138" s="343" t="s">
        <v>432</v>
      </c>
      <c r="AE2138" s="343" t="s">
        <v>432</v>
      </c>
      <c r="AF2138" s="343" t="s">
        <v>432</v>
      </c>
      <c r="AG2138" s="343" t="s">
        <v>432</v>
      </c>
      <c r="AH2138" s="343" t="s">
        <v>432</v>
      </c>
      <c r="AI2138" s="343" t="s">
        <v>432</v>
      </c>
      <c r="AJ2138" s="343" t="s">
        <v>432</v>
      </c>
      <c r="AK2138" s="343" t="s">
        <v>432</v>
      </c>
      <c r="AL2138" s="601" t="s">
        <v>432</v>
      </c>
      <c r="AM2138" s="395" t="s">
        <v>432</v>
      </c>
      <c r="AN2138" s="395" t="s">
        <v>432</v>
      </c>
      <c r="AO2138" s="395" t="s">
        <v>432</v>
      </c>
      <c r="AP2138" s="395" t="s">
        <v>432</v>
      </c>
      <c r="AQ2138" s="395" t="s">
        <v>432</v>
      </c>
      <c r="AR2138" s="395" t="s">
        <v>432</v>
      </c>
      <c r="AS2138" s="395" t="s">
        <v>432</v>
      </c>
      <c r="AT2138" s="395" t="s">
        <v>432</v>
      </c>
      <c r="AU2138" s="395" t="s">
        <v>432</v>
      </c>
      <c r="AV2138" s="395" t="s">
        <v>432</v>
      </c>
      <c r="AW2138" s="395" t="s">
        <v>432</v>
      </c>
      <c r="AX2138" s="395" t="s">
        <v>432</v>
      </c>
      <c r="AY2138" s="395" t="s">
        <v>432</v>
      </c>
      <c r="AZ2138" s="395" t="s">
        <v>432</v>
      </c>
      <c r="BA2138" s="395" t="s">
        <v>432</v>
      </c>
      <c r="BB2138" s="396" t="str">
        <f t="shared" si="602"/>
        <v>BRTacessibilidade</v>
      </c>
      <c r="BC2138" s="396" t="str">
        <f t="shared" si="603"/>
        <v>BRTacessibilidadesigla/verbete</v>
      </c>
      <c r="BD2138" s="396" t="str">
        <f t="shared" si="604"/>
        <v>BRTsigla/verbete</v>
      </c>
    </row>
    <row r="2139" spans="1:56" s="1" customFormat="1" ht="25.5" x14ac:dyDescent="0.25">
      <c r="A2139" s="262" t="s">
        <v>432</v>
      </c>
      <c r="B2139" s="252" t="s">
        <v>742</v>
      </c>
      <c r="C2139" s="167" t="s">
        <v>743</v>
      </c>
      <c r="D2139" s="324" t="s">
        <v>3201</v>
      </c>
      <c r="E2139" s="1364" t="s">
        <v>1767</v>
      </c>
      <c r="F2139" s="11" t="s">
        <v>3200</v>
      </c>
      <c r="G2139" s="230" t="s">
        <v>3507</v>
      </c>
      <c r="H2139" s="167" t="s">
        <v>2408</v>
      </c>
      <c r="I2139" s="167" t="s">
        <v>432</v>
      </c>
      <c r="J2139" s="107" t="s">
        <v>432</v>
      </c>
      <c r="K2139" s="107" t="s">
        <v>432</v>
      </c>
      <c r="L2139" s="107" t="s">
        <v>432</v>
      </c>
      <c r="M2139" s="107" t="s">
        <v>432</v>
      </c>
      <c r="N2139" s="107" t="s">
        <v>432</v>
      </c>
      <c r="O2139" s="107" t="s">
        <v>432</v>
      </c>
      <c r="P2139" s="107" t="s">
        <v>432</v>
      </c>
      <c r="Q2139" s="107" t="s">
        <v>432</v>
      </c>
      <c r="R2139" s="107" t="s">
        <v>432</v>
      </c>
      <c r="S2139" s="109" t="s">
        <v>2209</v>
      </c>
      <c r="T2139" s="107" t="s">
        <v>432</v>
      </c>
      <c r="U2139" s="107" t="s">
        <v>432</v>
      </c>
      <c r="V2139" s="109" t="s">
        <v>2209</v>
      </c>
      <c r="W2139" s="107" t="s">
        <v>432</v>
      </c>
      <c r="X2139" s="107" t="s">
        <v>432</v>
      </c>
      <c r="Y2139" s="107" t="s">
        <v>432</v>
      </c>
      <c r="Z2139" s="107" t="s">
        <v>432</v>
      </c>
      <c r="AA2139" s="107" t="s">
        <v>432</v>
      </c>
      <c r="AB2139" s="107" t="s">
        <v>432</v>
      </c>
      <c r="AC2139" s="107" t="s">
        <v>432</v>
      </c>
      <c r="AD2139" s="107" t="s">
        <v>432</v>
      </c>
      <c r="AE2139" s="107" t="s">
        <v>432</v>
      </c>
      <c r="AF2139" s="107" t="s">
        <v>432</v>
      </c>
      <c r="AG2139" s="107" t="s">
        <v>432</v>
      </c>
      <c r="AH2139" s="107" t="s">
        <v>432</v>
      </c>
      <c r="AI2139" s="107" t="s">
        <v>432</v>
      </c>
      <c r="AJ2139" s="107" t="s">
        <v>432</v>
      </c>
      <c r="AK2139" s="107" t="s">
        <v>432</v>
      </c>
      <c r="AL2139" s="601" t="s">
        <v>432</v>
      </c>
      <c r="AM2139" s="137" t="s">
        <v>432</v>
      </c>
      <c r="AN2139" s="137" t="s">
        <v>432</v>
      </c>
      <c r="AO2139" s="137" t="s">
        <v>432</v>
      </c>
      <c r="AP2139" s="137" t="s">
        <v>432</v>
      </c>
      <c r="AQ2139" s="137" t="s">
        <v>432</v>
      </c>
      <c r="AR2139" s="137" t="s">
        <v>432</v>
      </c>
      <c r="AS2139" s="137" t="s">
        <v>432</v>
      </c>
      <c r="AT2139" s="137" t="s">
        <v>432</v>
      </c>
      <c r="AU2139" s="137" t="s">
        <v>432</v>
      </c>
      <c r="AV2139" s="137" t="s">
        <v>432</v>
      </c>
      <c r="AW2139" s="137" t="s">
        <v>432</v>
      </c>
      <c r="AX2139" s="137" t="s">
        <v>432</v>
      </c>
      <c r="AY2139" s="137" t="s">
        <v>432</v>
      </c>
      <c r="AZ2139" s="137" t="s">
        <v>432</v>
      </c>
      <c r="BA2139" s="137" t="s">
        <v>432</v>
      </c>
      <c r="BB2139" s="239" t="str">
        <f t="shared" si="602"/>
        <v>geralacessibilidade</v>
      </c>
      <c r="BC2139" s="239" t="str">
        <f t="shared" si="603"/>
        <v>geralacessibilidadesigla/verbete</v>
      </c>
      <c r="BD2139" s="239" t="str">
        <f t="shared" si="604"/>
        <v>geralsigla/verbete</v>
      </c>
    </row>
    <row r="2140" spans="1:56" s="3" customFormat="1" ht="38.25" x14ac:dyDescent="0.25">
      <c r="A2140" s="262" t="s">
        <v>432</v>
      </c>
      <c r="B2140" s="252" t="s">
        <v>742</v>
      </c>
      <c r="C2140" s="167" t="s">
        <v>432</v>
      </c>
      <c r="D2140" s="716" t="s">
        <v>3031</v>
      </c>
      <c r="E2140" s="1499" t="s">
        <v>4198</v>
      </c>
      <c r="F2140" s="252" t="s">
        <v>4255</v>
      </c>
      <c r="G2140" s="230" t="s">
        <v>3507</v>
      </c>
      <c r="H2140" s="167" t="s">
        <v>2408</v>
      </c>
      <c r="I2140" s="167" t="s">
        <v>432</v>
      </c>
      <c r="J2140" s="107" t="s">
        <v>432</v>
      </c>
      <c r="K2140" s="107" t="s">
        <v>432</v>
      </c>
      <c r="L2140" s="107" t="s">
        <v>432</v>
      </c>
      <c r="M2140" s="107" t="s">
        <v>432</v>
      </c>
      <c r="N2140" s="107" t="s">
        <v>432</v>
      </c>
      <c r="O2140" s="107" t="s">
        <v>432</v>
      </c>
      <c r="P2140" s="107" t="s">
        <v>432</v>
      </c>
      <c r="Q2140" s="107" t="s">
        <v>432</v>
      </c>
      <c r="R2140" s="107" t="s">
        <v>432</v>
      </c>
      <c r="S2140" s="109" t="s">
        <v>2209</v>
      </c>
      <c r="T2140" s="107" t="s">
        <v>432</v>
      </c>
      <c r="U2140" s="107" t="s">
        <v>432</v>
      </c>
      <c r="V2140" s="109" t="s">
        <v>2209</v>
      </c>
      <c r="W2140" s="107" t="s">
        <v>432</v>
      </c>
      <c r="X2140" s="107" t="s">
        <v>432</v>
      </c>
      <c r="Y2140" s="107" t="s">
        <v>432</v>
      </c>
      <c r="Z2140" s="107" t="s">
        <v>432</v>
      </c>
      <c r="AA2140" s="107" t="s">
        <v>432</v>
      </c>
      <c r="AB2140" s="107" t="s">
        <v>432</v>
      </c>
      <c r="AC2140" s="107" t="s">
        <v>432</v>
      </c>
      <c r="AD2140" s="107" t="s">
        <v>432</v>
      </c>
      <c r="AE2140" s="107" t="s">
        <v>432</v>
      </c>
      <c r="AF2140" s="107" t="s">
        <v>432</v>
      </c>
      <c r="AG2140" s="107" t="s">
        <v>432</v>
      </c>
      <c r="AH2140" s="107" t="s">
        <v>432</v>
      </c>
      <c r="AI2140" s="107" t="s">
        <v>432</v>
      </c>
      <c r="AJ2140" s="107" t="s">
        <v>432</v>
      </c>
      <c r="AK2140" s="107" t="s">
        <v>432</v>
      </c>
      <c r="AL2140" s="601" t="s">
        <v>432</v>
      </c>
      <c r="AM2140" s="137" t="s">
        <v>432</v>
      </c>
      <c r="AN2140" s="137" t="s">
        <v>432</v>
      </c>
      <c r="AO2140" s="137" t="s">
        <v>432</v>
      </c>
      <c r="AP2140" s="137" t="s">
        <v>432</v>
      </c>
      <c r="AQ2140" s="137" t="s">
        <v>432</v>
      </c>
      <c r="AR2140" s="137" t="s">
        <v>432</v>
      </c>
      <c r="AS2140" s="137" t="s">
        <v>432</v>
      </c>
      <c r="AT2140" s="137" t="s">
        <v>432</v>
      </c>
      <c r="AU2140" s="137" t="s">
        <v>432</v>
      </c>
      <c r="AV2140" s="137" t="s">
        <v>432</v>
      </c>
      <c r="AW2140" s="137" t="s">
        <v>432</v>
      </c>
      <c r="AX2140" s="137" t="s">
        <v>432</v>
      </c>
      <c r="AY2140" s="137" t="s">
        <v>432</v>
      </c>
      <c r="AZ2140" s="137" t="s">
        <v>432</v>
      </c>
      <c r="BA2140" s="137" t="s">
        <v>432</v>
      </c>
      <c r="BB2140" s="239" t="str">
        <f t="shared" si="602"/>
        <v>geralx</v>
      </c>
      <c r="BC2140" s="239" t="str">
        <f t="shared" si="603"/>
        <v>geralxsigla/verbete</v>
      </c>
      <c r="BD2140" s="239" t="str">
        <f t="shared" si="604"/>
        <v>geralsigla/verbete</v>
      </c>
    </row>
    <row r="2141" spans="1:56" s="1" customFormat="1" ht="39.75" customHeight="1" x14ac:dyDescent="0.25">
      <c r="A2141" s="275" t="str">
        <f>'Q100b-totais'!$B$24</f>
        <v>3.1</v>
      </c>
      <c r="B2141" s="54" t="str">
        <f>'Q100b-totais'!$C$24</f>
        <v>Normas produzidas</v>
      </c>
      <c r="C2141" s="230" t="s">
        <v>432</v>
      </c>
      <c r="D2141" s="939" t="s">
        <v>330</v>
      </c>
      <c r="E2141" s="509" t="s">
        <v>1306</v>
      </c>
      <c r="F2141" s="5" t="s">
        <v>2481</v>
      </c>
      <c r="G2141" s="230" t="s">
        <v>3507</v>
      </c>
      <c r="H2141" s="455" t="s">
        <v>2408</v>
      </c>
      <c r="I2141" s="57" t="s">
        <v>432</v>
      </c>
      <c r="J2141" s="109" t="s">
        <v>432</v>
      </c>
      <c r="K2141" s="109" t="s">
        <v>432</v>
      </c>
      <c r="L2141" s="109" t="s">
        <v>432</v>
      </c>
      <c r="M2141" s="109" t="s">
        <v>432</v>
      </c>
      <c r="N2141" s="109" t="s">
        <v>432</v>
      </c>
      <c r="O2141" s="109" t="s">
        <v>432</v>
      </c>
      <c r="P2141" s="109" t="s">
        <v>432</v>
      </c>
      <c r="Q2141" s="109" t="s">
        <v>432</v>
      </c>
      <c r="R2141" s="109" t="s">
        <v>432</v>
      </c>
      <c r="S2141" s="109" t="s">
        <v>2209</v>
      </c>
      <c r="T2141" s="109" t="s">
        <v>432</v>
      </c>
      <c r="U2141" s="109" t="s">
        <v>432</v>
      </c>
      <c r="V2141" s="109" t="s">
        <v>2209</v>
      </c>
      <c r="W2141" s="109" t="s">
        <v>432</v>
      </c>
      <c r="X2141" s="109" t="s">
        <v>432</v>
      </c>
      <c r="Y2141" s="109" t="s">
        <v>432</v>
      </c>
      <c r="Z2141" s="109" t="s">
        <v>432</v>
      </c>
      <c r="AA2141" s="109" t="s">
        <v>432</v>
      </c>
      <c r="AB2141" s="109" t="s">
        <v>432</v>
      </c>
      <c r="AC2141" s="109" t="s">
        <v>432</v>
      </c>
      <c r="AD2141" s="109" t="s">
        <v>432</v>
      </c>
      <c r="AE2141" s="109" t="s">
        <v>432</v>
      </c>
      <c r="AF2141" s="109" t="s">
        <v>432</v>
      </c>
      <c r="AG2141" s="109" t="s">
        <v>432</v>
      </c>
      <c r="AH2141" s="109" t="s">
        <v>432</v>
      </c>
      <c r="AI2141" s="109" t="s">
        <v>432</v>
      </c>
      <c r="AJ2141" s="109" t="s">
        <v>432</v>
      </c>
      <c r="AK2141" s="137" t="s">
        <v>432</v>
      </c>
      <c r="AL2141" s="601" t="s">
        <v>432</v>
      </c>
      <c r="AM2141" s="137" t="s">
        <v>432</v>
      </c>
      <c r="AN2141" s="137" t="s">
        <v>432</v>
      </c>
      <c r="AO2141" s="137" t="s">
        <v>432</v>
      </c>
      <c r="AP2141" s="137" t="s">
        <v>432</v>
      </c>
      <c r="AQ2141" s="137" t="s">
        <v>432</v>
      </c>
      <c r="AR2141" s="137" t="s">
        <v>432</v>
      </c>
      <c r="AS2141" s="137" t="s">
        <v>432</v>
      </c>
      <c r="AT2141" s="137" t="s">
        <v>432</v>
      </c>
      <c r="AU2141" s="137" t="s">
        <v>432</v>
      </c>
      <c r="AV2141" s="137" t="s">
        <v>432</v>
      </c>
      <c r="AW2141" s="137" t="s">
        <v>432</v>
      </c>
      <c r="AX2141" s="137" t="s">
        <v>432</v>
      </c>
      <c r="AY2141" s="137" t="s">
        <v>432</v>
      </c>
      <c r="AZ2141" s="137" t="s">
        <v>432</v>
      </c>
      <c r="BA2141" s="137" t="s">
        <v>432</v>
      </c>
      <c r="BB2141" s="239" t="str">
        <f t="shared" si="602"/>
        <v>Normas produzidasx</v>
      </c>
      <c r="BC2141" s="239" t="str">
        <f t="shared" si="603"/>
        <v>Normas produzidasxsigla/verbete</v>
      </c>
      <c r="BD2141" s="239" t="str">
        <f t="shared" si="604"/>
        <v>Normas produzidassigla/verbete</v>
      </c>
    </row>
    <row r="2142" spans="1:56" s="1" customFormat="1" ht="25.5" x14ac:dyDescent="0.25">
      <c r="A2142" s="275" t="str">
        <f>'Q100b-totais'!$B$24</f>
        <v>3.1</v>
      </c>
      <c r="B2142" s="54" t="str">
        <f>'Q100b-totais'!$C$24</f>
        <v>Normas produzidas</v>
      </c>
      <c r="C2142" s="230" t="s">
        <v>432</v>
      </c>
      <c r="D2142" s="939" t="s">
        <v>331</v>
      </c>
      <c r="E2142" s="509" t="s">
        <v>1306</v>
      </c>
      <c r="F2142" s="5" t="s">
        <v>5758</v>
      </c>
      <c r="G2142" s="230" t="s">
        <v>3507</v>
      </c>
      <c r="H2142" s="455" t="s">
        <v>2408</v>
      </c>
      <c r="I2142" s="57" t="s">
        <v>432</v>
      </c>
      <c r="J2142" s="109" t="s">
        <v>432</v>
      </c>
      <c r="K2142" s="109" t="s">
        <v>432</v>
      </c>
      <c r="L2142" s="109" t="s">
        <v>432</v>
      </c>
      <c r="M2142" s="109" t="s">
        <v>432</v>
      </c>
      <c r="N2142" s="109" t="s">
        <v>432</v>
      </c>
      <c r="O2142" s="109" t="s">
        <v>432</v>
      </c>
      <c r="P2142" s="109" t="s">
        <v>432</v>
      </c>
      <c r="Q2142" s="109" t="s">
        <v>432</v>
      </c>
      <c r="R2142" s="109" t="s">
        <v>432</v>
      </c>
      <c r="S2142" s="109" t="s">
        <v>2209</v>
      </c>
      <c r="T2142" s="109" t="s">
        <v>432</v>
      </c>
      <c r="U2142" s="109" t="s">
        <v>432</v>
      </c>
      <c r="V2142" s="109" t="s">
        <v>2209</v>
      </c>
      <c r="W2142" s="109" t="s">
        <v>432</v>
      </c>
      <c r="X2142" s="109" t="s">
        <v>432</v>
      </c>
      <c r="Y2142" s="109" t="s">
        <v>432</v>
      </c>
      <c r="Z2142" s="109" t="s">
        <v>432</v>
      </c>
      <c r="AA2142" s="109" t="s">
        <v>432</v>
      </c>
      <c r="AB2142" s="109" t="s">
        <v>432</v>
      </c>
      <c r="AC2142" s="109" t="s">
        <v>432</v>
      </c>
      <c r="AD2142" s="109" t="s">
        <v>432</v>
      </c>
      <c r="AE2142" s="109" t="s">
        <v>432</v>
      </c>
      <c r="AF2142" s="109" t="s">
        <v>432</v>
      </c>
      <c r="AG2142" s="109" t="s">
        <v>432</v>
      </c>
      <c r="AH2142" s="109" t="s">
        <v>432</v>
      </c>
      <c r="AI2142" s="109" t="s">
        <v>432</v>
      </c>
      <c r="AJ2142" s="109" t="s">
        <v>432</v>
      </c>
      <c r="AK2142" s="137" t="s">
        <v>432</v>
      </c>
      <c r="AL2142" s="601" t="s">
        <v>432</v>
      </c>
      <c r="AM2142" s="137" t="s">
        <v>432</v>
      </c>
      <c r="AN2142" s="137" t="s">
        <v>432</v>
      </c>
      <c r="AO2142" s="137" t="s">
        <v>432</v>
      </c>
      <c r="AP2142" s="137" t="s">
        <v>432</v>
      </c>
      <c r="AQ2142" s="137" t="s">
        <v>432</v>
      </c>
      <c r="AR2142" s="137" t="s">
        <v>432</v>
      </c>
      <c r="AS2142" s="137" t="s">
        <v>432</v>
      </c>
      <c r="AT2142" s="137" t="s">
        <v>432</v>
      </c>
      <c r="AU2142" s="137" t="s">
        <v>432</v>
      </c>
      <c r="AV2142" s="137" t="s">
        <v>432</v>
      </c>
      <c r="AW2142" s="137" t="s">
        <v>432</v>
      </c>
      <c r="AX2142" s="137" t="s">
        <v>432</v>
      </c>
      <c r="AY2142" s="137" t="s">
        <v>432</v>
      </c>
      <c r="AZ2142" s="137" t="s">
        <v>432</v>
      </c>
      <c r="BA2142" s="137" t="s">
        <v>432</v>
      </c>
      <c r="BB2142" s="239" t="str">
        <f t="shared" si="602"/>
        <v>Normas produzidasx</v>
      </c>
      <c r="BC2142" s="239" t="str">
        <f t="shared" si="603"/>
        <v>Normas produzidasxsigla/verbete</v>
      </c>
      <c r="BD2142" s="239" t="str">
        <f t="shared" si="604"/>
        <v>Normas produzidassigla/verbete</v>
      </c>
    </row>
    <row r="2143" spans="1:56" s="1" customFormat="1" ht="25.5" x14ac:dyDescent="0.25">
      <c r="A2143" s="275" t="str">
        <f>'Q100b-totais'!$B$24</f>
        <v>3.1</v>
      </c>
      <c r="B2143" s="54" t="str">
        <f>'Q100b-totais'!$C$24</f>
        <v>Normas produzidas</v>
      </c>
      <c r="C2143" s="230" t="s">
        <v>432</v>
      </c>
      <c r="D2143" s="939" t="s">
        <v>332</v>
      </c>
      <c r="E2143" s="509" t="s">
        <v>1306</v>
      </c>
      <c r="F2143" s="5" t="s">
        <v>5759</v>
      </c>
      <c r="G2143" s="230" t="s">
        <v>3507</v>
      </c>
      <c r="H2143" s="455" t="s">
        <v>2408</v>
      </c>
      <c r="I2143" s="57" t="s">
        <v>432</v>
      </c>
      <c r="J2143" s="109" t="s">
        <v>432</v>
      </c>
      <c r="K2143" s="109" t="s">
        <v>432</v>
      </c>
      <c r="L2143" s="109" t="s">
        <v>432</v>
      </c>
      <c r="M2143" s="109" t="s">
        <v>432</v>
      </c>
      <c r="N2143" s="109" t="s">
        <v>432</v>
      </c>
      <c r="O2143" s="109" t="s">
        <v>432</v>
      </c>
      <c r="P2143" s="109" t="s">
        <v>432</v>
      </c>
      <c r="Q2143" s="109" t="s">
        <v>432</v>
      </c>
      <c r="R2143" s="109" t="s">
        <v>432</v>
      </c>
      <c r="S2143" s="109" t="s">
        <v>2209</v>
      </c>
      <c r="T2143" s="109" t="s">
        <v>432</v>
      </c>
      <c r="U2143" s="109" t="s">
        <v>432</v>
      </c>
      <c r="V2143" s="109" t="s">
        <v>2209</v>
      </c>
      <c r="W2143" s="109" t="s">
        <v>432</v>
      </c>
      <c r="X2143" s="109" t="s">
        <v>432</v>
      </c>
      <c r="Y2143" s="109" t="s">
        <v>432</v>
      </c>
      <c r="Z2143" s="109" t="s">
        <v>432</v>
      </c>
      <c r="AA2143" s="109" t="s">
        <v>432</v>
      </c>
      <c r="AB2143" s="109" t="s">
        <v>432</v>
      </c>
      <c r="AC2143" s="109" t="s">
        <v>432</v>
      </c>
      <c r="AD2143" s="109" t="s">
        <v>432</v>
      </c>
      <c r="AE2143" s="109" t="s">
        <v>432</v>
      </c>
      <c r="AF2143" s="109" t="s">
        <v>432</v>
      </c>
      <c r="AG2143" s="109" t="s">
        <v>432</v>
      </c>
      <c r="AH2143" s="109" t="s">
        <v>432</v>
      </c>
      <c r="AI2143" s="109" t="s">
        <v>432</v>
      </c>
      <c r="AJ2143" s="109" t="s">
        <v>432</v>
      </c>
      <c r="AK2143" s="137" t="s">
        <v>432</v>
      </c>
      <c r="AL2143" s="601" t="s">
        <v>432</v>
      </c>
      <c r="AM2143" s="137" t="s">
        <v>432</v>
      </c>
      <c r="AN2143" s="137" t="s">
        <v>432</v>
      </c>
      <c r="AO2143" s="137" t="s">
        <v>432</v>
      </c>
      <c r="AP2143" s="137" t="s">
        <v>432</v>
      </c>
      <c r="AQ2143" s="137" t="s">
        <v>432</v>
      </c>
      <c r="AR2143" s="137" t="s">
        <v>432</v>
      </c>
      <c r="AS2143" s="137" t="s">
        <v>432</v>
      </c>
      <c r="AT2143" s="137" t="s">
        <v>432</v>
      </c>
      <c r="AU2143" s="137" t="s">
        <v>432</v>
      </c>
      <c r="AV2143" s="137" t="s">
        <v>432</v>
      </c>
      <c r="AW2143" s="137" t="s">
        <v>432</v>
      </c>
      <c r="AX2143" s="137" t="s">
        <v>432</v>
      </c>
      <c r="AY2143" s="137" t="s">
        <v>432</v>
      </c>
      <c r="AZ2143" s="137" t="s">
        <v>432</v>
      </c>
      <c r="BA2143" s="137" t="s">
        <v>432</v>
      </c>
      <c r="BB2143" s="239" t="str">
        <f t="shared" si="602"/>
        <v>Normas produzidasx</v>
      </c>
      <c r="BC2143" s="239" t="str">
        <f t="shared" si="603"/>
        <v>Normas produzidasxsigla/verbete</v>
      </c>
      <c r="BD2143" s="239" t="str">
        <f t="shared" si="604"/>
        <v>Normas produzidassigla/verbete</v>
      </c>
    </row>
    <row r="2144" spans="1:56" s="1" customFormat="1" ht="25.5" x14ac:dyDescent="0.25">
      <c r="A2144" s="275" t="str">
        <f>'Q100b-totais'!$B$24</f>
        <v>3.1</v>
      </c>
      <c r="B2144" s="54" t="str">
        <f>'Q100b-totais'!$C$24</f>
        <v>Normas produzidas</v>
      </c>
      <c r="C2144" s="230" t="s">
        <v>432</v>
      </c>
      <c r="D2144" s="939" t="s">
        <v>333</v>
      </c>
      <c r="E2144" s="509" t="s">
        <v>1306</v>
      </c>
      <c r="F2144" s="5" t="s">
        <v>5755</v>
      </c>
      <c r="G2144" s="230" t="s">
        <v>3507</v>
      </c>
      <c r="H2144" s="455" t="s">
        <v>2408</v>
      </c>
      <c r="I2144" s="57" t="s">
        <v>432</v>
      </c>
      <c r="J2144" s="109" t="s">
        <v>432</v>
      </c>
      <c r="K2144" s="109" t="s">
        <v>432</v>
      </c>
      <c r="L2144" s="109" t="s">
        <v>432</v>
      </c>
      <c r="M2144" s="109" t="s">
        <v>432</v>
      </c>
      <c r="N2144" s="109" t="s">
        <v>432</v>
      </c>
      <c r="O2144" s="109" t="s">
        <v>432</v>
      </c>
      <c r="P2144" s="109" t="s">
        <v>432</v>
      </c>
      <c r="Q2144" s="109" t="s">
        <v>432</v>
      </c>
      <c r="R2144" s="109" t="s">
        <v>432</v>
      </c>
      <c r="S2144" s="109" t="s">
        <v>2209</v>
      </c>
      <c r="T2144" s="109" t="s">
        <v>432</v>
      </c>
      <c r="U2144" s="109" t="s">
        <v>432</v>
      </c>
      <c r="V2144" s="109" t="s">
        <v>2209</v>
      </c>
      <c r="W2144" s="109" t="s">
        <v>432</v>
      </c>
      <c r="X2144" s="109" t="s">
        <v>432</v>
      </c>
      <c r="Y2144" s="109" t="s">
        <v>432</v>
      </c>
      <c r="Z2144" s="109" t="s">
        <v>432</v>
      </c>
      <c r="AA2144" s="109" t="s">
        <v>432</v>
      </c>
      <c r="AB2144" s="109" t="s">
        <v>432</v>
      </c>
      <c r="AC2144" s="109" t="s">
        <v>432</v>
      </c>
      <c r="AD2144" s="109" t="s">
        <v>432</v>
      </c>
      <c r="AE2144" s="109" t="s">
        <v>432</v>
      </c>
      <c r="AF2144" s="109" t="s">
        <v>432</v>
      </c>
      <c r="AG2144" s="109" t="s">
        <v>432</v>
      </c>
      <c r="AH2144" s="109" t="s">
        <v>432</v>
      </c>
      <c r="AI2144" s="109" t="s">
        <v>432</v>
      </c>
      <c r="AJ2144" s="109" t="s">
        <v>432</v>
      </c>
      <c r="AK2144" s="137" t="s">
        <v>432</v>
      </c>
      <c r="AL2144" s="601" t="s">
        <v>432</v>
      </c>
      <c r="AM2144" s="137" t="s">
        <v>432</v>
      </c>
      <c r="AN2144" s="137" t="s">
        <v>432</v>
      </c>
      <c r="AO2144" s="137" t="s">
        <v>432</v>
      </c>
      <c r="AP2144" s="137" t="s">
        <v>432</v>
      </c>
      <c r="AQ2144" s="137" t="s">
        <v>432</v>
      </c>
      <c r="AR2144" s="137" t="s">
        <v>432</v>
      </c>
      <c r="AS2144" s="137" t="s">
        <v>432</v>
      </c>
      <c r="AT2144" s="137" t="s">
        <v>432</v>
      </c>
      <c r="AU2144" s="137" t="s">
        <v>432</v>
      </c>
      <c r="AV2144" s="137" t="s">
        <v>432</v>
      </c>
      <c r="AW2144" s="137" t="s">
        <v>432</v>
      </c>
      <c r="AX2144" s="137" t="s">
        <v>432</v>
      </c>
      <c r="AY2144" s="137" t="s">
        <v>432</v>
      </c>
      <c r="AZ2144" s="137" t="s">
        <v>432</v>
      </c>
      <c r="BA2144" s="137" t="s">
        <v>432</v>
      </c>
      <c r="BB2144" s="239" t="str">
        <f t="shared" si="602"/>
        <v>Normas produzidasx</v>
      </c>
      <c r="BC2144" s="239" t="str">
        <f t="shared" si="603"/>
        <v>Normas produzidasxsigla/verbete</v>
      </c>
      <c r="BD2144" s="239" t="str">
        <f t="shared" si="604"/>
        <v>Normas produzidassigla/verbete</v>
      </c>
    </row>
    <row r="2145" spans="1:56" s="1" customFormat="1" ht="25.5" x14ac:dyDescent="0.25">
      <c r="A2145" s="275" t="str">
        <f>'Q100b-totais'!$B$24</f>
        <v>3.1</v>
      </c>
      <c r="B2145" s="54" t="str">
        <f>'Q100b-totais'!$C$24</f>
        <v>Normas produzidas</v>
      </c>
      <c r="C2145" s="230" t="s">
        <v>432</v>
      </c>
      <c r="D2145" s="939" t="s">
        <v>334</v>
      </c>
      <c r="E2145" s="509" t="s">
        <v>1306</v>
      </c>
      <c r="F2145" s="5" t="s">
        <v>5756</v>
      </c>
      <c r="G2145" s="230" t="s">
        <v>3507</v>
      </c>
      <c r="H2145" s="455" t="s">
        <v>2408</v>
      </c>
      <c r="I2145" s="57" t="s">
        <v>432</v>
      </c>
      <c r="J2145" s="109" t="s">
        <v>432</v>
      </c>
      <c r="K2145" s="109" t="s">
        <v>432</v>
      </c>
      <c r="L2145" s="109" t="s">
        <v>432</v>
      </c>
      <c r="M2145" s="109" t="s">
        <v>432</v>
      </c>
      <c r="N2145" s="109" t="s">
        <v>432</v>
      </c>
      <c r="O2145" s="109" t="s">
        <v>432</v>
      </c>
      <c r="P2145" s="109" t="s">
        <v>432</v>
      </c>
      <c r="Q2145" s="109" t="s">
        <v>432</v>
      </c>
      <c r="R2145" s="109" t="s">
        <v>432</v>
      </c>
      <c r="S2145" s="109" t="s">
        <v>2209</v>
      </c>
      <c r="T2145" s="109" t="s">
        <v>432</v>
      </c>
      <c r="U2145" s="109" t="s">
        <v>432</v>
      </c>
      <c r="V2145" s="109" t="s">
        <v>2209</v>
      </c>
      <c r="W2145" s="109" t="s">
        <v>432</v>
      </c>
      <c r="X2145" s="109" t="s">
        <v>432</v>
      </c>
      <c r="Y2145" s="109" t="s">
        <v>432</v>
      </c>
      <c r="Z2145" s="109" t="s">
        <v>432</v>
      </c>
      <c r="AA2145" s="109" t="s">
        <v>432</v>
      </c>
      <c r="AB2145" s="109" t="s">
        <v>432</v>
      </c>
      <c r="AC2145" s="109" t="s">
        <v>432</v>
      </c>
      <c r="AD2145" s="109" t="s">
        <v>432</v>
      </c>
      <c r="AE2145" s="109" t="s">
        <v>432</v>
      </c>
      <c r="AF2145" s="109" t="s">
        <v>432</v>
      </c>
      <c r="AG2145" s="109" t="s">
        <v>432</v>
      </c>
      <c r="AH2145" s="109" t="s">
        <v>432</v>
      </c>
      <c r="AI2145" s="109" t="s">
        <v>432</v>
      </c>
      <c r="AJ2145" s="109" t="s">
        <v>432</v>
      </c>
      <c r="AK2145" s="137" t="s">
        <v>432</v>
      </c>
      <c r="AL2145" s="601" t="s">
        <v>432</v>
      </c>
      <c r="AM2145" s="137" t="s">
        <v>432</v>
      </c>
      <c r="AN2145" s="137" t="s">
        <v>432</v>
      </c>
      <c r="AO2145" s="137" t="s">
        <v>432</v>
      </c>
      <c r="AP2145" s="137" t="s">
        <v>432</v>
      </c>
      <c r="AQ2145" s="137" t="s">
        <v>432</v>
      </c>
      <c r="AR2145" s="137" t="s">
        <v>432</v>
      </c>
      <c r="AS2145" s="137" t="s">
        <v>432</v>
      </c>
      <c r="AT2145" s="137" t="s">
        <v>432</v>
      </c>
      <c r="AU2145" s="137" t="s">
        <v>432</v>
      </c>
      <c r="AV2145" s="137" t="s">
        <v>432</v>
      </c>
      <c r="AW2145" s="137" t="s">
        <v>432</v>
      </c>
      <c r="AX2145" s="137" t="s">
        <v>432</v>
      </c>
      <c r="AY2145" s="137" t="s">
        <v>432</v>
      </c>
      <c r="AZ2145" s="137" t="s">
        <v>432</v>
      </c>
      <c r="BA2145" s="137" t="s">
        <v>432</v>
      </c>
      <c r="BB2145" s="239" t="str">
        <f t="shared" si="602"/>
        <v>Normas produzidasx</v>
      </c>
      <c r="BC2145" s="239" t="str">
        <f t="shared" si="603"/>
        <v>Normas produzidasxsigla/verbete</v>
      </c>
      <c r="BD2145" s="239" t="str">
        <f t="shared" si="604"/>
        <v>Normas produzidassigla/verbete</v>
      </c>
    </row>
    <row r="2146" spans="1:56" s="1" customFormat="1" ht="25.5" x14ac:dyDescent="0.25">
      <c r="A2146" s="275" t="str">
        <f>'Q100b-totais'!$B$24</f>
        <v>3.1</v>
      </c>
      <c r="B2146" s="54" t="str">
        <f>'Q100b-totais'!$C$24</f>
        <v>Normas produzidas</v>
      </c>
      <c r="C2146" s="230" t="s">
        <v>432</v>
      </c>
      <c r="D2146" s="969" t="s">
        <v>335</v>
      </c>
      <c r="E2146" s="509" t="s">
        <v>1306</v>
      </c>
      <c r="F2146" s="59" t="s">
        <v>5757</v>
      </c>
      <c r="G2146" s="230" t="s">
        <v>3507</v>
      </c>
      <c r="H2146" s="455" t="s">
        <v>2408</v>
      </c>
      <c r="I2146" s="57" t="s">
        <v>432</v>
      </c>
      <c r="J2146" s="109" t="s">
        <v>432</v>
      </c>
      <c r="K2146" s="109" t="s">
        <v>432</v>
      </c>
      <c r="L2146" s="109" t="s">
        <v>432</v>
      </c>
      <c r="M2146" s="109" t="s">
        <v>432</v>
      </c>
      <c r="N2146" s="109" t="s">
        <v>432</v>
      </c>
      <c r="O2146" s="109" t="s">
        <v>432</v>
      </c>
      <c r="P2146" s="109" t="s">
        <v>432</v>
      </c>
      <c r="Q2146" s="109" t="s">
        <v>432</v>
      </c>
      <c r="R2146" s="109" t="s">
        <v>432</v>
      </c>
      <c r="S2146" s="109" t="s">
        <v>2209</v>
      </c>
      <c r="T2146" s="109" t="s">
        <v>432</v>
      </c>
      <c r="U2146" s="109" t="s">
        <v>432</v>
      </c>
      <c r="V2146" s="109" t="s">
        <v>2209</v>
      </c>
      <c r="W2146" s="109" t="s">
        <v>432</v>
      </c>
      <c r="X2146" s="109" t="s">
        <v>432</v>
      </c>
      <c r="Y2146" s="109" t="s">
        <v>432</v>
      </c>
      <c r="Z2146" s="109" t="s">
        <v>432</v>
      </c>
      <c r="AA2146" s="109" t="s">
        <v>432</v>
      </c>
      <c r="AB2146" s="109" t="s">
        <v>432</v>
      </c>
      <c r="AC2146" s="109" t="s">
        <v>432</v>
      </c>
      <c r="AD2146" s="109" t="s">
        <v>432</v>
      </c>
      <c r="AE2146" s="109" t="s">
        <v>432</v>
      </c>
      <c r="AF2146" s="109" t="s">
        <v>432</v>
      </c>
      <c r="AG2146" s="109" t="s">
        <v>432</v>
      </c>
      <c r="AH2146" s="109" t="s">
        <v>432</v>
      </c>
      <c r="AI2146" s="109" t="s">
        <v>432</v>
      </c>
      <c r="AJ2146" s="109" t="s">
        <v>432</v>
      </c>
      <c r="AK2146" s="137" t="s">
        <v>432</v>
      </c>
      <c r="AL2146" s="601" t="s">
        <v>432</v>
      </c>
      <c r="AM2146" s="137" t="s">
        <v>432</v>
      </c>
      <c r="AN2146" s="137" t="s">
        <v>432</v>
      </c>
      <c r="AO2146" s="137" t="s">
        <v>432</v>
      </c>
      <c r="AP2146" s="137" t="s">
        <v>432</v>
      </c>
      <c r="AQ2146" s="137" t="s">
        <v>432</v>
      </c>
      <c r="AR2146" s="137" t="s">
        <v>432</v>
      </c>
      <c r="AS2146" s="137" t="s">
        <v>432</v>
      </c>
      <c r="AT2146" s="137" t="s">
        <v>432</v>
      </c>
      <c r="AU2146" s="137" t="s">
        <v>432</v>
      </c>
      <c r="AV2146" s="137" t="s">
        <v>432</v>
      </c>
      <c r="AW2146" s="137" t="s">
        <v>432</v>
      </c>
      <c r="AX2146" s="137" t="s">
        <v>432</v>
      </c>
      <c r="AY2146" s="137" t="s">
        <v>432</v>
      </c>
      <c r="AZ2146" s="137" t="s">
        <v>432</v>
      </c>
      <c r="BA2146" s="137" t="s">
        <v>432</v>
      </c>
      <c r="BB2146" s="239" t="str">
        <f t="shared" si="602"/>
        <v>Normas produzidasx</v>
      </c>
      <c r="BC2146" s="239" t="str">
        <f t="shared" si="603"/>
        <v>Normas produzidasxsigla/verbete</v>
      </c>
      <c r="BD2146" s="239" t="str">
        <f t="shared" si="604"/>
        <v>Normas produzidassigla/verbete</v>
      </c>
    </row>
    <row r="2147" spans="1:56" s="1" customFormat="1" ht="46.5" customHeight="1" x14ac:dyDescent="0.25">
      <c r="A2147" s="275" t="str">
        <f>'Q100b-totais'!B24</f>
        <v>3.1</v>
      </c>
      <c r="B2147" s="54" t="str">
        <f>'Q100b-totais'!C24</f>
        <v>Normas produzidas</v>
      </c>
      <c r="C2147" s="230" t="s">
        <v>743</v>
      </c>
      <c r="D2147" s="969" t="s">
        <v>2482</v>
      </c>
      <c r="E2147" s="509" t="s">
        <v>1306</v>
      </c>
      <c r="F2147" s="59" t="s">
        <v>5753</v>
      </c>
      <c r="G2147" s="230" t="s">
        <v>3507</v>
      </c>
      <c r="H2147" s="455" t="s">
        <v>2408</v>
      </c>
      <c r="I2147" s="57" t="s">
        <v>432</v>
      </c>
      <c r="J2147" s="109" t="s">
        <v>432</v>
      </c>
      <c r="K2147" s="109" t="s">
        <v>432</v>
      </c>
      <c r="L2147" s="109" t="s">
        <v>432</v>
      </c>
      <c r="M2147" s="109" t="s">
        <v>432</v>
      </c>
      <c r="N2147" s="109" t="s">
        <v>432</v>
      </c>
      <c r="O2147" s="109" t="s">
        <v>432</v>
      </c>
      <c r="P2147" s="109" t="s">
        <v>432</v>
      </c>
      <c r="Q2147" s="109" t="s">
        <v>432</v>
      </c>
      <c r="R2147" s="109" t="s">
        <v>432</v>
      </c>
      <c r="S2147" s="109" t="s">
        <v>2209</v>
      </c>
      <c r="T2147" s="109" t="s">
        <v>432</v>
      </c>
      <c r="U2147" s="109" t="s">
        <v>432</v>
      </c>
      <c r="V2147" s="109" t="s">
        <v>2209</v>
      </c>
      <c r="W2147" s="109" t="s">
        <v>432</v>
      </c>
      <c r="X2147" s="109" t="s">
        <v>432</v>
      </c>
      <c r="Y2147" s="109" t="s">
        <v>432</v>
      </c>
      <c r="Z2147" s="109" t="s">
        <v>432</v>
      </c>
      <c r="AA2147" s="109" t="s">
        <v>432</v>
      </c>
      <c r="AB2147" s="109" t="s">
        <v>432</v>
      </c>
      <c r="AC2147" s="109" t="s">
        <v>432</v>
      </c>
      <c r="AD2147" s="109" t="s">
        <v>432</v>
      </c>
      <c r="AE2147" s="109" t="s">
        <v>432</v>
      </c>
      <c r="AF2147" s="109" t="s">
        <v>432</v>
      </c>
      <c r="AG2147" s="109" t="s">
        <v>432</v>
      </c>
      <c r="AH2147" s="109" t="s">
        <v>432</v>
      </c>
      <c r="AI2147" s="109" t="s">
        <v>432</v>
      </c>
      <c r="AJ2147" s="109" t="s">
        <v>432</v>
      </c>
      <c r="AK2147" s="137" t="s">
        <v>432</v>
      </c>
      <c r="AL2147" s="601" t="s">
        <v>432</v>
      </c>
      <c r="AM2147" s="137" t="s">
        <v>432</v>
      </c>
      <c r="AN2147" s="137" t="s">
        <v>432</v>
      </c>
      <c r="AO2147" s="137" t="s">
        <v>432</v>
      </c>
      <c r="AP2147" s="137" t="s">
        <v>432</v>
      </c>
      <c r="AQ2147" s="137" t="s">
        <v>432</v>
      </c>
      <c r="AR2147" s="137" t="s">
        <v>432</v>
      </c>
      <c r="AS2147" s="137" t="s">
        <v>432</v>
      </c>
      <c r="AT2147" s="137" t="s">
        <v>432</v>
      </c>
      <c r="AU2147" s="137" t="s">
        <v>432</v>
      </c>
      <c r="AV2147" s="137" t="s">
        <v>432</v>
      </c>
      <c r="AW2147" s="137" t="s">
        <v>432</v>
      </c>
      <c r="AX2147" s="137" t="s">
        <v>432</v>
      </c>
      <c r="AY2147" s="137" t="s">
        <v>432</v>
      </c>
      <c r="AZ2147" s="137" t="s">
        <v>432</v>
      </c>
      <c r="BA2147" s="137" t="s">
        <v>432</v>
      </c>
      <c r="BB2147" s="239" t="str">
        <f t="shared" si="602"/>
        <v>Normas produzidasacessibilidade</v>
      </c>
      <c r="BC2147" s="239" t="str">
        <f t="shared" si="603"/>
        <v>Normas produzidasacessibilidadesigla/verbete</v>
      </c>
      <c r="BD2147" s="239" t="str">
        <f t="shared" si="604"/>
        <v>Normas produzidassigla/verbete</v>
      </c>
    </row>
    <row r="2148" spans="1:56" s="1" customFormat="1" ht="46.5" customHeight="1" x14ac:dyDescent="0.25">
      <c r="A2148" s="275" t="str">
        <f>'Q100b-totais'!B24</f>
        <v>3.1</v>
      </c>
      <c r="B2148" s="54" t="str">
        <f>'Q100b-totais'!C24</f>
        <v>Normas produzidas</v>
      </c>
      <c r="C2148" s="230" t="s">
        <v>743</v>
      </c>
      <c r="D2148" s="969" t="s">
        <v>5751</v>
      </c>
      <c r="E2148" s="509" t="s">
        <v>1306</v>
      </c>
      <c r="F2148" s="59" t="s">
        <v>5752</v>
      </c>
      <c r="G2148" s="230" t="s">
        <v>3507</v>
      </c>
      <c r="H2148" s="455" t="s">
        <v>2408</v>
      </c>
      <c r="I2148" s="57" t="s">
        <v>432</v>
      </c>
      <c r="J2148" s="109" t="s">
        <v>432</v>
      </c>
      <c r="K2148" s="109" t="s">
        <v>432</v>
      </c>
      <c r="L2148" s="109" t="s">
        <v>432</v>
      </c>
      <c r="M2148" s="109" t="s">
        <v>432</v>
      </c>
      <c r="N2148" s="109" t="s">
        <v>432</v>
      </c>
      <c r="O2148" s="109" t="s">
        <v>432</v>
      </c>
      <c r="P2148" s="109" t="s">
        <v>432</v>
      </c>
      <c r="Q2148" s="109" t="s">
        <v>432</v>
      </c>
      <c r="R2148" s="109" t="s">
        <v>432</v>
      </c>
      <c r="S2148" s="109" t="s">
        <v>2209</v>
      </c>
      <c r="T2148" s="109" t="s">
        <v>432</v>
      </c>
      <c r="U2148" s="109" t="s">
        <v>432</v>
      </c>
      <c r="V2148" s="109" t="s">
        <v>2209</v>
      </c>
      <c r="W2148" s="109" t="s">
        <v>432</v>
      </c>
      <c r="X2148" s="109" t="s">
        <v>432</v>
      </c>
      <c r="Y2148" s="109" t="s">
        <v>432</v>
      </c>
      <c r="Z2148" s="109" t="s">
        <v>432</v>
      </c>
      <c r="AA2148" s="109" t="s">
        <v>432</v>
      </c>
      <c r="AB2148" s="109" t="s">
        <v>432</v>
      </c>
      <c r="AC2148" s="109" t="s">
        <v>432</v>
      </c>
      <c r="AD2148" s="109" t="s">
        <v>432</v>
      </c>
      <c r="AE2148" s="109" t="s">
        <v>432</v>
      </c>
      <c r="AF2148" s="109" t="s">
        <v>432</v>
      </c>
      <c r="AG2148" s="109" t="s">
        <v>432</v>
      </c>
      <c r="AH2148" s="109" t="s">
        <v>432</v>
      </c>
      <c r="AI2148" s="109" t="s">
        <v>432</v>
      </c>
      <c r="AJ2148" s="109" t="s">
        <v>432</v>
      </c>
      <c r="AK2148" s="137" t="s">
        <v>432</v>
      </c>
      <c r="AL2148" s="601" t="s">
        <v>432</v>
      </c>
      <c r="AM2148" s="137" t="s">
        <v>432</v>
      </c>
      <c r="AN2148" s="137" t="s">
        <v>432</v>
      </c>
      <c r="AO2148" s="137" t="s">
        <v>432</v>
      </c>
      <c r="AP2148" s="137" t="s">
        <v>432</v>
      </c>
      <c r="AQ2148" s="137" t="s">
        <v>432</v>
      </c>
      <c r="AR2148" s="137" t="s">
        <v>432</v>
      </c>
      <c r="AS2148" s="137" t="s">
        <v>432</v>
      </c>
      <c r="AT2148" s="137" t="s">
        <v>432</v>
      </c>
      <c r="AU2148" s="137" t="s">
        <v>432</v>
      </c>
      <c r="AV2148" s="137" t="s">
        <v>432</v>
      </c>
      <c r="AW2148" s="137" t="s">
        <v>432</v>
      </c>
      <c r="AX2148" s="137" t="s">
        <v>432</v>
      </c>
      <c r="AY2148" s="137" t="s">
        <v>432</v>
      </c>
      <c r="AZ2148" s="137" t="s">
        <v>432</v>
      </c>
      <c r="BA2148" s="137" t="s">
        <v>432</v>
      </c>
      <c r="BB2148" s="239" t="str">
        <f>B2148&amp;C2148</f>
        <v>Normas produzidasacessibilidade</v>
      </c>
      <c r="BC2148" s="239" t="str">
        <f>B2148&amp;C2148&amp;H2148</f>
        <v>Normas produzidasacessibilidadesigla/verbete</v>
      </c>
      <c r="BD2148" s="239" t="str">
        <f>B2148&amp;H2148</f>
        <v>Normas produzidassigla/verbete</v>
      </c>
    </row>
    <row r="2149" spans="1:56" s="1" customFormat="1" ht="46.5" customHeight="1" x14ac:dyDescent="0.25">
      <c r="A2149" s="275" t="str">
        <f>'Q100b-totais'!B33</f>
        <v>3.8</v>
      </c>
      <c r="B2149" s="54" t="str">
        <f>'Q100b-totais'!C33</f>
        <v>Relatórios e outros documentos</v>
      </c>
      <c r="C2149" s="230" t="s">
        <v>432</v>
      </c>
      <c r="D2149" s="969" t="s">
        <v>6047</v>
      </c>
      <c r="E2149" s="509" t="s">
        <v>5131</v>
      </c>
      <c r="F2149" s="59" t="s">
        <v>6049</v>
      </c>
      <c r="G2149" s="230" t="s">
        <v>3507</v>
      </c>
      <c r="H2149" s="455" t="s">
        <v>2408</v>
      </c>
      <c r="I2149" s="57" t="s">
        <v>432</v>
      </c>
      <c r="J2149" s="109" t="s">
        <v>432</v>
      </c>
      <c r="K2149" s="109" t="s">
        <v>432</v>
      </c>
      <c r="L2149" s="109" t="s">
        <v>432</v>
      </c>
      <c r="M2149" s="109" t="s">
        <v>432</v>
      </c>
      <c r="N2149" s="109" t="s">
        <v>432</v>
      </c>
      <c r="O2149" s="109" t="s">
        <v>432</v>
      </c>
      <c r="P2149" s="109" t="s">
        <v>432</v>
      </c>
      <c r="Q2149" s="109" t="s">
        <v>432</v>
      </c>
      <c r="R2149" s="109" t="s">
        <v>432</v>
      </c>
      <c r="S2149" s="109" t="s">
        <v>2209</v>
      </c>
      <c r="T2149" s="109" t="s">
        <v>432</v>
      </c>
      <c r="U2149" s="109" t="s">
        <v>432</v>
      </c>
      <c r="V2149" s="109" t="s">
        <v>2209</v>
      </c>
      <c r="W2149" s="109" t="s">
        <v>432</v>
      </c>
      <c r="X2149" s="109" t="s">
        <v>432</v>
      </c>
      <c r="Y2149" s="109" t="s">
        <v>432</v>
      </c>
      <c r="Z2149" s="109" t="s">
        <v>432</v>
      </c>
      <c r="AA2149" s="109" t="s">
        <v>432</v>
      </c>
      <c r="AB2149" s="109" t="s">
        <v>432</v>
      </c>
      <c r="AC2149" s="109" t="s">
        <v>432</v>
      </c>
      <c r="AD2149" s="109" t="s">
        <v>432</v>
      </c>
      <c r="AE2149" s="109" t="s">
        <v>432</v>
      </c>
      <c r="AF2149" s="109" t="s">
        <v>432</v>
      </c>
      <c r="AG2149" s="109" t="s">
        <v>432</v>
      </c>
      <c r="AH2149" s="109" t="s">
        <v>432</v>
      </c>
      <c r="AI2149" s="109" t="s">
        <v>432</v>
      </c>
      <c r="AJ2149" s="109" t="s">
        <v>432</v>
      </c>
      <c r="AK2149" s="137" t="s">
        <v>432</v>
      </c>
      <c r="AL2149" s="601" t="s">
        <v>432</v>
      </c>
      <c r="AM2149" s="137" t="s">
        <v>432</v>
      </c>
      <c r="AN2149" s="137" t="s">
        <v>432</v>
      </c>
      <c r="AO2149" s="137" t="s">
        <v>432</v>
      </c>
      <c r="AP2149" s="137" t="s">
        <v>432</v>
      </c>
      <c r="AQ2149" s="137" t="s">
        <v>432</v>
      </c>
      <c r="AR2149" s="137" t="s">
        <v>432</v>
      </c>
      <c r="AS2149" s="137" t="s">
        <v>432</v>
      </c>
      <c r="AT2149" s="137" t="s">
        <v>432</v>
      </c>
      <c r="AU2149" s="137" t="s">
        <v>432</v>
      </c>
      <c r="AV2149" s="137" t="s">
        <v>432</v>
      </c>
      <c r="AW2149" s="137" t="s">
        <v>432</v>
      </c>
      <c r="AX2149" s="137" t="s">
        <v>432</v>
      </c>
      <c r="AY2149" s="137" t="s">
        <v>432</v>
      </c>
      <c r="AZ2149" s="137" t="s">
        <v>432</v>
      </c>
      <c r="BA2149" s="137" t="s">
        <v>432</v>
      </c>
      <c r="BB2149" s="239" t="str">
        <f>B2149&amp;C2149</f>
        <v>Relatórios e outros documentosx</v>
      </c>
      <c r="BC2149" s="239" t="str">
        <f>B2149&amp;C2149&amp;H2149</f>
        <v>Relatórios e outros documentosxsigla/verbete</v>
      </c>
      <c r="BD2149" s="239" t="str">
        <f>B2149&amp;H2149</f>
        <v>Relatórios e outros documentossigla/verbete</v>
      </c>
    </row>
    <row r="2150" spans="1:56" s="1" customFormat="1" ht="46.5" customHeight="1" x14ac:dyDescent="0.25">
      <c r="A2150" s="275" t="s">
        <v>432</v>
      </c>
      <c r="B2150" s="54" t="s">
        <v>742</v>
      </c>
      <c r="C2150" s="230" t="s">
        <v>432</v>
      </c>
      <c r="D2150" s="969" t="s">
        <v>3402</v>
      </c>
      <c r="E2150" s="509" t="s">
        <v>432</v>
      </c>
      <c r="F2150" s="59" t="s">
        <v>3403</v>
      </c>
      <c r="G2150" s="167" t="s">
        <v>3879</v>
      </c>
      <c r="H2150" s="167" t="s">
        <v>432</v>
      </c>
      <c r="I2150" s="167" t="s">
        <v>432</v>
      </c>
      <c r="J2150" s="109" t="s">
        <v>432</v>
      </c>
      <c r="K2150" s="109" t="s">
        <v>432</v>
      </c>
      <c r="L2150" s="109" t="s">
        <v>432</v>
      </c>
      <c r="M2150" s="109" t="s">
        <v>432</v>
      </c>
      <c r="N2150" s="109" t="s">
        <v>432</v>
      </c>
      <c r="O2150" s="109" t="s">
        <v>432</v>
      </c>
      <c r="P2150" s="109" t="s">
        <v>432</v>
      </c>
      <c r="Q2150" s="109" t="s">
        <v>432</v>
      </c>
      <c r="R2150" s="109" t="s">
        <v>432</v>
      </c>
      <c r="S2150" s="109" t="s">
        <v>2209</v>
      </c>
      <c r="T2150" s="109" t="s">
        <v>432</v>
      </c>
      <c r="U2150" s="109" t="s">
        <v>432</v>
      </c>
      <c r="V2150" s="109" t="s">
        <v>2209</v>
      </c>
      <c r="W2150" s="109" t="s">
        <v>432</v>
      </c>
      <c r="X2150" s="109" t="s">
        <v>432</v>
      </c>
      <c r="Y2150" s="109" t="s">
        <v>432</v>
      </c>
      <c r="Z2150" s="109" t="s">
        <v>432</v>
      </c>
      <c r="AA2150" s="109" t="s">
        <v>432</v>
      </c>
      <c r="AB2150" s="109" t="s">
        <v>432</v>
      </c>
      <c r="AC2150" s="109" t="s">
        <v>432</v>
      </c>
      <c r="AD2150" s="109" t="s">
        <v>432</v>
      </c>
      <c r="AE2150" s="109" t="s">
        <v>432</v>
      </c>
      <c r="AF2150" s="109" t="s">
        <v>432</v>
      </c>
      <c r="AG2150" s="109" t="s">
        <v>432</v>
      </c>
      <c r="AH2150" s="109" t="s">
        <v>432</v>
      </c>
      <c r="AI2150" s="109" t="s">
        <v>432</v>
      </c>
      <c r="AJ2150" s="109" t="s">
        <v>432</v>
      </c>
      <c r="AK2150" s="137" t="s">
        <v>432</v>
      </c>
      <c r="AL2150" s="601" t="s">
        <v>432</v>
      </c>
      <c r="AM2150" s="137" t="s">
        <v>432</v>
      </c>
      <c r="AN2150" s="137" t="s">
        <v>432</v>
      </c>
      <c r="AO2150" s="137" t="s">
        <v>432</v>
      </c>
      <c r="AP2150" s="137" t="s">
        <v>432</v>
      </c>
      <c r="AQ2150" s="137" t="s">
        <v>432</v>
      </c>
      <c r="AR2150" s="137" t="s">
        <v>432</v>
      </c>
      <c r="AS2150" s="137" t="s">
        <v>432</v>
      </c>
      <c r="AT2150" s="137" t="s">
        <v>432</v>
      </c>
      <c r="AU2150" s="137" t="s">
        <v>432</v>
      </c>
      <c r="AV2150" s="137" t="s">
        <v>432</v>
      </c>
      <c r="AW2150" s="137" t="s">
        <v>432</v>
      </c>
      <c r="AX2150" s="137" t="s">
        <v>432</v>
      </c>
      <c r="AY2150" s="137" t="s">
        <v>432</v>
      </c>
      <c r="AZ2150" s="137" t="s">
        <v>432</v>
      </c>
      <c r="BA2150" s="137" t="s">
        <v>432</v>
      </c>
      <c r="BB2150" s="239" t="str">
        <f t="shared" si="602"/>
        <v>geralx</v>
      </c>
      <c r="BC2150" s="239" t="str">
        <f t="shared" si="603"/>
        <v>geralxx</v>
      </c>
      <c r="BD2150" s="239" t="str">
        <f t="shared" si="604"/>
        <v>geralx</v>
      </c>
    </row>
    <row r="2151" spans="1:56" s="1" customFormat="1" ht="47.25" customHeight="1" x14ac:dyDescent="0.25">
      <c r="A2151" s="275" t="str">
        <f>'Q100b-totais'!$B$57</f>
        <v>8.5</v>
      </c>
      <c r="B2151" s="54" t="str">
        <f>'Q100b-totais'!$C$57</f>
        <v>Transporte convencional</v>
      </c>
      <c r="C2151" s="230" t="s">
        <v>432</v>
      </c>
      <c r="D2151" s="986" t="s">
        <v>961</v>
      </c>
      <c r="E2151" s="1498" t="s">
        <v>1306</v>
      </c>
      <c r="F2151" s="102" t="s">
        <v>1655</v>
      </c>
      <c r="G2151" s="439" t="s">
        <v>1653</v>
      </c>
      <c r="H2151" s="173" t="s">
        <v>432</v>
      </c>
      <c r="I2151" s="167">
        <v>1</v>
      </c>
      <c r="J2151" s="107" t="s">
        <v>432</v>
      </c>
      <c r="K2151" s="107" t="s">
        <v>432</v>
      </c>
      <c r="L2151" s="107" t="s">
        <v>432</v>
      </c>
      <c r="M2151" s="84" t="s">
        <v>432</v>
      </c>
      <c r="N2151" s="84" t="s">
        <v>432</v>
      </c>
      <c r="O2151" s="84" t="s">
        <v>432</v>
      </c>
      <c r="P2151" s="87">
        <v>180252379</v>
      </c>
      <c r="Q2151" s="87">
        <v>184713146</v>
      </c>
      <c r="R2151" s="87">
        <v>199080063</v>
      </c>
      <c r="S2151" s="109" t="s">
        <v>2209</v>
      </c>
      <c r="T2151" s="87">
        <v>199302791.66999999</v>
      </c>
      <c r="U2151" s="87">
        <v>199518542.34209999</v>
      </c>
      <c r="V2151" s="109" t="s">
        <v>2209</v>
      </c>
      <c r="W2151" s="87">
        <v>201599943.48859999</v>
      </c>
      <c r="X2151" s="87">
        <v>201809036.72800002</v>
      </c>
      <c r="Y2151" s="87">
        <v>193644314.65389997</v>
      </c>
      <c r="Z2151" s="87">
        <v>183547043.36062998</v>
      </c>
      <c r="AA2151" s="87">
        <v>183794278.48679999</v>
      </c>
      <c r="AB2151" s="87">
        <v>184151461.74589998</v>
      </c>
      <c r="AC2151" s="87">
        <v>184787759.97229999</v>
      </c>
      <c r="AD2151" s="87">
        <v>192461038.4228</v>
      </c>
      <c r="AE2151" s="87">
        <v>195965777.29999998</v>
      </c>
      <c r="AF2151" s="87">
        <v>182026616.84</v>
      </c>
      <c r="AG2151" s="87">
        <v>185530793.29999998</v>
      </c>
      <c r="AH2151" s="87">
        <v>185432984.69999999</v>
      </c>
      <c r="AI2151" s="622" t="s">
        <v>2213</v>
      </c>
      <c r="AJ2151" s="622" t="s">
        <v>2213</v>
      </c>
      <c r="AK2151" s="622" t="s">
        <v>2213</v>
      </c>
      <c r="AL2151" s="601" t="s">
        <v>432</v>
      </c>
      <c r="AM2151" s="137" t="s">
        <v>432</v>
      </c>
      <c r="AN2151" s="137" t="s">
        <v>432</v>
      </c>
      <c r="AO2151" s="137" t="s">
        <v>432</v>
      </c>
      <c r="AP2151" s="137" t="s">
        <v>432</v>
      </c>
      <c r="AQ2151" s="137" t="s">
        <v>432</v>
      </c>
      <c r="AR2151" s="137" t="s">
        <v>432</v>
      </c>
      <c r="AS2151" s="137" t="s">
        <v>432</v>
      </c>
      <c r="AT2151" s="137" t="s">
        <v>432</v>
      </c>
      <c r="AU2151" s="137" t="s">
        <v>432</v>
      </c>
      <c r="AV2151" s="137" t="s">
        <v>432</v>
      </c>
      <c r="AW2151" s="137" t="s">
        <v>432</v>
      </c>
      <c r="AX2151" s="137" t="s">
        <v>432</v>
      </c>
      <c r="AY2151" s="137" t="s">
        <v>432</v>
      </c>
      <c r="AZ2151" s="137" t="s">
        <v>432</v>
      </c>
      <c r="BA2151" s="137" t="s">
        <v>432</v>
      </c>
      <c r="BB2151" s="239" t="str">
        <f t="shared" si="602"/>
        <v>Transporte convencionalx</v>
      </c>
      <c r="BC2151" s="239" t="str">
        <f t="shared" si="603"/>
        <v>Transporte convencionalxx</v>
      </c>
      <c r="BD2151" s="239" t="str">
        <f t="shared" si="604"/>
        <v>Transporte convencionalx</v>
      </c>
    </row>
    <row r="2152" spans="1:56" s="1" customFormat="1" ht="31.5" customHeight="1" x14ac:dyDescent="0.25">
      <c r="A2152" s="275" t="str">
        <f>'Q100b-totais'!$B$57</f>
        <v>8.5</v>
      </c>
      <c r="B2152" s="54" t="str">
        <f>'Q100b-totais'!$C$57</f>
        <v>Transporte convencional</v>
      </c>
      <c r="C2152" s="230" t="s">
        <v>432</v>
      </c>
      <c r="D2152" s="986" t="s">
        <v>962</v>
      </c>
      <c r="E2152" s="1498" t="s">
        <v>1306</v>
      </c>
      <c r="F2152" s="102" t="s">
        <v>943</v>
      </c>
      <c r="G2152" s="440" t="s">
        <v>1652</v>
      </c>
      <c r="H2152" s="173" t="s">
        <v>432</v>
      </c>
      <c r="I2152" s="167">
        <v>1</v>
      </c>
      <c r="J2152" s="109" t="s">
        <v>432</v>
      </c>
      <c r="K2152" s="109" t="s">
        <v>432</v>
      </c>
      <c r="L2152" s="109" t="s">
        <v>432</v>
      </c>
      <c r="M2152" s="84" t="s">
        <v>432</v>
      </c>
      <c r="N2152" s="84" t="s">
        <v>432</v>
      </c>
      <c r="O2152" s="84" t="s">
        <v>432</v>
      </c>
      <c r="P2152" s="20">
        <f>P2151/12</f>
        <v>15021031.583333334</v>
      </c>
      <c r="Q2152" s="20">
        <f>Q2151/12</f>
        <v>15392762.166666666</v>
      </c>
      <c r="R2152" s="20">
        <f>R2151/12</f>
        <v>16590005.25</v>
      </c>
      <c r="S2152" s="109" t="s">
        <v>2209</v>
      </c>
      <c r="T2152" s="20">
        <f>T2151/12</f>
        <v>16608565.972499998</v>
      </c>
      <c r="U2152" s="20">
        <f>U2151/12</f>
        <v>16626545.195175</v>
      </c>
      <c r="V2152" s="109" t="s">
        <v>2209</v>
      </c>
      <c r="W2152" s="20">
        <f t="shared" ref="W2152:AI2152" si="605">W2151/12</f>
        <v>16799995.290716667</v>
      </c>
      <c r="X2152" s="20">
        <f t="shared" si="605"/>
        <v>16817419.727333333</v>
      </c>
      <c r="Y2152" s="20">
        <f t="shared" si="605"/>
        <v>16137026.221158331</v>
      </c>
      <c r="Z2152" s="20">
        <f t="shared" si="605"/>
        <v>15295586.946719164</v>
      </c>
      <c r="AA2152" s="20">
        <f t="shared" si="605"/>
        <v>15316189.873899998</v>
      </c>
      <c r="AB2152" s="20">
        <f t="shared" si="605"/>
        <v>15345955.145491665</v>
      </c>
      <c r="AC2152" s="20">
        <f t="shared" si="605"/>
        <v>15398979.997691667</v>
      </c>
      <c r="AD2152" s="20">
        <f t="shared" si="605"/>
        <v>16038419.868566668</v>
      </c>
      <c r="AE2152" s="20">
        <f t="shared" si="605"/>
        <v>16330481.441666665</v>
      </c>
      <c r="AF2152" s="20">
        <f t="shared" si="605"/>
        <v>15168884.736666666</v>
      </c>
      <c r="AG2152" s="20">
        <f t="shared" si="605"/>
        <v>15460899.441666665</v>
      </c>
      <c r="AH2152" s="20">
        <f t="shared" si="605"/>
        <v>15452748.725</v>
      </c>
      <c r="AI2152" s="20" t="e">
        <f t="shared" si="605"/>
        <v>#VALUE!</v>
      </c>
      <c r="AJ2152" s="20" t="e">
        <f>AJ2151/12</f>
        <v>#VALUE!</v>
      </c>
      <c r="AK2152" s="20" t="e">
        <f>AK2151/12</f>
        <v>#VALUE!</v>
      </c>
      <c r="AL2152" s="601" t="s">
        <v>432</v>
      </c>
      <c r="AM2152" s="137" t="s">
        <v>432</v>
      </c>
      <c r="AN2152" s="137" t="s">
        <v>432</v>
      </c>
      <c r="AO2152" s="137" t="s">
        <v>432</v>
      </c>
      <c r="AP2152" s="137" t="s">
        <v>432</v>
      </c>
      <c r="AQ2152" s="137" t="s">
        <v>432</v>
      </c>
      <c r="AR2152" s="137" t="s">
        <v>432</v>
      </c>
      <c r="AS2152" s="137" t="s">
        <v>432</v>
      </c>
      <c r="AT2152" s="137" t="s">
        <v>432</v>
      </c>
      <c r="AU2152" s="137" t="s">
        <v>432</v>
      </c>
      <c r="AV2152" s="137" t="s">
        <v>432</v>
      </c>
      <c r="AW2152" s="137" t="s">
        <v>432</v>
      </c>
      <c r="AX2152" s="137" t="s">
        <v>432</v>
      </c>
      <c r="AY2152" s="137" t="s">
        <v>432</v>
      </c>
      <c r="AZ2152" s="137" t="s">
        <v>432</v>
      </c>
      <c r="BA2152" s="137" t="s">
        <v>432</v>
      </c>
      <c r="BB2152" s="239" t="str">
        <f t="shared" si="602"/>
        <v>Transporte convencionalx</v>
      </c>
      <c r="BC2152" s="239" t="str">
        <f t="shared" si="603"/>
        <v>Transporte convencionalxx</v>
      </c>
      <c r="BD2152" s="239" t="str">
        <f t="shared" si="604"/>
        <v>Transporte convencionalx</v>
      </c>
    </row>
    <row r="2153" spans="1:56" s="1" customFormat="1" ht="139.5" customHeight="1" x14ac:dyDescent="0.25">
      <c r="A2153" s="413" t="str">
        <f>'Q100b-totais'!$B$19</f>
        <v>2.4</v>
      </c>
      <c r="B2153" s="54" t="str">
        <f>'Q100b-totais'!$C$19</f>
        <v>População</v>
      </c>
      <c r="C2153" s="229" t="s">
        <v>2</v>
      </c>
      <c r="D2153" s="377" t="s">
        <v>1162</v>
      </c>
      <c r="E2153" s="1513" t="s">
        <v>1306</v>
      </c>
      <c r="F2153" s="338" t="s">
        <v>2277</v>
      </c>
      <c r="G2153" s="409" t="s">
        <v>499</v>
      </c>
      <c r="H2153" s="167" t="s">
        <v>432</v>
      </c>
      <c r="I2153" s="167">
        <v>1</v>
      </c>
      <c r="J2153" s="93" t="s">
        <v>432</v>
      </c>
      <c r="K2153" s="93" t="s">
        <v>432</v>
      </c>
      <c r="L2153" s="87">
        <v>2043331.7785140099</v>
      </c>
      <c r="M2153" s="87">
        <v>2066768.3204879346</v>
      </c>
      <c r="N2153" s="87">
        <v>2090473.674167071</v>
      </c>
      <c r="O2153" s="87">
        <v>2114450.922759383</v>
      </c>
      <c r="P2153" s="87">
        <v>2138703.1848365152</v>
      </c>
      <c r="Q2153" s="87">
        <v>2163233.6147394064</v>
      </c>
      <c r="R2153" s="87">
        <v>2188045.4029885544</v>
      </c>
      <c r="S2153" s="109" t="s">
        <v>2209</v>
      </c>
      <c r="T2153" s="87">
        <v>2213141.7766989889</v>
      </c>
      <c r="U2153" s="84" t="s">
        <v>432</v>
      </c>
      <c r="V2153" s="109" t="s">
        <v>2209</v>
      </c>
      <c r="W2153" s="87">
        <v>2251827.1506822067</v>
      </c>
      <c r="X2153" s="87">
        <v>2265207.3357868283</v>
      </c>
      <c r="Y2153" s="87">
        <v>2278667.0249303719</v>
      </c>
      <c r="Z2153" s="87">
        <v>2292206.6905197706</v>
      </c>
      <c r="AA2153" s="87">
        <v>2305826.8077689628</v>
      </c>
      <c r="AB2153" s="87">
        <v>2319527.8547155727</v>
      </c>
      <c r="AC2153" s="87">
        <v>2333310.3122376865</v>
      </c>
      <c r="AD2153" s="87">
        <v>2347174.664070732</v>
      </c>
      <c r="AE2153" s="87">
        <v>2361121.3968244558</v>
      </c>
      <c r="AF2153" s="84" t="s">
        <v>432</v>
      </c>
      <c r="AG2153" s="84" t="s">
        <v>432</v>
      </c>
      <c r="AH2153" s="84" t="s">
        <v>432</v>
      </c>
      <c r="AI2153" s="84" t="s">
        <v>432</v>
      </c>
      <c r="AJ2153" s="84" t="s">
        <v>432</v>
      </c>
      <c r="AK2153" s="84" t="s">
        <v>432</v>
      </c>
      <c r="AL2153" s="601" t="s">
        <v>432</v>
      </c>
      <c r="AM2153" s="137" t="s">
        <v>432</v>
      </c>
      <c r="AN2153" s="137" t="s">
        <v>432</v>
      </c>
      <c r="AO2153" s="137" t="s">
        <v>432</v>
      </c>
      <c r="AP2153" s="137" t="s">
        <v>432</v>
      </c>
      <c r="AQ2153" s="137" t="s">
        <v>432</v>
      </c>
      <c r="AR2153" s="137" t="s">
        <v>432</v>
      </c>
      <c r="AS2153" s="137" t="s">
        <v>432</v>
      </c>
      <c r="AT2153" s="137" t="s">
        <v>432</v>
      </c>
      <c r="AU2153" s="137" t="s">
        <v>432</v>
      </c>
      <c r="AV2153" s="137" t="s">
        <v>432</v>
      </c>
      <c r="AW2153" s="137" t="s">
        <v>432</v>
      </c>
      <c r="AX2153" s="137" t="s">
        <v>432</v>
      </c>
      <c r="AY2153" s="137" t="s">
        <v>432</v>
      </c>
      <c r="AZ2153" s="137" t="s">
        <v>432</v>
      </c>
      <c r="BA2153" s="137" t="s">
        <v>432</v>
      </c>
      <c r="BB2153" s="239" t="str">
        <f t="shared" si="602"/>
        <v>População-</v>
      </c>
      <c r="BC2153" s="239" t="str">
        <f t="shared" si="603"/>
        <v>População-x</v>
      </c>
      <c r="BD2153" s="239" t="str">
        <f t="shared" si="604"/>
        <v>Populaçãox</v>
      </c>
    </row>
    <row r="2154" spans="1:56" s="1" customFormat="1" ht="90.75" customHeight="1" x14ac:dyDescent="0.25">
      <c r="A2154" s="262" t="str">
        <f>'Q100b-totais'!B56</f>
        <v>8.4</v>
      </c>
      <c r="B2154" s="252" t="str">
        <f>'Q100b-totais'!C56</f>
        <v>Táxi</v>
      </c>
      <c r="C2154" s="167" t="s">
        <v>432</v>
      </c>
      <c r="D2154" s="324" t="s">
        <v>746</v>
      </c>
      <c r="E2154" s="1496" t="s">
        <v>432</v>
      </c>
      <c r="F2154" s="14" t="s">
        <v>2682</v>
      </c>
      <c r="G2154" s="230" t="s">
        <v>3507</v>
      </c>
      <c r="H2154" s="167" t="s">
        <v>2408</v>
      </c>
      <c r="I2154" s="167" t="s">
        <v>432</v>
      </c>
      <c r="J2154" s="107" t="s">
        <v>432</v>
      </c>
      <c r="K2154" s="107" t="s">
        <v>432</v>
      </c>
      <c r="L2154" s="107" t="s">
        <v>432</v>
      </c>
      <c r="M2154" s="107" t="s">
        <v>432</v>
      </c>
      <c r="N2154" s="107" t="s">
        <v>432</v>
      </c>
      <c r="O2154" s="107" t="s">
        <v>432</v>
      </c>
      <c r="P2154" s="107" t="s">
        <v>432</v>
      </c>
      <c r="Q2154" s="107" t="s">
        <v>432</v>
      </c>
      <c r="R2154" s="107" t="s">
        <v>432</v>
      </c>
      <c r="S2154" s="109" t="s">
        <v>2209</v>
      </c>
      <c r="T2154" s="108" t="s">
        <v>432</v>
      </c>
      <c r="U2154" s="108" t="s">
        <v>432</v>
      </c>
      <c r="V2154" s="109" t="s">
        <v>2209</v>
      </c>
      <c r="W2154" s="108" t="s">
        <v>432</v>
      </c>
      <c r="X2154" s="108" t="s">
        <v>432</v>
      </c>
      <c r="Y2154" s="108" t="s">
        <v>432</v>
      </c>
      <c r="Z2154" s="108" t="s">
        <v>432</v>
      </c>
      <c r="AA2154" s="108" t="s">
        <v>432</v>
      </c>
      <c r="AB2154" s="108" t="s">
        <v>432</v>
      </c>
      <c r="AC2154" s="108" t="s">
        <v>432</v>
      </c>
      <c r="AD2154" s="108" t="s">
        <v>432</v>
      </c>
      <c r="AE2154" s="108" t="s">
        <v>432</v>
      </c>
      <c r="AF2154" s="108" t="s">
        <v>432</v>
      </c>
      <c r="AG2154" s="108" t="s">
        <v>432</v>
      </c>
      <c r="AH2154" s="108" t="s">
        <v>432</v>
      </c>
      <c r="AI2154" s="108" t="s">
        <v>432</v>
      </c>
      <c r="AJ2154" s="108" t="s">
        <v>432</v>
      </c>
      <c r="AK2154" s="137" t="s">
        <v>432</v>
      </c>
      <c r="AL2154" s="601" t="s">
        <v>432</v>
      </c>
      <c r="AM2154" s="137" t="s">
        <v>432</v>
      </c>
      <c r="AN2154" s="137" t="s">
        <v>432</v>
      </c>
      <c r="AO2154" s="137" t="s">
        <v>432</v>
      </c>
      <c r="AP2154" s="137" t="s">
        <v>432</v>
      </c>
      <c r="AQ2154" s="137" t="s">
        <v>432</v>
      </c>
      <c r="AR2154" s="137" t="s">
        <v>432</v>
      </c>
      <c r="AS2154" s="137" t="s">
        <v>432</v>
      </c>
      <c r="AT2154" s="137" t="s">
        <v>432</v>
      </c>
      <c r="AU2154" s="137" t="s">
        <v>432</v>
      </c>
      <c r="AV2154" s="137" t="s">
        <v>432</v>
      </c>
      <c r="AW2154" s="137" t="s">
        <v>432</v>
      </c>
      <c r="AX2154" s="137" t="s">
        <v>432</v>
      </c>
      <c r="AY2154" s="137" t="s">
        <v>432</v>
      </c>
      <c r="AZ2154" s="137" t="s">
        <v>432</v>
      </c>
      <c r="BA2154" s="137" t="s">
        <v>432</v>
      </c>
      <c r="BB2154" s="239" t="str">
        <f t="shared" si="602"/>
        <v>Táxix</v>
      </c>
      <c r="BC2154" s="239" t="str">
        <f t="shared" si="603"/>
        <v>Táxixsigla/verbete</v>
      </c>
      <c r="BD2154" s="239" t="str">
        <f t="shared" si="604"/>
        <v>Táxisigla/verbete</v>
      </c>
    </row>
    <row r="2155" spans="1:56" s="1" customFormat="1" ht="90.75" customHeight="1" x14ac:dyDescent="0.25">
      <c r="A2155" s="262" t="s">
        <v>432</v>
      </c>
      <c r="B2155" s="54" t="s">
        <v>742</v>
      </c>
      <c r="C2155" s="230" t="s">
        <v>432</v>
      </c>
      <c r="D2155" s="324" t="s">
        <v>2733</v>
      </c>
      <c r="E2155" s="1509" t="s">
        <v>1306</v>
      </c>
      <c r="F2155" s="14" t="s">
        <v>2735</v>
      </c>
      <c r="G2155" s="230" t="s">
        <v>3507</v>
      </c>
      <c r="H2155" s="167" t="s">
        <v>2408</v>
      </c>
      <c r="I2155" s="167" t="s">
        <v>432</v>
      </c>
      <c r="J2155" s="107" t="s">
        <v>432</v>
      </c>
      <c r="K2155" s="107" t="s">
        <v>432</v>
      </c>
      <c r="L2155" s="107" t="s">
        <v>432</v>
      </c>
      <c r="M2155" s="107" t="s">
        <v>432</v>
      </c>
      <c r="N2155" s="107" t="s">
        <v>432</v>
      </c>
      <c r="O2155" s="107" t="s">
        <v>432</v>
      </c>
      <c r="P2155" s="107" t="s">
        <v>432</v>
      </c>
      <c r="Q2155" s="107" t="s">
        <v>432</v>
      </c>
      <c r="R2155" s="107" t="s">
        <v>432</v>
      </c>
      <c r="S2155" s="109" t="s">
        <v>2209</v>
      </c>
      <c r="T2155" s="108" t="s">
        <v>432</v>
      </c>
      <c r="U2155" s="108" t="s">
        <v>432</v>
      </c>
      <c r="V2155" s="109" t="s">
        <v>2209</v>
      </c>
      <c r="W2155" s="108" t="s">
        <v>432</v>
      </c>
      <c r="X2155" s="108" t="s">
        <v>432</v>
      </c>
      <c r="Y2155" s="108" t="s">
        <v>432</v>
      </c>
      <c r="Z2155" s="108" t="s">
        <v>432</v>
      </c>
      <c r="AA2155" s="108" t="s">
        <v>432</v>
      </c>
      <c r="AB2155" s="108" t="s">
        <v>432</v>
      </c>
      <c r="AC2155" s="108" t="s">
        <v>432</v>
      </c>
      <c r="AD2155" s="108" t="s">
        <v>432</v>
      </c>
      <c r="AE2155" s="108" t="s">
        <v>432</v>
      </c>
      <c r="AF2155" s="108" t="s">
        <v>432</v>
      </c>
      <c r="AG2155" s="108" t="s">
        <v>432</v>
      </c>
      <c r="AH2155" s="108" t="s">
        <v>432</v>
      </c>
      <c r="AI2155" s="108" t="s">
        <v>432</v>
      </c>
      <c r="AJ2155" s="108" t="s">
        <v>432</v>
      </c>
      <c r="AK2155" s="137" t="s">
        <v>432</v>
      </c>
      <c r="AL2155" s="601" t="s">
        <v>432</v>
      </c>
      <c r="AM2155" s="137" t="s">
        <v>432</v>
      </c>
      <c r="AN2155" s="137" t="s">
        <v>432</v>
      </c>
      <c r="AO2155" s="137" t="s">
        <v>432</v>
      </c>
      <c r="AP2155" s="137" t="s">
        <v>432</v>
      </c>
      <c r="AQ2155" s="137" t="s">
        <v>432</v>
      </c>
      <c r="AR2155" s="137" t="s">
        <v>432</v>
      </c>
      <c r="AS2155" s="137" t="s">
        <v>432</v>
      </c>
      <c r="AT2155" s="137" t="s">
        <v>432</v>
      </c>
      <c r="AU2155" s="137" t="s">
        <v>432</v>
      </c>
      <c r="AV2155" s="137" t="s">
        <v>432</v>
      </c>
      <c r="AW2155" s="137" t="s">
        <v>432</v>
      </c>
      <c r="AX2155" s="137" t="s">
        <v>432</v>
      </c>
      <c r="AY2155" s="137" t="s">
        <v>432</v>
      </c>
      <c r="AZ2155" s="137" t="s">
        <v>432</v>
      </c>
      <c r="BA2155" s="137" t="s">
        <v>432</v>
      </c>
      <c r="BB2155" s="239" t="str">
        <f t="shared" si="602"/>
        <v>geralx</v>
      </c>
      <c r="BC2155" s="239" t="str">
        <f t="shared" si="603"/>
        <v>geralxsigla/verbete</v>
      </c>
      <c r="BD2155" s="239" t="str">
        <f t="shared" si="604"/>
        <v>geralsigla/verbete</v>
      </c>
    </row>
    <row r="2156" spans="1:56" s="1" customFormat="1" ht="90.75" customHeight="1" x14ac:dyDescent="0.25">
      <c r="A2156" s="262" t="s">
        <v>432</v>
      </c>
      <c r="B2156" s="54" t="s">
        <v>742</v>
      </c>
      <c r="C2156" s="230" t="s">
        <v>432</v>
      </c>
      <c r="D2156" s="324" t="s">
        <v>2734</v>
      </c>
      <c r="E2156" s="1509" t="s">
        <v>1306</v>
      </c>
      <c r="F2156" s="14" t="s">
        <v>2736</v>
      </c>
      <c r="G2156" s="230" t="s">
        <v>3507</v>
      </c>
      <c r="H2156" s="167" t="s">
        <v>2408</v>
      </c>
      <c r="I2156" s="167" t="s">
        <v>432</v>
      </c>
      <c r="J2156" s="107" t="s">
        <v>432</v>
      </c>
      <c r="K2156" s="107" t="s">
        <v>432</v>
      </c>
      <c r="L2156" s="107" t="s">
        <v>432</v>
      </c>
      <c r="M2156" s="107" t="s">
        <v>432</v>
      </c>
      <c r="N2156" s="107" t="s">
        <v>432</v>
      </c>
      <c r="O2156" s="107" t="s">
        <v>432</v>
      </c>
      <c r="P2156" s="107" t="s">
        <v>432</v>
      </c>
      <c r="Q2156" s="107" t="s">
        <v>432</v>
      </c>
      <c r="R2156" s="107" t="s">
        <v>432</v>
      </c>
      <c r="S2156" s="109" t="s">
        <v>2209</v>
      </c>
      <c r="T2156" s="108" t="s">
        <v>432</v>
      </c>
      <c r="U2156" s="108" t="s">
        <v>432</v>
      </c>
      <c r="V2156" s="109" t="s">
        <v>2209</v>
      </c>
      <c r="W2156" s="108" t="s">
        <v>432</v>
      </c>
      <c r="X2156" s="108" t="s">
        <v>432</v>
      </c>
      <c r="Y2156" s="108" t="s">
        <v>432</v>
      </c>
      <c r="Z2156" s="108" t="s">
        <v>432</v>
      </c>
      <c r="AA2156" s="108" t="s">
        <v>432</v>
      </c>
      <c r="AB2156" s="108" t="s">
        <v>432</v>
      </c>
      <c r="AC2156" s="108" t="s">
        <v>432</v>
      </c>
      <c r="AD2156" s="108" t="s">
        <v>432</v>
      </c>
      <c r="AE2156" s="108" t="s">
        <v>432</v>
      </c>
      <c r="AF2156" s="108" t="s">
        <v>432</v>
      </c>
      <c r="AG2156" s="108" t="s">
        <v>432</v>
      </c>
      <c r="AH2156" s="108" t="s">
        <v>432</v>
      </c>
      <c r="AI2156" s="108" t="s">
        <v>432</v>
      </c>
      <c r="AJ2156" s="108" t="s">
        <v>432</v>
      </c>
      <c r="AK2156" s="137" t="s">
        <v>432</v>
      </c>
      <c r="AL2156" s="601" t="s">
        <v>432</v>
      </c>
      <c r="AM2156" s="137" t="s">
        <v>432</v>
      </c>
      <c r="AN2156" s="137" t="s">
        <v>432</v>
      </c>
      <c r="AO2156" s="137" t="s">
        <v>432</v>
      </c>
      <c r="AP2156" s="137" t="s">
        <v>432</v>
      </c>
      <c r="AQ2156" s="137" t="s">
        <v>432</v>
      </c>
      <c r="AR2156" s="137" t="s">
        <v>432</v>
      </c>
      <c r="AS2156" s="137" t="s">
        <v>432</v>
      </c>
      <c r="AT2156" s="137" t="s">
        <v>432</v>
      </c>
      <c r="AU2156" s="137" t="s">
        <v>432</v>
      </c>
      <c r="AV2156" s="137" t="s">
        <v>432</v>
      </c>
      <c r="AW2156" s="137" t="s">
        <v>432</v>
      </c>
      <c r="AX2156" s="137" t="s">
        <v>432</v>
      </c>
      <c r="AY2156" s="137" t="s">
        <v>432</v>
      </c>
      <c r="AZ2156" s="137" t="s">
        <v>432</v>
      </c>
      <c r="BA2156" s="137" t="s">
        <v>432</v>
      </c>
      <c r="BB2156" s="239" t="str">
        <f t="shared" si="602"/>
        <v>geralx</v>
      </c>
      <c r="BC2156" s="239" t="str">
        <f t="shared" si="603"/>
        <v>geralxsigla/verbete</v>
      </c>
      <c r="BD2156" s="239" t="str">
        <f t="shared" si="604"/>
        <v>geralsigla/verbete</v>
      </c>
    </row>
    <row r="2157" spans="1:56" s="1" customFormat="1" ht="90.75" customHeight="1" x14ac:dyDescent="0.25">
      <c r="A2157" s="262" t="s">
        <v>432</v>
      </c>
      <c r="B2157" s="54" t="s">
        <v>742</v>
      </c>
      <c r="C2157" s="230" t="s">
        <v>432</v>
      </c>
      <c r="D2157" s="324" t="s">
        <v>5212</v>
      </c>
      <c r="E2157" s="1509" t="s">
        <v>1306</v>
      </c>
      <c r="F2157" s="14" t="s">
        <v>5399</v>
      </c>
      <c r="G2157" s="230" t="s">
        <v>3507</v>
      </c>
      <c r="H2157" s="167" t="s">
        <v>2408</v>
      </c>
      <c r="I2157" s="167" t="s">
        <v>432</v>
      </c>
      <c r="J2157" s="107" t="s">
        <v>432</v>
      </c>
      <c r="K2157" s="107" t="s">
        <v>432</v>
      </c>
      <c r="L2157" s="107" t="s">
        <v>432</v>
      </c>
      <c r="M2157" s="107" t="s">
        <v>432</v>
      </c>
      <c r="N2157" s="107" t="s">
        <v>432</v>
      </c>
      <c r="O2157" s="107" t="s">
        <v>432</v>
      </c>
      <c r="P2157" s="107" t="s">
        <v>432</v>
      </c>
      <c r="Q2157" s="107" t="s">
        <v>432</v>
      </c>
      <c r="R2157" s="107" t="s">
        <v>432</v>
      </c>
      <c r="S2157" s="109" t="s">
        <v>2209</v>
      </c>
      <c r="T2157" s="108" t="s">
        <v>432</v>
      </c>
      <c r="U2157" s="108" t="s">
        <v>432</v>
      </c>
      <c r="V2157" s="109" t="s">
        <v>2209</v>
      </c>
      <c r="W2157" s="108" t="s">
        <v>432</v>
      </c>
      <c r="X2157" s="108" t="s">
        <v>432</v>
      </c>
      <c r="Y2157" s="108" t="s">
        <v>432</v>
      </c>
      <c r="Z2157" s="108" t="s">
        <v>432</v>
      </c>
      <c r="AA2157" s="108" t="s">
        <v>432</v>
      </c>
      <c r="AB2157" s="108" t="s">
        <v>432</v>
      </c>
      <c r="AC2157" s="108" t="s">
        <v>432</v>
      </c>
      <c r="AD2157" s="108" t="s">
        <v>432</v>
      </c>
      <c r="AE2157" s="108" t="s">
        <v>432</v>
      </c>
      <c r="AF2157" s="108" t="s">
        <v>432</v>
      </c>
      <c r="AG2157" s="108" t="s">
        <v>432</v>
      </c>
      <c r="AH2157" s="108" t="s">
        <v>432</v>
      </c>
      <c r="AI2157" s="108" t="s">
        <v>432</v>
      </c>
      <c r="AJ2157" s="108" t="s">
        <v>432</v>
      </c>
      <c r="AK2157" s="137" t="s">
        <v>432</v>
      </c>
      <c r="AL2157" s="601" t="s">
        <v>432</v>
      </c>
      <c r="AM2157" s="137" t="s">
        <v>432</v>
      </c>
      <c r="AN2157" s="137" t="s">
        <v>432</v>
      </c>
      <c r="AO2157" s="137" t="s">
        <v>432</v>
      </c>
      <c r="AP2157" s="137" t="s">
        <v>432</v>
      </c>
      <c r="AQ2157" s="137" t="s">
        <v>432</v>
      </c>
      <c r="AR2157" s="137" t="s">
        <v>432</v>
      </c>
      <c r="AS2157" s="137" t="s">
        <v>432</v>
      </c>
      <c r="AT2157" s="137" t="s">
        <v>432</v>
      </c>
      <c r="AU2157" s="137" t="s">
        <v>432</v>
      </c>
      <c r="AV2157" s="137" t="s">
        <v>432</v>
      </c>
      <c r="AW2157" s="137" t="s">
        <v>432</v>
      </c>
      <c r="AX2157" s="137" t="s">
        <v>432</v>
      </c>
      <c r="AY2157" s="137" t="s">
        <v>432</v>
      </c>
      <c r="AZ2157" s="137" t="s">
        <v>432</v>
      </c>
      <c r="BA2157" s="137" t="s">
        <v>432</v>
      </c>
      <c r="BB2157" s="239" t="str">
        <f t="shared" si="602"/>
        <v>geralx</v>
      </c>
      <c r="BC2157" s="239" t="str">
        <f t="shared" si="603"/>
        <v>geralxsigla/verbete</v>
      </c>
      <c r="BD2157" s="239" t="str">
        <f t="shared" si="604"/>
        <v>geralsigla/verbete</v>
      </c>
    </row>
    <row r="2158" spans="1:56" s="1" customFormat="1" ht="78.75" customHeight="1" x14ac:dyDescent="0.25">
      <c r="A2158" s="262" t="s">
        <v>432</v>
      </c>
      <c r="B2158" s="54" t="s">
        <v>742</v>
      </c>
      <c r="C2158" s="230" t="s">
        <v>432</v>
      </c>
      <c r="D2158" s="324" t="s">
        <v>2727</v>
      </c>
      <c r="E2158" s="1509" t="s">
        <v>1306</v>
      </c>
      <c r="F2158" s="14" t="s">
        <v>5215</v>
      </c>
      <c r="G2158" s="230" t="s">
        <v>3507</v>
      </c>
      <c r="H2158" s="167" t="s">
        <v>2408</v>
      </c>
      <c r="I2158" s="167" t="s">
        <v>432</v>
      </c>
      <c r="J2158" s="107" t="s">
        <v>432</v>
      </c>
      <c r="K2158" s="107" t="s">
        <v>432</v>
      </c>
      <c r="L2158" s="107" t="s">
        <v>432</v>
      </c>
      <c r="M2158" s="107" t="s">
        <v>432</v>
      </c>
      <c r="N2158" s="107" t="s">
        <v>432</v>
      </c>
      <c r="O2158" s="107" t="s">
        <v>432</v>
      </c>
      <c r="P2158" s="107" t="s">
        <v>432</v>
      </c>
      <c r="Q2158" s="107" t="s">
        <v>432</v>
      </c>
      <c r="R2158" s="107" t="s">
        <v>432</v>
      </c>
      <c r="S2158" s="109" t="s">
        <v>2209</v>
      </c>
      <c r="T2158" s="108" t="s">
        <v>432</v>
      </c>
      <c r="U2158" s="108" t="s">
        <v>432</v>
      </c>
      <c r="V2158" s="109" t="s">
        <v>2209</v>
      </c>
      <c r="W2158" s="108" t="s">
        <v>432</v>
      </c>
      <c r="X2158" s="108" t="s">
        <v>432</v>
      </c>
      <c r="Y2158" s="108" t="s">
        <v>432</v>
      </c>
      <c r="Z2158" s="108" t="s">
        <v>432</v>
      </c>
      <c r="AA2158" s="108" t="s">
        <v>432</v>
      </c>
      <c r="AB2158" s="108" t="s">
        <v>432</v>
      </c>
      <c r="AC2158" s="108" t="s">
        <v>432</v>
      </c>
      <c r="AD2158" s="108" t="s">
        <v>432</v>
      </c>
      <c r="AE2158" s="108" t="s">
        <v>432</v>
      </c>
      <c r="AF2158" s="108" t="s">
        <v>432</v>
      </c>
      <c r="AG2158" s="108" t="s">
        <v>432</v>
      </c>
      <c r="AH2158" s="108" t="s">
        <v>432</v>
      </c>
      <c r="AI2158" s="108" t="s">
        <v>432</v>
      </c>
      <c r="AJ2158" s="86" t="s">
        <v>2731</v>
      </c>
      <c r="AK2158" s="891" t="s">
        <v>2732</v>
      </c>
      <c r="AL2158" s="601" t="s">
        <v>432</v>
      </c>
      <c r="AM2158" s="891" t="s">
        <v>2728</v>
      </c>
      <c r="AN2158" s="137" t="s">
        <v>432</v>
      </c>
      <c r="AO2158" s="137" t="s">
        <v>432</v>
      </c>
      <c r="AP2158" s="137" t="s">
        <v>432</v>
      </c>
      <c r="AQ2158" s="137" t="s">
        <v>432</v>
      </c>
      <c r="AR2158" s="137" t="s">
        <v>432</v>
      </c>
      <c r="AS2158" s="137" t="s">
        <v>432</v>
      </c>
      <c r="AT2158" s="137" t="s">
        <v>432</v>
      </c>
      <c r="AU2158" s="137" t="s">
        <v>432</v>
      </c>
      <c r="AV2158" s="137" t="s">
        <v>432</v>
      </c>
      <c r="AW2158" s="137" t="s">
        <v>432</v>
      </c>
      <c r="AX2158" s="137" t="s">
        <v>432</v>
      </c>
      <c r="AY2158" s="137" t="s">
        <v>432</v>
      </c>
      <c r="AZ2158" s="137" t="s">
        <v>432</v>
      </c>
      <c r="BA2158" s="137" t="s">
        <v>432</v>
      </c>
      <c r="BB2158" s="239" t="str">
        <f t="shared" si="602"/>
        <v>geralx</v>
      </c>
      <c r="BC2158" s="239" t="str">
        <f t="shared" si="603"/>
        <v>geralxsigla/verbete</v>
      </c>
      <c r="BD2158" s="239" t="str">
        <f t="shared" si="604"/>
        <v>geralsigla/verbete</v>
      </c>
    </row>
    <row r="2159" spans="1:56" s="1" customFormat="1" ht="88.5" customHeight="1" x14ac:dyDescent="0.25">
      <c r="A2159" s="528" t="s">
        <v>432</v>
      </c>
      <c r="B2159" s="54" t="s">
        <v>742</v>
      </c>
      <c r="C2159" s="230" t="s">
        <v>743</v>
      </c>
      <c r="D2159" s="324" t="s">
        <v>4606</v>
      </c>
      <c r="E2159" s="1509" t="s">
        <v>4608</v>
      </c>
      <c r="F2159" s="14" t="s">
        <v>4609</v>
      </c>
      <c r="G2159" s="230" t="s">
        <v>3507</v>
      </c>
      <c r="H2159" s="167" t="s">
        <v>2408</v>
      </c>
      <c r="I2159" s="167" t="s">
        <v>432</v>
      </c>
      <c r="J2159" s="107" t="s">
        <v>432</v>
      </c>
      <c r="K2159" s="107" t="s">
        <v>432</v>
      </c>
      <c r="L2159" s="107" t="s">
        <v>432</v>
      </c>
      <c r="M2159" s="107" t="s">
        <v>432</v>
      </c>
      <c r="N2159" s="107" t="s">
        <v>432</v>
      </c>
      <c r="O2159" s="107" t="s">
        <v>432</v>
      </c>
      <c r="P2159" s="107" t="s">
        <v>432</v>
      </c>
      <c r="Q2159" s="107" t="s">
        <v>432</v>
      </c>
      <c r="R2159" s="107" t="s">
        <v>432</v>
      </c>
      <c r="S2159" s="109" t="s">
        <v>2209</v>
      </c>
      <c r="T2159" s="108" t="s">
        <v>432</v>
      </c>
      <c r="U2159" s="108" t="s">
        <v>432</v>
      </c>
      <c r="V2159" s="109" t="s">
        <v>2209</v>
      </c>
      <c r="W2159" s="108" t="s">
        <v>432</v>
      </c>
      <c r="X2159" s="108" t="s">
        <v>432</v>
      </c>
      <c r="Y2159" s="108" t="s">
        <v>432</v>
      </c>
      <c r="Z2159" s="108" t="s">
        <v>432</v>
      </c>
      <c r="AA2159" s="108" t="s">
        <v>432</v>
      </c>
      <c r="AB2159" s="108" t="s">
        <v>432</v>
      </c>
      <c r="AC2159" s="108" t="s">
        <v>432</v>
      </c>
      <c r="AD2159" s="108" t="s">
        <v>432</v>
      </c>
      <c r="AE2159" s="108" t="s">
        <v>432</v>
      </c>
      <c r="AF2159" s="108" t="s">
        <v>432</v>
      </c>
      <c r="AG2159" s="108" t="s">
        <v>432</v>
      </c>
      <c r="AH2159" s="108" t="s">
        <v>432</v>
      </c>
      <c r="AI2159" s="108" t="s">
        <v>432</v>
      </c>
      <c r="AJ2159" s="108" t="s">
        <v>432</v>
      </c>
      <c r="AK2159" s="108" t="s">
        <v>432</v>
      </c>
      <c r="AL2159" s="601" t="s">
        <v>432</v>
      </c>
      <c r="AM2159" s="137" t="s">
        <v>432</v>
      </c>
      <c r="AN2159" s="137" t="s">
        <v>432</v>
      </c>
      <c r="AO2159" s="137" t="s">
        <v>432</v>
      </c>
      <c r="AP2159" s="137" t="s">
        <v>432</v>
      </c>
      <c r="AQ2159" s="137" t="s">
        <v>432</v>
      </c>
      <c r="AR2159" s="137" t="s">
        <v>432</v>
      </c>
      <c r="AS2159" s="137" t="s">
        <v>432</v>
      </c>
      <c r="AT2159" s="137" t="s">
        <v>432</v>
      </c>
      <c r="AU2159" s="137" t="s">
        <v>432</v>
      </c>
      <c r="AV2159" s="137" t="s">
        <v>432</v>
      </c>
      <c r="AW2159" s="137" t="s">
        <v>432</v>
      </c>
      <c r="AX2159" s="137" t="s">
        <v>432</v>
      </c>
      <c r="AY2159" s="137" t="s">
        <v>432</v>
      </c>
      <c r="AZ2159" s="137" t="s">
        <v>432</v>
      </c>
      <c r="BA2159" s="137" t="s">
        <v>432</v>
      </c>
      <c r="BB2159" s="239" t="str">
        <f t="shared" si="602"/>
        <v>geralacessibilidade</v>
      </c>
      <c r="BC2159" s="239" t="str">
        <f t="shared" si="603"/>
        <v>geralacessibilidadesigla/verbete</v>
      </c>
      <c r="BD2159" s="239" t="str">
        <f t="shared" si="604"/>
        <v>geralsigla/verbete</v>
      </c>
    </row>
    <row r="2160" spans="1:56" s="1" customFormat="1" ht="25.5" x14ac:dyDescent="0.25">
      <c r="A2160" s="275" t="str">
        <f>'Q100b-totais'!$B$44</f>
        <v>5.2</v>
      </c>
      <c r="B2160" s="54" t="str">
        <f>'Q100b-totais'!$C$44</f>
        <v>Poluição do ar</v>
      </c>
      <c r="C2160" s="229" t="s">
        <v>432</v>
      </c>
      <c r="D2160" s="324" t="s">
        <v>336</v>
      </c>
      <c r="E2160" s="1402" t="s">
        <v>432</v>
      </c>
      <c r="F2160" s="14" t="s">
        <v>726</v>
      </c>
      <c r="G2160" s="173" t="s">
        <v>1932</v>
      </c>
      <c r="H2160" s="173" t="s">
        <v>2408</v>
      </c>
      <c r="I2160" s="57" t="s">
        <v>432</v>
      </c>
      <c r="J2160" s="109" t="s">
        <v>432</v>
      </c>
      <c r="K2160" s="109" t="s">
        <v>432</v>
      </c>
      <c r="L2160" s="109" t="s">
        <v>432</v>
      </c>
      <c r="M2160" s="109" t="s">
        <v>432</v>
      </c>
      <c r="N2160" s="109" t="s">
        <v>432</v>
      </c>
      <c r="O2160" s="109" t="s">
        <v>432</v>
      </c>
      <c r="P2160" s="109" t="s">
        <v>432</v>
      </c>
      <c r="Q2160" s="109" t="s">
        <v>432</v>
      </c>
      <c r="R2160" s="109" t="s">
        <v>432</v>
      </c>
      <c r="S2160" s="109" t="s">
        <v>2209</v>
      </c>
      <c r="T2160" s="109" t="s">
        <v>432</v>
      </c>
      <c r="U2160" s="109" t="s">
        <v>432</v>
      </c>
      <c r="V2160" s="109" t="s">
        <v>2209</v>
      </c>
      <c r="W2160" s="109" t="s">
        <v>432</v>
      </c>
      <c r="X2160" s="109" t="s">
        <v>432</v>
      </c>
      <c r="Y2160" s="109" t="s">
        <v>432</v>
      </c>
      <c r="Z2160" s="109" t="s">
        <v>432</v>
      </c>
      <c r="AA2160" s="109" t="s">
        <v>432</v>
      </c>
      <c r="AB2160" s="109" t="s">
        <v>432</v>
      </c>
      <c r="AC2160" s="109" t="s">
        <v>432</v>
      </c>
      <c r="AD2160" s="109" t="s">
        <v>432</v>
      </c>
      <c r="AE2160" s="109" t="s">
        <v>432</v>
      </c>
      <c r="AF2160" s="109" t="s">
        <v>432</v>
      </c>
      <c r="AG2160" s="109" t="s">
        <v>432</v>
      </c>
      <c r="AH2160" s="109" t="s">
        <v>432</v>
      </c>
      <c r="AI2160" s="109" t="s">
        <v>432</v>
      </c>
      <c r="AJ2160" s="109" t="s">
        <v>432</v>
      </c>
      <c r="AK2160" s="137" t="s">
        <v>432</v>
      </c>
      <c r="AL2160" s="601" t="s">
        <v>432</v>
      </c>
      <c r="AM2160" s="137" t="s">
        <v>432</v>
      </c>
      <c r="AN2160" s="137" t="s">
        <v>432</v>
      </c>
      <c r="AO2160" s="137" t="s">
        <v>432</v>
      </c>
      <c r="AP2160" s="137" t="s">
        <v>432</v>
      </c>
      <c r="AQ2160" s="137" t="s">
        <v>432</v>
      </c>
      <c r="AR2160" s="137" t="s">
        <v>432</v>
      </c>
      <c r="AS2160" s="137" t="s">
        <v>432</v>
      </c>
      <c r="AT2160" s="137" t="s">
        <v>432</v>
      </c>
      <c r="AU2160" s="137" t="s">
        <v>432</v>
      </c>
      <c r="AV2160" s="137" t="s">
        <v>432</v>
      </c>
      <c r="AW2160" s="137" t="s">
        <v>432</v>
      </c>
      <c r="AX2160" s="137" t="s">
        <v>432</v>
      </c>
      <c r="AY2160" s="137" t="s">
        <v>432</v>
      </c>
      <c r="AZ2160" s="137" t="s">
        <v>432</v>
      </c>
      <c r="BA2160" s="137" t="s">
        <v>432</v>
      </c>
      <c r="BB2160" s="239" t="str">
        <f t="shared" ref="BB2160:BB2219" si="606">B2160&amp;C2160</f>
        <v>Poluição do arx</v>
      </c>
      <c r="BC2160" s="239" t="str">
        <f t="shared" ref="BC2160:BC2219" si="607">B2160&amp;C2160&amp;H2160</f>
        <v>Poluição do arxsigla/verbete</v>
      </c>
      <c r="BD2160" s="239" t="str">
        <f t="shared" ref="BD2160:BD2219" si="608">B2160&amp;H2160</f>
        <v>Poluição do arsigla/verbete</v>
      </c>
    </row>
    <row r="2161" spans="1:56" s="1" customFormat="1" ht="25.5" x14ac:dyDescent="0.25">
      <c r="A2161" s="262" t="s">
        <v>432</v>
      </c>
      <c r="B2161" s="54" t="s">
        <v>742</v>
      </c>
      <c r="C2161" s="230" t="s">
        <v>432</v>
      </c>
      <c r="D2161" s="939" t="s">
        <v>337</v>
      </c>
      <c r="E2161" s="509" t="s">
        <v>432</v>
      </c>
      <c r="F2161" s="5" t="s">
        <v>338</v>
      </c>
      <c r="G2161" s="167" t="s">
        <v>3719</v>
      </c>
      <c r="H2161" s="168" t="s">
        <v>2408</v>
      </c>
      <c r="I2161" s="167" t="s">
        <v>432</v>
      </c>
      <c r="J2161" s="109" t="s">
        <v>432</v>
      </c>
      <c r="K2161" s="109" t="s">
        <v>432</v>
      </c>
      <c r="L2161" s="109" t="s">
        <v>432</v>
      </c>
      <c r="M2161" s="109" t="s">
        <v>432</v>
      </c>
      <c r="N2161" s="109" t="s">
        <v>432</v>
      </c>
      <c r="O2161" s="109" t="s">
        <v>432</v>
      </c>
      <c r="P2161" s="109" t="s">
        <v>432</v>
      </c>
      <c r="Q2161" s="109" t="s">
        <v>432</v>
      </c>
      <c r="R2161" s="109" t="s">
        <v>432</v>
      </c>
      <c r="S2161" s="109" t="s">
        <v>2209</v>
      </c>
      <c r="T2161" s="109" t="s">
        <v>432</v>
      </c>
      <c r="U2161" s="109" t="s">
        <v>432</v>
      </c>
      <c r="V2161" s="109" t="s">
        <v>2209</v>
      </c>
      <c r="W2161" s="109" t="s">
        <v>432</v>
      </c>
      <c r="X2161" s="109" t="s">
        <v>432</v>
      </c>
      <c r="Y2161" s="109" t="s">
        <v>432</v>
      </c>
      <c r="Z2161" s="109" t="s">
        <v>432</v>
      </c>
      <c r="AA2161" s="109" t="s">
        <v>432</v>
      </c>
      <c r="AB2161" s="109" t="s">
        <v>432</v>
      </c>
      <c r="AC2161" s="109" t="s">
        <v>432</v>
      </c>
      <c r="AD2161" s="109" t="s">
        <v>432</v>
      </c>
      <c r="AE2161" s="109" t="s">
        <v>432</v>
      </c>
      <c r="AF2161" s="109" t="s">
        <v>432</v>
      </c>
      <c r="AG2161" s="109" t="s">
        <v>432</v>
      </c>
      <c r="AH2161" s="109" t="s">
        <v>432</v>
      </c>
      <c r="AI2161" s="109" t="s">
        <v>432</v>
      </c>
      <c r="AJ2161" s="109" t="s">
        <v>432</v>
      </c>
      <c r="AK2161" s="109" t="s">
        <v>432</v>
      </c>
      <c r="AL2161" s="601" t="s">
        <v>432</v>
      </c>
      <c r="AM2161" s="137" t="s">
        <v>432</v>
      </c>
      <c r="AN2161" s="137" t="s">
        <v>432</v>
      </c>
      <c r="AO2161" s="137" t="s">
        <v>432</v>
      </c>
      <c r="AP2161" s="137" t="s">
        <v>432</v>
      </c>
      <c r="AQ2161" s="137" t="s">
        <v>432</v>
      </c>
      <c r="AR2161" s="137" t="s">
        <v>432</v>
      </c>
      <c r="AS2161" s="137" t="s">
        <v>432</v>
      </c>
      <c r="AT2161" s="137" t="s">
        <v>432</v>
      </c>
      <c r="AU2161" s="137" t="s">
        <v>432</v>
      </c>
      <c r="AV2161" s="137" t="s">
        <v>432</v>
      </c>
      <c r="AW2161" s="137" t="s">
        <v>432</v>
      </c>
      <c r="AX2161" s="137" t="s">
        <v>432</v>
      </c>
      <c r="AY2161" s="137" t="s">
        <v>432</v>
      </c>
      <c r="AZ2161" s="137" t="s">
        <v>432</v>
      </c>
      <c r="BA2161" s="137" t="s">
        <v>432</v>
      </c>
      <c r="BB2161" s="239" t="str">
        <f t="shared" si="606"/>
        <v>geralx</v>
      </c>
      <c r="BC2161" s="239" t="str">
        <f t="shared" si="607"/>
        <v>geralxsigla/verbete</v>
      </c>
      <c r="BD2161" s="239" t="str">
        <f t="shared" si="608"/>
        <v>geralsigla/verbete</v>
      </c>
    </row>
    <row r="2162" spans="1:56" s="1" customFormat="1" ht="63" customHeight="1" x14ac:dyDescent="0.25">
      <c r="A2162" s="262" t="s">
        <v>432</v>
      </c>
      <c r="B2162" s="252" t="s">
        <v>742</v>
      </c>
      <c r="C2162" s="167" t="s">
        <v>432</v>
      </c>
      <c r="D2162" s="324" t="s">
        <v>339</v>
      </c>
      <c r="E2162" s="1496" t="s">
        <v>432</v>
      </c>
      <c r="F2162" s="165" t="s">
        <v>894</v>
      </c>
      <c r="G2162" s="167" t="s">
        <v>3879</v>
      </c>
      <c r="H2162" s="167" t="s">
        <v>432</v>
      </c>
      <c r="I2162" s="167" t="s">
        <v>432</v>
      </c>
      <c r="J2162" s="107" t="s">
        <v>432</v>
      </c>
      <c r="K2162" s="107" t="s">
        <v>432</v>
      </c>
      <c r="L2162" s="107" t="s">
        <v>432</v>
      </c>
      <c r="M2162" s="107" t="s">
        <v>432</v>
      </c>
      <c r="N2162" s="107" t="s">
        <v>432</v>
      </c>
      <c r="O2162" s="107" t="s">
        <v>432</v>
      </c>
      <c r="P2162" s="107" t="s">
        <v>432</v>
      </c>
      <c r="Q2162" s="107" t="s">
        <v>432</v>
      </c>
      <c r="R2162" s="107" t="s">
        <v>432</v>
      </c>
      <c r="S2162" s="109" t="s">
        <v>2209</v>
      </c>
      <c r="T2162" s="107" t="s">
        <v>432</v>
      </c>
      <c r="U2162" s="107" t="s">
        <v>432</v>
      </c>
      <c r="V2162" s="109" t="s">
        <v>2209</v>
      </c>
      <c r="W2162" s="107" t="s">
        <v>432</v>
      </c>
      <c r="X2162" s="107" t="s">
        <v>432</v>
      </c>
      <c r="Y2162" s="107" t="s">
        <v>432</v>
      </c>
      <c r="Z2162" s="107" t="s">
        <v>432</v>
      </c>
      <c r="AA2162" s="107" t="s">
        <v>432</v>
      </c>
      <c r="AB2162" s="107" t="s">
        <v>432</v>
      </c>
      <c r="AC2162" s="107" t="s">
        <v>432</v>
      </c>
      <c r="AD2162" s="107" t="s">
        <v>432</v>
      </c>
      <c r="AE2162" s="107" t="s">
        <v>432</v>
      </c>
      <c r="AF2162" s="107" t="s">
        <v>432</v>
      </c>
      <c r="AG2162" s="107" t="s">
        <v>432</v>
      </c>
      <c r="AH2162" s="107" t="s">
        <v>432</v>
      </c>
      <c r="AI2162" s="107" t="s">
        <v>432</v>
      </c>
      <c r="AJ2162" s="107" t="s">
        <v>432</v>
      </c>
      <c r="AK2162" s="137" t="s">
        <v>432</v>
      </c>
      <c r="AL2162" s="601" t="s">
        <v>432</v>
      </c>
      <c r="AM2162" s="137" t="s">
        <v>432</v>
      </c>
      <c r="AN2162" s="137" t="s">
        <v>432</v>
      </c>
      <c r="AO2162" s="137" t="s">
        <v>432</v>
      </c>
      <c r="AP2162" s="137" t="s">
        <v>432</v>
      </c>
      <c r="AQ2162" s="137" t="s">
        <v>432</v>
      </c>
      <c r="AR2162" s="137" t="s">
        <v>432</v>
      </c>
      <c r="AS2162" s="137" t="s">
        <v>432</v>
      </c>
      <c r="AT2162" s="137" t="s">
        <v>432</v>
      </c>
      <c r="AU2162" s="137" t="s">
        <v>432</v>
      </c>
      <c r="AV2162" s="137" t="s">
        <v>432</v>
      </c>
      <c r="AW2162" s="137" t="s">
        <v>432</v>
      </c>
      <c r="AX2162" s="137" t="s">
        <v>432</v>
      </c>
      <c r="AY2162" s="137" t="s">
        <v>432</v>
      </c>
      <c r="AZ2162" s="137" t="s">
        <v>432</v>
      </c>
      <c r="BA2162" s="137" t="s">
        <v>432</v>
      </c>
      <c r="BB2162" s="239" t="str">
        <f t="shared" si="606"/>
        <v>geralx</v>
      </c>
      <c r="BC2162" s="239" t="str">
        <f t="shared" si="607"/>
        <v>geralxx</v>
      </c>
      <c r="BD2162" s="239" t="str">
        <f t="shared" si="608"/>
        <v>geralx</v>
      </c>
    </row>
    <row r="2163" spans="1:56" s="1" customFormat="1" ht="78.75" customHeight="1" x14ac:dyDescent="0.25">
      <c r="A2163" s="262" t="s">
        <v>432</v>
      </c>
      <c r="B2163" s="252" t="s">
        <v>742</v>
      </c>
      <c r="C2163" s="167" t="s">
        <v>432</v>
      </c>
      <c r="D2163" s="983" t="s">
        <v>340</v>
      </c>
      <c r="E2163" s="1496" t="s">
        <v>432</v>
      </c>
      <c r="F2163" s="181" t="s">
        <v>895</v>
      </c>
      <c r="G2163" s="167" t="s">
        <v>3879</v>
      </c>
      <c r="H2163" s="167" t="s">
        <v>432</v>
      </c>
      <c r="I2163" s="167" t="s">
        <v>432</v>
      </c>
      <c r="J2163" s="107" t="s">
        <v>432</v>
      </c>
      <c r="K2163" s="107" t="s">
        <v>432</v>
      </c>
      <c r="L2163" s="107" t="s">
        <v>432</v>
      </c>
      <c r="M2163" s="107" t="s">
        <v>432</v>
      </c>
      <c r="N2163" s="107" t="s">
        <v>432</v>
      </c>
      <c r="O2163" s="107" t="s">
        <v>432</v>
      </c>
      <c r="P2163" s="107" t="s">
        <v>432</v>
      </c>
      <c r="Q2163" s="107" t="s">
        <v>432</v>
      </c>
      <c r="R2163" s="107" t="s">
        <v>432</v>
      </c>
      <c r="S2163" s="109" t="s">
        <v>2209</v>
      </c>
      <c r="T2163" s="107" t="s">
        <v>432</v>
      </c>
      <c r="U2163" s="107" t="s">
        <v>432</v>
      </c>
      <c r="V2163" s="109" t="s">
        <v>2209</v>
      </c>
      <c r="W2163" s="107" t="s">
        <v>432</v>
      </c>
      <c r="X2163" s="107" t="s">
        <v>432</v>
      </c>
      <c r="Y2163" s="107" t="s">
        <v>432</v>
      </c>
      <c r="Z2163" s="107" t="s">
        <v>432</v>
      </c>
      <c r="AA2163" s="107" t="s">
        <v>432</v>
      </c>
      <c r="AB2163" s="107" t="s">
        <v>432</v>
      </c>
      <c r="AC2163" s="107" t="s">
        <v>432</v>
      </c>
      <c r="AD2163" s="107" t="s">
        <v>432</v>
      </c>
      <c r="AE2163" s="107" t="s">
        <v>432</v>
      </c>
      <c r="AF2163" s="107" t="s">
        <v>432</v>
      </c>
      <c r="AG2163" s="107" t="s">
        <v>432</v>
      </c>
      <c r="AH2163" s="107" t="s">
        <v>432</v>
      </c>
      <c r="AI2163" s="107" t="s">
        <v>432</v>
      </c>
      <c r="AJ2163" s="107" t="s">
        <v>432</v>
      </c>
      <c r="AK2163" s="137" t="s">
        <v>432</v>
      </c>
      <c r="AL2163" s="601" t="s">
        <v>432</v>
      </c>
      <c r="AM2163" s="137" t="s">
        <v>432</v>
      </c>
      <c r="AN2163" s="137" t="s">
        <v>432</v>
      </c>
      <c r="AO2163" s="137" t="s">
        <v>432</v>
      </c>
      <c r="AP2163" s="137" t="s">
        <v>432</v>
      </c>
      <c r="AQ2163" s="137" t="s">
        <v>432</v>
      </c>
      <c r="AR2163" s="137" t="s">
        <v>432</v>
      </c>
      <c r="AS2163" s="137" t="s">
        <v>432</v>
      </c>
      <c r="AT2163" s="137" t="s">
        <v>432</v>
      </c>
      <c r="AU2163" s="137" t="s">
        <v>432</v>
      </c>
      <c r="AV2163" s="137" t="s">
        <v>432</v>
      </c>
      <c r="AW2163" s="137" t="s">
        <v>432</v>
      </c>
      <c r="AX2163" s="137" t="s">
        <v>432</v>
      </c>
      <c r="AY2163" s="137" t="s">
        <v>432</v>
      </c>
      <c r="AZ2163" s="137" t="s">
        <v>432</v>
      </c>
      <c r="BA2163" s="137" t="s">
        <v>432</v>
      </c>
      <c r="BB2163" s="239" t="str">
        <f t="shared" si="606"/>
        <v>geralx</v>
      </c>
      <c r="BC2163" s="239" t="str">
        <f t="shared" si="607"/>
        <v>geralxx</v>
      </c>
      <c r="BD2163" s="239" t="str">
        <f t="shared" si="608"/>
        <v>geralx</v>
      </c>
    </row>
    <row r="2164" spans="1:56" s="1" customFormat="1" ht="25.5" customHeight="1" x14ac:dyDescent="0.25">
      <c r="A2164" s="262" t="s">
        <v>432</v>
      </c>
      <c r="B2164" s="252" t="s">
        <v>742</v>
      </c>
      <c r="C2164" s="167" t="s">
        <v>432</v>
      </c>
      <c r="D2164" s="324" t="s">
        <v>341</v>
      </c>
      <c r="E2164" s="1496" t="s">
        <v>432</v>
      </c>
      <c r="F2164" s="11" t="s">
        <v>905</v>
      </c>
      <c r="G2164" s="167" t="s">
        <v>3879</v>
      </c>
      <c r="H2164" s="167" t="s">
        <v>432</v>
      </c>
      <c r="I2164" s="167" t="s">
        <v>432</v>
      </c>
      <c r="J2164" s="107" t="s">
        <v>432</v>
      </c>
      <c r="K2164" s="107" t="s">
        <v>432</v>
      </c>
      <c r="L2164" s="107" t="s">
        <v>432</v>
      </c>
      <c r="M2164" s="107" t="s">
        <v>432</v>
      </c>
      <c r="N2164" s="107" t="s">
        <v>432</v>
      </c>
      <c r="O2164" s="107" t="s">
        <v>432</v>
      </c>
      <c r="P2164" s="107" t="s">
        <v>432</v>
      </c>
      <c r="Q2164" s="107" t="s">
        <v>432</v>
      </c>
      <c r="R2164" s="107" t="s">
        <v>432</v>
      </c>
      <c r="S2164" s="109" t="s">
        <v>2209</v>
      </c>
      <c r="T2164" s="107" t="s">
        <v>432</v>
      </c>
      <c r="U2164" s="107" t="s">
        <v>432</v>
      </c>
      <c r="V2164" s="109" t="s">
        <v>2209</v>
      </c>
      <c r="W2164" s="107" t="s">
        <v>432</v>
      </c>
      <c r="X2164" s="107" t="s">
        <v>432</v>
      </c>
      <c r="Y2164" s="107" t="s">
        <v>432</v>
      </c>
      <c r="Z2164" s="107" t="s">
        <v>432</v>
      </c>
      <c r="AA2164" s="107" t="s">
        <v>432</v>
      </c>
      <c r="AB2164" s="107" t="s">
        <v>432</v>
      </c>
      <c r="AC2164" s="107" t="s">
        <v>432</v>
      </c>
      <c r="AD2164" s="107" t="s">
        <v>432</v>
      </c>
      <c r="AE2164" s="107" t="s">
        <v>432</v>
      </c>
      <c r="AF2164" s="107" t="s">
        <v>432</v>
      </c>
      <c r="AG2164" s="107" t="s">
        <v>432</v>
      </c>
      <c r="AH2164" s="107" t="s">
        <v>432</v>
      </c>
      <c r="AI2164" s="107" t="s">
        <v>432</v>
      </c>
      <c r="AJ2164" s="107" t="s">
        <v>432</v>
      </c>
      <c r="AK2164" s="137" t="s">
        <v>432</v>
      </c>
      <c r="AL2164" s="601" t="s">
        <v>432</v>
      </c>
      <c r="AM2164" s="137" t="s">
        <v>432</v>
      </c>
      <c r="AN2164" s="137" t="s">
        <v>432</v>
      </c>
      <c r="AO2164" s="137" t="s">
        <v>432</v>
      </c>
      <c r="AP2164" s="137" t="s">
        <v>432</v>
      </c>
      <c r="AQ2164" s="137" t="s">
        <v>432</v>
      </c>
      <c r="AR2164" s="137" t="s">
        <v>432</v>
      </c>
      <c r="AS2164" s="137" t="s">
        <v>432</v>
      </c>
      <c r="AT2164" s="137" t="s">
        <v>432</v>
      </c>
      <c r="AU2164" s="137" t="s">
        <v>432</v>
      </c>
      <c r="AV2164" s="137" t="s">
        <v>432</v>
      </c>
      <c r="AW2164" s="137" t="s">
        <v>432</v>
      </c>
      <c r="AX2164" s="137" t="s">
        <v>432</v>
      </c>
      <c r="AY2164" s="137" t="s">
        <v>432</v>
      </c>
      <c r="AZ2164" s="137" t="s">
        <v>432</v>
      </c>
      <c r="BA2164" s="137" t="s">
        <v>432</v>
      </c>
      <c r="BB2164" s="239" t="str">
        <f t="shared" si="606"/>
        <v>geralx</v>
      </c>
      <c r="BC2164" s="239" t="str">
        <f t="shared" si="607"/>
        <v>geralxx</v>
      </c>
      <c r="BD2164" s="239" t="str">
        <f t="shared" si="608"/>
        <v>geralx</v>
      </c>
    </row>
    <row r="2165" spans="1:56" s="1" customFormat="1" ht="78.75" customHeight="1" x14ac:dyDescent="0.25">
      <c r="A2165" s="262" t="s">
        <v>432</v>
      </c>
      <c r="B2165" s="252" t="s">
        <v>742</v>
      </c>
      <c r="C2165" s="167" t="s">
        <v>432</v>
      </c>
      <c r="D2165" s="968" t="s">
        <v>342</v>
      </c>
      <c r="E2165" s="1496" t="s">
        <v>432</v>
      </c>
      <c r="F2165" s="53" t="s">
        <v>896</v>
      </c>
      <c r="G2165" s="167" t="s">
        <v>3879</v>
      </c>
      <c r="H2165" s="167" t="s">
        <v>432</v>
      </c>
      <c r="I2165" s="167" t="s">
        <v>432</v>
      </c>
      <c r="J2165" s="107" t="s">
        <v>432</v>
      </c>
      <c r="K2165" s="107" t="s">
        <v>432</v>
      </c>
      <c r="L2165" s="107" t="s">
        <v>432</v>
      </c>
      <c r="M2165" s="107" t="s">
        <v>432</v>
      </c>
      <c r="N2165" s="107" t="s">
        <v>432</v>
      </c>
      <c r="O2165" s="107" t="s">
        <v>432</v>
      </c>
      <c r="P2165" s="107" t="s">
        <v>432</v>
      </c>
      <c r="Q2165" s="107" t="s">
        <v>432</v>
      </c>
      <c r="R2165" s="107" t="s">
        <v>432</v>
      </c>
      <c r="S2165" s="109" t="s">
        <v>2209</v>
      </c>
      <c r="T2165" s="107" t="s">
        <v>432</v>
      </c>
      <c r="U2165" s="107" t="s">
        <v>432</v>
      </c>
      <c r="V2165" s="109" t="s">
        <v>2209</v>
      </c>
      <c r="W2165" s="107" t="s">
        <v>432</v>
      </c>
      <c r="X2165" s="107" t="s">
        <v>432</v>
      </c>
      <c r="Y2165" s="107" t="s">
        <v>432</v>
      </c>
      <c r="Z2165" s="107" t="s">
        <v>432</v>
      </c>
      <c r="AA2165" s="107" t="s">
        <v>432</v>
      </c>
      <c r="AB2165" s="107" t="s">
        <v>432</v>
      </c>
      <c r="AC2165" s="107" t="s">
        <v>432</v>
      </c>
      <c r="AD2165" s="107" t="s">
        <v>432</v>
      </c>
      <c r="AE2165" s="107" t="s">
        <v>432</v>
      </c>
      <c r="AF2165" s="107" t="s">
        <v>432</v>
      </c>
      <c r="AG2165" s="107" t="s">
        <v>432</v>
      </c>
      <c r="AH2165" s="107" t="s">
        <v>432</v>
      </c>
      <c r="AI2165" s="107" t="s">
        <v>432</v>
      </c>
      <c r="AJ2165" s="107" t="s">
        <v>432</v>
      </c>
      <c r="AK2165" s="137" t="s">
        <v>432</v>
      </c>
      <c r="AL2165" s="601" t="s">
        <v>432</v>
      </c>
      <c r="AM2165" s="137" t="s">
        <v>432</v>
      </c>
      <c r="AN2165" s="137" t="s">
        <v>432</v>
      </c>
      <c r="AO2165" s="137" t="s">
        <v>432</v>
      </c>
      <c r="AP2165" s="137" t="s">
        <v>432</v>
      </c>
      <c r="AQ2165" s="137" t="s">
        <v>432</v>
      </c>
      <c r="AR2165" s="137" t="s">
        <v>432</v>
      </c>
      <c r="AS2165" s="137" t="s">
        <v>432</v>
      </c>
      <c r="AT2165" s="137" t="s">
        <v>432</v>
      </c>
      <c r="AU2165" s="137" t="s">
        <v>432</v>
      </c>
      <c r="AV2165" s="137" t="s">
        <v>432</v>
      </c>
      <c r="AW2165" s="137" t="s">
        <v>432</v>
      </c>
      <c r="AX2165" s="137" t="s">
        <v>432</v>
      </c>
      <c r="AY2165" s="137" t="s">
        <v>432</v>
      </c>
      <c r="AZ2165" s="137" t="s">
        <v>432</v>
      </c>
      <c r="BA2165" s="137" t="s">
        <v>432</v>
      </c>
      <c r="BB2165" s="239" t="str">
        <f t="shared" si="606"/>
        <v>geralx</v>
      </c>
      <c r="BC2165" s="239" t="str">
        <f t="shared" si="607"/>
        <v>geralxx</v>
      </c>
      <c r="BD2165" s="239" t="str">
        <f t="shared" si="608"/>
        <v>geralx</v>
      </c>
    </row>
    <row r="2166" spans="1:56" s="1" customFormat="1" x14ac:dyDescent="0.25">
      <c r="A2166" s="398"/>
      <c r="B2166" s="221"/>
      <c r="C2166" s="399"/>
      <c r="D2166" s="987"/>
      <c r="E2166" s="1533"/>
      <c r="F2166" s="405"/>
      <c r="G2166" s="405"/>
      <c r="H2166" s="399"/>
      <c r="I2166" s="405"/>
      <c r="J2166" s="221"/>
      <c r="K2166" s="403"/>
      <c r="L2166" s="403"/>
      <c r="M2166" s="403"/>
      <c r="N2166" s="403"/>
      <c r="O2166" s="403"/>
      <c r="P2166" s="403"/>
      <c r="Q2166" s="403"/>
      <c r="R2166" s="403"/>
      <c r="S2166" s="403"/>
      <c r="T2166" s="403"/>
      <c r="U2166" s="403"/>
      <c r="V2166" s="403"/>
      <c r="W2166" s="403"/>
      <c r="X2166" s="403"/>
      <c r="Y2166" s="403"/>
      <c r="Z2166" s="403"/>
      <c r="AA2166" s="403"/>
      <c r="AB2166" s="403"/>
      <c r="AC2166" s="403"/>
      <c r="AD2166" s="403"/>
      <c r="AE2166" s="403"/>
      <c r="AF2166" s="403"/>
      <c r="AG2166" s="403"/>
      <c r="AH2166" s="403"/>
      <c r="AI2166" s="403"/>
      <c r="AJ2166" s="403"/>
      <c r="AK2166" s="223"/>
      <c r="AL2166" s="223"/>
      <c r="AM2166" s="223"/>
      <c r="AN2166" s="223"/>
      <c r="AO2166" s="223"/>
      <c r="AP2166" s="223"/>
      <c r="AQ2166" s="223"/>
      <c r="AR2166" s="223"/>
      <c r="AS2166" s="223"/>
      <c r="AT2166" s="223"/>
      <c r="AU2166" s="223"/>
      <c r="AV2166" s="223"/>
      <c r="AW2166" s="223"/>
      <c r="AX2166" s="223"/>
      <c r="AY2166" s="223"/>
      <c r="AZ2166" s="223"/>
      <c r="BA2166" s="223"/>
      <c r="BB2166" s="400"/>
      <c r="BC2166" s="400"/>
      <c r="BD2166" s="400"/>
    </row>
    <row r="2167" spans="1:56" s="1" customFormat="1" ht="108.75" customHeight="1" x14ac:dyDescent="0.25">
      <c r="A2167" s="275" t="str">
        <f>'Q100b-totais'!$B$44</f>
        <v>5.2</v>
      </c>
      <c r="B2167" s="54" t="str">
        <f>'Q100b-totais'!$C$44</f>
        <v>Poluição do ar</v>
      </c>
      <c r="C2167" s="229" t="s">
        <v>432</v>
      </c>
      <c r="D2167" s="324" t="s">
        <v>343</v>
      </c>
      <c r="E2167" s="1402" t="s">
        <v>432</v>
      </c>
      <c r="F2167" s="15" t="s">
        <v>1376</v>
      </c>
      <c r="G2167" s="230" t="s">
        <v>3507</v>
      </c>
      <c r="H2167" s="167" t="s">
        <v>2408</v>
      </c>
      <c r="I2167" s="167" t="s">
        <v>432</v>
      </c>
      <c r="J2167" s="109" t="s">
        <v>432</v>
      </c>
      <c r="K2167" s="109" t="s">
        <v>432</v>
      </c>
      <c r="L2167" s="109" t="s">
        <v>432</v>
      </c>
      <c r="M2167" s="109" t="s">
        <v>432</v>
      </c>
      <c r="N2167" s="109" t="s">
        <v>432</v>
      </c>
      <c r="O2167" s="109" t="s">
        <v>432</v>
      </c>
      <c r="P2167" s="109" t="s">
        <v>432</v>
      </c>
      <c r="Q2167" s="109" t="s">
        <v>432</v>
      </c>
      <c r="R2167" s="109" t="s">
        <v>432</v>
      </c>
      <c r="S2167" s="109" t="s">
        <v>2209</v>
      </c>
      <c r="T2167" s="109" t="s">
        <v>432</v>
      </c>
      <c r="U2167" s="109" t="s">
        <v>432</v>
      </c>
      <c r="V2167" s="109" t="s">
        <v>2209</v>
      </c>
      <c r="W2167" s="109" t="s">
        <v>432</v>
      </c>
      <c r="X2167" s="109" t="s">
        <v>432</v>
      </c>
      <c r="Y2167" s="109" t="s">
        <v>432</v>
      </c>
      <c r="Z2167" s="109" t="s">
        <v>432</v>
      </c>
      <c r="AA2167" s="109" t="s">
        <v>432</v>
      </c>
      <c r="AB2167" s="109" t="s">
        <v>432</v>
      </c>
      <c r="AC2167" s="109" t="s">
        <v>432</v>
      </c>
      <c r="AD2167" s="109" t="s">
        <v>432</v>
      </c>
      <c r="AE2167" s="109" t="s">
        <v>432</v>
      </c>
      <c r="AF2167" s="109" t="s">
        <v>432</v>
      </c>
      <c r="AG2167" s="109" t="s">
        <v>432</v>
      </c>
      <c r="AH2167" s="109" t="s">
        <v>432</v>
      </c>
      <c r="AI2167" s="109" t="s">
        <v>432</v>
      </c>
      <c r="AJ2167" s="109" t="s">
        <v>432</v>
      </c>
      <c r="AK2167" s="137" t="s">
        <v>432</v>
      </c>
      <c r="AL2167" s="601" t="s">
        <v>432</v>
      </c>
      <c r="AM2167" s="137" t="s">
        <v>432</v>
      </c>
      <c r="AN2167" s="137" t="s">
        <v>432</v>
      </c>
      <c r="AO2167" s="137" t="s">
        <v>432</v>
      </c>
      <c r="AP2167" s="137" t="s">
        <v>432</v>
      </c>
      <c r="AQ2167" s="137" t="s">
        <v>432</v>
      </c>
      <c r="AR2167" s="137" t="s">
        <v>432</v>
      </c>
      <c r="AS2167" s="137" t="s">
        <v>432</v>
      </c>
      <c r="AT2167" s="137" t="s">
        <v>432</v>
      </c>
      <c r="AU2167" s="137" t="s">
        <v>432</v>
      </c>
      <c r="AV2167" s="137" t="s">
        <v>432</v>
      </c>
      <c r="AW2167" s="137" t="s">
        <v>432</v>
      </c>
      <c r="AX2167" s="137" t="s">
        <v>432</v>
      </c>
      <c r="AY2167" s="137" t="s">
        <v>432</v>
      </c>
      <c r="AZ2167" s="137" t="s">
        <v>432</v>
      </c>
      <c r="BA2167" s="137" t="s">
        <v>432</v>
      </c>
      <c r="BB2167" s="239" t="str">
        <f t="shared" si="606"/>
        <v>Poluição do arx</v>
      </c>
      <c r="BC2167" s="239" t="str">
        <f t="shared" si="607"/>
        <v>Poluição do arxsigla/verbete</v>
      </c>
      <c r="BD2167" s="239" t="str">
        <f t="shared" si="608"/>
        <v>Poluição do arsigla/verbete</v>
      </c>
    </row>
    <row r="2168" spans="1:56" s="1" customFormat="1" ht="97.5" customHeight="1" x14ac:dyDescent="0.25">
      <c r="A2168" s="275" t="str">
        <f>'Q100b-totais'!$B$44</f>
        <v>5.2</v>
      </c>
      <c r="B2168" s="54" t="str">
        <f>'Q100b-totais'!$C$44</f>
        <v>Poluição do ar</v>
      </c>
      <c r="C2168" s="229" t="s">
        <v>432</v>
      </c>
      <c r="D2168" s="324" t="s">
        <v>344</v>
      </c>
      <c r="E2168" s="1402" t="s">
        <v>1306</v>
      </c>
      <c r="F2168" s="15" t="s">
        <v>3559</v>
      </c>
      <c r="G2168" s="423" t="s">
        <v>1375</v>
      </c>
      <c r="H2168" s="167" t="s">
        <v>432</v>
      </c>
      <c r="I2168" s="167">
        <v>1</v>
      </c>
      <c r="J2168" s="107" t="s">
        <v>432</v>
      </c>
      <c r="K2168" s="107" t="s">
        <v>432</v>
      </c>
      <c r="L2168" s="107" t="s">
        <v>432</v>
      </c>
      <c r="M2168" s="107" t="s">
        <v>432</v>
      </c>
      <c r="N2168" s="107" t="s">
        <v>432</v>
      </c>
      <c r="O2168" s="107" t="s">
        <v>432</v>
      </c>
      <c r="P2168" s="107" t="s">
        <v>432</v>
      </c>
      <c r="Q2168" s="107" t="s">
        <v>432</v>
      </c>
      <c r="R2168" s="107" t="s">
        <v>432</v>
      </c>
      <c r="S2168" s="109" t="s">
        <v>2209</v>
      </c>
      <c r="T2168" s="107" t="s">
        <v>432</v>
      </c>
      <c r="U2168" s="107" t="s">
        <v>432</v>
      </c>
      <c r="V2168" s="109" t="s">
        <v>2209</v>
      </c>
      <c r="W2168" s="88">
        <v>288</v>
      </c>
      <c r="X2168" s="88">
        <v>294</v>
      </c>
      <c r="Y2168" s="88">
        <v>280</v>
      </c>
      <c r="Z2168" s="88">
        <v>303</v>
      </c>
      <c r="AA2168" s="88">
        <v>337</v>
      </c>
      <c r="AB2168" s="88">
        <v>305</v>
      </c>
      <c r="AC2168" s="88">
        <v>274</v>
      </c>
      <c r="AD2168" s="88">
        <v>261</v>
      </c>
      <c r="AE2168" s="88">
        <v>185</v>
      </c>
      <c r="AF2168" s="88">
        <v>202</v>
      </c>
      <c r="AG2168" s="88">
        <v>237</v>
      </c>
      <c r="AH2168" s="84">
        <v>254</v>
      </c>
      <c r="AI2168" s="622" t="s">
        <v>2213</v>
      </c>
      <c r="AJ2168" s="622" t="s">
        <v>2213</v>
      </c>
      <c r="AK2168" s="622" t="s">
        <v>2213</v>
      </c>
      <c r="AL2168" s="601" t="s">
        <v>432</v>
      </c>
      <c r="AM2168" s="137" t="s">
        <v>432</v>
      </c>
      <c r="AN2168" s="137" t="s">
        <v>432</v>
      </c>
      <c r="AO2168" s="137" t="s">
        <v>432</v>
      </c>
      <c r="AP2168" s="137" t="s">
        <v>432</v>
      </c>
      <c r="AQ2168" s="137" t="s">
        <v>432</v>
      </c>
      <c r="AR2168" s="137" t="s">
        <v>432</v>
      </c>
      <c r="AS2168" s="137" t="s">
        <v>432</v>
      </c>
      <c r="AT2168" s="137" t="s">
        <v>432</v>
      </c>
      <c r="AU2168" s="137" t="s">
        <v>432</v>
      </c>
      <c r="AV2168" s="137" t="s">
        <v>432</v>
      </c>
      <c r="AW2168" s="137" t="s">
        <v>432</v>
      </c>
      <c r="AX2168" s="137" t="s">
        <v>432</v>
      </c>
      <c r="AY2168" s="137" t="s">
        <v>432</v>
      </c>
      <c r="AZ2168" s="137" t="s">
        <v>432</v>
      </c>
      <c r="BA2168" s="137" t="s">
        <v>432</v>
      </c>
      <c r="BB2168" s="239" t="str">
        <f t="shared" si="606"/>
        <v>Poluição do arx</v>
      </c>
      <c r="BC2168" s="239" t="str">
        <f t="shared" si="607"/>
        <v>Poluição do arxx</v>
      </c>
      <c r="BD2168" s="239" t="str">
        <f t="shared" si="608"/>
        <v>Poluição do arx</v>
      </c>
    </row>
    <row r="2169" spans="1:56" s="1" customFormat="1" ht="181.5" customHeight="1" x14ac:dyDescent="0.25">
      <c r="A2169" s="275" t="str">
        <f>'Q100b-totais'!$B$44</f>
        <v>5.2</v>
      </c>
      <c r="B2169" s="54" t="str">
        <f>'Q100b-totais'!$C$44</f>
        <v>Poluição do ar</v>
      </c>
      <c r="C2169" s="229" t="s">
        <v>432</v>
      </c>
      <c r="D2169" s="362" t="s">
        <v>345</v>
      </c>
      <c r="E2169" s="1507" t="s">
        <v>1306</v>
      </c>
      <c r="F2169" s="338" t="s">
        <v>5135</v>
      </c>
      <c r="G2169" s="412" t="s">
        <v>727</v>
      </c>
      <c r="H2169" s="167" t="s">
        <v>432</v>
      </c>
      <c r="I2169" s="167">
        <v>1</v>
      </c>
      <c r="J2169" s="107" t="s">
        <v>432</v>
      </c>
      <c r="K2169" s="107" t="s">
        <v>432</v>
      </c>
      <c r="L2169" s="107" t="s">
        <v>432</v>
      </c>
      <c r="M2169" s="107" t="s">
        <v>432</v>
      </c>
      <c r="N2169" s="107" t="s">
        <v>432</v>
      </c>
      <c r="O2169" s="107" t="s">
        <v>432</v>
      </c>
      <c r="P2169" s="107" t="s">
        <v>432</v>
      </c>
      <c r="Q2169" s="107" t="s">
        <v>432</v>
      </c>
      <c r="R2169" s="107" t="s">
        <v>432</v>
      </c>
      <c r="S2169" s="109" t="s">
        <v>2209</v>
      </c>
      <c r="T2169" s="107" t="s">
        <v>432</v>
      </c>
      <c r="U2169" s="107" t="s">
        <v>432</v>
      </c>
      <c r="V2169" s="109" t="s">
        <v>2209</v>
      </c>
      <c r="W2169" s="47">
        <f>W2168/W2173</f>
        <v>0.93506493506493504</v>
      </c>
      <c r="X2169" s="47">
        <f t="shared" ref="X2169:AK2169" si="609">X2168/X2173</f>
        <v>0.86470588235294121</v>
      </c>
      <c r="Y2169" s="47">
        <f t="shared" si="609"/>
        <v>0.78212290502793291</v>
      </c>
      <c r="Z2169" s="47">
        <f t="shared" si="609"/>
        <v>0.9017857142857143</v>
      </c>
      <c r="AA2169" s="47">
        <f t="shared" si="609"/>
        <v>0.93093922651933703</v>
      </c>
      <c r="AB2169" s="47">
        <f t="shared" si="609"/>
        <v>0.84722222222222221</v>
      </c>
      <c r="AC2169" s="47">
        <f t="shared" si="609"/>
        <v>0.79420289855072468</v>
      </c>
      <c r="AD2169" s="47">
        <f t="shared" si="609"/>
        <v>0.75652173913043474</v>
      </c>
      <c r="AE2169" s="47">
        <f t="shared" si="609"/>
        <v>0.85648148148148151</v>
      </c>
      <c r="AF2169" s="47">
        <f t="shared" si="609"/>
        <v>0.80478087649402386</v>
      </c>
      <c r="AG2169" s="47">
        <f t="shared" si="609"/>
        <v>0.6657303370786517</v>
      </c>
      <c r="AH2169" s="47">
        <f t="shared" si="609"/>
        <v>0.7016574585635359</v>
      </c>
      <c r="AI2169" s="47" t="e">
        <f t="shared" si="609"/>
        <v>#VALUE!</v>
      </c>
      <c r="AJ2169" s="47" t="e">
        <f t="shared" si="609"/>
        <v>#VALUE!</v>
      </c>
      <c r="AK2169" s="47" t="e">
        <f t="shared" si="609"/>
        <v>#VALUE!</v>
      </c>
      <c r="AL2169" s="601" t="s">
        <v>432</v>
      </c>
      <c r="AM2169" s="137" t="s">
        <v>432</v>
      </c>
      <c r="AN2169" s="137" t="s">
        <v>432</v>
      </c>
      <c r="AO2169" s="137" t="s">
        <v>432</v>
      </c>
      <c r="AP2169" s="137" t="s">
        <v>432</v>
      </c>
      <c r="AQ2169" s="137" t="s">
        <v>432</v>
      </c>
      <c r="AR2169" s="137" t="s">
        <v>432</v>
      </c>
      <c r="AS2169" s="137" t="s">
        <v>432</v>
      </c>
      <c r="AT2169" s="137" t="s">
        <v>432</v>
      </c>
      <c r="AU2169" s="137" t="s">
        <v>432</v>
      </c>
      <c r="AV2169" s="137" t="s">
        <v>432</v>
      </c>
      <c r="AW2169" s="137" t="s">
        <v>432</v>
      </c>
      <c r="AX2169" s="137" t="s">
        <v>432</v>
      </c>
      <c r="AY2169" s="137" t="s">
        <v>432</v>
      </c>
      <c r="AZ2169" s="137" t="s">
        <v>432</v>
      </c>
      <c r="BA2169" s="137" t="s">
        <v>432</v>
      </c>
      <c r="BB2169" s="239" t="str">
        <f t="shared" si="606"/>
        <v>Poluição do arx</v>
      </c>
      <c r="BC2169" s="239" t="str">
        <f t="shared" si="607"/>
        <v>Poluição do arxx</v>
      </c>
      <c r="BD2169" s="239" t="str">
        <f t="shared" si="608"/>
        <v>Poluição do arx</v>
      </c>
    </row>
    <row r="2170" spans="1:56" s="3" customFormat="1" ht="73.5" customHeight="1" x14ac:dyDescent="0.25">
      <c r="A2170" s="275" t="str">
        <f>'Q100b-totais'!B44</f>
        <v>5.2</v>
      </c>
      <c r="B2170" s="54" t="str">
        <f>'Q100b-totais'!C44</f>
        <v>Poluição do ar</v>
      </c>
      <c r="C2170" s="167" t="s">
        <v>432</v>
      </c>
      <c r="D2170" s="377" t="s">
        <v>3114</v>
      </c>
      <c r="E2170" s="1513" t="s">
        <v>1306</v>
      </c>
      <c r="F2170" s="338" t="s">
        <v>3113</v>
      </c>
      <c r="G2170" s="409" t="s">
        <v>933</v>
      </c>
      <c r="H2170" s="173" t="s">
        <v>765</v>
      </c>
      <c r="I2170" s="167" t="s">
        <v>432</v>
      </c>
      <c r="J2170" s="107" t="s">
        <v>432</v>
      </c>
      <c r="K2170" s="107" t="s">
        <v>432</v>
      </c>
      <c r="L2170" s="107" t="s">
        <v>432</v>
      </c>
      <c r="M2170" s="107" t="s">
        <v>432</v>
      </c>
      <c r="N2170" s="107" t="s">
        <v>432</v>
      </c>
      <c r="O2170" s="107" t="s">
        <v>432</v>
      </c>
      <c r="P2170" s="107" t="s">
        <v>432</v>
      </c>
      <c r="Q2170" s="107" t="s">
        <v>432</v>
      </c>
      <c r="R2170" s="107" t="s">
        <v>432</v>
      </c>
      <c r="S2170" s="109" t="s">
        <v>2209</v>
      </c>
      <c r="T2170" s="107" t="s">
        <v>432</v>
      </c>
      <c r="U2170" s="107" t="s">
        <v>432</v>
      </c>
      <c r="V2170" s="109" t="s">
        <v>2209</v>
      </c>
      <c r="W2170" s="107" t="s">
        <v>432</v>
      </c>
      <c r="X2170" s="107" t="s">
        <v>432</v>
      </c>
      <c r="Y2170" s="107" t="s">
        <v>432</v>
      </c>
      <c r="Z2170" s="107" t="s">
        <v>432</v>
      </c>
      <c r="AA2170" s="107" t="s">
        <v>432</v>
      </c>
      <c r="AB2170" s="107" t="s">
        <v>432</v>
      </c>
      <c r="AC2170" s="107" t="s">
        <v>432</v>
      </c>
      <c r="AD2170" s="107" t="s">
        <v>432</v>
      </c>
      <c r="AE2170" s="107" t="s">
        <v>432</v>
      </c>
      <c r="AF2170" s="107" t="s">
        <v>432</v>
      </c>
      <c r="AG2170" s="107" t="s">
        <v>432</v>
      </c>
      <c r="AH2170" s="107" t="s">
        <v>432</v>
      </c>
      <c r="AI2170" s="107" t="s">
        <v>432</v>
      </c>
      <c r="AJ2170" s="107" t="s">
        <v>432</v>
      </c>
      <c r="AK2170" s="107" t="s">
        <v>432</v>
      </c>
      <c r="AL2170" s="601"/>
      <c r="AM2170" s="95">
        <v>0.83</v>
      </c>
      <c r="AN2170" s="137" t="s">
        <v>432</v>
      </c>
      <c r="AO2170" s="137" t="s">
        <v>432</v>
      </c>
      <c r="AP2170" s="137" t="s">
        <v>432</v>
      </c>
      <c r="AQ2170" s="137" t="s">
        <v>432</v>
      </c>
      <c r="AR2170" s="137" t="s">
        <v>432</v>
      </c>
      <c r="AS2170" s="137" t="s">
        <v>432</v>
      </c>
      <c r="AT2170" s="137" t="s">
        <v>432</v>
      </c>
      <c r="AU2170" s="137" t="s">
        <v>432</v>
      </c>
      <c r="AV2170" s="137" t="s">
        <v>432</v>
      </c>
      <c r="AW2170" s="137" t="s">
        <v>432</v>
      </c>
      <c r="AX2170" s="137" t="s">
        <v>432</v>
      </c>
      <c r="AY2170" s="137" t="s">
        <v>432</v>
      </c>
      <c r="AZ2170" s="137" t="s">
        <v>432</v>
      </c>
      <c r="BA2170" s="137" t="s">
        <v>432</v>
      </c>
      <c r="BB2170" s="239" t="str">
        <f>B2170&amp;C2170</f>
        <v>Poluição do arx</v>
      </c>
      <c r="BC2170" s="239" t="str">
        <f>B2170&amp;C2170&amp;H2170</f>
        <v>Poluição do arxmeta/RPI</v>
      </c>
      <c r="BD2170" s="239" t="str">
        <f>B2170&amp;H2170</f>
        <v>Poluição do armeta/RPI</v>
      </c>
    </row>
    <row r="2171" spans="1:56" s="1" customFormat="1" ht="38.25" customHeight="1" x14ac:dyDescent="0.25">
      <c r="A2171" s="275" t="str">
        <f>'Q100b-totais'!$B$44</f>
        <v>5.2</v>
      </c>
      <c r="B2171" s="54" t="str">
        <f>'Q100b-totais'!$C$44</f>
        <v>Poluição do ar</v>
      </c>
      <c r="C2171" s="229" t="s">
        <v>432</v>
      </c>
      <c r="D2171" s="324" t="s">
        <v>346</v>
      </c>
      <c r="E2171" s="1402" t="s">
        <v>1306</v>
      </c>
      <c r="F2171" s="15" t="s">
        <v>728</v>
      </c>
      <c r="G2171" s="412" t="s">
        <v>729</v>
      </c>
      <c r="H2171" s="167" t="s">
        <v>432</v>
      </c>
      <c r="I2171" s="167">
        <v>1</v>
      </c>
      <c r="J2171" s="107" t="s">
        <v>432</v>
      </c>
      <c r="K2171" s="107" t="s">
        <v>432</v>
      </c>
      <c r="L2171" s="107" t="s">
        <v>432</v>
      </c>
      <c r="M2171" s="107" t="s">
        <v>432</v>
      </c>
      <c r="N2171" s="107" t="s">
        <v>432</v>
      </c>
      <c r="O2171" s="107" t="s">
        <v>432</v>
      </c>
      <c r="P2171" s="107" t="s">
        <v>432</v>
      </c>
      <c r="Q2171" s="107" t="s">
        <v>432</v>
      </c>
      <c r="R2171" s="107" t="s">
        <v>432</v>
      </c>
      <c r="S2171" s="109" t="s">
        <v>2209</v>
      </c>
      <c r="T2171" s="107" t="s">
        <v>432</v>
      </c>
      <c r="U2171" s="107" t="s">
        <v>432</v>
      </c>
      <c r="V2171" s="109" t="s">
        <v>2209</v>
      </c>
      <c r="W2171" s="72">
        <f>W547*365</f>
        <v>0</v>
      </c>
      <c r="X2171" s="72">
        <f>X547*365</f>
        <v>0</v>
      </c>
      <c r="Y2171" s="72">
        <f>Y547*365</f>
        <v>1.095</v>
      </c>
      <c r="Z2171" s="72">
        <f>Z547*366</f>
        <v>0</v>
      </c>
      <c r="AA2171" s="72">
        <f>AA547*365</f>
        <v>0</v>
      </c>
      <c r="AB2171" s="72">
        <f>AB547*365</f>
        <v>0</v>
      </c>
      <c r="AC2171" s="72">
        <f>AC547*365</f>
        <v>0</v>
      </c>
      <c r="AD2171" s="72">
        <f>AD547*366</f>
        <v>0</v>
      </c>
      <c r="AE2171" s="72">
        <f>AE547*365</f>
        <v>0</v>
      </c>
      <c r="AF2171" s="72">
        <f>AF547*365</f>
        <v>1.095</v>
      </c>
      <c r="AG2171" s="72">
        <f>AG547*365</f>
        <v>1.095</v>
      </c>
      <c r="AH2171" s="613">
        <f>AH547*366</f>
        <v>5.8559999999999999</v>
      </c>
      <c r="AI2171" s="72" t="e">
        <f t="shared" ref="AI2171:AK2172" si="610">AI547*365</f>
        <v>#VALUE!</v>
      </c>
      <c r="AJ2171" s="72" t="e">
        <f t="shared" si="610"/>
        <v>#VALUE!</v>
      </c>
      <c r="AK2171" s="72" t="e">
        <f t="shared" si="610"/>
        <v>#VALUE!</v>
      </c>
      <c r="AL2171" s="601" t="s">
        <v>432</v>
      </c>
      <c r="AM2171" s="72" t="e">
        <f>AM547*366</f>
        <v>#VALUE!</v>
      </c>
      <c r="AN2171" s="137" t="s">
        <v>432</v>
      </c>
      <c r="AO2171" s="137" t="s">
        <v>432</v>
      </c>
      <c r="AP2171" s="137" t="s">
        <v>432</v>
      </c>
      <c r="AQ2171" s="137" t="s">
        <v>432</v>
      </c>
      <c r="AR2171" s="137" t="s">
        <v>432</v>
      </c>
      <c r="AS2171" s="137" t="s">
        <v>432</v>
      </c>
      <c r="AT2171" s="137" t="s">
        <v>432</v>
      </c>
      <c r="AU2171" s="137" t="s">
        <v>432</v>
      </c>
      <c r="AV2171" s="137" t="s">
        <v>432</v>
      </c>
      <c r="AW2171" s="137" t="s">
        <v>432</v>
      </c>
      <c r="AX2171" s="137" t="s">
        <v>432</v>
      </c>
      <c r="AY2171" s="137" t="s">
        <v>432</v>
      </c>
      <c r="AZ2171" s="137" t="s">
        <v>432</v>
      </c>
      <c r="BA2171" s="137" t="s">
        <v>432</v>
      </c>
      <c r="BB2171" s="239" t="str">
        <f t="shared" si="606"/>
        <v>Poluição do arx</v>
      </c>
      <c r="BC2171" s="239" t="str">
        <f t="shared" si="607"/>
        <v>Poluição do arxx</v>
      </c>
      <c r="BD2171" s="239" t="str">
        <f t="shared" si="608"/>
        <v>Poluição do arx</v>
      </c>
    </row>
    <row r="2172" spans="1:56" s="1" customFormat="1" ht="25.5" customHeight="1" x14ac:dyDescent="0.25">
      <c r="A2172" s="275" t="str">
        <f>'Q100b-totais'!$B$44</f>
        <v>5.2</v>
      </c>
      <c r="B2172" s="54" t="str">
        <f>'Q100b-totais'!$C$44</f>
        <v>Poluição do ar</v>
      </c>
      <c r="C2172" s="229" t="s">
        <v>432</v>
      </c>
      <c r="D2172" s="324" t="s">
        <v>347</v>
      </c>
      <c r="E2172" s="1402" t="s">
        <v>1306</v>
      </c>
      <c r="F2172" s="15" t="s">
        <v>730</v>
      </c>
      <c r="G2172" s="412" t="s">
        <v>731</v>
      </c>
      <c r="H2172" s="167" t="s">
        <v>432</v>
      </c>
      <c r="I2172" s="167">
        <v>1</v>
      </c>
      <c r="J2172" s="107" t="s">
        <v>432</v>
      </c>
      <c r="K2172" s="107" t="s">
        <v>432</v>
      </c>
      <c r="L2172" s="107" t="s">
        <v>432</v>
      </c>
      <c r="M2172" s="107" t="s">
        <v>432</v>
      </c>
      <c r="N2172" s="107" t="s">
        <v>432</v>
      </c>
      <c r="O2172" s="107" t="s">
        <v>432</v>
      </c>
      <c r="P2172" s="107" t="s">
        <v>432</v>
      </c>
      <c r="Q2172" s="107" t="s">
        <v>432</v>
      </c>
      <c r="R2172" s="107" t="s">
        <v>432</v>
      </c>
      <c r="S2172" s="109" t="s">
        <v>2209</v>
      </c>
      <c r="T2172" s="107" t="s">
        <v>432</v>
      </c>
      <c r="U2172" s="107" t="s">
        <v>432</v>
      </c>
      <c r="V2172" s="109" t="s">
        <v>2209</v>
      </c>
      <c r="W2172" s="72">
        <f>W548*365</f>
        <v>0</v>
      </c>
      <c r="X2172" s="72">
        <f>X548*365</f>
        <v>0</v>
      </c>
      <c r="Y2172" s="72" t="s">
        <v>432</v>
      </c>
      <c r="Z2172" s="72" t="s">
        <v>432</v>
      </c>
      <c r="AA2172" s="72" t="s">
        <v>432</v>
      </c>
      <c r="AB2172" s="72" t="s">
        <v>432</v>
      </c>
      <c r="AC2172" s="72" t="s">
        <v>432</v>
      </c>
      <c r="AD2172" s="72" t="s">
        <v>432</v>
      </c>
      <c r="AE2172" s="72" t="s">
        <v>432</v>
      </c>
      <c r="AF2172" s="72" t="s">
        <v>432</v>
      </c>
      <c r="AG2172" s="72" t="s">
        <v>432</v>
      </c>
      <c r="AH2172" s="613">
        <f>AH548*366</f>
        <v>0</v>
      </c>
      <c r="AI2172" s="72" t="e">
        <f t="shared" si="610"/>
        <v>#VALUE!</v>
      </c>
      <c r="AJ2172" s="72" t="e">
        <f t="shared" si="610"/>
        <v>#VALUE!</v>
      </c>
      <c r="AK2172" s="72" t="e">
        <f t="shared" si="610"/>
        <v>#VALUE!</v>
      </c>
      <c r="AL2172" s="601" t="s">
        <v>432</v>
      </c>
      <c r="AM2172" s="72" t="e">
        <f>AM548*366</f>
        <v>#VALUE!</v>
      </c>
      <c r="AN2172" s="137" t="s">
        <v>432</v>
      </c>
      <c r="AO2172" s="137" t="s">
        <v>432</v>
      </c>
      <c r="AP2172" s="137" t="s">
        <v>432</v>
      </c>
      <c r="AQ2172" s="137" t="s">
        <v>432</v>
      </c>
      <c r="AR2172" s="137" t="s">
        <v>432</v>
      </c>
      <c r="AS2172" s="137" t="s">
        <v>432</v>
      </c>
      <c r="AT2172" s="137" t="s">
        <v>432</v>
      </c>
      <c r="AU2172" s="137" t="s">
        <v>432</v>
      </c>
      <c r="AV2172" s="137" t="s">
        <v>432</v>
      </c>
      <c r="AW2172" s="137" t="s">
        <v>432</v>
      </c>
      <c r="AX2172" s="137" t="s">
        <v>432</v>
      </c>
      <c r="AY2172" s="137" t="s">
        <v>432</v>
      </c>
      <c r="AZ2172" s="137" t="s">
        <v>432</v>
      </c>
      <c r="BA2172" s="137" t="s">
        <v>432</v>
      </c>
      <c r="BB2172" s="239" t="str">
        <f t="shared" si="606"/>
        <v>Poluição do arx</v>
      </c>
      <c r="BC2172" s="239" t="str">
        <f t="shared" si="607"/>
        <v>Poluição do arxx</v>
      </c>
      <c r="BD2172" s="239" t="str">
        <f t="shared" si="608"/>
        <v>Poluição do arx</v>
      </c>
    </row>
    <row r="2173" spans="1:56" s="1" customFormat="1" ht="51" customHeight="1" x14ac:dyDescent="0.25">
      <c r="A2173" s="275" t="str">
        <f>'Q100b-totais'!$B$44</f>
        <v>5.2</v>
      </c>
      <c r="B2173" s="54" t="str">
        <f>'Q100b-totais'!$C$44</f>
        <v>Poluição do ar</v>
      </c>
      <c r="C2173" s="229" t="s">
        <v>432</v>
      </c>
      <c r="D2173" s="324" t="s">
        <v>348</v>
      </c>
      <c r="E2173" s="1402" t="s">
        <v>1306</v>
      </c>
      <c r="F2173" s="15" t="s">
        <v>1305</v>
      </c>
      <c r="G2173" s="423" t="s">
        <v>739</v>
      </c>
      <c r="H2173" s="167" t="s">
        <v>432</v>
      </c>
      <c r="I2173" s="167">
        <v>1</v>
      </c>
      <c r="J2173" s="107" t="s">
        <v>432</v>
      </c>
      <c r="K2173" s="107" t="s">
        <v>432</v>
      </c>
      <c r="L2173" s="107" t="s">
        <v>432</v>
      </c>
      <c r="M2173" s="107" t="s">
        <v>432</v>
      </c>
      <c r="N2173" s="107" t="s">
        <v>432</v>
      </c>
      <c r="O2173" s="107" t="s">
        <v>432</v>
      </c>
      <c r="P2173" s="107" t="s">
        <v>432</v>
      </c>
      <c r="Q2173" s="107" t="s">
        <v>432</v>
      </c>
      <c r="R2173" s="107" t="s">
        <v>432</v>
      </c>
      <c r="S2173" s="109" t="s">
        <v>2209</v>
      </c>
      <c r="T2173" s="107" t="s">
        <v>432</v>
      </c>
      <c r="U2173" s="107" t="s">
        <v>432</v>
      </c>
      <c r="V2173" s="109" t="s">
        <v>2209</v>
      </c>
      <c r="W2173" s="88">
        <v>308</v>
      </c>
      <c r="X2173" s="88">
        <v>340</v>
      </c>
      <c r="Y2173" s="88">
        <v>358</v>
      </c>
      <c r="Z2173" s="88">
        <v>336</v>
      </c>
      <c r="AA2173" s="88">
        <v>362</v>
      </c>
      <c r="AB2173" s="88">
        <v>360</v>
      </c>
      <c r="AC2173" s="88">
        <v>345</v>
      </c>
      <c r="AD2173" s="88">
        <v>345</v>
      </c>
      <c r="AE2173" s="88">
        <v>216</v>
      </c>
      <c r="AF2173" s="88">
        <v>251</v>
      </c>
      <c r="AG2173" s="88">
        <v>356</v>
      </c>
      <c r="AH2173" s="96">
        <v>362</v>
      </c>
      <c r="AI2173" s="622" t="s">
        <v>2213</v>
      </c>
      <c r="AJ2173" s="622" t="s">
        <v>2213</v>
      </c>
      <c r="AK2173" s="622" t="s">
        <v>2213</v>
      </c>
      <c r="AL2173" s="601" t="s">
        <v>432</v>
      </c>
      <c r="AM2173" s="137" t="s">
        <v>432</v>
      </c>
      <c r="AN2173" s="137" t="s">
        <v>432</v>
      </c>
      <c r="AO2173" s="137" t="s">
        <v>432</v>
      </c>
      <c r="AP2173" s="137" t="s">
        <v>432</v>
      </c>
      <c r="AQ2173" s="137" t="s">
        <v>432</v>
      </c>
      <c r="AR2173" s="137" t="s">
        <v>432</v>
      </c>
      <c r="AS2173" s="137" t="s">
        <v>432</v>
      </c>
      <c r="AT2173" s="137" t="s">
        <v>432</v>
      </c>
      <c r="AU2173" s="137" t="s">
        <v>432</v>
      </c>
      <c r="AV2173" s="137" t="s">
        <v>432</v>
      </c>
      <c r="AW2173" s="137" t="s">
        <v>432</v>
      </c>
      <c r="AX2173" s="137" t="s">
        <v>432</v>
      </c>
      <c r="AY2173" s="137" t="s">
        <v>432</v>
      </c>
      <c r="AZ2173" s="137" t="s">
        <v>432</v>
      </c>
      <c r="BA2173" s="137" t="s">
        <v>432</v>
      </c>
      <c r="BB2173" s="239" t="str">
        <f t="shared" si="606"/>
        <v>Poluição do arx</v>
      </c>
      <c r="BC2173" s="239" t="str">
        <f t="shared" si="607"/>
        <v>Poluição do arxx</v>
      </c>
      <c r="BD2173" s="239" t="str">
        <f t="shared" si="608"/>
        <v>Poluição do arx</v>
      </c>
    </row>
    <row r="2174" spans="1:56" s="1" customFormat="1" ht="25.5" customHeight="1" x14ac:dyDescent="0.25">
      <c r="A2174" s="275" t="str">
        <f>'Q100b-totais'!$B$44</f>
        <v>5.2</v>
      </c>
      <c r="B2174" s="54" t="str">
        <f>'Q100b-totais'!$C$44</f>
        <v>Poluição do ar</v>
      </c>
      <c r="C2174" s="229" t="s">
        <v>432</v>
      </c>
      <c r="D2174" s="324" t="s">
        <v>349</v>
      </c>
      <c r="E2174" s="1402" t="s">
        <v>1306</v>
      </c>
      <c r="F2174" s="15" t="s">
        <v>734</v>
      </c>
      <c r="G2174" s="412" t="s">
        <v>735</v>
      </c>
      <c r="H2174" s="167" t="s">
        <v>432</v>
      </c>
      <c r="I2174" s="167">
        <v>1</v>
      </c>
      <c r="J2174" s="107" t="s">
        <v>432</v>
      </c>
      <c r="K2174" s="107" t="s">
        <v>432</v>
      </c>
      <c r="L2174" s="107" t="s">
        <v>432</v>
      </c>
      <c r="M2174" s="107" t="s">
        <v>432</v>
      </c>
      <c r="N2174" s="107" t="s">
        <v>432</v>
      </c>
      <c r="O2174" s="107" t="s">
        <v>432</v>
      </c>
      <c r="P2174" s="107" t="s">
        <v>432</v>
      </c>
      <c r="Q2174" s="107" t="s">
        <v>432</v>
      </c>
      <c r="R2174" s="107" t="s">
        <v>432</v>
      </c>
      <c r="S2174" s="109" t="s">
        <v>2209</v>
      </c>
      <c r="T2174" s="107" t="s">
        <v>432</v>
      </c>
      <c r="U2174" s="107" t="s">
        <v>432</v>
      </c>
      <c r="V2174" s="109" t="s">
        <v>2209</v>
      </c>
      <c r="W2174" s="72">
        <f t="shared" ref="W2174:Y2175" si="611">W550*365</f>
        <v>56.94</v>
      </c>
      <c r="X2174" s="72">
        <f t="shared" si="611"/>
        <v>24.82</v>
      </c>
      <c r="Y2174" s="72">
        <f t="shared" si="611"/>
        <v>7.3</v>
      </c>
      <c r="Z2174" s="72">
        <f>Z550*366</f>
        <v>30.012</v>
      </c>
      <c r="AA2174" s="72">
        <f t="shared" ref="AA2174:AC2175" si="612">AA550*365</f>
        <v>2.92</v>
      </c>
      <c r="AB2174" s="72">
        <f t="shared" si="612"/>
        <v>5.0004999999999997</v>
      </c>
      <c r="AC2174" s="72">
        <f t="shared" si="612"/>
        <v>20.001999999999999</v>
      </c>
      <c r="AD2174" s="72">
        <f>AD550*366</f>
        <v>20.862000000000002</v>
      </c>
      <c r="AE2174" s="72">
        <f t="shared" ref="AE2174:AG2175" si="613">AE550*365</f>
        <v>148.91999999999999</v>
      </c>
      <c r="AF2174" s="72">
        <f t="shared" si="613"/>
        <v>113.88</v>
      </c>
      <c r="AG2174" s="72">
        <f t="shared" si="613"/>
        <v>9.125</v>
      </c>
      <c r="AH2174" s="613">
        <f>AH550*366</f>
        <v>4.0259999999999998</v>
      </c>
      <c r="AI2174" s="72" t="e">
        <f t="shared" ref="AI2174:AK2175" si="614">AI550*365</f>
        <v>#VALUE!</v>
      </c>
      <c r="AJ2174" s="72" t="e">
        <f t="shared" si="614"/>
        <v>#VALUE!</v>
      </c>
      <c r="AK2174" s="72" t="e">
        <f t="shared" si="614"/>
        <v>#VALUE!</v>
      </c>
      <c r="AL2174" s="601" t="s">
        <v>432</v>
      </c>
      <c r="AM2174" s="137" t="s">
        <v>432</v>
      </c>
      <c r="AN2174" s="137" t="s">
        <v>432</v>
      </c>
      <c r="AO2174" s="137" t="s">
        <v>432</v>
      </c>
      <c r="AP2174" s="137" t="s">
        <v>432</v>
      </c>
      <c r="AQ2174" s="137" t="s">
        <v>432</v>
      </c>
      <c r="AR2174" s="137" t="s">
        <v>432</v>
      </c>
      <c r="AS2174" s="137" t="s">
        <v>432</v>
      </c>
      <c r="AT2174" s="137" t="s">
        <v>432</v>
      </c>
      <c r="AU2174" s="137" t="s">
        <v>432</v>
      </c>
      <c r="AV2174" s="137" t="s">
        <v>432</v>
      </c>
      <c r="AW2174" s="137" t="s">
        <v>432</v>
      </c>
      <c r="AX2174" s="137" t="s">
        <v>432</v>
      </c>
      <c r="AY2174" s="137" t="s">
        <v>432</v>
      </c>
      <c r="AZ2174" s="137" t="s">
        <v>432</v>
      </c>
      <c r="BA2174" s="137" t="s">
        <v>432</v>
      </c>
      <c r="BB2174" s="239" t="str">
        <f t="shared" si="606"/>
        <v>Poluição do arx</v>
      </c>
      <c r="BC2174" s="239" t="str">
        <f t="shared" si="607"/>
        <v>Poluição do arxx</v>
      </c>
      <c r="BD2174" s="239" t="str">
        <f t="shared" si="608"/>
        <v>Poluição do arx</v>
      </c>
    </row>
    <row r="2175" spans="1:56" s="1" customFormat="1" ht="38.25" customHeight="1" x14ac:dyDescent="0.25">
      <c r="A2175" s="275" t="str">
        <f>'Q100b-totais'!$B$44</f>
        <v>5.2</v>
      </c>
      <c r="B2175" s="54" t="str">
        <f>'Q100b-totais'!$C$44</f>
        <v>Poluição do ar</v>
      </c>
      <c r="C2175" s="229" t="s">
        <v>432</v>
      </c>
      <c r="D2175" s="324" t="s">
        <v>350</v>
      </c>
      <c r="E2175" s="1402" t="s">
        <v>1306</v>
      </c>
      <c r="F2175" s="15" t="s">
        <v>732</v>
      </c>
      <c r="G2175" s="412" t="s">
        <v>733</v>
      </c>
      <c r="H2175" s="167" t="s">
        <v>432</v>
      </c>
      <c r="I2175" s="167">
        <v>1</v>
      </c>
      <c r="J2175" s="107" t="s">
        <v>432</v>
      </c>
      <c r="K2175" s="107" t="s">
        <v>432</v>
      </c>
      <c r="L2175" s="107" t="s">
        <v>432</v>
      </c>
      <c r="M2175" s="107" t="s">
        <v>432</v>
      </c>
      <c r="N2175" s="107" t="s">
        <v>432</v>
      </c>
      <c r="O2175" s="107" t="s">
        <v>432</v>
      </c>
      <c r="P2175" s="107" t="s">
        <v>432</v>
      </c>
      <c r="Q2175" s="107" t="s">
        <v>432</v>
      </c>
      <c r="R2175" s="107" t="s">
        <v>432</v>
      </c>
      <c r="S2175" s="109" t="s">
        <v>2209</v>
      </c>
      <c r="T2175" s="107" t="s">
        <v>432</v>
      </c>
      <c r="U2175" s="107" t="s">
        <v>432</v>
      </c>
      <c r="V2175" s="109" t="s">
        <v>2209</v>
      </c>
      <c r="W2175" s="72">
        <f t="shared" si="611"/>
        <v>20.074999999999999</v>
      </c>
      <c r="X2175" s="72">
        <f t="shared" si="611"/>
        <v>45.99</v>
      </c>
      <c r="Y2175" s="72">
        <f t="shared" si="611"/>
        <v>77.015000000000001</v>
      </c>
      <c r="Z2175" s="72">
        <f>Z551*366</f>
        <v>32.94</v>
      </c>
      <c r="AA2175" s="72">
        <f t="shared" si="612"/>
        <v>25.185000000000002</v>
      </c>
      <c r="AB2175" s="72">
        <f t="shared" si="612"/>
        <v>55.005499999999998</v>
      </c>
      <c r="AC2175" s="72">
        <f t="shared" si="612"/>
        <v>70.992500000000007</v>
      </c>
      <c r="AD2175" s="72">
        <f>AD551*366</f>
        <v>84.18</v>
      </c>
      <c r="AE2175" s="72">
        <f t="shared" si="613"/>
        <v>31.025000000000002</v>
      </c>
      <c r="AF2175" s="72">
        <f t="shared" si="613"/>
        <v>48.18</v>
      </c>
      <c r="AG2175" s="72">
        <f t="shared" si="613"/>
        <v>117.89500000000001</v>
      </c>
      <c r="AH2175" s="613">
        <f>AH551*366</f>
        <v>102.114</v>
      </c>
      <c r="AI2175" s="72" t="e">
        <f t="shared" si="614"/>
        <v>#VALUE!</v>
      </c>
      <c r="AJ2175" s="72" t="e">
        <f t="shared" si="614"/>
        <v>#VALUE!</v>
      </c>
      <c r="AK2175" s="72" t="e">
        <f t="shared" si="614"/>
        <v>#VALUE!</v>
      </c>
      <c r="AL2175" s="601" t="s">
        <v>432</v>
      </c>
      <c r="AM2175" s="137" t="s">
        <v>432</v>
      </c>
      <c r="AN2175" s="137" t="s">
        <v>432</v>
      </c>
      <c r="AO2175" s="137" t="s">
        <v>432</v>
      </c>
      <c r="AP2175" s="137" t="s">
        <v>432</v>
      </c>
      <c r="AQ2175" s="137" t="s">
        <v>432</v>
      </c>
      <c r="AR2175" s="137" t="s">
        <v>432</v>
      </c>
      <c r="AS2175" s="137" t="s">
        <v>432</v>
      </c>
      <c r="AT2175" s="137" t="s">
        <v>432</v>
      </c>
      <c r="AU2175" s="137" t="s">
        <v>432</v>
      </c>
      <c r="AV2175" s="137" t="s">
        <v>432</v>
      </c>
      <c r="AW2175" s="137" t="s">
        <v>432</v>
      </c>
      <c r="AX2175" s="137" t="s">
        <v>432</v>
      </c>
      <c r="AY2175" s="137" t="s">
        <v>432</v>
      </c>
      <c r="AZ2175" s="137" t="s">
        <v>432</v>
      </c>
      <c r="BA2175" s="137" t="s">
        <v>432</v>
      </c>
      <c r="BB2175" s="239" t="str">
        <f t="shared" si="606"/>
        <v>Poluição do arx</v>
      </c>
      <c r="BC2175" s="239" t="str">
        <f t="shared" si="607"/>
        <v>Poluição do arxx</v>
      </c>
      <c r="BD2175" s="239" t="str">
        <f t="shared" si="608"/>
        <v>Poluição do arx</v>
      </c>
    </row>
    <row r="2176" spans="1:56" s="1" customFormat="1" ht="98.25" customHeight="1" x14ac:dyDescent="0.25">
      <c r="A2176" s="275" t="str">
        <f>'Q100b-totais'!B29</f>
        <v>3.4</v>
      </c>
      <c r="B2176" s="54" t="str">
        <f>'Q100b-totais'!$C$29</f>
        <v>Qualidade da informação</v>
      </c>
      <c r="C2176" s="230" t="s">
        <v>432</v>
      </c>
      <c r="D2176" s="939" t="s">
        <v>351</v>
      </c>
      <c r="E2176" s="1402" t="s">
        <v>1306</v>
      </c>
      <c r="F2176" s="11" t="s">
        <v>1513</v>
      </c>
      <c r="G2176" s="93" t="s">
        <v>1676</v>
      </c>
      <c r="H2176" s="173" t="s">
        <v>432</v>
      </c>
      <c r="I2176" s="57">
        <v>1</v>
      </c>
      <c r="J2176" s="109" t="s">
        <v>432</v>
      </c>
      <c r="K2176" s="109" t="s">
        <v>432</v>
      </c>
      <c r="L2176" s="109" t="s">
        <v>432</v>
      </c>
      <c r="M2176" s="109" t="s">
        <v>432</v>
      </c>
      <c r="N2176" s="109" t="s">
        <v>432</v>
      </c>
      <c r="O2176" s="109" t="s">
        <v>432</v>
      </c>
      <c r="P2176" s="109" t="s">
        <v>432</v>
      </c>
      <c r="Q2176" s="109" t="s">
        <v>432</v>
      </c>
      <c r="R2176" s="109" t="s">
        <v>432</v>
      </c>
      <c r="S2176" s="109" t="s">
        <v>2209</v>
      </c>
      <c r="T2176" s="109" t="s">
        <v>432</v>
      </c>
      <c r="U2176" s="109" t="s">
        <v>432</v>
      </c>
      <c r="V2176" s="109" t="s">
        <v>2209</v>
      </c>
      <c r="W2176" s="109" t="s">
        <v>432</v>
      </c>
      <c r="X2176" s="109" t="s">
        <v>432</v>
      </c>
      <c r="Y2176" s="109" t="s">
        <v>432</v>
      </c>
      <c r="Z2176" s="109" t="s">
        <v>432</v>
      </c>
      <c r="AA2176" s="109" t="s">
        <v>432</v>
      </c>
      <c r="AB2176" s="109" t="s">
        <v>432</v>
      </c>
      <c r="AC2176" s="109" t="s">
        <v>432</v>
      </c>
      <c r="AD2176" s="109" t="s">
        <v>432</v>
      </c>
      <c r="AE2176" s="109" t="s">
        <v>432</v>
      </c>
      <c r="AF2176" s="109" t="s">
        <v>432</v>
      </c>
      <c r="AG2176" s="109" t="s">
        <v>432</v>
      </c>
      <c r="AH2176" s="109" t="s">
        <v>432</v>
      </c>
      <c r="AI2176" s="109" t="s">
        <v>432</v>
      </c>
      <c r="AJ2176" s="109" t="s">
        <v>432</v>
      </c>
      <c r="AK2176" s="137" t="s">
        <v>432</v>
      </c>
      <c r="AL2176" s="601" t="s">
        <v>432</v>
      </c>
      <c r="AM2176" s="137" t="s">
        <v>432</v>
      </c>
      <c r="AN2176" s="137" t="s">
        <v>432</v>
      </c>
      <c r="AO2176" s="137" t="s">
        <v>432</v>
      </c>
      <c r="AP2176" s="137" t="s">
        <v>432</v>
      </c>
      <c r="AQ2176" s="137" t="s">
        <v>432</v>
      </c>
      <c r="AR2176" s="137" t="s">
        <v>432</v>
      </c>
      <c r="AS2176" s="137" t="s">
        <v>432</v>
      </c>
      <c r="AT2176" s="137" t="s">
        <v>432</v>
      </c>
      <c r="AU2176" s="137" t="s">
        <v>432</v>
      </c>
      <c r="AV2176" s="137" t="s">
        <v>432</v>
      </c>
      <c r="AW2176" s="137" t="s">
        <v>432</v>
      </c>
      <c r="AX2176" s="137" t="s">
        <v>432</v>
      </c>
      <c r="AY2176" s="137" t="s">
        <v>432</v>
      </c>
      <c r="AZ2176" s="137" t="s">
        <v>432</v>
      </c>
      <c r="BA2176" s="137" t="s">
        <v>432</v>
      </c>
      <c r="BB2176" s="239" t="str">
        <f t="shared" si="606"/>
        <v>Qualidade da informaçãox</v>
      </c>
      <c r="BC2176" s="239" t="str">
        <f t="shared" si="607"/>
        <v>Qualidade da informaçãoxx</v>
      </c>
      <c r="BD2176" s="239" t="str">
        <f t="shared" si="608"/>
        <v>Qualidade da informaçãox</v>
      </c>
    </row>
    <row r="2177" spans="1:67" ht="51" customHeight="1" x14ac:dyDescent="0.25">
      <c r="A2177" s="262" t="s">
        <v>432</v>
      </c>
      <c r="B2177" s="252" t="s">
        <v>742</v>
      </c>
      <c r="C2177" s="167" t="s">
        <v>432</v>
      </c>
      <c r="D2177" s="325" t="s">
        <v>352</v>
      </c>
      <c r="E2177" s="1496" t="s">
        <v>432</v>
      </c>
      <c r="F2177" s="165" t="s">
        <v>353</v>
      </c>
      <c r="G2177" s="167" t="s">
        <v>3879</v>
      </c>
      <c r="H2177" s="167" t="s">
        <v>432</v>
      </c>
      <c r="I2177" s="167" t="s">
        <v>432</v>
      </c>
      <c r="J2177" s="107" t="s">
        <v>432</v>
      </c>
      <c r="K2177" s="107" t="s">
        <v>432</v>
      </c>
      <c r="L2177" s="107" t="s">
        <v>432</v>
      </c>
      <c r="M2177" s="107" t="s">
        <v>432</v>
      </c>
      <c r="N2177" s="107" t="s">
        <v>432</v>
      </c>
      <c r="O2177" s="107" t="s">
        <v>432</v>
      </c>
      <c r="P2177" s="107" t="s">
        <v>432</v>
      </c>
      <c r="Q2177" s="107" t="s">
        <v>432</v>
      </c>
      <c r="R2177" s="107" t="s">
        <v>432</v>
      </c>
      <c r="S2177" s="109" t="s">
        <v>2209</v>
      </c>
      <c r="T2177" s="107" t="s">
        <v>432</v>
      </c>
      <c r="U2177" s="107" t="s">
        <v>432</v>
      </c>
      <c r="V2177" s="109" t="s">
        <v>2209</v>
      </c>
      <c r="W2177" s="107" t="s">
        <v>432</v>
      </c>
      <c r="X2177" s="107" t="s">
        <v>432</v>
      </c>
      <c r="Y2177" s="107" t="s">
        <v>432</v>
      </c>
      <c r="Z2177" s="107" t="s">
        <v>432</v>
      </c>
      <c r="AA2177" s="107" t="s">
        <v>432</v>
      </c>
      <c r="AB2177" s="107" t="s">
        <v>432</v>
      </c>
      <c r="AC2177" s="107" t="s">
        <v>432</v>
      </c>
      <c r="AD2177" s="107" t="s">
        <v>432</v>
      </c>
      <c r="AE2177" s="107" t="s">
        <v>432</v>
      </c>
      <c r="AF2177" s="107" t="s">
        <v>432</v>
      </c>
      <c r="AG2177" s="107" t="s">
        <v>432</v>
      </c>
      <c r="AH2177" s="107" t="s">
        <v>432</v>
      </c>
      <c r="AI2177" s="107" t="s">
        <v>432</v>
      </c>
      <c r="AJ2177" s="107" t="s">
        <v>432</v>
      </c>
      <c r="AK2177" s="137" t="s">
        <v>432</v>
      </c>
      <c r="AL2177" s="601" t="s">
        <v>432</v>
      </c>
      <c r="AM2177" s="137" t="s">
        <v>432</v>
      </c>
      <c r="AN2177" s="137" t="s">
        <v>432</v>
      </c>
      <c r="AO2177" s="137" t="s">
        <v>432</v>
      </c>
      <c r="AP2177" s="137" t="s">
        <v>432</v>
      </c>
      <c r="AQ2177" s="137" t="s">
        <v>432</v>
      </c>
      <c r="AR2177" s="137" t="s">
        <v>432</v>
      </c>
      <c r="AS2177" s="137" t="s">
        <v>432</v>
      </c>
      <c r="AT2177" s="137" t="s">
        <v>432</v>
      </c>
      <c r="AU2177" s="137" t="s">
        <v>432</v>
      </c>
      <c r="AV2177" s="137" t="s">
        <v>432</v>
      </c>
      <c r="AW2177" s="137" t="s">
        <v>432</v>
      </c>
      <c r="AX2177" s="137" t="s">
        <v>432</v>
      </c>
      <c r="AY2177" s="137" t="s">
        <v>432</v>
      </c>
      <c r="AZ2177" s="137" t="s">
        <v>432</v>
      </c>
      <c r="BA2177" s="137" t="s">
        <v>432</v>
      </c>
      <c r="BB2177" s="239" t="str">
        <f t="shared" si="606"/>
        <v>geralx</v>
      </c>
      <c r="BC2177" s="239" t="str">
        <f t="shared" si="607"/>
        <v>geralxx</v>
      </c>
      <c r="BD2177" s="239" t="str">
        <f t="shared" si="608"/>
        <v>geralx</v>
      </c>
    </row>
    <row r="2178" spans="1:67" s="105" customFormat="1" ht="51" customHeight="1" x14ac:dyDescent="0.25">
      <c r="A2178" s="262" t="str">
        <f>'Q100b-totais'!B57</f>
        <v>8.5</v>
      </c>
      <c r="B2178" s="252" t="str">
        <f>'Q100b-totais'!C57</f>
        <v>Transporte convencional</v>
      </c>
      <c r="C2178" s="167" t="s">
        <v>432</v>
      </c>
      <c r="D2178" s="325" t="s">
        <v>4344</v>
      </c>
      <c r="E2178" s="1496" t="s">
        <v>1306</v>
      </c>
      <c r="F2178" s="53" t="s">
        <v>4345</v>
      </c>
      <c r="G2178" s="230" t="s">
        <v>3507</v>
      </c>
      <c r="H2178" s="167" t="s">
        <v>2408</v>
      </c>
      <c r="I2178" s="167" t="s">
        <v>432</v>
      </c>
      <c r="J2178" s="107" t="s">
        <v>432</v>
      </c>
      <c r="K2178" s="107" t="s">
        <v>432</v>
      </c>
      <c r="L2178" s="107" t="s">
        <v>432</v>
      </c>
      <c r="M2178" s="107" t="s">
        <v>432</v>
      </c>
      <c r="N2178" s="107" t="s">
        <v>432</v>
      </c>
      <c r="O2178" s="107" t="s">
        <v>432</v>
      </c>
      <c r="P2178" s="107" t="s">
        <v>432</v>
      </c>
      <c r="Q2178" s="107" t="s">
        <v>432</v>
      </c>
      <c r="R2178" s="107" t="s">
        <v>432</v>
      </c>
      <c r="S2178" s="109" t="s">
        <v>2209</v>
      </c>
      <c r="T2178" s="107" t="s">
        <v>432</v>
      </c>
      <c r="U2178" s="107" t="s">
        <v>432</v>
      </c>
      <c r="V2178" s="109" t="s">
        <v>2209</v>
      </c>
      <c r="W2178" s="107" t="s">
        <v>432</v>
      </c>
      <c r="X2178" s="107" t="s">
        <v>432</v>
      </c>
      <c r="Y2178" s="107" t="s">
        <v>432</v>
      </c>
      <c r="Z2178" s="107" t="s">
        <v>432</v>
      </c>
      <c r="AA2178" s="107" t="s">
        <v>432</v>
      </c>
      <c r="AB2178" s="107" t="s">
        <v>432</v>
      </c>
      <c r="AC2178" s="107" t="s">
        <v>432</v>
      </c>
      <c r="AD2178" s="107" t="s">
        <v>432</v>
      </c>
      <c r="AE2178" s="107" t="s">
        <v>432</v>
      </c>
      <c r="AF2178" s="107" t="s">
        <v>432</v>
      </c>
      <c r="AG2178" s="107" t="s">
        <v>432</v>
      </c>
      <c r="AH2178" s="107" t="s">
        <v>432</v>
      </c>
      <c r="AI2178" s="107" t="s">
        <v>432</v>
      </c>
      <c r="AJ2178" s="107" t="s">
        <v>432</v>
      </c>
      <c r="AK2178" s="137" t="s">
        <v>432</v>
      </c>
      <c r="AL2178" s="601" t="s">
        <v>432</v>
      </c>
      <c r="AM2178" s="137" t="s">
        <v>432</v>
      </c>
      <c r="AN2178" s="137" t="s">
        <v>432</v>
      </c>
      <c r="AO2178" s="137" t="s">
        <v>432</v>
      </c>
      <c r="AP2178" s="137" t="s">
        <v>432</v>
      </c>
      <c r="AQ2178" s="137" t="s">
        <v>432</v>
      </c>
      <c r="AR2178" s="137" t="s">
        <v>432</v>
      </c>
      <c r="AS2178" s="137" t="s">
        <v>432</v>
      </c>
      <c r="AT2178" s="137" t="s">
        <v>432</v>
      </c>
      <c r="AU2178" s="137" t="s">
        <v>432</v>
      </c>
      <c r="AV2178" s="137" t="s">
        <v>432</v>
      </c>
      <c r="AW2178" s="137" t="s">
        <v>432</v>
      </c>
      <c r="AX2178" s="137" t="s">
        <v>432</v>
      </c>
      <c r="AY2178" s="137" t="s">
        <v>432</v>
      </c>
      <c r="AZ2178" s="137" t="s">
        <v>432</v>
      </c>
      <c r="BA2178" s="137" t="s">
        <v>432</v>
      </c>
      <c r="BB2178" s="239" t="str">
        <f>B2178&amp;C2178</f>
        <v>Transporte convencionalx</v>
      </c>
      <c r="BC2178" s="239" t="str">
        <f>B2178&amp;C2178&amp;H2178</f>
        <v>Transporte convencionalxsigla/verbete</v>
      </c>
      <c r="BD2178" s="239" t="str">
        <f>B2178&amp;H2178</f>
        <v>Transporte convencionalsigla/verbete</v>
      </c>
    </row>
    <row r="2179" spans="1:67" ht="51" customHeight="1" x14ac:dyDescent="0.25">
      <c r="A2179" s="262" t="s">
        <v>432</v>
      </c>
      <c r="B2179" s="252" t="s">
        <v>742</v>
      </c>
      <c r="C2179" s="167" t="s">
        <v>432</v>
      </c>
      <c r="D2179" s="325" t="s">
        <v>456</v>
      </c>
      <c r="E2179" s="1496" t="s">
        <v>432</v>
      </c>
      <c r="F2179" s="53" t="s">
        <v>486</v>
      </c>
      <c r="G2179" s="167" t="s">
        <v>3879</v>
      </c>
      <c r="H2179" s="167" t="s">
        <v>432</v>
      </c>
      <c r="I2179" s="167" t="s">
        <v>432</v>
      </c>
      <c r="J2179" s="107" t="s">
        <v>432</v>
      </c>
      <c r="K2179" s="107" t="s">
        <v>432</v>
      </c>
      <c r="L2179" s="107" t="s">
        <v>432</v>
      </c>
      <c r="M2179" s="107" t="s">
        <v>432</v>
      </c>
      <c r="N2179" s="107" t="s">
        <v>432</v>
      </c>
      <c r="O2179" s="107" t="s">
        <v>432</v>
      </c>
      <c r="P2179" s="107" t="s">
        <v>432</v>
      </c>
      <c r="Q2179" s="107" t="s">
        <v>432</v>
      </c>
      <c r="R2179" s="107" t="s">
        <v>432</v>
      </c>
      <c r="S2179" s="109" t="s">
        <v>2209</v>
      </c>
      <c r="T2179" s="107" t="s">
        <v>432</v>
      </c>
      <c r="U2179" s="107" t="s">
        <v>432</v>
      </c>
      <c r="V2179" s="109" t="s">
        <v>2209</v>
      </c>
      <c r="W2179" s="107" t="s">
        <v>432</v>
      </c>
      <c r="X2179" s="107" t="s">
        <v>432</v>
      </c>
      <c r="Y2179" s="107" t="s">
        <v>432</v>
      </c>
      <c r="Z2179" s="107" t="s">
        <v>432</v>
      </c>
      <c r="AA2179" s="107" t="s">
        <v>432</v>
      </c>
      <c r="AB2179" s="107" t="s">
        <v>432</v>
      </c>
      <c r="AC2179" s="107" t="s">
        <v>432</v>
      </c>
      <c r="AD2179" s="107" t="s">
        <v>432</v>
      </c>
      <c r="AE2179" s="107" t="s">
        <v>432</v>
      </c>
      <c r="AF2179" s="107" t="s">
        <v>432</v>
      </c>
      <c r="AG2179" s="107" t="s">
        <v>432</v>
      </c>
      <c r="AH2179" s="107" t="s">
        <v>432</v>
      </c>
      <c r="AI2179" s="107" t="s">
        <v>432</v>
      </c>
      <c r="AJ2179" s="107" t="s">
        <v>432</v>
      </c>
      <c r="AK2179" s="137" t="s">
        <v>432</v>
      </c>
      <c r="AL2179" s="601" t="s">
        <v>432</v>
      </c>
      <c r="AM2179" s="137" t="s">
        <v>432</v>
      </c>
      <c r="AN2179" s="137" t="s">
        <v>432</v>
      </c>
      <c r="AO2179" s="137" t="s">
        <v>432</v>
      </c>
      <c r="AP2179" s="137" t="s">
        <v>432</v>
      </c>
      <c r="AQ2179" s="137" t="s">
        <v>432</v>
      </c>
      <c r="AR2179" s="137" t="s">
        <v>432</v>
      </c>
      <c r="AS2179" s="137" t="s">
        <v>432</v>
      </c>
      <c r="AT2179" s="137" t="s">
        <v>432</v>
      </c>
      <c r="AU2179" s="137" t="s">
        <v>432</v>
      </c>
      <c r="AV2179" s="137" t="s">
        <v>432</v>
      </c>
      <c r="AW2179" s="137" t="s">
        <v>432</v>
      </c>
      <c r="AX2179" s="137" t="s">
        <v>432</v>
      </c>
      <c r="AY2179" s="137" t="s">
        <v>432</v>
      </c>
      <c r="AZ2179" s="137" t="s">
        <v>432</v>
      </c>
      <c r="BA2179" s="137" t="s">
        <v>432</v>
      </c>
      <c r="BB2179" s="239" t="str">
        <f t="shared" si="606"/>
        <v>geralx</v>
      </c>
      <c r="BC2179" s="239" t="str">
        <f t="shared" si="607"/>
        <v>geralxx</v>
      </c>
      <c r="BD2179" s="239" t="str">
        <f t="shared" si="608"/>
        <v>geralx</v>
      </c>
    </row>
    <row r="2180" spans="1:67" s="105" customFormat="1" ht="51" customHeight="1" x14ac:dyDescent="0.25">
      <c r="A2180" s="262" t="s">
        <v>432</v>
      </c>
      <c r="B2180" s="252" t="s">
        <v>742</v>
      </c>
      <c r="C2180" s="167" t="s">
        <v>432</v>
      </c>
      <c r="D2180" s="1414" t="s">
        <v>5346</v>
      </c>
      <c r="E2180" s="1496" t="s">
        <v>1306</v>
      </c>
      <c r="F2180" s="518" t="s">
        <v>5347</v>
      </c>
      <c r="G2180" s="230" t="s">
        <v>3507</v>
      </c>
      <c r="H2180" s="167" t="s">
        <v>2408</v>
      </c>
      <c r="I2180" s="167" t="s">
        <v>432</v>
      </c>
      <c r="J2180" s="107" t="s">
        <v>432</v>
      </c>
      <c r="K2180" s="107" t="s">
        <v>432</v>
      </c>
      <c r="L2180" s="107" t="s">
        <v>432</v>
      </c>
      <c r="M2180" s="107" t="s">
        <v>432</v>
      </c>
      <c r="N2180" s="107" t="s">
        <v>432</v>
      </c>
      <c r="O2180" s="107" t="s">
        <v>432</v>
      </c>
      <c r="P2180" s="107" t="s">
        <v>432</v>
      </c>
      <c r="Q2180" s="107" t="s">
        <v>432</v>
      </c>
      <c r="R2180" s="107" t="s">
        <v>432</v>
      </c>
      <c r="S2180" s="109" t="s">
        <v>2209</v>
      </c>
      <c r="T2180" s="107" t="s">
        <v>432</v>
      </c>
      <c r="U2180" s="107" t="s">
        <v>432</v>
      </c>
      <c r="V2180" s="109" t="s">
        <v>2209</v>
      </c>
      <c r="W2180" s="107" t="s">
        <v>432</v>
      </c>
      <c r="X2180" s="107" t="s">
        <v>432</v>
      </c>
      <c r="Y2180" s="107" t="s">
        <v>432</v>
      </c>
      <c r="Z2180" s="107" t="s">
        <v>432</v>
      </c>
      <c r="AA2180" s="107" t="s">
        <v>432</v>
      </c>
      <c r="AB2180" s="107" t="s">
        <v>432</v>
      </c>
      <c r="AC2180" s="107" t="s">
        <v>432</v>
      </c>
      <c r="AD2180" s="107" t="s">
        <v>432</v>
      </c>
      <c r="AE2180" s="107" t="s">
        <v>432</v>
      </c>
      <c r="AF2180" s="107" t="s">
        <v>432</v>
      </c>
      <c r="AG2180" s="107" t="s">
        <v>432</v>
      </c>
      <c r="AH2180" s="107" t="s">
        <v>432</v>
      </c>
      <c r="AI2180" s="107" t="s">
        <v>432</v>
      </c>
      <c r="AJ2180" s="107" t="s">
        <v>432</v>
      </c>
      <c r="AK2180" s="137" t="s">
        <v>432</v>
      </c>
      <c r="AL2180" s="601" t="s">
        <v>432</v>
      </c>
      <c r="AM2180" s="137" t="s">
        <v>432</v>
      </c>
      <c r="AN2180" s="137" t="s">
        <v>432</v>
      </c>
      <c r="AO2180" s="137" t="s">
        <v>432</v>
      </c>
      <c r="AP2180" s="137" t="s">
        <v>432</v>
      </c>
      <c r="AQ2180" s="137" t="s">
        <v>432</v>
      </c>
      <c r="AR2180" s="137" t="s">
        <v>432</v>
      </c>
      <c r="AS2180" s="137" t="s">
        <v>432</v>
      </c>
      <c r="AT2180" s="137" t="s">
        <v>432</v>
      </c>
      <c r="AU2180" s="137" t="s">
        <v>432</v>
      </c>
      <c r="AV2180" s="137" t="s">
        <v>432</v>
      </c>
      <c r="AW2180" s="137" t="s">
        <v>432</v>
      </c>
      <c r="AX2180" s="137" t="s">
        <v>432</v>
      </c>
      <c r="AY2180" s="137" t="s">
        <v>432</v>
      </c>
      <c r="AZ2180" s="137" t="s">
        <v>432</v>
      </c>
      <c r="BA2180" s="137" t="s">
        <v>432</v>
      </c>
      <c r="BB2180" s="239" t="str">
        <f t="shared" si="606"/>
        <v>geralx</v>
      </c>
      <c r="BC2180" s="239" t="str">
        <f t="shared" si="607"/>
        <v>geralxsigla/verbete</v>
      </c>
      <c r="BD2180" s="239" t="str">
        <f t="shared" si="608"/>
        <v>geralsigla/verbete</v>
      </c>
    </row>
    <row r="2181" spans="1:67" s="1" customFormat="1" x14ac:dyDescent="0.25">
      <c r="A2181" s="398"/>
      <c r="B2181" s="221"/>
      <c r="C2181" s="399"/>
      <c r="D2181" s="987"/>
      <c r="E2181" s="1533"/>
      <c r="F2181" s="405"/>
      <c r="G2181" s="405"/>
      <c r="H2181" s="399"/>
      <c r="I2181" s="405"/>
      <c r="J2181" s="221"/>
      <c r="K2181" s="403"/>
      <c r="L2181" s="403"/>
      <c r="M2181" s="403"/>
      <c r="N2181" s="403"/>
      <c r="O2181" s="403"/>
      <c r="P2181" s="403"/>
      <c r="Q2181" s="403"/>
      <c r="R2181" s="403"/>
      <c r="S2181" s="403"/>
      <c r="T2181" s="403"/>
      <c r="U2181" s="403"/>
      <c r="V2181" s="403"/>
      <c r="W2181" s="403"/>
      <c r="X2181" s="403"/>
      <c r="Y2181" s="403"/>
      <c r="Z2181" s="403"/>
      <c r="AA2181" s="403"/>
      <c r="AB2181" s="403"/>
      <c r="AC2181" s="403"/>
      <c r="AD2181" s="403"/>
      <c r="AE2181" s="403"/>
      <c r="AF2181" s="403"/>
      <c r="AG2181" s="403"/>
      <c r="AH2181" s="403"/>
      <c r="AI2181" s="403"/>
      <c r="AJ2181" s="403"/>
      <c r="AK2181" s="223"/>
      <c r="AL2181" s="223"/>
      <c r="AM2181" s="223"/>
      <c r="AN2181" s="223"/>
      <c r="AO2181" s="223"/>
      <c r="AP2181" s="223"/>
      <c r="AQ2181" s="223"/>
      <c r="AR2181" s="223"/>
      <c r="AS2181" s="223"/>
      <c r="AT2181" s="223"/>
      <c r="AU2181" s="223"/>
      <c r="AV2181" s="223"/>
      <c r="AW2181" s="223"/>
      <c r="AX2181" s="223"/>
      <c r="AY2181" s="223"/>
      <c r="AZ2181" s="223"/>
      <c r="BA2181" s="223"/>
      <c r="BB2181" s="400"/>
      <c r="BC2181" s="400"/>
      <c r="BD2181" s="400"/>
    </row>
    <row r="2182" spans="1:67" s="1" customFormat="1" ht="51" customHeight="1" x14ac:dyDescent="0.25">
      <c r="A2182" s="262" t="s">
        <v>432</v>
      </c>
      <c r="B2182" s="252" t="s">
        <v>742</v>
      </c>
      <c r="C2182" s="167" t="s">
        <v>432</v>
      </c>
      <c r="D2182" s="324" t="s">
        <v>354</v>
      </c>
      <c r="E2182" s="1496" t="s">
        <v>432</v>
      </c>
      <c r="F2182" s="165" t="s">
        <v>658</v>
      </c>
      <c r="G2182" s="167" t="s">
        <v>3879</v>
      </c>
      <c r="H2182" s="167" t="s">
        <v>432</v>
      </c>
      <c r="I2182" s="167" t="s">
        <v>432</v>
      </c>
      <c r="J2182" s="107" t="s">
        <v>432</v>
      </c>
      <c r="K2182" s="107" t="s">
        <v>432</v>
      </c>
      <c r="L2182" s="107" t="s">
        <v>432</v>
      </c>
      <c r="M2182" s="107" t="s">
        <v>432</v>
      </c>
      <c r="N2182" s="107" t="s">
        <v>432</v>
      </c>
      <c r="O2182" s="107" t="s">
        <v>432</v>
      </c>
      <c r="P2182" s="107" t="s">
        <v>432</v>
      </c>
      <c r="Q2182" s="107" t="s">
        <v>432</v>
      </c>
      <c r="R2182" s="107" t="s">
        <v>432</v>
      </c>
      <c r="S2182" s="109" t="s">
        <v>2209</v>
      </c>
      <c r="T2182" s="107" t="s">
        <v>432</v>
      </c>
      <c r="U2182" s="107" t="s">
        <v>432</v>
      </c>
      <c r="V2182" s="109" t="s">
        <v>2209</v>
      </c>
      <c r="W2182" s="107" t="s">
        <v>432</v>
      </c>
      <c r="X2182" s="107" t="s">
        <v>432</v>
      </c>
      <c r="Y2182" s="107" t="s">
        <v>432</v>
      </c>
      <c r="Z2182" s="107" t="s">
        <v>432</v>
      </c>
      <c r="AA2182" s="107" t="s">
        <v>432</v>
      </c>
      <c r="AB2182" s="107" t="s">
        <v>432</v>
      </c>
      <c r="AC2182" s="107" t="s">
        <v>432</v>
      </c>
      <c r="AD2182" s="107" t="s">
        <v>432</v>
      </c>
      <c r="AE2182" s="107" t="s">
        <v>432</v>
      </c>
      <c r="AF2182" s="107" t="s">
        <v>432</v>
      </c>
      <c r="AG2182" s="107" t="s">
        <v>432</v>
      </c>
      <c r="AH2182" s="107" t="s">
        <v>432</v>
      </c>
      <c r="AI2182" s="107" t="s">
        <v>432</v>
      </c>
      <c r="AJ2182" s="107" t="s">
        <v>432</v>
      </c>
      <c r="AK2182" s="137" t="s">
        <v>432</v>
      </c>
      <c r="AL2182" s="601" t="s">
        <v>432</v>
      </c>
      <c r="AM2182" s="137" t="s">
        <v>432</v>
      </c>
      <c r="AN2182" s="137" t="s">
        <v>432</v>
      </c>
      <c r="AO2182" s="137" t="s">
        <v>432</v>
      </c>
      <c r="AP2182" s="137" t="s">
        <v>432</v>
      </c>
      <c r="AQ2182" s="137" t="s">
        <v>432</v>
      </c>
      <c r="AR2182" s="137" t="s">
        <v>432</v>
      </c>
      <c r="AS2182" s="137" t="s">
        <v>432</v>
      </c>
      <c r="AT2182" s="137" t="s">
        <v>432</v>
      </c>
      <c r="AU2182" s="137" t="s">
        <v>432</v>
      </c>
      <c r="AV2182" s="137" t="s">
        <v>432</v>
      </c>
      <c r="AW2182" s="137" t="s">
        <v>432</v>
      </c>
      <c r="AX2182" s="137" t="s">
        <v>432</v>
      </c>
      <c r="AY2182" s="137" t="s">
        <v>432</v>
      </c>
      <c r="AZ2182" s="137" t="s">
        <v>432</v>
      </c>
      <c r="BA2182" s="137" t="s">
        <v>432</v>
      </c>
      <c r="BB2182" s="239" t="str">
        <f t="shared" si="606"/>
        <v>geralx</v>
      </c>
      <c r="BC2182" s="239" t="str">
        <f t="shared" si="607"/>
        <v>geralxx</v>
      </c>
      <c r="BD2182" s="239" t="str">
        <f t="shared" si="608"/>
        <v>geralx</v>
      </c>
    </row>
    <row r="2183" spans="1:67" s="1" customFormat="1" ht="51" customHeight="1" x14ac:dyDescent="0.25">
      <c r="A2183" s="262" t="s">
        <v>432</v>
      </c>
      <c r="B2183" s="252" t="s">
        <v>742</v>
      </c>
      <c r="C2183" s="167" t="s">
        <v>432</v>
      </c>
      <c r="D2183" s="324" t="s">
        <v>356</v>
      </c>
      <c r="E2183" s="1496" t="s">
        <v>432</v>
      </c>
      <c r="F2183" s="165" t="s">
        <v>660</v>
      </c>
      <c r="G2183" s="167" t="s">
        <v>3879</v>
      </c>
      <c r="H2183" s="167" t="s">
        <v>432</v>
      </c>
      <c r="I2183" s="167" t="s">
        <v>432</v>
      </c>
      <c r="J2183" s="107" t="s">
        <v>432</v>
      </c>
      <c r="K2183" s="107" t="s">
        <v>432</v>
      </c>
      <c r="L2183" s="107" t="s">
        <v>432</v>
      </c>
      <c r="M2183" s="107" t="s">
        <v>432</v>
      </c>
      <c r="N2183" s="107" t="s">
        <v>432</v>
      </c>
      <c r="O2183" s="107" t="s">
        <v>432</v>
      </c>
      <c r="P2183" s="107" t="s">
        <v>432</v>
      </c>
      <c r="Q2183" s="107" t="s">
        <v>432</v>
      </c>
      <c r="R2183" s="107" t="s">
        <v>432</v>
      </c>
      <c r="S2183" s="109" t="s">
        <v>2209</v>
      </c>
      <c r="T2183" s="107" t="s">
        <v>432</v>
      </c>
      <c r="U2183" s="107" t="s">
        <v>432</v>
      </c>
      <c r="V2183" s="109" t="s">
        <v>2209</v>
      </c>
      <c r="W2183" s="107" t="s">
        <v>432</v>
      </c>
      <c r="X2183" s="107" t="s">
        <v>432</v>
      </c>
      <c r="Y2183" s="107" t="s">
        <v>432</v>
      </c>
      <c r="Z2183" s="107" t="s">
        <v>432</v>
      </c>
      <c r="AA2183" s="107" t="s">
        <v>432</v>
      </c>
      <c r="AB2183" s="107" t="s">
        <v>432</v>
      </c>
      <c r="AC2183" s="107" t="s">
        <v>432</v>
      </c>
      <c r="AD2183" s="107" t="s">
        <v>432</v>
      </c>
      <c r="AE2183" s="107" t="s">
        <v>432</v>
      </c>
      <c r="AF2183" s="107" t="s">
        <v>432</v>
      </c>
      <c r="AG2183" s="107" t="s">
        <v>432</v>
      </c>
      <c r="AH2183" s="107" t="s">
        <v>432</v>
      </c>
      <c r="AI2183" s="107" t="s">
        <v>432</v>
      </c>
      <c r="AJ2183" s="107" t="s">
        <v>432</v>
      </c>
      <c r="AK2183" s="137" t="s">
        <v>432</v>
      </c>
      <c r="AL2183" s="601" t="s">
        <v>432</v>
      </c>
      <c r="AM2183" s="137" t="s">
        <v>432</v>
      </c>
      <c r="AN2183" s="137" t="s">
        <v>432</v>
      </c>
      <c r="AO2183" s="137" t="s">
        <v>432</v>
      </c>
      <c r="AP2183" s="137" t="s">
        <v>432</v>
      </c>
      <c r="AQ2183" s="137" t="s">
        <v>432</v>
      </c>
      <c r="AR2183" s="137" t="s">
        <v>432</v>
      </c>
      <c r="AS2183" s="137" t="s">
        <v>432</v>
      </c>
      <c r="AT2183" s="137" t="s">
        <v>432</v>
      </c>
      <c r="AU2183" s="137" t="s">
        <v>432</v>
      </c>
      <c r="AV2183" s="137" t="s">
        <v>432</v>
      </c>
      <c r="AW2183" s="137" t="s">
        <v>432</v>
      </c>
      <c r="AX2183" s="137" t="s">
        <v>432</v>
      </c>
      <c r="AY2183" s="137" t="s">
        <v>432</v>
      </c>
      <c r="AZ2183" s="137" t="s">
        <v>432</v>
      </c>
      <c r="BA2183" s="137" t="s">
        <v>432</v>
      </c>
      <c r="BB2183" s="239" t="str">
        <f t="shared" si="606"/>
        <v>geralx</v>
      </c>
      <c r="BC2183" s="239" t="str">
        <f t="shared" si="607"/>
        <v>geralxx</v>
      </c>
      <c r="BD2183" s="239" t="str">
        <f t="shared" si="608"/>
        <v>geralx</v>
      </c>
    </row>
    <row r="2184" spans="1:67" s="1" customFormat="1" ht="41.25" x14ac:dyDescent="0.25">
      <c r="A2184" s="275" t="str">
        <f>'Q100b-totais'!$B$11</f>
        <v>1.2</v>
      </c>
      <c r="B2184" s="54" t="str">
        <f>'Q100b-totais'!$C$11</f>
        <v>Atendimento ao usuário em geral</v>
      </c>
      <c r="C2184" s="230" t="s">
        <v>432</v>
      </c>
      <c r="D2184" s="323" t="s">
        <v>355</v>
      </c>
      <c r="E2184" s="509" t="s">
        <v>1306</v>
      </c>
      <c r="F2184" s="11" t="s">
        <v>1937</v>
      </c>
      <c r="G2184" s="241" t="s">
        <v>77</v>
      </c>
      <c r="H2184" s="444" t="s">
        <v>678</v>
      </c>
      <c r="I2184" s="172">
        <v>1</v>
      </c>
      <c r="J2184" s="109" t="s">
        <v>432</v>
      </c>
      <c r="K2184" s="110" t="s">
        <v>432</v>
      </c>
      <c r="L2184" s="110" t="s">
        <v>432</v>
      </c>
      <c r="M2184" s="110" t="s">
        <v>432</v>
      </c>
      <c r="N2184" s="110" t="s">
        <v>432</v>
      </c>
      <c r="O2184" s="110" t="s">
        <v>432</v>
      </c>
      <c r="P2184" s="110" t="s">
        <v>432</v>
      </c>
      <c r="Q2184" s="110" t="s">
        <v>432</v>
      </c>
      <c r="R2184" s="110" t="s">
        <v>432</v>
      </c>
      <c r="S2184" s="109" t="s">
        <v>2209</v>
      </c>
      <c r="T2184" s="110" t="s">
        <v>432</v>
      </c>
      <c r="U2184" s="110" t="s">
        <v>432</v>
      </c>
      <c r="V2184" s="109" t="s">
        <v>2209</v>
      </c>
      <c r="W2184" s="110" t="s">
        <v>432</v>
      </c>
      <c r="X2184" s="110" t="s">
        <v>432</v>
      </c>
      <c r="Y2184" s="110" t="s">
        <v>432</v>
      </c>
      <c r="Z2184" s="110" t="s">
        <v>432</v>
      </c>
      <c r="AA2184" s="110" t="s">
        <v>432</v>
      </c>
      <c r="AB2184" s="110" t="s">
        <v>432</v>
      </c>
      <c r="AC2184" s="110" t="s">
        <v>432</v>
      </c>
      <c r="AD2184" s="110" t="s">
        <v>432</v>
      </c>
      <c r="AE2184" s="110" t="s">
        <v>432</v>
      </c>
      <c r="AF2184" s="110" t="s">
        <v>432</v>
      </c>
      <c r="AG2184" s="110" t="s">
        <v>432</v>
      </c>
      <c r="AH2184" s="110" t="s">
        <v>432</v>
      </c>
      <c r="AI2184" s="110" t="s">
        <v>432</v>
      </c>
      <c r="AJ2184" s="110" t="s">
        <v>432</v>
      </c>
      <c r="AK2184" s="137" t="s">
        <v>432</v>
      </c>
      <c r="AL2184" s="601" t="s">
        <v>432</v>
      </c>
      <c r="AM2184" s="137" t="s">
        <v>432</v>
      </c>
      <c r="AN2184" s="137" t="s">
        <v>432</v>
      </c>
      <c r="AO2184" s="137" t="s">
        <v>432</v>
      </c>
      <c r="AP2184" s="137" t="s">
        <v>432</v>
      </c>
      <c r="AQ2184" s="137" t="s">
        <v>432</v>
      </c>
      <c r="AR2184" s="137" t="s">
        <v>432</v>
      </c>
      <c r="AS2184" s="137" t="s">
        <v>432</v>
      </c>
      <c r="AT2184" s="137" t="s">
        <v>432</v>
      </c>
      <c r="AU2184" s="137" t="s">
        <v>432</v>
      </c>
      <c r="AV2184" s="137" t="s">
        <v>432</v>
      </c>
      <c r="AW2184" s="137" t="s">
        <v>432</v>
      </c>
      <c r="AX2184" s="137" t="s">
        <v>432</v>
      </c>
      <c r="AY2184" s="137" t="s">
        <v>432</v>
      </c>
      <c r="AZ2184" s="137" t="s">
        <v>432</v>
      </c>
      <c r="BA2184" s="137" t="s">
        <v>432</v>
      </c>
      <c r="BB2184" s="239" t="str">
        <f t="shared" si="606"/>
        <v>Atendimento ao usuário em geralx</v>
      </c>
      <c r="BC2184" s="239" t="str">
        <f t="shared" si="607"/>
        <v>Atendimento ao usuário em geralxainda não incorporado ao SisMob-BH</v>
      </c>
      <c r="BD2184" s="239" t="str">
        <f t="shared" si="608"/>
        <v>Atendimento ao usuário em geralainda não incorporado ao SisMob-BH</v>
      </c>
    </row>
    <row r="2185" spans="1:67" ht="38.25" x14ac:dyDescent="0.25">
      <c r="A2185" s="275" t="str">
        <f>'Q100b-totais'!$B$11</f>
        <v>1.2</v>
      </c>
      <c r="B2185" s="54" t="str">
        <f>'Q100b-totais'!$C$11</f>
        <v>Atendimento ao usuário em geral</v>
      </c>
      <c r="C2185" s="230" t="s">
        <v>432</v>
      </c>
      <c r="D2185" s="939" t="s">
        <v>984</v>
      </c>
      <c r="E2185" s="509" t="s">
        <v>1306</v>
      </c>
      <c r="F2185" s="5" t="s">
        <v>1391</v>
      </c>
      <c r="G2185" s="110" t="s">
        <v>77</v>
      </c>
      <c r="H2185" s="57" t="s">
        <v>432</v>
      </c>
      <c r="I2185" s="172">
        <v>1</v>
      </c>
      <c r="J2185" s="109" t="s">
        <v>432</v>
      </c>
      <c r="K2185" s="110" t="s">
        <v>432</v>
      </c>
      <c r="L2185" s="110" t="s">
        <v>432</v>
      </c>
      <c r="M2185" s="110" t="s">
        <v>432</v>
      </c>
      <c r="N2185" s="110" t="s">
        <v>432</v>
      </c>
      <c r="O2185" s="110" t="s">
        <v>432</v>
      </c>
      <c r="P2185" s="110" t="s">
        <v>432</v>
      </c>
      <c r="Q2185" s="110" t="s">
        <v>432</v>
      </c>
      <c r="R2185" s="110" t="s">
        <v>432</v>
      </c>
      <c r="S2185" s="109" t="s">
        <v>2209</v>
      </c>
      <c r="T2185" s="110" t="s">
        <v>432</v>
      </c>
      <c r="U2185" s="110" t="s">
        <v>432</v>
      </c>
      <c r="V2185" s="109" t="s">
        <v>2209</v>
      </c>
      <c r="W2185" s="110" t="s">
        <v>432</v>
      </c>
      <c r="X2185" s="110" t="s">
        <v>432</v>
      </c>
      <c r="Y2185" s="110" t="s">
        <v>432</v>
      </c>
      <c r="Z2185" s="110" t="s">
        <v>432</v>
      </c>
      <c r="AA2185" s="110" t="s">
        <v>432</v>
      </c>
      <c r="AB2185" s="110" t="s">
        <v>432</v>
      </c>
      <c r="AC2185" s="110" t="s">
        <v>432</v>
      </c>
      <c r="AD2185" s="110" t="s">
        <v>432</v>
      </c>
      <c r="AE2185" s="110" t="s">
        <v>432</v>
      </c>
      <c r="AF2185" s="110">
        <v>49.5</v>
      </c>
      <c r="AG2185" s="110">
        <v>79.099999999999994</v>
      </c>
      <c r="AH2185" s="110">
        <v>83.5</v>
      </c>
      <c r="AI2185" s="110">
        <v>93.4</v>
      </c>
      <c r="AJ2185" s="110" t="s">
        <v>432</v>
      </c>
      <c r="AK2185" s="137" t="s">
        <v>432</v>
      </c>
      <c r="AL2185" s="601" t="s">
        <v>432</v>
      </c>
      <c r="AM2185" s="137" t="s">
        <v>432</v>
      </c>
      <c r="AN2185" s="137" t="s">
        <v>432</v>
      </c>
      <c r="AO2185" s="137" t="s">
        <v>432</v>
      </c>
      <c r="AP2185" s="137" t="s">
        <v>432</v>
      </c>
      <c r="AQ2185" s="137" t="s">
        <v>432</v>
      </c>
      <c r="AR2185" s="137" t="s">
        <v>432</v>
      </c>
      <c r="AS2185" s="137" t="s">
        <v>432</v>
      </c>
      <c r="AT2185" s="137" t="s">
        <v>432</v>
      </c>
      <c r="AU2185" s="137" t="s">
        <v>432</v>
      </c>
      <c r="AV2185" s="137" t="s">
        <v>432</v>
      </c>
      <c r="AW2185" s="137" t="s">
        <v>432</v>
      </c>
      <c r="AX2185" s="137" t="s">
        <v>432</v>
      </c>
      <c r="AY2185" s="137" t="s">
        <v>432</v>
      </c>
      <c r="AZ2185" s="137" t="s">
        <v>432</v>
      </c>
      <c r="BA2185" s="137" t="s">
        <v>432</v>
      </c>
      <c r="BB2185" s="239" t="str">
        <f t="shared" si="606"/>
        <v>Atendimento ao usuário em geralx</v>
      </c>
      <c r="BC2185" s="239" t="str">
        <f t="shared" si="607"/>
        <v>Atendimento ao usuário em geralxx</v>
      </c>
      <c r="BD2185" s="239" t="str">
        <f t="shared" si="608"/>
        <v>Atendimento ao usuário em geralx</v>
      </c>
    </row>
    <row r="2186" spans="1:67" s="105" customFormat="1" ht="60.75" customHeight="1" x14ac:dyDescent="0.25">
      <c r="A2186" s="275" t="s">
        <v>582</v>
      </c>
      <c r="B2186" s="54" t="s">
        <v>720</v>
      </c>
      <c r="C2186" s="303" t="s">
        <v>432</v>
      </c>
      <c r="D2186" s="939" t="s">
        <v>1389</v>
      </c>
      <c r="E2186" s="509" t="s">
        <v>1306</v>
      </c>
      <c r="F2186" s="5" t="s">
        <v>1390</v>
      </c>
      <c r="G2186" s="93" t="s">
        <v>77</v>
      </c>
      <c r="H2186" s="168" t="s">
        <v>432</v>
      </c>
      <c r="I2186" s="167">
        <v>1</v>
      </c>
      <c r="J2186" s="107" t="s">
        <v>432</v>
      </c>
      <c r="K2186" s="93" t="s">
        <v>432</v>
      </c>
      <c r="L2186" s="93" t="s">
        <v>432</v>
      </c>
      <c r="M2186" s="93" t="s">
        <v>432</v>
      </c>
      <c r="N2186" s="93" t="s">
        <v>432</v>
      </c>
      <c r="O2186" s="93" t="s">
        <v>432</v>
      </c>
      <c r="P2186" s="93" t="s">
        <v>432</v>
      </c>
      <c r="Q2186" s="93" t="s">
        <v>432</v>
      </c>
      <c r="R2186" s="93" t="s">
        <v>432</v>
      </c>
      <c r="S2186" s="109" t="s">
        <v>2209</v>
      </c>
      <c r="T2186" s="93" t="s">
        <v>432</v>
      </c>
      <c r="U2186" s="93" t="s">
        <v>432</v>
      </c>
      <c r="V2186" s="109" t="s">
        <v>2209</v>
      </c>
      <c r="W2186" s="93" t="s">
        <v>432</v>
      </c>
      <c r="X2186" s="93" t="s">
        <v>432</v>
      </c>
      <c r="Y2186" s="93" t="s">
        <v>432</v>
      </c>
      <c r="Z2186" s="93" t="s">
        <v>432</v>
      </c>
      <c r="AA2186" s="93" t="s">
        <v>432</v>
      </c>
      <c r="AB2186" s="93" t="s">
        <v>432</v>
      </c>
      <c r="AC2186" s="93" t="s">
        <v>432</v>
      </c>
      <c r="AD2186" s="93" t="s">
        <v>432</v>
      </c>
      <c r="AE2186" s="93" t="s">
        <v>432</v>
      </c>
      <c r="AF2186" s="93" t="s">
        <v>432</v>
      </c>
      <c r="AG2186" s="366">
        <v>11.9</v>
      </c>
      <c r="AH2186" s="366">
        <v>19</v>
      </c>
      <c r="AI2186" s="366">
        <v>18.3</v>
      </c>
      <c r="AJ2186" s="93" t="s">
        <v>432</v>
      </c>
      <c r="AK2186" s="189" t="s">
        <v>432</v>
      </c>
      <c r="AL2186" s="601" t="s">
        <v>432</v>
      </c>
      <c r="AM2186" s="137" t="s">
        <v>432</v>
      </c>
      <c r="AN2186" s="137" t="s">
        <v>432</v>
      </c>
      <c r="AO2186" s="137" t="s">
        <v>432</v>
      </c>
      <c r="AP2186" s="137" t="s">
        <v>432</v>
      </c>
      <c r="AQ2186" s="137" t="s">
        <v>432</v>
      </c>
      <c r="AR2186" s="137" t="s">
        <v>432</v>
      </c>
      <c r="AS2186" s="137" t="s">
        <v>432</v>
      </c>
      <c r="AT2186" s="137" t="s">
        <v>432</v>
      </c>
      <c r="AU2186" s="137" t="s">
        <v>432</v>
      </c>
      <c r="AV2186" s="137" t="s">
        <v>432</v>
      </c>
      <c r="AW2186" s="137" t="s">
        <v>432</v>
      </c>
      <c r="AX2186" s="137" t="s">
        <v>432</v>
      </c>
      <c r="AY2186" s="137" t="s">
        <v>432</v>
      </c>
      <c r="AZ2186" s="137" t="s">
        <v>432</v>
      </c>
      <c r="BA2186" s="137" t="s">
        <v>432</v>
      </c>
      <c r="BB2186" s="239" t="str">
        <f t="shared" si="606"/>
        <v>Atendimento ao usuário em geralx</v>
      </c>
      <c r="BC2186" s="239" t="str">
        <f t="shared" si="607"/>
        <v>Atendimento ao usuário em geralxx</v>
      </c>
      <c r="BD2186" s="239" t="str">
        <f t="shared" si="608"/>
        <v>Atendimento ao usuário em geralx</v>
      </c>
      <c r="BM2186" s="360"/>
      <c r="BN2186" s="360"/>
      <c r="BO2186" s="360"/>
    </row>
    <row r="2187" spans="1:67" s="105" customFormat="1" ht="64.5" customHeight="1" x14ac:dyDescent="0.25">
      <c r="A2187" s="275" t="str">
        <f>'Q100b-totais'!$B$11</f>
        <v>1.2</v>
      </c>
      <c r="B2187" s="54" t="str">
        <f>'Q100b-totais'!$C$11</f>
        <v>Atendimento ao usuário em geral</v>
      </c>
      <c r="C2187" s="230" t="s">
        <v>432</v>
      </c>
      <c r="D2187" s="939" t="s">
        <v>985</v>
      </c>
      <c r="E2187" s="509" t="s">
        <v>1306</v>
      </c>
      <c r="F2187" s="5" t="s">
        <v>1392</v>
      </c>
      <c r="G2187" s="110" t="s">
        <v>77</v>
      </c>
      <c r="H2187" s="57" t="s">
        <v>432</v>
      </c>
      <c r="I2187" s="172">
        <v>1</v>
      </c>
      <c r="J2187" s="109" t="s">
        <v>432</v>
      </c>
      <c r="K2187" s="110" t="s">
        <v>432</v>
      </c>
      <c r="L2187" s="110" t="s">
        <v>432</v>
      </c>
      <c r="M2187" s="110" t="s">
        <v>432</v>
      </c>
      <c r="N2187" s="110" t="s">
        <v>432</v>
      </c>
      <c r="O2187" s="110" t="s">
        <v>432</v>
      </c>
      <c r="P2187" s="110" t="s">
        <v>432</v>
      </c>
      <c r="Q2187" s="110" t="s">
        <v>432</v>
      </c>
      <c r="R2187" s="110" t="s">
        <v>432</v>
      </c>
      <c r="S2187" s="109" t="s">
        <v>2209</v>
      </c>
      <c r="T2187" s="110" t="s">
        <v>432</v>
      </c>
      <c r="U2187" s="110" t="s">
        <v>432</v>
      </c>
      <c r="V2187" s="109" t="s">
        <v>2209</v>
      </c>
      <c r="W2187" s="110" t="s">
        <v>432</v>
      </c>
      <c r="X2187" s="110" t="s">
        <v>432</v>
      </c>
      <c r="Y2187" s="110" t="s">
        <v>432</v>
      </c>
      <c r="Z2187" s="110" t="s">
        <v>432</v>
      </c>
      <c r="AA2187" s="110" t="s">
        <v>432</v>
      </c>
      <c r="AB2187" s="110" t="s">
        <v>432</v>
      </c>
      <c r="AC2187" s="110" t="s">
        <v>432</v>
      </c>
      <c r="AD2187" s="110" t="s">
        <v>432</v>
      </c>
      <c r="AE2187" s="110" t="s">
        <v>432</v>
      </c>
      <c r="AF2187" s="110">
        <v>53.6</v>
      </c>
      <c r="AG2187" s="110">
        <v>69.2</v>
      </c>
      <c r="AH2187" s="110">
        <v>94.1</v>
      </c>
      <c r="AI2187" s="110">
        <v>71.599999999999994</v>
      </c>
      <c r="AJ2187" s="110" t="s">
        <v>432</v>
      </c>
      <c r="AK2187" s="137" t="s">
        <v>432</v>
      </c>
      <c r="AL2187" s="601" t="s">
        <v>432</v>
      </c>
      <c r="AM2187" s="137" t="s">
        <v>432</v>
      </c>
      <c r="AN2187" s="137" t="s">
        <v>432</v>
      </c>
      <c r="AO2187" s="137" t="s">
        <v>432</v>
      </c>
      <c r="AP2187" s="137" t="s">
        <v>432</v>
      </c>
      <c r="AQ2187" s="137" t="s">
        <v>432</v>
      </c>
      <c r="AR2187" s="137" t="s">
        <v>432</v>
      </c>
      <c r="AS2187" s="137" t="s">
        <v>432</v>
      </c>
      <c r="AT2187" s="137" t="s">
        <v>432</v>
      </c>
      <c r="AU2187" s="137" t="s">
        <v>432</v>
      </c>
      <c r="AV2187" s="137" t="s">
        <v>432</v>
      </c>
      <c r="AW2187" s="137" t="s">
        <v>432</v>
      </c>
      <c r="AX2187" s="137" t="s">
        <v>432</v>
      </c>
      <c r="AY2187" s="137" t="s">
        <v>432</v>
      </c>
      <c r="AZ2187" s="137" t="s">
        <v>432</v>
      </c>
      <c r="BA2187" s="137" t="s">
        <v>432</v>
      </c>
      <c r="BB2187" s="239" t="str">
        <f t="shared" si="606"/>
        <v>Atendimento ao usuário em geralx</v>
      </c>
      <c r="BC2187" s="239" t="str">
        <f t="shared" si="607"/>
        <v>Atendimento ao usuário em geralxx</v>
      </c>
      <c r="BD2187" s="239" t="str">
        <f t="shared" si="608"/>
        <v>Atendimento ao usuário em geralx</v>
      </c>
    </row>
    <row r="2188" spans="1:67" s="1" customFormat="1" ht="41.25" x14ac:dyDescent="0.25">
      <c r="A2188" s="275" t="str">
        <f>'Q100b-totais'!$B$11</f>
        <v>1.2</v>
      </c>
      <c r="B2188" s="54" t="str">
        <f>'Q100b-totais'!$C$11</f>
        <v>Atendimento ao usuário em geral</v>
      </c>
      <c r="C2188" s="229" t="s">
        <v>743</v>
      </c>
      <c r="D2188" s="972" t="s">
        <v>3219</v>
      </c>
      <c r="E2188" s="509" t="s">
        <v>1306</v>
      </c>
      <c r="F2188" s="53" t="s">
        <v>719</v>
      </c>
      <c r="G2188" s="241" t="s">
        <v>77</v>
      </c>
      <c r="H2188" s="444" t="s">
        <v>678</v>
      </c>
      <c r="I2188" s="230">
        <v>1</v>
      </c>
      <c r="J2188" s="109" t="s">
        <v>432</v>
      </c>
      <c r="K2188" s="263" t="s">
        <v>432</v>
      </c>
      <c r="L2188" s="263" t="s">
        <v>432</v>
      </c>
      <c r="M2188" s="263" t="s">
        <v>432</v>
      </c>
      <c r="N2188" s="263" t="s">
        <v>432</v>
      </c>
      <c r="O2188" s="263" t="s">
        <v>432</v>
      </c>
      <c r="P2188" s="263" t="s">
        <v>432</v>
      </c>
      <c r="Q2188" s="263" t="s">
        <v>432</v>
      </c>
      <c r="R2188" s="263" t="s">
        <v>432</v>
      </c>
      <c r="S2188" s="109" t="s">
        <v>2209</v>
      </c>
      <c r="T2188" s="110" t="s">
        <v>432</v>
      </c>
      <c r="U2188" s="110" t="s">
        <v>432</v>
      </c>
      <c r="V2188" s="109" t="s">
        <v>2209</v>
      </c>
      <c r="W2188" s="110" t="s">
        <v>432</v>
      </c>
      <c r="X2188" s="110" t="s">
        <v>432</v>
      </c>
      <c r="Y2188" s="110" t="s">
        <v>432</v>
      </c>
      <c r="Z2188" s="110" t="s">
        <v>432</v>
      </c>
      <c r="AA2188" s="110" t="s">
        <v>432</v>
      </c>
      <c r="AB2188" s="110" t="s">
        <v>432</v>
      </c>
      <c r="AC2188" s="110" t="s">
        <v>432</v>
      </c>
      <c r="AD2188" s="110" t="s">
        <v>432</v>
      </c>
      <c r="AE2188" s="110" t="s">
        <v>432</v>
      </c>
      <c r="AF2188" s="110" t="s">
        <v>432</v>
      </c>
      <c r="AG2188" s="110" t="s">
        <v>432</v>
      </c>
      <c r="AH2188" s="110" t="s">
        <v>432</v>
      </c>
      <c r="AI2188" s="110" t="s">
        <v>432</v>
      </c>
      <c r="AJ2188" s="110" t="s">
        <v>432</v>
      </c>
      <c r="AK2188" s="256" t="s">
        <v>432</v>
      </c>
      <c r="AL2188" s="601" t="s">
        <v>432</v>
      </c>
      <c r="AM2188" s="256" t="s">
        <v>432</v>
      </c>
      <c r="AN2188" s="256" t="s">
        <v>432</v>
      </c>
      <c r="AO2188" s="256" t="s">
        <v>432</v>
      </c>
      <c r="AP2188" s="256" t="s">
        <v>432</v>
      </c>
      <c r="AQ2188" s="256" t="s">
        <v>432</v>
      </c>
      <c r="AR2188" s="256" t="s">
        <v>432</v>
      </c>
      <c r="AS2188" s="256" t="s">
        <v>432</v>
      </c>
      <c r="AT2188" s="256" t="s">
        <v>432</v>
      </c>
      <c r="AU2188" s="256" t="s">
        <v>432</v>
      </c>
      <c r="AV2188" s="256" t="s">
        <v>432</v>
      </c>
      <c r="AW2188" s="256" t="s">
        <v>432</v>
      </c>
      <c r="AX2188" s="256" t="s">
        <v>432</v>
      </c>
      <c r="AY2188" s="256" t="s">
        <v>432</v>
      </c>
      <c r="AZ2188" s="256" t="s">
        <v>432</v>
      </c>
      <c r="BA2188" s="256" t="s">
        <v>432</v>
      </c>
      <c r="BB2188" s="257" t="str">
        <f t="shared" si="606"/>
        <v>Atendimento ao usuário em geralacessibilidade</v>
      </c>
      <c r="BC2188" s="257" t="str">
        <f t="shared" si="607"/>
        <v>Atendimento ao usuário em geralacessibilidadeainda não incorporado ao SisMob-BH</v>
      </c>
      <c r="BD2188" s="257" t="str">
        <f t="shared" si="608"/>
        <v>Atendimento ao usuário em geralainda não incorporado ao SisMob-BH</v>
      </c>
    </row>
    <row r="2189" spans="1:67" s="1" customFormat="1" ht="47.25" customHeight="1" x14ac:dyDescent="0.25">
      <c r="A2189" s="275" t="str">
        <f>'Q100b-totais'!$B$11</f>
        <v>1.2</v>
      </c>
      <c r="B2189" s="1205" t="str">
        <f>'Q100b-totais'!$C$11</f>
        <v>Atendimento ao usuário em geral</v>
      </c>
      <c r="C2189" s="57" t="s">
        <v>432</v>
      </c>
      <c r="D2189" s="323" t="s">
        <v>3217</v>
      </c>
      <c r="E2189" s="509" t="s">
        <v>1306</v>
      </c>
      <c r="F2189" s="11" t="s">
        <v>1938</v>
      </c>
      <c r="G2189" s="241" t="s">
        <v>77</v>
      </c>
      <c r="H2189" s="444" t="s">
        <v>678</v>
      </c>
      <c r="I2189" s="172">
        <v>1</v>
      </c>
      <c r="J2189" s="109" t="s">
        <v>432</v>
      </c>
      <c r="K2189" s="110" t="s">
        <v>432</v>
      </c>
      <c r="L2189" s="110" t="s">
        <v>432</v>
      </c>
      <c r="M2189" s="110" t="s">
        <v>432</v>
      </c>
      <c r="N2189" s="110" t="s">
        <v>432</v>
      </c>
      <c r="O2189" s="110" t="s">
        <v>432</v>
      </c>
      <c r="P2189" s="110" t="s">
        <v>432</v>
      </c>
      <c r="Q2189" s="110" t="s">
        <v>432</v>
      </c>
      <c r="R2189" s="110" t="s">
        <v>432</v>
      </c>
      <c r="S2189" s="109" t="s">
        <v>2209</v>
      </c>
      <c r="T2189" s="110" t="s">
        <v>432</v>
      </c>
      <c r="U2189" s="110" t="s">
        <v>432</v>
      </c>
      <c r="V2189" s="109" t="s">
        <v>2209</v>
      </c>
      <c r="W2189" s="110" t="s">
        <v>432</v>
      </c>
      <c r="X2189" s="110" t="s">
        <v>432</v>
      </c>
      <c r="Y2189" s="110" t="s">
        <v>432</v>
      </c>
      <c r="Z2189" s="110" t="s">
        <v>432</v>
      </c>
      <c r="AA2189" s="110" t="s">
        <v>432</v>
      </c>
      <c r="AB2189" s="110" t="s">
        <v>432</v>
      </c>
      <c r="AC2189" s="110" t="s">
        <v>432</v>
      </c>
      <c r="AD2189" s="110" t="s">
        <v>432</v>
      </c>
      <c r="AE2189" s="110" t="s">
        <v>432</v>
      </c>
      <c r="AF2189" s="110" t="s">
        <v>432</v>
      </c>
      <c r="AG2189" s="110" t="s">
        <v>432</v>
      </c>
      <c r="AH2189" s="110" t="s">
        <v>432</v>
      </c>
      <c r="AI2189" s="110" t="s">
        <v>432</v>
      </c>
      <c r="AJ2189" s="110" t="s">
        <v>432</v>
      </c>
      <c r="AK2189" s="137" t="s">
        <v>432</v>
      </c>
      <c r="AL2189" s="601" t="s">
        <v>432</v>
      </c>
      <c r="AM2189" s="137" t="s">
        <v>432</v>
      </c>
      <c r="AN2189" s="137" t="s">
        <v>432</v>
      </c>
      <c r="AO2189" s="137" t="s">
        <v>432</v>
      </c>
      <c r="AP2189" s="137" t="s">
        <v>432</v>
      </c>
      <c r="AQ2189" s="137" t="s">
        <v>432</v>
      </c>
      <c r="AR2189" s="137" t="s">
        <v>432</v>
      </c>
      <c r="AS2189" s="137" t="s">
        <v>432</v>
      </c>
      <c r="AT2189" s="137" t="s">
        <v>432</v>
      </c>
      <c r="AU2189" s="137" t="s">
        <v>432</v>
      </c>
      <c r="AV2189" s="137" t="s">
        <v>432</v>
      </c>
      <c r="AW2189" s="137" t="s">
        <v>432</v>
      </c>
      <c r="AX2189" s="137" t="s">
        <v>432</v>
      </c>
      <c r="AY2189" s="137" t="s">
        <v>432</v>
      </c>
      <c r="AZ2189" s="137" t="s">
        <v>432</v>
      </c>
      <c r="BA2189" s="137" t="s">
        <v>432</v>
      </c>
      <c r="BB2189" s="239" t="str">
        <f t="shared" si="606"/>
        <v>Atendimento ao usuário em geralx</v>
      </c>
      <c r="BC2189" s="239" t="str">
        <f t="shared" si="607"/>
        <v>Atendimento ao usuário em geralxainda não incorporado ao SisMob-BH</v>
      </c>
      <c r="BD2189" s="239" t="str">
        <f t="shared" si="608"/>
        <v>Atendimento ao usuário em geralainda não incorporado ao SisMob-BH</v>
      </c>
    </row>
    <row r="2190" spans="1:67" s="1" customFormat="1" ht="51" customHeight="1" x14ac:dyDescent="0.25">
      <c r="A2190" s="275" t="str">
        <f>'Q100b-totais'!$B$11</f>
        <v>1.2</v>
      </c>
      <c r="B2190" s="54" t="str">
        <f>'Q100b-totais'!$C$11</f>
        <v>Atendimento ao usuário em geral</v>
      </c>
      <c r="C2190" s="230" t="s">
        <v>432</v>
      </c>
      <c r="D2190" s="323" t="s">
        <v>3218</v>
      </c>
      <c r="E2190" s="509" t="s">
        <v>1306</v>
      </c>
      <c r="F2190" s="11" t="s">
        <v>1896</v>
      </c>
      <c r="G2190" s="24" t="s">
        <v>357</v>
      </c>
      <c r="H2190" s="444" t="s">
        <v>678</v>
      </c>
      <c r="I2190" s="172">
        <v>1</v>
      </c>
      <c r="J2190" s="109" t="s">
        <v>432</v>
      </c>
      <c r="K2190" s="110" t="s">
        <v>432</v>
      </c>
      <c r="L2190" s="110" t="s">
        <v>432</v>
      </c>
      <c r="M2190" s="110" t="s">
        <v>432</v>
      </c>
      <c r="N2190" s="110" t="s">
        <v>432</v>
      </c>
      <c r="O2190" s="110" t="s">
        <v>432</v>
      </c>
      <c r="P2190" s="110" t="s">
        <v>432</v>
      </c>
      <c r="Q2190" s="110" t="s">
        <v>432</v>
      </c>
      <c r="R2190" s="110" t="s">
        <v>432</v>
      </c>
      <c r="S2190" s="109" t="s">
        <v>2209</v>
      </c>
      <c r="T2190" s="110" t="s">
        <v>432</v>
      </c>
      <c r="U2190" s="110" t="s">
        <v>432</v>
      </c>
      <c r="V2190" s="109" t="s">
        <v>2209</v>
      </c>
      <c r="W2190" s="110" t="s">
        <v>432</v>
      </c>
      <c r="X2190" s="110" t="s">
        <v>432</v>
      </c>
      <c r="Y2190" s="110" t="s">
        <v>432</v>
      </c>
      <c r="Z2190" s="110" t="s">
        <v>432</v>
      </c>
      <c r="AA2190" s="110" t="s">
        <v>432</v>
      </c>
      <c r="AB2190" s="110" t="s">
        <v>432</v>
      </c>
      <c r="AC2190" s="110" t="s">
        <v>432</v>
      </c>
      <c r="AD2190" s="110" t="s">
        <v>432</v>
      </c>
      <c r="AE2190" s="110" t="s">
        <v>432</v>
      </c>
      <c r="AF2190" s="110" t="s">
        <v>432</v>
      </c>
      <c r="AG2190" s="110" t="s">
        <v>432</v>
      </c>
      <c r="AH2190" s="110" t="s">
        <v>432</v>
      </c>
      <c r="AI2190" s="110" t="s">
        <v>432</v>
      </c>
      <c r="AJ2190" s="110" t="s">
        <v>432</v>
      </c>
      <c r="AK2190" s="137" t="s">
        <v>432</v>
      </c>
      <c r="AL2190" s="601" t="s">
        <v>432</v>
      </c>
      <c r="AM2190" s="137" t="s">
        <v>432</v>
      </c>
      <c r="AN2190" s="137" t="s">
        <v>432</v>
      </c>
      <c r="AO2190" s="137" t="s">
        <v>432</v>
      </c>
      <c r="AP2190" s="137" t="s">
        <v>432</v>
      </c>
      <c r="AQ2190" s="137" t="s">
        <v>432</v>
      </c>
      <c r="AR2190" s="137" t="s">
        <v>432</v>
      </c>
      <c r="AS2190" s="137" t="s">
        <v>432</v>
      </c>
      <c r="AT2190" s="137" t="s">
        <v>432</v>
      </c>
      <c r="AU2190" s="137" t="s">
        <v>432</v>
      </c>
      <c r="AV2190" s="137" t="s">
        <v>432</v>
      </c>
      <c r="AW2190" s="137" t="s">
        <v>432</v>
      </c>
      <c r="AX2190" s="137" t="s">
        <v>432</v>
      </c>
      <c r="AY2190" s="137" t="s">
        <v>432</v>
      </c>
      <c r="AZ2190" s="137" t="s">
        <v>432</v>
      </c>
      <c r="BA2190" s="137" t="s">
        <v>432</v>
      </c>
      <c r="BB2190" s="239" t="str">
        <f t="shared" si="606"/>
        <v>Atendimento ao usuário em geralx</v>
      </c>
      <c r="BC2190" s="239" t="str">
        <f t="shared" si="607"/>
        <v>Atendimento ao usuário em geralxainda não incorporado ao SisMob-BH</v>
      </c>
      <c r="BD2190" s="239" t="str">
        <f t="shared" si="608"/>
        <v>Atendimento ao usuário em geralainda não incorporado ao SisMob-BH</v>
      </c>
    </row>
    <row r="2191" spans="1:67" s="1" customFormat="1" ht="25.5" x14ac:dyDescent="0.25">
      <c r="A2191" s="262" t="s">
        <v>432</v>
      </c>
      <c r="B2191" s="252" t="s">
        <v>742</v>
      </c>
      <c r="C2191" s="167" t="s">
        <v>432</v>
      </c>
      <c r="D2191" s="325" t="s">
        <v>4407</v>
      </c>
      <c r="E2191" s="1496" t="s">
        <v>432</v>
      </c>
      <c r="F2191" s="252" t="s">
        <v>4434</v>
      </c>
      <c r="G2191" s="167" t="s">
        <v>3879</v>
      </c>
      <c r="H2191" s="167" t="s">
        <v>432</v>
      </c>
      <c r="I2191" s="167" t="s">
        <v>432</v>
      </c>
      <c r="J2191" s="107" t="s">
        <v>432</v>
      </c>
      <c r="K2191" s="107" t="s">
        <v>432</v>
      </c>
      <c r="L2191" s="107" t="s">
        <v>432</v>
      </c>
      <c r="M2191" s="107" t="s">
        <v>432</v>
      </c>
      <c r="N2191" s="107" t="s">
        <v>432</v>
      </c>
      <c r="O2191" s="107" t="s">
        <v>432</v>
      </c>
      <c r="P2191" s="107" t="s">
        <v>432</v>
      </c>
      <c r="Q2191" s="107" t="s">
        <v>432</v>
      </c>
      <c r="R2191" s="107" t="s">
        <v>432</v>
      </c>
      <c r="S2191" s="109" t="s">
        <v>2209</v>
      </c>
      <c r="T2191" s="107" t="s">
        <v>432</v>
      </c>
      <c r="U2191" s="107" t="s">
        <v>432</v>
      </c>
      <c r="V2191" s="109" t="s">
        <v>2209</v>
      </c>
      <c r="W2191" s="107" t="s">
        <v>432</v>
      </c>
      <c r="X2191" s="107" t="s">
        <v>432</v>
      </c>
      <c r="Y2191" s="107" t="s">
        <v>432</v>
      </c>
      <c r="Z2191" s="107" t="s">
        <v>432</v>
      </c>
      <c r="AA2191" s="107" t="s">
        <v>432</v>
      </c>
      <c r="AB2191" s="107" t="s">
        <v>432</v>
      </c>
      <c r="AC2191" s="107" t="s">
        <v>432</v>
      </c>
      <c r="AD2191" s="107" t="s">
        <v>432</v>
      </c>
      <c r="AE2191" s="107" t="s">
        <v>432</v>
      </c>
      <c r="AF2191" s="107" t="s">
        <v>432</v>
      </c>
      <c r="AG2191" s="107" t="s">
        <v>432</v>
      </c>
      <c r="AH2191" s="107" t="s">
        <v>432</v>
      </c>
      <c r="AI2191" s="107" t="s">
        <v>432</v>
      </c>
      <c r="AJ2191" s="107" t="s">
        <v>432</v>
      </c>
      <c r="AK2191" s="137" t="s">
        <v>432</v>
      </c>
      <c r="AL2191" s="601" t="s">
        <v>432</v>
      </c>
      <c r="AM2191" s="137" t="s">
        <v>432</v>
      </c>
      <c r="AN2191" s="137" t="s">
        <v>432</v>
      </c>
      <c r="AO2191" s="137" t="s">
        <v>432</v>
      </c>
      <c r="AP2191" s="137" t="s">
        <v>432</v>
      </c>
      <c r="AQ2191" s="137" t="s">
        <v>432</v>
      </c>
      <c r="AR2191" s="137" t="s">
        <v>432</v>
      </c>
      <c r="AS2191" s="137" t="s">
        <v>432</v>
      </c>
      <c r="AT2191" s="137" t="s">
        <v>432</v>
      </c>
      <c r="AU2191" s="137" t="s">
        <v>432</v>
      </c>
      <c r="AV2191" s="137" t="s">
        <v>432</v>
      </c>
      <c r="AW2191" s="137" t="s">
        <v>432</v>
      </c>
      <c r="AX2191" s="137" t="s">
        <v>432</v>
      </c>
      <c r="AY2191" s="137" t="s">
        <v>432</v>
      </c>
      <c r="AZ2191" s="137" t="s">
        <v>432</v>
      </c>
      <c r="BA2191" s="137" t="s">
        <v>432</v>
      </c>
      <c r="BB2191" s="239" t="str">
        <f t="shared" ref="BB2191:BB2209" si="615">B2191&amp;C2191</f>
        <v>geralx</v>
      </c>
      <c r="BC2191" s="239" t="str">
        <f t="shared" ref="BC2191:BC2209" si="616">B2191&amp;C2191&amp;H2191</f>
        <v>geralxx</v>
      </c>
      <c r="BD2191" s="239" t="str">
        <f t="shared" ref="BD2191:BD2209" si="617">B2191&amp;H2191</f>
        <v>geralx</v>
      </c>
    </row>
    <row r="2192" spans="1:67" s="1" customFormat="1" ht="25.5" x14ac:dyDescent="0.25">
      <c r="A2192" s="262" t="s">
        <v>432</v>
      </c>
      <c r="B2192" s="252" t="s">
        <v>742</v>
      </c>
      <c r="C2192" s="167" t="s">
        <v>432</v>
      </c>
      <c r="D2192" s="847" t="s">
        <v>4435</v>
      </c>
      <c r="E2192" s="1496" t="s">
        <v>432</v>
      </c>
      <c r="F2192" s="188" t="s">
        <v>4436</v>
      </c>
      <c r="G2192" s="167" t="s">
        <v>3879</v>
      </c>
      <c r="H2192" s="167" t="s">
        <v>432</v>
      </c>
      <c r="I2192" s="167" t="s">
        <v>432</v>
      </c>
      <c r="J2192" s="107" t="s">
        <v>432</v>
      </c>
      <c r="K2192" s="107" t="s">
        <v>432</v>
      </c>
      <c r="L2192" s="107" t="s">
        <v>432</v>
      </c>
      <c r="M2192" s="107" t="s">
        <v>432</v>
      </c>
      <c r="N2192" s="107" t="s">
        <v>432</v>
      </c>
      <c r="O2192" s="107" t="s">
        <v>432</v>
      </c>
      <c r="P2192" s="107" t="s">
        <v>432</v>
      </c>
      <c r="Q2192" s="107" t="s">
        <v>432</v>
      </c>
      <c r="R2192" s="107" t="s">
        <v>432</v>
      </c>
      <c r="S2192" s="109" t="s">
        <v>2209</v>
      </c>
      <c r="T2192" s="107" t="s">
        <v>432</v>
      </c>
      <c r="U2192" s="107" t="s">
        <v>432</v>
      </c>
      <c r="V2192" s="109" t="s">
        <v>2209</v>
      </c>
      <c r="W2192" s="107" t="s">
        <v>432</v>
      </c>
      <c r="X2192" s="107" t="s">
        <v>432</v>
      </c>
      <c r="Y2192" s="107" t="s">
        <v>432</v>
      </c>
      <c r="Z2192" s="107" t="s">
        <v>432</v>
      </c>
      <c r="AA2192" s="107" t="s">
        <v>432</v>
      </c>
      <c r="AB2192" s="107" t="s">
        <v>432</v>
      </c>
      <c r="AC2192" s="107" t="s">
        <v>432</v>
      </c>
      <c r="AD2192" s="107" t="s">
        <v>432</v>
      </c>
      <c r="AE2192" s="107" t="s">
        <v>432</v>
      </c>
      <c r="AF2192" s="107" t="s">
        <v>432</v>
      </c>
      <c r="AG2192" s="107" t="s">
        <v>432</v>
      </c>
      <c r="AH2192" s="107" t="s">
        <v>432</v>
      </c>
      <c r="AI2192" s="107" t="s">
        <v>432</v>
      </c>
      <c r="AJ2192" s="107" t="s">
        <v>432</v>
      </c>
      <c r="AK2192" s="137" t="s">
        <v>432</v>
      </c>
      <c r="AL2192" s="601" t="s">
        <v>432</v>
      </c>
      <c r="AM2192" s="137" t="s">
        <v>432</v>
      </c>
      <c r="AN2192" s="137" t="s">
        <v>432</v>
      </c>
      <c r="AO2192" s="137" t="s">
        <v>432</v>
      </c>
      <c r="AP2192" s="137" t="s">
        <v>432</v>
      </c>
      <c r="AQ2192" s="137" t="s">
        <v>432</v>
      </c>
      <c r="AR2192" s="137" t="s">
        <v>432</v>
      </c>
      <c r="AS2192" s="137" t="s">
        <v>432</v>
      </c>
      <c r="AT2192" s="137" t="s">
        <v>432</v>
      </c>
      <c r="AU2192" s="137" t="s">
        <v>432</v>
      </c>
      <c r="AV2192" s="137" t="s">
        <v>432</v>
      </c>
      <c r="AW2192" s="137" t="s">
        <v>432</v>
      </c>
      <c r="AX2192" s="137" t="s">
        <v>432</v>
      </c>
      <c r="AY2192" s="137" t="s">
        <v>432</v>
      </c>
      <c r="AZ2192" s="137" t="s">
        <v>432</v>
      </c>
      <c r="BA2192" s="137" t="s">
        <v>432</v>
      </c>
      <c r="BB2192" s="239" t="str">
        <f t="shared" si="615"/>
        <v>geralx</v>
      </c>
      <c r="BC2192" s="239" t="str">
        <f t="shared" si="616"/>
        <v>geralxx</v>
      </c>
      <c r="BD2192" s="239" t="str">
        <f t="shared" si="617"/>
        <v>geralx</v>
      </c>
    </row>
    <row r="2193" spans="1:56" s="1" customFormat="1" ht="39.75" customHeight="1" x14ac:dyDescent="0.25">
      <c r="A2193" s="262" t="s">
        <v>432</v>
      </c>
      <c r="B2193" s="252" t="s">
        <v>742</v>
      </c>
      <c r="C2193" s="167" t="s">
        <v>432</v>
      </c>
      <c r="D2193" s="972" t="s">
        <v>3216</v>
      </c>
      <c r="E2193" s="1499" t="s">
        <v>1767</v>
      </c>
      <c r="F2193" s="53" t="s">
        <v>4301</v>
      </c>
      <c r="G2193" s="230" t="s">
        <v>3507</v>
      </c>
      <c r="H2193" s="167" t="s">
        <v>2408</v>
      </c>
      <c r="I2193" s="167" t="s">
        <v>432</v>
      </c>
      <c r="J2193" s="107" t="s">
        <v>432</v>
      </c>
      <c r="K2193" s="107" t="s">
        <v>432</v>
      </c>
      <c r="L2193" s="107" t="s">
        <v>432</v>
      </c>
      <c r="M2193" s="107" t="s">
        <v>432</v>
      </c>
      <c r="N2193" s="107" t="s">
        <v>432</v>
      </c>
      <c r="O2193" s="107" t="s">
        <v>432</v>
      </c>
      <c r="P2193" s="107" t="s">
        <v>432</v>
      </c>
      <c r="Q2193" s="107" t="s">
        <v>432</v>
      </c>
      <c r="R2193" s="107" t="s">
        <v>432</v>
      </c>
      <c r="S2193" s="109" t="s">
        <v>2209</v>
      </c>
      <c r="T2193" s="107" t="s">
        <v>432</v>
      </c>
      <c r="U2193" s="107" t="s">
        <v>432</v>
      </c>
      <c r="V2193" s="109" t="s">
        <v>2209</v>
      </c>
      <c r="W2193" s="107" t="s">
        <v>432</v>
      </c>
      <c r="X2193" s="107" t="s">
        <v>432</v>
      </c>
      <c r="Y2193" s="107" t="s">
        <v>432</v>
      </c>
      <c r="Z2193" s="107" t="s">
        <v>432</v>
      </c>
      <c r="AA2193" s="107" t="s">
        <v>432</v>
      </c>
      <c r="AB2193" s="107" t="s">
        <v>432</v>
      </c>
      <c r="AC2193" s="107" t="s">
        <v>432</v>
      </c>
      <c r="AD2193" s="107" t="s">
        <v>432</v>
      </c>
      <c r="AE2193" s="107" t="s">
        <v>432</v>
      </c>
      <c r="AF2193" s="107" t="s">
        <v>432</v>
      </c>
      <c r="AG2193" s="107" t="s">
        <v>432</v>
      </c>
      <c r="AH2193" s="107" t="s">
        <v>432</v>
      </c>
      <c r="AI2193" s="107" t="s">
        <v>432</v>
      </c>
      <c r="AJ2193" s="107" t="s">
        <v>432</v>
      </c>
      <c r="AK2193" s="137" t="s">
        <v>432</v>
      </c>
      <c r="AL2193" s="601" t="s">
        <v>432</v>
      </c>
      <c r="AM2193" s="137" t="s">
        <v>432</v>
      </c>
      <c r="AN2193" s="137" t="s">
        <v>432</v>
      </c>
      <c r="AO2193" s="137" t="s">
        <v>432</v>
      </c>
      <c r="AP2193" s="137" t="s">
        <v>432</v>
      </c>
      <c r="AQ2193" s="137" t="s">
        <v>432</v>
      </c>
      <c r="AR2193" s="137" t="s">
        <v>432</v>
      </c>
      <c r="AS2193" s="137" t="s">
        <v>432</v>
      </c>
      <c r="AT2193" s="137" t="s">
        <v>432</v>
      </c>
      <c r="AU2193" s="137" t="s">
        <v>432</v>
      </c>
      <c r="AV2193" s="137" t="s">
        <v>432</v>
      </c>
      <c r="AW2193" s="137" t="s">
        <v>432</v>
      </c>
      <c r="AX2193" s="137" t="s">
        <v>432</v>
      </c>
      <c r="AY2193" s="137" t="s">
        <v>432</v>
      </c>
      <c r="AZ2193" s="137" t="s">
        <v>432</v>
      </c>
      <c r="BA2193" s="137" t="s">
        <v>432</v>
      </c>
      <c r="BB2193" s="239" t="str">
        <f t="shared" si="615"/>
        <v>geralx</v>
      </c>
      <c r="BC2193" s="239" t="str">
        <f t="shared" si="616"/>
        <v>geralxsigla/verbete</v>
      </c>
      <c r="BD2193" s="239" t="str">
        <f t="shared" si="617"/>
        <v>geralsigla/verbete</v>
      </c>
    </row>
    <row r="2194" spans="1:56" s="1" customFormat="1" ht="51" x14ac:dyDescent="0.25">
      <c r="A2194" s="262" t="str">
        <f>'Q100b-totais'!B62</f>
        <v>8.10</v>
      </c>
      <c r="B2194" s="252" t="str">
        <f>'Q100b-totais'!C62</f>
        <v>Sistema de transporte coletivo com um todo</v>
      </c>
      <c r="C2194" s="167" t="s">
        <v>743</v>
      </c>
      <c r="D2194" s="972" t="s">
        <v>5082</v>
      </c>
      <c r="E2194" s="1499" t="s">
        <v>1767</v>
      </c>
      <c r="F2194" s="77" t="s">
        <v>5083</v>
      </c>
      <c r="G2194" s="230" t="s">
        <v>3507</v>
      </c>
      <c r="H2194" s="167" t="s">
        <v>2408</v>
      </c>
      <c r="I2194" s="167" t="s">
        <v>432</v>
      </c>
      <c r="J2194" s="107" t="s">
        <v>432</v>
      </c>
      <c r="K2194" s="107" t="s">
        <v>432</v>
      </c>
      <c r="L2194" s="107" t="s">
        <v>432</v>
      </c>
      <c r="M2194" s="107" t="s">
        <v>432</v>
      </c>
      <c r="N2194" s="107" t="s">
        <v>432</v>
      </c>
      <c r="O2194" s="107" t="s">
        <v>432</v>
      </c>
      <c r="P2194" s="107" t="s">
        <v>432</v>
      </c>
      <c r="Q2194" s="107" t="s">
        <v>432</v>
      </c>
      <c r="R2194" s="107" t="s">
        <v>432</v>
      </c>
      <c r="S2194" s="109" t="s">
        <v>2209</v>
      </c>
      <c r="T2194" s="107" t="s">
        <v>432</v>
      </c>
      <c r="U2194" s="107" t="s">
        <v>432</v>
      </c>
      <c r="V2194" s="109" t="s">
        <v>2209</v>
      </c>
      <c r="W2194" s="107" t="s">
        <v>432</v>
      </c>
      <c r="X2194" s="107" t="s">
        <v>432</v>
      </c>
      <c r="Y2194" s="107" t="s">
        <v>432</v>
      </c>
      <c r="Z2194" s="107" t="s">
        <v>432</v>
      </c>
      <c r="AA2194" s="107" t="s">
        <v>432</v>
      </c>
      <c r="AB2194" s="107" t="s">
        <v>432</v>
      </c>
      <c r="AC2194" s="107" t="s">
        <v>432</v>
      </c>
      <c r="AD2194" s="107" t="s">
        <v>432</v>
      </c>
      <c r="AE2194" s="107" t="s">
        <v>432</v>
      </c>
      <c r="AF2194" s="107" t="s">
        <v>432</v>
      </c>
      <c r="AG2194" s="107" t="s">
        <v>432</v>
      </c>
      <c r="AH2194" s="107" t="s">
        <v>432</v>
      </c>
      <c r="AI2194" s="107" t="s">
        <v>432</v>
      </c>
      <c r="AJ2194" s="107" t="s">
        <v>432</v>
      </c>
      <c r="AK2194" s="137" t="s">
        <v>432</v>
      </c>
      <c r="AL2194" s="601" t="s">
        <v>432</v>
      </c>
      <c r="AM2194" s="137" t="s">
        <v>432</v>
      </c>
      <c r="AN2194" s="137" t="s">
        <v>432</v>
      </c>
      <c r="AO2194" s="137" t="s">
        <v>432</v>
      </c>
      <c r="AP2194" s="137" t="s">
        <v>432</v>
      </c>
      <c r="AQ2194" s="137" t="s">
        <v>432</v>
      </c>
      <c r="AR2194" s="137" t="s">
        <v>432</v>
      </c>
      <c r="AS2194" s="137" t="s">
        <v>432</v>
      </c>
      <c r="AT2194" s="137" t="s">
        <v>432</v>
      </c>
      <c r="AU2194" s="137" t="s">
        <v>432</v>
      </c>
      <c r="AV2194" s="137" t="s">
        <v>432</v>
      </c>
      <c r="AW2194" s="137" t="s">
        <v>432</v>
      </c>
      <c r="AX2194" s="137" t="s">
        <v>432</v>
      </c>
      <c r="AY2194" s="137" t="s">
        <v>432</v>
      </c>
      <c r="AZ2194" s="137" t="s">
        <v>432</v>
      </c>
      <c r="BA2194" s="137" t="s">
        <v>432</v>
      </c>
      <c r="BB2194" s="239" t="str">
        <f t="shared" si="615"/>
        <v>Sistema de transporte coletivo com um todoacessibilidade</v>
      </c>
      <c r="BC2194" s="239" t="str">
        <f t="shared" si="616"/>
        <v>Sistema de transporte coletivo com um todoacessibilidadesigla/verbete</v>
      </c>
      <c r="BD2194" s="239" t="str">
        <f t="shared" si="617"/>
        <v>Sistema de transporte coletivo com um todosigla/verbete</v>
      </c>
    </row>
    <row r="2195" spans="1:56" s="1" customFormat="1" ht="51" x14ac:dyDescent="0.25">
      <c r="A2195" s="262" t="str">
        <f>'Q100b-totais'!B62</f>
        <v>8.10</v>
      </c>
      <c r="B2195" s="252" t="str">
        <f>'Q100b-totais'!C62</f>
        <v>Sistema de transporte coletivo com um todo</v>
      </c>
      <c r="C2195" s="167" t="s">
        <v>743</v>
      </c>
      <c r="D2195" s="972" t="s">
        <v>5229</v>
      </c>
      <c r="E2195" s="1500" t="s">
        <v>432</v>
      </c>
      <c r="F2195" s="77" t="s">
        <v>5231</v>
      </c>
      <c r="G2195" s="230" t="s">
        <v>3507</v>
      </c>
      <c r="H2195" s="167" t="s">
        <v>2408</v>
      </c>
      <c r="I2195" s="167" t="s">
        <v>432</v>
      </c>
      <c r="J2195" s="107" t="s">
        <v>432</v>
      </c>
      <c r="K2195" s="107" t="s">
        <v>432</v>
      </c>
      <c r="L2195" s="107" t="s">
        <v>432</v>
      </c>
      <c r="M2195" s="107" t="s">
        <v>432</v>
      </c>
      <c r="N2195" s="107" t="s">
        <v>432</v>
      </c>
      <c r="O2195" s="107" t="s">
        <v>432</v>
      </c>
      <c r="P2195" s="107" t="s">
        <v>432</v>
      </c>
      <c r="Q2195" s="107" t="s">
        <v>432</v>
      </c>
      <c r="R2195" s="107" t="s">
        <v>432</v>
      </c>
      <c r="S2195" s="109" t="s">
        <v>2209</v>
      </c>
      <c r="T2195" s="107" t="s">
        <v>432</v>
      </c>
      <c r="U2195" s="107" t="s">
        <v>432</v>
      </c>
      <c r="V2195" s="109" t="s">
        <v>2209</v>
      </c>
      <c r="W2195" s="107" t="s">
        <v>432</v>
      </c>
      <c r="X2195" s="107" t="s">
        <v>432</v>
      </c>
      <c r="Y2195" s="107" t="s">
        <v>432</v>
      </c>
      <c r="Z2195" s="107" t="s">
        <v>432</v>
      </c>
      <c r="AA2195" s="107" t="s">
        <v>432</v>
      </c>
      <c r="AB2195" s="107" t="s">
        <v>432</v>
      </c>
      <c r="AC2195" s="107" t="s">
        <v>432</v>
      </c>
      <c r="AD2195" s="107" t="s">
        <v>432</v>
      </c>
      <c r="AE2195" s="107" t="s">
        <v>432</v>
      </c>
      <c r="AF2195" s="107" t="s">
        <v>432</v>
      </c>
      <c r="AG2195" s="107" t="s">
        <v>432</v>
      </c>
      <c r="AH2195" s="107" t="s">
        <v>432</v>
      </c>
      <c r="AI2195" s="107" t="s">
        <v>432</v>
      </c>
      <c r="AJ2195" s="107" t="s">
        <v>432</v>
      </c>
      <c r="AK2195" s="137" t="s">
        <v>432</v>
      </c>
      <c r="AL2195" s="601" t="s">
        <v>432</v>
      </c>
      <c r="AM2195" s="137" t="s">
        <v>432</v>
      </c>
      <c r="AN2195" s="137" t="s">
        <v>432</v>
      </c>
      <c r="AO2195" s="137" t="s">
        <v>432</v>
      </c>
      <c r="AP2195" s="137" t="s">
        <v>432</v>
      </c>
      <c r="AQ2195" s="137" t="s">
        <v>432</v>
      </c>
      <c r="AR2195" s="137" t="s">
        <v>432</v>
      </c>
      <c r="AS2195" s="137" t="s">
        <v>432</v>
      </c>
      <c r="AT2195" s="137" t="s">
        <v>432</v>
      </c>
      <c r="AU2195" s="137" t="s">
        <v>432</v>
      </c>
      <c r="AV2195" s="137" t="s">
        <v>432</v>
      </c>
      <c r="AW2195" s="137" t="s">
        <v>432</v>
      </c>
      <c r="AX2195" s="137" t="s">
        <v>432</v>
      </c>
      <c r="AY2195" s="137" t="s">
        <v>432</v>
      </c>
      <c r="AZ2195" s="137" t="s">
        <v>432</v>
      </c>
      <c r="BA2195" s="137" t="s">
        <v>432</v>
      </c>
      <c r="BB2195" s="239" t="str">
        <f t="shared" si="615"/>
        <v>Sistema de transporte coletivo com um todoacessibilidade</v>
      </c>
      <c r="BC2195" s="239" t="str">
        <f t="shared" si="616"/>
        <v>Sistema de transporte coletivo com um todoacessibilidadesigla/verbete</v>
      </c>
      <c r="BD2195" s="239" t="str">
        <f t="shared" si="617"/>
        <v>Sistema de transporte coletivo com um todosigla/verbete</v>
      </c>
    </row>
    <row r="2196" spans="1:56" s="1" customFormat="1" ht="47.25" x14ac:dyDescent="0.25">
      <c r="A2196" s="262" t="str">
        <f>'Q100b-totais'!B54</f>
        <v>8.2</v>
      </c>
      <c r="B2196" s="252" t="str">
        <f>'Q100b-totais'!C54</f>
        <v>BRT</v>
      </c>
      <c r="C2196" s="167" t="s">
        <v>743</v>
      </c>
      <c r="D2196" s="716" t="s">
        <v>5229</v>
      </c>
      <c r="E2196" s="1445" t="s">
        <v>1266</v>
      </c>
      <c r="F2196" s="1151" t="s">
        <v>5896</v>
      </c>
      <c r="G2196" s="230" t="s">
        <v>5166</v>
      </c>
      <c r="H2196" s="167" t="s">
        <v>2408</v>
      </c>
      <c r="I2196" s="167" t="s">
        <v>432</v>
      </c>
      <c r="J2196" s="107" t="s">
        <v>432</v>
      </c>
      <c r="K2196" s="107" t="s">
        <v>432</v>
      </c>
      <c r="L2196" s="107" t="s">
        <v>432</v>
      </c>
      <c r="M2196" s="107" t="s">
        <v>432</v>
      </c>
      <c r="N2196" s="107" t="s">
        <v>432</v>
      </c>
      <c r="O2196" s="107" t="s">
        <v>432</v>
      </c>
      <c r="P2196" s="107" t="s">
        <v>432</v>
      </c>
      <c r="Q2196" s="107" t="s">
        <v>432</v>
      </c>
      <c r="R2196" s="107" t="s">
        <v>432</v>
      </c>
      <c r="S2196" s="109" t="s">
        <v>2209</v>
      </c>
      <c r="T2196" s="107" t="s">
        <v>432</v>
      </c>
      <c r="U2196" s="107" t="s">
        <v>432</v>
      </c>
      <c r="V2196" s="109" t="s">
        <v>2209</v>
      </c>
      <c r="W2196" s="107" t="s">
        <v>432</v>
      </c>
      <c r="X2196" s="107" t="s">
        <v>432</v>
      </c>
      <c r="Y2196" s="107" t="s">
        <v>432</v>
      </c>
      <c r="Z2196" s="107" t="s">
        <v>432</v>
      </c>
      <c r="AA2196" s="107" t="s">
        <v>432</v>
      </c>
      <c r="AB2196" s="107" t="s">
        <v>432</v>
      </c>
      <c r="AC2196" s="107" t="s">
        <v>432</v>
      </c>
      <c r="AD2196" s="107" t="s">
        <v>432</v>
      </c>
      <c r="AE2196" s="107" t="s">
        <v>432</v>
      </c>
      <c r="AF2196" s="107" t="s">
        <v>432</v>
      </c>
      <c r="AG2196" s="107" t="s">
        <v>432</v>
      </c>
      <c r="AH2196" s="107" t="s">
        <v>432</v>
      </c>
      <c r="AI2196" s="107" t="s">
        <v>432</v>
      </c>
      <c r="AJ2196" s="107" t="s">
        <v>432</v>
      </c>
      <c r="AK2196" s="137" t="s">
        <v>432</v>
      </c>
      <c r="AL2196" s="601" t="s">
        <v>432</v>
      </c>
      <c r="AM2196" s="137" t="s">
        <v>432</v>
      </c>
      <c r="AN2196" s="137" t="s">
        <v>432</v>
      </c>
      <c r="AO2196" s="137" t="s">
        <v>432</v>
      </c>
      <c r="AP2196" s="137" t="s">
        <v>432</v>
      </c>
      <c r="AQ2196" s="137" t="s">
        <v>432</v>
      </c>
      <c r="AR2196" s="137" t="s">
        <v>432</v>
      </c>
      <c r="AS2196" s="137" t="s">
        <v>432</v>
      </c>
      <c r="AT2196" s="137" t="s">
        <v>432</v>
      </c>
      <c r="AU2196" s="137" t="s">
        <v>432</v>
      </c>
      <c r="AV2196" s="137" t="s">
        <v>432</v>
      </c>
      <c r="AW2196" s="137" t="s">
        <v>432</v>
      </c>
      <c r="AX2196" s="137" t="s">
        <v>432</v>
      </c>
      <c r="AY2196" s="137" t="s">
        <v>432</v>
      </c>
      <c r="AZ2196" s="137" t="s">
        <v>432</v>
      </c>
      <c r="BA2196" s="137" t="s">
        <v>432</v>
      </c>
      <c r="BB2196" s="239" t="str">
        <f t="shared" ref="BB2196" si="618">B2196&amp;C2196</f>
        <v>BRTacessibilidade</v>
      </c>
      <c r="BC2196" s="239" t="str">
        <f t="shared" ref="BC2196" si="619">B2196&amp;C2196&amp;H2196</f>
        <v>BRTacessibilidadesigla/verbete</v>
      </c>
      <c r="BD2196" s="239" t="str">
        <f t="shared" ref="BD2196" si="620">B2196&amp;H2196</f>
        <v>BRTsigla/verbete</v>
      </c>
    </row>
    <row r="2197" spans="1:56" s="1" customFormat="1" ht="51" x14ac:dyDescent="0.25">
      <c r="A2197" s="262" t="str">
        <f>'Q100b-totais'!B62</f>
        <v>8.10</v>
      </c>
      <c r="B2197" s="252" t="str">
        <f>'Q100b-totais'!C62</f>
        <v>Sistema de transporte coletivo com um todo</v>
      </c>
      <c r="C2197" s="167" t="s">
        <v>743</v>
      </c>
      <c r="D2197" s="972" t="s">
        <v>5230</v>
      </c>
      <c r="E2197" s="1500" t="s">
        <v>432</v>
      </c>
      <c r="F2197" s="77" t="s">
        <v>5232</v>
      </c>
      <c r="G2197" s="230" t="s">
        <v>3507</v>
      </c>
      <c r="H2197" s="167" t="s">
        <v>2408</v>
      </c>
      <c r="I2197" s="167" t="s">
        <v>432</v>
      </c>
      <c r="J2197" s="107" t="s">
        <v>432</v>
      </c>
      <c r="K2197" s="107" t="s">
        <v>432</v>
      </c>
      <c r="L2197" s="107" t="s">
        <v>432</v>
      </c>
      <c r="M2197" s="107" t="s">
        <v>432</v>
      </c>
      <c r="N2197" s="107" t="s">
        <v>432</v>
      </c>
      <c r="O2197" s="107" t="s">
        <v>432</v>
      </c>
      <c r="P2197" s="107" t="s">
        <v>432</v>
      </c>
      <c r="Q2197" s="107" t="s">
        <v>432</v>
      </c>
      <c r="R2197" s="107" t="s">
        <v>432</v>
      </c>
      <c r="S2197" s="109" t="s">
        <v>2209</v>
      </c>
      <c r="T2197" s="107" t="s">
        <v>432</v>
      </c>
      <c r="U2197" s="107" t="s">
        <v>432</v>
      </c>
      <c r="V2197" s="109" t="s">
        <v>2209</v>
      </c>
      <c r="W2197" s="107" t="s">
        <v>432</v>
      </c>
      <c r="X2197" s="107" t="s">
        <v>432</v>
      </c>
      <c r="Y2197" s="107" t="s">
        <v>432</v>
      </c>
      <c r="Z2197" s="107" t="s">
        <v>432</v>
      </c>
      <c r="AA2197" s="107" t="s">
        <v>432</v>
      </c>
      <c r="AB2197" s="107" t="s">
        <v>432</v>
      </c>
      <c r="AC2197" s="107" t="s">
        <v>432</v>
      </c>
      <c r="AD2197" s="107" t="s">
        <v>432</v>
      </c>
      <c r="AE2197" s="107" t="s">
        <v>432</v>
      </c>
      <c r="AF2197" s="107" t="s">
        <v>432</v>
      </c>
      <c r="AG2197" s="107" t="s">
        <v>432</v>
      </c>
      <c r="AH2197" s="107" t="s">
        <v>432</v>
      </c>
      <c r="AI2197" s="107" t="s">
        <v>432</v>
      </c>
      <c r="AJ2197" s="107" t="s">
        <v>432</v>
      </c>
      <c r="AK2197" s="137" t="s">
        <v>432</v>
      </c>
      <c r="AL2197" s="601" t="s">
        <v>432</v>
      </c>
      <c r="AM2197" s="137" t="s">
        <v>432</v>
      </c>
      <c r="AN2197" s="137" t="s">
        <v>432</v>
      </c>
      <c r="AO2197" s="137" t="s">
        <v>432</v>
      </c>
      <c r="AP2197" s="137" t="s">
        <v>432</v>
      </c>
      <c r="AQ2197" s="137" t="s">
        <v>432</v>
      </c>
      <c r="AR2197" s="137" t="s">
        <v>432</v>
      </c>
      <c r="AS2197" s="137" t="s">
        <v>432</v>
      </c>
      <c r="AT2197" s="137" t="s">
        <v>432</v>
      </c>
      <c r="AU2197" s="137" t="s">
        <v>432</v>
      </c>
      <c r="AV2197" s="137" t="s">
        <v>432</v>
      </c>
      <c r="AW2197" s="137" t="s">
        <v>432</v>
      </c>
      <c r="AX2197" s="137" t="s">
        <v>432</v>
      </c>
      <c r="AY2197" s="137" t="s">
        <v>432</v>
      </c>
      <c r="AZ2197" s="137" t="s">
        <v>432</v>
      </c>
      <c r="BA2197" s="137" t="s">
        <v>432</v>
      </c>
      <c r="BB2197" s="239" t="str">
        <f t="shared" si="615"/>
        <v>Sistema de transporte coletivo com um todoacessibilidade</v>
      </c>
      <c r="BC2197" s="239" t="str">
        <f t="shared" si="616"/>
        <v>Sistema de transporte coletivo com um todoacessibilidadesigla/verbete</v>
      </c>
      <c r="BD2197" s="239" t="str">
        <f t="shared" si="617"/>
        <v>Sistema de transporte coletivo com um todosigla/verbete</v>
      </c>
    </row>
    <row r="2198" spans="1:56" s="1" customFormat="1" ht="51" x14ac:dyDescent="0.25">
      <c r="A2198" s="262" t="str">
        <f>'Q100b-totais'!B54</f>
        <v>8.2</v>
      </c>
      <c r="B2198" s="252" t="str">
        <f>'Q100b-totais'!C54</f>
        <v>BRT</v>
      </c>
      <c r="C2198" s="167" t="s">
        <v>743</v>
      </c>
      <c r="D2198" s="716" t="s">
        <v>5230</v>
      </c>
      <c r="E2198" s="1445" t="s">
        <v>1306</v>
      </c>
      <c r="F2198" s="1151" t="s">
        <v>5379</v>
      </c>
      <c r="G2198" s="230" t="s">
        <v>5166</v>
      </c>
      <c r="H2198" s="167" t="s">
        <v>2408</v>
      </c>
      <c r="I2198" s="167" t="s">
        <v>432</v>
      </c>
      <c r="J2198" s="107" t="s">
        <v>432</v>
      </c>
      <c r="K2198" s="107" t="s">
        <v>432</v>
      </c>
      <c r="L2198" s="107" t="s">
        <v>432</v>
      </c>
      <c r="M2198" s="107" t="s">
        <v>432</v>
      </c>
      <c r="N2198" s="107" t="s">
        <v>432</v>
      </c>
      <c r="O2198" s="107" t="s">
        <v>432</v>
      </c>
      <c r="P2198" s="107" t="s">
        <v>432</v>
      </c>
      <c r="Q2198" s="107" t="s">
        <v>432</v>
      </c>
      <c r="R2198" s="107" t="s">
        <v>432</v>
      </c>
      <c r="S2198" s="109" t="s">
        <v>2209</v>
      </c>
      <c r="T2198" s="107" t="s">
        <v>432</v>
      </c>
      <c r="U2198" s="107" t="s">
        <v>432</v>
      </c>
      <c r="V2198" s="109" t="s">
        <v>2209</v>
      </c>
      <c r="W2198" s="107" t="s">
        <v>432</v>
      </c>
      <c r="X2198" s="107" t="s">
        <v>432</v>
      </c>
      <c r="Y2198" s="107" t="s">
        <v>432</v>
      </c>
      <c r="Z2198" s="107" t="s">
        <v>432</v>
      </c>
      <c r="AA2198" s="107" t="s">
        <v>432</v>
      </c>
      <c r="AB2198" s="107" t="s">
        <v>432</v>
      </c>
      <c r="AC2198" s="107" t="s">
        <v>432</v>
      </c>
      <c r="AD2198" s="107" t="s">
        <v>432</v>
      </c>
      <c r="AE2198" s="107" t="s">
        <v>432</v>
      </c>
      <c r="AF2198" s="107" t="s">
        <v>432</v>
      </c>
      <c r="AG2198" s="107" t="s">
        <v>432</v>
      </c>
      <c r="AH2198" s="107" t="s">
        <v>432</v>
      </c>
      <c r="AI2198" s="107" t="s">
        <v>432</v>
      </c>
      <c r="AJ2198" s="107" t="s">
        <v>432</v>
      </c>
      <c r="AK2198" s="137" t="s">
        <v>432</v>
      </c>
      <c r="AL2198" s="601" t="s">
        <v>432</v>
      </c>
      <c r="AM2198" s="137" t="s">
        <v>432</v>
      </c>
      <c r="AN2198" s="137" t="s">
        <v>432</v>
      </c>
      <c r="AO2198" s="137" t="s">
        <v>432</v>
      </c>
      <c r="AP2198" s="137" t="s">
        <v>432</v>
      </c>
      <c r="AQ2198" s="137" t="s">
        <v>432</v>
      </c>
      <c r="AR2198" s="137" t="s">
        <v>432</v>
      </c>
      <c r="AS2198" s="137" t="s">
        <v>432</v>
      </c>
      <c r="AT2198" s="137" t="s">
        <v>432</v>
      </c>
      <c r="AU2198" s="137" t="s">
        <v>432</v>
      </c>
      <c r="AV2198" s="137" t="s">
        <v>432</v>
      </c>
      <c r="AW2198" s="137" t="s">
        <v>432</v>
      </c>
      <c r="AX2198" s="137" t="s">
        <v>432</v>
      </c>
      <c r="AY2198" s="137" t="s">
        <v>432</v>
      </c>
      <c r="AZ2198" s="137" t="s">
        <v>432</v>
      </c>
      <c r="BA2198" s="137" t="s">
        <v>432</v>
      </c>
      <c r="BB2198" s="239" t="str">
        <f t="shared" si="615"/>
        <v>BRTacessibilidade</v>
      </c>
      <c r="BC2198" s="239" t="str">
        <f t="shared" si="616"/>
        <v>BRTacessibilidadesigla/verbete</v>
      </c>
      <c r="BD2198" s="239" t="str">
        <f t="shared" si="617"/>
        <v>BRTsigla/verbete</v>
      </c>
    </row>
    <row r="2199" spans="1:56" s="1" customFormat="1" ht="51" x14ac:dyDescent="0.25">
      <c r="A2199" s="262" t="str">
        <f>'Q100b-totais'!B54</f>
        <v>8.2</v>
      </c>
      <c r="B2199" s="252" t="str">
        <f>'Q100b-totais'!C54</f>
        <v>BRT</v>
      </c>
      <c r="C2199" s="167" t="s">
        <v>743</v>
      </c>
      <c r="D2199" s="716" t="s">
        <v>5230</v>
      </c>
      <c r="E2199" s="1445" t="s">
        <v>1306</v>
      </c>
      <c r="F2199" s="1151" t="s">
        <v>5393</v>
      </c>
      <c r="G2199" s="230" t="s">
        <v>5166</v>
      </c>
      <c r="H2199" s="167" t="s">
        <v>2408</v>
      </c>
      <c r="I2199" s="167" t="s">
        <v>432</v>
      </c>
      <c r="J2199" s="107" t="s">
        <v>432</v>
      </c>
      <c r="K2199" s="107" t="s">
        <v>432</v>
      </c>
      <c r="L2199" s="107" t="s">
        <v>432</v>
      </c>
      <c r="M2199" s="107" t="s">
        <v>432</v>
      </c>
      <c r="N2199" s="107" t="s">
        <v>432</v>
      </c>
      <c r="O2199" s="107" t="s">
        <v>432</v>
      </c>
      <c r="P2199" s="107" t="s">
        <v>432</v>
      </c>
      <c r="Q2199" s="107" t="s">
        <v>432</v>
      </c>
      <c r="R2199" s="107" t="s">
        <v>432</v>
      </c>
      <c r="S2199" s="109" t="s">
        <v>2209</v>
      </c>
      <c r="T2199" s="107" t="s">
        <v>432</v>
      </c>
      <c r="U2199" s="107" t="s">
        <v>432</v>
      </c>
      <c r="V2199" s="109" t="s">
        <v>2209</v>
      </c>
      <c r="W2199" s="107" t="s">
        <v>432</v>
      </c>
      <c r="X2199" s="107" t="s">
        <v>432</v>
      </c>
      <c r="Y2199" s="107" t="s">
        <v>432</v>
      </c>
      <c r="Z2199" s="107" t="s">
        <v>432</v>
      </c>
      <c r="AA2199" s="107" t="s">
        <v>432</v>
      </c>
      <c r="AB2199" s="107" t="s">
        <v>432</v>
      </c>
      <c r="AC2199" s="107" t="s">
        <v>432</v>
      </c>
      <c r="AD2199" s="107" t="s">
        <v>432</v>
      </c>
      <c r="AE2199" s="107" t="s">
        <v>432</v>
      </c>
      <c r="AF2199" s="107" t="s">
        <v>432</v>
      </c>
      <c r="AG2199" s="107" t="s">
        <v>432</v>
      </c>
      <c r="AH2199" s="107" t="s">
        <v>432</v>
      </c>
      <c r="AI2199" s="107" t="s">
        <v>432</v>
      </c>
      <c r="AJ2199" s="107" t="s">
        <v>432</v>
      </c>
      <c r="AK2199" s="137" t="s">
        <v>432</v>
      </c>
      <c r="AL2199" s="601" t="s">
        <v>432</v>
      </c>
      <c r="AM2199" s="137" t="s">
        <v>432</v>
      </c>
      <c r="AN2199" s="137" t="s">
        <v>432</v>
      </c>
      <c r="AO2199" s="137" t="s">
        <v>432</v>
      </c>
      <c r="AP2199" s="137" t="s">
        <v>432</v>
      </c>
      <c r="AQ2199" s="137" t="s">
        <v>432</v>
      </c>
      <c r="AR2199" s="137" t="s">
        <v>432</v>
      </c>
      <c r="AS2199" s="137" t="s">
        <v>432</v>
      </c>
      <c r="AT2199" s="137" t="s">
        <v>432</v>
      </c>
      <c r="AU2199" s="137" t="s">
        <v>432</v>
      </c>
      <c r="AV2199" s="137" t="s">
        <v>432</v>
      </c>
      <c r="AW2199" s="137" t="s">
        <v>432</v>
      </c>
      <c r="AX2199" s="137" t="s">
        <v>432</v>
      </c>
      <c r="AY2199" s="137" t="s">
        <v>432</v>
      </c>
      <c r="AZ2199" s="137" t="s">
        <v>432</v>
      </c>
      <c r="BA2199" s="137" t="s">
        <v>432</v>
      </c>
      <c r="BB2199" s="239" t="str">
        <f t="shared" si="615"/>
        <v>BRTacessibilidade</v>
      </c>
      <c r="BC2199" s="239" t="str">
        <f t="shared" si="616"/>
        <v>BRTacessibilidadesigla/verbete</v>
      </c>
      <c r="BD2199" s="239" t="str">
        <f t="shared" si="617"/>
        <v>BRTsigla/verbete</v>
      </c>
    </row>
    <row r="2200" spans="1:56" s="1" customFormat="1" ht="63" customHeight="1" x14ac:dyDescent="0.25">
      <c r="A2200" s="262" t="str">
        <f>'Q100b-totais'!B54</f>
        <v>8.2</v>
      </c>
      <c r="B2200" s="252" t="str">
        <f>'Q100b-totais'!C54</f>
        <v>BRT</v>
      </c>
      <c r="C2200" s="167" t="s">
        <v>743</v>
      </c>
      <c r="D2200" s="716" t="s">
        <v>5230</v>
      </c>
      <c r="E2200" s="1445" t="s">
        <v>1306</v>
      </c>
      <c r="F2200" s="1151" t="s">
        <v>5381</v>
      </c>
      <c r="G2200" s="230" t="s">
        <v>5166</v>
      </c>
      <c r="H2200" s="167" t="s">
        <v>2408</v>
      </c>
      <c r="I2200" s="167" t="s">
        <v>432</v>
      </c>
      <c r="J2200" s="107" t="s">
        <v>432</v>
      </c>
      <c r="K2200" s="107" t="s">
        <v>432</v>
      </c>
      <c r="L2200" s="107" t="s">
        <v>432</v>
      </c>
      <c r="M2200" s="107" t="s">
        <v>432</v>
      </c>
      <c r="N2200" s="107" t="s">
        <v>432</v>
      </c>
      <c r="O2200" s="107" t="s">
        <v>432</v>
      </c>
      <c r="P2200" s="107" t="s">
        <v>432</v>
      </c>
      <c r="Q2200" s="107" t="s">
        <v>432</v>
      </c>
      <c r="R2200" s="107" t="s">
        <v>432</v>
      </c>
      <c r="S2200" s="109" t="s">
        <v>2209</v>
      </c>
      <c r="T2200" s="107" t="s">
        <v>432</v>
      </c>
      <c r="U2200" s="107" t="s">
        <v>432</v>
      </c>
      <c r="V2200" s="109" t="s">
        <v>2209</v>
      </c>
      <c r="W2200" s="107" t="s">
        <v>432</v>
      </c>
      <c r="X2200" s="107" t="s">
        <v>432</v>
      </c>
      <c r="Y2200" s="107" t="s">
        <v>432</v>
      </c>
      <c r="Z2200" s="107" t="s">
        <v>432</v>
      </c>
      <c r="AA2200" s="107" t="s">
        <v>432</v>
      </c>
      <c r="AB2200" s="107" t="s">
        <v>432</v>
      </c>
      <c r="AC2200" s="107" t="s">
        <v>432</v>
      </c>
      <c r="AD2200" s="107" t="s">
        <v>432</v>
      </c>
      <c r="AE2200" s="107" t="s">
        <v>432</v>
      </c>
      <c r="AF2200" s="107" t="s">
        <v>432</v>
      </c>
      <c r="AG2200" s="107" t="s">
        <v>432</v>
      </c>
      <c r="AH2200" s="107" t="s">
        <v>432</v>
      </c>
      <c r="AI2200" s="107" t="s">
        <v>432</v>
      </c>
      <c r="AJ2200" s="107" t="s">
        <v>432</v>
      </c>
      <c r="AK2200" s="137" t="s">
        <v>432</v>
      </c>
      <c r="AL2200" s="601" t="s">
        <v>432</v>
      </c>
      <c r="AM2200" s="137" t="s">
        <v>432</v>
      </c>
      <c r="AN2200" s="137" t="s">
        <v>432</v>
      </c>
      <c r="AO2200" s="137" t="s">
        <v>432</v>
      </c>
      <c r="AP2200" s="137" t="s">
        <v>432</v>
      </c>
      <c r="AQ2200" s="137" t="s">
        <v>432</v>
      </c>
      <c r="AR2200" s="137" t="s">
        <v>432</v>
      </c>
      <c r="AS2200" s="137" t="s">
        <v>432</v>
      </c>
      <c r="AT2200" s="137" t="s">
        <v>432</v>
      </c>
      <c r="AU2200" s="137" t="s">
        <v>432</v>
      </c>
      <c r="AV2200" s="137" t="s">
        <v>432</v>
      </c>
      <c r="AW2200" s="137" t="s">
        <v>432</v>
      </c>
      <c r="AX2200" s="137" t="s">
        <v>432</v>
      </c>
      <c r="AY2200" s="137" t="s">
        <v>432</v>
      </c>
      <c r="AZ2200" s="137" t="s">
        <v>432</v>
      </c>
      <c r="BA2200" s="137" t="s">
        <v>432</v>
      </c>
      <c r="BB2200" s="239" t="str">
        <f t="shared" si="615"/>
        <v>BRTacessibilidade</v>
      </c>
      <c r="BC2200" s="239" t="str">
        <f t="shared" si="616"/>
        <v>BRTacessibilidadesigla/verbete</v>
      </c>
      <c r="BD2200" s="239" t="str">
        <f t="shared" si="617"/>
        <v>BRTsigla/verbete</v>
      </c>
    </row>
    <row r="2201" spans="1:56" s="105" customFormat="1" ht="50.25" customHeight="1" x14ac:dyDescent="0.25">
      <c r="A2201" s="262" t="str">
        <f>'Q100b-totais'!B57</f>
        <v>8.5</v>
      </c>
      <c r="B2201" s="252" t="str">
        <f>'Q100b-totais'!C57</f>
        <v>Transporte convencional</v>
      </c>
      <c r="C2201" s="229" t="s">
        <v>743</v>
      </c>
      <c r="D2201" s="716" t="s">
        <v>5230</v>
      </c>
      <c r="E2201" s="1496" t="s">
        <v>5905</v>
      </c>
      <c r="F2201" s="188" t="s">
        <v>5906</v>
      </c>
      <c r="G2201" s="230" t="s">
        <v>5903</v>
      </c>
      <c r="H2201" s="167" t="s">
        <v>2408</v>
      </c>
      <c r="I2201" s="167" t="s">
        <v>432</v>
      </c>
      <c r="J2201" s="109" t="s">
        <v>432</v>
      </c>
      <c r="K2201" s="109" t="s">
        <v>432</v>
      </c>
      <c r="L2201" s="109" t="s">
        <v>432</v>
      </c>
      <c r="M2201" s="109" t="s">
        <v>432</v>
      </c>
      <c r="N2201" s="109" t="s">
        <v>432</v>
      </c>
      <c r="O2201" s="109" t="s">
        <v>432</v>
      </c>
      <c r="P2201" s="109" t="s">
        <v>432</v>
      </c>
      <c r="Q2201" s="109" t="s">
        <v>432</v>
      </c>
      <c r="R2201" s="109" t="s">
        <v>432</v>
      </c>
      <c r="S2201" s="109" t="s">
        <v>2209</v>
      </c>
      <c r="T2201" s="109" t="s">
        <v>432</v>
      </c>
      <c r="U2201" s="109" t="s">
        <v>432</v>
      </c>
      <c r="V2201" s="109" t="s">
        <v>2209</v>
      </c>
      <c r="W2201" s="109" t="s">
        <v>432</v>
      </c>
      <c r="X2201" s="109" t="s">
        <v>432</v>
      </c>
      <c r="Y2201" s="109" t="s">
        <v>432</v>
      </c>
      <c r="Z2201" s="109" t="s">
        <v>432</v>
      </c>
      <c r="AA2201" s="109" t="s">
        <v>432</v>
      </c>
      <c r="AB2201" s="109" t="s">
        <v>432</v>
      </c>
      <c r="AC2201" s="109" t="s">
        <v>432</v>
      </c>
      <c r="AD2201" s="109" t="s">
        <v>432</v>
      </c>
      <c r="AE2201" s="109" t="s">
        <v>432</v>
      </c>
      <c r="AF2201" s="109" t="s">
        <v>432</v>
      </c>
      <c r="AG2201" s="109" t="s">
        <v>432</v>
      </c>
      <c r="AH2201" s="109" t="s">
        <v>432</v>
      </c>
      <c r="AI2201" s="109" t="s">
        <v>432</v>
      </c>
      <c r="AJ2201" s="109" t="s">
        <v>432</v>
      </c>
      <c r="AK2201" s="109" t="s">
        <v>432</v>
      </c>
      <c r="AL2201" s="601" t="s">
        <v>432</v>
      </c>
      <c r="AM2201" s="109" t="s">
        <v>432</v>
      </c>
      <c r="AN2201" s="109" t="s">
        <v>432</v>
      </c>
      <c r="AO2201" s="109" t="s">
        <v>432</v>
      </c>
      <c r="AP2201" s="109" t="s">
        <v>432</v>
      </c>
      <c r="AQ2201" s="109" t="s">
        <v>432</v>
      </c>
      <c r="AR2201" s="109" t="s">
        <v>432</v>
      </c>
      <c r="AS2201" s="109" t="s">
        <v>432</v>
      </c>
      <c r="AT2201" s="109" t="s">
        <v>432</v>
      </c>
      <c r="AU2201" s="109" t="s">
        <v>432</v>
      </c>
      <c r="AV2201" s="109" t="s">
        <v>432</v>
      </c>
      <c r="AW2201" s="109" t="s">
        <v>432</v>
      </c>
      <c r="AX2201" s="109" t="s">
        <v>432</v>
      </c>
      <c r="AY2201" s="109" t="s">
        <v>432</v>
      </c>
      <c r="AZ2201" s="109" t="s">
        <v>432</v>
      </c>
      <c r="BA2201" s="109" t="s">
        <v>432</v>
      </c>
      <c r="BB2201" s="239" t="str">
        <f t="shared" ref="BB2201" si="621">B2201&amp;C2201</f>
        <v>Transporte convencionalacessibilidade</v>
      </c>
      <c r="BC2201" s="239" t="str">
        <f t="shared" ref="BC2201" si="622">B2201&amp;C2201&amp;H2201</f>
        <v>Transporte convencionalacessibilidadesigla/verbete</v>
      </c>
      <c r="BD2201" s="239" t="str">
        <f t="shared" ref="BD2201" si="623">B2201&amp;H2201</f>
        <v>Transporte convencionalsigla/verbete</v>
      </c>
    </row>
    <row r="2202" spans="1:56" s="105" customFormat="1" ht="50.25" customHeight="1" x14ac:dyDescent="0.25">
      <c r="A2202" s="262" t="str">
        <f>'Q100b-totais'!B57</f>
        <v>8.5</v>
      </c>
      <c r="B2202" s="252" t="str">
        <f>'Q100b-totais'!C57</f>
        <v>Transporte convencional</v>
      </c>
      <c r="C2202" s="229" t="s">
        <v>743</v>
      </c>
      <c r="D2202" s="716" t="s">
        <v>5230</v>
      </c>
      <c r="E2202" s="1496" t="s">
        <v>5027</v>
      </c>
      <c r="F2202" s="188" t="s">
        <v>5900</v>
      </c>
      <c r="G2202" s="230" t="s">
        <v>5903</v>
      </c>
      <c r="H2202" s="167" t="s">
        <v>2408</v>
      </c>
      <c r="I2202" s="167" t="s">
        <v>432</v>
      </c>
      <c r="J2202" s="109" t="s">
        <v>432</v>
      </c>
      <c r="K2202" s="109" t="s">
        <v>432</v>
      </c>
      <c r="L2202" s="109" t="s">
        <v>432</v>
      </c>
      <c r="M2202" s="109" t="s">
        <v>432</v>
      </c>
      <c r="N2202" s="109" t="s">
        <v>432</v>
      </c>
      <c r="O2202" s="109" t="s">
        <v>432</v>
      </c>
      <c r="P2202" s="109" t="s">
        <v>432</v>
      </c>
      <c r="Q2202" s="109" t="s">
        <v>432</v>
      </c>
      <c r="R2202" s="109" t="s">
        <v>432</v>
      </c>
      <c r="S2202" s="109" t="s">
        <v>2209</v>
      </c>
      <c r="T2202" s="109" t="s">
        <v>432</v>
      </c>
      <c r="U2202" s="109" t="s">
        <v>432</v>
      </c>
      <c r="V2202" s="109" t="s">
        <v>2209</v>
      </c>
      <c r="W2202" s="109" t="s">
        <v>432</v>
      </c>
      <c r="X2202" s="109" t="s">
        <v>432</v>
      </c>
      <c r="Y2202" s="109" t="s">
        <v>432</v>
      </c>
      <c r="Z2202" s="109" t="s">
        <v>432</v>
      </c>
      <c r="AA2202" s="109" t="s">
        <v>432</v>
      </c>
      <c r="AB2202" s="109" t="s">
        <v>432</v>
      </c>
      <c r="AC2202" s="109" t="s">
        <v>432</v>
      </c>
      <c r="AD2202" s="109" t="s">
        <v>432</v>
      </c>
      <c r="AE2202" s="109" t="s">
        <v>432</v>
      </c>
      <c r="AF2202" s="109" t="s">
        <v>432</v>
      </c>
      <c r="AG2202" s="109" t="s">
        <v>432</v>
      </c>
      <c r="AH2202" s="109" t="s">
        <v>432</v>
      </c>
      <c r="AI2202" s="109" t="s">
        <v>432</v>
      </c>
      <c r="AJ2202" s="109" t="s">
        <v>432</v>
      </c>
      <c r="AK2202" s="109" t="s">
        <v>432</v>
      </c>
      <c r="AL2202" s="601" t="s">
        <v>432</v>
      </c>
      <c r="AM2202" s="109" t="s">
        <v>432</v>
      </c>
      <c r="AN2202" s="109" t="s">
        <v>432</v>
      </c>
      <c r="AO2202" s="109" t="s">
        <v>432</v>
      </c>
      <c r="AP2202" s="109" t="s">
        <v>432</v>
      </c>
      <c r="AQ2202" s="109" t="s">
        <v>432</v>
      </c>
      <c r="AR2202" s="109" t="s">
        <v>432</v>
      </c>
      <c r="AS2202" s="109" t="s">
        <v>432</v>
      </c>
      <c r="AT2202" s="109" t="s">
        <v>432</v>
      </c>
      <c r="AU2202" s="109" t="s">
        <v>432</v>
      </c>
      <c r="AV2202" s="109" t="s">
        <v>432</v>
      </c>
      <c r="AW2202" s="109" t="s">
        <v>432</v>
      </c>
      <c r="AX2202" s="109" t="s">
        <v>432</v>
      </c>
      <c r="AY2202" s="109" t="s">
        <v>432</v>
      </c>
      <c r="AZ2202" s="109" t="s">
        <v>432</v>
      </c>
      <c r="BA2202" s="109" t="s">
        <v>432</v>
      </c>
      <c r="BB2202" s="239" t="str">
        <f t="shared" si="615"/>
        <v>Transporte convencionalacessibilidade</v>
      </c>
      <c r="BC2202" s="239" t="str">
        <f t="shared" si="616"/>
        <v>Transporte convencionalacessibilidadesigla/verbete</v>
      </c>
      <c r="BD2202" s="239" t="str">
        <f t="shared" si="617"/>
        <v>Transporte convencionalsigla/verbete</v>
      </c>
    </row>
    <row r="2203" spans="1:56" s="105" customFormat="1" ht="50.25" customHeight="1" x14ac:dyDescent="0.25">
      <c r="A2203" s="262" t="str">
        <f>'Q100b-totais'!B61</f>
        <v>8.9</v>
      </c>
      <c r="B2203" s="252" t="str">
        <f>'Q100b-totais'!C61</f>
        <v>Metrô</v>
      </c>
      <c r="C2203" s="229" t="s">
        <v>743</v>
      </c>
      <c r="D2203" s="716" t="s">
        <v>5230</v>
      </c>
      <c r="E2203" s="1496" t="s">
        <v>5895</v>
      </c>
      <c r="F2203" s="188" t="s">
        <v>5901</v>
      </c>
      <c r="G2203" s="230" t="s">
        <v>5903</v>
      </c>
      <c r="H2203" s="167" t="s">
        <v>2408</v>
      </c>
      <c r="I2203" s="167" t="s">
        <v>432</v>
      </c>
      <c r="J2203" s="109" t="s">
        <v>432</v>
      </c>
      <c r="K2203" s="109" t="s">
        <v>432</v>
      </c>
      <c r="L2203" s="109" t="s">
        <v>432</v>
      </c>
      <c r="M2203" s="109" t="s">
        <v>432</v>
      </c>
      <c r="N2203" s="109" t="s">
        <v>432</v>
      </c>
      <c r="O2203" s="109" t="s">
        <v>432</v>
      </c>
      <c r="P2203" s="109" t="s">
        <v>432</v>
      </c>
      <c r="Q2203" s="109" t="s">
        <v>432</v>
      </c>
      <c r="R2203" s="109" t="s">
        <v>432</v>
      </c>
      <c r="S2203" s="109" t="s">
        <v>2209</v>
      </c>
      <c r="T2203" s="109" t="s">
        <v>432</v>
      </c>
      <c r="U2203" s="109" t="s">
        <v>432</v>
      </c>
      <c r="V2203" s="109" t="s">
        <v>2209</v>
      </c>
      <c r="W2203" s="109" t="s">
        <v>432</v>
      </c>
      <c r="X2203" s="109" t="s">
        <v>432</v>
      </c>
      <c r="Y2203" s="109" t="s">
        <v>432</v>
      </c>
      <c r="Z2203" s="109" t="s">
        <v>432</v>
      </c>
      <c r="AA2203" s="109" t="s">
        <v>432</v>
      </c>
      <c r="AB2203" s="109" t="s">
        <v>432</v>
      </c>
      <c r="AC2203" s="109" t="s">
        <v>432</v>
      </c>
      <c r="AD2203" s="109" t="s">
        <v>432</v>
      </c>
      <c r="AE2203" s="109" t="s">
        <v>432</v>
      </c>
      <c r="AF2203" s="109" t="s">
        <v>432</v>
      </c>
      <c r="AG2203" s="109" t="s">
        <v>432</v>
      </c>
      <c r="AH2203" s="109" t="s">
        <v>432</v>
      </c>
      <c r="AI2203" s="109" t="s">
        <v>432</v>
      </c>
      <c r="AJ2203" s="109" t="s">
        <v>432</v>
      </c>
      <c r="AK2203" s="109" t="s">
        <v>432</v>
      </c>
      <c r="AL2203" s="601" t="s">
        <v>432</v>
      </c>
      <c r="AM2203" s="109" t="s">
        <v>432</v>
      </c>
      <c r="AN2203" s="109" t="s">
        <v>432</v>
      </c>
      <c r="AO2203" s="109" t="s">
        <v>432</v>
      </c>
      <c r="AP2203" s="109" t="s">
        <v>432</v>
      </c>
      <c r="AQ2203" s="109" t="s">
        <v>432</v>
      </c>
      <c r="AR2203" s="109" t="s">
        <v>432</v>
      </c>
      <c r="AS2203" s="109" t="s">
        <v>432</v>
      </c>
      <c r="AT2203" s="109" t="s">
        <v>432</v>
      </c>
      <c r="AU2203" s="109" t="s">
        <v>432</v>
      </c>
      <c r="AV2203" s="109" t="s">
        <v>432</v>
      </c>
      <c r="AW2203" s="109" t="s">
        <v>432</v>
      </c>
      <c r="AX2203" s="109" t="s">
        <v>432</v>
      </c>
      <c r="AY2203" s="109" t="s">
        <v>432</v>
      </c>
      <c r="AZ2203" s="109" t="s">
        <v>432</v>
      </c>
      <c r="BA2203" s="109" t="s">
        <v>432</v>
      </c>
      <c r="BB2203" s="239" t="str">
        <f t="shared" ref="BB2203" si="624">B2203&amp;C2203</f>
        <v>Metrôacessibilidade</v>
      </c>
      <c r="BC2203" s="239" t="str">
        <f t="shared" ref="BC2203" si="625">B2203&amp;C2203&amp;H2203</f>
        <v>Metrôacessibilidadesigla/verbete</v>
      </c>
      <c r="BD2203" s="239" t="str">
        <f t="shared" ref="BD2203" si="626">B2203&amp;H2203</f>
        <v>Metrôsigla/verbete</v>
      </c>
    </row>
    <row r="2204" spans="1:56" s="105" customFormat="1" ht="50.25" customHeight="1" x14ac:dyDescent="0.25">
      <c r="A2204" s="262" t="str">
        <f>'Q100b-totais'!B57</f>
        <v>8.5</v>
      </c>
      <c r="B2204" s="252" t="str">
        <f>'Q100b-totais'!C57</f>
        <v>Transporte convencional</v>
      </c>
      <c r="C2204" s="229" t="s">
        <v>743</v>
      </c>
      <c r="D2204" s="716" t="s">
        <v>5230</v>
      </c>
      <c r="E2204" s="1496" t="s">
        <v>5902</v>
      </c>
      <c r="F2204" s="188" t="s">
        <v>5904</v>
      </c>
      <c r="G2204" s="230" t="s">
        <v>5903</v>
      </c>
      <c r="H2204" s="167" t="s">
        <v>2408</v>
      </c>
      <c r="I2204" s="167" t="s">
        <v>432</v>
      </c>
      <c r="J2204" s="109" t="s">
        <v>432</v>
      </c>
      <c r="K2204" s="109" t="s">
        <v>432</v>
      </c>
      <c r="L2204" s="109" t="s">
        <v>432</v>
      </c>
      <c r="M2204" s="109" t="s">
        <v>432</v>
      </c>
      <c r="N2204" s="109" t="s">
        <v>432</v>
      </c>
      <c r="O2204" s="109" t="s">
        <v>432</v>
      </c>
      <c r="P2204" s="109" t="s">
        <v>432</v>
      </c>
      <c r="Q2204" s="109" t="s">
        <v>432</v>
      </c>
      <c r="R2204" s="109" t="s">
        <v>432</v>
      </c>
      <c r="S2204" s="109" t="s">
        <v>2209</v>
      </c>
      <c r="T2204" s="109" t="s">
        <v>432</v>
      </c>
      <c r="U2204" s="109" t="s">
        <v>432</v>
      </c>
      <c r="V2204" s="109" t="s">
        <v>2209</v>
      </c>
      <c r="W2204" s="109" t="s">
        <v>432</v>
      </c>
      <c r="X2204" s="109" t="s">
        <v>432</v>
      </c>
      <c r="Y2204" s="109" t="s">
        <v>432</v>
      </c>
      <c r="Z2204" s="109" t="s">
        <v>432</v>
      </c>
      <c r="AA2204" s="109" t="s">
        <v>432</v>
      </c>
      <c r="AB2204" s="109" t="s">
        <v>432</v>
      </c>
      <c r="AC2204" s="109" t="s">
        <v>432</v>
      </c>
      <c r="AD2204" s="109" t="s">
        <v>432</v>
      </c>
      <c r="AE2204" s="109" t="s">
        <v>432</v>
      </c>
      <c r="AF2204" s="109" t="s">
        <v>432</v>
      </c>
      <c r="AG2204" s="109" t="s">
        <v>432</v>
      </c>
      <c r="AH2204" s="109" t="s">
        <v>432</v>
      </c>
      <c r="AI2204" s="109" t="s">
        <v>432</v>
      </c>
      <c r="AJ2204" s="109" t="s">
        <v>432</v>
      </c>
      <c r="AK2204" s="109" t="s">
        <v>432</v>
      </c>
      <c r="AL2204" s="601" t="s">
        <v>432</v>
      </c>
      <c r="AM2204" s="109" t="s">
        <v>432</v>
      </c>
      <c r="AN2204" s="109" t="s">
        <v>432</v>
      </c>
      <c r="AO2204" s="109" t="s">
        <v>432</v>
      </c>
      <c r="AP2204" s="109" t="s">
        <v>432</v>
      </c>
      <c r="AQ2204" s="109" t="s">
        <v>432</v>
      </c>
      <c r="AR2204" s="109" t="s">
        <v>432</v>
      </c>
      <c r="AS2204" s="109" t="s">
        <v>432</v>
      </c>
      <c r="AT2204" s="109" t="s">
        <v>432</v>
      </c>
      <c r="AU2204" s="109" t="s">
        <v>432</v>
      </c>
      <c r="AV2204" s="109" t="s">
        <v>432</v>
      </c>
      <c r="AW2204" s="109" t="s">
        <v>432</v>
      </c>
      <c r="AX2204" s="109" t="s">
        <v>432</v>
      </c>
      <c r="AY2204" s="109" t="s">
        <v>432</v>
      </c>
      <c r="AZ2204" s="109" t="s">
        <v>432</v>
      </c>
      <c r="BA2204" s="109" t="s">
        <v>432</v>
      </c>
      <c r="BB2204" s="239" t="str">
        <f t="shared" ref="BB2204" si="627">B2204&amp;C2204</f>
        <v>Transporte convencionalacessibilidade</v>
      </c>
      <c r="BC2204" s="239" t="str">
        <f t="shared" ref="BC2204" si="628">B2204&amp;C2204&amp;H2204</f>
        <v>Transporte convencionalacessibilidadesigla/verbete</v>
      </c>
      <c r="BD2204" s="239" t="str">
        <f t="shared" ref="BD2204" si="629">B2204&amp;H2204</f>
        <v>Transporte convencionalsigla/verbete</v>
      </c>
    </row>
    <row r="2205" spans="1:56" s="105" customFormat="1" ht="100.5" customHeight="1" x14ac:dyDescent="0.25">
      <c r="A2205" s="262" t="str">
        <f>'Q100b-totais'!B54</f>
        <v>8.2</v>
      </c>
      <c r="B2205" s="252" t="str">
        <f>'Q100b-totais'!C54</f>
        <v>BRT</v>
      </c>
      <c r="C2205" s="229" t="s">
        <v>743</v>
      </c>
      <c r="D2205" s="716" t="s">
        <v>5230</v>
      </c>
      <c r="E2205" s="1496" t="s">
        <v>5887</v>
      </c>
      <c r="F2205" s="188" t="s">
        <v>5926</v>
      </c>
      <c r="G2205" s="230" t="s">
        <v>3507</v>
      </c>
      <c r="H2205" s="167" t="s">
        <v>2408</v>
      </c>
      <c r="I2205" s="167" t="s">
        <v>432</v>
      </c>
      <c r="J2205" s="109" t="s">
        <v>432</v>
      </c>
      <c r="K2205" s="109" t="s">
        <v>432</v>
      </c>
      <c r="L2205" s="109" t="s">
        <v>432</v>
      </c>
      <c r="M2205" s="109" t="s">
        <v>432</v>
      </c>
      <c r="N2205" s="109" t="s">
        <v>432</v>
      </c>
      <c r="O2205" s="109" t="s">
        <v>432</v>
      </c>
      <c r="P2205" s="109" t="s">
        <v>432</v>
      </c>
      <c r="Q2205" s="109" t="s">
        <v>432</v>
      </c>
      <c r="R2205" s="109" t="s">
        <v>432</v>
      </c>
      <c r="S2205" s="109" t="s">
        <v>2209</v>
      </c>
      <c r="T2205" s="109" t="s">
        <v>432</v>
      </c>
      <c r="U2205" s="109" t="s">
        <v>432</v>
      </c>
      <c r="V2205" s="109" t="s">
        <v>2209</v>
      </c>
      <c r="W2205" s="109" t="s">
        <v>432</v>
      </c>
      <c r="X2205" s="109" t="s">
        <v>432</v>
      </c>
      <c r="Y2205" s="109" t="s">
        <v>432</v>
      </c>
      <c r="Z2205" s="109" t="s">
        <v>432</v>
      </c>
      <c r="AA2205" s="109" t="s">
        <v>432</v>
      </c>
      <c r="AB2205" s="109" t="s">
        <v>432</v>
      </c>
      <c r="AC2205" s="109" t="s">
        <v>432</v>
      </c>
      <c r="AD2205" s="109" t="s">
        <v>432</v>
      </c>
      <c r="AE2205" s="109" t="s">
        <v>432</v>
      </c>
      <c r="AF2205" s="109" t="s">
        <v>432</v>
      </c>
      <c r="AG2205" s="109" t="s">
        <v>432</v>
      </c>
      <c r="AH2205" s="109" t="s">
        <v>432</v>
      </c>
      <c r="AI2205" s="109" t="s">
        <v>432</v>
      </c>
      <c r="AJ2205" s="109" t="s">
        <v>432</v>
      </c>
      <c r="AK2205" s="109" t="s">
        <v>432</v>
      </c>
      <c r="AL2205" s="601" t="s">
        <v>432</v>
      </c>
      <c r="AM2205" s="109" t="s">
        <v>432</v>
      </c>
      <c r="AN2205" s="109" t="s">
        <v>432</v>
      </c>
      <c r="AO2205" s="109" t="s">
        <v>432</v>
      </c>
      <c r="AP2205" s="109" t="s">
        <v>432</v>
      </c>
      <c r="AQ2205" s="109" t="s">
        <v>432</v>
      </c>
      <c r="AR2205" s="109" t="s">
        <v>432</v>
      </c>
      <c r="AS2205" s="109" t="s">
        <v>432</v>
      </c>
      <c r="AT2205" s="109" t="s">
        <v>432</v>
      </c>
      <c r="AU2205" s="109" t="s">
        <v>432</v>
      </c>
      <c r="AV2205" s="109" t="s">
        <v>432</v>
      </c>
      <c r="AW2205" s="109" t="s">
        <v>432</v>
      </c>
      <c r="AX2205" s="109" t="s">
        <v>432</v>
      </c>
      <c r="AY2205" s="109" t="s">
        <v>432</v>
      </c>
      <c r="AZ2205" s="109" t="s">
        <v>432</v>
      </c>
      <c r="BA2205" s="109" t="s">
        <v>432</v>
      </c>
      <c r="BB2205" s="239" t="str">
        <f t="shared" si="615"/>
        <v>BRTacessibilidade</v>
      </c>
      <c r="BC2205" s="239" t="str">
        <f t="shared" si="616"/>
        <v>BRTacessibilidadesigla/verbete</v>
      </c>
      <c r="BD2205" s="239" t="str">
        <f t="shared" si="617"/>
        <v>BRTsigla/verbete</v>
      </c>
    </row>
    <row r="2206" spans="1:56" s="1" customFormat="1" ht="25.5" x14ac:dyDescent="0.25">
      <c r="A2206" s="262" t="s">
        <v>432</v>
      </c>
      <c r="B2206" s="252" t="s">
        <v>742</v>
      </c>
      <c r="C2206" s="167" t="s">
        <v>432</v>
      </c>
      <c r="D2206" s="972" t="s">
        <v>4438</v>
      </c>
      <c r="E2206" s="1500" t="s">
        <v>432</v>
      </c>
      <c r="F2206" s="188" t="s">
        <v>4437</v>
      </c>
      <c r="G2206" s="167" t="s">
        <v>3879</v>
      </c>
      <c r="H2206" s="167" t="s">
        <v>432</v>
      </c>
      <c r="I2206" s="167" t="s">
        <v>432</v>
      </c>
      <c r="J2206" s="107" t="s">
        <v>432</v>
      </c>
      <c r="K2206" s="107" t="s">
        <v>432</v>
      </c>
      <c r="L2206" s="107" t="s">
        <v>432</v>
      </c>
      <c r="M2206" s="107" t="s">
        <v>432</v>
      </c>
      <c r="N2206" s="107" t="s">
        <v>432</v>
      </c>
      <c r="O2206" s="107" t="s">
        <v>432</v>
      </c>
      <c r="P2206" s="107" t="s">
        <v>432</v>
      </c>
      <c r="Q2206" s="107" t="s">
        <v>432</v>
      </c>
      <c r="R2206" s="107" t="s">
        <v>432</v>
      </c>
      <c r="S2206" s="109" t="s">
        <v>2209</v>
      </c>
      <c r="T2206" s="107" t="s">
        <v>432</v>
      </c>
      <c r="U2206" s="107" t="s">
        <v>432</v>
      </c>
      <c r="V2206" s="109" t="s">
        <v>2209</v>
      </c>
      <c r="W2206" s="107" t="s">
        <v>432</v>
      </c>
      <c r="X2206" s="107" t="s">
        <v>432</v>
      </c>
      <c r="Y2206" s="107" t="s">
        <v>432</v>
      </c>
      <c r="Z2206" s="107" t="s">
        <v>432</v>
      </c>
      <c r="AA2206" s="107" t="s">
        <v>432</v>
      </c>
      <c r="AB2206" s="107" t="s">
        <v>432</v>
      </c>
      <c r="AC2206" s="107" t="s">
        <v>432</v>
      </c>
      <c r="AD2206" s="107" t="s">
        <v>432</v>
      </c>
      <c r="AE2206" s="107" t="s">
        <v>432</v>
      </c>
      <c r="AF2206" s="107" t="s">
        <v>432</v>
      </c>
      <c r="AG2206" s="107" t="s">
        <v>432</v>
      </c>
      <c r="AH2206" s="107" t="s">
        <v>432</v>
      </c>
      <c r="AI2206" s="107" t="s">
        <v>432</v>
      </c>
      <c r="AJ2206" s="107" t="s">
        <v>432</v>
      </c>
      <c r="AK2206" s="137" t="s">
        <v>432</v>
      </c>
      <c r="AL2206" s="601" t="s">
        <v>432</v>
      </c>
      <c r="AM2206" s="137" t="s">
        <v>432</v>
      </c>
      <c r="AN2206" s="137" t="s">
        <v>432</v>
      </c>
      <c r="AO2206" s="137" t="s">
        <v>432</v>
      </c>
      <c r="AP2206" s="137" t="s">
        <v>432</v>
      </c>
      <c r="AQ2206" s="137" t="s">
        <v>432</v>
      </c>
      <c r="AR2206" s="137" t="s">
        <v>432</v>
      </c>
      <c r="AS2206" s="137" t="s">
        <v>432</v>
      </c>
      <c r="AT2206" s="137" t="s">
        <v>432</v>
      </c>
      <c r="AU2206" s="137" t="s">
        <v>432</v>
      </c>
      <c r="AV2206" s="137" t="s">
        <v>432</v>
      </c>
      <c r="AW2206" s="137" t="s">
        <v>432</v>
      </c>
      <c r="AX2206" s="137" t="s">
        <v>432</v>
      </c>
      <c r="AY2206" s="137" t="s">
        <v>432</v>
      </c>
      <c r="AZ2206" s="137" t="s">
        <v>432</v>
      </c>
      <c r="BA2206" s="137" t="s">
        <v>432</v>
      </c>
      <c r="BB2206" s="239" t="str">
        <f t="shared" si="615"/>
        <v>geralx</v>
      </c>
      <c r="BC2206" s="239" t="str">
        <f t="shared" si="616"/>
        <v>geralxx</v>
      </c>
      <c r="BD2206" s="239" t="str">
        <f t="shared" si="617"/>
        <v>geralx</v>
      </c>
    </row>
    <row r="2207" spans="1:56" s="105" customFormat="1" ht="25.5" x14ac:dyDescent="0.25">
      <c r="A2207" s="262" t="str">
        <f>'Q100b-totais'!B21</f>
        <v>2.6</v>
      </c>
      <c r="B2207" s="252" t="str">
        <f>'Q100b-totais'!C21</f>
        <v>Cidades da RMBH</v>
      </c>
      <c r="C2207" s="167" t="s">
        <v>432</v>
      </c>
      <c r="D2207" s="323" t="s">
        <v>1756</v>
      </c>
      <c r="E2207" s="1491" t="s">
        <v>1756</v>
      </c>
      <c r="F2207" s="468" t="str">
        <f>pend!C204</f>
        <v>município da RMBH (faltando completar)</v>
      </c>
      <c r="G2207" s="230" t="s">
        <v>3507</v>
      </c>
      <c r="H2207" s="167" t="s">
        <v>2408</v>
      </c>
      <c r="I2207" s="167" t="s">
        <v>432</v>
      </c>
      <c r="J2207" s="109" t="s">
        <v>432</v>
      </c>
      <c r="K2207" s="109" t="s">
        <v>432</v>
      </c>
      <c r="L2207" s="109" t="s">
        <v>432</v>
      </c>
      <c r="M2207" s="109" t="s">
        <v>432</v>
      </c>
      <c r="N2207" s="109" t="s">
        <v>432</v>
      </c>
      <c r="O2207" s="109" t="s">
        <v>432</v>
      </c>
      <c r="P2207" s="109" t="s">
        <v>432</v>
      </c>
      <c r="Q2207" s="109" t="s">
        <v>432</v>
      </c>
      <c r="R2207" s="109" t="s">
        <v>432</v>
      </c>
      <c r="S2207" s="109" t="s">
        <v>2209</v>
      </c>
      <c r="T2207" s="109" t="s">
        <v>432</v>
      </c>
      <c r="U2207" s="109" t="s">
        <v>432</v>
      </c>
      <c r="V2207" s="109" t="s">
        <v>2209</v>
      </c>
      <c r="W2207" s="109" t="s">
        <v>432</v>
      </c>
      <c r="X2207" s="109" t="s">
        <v>432</v>
      </c>
      <c r="Y2207" s="109" t="s">
        <v>432</v>
      </c>
      <c r="Z2207" s="109" t="s">
        <v>432</v>
      </c>
      <c r="AA2207" s="109" t="s">
        <v>432</v>
      </c>
      <c r="AB2207" s="109" t="s">
        <v>432</v>
      </c>
      <c r="AC2207" s="109" t="s">
        <v>432</v>
      </c>
      <c r="AD2207" s="109" t="s">
        <v>432</v>
      </c>
      <c r="AE2207" s="109" t="s">
        <v>432</v>
      </c>
      <c r="AF2207" s="109" t="s">
        <v>432</v>
      </c>
      <c r="AG2207" s="109" t="s">
        <v>432</v>
      </c>
      <c r="AH2207" s="109" t="s">
        <v>432</v>
      </c>
      <c r="AI2207" s="109" t="s">
        <v>432</v>
      </c>
      <c r="AJ2207" s="109" t="s">
        <v>432</v>
      </c>
      <c r="AK2207" s="109" t="s">
        <v>432</v>
      </c>
      <c r="AL2207" s="601" t="s">
        <v>432</v>
      </c>
      <c r="AM2207" s="109" t="s">
        <v>432</v>
      </c>
      <c r="AN2207" s="109" t="s">
        <v>432</v>
      </c>
      <c r="AO2207" s="109" t="s">
        <v>432</v>
      </c>
      <c r="AP2207" s="109" t="s">
        <v>432</v>
      </c>
      <c r="AQ2207" s="109" t="s">
        <v>432</v>
      </c>
      <c r="AR2207" s="109" t="s">
        <v>432</v>
      </c>
      <c r="AS2207" s="109" t="s">
        <v>432</v>
      </c>
      <c r="AT2207" s="109" t="s">
        <v>432</v>
      </c>
      <c r="AU2207" s="109" t="s">
        <v>432</v>
      </c>
      <c r="AV2207" s="109" t="s">
        <v>432</v>
      </c>
      <c r="AW2207" s="109" t="s">
        <v>432</v>
      </c>
      <c r="AX2207" s="109" t="s">
        <v>432</v>
      </c>
      <c r="AY2207" s="109" t="s">
        <v>432</v>
      </c>
      <c r="AZ2207" s="109" t="s">
        <v>432</v>
      </c>
      <c r="BA2207" s="109" t="s">
        <v>432</v>
      </c>
      <c r="BB2207" s="239" t="str">
        <f t="shared" si="615"/>
        <v>Cidades da RMBHx</v>
      </c>
      <c r="BC2207" s="239" t="str">
        <f t="shared" si="616"/>
        <v>Cidades da RMBHxsigla/verbete</v>
      </c>
      <c r="BD2207" s="239" t="str">
        <f t="shared" si="617"/>
        <v>Cidades da RMBHsigla/verbete</v>
      </c>
    </row>
    <row r="2208" spans="1:56" s="1" customFormat="1" ht="51" x14ac:dyDescent="0.25">
      <c r="A2208" s="262" t="str">
        <f>'Q100b-totais'!B62</f>
        <v>8.10</v>
      </c>
      <c r="B2208" s="252" t="str">
        <f>'Q100b-totais'!C62</f>
        <v>Sistema de transporte coletivo com um todo</v>
      </c>
      <c r="C2208" s="167" t="s">
        <v>743</v>
      </c>
      <c r="D2208" s="972" t="s">
        <v>5080</v>
      </c>
      <c r="E2208" s="1500" t="s">
        <v>1767</v>
      </c>
      <c r="F2208" s="77" t="s">
        <v>5081</v>
      </c>
      <c r="G2208" s="167" t="s">
        <v>3719</v>
      </c>
      <c r="H2208" s="167" t="s">
        <v>2408</v>
      </c>
      <c r="I2208" s="167" t="s">
        <v>432</v>
      </c>
      <c r="J2208" s="107" t="s">
        <v>432</v>
      </c>
      <c r="K2208" s="107" t="s">
        <v>432</v>
      </c>
      <c r="L2208" s="107" t="s">
        <v>432</v>
      </c>
      <c r="M2208" s="107" t="s">
        <v>432</v>
      </c>
      <c r="N2208" s="107" t="s">
        <v>432</v>
      </c>
      <c r="O2208" s="107" t="s">
        <v>432</v>
      </c>
      <c r="P2208" s="107" t="s">
        <v>432</v>
      </c>
      <c r="Q2208" s="107" t="s">
        <v>432</v>
      </c>
      <c r="R2208" s="107" t="s">
        <v>432</v>
      </c>
      <c r="S2208" s="109" t="s">
        <v>2209</v>
      </c>
      <c r="T2208" s="107" t="s">
        <v>432</v>
      </c>
      <c r="U2208" s="107" t="s">
        <v>432</v>
      </c>
      <c r="V2208" s="109" t="s">
        <v>2209</v>
      </c>
      <c r="W2208" s="107" t="s">
        <v>432</v>
      </c>
      <c r="X2208" s="107" t="s">
        <v>432</v>
      </c>
      <c r="Y2208" s="107" t="s">
        <v>432</v>
      </c>
      <c r="Z2208" s="107" t="s">
        <v>432</v>
      </c>
      <c r="AA2208" s="107" t="s">
        <v>432</v>
      </c>
      <c r="AB2208" s="107" t="s">
        <v>432</v>
      </c>
      <c r="AC2208" s="107" t="s">
        <v>432</v>
      </c>
      <c r="AD2208" s="107" t="s">
        <v>432</v>
      </c>
      <c r="AE2208" s="107" t="s">
        <v>432</v>
      </c>
      <c r="AF2208" s="107" t="s">
        <v>432</v>
      </c>
      <c r="AG2208" s="107" t="s">
        <v>432</v>
      </c>
      <c r="AH2208" s="107" t="s">
        <v>432</v>
      </c>
      <c r="AI2208" s="107" t="s">
        <v>432</v>
      </c>
      <c r="AJ2208" s="107" t="s">
        <v>432</v>
      </c>
      <c r="AK2208" s="137" t="s">
        <v>432</v>
      </c>
      <c r="AL2208" s="601" t="s">
        <v>432</v>
      </c>
      <c r="AM2208" s="137" t="s">
        <v>432</v>
      </c>
      <c r="AN2208" s="137" t="s">
        <v>432</v>
      </c>
      <c r="AO2208" s="137" t="s">
        <v>432</v>
      </c>
      <c r="AP2208" s="137" t="s">
        <v>432</v>
      </c>
      <c r="AQ2208" s="137" t="s">
        <v>432</v>
      </c>
      <c r="AR2208" s="137" t="s">
        <v>432</v>
      </c>
      <c r="AS2208" s="137" t="s">
        <v>432</v>
      </c>
      <c r="AT2208" s="137" t="s">
        <v>432</v>
      </c>
      <c r="AU2208" s="137" t="s">
        <v>432</v>
      </c>
      <c r="AV2208" s="137" t="s">
        <v>432</v>
      </c>
      <c r="AW2208" s="137" t="s">
        <v>432</v>
      </c>
      <c r="AX2208" s="137" t="s">
        <v>432</v>
      </c>
      <c r="AY2208" s="137" t="s">
        <v>432</v>
      </c>
      <c r="AZ2208" s="137" t="s">
        <v>432</v>
      </c>
      <c r="BA2208" s="137" t="s">
        <v>432</v>
      </c>
      <c r="BB2208" s="239" t="str">
        <f t="shared" si="615"/>
        <v>Sistema de transporte coletivo com um todoacessibilidade</v>
      </c>
      <c r="BC2208" s="239" t="str">
        <f t="shared" si="616"/>
        <v>Sistema de transporte coletivo com um todoacessibilidadesigla/verbete</v>
      </c>
      <c r="BD2208" s="239" t="str">
        <f t="shared" si="617"/>
        <v>Sistema de transporte coletivo com um todosigla/verbete</v>
      </c>
    </row>
    <row r="2209" spans="1:56" s="1" customFormat="1" ht="25.5" x14ac:dyDescent="0.25">
      <c r="A2209" s="262" t="s">
        <v>432</v>
      </c>
      <c r="B2209" s="252" t="s">
        <v>742</v>
      </c>
      <c r="C2209" s="167" t="s">
        <v>432</v>
      </c>
      <c r="D2209" s="972" t="s">
        <v>3830</v>
      </c>
      <c r="E2209" s="1500" t="s">
        <v>432</v>
      </c>
      <c r="F2209" s="53" t="s">
        <v>3831</v>
      </c>
      <c r="G2209" s="167" t="s">
        <v>3879</v>
      </c>
      <c r="H2209" s="167" t="s">
        <v>432</v>
      </c>
      <c r="I2209" s="167" t="s">
        <v>432</v>
      </c>
      <c r="J2209" s="107" t="s">
        <v>432</v>
      </c>
      <c r="K2209" s="107" t="s">
        <v>432</v>
      </c>
      <c r="L2209" s="107" t="s">
        <v>432</v>
      </c>
      <c r="M2209" s="107" t="s">
        <v>432</v>
      </c>
      <c r="N2209" s="107" t="s">
        <v>432</v>
      </c>
      <c r="O2209" s="107" t="s">
        <v>432</v>
      </c>
      <c r="P2209" s="107" t="s">
        <v>432</v>
      </c>
      <c r="Q2209" s="107" t="s">
        <v>432</v>
      </c>
      <c r="R2209" s="107" t="s">
        <v>432</v>
      </c>
      <c r="S2209" s="109" t="s">
        <v>2209</v>
      </c>
      <c r="T2209" s="107" t="s">
        <v>432</v>
      </c>
      <c r="U2209" s="107" t="s">
        <v>432</v>
      </c>
      <c r="V2209" s="109" t="s">
        <v>2209</v>
      </c>
      <c r="W2209" s="107" t="s">
        <v>432</v>
      </c>
      <c r="X2209" s="107" t="s">
        <v>432</v>
      </c>
      <c r="Y2209" s="107" t="s">
        <v>432</v>
      </c>
      <c r="Z2209" s="107" t="s">
        <v>432</v>
      </c>
      <c r="AA2209" s="107" t="s">
        <v>432</v>
      </c>
      <c r="AB2209" s="107" t="s">
        <v>432</v>
      </c>
      <c r="AC2209" s="107" t="s">
        <v>432</v>
      </c>
      <c r="AD2209" s="107" t="s">
        <v>432</v>
      </c>
      <c r="AE2209" s="107" t="s">
        <v>432</v>
      </c>
      <c r="AF2209" s="107" t="s">
        <v>432</v>
      </c>
      <c r="AG2209" s="107" t="s">
        <v>432</v>
      </c>
      <c r="AH2209" s="107" t="s">
        <v>432</v>
      </c>
      <c r="AI2209" s="107" t="s">
        <v>432</v>
      </c>
      <c r="AJ2209" s="107" t="s">
        <v>432</v>
      </c>
      <c r="AK2209" s="137" t="s">
        <v>432</v>
      </c>
      <c r="AL2209" s="601" t="s">
        <v>432</v>
      </c>
      <c r="AM2209" s="137" t="s">
        <v>432</v>
      </c>
      <c r="AN2209" s="137" t="s">
        <v>432</v>
      </c>
      <c r="AO2209" s="137" t="s">
        <v>432</v>
      </c>
      <c r="AP2209" s="137" t="s">
        <v>432</v>
      </c>
      <c r="AQ2209" s="137" t="s">
        <v>432</v>
      </c>
      <c r="AR2209" s="137" t="s">
        <v>432</v>
      </c>
      <c r="AS2209" s="137" t="s">
        <v>432</v>
      </c>
      <c r="AT2209" s="137" t="s">
        <v>432</v>
      </c>
      <c r="AU2209" s="137" t="s">
        <v>432</v>
      </c>
      <c r="AV2209" s="137" t="s">
        <v>432</v>
      </c>
      <c r="AW2209" s="137" t="s">
        <v>432</v>
      </c>
      <c r="AX2209" s="137" t="s">
        <v>432</v>
      </c>
      <c r="AY2209" s="137" t="s">
        <v>432</v>
      </c>
      <c r="AZ2209" s="137" t="s">
        <v>432</v>
      </c>
      <c r="BA2209" s="137" t="s">
        <v>432</v>
      </c>
      <c r="BB2209" s="239" t="str">
        <f t="shared" si="615"/>
        <v>geralx</v>
      </c>
      <c r="BC2209" s="239" t="str">
        <f t="shared" si="616"/>
        <v>geralxx</v>
      </c>
      <c r="BD2209" s="239" t="str">
        <f t="shared" si="617"/>
        <v>geralx</v>
      </c>
    </row>
    <row r="2210" spans="1:56" s="1" customFormat="1" ht="25.5" x14ac:dyDescent="0.25">
      <c r="A2210" s="262" t="s">
        <v>432</v>
      </c>
      <c r="B2210" s="252" t="s">
        <v>742</v>
      </c>
      <c r="C2210" s="167" t="s">
        <v>432</v>
      </c>
      <c r="D2210" s="325" t="s">
        <v>457</v>
      </c>
      <c r="E2210" s="1496" t="s">
        <v>432</v>
      </c>
      <c r="F2210" s="53" t="s">
        <v>487</v>
      </c>
      <c r="G2210" s="167" t="s">
        <v>3879</v>
      </c>
      <c r="H2210" s="167" t="s">
        <v>432</v>
      </c>
      <c r="I2210" s="167" t="s">
        <v>432</v>
      </c>
      <c r="J2210" s="107" t="s">
        <v>432</v>
      </c>
      <c r="K2210" s="107" t="s">
        <v>432</v>
      </c>
      <c r="L2210" s="107" t="s">
        <v>432</v>
      </c>
      <c r="M2210" s="107" t="s">
        <v>432</v>
      </c>
      <c r="N2210" s="107" t="s">
        <v>432</v>
      </c>
      <c r="O2210" s="107" t="s">
        <v>432</v>
      </c>
      <c r="P2210" s="107" t="s">
        <v>432</v>
      </c>
      <c r="Q2210" s="107" t="s">
        <v>432</v>
      </c>
      <c r="R2210" s="107" t="s">
        <v>432</v>
      </c>
      <c r="S2210" s="109" t="s">
        <v>2209</v>
      </c>
      <c r="T2210" s="107" t="s">
        <v>432</v>
      </c>
      <c r="U2210" s="107" t="s">
        <v>432</v>
      </c>
      <c r="V2210" s="109" t="s">
        <v>2209</v>
      </c>
      <c r="W2210" s="107" t="s">
        <v>432</v>
      </c>
      <c r="X2210" s="107" t="s">
        <v>432</v>
      </c>
      <c r="Y2210" s="107" t="s">
        <v>432</v>
      </c>
      <c r="Z2210" s="107" t="s">
        <v>432</v>
      </c>
      <c r="AA2210" s="107" t="s">
        <v>432</v>
      </c>
      <c r="AB2210" s="107" t="s">
        <v>432</v>
      </c>
      <c r="AC2210" s="107" t="s">
        <v>432</v>
      </c>
      <c r="AD2210" s="107" t="s">
        <v>432</v>
      </c>
      <c r="AE2210" s="107" t="s">
        <v>432</v>
      </c>
      <c r="AF2210" s="107" t="s">
        <v>432</v>
      </c>
      <c r="AG2210" s="107" t="s">
        <v>432</v>
      </c>
      <c r="AH2210" s="107" t="s">
        <v>432</v>
      </c>
      <c r="AI2210" s="107" t="s">
        <v>432</v>
      </c>
      <c r="AJ2210" s="107" t="s">
        <v>432</v>
      </c>
      <c r="AK2210" s="137" t="s">
        <v>432</v>
      </c>
      <c r="AL2210" s="601" t="s">
        <v>432</v>
      </c>
      <c r="AM2210" s="137" t="s">
        <v>432</v>
      </c>
      <c r="AN2210" s="137" t="s">
        <v>432</v>
      </c>
      <c r="AO2210" s="137" t="s">
        <v>432</v>
      </c>
      <c r="AP2210" s="137" t="s">
        <v>432</v>
      </c>
      <c r="AQ2210" s="137" t="s">
        <v>432</v>
      </c>
      <c r="AR2210" s="137" t="s">
        <v>432</v>
      </c>
      <c r="AS2210" s="137" t="s">
        <v>432</v>
      </c>
      <c r="AT2210" s="137" t="s">
        <v>432</v>
      </c>
      <c r="AU2210" s="137" t="s">
        <v>432</v>
      </c>
      <c r="AV2210" s="137" t="s">
        <v>432</v>
      </c>
      <c r="AW2210" s="137" t="s">
        <v>432</v>
      </c>
      <c r="AX2210" s="137" t="s">
        <v>432</v>
      </c>
      <c r="AY2210" s="137" t="s">
        <v>432</v>
      </c>
      <c r="AZ2210" s="137" t="s">
        <v>432</v>
      </c>
      <c r="BA2210" s="137" t="s">
        <v>432</v>
      </c>
      <c r="BB2210" s="239" t="str">
        <f t="shared" si="606"/>
        <v>geralx</v>
      </c>
      <c r="BC2210" s="239" t="str">
        <f t="shared" si="607"/>
        <v>geralxx</v>
      </c>
      <c r="BD2210" s="239" t="str">
        <f t="shared" si="608"/>
        <v>geralx</v>
      </c>
    </row>
    <row r="2211" spans="1:56" s="1" customFormat="1" ht="46.5" customHeight="1" x14ac:dyDescent="0.25">
      <c r="A2211" s="262" t="str">
        <f>'Q100b-totais'!B22</f>
        <v>2.7</v>
      </c>
      <c r="B2211" s="252" t="str">
        <f>'Q100b-totais'!C22</f>
        <v>Outras cidades/regiões</v>
      </c>
      <c r="C2211" s="167" t="s">
        <v>432</v>
      </c>
      <c r="D2211" s="325" t="s">
        <v>1704</v>
      </c>
      <c r="E2211" s="1445" t="s">
        <v>1704</v>
      </c>
      <c r="F2211" s="1151" t="s">
        <v>4542</v>
      </c>
      <c r="G2211" s="230" t="s">
        <v>3507</v>
      </c>
      <c r="H2211" s="167" t="s">
        <v>2408</v>
      </c>
      <c r="I2211" s="167" t="s">
        <v>432</v>
      </c>
      <c r="J2211" s="107" t="s">
        <v>432</v>
      </c>
      <c r="K2211" s="107" t="s">
        <v>432</v>
      </c>
      <c r="L2211" s="107" t="s">
        <v>432</v>
      </c>
      <c r="M2211" s="107" t="s">
        <v>432</v>
      </c>
      <c r="N2211" s="107" t="s">
        <v>432</v>
      </c>
      <c r="O2211" s="107" t="s">
        <v>432</v>
      </c>
      <c r="P2211" s="107" t="s">
        <v>432</v>
      </c>
      <c r="Q2211" s="107" t="s">
        <v>432</v>
      </c>
      <c r="R2211" s="107" t="s">
        <v>432</v>
      </c>
      <c r="S2211" s="109" t="s">
        <v>2209</v>
      </c>
      <c r="T2211" s="107" t="s">
        <v>432</v>
      </c>
      <c r="U2211" s="107" t="s">
        <v>432</v>
      </c>
      <c r="V2211" s="109" t="s">
        <v>2209</v>
      </c>
      <c r="W2211" s="107" t="s">
        <v>432</v>
      </c>
      <c r="X2211" s="107" t="s">
        <v>432</v>
      </c>
      <c r="Y2211" s="107" t="s">
        <v>432</v>
      </c>
      <c r="Z2211" s="107" t="s">
        <v>432</v>
      </c>
      <c r="AA2211" s="107" t="s">
        <v>432</v>
      </c>
      <c r="AB2211" s="107" t="s">
        <v>432</v>
      </c>
      <c r="AC2211" s="107" t="s">
        <v>432</v>
      </c>
      <c r="AD2211" s="107" t="s">
        <v>432</v>
      </c>
      <c r="AE2211" s="107" t="s">
        <v>432</v>
      </c>
      <c r="AF2211" s="107" t="s">
        <v>432</v>
      </c>
      <c r="AG2211" s="107" t="s">
        <v>432</v>
      </c>
      <c r="AH2211" s="107" t="s">
        <v>432</v>
      </c>
      <c r="AI2211" s="107" t="s">
        <v>432</v>
      </c>
      <c r="AJ2211" s="107" t="s">
        <v>432</v>
      </c>
      <c r="AK2211" s="137" t="s">
        <v>432</v>
      </c>
      <c r="AL2211" s="601" t="s">
        <v>432</v>
      </c>
      <c r="AM2211" s="137" t="s">
        <v>432</v>
      </c>
      <c r="AN2211" s="137" t="s">
        <v>432</v>
      </c>
      <c r="AO2211" s="137" t="s">
        <v>432</v>
      </c>
      <c r="AP2211" s="137" t="s">
        <v>432</v>
      </c>
      <c r="AQ2211" s="137" t="s">
        <v>432</v>
      </c>
      <c r="AR2211" s="137" t="s">
        <v>432</v>
      </c>
      <c r="AS2211" s="137" t="s">
        <v>432</v>
      </c>
      <c r="AT2211" s="137" t="s">
        <v>432</v>
      </c>
      <c r="AU2211" s="137" t="s">
        <v>432</v>
      </c>
      <c r="AV2211" s="137" t="s">
        <v>432</v>
      </c>
      <c r="AW2211" s="137" t="s">
        <v>432</v>
      </c>
      <c r="AX2211" s="137" t="s">
        <v>432</v>
      </c>
      <c r="AY2211" s="137" t="s">
        <v>432</v>
      </c>
      <c r="AZ2211" s="137" t="s">
        <v>432</v>
      </c>
      <c r="BA2211" s="137" t="s">
        <v>432</v>
      </c>
      <c r="BB2211" s="239" t="str">
        <f>B2211&amp;C2211</f>
        <v>Outras cidades/regiõesx</v>
      </c>
      <c r="BC2211" s="239" t="str">
        <f>B2211&amp;C2211&amp;H2211</f>
        <v>Outras cidades/regiõesxsigla/verbete</v>
      </c>
      <c r="BD2211" s="239" t="str">
        <f>B2211&amp;H2211</f>
        <v>Outras cidades/regiõessigla/verbete</v>
      </c>
    </row>
    <row r="2212" spans="1:56" s="1" customFormat="1" ht="110.25" customHeight="1" x14ac:dyDescent="0.25">
      <c r="A2212" s="262" t="str">
        <f>'Q100b-totais'!B62</f>
        <v>8.10</v>
      </c>
      <c r="B2212" s="252" t="str">
        <f>'Q100b-totais'!C62</f>
        <v>Sistema de transporte coletivo com um todo</v>
      </c>
      <c r="C2212" s="167" t="s">
        <v>743</v>
      </c>
      <c r="D2212" s="325" t="s">
        <v>2554</v>
      </c>
      <c r="E2212" s="1445" t="s">
        <v>1767</v>
      </c>
      <c r="F2212" s="53" t="s">
        <v>2555</v>
      </c>
      <c r="G2212" s="230" t="s">
        <v>3507</v>
      </c>
      <c r="H2212" s="167" t="s">
        <v>2408</v>
      </c>
      <c r="I2212" s="167" t="s">
        <v>432</v>
      </c>
      <c r="J2212" s="107" t="s">
        <v>432</v>
      </c>
      <c r="K2212" s="107" t="s">
        <v>432</v>
      </c>
      <c r="L2212" s="107" t="s">
        <v>432</v>
      </c>
      <c r="M2212" s="107" t="s">
        <v>432</v>
      </c>
      <c r="N2212" s="107" t="s">
        <v>432</v>
      </c>
      <c r="O2212" s="107" t="s">
        <v>432</v>
      </c>
      <c r="P2212" s="107" t="s">
        <v>432</v>
      </c>
      <c r="Q2212" s="107" t="s">
        <v>432</v>
      </c>
      <c r="R2212" s="107" t="s">
        <v>432</v>
      </c>
      <c r="S2212" s="109" t="s">
        <v>2209</v>
      </c>
      <c r="T2212" s="107" t="s">
        <v>432</v>
      </c>
      <c r="U2212" s="107" t="s">
        <v>432</v>
      </c>
      <c r="V2212" s="109" t="s">
        <v>2209</v>
      </c>
      <c r="W2212" s="107" t="s">
        <v>432</v>
      </c>
      <c r="X2212" s="107" t="s">
        <v>432</v>
      </c>
      <c r="Y2212" s="107" t="s">
        <v>432</v>
      </c>
      <c r="Z2212" s="107" t="s">
        <v>432</v>
      </c>
      <c r="AA2212" s="107" t="s">
        <v>432</v>
      </c>
      <c r="AB2212" s="107" t="s">
        <v>432</v>
      </c>
      <c r="AC2212" s="107" t="s">
        <v>432</v>
      </c>
      <c r="AD2212" s="107" t="s">
        <v>432</v>
      </c>
      <c r="AE2212" s="107" t="s">
        <v>432</v>
      </c>
      <c r="AF2212" s="107" t="s">
        <v>432</v>
      </c>
      <c r="AG2212" s="107" t="s">
        <v>432</v>
      </c>
      <c r="AH2212" s="107" t="s">
        <v>432</v>
      </c>
      <c r="AI2212" s="107" t="s">
        <v>432</v>
      </c>
      <c r="AJ2212" s="107" t="s">
        <v>432</v>
      </c>
      <c r="AK2212" s="137" t="s">
        <v>432</v>
      </c>
      <c r="AL2212" s="601" t="s">
        <v>432</v>
      </c>
      <c r="AM2212" s="137" t="s">
        <v>432</v>
      </c>
      <c r="AN2212" s="137" t="s">
        <v>432</v>
      </c>
      <c r="AO2212" s="137" t="s">
        <v>432</v>
      </c>
      <c r="AP2212" s="137" t="s">
        <v>432</v>
      </c>
      <c r="AQ2212" s="137" t="s">
        <v>432</v>
      </c>
      <c r="AR2212" s="137" t="s">
        <v>432</v>
      </c>
      <c r="AS2212" s="137" t="s">
        <v>432</v>
      </c>
      <c r="AT2212" s="137" t="s">
        <v>432</v>
      </c>
      <c r="AU2212" s="137" t="s">
        <v>432</v>
      </c>
      <c r="AV2212" s="137" t="s">
        <v>432</v>
      </c>
      <c r="AW2212" s="137" t="s">
        <v>432</v>
      </c>
      <c r="AX2212" s="137" t="s">
        <v>432</v>
      </c>
      <c r="AY2212" s="137" t="s">
        <v>432</v>
      </c>
      <c r="AZ2212" s="137" t="s">
        <v>432</v>
      </c>
      <c r="BA2212" s="137" t="s">
        <v>432</v>
      </c>
      <c r="BB2212" s="239" t="str">
        <f>B2212&amp;C2212</f>
        <v>Sistema de transporte coletivo com um todoacessibilidade</v>
      </c>
      <c r="BC2212" s="239" t="str">
        <f>B2212&amp;C2212&amp;H2212</f>
        <v>Sistema de transporte coletivo com um todoacessibilidadesigla/verbete</v>
      </c>
      <c r="BD2212" s="239" t="str">
        <f>B2212&amp;H2212</f>
        <v>Sistema de transporte coletivo com um todosigla/verbete</v>
      </c>
    </row>
    <row r="2213" spans="1:56" s="1" customFormat="1" ht="41.25" customHeight="1" x14ac:dyDescent="0.25">
      <c r="A2213" s="262" t="str">
        <f>'Q100b-totais'!B33</f>
        <v>3.8</v>
      </c>
      <c r="B2213" s="252" t="str">
        <f>'Q100b-totais'!C33</f>
        <v>Relatórios e outros documentos</v>
      </c>
      <c r="C2213" s="167" t="s">
        <v>432</v>
      </c>
      <c r="D2213" s="325" t="s">
        <v>5881</v>
      </c>
      <c r="E2213" s="1445" t="s">
        <v>5883</v>
      </c>
      <c r="F2213" s="53" t="s">
        <v>5882</v>
      </c>
      <c r="G2213" s="230" t="s">
        <v>3507</v>
      </c>
      <c r="H2213" s="167" t="s">
        <v>2408</v>
      </c>
      <c r="I2213" s="167" t="s">
        <v>432</v>
      </c>
      <c r="J2213" s="107" t="s">
        <v>432</v>
      </c>
      <c r="K2213" s="107" t="s">
        <v>432</v>
      </c>
      <c r="L2213" s="107" t="s">
        <v>432</v>
      </c>
      <c r="M2213" s="107" t="s">
        <v>432</v>
      </c>
      <c r="N2213" s="107" t="s">
        <v>432</v>
      </c>
      <c r="O2213" s="107" t="s">
        <v>432</v>
      </c>
      <c r="P2213" s="107" t="s">
        <v>432</v>
      </c>
      <c r="Q2213" s="107" t="s">
        <v>432</v>
      </c>
      <c r="R2213" s="107" t="s">
        <v>432</v>
      </c>
      <c r="S2213" s="109" t="s">
        <v>2209</v>
      </c>
      <c r="T2213" s="107" t="s">
        <v>432</v>
      </c>
      <c r="U2213" s="107" t="s">
        <v>432</v>
      </c>
      <c r="V2213" s="109" t="s">
        <v>2209</v>
      </c>
      <c r="W2213" s="107" t="s">
        <v>432</v>
      </c>
      <c r="X2213" s="107" t="s">
        <v>432</v>
      </c>
      <c r="Y2213" s="107" t="s">
        <v>432</v>
      </c>
      <c r="Z2213" s="107" t="s">
        <v>432</v>
      </c>
      <c r="AA2213" s="107" t="s">
        <v>432</v>
      </c>
      <c r="AB2213" s="107" t="s">
        <v>432</v>
      </c>
      <c r="AC2213" s="107" t="s">
        <v>432</v>
      </c>
      <c r="AD2213" s="107" t="s">
        <v>432</v>
      </c>
      <c r="AE2213" s="107" t="s">
        <v>432</v>
      </c>
      <c r="AF2213" s="107" t="s">
        <v>432</v>
      </c>
      <c r="AG2213" s="107" t="s">
        <v>432</v>
      </c>
      <c r="AH2213" s="107" t="s">
        <v>432</v>
      </c>
      <c r="AI2213" s="107" t="s">
        <v>432</v>
      </c>
      <c r="AJ2213" s="107" t="s">
        <v>432</v>
      </c>
      <c r="AK2213" s="137" t="s">
        <v>432</v>
      </c>
      <c r="AL2213" s="601" t="s">
        <v>432</v>
      </c>
      <c r="AM2213" s="137" t="s">
        <v>432</v>
      </c>
      <c r="AN2213" s="137" t="s">
        <v>432</v>
      </c>
      <c r="AO2213" s="137" t="s">
        <v>432</v>
      </c>
      <c r="AP2213" s="137" t="s">
        <v>432</v>
      </c>
      <c r="AQ2213" s="137" t="s">
        <v>432</v>
      </c>
      <c r="AR2213" s="137" t="s">
        <v>432</v>
      </c>
      <c r="AS2213" s="137" t="s">
        <v>432</v>
      </c>
      <c r="AT2213" s="137" t="s">
        <v>432</v>
      </c>
      <c r="AU2213" s="137" t="s">
        <v>432</v>
      </c>
      <c r="AV2213" s="137" t="s">
        <v>432</v>
      </c>
      <c r="AW2213" s="137" t="s">
        <v>432</v>
      </c>
      <c r="AX2213" s="137" t="s">
        <v>432</v>
      </c>
      <c r="AY2213" s="137" t="s">
        <v>432</v>
      </c>
      <c r="AZ2213" s="137" t="s">
        <v>432</v>
      </c>
      <c r="BA2213" s="137" t="s">
        <v>432</v>
      </c>
      <c r="BB2213" s="239" t="str">
        <f>B2213&amp;C2213</f>
        <v>Relatórios e outros documentosx</v>
      </c>
      <c r="BC2213" s="239" t="str">
        <f>B2213&amp;C2213&amp;H2213</f>
        <v>Relatórios e outros documentosxsigla/verbete</v>
      </c>
      <c r="BD2213" s="239" t="str">
        <f>B2213&amp;H2213</f>
        <v>Relatórios e outros documentossigla/verbete</v>
      </c>
    </row>
    <row r="2214" spans="1:56" s="1" customFormat="1" ht="180" customHeight="1" x14ac:dyDescent="0.25">
      <c r="A2214" s="262" t="str">
        <f>'Q100b-totais'!B33</f>
        <v>3.8</v>
      </c>
      <c r="B2214" s="252" t="str">
        <f>'Q100b-totais'!C33</f>
        <v>Relatórios e outros documentos</v>
      </c>
      <c r="C2214" s="167" t="s">
        <v>432</v>
      </c>
      <c r="D2214" s="325" t="s">
        <v>5880</v>
      </c>
      <c r="E2214" s="1445" t="s">
        <v>5883</v>
      </c>
      <c r="F2214" s="53" t="s">
        <v>5886</v>
      </c>
      <c r="G2214" s="230" t="s">
        <v>3507</v>
      </c>
      <c r="H2214" s="167" t="s">
        <v>2408</v>
      </c>
      <c r="I2214" s="167" t="s">
        <v>432</v>
      </c>
      <c r="J2214" s="107" t="s">
        <v>432</v>
      </c>
      <c r="K2214" s="107" t="s">
        <v>432</v>
      </c>
      <c r="L2214" s="107" t="s">
        <v>432</v>
      </c>
      <c r="M2214" s="107" t="s">
        <v>432</v>
      </c>
      <c r="N2214" s="107" t="s">
        <v>432</v>
      </c>
      <c r="O2214" s="107" t="s">
        <v>432</v>
      </c>
      <c r="P2214" s="107" t="s">
        <v>432</v>
      </c>
      <c r="Q2214" s="107" t="s">
        <v>432</v>
      </c>
      <c r="R2214" s="107" t="s">
        <v>432</v>
      </c>
      <c r="S2214" s="109" t="s">
        <v>2209</v>
      </c>
      <c r="T2214" s="107" t="s">
        <v>432</v>
      </c>
      <c r="U2214" s="107" t="s">
        <v>432</v>
      </c>
      <c r="V2214" s="109" t="s">
        <v>2209</v>
      </c>
      <c r="W2214" s="107" t="s">
        <v>432</v>
      </c>
      <c r="X2214" s="107" t="s">
        <v>432</v>
      </c>
      <c r="Y2214" s="107" t="s">
        <v>432</v>
      </c>
      <c r="Z2214" s="107" t="s">
        <v>432</v>
      </c>
      <c r="AA2214" s="107" t="s">
        <v>432</v>
      </c>
      <c r="AB2214" s="107" t="s">
        <v>432</v>
      </c>
      <c r="AC2214" s="107" t="s">
        <v>432</v>
      </c>
      <c r="AD2214" s="107" t="s">
        <v>432</v>
      </c>
      <c r="AE2214" s="107" t="s">
        <v>432</v>
      </c>
      <c r="AF2214" s="107" t="s">
        <v>432</v>
      </c>
      <c r="AG2214" s="107" t="s">
        <v>432</v>
      </c>
      <c r="AH2214" s="107" t="s">
        <v>432</v>
      </c>
      <c r="AI2214" s="107" t="s">
        <v>432</v>
      </c>
      <c r="AJ2214" s="107" t="s">
        <v>432</v>
      </c>
      <c r="AK2214" s="137" t="s">
        <v>432</v>
      </c>
      <c r="AL2214" s="601" t="s">
        <v>432</v>
      </c>
      <c r="AM2214" s="137" t="s">
        <v>432</v>
      </c>
      <c r="AN2214" s="137" t="s">
        <v>432</v>
      </c>
      <c r="AO2214" s="137" t="s">
        <v>432</v>
      </c>
      <c r="AP2214" s="137" t="s">
        <v>432</v>
      </c>
      <c r="AQ2214" s="137" t="s">
        <v>432</v>
      </c>
      <c r="AR2214" s="137" t="s">
        <v>432</v>
      </c>
      <c r="AS2214" s="137" t="s">
        <v>432</v>
      </c>
      <c r="AT2214" s="137" t="s">
        <v>432</v>
      </c>
      <c r="AU2214" s="137" t="s">
        <v>432</v>
      </c>
      <c r="AV2214" s="137" t="s">
        <v>432</v>
      </c>
      <c r="AW2214" s="137" t="s">
        <v>432</v>
      </c>
      <c r="AX2214" s="137" t="s">
        <v>432</v>
      </c>
      <c r="AY2214" s="137" t="s">
        <v>432</v>
      </c>
      <c r="AZ2214" s="137" t="s">
        <v>432</v>
      </c>
      <c r="BA2214" s="137" t="s">
        <v>432</v>
      </c>
      <c r="BB2214" s="239" t="str">
        <f>B2214&amp;C2214</f>
        <v>Relatórios e outros documentosx</v>
      </c>
      <c r="BC2214" s="239" t="str">
        <f>B2214&amp;C2214&amp;H2214</f>
        <v>Relatórios e outros documentosxsigla/verbete</v>
      </c>
      <c r="BD2214" s="239" t="str">
        <f>B2214&amp;H2214</f>
        <v>Relatórios e outros documentossigla/verbete</v>
      </c>
    </row>
    <row r="2215" spans="1:56" s="1" customFormat="1" ht="63" customHeight="1" x14ac:dyDescent="0.25">
      <c r="A2215" s="262" t="s">
        <v>432</v>
      </c>
      <c r="B2215" s="252" t="s">
        <v>742</v>
      </c>
      <c r="C2215" s="167" t="s">
        <v>432</v>
      </c>
      <c r="D2215" s="324" t="s">
        <v>358</v>
      </c>
      <c r="E2215" s="1496" t="s">
        <v>432</v>
      </c>
      <c r="F2215" s="11" t="s">
        <v>659</v>
      </c>
      <c r="G2215" s="167" t="s">
        <v>3879</v>
      </c>
      <c r="H2215" s="167" t="s">
        <v>432</v>
      </c>
      <c r="I2215" s="167" t="s">
        <v>432</v>
      </c>
      <c r="J2215" s="107" t="s">
        <v>432</v>
      </c>
      <c r="K2215" s="107" t="s">
        <v>432</v>
      </c>
      <c r="L2215" s="107" t="s">
        <v>432</v>
      </c>
      <c r="M2215" s="107" t="s">
        <v>432</v>
      </c>
      <c r="N2215" s="107" t="s">
        <v>432</v>
      </c>
      <c r="O2215" s="107" t="s">
        <v>432</v>
      </c>
      <c r="P2215" s="107" t="s">
        <v>432</v>
      </c>
      <c r="Q2215" s="107" t="s">
        <v>432</v>
      </c>
      <c r="R2215" s="107" t="s">
        <v>432</v>
      </c>
      <c r="S2215" s="109" t="s">
        <v>2209</v>
      </c>
      <c r="T2215" s="107" t="s">
        <v>432</v>
      </c>
      <c r="U2215" s="107" t="s">
        <v>432</v>
      </c>
      <c r="V2215" s="109" t="s">
        <v>2209</v>
      </c>
      <c r="W2215" s="107" t="s">
        <v>432</v>
      </c>
      <c r="X2215" s="107" t="s">
        <v>432</v>
      </c>
      <c r="Y2215" s="107" t="s">
        <v>432</v>
      </c>
      <c r="Z2215" s="107" t="s">
        <v>432</v>
      </c>
      <c r="AA2215" s="107" t="s">
        <v>432</v>
      </c>
      <c r="AB2215" s="107" t="s">
        <v>432</v>
      </c>
      <c r="AC2215" s="107" t="s">
        <v>432</v>
      </c>
      <c r="AD2215" s="107" t="s">
        <v>432</v>
      </c>
      <c r="AE2215" s="107" t="s">
        <v>432</v>
      </c>
      <c r="AF2215" s="107" t="s">
        <v>432</v>
      </c>
      <c r="AG2215" s="107" t="s">
        <v>432</v>
      </c>
      <c r="AH2215" s="107" t="s">
        <v>432</v>
      </c>
      <c r="AI2215" s="107" t="s">
        <v>432</v>
      </c>
      <c r="AJ2215" s="107" t="s">
        <v>432</v>
      </c>
      <c r="AK2215" s="137" t="s">
        <v>432</v>
      </c>
      <c r="AL2215" s="601" t="s">
        <v>432</v>
      </c>
      <c r="AM2215" s="137" t="s">
        <v>432</v>
      </c>
      <c r="AN2215" s="137" t="s">
        <v>432</v>
      </c>
      <c r="AO2215" s="137" t="s">
        <v>432</v>
      </c>
      <c r="AP2215" s="137" t="s">
        <v>432</v>
      </c>
      <c r="AQ2215" s="137" t="s">
        <v>432</v>
      </c>
      <c r="AR2215" s="137" t="s">
        <v>432</v>
      </c>
      <c r="AS2215" s="137" t="s">
        <v>432</v>
      </c>
      <c r="AT2215" s="137" t="s">
        <v>432</v>
      </c>
      <c r="AU2215" s="137" t="s">
        <v>432</v>
      </c>
      <c r="AV2215" s="137" t="s">
        <v>432</v>
      </c>
      <c r="AW2215" s="137" t="s">
        <v>432</v>
      </c>
      <c r="AX2215" s="137" t="s">
        <v>432</v>
      </c>
      <c r="AY2215" s="137" t="s">
        <v>432</v>
      </c>
      <c r="AZ2215" s="137" t="s">
        <v>432</v>
      </c>
      <c r="BA2215" s="137" t="s">
        <v>432</v>
      </c>
      <c r="BB2215" s="239" t="str">
        <f t="shared" si="606"/>
        <v>geralx</v>
      </c>
      <c r="BC2215" s="239" t="str">
        <f t="shared" si="607"/>
        <v>geralxx</v>
      </c>
      <c r="BD2215" s="239" t="str">
        <f t="shared" si="608"/>
        <v>geralx</v>
      </c>
    </row>
    <row r="2216" spans="1:56" s="1" customFormat="1" ht="63" customHeight="1" x14ac:dyDescent="0.25">
      <c r="A2216" s="262" t="s">
        <v>432</v>
      </c>
      <c r="B2216" s="252" t="s">
        <v>742</v>
      </c>
      <c r="C2216" s="167" t="s">
        <v>432</v>
      </c>
      <c r="D2216" s="324" t="s">
        <v>359</v>
      </c>
      <c r="E2216" s="1496" t="s">
        <v>432</v>
      </c>
      <c r="F2216" s="165" t="s">
        <v>897</v>
      </c>
      <c r="G2216" s="167" t="s">
        <v>3879</v>
      </c>
      <c r="H2216" s="167" t="s">
        <v>432</v>
      </c>
      <c r="I2216" s="167" t="s">
        <v>432</v>
      </c>
      <c r="J2216" s="107" t="s">
        <v>432</v>
      </c>
      <c r="K2216" s="107" t="s">
        <v>432</v>
      </c>
      <c r="L2216" s="107" t="s">
        <v>432</v>
      </c>
      <c r="M2216" s="107" t="s">
        <v>432</v>
      </c>
      <c r="N2216" s="107" t="s">
        <v>432</v>
      </c>
      <c r="O2216" s="107" t="s">
        <v>432</v>
      </c>
      <c r="P2216" s="107" t="s">
        <v>432</v>
      </c>
      <c r="Q2216" s="107" t="s">
        <v>432</v>
      </c>
      <c r="R2216" s="107" t="s">
        <v>432</v>
      </c>
      <c r="S2216" s="109" t="s">
        <v>2209</v>
      </c>
      <c r="T2216" s="107" t="s">
        <v>432</v>
      </c>
      <c r="U2216" s="107" t="s">
        <v>432</v>
      </c>
      <c r="V2216" s="109" t="s">
        <v>2209</v>
      </c>
      <c r="W2216" s="107" t="s">
        <v>432</v>
      </c>
      <c r="X2216" s="107" t="s">
        <v>432</v>
      </c>
      <c r="Y2216" s="107" t="s">
        <v>432</v>
      </c>
      <c r="Z2216" s="107" t="s">
        <v>432</v>
      </c>
      <c r="AA2216" s="107" t="s">
        <v>432</v>
      </c>
      <c r="AB2216" s="107" t="s">
        <v>432</v>
      </c>
      <c r="AC2216" s="107" t="s">
        <v>432</v>
      </c>
      <c r="AD2216" s="107" t="s">
        <v>432</v>
      </c>
      <c r="AE2216" s="107" t="s">
        <v>432</v>
      </c>
      <c r="AF2216" s="107" t="s">
        <v>432</v>
      </c>
      <c r="AG2216" s="107" t="s">
        <v>432</v>
      </c>
      <c r="AH2216" s="107" t="s">
        <v>432</v>
      </c>
      <c r="AI2216" s="107" t="s">
        <v>432</v>
      </c>
      <c r="AJ2216" s="107" t="s">
        <v>432</v>
      </c>
      <c r="AK2216" s="137" t="s">
        <v>432</v>
      </c>
      <c r="AL2216" s="601" t="s">
        <v>432</v>
      </c>
      <c r="AM2216" s="137" t="s">
        <v>432</v>
      </c>
      <c r="AN2216" s="137" t="s">
        <v>432</v>
      </c>
      <c r="AO2216" s="137" t="s">
        <v>432</v>
      </c>
      <c r="AP2216" s="137" t="s">
        <v>432</v>
      </c>
      <c r="AQ2216" s="137" t="s">
        <v>432</v>
      </c>
      <c r="AR2216" s="137" t="s">
        <v>432</v>
      </c>
      <c r="AS2216" s="137" t="s">
        <v>432</v>
      </c>
      <c r="AT2216" s="137" t="s">
        <v>432</v>
      </c>
      <c r="AU2216" s="137" t="s">
        <v>432</v>
      </c>
      <c r="AV2216" s="137" t="s">
        <v>432</v>
      </c>
      <c r="AW2216" s="137" t="s">
        <v>432</v>
      </c>
      <c r="AX2216" s="137" t="s">
        <v>432</v>
      </c>
      <c r="AY2216" s="137" t="s">
        <v>432</v>
      </c>
      <c r="AZ2216" s="137" t="s">
        <v>432</v>
      </c>
      <c r="BA2216" s="137" t="s">
        <v>432</v>
      </c>
      <c r="BB2216" s="239" t="str">
        <f t="shared" si="606"/>
        <v>geralx</v>
      </c>
      <c r="BC2216" s="239" t="str">
        <f t="shared" si="607"/>
        <v>geralxx</v>
      </c>
      <c r="BD2216" s="239" t="str">
        <f t="shared" si="608"/>
        <v>geralx</v>
      </c>
    </row>
    <row r="2217" spans="1:56" s="1" customFormat="1" ht="50.25" customHeight="1" x14ac:dyDescent="0.25">
      <c r="A2217" s="275" t="str">
        <f>'Q100b-totais'!$B$30</f>
        <v>3.5</v>
      </c>
      <c r="B2217" s="54" t="str">
        <f>'Q100b-totais'!$C$30</f>
        <v>Recursos humanos</v>
      </c>
      <c r="C2217" s="230" t="s">
        <v>432</v>
      </c>
      <c r="D2217" s="324" t="s">
        <v>360</v>
      </c>
      <c r="E2217" s="1402" t="s">
        <v>3729</v>
      </c>
      <c r="F2217" s="14" t="s">
        <v>4421</v>
      </c>
      <c r="G2217" s="408" t="s">
        <v>1613</v>
      </c>
      <c r="H2217" s="167" t="s">
        <v>432</v>
      </c>
      <c r="I2217" s="57">
        <v>1</v>
      </c>
      <c r="J2217" s="107" t="s">
        <v>432</v>
      </c>
      <c r="K2217" s="58" t="s">
        <v>432</v>
      </c>
      <c r="L2217" s="58" t="s">
        <v>432</v>
      </c>
      <c r="M2217" s="58" t="s">
        <v>432</v>
      </c>
      <c r="N2217" s="58" t="s">
        <v>432</v>
      </c>
      <c r="O2217" s="58" t="s">
        <v>432</v>
      </c>
      <c r="P2217" s="58" t="s">
        <v>432</v>
      </c>
      <c r="Q2217" s="58" t="s">
        <v>432</v>
      </c>
      <c r="R2217" s="58" t="s">
        <v>432</v>
      </c>
      <c r="S2217" s="109" t="s">
        <v>2209</v>
      </c>
      <c r="T2217" s="58" t="s">
        <v>432</v>
      </c>
      <c r="U2217" s="58" t="s">
        <v>432</v>
      </c>
      <c r="V2217" s="109" t="s">
        <v>2209</v>
      </c>
      <c r="W2217" s="58" t="s">
        <v>432</v>
      </c>
      <c r="X2217" s="58" t="s">
        <v>432</v>
      </c>
      <c r="Y2217" s="58" t="s">
        <v>432</v>
      </c>
      <c r="Z2217" s="58" t="s">
        <v>432</v>
      </c>
      <c r="AA2217" s="58" t="s">
        <v>432</v>
      </c>
      <c r="AB2217" s="20">
        <f t="shared" ref="AB2217:AH2217" si="630">AB2236+AB2241</f>
        <v>1922</v>
      </c>
      <c r="AC2217" s="20">
        <f t="shared" si="630"/>
        <v>1896</v>
      </c>
      <c r="AD2217" s="20">
        <f t="shared" si="630"/>
        <v>1944</v>
      </c>
      <c r="AE2217" s="20">
        <f t="shared" si="630"/>
        <v>1890</v>
      </c>
      <c r="AF2217" s="20">
        <f t="shared" si="630"/>
        <v>1846</v>
      </c>
      <c r="AG2217" s="20">
        <f t="shared" si="630"/>
        <v>1783</v>
      </c>
      <c r="AH2217" s="20">
        <f t="shared" si="630"/>
        <v>1795</v>
      </c>
      <c r="AI2217" s="20">
        <f>AI2236+AI2241</f>
        <v>1765</v>
      </c>
      <c r="AJ2217" s="20">
        <f>AJ2236+AJ2241</f>
        <v>1729</v>
      </c>
      <c r="AK2217" s="20">
        <f>AK2236+AK2241</f>
        <v>1898</v>
      </c>
      <c r="AL2217" s="601" t="s">
        <v>432</v>
      </c>
      <c r="AM2217" s="137" t="s">
        <v>432</v>
      </c>
      <c r="AN2217" s="137" t="s">
        <v>432</v>
      </c>
      <c r="AO2217" s="137" t="s">
        <v>432</v>
      </c>
      <c r="AP2217" s="137" t="s">
        <v>432</v>
      </c>
      <c r="AQ2217" s="137" t="s">
        <v>432</v>
      </c>
      <c r="AR2217" s="137" t="s">
        <v>432</v>
      </c>
      <c r="AS2217" s="137" t="s">
        <v>432</v>
      </c>
      <c r="AT2217" s="137" t="s">
        <v>432</v>
      </c>
      <c r="AU2217" s="137" t="s">
        <v>432</v>
      </c>
      <c r="AV2217" s="137" t="s">
        <v>432</v>
      </c>
      <c r="AW2217" s="137" t="s">
        <v>432</v>
      </c>
      <c r="AX2217" s="137" t="s">
        <v>432</v>
      </c>
      <c r="AY2217" s="137" t="s">
        <v>432</v>
      </c>
      <c r="AZ2217" s="137" t="s">
        <v>432</v>
      </c>
      <c r="BA2217" s="137" t="s">
        <v>432</v>
      </c>
      <c r="BB2217" s="239" t="str">
        <f t="shared" si="606"/>
        <v>Recursos humanosx</v>
      </c>
      <c r="BC2217" s="239" t="str">
        <f t="shared" si="607"/>
        <v>Recursos humanosxx</v>
      </c>
      <c r="BD2217" s="239" t="str">
        <f t="shared" si="608"/>
        <v>Recursos humanosx</v>
      </c>
    </row>
    <row r="2218" spans="1:56" s="1" customFormat="1" ht="37.5" customHeight="1" x14ac:dyDescent="0.25">
      <c r="A2218" s="275" t="str">
        <f>'Q100b-totais'!$B$30</f>
        <v>3.5</v>
      </c>
      <c r="B2218" s="54" t="str">
        <f>'Q100b-totais'!$C$30</f>
        <v>Recursos humanos</v>
      </c>
      <c r="C2218" s="230" t="s">
        <v>432</v>
      </c>
      <c r="D2218" s="324" t="s">
        <v>361</v>
      </c>
      <c r="E2218" s="1402" t="s">
        <v>3729</v>
      </c>
      <c r="F2218" s="14" t="s">
        <v>684</v>
      </c>
      <c r="G2218" s="408" t="s">
        <v>685</v>
      </c>
      <c r="H2218" s="167" t="s">
        <v>432</v>
      </c>
      <c r="I2218" s="57">
        <v>1</v>
      </c>
      <c r="J2218" s="107" t="s">
        <v>432</v>
      </c>
      <c r="K2218" s="58" t="s">
        <v>432</v>
      </c>
      <c r="L2218" s="58" t="s">
        <v>432</v>
      </c>
      <c r="M2218" s="58" t="s">
        <v>432</v>
      </c>
      <c r="N2218" s="58" t="s">
        <v>432</v>
      </c>
      <c r="O2218" s="58" t="s">
        <v>432</v>
      </c>
      <c r="P2218" s="23" t="s">
        <v>432</v>
      </c>
      <c r="Q2218" s="23" t="s">
        <v>432</v>
      </c>
      <c r="R2218" s="23" t="s">
        <v>432</v>
      </c>
      <c r="S2218" s="109" t="s">
        <v>2209</v>
      </c>
      <c r="T2218" s="23" t="s">
        <v>432</v>
      </c>
      <c r="U2218" s="23" t="s">
        <v>432</v>
      </c>
      <c r="V2218" s="109" t="s">
        <v>2209</v>
      </c>
      <c r="W2218" s="23" t="s">
        <v>432</v>
      </c>
      <c r="X2218" s="23" t="s">
        <v>432</v>
      </c>
      <c r="Y2218" s="23" t="s">
        <v>432</v>
      </c>
      <c r="Z2218" s="23" t="s">
        <v>432</v>
      </c>
      <c r="AA2218" s="23" t="s">
        <v>432</v>
      </c>
      <c r="AB2218" s="64">
        <f t="shared" ref="AB2218:AK2218" si="631">(AB2217/AB814)*1000</f>
        <v>2.063810619068021</v>
      </c>
      <c r="AC2218" s="64">
        <f t="shared" si="631"/>
        <v>1.8579765107083535</v>
      </c>
      <c r="AD2218" s="64">
        <f t="shared" si="631"/>
        <v>1.7556867905341027</v>
      </c>
      <c r="AE2218" s="64">
        <f t="shared" si="631"/>
        <v>1.5490216166376396</v>
      </c>
      <c r="AF2218" s="64">
        <f t="shared" si="631"/>
        <v>1.3854895859367553</v>
      </c>
      <c r="AG2218" s="64">
        <f t="shared" si="631"/>
        <v>1.2469708678791356</v>
      </c>
      <c r="AH2218" s="64">
        <f t="shared" si="631"/>
        <v>1.1908434422341416</v>
      </c>
      <c r="AI2218" s="64">
        <f t="shared" si="631"/>
        <v>1.1166468960063267</v>
      </c>
      <c r="AJ2218" s="64">
        <f t="shared" si="631"/>
        <v>1.0592967225518697</v>
      </c>
      <c r="AK2218" s="64">
        <f t="shared" si="631"/>
        <v>1.120614885756914</v>
      </c>
      <c r="AL2218" s="601" t="s">
        <v>432</v>
      </c>
      <c r="AM2218" s="137" t="s">
        <v>432</v>
      </c>
      <c r="AN2218" s="137" t="s">
        <v>432</v>
      </c>
      <c r="AO2218" s="137" t="s">
        <v>432</v>
      </c>
      <c r="AP2218" s="137" t="s">
        <v>432</v>
      </c>
      <c r="AQ2218" s="137" t="s">
        <v>432</v>
      </c>
      <c r="AR2218" s="137" t="s">
        <v>432</v>
      </c>
      <c r="AS2218" s="137" t="s">
        <v>432</v>
      </c>
      <c r="AT2218" s="137" t="s">
        <v>432</v>
      </c>
      <c r="AU2218" s="137" t="s">
        <v>432</v>
      </c>
      <c r="AV2218" s="137" t="s">
        <v>432</v>
      </c>
      <c r="AW2218" s="137" t="s">
        <v>432</v>
      </c>
      <c r="AX2218" s="137" t="s">
        <v>432</v>
      </c>
      <c r="AY2218" s="137" t="s">
        <v>432</v>
      </c>
      <c r="AZ2218" s="137" t="s">
        <v>432</v>
      </c>
      <c r="BA2218" s="137" t="s">
        <v>432</v>
      </c>
      <c r="BB2218" s="239" t="str">
        <f t="shared" si="606"/>
        <v>Recursos humanosx</v>
      </c>
      <c r="BC2218" s="239" t="str">
        <f t="shared" si="607"/>
        <v>Recursos humanosxx</v>
      </c>
      <c r="BD2218" s="239" t="str">
        <f t="shared" si="608"/>
        <v>Recursos humanosx</v>
      </c>
    </row>
    <row r="2219" spans="1:56" s="1" customFormat="1" ht="35.25" customHeight="1" x14ac:dyDescent="0.25">
      <c r="A2219" s="275" t="str">
        <f>'Q100b-totais'!$B$30</f>
        <v>3.5</v>
      </c>
      <c r="B2219" s="54" t="str">
        <f>'Q100b-totais'!$C$30</f>
        <v>Recursos humanos</v>
      </c>
      <c r="C2219" s="230" t="s">
        <v>432</v>
      </c>
      <c r="D2219" s="324" t="s">
        <v>362</v>
      </c>
      <c r="E2219" s="1402" t="s">
        <v>3729</v>
      </c>
      <c r="F2219" s="14" t="s">
        <v>686</v>
      </c>
      <c r="G2219" s="408" t="s">
        <v>687</v>
      </c>
      <c r="H2219" s="167" t="s">
        <v>432</v>
      </c>
      <c r="I2219" s="57">
        <v>1</v>
      </c>
      <c r="J2219" s="107" t="s">
        <v>432</v>
      </c>
      <c r="K2219" s="58" t="s">
        <v>432</v>
      </c>
      <c r="L2219" s="58" t="s">
        <v>432</v>
      </c>
      <c r="M2219" s="58" t="s">
        <v>432</v>
      </c>
      <c r="N2219" s="58" t="s">
        <v>432</v>
      </c>
      <c r="O2219" s="58" t="s">
        <v>432</v>
      </c>
      <c r="P2219" s="23" t="s">
        <v>432</v>
      </c>
      <c r="Q2219" s="23" t="s">
        <v>432</v>
      </c>
      <c r="R2219" s="23" t="s">
        <v>432</v>
      </c>
      <c r="S2219" s="109" t="s">
        <v>2209</v>
      </c>
      <c r="T2219" s="23" t="s">
        <v>432</v>
      </c>
      <c r="U2219" s="23" t="s">
        <v>432</v>
      </c>
      <c r="V2219" s="109" t="s">
        <v>2209</v>
      </c>
      <c r="W2219" s="23" t="s">
        <v>432</v>
      </c>
      <c r="X2219" s="23" t="s">
        <v>432</v>
      </c>
      <c r="Y2219" s="23" t="s">
        <v>432</v>
      </c>
      <c r="Z2219" s="23" t="s">
        <v>432</v>
      </c>
      <c r="AA2219" s="23" t="s">
        <v>432</v>
      </c>
      <c r="AB2219" s="72">
        <f t="shared" ref="AB2219:AK2219" si="632">(AB2217/AB1855)*1000000</f>
        <v>800.86002866762226</v>
      </c>
      <c r="AC2219" s="72">
        <f t="shared" si="632"/>
        <v>785.76440246885852</v>
      </c>
      <c r="AD2219" s="72">
        <f t="shared" si="632"/>
        <v>798.47468334153439</v>
      </c>
      <c r="AE2219" s="72">
        <f t="shared" si="632"/>
        <v>770.60543900657956</v>
      </c>
      <c r="AF2219" s="72">
        <f t="shared" si="632"/>
        <v>777.21374346304719</v>
      </c>
      <c r="AG2219" s="72">
        <f t="shared" si="632"/>
        <v>747.38854143961373</v>
      </c>
      <c r="AH2219" s="72">
        <f t="shared" si="632"/>
        <v>749.23250625577839</v>
      </c>
      <c r="AI2219" s="72">
        <f t="shared" si="632"/>
        <v>711.93325171983315</v>
      </c>
      <c r="AJ2219" s="72">
        <f t="shared" si="632"/>
        <v>694.06838480371596</v>
      </c>
      <c r="AK2219" s="72">
        <f t="shared" si="632"/>
        <v>758.42428364269028</v>
      </c>
      <c r="AL2219" s="601" t="s">
        <v>432</v>
      </c>
      <c r="AM2219" s="137" t="s">
        <v>432</v>
      </c>
      <c r="AN2219" s="137" t="s">
        <v>432</v>
      </c>
      <c r="AO2219" s="137" t="s">
        <v>432</v>
      </c>
      <c r="AP2219" s="137" t="s">
        <v>432</v>
      </c>
      <c r="AQ2219" s="137" t="s">
        <v>432</v>
      </c>
      <c r="AR2219" s="137" t="s">
        <v>432</v>
      </c>
      <c r="AS2219" s="137" t="s">
        <v>432</v>
      </c>
      <c r="AT2219" s="137" t="s">
        <v>432</v>
      </c>
      <c r="AU2219" s="137" t="s">
        <v>432</v>
      </c>
      <c r="AV2219" s="137" t="s">
        <v>432</v>
      </c>
      <c r="AW2219" s="137" t="s">
        <v>432</v>
      </c>
      <c r="AX2219" s="137" t="s">
        <v>432</v>
      </c>
      <c r="AY2219" s="137" t="s">
        <v>432</v>
      </c>
      <c r="AZ2219" s="137" t="s">
        <v>432</v>
      </c>
      <c r="BA2219" s="137" t="s">
        <v>432</v>
      </c>
      <c r="BB2219" s="239" t="str">
        <f t="shared" si="606"/>
        <v>Recursos humanosx</v>
      </c>
      <c r="BC2219" s="239" t="str">
        <f t="shared" si="607"/>
        <v>Recursos humanosxx</v>
      </c>
      <c r="BD2219" s="239" t="str">
        <f t="shared" si="608"/>
        <v>Recursos humanosx</v>
      </c>
    </row>
    <row r="2220" spans="1:56" s="1" customFormat="1" ht="83.25" customHeight="1" x14ac:dyDescent="0.25">
      <c r="A2220" s="275" t="str">
        <f>'Q100b-totais'!$B$30</f>
        <v>3.5</v>
      </c>
      <c r="B2220" s="54" t="str">
        <f>'Q100b-totais'!$C$30</f>
        <v>Recursos humanos</v>
      </c>
      <c r="C2220" s="230" t="s">
        <v>432</v>
      </c>
      <c r="D2220" s="325" t="s">
        <v>1605</v>
      </c>
      <c r="E2220" s="1512" t="s">
        <v>1306</v>
      </c>
      <c r="F2220" s="252" t="s">
        <v>4557</v>
      </c>
      <c r="G2220" s="110" t="s">
        <v>77</v>
      </c>
      <c r="H2220" s="57" t="s">
        <v>432</v>
      </c>
      <c r="I2220" s="57">
        <v>1</v>
      </c>
      <c r="J2220" s="107" t="s">
        <v>432</v>
      </c>
      <c r="K2220" s="622" t="s">
        <v>2148</v>
      </c>
      <c r="L2220" s="622" t="s">
        <v>2148</v>
      </c>
      <c r="M2220" s="622" t="s">
        <v>2148</v>
      </c>
      <c r="N2220" s="622" t="s">
        <v>2148</v>
      </c>
      <c r="O2220" s="622" t="s">
        <v>2148</v>
      </c>
      <c r="P2220" s="622" t="s">
        <v>2148</v>
      </c>
      <c r="Q2220" s="622" t="s">
        <v>2148</v>
      </c>
      <c r="R2220" s="622" t="s">
        <v>2148</v>
      </c>
      <c r="S2220" s="109" t="s">
        <v>2209</v>
      </c>
      <c r="T2220" s="622" t="s">
        <v>2148</v>
      </c>
      <c r="U2220" s="622" t="s">
        <v>2148</v>
      </c>
      <c r="V2220" s="109" t="s">
        <v>2209</v>
      </c>
      <c r="W2220" s="622" t="s">
        <v>2148</v>
      </c>
      <c r="X2220" s="622" t="s">
        <v>2148</v>
      </c>
      <c r="Y2220" s="622" t="s">
        <v>2148</v>
      </c>
      <c r="Z2220" s="622" t="s">
        <v>2148</v>
      </c>
      <c r="AA2220" s="622" t="s">
        <v>2148</v>
      </c>
      <c r="AB2220" s="622" t="s">
        <v>2148</v>
      </c>
      <c r="AC2220" s="622" t="s">
        <v>2148</v>
      </c>
      <c r="AD2220" s="622" t="s">
        <v>2148</v>
      </c>
      <c r="AE2220" s="622" t="s">
        <v>2148</v>
      </c>
      <c r="AF2220" s="622" t="s">
        <v>2148</v>
      </c>
      <c r="AG2220" s="622" t="s">
        <v>2148</v>
      </c>
      <c r="AH2220" s="622" t="s">
        <v>2148</v>
      </c>
      <c r="AI2220" s="622" t="s">
        <v>2148</v>
      </c>
      <c r="AJ2220" s="622" t="s">
        <v>2148</v>
      </c>
      <c r="AK2220" s="622" t="s">
        <v>2148</v>
      </c>
      <c r="AL2220" s="601" t="s">
        <v>432</v>
      </c>
      <c r="AM2220" s="137" t="s">
        <v>432</v>
      </c>
      <c r="AN2220" s="137" t="s">
        <v>432</v>
      </c>
      <c r="AO2220" s="137" t="s">
        <v>432</v>
      </c>
      <c r="AP2220" s="137" t="s">
        <v>432</v>
      </c>
      <c r="AQ2220" s="137" t="s">
        <v>432</v>
      </c>
      <c r="AR2220" s="137" t="s">
        <v>432</v>
      </c>
      <c r="AS2220" s="137" t="s">
        <v>432</v>
      </c>
      <c r="AT2220" s="137" t="s">
        <v>432</v>
      </c>
      <c r="AU2220" s="137" t="s">
        <v>432</v>
      </c>
      <c r="AV2220" s="137" t="s">
        <v>432</v>
      </c>
      <c r="AW2220" s="137" t="s">
        <v>432</v>
      </c>
      <c r="AX2220" s="137" t="s">
        <v>432</v>
      </c>
      <c r="AY2220" s="137" t="s">
        <v>432</v>
      </c>
      <c r="AZ2220" s="137" t="s">
        <v>432</v>
      </c>
      <c r="BA2220" s="137" t="s">
        <v>432</v>
      </c>
      <c r="BB2220" s="239" t="str">
        <f t="shared" ref="BB2220:BB2279" si="633">B2220&amp;C2220</f>
        <v>Recursos humanosx</v>
      </c>
      <c r="BC2220" s="239" t="str">
        <f t="shared" ref="BC2220:BC2279" si="634">B2220&amp;C2220&amp;H2220</f>
        <v>Recursos humanosxx</v>
      </c>
      <c r="BD2220" s="239" t="str">
        <f t="shared" ref="BD2220:BD2279" si="635">B2220&amp;H2220</f>
        <v>Recursos humanosx</v>
      </c>
    </row>
    <row r="2221" spans="1:56" s="1" customFormat="1" ht="31.5" x14ac:dyDescent="0.25">
      <c r="A2221" s="275" t="str">
        <f>'Q100b-totais'!$B$30</f>
        <v>3.5</v>
      </c>
      <c r="B2221" s="54" t="str">
        <f>'Q100b-totais'!$C$30</f>
        <v>Recursos humanos</v>
      </c>
      <c r="C2221" s="230" t="s">
        <v>432</v>
      </c>
      <c r="D2221" s="325" t="s">
        <v>1606</v>
      </c>
      <c r="E2221" s="509" t="s">
        <v>1306</v>
      </c>
      <c r="F2221" s="11" t="s">
        <v>1897</v>
      </c>
      <c r="G2221" s="58" t="s">
        <v>363</v>
      </c>
      <c r="H2221" s="57" t="s">
        <v>432</v>
      </c>
      <c r="I2221" s="57">
        <v>1</v>
      </c>
      <c r="J2221" s="107" t="s">
        <v>432</v>
      </c>
      <c r="K2221" s="58" t="e">
        <f t="shared" ref="K2221:R2221" si="636">(K2220/K814)*10000</f>
        <v>#VALUE!</v>
      </c>
      <c r="L2221" s="58" t="e">
        <f t="shared" si="636"/>
        <v>#VALUE!</v>
      </c>
      <c r="M2221" s="58" t="e">
        <f t="shared" si="636"/>
        <v>#VALUE!</v>
      </c>
      <c r="N2221" s="58" t="e">
        <f t="shared" si="636"/>
        <v>#VALUE!</v>
      </c>
      <c r="O2221" s="58" t="e">
        <f t="shared" si="636"/>
        <v>#VALUE!</v>
      </c>
      <c r="P2221" s="58" t="e">
        <f t="shared" si="636"/>
        <v>#VALUE!</v>
      </c>
      <c r="Q2221" s="58" t="e">
        <f t="shared" si="636"/>
        <v>#VALUE!</v>
      </c>
      <c r="R2221" s="58" t="e">
        <f t="shared" si="636"/>
        <v>#VALUE!</v>
      </c>
      <c r="S2221" s="109" t="s">
        <v>2209</v>
      </c>
      <c r="T2221" s="58" t="e">
        <f>(T2220/T814)*10000</f>
        <v>#VALUE!</v>
      </c>
      <c r="U2221" s="58" t="e">
        <f>(U2220/U814)*10000</f>
        <v>#VALUE!</v>
      </c>
      <c r="V2221" s="109" t="s">
        <v>2209</v>
      </c>
      <c r="W2221" s="58" t="e">
        <f t="shared" ref="W2221:AK2221" si="637">(W2220/W814)*10000</f>
        <v>#VALUE!</v>
      </c>
      <c r="X2221" s="58" t="e">
        <f t="shared" si="637"/>
        <v>#VALUE!</v>
      </c>
      <c r="Y2221" s="58" t="e">
        <f t="shared" si="637"/>
        <v>#VALUE!</v>
      </c>
      <c r="Z2221" s="58" t="e">
        <f t="shared" si="637"/>
        <v>#VALUE!</v>
      </c>
      <c r="AA2221" s="58" t="e">
        <f t="shared" si="637"/>
        <v>#VALUE!</v>
      </c>
      <c r="AB2221" s="58" t="e">
        <f t="shared" si="637"/>
        <v>#VALUE!</v>
      </c>
      <c r="AC2221" s="58" t="e">
        <f t="shared" si="637"/>
        <v>#VALUE!</v>
      </c>
      <c r="AD2221" s="58" t="e">
        <f t="shared" si="637"/>
        <v>#VALUE!</v>
      </c>
      <c r="AE2221" s="58" t="e">
        <f t="shared" si="637"/>
        <v>#VALUE!</v>
      </c>
      <c r="AF2221" s="58" t="e">
        <f t="shared" si="637"/>
        <v>#VALUE!</v>
      </c>
      <c r="AG2221" s="58" t="e">
        <f t="shared" si="637"/>
        <v>#VALUE!</v>
      </c>
      <c r="AH2221" s="58" t="e">
        <f t="shared" si="637"/>
        <v>#VALUE!</v>
      </c>
      <c r="AI2221" s="58" t="e">
        <f t="shared" si="637"/>
        <v>#VALUE!</v>
      </c>
      <c r="AJ2221" s="58" t="e">
        <f t="shared" si="637"/>
        <v>#VALUE!</v>
      </c>
      <c r="AK2221" s="58" t="e">
        <f t="shared" si="637"/>
        <v>#VALUE!</v>
      </c>
      <c r="AL2221" s="601" t="s">
        <v>432</v>
      </c>
      <c r="AM2221" s="137" t="s">
        <v>432</v>
      </c>
      <c r="AN2221" s="137" t="s">
        <v>432</v>
      </c>
      <c r="AO2221" s="137" t="s">
        <v>432</v>
      </c>
      <c r="AP2221" s="137" t="s">
        <v>432</v>
      </c>
      <c r="AQ2221" s="137" t="s">
        <v>432</v>
      </c>
      <c r="AR2221" s="137" t="s">
        <v>432</v>
      </c>
      <c r="AS2221" s="137" t="s">
        <v>432</v>
      </c>
      <c r="AT2221" s="137" t="s">
        <v>432</v>
      </c>
      <c r="AU2221" s="137" t="s">
        <v>432</v>
      </c>
      <c r="AV2221" s="137" t="s">
        <v>432</v>
      </c>
      <c r="AW2221" s="137" t="s">
        <v>432</v>
      </c>
      <c r="AX2221" s="137" t="s">
        <v>432</v>
      </c>
      <c r="AY2221" s="137" t="s">
        <v>432</v>
      </c>
      <c r="AZ2221" s="137" t="s">
        <v>432</v>
      </c>
      <c r="BA2221" s="137" t="s">
        <v>432</v>
      </c>
      <c r="BB2221" s="239" t="str">
        <f t="shared" si="633"/>
        <v>Recursos humanosx</v>
      </c>
      <c r="BC2221" s="239" t="str">
        <f t="shared" si="634"/>
        <v>Recursos humanosxx</v>
      </c>
      <c r="BD2221" s="239" t="str">
        <f t="shared" si="635"/>
        <v>Recursos humanosx</v>
      </c>
    </row>
    <row r="2222" spans="1:56" s="1" customFormat="1" ht="85.5" customHeight="1" x14ac:dyDescent="0.25">
      <c r="A2222" s="275" t="str">
        <f>'Q100b-totais'!$B$30</f>
        <v>3.5</v>
      </c>
      <c r="B2222" s="54" t="str">
        <f>'Q100b-totais'!$C$30</f>
        <v>Recursos humanos</v>
      </c>
      <c r="C2222" s="230" t="s">
        <v>432</v>
      </c>
      <c r="D2222" s="324" t="s">
        <v>1604</v>
      </c>
      <c r="E2222" s="1402" t="s">
        <v>3729</v>
      </c>
      <c r="F2222" s="14" t="s">
        <v>4572</v>
      </c>
      <c r="G2222" s="409" t="s">
        <v>1612</v>
      </c>
      <c r="H2222" s="167" t="s">
        <v>432</v>
      </c>
      <c r="I2222" s="57">
        <v>1</v>
      </c>
      <c r="J2222" s="107" t="s">
        <v>432</v>
      </c>
      <c r="K2222" s="622" t="s">
        <v>2148</v>
      </c>
      <c r="L2222" s="622" t="s">
        <v>2148</v>
      </c>
      <c r="M2222" s="622" t="s">
        <v>2148</v>
      </c>
      <c r="N2222" s="622" t="s">
        <v>2148</v>
      </c>
      <c r="O2222" s="622" t="s">
        <v>2148</v>
      </c>
      <c r="P2222" s="622" t="s">
        <v>2148</v>
      </c>
      <c r="Q2222" s="622" t="s">
        <v>2148</v>
      </c>
      <c r="R2222" s="622" t="s">
        <v>2148</v>
      </c>
      <c r="S2222" s="109" t="s">
        <v>2209</v>
      </c>
      <c r="T2222" s="622" t="s">
        <v>2148</v>
      </c>
      <c r="U2222" s="622" t="s">
        <v>2148</v>
      </c>
      <c r="V2222" s="109" t="s">
        <v>2209</v>
      </c>
      <c r="W2222" s="622" t="s">
        <v>2148</v>
      </c>
      <c r="X2222" s="622" t="s">
        <v>2148</v>
      </c>
      <c r="Y2222" s="622" t="s">
        <v>2148</v>
      </c>
      <c r="Z2222" s="622" t="s">
        <v>2148</v>
      </c>
      <c r="AA2222" s="622" t="s">
        <v>2148</v>
      </c>
      <c r="AB2222" s="87">
        <v>1018</v>
      </c>
      <c r="AC2222" s="87">
        <v>1016</v>
      </c>
      <c r="AD2222" s="87">
        <v>1040</v>
      </c>
      <c r="AE2222" s="87">
        <v>1039</v>
      </c>
      <c r="AF2222" s="87">
        <v>1043</v>
      </c>
      <c r="AG2222" s="87">
        <v>1035</v>
      </c>
      <c r="AH2222" s="87">
        <v>1015</v>
      </c>
      <c r="AI2222" s="110">
        <v>981</v>
      </c>
      <c r="AJ2222" s="92">
        <v>1073</v>
      </c>
      <c r="AK2222" s="92">
        <v>1077</v>
      </c>
      <c r="AL2222" s="601" t="s">
        <v>432</v>
      </c>
      <c r="AM2222" s="137" t="s">
        <v>432</v>
      </c>
      <c r="AN2222" s="137" t="s">
        <v>432</v>
      </c>
      <c r="AO2222" s="137" t="s">
        <v>432</v>
      </c>
      <c r="AP2222" s="137" t="s">
        <v>432</v>
      </c>
      <c r="AQ2222" s="137" t="s">
        <v>432</v>
      </c>
      <c r="AR2222" s="137" t="s">
        <v>432</v>
      </c>
      <c r="AS2222" s="137" t="s">
        <v>432</v>
      </c>
      <c r="AT2222" s="137" t="s">
        <v>432</v>
      </c>
      <c r="AU2222" s="137" t="s">
        <v>432</v>
      </c>
      <c r="AV2222" s="137" t="s">
        <v>432</v>
      </c>
      <c r="AW2222" s="137" t="s">
        <v>432</v>
      </c>
      <c r="AX2222" s="137" t="s">
        <v>432</v>
      </c>
      <c r="AY2222" s="137" t="s">
        <v>432</v>
      </c>
      <c r="AZ2222" s="137" t="s">
        <v>432</v>
      </c>
      <c r="BA2222" s="137" t="s">
        <v>432</v>
      </c>
      <c r="BB2222" s="239" t="str">
        <f t="shared" si="633"/>
        <v>Recursos humanosx</v>
      </c>
      <c r="BC2222" s="239" t="str">
        <f t="shared" si="634"/>
        <v>Recursos humanosxx</v>
      </c>
      <c r="BD2222" s="239" t="str">
        <f t="shared" si="635"/>
        <v>Recursos humanosx</v>
      </c>
    </row>
    <row r="2223" spans="1:56" s="1" customFormat="1" ht="31.5" x14ac:dyDescent="0.25">
      <c r="A2223" s="275" t="str">
        <f>'Q100b-totais'!$B$30</f>
        <v>3.5</v>
      </c>
      <c r="B2223" s="54" t="str">
        <f>'Q100b-totais'!$C$30</f>
        <v>Recursos humanos</v>
      </c>
      <c r="C2223" s="230" t="s">
        <v>432</v>
      </c>
      <c r="D2223" s="847" t="s">
        <v>4427</v>
      </c>
      <c r="E2223" s="1402" t="s">
        <v>3729</v>
      </c>
      <c r="F2223" s="53" t="s">
        <v>3732</v>
      </c>
      <c r="G2223" s="58" t="s">
        <v>4588</v>
      </c>
      <c r="H2223" s="167" t="s">
        <v>432</v>
      </c>
      <c r="I2223" s="57">
        <v>1</v>
      </c>
      <c r="J2223" s="107" t="s">
        <v>432</v>
      </c>
      <c r="K2223" s="58" t="s">
        <v>432</v>
      </c>
      <c r="L2223" s="58" t="s">
        <v>432</v>
      </c>
      <c r="M2223" s="58" t="s">
        <v>432</v>
      </c>
      <c r="N2223" s="58" t="s">
        <v>432</v>
      </c>
      <c r="O2223" s="58" t="s">
        <v>432</v>
      </c>
      <c r="P2223" s="58" t="s">
        <v>432</v>
      </c>
      <c r="Q2223" s="58" t="s">
        <v>432</v>
      </c>
      <c r="R2223" s="58" t="s">
        <v>432</v>
      </c>
      <c r="S2223" s="109" t="s">
        <v>2209</v>
      </c>
      <c r="T2223" s="58" t="s">
        <v>432</v>
      </c>
      <c r="U2223" s="58" t="s">
        <v>432</v>
      </c>
      <c r="V2223" s="109" t="s">
        <v>2209</v>
      </c>
      <c r="W2223" s="58" t="s">
        <v>432</v>
      </c>
      <c r="X2223" s="58" t="s">
        <v>432</v>
      </c>
      <c r="Y2223" s="58" t="s">
        <v>432</v>
      </c>
      <c r="Z2223" s="58" t="s">
        <v>432</v>
      </c>
      <c r="AA2223" s="58" t="s">
        <v>432</v>
      </c>
      <c r="AB2223" s="47">
        <f>AB2222/AB2217</f>
        <v>0.5296566077003122</v>
      </c>
      <c r="AC2223" s="47">
        <f t="shared" ref="AC2223:AK2223" si="638">AC2222/AC2217</f>
        <v>0.53586497890295359</v>
      </c>
      <c r="AD2223" s="47">
        <f t="shared" si="638"/>
        <v>0.53497942386831276</v>
      </c>
      <c r="AE2223" s="47">
        <f t="shared" si="638"/>
        <v>0.54973544973544974</v>
      </c>
      <c r="AF2223" s="47">
        <f t="shared" si="638"/>
        <v>0.56500541711809316</v>
      </c>
      <c r="AG2223" s="47">
        <f t="shared" si="638"/>
        <v>0.58048233314638253</v>
      </c>
      <c r="AH2223" s="47">
        <f t="shared" si="638"/>
        <v>0.56545961002785516</v>
      </c>
      <c r="AI2223" s="47">
        <f t="shared" si="638"/>
        <v>0.55580736543909348</v>
      </c>
      <c r="AJ2223" s="47">
        <f t="shared" si="638"/>
        <v>0.62058993637941007</v>
      </c>
      <c r="AK2223" s="47">
        <f t="shared" si="638"/>
        <v>0.56743940990516328</v>
      </c>
      <c r="AL2223" s="601" t="s">
        <v>432</v>
      </c>
      <c r="AM2223" s="137" t="s">
        <v>432</v>
      </c>
      <c r="AN2223" s="137" t="s">
        <v>432</v>
      </c>
      <c r="AO2223" s="137" t="s">
        <v>432</v>
      </c>
      <c r="AP2223" s="137" t="s">
        <v>432</v>
      </c>
      <c r="AQ2223" s="137" t="s">
        <v>432</v>
      </c>
      <c r="AR2223" s="137" t="s">
        <v>432</v>
      </c>
      <c r="AS2223" s="137" t="s">
        <v>432</v>
      </c>
      <c r="AT2223" s="137" t="s">
        <v>432</v>
      </c>
      <c r="AU2223" s="137" t="s">
        <v>432</v>
      </c>
      <c r="AV2223" s="137" t="s">
        <v>432</v>
      </c>
      <c r="AW2223" s="137" t="s">
        <v>432</v>
      </c>
      <c r="AX2223" s="137" t="s">
        <v>432</v>
      </c>
      <c r="AY2223" s="137" t="s">
        <v>432</v>
      </c>
      <c r="AZ2223" s="137" t="s">
        <v>432</v>
      </c>
      <c r="BA2223" s="137" t="s">
        <v>432</v>
      </c>
      <c r="BB2223" s="239" t="str">
        <f t="shared" si="633"/>
        <v>Recursos humanosx</v>
      </c>
      <c r="BC2223" s="239" t="str">
        <f t="shared" si="634"/>
        <v>Recursos humanosxx</v>
      </c>
      <c r="BD2223" s="239" t="str">
        <f t="shared" si="635"/>
        <v>Recursos humanosx</v>
      </c>
    </row>
    <row r="2224" spans="1:56" s="1" customFormat="1" ht="84" customHeight="1" x14ac:dyDescent="0.25">
      <c r="A2224" s="275" t="str">
        <f>'Q100b-totais'!$B$30</f>
        <v>3.5</v>
      </c>
      <c r="B2224" s="1205" t="str">
        <f>'Q100b-totais'!$C$30</f>
        <v>Recursos humanos</v>
      </c>
      <c r="C2224" s="57">
        <v>174</v>
      </c>
      <c r="D2224" s="325" t="s">
        <v>4413</v>
      </c>
      <c r="E2224" s="1499" t="s">
        <v>3729</v>
      </c>
      <c r="F2224" s="188" t="s">
        <v>4573</v>
      </c>
      <c r="G2224" s="423" t="s">
        <v>4412</v>
      </c>
      <c r="H2224" s="167" t="s">
        <v>432</v>
      </c>
      <c r="I2224" s="57">
        <v>1</v>
      </c>
      <c r="J2224" s="107" t="s">
        <v>432</v>
      </c>
      <c r="K2224" s="1343" t="s">
        <v>1370</v>
      </c>
      <c r="L2224" s="1343" t="s">
        <v>1370</v>
      </c>
      <c r="M2224" s="1343" t="s">
        <v>1370</v>
      </c>
      <c r="N2224" s="1343" t="s">
        <v>1370</v>
      </c>
      <c r="O2224" s="1343" t="s">
        <v>1370</v>
      </c>
      <c r="P2224" s="1343" t="s">
        <v>1370</v>
      </c>
      <c r="Q2224" s="1343" t="s">
        <v>1370</v>
      </c>
      <c r="R2224" s="1343" t="s">
        <v>1370</v>
      </c>
      <c r="S2224" s="109" t="s">
        <v>2209</v>
      </c>
      <c r="T2224" s="1343" t="s">
        <v>1370</v>
      </c>
      <c r="U2224" s="1343" t="s">
        <v>1370</v>
      </c>
      <c r="V2224" s="109" t="s">
        <v>2209</v>
      </c>
      <c r="W2224" s="1343" t="s">
        <v>1370</v>
      </c>
      <c r="X2224" s="1343" t="s">
        <v>1370</v>
      </c>
      <c r="Y2224" s="1343" t="s">
        <v>1370</v>
      </c>
      <c r="Z2224" s="1343" t="s">
        <v>1370</v>
      </c>
      <c r="AA2224" s="1343" t="s">
        <v>1370</v>
      </c>
      <c r="AB2224" s="1343" t="s">
        <v>1370</v>
      </c>
      <c r="AC2224" s="1343" t="s">
        <v>1370</v>
      </c>
      <c r="AD2224" s="1343" t="s">
        <v>1370</v>
      </c>
      <c r="AE2224" s="1343" t="s">
        <v>1370</v>
      </c>
      <c r="AF2224" s="1343" t="s">
        <v>1370</v>
      </c>
      <c r="AG2224" s="1343" t="s">
        <v>1370</v>
      </c>
      <c r="AH2224" s="335">
        <v>160</v>
      </c>
      <c r="AI2224" s="87">
        <v>157</v>
      </c>
      <c r="AJ2224" s="87">
        <v>170</v>
      </c>
      <c r="AK2224" s="87">
        <v>174</v>
      </c>
      <c r="AL2224" s="601"/>
      <c r="AM2224" s="137"/>
      <c r="AN2224" s="137"/>
      <c r="AO2224" s="137"/>
      <c r="AP2224" s="137"/>
      <c r="AQ2224" s="137"/>
      <c r="AR2224" s="137"/>
      <c r="AS2224" s="137"/>
      <c r="AT2224" s="137"/>
      <c r="AU2224" s="137"/>
      <c r="AV2224" s="137"/>
      <c r="AW2224" s="137"/>
      <c r="AX2224" s="137"/>
      <c r="AY2224" s="137"/>
      <c r="AZ2224" s="137"/>
      <c r="BA2224" s="137"/>
      <c r="BB2224" s="239"/>
      <c r="BC2224" s="239"/>
      <c r="BD2224" s="239"/>
    </row>
    <row r="2225" spans="1:56" s="1" customFormat="1" ht="36.75" customHeight="1" x14ac:dyDescent="0.25">
      <c r="A2225" s="275" t="str">
        <f>'Q100b-totais'!$B$30</f>
        <v>3.5</v>
      </c>
      <c r="B2225" s="54" t="str">
        <f>'Q100b-totais'!$C$30</f>
        <v>Recursos humanos</v>
      </c>
      <c r="C2225" s="230" t="s">
        <v>743</v>
      </c>
      <c r="D2225" s="325" t="s">
        <v>1607</v>
      </c>
      <c r="E2225" s="1402" t="s">
        <v>1306</v>
      </c>
      <c r="F2225" s="14" t="s">
        <v>4580</v>
      </c>
      <c r="G2225" s="110" t="s">
        <v>77</v>
      </c>
      <c r="H2225" s="167" t="s">
        <v>432</v>
      </c>
      <c r="I2225" s="57">
        <v>1</v>
      </c>
      <c r="J2225" s="107" t="s">
        <v>432</v>
      </c>
      <c r="K2225" s="622" t="s">
        <v>2148</v>
      </c>
      <c r="L2225" s="622" t="s">
        <v>2148</v>
      </c>
      <c r="M2225" s="622" t="s">
        <v>2148</v>
      </c>
      <c r="N2225" s="622" t="s">
        <v>2148</v>
      </c>
      <c r="O2225" s="622" t="s">
        <v>2148</v>
      </c>
      <c r="P2225" s="84">
        <v>1</v>
      </c>
      <c r="Q2225" s="84">
        <v>2</v>
      </c>
      <c r="R2225" s="84">
        <v>12</v>
      </c>
      <c r="S2225" s="109" t="s">
        <v>2209</v>
      </c>
      <c r="T2225" s="84">
        <v>13</v>
      </c>
      <c r="U2225" s="84">
        <v>20</v>
      </c>
      <c r="V2225" s="109" t="s">
        <v>2209</v>
      </c>
      <c r="W2225" s="84">
        <v>19</v>
      </c>
      <c r="X2225" s="84">
        <v>18</v>
      </c>
      <c r="Y2225" s="84">
        <v>23</v>
      </c>
      <c r="Z2225" s="84">
        <v>23</v>
      </c>
      <c r="AA2225" s="84">
        <v>28</v>
      </c>
      <c r="AB2225" s="84">
        <v>22</v>
      </c>
      <c r="AC2225" s="84">
        <v>21</v>
      </c>
      <c r="AD2225" s="84">
        <v>23</v>
      </c>
      <c r="AE2225" s="84">
        <v>22</v>
      </c>
      <c r="AF2225" s="84">
        <v>21</v>
      </c>
      <c r="AG2225" s="84">
        <v>20</v>
      </c>
      <c r="AH2225" s="84">
        <v>20</v>
      </c>
      <c r="AI2225" s="84">
        <v>20</v>
      </c>
      <c r="AJ2225" s="84">
        <v>23</v>
      </c>
      <c r="AK2225" s="110">
        <v>23</v>
      </c>
      <c r="AL2225" s="601" t="s">
        <v>432</v>
      </c>
      <c r="AM2225" s="137" t="s">
        <v>432</v>
      </c>
      <c r="AN2225" s="137" t="s">
        <v>432</v>
      </c>
      <c r="AO2225" s="137" t="s">
        <v>432</v>
      </c>
      <c r="AP2225" s="137" t="s">
        <v>432</v>
      </c>
      <c r="AQ2225" s="137" t="s">
        <v>432</v>
      </c>
      <c r="AR2225" s="137" t="s">
        <v>432</v>
      </c>
      <c r="AS2225" s="137" t="s">
        <v>432</v>
      </c>
      <c r="AT2225" s="137" t="s">
        <v>432</v>
      </c>
      <c r="AU2225" s="137" t="s">
        <v>432</v>
      </c>
      <c r="AV2225" s="137" t="s">
        <v>432</v>
      </c>
      <c r="AW2225" s="137" t="s">
        <v>432</v>
      </c>
      <c r="AX2225" s="137" t="s">
        <v>432</v>
      </c>
      <c r="AY2225" s="137" t="s">
        <v>432</v>
      </c>
      <c r="AZ2225" s="137" t="s">
        <v>432</v>
      </c>
      <c r="BA2225" s="137" t="s">
        <v>432</v>
      </c>
      <c r="BB2225" s="239" t="str">
        <f t="shared" si="633"/>
        <v>Recursos humanosacessibilidade</v>
      </c>
      <c r="BC2225" s="239" t="str">
        <f t="shared" si="634"/>
        <v>Recursos humanosacessibilidadex</v>
      </c>
      <c r="BD2225" s="239" t="str">
        <f t="shared" si="635"/>
        <v>Recursos humanosx</v>
      </c>
    </row>
    <row r="2226" spans="1:56" s="1" customFormat="1" ht="140.25" customHeight="1" x14ac:dyDescent="0.25">
      <c r="A2226" s="275" t="str">
        <f>'Q100b-totais'!B30</f>
        <v>3.5</v>
      </c>
      <c r="B2226" s="54" t="str">
        <f>'Q100b-totais'!C30</f>
        <v>Recursos humanos</v>
      </c>
      <c r="C2226" s="230" t="s">
        <v>743</v>
      </c>
      <c r="D2226" s="325" t="s">
        <v>4443</v>
      </c>
      <c r="E2226" s="1402" t="s">
        <v>1767</v>
      </c>
      <c r="F2226" s="188" t="s">
        <v>3705</v>
      </c>
      <c r="G2226" s="167" t="s">
        <v>3507</v>
      </c>
      <c r="H2226" s="173" t="s">
        <v>2408</v>
      </c>
      <c r="I2226" s="167" t="s">
        <v>432</v>
      </c>
      <c r="J2226" s="107"/>
      <c r="K2226" s="107"/>
      <c r="L2226" s="107"/>
      <c r="M2226" s="107"/>
      <c r="N2226" s="107"/>
      <c r="O2226" s="107"/>
      <c r="P2226" s="107"/>
      <c r="Q2226" s="107"/>
      <c r="R2226" s="107"/>
      <c r="S2226" s="109"/>
      <c r="T2226" s="107"/>
      <c r="U2226" s="107"/>
      <c r="V2226" s="109"/>
      <c r="W2226" s="107"/>
      <c r="X2226" s="107"/>
      <c r="Y2226" s="107"/>
      <c r="Z2226" s="107"/>
      <c r="AA2226" s="107"/>
      <c r="AB2226" s="107"/>
      <c r="AC2226" s="107"/>
      <c r="AD2226" s="107"/>
      <c r="AE2226" s="107"/>
      <c r="AF2226" s="107"/>
      <c r="AG2226" s="107"/>
      <c r="AH2226" s="107"/>
      <c r="AI2226" s="107"/>
      <c r="AJ2226" s="107"/>
      <c r="AK2226" s="107"/>
      <c r="AL2226" s="601"/>
      <c r="AM2226" s="137"/>
      <c r="AN2226" s="137"/>
      <c r="AO2226" s="137"/>
      <c r="AP2226" s="137"/>
      <c r="AQ2226" s="137"/>
      <c r="AR2226" s="137"/>
      <c r="AS2226" s="137"/>
      <c r="AT2226" s="137"/>
      <c r="AU2226" s="137"/>
      <c r="AV2226" s="137"/>
      <c r="AW2226" s="137"/>
      <c r="AX2226" s="137"/>
      <c r="AY2226" s="137"/>
      <c r="AZ2226" s="137"/>
      <c r="BA2226" s="137"/>
      <c r="BB2226" s="239"/>
      <c r="BC2226" s="239"/>
      <c r="BD2226" s="239"/>
    </row>
    <row r="2227" spans="1:56" s="274" customFormat="1" ht="115.5" customHeight="1" x14ac:dyDescent="0.25">
      <c r="A2227" s="275" t="str">
        <f>'Q100b-totais'!$B$30</f>
        <v>3.5</v>
      </c>
      <c r="B2227" s="54" t="str">
        <f>'Q100b-totais'!$C$30</f>
        <v>Recursos humanos</v>
      </c>
      <c r="C2227" s="167" t="s">
        <v>743</v>
      </c>
      <c r="D2227" s="324" t="s">
        <v>4441</v>
      </c>
      <c r="E2227" s="254" t="s">
        <v>1767</v>
      </c>
      <c r="F2227" s="1170" t="s">
        <v>3733</v>
      </c>
      <c r="G2227" s="110" t="s">
        <v>2044</v>
      </c>
      <c r="H2227" s="167" t="s">
        <v>765</v>
      </c>
      <c r="I2227" s="167" t="s">
        <v>432</v>
      </c>
      <c r="J2227" s="107" t="s">
        <v>432</v>
      </c>
      <c r="K2227" s="622" t="s">
        <v>3210</v>
      </c>
      <c r="L2227" s="622" t="s">
        <v>3210</v>
      </c>
      <c r="M2227" s="622" t="s">
        <v>3210</v>
      </c>
      <c r="N2227" s="95">
        <v>0.05</v>
      </c>
      <c r="O2227" s="95">
        <v>0.05</v>
      </c>
      <c r="P2227" s="95">
        <v>0.05</v>
      </c>
      <c r="Q2227" s="95">
        <v>0.05</v>
      </c>
      <c r="R2227" s="95">
        <v>0.05</v>
      </c>
      <c r="S2227" s="109" t="s">
        <v>2209</v>
      </c>
      <c r="T2227" s="95">
        <v>0.05</v>
      </c>
      <c r="U2227" s="95">
        <v>0.05</v>
      </c>
      <c r="V2227" s="109" t="s">
        <v>2209</v>
      </c>
      <c r="W2227" s="95">
        <v>0.05</v>
      </c>
      <c r="X2227" s="95">
        <v>0.05</v>
      </c>
      <c r="Y2227" s="95">
        <v>0.05</v>
      </c>
      <c r="Z2227" s="95">
        <v>0.05</v>
      </c>
      <c r="AA2227" s="95">
        <v>0.05</v>
      </c>
      <c r="AB2227" s="95">
        <v>0.05</v>
      </c>
      <c r="AC2227" s="95">
        <v>0.05</v>
      </c>
      <c r="AD2227" s="95">
        <v>0.05</v>
      </c>
      <c r="AE2227" s="95">
        <v>0.05</v>
      </c>
      <c r="AF2227" s="95">
        <v>0.05</v>
      </c>
      <c r="AG2227" s="95">
        <v>0.05</v>
      </c>
      <c r="AH2227" s="95">
        <v>0.05</v>
      </c>
      <c r="AI2227" s="95">
        <v>0.05</v>
      </c>
      <c r="AJ2227" s="95">
        <v>0.05</v>
      </c>
      <c r="AK2227" s="95">
        <v>0.05</v>
      </c>
      <c r="AL2227" s="601" t="s">
        <v>432</v>
      </c>
      <c r="AM2227" s="137" t="s">
        <v>432</v>
      </c>
      <c r="AN2227" s="137" t="s">
        <v>432</v>
      </c>
      <c r="AO2227" s="137" t="s">
        <v>432</v>
      </c>
      <c r="AP2227" s="137" t="s">
        <v>432</v>
      </c>
      <c r="AQ2227" s="137" t="s">
        <v>432</v>
      </c>
      <c r="AR2227" s="137" t="s">
        <v>432</v>
      </c>
      <c r="AS2227" s="137" t="s">
        <v>432</v>
      </c>
      <c r="AT2227" s="137" t="s">
        <v>432</v>
      </c>
      <c r="AU2227" s="137" t="s">
        <v>432</v>
      </c>
      <c r="AV2227" s="137" t="s">
        <v>432</v>
      </c>
      <c r="AW2227" s="137" t="s">
        <v>432</v>
      </c>
      <c r="AX2227" s="137" t="s">
        <v>432</v>
      </c>
      <c r="AY2227" s="137" t="s">
        <v>432</v>
      </c>
      <c r="AZ2227" s="137" t="s">
        <v>432</v>
      </c>
      <c r="BA2227" s="137" t="s">
        <v>432</v>
      </c>
      <c r="BB2227" s="239" t="str">
        <f t="shared" ref="BB2227:BB2235" si="639">B2227&amp;C2227</f>
        <v>Recursos humanosacessibilidade</v>
      </c>
      <c r="BC2227" s="239" t="str">
        <f t="shared" ref="BC2227:BC2235" si="640">B2227&amp;C2227&amp;H2227</f>
        <v>Recursos humanosacessibilidademeta/RPI</v>
      </c>
      <c r="BD2227" s="239" t="str">
        <f t="shared" ref="BD2227:BD2235" si="641">B2227&amp;H2227</f>
        <v>Recursos humanosmeta/RPI</v>
      </c>
    </row>
    <row r="2228" spans="1:56" s="1" customFormat="1" ht="72" customHeight="1" x14ac:dyDescent="0.25">
      <c r="A2228" s="275" t="str">
        <f>'Q100b-totais'!B30</f>
        <v>3.5</v>
      </c>
      <c r="B2228" s="54" t="str">
        <f>'Q100b-totais'!C30</f>
        <v>Recursos humanos</v>
      </c>
      <c r="C2228" s="230" t="s">
        <v>743</v>
      </c>
      <c r="D2228" s="325" t="s">
        <v>4442</v>
      </c>
      <c r="E2228" s="1402" t="s">
        <v>1306</v>
      </c>
      <c r="F2228" s="188" t="s">
        <v>3735</v>
      </c>
      <c r="G2228" s="110" t="s">
        <v>77</v>
      </c>
      <c r="H2228" s="173" t="s">
        <v>819</v>
      </c>
      <c r="I2228" s="167" t="s">
        <v>432</v>
      </c>
      <c r="J2228" s="107" t="s">
        <v>432</v>
      </c>
      <c r="K2228" s="107" t="s">
        <v>432</v>
      </c>
      <c r="L2228" s="107" t="s">
        <v>432</v>
      </c>
      <c r="M2228" s="107" t="s">
        <v>432</v>
      </c>
      <c r="N2228" s="107" t="s">
        <v>432</v>
      </c>
      <c r="O2228" s="107" t="s">
        <v>432</v>
      </c>
      <c r="P2228" s="107" t="s">
        <v>432</v>
      </c>
      <c r="Q2228" s="107" t="s">
        <v>432</v>
      </c>
      <c r="R2228" s="107" t="s">
        <v>432</v>
      </c>
      <c r="S2228" s="109" t="s">
        <v>2209</v>
      </c>
      <c r="T2228" s="107" t="s">
        <v>432</v>
      </c>
      <c r="U2228" s="107" t="s">
        <v>432</v>
      </c>
      <c r="V2228" s="109" t="s">
        <v>2209</v>
      </c>
      <c r="W2228" s="107" t="s">
        <v>432</v>
      </c>
      <c r="X2228" s="107" t="s">
        <v>432</v>
      </c>
      <c r="Y2228" s="107" t="s">
        <v>432</v>
      </c>
      <c r="Z2228" s="107" t="s">
        <v>432</v>
      </c>
      <c r="AA2228" s="107" t="s">
        <v>432</v>
      </c>
      <c r="AB2228" s="107" t="s">
        <v>432</v>
      </c>
      <c r="AC2228" s="107" t="s">
        <v>432</v>
      </c>
      <c r="AD2228" s="107" t="s">
        <v>432</v>
      </c>
      <c r="AE2228" s="107" t="s">
        <v>432</v>
      </c>
      <c r="AF2228" s="107" t="s">
        <v>432</v>
      </c>
      <c r="AG2228" s="107" t="s">
        <v>432</v>
      </c>
      <c r="AH2228" s="107" t="s">
        <v>432</v>
      </c>
      <c r="AI2228" s="107" t="s">
        <v>432</v>
      </c>
      <c r="AJ2228" s="107" t="s">
        <v>432</v>
      </c>
      <c r="AK2228" s="622" t="s">
        <v>2148</v>
      </c>
      <c r="AL2228" s="601" t="s">
        <v>432</v>
      </c>
      <c r="AM2228" s="137" t="s">
        <v>432</v>
      </c>
      <c r="AN2228" s="137" t="s">
        <v>432</v>
      </c>
      <c r="AO2228" s="137" t="s">
        <v>432</v>
      </c>
      <c r="AP2228" s="137" t="s">
        <v>432</v>
      </c>
      <c r="AQ2228" s="137" t="s">
        <v>432</v>
      </c>
      <c r="AR2228" s="137" t="s">
        <v>432</v>
      </c>
      <c r="AS2228" s="137" t="s">
        <v>432</v>
      </c>
      <c r="AT2228" s="137" t="s">
        <v>432</v>
      </c>
      <c r="AU2228" s="137" t="s">
        <v>432</v>
      </c>
      <c r="AV2228" s="137" t="s">
        <v>432</v>
      </c>
      <c r="AW2228" s="137" t="s">
        <v>432</v>
      </c>
      <c r="AX2228" s="137" t="s">
        <v>432</v>
      </c>
      <c r="AY2228" s="137" t="s">
        <v>432</v>
      </c>
      <c r="AZ2228" s="137" t="s">
        <v>432</v>
      </c>
      <c r="BA2228" s="137" t="s">
        <v>432</v>
      </c>
      <c r="BB2228" s="239" t="str">
        <f t="shared" si="639"/>
        <v>Recursos humanosacessibilidade</v>
      </c>
      <c r="BC2228" s="239" t="str">
        <f t="shared" si="640"/>
        <v>Recursos humanosacessibilidadebenchmarking</v>
      </c>
      <c r="BD2228" s="239" t="str">
        <f t="shared" si="641"/>
        <v>Recursos humanosbenchmarking</v>
      </c>
    </row>
    <row r="2229" spans="1:56" s="147" customFormat="1" ht="102.75" customHeight="1" x14ac:dyDescent="0.25">
      <c r="A2229" s="275" t="str">
        <f>'Q100b-totais'!$B$30</f>
        <v>3.5</v>
      </c>
      <c r="B2229" s="54" t="str">
        <f>'Q100b-totais'!$C$30</f>
        <v>Recursos humanos</v>
      </c>
      <c r="C2229" s="167" t="s">
        <v>743</v>
      </c>
      <c r="D2229" s="362" t="s">
        <v>4441</v>
      </c>
      <c r="E2229" s="1502" t="s">
        <v>1306</v>
      </c>
      <c r="F2229" s="286" t="s">
        <v>3734</v>
      </c>
      <c r="G2229" s="110" t="s">
        <v>766</v>
      </c>
      <c r="H2229" s="167" t="s">
        <v>765</v>
      </c>
      <c r="I2229" s="167" t="s">
        <v>432</v>
      </c>
      <c r="J2229" s="107" t="s">
        <v>432</v>
      </c>
      <c r="K2229" s="622" t="s">
        <v>3210</v>
      </c>
      <c r="L2229" s="622" t="s">
        <v>3210</v>
      </c>
      <c r="M2229" s="622" t="s">
        <v>3210</v>
      </c>
      <c r="N2229" s="95">
        <v>0.05</v>
      </c>
      <c r="O2229" s="95">
        <v>0.05</v>
      </c>
      <c r="P2229" s="95">
        <v>0.05</v>
      </c>
      <c r="Q2229" s="95">
        <v>0.05</v>
      </c>
      <c r="R2229" s="95">
        <v>0.05</v>
      </c>
      <c r="S2229" s="109" t="s">
        <v>2209</v>
      </c>
      <c r="T2229" s="95">
        <v>0.05</v>
      </c>
      <c r="U2229" s="95">
        <v>0.05</v>
      </c>
      <c r="V2229" s="109" t="s">
        <v>2209</v>
      </c>
      <c r="W2229" s="95">
        <v>0.05</v>
      </c>
      <c r="X2229" s="95">
        <v>0.05</v>
      </c>
      <c r="Y2229" s="95">
        <v>0.05</v>
      </c>
      <c r="Z2229" s="95">
        <v>0.05</v>
      </c>
      <c r="AA2229" s="95">
        <v>0.05</v>
      </c>
      <c r="AB2229" s="95">
        <v>0.05</v>
      </c>
      <c r="AC2229" s="95">
        <v>0.05</v>
      </c>
      <c r="AD2229" s="95">
        <v>0.05</v>
      </c>
      <c r="AE2229" s="95">
        <v>0.05</v>
      </c>
      <c r="AF2229" s="95">
        <v>0.05</v>
      </c>
      <c r="AG2229" s="95">
        <v>0.05</v>
      </c>
      <c r="AH2229" s="95">
        <v>0.05</v>
      </c>
      <c r="AI2229" s="95">
        <v>0.05</v>
      </c>
      <c r="AJ2229" s="95">
        <v>0.05</v>
      </c>
      <c r="AK2229" s="95">
        <v>0.05</v>
      </c>
      <c r="AL2229" s="601" t="s">
        <v>432</v>
      </c>
      <c r="AM2229" s="137" t="s">
        <v>432</v>
      </c>
      <c r="AN2229" s="137" t="s">
        <v>432</v>
      </c>
      <c r="AO2229" s="137" t="s">
        <v>432</v>
      </c>
      <c r="AP2229" s="137" t="s">
        <v>432</v>
      </c>
      <c r="AQ2229" s="137" t="s">
        <v>432</v>
      </c>
      <c r="AR2229" s="137" t="s">
        <v>432</v>
      </c>
      <c r="AS2229" s="137" t="s">
        <v>432</v>
      </c>
      <c r="AT2229" s="137" t="s">
        <v>432</v>
      </c>
      <c r="AU2229" s="137" t="s">
        <v>432</v>
      </c>
      <c r="AV2229" s="137" t="s">
        <v>432</v>
      </c>
      <c r="AW2229" s="137" t="s">
        <v>432</v>
      </c>
      <c r="AX2229" s="137" t="s">
        <v>432</v>
      </c>
      <c r="AY2229" s="137" t="s">
        <v>432</v>
      </c>
      <c r="AZ2229" s="137" t="s">
        <v>432</v>
      </c>
      <c r="BA2229" s="137" t="s">
        <v>432</v>
      </c>
      <c r="BB2229" s="239" t="str">
        <f t="shared" si="639"/>
        <v>Recursos humanosacessibilidade</v>
      </c>
      <c r="BC2229" s="239" t="str">
        <f t="shared" si="640"/>
        <v>Recursos humanosacessibilidademeta/RPI</v>
      </c>
      <c r="BD2229" s="239" t="str">
        <f t="shared" si="641"/>
        <v>Recursos humanosmeta/RPI</v>
      </c>
    </row>
    <row r="2230" spans="1:56" s="1" customFormat="1" ht="81" customHeight="1" x14ac:dyDescent="0.25">
      <c r="A2230" s="275" t="str">
        <f>'Q100b-totais'!$B$30</f>
        <v>3.5</v>
      </c>
      <c r="B2230" s="1205" t="str">
        <f>'Q100b-totais'!$C$30</f>
        <v>Recursos humanos</v>
      </c>
      <c r="C2230" s="57" t="s">
        <v>743</v>
      </c>
      <c r="D2230" s="377" t="s">
        <v>4442</v>
      </c>
      <c r="E2230" s="1513" t="s">
        <v>3729</v>
      </c>
      <c r="F2230" s="338" t="s">
        <v>4281</v>
      </c>
      <c r="G2230" s="408" t="s">
        <v>688</v>
      </c>
      <c r="H2230" s="167" t="s">
        <v>432</v>
      </c>
      <c r="I2230" s="57">
        <v>1</v>
      </c>
      <c r="J2230" s="107" t="s">
        <v>432</v>
      </c>
      <c r="K2230" s="58" t="s">
        <v>432</v>
      </c>
      <c r="L2230" s="58" t="s">
        <v>432</v>
      </c>
      <c r="M2230" s="58" t="s">
        <v>432</v>
      </c>
      <c r="N2230" s="58" t="s">
        <v>432</v>
      </c>
      <c r="O2230" s="58" t="s">
        <v>432</v>
      </c>
      <c r="P2230" s="47">
        <f>P2225/P2236</f>
        <v>1.9120458891013384E-3</v>
      </c>
      <c r="Q2230" s="47">
        <f>Q2225/Q2236</f>
        <v>3.2626427406199023E-3</v>
      </c>
      <c r="R2230" s="47">
        <f>R2225/R2236</f>
        <v>1.6713091922005572E-2</v>
      </c>
      <c r="S2230" s="109" t="s">
        <v>2209</v>
      </c>
      <c r="T2230" s="47">
        <f>T2225/T2236</f>
        <v>1.6709511568123392E-2</v>
      </c>
      <c r="U2230" s="47">
        <f>U2225/U2236</f>
        <v>2.1413276231263382E-2</v>
      </c>
      <c r="V2230" s="109" t="s">
        <v>2209</v>
      </c>
      <c r="W2230" s="47">
        <f t="shared" ref="W2230:AK2230" si="642">W2225/W2236</f>
        <v>2.0810514786418401E-2</v>
      </c>
      <c r="X2230" s="47">
        <f t="shared" si="642"/>
        <v>2.0618556701030927E-2</v>
      </c>
      <c r="Y2230" s="47">
        <f t="shared" si="642"/>
        <v>2.5109170305676855E-2</v>
      </c>
      <c r="Z2230" s="47">
        <f t="shared" si="642"/>
        <v>2.454642475987193E-2</v>
      </c>
      <c r="AA2230" s="47">
        <f t="shared" si="642"/>
        <v>2.6291079812206571E-2</v>
      </c>
      <c r="AB2230" s="47">
        <f t="shared" si="642"/>
        <v>2.0813623462630087E-2</v>
      </c>
      <c r="AC2230" s="47">
        <f t="shared" si="642"/>
        <v>1.9924098671726755E-2</v>
      </c>
      <c r="AD2230" s="47">
        <f t="shared" si="642"/>
        <v>2.1475256769374416E-2</v>
      </c>
      <c r="AE2230" s="47">
        <f t="shared" si="642"/>
        <v>2.0446096654275093E-2</v>
      </c>
      <c r="AF2230" s="47">
        <f t="shared" si="642"/>
        <v>1.9462465245597776E-2</v>
      </c>
      <c r="AG2230" s="47">
        <f t="shared" si="642"/>
        <v>1.8656716417910446E-2</v>
      </c>
      <c r="AH2230" s="47">
        <f t="shared" si="642"/>
        <v>1.8993352326685659E-2</v>
      </c>
      <c r="AI2230" s="47">
        <f t="shared" si="642"/>
        <v>1.968503937007874E-2</v>
      </c>
      <c r="AJ2230" s="47">
        <f t="shared" si="642"/>
        <v>2.0683453237410072E-2</v>
      </c>
      <c r="AK2230" s="47">
        <f t="shared" si="642"/>
        <v>2.0572450805008944E-2</v>
      </c>
      <c r="AL2230" s="601" t="s">
        <v>432</v>
      </c>
      <c r="AM2230" s="137" t="s">
        <v>432</v>
      </c>
      <c r="AN2230" s="137" t="s">
        <v>432</v>
      </c>
      <c r="AO2230" s="137" t="s">
        <v>432</v>
      </c>
      <c r="AP2230" s="137" t="s">
        <v>432</v>
      </c>
      <c r="AQ2230" s="137" t="s">
        <v>432</v>
      </c>
      <c r="AR2230" s="137" t="s">
        <v>432</v>
      </c>
      <c r="AS2230" s="137" t="s">
        <v>432</v>
      </c>
      <c r="AT2230" s="137" t="s">
        <v>432</v>
      </c>
      <c r="AU2230" s="137" t="s">
        <v>432</v>
      </c>
      <c r="AV2230" s="137" t="s">
        <v>432</v>
      </c>
      <c r="AW2230" s="137" t="s">
        <v>432</v>
      </c>
      <c r="AX2230" s="137" t="s">
        <v>432</v>
      </c>
      <c r="AY2230" s="137" t="s">
        <v>432</v>
      </c>
      <c r="AZ2230" s="137" t="s">
        <v>432</v>
      </c>
      <c r="BA2230" s="137" t="s">
        <v>432</v>
      </c>
      <c r="BB2230" s="239" t="str">
        <f t="shared" si="639"/>
        <v>Recursos humanosacessibilidade</v>
      </c>
      <c r="BC2230" s="239" t="str">
        <f t="shared" si="640"/>
        <v>Recursos humanosacessibilidadex</v>
      </c>
      <c r="BD2230" s="239" t="str">
        <f t="shared" si="641"/>
        <v>Recursos humanosx</v>
      </c>
    </row>
    <row r="2231" spans="1:56" s="1" customFormat="1" ht="74.25" customHeight="1" x14ac:dyDescent="0.25">
      <c r="A2231" s="275" t="str">
        <f>'Q100b-totais'!B30</f>
        <v>3.5</v>
      </c>
      <c r="B2231" s="54" t="str">
        <f>'Q100b-totais'!C30</f>
        <v>Recursos humanos</v>
      </c>
      <c r="C2231" s="230" t="s">
        <v>743</v>
      </c>
      <c r="D2231" s="377" t="s">
        <v>4442</v>
      </c>
      <c r="E2231" s="1507" t="s">
        <v>1266</v>
      </c>
      <c r="F2231" s="338" t="s">
        <v>3694</v>
      </c>
      <c r="G2231" s="110" t="s">
        <v>77</v>
      </c>
      <c r="H2231" s="173" t="s">
        <v>819</v>
      </c>
      <c r="I2231" s="167" t="s">
        <v>432</v>
      </c>
      <c r="J2231" s="107" t="s">
        <v>432</v>
      </c>
      <c r="K2231" s="107" t="s">
        <v>432</v>
      </c>
      <c r="L2231" s="107" t="s">
        <v>432</v>
      </c>
      <c r="M2231" s="107" t="s">
        <v>432</v>
      </c>
      <c r="N2231" s="107" t="s">
        <v>432</v>
      </c>
      <c r="O2231" s="107" t="s">
        <v>432</v>
      </c>
      <c r="P2231" s="107" t="s">
        <v>432</v>
      </c>
      <c r="Q2231" s="107" t="s">
        <v>432</v>
      </c>
      <c r="R2231" s="107" t="s">
        <v>432</v>
      </c>
      <c r="S2231" s="109" t="s">
        <v>2209</v>
      </c>
      <c r="T2231" s="107" t="s">
        <v>432</v>
      </c>
      <c r="U2231" s="662">
        <v>3.7000000000000002E-3</v>
      </c>
      <c r="V2231" s="109" t="s">
        <v>2209</v>
      </c>
      <c r="W2231" s="662">
        <v>3.7000000000000002E-3</v>
      </c>
      <c r="X2231" s="662">
        <v>3.3999999999999998E-3</v>
      </c>
      <c r="Y2231" s="662">
        <v>3.3999999999999998E-3</v>
      </c>
      <c r="Z2231" s="662">
        <v>3.3999999999999998E-3</v>
      </c>
      <c r="AA2231" s="662">
        <v>3.0999999999999999E-3</v>
      </c>
      <c r="AB2231" s="662">
        <v>3.0000000000000001E-3</v>
      </c>
      <c r="AC2231" s="662">
        <v>2.8E-3</v>
      </c>
      <c r="AD2231" s="662">
        <v>2.8E-3</v>
      </c>
      <c r="AE2231" s="662">
        <v>3.0000000000000001E-3</v>
      </c>
      <c r="AF2231" s="662">
        <v>3.0000000000000001E-3</v>
      </c>
      <c r="AG2231" s="662">
        <v>2.8999999999999998E-3</v>
      </c>
      <c r="AH2231" s="662">
        <v>2.8999999999999998E-3</v>
      </c>
      <c r="AI2231" s="107" t="s">
        <v>432</v>
      </c>
      <c r="AJ2231" s="107" t="s">
        <v>432</v>
      </c>
      <c r="AK2231" s="107" t="s">
        <v>432</v>
      </c>
      <c r="AL2231" s="601" t="s">
        <v>432</v>
      </c>
      <c r="AM2231" s="137" t="s">
        <v>432</v>
      </c>
      <c r="AN2231" s="137" t="s">
        <v>432</v>
      </c>
      <c r="AO2231" s="137" t="s">
        <v>432</v>
      </c>
      <c r="AP2231" s="137" t="s">
        <v>432</v>
      </c>
      <c r="AQ2231" s="137" t="s">
        <v>432</v>
      </c>
      <c r="AR2231" s="137" t="s">
        <v>432</v>
      </c>
      <c r="AS2231" s="137" t="s">
        <v>432</v>
      </c>
      <c r="AT2231" s="137" t="s">
        <v>432</v>
      </c>
      <c r="AU2231" s="137" t="s">
        <v>432</v>
      </c>
      <c r="AV2231" s="137" t="s">
        <v>432</v>
      </c>
      <c r="AW2231" s="137" t="s">
        <v>432</v>
      </c>
      <c r="AX2231" s="137" t="s">
        <v>432</v>
      </c>
      <c r="AY2231" s="137" t="s">
        <v>432</v>
      </c>
      <c r="AZ2231" s="137" t="s">
        <v>432</v>
      </c>
      <c r="BA2231" s="137" t="s">
        <v>432</v>
      </c>
      <c r="BB2231" s="239" t="str">
        <f t="shared" si="639"/>
        <v>Recursos humanosacessibilidade</v>
      </c>
      <c r="BC2231" s="239" t="str">
        <f t="shared" si="640"/>
        <v>Recursos humanosacessibilidadebenchmarking</v>
      </c>
      <c r="BD2231" s="239" t="str">
        <f t="shared" si="641"/>
        <v>Recursos humanosbenchmarking</v>
      </c>
    </row>
    <row r="2232" spans="1:56" s="1" customFormat="1" ht="75" customHeight="1" x14ac:dyDescent="0.25">
      <c r="A2232" s="275" t="str">
        <f>'Q100b-totais'!B30</f>
        <v>3.5</v>
      </c>
      <c r="B2232" s="54" t="str">
        <f>'Q100b-totais'!C30</f>
        <v>Recursos humanos</v>
      </c>
      <c r="C2232" s="230" t="s">
        <v>743</v>
      </c>
      <c r="D2232" s="377" t="s">
        <v>4442</v>
      </c>
      <c r="E2232" s="1507" t="s">
        <v>2056</v>
      </c>
      <c r="F2232" s="338" t="s">
        <v>3697</v>
      </c>
      <c r="G2232" s="110" t="s">
        <v>77</v>
      </c>
      <c r="H2232" s="173" t="s">
        <v>819</v>
      </c>
      <c r="I2232" s="167" t="s">
        <v>432</v>
      </c>
      <c r="J2232" s="107" t="s">
        <v>432</v>
      </c>
      <c r="K2232" s="107" t="s">
        <v>432</v>
      </c>
      <c r="L2232" s="107" t="s">
        <v>432</v>
      </c>
      <c r="M2232" s="107" t="s">
        <v>432</v>
      </c>
      <c r="N2232" s="107" t="s">
        <v>432</v>
      </c>
      <c r="O2232" s="107" t="s">
        <v>432</v>
      </c>
      <c r="P2232" s="107" t="s">
        <v>432</v>
      </c>
      <c r="Q2232" s="107" t="s">
        <v>432</v>
      </c>
      <c r="R2232" s="107" t="s">
        <v>432</v>
      </c>
      <c r="S2232" s="109" t="s">
        <v>2209</v>
      </c>
      <c r="T2232" s="107" t="s">
        <v>432</v>
      </c>
      <c r="U2232" s="107" t="s">
        <v>432</v>
      </c>
      <c r="V2232" s="109" t="s">
        <v>2209</v>
      </c>
      <c r="W2232" s="107" t="s">
        <v>432</v>
      </c>
      <c r="X2232" s="107" t="s">
        <v>432</v>
      </c>
      <c r="Y2232" s="107" t="s">
        <v>432</v>
      </c>
      <c r="Z2232" s="107" t="s">
        <v>432</v>
      </c>
      <c r="AA2232" s="107" t="s">
        <v>432</v>
      </c>
      <c r="AB2232" s="107" t="s">
        <v>432</v>
      </c>
      <c r="AC2232" s="107" t="s">
        <v>432</v>
      </c>
      <c r="AD2232" s="107" t="s">
        <v>432</v>
      </c>
      <c r="AE2232" s="107" t="s">
        <v>432</v>
      </c>
      <c r="AF2232" s="107" t="s">
        <v>432</v>
      </c>
      <c r="AG2232" s="107" t="s">
        <v>432</v>
      </c>
      <c r="AH2232" s="662">
        <v>1.8700000000000001E-2</v>
      </c>
      <c r="AI2232" s="662">
        <v>1.7100000000000001E-2</v>
      </c>
      <c r="AJ2232" s="662">
        <v>1.55E-2</v>
      </c>
      <c r="AK2232" s="662">
        <v>1.3899999999999999E-2</v>
      </c>
      <c r="AL2232" s="601" t="s">
        <v>432</v>
      </c>
      <c r="AM2232" s="137" t="s">
        <v>432</v>
      </c>
      <c r="AN2232" s="137" t="s">
        <v>432</v>
      </c>
      <c r="AO2232" s="137" t="s">
        <v>432</v>
      </c>
      <c r="AP2232" s="137" t="s">
        <v>432</v>
      </c>
      <c r="AQ2232" s="137" t="s">
        <v>432</v>
      </c>
      <c r="AR2232" s="137" t="s">
        <v>432</v>
      </c>
      <c r="AS2232" s="137" t="s">
        <v>432</v>
      </c>
      <c r="AT2232" s="137" t="s">
        <v>432</v>
      </c>
      <c r="AU2232" s="137" t="s">
        <v>432</v>
      </c>
      <c r="AV2232" s="137" t="s">
        <v>432</v>
      </c>
      <c r="AW2232" s="137" t="s">
        <v>432</v>
      </c>
      <c r="AX2232" s="137" t="s">
        <v>432</v>
      </c>
      <c r="AY2232" s="137" t="s">
        <v>432</v>
      </c>
      <c r="AZ2232" s="137" t="s">
        <v>432</v>
      </c>
      <c r="BA2232" s="137" t="s">
        <v>432</v>
      </c>
      <c r="BB2232" s="239" t="str">
        <f t="shared" si="639"/>
        <v>Recursos humanosacessibilidade</v>
      </c>
      <c r="BC2232" s="239" t="str">
        <f t="shared" si="640"/>
        <v>Recursos humanosacessibilidadebenchmarking</v>
      </c>
      <c r="BD2232" s="239" t="str">
        <f t="shared" si="641"/>
        <v>Recursos humanosbenchmarking</v>
      </c>
    </row>
    <row r="2233" spans="1:56" s="1" customFormat="1" ht="68.25" customHeight="1" x14ac:dyDescent="0.25">
      <c r="A2233" s="275" t="str">
        <f>'Q100b-totais'!B30</f>
        <v>3.5</v>
      </c>
      <c r="B2233" s="54" t="str">
        <f>'Q100b-totais'!C30</f>
        <v>Recursos humanos</v>
      </c>
      <c r="C2233" s="230" t="s">
        <v>743</v>
      </c>
      <c r="D2233" s="377" t="s">
        <v>4442</v>
      </c>
      <c r="E2233" s="1507" t="s">
        <v>1703</v>
      </c>
      <c r="F2233" s="338" t="s">
        <v>3695</v>
      </c>
      <c r="G2233" s="110" t="s">
        <v>77</v>
      </c>
      <c r="H2233" s="173" t="s">
        <v>819</v>
      </c>
      <c r="I2233" s="167" t="s">
        <v>432</v>
      </c>
      <c r="J2233" s="107" t="s">
        <v>432</v>
      </c>
      <c r="K2233" s="107" t="s">
        <v>432</v>
      </c>
      <c r="L2233" s="107" t="s">
        <v>432</v>
      </c>
      <c r="M2233" s="107" t="s">
        <v>432</v>
      </c>
      <c r="N2233" s="107" t="s">
        <v>432</v>
      </c>
      <c r="O2233" s="107" t="s">
        <v>432</v>
      </c>
      <c r="P2233" s="107" t="s">
        <v>432</v>
      </c>
      <c r="Q2233" s="107" t="s">
        <v>432</v>
      </c>
      <c r="R2233" s="107" t="s">
        <v>432</v>
      </c>
      <c r="S2233" s="109" t="s">
        <v>2209</v>
      </c>
      <c r="T2233" s="107" t="s">
        <v>432</v>
      </c>
      <c r="U2233" s="107" t="s">
        <v>432</v>
      </c>
      <c r="V2233" s="109" t="s">
        <v>2209</v>
      </c>
      <c r="W2233" s="107" t="s">
        <v>432</v>
      </c>
      <c r="X2233" s="107" t="s">
        <v>432</v>
      </c>
      <c r="Y2233" s="107" t="s">
        <v>432</v>
      </c>
      <c r="Z2233" s="107" t="s">
        <v>432</v>
      </c>
      <c r="AA2233" s="107" t="s">
        <v>432</v>
      </c>
      <c r="AB2233" s="662">
        <v>1.6999999999999999E-3</v>
      </c>
      <c r="AC2233" s="662">
        <v>1.6999999999999999E-3</v>
      </c>
      <c r="AD2233" s="662">
        <v>1.9E-3</v>
      </c>
      <c r="AE2233" s="662">
        <v>2.2000000000000001E-3</v>
      </c>
      <c r="AF2233" s="662">
        <v>2.2000000000000001E-3</v>
      </c>
      <c r="AG2233" s="662">
        <v>2.3999999999999998E-3</v>
      </c>
      <c r="AH2233" s="662">
        <v>2.8E-3</v>
      </c>
      <c r="AI2233" s="662">
        <v>2.7000000000000001E-3</v>
      </c>
      <c r="AJ2233" s="662">
        <v>3.8E-3</v>
      </c>
      <c r="AK2233" s="662">
        <v>4.0000000000000001E-3</v>
      </c>
      <c r="AL2233" s="601" t="s">
        <v>432</v>
      </c>
      <c r="AM2233" s="137" t="s">
        <v>432</v>
      </c>
      <c r="AN2233" s="137" t="s">
        <v>432</v>
      </c>
      <c r="AO2233" s="137" t="s">
        <v>432</v>
      </c>
      <c r="AP2233" s="137" t="s">
        <v>432</v>
      </c>
      <c r="AQ2233" s="137" t="s">
        <v>432</v>
      </c>
      <c r="AR2233" s="137" t="s">
        <v>432</v>
      </c>
      <c r="AS2233" s="137" t="s">
        <v>432</v>
      </c>
      <c r="AT2233" s="137" t="s">
        <v>432</v>
      </c>
      <c r="AU2233" s="137" t="s">
        <v>432</v>
      </c>
      <c r="AV2233" s="137" t="s">
        <v>432</v>
      </c>
      <c r="AW2233" s="137" t="s">
        <v>432</v>
      </c>
      <c r="AX2233" s="137" t="s">
        <v>432</v>
      </c>
      <c r="AY2233" s="137" t="s">
        <v>432</v>
      </c>
      <c r="AZ2233" s="137" t="s">
        <v>432</v>
      </c>
      <c r="BA2233" s="137" t="s">
        <v>432</v>
      </c>
      <c r="BB2233" s="239" t="str">
        <f t="shared" si="639"/>
        <v>Recursos humanosacessibilidade</v>
      </c>
      <c r="BC2233" s="239" t="str">
        <f t="shared" si="640"/>
        <v>Recursos humanosacessibilidadebenchmarking</v>
      </c>
      <c r="BD2233" s="239" t="str">
        <f t="shared" si="641"/>
        <v>Recursos humanosbenchmarking</v>
      </c>
    </row>
    <row r="2234" spans="1:56" s="1" customFormat="1" ht="74.25" customHeight="1" x14ac:dyDescent="0.25">
      <c r="A2234" s="275" t="str">
        <f>'Q100b-totais'!B30</f>
        <v>3.5</v>
      </c>
      <c r="B2234" s="54" t="str">
        <f>'Q100b-totais'!C30</f>
        <v>Recursos humanos</v>
      </c>
      <c r="C2234" s="230" t="s">
        <v>743</v>
      </c>
      <c r="D2234" s="377" t="s">
        <v>4442</v>
      </c>
      <c r="E2234" s="1507" t="s">
        <v>1704</v>
      </c>
      <c r="F2234" s="338" t="s">
        <v>3696</v>
      </c>
      <c r="G2234" s="110" t="s">
        <v>77</v>
      </c>
      <c r="H2234" s="173" t="s">
        <v>819</v>
      </c>
      <c r="I2234" s="167" t="s">
        <v>432</v>
      </c>
      <c r="J2234" s="107" t="s">
        <v>432</v>
      </c>
      <c r="K2234" s="107" t="s">
        <v>432</v>
      </c>
      <c r="L2234" s="107" t="s">
        <v>432</v>
      </c>
      <c r="M2234" s="107" t="s">
        <v>432</v>
      </c>
      <c r="N2234" s="107" t="s">
        <v>432</v>
      </c>
      <c r="O2234" s="107" t="s">
        <v>432</v>
      </c>
      <c r="P2234" s="107" t="s">
        <v>432</v>
      </c>
      <c r="Q2234" s="107" t="s">
        <v>432</v>
      </c>
      <c r="R2234" s="107" t="s">
        <v>432</v>
      </c>
      <c r="S2234" s="109" t="s">
        <v>2209</v>
      </c>
      <c r="T2234" s="107" t="s">
        <v>432</v>
      </c>
      <c r="U2234" s="107" t="s">
        <v>432</v>
      </c>
      <c r="V2234" s="109" t="s">
        <v>2209</v>
      </c>
      <c r="W2234" s="107" t="s">
        <v>432</v>
      </c>
      <c r="X2234" s="107" t="s">
        <v>432</v>
      </c>
      <c r="Y2234" s="107" t="s">
        <v>432</v>
      </c>
      <c r="Z2234" s="107" t="s">
        <v>432</v>
      </c>
      <c r="AA2234" s="107" t="s">
        <v>432</v>
      </c>
      <c r="AB2234" s="107" t="s">
        <v>432</v>
      </c>
      <c r="AC2234" s="107" t="s">
        <v>432</v>
      </c>
      <c r="AD2234" s="107" t="s">
        <v>432</v>
      </c>
      <c r="AE2234" s="107" t="s">
        <v>432</v>
      </c>
      <c r="AF2234" s="107" t="s">
        <v>432</v>
      </c>
      <c r="AG2234" s="107" t="s">
        <v>432</v>
      </c>
      <c r="AH2234" s="662">
        <v>2.3999999999999998E-3</v>
      </c>
      <c r="AI2234" s="107" t="s">
        <v>432</v>
      </c>
      <c r="AJ2234" s="107" t="s">
        <v>432</v>
      </c>
      <c r="AK2234" s="107" t="s">
        <v>432</v>
      </c>
      <c r="AL2234" s="601" t="s">
        <v>432</v>
      </c>
      <c r="AM2234" s="137" t="s">
        <v>432</v>
      </c>
      <c r="AN2234" s="137" t="s">
        <v>432</v>
      </c>
      <c r="AO2234" s="137" t="s">
        <v>432</v>
      </c>
      <c r="AP2234" s="137" t="s">
        <v>432</v>
      </c>
      <c r="AQ2234" s="137" t="s">
        <v>432</v>
      </c>
      <c r="AR2234" s="137" t="s">
        <v>432</v>
      </c>
      <c r="AS2234" s="137" t="s">
        <v>432</v>
      </c>
      <c r="AT2234" s="137" t="s">
        <v>432</v>
      </c>
      <c r="AU2234" s="137" t="s">
        <v>432</v>
      </c>
      <c r="AV2234" s="137" t="s">
        <v>432</v>
      </c>
      <c r="AW2234" s="137" t="s">
        <v>432</v>
      </c>
      <c r="AX2234" s="137" t="s">
        <v>432</v>
      </c>
      <c r="AY2234" s="137" t="s">
        <v>432</v>
      </c>
      <c r="AZ2234" s="137" t="s">
        <v>432</v>
      </c>
      <c r="BA2234" s="137" t="s">
        <v>432</v>
      </c>
      <c r="BB2234" s="239" t="str">
        <f t="shared" si="639"/>
        <v>Recursos humanosacessibilidade</v>
      </c>
      <c r="BC2234" s="239" t="str">
        <f t="shared" si="640"/>
        <v>Recursos humanosacessibilidadebenchmarking</v>
      </c>
      <c r="BD2234" s="239" t="str">
        <f t="shared" si="641"/>
        <v>Recursos humanosbenchmarking</v>
      </c>
    </row>
    <row r="2235" spans="1:56" s="1" customFormat="1" ht="80.25" customHeight="1" x14ac:dyDescent="0.25">
      <c r="A2235" s="275" t="str">
        <f>'Q100b-totais'!B30</f>
        <v>3.5</v>
      </c>
      <c r="B2235" s="54" t="str">
        <f>'Q100b-totais'!C30</f>
        <v>Recursos humanos</v>
      </c>
      <c r="C2235" s="230" t="s">
        <v>743</v>
      </c>
      <c r="D2235" s="377" t="s">
        <v>4442</v>
      </c>
      <c r="E2235" s="1507" t="s">
        <v>1284</v>
      </c>
      <c r="F2235" s="338" t="s">
        <v>3698</v>
      </c>
      <c r="G2235" s="110" t="s">
        <v>77</v>
      </c>
      <c r="H2235" s="173" t="s">
        <v>819</v>
      </c>
      <c r="I2235" s="167" t="s">
        <v>432</v>
      </c>
      <c r="J2235" s="107" t="s">
        <v>432</v>
      </c>
      <c r="K2235" s="107" t="s">
        <v>432</v>
      </c>
      <c r="L2235" s="107" t="s">
        <v>432</v>
      </c>
      <c r="M2235" s="107" t="s">
        <v>432</v>
      </c>
      <c r="N2235" s="107" t="s">
        <v>432</v>
      </c>
      <c r="O2235" s="107" t="s">
        <v>432</v>
      </c>
      <c r="P2235" s="107" t="s">
        <v>432</v>
      </c>
      <c r="Q2235" s="107" t="s">
        <v>432</v>
      </c>
      <c r="R2235" s="107" t="s">
        <v>432</v>
      </c>
      <c r="S2235" s="109" t="s">
        <v>2209</v>
      </c>
      <c r="T2235" s="107" t="s">
        <v>432</v>
      </c>
      <c r="U2235" s="107" t="s">
        <v>432</v>
      </c>
      <c r="V2235" s="109" t="s">
        <v>2209</v>
      </c>
      <c r="W2235" s="107" t="s">
        <v>432</v>
      </c>
      <c r="X2235" s="107" t="s">
        <v>432</v>
      </c>
      <c r="Y2235" s="107" t="s">
        <v>432</v>
      </c>
      <c r="Z2235" s="107" t="s">
        <v>432</v>
      </c>
      <c r="AA2235" s="107" t="s">
        <v>432</v>
      </c>
      <c r="AB2235" s="107" t="s">
        <v>432</v>
      </c>
      <c r="AC2235" s="107" t="s">
        <v>432</v>
      </c>
      <c r="AD2235" s="107" t="s">
        <v>432</v>
      </c>
      <c r="AE2235" s="107" t="s">
        <v>432</v>
      </c>
      <c r="AF2235" s="107" t="s">
        <v>432</v>
      </c>
      <c r="AG2235" s="107" t="s">
        <v>432</v>
      </c>
      <c r="AH2235" s="107" t="s">
        <v>432</v>
      </c>
      <c r="AI2235" s="662">
        <v>2E-3</v>
      </c>
      <c r="AJ2235" s="107" t="s">
        <v>432</v>
      </c>
      <c r="AK2235" s="107" t="s">
        <v>432</v>
      </c>
      <c r="AL2235" s="601" t="s">
        <v>432</v>
      </c>
      <c r="AM2235" s="137" t="s">
        <v>432</v>
      </c>
      <c r="AN2235" s="137" t="s">
        <v>432</v>
      </c>
      <c r="AO2235" s="137" t="s">
        <v>432</v>
      </c>
      <c r="AP2235" s="137" t="s">
        <v>432</v>
      </c>
      <c r="AQ2235" s="137" t="s">
        <v>432</v>
      </c>
      <c r="AR2235" s="137" t="s">
        <v>432</v>
      </c>
      <c r="AS2235" s="137" t="s">
        <v>432</v>
      </c>
      <c r="AT2235" s="137" t="s">
        <v>432</v>
      </c>
      <c r="AU2235" s="137" t="s">
        <v>432</v>
      </c>
      <c r="AV2235" s="137" t="s">
        <v>432</v>
      </c>
      <c r="AW2235" s="137" t="s">
        <v>432</v>
      </c>
      <c r="AX2235" s="137" t="s">
        <v>432</v>
      </c>
      <c r="AY2235" s="137" t="s">
        <v>432</v>
      </c>
      <c r="AZ2235" s="137" t="s">
        <v>432</v>
      </c>
      <c r="BA2235" s="137" t="s">
        <v>432</v>
      </c>
      <c r="BB2235" s="239" t="str">
        <f t="shared" si="639"/>
        <v>Recursos humanosacessibilidade</v>
      </c>
      <c r="BC2235" s="239" t="str">
        <f t="shared" si="640"/>
        <v>Recursos humanosacessibilidadebenchmarking</v>
      </c>
      <c r="BD2235" s="239" t="str">
        <f t="shared" si="641"/>
        <v>Recursos humanosbenchmarking</v>
      </c>
    </row>
    <row r="2236" spans="1:56" s="1" customFormat="1" ht="96.75" customHeight="1" x14ac:dyDescent="0.25">
      <c r="A2236" s="275" t="str">
        <f>'Q100b-totais'!$B$30</f>
        <v>3.5</v>
      </c>
      <c r="B2236" s="1205" t="str">
        <f>'Q100b-totais'!$C$30</f>
        <v>Recursos humanos</v>
      </c>
      <c r="C2236" s="57" t="s">
        <v>432</v>
      </c>
      <c r="D2236" s="362" t="s">
        <v>1611</v>
      </c>
      <c r="E2236" s="1513" t="s">
        <v>3729</v>
      </c>
      <c r="F2236" s="337" t="s">
        <v>4578</v>
      </c>
      <c r="G2236" s="408" t="s">
        <v>4423</v>
      </c>
      <c r="H2236" s="167" t="s">
        <v>432</v>
      </c>
      <c r="I2236" s="57">
        <v>1</v>
      </c>
      <c r="J2236" s="107" t="s">
        <v>432</v>
      </c>
      <c r="K2236" s="20" t="e">
        <f>K2245+K2222</f>
        <v>#VALUE!</v>
      </c>
      <c r="L2236" s="93">
        <v>192</v>
      </c>
      <c r="M2236" s="93">
        <v>325</v>
      </c>
      <c r="N2236" s="93">
        <v>414</v>
      </c>
      <c r="O2236" s="93">
        <v>489</v>
      </c>
      <c r="P2236" s="87">
        <v>523</v>
      </c>
      <c r="Q2236" s="87">
        <v>613</v>
      </c>
      <c r="R2236" s="87">
        <v>718</v>
      </c>
      <c r="S2236" s="109" t="s">
        <v>2209</v>
      </c>
      <c r="T2236" s="84">
        <v>778</v>
      </c>
      <c r="U2236" s="106">
        <v>934</v>
      </c>
      <c r="V2236" s="109" t="s">
        <v>2209</v>
      </c>
      <c r="W2236" s="87">
        <v>913</v>
      </c>
      <c r="X2236" s="87">
        <v>873</v>
      </c>
      <c r="Y2236" s="87">
        <v>916</v>
      </c>
      <c r="Z2236" s="87">
        <v>937</v>
      </c>
      <c r="AA2236" s="87">
        <v>1065</v>
      </c>
      <c r="AB2236" s="20">
        <f t="shared" ref="AB2236:AH2236" si="643">AB2245+AB2222</f>
        <v>1057</v>
      </c>
      <c r="AC2236" s="20">
        <f t="shared" si="643"/>
        <v>1054</v>
      </c>
      <c r="AD2236" s="20">
        <f t="shared" si="643"/>
        <v>1071</v>
      </c>
      <c r="AE2236" s="20">
        <f t="shared" si="643"/>
        <v>1076</v>
      </c>
      <c r="AF2236" s="20">
        <f t="shared" si="643"/>
        <v>1079</v>
      </c>
      <c r="AG2236" s="20">
        <f t="shared" si="643"/>
        <v>1072</v>
      </c>
      <c r="AH2236" s="20">
        <f t="shared" si="643"/>
        <v>1053</v>
      </c>
      <c r="AI2236" s="20">
        <f>AI2245+AI2222</f>
        <v>1016</v>
      </c>
      <c r="AJ2236" s="20">
        <f>AJ2245+AJ2222</f>
        <v>1112</v>
      </c>
      <c r="AK2236" s="20">
        <f>AK2245+AK2222</f>
        <v>1118</v>
      </c>
      <c r="AL2236" s="601" t="s">
        <v>432</v>
      </c>
      <c r="AM2236" s="137" t="s">
        <v>432</v>
      </c>
      <c r="AN2236" s="137" t="s">
        <v>432</v>
      </c>
      <c r="AO2236" s="137" t="s">
        <v>432</v>
      </c>
      <c r="AP2236" s="137" t="s">
        <v>432</v>
      </c>
      <c r="AQ2236" s="137" t="s">
        <v>432</v>
      </c>
      <c r="AR2236" s="137" t="s">
        <v>432</v>
      </c>
      <c r="AS2236" s="137" t="s">
        <v>432</v>
      </c>
      <c r="AT2236" s="137" t="s">
        <v>432</v>
      </c>
      <c r="AU2236" s="137" t="s">
        <v>432</v>
      </c>
      <c r="AV2236" s="137" t="s">
        <v>432</v>
      </c>
      <c r="AW2236" s="137" t="s">
        <v>432</v>
      </c>
      <c r="AX2236" s="137" t="s">
        <v>432</v>
      </c>
      <c r="AY2236" s="137" t="s">
        <v>432</v>
      </c>
      <c r="AZ2236" s="137" t="s">
        <v>432</v>
      </c>
      <c r="BA2236" s="137" t="s">
        <v>432</v>
      </c>
      <c r="BB2236" s="239" t="str">
        <f t="shared" si="633"/>
        <v>Recursos humanosx</v>
      </c>
      <c r="BC2236" s="239" t="str">
        <f t="shared" si="634"/>
        <v>Recursos humanosxx</v>
      </c>
      <c r="BD2236" s="239" t="str">
        <f t="shared" si="635"/>
        <v>Recursos humanosx</v>
      </c>
    </row>
    <row r="2237" spans="1:56" s="1" customFormat="1" ht="42.75" customHeight="1" x14ac:dyDescent="0.25">
      <c r="A2237" s="275" t="str">
        <f>'Q100b-totais'!$B$30</f>
        <v>3.5</v>
      </c>
      <c r="B2237" s="54" t="str">
        <f>'Q100b-totais'!$C$30</f>
        <v>Recursos humanos</v>
      </c>
      <c r="C2237" s="230" t="s">
        <v>432</v>
      </c>
      <c r="D2237" s="324" t="s">
        <v>1614</v>
      </c>
      <c r="E2237" s="509" t="s">
        <v>3729</v>
      </c>
      <c r="F2237" s="14" t="s">
        <v>1615</v>
      </c>
      <c r="G2237" s="14" t="s">
        <v>678</v>
      </c>
      <c r="H2237" s="449" t="s">
        <v>678</v>
      </c>
      <c r="I2237" s="57">
        <v>1</v>
      </c>
      <c r="J2237" s="109" t="s">
        <v>432</v>
      </c>
      <c r="K2237" s="109" t="s">
        <v>432</v>
      </c>
      <c r="L2237" s="109" t="s">
        <v>432</v>
      </c>
      <c r="M2237" s="109" t="s">
        <v>432</v>
      </c>
      <c r="N2237" s="109" t="s">
        <v>432</v>
      </c>
      <c r="O2237" s="109" t="s">
        <v>432</v>
      </c>
      <c r="P2237" s="109" t="s">
        <v>432</v>
      </c>
      <c r="Q2237" s="109" t="s">
        <v>432</v>
      </c>
      <c r="R2237" s="109" t="s">
        <v>432</v>
      </c>
      <c r="S2237" s="109" t="s">
        <v>2209</v>
      </c>
      <c r="T2237" s="109" t="s">
        <v>432</v>
      </c>
      <c r="U2237" s="109" t="s">
        <v>432</v>
      </c>
      <c r="V2237" s="109" t="s">
        <v>2209</v>
      </c>
      <c r="W2237" s="109" t="s">
        <v>432</v>
      </c>
      <c r="X2237" s="109" t="s">
        <v>432</v>
      </c>
      <c r="Y2237" s="109" t="s">
        <v>432</v>
      </c>
      <c r="Z2237" s="109" t="s">
        <v>432</v>
      </c>
      <c r="AA2237" s="109" t="s">
        <v>432</v>
      </c>
      <c r="AB2237" s="109" t="s">
        <v>432</v>
      </c>
      <c r="AC2237" s="109" t="s">
        <v>432</v>
      </c>
      <c r="AD2237" s="109" t="s">
        <v>432</v>
      </c>
      <c r="AE2237" s="109" t="s">
        <v>432</v>
      </c>
      <c r="AF2237" s="109" t="s">
        <v>432</v>
      </c>
      <c r="AG2237" s="109" t="s">
        <v>432</v>
      </c>
      <c r="AH2237" s="109" t="s">
        <v>432</v>
      </c>
      <c r="AI2237" s="109" t="s">
        <v>432</v>
      </c>
      <c r="AJ2237" s="109" t="s">
        <v>432</v>
      </c>
      <c r="AK2237" s="109" t="s">
        <v>432</v>
      </c>
      <c r="AL2237" s="601" t="s">
        <v>432</v>
      </c>
      <c r="AM2237" s="109" t="s">
        <v>432</v>
      </c>
      <c r="AN2237" s="109" t="s">
        <v>432</v>
      </c>
      <c r="AO2237" s="109" t="s">
        <v>432</v>
      </c>
      <c r="AP2237" s="109" t="s">
        <v>432</v>
      </c>
      <c r="AQ2237" s="109" t="s">
        <v>432</v>
      </c>
      <c r="AR2237" s="109" t="s">
        <v>432</v>
      </c>
      <c r="AS2237" s="109" t="s">
        <v>432</v>
      </c>
      <c r="AT2237" s="109" t="s">
        <v>432</v>
      </c>
      <c r="AU2237" s="109" t="s">
        <v>432</v>
      </c>
      <c r="AV2237" s="109" t="s">
        <v>432</v>
      </c>
      <c r="AW2237" s="109" t="s">
        <v>432</v>
      </c>
      <c r="AX2237" s="109" t="s">
        <v>432</v>
      </c>
      <c r="AY2237" s="109" t="s">
        <v>432</v>
      </c>
      <c r="AZ2237" s="109" t="s">
        <v>432</v>
      </c>
      <c r="BA2237" s="109" t="s">
        <v>432</v>
      </c>
      <c r="BB2237" s="239" t="str">
        <f t="shared" si="633"/>
        <v>Recursos humanosx</v>
      </c>
      <c r="BC2237" s="239" t="str">
        <f t="shared" si="634"/>
        <v>Recursos humanosxainda não incorporado ao SisMob-BH</v>
      </c>
      <c r="BD2237" s="239" t="str">
        <f t="shared" si="635"/>
        <v>Recursos humanosainda não incorporado ao SisMob-BH</v>
      </c>
    </row>
    <row r="2238" spans="1:56" s="1" customFormat="1" ht="37.5" customHeight="1" x14ac:dyDescent="0.25">
      <c r="A2238" s="275" t="str">
        <f>'Q100b-totais'!$B$30</f>
        <v>3.5</v>
      </c>
      <c r="B2238" s="54" t="str">
        <f>'Q100b-totais'!$C$30</f>
        <v>Recursos humanos</v>
      </c>
      <c r="C2238" s="230" t="s">
        <v>432</v>
      </c>
      <c r="D2238" s="325" t="s">
        <v>4428</v>
      </c>
      <c r="E2238" s="509" t="s">
        <v>3729</v>
      </c>
      <c r="F2238" s="11" t="s">
        <v>3730</v>
      </c>
      <c r="G2238" s="58" t="s">
        <v>1608</v>
      </c>
      <c r="H2238" s="167" t="s">
        <v>432</v>
      </c>
      <c r="I2238" s="57">
        <v>1</v>
      </c>
      <c r="J2238" s="107" t="s">
        <v>432</v>
      </c>
      <c r="K2238" s="58" t="s">
        <v>432</v>
      </c>
      <c r="L2238" s="58" t="s">
        <v>432</v>
      </c>
      <c r="M2238" s="58" t="s">
        <v>432</v>
      </c>
      <c r="N2238" s="58" t="s">
        <v>432</v>
      </c>
      <c r="O2238" s="58" t="s">
        <v>432</v>
      </c>
      <c r="P2238" s="58" t="s">
        <v>432</v>
      </c>
      <c r="Q2238" s="58" t="s">
        <v>432</v>
      </c>
      <c r="R2238" s="58" t="s">
        <v>432</v>
      </c>
      <c r="S2238" s="109" t="s">
        <v>2209</v>
      </c>
      <c r="T2238" s="58" t="s">
        <v>432</v>
      </c>
      <c r="U2238" s="58" t="s">
        <v>432</v>
      </c>
      <c r="V2238" s="109" t="s">
        <v>2209</v>
      </c>
      <c r="W2238" s="58" t="s">
        <v>432</v>
      </c>
      <c r="X2238" s="58" t="s">
        <v>432</v>
      </c>
      <c r="Y2238" s="58" t="s">
        <v>432</v>
      </c>
      <c r="Z2238" s="58" t="s">
        <v>432</v>
      </c>
      <c r="AA2238" s="58" t="s">
        <v>432</v>
      </c>
      <c r="AB2238" s="47">
        <f t="shared" ref="AB2238:AK2238" si="644">AB2236/AB2217</f>
        <v>0.54994797086368363</v>
      </c>
      <c r="AC2238" s="47">
        <f t="shared" si="644"/>
        <v>0.55590717299578063</v>
      </c>
      <c r="AD2238" s="47">
        <f t="shared" si="644"/>
        <v>0.55092592592592593</v>
      </c>
      <c r="AE2238" s="47">
        <f t="shared" si="644"/>
        <v>0.56931216931216932</v>
      </c>
      <c r="AF2238" s="47">
        <f t="shared" si="644"/>
        <v>0.58450704225352113</v>
      </c>
      <c r="AG2238" s="47">
        <f t="shared" si="644"/>
        <v>0.60123387549074592</v>
      </c>
      <c r="AH2238" s="47">
        <f t="shared" si="644"/>
        <v>0.58662952646239552</v>
      </c>
      <c r="AI2238" s="47">
        <f t="shared" si="644"/>
        <v>0.5756373937677054</v>
      </c>
      <c r="AJ2238" s="47">
        <f t="shared" si="644"/>
        <v>0.64314632735685362</v>
      </c>
      <c r="AK2238" s="47">
        <f t="shared" si="644"/>
        <v>0.58904109589041098</v>
      </c>
      <c r="AL2238" s="601" t="s">
        <v>432</v>
      </c>
      <c r="AM2238" s="137" t="s">
        <v>432</v>
      </c>
      <c r="AN2238" s="137" t="s">
        <v>432</v>
      </c>
      <c r="AO2238" s="137" t="s">
        <v>432</v>
      </c>
      <c r="AP2238" s="137" t="s">
        <v>432</v>
      </c>
      <c r="AQ2238" s="137" t="s">
        <v>432</v>
      </c>
      <c r="AR2238" s="137" t="s">
        <v>432</v>
      </c>
      <c r="AS2238" s="137" t="s">
        <v>432</v>
      </c>
      <c r="AT2238" s="137" t="s">
        <v>432</v>
      </c>
      <c r="AU2238" s="137" t="s">
        <v>432</v>
      </c>
      <c r="AV2238" s="137" t="s">
        <v>432</v>
      </c>
      <c r="AW2238" s="137" t="s">
        <v>432</v>
      </c>
      <c r="AX2238" s="137" t="s">
        <v>432</v>
      </c>
      <c r="AY2238" s="137" t="s">
        <v>432</v>
      </c>
      <c r="AZ2238" s="137" t="s">
        <v>432</v>
      </c>
      <c r="BA2238" s="137" t="s">
        <v>432</v>
      </c>
      <c r="BB2238" s="239" t="str">
        <f t="shared" si="633"/>
        <v>Recursos humanosx</v>
      </c>
      <c r="BC2238" s="239" t="str">
        <f t="shared" si="634"/>
        <v>Recursos humanosxx</v>
      </c>
      <c r="BD2238" s="239" t="str">
        <f t="shared" si="635"/>
        <v>Recursos humanosx</v>
      </c>
    </row>
    <row r="2239" spans="1:56" s="1" customFormat="1" ht="51.75" customHeight="1" x14ac:dyDescent="0.25">
      <c r="A2239" s="275" t="str">
        <f>'Q100b-totais'!$B$30</f>
        <v>3.5</v>
      </c>
      <c r="B2239" s="54" t="str">
        <f>'Q100b-totais'!$C$30</f>
        <v>Recursos humanos</v>
      </c>
      <c r="C2239" s="230" t="s">
        <v>432</v>
      </c>
      <c r="D2239" s="324" t="s">
        <v>3206</v>
      </c>
      <c r="E2239" s="509" t="s">
        <v>3729</v>
      </c>
      <c r="F2239" s="14" t="s">
        <v>4596</v>
      </c>
      <c r="G2239" s="409" t="s">
        <v>3207</v>
      </c>
      <c r="H2239" s="167" t="s">
        <v>432</v>
      </c>
      <c r="I2239" s="57">
        <v>1</v>
      </c>
      <c r="J2239" s="107" t="s">
        <v>432</v>
      </c>
      <c r="K2239" s="622" t="s">
        <v>1370</v>
      </c>
      <c r="L2239" s="622" t="s">
        <v>1370</v>
      </c>
      <c r="M2239" s="622" t="s">
        <v>1370</v>
      </c>
      <c r="N2239" s="622" t="s">
        <v>1370</v>
      </c>
      <c r="O2239" s="622" t="s">
        <v>1370</v>
      </c>
      <c r="P2239" s="622" t="s">
        <v>1370</v>
      </c>
      <c r="Q2239" s="622" t="s">
        <v>1370</v>
      </c>
      <c r="R2239" s="622" t="s">
        <v>1370</v>
      </c>
      <c r="S2239" s="109" t="s">
        <v>2209</v>
      </c>
      <c r="T2239" s="622" t="s">
        <v>1370</v>
      </c>
      <c r="U2239" s="622" t="s">
        <v>1370</v>
      </c>
      <c r="V2239" s="109" t="s">
        <v>2209</v>
      </c>
      <c r="W2239" s="622" t="s">
        <v>1370</v>
      </c>
      <c r="X2239" s="622" t="s">
        <v>1370</v>
      </c>
      <c r="Y2239" s="622" t="s">
        <v>1370</v>
      </c>
      <c r="Z2239" s="622" t="s">
        <v>1370</v>
      </c>
      <c r="AA2239" s="622" t="s">
        <v>1370</v>
      </c>
      <c r="AB2239" s="622" t="s">
        <v>1370</v>
      </c>
      <c r="AC2239" s="622" t="s">
        <v>1370</v>
      </c>
      <c r="AD2239" s="622" t="s">
        <v>1370</v>
      </c>
      <c r="AE2239" s="622" t="s">
        <v>1370</v>
      </c>
      <c r="AF2239" s="622" t="s">
        <v>1370</v>
      </c>
      <c r="AG2239" s="622" t="s">
        <v>1370</v>
      </c>
      <c r="AH2239" s="110">
        <v>96</v>
      </c>
      <c r="AI2239" s="110">
        <v>102</v>
      </c>
      <c r="AJ2239" s="110">
        <v>98</v>
      </c>
      <c r="AK2239" s="110">
        <v>62</v>
      </c>
      <c r="AL2239" s="601" t="s">
        <v>432</v>
      </c>
      <c r="AM2239" s="137" t="s">
        <v>432</v>
      </c>
      <c r="AN2239" s="137" t="s">
        <v>432</v>
      </c>
      <c r="AO2239" s="137" t="s">
        <v>432</v>
      </c>
      <c r="AP2239" s="137" t="s">
        <v>432</v>
      </c>
      <c r="AQ2239" s="137" t="s">
        <v>432</v>
      </c>
      <c r="AR2239" s="137" t="s">
        <v>432</v>
      </c>
      <c r="AS2239" s="137" t="s">
        <v>432</v>
      </c>
      <c r="AT2239" s="137" t="s">
        <v>432</v>
      </c>
      <c r="AU2239" s="137" t="s">
        <v>432</v>
      </c>
      <c r="AV2239" s="137" t="s">
        <v>432</v>
      </c>
      <c r="AW2239" s="137" t="s">
        <v>432</v>
      </c>
      <c r="AX2239" s="137" t="s">
        <v>432</v>
      </c>
      <c r="AY2239" s="137" t="s">
        <v>432</v>
      </c>
      <c r="AZ2239" s="137" t="s">
        <v>432</v>
      </c>
      <c r="BA2239" s="137" t="s">
        <v>432</v>
      </c>
      <c r="BB2239" s="239" t="str">
        <f>B2239&amp;C2239</f>
        <v>Recursos humanosx</v>
      </c>
      <c r="BC2239" s="239" t="str">
        <f>B2239&amp;C2239&amp;H2239</f>
        <v>Recursos humanosxx</v>
      </c>
      <c r="BD2239" s="239" t="str">
        <f>B2239&amp;H2239</f>
        <v>Recursos humanosx</v>
      </c>
    </row>
    <row r="2240" spans="1:56" s="1" customFormat="1" ht="51.75" customHeight="1" x14ac:dyDescent="0.25">
      <c r="A2240" s="275" t="str">
        <f>'Q100b-totais'!$B$30</f>
        <v>3.5</v>
      </c>
      <c r="B2240" s="54" t="str">
        <f>'Q100b-totais'!$C$30</f>
        <v>Recursos humanos</v>
      </c>
      <c r="C2240" s="230" t="s">
        <v>432</v>
      </c>
      <c r="D2240" s="324" t="s">
        <v>4586</v>
      </c>
      <c r="E2240" s="509" t="s">
        <v>3729</v>
      </c>
      <c r="F2240" s="14" t="s">
        <v>4592</v>
      </c>
      <c r="G2240" s="408" t="s">
        <v>4587</v>
      </c>
      <c r="H2240" s="167" t="s">
        <v>432</v>
      </c>
      <c r="I2240" s="57">
        <v>1</v>
      </c>
      <c r="J2240" s="107" t="s">
        <v>432</v>
      </c>
      <c r="K2240" s="112" t="e">
        <f t="shared" ref="K2240:AJ2240" si="645">K2239/K2217</f>
        <v>#VALUE!</v>
      </c>
      <c r="L2240" s="112" t="e">
        <f t="shared" si="645"/>
        <v>#VALUE!</v>
      </c>
      <c r="M2240" s="112" t="e">
        <f t="shared" si="645"/>
        <v>#VALUE!</v>
      </c>
      <c r="N2240" s="112" t="e">
        <f t="shared" si="645"/>
        <v>#VALUE!</v>
      </c>
      <c r="O2240" s="112" t="e">
        <f t="shared" si="645"/>
        <v>#VALUE!</v>
      </c>
      <c r="P2240" s="112" t="e">
        <f t="shared" si="645"/>
        <v>#VALUE!</v>
      </c>
      <c r="Q2240" s="112" t="e">
        <f t="shared" si="645"/>
        <v>#VALUE!</v>
      </c>
      <c r="R2240" s="112" t="e">
        <f t="shared" si="645"/>
        <v>#VALUE!</v>
      </c>
      <c r="S2240" s="109" t="s">
        <v>2209</v>
      </c>
      <c r="T2240" s="112" t="e">
        <f t="shared" si="645"/>
        <v>#VALUE!</v>
      </c>
      <c r="U2240" s="112" t="e">
        <f t="shared" si="645"/>
        <v>#VALUE!</v>
      </c>
      <c r="V2240" s="109" t="s">
        <v>2209</v>
      </c>
      <c r="W2240" s="112" t="e">
        <f t="shared" si="645"/>
        <v>#VALUE!</v>
      </c>
      <c r="X2240" s="112" t="e">
        <f t="shared" si="645"/>
        <v>#VALUE!</v>
      </c>
      <c r="Y2240" s="112" t="e">
        <f t="shared" si="645"/>
        <v>#VALUE!</v>
      </c>
      <c r="Z2240" s="112" t="e">
        <f t="shared" si="645"/>
        <v>#VALUE!</v>
      </c>
      <c r="AA2240" s="112" t="e">
        <f t="shared" si="645"/>
        <v>#VALUE!</v>
      </c>
      <c r="AB2240" s="112" t="e">
        <f t="shared" si="645"/>
        <v>#VALUE!</v>
      </c>
      <c r="AC2240" s="112" t="e">
        <f t="shared" si="645"/>
        <v>#VALUE!</v>
      </c>
      <c r="AD2240" s="112" t="e">
        <f t="shared" si="645"/>
        <v>#VALUE!</v>
      </c>
      <c r="AE2240" s="112" t="e">
        <f t="shared" si="645"/>
        <v>#VALUE!</v>
      </c>
      <c r="AF2240" s="112" t="e">
        <f t="shared" si="645"/>
        <v>#VALUE!</v>
      </c>
      <c r="AG2240" s="112" t="e">
        <f t="shared" si="645"/>
        <v>#VALUE!</v>
      </c>
      <c r="AH2240" s="112">
        <f t="shared" si="645"/>
        <v>5.3481894150417826E-2</v>
      </c>
      <c r="AI2240" s="112">
        <f t="shared" si="645"/>
        <v>5.7790368271954676E-2</v>
      </c>
      <c r="AJ2240" s="112">
        <f t="shared" si="645"/>
        <v>5.6680161943319839E-2</v>
      </c>
      <c r="AK2240" s="112">
        <f>AK2239/AK2217</f>
        <v>3.2665964172813484E-2</v>
      </c>
      <c r="AL2240" s="601"/>
      <c r="AM2240" s="137"/>
      <c r="AN2240" s="137"/>
      <c r="AO2240" s="137"/>
      <c r="AP2240" s="137"/>
      <c r="AQ2240" s="137"/>
      <c r="AR2240" s="137"/>
      <c r="AS2240" s="137"/>
      <c r="AT2240" s="137"/>
      <c r="AU2240" s="137"/>
      <c r="AV2240" s="137"/>
      <c r="AW2240" s="137"/>
      <c r="AX2240" s="137"/>
      <c r="AY2240" s="137"/>
      <c r="AZ2240" s="137"/>
      <c r="BA2240" s="137"/>
      <c r="BB2240" s="239"/>
      <c r="BC2240" s="239" t="str">
        <f>B2240&amp;C2240&amp;H2240</f>
        <v>Recursos humanosxx</v>
      </c>
      <c r="BD2240" s="239" t="str">
        <f>B2240&amp;H2240</f>
        <v>Recursos humanosx</v>
      </c>
    </row>
    <row r="2241" spans="1:56" s="1" customFormat="1" ht="60" customHeight="1" x14ac:dyDescent="0.25">
      <c r="A2241" s="275" t="str">
        <f>'Q100b-totais'!$B$30</f>
        <v>3.5</v>
      </c>
      <c r="B2241" s="1205" t="str">
        <f>'Q100b-totais'!$C$30</f>
        <v>Recursos humanos</v>
      </c>
      <c r="C2241" s="57" t="s">
        <v>432</v>
      </c>
      <c r="D2241" s="325" t="s">
        <v>1609</v>
      </c>
      <c r="E2241" s="509" t="s">
        <v>3729</v>
      </c>
      <c r="F2241" s="188" t="s">
        <v>4422</v>
      </c>
      <c r="G2241" s="412" t="s">
        <v>3209</v>
      </c>
      <c r="H2241" s="167" t="s">
        <v>432</v>
      </c>
      <c r="I2241" s="57">
        <v>1</v>
      </c>
      <c r="J2241" s="107" t="s">
        <v>432</v>
      </c>
      <c r="K2241" s="67" t="e">
        <f t="shared" ref="K2241:R2241" si="646">K2249+K2239</f>
        <v>#VALUE!</v>
      </c>
      <c r="L2241" s="67" t="e">
        <f t="shared" si="646"/>
        <v>#VALUE!</v>
      </c>
      <c r="M2241" s="67" t="e">
        <f t="shared" si="646"/>
        <v>#VALUE!</v>
      </c>
      <c r="N2241" s="67" t="e">
        <f t="shared" si="646"/>
        <v>#VALUE!</v>
      </c>
      <c r="O2241" s="67" t="e">
        <f t="shared" si="646"/>
        <v>#VALUE!</v>
      </c>
      <c r="P2241" s="67" t="e">
        <f t="shared" si="646"/>
        <v>#VALUE!</v>
      </c>
      <c r="Q2241" s="67" t="e">
        <f t="shared" si="646"/>
        <v>#VALUE!</v>
      </c>
      <c r="R2241" s="67" t="e">
        <f t="shared" si="646"/>
        <v>#VALUE!</v>
      </c>
      <c r="S2241" s="109" t="s">
        <v>2209</v>
      </c>
      <c r="T2241" s="67" t="e">
        <f>T2249+T2239</f>
        <v>#VALUE!</v>
      </c>
      <c r="U2241" s="67" t="e">
        <f>U2249+U2239</f>
        <v>#VALUE!</v>
      </c>
      <c r="V2241" s="109" t="s">
        <v>2209</v>
      </c>
      <c r="W2241" s="67" t="e">
        <f>W2249+W2239</f>
        <v>#VALUE!</v>
      </c>
      <c r="X2241" s="67" t="e">
        <f>X2249+X2239</f>
        <v>#VALUE!</v>
      </c>
      <c r="Y2241" s="67" t="e">
        <f>Y2249+Y2239</f>
        <v>#VALUE!</v>
      </c>
      <c r="Z2241" s="67" t="e">
        <f>Z2249+Z2239</f>
        <v>#VALUE!</v>
      </c>
      <c r="AA2241" s="67" t="e">
        <f>AA2249+AA2239</f>
        <v>#VALUE!</v>
      </c>
      <c r="AB2241" s="87">
        <v>865</v>
      </c>
      <c r="AC2241" s="87">
        <v>842</v>
      </c>
      <c r="AD2241" s="87">
        <v>873</v>
      </c>
      <c r="AE2241" s="87">
        <v>814</v>
      </c>
      <c r="AF2241" s="87">
        <v>767</v>
      </c>
      <c r="AG2241" s="87">
        <v>711</v>
      </c>
      <c r="AH2241" s="87">
        <v>742</v>
      </c>
      <c r="AI2241" s="67">
        <f>AI2249+AI2239</f>
        <v>749</v>
      </c>
      <c r="AJ2241" s="67">
        <f>AJ2249+AJ2239</f>
        <v>617</v>
      </c>
      <c r="AK2241" s="67">
        <f>AK2249+AK2239</f>
        <v>780</v>
      </c>
      <c r="AL2241" s="601" t="s">
        <v>432</v>
      </c>
      <c r="AM2241" s="137" t="s">
        <v>432</v>
      </c>
      <c r="AN2241" s="137" t="s">
        <v>432</v>
      </c>
      <c r="AO2241" s="137" t="s">
        <v>432</v>
      </c>
      <c r="AP2241" s="137" t="s">
        <v>432</v>
      </c>
      <c r="AQ2241" s="137" t="s">
        <v>432</v>
      </c>
      <c r="AR2241" s="137" t="s">
        <v>432</v>
      </c>
      <c r="AS2241" s="137" t="s">
        <v>432</v>
      </c>
      <c r="AT2241" s="137" t="s">
        <v>432</v>
      </c>
      <c r="AU2241" s="137" t="s">
        <v>432</v>
      </c>
      <c r="AV2241" s="137" t="s">
        <v>432</v>
      </c>
      <c r="AW2241" s="137" t="s">
        <v>432</v>
      </c>
      <c r="AX2241" s="137" t="s">
        <v>432</v>
      </c>
      <c r="AY2241" s="137" t="s">
        <v>432</v>
      </c>
      <c r="AZ2241" s="137" t="s">
        <v>432</v>
      </c>
      <c r="BA2241" s="137" t="s">
        <v>432</v>
      </c>
      <c r="BB2241" s="239" t="str">
        <f>B2241&amp;C2241</f>
        <v>Recursos humanosx</v>
      </c>
      <c r="BC2241" s="239" t="str">
        <f>B2241&amp;C2241&amp;H2241</f>
        <v>Recursos humanosxx</v>
      </c>
      <c r="BD2241" s="239" t="str">
        <f>B2241&amp;H2241</f>
        <v>Recursos humanosx</v>
      </c>
    </row>
    <row r="2242" spans="1:56" s="1" customFormat="1" ht="67.5" customHeight="1" x14ac:dyDescent="0.25">
      <c r="A2242" s="275" t="str">
        <f>'Q100b-totais'!$B$30</f>
        <v>3.5</v>
      </c>
      <c r="B2242" s="1205" t="str">
        <f>'Q100b-totais'!$C$30</f>
        <v>Recursos humanos</v>
      </c>
      <c r="C2242" s="57" t="s">
        <v>432</v>
      </c>
      <c r="D2242" s="325" t="s">
        <v>4429</v>
      </c>
      <c r="E2242" s="509" t="s">
        <v>3729</v>
      </c>
      <c r="F2242" s="12" t="s">
        <v>3731</v>
      </c>
      <c r="G2242" s="58" t="s">
        <v>4430</v>
      </c>
      <c r="H2242" s="167" t="s">
        <v>432</v>
      </c>
      <c r="I2242" s="57">
        <v>1</v>
      </c>
      <c r="J2242" s="107" t="s">
        <v>432</v>
      </c>
      <c r="K2242" s="58" t="s">
        <v>432</v>
      </c>
      <c r="L2242" s="58" t="s">
        <v>432</v>
      </c>
      <c r="M2242" s="58" t="s">
        <v>432</v>
      </c>
      <c r="N2242" s="58" t="s">
        <v>432</v>
      </c>
      <c r="O2242" s="58" t="s">
        <v>432</v>
      </c>
      <c r="P2242" s="58" t="s">
        <v>432</v>
      </c>
      <c r="Q2242" s="58" t="s">
        <v>432</v>
      </c>
      <c r="R2242" s="58" t="s">
        <v>432</v>
      </c>
      <c r="S2242" s="109" t="s">
        <v>2209</v>
      </c>
      <c r="T2242" s="58" t="s">
        <v>432</v>
      </c>
      <c r="U2242" s="58" t="s">
        <v>432</v>
      </c>
      <c r="V2242" s="109" t="s">
        <v>2209</v>
      </c>
      <c r="W2242" s="58" t="s">
        <v>432</v>
      </c>
      <c r="X2242" s="58" t="s">
        <v>432</v>
      </c>
      <c r="Y2242" s="58" t="s">
        <v>432</v>
      </c>
      <c r="Z2242" s="58" t="s">
        <v>432</v>
      </c>
      <c r="AA2242" s="58" t="s">
        <v>432</v>
      </c>
      <c r="AB2242" s="47">
        <f t="shared" ref="AB2242:AK2242" si="647">AB2241/AB2217</f>
        <v>0.45005202913631631</v>
      </c>
      <c r="AC2242" s="47">
        <f t="shared" si="647"/>
        <v>0.44409282700421943</v>
      </c>
      <c r="AD2242" s="47">
        <f t="shared" si="647"/>
        <v>0.44907407407407407</v>
      </c>
      <c r="AE2242" s="47">
        <f t="shared" si="647"/>
        <v>0.43068783068783068</v>
      </c>
      <c r="AF2242" s="47">
        <f t="shared" si="647"/>
        <v>0.41549295774647887</v>
      </c>
      <c r="AG2242" s="47">
        <f t="shared" si="647"/>
        <v>0.39876612450925408</v>
      </c>
      <c r="AH2242" s="47">
        <f t="shared" si="647"/>
        <v>0.41337047353760448</v>
      </c>
      <c r="AI2242" s="47">
        <f t="shared" si="647"/>
        <v>0.4243626062322946</v>
      </c>
      <c r="AJ2242" s="47">
        <f t="shared" si="647"/>
        <v>0.35685367264314632</v>
      </c>
      <c r="AK2242" s="47">
        <f t="shared" si="647"/>
        <v>0.41095890410958902</v>
      </c>
      <c r="AL2242" s="601" t="s">
        <v>432</v>
      </c>
      <c r="AM2242" s="137" t="s">
        <v>432</v>
      </c>
      <c r="AN2242" s="137" t="s">
        <v>432</v>
      </c>
      <c r="AO2242" s="137" t="s">
        <v>432</v>
      </c>
      <c r="AP2242" s="137" t="s">
        <v>432</v>
      </c>
      <c r="AQ2242" s="137" t="s">
        <v>432</v>
      </c>
      <c r="AR2242" s="137" t="s">
        <v>432</v>
      </c>
      <c r="AS2242" s="137" t="s">
        <v>432</v>
      </c>
      <c r="AT2242" s="137" t="s">
        <v>432</v>
      </c>
      <c r="AU2242" s="137" t="s">
        <v>432</v>
      </c>
      <c r="AV2242" s="137" t="s">
        <v>432</v>
      </c>
      <c r="AW2242" s="137" t="s">
        <v>432</v>
      </c>
      <c r="AX2242" s="137" t="s">
        <v>432</v>
      </c>
      <c r="AY2242" s="137" t="s">
        <v>432</v>
      </c>
      <c r="AZ2242" s="137" t="s">
        <v>432</v>
      </c>
      <c r="BA2242" s="137" t="s">
        <v>432</v>
      </c>
      <c r="BB2242" s="239" t="str">
        <f>B2242&amp;C2242</f>
        <v>Recursos humanosx</v>
      </c>
      <c r="BC2242" s="239" t="str">
        <f>B2242&amp;C2242&amp;H2242</f>
        <v>Recursos humanosxx</v>
      </c>
      <c r="BD2242" s="239" t="str">
        <f>B2242&amp;H2242</f>
        <v>Recursos humanosx</v>
      </c>
    </row>
    <row r="2243" spans="1:56" s="1" customFormat="1" ht="34.5" customHeight="1" x14ac:dyDescent="0.25">
      <c r="A2243" s="275" t="str">
        <f>'Q100b-totais'!$B$30</f>
        <v>3.5</v>
      </c>
      <c r="B2243" s="54" t="str">
        <f>'Q100b-totais'!$C$30</f>
        <v>Recursos humanos</v>
      </c>
      <c r="C2243" s="230" t="s">
        <v>432</v>
      </c>
      <c r="D2243" s="325" t="s">
        <v>4410</v>
      </c>
      <c r="E2243" s="509" t="s">
        <v>3729</v>
      </c>
      <c r="F2243" s="188" t="s">
        <v>4419</v>
      </c>
      <c r="G2243" s="408" t="s">
        <v>4418</v>
      </c>
      <c r="H2243" s="167" t="s">
        <v>432</v>
      </c>
      <c r="I2243" s="57">
        <v>1</v>
      </c>
      <c r="J2243" s="107" t="s">
        <v>432</v>
      </c>
      <c r="K2243" s="20" t="e">
        <f t="shared" ref="K2243:R2243" si="648">K2244+K2245</f>
        <v>#VALUE!</v>
      </c>
      <c r="L2243" s="20" t="e">
        <f t="shared" si="648"/>
        <v>#VALUE!</v>
      </c>
      <c r="M2243" s="20" t="e">
        <f t="shared" si="648"/>
        <v>#VALUE!</v>
      </c>
      <c r="N2243" s="20" t="e">
        <f t="shared" si="648"/>
        <v>#VALUE!</v>
      </c>
      <c r="O2243" s="20" t="e">
        <f t="shared" si="648"/>
        <v>#VALUE!</v>
      </c>
      <c r="P2243" s="20" t="e">
        <f t="shared" si="648"/>
        <v>#VALUE!</v>
      </c>
      <c r="Q2243" s="20" t="e">
        <f t="shared" si="648"/>
        <v>#VALUE!</v>
      </c>
      <c r="R2243" s="20" t="e">
        <f t="shared" si="648"/>
        <v>#VALUE!</v>
      </c>
      <c r="S2243" s="109" t="s">
        <v>2209</v>
      </c>
      <c r="T2243" s="20" t="e">
        <f>T2244+T2245</f>
        <v>#VALUE!</v>
      </c>
      <c r="U2243" s="20" t="e">
        <f>U2244+U2245</f>
        <v>#VALUE!</v>
      </c>
      <c r="V2243" s="109" t="s">
        <v>2209</v>
      </c>
      <c r="W2243" s="20" t="e">
        <f t="shared" ref="W2243:AK2243" si="649">W2244+W2245</f>
        <v>#VALUE!</v>
      </c>
      <c r="X2243" s="20" t="e">
        <f t="shared" si="649"/>
        <v>#VALUE!</v>
      </c>
      <c r="Y2243" s="20" t="e">
        <f t="shared" si="649"/>
        <v>#VALUE!</v>
      </c>
      <c r="Z2243" s="20" t="e">
        <f t="shared" si="649"/>
        <v>#VALUE!</v>
      </c>
      <c r="AA2243" s="20" t="e">
        <f t="shared" si="649"/>
        <v>#VALUE!</v>
      </c>
      <c r="AB2243" s="20" t="e">
        <f t="shared" si="649"/>
        <v>#VALUE!</v>
      </c>
      <c r="AC2243" s="20" t="e">
        <f t="shared" si="649"/>
        <v>#VALUE!</v>
      </c>
      <c r="AD2243" s="20" t="e">
        <f t="shared" si="649"/>
        <v>#VALUE!</v>
      </c>
      <c r="AE2243" s="20" t="e">
        <f t="shared" si="649"/>
        <v>#VALUE!</v>
      </c>
      <c r="AF2243" s="20" t="e">
        <f t="shared" si="649"/>
        <v>#VALUE!</v>
      </c>
      <c r="AG2243" s="20" t="e">
        <f t="shared" si="649"/>
        <v>#VALUE!</v>
      </c>
      <c r="AH2243" s="20">
        <f t="shared" si="649"/>
        <v>93</v>
      </c>
      <c r="AI2243" s="20">
        <f>AI2244+AI2245</f>
        <v>92</v>
      </c>
      <c r="AJ2243" s="20">
        <f>AJ2244+AJ2245</f>
        <v>97</v>
      </c>
      <c r="AK2243" s="20">
        <f t="shared" si="649"/>
        <v>98</v>
      </c>
      <c r="AL2243" s="601"/>
      <c r="AM2243" s="137"/>
      <c r="AN2243" s="137"/>
      <c r="AO2243" s="137"/>
      <c r="AP2243" s="137"/>
      <c r="AQ2243" s="137"/>
      <c r="AR2243" s="137"/>
      <c r="AS2243" s="137"/>
      <c r="AT2243" s="137"/>
      <c r="AU2243" s="137"/>
      <c r="AV2243" s="137"/>
      <c r="AW2243" s="137"/>
      <c r="AX2243" s="137"/>
      <c r="AY2243" s="137"/>
      <c r="AZ2243" s="137"/>
      <c r="BA2243" s="137"/>
      <c r="BB2243" s="239"/>
      <c r="BC2243" s="239"/>
      <c r="BD2243" s="239" t="str">
        <f>B2243&amp;H2243</f>
        <v>Recursos humanosx</v>
      </c>
    </row>
    <row r="2244" spans="1:56" s="1" customFormat="1" ht="56.25" customHeight="1" x14ac:dyDescent="0.25">
      <c r="A2244" s="275" t="str">
        <f>'Q100b-totais'!$B$30</f>
        <v>3.5</v>
      </c>
      <c r="B2244" s="54" t="str">
        <f>'Q100b-totais'!$C$30</f>
        <v>Recursos humanos</v>
      </c>
      <c r="C2244" s="230" t="s">
        <v>432</v>
      </c>
      <c r="D2244" s="325" t="s">
        <v>4415</v>
      </c>
      <c r="E2244" s="509" t="s">
        <v>3729</v>
      </c>
      <c r="F2244" s="188" t="s">
        <v>4417</v>
      </c>
      <c r="G2244" s="408" t="s">
        <v>4416</v>
      </c>
      <c r="H2244" s="167" t="s">
        <v>432</v>
      </c>
      <c r="I2244" s="57">
        <v>1</v>
      </c>
      <c r="J2244" s="107" t="s">
        <v>432</v>
      </c>
      <c r="K2244" s="20" t="e">
        <f t="shared" ref="K2244:R2244" si="650">K2224-K2248</f>
        <v>#VALUE!</v>
      </c>
      <c r="L2244" s="20" t="e">
        <f t="shared" si="650"/>
        <v>#VALUE!</v>
      </c>
      <c r="M2244" s="20" t="e">
        <f t="shared" si="650"/>
        <v>#VALUE!</v>
      </c>
      <c r="N2244" s="20" t="e">
        <f t="shared" si="650"/>
        <v>#VALUE!</v>
      </c>
      <c r="O2244" s="20" t="e">
        <f t="shared" si="650"/>
        <v>#VALUE!</v>
      </c>
      <c r="P2244" s="20" t="e">
        <f t="shared" si="650"/>
        <v>#VALUE!</v>
      </c>
      <c r="Q2244" s="20" t="e">
        <f t="shared" si="650"/>
        <v>#VALUE!</v>
      </c>
      <c r="R2244" s="20" t="e">
        <f t="shared" si="650"/>
        <v>#VALUE!</v>
      </c>
      <c r="S2244" s="109" t="s">
        <v>2209</v>
      </c>
      <c r="T2244" s="20" t="e">
        <f>T2224-T2248</f>
        <v>#VALUE!</v>
      </c>
      <c r="U2244" s="20" t="e">
        <f>U2224-U2248</f>
        <v>#VALUE!</v>
      </c>
      <c r="V2244" s="109" t="s">
        <v>2209</v>
      </c>
      <c r="W2244" s="20" t="e">
        <f t="shared" ref="W2244:AH2244" si="651">W2224-W2248</f>
        <v>#VALUE!</v>
      </c>
      <c r="X2244" s="20" t="e">
        <f t="shared" si="651"/>
        <v>#VALUE!</v>
      </c>
      <c r="Y2244" s="20" t="e">
        <f t="shared" si="651"/>
        <v>#VALUE!</v>
      </c>
      <c r="Z2244" s="20" t="e">
        <f t="shared" si="651"/>
        <v>#VALUE!</v>
      </c>
      <c r="AA2244" s="20" t="e">
        <f t="shared" si="651"/>
        <v>#VALUE!</v>
      </c>
      <c r="AB2244" s="20" t="e">
        <f t="shared" si="651"/>
        <v>#VALUE!</v>
      </c>
      <c r="AC2244" s="20" t="e">
        <f t="shared" si="651"/>
        <v>#VALUE!</v>
      </c>
      <c r="AD2244" s="20" t="e">
        <f t="shared" si="651"/>
        <v>#VALUE!</v>
      </c>
      <c r="AE2244" s="20" t="e">
        <f t="shared" si="651"/>
        <v>#VALUE!</v>
      </c>
      <c r="AF2244" s="20" t="e">
        <f t="shared" si="651"/>
        <v>#VALUE!</v>
      </c>
      <c r="AG2244" s="20" t="e">
        <f t="shared" si="651"/>
        <v>#VALUE!</v>
      </c>
      <c r="AH2244" s="20">
        <f t="shared" si="651"/>
        <v>55</v>
      </c>
      <c r="AI2244" s="20">
        <f>AI2224-AI2248</f>
        <v>57</v>
      </c>
      <c r="AJ2244" s="20">
        <f>AJ2224-AJ2248</f>
        <v>58</v>
      </c>
      <c r="AK2244" s="20">
        <f>AK2224-AK2248</f>
        <v>57</v>
      </c>
      <c r="AL2244" s="601"/>
      <c r="AM2244" s="137"/>
      <c r="AN2244" s="137"/>
      <c r="AO2244" s="137"/>
      <c r="AP2244" s="137"/>
      <c r="AQ2244" s="137"/>
      <c r="AR2244" s="137"/>
      <c r="AS2244" s="137"/>
      <c r="AT2244" s="137"/>
      <c r="AU2244" s="137"/>
      <c r="AV2244" s="137"/>
      <c r="AW2244" s="137"/>
      <c r="AX2244" s="137"/>
      <c r="AY2244" s="137"/>
      <c r="AZ2244" s="137"/>
      <c r="BA2244" s="137"/>
      <c r="BB2244" s="239"/>
      <c r="BC2244" s="239"/>
      <c r="BD2244" s="239"/>
    </row>
    <row r="2245" spans="1:56" s="1" customFormat="1" ht="102" customHeight="1" x14ac:dyDescent="0.25">
      <c r="A2245" s="275" t="str">
        <f>'Q100b-totais'!$B$30</f>
        <v>3.5</v>
      </c>
      <c r="B2245" s="54" t="str">
        <f>'Q100b-totais'!$C$30</f>
        <v>Recursos humanos</v>
      </c>
      <c r="C2245" s="230" t="s">
        <v>432</v>
      </c>
      <c r="D2245" s="325" t="s">
        <v>4424</v>
      </c>
      <c r="E2245" s="509" t="s">
        <v>3729</v>
      </c>
      <c r="F2245" s="14" t="s">
        <v>4420</v>
      </c>
      <c r="G2245" s="409" t="s">
        <v>4564</v>
      </c>
      <c r="H2245" s="167" t="s">
        <v>432</v>
      </c>
      <c r="I2245" s="57">
        <v>1</v>
      </c>
      <c r="J2245" s="107" t="s">
        <v>432</v>
      </c>
      <c r="K2245" s="622" t="s">
        <v>1370</v>
      </c>
      <c r="L2245" s="622" t="s">
        <v>1370</v>
      </c>
      <c r="M2245" s="622" t="s">
        <v>1370</v>
      </c>
      <c r="N2245" s="622" t="s">
        <v>1370</v>
      </c>
      <c r="O2245" s="622" t="s">
        <v>1370</v>
      </c>
      <c r="P2245" s="622" t="s">
        <v>1370</v>
      </c>
      <c r="Q2245" s="622" t="s">
        <v>1370</v>
      </c>
      <c r="R2245" s="622" t="s">
        <v>1370</v>
      </c>
      <c r="S2245" s="109" t="s">
        <v>2209</v>
      </c>
      <c r="T2245" s="622" t="s">
        <v>1370</v>
      </c>
      <c r="U2245" s="622" t="s">
        <v>1370</v>
      </c>
      <c r="V2245" s="109" t="s">
        <v>2209</v>
      </c>
      <c r="W2245" s="622" t="s">
        <v>1370</v>
      </c>
      <c r="X2245" s="622" t="s">
        <v>1370</v>
      </c>
      <c r="Y2245" s="622" t="s">
        <v>1370</v>
      </c>
      <c r="Z2245" s="622" t="s">
        <v>1370</v>
      </c>
      <c r="AA2245" s="622" t="s">
        <v>1370</v>
      </c>
      <c r="AB2245" s="87">
        <v>39</v>
      </c>
      <c r="AC2245" s="87">
        <v>38</v>
      </c>
      <c r="AD2245" s="87">
        <v>31</v>
      </c>
      <c r="AE2245" s="87">
        <v>37</v>
      </c>
      <c r="AF2245" s="87">
        <v>36</v>
      </c>
      <c r="AG2245" s="87">
        <v>37</v>
      </c>
      <c r="AH2245" s="87">
        <v>38</v>
      </c>
      <c r="AI2245" s="110">
        <v>35</v>
      </c>
      <c r="AJ2245" s="87">
        <v>39</v>
      </c>
      <c r="AK2245" s="87">
        <v>41</v>
      </c>
      <c r="AL2245" s="601" t="s">
        <v>432</v>
      </c>
      <c r="AM2245" s="137" t="s">
        <v>432</v>
      </c>
      <c r="AN2245" s="137" t="s">
        <v>432</v>
      </c>
      <c r="AO2245" s="137" t="s">
        <v>432</v>
      </c>
      <c r="AP2245" s="137" t="s">
        <v>432</v>
      </c>
      <c r="AQ2245" s="137" t="s">
        <v>432</v>
      </c>
      <c r="AR2245" s="137" t="s">
        <v>432</v>
      </c>
      <c r="AS2245" s="137" t="s">
        <v>432</v>
      </c>
      <c r="AT2245" s="137" t="s">
        <v>432</v>
      </c>
      <c r="AU2245" s="137" t="s">
        <v>432</v>
      </c>
      <c r="AV2245" s="137" t="s">
        <v>432</v>
      </c>
      <c r="AW2245" s="137" t="s">
        <v>432</v>
      </c>
      <c r="AX2245" s="137" t="s">
        <v>432</v>
      </c>
      <c r="AY2245" s="137" t="s">
        <v>432</v>
      </c>
      <c r="AZ2245" s="137" t="s">
        <v>432</v>
      </c>
      <c r="BA2245" s="137" t="s">
        <v>432</v>
      </c>
      <c r="BB2245" s="239" t="str">
        <f t="shared" si="633"/>
        <v>Recursos humanosx</v>
      </c>
      <c r="BC2245" s="239" t="str">
        <f t="shared" si="634"/>
        <v>Recursos humanosxx</v>
      </c>
      <c r="BD2245" s="239" t="str">
        <f t="shared" si="635"/>
        <v>Recursos humanosx</v>
      </c>
    </row>
    <row r="2246" spans="1:56" s="1" customFormat="1" ht="102" customHeight="1" x14ac:dyDescent="0.25">
      <c r="A2246" s="275" t="str">
        <f>'Q100b-totais'!$B$30</f>
        <v>3.5</v>
      </c>
      <c r="B2246" s="54" t="str">
        <f>'Q100b-totais'!$C$30</f>
        <v>Recursos humanos</v>
      </c>
      <c r="C2246" s="230" t="s">
        <v>432</v>
      </c>
      <c r="D2246" s="325" t="s">
        <v>4589</v>
      </c>
      <c r="E2246" s="509" t="s">
        <v>3729</v>
      </c>
      <c r="F2246" s="14" t="s">
        <v>4590</v>
      </c>
      <c r="G2246" s="408" t="s">
        <v>4591</v>
      </c>
      <c r="H2246" s="167" t="s">
        <v>432</v>
      </c>
      <c r="I2246" s="57">
        <v>1</v>
      </c>
      <c r="J2246" s="107" t="s">
        <v>432</v>
      </c>
      <c r="K2246" s="47" t="e">
        <f t="shared" ref="K2246:AJ2246" si="652">K2245/K2217</f>
        <v>#VALUE!</v>
      </c>
      <c r="L2246" s="47" t="e">
        <f t="shared" si="652"/>
        <v>#VALUE!</v>
      </c>
      <c r="M2246" s="47" t="e">
        <f t="shared" si="652"/>
        <v>#VALUE!</v>
      </c>
      <c r="N2246" s="47" t="e">
        <f t="shared" si="652"/>
        <v>#VALUE!</v>
      </c>
      <c r="O2246" s="47" t="e">
        <f t="shared" si="652"/>
        <v>#VALUE!</v>
      </c>
      <c r="P2246" s="47" t="e">
        <f t="shared" si="652"/>
        <v>#VALUE!</v>
      </c>
      <c r="Q2246" s="47" t="e">
        <f t="shared" si="652"/>
        <v>#VALUE!</v>
      </c>
      <c r="R2246" s="47" t="e">
        <f t="shared" si="652"/>
        <v>#VALUE!</v>
      </c>
      <c r="S2246" s="109" t="s">
        <v>2209</v>
      </c>
      <c r="T2246" s="47" t="e">
        <f t="shared" si="652"/>
        <v>#VALUE!</v>
      </c>
      <c r="U2246" s="47" t="e">
        <f t="shared" si="652"/>
        <v>#VALUE!</v>
      </c>
      <c r="V2246" s="109" t="s">
        <v>2209</v>
      </c>
      <c r="W2246" s="47" t="e">
        <f t="shared" si="652"/>
        <v>#VALUE!</v>
      </c>
      <c r="X2246" s="47" t="e">
        <f t="shared" si="652"/>
        <v>#VALUE!</v>
      </c>
      <c r="Y2246" s="47" t="e">
        <f t="shared" si="652"/>
        <v>#VALUE!</v>
      </c>
      <c r="Z2246" s="47" t="e">
        <f t="shared" si="652"/>
        <v>#VALUE!</v>
      </c>
      <c r="AA2246" s="47" t="e">
        <f t="shared" si="652"/>
        <v>#VALUE!</v>
      </c>
      <c r="AB2246" s="47">
        <f t="shared" si="652"/>
        <v>2.029136316337149E-2</v>
      </c>
      <c r="AC2246" s="47">
        <f t="shared" si="652"/>
        <v>2.0042194092827006E-2</v>
      </c>
      <c r="AD2246" s="47">
        <f t="shared" si="652"/>
        <v>1.5946502057613169E-2</v>
      </c>
      <c r="AE2246" s="47">
        <f t="shared" si="652"/>
        <v>1.9576719576719578E-2</v>
      </c>
      <c r="AF2246" s="47">
        <f t="shared" si="652"/>
        <v>1.9501625135427952E-2</v>
      </c>
      <c r="AG2246" s="47">
        <f t="shared" si="652"/>
        <v>2.0751542344363431E-2</v>
      </c>
      <c r="AH2246" s="47">
        <f t="shared" si="652"/>
        <v>2.116991643454039E-2</v>
      </c>
      <c r="AI2246" s="47">
        <f t="shared" si="652"/>
        <v>1.9830028328611898E-2</v>
      </c>
      <c r="AJ2246" s="47">
        <f t="shared" si="652"/>
        <v>2.2556390977443608E-2</v>
      </c>
      <c r="AK2246" s="47">
        <f>AK2245/AK2217</f>
        <v>2.1601685985247629E-2</v>
      </c>
      <c r="AL2246" s="601"/>
      <c r="AM2246" s="137"/>
      <c r="AN2246" s="137"/>
      <c r="AO2246" s="137"/>
      <c r="AP2246" s="137"/>
      <c r="AQ2246" s="137"/>
      <c r="AR2246" s="137"/>
      <c r="AS2246" s="137"/>
      <c r="AT2246" s="137"/>
      <c r="AU2246" s="137"/>
      <c r="AV2246" s="137"/>
      <c r="AW2246" s="137"/>
      <c r="AX2246" s="137"/>
      <c r="AY2246" s="137"/>
      <c r="AZ2246" s="137"/>
      <c r="BA2246" s="137"/>
      <c r="BB2246" s="239"/>
      <c r="BC2246" s="239"/>
      <c r="BD2246" s="239" t="str">
        <f t="shared" si="635"/>
        <v>Recursos humanosx</v>
      </c>
    </row>
    <row r="2247" spans="1:56" s="1" customFormat="1" ht="111" customHeight="1" x14ac:dyDescent="0.25">
      <c r="A2247" s="275" t="str">
        <f>'Q100b-totais'!$B$30</f>
        <v>3.5</v>
      </c>
      <c r="B2247" s="54" t="str">
        <f>'Q100b-totais'!$C$30</f>
        <v>Recursos humanos</v>
      </c>
      <c r="C2247" s="230" t="s">
        <v>432</v>
      </c>
      <c r="D2247" s="325" t="s">
        <v>4444</v>
      </c>
      <c r="E2247" s="509" t="s">
        <v>3729</v>
      </c>
      <c r="F2247" s="12" t="s">
        <v>4425</v>
      </c>
      <c r="G2247" s="111" t="s">
        <v>4426</v>
      </c>
      <c r="H2247" s="167" t="s">
        <v>432</v>
      </c>
      <c r="I2247" s="57">
        <v>1</v>
      </c>
      <c r="J2247" s="107" t="s">
        <v>432</v>
      </c>
      <c r="K2247" s="47" t="e">
        <f t="shared" ref="K2247:R2247" si="653">K2245/K2243</f>
        <v>#VALUE!</v>
      </c>
      <c r="L2247" s="47" t="e">
        <f t="shared" si="653"/>
        <v>#VALUE!</v>
      </c>
      <c r="M2247" s="47" t="e">
        <f t="shared" si="653"/>
        <v>#VALUE!</v>
      </c>
      <c r="N2247" s="47" t="e">
        <f t="shared" si="653"/>
        <v>#VALUE!</v>
      </c>
      <c r="O2247" s="47" t="e">
        <f t="shared" si="653"/>
        <v>#VALUE!</v>
      </c>
      <c r="P2247" s="47" t="e">
        <f t="shared" si="653"/>
        <v>#VALUE!</v>
      </c>
      <c r="Q2247" s="47" t="e">
        <f t="shared" si="653"/>
        <v>#VALUE!</v>
      </c>
      <c r="R2247" s="47" t="e">
        <f t="shared" si="653"/>
        <v>#VALUE!</v>
      </c>
      <c r="S2247" s="109" t="s">
        <v>2209</v>
      </c>
      <c r="T2247" s="47" t="e">
        <f>T2245/T2243</f>
        <v>#VALUE!</v>
      </c>
      <c r="U2247" s="47" t="e">
        <f>U2245/U2243</f>
        <v>#VALUE!</v>
      </c>
      <c r="V2247" s="109" t="s">
        <v>2209</v>
      </c>
      <c r="W2247" s="47" t="e">
        <f t="shared" ref="W2247:AK2247" si="654">W2245/W2243</f>
        <v>#VALUE!</v>
      </c>
      <c r="X2247" s="47" t="e">
        <f t="shared" si="654"/>
        <v>#VALUE!</v>
      </c>
      <c r="Y2247" s="47" t="e">
        <f t="shared" si="654"/>
        <v>#VALUE!</v>
      </c>
      <c r="Z2247" s="47" t="e">
        <f t="shared" si="654"/>
        <v>#VALUE!</v>
      </c>
      <c r="AA2247" s="47" t="e">
        <f t="shared" si="654"/>
        <v>#VALUE!</v>
      </c>
      <c r="AB2247" s="47" t="e">
        <f t="shared" si="654"/>
        <v>#VALUE!</v>
      </c>
      <c r="AC2247" s="47" t="e">
        <f t="shared" si="654"/>
        <v>#VALUE!</v>
      </c>
      <c r="AD2247" s="47" t="e">
        <f t="shared" si="654"/>
        <v>#VALUE!</v>
      </c>
      <c r="AE2247" s="47" t="e">
        <f t="shared" si="654"/>
        <v>#VALUE!</v>
      </c>
      <c r="AF2247" s="47" t="e">
        <f t="shared" si="654"/>
        <v>#VALUE!</v>
      </c>
      <c r="AG2247" s="47" t="e">
        <f t="shared" si="654"/>
        <v>#VALUE!</v>
      </c>
      <c r="AH2247" s="47">
        <f t="shared" si="654"/>
        <v>0.40860215053763443</v>
      </c>
      <c r="AI2247" s="47">
        <f t="shared" si="654"/>
        <v>0.38043478260869568</v>
      </c>
      <c r="AJ2247" s="47">
        <f t="shared" si="654"/>
        <v>0.40206185567010311</v>
      </c>
      <c r="AK2247" s="47">
        <f t="shared" si="654"/>
        <v>0.41836734693877553</v>
      </c>
      <c r="AL2247" s="601" t="s">
        <v>432</v>
      </c>
      <c r="AM2247" s="137" t="s">
        <v>432</v>
      </c>
      <c r="AN2247" s="137" t="s">
        <v>432</v>
      </c>
      <c r="AO2247" s="137" t="s">
        <v>432</v>
      </c>
      <c r="AP2247" s="137" t="s">
        <v>432</v>
      </c>
      <c r="AQ2247" s="137" t="s">
        <v>432</v>
      </c>
      <c r="AR2247" s="137" t="s">
        <v>432</v>
      </c>
      <c r="AS2247" s="137" t="s">
        <v>432</v>
      </c>
      <c r="AT2247" s="137" t="s">
        <v>432</v>
      </c>
      <c r="AU2247" s="137" t="s">
        <v>432</v>
      </c>
      <c r="AV2247" s="137" t="s">
        <v>432</v>
      </c>
      <c r="AW2247" s="137" t="s">
        <v>432</v>
      </c>
      <c r="AX2247" s="137" t="s">
        <v>432</v>
      </c>
      <c r="AY2247" s="137" t="s">
        <v>432</v>
      </c>
      <c r="AZ2247" s="137" t="s">
        <v>432</v>
      </c>
      <c r="BA2247" s="137" t="s">
        <v>432</v>
      </c>
      <c r="BB2247" s="239" t="str">
        <f>B2247&amp;C2247</f>
        <v>Recursos humanosx</v>
      </c>
      <c r="BC2247" s="239" t="str">
        <f>B2247&amp;C2247&amp;H2247</f>
        <v>Recursos humanosxx</v>
      </c>
      <c r="BD2247" s="239" t="str">
        <f>B2247&amp;H2247</f>
        <v>Recursos humanosx</v>
      </c>
    </row>
    <row r="2248" spans="1:56" s="1" customFormat="1" ht="96.75" customHeight="1" x14ac:dyDescent="0.25">
      <c r="A2248" s="275" t="str">
        <f>'Q100b-totais'!$B$30</f>
        <v>3.5</v>
      </c>
      <c r="B2248" s="54" t="str">
        <f>'Q100b-totais'!$C$30</f>
        <v>Recursos humanos</v>
      </c>
      <c r="C2248" s="230" t="s">
        <v>432</v>
      </c>
      <c r="D2248" s="325" t="s">
        <v>4411</v>
      </c>
      <c r="E2248" s="1499" t="s">
        <v>3729</v>
      </c>
      <c r="F2248" s="188" t="s">
        <v>4594</v>
      </c>
      <c r="G2248" s="423" t="s">
        <v>4412</v>
      </c>
      <c r="H2248" s="167" t="s">
        <v>432</v>
      </c>
      <c r="I2248" s="57">
        <v>1</v>
      </c>
      <c r="J2248" s="107" t="s">
        <v>432</v>
      </c>
      <c r="K2248" s="1343" t="s">
        <v>1370</v>
      </c>
      <c r="L2248" s="1343" t="s">
        <v>1370</v>
      </c>
      <c r="M2248" s="1343" t="s">
        <v>1370</v>
      </c>
      <c r="N2248" s="1343" t="s">
        <v>1370</v>
      </c>
      <c r="O2248" s="1343" t="s">
        <v>1370</v>
      </c>
      <c r="P2248" s="1343" t="s">
        <v>1370</v>
      </c>
      <c r="Q2248" s="1343" t="s">
        <v>1370</v>
      </c>
      <c r="R2248" s="1343" t="s">
        <v>1370</v>
      </c>
      <c r="S2248" s="109" t="s">
        <v>2209</v>
      </c>
      <c r="T2248" s="1343" t="s">
        <v>1370</v>
      </c>
      <c r="U2248" s="1343" t="s">
        <v>1370</v>
      </c>
      <c r="V2248" s="109" t="s">
        <v>2209</v>
      </c>
      <c r="W2248" s="1343" t="s">
        <v>1370</v>
      </c>
      <c r="X2248" s="1343" t="s">
        <v>1370</v>
      </c>
      <c r="Y2248" s="1343" t="s">
        <v>1370</v>
      </c>
      <c r="Z2248" s="1343" t="s">
        <v>1370</v>
      </c>
      <c r="AA2248" s="1343" t="s">
        <v>1370</v>
      </c>
      <c r="AB2248" s="1343" t="s">
        <v>1370</v>
      </c>
      <c r="AC2248" s="1343" t="s">
        <v>1370</v>
      </c>
      <c r="AD2248" s="1343" t="s">
        <v>1370</v>
      </c>
      <c r="AE2248" s="1343" t="s">
        <v>1370</v>
      </c>
      <c r="AF2248" s="1343" t="s">
        <v>1370</v>
      </c>
      <c r="AG2248" s="1343" t="s">
        <v>1370</v>
      </c>
      <c r="AH2248" s="335">
        <f>36+3+1+1+64</f>
        <v>105</v>
      </c>
      <c r="AI2248" s="335">
        <f>36+3+1+0+60</f>
        <v>100</v>
      </c>
      <c r="AJ2248" s="87">
        <v>112</v>
      </c>
      <c r="AK2248" s="87">
        <f>37+3+1+0+76</f>
        <v>117</v>
      </c>
      <c r="AL2248" s="601"/>
      <c r="AM2248" s="137"/>
      <c r="AN2248" s="137"/>
      <c r="AO2248" s="137"/>
      <c r="AP2248" s="137"/>
      <c r="AQ2248" s="137"/>
      <c r="AR2248" s="137"/>
      <c r="AS2248" s="137"/>
      <c r="AT2248" s="137"/>
      <c r="AU2248" s="137"/>
      <c r="AV2248" s="137"/>
      <c r="AW2248" s="137"/>
      <c r="AX2248" s="137"/>
      <c r="AY2248" s="137"/>
      <c r="AZ2248" s="137"/>
      <c r="BA2248" s="137"/>
      <c r="BB2248" s="239"/>
      <c r="BC2248" s="239"/>
      <c r="BD2248" s="239" t="str">
        <f>B2248&amp;H2248</f>
        <v>Recursos humanosx</v>
      </c>
    </row>
    <row r="2249" spans="1:56" s="1" customFormat="1" ht="96.75" customHeight="1" x14ac:dyDescent="0.25">
      <c r="A2249" s="275" t="str">
        <f>'Q100b-totais'!B30</f>
        <v>3.5</v>
      </c>
      <c r="B2249" s="1172" t="str">
        <f>'Q100b-totais'!C30</f>
        <v>Recursos humanos</v>
      </c>
      <c r="C2249" s="230" t="s">
        <v>432</v>
      </c>
      <c r="D2249" s="325" t="s">
        <v>3208</v>
      </c>
      <c r="E2249" s="509" t="s">
        <v>3729</v>
      </c>
      <c r="F2249" s="188" t="s">
        <v>4583</v>
      </c>
      <c r="G2249" s="409" t="s">
        <v>3207</v>
      </c>
      <c r="H2249" s="167" t="s">
        <v>432</v>
      </c>
      <c r="I2249" s="57">
        <v>1</v>
      </c>
      <c r="J2249" s="107" t="s">
        <v>432</v>
      </c>
      <c r="K2249" s="622" t="s">
        <v>1370</v>
      </c>
      <c r="L2249" s="622" t="s">
        <v>1370</v>
      </c>
      <c r="M2249" s="622" t="s">
        <v>1370</v>
      </c>
      <c r="N2249" s="622" t="s">
        <v>1370</v>
      </c>
      <c r="O2249" s="622" t="s">
        <v>1370</v>
      </c>
      <c r="P2249" s="622" t="s">
        <v>1370</v>
      </c>
      <c r="Q2249" s="622" t="s">
        <v>1370</v>
      </c>
      <c r="R2249" s="622" t="s">
        <v>1370</v>
      </c>
      <c r="S2249" s="109" t="s">
        <v>2209</v>
      </c>
      <c r="T2249" s="622" t="s">
        <v>1370</v>
      </c>
      <c r="U2249" s="622" t="s">
        <v>1370</v>
      </c>
      <c r="V2249" s="109" t="s">
        <v>2209</v>
      </c>
      <c r="W2249" s="622" t="s">
        <v>1370</v>
      </c>
      <c r="X2249" s="622" t="s">
        <v>1370</v>
      </c>
      <c r="Y2249" s="622" t="s">
        <v>1370</v>
      </c>
      <c r="Z2249" s="622" t="s">
        <v>1370</v>
      </c>
      <c r="AA2249" s="622" t="s">
        <v>1370</v>
      </c>
      <c r="AB2249" s="622" t="s">
        <v>1370</v>
      </c>
      <c r="AC2249" s="622" t="s">
        <v>1370</v>
      </c>
      <c r="AD2249" s="622" t="s">
        <v>1370</v>
      </c>
      <c r="AE2249" s="622" t="s">
        <v>1370</v>
      </c>
      <c r="AF2249" s="622" t="s">
        <v>1370</v>
      </c>
      <c r="AG2249" s="622" t="s">
        <v>1370</v>
      </c>
      <c r="AH2249" s="110">
        <f>195+80+17+19+29+12+0+62+232+0</f>
        <v>646</v>
      </c>
      <c r="AI2249" s="110">
        <f>180+0+17+19+29+98+66+238</f>
        <v>647</v>
      </c>
      <c r="AJ2249" s="110">
        <f>135+13+18+29+0+48+276</f>
        <v>519</v>
      </c>
      <c r="AK2249" s="87">
        <f>130+13+14+30+60+279+192</f>
        <v>718</v>
      </c>
      <c r="AL2249" s="601" t="s">
        <v>432</v>
      </c>
      <c r="AM2249" s="137" t="s">
        <v>432</v>
      </c>
      <c r="AN2249" s="137" t="s">
        <v>432</v>
      </c>
      <c r="AO2249" s="137" t="s">
        <v>432</v>
      </c>
      <c r="AP2249" s="137" t="s">
        <v>432</v>
      </c>
      <c r="AQ2249" s="137" t="s">
        <v>432</v>
      </c>
      <c r="AR2249" s="137" t="s">
        <v>432</v>
      </c>
      <c r="AS2249" s="137" t="s">
        <v>432</v>
      </c>
      <c r="AT2249" s="137" t="s">
        <v>432</v>
      </c>
      <c r="AU2249" s="137" t="s">
        <v>432</v>
      </c>
      <c r="AV2249" s="137" t="s">
        <v>432</v>
      </c>
      <c r="AW2249" s="137" t="s">
        <v>432</v>
      </c>
      <c r="AX2249" s="137" t="s">
        <v>432</v>
      </c>
      <c r="AY2249" s="137" t="s">
        <v>432</v>
      </c>
      <c r="AZ2249" s="137" t="s">
        <v>432</v>
      </c>
      <c r="BA2249" s="137" t="s">
        <v>432</v>
      </c>
      <c r="BB2249" s="239" t="str">
        <f t="shared" si="633"/>
        <v>Recursos humanosx</v>
      </c>
      <c r="BC2249" s="239" t="str">
        <f t="shared" si="634"/>
        <v>Recursos humanosxx</v>
      </c>
      <c r="BD2249" s="239" t="str">
        <f t="shared" si="635"/>
        <v>Recursos humanosx</v>
      </c>
    </row>
    <row r="2250" spans="1:56" s="1" customFormat="1" ht="96.75" customHeight="1" x14ac:dyDescent="0.25">
      <c r="A2250" s="275" t="str">
        <f>'Q100b-totais'!B30</f>
        <v>3.5</v>
      </c>
      <c r="B2250" s="1172" t="str">
        <f>'Q100b-totais'!C30</f>
        <v>Recursos humanos</v>
      </c>
      <c r="C2250" s="230" t="s">
        <v>432</v>
      </c>
      <c r="D2250" s="325" t="s">
        <v>4584</v>
      </c>
      <c r="E2250" s="509" t="s">
        <v>3729</v>
      </c>
      <c r="F2250" s="188" t="s">
        <v>4597</v>
      </c>
      <c r="G2250" s="408" t="s">
        <v>4585</v>
      </c>
      <c r="H2250" s="167" t="s">
        <v>432</v>
      </c>
      <c r="I2250" s="57">
        <v>1</v>
      </c>
      <c r="J2250" s="107" t="s">
        <v>432</v>
      </c>
      <c r="K2250" s="47" t="e">
        <f t="shared" ref="K2250:R2250" si="655">K2249/K2217</f>
        <v>#VALUE!</v>
      </c>
      <c r="L2250" s="47" t="e">
        <f t="shared" si="655"/>
        <v>#VALUE!</v>
      </c>
      <c r="M2250" s="47" t="e">
        <f t="shared" si="655"/>
        <v>#VALUE!</v>
      </c>
      <c r="N2250" s="47" t="e">
        <f t="shared" si="655"/>
        <v>#VALUE!</v>
      </c>
      <c r="O2250" s="47" t="e">
        <f t="shared" si="655"/>
        <v>#VALUE!</v>
      </c>
      <c r="P2250" s="47" t="e">
        <f t="shared" si="655"/>
        <v>#VALUE!</v>
      </c>
      <c r="Q2250" s="47" t="e">
        <f t="shared" si="655"/>
        <v>#VALUE!</v>
      </c>
      <c r="R2250" s="47" t="e">
        <f t="shared" si="655"/>
        <v>#VALUE!</v>
      </c>
      <c r="S2250" s="109" t="s">
        <v>2209</v>
      </c>
      <c r="T2250" s="47" t="e">
        <f>T2249/T2217</f>
        <v>#VALUE!</v>
      </c>
      <c r="U2250" s="47" t="e">
        <f>U2249/U2217</f>
        <v>#VALUE!</v>
      </c>
      <c r="V2250" s="109" t="s">
        <v>2209</v>
      </c>
      <c r="W2250" s="47" t="e">
        <f t="shared" ref="W2250:AK2250" si="656">W2249/W2217</f>
        <v>#VALUE!</v>
      </c>
      <c r="X2250" s="47" t="e">
        <f t="shared" si="656"/>
        <v>#VALUE!</v>
      </c>
      <c r="Y2250" s="47" t="e">
        <f t="shared" si="656"/>
        <v>#VALUE!</v>
      </c>
      <c r="Z2250" s="47" t="e">
        <f t="shared" si="656"/>
        <v>#VALUE!</v>
      </c>
      <c r="AA2250" s="47" t="e">
        <f t="shared" si="656"/>
        <v>#VALUE!</v>
      </c>
      <c r="AB2250" s="47" t="e">
        <f t="shared" si="656"/>
        <v>#VALUE!</v>
      </c>
      <c r="AC2250" s="47" t="e">
        <f t="shared" si="656"/>
        <v>#VALUE!</v>
      </c>
      <c r="AD2250" s="47" t="e">
        <f t="shared" si="656"/>
        <v>#VALUE!</v>
      </c>
      <c r="AE2250" s="47" t="e">
        <f t="shared" si="656"/>
        <v>#VALUE!</v>
      </c>
      <c r="AF2250" s="47" t="e">
        <f t="shared" si="656"/>
        <v>#VALUE!</v>
      </c>
      <c r="AG2250" s="47" t="e">
        <f t="shared" si="656"/>
        <v>#VALUE!</v>
      </c>
      <c r="AH2250" s="47">
        <f t="shared" si="656"/>
        <v>0.3598885793871866</v>
      </c>
      <c r="AI2250" s="47">
        <f t="shared" si="656"/>
        <v>0.36657223796033994</v>
      </c>
      <c r="AJ2250" s="47">
        <f t="shared" si="656"/>
        <v>0.30017351069982651</v>
      </c>
      <c r="AK2250" s="47">
        <f t="shared" si="656"/>
        <v>0.37829293993677554</v>
      </c>
      <c r="AL2250" s="601"/>
      <c r="AM2250" s="137"/>
      <c r="AN2250" s="137"/>
      <c r="AO2250" s="137"/>
      <c r="AP2250" s="137"/>
      <c r="AQ2250" s="137"/>
      <c r="AR2250" s="137"/>
      <c r="AS2250" s="137"/>
      <c r="AT2250" s="137"/>
      <c r="AU2250" s="137"/>
      <c r="AV2250" s="137"/>
      <c r="AW2250" s="137"/>
      <c r="AX2250" s="137"/>
      <c r="AY2250" s="137"/>
      <c r="AZ2250" s="137"/>
      <c r="BA2250" s="137"/>
      <c r="BB2250" s="239"/>
      <c r="BC2250" s="239"/>
      <c r="BD2250" s="239" t="str">
        <f t="shared" si="635"/>
        <v>Recursos humanosx</v>
      </c>
    </row>
    <row r="2251" spans="1:56" s="1" customFormat="1" ht="31.5" x14ac:dyDescent="0.25">
      <c r="A2251" s="275" t="str">
        <f>'Q100b-totais'!B21</f>
        <v>2.6</v>
      </c>
      <c r="B2251" s="54" t="str">
        <f>'Q100b-totais'!C21</f>
        <v>Cidades da RMBH</v>
      </c>
      <c r="C2251" s="167" t="s">
        <v>432</v>
      </c>
      <c r="D2251" s="323" t="s">
        <v>1757</v>
      </c>
      <c r="E2251" s="1491" t="s">
        <v>1757</v>
      </c>
      <c r="F2251" s="468" t="str">
        <f>pend!C205</f>
        <v>município da RMBH (faltando completar)</v>
      </c>
      <c r="G2251" s="230" t="s">
        <v>3507</v>
      </c>
      <c r="H2251" s="167" t="s">
        <v>2408</v>
      </c>
      <c r="I2251" s="167" t="s">
        <v>432</v>
      </c>
      <c r="J2251" s="109" t="s">
        <v>432</v>
      </c>
      <c r="K2251" s="109" t="s">
        <v>432</v>
      </c>
      <c r="L2251" s="109" t="s">
        <v>432</v>
      </c>
      <c r="M2251" s="109" t="s">
        <v>432</v>
      </c>
      <c r="N2251" s="109" t="s">
        <v>432</v>
      </c>
      <c r="O2251" s="109" t="s">
        <v>432</v>
      </c>
      <c r="P2251" s="109" t="s">
        <v>432</v>
      </c>
      <c r="Q2251" s="109" t="s">
        <v>432</v>
      </c>
      <c r="R2251" s="109" t="s">
        <v>432</v>
      </c>
      <c r="S2251" s="109" t="s">
        <v>2209</v>
      </c>
      <c r="T2251" s="109" t="s">
        <v>432</v>
      </c>
      <c r="U2251" s="109" t="s">
        <v>432</v>
      </c>
      <c r="V2251" s="109" t="s">
        <v>2209</v>
      </c>
      <c r="W2251" s="109" t="s">
        <v>432</v>
      </c>
      <c r="X2251" s="109" t="s">
        <v>432</v>
      </c>
      <c r="Y2251" s="109" t="s">
        <v>432</v>
      </c>
      <c r="Z2251" s="109" t="s">
        <v>432</v>
      </c>
      <c r="AA2251" s="109" t="s">
        <v>432</v>
      </c>
      <c r="AB2251" s="109" t="s">
        <v>432</v>
      </c>
      <c r="AC2251" s="109" t="s">
        <v>432</v>
      </c>
      <c r="AD2251" s="109" t="s">
        <v>432</v>
      </c>
      <c r="AE2251" s="109" t="s">
        <v>432</v>
      </c>
      <c r="AF2251" s="109" t="s">
        <v>432</v>
      </c>
      <c r="AG2251" s="109" t="s">
        <v>432</v>
      </c>
      <c r="AH2251" s="109" t="s">
        <v>432</v>
      </c>
      <c r="AI2251" s="109" t="s">
        <v>432</v>
      </c>
      <c r="AJ2251" s="109" t="s">
        <v>432</v>
      </c>
      <c r="AK2251" s="137" t="s">
        <v>432</v>
      </c>
      <c r="AL2251" s="601" t="s">
        <v>432</v>
      </c>
      <c r="AM2251" s="137" t="s">
        <v>432</v>
      </c>
      <c r="AN2251" s="137" t="s">
        <v>432</v>
      </c>
      <c r="AO2251" s="137" t="s">
        <v>432</v>
      </c>
      <c r="AP2251" s="137" t="s">
        <v>432</v>
      </c>
      <c r="AQ2251" s="137" t="s">
        <v>432</v>
      </c>
      <c r="AR2251" s="137" t="s">
        <v>432</v>
      </c>
      <c r="AS2251" s="137" t="s">
        <v>432</v>
      </c>
      <c r="AT2251" s="137" t="s">
        <v>432</v>
      </c>
      <c r="AU2251" s="137" t="s">
        <v>432</v>
      </c>
      <c r="AV2251" s="137" t="s">
        <v>432</v>
      </c>
      <c r="AW2251" s="137" t="s">
        <v>432</v>
      </c>
      <c r="AX2251" s="137" t="s">
        <v>432</v>
      </c>
      <c r="AY2251" s="137" t="s">
        <v>432</v>
      </c>
      <c r="AZ2251" s="137" t="s">
        <v>432</v>
      </c>
      <c r="BA2251" s="137" t="s">
        <v>432</v>
      </c>
      <c r="BB2251" s="239" t="str">
        <f t="shared" ref="BB2251" si="657">B2251&amp;C2251</f>
        <v>Cidades da RMBHx</v>
      </c>
      <c r="BC2251" s="239" t="str">
        <f t="shared" ref="BC2251" si="658">B2251&amp;C2251&amp;H2251</f>
        <v>Cidades da RMBHxsigla/verbete</v>
      </c>
      <c r="BD2251" s="239" t="str">
        <f t="shared" si="635"/>
        <v>Cidades da RMBHsigla/verbete</v>
      </c>
    </row>
    <row r="2252" spans="1:56" s="1" customFormat="1" ht="66" customHeight="1" x14ac:dyDescent="0.25">
      <c r="A2252" s="275" t="s">
        <v>432</v>
      </c>
      <c r="B2252" s="53" t="s">
        <v>742</v>
      </c>
      <c r="C2252" s="229"/>
      <c r="D2252" s="1129" t="s">
        <v>3622</v>
      </c>
      <c r="E2252" s="1531" t="s">
        <v>3622</v>
      </c>
      <c r="F2252" s="102" t="s">
        <v>3624</v>
      </c>
      <c r="G2252" s="167" t="s">
        <v>3719</v>
      </c>
      <c r="H2252" s="167" t="s">
        <v>2408</v>
      </c>
      <c r="I2252" s="167" t="s">
        <v>432</v>
      </c>
      <c r="J2252" s="109" t="s">
        <v>432</v>
      </c>
      <c r="K2252" s="109" t="s">
        <v>432</v>
      </c>
      <c r="L2252" s="109" t="s">
        <v>432</v>
      </c>
      <c r="M2252" s="109" t="s">
        <v>432</v>
      </c>
      <c r="N2252" s="109" t="s">
        <v>432</v>
      </c>
      <c r="O2252" s="109" t="s">
        <v>432</v>
      </c>
      <c r="P2252" s="109" t="s">
        <v>432</v>
      </c>
      <c r="Q2252" s="109" t="s">
        <v>432</v>
      </c>
      <c r="R2252" s="109" t="s">
        <v>432</v>
      </c>
      <c r="S2252" s="109" t="s">
        <v>2209</v>
      </c>
      <c r="T2252" s="109" t="s">
        <v>432</v>
      </c>
      <c r="U2252" s="109" t="s">
        <v>432</v>
      </c>
      <c r="V2252" s="109" t="s">
        <v>2209</v>
      </c>
      <c r="W2252" s="109" t="s">
        <v>432</v>
      </c>
      <c r="X2252" s="109" t="s">
        <v>432</v>
      </c>
      <c r="Y2252" s="109" t="s">
        <v>432</v>
      </c>
      <c r="Z2252" s="109" t="s">
        <v>432</v>
      </c>
      <c r="AA2252" s="109" t="s">
        <v>432</v>
      </c>
      <c r="AB2252" s="109" t="s">
        <v>432</v>
      </c>
      <c r="AC2252" s="109" t="s">
        <v>432</v>
      </c>
      <c r="AD2252" s="109" t="s">
        <v>432</v>
      </c>
      <c r="AE2252" s="109" t="s">
        <v>432</v>
      </c>
      <c r="AF2252" s="109" t="s">
        <v>432</v>
      </c>
      <c r="AG2252" s="109" t="s">
        <v>432</v>
      </c>
      <c r="AH2252" s="109" t="s">
        <v>432</v>
      </c>
      <c r="AI2252" s="109" t="s">
        <v>432</v>
      </c>
      <c r="AJ2252" s="109" t="s">
        <v>432</v>
      </c>
      <c r="AK2252" s="137" t="s">
        <v>432</v>
      </c>
      <c r="AL2252" s="601" t="s">
        <v>432</v>
      </c>
      <c r="AM2252" s="137" t="s">
        <v>432</v>
      </c>
      <c r="AN2252" s="137" t="s">
        <v>432</v>
      </c>
      <c r="AO2252" s="137" t="s">
        <v>432</v>
      </c>
      <c r="AP2252" s="137" t="s">
        <v>432</v>
      </c>
      <c r="AQ2252" s="137" t="s">
        <v>432</v>
      </c>
      <c r="AR2252" s="137" t="s">
        <v>432</v>
      </c>
      <c r="AS2252" s="137" t="s">
        <v>432</v>
      </c>
      <c r="AT2252" s="137" t="s">
        <v>432</v>
      </c>
      <c r="AU2252" s="137" t="s">
        <v>432</v>
      </c>
      <c r="AV2252" s="137" t="s">
        <v>432</v>
      </c>
      <c r="AW2252" s="137" t="s">
        <v>432</v>
      </c>
      <c r="AX2252" s="137" t="s">
        <v>432</v>
      </c>
      <c r="AY2252" s="137" t="s">
        <v>432</v>
      </c>
      <c r="AZ2252" s="137" t="s">
        <v>432</v>
      </c>
      <c r="BA2252" s="137" t="s">
        <v>432</v>
      </c>
      <c r="BB2252" s="239" t="str">
        <f>B2252&amp;C2252</f>
        <v>geral</v>
      </c>
      <c r="BC2252" s="239" t="str">
        <f>B2252&amp;C2252&amp;H2252</f>
        <v>geralsigla/verbete</v>
      </c>
      <c r="BD2252" s="239" t="str">
        <f>B2252&amp;H2252</f>
        <v>geralsigla/verbete</v>
      </c>
    </row>
    <row r="2253" spans="1:56" s="1" customFormat="1" ht="25.5" x14ac:dyDescent="0.25">
      <c r="A2253" s="275" t="str">
        <f>'Q100b-totais'!B21</f>
        <v>2.6</v>
      </c>
      <c r="B2253" s="54" t="str">
        <f>'Q100b-totais'!C21</f>
        <v>Cidades da RMBH</v>
      </c>
      <c r="C2253" s="167" t="s">
        <v>432</v>
      </c>
      <c r="D2253" s="323" t="s">
        <v>1758</v>
      </c>
      <c r="E2253" s="1491" t="s">
        <v>1758</v>
      </c>
      <c r="F2253" s="468" t="str">
        <f>pend!C206</f>
        <v>município da RMBH (faltando completar)</v>
      </c>
      <c r="G2253" s="230" t="s">
        <v>3507</v>
      </c>
      <c r="H2253" s="167" t="s">
        <v>2408</v>
      </c>
      <c r="I2253" s="167" t="s">
        <v>432</v>
      </c>
      <c r="J2253" s="109" t="s">
        <v>432</v>
      </c>
      <c r="K2253" s="109" t="s">
        <v>432</v>
      </c>
      <c r="L2253" s="109" t="s">
        <v>432</v>
      </c>
      <c r="M2253" s="109" t="s">
        <v>432</v>
      </c>
      <c r="N2253" s="109" t="s">
        <v>432</v>
      </c>
      <c r="O2253" s="109" t="s">
        <v>432</v>
      </c>
      <c r="P2253" s="109" t="s">
        <v>432</v>
      </c>
      <c r="Q2253" s="109" t="s">
        <v>432</v>
      </c>
      <c r="R2253" s="109" t="s">
        <v>432</v>
      </c>
      <c r="S2253" s="109" t="s">
        <v>2209</v>
      </c>
      <c r="T2253" s="109" t="s">
        <v>432</v>
      </c>
      <c r="U2253" s="109" t="s">
        <v>432</v>
      </c>
      <c r="V2253" s="109" t="s">
        <v>2209</v>
      </c>
      <c r="W2253" s="109" t="s">
        <v>432</v>
      </c>
      <c r="X2253" s="109" t="s">
        <v>432</v>
      </c>
      <c r="Y2253" s="109" t="s">
        <v>432</v>
      </c>
      <c r="Z2253" s="109" t="s">
        <v>432</v>
      </c>
      <c r="AA2253" s="109" t="s">
        <v>432</v>
      </c>
      <c r="AB2253" s="109" t="s">
        <v>432</v>
      </c>
      <c r="AC2253" s="109" t="s">
        <v>432</v>
      </c>
      <c r="AD2253" s="109" t="s">
        <v>432</v>
      </c>
      <c r="AE2253" s="109" t="s">
        <v>432</v>
      </c>
      <c r="AF2253" s="109" t="s">
        <v>432</v>
      </c>
      <c r="AG2253" s="109" t="s">
        <v>432</v>
      </c>
      <c r="AH2253" s="109" t="s">
        <v>432</v>
      </c>
      <c r="AI2253" s="109" t="s">
        <v>432</v>
      </c>
      <c r="AJ2253" s="109" t="s">
        <v>432</v>
      </c>
      <c r="AK2253" s="137" t="s">
        <v>432</v>
      </c>
      <c r="AL2253" s="601" t="s">
        <v>432</v>
      </c>
      <c r="AM2253" s="137" t="s">
        <v>432</v>
      </c>
      <c r="AN2253" s="137" t="s">
        <v>432</v>
      </c>
      <c r="AO2253" s="137" t="s">
        <v>432</v>
      </c>
      <c r="AP2253" s="137" t="s">
        <v>432</v>
      </c>
      <c r="AQ2253" s="137" t="s">
        <v>432</v>
      </c>
      <c r="AR2253" s="137" t="s">
        <v>432</v>
      </c>
      <c r="AS2253" s="137" t="s">
        <v>432</v>
      </c>
      <c r="AT2253" s="137" t="s">
        <v>432</v>
      </c>
      <c r="AU2253" s="137" t="s">
        <v>432</v>
      </c>
      <c r="AV2253" s="137" t="s">
        <v>432</v>
      </c>
      <c r="AW2253" s="137" t="s">
        <v>432</v>
      </c>
      <c r="AX2253" s="137" t="s">
        <v>432</v>
      </c>
      <c r="AY2253" s="137" t="s">
        <v>432</v>
      </c>
      <c r="AZ2253" s="137" t="s">
        <v>432</v>
      </c>
      <c r="BA2253" s="137" t="s">
        <v>432</v>
      </c>
      <c r="BB2253" s="239" t="str">
        <f t="shared" ref="BB2253:BB2254" si="659">B2253&amp;C2253</f>
        <v>Cidades da RMBHx</v>
      </c>
      <c r="BC2253" s="239" t="str">
        <f t="shared" ref="BC2253:BC2254" si="660">B2253&amp;C2253&amp;H2253</f>
        <v>Cidades da RMBHxsigla/verbete</v>
      </c>
      <c r="BD2253" s="239" t="str">
        <f t="shared" ref="BD2253:BD2254" si="661">B2253&amp;H2253</f>
        <v>Cidades da RMBHsigla/verbete</v>
      </c>
    </row>
    <row r="2254" spans="1:56" s="1" customFormat="1" ht="25.5" x14ac:dyDescent="0.25">
      <c r="A2254" s="275" t="str">
        <f>'Q100b-totais'!B21</f>
        <v>2.6</v>
      </c>
      <c r="B2254" s="54" t="str">
        <f>'Q100b-totais'!C21</f>
        <v>Cidades da RMBH</v>
      </c>
      <c r="C2254" s="167" t="s">
        <v>432</v>
      </c>
      <c r="D2254" s="323" t="s">
        <v>1759</v>
      </c>
      <c r="E2254" s="1491" t="s">
        <v>1759</v>
      </c>
      <c r="F2254" s="468" t="str">
        <f>pend!C207</f>
        <v>município da RMBH (faltando completar)</v>
      </c>
      <c r="G2254" s="230" t="s">
        <v>3507</v>
      </c>
      <c r="H2254" s="167" t="s">
        <v>2408</v>
      </c>
      <c r="I2254" s="167" t="s">
        <v>432</v>
      </c>
      <c r="J2254" s="109" t="s">
        <v>432</v>
      </c>
      <c r="K2254" s="109" t="s">
        <v>432</v>
      </c>
      <c r="L2254" s="109" t="s">
        <v>432</v>
      </c>
      <c r="M2254" s="109" t="s">
        <v>432</v>
      </c>
      <c r="N2254" s="109" t="s">
        <v>432</v>
      </c>
      <c r="O2254" s="109" t="s">
        <v>432</v>
      </c>
      <c r="P2254" s="109" t="s">
        <v>432</v>
      </c>
      <c r="Q2254" s="109" t="s">
        <v>432</v>
      </c>
      <c r="R2254" s="109" t="s">
        <v>432</v>
      </c>
      <c r="S2254" s="109" t="s">
        <v>2209</v>
      </c>
      <c r="T2254" s="109" t="s">
        <v>432</v>
      </c>
      <c r="U2254" s="109" t="s">
        <v>432</v>
      </c>
      <c r="V2254" s="109" t="s">
        <v>2209</v>
      </c>
      <c r="W2254" s="109" t="s">
        <v>432</v>
      </c>
      <c r="X2254" s="109" t="s">
        <v>432</v>
      </c>
      <c r="Y2254" s="109" t="s">
        <v>432</v>
      </c>
      <c r="Z2254" s="109" t="s">
        <v>432</v>
      </c>
      <c r="AA2254" s="109" t="s">
        <v>432</v>
      </c>
      <c r="AB2254" s="109" t="s">
        <v>432</v>
      </c>
      <c r="AC2254" s="109" t="s">
        <v>432</v>
      </c>
      <c r="AD2254" s="109" t="s">
        <v>432</v>
      </c>
      <c r="AE2254" s="109" t="s">
        <v>432</v>
      </c>
      <c r="AF2254" s="109" t="s">
        <v>432</v>
      </c>
      <c r="AG2254" s="109" t="s">
        <v>432</v>
      </c>
      <c r="AH2254" s="109" t="s">
        <v>432</v>
      </c>
      <c r="AI2254" s="109" t="s">
        <v>432</v>
      </c>
      <c r="AJ2254" s="109" t="s">
        <v>432</v>
      </c>
      <c r="AK2254" s="137" t="s">
        <v>432</v>
      </c>
      <c r="AL2254" s="601" t="s">
        <v>432</v>
      </c>
      <c r="AM2254" s="137" t="s">
        <v>432</v>
      </c>
      <c r="AN2254" s="137" t="s">
        <v>432</v>
      </c>
      <c r="AO2254" s="137" t="s">
        <v>432</v>
      </c>
      <c r="AP2254" s="137" t="s">
        <v>432</v>
      </c>
      <c r="AQ2254" s="137" t="s">
        <v>432</v>
      </c>
      <c r="AR2254" s="137" t="s">
        <v>432</v>
      </c>
      <c r="AS2254" s="137" t="s">
        <v>432</v>
      </c>
      <c r="AT2254" s="137" t="s">
        <v>432</v>
      </c>
      <c r="AU2254" s="137" t="s">
        <v>432</v>
      </c>
      <c r="AV2254" s="137" t="s">
        <v>432</v>
      </c>
      <c r="AW2254" s="137" t="s">
        <v>432</v>
      </c>
      <c r="AX2254" s="137" t="s">
        <v>432</v>
      </c>
      <c r="AY2254" s="137" t="s">
        <v>432</v>
      </c>
      <c r="AZ2254" s="137" t="s">
        <v>432</v>
      </c>
      <c r="BA2254" s="137" t="s">
        <v>432</v>
      </c>
      <c r="BB2254" s="239" t="str">
        <f t="shared" si="659"/>
        <v>Cidades da RMBHx</v>
      </c>
      <c r="BC2254" s="239" t="str">
        <f t="shared" si="660"/>
        <v>Cidades da RMBHxsigla/verbete</v>
      </c>
      <c r="BD2254" s="239" t="str">
        <f t="shared" si="661"/>
        <v>Cidades da RMBHsigla/verbete</v>
      </c>
    </row>
    <row r="2255" spans="1:56" s="1" customFormat="1" ht="98.25" customHeight="1" x14ac:dyDescent="0.25">
      <c r="A2255" s="275" t="str">
        <f>'Q100b-totais'!B62</f>
        <v>8.10</v>
      </c>
      <c r="B2255" s="54" t="str">
        <f>'Q100b-totais'!C62</f>
        <v>Sistema de transporte coletivo com um todo</v>
      </c>
      <c r="C2255" s="230" t="s">
        <v>432</v>
      </c>
      <c r="D2255" s="325" t="s">
        <v>2085</v>
      </c>
      <c r="E2255" s="1402" t="s">
        <v>1266</v>
      </c>
      <c r="F2255" s="188" t="s">
        <v>2326</v>
      </c>
      <c r="G2255" s="230" t="s">
        <v>3507</v>
      </c>
      <c r="H2255" s="167" t="s">
        <v>2408</v>
      </c>
      <c r="I2255" s="167" t="s">
        <v>432</v>
      </c>
      <c r="J2255" s="109" t="s">
        <v>432</v>
      </c>
      <c r="K2255" s="109" t="s">
        <v>432</v>
      </c>
      <c r="L2255" s="109" t="s">
        <v>432</v>
      </c>
      <c r="M2255" s="109" t="s">
        <v>432</v>
      </c>
      <c r="N2255" s="109" t="s">
        <v>432</v>
      </c>
      <c r="O2255" s="109" t="s">
        <v>432</v>
      </c>
      <c r="P2255" s="109" t="s">
        <v>432</v>
      </c>
      <c r="Q2255" s="109" t="s">
        <v>432</v>
      </c>
      <c r="R2255" s="109" t="s">
        <v>432</v>
      </c>
      <c r="S2255" s="109" t="s">
        <v>2209</v>
      </c>
      <c r="T2255" s="109" t="s">
        <v>432</v>
      </c>
      <c r="U2255" s="109" t="s">
        <v>432</v>
      </c>
      <c r="V2255" s="109" t="s">
        <v>2209</v>
      </c>
      <c r="W2255" s="109" t="s">
        <v>432</v>
      </c>
      <c r="X2255" s="109" t="s">
        <v>432</v>
      </c>
      <c r="Y2255" s="109" t="s">
        <v>432</v>
      </c>
      <c r="Z2255" s="109" t="s">
        <v>432</v>
      </c>
      <c r="AA2255" s="109" t="s">
        <v>432</v>
      </c>
      <c r="AB2255" s="109" t="s">
        <v>432</v>
      </c>
      <c r="AC2255" s="109" t="s">
        <v>432</v>
      </c>
      <c r="AD2255" s="109" t="s">
        <v>432</v>
      </c>
      <c r="AE2255" s="109" t="s">
        <v>432</v>
      </c>
      <c r="AF2255" s="109" t="s">
        <v>432</v>
      </c>
      <c r="AG2255" s="109" t="s">
        <v>432</v>
      </c>
      <c r="AH2255" s="109" t="s">
        <v>432</v>
      </c>
      <c r="AI2255" s="109" t="s">
        <v>432</v>
      </c>
      <c r="AJ2255" s="109" t="s">
        <v>432</v>
      </c>
      <c r="AK2255" s="137" t="s">
        <v>432</v>
      </c>
      <c r="AL2255" s="601" t="s">
        <v>432</v>
      </c>
      <c r="AM2255" s="137" t="s">
        <v>432</v>
      </c>
      <c r="AN2255" s="137" t="s">
        <v>432</v>
      </c>
      <c r="AO2255" s="137" t="s">
        <v>432</v>
      </c>
      <c r="AP2255" s="137" t="s">
        <v>432</v>
      </c>
      <c r="AQ2255" s="137" t="s">
        <v>432</v>
      </c>
      <c r="AR2255" s="137" t="s">
        <v>432</v>
      </c>
      <c r="AS2255" s="137" t="s">
        <v>432</v>
      </c>
      <c r="AT2255" s="137" t="s">
        <v>432</v>
      </c>
      <c r="AU2255" s="137" t="s">
        <v>432</v>
      </c>
      <c r="AV2255" s="137" t="s">
        <v>432</v>
      </c>
      <c r="AW2255" s="137" t="s">
        <v>432</v>
      </c>
      <c r="AX2255" s="137" t="s">
        <v>432</v>
      </c>
      <c r="AY2255" s="137" t="s">
        <v>432</v>
      </c>
      <c r="AZ2255" s="137" t="s">
        <v>432</v>
      </c>
      <c r="BA2255" s="137" t="s">
        <v>432</v>
      </c>
      <c r="BB2255" s="239" t="str">
        <f t="shared" si="633"/>
        <v>Sistema de transporte coletivo com um todox</v>
      </c>
      <c r="BC2255" s="239" t="str">
        <f t="shared" si="634"/>
        <v>Sistema de transporte coletivo com um todoxsigla/verbete</v>
      </c>
      <c r="BD2255" s="239" t="str">
        <f t="shared" si="635"/>
        <v>Sistema de transporte coletivo com um todosigla/verbete</v>
      </c>
    </row>
    <row r="2256" spans="1:56" s="1" customFormat="1" ht="51.75" customHeight="1" x14ac:dyDescent="0.25">
      <c r="A2256" s="262" t="s">
        <v>432</v>
      </c>
      <c r="B2256" s="252" t="s">
        <v>742</v>
      </c>
      <c r="C2256" s="167" t="s">
        <v>432</v>
      </c>
      <c r="D2256" s="324" t="s">
        <v>4408</v>
      </c>
      <c r="E2256" s="509" t="s">
        <v>432</v>
      </c>
      <c r="F2256" s="188" t="s">
        <v>4439</v>
      </c>
      <c r="G2256" s="167" t="s">
        <v>3719</v>
      </c>
      <c r="H2256" s="167" t="s">
        <v>2408</v>
      </c>
      <c r="I2256" s="167" t="s">
        <v>432</v>
      </c>
      <c r="J2256" s="109" t="s">
        <v>432</v>
      </c>
      <c r="K2256" s="109" t="s">
        <v>432</v>
      </c>
      <c r="L2256" s="109" t="s">
        <v>432</v>
      </c>
      <c r="M2256" s="109" t="s">
        <v>432</v>
      </c>
      <c r="N2256" s="109" t="s">
        <v>432</v>
      </c>
      <c r="O2256" s="109" t="s">
        <v>432</v>
      </c>
      <c r="P2256" s="109" t="s">
        <v>432</v>
      </c>
      <c r="Q2256" s="109" t="s">
        <v>432</v>
      </c>
      <c r="R2256" s="109" t="s">
        <v>432</v>
      </c>
      <c r="S2256" s="109" t="s">
        <v>2209</v>
      </c>
      <c r="T2256" s="109" t="s">
        <v>432</v>
      </c>
      <c r="U2256" s="109" t="s">
        <v>432</v>
      </c>
      <c r="V2256" s="109" t="s">
        <v>2209</v>
      </c>
      <c r="W2256" s="109" t="s">
        <v>432</v>
      </c>
      <c r="X2256" s="109" t="s">
        <v>432</v>
      </c>
      <c r="Y2256" s="109" t="s">
        <v>432</v>
      </c>
      <c r="Z2256" s="109" t="s">
        <v>432</v>
      </c>
      <c r="AA2256" s="109" t="s">
        <v>432</v>
      </c>
      <c r="AB2256" s="109" t="s">
        <v>432</v>
      </c>
      <c r="AC2256" s="109" t="s">
        <v>432</v>
      </c>
      <c r="AD2256" s="109" t="s">
        <v>432</v>
      </c>
      <c r="AE2256" s="109" t="s">
        <v>432</v>
      </c>
      <c r="AF2256" s="109" t="s">
        <v>432</v>
      </c>
      <c r="AG2256" s="109" t="s">
        <v>432</v>
      </c>
      <c r="AH2256" s="109" t="s">
        <v>432</v>
      </c>
      <c r="AI2256" s="109" t="s">
        <v>432</v>
      </c>
      <c r="AJ2256" s="109" t="s">
        <v>432</v>
      </c>
      <c r="AK2256" s="137" t="s">
        <v>432</v>
      </c>
      <c r="AL2256" s="601" t="s">
        <v>432</v>
      </c>
      <c r="AM2256" s="137" t="s">
        <v>432</v>
      </c>
      <c r="AN2256" s="137" t="s">
        <v>432</v>
      </c>
      <c r="AO2256" s="137" t="s">
        <v>432</v>
      </c>
      <c r="AP2256" s="137" t="s">
        <v>432</v>
      </c>
      <c r="AQ2256" s="137" t="s">
        <v>432</v>
      </c>
      <c r="AR2256" s="137" t="s">
        <v>432</v>
      </c>
      <c r="AS2256" s="137" t="s">
        <v>432</v>
      </c>
      <c r="AT2256" s="137" t="s">
        <v>432</v>
      </c>
      <c r="AU2256" s="137" t="s">
        <v>432</v>
      </c>
      <c r="AV2256" s="137" t="s">
        <v>432</v>
      </c>
      <c r="AW2256" s="137" t="s">
        <v>432</v>
      </c>
      <c r="AX2256" s="137" t="s">
        <v>432</v>
      </c>
      <c r="AY2256" s="137" t="s">
        <v>432</v>
      </c>
      <c r="AZ2256" s="137" t="s">
        <v>432</v>
      </c>
      <c r="BA2256" s="137" t="s">
        <v>432</v>
      </c>
      <c r="BB2256" s="239" t="str">
        <f>B2256&amp;C2256</f>
        <v>geralx</v>
      </c>
      <c r="BC2256" s="239" t="str">
        <f>B2256&amp;C2256&amp;H2256</f>
        <v>geralxsigla/verbete</v>
      </c>
      <c r="BD2256" s="239" t="str">
        <f>B2256&amp;H2256</f>
        <v>geralsigla/verbete</v>
      </c>
    </row>
    <row r="2257" spans="1:56" ht="50.25" customHeight="1" x14ac:dyDescent="0.25">
      <c r="A2257" s="275" t="str">
        <f>'Q100b-totais'!$B$65</f>
        <v>9.2</v>
      </c>
      <c r="B2257" s="53" t="str">
        <f>'Q100b-totais'!$C$65</f>
        <v>Estacionamento</v>
      </c>
      <c r="C2257" s="229" t="s">
        <v>743</v>
      </c>
      <c r="D2257" s="377" t="s">
        <v>4383</v>
      </c>
      <c r="E2257" s="1513" t="s">
        <v>1306</v>
      </c>
      <c r="F2257" s="338" t="s">
        <v>4488</v>
      </c>
      <c r="G2257" s="425" t="s">
        <v>4492</v>
      </c>
      <c r="H2257" s="168" t="s">
        <v>432</v>
      </c>
      <c r="I2257" s="57">
        <v>1</v>
      </c>
      <c r="J2257" s="107" t="s">
        <v>432</v>
      </c>
      <c r="K2257" s="137" t="s">
        <v>432</v>
      </c>
      <c r="L2257" s="137" t="s">
        <v>432</v>
      </c>
      <c r="M2257" s="137" t="s">
        <v>432</v>
      </c>
      <c r="N2257" s="137" t="s">
        <v>432</v>
      </c>
      <c r="O2257" s="137" t="s">
        <v>432</v>
      </c>
      <c r="P2257" s="137" t="s">
        <v>432</v>
      </c>
      <c r="Q2257" s="137" t="s">
        <v>432</v>
      </c>
      <c r="R2257" s="137" t="s">
        <v>432</v>
      </c>
      <c r="S2257" s="109" t="s">
        <v>2209</v>
      </c>
      <c r="T2257" s="137" t="s">
        <v>432</v>
      </c>
      <c r="U2257" s="137" t="s">
        <v>432</v>
      </c>
      <c r="V2257" s="109" t="s">
        <v>2209</v>
      </c>
      <c r="W2257" s="23" t="s">
        <v>432</v>
      </c>
      <c r="X2257" s="23">
        <f t="shared" ref="X2257:AK2257" si="662">X2280+X726</f>
        <v>147</v>
      </c>
      <c r="Y2257" s="23">
        <f t="shared" si="662"/>
        <v>343</v>
      </c>
      <c r="Z2257" s="23">
        <f t="shared" si="662"/>
        <v>512</v>
      </c>
      <c r="AA2257" s="23">
        <f t="shared" si="662"/>
        <v>532</v>
      </c>
      <c r="AB2257" s="23">
        <f t="shared" si="662"/>
        <v>534</v>
      </c>
      <c r="AC2257" s="23">
        <f t="shared" si="662"/>
        <v>546</v>
      </c>
      <c r="AD2257" s="23">
        <f t="shared" si="662"/>
        <v>553</v>
      </c>
      <c r="AE2257" s="23">
        <f t="shared" si="662"/>
        <v>576</v>
      </c>
      <c r="AF2257" s="23">
        <f t="shared" si="662"/>
        <v>609</v>
      </c>
      <c r="AG2257" s="23">
        <f t="shared" si="662"/>
        <v>650</v>
      </c>
      <c r="AH2257" s="23">
        <f t="shared" si="662"/>
        <v>703</v>
      </c>
      <c r="AI2257" s="23">
        <f t="shared" si="662"/>
        <v>732</v>
      </c>
      <c r="AJ2257" s="23">
        <f t="shared" si="662"/>
        <v>774</v>
      </c>
      <c r="AK2257" s="23">
        <f t="shared" si="662"/>
        <v>840</v>
      </c>
      <c r="AL2257" s="601" t="s">
        <v>432</v>
      </c>
      <c r="AM2257" s="137" t="s">
        <v>432</v>
      </c>
      <c r="AN2257" s="137" t="s">
        <v>432</v>
      </c>
      <c r="AO2257" s="137" t="s">
        <v>432</v>
      </c>
      <c r="AP2257" s="137" t="s">
        <v>432</v>
      </c>
      <c r="AQ2257" s="137" t="s">
        <v>432</v>
      </c>
      <c r="AR2257" s="137" t="s">
        <v>432</v>
      </c>
      <c r="AS2257" s="137" t="s">
        <v>432</v>
      </c>
      <c r="AT2257" s="137" t="s">
        <v>432</v>
      </c>
      <c r="AU2257" s="137" t="s">
        <v>432</v>
      </c>
      <c r="AV2257" s="137" t="s">
        <v>432</v>
      </c>
      <c r="AW2257" s="137" t="s">
        <v>432</v>
      </c>
      <c r="AX2257" s="137" t="s">
        <v>432</v>
      </c>
      <c r="AY2257" s="137" t="s">
        <v>432</v>
      </c>
      <c r="AZ2257" s="137" t="s">
        <v>432</v>
      </c>
      <c r="BA2257" s="137" t="s">
        <v>432</v>
      </c>
      <c r="BB2257" s="239" t="str">
        <f t="shared" si="633"/>
        <v>Estacionamentoacessibilidade</v>
      </c>
      <c r="BC2257" s="239" t="str">
        <f t="shared" si="634"/>
        <v>Estacionamentoacessibilidadex</v>
      </c>
      <c r="BD2257" s="239" t="str">
        <f t="shared" si="635"/>
        <v>Estacionamentox</v>
      </c>
    </row>
    <row r="2258" spans="1:56" s="105" customFormat="1" ht="38.25" customHeight="1" x14ac:dyDescent="0.25">
      <c r="A2258" s="275" t="str">
        <f>'Q100b-totais'!$B$65</f>
        <v>9.2</v>
      </c>
      <c r="B2258" s="53" t="str">
        <f>'Q100b-totais'!$C$65</f>
        <v>Estacionamento</v>
      </c>
      <c r="C2258" s="229" t="s">
        <v>743</v>
      </c>
      <c r="D2258" s="1334" t="s">
        <v>4383</v>
      </c>
      <c r="E2258" s="1543" t="s">
        <v>1771</v>
      </c>
      <c r="F2258" s="1335" t="s">
        <v>4386</v>
      </c>
      <c r="G2258" s="113" t="s">
        <v>77</v>
      </c>
      <c r="H2258" s="168" t="s">
        <v>819</v>
      </c>
      <c r="I2258" s="57"/>
      <c r="J2258" s="107" t="s">
        <v>432</v>
      </c>
      <c r="K2258" s="137" t="s">
        <v>432</v>
      </c>
      <c r="L2258" s="137" t="s">
        <v>432</v>
      </c>
      <c r="M2258" s="137" t="s">
        <v>432</v>
      </c>
      <c r="N2258" s="137" t="s">
        <v>432</v>
      </c>
      <c r="O2258" s="137" t="s">
        <v>432</v>
      </c>
      <c r="P2258" s="137" t="s">
        <v>432</v>
      </c>
      <c r="Q2258" s="137" t="s">
        <v>432</v>
      </c>
      <c r="R2258" s="137" t="s">
        <v>432</v>
      </c>
      <c r="S2258" s="109" t="s">
        <v>2209</v>
      </c>
      <c r="T2258" s="137" t="s">
        <v>432</v>
      </c>
      <c r="U2258" s="137" t="s">
        <v>432</v>
      </c>
      <c r="V2258" s="109" t="s">
        <v>2209</v>
      </c>
      <c r="W2258" s="137" t="s">
        <v>432</v>
      </c>
      <c r="X2258" s="137" t="s">
        <v>432</v>
      </c>
      <c r="Y2258" s="137" t="s">
        <v>432</v>
      </c>
      <c r="Z2258" s="137" t="s">
        <v>432</v>
      </c>
      <c r="AA2258" s="137" t="s">
        <v>432</v>
      </c>
      <c r="AB2258" s="137" t="s">
        <v>432</v>
      </c>
      <c r="AC2258" s="137" t="s">
        <v>432</v>
      </c>
      <c r="AD2258" s="137" t="s">
        <v>432</v>
      </c>
      <c r="AE2258" s="137" t="s">
        <v>432</v>
      </c>
      <c r="AF2258" s="137" t="s">
        <v>432</v>
      </c>
      <c r="AG2258" s="137" t="s">
        <v>432</v>
      </c>
      <c r="AH2258" s="137" t="s">
        <v>432</v>
      </c>
      <c r="AI2258" s="137" t="s">
        <v>432</v>
      </c>
      <c r="AJ2258" s="137" t="s">
        <v>432</v>
      </c>
      <c r="AK2258" s="137" t="s">
        <v>432</v>
      </c>
      <c r="AL2258" s="601" t="s">
        <v>432</v>
      </c>
      <c r="AM2258" s="87">
        <v>1448</v>
      </c>
      <c r="AN2258" s="137" t="s">
        <v>432</v>
      </c>
      <c r="AO2258" s="137" t="s">
        <v>432</v>
      </c>
      <c r="AP2258" s="137" t="s">
        <v>432</v>
      </c>
      <c r="AQ2258" s="137" t="s">
        <v>432</v>
      </c>
      <c r="AR2258" s="137" t="s">
        <v>432</v>
      </c>
      <c r="AS2258" s="137" t="s">
        <v>432</v>
      </c>
      <c r="AT2258" s="137" t="s">
        <v>432</v>
      </c>
      <c r="AU2258" s="137" t="s">
        <v>432</v>
      </c>
      <c r="AV2258" s="137" t="s">
        <v>432</v>
      </c>
      <c r="AW2258" s="137" t="s">
        <v>432</v>
      </c>
      <c r="AX2258" s="137" t="s">
        <v>432</v>
      </c>
      <c r="AY2258" s="137" t="s">
        <v>432</v>
      </c>
      <c r="AZ2258" s="137" t="s">
        <v>432</v>
      </c>
      <c r="BA2258" s="137" t="s">
        <v>432</v>
      </c>
      <c r="BB2258" s="239" t="str">
        <f>B2258&amp;C2258</f>
        <v>Estacionamentoacessibilidade</v>
      </c>
      <c r="BC2258" s="239" t="str">
        <f>B2258&amp;C2258&amp;H2258</f>
        <v>Estacionamentoacessibilidadebenchmarking</v>
      </c>
      <c r="BD2258" s="239" t="str">
        <f>B2258&amp;H2258</f>
        <v>Estacionamentobenchmarking</v>
      </c>
    </row>
    <row r="2259" spans="1:56" ht="38.25" customHeight="1" x14ac:dyDescent="0.25">
      <c r="A2259" s="275" t="str">
        <f>'Q100b-totais'!$B$65</f>
        <v>9.2</v>
      </c>
      <c r="B2259" s="53" t="str">
        <f>'Q100b-totais'!$C$65</f>
        <v>Estacionamento</v>
      </c>
      <c r="C2259" s="229" t="s">
        <v>743</v>
      </c>
      <c r="D2259" s="377" t="s">
        <v>4384</v>
      </c>
      <c r="E2259" s="1513" t="s">
        <v>1306</v>
      </c>
      <c r="F2259" s="338" t="s">
        <v>4489</v>
      </c>
      <c r="G2259" s="425" t="s">
        <v>4490</v>
      </c>
      <c r="H2259" s="168" t="s">
        <v>432</v>
      </c>
      <c r="I2259" s="57">
        <v>1</v>
      </c>
      <c r="J2259" s="107" t="s">
        <v>432</v>
      </c>
      <c r="K2259" s="137" t="s">
        <v>432</v>
      </c>
      <c r="L2259" s="137" t="s">
        <v>432</v>
      </c>
      <c r="M2259" s="137" t="s">
        <v>432</v>
      </c>
      <c r="N2259" s="137" t="s">
        <v>432</v>
      </c>
      <c r="O2259" s="137" t="s">
        <v>432</v>
      </c>
      <c r="P2259" s="137" t="s">
        <v>432</v>
      </c>
      <c r="Q2259" s="137" t="s">
        <v>432</v>
      </c>
      <c r="R2259" s="137" t="s">
        <v>432</v>
      </c>
      <c r="S2259" s="109" t="s">
        <v>2209</v>
      </c>
      <c r="T2259" s="137" t="s">
        <v>432</v>
      </c>
      <c r="U2259" s="137" t="s">
        <v>432</v>
      </c>
      <c r="V2259" s="109" t="s">
        <v>2209</v>
      </c>
      <c r="W2259" s="23" t="s">
        <v>432</v>
      </c>
      <c r="X2259" s="23">
        <f t="shared" ref="X2259:AK2259" si="663">X2283+X727</f>
        <v>0</v>
      </c>
      <c r="Y2259" s="23">
        <f t="shared" si="663"/>
        <v>0</v>
      </c>
      <c r="Z2259" s="23">
        <f t="shared" si="663"/>
        <v>0</v>
      </c>
      <c r="AA2259" s="23">
        <f t="shared" si="663"/>
        <v>0</v>
      </c>
      <c r="AB2259" s="23">
        <f t="shared" si="663"/>
        <v>0</v>
      </c>
      <c r="AC2259" s="23">
        <f t="shared" si="663"/>
        <v>0</v>
      </c>
      <c r="AD2259" s="23">
        <f t="shared" si="663"/>
        <v>0</v>
      </c>
      <c r="AE2259" s="23">
        <f t="shared" si="663"/>
        <v>55</v>
      </c>
      <c r="AF2259" s="23">
        <f t="shared" si="663"/>
        <v>105</v>
      </c>
      <c r="AG2259" s="23">
        <f t="shared" si="663"/>
        <v>137</v>
      </c>
      <c r="AH2259" s="23">
        <f t="shared" si="663"/>
        <v>167</v>
      </c>
      <c r="AI2259" s="23">
        <f t="shared" si="663"/>
        <v>176</v>
      </c>
      <c r="AJ2259" s="23">
        <f t="shared" si="663"/>
        <v>247</v>
      </c>
      <c r="AK2259" s="23">
        <f t="shared" si="663"/>
        <v>450</v>
      </c>
      <c r="AL2259" s="601" t="s">
        <v>432</v>
      </c>
      <c r="AM2259" s="137" t="s">
        <v>432</v>
      </c>
      <c r="AN2259" s="137" t="s">
        <v>432</v>
      </c>
      <c r="AO2259" s="137" t="s">
        <v>432</v>
      </c>
      <c r="AP2259" s="137" t="s">
        <v>432</v>
      </c>
      <c r="AQ2259" s="137" t="s">
        <v>432</v>
      </c>
      <c r="AR2259" s="137" t="s">
        <v>432</v>
      </c>
      <c r="AS2259" s="137" t="s">
        <v>432</v>
      </c>
      <c r="AT2259" s="137" t="s">
        <v>432</v>
      </c>
      <c r="AU2259" s="137" t="s">
        <v>432</v>
      </c>
      <c r="AV2259" s="137" t="s">
        <v>432</v>
      </c>
      <c r="AW2259" s="137" t="s">
        <v>432</v>
      </c>
      <c r="AX2259" s="137" t="s">
        <v>432</v>
      </c>
      <c r="AY2259" s="137" t="s">
        <v>432</v>
      </c>
      <c r="AZ2259" s="137" t="s">
        <v>432</v>
      </c>
      <c r="BA2259" s="137" t="s">
        <v>432</v>
      </c>
      <c r="BB2259" s="239" t="str">
        <f t="shared" si="633"/>
        <v>Estacionamentoacessibilidade</v>
      </c>
      <c r="BC2259" s="239" t="str">
        <f t="shared" si="634"/>
        <v>Estacionamentoacessibilidadex</v>
      </c>
      <c r="BD2259" s="239" t="str">
        <f t="shared" si="635"/>
        <v>Estacionamentox</v>
      </c>
    </row>
    <row r="2260" spans="1:56" ht="38.25" customHeight="1" x14ac:dyDescent="0.25">
      <c r="A2260" s="275" t="str">
        <f>'Q100b-totais'!$B$65</f>
        <v>9.2</v>
      </c>
      <c r="B2260" s="53" t="str">
        <f>'Q100b-totais'!$C$65</f>
        <v>Estacionamento</v>
      </c>
      <c r="C2260" s="229" t="s">
        <v>743</v>
      </c>
      <c r="D2260" s="377" t="s">
        <v>4385</v>
      </c>
      <c r="E2260" s="1513" t="s">
        <v>1306</v>
      </c>
      <c r="F2260" s="338" t="s">
        <v>2478</v>
      </c>
      <c r="G2260" s="425" t="s">
        <v>4491</v>
      </c>
      <c r="H2260" s="168" t="s">
        <v>432</v>
      </c>
      <c r="I2260" s="57">
        <v>1</v>
      </c>
      <c r="J2260" s="107" t="s">
        <v>432</v>
      </c>
      <c r="K2260" s="137" t="s">
        <v>432</v>
      </c>
      <c r="L2260" s="137" t="s">
        <v>432</v>
      </c>
      <c r="M2260" s="137" t="s">
        <v>432</v>
      </c>
      <c r="N2260" s="137" t="s">
        <v>432</v>
      </c>
      <c r="O2260" s="137" t="s">
        <v>432</v>
      </c>
      <c r="P2260" s="137" t="s">
        <v>432</v>
      </c>
      <c r="Q2260" s="137" t="s">
        <v>432</v>
      </c>
      <c r="R2260" s="137" t="s">
        <v>432</v>
      </c>
      <c r="S2260" s="109" t="s">
        <v>2209</v>
      </c>
      <c r="T2260" s="137" t="s">
        <v>432</v>
      </c>
      <c r="U2260" s="137" t="s">
        <v>432</v>
      </c>
      <c r="V2260" s="109" t="s">
        <v>2209</v>
      </c>
      <c r="W2260" s="23" t="s">
        <v>432</v>
      </c>
      <c r="X2260" s="23">
        <f>X2257+X2259</f>
        <v>147</v>
      </c>
      <c r="Y2260" s="23">
        <f t="shared" ref="Y2260:AE2260" si="664">Y2257+Y2259</f>
        <v>343</v>
      </c>
      <c r="Z2260" s="23">
        <f t="shared" si="664"/>
        <v>512</v>
      </c>
      <c r="AA2260" s="23">
        <f t="shared" si="664"/>
        <v>532</v>
      </c>
      <c r="AB2260" s="23">
        <f t="shared" si="664"/>
        <v>534</v>
      </c>
      <c r="AC2260" s="23">
        <f t="shared" si="664"/>
        <v>546</v>
      </c>
      <c r="AD2260" s="23">
        <f t="shared" si="664"/>
        <v>553</v>
      </c>
      <c r="AE2260" s="23">
        <f t="shared" si="664"/>
        <v>631</v>
      </c>
      <c r="AF2260" s="23">
        <f t="shared" ref="AF2260:AK2260" si="665">AF2257+AF2259</f>
        <v>714</v>
      </c>
      <c r="AG2260" s="23">
        <f t="shared" si="665"/>
        <v>787</v>
      </c>
      <c r="AH2260" s="23">
        <f t="shared" si="665"/>
        <v>870</v>
      </c>
      <c r="AI2260" s="23">
        <f t="shared" si="665"/>
        <v>908</v>
      </c>
      <c r="AJ2260" s="20">
        <f t="shared" si="665"/>
        <v>1021</v>
      </c>
      <c r="AK2260" s="20">
        <f t="shared" si="665"/>
        <v>1290</v>
      </c>
      <c r="AL2260" s="601" t="s">
        <v>432</v>
      </c>
      <c r="AM2260" s="137" t="s">
        <v>432</v>
      </c>
      <c r="AN2260" s="137" t="s">
        <v>432</v>
      </c>
      <c r="AO2260" s="137" t="s">
        <v>432</v>
      </c>
      <c r="AP2260" s="137" t="s">
        <v>432</v>
      </c>
      <c r="AQ2260" s="137" t="s">
        <v>432</v>
      </c>
      <c r="AR2260" s="137" t="s">
        <v>432</v>
      </c>
      <c r="AS2260" s="137" t="s">
        <v>432</v>
      </c>
      <c r="AT2260" s="137" t="s">
        <v>432</v>
      </c>
      <c r="AU2260" s="137" t="s">
        <v>432</v>
      </c>
      <c r="AV2260" s="137" t="s">
        <v>432</v>
      </c>
      <c r="AW2260" s="137" t="s">
        <v>432</v>
      </c>
      <c r="AX2260" s="137" t="s">
        <v>432</v>
      </c>
      <c r="AY2260" s="137" t="s">
        <v>432</v>
      </c>
      <c r="AZ2260" s="137" t="s">
        <v>432</v>
      </c>
      <c r="BA2260" s="137" t="s">
        <v>432</v>
      </c>
      <c r="BB2260" s="239" t="str">
        <f t="shared" si="633"/>
        <v>Estacionamentoacessibilidade</v>
      </c>
      <c r="BC2260" s="239" t="str">
        <f t="shared" si="634"/>
        <v>Estacionamentoacessibilidadex</v>
      </c>
      <c r="BD2260" s="239" t="str">
        <f t="shared" si="635"/>
        <v>Estacionamentox</v>
      </c>
    </row>
    <row r="2261" spans="1:56" s="105" customFormat="1" ht="38.25" customHeight="1" x14ac:dyDescent="0.25">
      <c r="A2261" s="275" t="s">
        <v>432</v>
      </c>
      <c r="B2261" s="53" t="s">
        <v>742</v>
      </c>
      <c r="C2261" s="229" t="s">
        <v>432</v>
      </c>
      <c r="D2261" s="325" t="s">
        <v>1298</v>
      </c>
      <c r="E2261" s="1496" t="s">
        <v>1298</v>
      </c>
      <c r="F2261" s="188" t="str">
        <f>pend!$C$208</f>
        <v>Região Metropolitana de Belo Horizonte (faltando completar)</v>
      </c>
      <c r="G2261" s="230" t="s">
        <v>3507</v>
      </c>
      <c r="H2261" s="168" t="s">
        <v>2408</v>
      </c>
      <c r="I2261" s="57" t="s">
        <v>432</v>
      </c>
      <c r="J2261" s="107" t="s">
        <v>432</v>
      </c>
      <c r="K2261" s="137" t="s">
        <v>432</v>
      </c>
      <c r="L2261" s="137" t="s">
        <v>432</v>
      </c>
      <c r="M2261" s="137" t="s">
        <v>432</v>
      </c>
      <c r="N2261" s="137" t="s">
        <v>432</v>
      </c>
      <c r="O2261" s="137" t="s">
        <v>432</v>
      </c>
      <c r="P2261" s="137" t="s">
        <v>432</v>
      </c>
      <c r="Q2261" s="137" t="s">
        <v>432</v>
      </c>
      <c r="R2261" s="137" t="s">
        <v>432</v>
      </c>
      <c r="S2261" s="109" t="s">
        <v>2209</v>
      </c>
      <c r="T2261" s="137" t="s">
        <v>432</v>
      </c>
      <c r="U2261" s="137" t="s">
        <v>432</v>
      </c>
      <c r="V2261" s="109" t="s">
        <v>2209</v>
      </c>
      <c r="W2261" s="137" t="s">
        <v>432</v>
      </c>
      <c r="X2261" s="137" t="s">
        <v>432</v>
      </c>
      <c r="Y2261" s="137" t="s">
        <v>432</v>
      </c>
      <c r="Z2261" s="137" t="s">
        <v>432</v>
      </c>
      <c r="AA2261" s="137" t="s">
        <v>432</v>
      </c>
      <c r="AB2261" s="137" t="s">
        <v>432</v>
      </c>
      <c r="AC2261" s="137" t="s">
        <v>432</v>
      </c>
      <c r="AD2261" s="137" t="s">
        <v>432</v>
      </c>
      <c r="AE2261" s="137" t="s">
        <v>432</v>
      </c>
      <c r="AF2261" s="137" t="s">
        <v>432</v>
      </c>
      <c r="AG2261" s="137" t="s">
        <v>432</v>
      </c>
      <c r="AH2261" s="137" t="s">
        <v>432</v>
      </c>
      <c r="AI2261" s="137" t="s">
        <v>432</v>
      </c>
      <c r="AJ2261" s="137" t="s">
        <v>432</v>
      </c>
      <c r="AK2261" s="137" t="s">
        <v>432</v>
      </c>
      <c r="AL2261" s="601" t="s">
        <v>432</v>
      </c>
      <c r="AM2261" s="137" t="s">
        <v>432</v>
      </c>
      <c r="AN2261" s="137" t="s">
        <v>432</v>
      </c>
      <c r="AO2261" s="137" t="s">
        <v>432</v>
      </c>
      <c r="AP2261" s="137" t="s">
        <v>432</v>
      </c>
      <c r="AQ2261" s="137" t="s">
        <v>432</v>
      </c>
      <c r="AR2261" s="137" t="s">
        <v>432</v>
      </c>
      <c r="AS2261" s="137" t="s">
        <v>432</v>
      </c>
      <c r="AT2261" s="137" t="s">
        <v>432</v>
      </c>
      <c r="AU2261" s="137" t="s">
        <v>432</v>
      </c>
      <c r="AV2261" s="137" t="s">
        <v>432</v>
      </c>
      <c r="AW2261" s="137" t="s">
        <v>432</v>
      </c>
      <c r="AX2261" s="137" t="s">
        <v>432</v>
      </c>
      <c r="AY2261" s="137" t="s">
        <v>432</v>
      </c>
      <c r="AZ2261" s="137" t="s">
        <v>432</v>
      </c>
      <c r="BA2261" s="137" t="s">
        <v>432</v>
      </c>
      <c r="BB2261" s="239" t="str">
        <f>B2261&amp;C2261</f>
        <v>geralx</v>
      </c>
      <c r="BC2261" s="239" t="str">
        <f>B2261&amp;C2261&amp;H2261</f>
        <v>geralxsigla/verbete</v>
      </c>
      <c r="BD2261" s="239" t="str">
        <f>B2261&amp;H2261</f>
        <v>geralsigla/verbete</v>
      </c>
    </row>
    <row r="2262" spans="1:56" s="105" customFormat="1" ht="51" x14ac:dyDescent="0.25">
      <c r="A2262" s="275" t="str">
        <f>'Q100b-totais'!B62</f>
        <v>8.10</v>
      </c>
      <c r="B2262" s="1172" t="str">
        <f>'Q100b-totais'!C62</f>
        <v>Sistema de transporte coletivo com um todo</v>
      </c>
      <c r="C2262" s="229" t="s">
        <v>432</v>
      </c>
      <c r="D2262" s="325" t="s">
        <v>3442</v>
      </c>
      <c r="E2262" s="1496" t="s">
        <v>1298</v>
      </c>
      <c r="F2262" s="188" t="s">
        <v>4553</v>
      </c>
      <c r="G2262" s="230" t="s">
        <v>3507</v>
      </c>
      <c r="H2262" s="167" t="s">
        <v>2408</v>
      </c>
      <c r="I2262" s="167" t="s">
        <v>432</v>
      </c>
      <c r="J2262" s="109" t="s">
        <v>432</v>
      </c>
      <c r="K2262" s="109" t="s">
        <v>432</v>
      </c>
      <c r="L2262" s="109" t="s">
        <v>432</v>
      </c>
      <c r="M2262" s="109" t="s">
        <v>432</v>
      </c>
      <c r="N2262" s="109" t="s">
        <v>432</v>
      </c>
      <c r="O2262" s="109" t="s">
        <v>432</v>
      </c>
      <c r="P2262" s="109" t="s">
        <v>432</v>
      </c>
      <c r="Q2262" s="109" t="s">
        <v>432</v>
      </c>
      <c r="R2262" s="109" t="s">
        <v>432</v>
      </c>
      <c r="S2262" s="109" t="s">
        <v>2209</v>
      </c>
      <c r="T2262" s="109" t="s">
        <v>432</v>
      </c>
      <c r="U2262" s="109" t="s">
        <v>432</v>
      </c>
      <c r="V2262" s="109" t="s">
        <v>2209</v>
      </c>
      <c r="W2262" s="109" t="s">
        <v>432</v>
      </c>
      <c r="X2262" s="109" t="s">
        <v>432</v>
      </c>
      <c r="Y2262" s="109" t="s">
        <v>432</v>
      </c>
      <c r="Z2262" s="109" t="s">
        <v>432</v>
      </c>
      <c r="AA2262" s="109" t="s">
        <v>432</v>
      </c>
      <c r="AB2262" s="109" t="s">
        <v>432</v>
      </c>
      <c r="AC2262" s="109" t="s">
        <v>432</v>
      </c>
      <c r="AD2262" s="109" t="s">
        <v>432</v>
      </c>
      <c r="AE2262" s="109" t="s">
        <v>432</v>
      </c>
      <c r="AF2262" s="109" t="s">
        <v>432</v>
      </c>
      <c r="AG2262" s="109" t="s">
        <v>432</v>
      </c>
      <c r="AH2262" s="109" t="s">
        <v>432</v>
      </c>
      <c r="AI2262" s="109" t="s">
        <v>432</v>
      </c>
      <c r="AJ2262" s="109" t="s">
        <v>432</v>
      </c>
      <c r="AK2262" s="137" t="s">
        <v>432</v>
      </c>
      <c r="AL2262" s="601" t="s">
        <v>432</v>
      </c>
      <c r="AM2262" s="137" t="s">
        <v>432</v>
      </c>
      <c r="AN2262" s="137" t="s">
        <v>432</v>
      </c>
      <c r="AO2262" s="137" t="s">
        <v>432</v>
      </c>
      <c r="AP2262" s="137" t="s">
        <v>432</v>
      </c>
      <c r="AQ2262" s="137" t="s">
        <v>432</v>
      </c>
      <c r="AR2262" s="137" t="s">
        <v>432</v>
      </c>
      <c r="AS2262" s="137" t="s">
        <v>432</v>
      </c>
      <c r="AT2262" s="137" t="s">
        <v>432</v>
      </c>
      <c r="AU2262" s="137" t="s">
        <v>432</v>
      </c>
      <c r="AV2262" s="137" t="s">
        <v>432</v>
      </c>
      <c r="AW2262" s="137" t="s">
        <v>432</v>
      </c>
      <c r="AX2262" s="137" t="s">
        <v>432</v>
      </c>
      <c r="AY2262" s="137" t="s">
        <v>432</v>
      </c>
      <c r="AZ2262" s="137" t="s">
        <v>432</v>
      </c>
      <c r="BA2262" s="137" t="s">
        <v>432</v>
      </c>
      <c r="BB2262" s="239" t="str">
        <f>B2262&amp;C2262</f>
        <v>Sistema de transporte coletivo com um todox</v>
      </c>
      <c r="BC2262" s="239" t="str">
        <f>B2262&amp;C2262&amp;H2262</f>
        <v>Sistema de transporte coletivo com um todoxsigla/verbete</v>
      </c>
      <c r="BD2262" s="239" t="str">
        <f>B2262&amp;H2262</f>
        <v>Sistema de transporte coletivo com um todosigla/verbete</v>
      </c>
    </row>
    <row r="2263" spans="1:56" s="105" customFormat="1" ht="38.25" customHeight="1" x14ac:dyDescent="0.25">
      <c r="A2263" s="275" t="s">
        <v>432</v>
      </c>
      <c r="B2263" s="53" t="s">
        <v>742</v>
      </c>
      <c r="C2263" s="229" t="s">
        <v>432</v>
      </c>
      <c r="D2263" s="325" t="s">
        <v>1038</v>
      </c>
      <c r="E2263" s="1496" t="s">
        <v>432</v>
      </c>
      <c r="F2263" s="188" t="s">
        <v>3625</v>
      </c>
      <c r="G2263" s="167" t="s">
        <v>3719</v>
      </c>
      <c r="H2263" s="168" t="s">
        <v>2408</v>
      </c>
      <c r="I2263" s="57" t="s">
        <v>432</v>
      </c>
      <c r="J2263" s="107" t="s">
        <v>432</v>
      </c>
      <c r="K2263" s="137" t="s">
        <v>432</v>
      </c>
      <c r="L2263" s="137" t="s">
        <v>432</v>
      </c>
      <c r="M2263" s="137" t="s">
        <v>432</v>
      </c>
      <c r="N2263" s="137" t="s">
        <v>432</v>
      </c>
      <c r="O2263" s="137" t="s">
        <v>432</v>
      </c>
      <c r="P2263" s="137" t="s">
        <v>432</v>
      </c>
      <c r="Q2263" s="137" t="s">
        <v>432</v>
      </c>
      <c r="R2263" s="137" t="s">
        <v>432</v>
      </c>
      <c r="S2263" s="109" t="s">
        <v>2209</v>
      </c>
      <c r="T2263" s="137" t="s">
        <v>432</v>
      </c>
      <c r="U2263" s="137" t="s">
        <v>432</v>
      </c>
      <c r="V2263" s="109" t="s">
        <v>2209</v>
      </c>
      <c r="W2263" s="137" t="s">
        <v>432</v>
      </c>
      <c r="X2263" s="137" t="s">
        <v>432</v>
      </c>
      <c r="Y2263" s="137" t="s">
        <v>432</v>
      </c>
      <c r="Z2263" s="137" t="s">
        <v>432</v>
      </c>
      <c r="AA2263" s="137" t="s">
        <v>432</v>
      </c>
      <c r="AB2263" s="137" t="s">
        <v>432</v>
      </c>
      <c r="AC2263" s="137" t="s">
        <v>432</v>
      </c>
      <c r="AD2263" s="137" t="s">
        <v>432</v>
      </c>
      <c r="AE2263" s="137" t="s">
        <v>432</v>
      </c>
      <c r="AF2263" s="137" t="s">
        <v>432</v>
      </c>
      <c r="AG2263" s="137" t="s">
        <v>432</v>
      </c>
      <c r="AH2263" s="137" t="s">
        <v>432</v>
      </c>
      <c r="AI2263" s="137" t="s">
        <v>432</v>
      </c>
      <c r="AJ2263" s="137" t="s">
        <v>432</v>
      </c>
      <c r="AK2263" s="137" t="s">
        <v>432</v>
      </c>
      <c r="AL2263" s="601" t="s">
        <v>432</v>
      </c>
      <c r="AM2263" s="137" t="s">
        <v>432</v>
      </c>
      <c r="AN2263" s="137" t="s">
        <v>432</v>
      </c>
      <c r="AO2263" s="137" t="s">
        <v>432</v>
      </c>
      <c r="AP2263" s="137" t="s">
        <v>432</v>
      </c>
      <c r="AQ2263" s="137" t="s">
        <v>432</v>
      </c>
      <c r="AR2263" s="137" t="s">
        <v>432</v>
      </c>
      <c r="AS2263" s="137" t="s">
        <v>432</v>
      </c>
      <c r="AT2263" s="137" t="s">
        <v>432</v>
      </c>
      <c r="AU2263" s="137" t="s">
        <v>432</v>
      </c>
      <c r="AV2263" s="137" t="s">
        <v>432</v>
      </c>
      <c r="AW2263" s="137" t="s">
        <v>432</v>
      </c>
      <c r="AX2263" s="137" t="s">
        <v>432</v>
      </c>
      <c r="AY2263" s="137" t="s">
        <v>432</v>
      </c>
      <c r="AZ2263" s="137" t="s">
        <v>432</v>
      </c>
      <c r="BA2263" s="137" t="s">
        <v>432</v>
      </c>
      <c r="BB2263" s="239" t="str">
        <f t="shared" si="633"/>
        <v>geralx</v>
      </c>
      <c r="BC2263" s="239" t="str">
        <f t="shared" si="634"/>
        <v>geralxsigla/verbete</v>
      </c>
      <c r="BD2263" s="239" t="str">
        <f t="shared" si="635"/>
        <v>geralsigla/verbete</v>
      </c>
    </row>
    <row r="2264" spans="1:56" s="105" customFormat="1" ht="38.25" customHeight="1" x14ac:dyDescent="0.25">
      <c r="A2264" s="275" t="s">
        <v>432</v>
      </c>
      <c r="B2264" s="53" t="s">
        <v>742</v>
      </c>
      <c r="C2264" s="229" t="s">
        <v>432</v>
      </c>
      <c r="D2264" s="325" t="s">
        <v>5265</v>
      </c>
      <c r="E2264" s="1445" t="s">
        <v>432</v>
      </c>
      <c r="F2264" s="619" t="s">
        <v>5266</v>
      </c>
      <c r="G2264" s="230" t="s">
        <v>3507</v>
      </c>
      <c r="H2264" s="167" t="s">
        <v>2408</v>
      </c>
      <c r="I2264" s="167" t="s">
        <v>432</v>
      </c>
      <c r="J2264" s="109" t="s">
        <v>432</v>
      </c>
      <c r="K2264" s="109" t="s">
        <v>432</v>
      </c>
      <c r="L2264" s="109" t="s">
        <v>432</v>
      </c>
      <c r="M2264" s="109" t="s">
        <v>432</v>
      </c>
      <c r="N2264" s="109" t="s">
        <v>432</v>
      </c>
      <c r="O2264" s="109" t="s">
        <v>432</v>
      </c>
      <c r="P2264" s="109" t="s">
        <v>432</v>
      </c>
      <c r="Q2264" s="109" t="s">
        <v>432</v>
      </c>
      <c r="R2264" s="109" t="s">
        <v>432</v>
      </c>
      <c r="S2264" s="109" t="s">
        <v>2209</v>
      </c>
      <c r="T2264" s="109" t="s">
        <v>432</v>
      </c>
      <c r="U2264" s="109" t="s">
        <v>432</v>
      </c>
      <c r="V2264" s="109" t="s">
        <v>2209</v>
      </c>
      <c r="W2264" s="109" t="s">
        <v>432</v>
      </c>
      <c r="X2264" s="109" t="s">
        <v>432</v>
      </c>
      <c r="Y2264" s="109" t="s">
        <v>432</v>
      </c>
      <c r="Z2264" s="109" t="s">
        <v>432</v>
      </c>
      <c r="AA2264" s="109" t="s">
        <v>432</v>
      </c>
      <c r="AB2264" s="109" t="s">
        <v>432</v>
      </c>
      <c r="AC2264" s="109" t="s">
        <v>432</v>
      </c>
      <c r="AD2264" s="109" t="s">
        <v>432</v>
      </c>
      <c r="AE2264" s="109" t="s">
        <v>432</v>
      </c>
      <c r="AF2264" s="109" t="s">
        <v>432</v>
      </c>
      <c r="AG2264" s="109" t="s">
        <v>432</v>
      </c>
      <c r="AH2264" s="109" t="s">
        <v>432</v>
      </c>
      <c r="AI2264" s="109" t="s">
        <v>432</v>
      </c>
      <c r="AJ2264" s="109" t="s">
        <v>432</v>
      </c>
      <c r="AK2264" s="137" t="s">
        <v>432</v>
      </c>
      <c r="AL2264" s="601" t="s">
        <v>432</v>
      </c>
      <c r="AM2264" s="137" t="s">
        <v>432</v>
      </c>
      <c r="AN2264" s="137" t="s">
        <v>432</v>
      </c>
      <c r="AO2264" s="137" t="s">
        <v>432</v>
      </c>
      <c r="AP2264" s="137" t="s">
        <v>432</v>
      </c>
      <c r="AQ2264" s="137" t="s">
        <v>432</v>
      </c>
      <c r="AR2264" s="137" t="s">
        <v>432</v>
      </c>
      <c r="AS2264" s="137" t="s">
        <v>432</v>
      </c>
      <c r="AT2264" s="137" t="s">
        <v>432</v>
      </c>
      <c r="AU2264" s="137" t="s">
        <v>432</v>
      </c>
      <c r="AV2264" s="137" t="s">
        <v>432</v>
      </c>
      <c r="AW2264" s="137" t="s">
        <v>432</v>
      </c>
      <c r="AX2264" s="137" t="s">
        <v>432</v>
      </c>
      <c r="AY2264" s="137" t="s">
        <v>432</v>
      </c>
      <c r="AZ2264" s="137" t="s">
        <v>432</v>
      </c>
      <c r="BA2264" s="137" t="s">
        <v>432</v>
      </c>
      <c r="BB2264" s="239" t="str">
        <f t="shared" si="633"/>
        <v>geralx</v>
      </c>
      <c r="BC2264" s="239" t="str">
        <f t="shared" si="634"/>
        <v>geralxsigla/verbete</v>
      </c>
      <c r="BD2264" s="239" t="str">
        <f t="shared" si="635"/>
        <v>geralsigla/verbete</v>
      </c>
    </row>
    <row r="2265" spans="1:56" ht="25.5" x14ac:dyDescent="0.25">
      <c r="A2265" s="262" t="s">
        <v>432</v>
      </c>
      <c r="B2265" s="252" t="s">
        <v>742</v>
      </c>
      <c r="C2265" s="167" t="s">
        <v>432</v>
      </c>
      <c r="D2265" s="325" t="s">
        <v>364</v>
      </c>
      <c r="E2265" s="1496" t="s">
        <v>432</v>
      </c>
      <c r="F2265" s="165" t="s">
        <v>365</v>
      </c>
      <c r="G2265" s="167" t="s">
        <v>3879</v>
      </c>
      <c r="H2265" s="167" t="s">
        <v>432</v>
      </c>
      <c r="I2265" s="167" t="s">
        <v>432</v>
      </c>
      <c r="J2265" s="107" t="s">
        <v>432</v>
      </c>
      <c r="K2265" s="107" t="s">
        <v>432</v>
      </c>
      <c r="L2265" s="107" t="s">
        <v>432</v>
      </c>
      <c r="M2265" s="107" t="s">
        <v>432</v>
      </c>
      <c r="N2265" s="107" t="s">
        <v>432</v>
      </c>
      <c r="O2265" s="107" t="s">
        <v>432</v>
      </c>
      <c r="P2265" s="107" t="s">
        <v>432</v>
      </c>
      <c r="Q2265" s="107" t="s">
        <v>432</v>
      </c>
      <c r="R2265" s="107" t="s">
        <v>432</v>
      </c>
      <c r="S2265" s="109" t="s">
        <v>2209</v>
      </c>
      <c r="T2265" s="107" t="s">
        <v>432</v>
      </c>
      <c r="U2265" s="107" t="s">
        <v>432</v>
      </c>
      <c r="V2265" s="109" t="s">
        <v>2209</v>
      </c>
      <c r="W2265" s="107" t="s">
        <v>432</v>
      </c>
      <c r="X2265" s="107" t="s">
        <v>432</v>
      </c>
      <c r="Y2265" s="107" t="s">
        <v>432</v>
      </c>
      <c r="Z2265" s="107" t="s">
        <v>432</v>
      </c>
      <c r="AA2265" s="107" t="s">
        <v>432</v>
      </c>
      <c r="AB2265" s="107" t="s">
        <v>432</v>
      </c>
      <c r="AC2265" s="107" t="s">
        <v>432</v>
      </c>
      <c r="AD2265" s="107" t="s">
        <v>432</v>
      </c>
      <c r="AE2265" s="107" t="s">
        <v>432</v>
      </c>
      <c r="AF2265" s="107" t="s">
        <v>432</v>
      </c>
      <c r="AG2265" s="107" t="s">
        <v>432</v>
      </c>
      <c r="AH2265" s="107" t="s">
        <v>432</v>
      </c>
      <c r="AI2265" s="107" t="s">
        <v>432</v>
      </c>
      <c r="AJ2265" s="107" t="s">
        <v>432</v>
      </c>
      <c r="AK2265" s="137" t="s">
        <v>432</v>
      </c>
      <c r="AL2265" s="601" t="s">
        <v>432</v>
      </c>
      <c r="AM2265" s="137" t="s">
        <v>432</v>
      </c>
      <c r="AN2265" s="137" t="s">
        <v>432</v>
      </c>
      <c r="AO2265" s="137" t="s">
        <v>432</v>
      </c>
      <c r="AP2265" s="137" t="s">
        <v>432</v>
      </c>
      <c r="AQ2265" s="137" t="s">
        <v>432</v>
      </c>
      <c r="AR2265" s="137" t="s">
        <v>432</v>
      </c>
      <c r="AS2265" s="137" t="s">
        <v>432</v>
      </c>
      <c r="AT2265" s="137" t="s">
        <v>432</v>
      </c>
      <c r="AU2265" s="137" t="s">
        <v>432</v>
      </c>
      <c r="AV2265" s="137" t="s">
        <v>432</v>
      </c>
      <c r="AW2265" s="137" t="s">
        <v>432</v>
      </c>
      <c r="AX2265" s="137" t="s">
        <v>432</v>
      </c>
      <c r="AY2265" s="137" t="s">
        <v>432</v>
      </c>
      <c r="AZ2265" s="137" t="s">
        <v>432</v>
      </c>
      <c r="BA2265" s="137" t="s">
        <v>432</v>
      </c>
      <c r="BB2265" s="239" t="str">
        <f t="shared" si="633"/>
        <v>geralx</v>
      </c>
      <c r="BC2265" s="239" t="str">
        <f t="shared" si="634"/>
        <v>geralxx</v>
      </c>
      <c r="BD2265" s="239" t="str">
        <f t="shared" si="635"/>
        <v>geralx</v>
      </c>
    </row>
    <row r="2266" spans="1:56" s="105" customFormat="1" ht="69.75" customHeight="1" x14ac:dyDescent="0.25">
      <c r="A2266" s="262" t="str">
        <f>'Q100b-totais'!B49</f>
        <v>6.1</v>
      </c>
      <c r="B2266" s="252" t="str">
        <f>'Q100b-totais'!C49</f>
        <v>Calçadas e passarelas</v>
      </c>
      <c r="C2266" s="167" t="s">
        <v>743</v>
      </c>
      <c r="D2266" s="325" t="s">
        <v>4299</v>
      </c>
      <c r="E2266" s="1496" t="s">
        <v>1767</v>
      </c>
      <c r="F2266" s="252" t="s">
        <v>4300</v>
      </c>
      <c r="G2266" s="230" t="s">
        <v>3507</v>
      </c>
      <c r="H2266" s="167" t="s">
        <v>2408</v>
      </c>
      <c r="I2266" s="167" t="s">
        <v>432</v>
      </c>
      <c r="J2266" s="109" t="s">
        <v>432</v>
      </c>
      <c r="K2266" s="109" t="s">
        <v>432</v>
      </c>
      <c r="L2266" s="109" t="s">
        <v>432</v>
      </c>
      <c r="M2266" s="109" t="s">
        <v>432</v>
      </c>
      <c r="N2266" s="109" t="s">
        <v>432</v>
      </c>
      <c r="O2266" s="109" t="s">
        <v>432</v>
      </c>
      <c r="P2266" s="109" t="s">
        <v>432</v>
      </c>
      <c r="Q2266" s="109" t="s">
        <v>432</v>
      </c>
      <c r="R2266" s="109" t="s">
        <v>432</v>
      </c>
      <c r="S2266" s="109" t="s">
        <v>2209</v>
      </c>
      <c r="T2266" s="109" t="s">
        <v>432</v>
      </c>
      <c r="U2266" s="109" t="s">
        <v>432</v>
      </c>
      <c r="V2266" s="109" t="s">
        <v>2209</v>
      </c>
      <c r="W2266" s="109" t="s">
        <v>432</v>
      </c>
      <c r="X2266" s="109" t="s">
        <v>432</v>
      </c>
      <c r="Y2266" s="109" t="s">
        <v>432</v>
      </c>
      <c r="Z2266" s="109" t="s">
        <v>432</v>
      </c>
      <c r="AA2266" s="109" t="s">
        <v>432</v>
      </c>
      <c r="AB2266" s="109" t="s">
        <v>432</v>
      </c>
      <c r="AC2266" s="109" t="s">
        <v>432</v>
      </c>
      <c r="AD2266" s="109" t="s">
        <v>432</v>
      </c>
      <c r="AE2266" s="109" t="s">
        <v>432</v>
      </c>
      <c r="AF2266" s="109" t="s">
        <v>432</v>
      </c>
      <c r="AG2266" s="109" t="s">
        <v>432</v>
      </c>
      <c r="AH2266" s="109" t="s">
        <v>432</v>
      </c>
      <c r="AI2266" s="109" t="s">
        <v>432</v>
      </c>
      <c r="AJ2266" s="109" t="s">
        <v>432</v>
      </c>
      <c r="AK2266" s="137" t="s">
        <v>432</v>
      </c>
      <c r="AL2266" s="601" t="s">
        <v>432</v>
      </c>
      <c r="AM2266" s="137" t="s">
        <v>432</v>
      </c>
      <c r="AN2266" s="137" t="s">
        <v>432</v>
      </c>
      <c r="AO2266" s="137" t="s">
        <v>432</v>
      </c>
      <c r="AP2266" s="137" t="s">
        <v>432</v>
      </c>
      <c r="AQ2266" s="137" t="s">
        <v>432</v>
      </c>
      <c r="AR2266" s="137" t="s">
        <v>432</v>
      </c>
      <c r="AS2266" s="137" t="s">
        <v>432</v>
      </c>
      <c r="AT2266" s="137" t="s">
        <v>432</v>
      </c>
      <c r="AU2266" s="137" t="s">
        <v>432</v>
      </c>
      <c r="AV2266" s="137" t="s">
        <v>432</v>
      </c>
      <c r="AW2266" s="137" t="s">
        <v>432</v>
      </c>
      <c r="AX2266" s="137" t="s">
        <v>432</v>
      </c>
      <c r="AY2266" s="137" t="s">
        <v>432</v>
      </c>
      <c r="AZ2266" s="137" t="s">
        <v>432</v>
      </c>
      <c r="BA2266" s="137" t="s">
        <v>432</v>
      </c>
      <c r="BB2266" s="239" t="str">
        <f>B2266&amp;C2266</f>
        <v>Calçadas e passarelasacessibilidade</v>
      </c>
      <c r="BC2266" s="239" t="str">
        <f>B2266&amp;C2266&amp;H2266</f>
        <v>Calçadas e passarelasacessibilidadesigla/verbete</v>
      </c>
      <c r="BD2266" s="239" t="str">
        <f>B2266&amp;H2266</f>
        <v>Calçadas e passarelassigla/verbete</v>
      </c>
    </row>
    <row r="2267" spans="1:56" s="105" customFormat="1" ht="51" customHeight="1" x14ac:dyDescent="0.25">
      <c r="A2267" s="262" t="str">
        <f>'Q100b-totais'!B22</f>
        <v>2.7</v>
      </c>
      <c r="B2267" s="252" t="str">
        <f>'Q100b-totais'!C22</f>
        <v>Outras cidades/regiões</v>
      </c>
      <c r="C2267" s="167" t="s">
        <v>743</v>
      </c>
      <c r="D2267" s="1570" t="s">
        <v>6320</v>
      </c>
      <c r="E2267" s="1499" t="s">
        <v>6320</v>
      </c>
      <c r="F2267" s="252" t="s">
        <v>6335</v>
      </c>
      <c r="G2267" s="230" t="s">
        <v>3507</v>
      </c>
      <c r="H2267" s="167" t="s">
        <v>2408</v>
      </c>
      <c r="I2267" s="167" t="s">
        <v>432</v>
      </c>
      <c r="J2267" s="109" t="s">
        <v>432</v>
      </c>
      <c r="K2267" s="109" t="s">
        <v>432</v>
      </c>
      <c r="L2267" s="109" t="s">
        <v>432</v>
      </c>
      <c r="M2267" s="109" t="s">
        <v>432</v>
      </c>
      <c r="N2267" s="109" t="s">
        <v>432</v>
      </c>
      <c r="O2267" s="109" t="s">
        <v>432</v>
      </c>
      <c r="P2267" s="109" t="s">
        <v>432</v>
      </c>
      <c r="Q2267" s="109" t="s">
        <v>432</v>
      </c>
      <c r="R2267" s="109" t="s">
        <v>432</v>
      </c>
      <c r="S2267" s="109" t="s">
        <v>2209</v>
      </c>
      <c r="T2267" s="109" t="s">
        <v>432</v>
      </c>
      <c r="U2267" s="109" t="s">
        <v>432</v>
      </c>
      <c r="V2267" s="109" t="s">
        <v>2209</v>
      </c>
      <c r="W2267" s="109" t="s">
        <v>432</v>
      </c>
      <c r="X2267" s="109" t="s">
        <v>432</v>
      </c>
      <c r="Y2267" s="109" t="s">
        <v>432</v>
      </c>
      <c r="Z2267" s="109" t="s">
        <v>432</v>
      </c>
      <c r="AA2267" s="109" t="s">
        <v>432</v>
      </c>
      <c r="AB2267" s="109" t="s">
        <v>432</v>
      </c>
      <c r="AC2267" s="109" t="s">
        <v>432</v>
      </c>
      <c r="AD2267" s="109" t="s">
        <v>432</v>
      </c>
      <c r="AE2267" s="109" t="s">
        <v>432</v>
      </c>
      <c r="AF2267" s="109" t="s">
        <v>432</v>
      </c>
      <c r="AG2267" s="109" t="s">
        <v>432</v>
      </c>
      <c r="AH2267" s="109" t="s">
        <v>432</v>
      </c>
      <c r="AI2267" s="109" t="s">
        <v>432</v>
      </c>
      <c r="AJ2267" s="109" t="s">
        <v>432</v>
      </c>
      <c r="AK2267" s="137" t="s">
        <v>432</v>
      </c>
      <c r="AL2267" s="601" t="s">
        <v>432</v>
      </c>
      <c r="AM2267" s="137" t="s">
        <v>432</v>
      </c>
      <c r="AN2267" s="137" t="s">
        <v>432</v>
      </c>
      <c r="AO2267" s="137" t="s">
        <v>432</v>
      </c>
      <c r="AP2267" s="137" t="s">
        <v>432</v>
      </c>
      <c r="AQ2267" s="137" t="s">
        <v>432</v>
      </c>
      <c r="AR2267" s="137" t="s">
        <v>432</v>
      </c>
      <c r="AS2267" s="137" t="s">
        <v>432</v>
      </c>
      <c r="AT2267" s="137" t="s">
        <v>432</v>
      </c>
      <c r="AU2267" s="137" t="s">
        <v>432</v>
      </c>
      <c r="AV2267" s="137" t="s">
        <v>432</v>
      </c>
      <c r="AW2267" s="137" t="s">
        <v>432</v>
      </c>
      <c r="AX2267" s="137" t="s">
        <v>432</v>
      </c>
      <c r="AY2267" s="137" t="s">
        <v>432</v>
      </c>
      <c r="AZ2267" s="137" t="s">
        <v>432</v>
      </c>
      <c r="BA2267" s="137" t="s">
        <v>432</v>
      </c>
      <c r="BB2267" s="239" t="str">
        <f>B2267&amp;C2267</f>
        <v>Outras cidades/regiõesacessibilidade</v>
      </c>
      <c r="BC2267" s="239" t="str">
        <f>B2267&amp;C2267&amp;H2267</f>
        <v>Outras cidades/regiõesacessibilidadesigla/verbete</v>
      </c>
      <c r="BD2267" s="239" t="str">
        <f>B2267&amp;H2267</f>
        <v>Outras cidades/regiõessigla/verbete</v>
      </c>
    </row>
    <row r="2268" spans="1:56" s="140" customFormat="1" ht="48" customHeight="1" x14ac:dyDescent="0.25">
      <c r="A2268" s="262" t="s">
        <v>432</v>
      </c>
      <c r="B2268" s="252" t="s">
        <v>742</v>
      </c>
      <c r="C2268" s="167" t="s">
        <v>432</v>
      </c>
      <c r="D2268" s="962" t="s">
        <v>754</v>
      </c>
      <c r="E2268" s="509" t="s">
        <v>432</v>
      </c>
      <c r="F2268" s="146" t="s">
        <v>2327</v>
      </c>
      <c r="G2268" s="230" t="s">
        <v>3507</v>
      </c>
      <c r="H2268" s="167" t="s">
        <v>2408</v>
      </c>
      <c r="I2268" s="167" t="s">
        <v>432</v>
      </c>
      <c r="J2268" s="109" t="s">
        <v>432</v>
      </c>
      <c r="K2268" s="109" t="s">
        <v>432</v>
      </c>
      <c r="L2268" s="109" t="s">
        <v>432</v>
      </c>
      <c r="M2268" s="109" t="s">
        <v>432</v>
      </c>
      <c r="N2268" s="109" t="s">
        <v>432</v>
      </c>
      <c r="O2268" s="109" t="s">
        <v>432</v>
      </c>
      <c r="P2268" s="109" t="s">
        <v>432</v>
      </c>
      <c r="Q2268" s="109" t="s">
        <v>432</v>
      </c>
      <c r="R2268" s="109" t="s">
        <v>432</v>
      </c>
      <c r="S2268" s="109" t="s">
        <v>2209</v>
      </c>
      <c r="T2268" s="109" t="s">
        <v>432</v>
      </c>
      <c r="U2268" s="109" t="s">
        <v>432</v>
      </c>
      <c r="V2268" s="109" t="s">
        <v>2209</v>
      </c>
      <c r="W2268" s="109" t="s">
        <v>432</v>
      </c>
      <c r="X2268" s="109" t="s">
        <v>432</v>
      </c>
      <c r="Y2268" s="109" t="s">
        <v>432</v>
      </c>
      <c r="Z2268" s="109" t="s">
        <v>432</v>
      </c>
      <c r="AA2268" s="109" t="s">
        <v>432</v>
      </c>
      <c r="AB2268" s="109" t="s">
        <v>432</v>
      </c>
      <c r="AC2268" s="109" t="s">
        <v>432</v>
      </c>
      <c r="AD2268" s="109" t="s">
        <v>432</v>
      </c>
      <c r="AE2268" s="109" t="s">
        <v>432</v>
      </c>
      <c r="AF2268" s="109" t="s">
        <v>432</v>
      </c>
      <c r="AG2268" s="109" t="s">
        <v>432</v>
      </c>
      <c r="AH2268" s="109" t="s">
        <v>432</v>
      </c>
      <c r="AI2268" s="109" t="s">
        <v>432</v>
      </c>
      <c r="AJ2268" s="109" t="s">
        <v>432</v>
      </c>
      <c r="AK2268" s="137" t="s">
        <v>432</v>
      </c>
      <c r="AL2268" s="601" t="s">
        <v>432</v>
      </c>
      <c r="AM2268" s="137" t="s">
        <v>432</v>
      </c>
      <c r="AN2268" s="137" t="s">
        <v>432</v>
      </c>
      <c r="AO2268" s="137" t="s">
        <v>432</v>
      </c>
      <c r="AP2268" s="137" t="s">
        <v>432</v>
      </c>
      <c r="AQ2268" s="137" t="s">
        <v>432</v>
      </c>
      <c r="AR2268" s="137" t="s">
        <v>432</v>
      </c>
      <c r="AS2268" s="137" t="s">
        <v>432</v>
      </c>
      <c r="AT2268" s="137" t="s">
        <v>432</v>
      </c>
      <c r="AU2268" s="137" t="s">
        <v>432</v>
      </c>
      <c r="AV2268" s="137" t="s">
        <v>432</v>
      </c>
      <c r="AW2268" s="137" t="s">
        <v>432</v>
      </c>
      <c r="AX2268" s="137" t="s">
        <v>432</v>
      </c>
      <c r="AY2268" s="137" t="s">
        <v>432</v>
      </c>
      <c r="AZ2268" s="137" t="s">
        <v>432</v>
      </c>
      <c r="BA2268" s="137" t="s">
        <v>432</v>
      </c>
      <c r="BB2268" s="239" t="str">
        <f t="shared" si="633"/>
        <v>geralx</v>
      </c>
      <c r="BC2268" s="239" t="str">
        <f t="shared" si="634"/>
        <v>geralxsigla/verbete</v>
      </c>
      <c r="BD2268" s="239" t="str">
        <f t="shared" si="635"/>
        <v>geralsigla/verbete</v>
      </c>
    </row>
    <row r="2269" spans="1:56" s="1" customFormat="1" ht="41.25" customHeight="1" x14ac:dyDescent="0.25">
      <c r="A2269" s="275" t="str">
        <f>'Q100b-totais'!$B$11</f>
        <v>1.2</v>
      </c>
      <c r="B2269" s="54" t="str">
        <f>'Q100b-totais'!$C$11</f>
        <v>Atendimento ao usuário em geral</v>
      </c>
      <c r="C2269" s="230" t="s">
        <v>432</v>
      </c>
      <c r="D2269" s="323" t="s">
        <v>366</v>
      </c>
      <c r="E2269" s="509" t="s">
        <v>1306</v>
      </c>
      <c r="F2269" s="11" t="s">
        <v>717</v>
      </c>
      <c r="G2269" s="24" t="s">
        <v>367</v>
      </c>
      <c r="H2269" s="444" t="s">
        <v>678</v>
      </c>
      <c r="I2269" s="172">
        <v>1</v>
      </c>
      <c r="J2269" s="109" t="s">
        <v>432</v>
      </c>
      <c r="K2269" s="110" t="s">
        <v>432</v>
      </c>
      <c r="L2269" s="110" t="s">
        <v>432</v>
      </c>
      <c r="M2269" s="110" t="s">
        <v>432</v>
      </c>
      <c r="N2269" s="110" t="s">
        <v>432</v>
      </c>
      <c r="O2269" s="110" t="s">
        <v>432</v>
      </c>
      <c r="P2269" s="110" t="s">
        <v>432</v>
      </c>
      <c r="Q2269" s="110" t="s">
        <v>432</v>
      </c>
      <c r="R2269" s="110" t="s">
        <v>432</v>
      </c>
      <c r="S2269" s="109" t="s">
        <v>2209</v>
      </c>
      <c r="T2269" s="110" t="s">
        <v>432</v>
      </c>
      <c r="U2269" s="110" t="s">
        <v>432</v>
      </c>
      <c r="V2269" s="109" t="s">
        <v>2209</v>
      </c>
      <c r="W2269" s="110" t="s">
        <v>432</v>
      </c>
      <c r="X2269" s="110" t="s">
        <v>432</v>
      </c>
      <c r="Y2269" s="110" t="s">
        <v>432</v>
      </c>
      <c r="Z2269" s="110" t="s">
        <v>432</v>
      </c>
      <c r="AA2269" s="110" t="s">
        <v>432</v>
      </c>
      <c r="AB2269" s="110" t="s">
        <v>432</v>
      </c>
      <c r="AC2269" s="110" t="s">
        <v>432</v>
      </c>
      <c r="AD2269" s="110" t="s">
        <v>432</v>
      </c>
      <c r="AE2269" s="110" t="s">
        <v>432</v>
      </c>
      <c r="AF2269" s="110" t="s">
        <v>432</v>
      </c>
      <c r="AG2269" s="110" t="s">
        <v>432</v>
      </c>
      <c r="AH2269" s="110" t="s">
        <v>432</v>
      </c>
      <c r="AI2269" s="110" t="s">
        <v>432</v>
      </c>
      <c r="AJ2269" s="110" t="s">
        <v>432</v>
      </c>
      <c r="AK2269" s="137" t="s">
        <v>432</v>
      </c>
      <c r="AL2269" s="601" t="s">
        <v>432</v>
      </c>
      <c r="AM2269" s="137" t="s">
        <v>432</v>
      </c>
      <c r="AN2269" s="137" t="s">
        <v>432</v>
      </c>
      <c r="AO2269" s="137" t="s">
        <v>432</v>
      </c>
      <c r="AP2269" s="137" t="s">
        <v>432</v>
      </c>
      <c r="AQ2269" s="137" t="s">
        <v>432</v>
      </c>
      <c r="AR2269" s="137" t="s">
        <v>432</v>
      </c>
      <c r="AS2269" s="137" t="s">
        <v>432</v>
      </c>
      <c r="AT2269" s="137" t="s">
        <v>432</v>
      </c>
      <c r="AU2269" s="137" t="s">
        <v>432</v>
      </c>
      <c r="AV2269" s="137" t="s">
        <v>432</v>
      </c>
      <c r="AW2269" s="137" t="s">
        <v>432</v>
      </c>
      <c r="AX2269" s="137" t="s">
        <v>432</v>
      </c>
      <c r="AY2269" s="137" t="s">
        <v>432</v>
      </c>
      <c r="AZ2269" s="137" t="s">
        <v>432</v>
      </c>
      <c r="BA2269" s="137" t="s">
        <v>432</v>
      </c>
      <c r="BB2269" s="239" t="str">
        <f t="shared" si="633"/>
        <v>Atendimento ao usuário em geralx</v>
      </c>
      <c r="BC2269" s="239" t="str">
        <f t="shared" si="634"/>
        <v>Atendimento ao usuário em geralxainda não incorporado ao SisMob-BH</v>
      </c>
      <c r="BD2269" s="239" t="str">
        <f t="shared" si="635"/>
        <v>Atendimento ao usuário em geralainda não incorporado ao SisMob-BH</v>
      </c>
    </row>
    <row r="2270" spans="1:56" s="1" customFormat="1" x14ac:dyDescent="0.25">
      <c r="A2270" s="398"/>
      <c r="B2270" s="221"/>
      <c r="C2270" s="399"/>
      <c r="D2270" s="987"/>
      <c r="E2270" s="1533"/>
      <c r="F2270" s="405"/>
      <c r="G2270" s="405"/>
      <c r="H2270" s="399"/>
      <c r="I2270" s="405"/>
      <c r="J2270" s="221"/>
      <c r="K2270" s="403"/>
      <c r="L2270" s="403"/>
      <c r="M2270" s="403"/>
      <c r="N2270" s="403"/>
      <c r="O2270" s="403"/>
      <c r="P2270" s="403"/>
      <c r="Q2270" s="403"/>
      <c r="R2270" s="403"/>
      <c r="S2270" s="403"/>
      <c r="T2270" s="403"/>
      <c r="U2270" s="403"/>
      <c r="V2270" s="403"/>
      <c r="W2270" s="403"/>
      <c r="X2270" s="403"/>
      <c r="Y2270" s="403"/>
      <c r="Z2270" s="403"/>
      <c r="AA2270" s="403"/>
      <c r="AB2270" s="403"/>
      <c r="AC2270" s="403"/>
      <c r="AD2270" s="403"/>
      <c r="AE2270" s="403"/>
      <c r="AF2270" s="403"/>
      <c r="AG2270" s="403"/>
      <c r="AH2270" s="403"/>
      <c r="AI2270" s="403"/>
      <c r="AJ2270" s="403"/>
      <c r="AK2270" s="403"/>
      <c r="AL2270" s="403"/>
      <c r="AM2270" s="403"/>
      <c r="AN2270" s="223"/>
      <c r="AO2270" s="223"/>
      <c r="AP2270" s="223"/>
      <c r="AQ2270" s="223"/>
      <c r="AR2270" s="223"/>
      <c r="AS2270" s="223"/>
      <c r="AT2270" s="223"/>
      <c r="AU2270" s="223"/>
      <c r="AV2270" s="223"/>
      <c r="AW2270" s="223"/>
      <c r="AX2270" s="223"/>
      <c r="AY2270" s="223"/>
      <c r="AZ2270" s="223"/>
      <c r="BA2270" s="223"/>
      <c r="BB2270" s="400"/>
      <c r="BC2270" s="400"/>
      <c r="BD2270" s="400"/>
    </row>
    <row r="2271" spans="1:56" ht="46.5" customHeight="1" x14ac:dyDescent="0.25">
      <c r="A2271" s="275" t="str">
        <f>'Q100b-totais'!$B$65</f>
        <v>9.2</v>
      </c>
      <c r="B2271" s="53" t="str">
        <f>'Q100b-totais'!$C$65</f>
        <v>Estacionamento</v>
      </c>
      <c r="C2271" s="229" t="s">
        <v>2</v>
      </c>
      <c r="D2271" s="377" t="s">
        <v>2036</v>
      </c>
      <c r="E2271" s="1513" t="s">
        <v>1306</v>
      </c>
      <c r="F2271" s="338" t="s">
        <v>4141</v>
      </c>
      <c r="G2271" s="426" t="s">
        <v>425</v>
      </c>
      <c r="H2271" s="168" t="s">
        <v>432</v>
      </c>
      <c r="I2271" s="57">
        <v>1</v>
      </c>
      <c r="J2271" s="107" t="s">
        <v>432</v>
      </c>
      <c r="K2271" s="84" t="s">
        <v>432</v>
      </c>
      <c r="L2271" s="84" t="s">
        <v>432</v>
      </c>
      <c r="M2271" s="84" t="s">
        <v>432</v>
      </c>
      <c r="N2271" s="84" t="s">
        <v>432</v>
      </c>
      <c r="O2271" s="84" t="s">
        <v>432</v>
      </c>
      <c r="P2271" s="84" t="s">
        <v>432</v>
      </c>
      <c r="Q2271" s="84" t="s">
        <v>432</v>
      </c>
      <c r="R2271" s="84" t="s">
        <v>432</v>
      </c>
      <c r="S2271" s="109" t="s">
        <v>2209</v>
      </c>
      <c r="T2271" s="84" t="s">
        <v>432</v>
      </c>
      <c r="U2271" s="84" t="s">
        <v>432</v>
      </c>
      <c r="V2271" s="109" t="s">
        <v>2209</v>
      </c>
      <c r="W2271" s="86">
        <v>681239</v>
      </c>
      <c r="X2271" s="86">
        <v>731511</v>
      </c>
      <c r="Y2271" s="86">
        <v>778764</v>
      </c>
      <c r="Z2271" s="86">
        <v>985715</v>
      </c>
      <c r="AA2271" s="86">
        <v>965985</v>
      </c>
      <c r="AB2271" s="86">
        <v>952122</v>
      </c>
      <c r="AC2271" s="86">
        <v>1095961</v>
      </c>
      <c r="AD2271" s="86">
        <v>1206074</v>
      </c>
      <c r="AE2271" s="86">
        <v>1275856</v>
      </c>
      <c r="AF2271" s="86">
        <v>1355694</v>
      </c>
      <c r="AG2271" s="86">
        <v>1451421</v>
      </c>
      <c r="AH2271" s="86">
        <v>1690981</v>
      </c>
      <c r="AI2271" s="86">
        <v>1619711</v>
      </c>
      <c r="AJ2271" s="86">
        <f>18897552/12</f>
        <v>1574796</v>
      </c>
      <c r="AK2271" s="335">
        <f>19904756/12</f>
        <v>1658729.6666666667</v>
      </c>
      <c r="AL2271" s="601" t="s">
        <v>432</v>
      </c>
      <c r="AM2271" s="137" t="s">
        <v>432</v>
      </c>
      <c r="AN2271" s="137" t="s">
        <v>432</v>
      </c>
      <c r="AO2271" s="137" t="s">
        <v>432</v>
      </c>
      <c r="AP2271" s="137" t="s">
        <v>432</v>
      </c>
      <c r="AQ2271" s="137" t="s">
        <v>432</v>
      </c>
      <c r="AR2271" s="137" t="s">
        <v>432</v>
      </c>
      <c r="AS2271" s="137" t="s">
        <v>432</v>
      </c>
      <c r="AT2271" s="137" t="s">
        <v>432</v>
      </c>
      <c r="AU2271" s="137" t="s">
        <v>432</v>
      </c>
      <c r="AV2271" s="137" t="s">
        <v>432</v>
      </c>
      <c r="AW2271" s="137" t="s">
        <v>432</v>
      </c>
      <c r="AX2271" s="137" t="s">
        <v>432</v>
      </c>
      <c r="AY2271" s="137" t="s">
        <v>432</v>
      </c>
      <c r="AZ2271" s="137" t="s">
        <v>432</v>
      </c>
      <c r="BA2271" s="137" t="s">
        <v>432</v>
      </c>
      <c r="BB2271" s="239" t="str">
        <f t="shared" si="633"/>
        <v>Estacionamento-</v>
      </c>
      <c r="BC2271" s="239" t="str">
        <f t="shared" si="634"/>
        <v>Estacionamento-x</v>
      </c>
      <c r="BD2271" s="239" t="str">
        <f t="shared" si="635"/>
        <v>Estacionamentox</v>
      </c>
    </row>
    <row r="2272" spans="1:56" ht="87.75" customHeight="1" x14ac:dyDescent="0.25">
      <c r="A2272" s="275" t="str">
        <f>'Q100b-totais'!$B$65</f>
        <v>9.2</v>
      </c>
      <c r="B2272" s="53" t="str">
        <f>'Q100b-totais'!$C$65</f>
        <v>Estacionamento</v>
      </c>
      <c r="C2272" s="229" t="s">
        <v>2</v>
      </c>
      <c r="D2272" s="325" t="s">
        <v>2035</v>
      </c>
      <c r="E2272" s="1512" t="s">
        <v>1306</v>
      </c>
      <c r="F2272" s="15" t="s">
        <v>426</v>
      </c>
      <c r="G2272" s="450" t="s">
        <v>2037</v>
      </c>
      <c r="H2272" s="173" t="s">
        <v>2408</v>
      </c>
      <c r="I2272" s="167" t="s">
        <v>432</v>
      </c>
      <c r="J2272" s="109" t="s">
        <v>432</v>
      </c>
      <c r="K2272" s="109" t="s">
        <v>432</v>
      </c>
      <c r="L2272" s="109" t="s">
        <v>432</v>
      </c>
      <c r="M2272" s="109" t="s">
        <v>432</v>
      </c>
      <c r="N2272" s="109" t="s">
        <v>432</v>
      </c>
      <c r="O2272" s="109" t="s">
        <v>432</v>
      </c>
      <c r="P2272" s="109" t="s">
        <v>432</v>
      </c>
      <c r="Q2272" s="109" t="s">
        <v>432</v>
      </c>
      <c r="R2272" s="109" t="s">
        <v>432</v>
      </c>
      <c r="S2272" s="109" t="s">
        <v>2209</v>
      </c>
      <c r="T2272" s="109" t="s">
        <v>432</v>
      </c>
      <c r="U2272" s="109" t="s">
        <v>432</v>
      </c>
      <c r="V2272" s="109" t="s">
        <v>2209</v>
      </c>
      <c r="W2272" s="109" t="s">
        <v>432</v>
      </c>
      <c r="X2272" s="109" t="s">
        <v>432</v>
      </c>
      <c r="Y2272" s="109" t="s">
        <v>432</v>
      </c>
      <c r="Z2272" s="109" t="s">
        <v>432</v>
      </c>
      <c r="AA2272" s="109" t="s">
        <v>432</v>
      </c>
      <c r="AB2272" s="109" t="s">
        <v>432</v>
      </c>
      <c r="AC2272" s="109" t="s">
        <v>432</v>
      </c>
      <c r="AD2272" s="109" t="s">
        <v>432</v>
      </c>
      <c r="AE2272" s="109" t="s">
        <v>432</v>
      </c>
      <c r="AF2272" s="109" t="s">
        <v>432</v>
      </c>
      <c r="AG2272" s="109" t="s">
        <v>432</v>
      </c>
      <c r="AH2272" s="109" t="s">
        <v>432</v>
      </c>
      <c r="AI2272" s="109" t="s">
        <v>432</v>
      </c>
      <c r="AJ2272" s="109" t="s">
        <v>432</v>
      </c>
      <c r="AK2272" s="137" t="s">
        <v>432</v>
      </c>
      <c r="AL2272" s="601" t="s">
        <v>432</v>
      </c>
      <c r="AM2272" s="137" t="s">
        <v>432</v>
      </c>
      <c r="AN2272" s="137" t="s">
        <v>432</v>
      </c>
      <c r="AO2272" s="137" t="s">
        <v>432</v>
      </c>
      <c r="AP2272" s="137" t="s">
        <v>432</v>
      </c>
      <c r="AQ2272" s="137" t="s">
        <v>432</v>
      </c>
      <c r="AR2272" s="137" t="s">
        <v>432</v>
      </c>
      <c r="AS2272" s="137" t="s">
        <v>432</v>
      </c>
      <c r="AT2272" s="137" t="s">
        <v>432</v>
      </c>
      <c r="AU2272" s="137" t="s">
        <v>432</v>
      </c>
      <c r="AV2272" s="137" t="s">
        <v>432</v>
      </c>
      <c r="AW2272" s="137" t="s">
        <v>432</v>
      </c>
      <c r="AX2272" s="137" t="s">
        <v>432</v>
      </c>
      <c r="AY2272" s="137" t="s">
        <v>432</v>
      </c>
      <c r="AZ2272" s="137" t="s">
        <v>432</v>
      </c>
      <c r="BA2272" s="137" t="s">
        <v>432</v>
      </c>
      <c r="BB2272" s="239" t="str">
        <f t="shared" si="633"/>
        <v>Estacionamento-</v>
      </c>
      <c r="BC2272" s="239" t="str">
        <f t="shared" si="634"/>
        <v>Estacionamento-sigla/verbete</v>
      </c>
      <c r="BD2272" s="239" t="str">
        <f t="shared" si="635"/>
        <v>Estacionamentosigla/verbete</v>
      </c>
    </row>
    <row r="2273" spans="1:69" ht="114.75" customHeight="1" x14ac:dyDescent="0.25">
      <c r="A2273" s="275" t="str">
        <f>'Q100b-totais'!$B$65</f>
        <v>9.2</v>
      </c>
      <c r="B2273" s="53" t="str">
        <f>'Q100b-totais'!$C$65</f>
        <v>Estacionamento</v>
      </c>
      <c r="C2273" s="229" t="s">
        <v>2</v>
      </c>
      <c r="D2273" s="378" t="s">
        <v>2034</v>
      </c>
      <c r="E2273" s="1506" t="s">
        <v>1306</v>
      </c>
      <c r="F2273" s="338" t="s">
        <v>4148</v>
      </c>
      <c r="G2273" s="426" t="s">
        <v>427</v>
      </c>
      <c r="H2273" s="168" t="s">
        <v>432</v>
      </c>
      <c r="I2273" s="167">
        <v>1</v>
      </c>
      <c r="J2273" s="107" t="s">
        <v>432</v>
      </c>
      <c r="K2273" s="84" t="s">
        <v>432</v>
      </c>
      <c r="L2273" s="84" t="s">
        <v>432</v>
      </c>
      <c r="M2273" s="84" t="s">
        <v>432</v>
      </c>
      <c r="N2273" s="84" t="s">
        <v>432</v>
      </c>
      <c r="O2273" s="84" t="s">
        <v>432</v>
      </c>
      <c r="P2273" s="84" t="s">
        <v>432</v>
      </c>
      <c r="Q2273" s="84" t="s">
        <v>432</v>
      </c>
      <c r="R2273" s="84" t="s">
        <v>432</v>
      </c>
      <c r="S2273" s="109" t="s">
        <v>2209</v>
      </c>
      <c r="T2273" s="84" t="s">
        <v>432</v>
      </c>
      <c r="U2273" s="84" t="s">
        <v>432</v>
      </c>
      <c r="V2273" s="109" t="s">
        <v>2209</v>
      </c>
      <c r="W2273" s="91">
        <v>56.02</v>
      </c>
      <c r="X2273" s="91">
        <v>52.39</v>
      </c>
      <c r="Y2273" s="91">
        <v>58.54</v>
      </c>
      <c r="Z2273" s="91">
        <v>59.97</v>
      </c>
      <c r="AA2273" s="91">
        <v>61.61</v>
      </c>
      <c r="AB2273" s="91">
        <v>64.599999999999994</v>
      </c>
      <c r="AC2273" s="91">
        <v>59.24</v>
      </c>
      <c r="AD2273" s="91">
        <v>66.66</v>
      </c>
      <c r="AE2273" s="91">
        <v>69.760000000000005</v>
      </c>
      <c r="AF2273" s="91">
        <v>75.31</v>
      </c>
      <c r="AG2273" s="91">
        <v>75.099999999999994</v>
      </c>
      <c r="AH2273" s="91">
        <v>77.13</v>
      </c>
      <c r="AI2273" s="91">
        <v>80.09</v>
      </c>
      <c r="AJ2273" s="91">
        <v>78.86</v>
      </c>
      <c r="AK2273" s="91">
        <v>78.760000000000005</v>
      </c>
      <c r="AL2273" s="601" t="s">
        <v>432</v>
      </c>
      <c r="AM2273" s="137" t="s">
        <v>432</v>
      </c>
      <c r="AN2273" s="137" t="s">
        <v>432</v>
      </c>
      <c r="AO2273" s="137" t="s">
        <v>432</v>
      </c>
      <c r="AP2273" s="137" t="s">
        <v>432</v>
      </c>
      <c r="AQ2273" s="137" t="s">
        <v>432</v>
      </c>
      <c r="AR2273" s="137" t="s">
        <v>432</v>
      </c>
      <c r="AS2273" s="137" t="s">
        <v>432</v>
      </c>
      <c r="AT2273" s="137" t="s">
        <v>432</v>
      </c>
      <c r="AU2273" s="137" t="s">
        <v>432</v>
      </c>
      <c r="AV2273" s="137" t="s">
        <v>432</v>
      </c>
      <c r="AW2273" s="137" t="s">
        <v>432</v>
      </c>
      <c r="AX2273" s="137" t="s">
        <v>432</v>
      </c>
      <c r="AY2273" s="137" t="s">
        <v>432</v>
      </c>
      <c r="AZ2273" s="137" t="s">
        <v>432</v>
      </c>
      <c r="BA2273" s="137" t="s">
        <v>432</v>
      </c>
      <c r="BB2273" s="239" t="str">
        <f t="shared" si="633"/>
        <v>Estacionamento-</v>
      </c>
      <c r="BC2273" s="239" t="str">
        <f t="shared" si="634"/>
        <v>Estacionamento-x</v>
      </c>
      <c r="BD2273" s="239" t="str">
        <f t="shared" si="635"/>
        <v>Estacionamentox</v>
      </c>
    </row>
    <row r="2274" spans="1:69" ht="114.75" customHeight="1" x14ac:dyDescent="0.25">
      <c r="A2274" s="275" t="str">
        <f>'Q100b-totais'!$B$65</f>
        <v>9.2</v>
      </c>
      <c r="B2274" s="53" t="str">
        <f>'Q100b-totais'!$C$65</f>
        <v>Estacionamento</v>
      </c>
      <c r="C2274" s="229" t="s">
        <v>2</v>
      </c>
      <c r="D2274" s="325" t="s">
        <v>2033</v>
      </c>
      <c r="E2274" s="1512" t="s">
        <v>1306</v>
      </c>
      <c r="F2274" s="15" t="s">
        <v>4147</v>
      </c>
      <c r="G2274" s="423" t="s">
        <v>428</v>
      </c>
      <c r="H2274" s="168" t="s">
        <v>432</v>
      </c>
      <c r="I2274" s="167">
        <v>1</v>
      </c>
      <c r="J2274" s="107" t="s">
        <v>432</v>
      </c>
      <c r="K2274" s="84" t="s">
        <v>432</v>
      </c>
      <c r="L2274" s="84" t="s">
        <v>432</v>
      </c>
      <c r="M2274" s="84" t="s">
        <v>432</v>
      </c>
      <c r="N2274" s="84" t="s">
        <v>432</v>
      </c>
      <c r="O2274" s="84" t="s">
        <v>432</v>
      </c>
      <c r="P2274" s="84" t="s">
        <v>432</v>
      </c>
      <c r="Q2274" s="84" t="s">
        <v>432</v>
      </c>
      <c r="R2274" s="84" t="s">
        <v>432</v>
      </c>
      <c r="S2274" s="109" t="s">
        <v>2209</v>
      </c>
      <c r="T2274" s="84" t="s">
        <v>432</v>
      </c>
      <c r="U2274" s="84" t="s">
        <v>432</v>
      </c>
      <c r="V2274" s="109" t="s">
        <v>2209</v>
      </c>
      <c r="W2274" s="84">
        <v>53.89</v>
      </c>
      <c r="X2274" s="84">
        <v>55.03</v>
      </c>
      <c r="Y2274" s="84">
        <v>52.82</v>
      </c>
      <c r="Z2274" s="84">
        <v>54.88</v>
      </c>
      <c r="AA2274" s="83">
        <v>55.7</v>
      </c>
      <c r="AB2274" s="84">
        <v>63.42</v>
      </c>
      <c r="AC2274" s="84">
        <v>64.459999999999994</v>
      </c>
      <c r="AD2274" s="84">
        <v>70.040000000000006</v>
      </c>
      <c r="AE2274" s="83">
        <v>75.92</v>
      </c>
      <c r="AF2274" s="83">
        <v>76.010000000000005</v>
      </c>
      <c r="AG2274" s="83">
        <v>78.739999999999995</v>
      </c>
      <c r="AH2274" s="83">
        <v>74.260000000000005</v>
      </c>
      <c r="AI2274" s="83">
        <v>76.36</v>
      </c>
      <c r="AJ2274" s="83">
        <v>71.37</v>
      </c>
      <c r="AK2274" s="83">
        <v>66.73</v>
      </c>
      <c r="AL2274" s="601" t="s">
        <v>432</v>
      </c>
      <c r="AM2274" s="137" t="s">
        <v>432</v>
      </c>
      <c r="AN2274" s="137" t="s">
        <v>432</v>
      </c>
      <c r="AO2274" s="137" t="s">
        <v>432</v>
      </c>
      <c r="AP2274" s="137" t="s">
        <v>432</v>
      </c>
      <c r="AQ2274" s="137" t="s">
        <v>432</v>
      </c>
      <c r="AR2274" s="137" t="s">
        <v>432</v>
      </c>
      <c r="AS2274" s="137" t="s">
        <v>432</v>
      </c>
      <c r="AT2274" s="137" t="s">
        <v>432</v>
      </c>
      <c r="AU2274" s="137" t="s">
        <v>432</v>
      </c>
      <c r="AV2274" s="137" t="s">
        <v>432</v>
      </c>
      <c r="AW2274" s="137" t="s">
        <v>432</v>
      </c>
      <c r="AX2274" s="137" t="s">
        <v>432</v>
      </c>
      <c r="AY2274" s="137" t="s">
        <v>432</v>
      </c>
      <c r="AZ2274" s="137" t="s">
        <v>432</v>
      </c>
      <c r="BA2274" s="137" t="s">
        <v>432</v>
      </c>
      <c r="BB2274" s="239" t="str">
        <f t="shared" si="633"/>
        <v>Estacionamento-</v>
      </c>
      <c r="BC2274" s="239" t="str">
        <f t="shared" si="634"/>
        <v>Estacionamento-x</v>
      </c>
      <c r="BD2274" s="239" t="str">
        <f t="shared" si="635"/>
        <v>Estacionamentox</v>
      </c>
    </row>
    <row r="2275" spans="1:69" ht="63.75" customHeight="1" x14ac:dyDescent="0.25">
      <c r="A2275" s="275" t="str">
        <f>'Q100b-totais'!$B$65</f>
        <v>9.2</v>
      </c>
      <c r="B2275" s="53" t="str">
        <f>'Q100b-totais'!$C$65</f>
        <v>Estacionamento</v>
      </c>
      <c r="C2275" s="229" t="s">
        <v>2</v>
      </c>
      <c r="D2275" s="377" t="s">
        <v>2032</v>
      </c>
      <c r="E2275" s="1513" t="s">
        <v>1306</v>
      </c>
      <c r="F2275" s="338" t="s">
        <v>4143</v>
      </c>
      <c r="G2275" s="110" t="s">
        <v>77</v>
      </c>
      <c r="H2275" s="168" t="s">
        <v>432</v>
      </c>
      <c r="I2275" s="167">
        <v>1</v>
      </c>
      <c r="J2275" s="107" t="s">
        <v>432</v>
      </c>
      <c r="K2275" s="84" t="s">
        <v>432</v>
      </c>
      <c r="L2275" s="84" t="s">
        <v>432</v>
      </c>
      <c r="M2275" s="84" t="s">
        <v>432</v>
      </c>
      <c r="N2275" s="84" t="s">
        <v>432</v>
      </c>
      <c r="O2275" s="84" t="s">
        <v>432</v>
      </c>
      <c r="P2275" s="84" t="s">
        <v>432</v>
      </c>
      <c r="Q2275" s="84" t="s">
        <v>432</v>
      </c>
      <c r="R2275" s="84" t="s">
        <v>432</v>
      </c>
      <c r="S2275" s="109" t="s">
        <v>2209</v>
      </c>
      <c r="T2275" s="84" t="s">
        <v>432</v>
      </c>
      <c r="U2275" s="84" t="s">
        <v>432</v>
      </c>
      <c r="V2275" s="109" t="s">
        <v>2209</v>
      </c>
      <c r="W2275" s="93">
        <v>446</v>
      </c>
      <c r="X2275" s="93">
        <v>442</v>
      </c>
      <c r="Y2275" s="93">
        <v>445</v>
      </c>
      <c r="Z2275" s="93">
        <v>477</v>
      </c>
      <c r="AA2275" s="93">
        <v>475</v>
      </c>
      <c r="AB2275" s="94">
        <v>503</v>
      </c>
      <c r="AC2275" s="93">
        <v>523</v>
      </c>
      <c r="AD2275" s="94">
        <v>604</v>
      </c>
      <c r="AE2275" s="94">
        <v>632</v>
      </c>
      <c r="AF2275" s="93">
        <v>711</v>
      </c>
      <c r="AG2275" s="94">
        <v>775</v>
      </c>
      <c r="AH2275" s="94">
        <v>795</v>
      </c>
      <c r="AI2275" s="94">
        <v>791</v>
      </c>
      <c r="AJ2275" s="94">
        <v>815</v>
      </c>
      <c r="AK2275" s="94">
        <v>817</v>
      </c>
      <c r="AL2275" s="601" t="s">
        <v>432</v>
      </c>
      <c r="AM2275" s="137" t="s">
        <v>432</v>
      </c>
      <c r="AN2275" s="137" t="s">
        <v>432</v>
      </c>
      <c r="AO2275" s="137" t="s">
        <v>432</v>
      </c>
      <c r="AP2275" s="137" t="s">
        <v>432</v>
      </c>
      <c r="AQ2275" s="137" t="s">
        <v>432</v>
      </c>
      <c r="AR2275" s="137" t="s">
        <v>432</v>
      </c>
      <c r="AS2275" s="137" t="s">
        <v>432</v>
      </c>
      <c r="AT2275" s="137" t="s">
        <v>432</v>
      </c>
      <c r="AU2275" s="137" t="s">
        <v>432</v>
      </c>
      <c r="AV2275" s="137" t="s">
        <v>432</v>
      </c>
      <c r="AW2275" s="137" t="s">
        <v>432</v>
      </c>
      <c r="AX2275" s="137" t="s">
        <v>432</v>
      </c>
      <c r="AY2275" s="137" t="s">
        <v>432</v>
      </c>
      <c r="AZ2275" s="137" t="s">
        <v>432</v>
      </c>
      <c r="BA2275" s="137" t="s">
        <v>432</v>
      </c>
      <c r="BB2275" s="239" t="str">
        <f t="shared" si="633"/>
        <v>Estacionamento-</v>
      </c>
      <c r="BC2275" s="239" t="str">
        <f t="shared" si="634"/>
        <v>Estacionamento-x</v>
      </c>
      <c r="BD2275" s="239" t="str">
        <f t="shared" si="635"/>
        <v>Estacionamentox</v>
      </c>
      <c r="BM2275" s="46"/>
      <c r="BN2275" s="46"/>
      <c r="BO2275" s="46"/>
      <c r="BP2275" s="46"/>
      <c r="BQ2275" s="46"/>
    </row>
    <row r="2276" spans="1:69" ht="114.75" customHeight="1" x14ac:dyDescent="0.25">
      <c r="A2276" s="275" t="str">
        <f>'Q100b-totais'!$B$65</f>
        <v>9.2</v>
      </c>
      <c r="B2276" s="53" t="str">
        <f>'Q100b-totais'!$C$65</f>
        <v>Estacionamento</v>
      </c>
      <c r="C2276" s="229" t="s">
        <v>2</v>
      </c>
      <c r="D2276" s="377" t="s">
        <v>2031</v>
      </c>
      <c r="E2276" s="1513" t="s">
        <v>1306</v>
      </c>
      <c r="F2276" s="338" t="s">
        <v>4146</v>
      </c>
      <c r="G2276" s="423" t="s">
        <v>429</v>
      </c>
      <c r="H2276" s="168" t="s">
        <v>432</v>
      </c>
      <c r="I2276" s="167">
        <v>1</v>
      </c>
      <c r="J2276" s="107" t="s">
        <v>432</v>
      </c>
      <c r="K2276" s="84" t="s">
        <v>432</v>
      </c>
      <c r="L2276" s="84" t="s">
        <v>432</v>
      </c>
      <c r="M2276" s="84" t="s">
        <v>432</v>
      </c>
      <c r="N2276" s="84" t="s">
        <v>432</v>
      </c>
      <c r="O2276" s="84" t="s">
        <v>432</v>
      </c>
      <c r="P2276" s="84" t="s">
        <v>432</v>
      </c>
      <c r="Q2276" s="84" t="s">
        <v>432</v>
      </c>
      <c r="R2276" s="84" t="s">
        <v>432</v>
      </c>
      <c r="S2276" s="109" t="s">
        <v>2209</v>
      </c>
      <c r="T2276" s="84" t="s">
        <v>432</v>
      </c>
      <c r="U2276" s="84" t="s">
        <v>432</v>
      </c>
      <c r="V2276" s="109" t="s">
        <v>2209</v>
      </c>
      <c r="W2276" s="84">
        <v>3.35</v>
      </c>
      <c r="X2276" s="84">
        <v>3.49</v>
      </c>
      <c r="Y2276" s="84">
        <v>3.62</v>
      </c>
      <c r="Z2276" s="84">
        <v>3.98</v>
      </c>
      <c r="AA2276" s="84">
        <v>3.73</v>
      </c>
      <c r="AB2276" s="84">
        <v>3.58</v>
      </c>
      <c r="AC2276" s="84">
        <v>3.36</v>
      </c>
      <c r="AD2276" s="84">
        <v>3.82</v>
      </c>
      <c r="AE2276" s="83">
        <v>3.93</v>
      </c>
      <c r="AF2276" s="83">
        <v>3.65</v>
      </c>
      <c r="AG2276" s="83">
        <v>3.52</v>
      </c>
      <c r="AH2276" s="83">
        <v>3.34</v>
      </c>
      <c r="AI2276" s="83">
        <v>3.13</v>
      </c>
      <c r="AJ2276" s="83">
        <v>2.92</v>
      </c>
      <c r="AK2276" s="83">
        <v>2.57</v>
      </c>
      <c r="AL2276" s="601" t="s">
        <v>432</v>
      </c>
      <c r="AM2276" s="137" t="s">
        <v>432</v>
      </c>
      <c r="AN2276" s="137" t="s">
        <v>432</v>
      </c>
      <c r="AO2276" s="137" t="s">
        <v>432</v>
      </c>
      <c r="AP2276" s="137" t="s">
        <v>432</v>
      </c>
      <c r="AQ2276" s="137" t="s">
        <v>432</v>
      </c>
      <c r="AR2276" s="137" t="s">
        <v>432</v>
      </c>
      <c r="AS2276" s="137" t="s">
        <v>432</v>
      </c>
      <c r="AT2276" s="137" t="s">
        <v>432</v>
      </c>
      <c r="AU2276" s="137" t="s">
        <v>432</v>
      </c>
      <c r="AV2276" s="137" t="s">
        <v>432</v>
      </c>
      <c r="AW2276" s="137" t="s">
        <v>432</v>
      </c>
      <c r="AX2276" s="137" t="s">
        <v>432</v>
      </c>
      <c r="AY2276" s="137" t="s">
        <v>432</v>
      </c>
      <c r="AZ2276" s="137" t="s">
        <v>432</v>
      </c>
      <c r="BA2276" s="137" t="s">
        <v>432</v>
      </c>
      <c r="BB2276" s="239" t="str">
        <f t="shared" si="633"/>
        <v>Estacionamento-</v>
      </c>
      <c r="BC2276" s="239" t="str">
        <f t="shared" si="634"/>
        <v>Estacionamento-x</v>
      </c>
      <c r="BD2276" s="239" t="str">
        <f t="shared" si="635"/>
        <v>Estacionamentox</v>
      </c>
      <c r="BM2276" s="68"/>
      <c r="BN2276" s="68"/>
      <c r="BO2276" s="68"/>
      <c r="BP2276" s="46"/>
      <c r="BQ2276" s="46"/>
    </row>
    <row r="2277" spans="1:69" ht="38.25" customHeight="1" x14ac:dyDescent="0.25">
      <c r="A2277" s="275" t="str">
        <f>'Q100b-totais'!$B$65</f>
        <v>9.2</v>
      </c>
      <c r="B2277" s="53" t="str">
        <f>'Q100b-totais'!$C$65</f>
        <v>Estacionamento</v>
      </c>
      <c r="C2277" s="229" t="s">
        <v>2</v>
      </c>
      <c r="D2277" s="377" t="s">
        <v>2030</v>
      </c>
      <c r="E2277" s="1513" t="s">
        <v>1306</v>
      </c>
      <c r="F2277" s="338" t="s">
        <v>4142</v>
      </c>
      <c r="G2277" s="110" t="s">
        <v>77</v>
      </c>
      <c r="H2277" s="168" t="s">
        <v>432</v>
      </c>
      <c r="I2277" s="167">
        <v>1</v>
      </c>
      <c r="J2277" s="107" t="s">
        <v>432</v>
      </c>
      <c r="K2277" s="84" t="s">
        <v>432</v>
      </c>
      <c r="L2277" s="84" t="s">
        <v>432</v>
      </c>
      <c r="M2277" s="84" t="s">
        <v>432</v>
      </c>
      <c r="N2277" s="84" t="s">
        <v>432</v>
      </c>
      <c r="O2277" s="84" t="s">
        <v>432</v>
      </c>
      <c r="P2277" s="84" t="s">
        <v>432</v>
      </c>
      <c r="Q2277" s="84" t="s">
        <v>432</v>
      </c>
      <c r="R2277" s="84" t="s">
        <v>432</v>
      </c>
      <c r="S2277" s="109" t="s">
        <v>2209</v>
      </c>
      <c r="T2277" s="84" t="s">
        <v>432</v>
      </c>
      <c r="U2277" s="84" t="s">
        <v>432</v>
      </c>
      <c r="V2277" s="109" t="s">
        <v>2209</v>
      </c>
      <c r="W2277" s="86">
        <v>549520</v>
      </c>
      <c r="X2277" s="86">
        <v>585209</v>
      </c>
      <c r="Y2277" s="86">
        <v>496995</v>
      </c>
      <c r="Z2277" s="86">
        <v>591429</v>
      </c>
      <c r="AA2277" s="86">
        <v>579591</v>
      </c>
      <c r="AB2277" s="86">
        <v>571073</v>
      </c>
      <c r="AC2277" s="86">
        <v>580569</v>
      </c>
      <c r="AD2277" s="86">
        <v>605732</v>
      </c>
      <c r="AE2277" s="86">
        <v>608773</v>
      </c>
      <c r="AF2277" s="86">
        <v>612265</v>
      </c>
      <c r="AG2277" s="86">
        <v>645076</v>
      </c>
      <c r="AH2277" s="86">
        <v>700777</v>
      </c>
      <c r="AI2277" s="86">
        <v>639170</v>
      </c>
      <c r="AJ2277" s="86">
        <v>579651</v>
      </c>
      <c r="AK2277" s="335">
        <v>553890</v>
      </c>
      <c r="AL2277" s="601" t="s">
        <v>432</v>
      </c>
      <c r="AM2277" s="137" t="s">
        <v>432</v>
      </c>
      <c r="AN2277" s="137" t="s">
        <v>432</v>
      </c>
      <c r="AO2277" s="137" t="s">
        <v>432</v>
      </c>
      <c r="AP2277" s="137" t="s">
        <v>432</v>
      </c>
      <c r="AQ2277" s="137" t="s">
        <v>432</v>
      </c>
      <c r="AR2277" s="137" t="s">
        <v>432</v>
      </c>
      <c r="AS2277" s="137" t="s">
        <v>432</v>
      </c>
      <c r="AT2277" s="137" t="s">
        <v>432</v>
      </c>
      <c r="AU2277" s="137" t="s">
        <v>432</v>
      </c>
      <c r="AV2277" s="137" t="s">
        <v>432</v>
      </c>
      <c r="AW2277" s="137" t="s">
        <v>432</v>
      </c>
      <c r="AX2277" s="137" t="s">
        <v>432</v>
      </c>
      <c r="AY2277" s="137" t="s">
        <v>432</v>
      </c>
      <c r="AZ2277" s="137" t="s">
        <v>432</v>
      </c>
      <c r="BA2277" s="137" t="s">
        <v>432</v>
      </c>
      <c r="BB2277" s="239" t="str">
        <f t="shared" si="633"/>
        <v>Estacionamento-</v>
      </c>
      <c r="BC2277" s="239" t="str">
        <f t="shared" si="634"/>
        <v>Estacionamento-x</v>
      </c>
      <c r="BD2277" s="239" t="str">
        <f t="shared" si="635"/>
        <v>Estacionamentox</v>
      </c>
      <c r="BM2277" s="68"/>
      <c r="BN2277" s="68"/>
      <c r="BO2277" s="68"/>
    </row>
    <row r="2278" spans="1:69" ht="99.75" customHeight="1" x14ac:dyDescent="0.25">
      <c r="A2278" s="275" t="str">
        <f>'Q100b-totais'!$B$65</f>
        <v>9.2</v>
      </c>
      <c r="B2278" s="53" t="str">
        <f>'Q100b-totais'!$C$65</f>
        <v>Estacionamento</v>
      </c>
      <c r="C2278" s="229" t="s">
        <v>2</v>
      </c>
      <c r="D2278" s="325" t="s">
        <v>2029</v>
      </c>
      <c r="E2278" s="1512" t="s">
        <v>1306</v>
      </c>
      <c r="F2278" s="15" t="s">
        <v>4149</v>
      </c>
      <c r="G2278" s="423" t="s">
        <v>430</v>
      </c>
      <c r="H2278" s="168" t="s">
        <v>432</v>
      </c>
      <c r="I2278" s="167">
        <v>1</v>
      </c>
      <c r="J2278" s="107" t="s">
        <v>432</v>
      </c>
      <c r="K2278" s="84" t="s">
        <v>432</v>
      </c>
      <c r="L2278" s="84" t="s">
        <v>432</v>
      </c>
      <c r="M2278" s="84" t="s">
        <v>432</v>
      </c>
      <c r="N2278" s="84" t="s">
        <v>432</v>
      </c>
      <c r="O2278" s="84" t="s">
        <v>432</v>
      </c>
      <c r="P2278" s="84" t="s">
        <v>432</v>
      </c>
      <c r="Q2278" s="84" t="s">
        <v>432</v>
      </c>
      <c r="R2278" s="84" t="s">
        <v>432</v>
      </c>
      <c r="S2278" s="109" t="s">
        <v>2209</v>
      </c>
      <c r="T2278" s="84" t="s">
        <v>432</v>
      </c>
      <c r="U2278" s="84" t="s">
        <v>432</v>
      </c>
      <c r="V2278" s="109" t="s">
        <v>2209</v>
      </c>
      <c r="W2278" s="86">
        <v>40939</v>
      </c>
      <c r="X2278" s="86">
        <v>40621</v>
      </c>
      <c r="Y2278" s="86">
        <v>42823</v>
      </c>
      <c r="Z2278" s="86">
        <v>48114</v>
      </c>
      <c r="AA2278" s="86">
        <v>38407</v>
      </c>
      <c r="AB2278" s="86">
        <v>45715</v>
      </c>
      <c r="AC2278" s="86">
        <v>43674</v>
      </c>
      <c r="AD2278" s="86">
        <v>56852</v>
      </c>
      <c r="AE2278" s="86">
        <v>57895</v>
      </c>
      <c r="AF2278" s="86">
        <v>62460</v>
      </c>
      <c r="AG2278" s="86">
        <v>66467</v>
      </c>
      <c r="AH2278" s="86">
        <v>66983</v>
      </c>
      <c r="AI2278" s="86">
        <v>63627</v>
      </c>
      <c r="AJ2278" s="86">
        <v>58344</v>
      </c>
      <c r="AK2278" s="86">
        <v>52163</v>
      </c>
      <c r="AL2278" s="601" t="s">
        <v>432</v>
      </c>
      <c r="AM2278" s="137" t="s">
        <v>432</v>
      </c>
      <c r="AN2278" s="137" t="s">
        <v>432</v>
      </c>
      <c r="AO2278" s="137" t="s">
        <v>432</v>
      </c>
      <c r="AP2278" s="137" t="s">
        <v>432</v>
      </c>
      <c r="AQ2278" s="137" t="s">
        <v>432</v>
      </c>
      <c r="AR2278" s="137" t="s">
        <v>432</v>
      </c>
      <c r="AS2278" s="137" t="s">
        <v>432</v>
      </c>
      <c r="AT2278" s="137" t="s">
        <v>432</v>
      </c>
      <c r="AU2278" s="137" t="s">
        <v>432</v>
      </c>
      <c r="AV2278" s="137" t="s">
        <v>432</v>
      </c>
      <c r="AW2278" s="137" t="s">
        <v>432</v>
      </c>
      <c r="AX2278" s="137" t="s">
        <v>432</v>
      </c>
      <c r="AY2278" s="137" t="s">
        <v>432</v>
      </c>
      <c r="AZ2278" s="137" t="s">
        <v>432</v>
      </c>
      <c r="BA2278" s="137" t="s">
        <v>432</v>
      </c>
      <c r="BB2278" s="239" t="str">
        <f t="shared" si="633"/>
        <v>Estacionamento-</v>
      </c>
      <c r="BC2278" s="239" t="str">
        <f t="shared" si="634"/>
        <v>Estacionamento-x</v>
      </c>
      <c r="BD2278" s="239" t="str">
        <f t="shared" si="635"/>
        <v>Estacionamentox</v>
      </c>
      <c r="BM2278" s="68"/>
      <c r="BN2278" s="68"/>
      <c r="BO2278" s="68"/>
    </row>
    <row r="2279" spans="1:69" ht="45" customHeight="1" x14ac:dyDescent="0.25">
      <c r="A2279" s="275" t="str">
        <f>'Q100b-totais'!$B$65</f>
        <v>9.2</v>
      </c>
      <c r="B2279" s="53" t="str">
        <f>'Q100b-totais'!$C$65</f>
        <v>Estacionamento</v>
      </c>
      <c r="C2279" s="229" t="s">
        <v>432</v>
      </c>
      <c r="D2279" s="377" t="s">
        <v>3583</v>
      </c>
      <c r="E2279" s="1513" t="s">
        <v>1306</v>
      </c>
      <c r="F2279" s="338" t="s">
        <v>4144</v>
      </c>
      <c r="G2279" s="110" t="s">
        <v>77</v>
      </c>
      <c r="H2279" s="168" t="s">
        <v>432</v>
      </c>
      <c r="I2279" s="167">
        <v>1</v>
      </c>
      <c r="J2279" s="107" t="s">
        <v>432</v>
      </c>
      <c r="K2279" s="84" t="s">
        <v>432</v>
      </c>
      <c r="L2279" s="84" t="s">
        <v>432</v>
      </c>
      <c r="M2279" s="84" t="s">
        <v>432</v>
      </c>
      <c r="N2279" s="84" t="s">
        <v>432</v>
      </c>
      <c r="O2279" s="84" t="s">
        <v>432</v>
      </c>
      <c r="P2279" s="84" t="s">
        <v>432</v>
      </c>
      <c r="Q2279" s="84" t="s">
        <v>432</v>
      </c>
      <c r="R2279" s="84" t="s">
        <v>432</v>
      </c>
      <c r="S2279" s="109" t="s">
        <v>2209</v>
      </c>
      <c r="T2279" s="84" t="s">
        <v>432</v>
      </c>
      <c r="U2279" s="84" t="s">
        <v>432</v>
      </c>
      <c r="V2279" s="109" t="s">
        <v>2209</v>
      </c>
      <c r="W2279" s="86">
        <v>12387</v>
      </c>
      <c r="X2279" s="86">
        <v>12243</v>
      </c>
      <c r="Y2279" s="86">
        <v>11956</v>
      </c>
      <c r="Z2279" s="86">
        <v>12166</v>
      </c>
      <c r="AA2279" s="86">
        <v>12172</v>
      </c>
      <c r="AB2279" s="86">
        <v>13039</v>
      </c>
      <c r="AC2279" s="86">
        <v>13563</v>
      </c>
      <c r="AD2279" s="86">
        <v>15340</v>
      </c>
      <c r="AE2279" s="86">
        <v>16099</v>
      </c>
      <c r="AF2279" s="86">
        <v>18685</v>
      </c>
      <c r="AG2279" s="86">
        <v>20619</v>
      </c>
      <c r="AH2279" s="86">
        <v>20806</v>
      </c>
      <c r="AI2279" s="86">
        <v>20828</v>
      </c>
      <c r="AJ2279" s="86">
        <v>21071</v>
      </c>
      <c r="AK2279" s="335">
        <v>21272</v>
      </c>
      <c r="AL2279" s="601" t="s">
        <v>432</v>
      </c>
      <c r="AM2279" s="137" t="s">
        <v>432</v>
      </c>
      <c r="AN2279" s="137" t="s">
        <v>432</v>
      </c>
      <c r="AO2279" s="137" t="s">
        <v>432</v>
      </c>
      <c r="AP2279" s="137" t="s">
        <v>432</v>
      </c>
      <c r="AQ2279" s="137" t="s">
        <v>432</v>
      </c>
      <c r="AR2279" s="137" t="s">
        <v>432</v>
      </c>
      <c r="AS2279" s="137" t="s">
        <v>432</v>
      </c>
      <c r="AT2279" s="137" t="s">
        <v>432</v>
      </c>
      <c r="AU2279" s="137" t="s">
        <v>432</v>
      </c>
      <c r="AV2279" s="137" t="s">
        <v>432</v>
      </c>
      <c r="AW2279" s="137" t="s">
        <v>432</v>
      </c>
      <c r="AX2279" s="137" t="s">
        <v>432</v>
      </c>
      <c r="AY2279" s="137" t="s">
        <v>432</v>
      </c>
      <c r="AZ2279" s="137" t="s">
        <v>432</v>
      </c>
      <c r="BA2279" s="137" t="s">
        <v>432</v>
      </c>
      <c r="BB2279" s="239" t="str">
        <f t="shared" si="633"/>
        <v>Estacionamentox</v>
      </c>
      <c r="BC2279" s="239" t="str">
        <f t="shared" si="634"/>
        <v>Estacionamentoxx</v>
      </c>
      <c r="BD2279" s="239" t="str">
        <f t="shared" si="635"/>
        <v>Estacionamentox</v>
      </c>
      <c r="BM2279" s="68"/>
      <c r="BN2279" s="68"/>
      <c r="BO2279" s="68"/>
    </row>
    <row r="2280" spans="1:69" ht="43.5" customHeight="1" x14ac:dyDescent="0.25">
      <c r="A2280" s="275" t="str">
        <f>'Q100b-totais'!$B$65</f>
        <v>9.2</v>
      </c>
      <c r="B2280" s="53" t="str">
        <f>'Q100b-totais'!$C$65</f>
        <v>Estacionamento</v>
      </c>
      <c r="C2280" s="230" t="s">
        <v>743</v>
      </c>
      <c r="D2280" s="325" t="s">
        <v>3584</v>
      </c>
      <c r="E2280" s="1512" t="s">
        <v>1306</v>
      </c>
      <c r="F2280" s="15" t="s">
        <v>4485</v>
      </c>
      <c r="G2280" s="110" t="s">
        <v>77</v>
      </c>
      <c r="H2280" s="168" t="s">
        <v>432</v>
      </c>
      <c r="I2280" s="57">
        <v>1</v>
      </c>
      <c r="J2280" s="107" t="s">
        <v>432</v>
      </c>
      <c r="K2280" s="137" t="s">
        <v>432</v>
      </c>
      <c r="L2280" s="137" t="s">
        <v>432</v>
      </c>
      <c r="M2280" s="137" t="s">
        <v>432</v>
      </c>
      <c r="N2280" s="137" t="s">
        <v>432</v>
      </c>
      <c r="O2280" s="137" t="s">
        <v>432</v>
      </c>
      <c r="P2280" s="137" t="s">
        <v>432</v>
      </c>
      <c r="Q2280" s="137" t="s">
        <v>432</v>
      </c>
      <c r="R2280" s="137" t="s">
        <v>432</v>
      </c>
      <c r="S2280" s="109" t="s">
        <v>2209</v>
      </c>
      <c r="T2280" s="137" t="s">
        <v>432</v>
      </c>
      <c r="U2280" s="137" t="s">
        <v>432</v>
      </c>
      <c r="V2280" s="109" t="s">
        <v>2209</v>
      </c>
      <c r="W2280" s="84" t="s">
        <v>432</v>
      </c>
      <c r="X2280" s="84">
        <v>77</v>
      </c>
      <c r="Y2280" s="84">
        <v>154</v>
      </c>
      <c r="Z2280" s="84">
        <v>282</v>
      </c>
      <c r="AA2280" s="84">
        <v>286</v>
      </c>
      <c r="AB2280" s="84">
        <v>290</v>
      </c>
      <c r="AC2280" s="84">
        <v>302</v>
      </c>
      <c r="AD2280" s="84">
        <v>322</v>
      </c>
      <c r="AE2280" s="84">
        <v>339</v>
      </c>
      <c r="AF2280" s="84">
        <v>364</v>
      </c>
      <c r="AG2280" s="84">
        <v>396</v>
      </c>
      <c r="AH2280" s="84">
        <v>423</v>
      </c>
      <c r="AI2280" s="84">
        <v>433</v>
      </c>
      <c r="AJ2280" s="84">
        <v>451</v>
      </c>
      <c r="AK2280" s="84">
        <v>466</v>
      </c>
      <c r="AL2280" s="601" t="s">
        <v>432</v>
      </c>
      <c r="AM2280" s="137" t="s">
        <v>432</v>
      </c>
      <c r="AN2280" s="137" t="s">
        <v>432</v>
      </c>
      <c r="AO2280" s="137" t="s">
        <v>432</v>
      </c>
      <c r="AP2280" s="137" t="s">
        <v>432</v>
      </c>
      <c r="AQ2280" s="137" t="s">
        <v>432</v>
      </c>
      <c r="AR2280" s="137" t="s">
        <v>432</v>
      </c>
      <c r="AS2280" s="137" t="s">
        <v>432</v>
      </c>
      <c r="AT2280" s="137" t="s">
        <v>432</v>
      </c>
      <c r="AU2280" s="137" t="s">
        <v>432</v>
      </c>
      <c r="AV2280" s="137" t="s">
        <v>432</v>
      </c>
      <c r="AW2280" s="137" t="s">
        <v>432</v>
      </c>
      <c r="AX2280" s="137" t="s">
        <v>432</v>
      </c>
      <c r="AY2280" s="137" t="s">
        <v>432</v>
      </c>
      <c r="AZ2280" s="137" t="s">
        <v>432</v>
      </c>
      <c r="BA2280" s="137" t="s">
        <v>432</v>
      </c>
      <c r="BB2280" s="239" t="str">
        <f t="shared" ref="BB2280:BB2351" si="666">B2280&amp;C2280</f>
        <v>Estacionamentoacessibilidade</v>
      </c>
      <c r="BC2280" s="239" t="str">
        <f t="shared" ref="BC2280:BC2351" si="667">B2280&amp;C2280&amp;H2280</f>
        <v>Estacionamentoacessibilidadex</v>
      </c>
      <c r="BD2280" s="239" t="str">
        <f t="shared" ref="BD2280:BD2351" si="668">B2280&amp;H2280</f>
        <v>Estacionamentox</v>
      </c>
      <c r="BM2280" s="68"/>
      <c r="BN2280" s="68"/>
      <c r="BO2280" s="68"/>
    </row>
    <row r="2281" spans="1:69" s="105" customFormat="1" ht="107.25" customHeight="1" x14ac:dyDescent="0.25">
      <c r="A2281" s="275" t="str">
        <f>'Q100b-totais'!$B$65</f>
        <v>9.2</v>
      </c>
      <c r="B2281" s="53" t="str">
        <f>'Q100b-totais'!$C$65</f>
        <v>Estacionamento</v>
      </c>
      <c r="C2281" s="230" t="s">
        <v>743</v>
      </c>
      <c r="D2281" s="377" t="s">
        <v>3582</v>
      </c>
      <c r="E2281" s="1513" t="s">
        <v>1306</v>
      </c>
      <c r="F2281" s="338" t="s">
        <v>4509</v>
      </c>
      <c r="G2281" s="111" t="s">
        <v>2038</v>
      </c>
      <c r="H2281" s="168" t="s">
        <v>432</v>
      </c>
      <c r="I2281" s="57">
        <v>1</v>
      </c>
      <c r="J2281" s="107" t="s">
        <v>432</v>
      </c>
      <c r="K2281" s="23" t="s">
        <v>432</v>
      </c>
      <c r="L2281" s="23" t="s">
        <v>432</v>
      </c>
      <c r="M2281" s="23" t="s">
        <v>432</v>
      </c>
      <c r="N2281" s="23" t="s">
        <v>432</v>
      </c>
      <c r="O2281" s="23" t="s">
        <v>432</v>
      </c>
      <c r="P2281" s="23" t="s">
        <v>432</v>
      </c>
      <c r="Q2281" s="23" t="s">
        <v>432</v>
      </c>
      <c r="R2281" s="23" t="s">
        <v>432</v>
      </c>
      <c r="S2281" s="109" t="s">
        <v>2209</v>
      </c>
      <c r="T2281" s="23" t="s">
        <v>432</v>
      </c>
      <c r="U2281" s="23" t="s">
        <v>432</v>
      </c>
      <c r="V2281" s="109" t="s">
        <v>2209</v>
      </c>
      <c r="W2281" s="23" t="s">
        <v>432</v>
      </c>
      <c r="X2281" s="47">
        <f t="shared" ref="X2281:AJ2281" si="669">X2280/X2279</f>
        <v>6.2893081761006293E-3</v>
      </c>
      <c r="Y2281" s="47">
        <f t="shared" si="669"/>
        <v>1.288056206088993E-2</v>
      </c>
      <c r="Z2281" s="47">
        <f t="shared" si="669"/>
        <v>2.3179352293276344E-2</v>
      </c>
      <c r="AA2281" s="47">
        <f t="shared" si="669"/>
        <v>2.3496549457771937E-2</v>
      </c>
      <c r="AB2281" s="47">
        <f t="shared" si="669"/>
        <v>2.2240969399493826E-2</v>
      </c>
      <c r="AC2281" s="47">
        <f t="shared" si="669"/>
        <v>2.2266460222664604E-2</v>
      </c>
      <c r="AD2281" s="47">
        <f t="shared" si="669"/>
        <v>2.0990873533246416E-2</v>
      </c>
      <c r="AE2281" s="47">
        <f t="shared" si="669"/>
        <v>2.1057208522268465E-2</v>
      </c>
      <c r="AF2281" s="47">
        <f t="shared" si="669"/>
        <v>1.948086700561948E-2</v>
      </c>
      <c r="AG2281" s="47">
        <f t="shared" si="669"/>
        <v>1.9205587079877781E-2</v>
      </c>
      <c r="AH2281" s="47">
        <f t="shared" si="669"/>
        <v>2.0330673844083439E-2</v>
      </c>
      <c r="AI2281" s="47">
        <f t="shared" si="669"/>
        <v>2.0789322066449012E-2</v>
      </c>
      <c r="AJ2281" s="47">
        <f t="shared" si="669"/>
        <v>2.140382516254568E-2</v>
      </c>
      <c r="AK2281" s="47">
        <f>AK2280/AK2279</f>
        <v>2.1906731854080482E-2</v>
      </c>
      <c r="AL2281" s="601" t="s">
        <v>432</v>
      </c>
      <c r="AM2281" s="137" t="s">
        <v>432</v>
      </c>
      <c r="AN2281" s="137" t="s">
        <v>432</v>
      </c>
      <c r="AO2281" s="137" t="s">
        <v>432</v>
      </c>
      <c r="AP2281" s="137" t="s">
        <v>432</v>
      </c>
      <c r="AQ2281" s="137" t="s">
        <v>432</v>
      </c>
      <c r="AR2281" s="137" t="s">
        <v>432</v>
      </c>
      <c r="AS2281" s="137" t="s">
        <v>432</v>
      </c>
      <c r="AT2281" s="137" t="s">
        <v>432</v>
      </c>
      <c r="AU2281" s="137" t="s">
        <v>432</v>
      </c>
      <c r="AV2281" s="137" t="s">
        <v>432</v>
      </c>
      <c r="AW2281" s="137" t="s">
        <v>432</v>
      </c>
      <c r="AX2281" s="137" t="s">
        <v>432</v>
      </c>
      <c r="AY2281" s="137" t="s">
        <v>432</v>
      </c>
      <c r="AZ2281" s="137" t="s">
        <v>432</v>
      </c>
      <c r="BA2281" s="137" t="s">
        <v>432</v>
      </c>
      <c r="BB2281" s="239" t="str">
        <f t="shared" si="666"/>
        <v>Estacionamentoacessibilidade</v>
      </c>
      <c r="BC2281" s="239" t="str">
        <f t="shared" si="667"/>
        <v>Estacionamentoacessibilidadex</v>
      </c>
      <c r="BD2281" s="239" t="str">
        <f t="shared" si="668"/>
        <v>Estacionamentox</v>
      </c>
      <c r="BM2281" s="68"/>
      <c r="BN2281" s="68"/>
      <c r="BO2281" s="68"/>
    </row>
    <row r="2282" spans="1:69" s="145" customFormat="1" ht="351" customHeight="1" x14ac:dyDescent="0.25">
      <c r="A2282" s="275" t="str">
        <f>'Q100b-totais'!$B$65</f>
        <v>9.2</v>
      </c>
      <c r="B2282" s="53" t="str">
        <f>'Q100b-totais'!$C$65</f>
        <v>Estacionamento</v>
      </c>
      <c r="C2282" s="57" t="s">
        <v>743</v>
      </c>
      <c r="D2282" s="377" t="s">
        <v>4506</v>
      </c>
      <c r="E2282" s="1501" t="s">
        <v>1767</v>
      </c>
      <c r="F2282" s="355" t="s">
        <v>4510</v>
      </c>
      <c r="G2282" s="110" t="s">
        <v>2044</v>
      </c>
      <c r="H2282" s="167" t="s">
        <v>765</v>
      </c>
      <c r="I2282" s="167" t="s">
        <v>432</v>
      </c>
      <c r="J2282" s="109" t="s">
        <v>432</v>
      </c>
      <c r="K2282" s="109" t="s">
        <v>432</v>
      </c>
      <c r="L2282" s="109" t="s">
        <v>432</v>
      </c>
      <c r="M2282" s="109" t="s">
        <v>432</v>
      </c>
      <c r="N2282" s="109" t="s">
        <v>432</v>
      </c>
      <c r="O2282" s="109" t="s">
        <v>432</v>
      </c>
      <c r="P2282" s="109" t="s">
        <v>432</v>
      </c>
      <c r="Q2282" s="109" t="s">
        <v>432</v>
      </c>
      <c r="R2282" s="109" t="s">
        <v>432</v>
      </c>
      <c r="S2282" s="109" t="s">
        <v>2209</v>
      </c>
      <c r="T2282" s="109" t="s">
        <v>432</v>
      </c>
      <c r="U2282" s="95">
        <v>0.02</v>
      </c>
      <c r="V2282" s="109" t="s">
        <v>2209</v>
      </c>
      <c r="W2282" s="95">
        <v>0.02</v>
      </c>
      <c r="X2282" s="95">
        <v>0.02</v>
      </c>
      <c r="Y2282" s="95">
        <v>0.02</v>
      </c>
      <c r="Z2282" s="95">
        <v>0.02</v>
      </c>
      <c r="AA2282" s="95">
        <v>0.02</v>
      </c>
      <c r="AB2282" s="95">
        <v>0.02</v>
      </c>
      <c r="AC2282" s="95">
        <v>0.02</v>
      </c>
      <c r="AD2282" s="95">
        <v>0.02</v>
      </c>
      <c r="AE2282" s="95">
        <v>0.02</v>
      </c>
      <c r="AF2282" s="95">
        <v>0.02</v>
      </c>
      <c r="AG2282" s="95">
        <v>0.02</v>
      </c>
      <c r="AH2282" s="95">
        <v>0.02</v>
      </c>
      <c r="AI2282" s="95">
        <v>0.02</v>
      </c>
      <c r="AJ2282" s="95">
        <v>0.02</v>
      </c>
      <c r="AK2282" s="95">
        <v>0.02</v>
      </c>
      <c r="AL2282" s="601" t="s">
        <v>432</v>
      </c>
      <c r="AM2282" s="137" t="s">
        <v>432</v>
      </c>
      <c r="AN2282" s="137" t="s">
        <v>432</v>
      </c>
      <c r="AO2282" s="137" t="s">
        <v>432</v>
      </c>
      <c r="AP2282" s="137" t="s">
        <v>432</v>
      </c>
      <c r="AQ2282" s="137" t="s">
        <v>432</v>
      </c>
      <c r="AR2282" s="137" t="s">
        <v>432</v>
      </c>
      <c r="AS2282" s="137" t="s">
        <v>432</v>
      </c>
      <c r="AT2282" s="137" t="s">
        <v>432</v>
      </c>
      <c r="AU2282" s="137" t="s">
        <v>432</v>
      </c>
      <c r="AV2282" s="137" t="s">
        <v>432</v>
      </c>
      <c r="AW2282" s="137" t="s">
        <v>432</v>
      </c>
      <c r="AX2282" s="137" t="s">
        <v>432</v>
      </c>
      <c r="AY2282" s="137" t="s">
        <v>432</v>
      </c>
      <c r="AZ2282" s="137" t="s">
        <v>432</v>
      </c>
      <c r="BA2282" s="137" t="s">
        <v>432</v>
      </c>
      <c r="BB2282" s="239" t="str">
        <f t="shared" si="666"/>
        <v>Estacionamentoacessibilidade</v>
      </c>
      <c r="BC2282" s="239" t="str">
        <f t="shared" si="667"/>
        <v>Estacionamentoacessibilidademeta/RPI</v>
      </c>
      <c r="BD2282" s="239" t="str">
        <f t="shared" si="668"/>
        <v>Estacionamentometa/RPI</v>
      </c>
    </row>
    <row r="2283" spans="1:69" ht="25.5" x14ac:dyDescent="0.25">
      <c r="A2283" s="275" t="str">
        <f>'Q100b-totais'!$B$65</f>
        <v>9.2</v>
      </c>
      <c r="B2283" s="53" t="str">
        <f>'Q100b-totais'!$C$65</f>
        <v>Estacionamento</v>
      </c>
      <c r="C2283" s="230" t="s">
        <v>743</v>
      </c>
      <c r="D2283" s="325" t="s">
        <v>2025</v>
      </c>
      <c r="E2283" s="1512" t="s">
        <v>1306</v>
      </c>
      <c r="F2283" s="126" t="s">
        <v>1588</v>
      </c>
      <c r="G2283" s="110" t="s">
        <v>77</v>
      </c>
      <c r="H2283" s="173" t="s">
        <v>432</v>
      </c>
      <c r="I2283" s="57">
        <v>1</v>
      </c>
      <c r="J2283" s="107" t="s">
        <v>432</v>
      </c>
      <c r="K2283" s="137" t="s">
        <v>432</v>
      </c>
      <c r="L2283" s="137" t="s">
        <v>432</v>
      </c>
      <c r="M2283" s="137" t="s">
        <v>432</v>
      </c>
      <c r="N2283" s="137" t="s">
        <v>432</v>
      </c>
      <c r="O2283" s="137" t="s">
        <v>432</v>
      </c>
      <c r="P2283" s="137" t="s">
        <v>432</v>
      </c>
      <c r="Q2283" s="137" t="s">
        <v>432</v>
      </c>
      <c r="R2283" s="137" t="s">
        <v>432</v>
      </c>
      <c r="S2283" s="109" t="s">
        <v>2209</v>
      </c>
      <c r="T2283" s="137" t="s">
        <v>432</v>
      </c>
      <c r="U2283" s="137" t="s">
        <v>432</v>
      </c>
      <c r="V2283" s="109" t="s">
        <v>2209</v>
      </c>
      <c r="W2283" s="84" t="s">
        <v>432</v>
      </c>
      <c r="X2283" s="84">
        <v>0</v>
      </c>
      <c r="Y2283" s="84">
        <v>0</v>
      </c>
      <c r="Z2283" s="84">
        <v>0</v>
      </c>
      <c r="AA2283" s="84">
        <v>0</v>
      </c>
      <c r="AB2283" s="84">
        <v>0</v>
      </c>
      <c r="AC2283" s="84">
        <v>0</v>
      </c>
      <c r="AD2283" s="84">
        <v>0</v>
      </c>
      <c r="AE2283" s="84">
        <v>55</v>
      </c>
      <c r="AF2283" s="84">
        <v>64</v>
      </c>
      <c r="AG2283" s="84">
        <v>83</v>
      </c>
      <c r="AH2283" s="84">
        <v>106</v>
      </c>
      <c r="AI2283" s="84">
        <v>109</v>
      </c>
      <c r="AJ2283" s="84">
        <v>141</v>
      </c>
      <c r="AK2283" s="84">
        <v>283</v>
      </c>
      <c r="AL2283" s="601" t="s">
        <v>432</v>
      </c>
      <c r="AM2283" s="137" t="s">
        <v>432</v>
      </c>
      <c r="AN2283" s="137" t="s">
        <v>432</v>
      </c>
      <c r="AO2283" s="137" t="s">
        <v>432</v>
      </c>
      <c r="AP2283" s="137" t="s">
        <v>432</v>
      </c>
      <c r="AQ2283" s="137" t="s">
        <v>432</v>
      </c>
      <c r="AR2283" s="137" t="s">
        <v>432</v>
      </c>
      <c r="AS2283" s="137" t="s">
        <v>432</v>
      </c>
      <c r="AT2283" s="137" t="s">
        <v>432</v>
      </c>
      <c r="AU2283" s="137" t="s">
        <v>432</v>
      </c>
      <c r="AV2283" s="137" t="s">
        <v>432</v>
      </c>
      <c r="AW2283" s="137" t="s">
        <v>432</v>
      </c>
      <c r="AX2283" s="137" t="s">
        <v>432</v>
      </c>
      <c r="AY2283" s="137" t="s">
        <v>432</v>
      </c>
      <c r="AZ2283" s="137" t="s">
        <v>432</v>
      </c>
      <c r="BA2283" s="137" t="s">
        <v>432</v>
      </c>
      <c r="BB2283" s="239" t="str">
        <f t="shared" si="666"/>
        <v>Estacionamentoacessibilidade</v>
      </c>
      <c r="BC2283" s="239" t="str">
        <f t="shared" si="667"/>
        <v>Estacionamentoacessibilidadex</v>
      </c>
      <c r="BD2283" s="239" t="str">
        <f t="shared" si="668"/>
        <v>Estacionamentox</v>
      </c>
      <c r="BM2283" s="68"/>
      <c r="BN2283" s="68"/>
      <c r="BO2283" s="68"/>
    </row>
    <row r="2284" spans="1:69" s="105" customFormat="1" ht="102" customHeight="1" x14ac:dyDescent="0.25">
      <c r="A2284" s="275" t="str">
        <f>'Q100b-totais'!$B$65</f>
        <v>9.2</v>
      </c>
      <c r="B2284" s="53" t="str">
        <f>'Q100b-totais'!$C$65</f>
        <v>Estacionamento</v>
      </c>
      <c r="C2284" s="230" t="s">
        <v>743</v>
      </c>
      <c r="D2284" s="377" t="s">
        <v>3145</v>
      </c>
      <c r="E2284" s="1513" t="s">
        <v>1306</v>
      </c>
      <c r="F2284" s="338" t="s">
        <v>4511</v>
      </c>
      <c r="G2284" s="111" t="s">
        <v>2024</v>
      </c>
      <c r="H2284" s="173" t="s">
        <v>432</v>
      </c>
      <c r="I2284" s="57">
        <v>1</v>
      </c>
      <c r="J2284" s="109" t="s">
        <v>432</v>
      </c>
      <c r="K2284" s="109" t="s">
        <v>432</v>
      </c>
      <c r="L2284" s="109" t="s">
        <v>432</v>
      </c>
      <c r="M2284" s="109" t="s">
        <v>432</v>
      </c>
      <c r="N2284" s="109" t="s">
        <v>432</v>
      </c>
      <c r="O2284" s="109" t="s">
        <v>432</v>
      </c>
      <c r="P2284" s="109" t="s">
        <v>432</v>
      </c>
      <c r="Q2284" s="109" t="s">
        <v>432</v>
      </c>
      <c r="R2284" s="109" t="s">
        <v>432</v>
      </c>
      <c r="S2284" s="109" t="s">
        <v>2209</v>
      </c>
      <c r="T2284" s="109" t="s">
        <v>432</v>
      </c>
      <c r="U2284" s="109" t="s">
        <v>432</v>
      </c>
      <c r="V2284" s="109" t="s">
        <v>2209</v>
      </c>
      <c r="W2284" s="23" t="s">
        <v>432</v>
      </c>
      <c r="X2284" s="47">
        <f>X2283/X2279</f>
        <v>0</v>
      </c>
      <c r="Y2284" s="47">
        <f t="shared" ref="Y2284:AJ2284" si="670">Y2283/Y2279</f>
        <v>0</v>
      </c>
      <c r="Z2284" s="47">
        <f t="shared" si="670"/>
        <v>0</v>
      </c>
      <c r="AA2284" s="47">
        <f t="shared" si="670"/>
        <v>0</v>
      </c>
      <c r="AB2284" s="47">
        <f t="shared" si="670"/>
        <v>0</v>
      </c>
      <c r="AC2284" s="47">
        <f t="shared" si="670"/>
        <v>0</v>
      </c>
      <c r="AD2284" s="47">
        <f t="shared" si="670"/>
        <v>0</v>
      </c>
      <c r="AE2284" s="47">
        <f t="shared" si="670"/>
        <v>3.4163612646748247E-3</v>
      </c>
      <c r="AF2284" s="47">
        <f t="shared" si="670"/>
        <v>3.425207385603425E-3</v>
      </c>
      <c r="AG2284" s="47">
        <f t="shared" si="670"/>
        <v>4.0254134536107473E-3</v>
      </c>
      <c r="AH2284" s="47">
        <f t="shared" si="670"/>
        <v>5.0946842257041242E-3</v>
      </c>
      <c r="AI2284" s="47">
        <f t="shared" si="670"/>
        <v>5.2333397349721526E-3</v>
      </c>
      <c r="AJ2284" s="47">
        <f t="shared" si="670"/>
        <v>6.6916615253191586E-3</v>
      </c>
      <c r="AK2284" s="47">
        <f>AK2283/AK2279</f>
        <v>1.3303873636705528E-2</v>
      </c>
      <c r="AL2284" s="601" t="s">
        <v>432</v>
      </c>
      <c r="AM2284" s="137" t="s">
        <v>432</v>
      </c>
      <c r="AN2284" s="137" t="s">
        <v>432</v>
      </c>
      <c r="AO2284" s="137" t="s">
        <v>432</v>
      </c>
      <c r="AP2284" s="137" t="s">
        <v>432</v>
      </c>
      <c r="AQ2284" s="137" t="s">
        <v>432</v>
      </c>
      <c r="AR2284" s="137" t="s">
        <v>432</v>
      </c>
      <c r="AS2284" s="137" t="s">
        <v>432</v>
      </c>
      <c r="AT2284" s="137" t="s">
        <v>432</v>
      </c>
      <c r="AU2284" s="137" t="s">
        <v>432</v>
      </c>
      <c r="AV2284" s="137" t="s">
        <v>432</v>
      </c>
      <c r="AW2284" s="137" t="s">
        <v>432</v>
      </c>
      <c r="AX2284" s="137" t="s">
        <v>432</v>
      </c>
      <c r="AY2284" s="137" t="s">
        <v>432</v>
      </c>
      <c r="AZ2284" s="137" t="s">
        <v>432</v>
      </c>
      <c r="BA2284" s="137" t="s">
        <v>432</v>
      </c>
      <c r="BB2284" s="239" t="str">
        <f t="shared" si="666"/>
        <v>Estacionamentoacessibilidade</v>
      </c>
      <c r="BC2284" s="239" t="str">
        <f t="shared" si="667"/>
        <v>Estacionamentoacessibilidadex</v>
      </c>
      <c r="BD2284" s="239" t="str">
        <f t="shared" si="668"/>
        <v>Estacionamentox</v>
      </c>
      <c r="BM2284" s="68"/>
      <c r="BN2284" s="68"/>
      <c r="BO2284" s="68"/>
    </row>
    <row r="2285" spans="1:69" s="147" customFormat="1" ht="100.5" customHeight="1" x14ac:dyDescent="0.25">
      <c r="A2285" s="275" t="str">
        <f>'Q100b-totais'!$B$65</f>
        <v>9.2</v>
      </c>
      <c r="B2285" s="53" t="str">
        <f>'Q100b-totais'!$C$65</f>
        <v>Estacionamento</v>
      </c>
      <c r="C2285" s="57" t="s">
        <v>743</v>
      </c>
      <c r="D2285" s="377" t="s">
        <v>4505</v>
      </c>
      <c r="E2285" s="1501" t="s">
        <v>1767</v>
      </c>
      <c r="F2285" s="286" t="s">
        <v>4512</v>
      </c>
      <c r="G2285" s="110" t="s">
        <v>2044</v>
      </c>
      <c r="H2285" s="167" t="s">
        <v>765</v>
      </c>
      <c r="I2285" s="167" t="s">
        <v>432</v>
      </c>
      <c r="J2285" s="109" t="s">
        <v>432</v>
      </c>
      <c r="K2285" s="109" t="s">
        <v>432</v>
      </c>
      <c r="L2285" s="109" t="s">
        <v>432</v>
      </c>
      <c r="M2285" s="109" t="s">
        <v>432</v>
      </c>
      <c r="N2285" s="109" t="s">
        <v>432</v>
      </c>
      <c r="O2285" s="109" t="s">
        <v>432</v>
      </c>
      <c r="P2285" s="109" t="s">
        <v>432</v>
      </c>
      <c r="Q2285" s="109" t="s">
        <v>432</v>
      </c>
      <c r="R2285" s="109" t="s">
        <v>432</v>
      </c>
      <c r="S2285" s="109" t="s">
        <v>2209</v>
      </c>
      <c r="T2285" s="109" t="s">
        <v>432</v>
      </c>
      <c r="U2285" s="109" t="s">
        <v>432</v>
      </c>
      <c r="V2285" s="109" t="s">
        <v>2209</v>
      </c>
      <c r="W2285" s="109" t="s">
        <v>432</v>
      </c>
      <c r="X2285" s="109" t="s">
        <v>432</v>
      </c>
      <c r="Y2285" s="95">
        <v>0.05</v>
      </c>
      <c r="Z2285" s="95">
        <v>0.05</v>
      </c>
      <c r="AA2285" s="95">
        <v>0.05</v>
      </c>
      <c r="AB2285" s="95">
        <v>0.05</v>
      </c>
      <c r="AC2285" s="95">
        <v>0.05</v>
      </c>
      <c r="AD2285" s="95">
        <v>0.05</v>
      </c>
      <c r="AE2285" s="95">
        <v>0.05</v>
      </c>
      <c r="AF2285" s="95">
        <v>0.05</v>
      </c>
      <c r="AG2285" s="95">
        <v>0.05</v>
      </c>
      <c r="AH2285" s="95">
        <v>0.05</v>
      </c>
      <c r="AI2285" s="95">
        <v>0.05</v>
      </c>
      <c r="AJ2285" s="95">
        <v>0.05</v>
      </c>
      <c r="AK2285" s="95">
        <v>0.05</v>
      </c>
      <c r="AL2285" s="601" t="s">
        <v>432</v>
      </c>
      <c r="AM2285" s="137" t="s">
        <v>432</v>
      </c>
      <c r="AN2285" s="137" t="s">
        <v>432</v>
      </c>
      <c r="AO2285" s="137" t="s">
        <v>432</v>
      </c>
      <c r="AP2285" s="137" t="s">
        <v>432</v>
      </c>
      <c r="AQ2285" s="137" t="s">
        <v>432</v>
      </c>
      <c r="AR2285" s="137" t="s">
        <v>432</v>
      </c>
      <c r="AS2285" s="137" t="s">
        <v>432</v>
      </c>
      <c r="AT2285" s="137" t="s">
        <v>432</v>
      </c>
      <c r="AU2285" s="137" t="s">
        <v>432</v>
      </c>
      <c r="AV2285" s="137" t="s">
        <v>432</v>
      </c>
      <c r="AW2285" s="137" t="s">
        <v>432</v>
      </c>
      <c r="AX2285" s="137" t="s">
        <v>432</v>
      </c>
      <c r="AY2285" s="137" t="s">
        <v>432</v>
      </c>
      <c r="AZ2285" s="137" t="s">
        <v>432</v>
      </c>
      <c r="BA2285" s="137" t="s">
        <v>432</v>
      </c>
      <c r="BB2285" s="239" t="str">
        <f t="shared" si="666"/>
        <v>Estacionamentoacessibilidade</v>
      </c>
      <c r="BC2285" s="239" t="str">
        <f t="shared" si="667"/>
        <v>Estacionamentoacessibilidademeta/RPI</v>
      </c>
      <c r="BD2285" s="239" t="str">
        <f t="shared" si="668"/>
        <v>Estacionamentometa/RPI</v>
      </c>
    </row>
    <row r="2286" spans="1:69" ht="36" customHeight="1" x14ac:dyDescent="0.25">
      <c r="A2286" s="275" t="str">
        <f>'Q100b-totais'!$B$65</f>
        <v>9.2</v>
      </c>
      <c r="B2286" s="53" t="str">
        <f>'Q100b-totais'!$C$65</f>
        <v>Estacionamento</v>
      </c>
      <c r="C2286" s="230" t="s">
        <v>743</v>
      </c>
      <c r="D2286" s="325" t="s">
        <v>2026</v>
      </c>
      <c r="E2286" s="1512" t="s">
        <v>1306</v>
      </c>
      <c r="F2286" s="126" t="s">
        <v>761</v>
      </c>
      <c r="G2286" s="408" t="s">
        <v>2040</v>
      </c>
      <c r="H2286" s="173" t="s">
        <v>432</v>
      </c>
      <c r="I2286" s="57">
        <v>1</v>
      </c>
      <c r="J2286" s="109" t="s">
        <v>432</v>
      </c>
      <c r="K2286" s="109" t="s">
        <v>432</v>
      </c>
      <c r="L2286" s="109" t="s">
        <v>432</v>
      </c>
      <c r="M2286" s="109" t="s">
        <v>432</v>
      </c>
      <c r="N2286" s="109" t="s">
        <v>432</v>
      </c>
      <c r="O2286" s="109" t="s">
        <v>432</v>
      </c>
      <c r="P2286" s="109" t="s">
        <v>432</v>
      </c>
      <c r="Q2286" s="109" t="s">
        <v>432</v>
      </c>
      <c r="R2286" s="109" t="s">
        <v>432</v>
      </c>
      <c r="S2286" s="109" t="s">
        <v>2209</v>
      </c>
      <c r="T2286" s="109" t="s">
        <v>432</v>
      </c>
      <c r="U2286" s="109" t="s">
        <v>432</v>
      </c>
      <c r="V2286" s="109" t="s">
        <v>2209</v>
      </c>
      <c r="W2286" s="23" t="s">
        <v>432</v>
      </c>
      <c r="X2286" s="23">
        <f>X2280+X2283</f>
        <v>77</v>
      </c>
      <c r="Y2286" s="23">
        <f t="shared" ref="Y2286:AF2286" si="671">Y2280+Y2283</f>
        <v>154</v>
      </c>
      <c r="Z2286" s="23">
        <f t="shared" si="671"/>
        <v>282</v>
      </c>
      <c r="AA2286" s="23">
        <f t="shared" si="671"/>
        <v>286</v>
      </c>
      <c r="AB2286" s="23">
        <f t="shared" si="671"/>
        <v>290</v>
      </c>
      <c r="AC2286" s="23">
        <f t="shared" si="671"/>
        <v>302</v>
      </c>
      <c r="AD2286" s="23">
        <f t="shared" si="671"/>
        <v>322</v>
      </c>
      <c r="AE2286" s="23">
        <f t="shared" si="671"/>
        <v>394</v>
      </c>
      <c r="AF2286" s="23">
        <f t="shared" si="671"/>
        <v>428</v>
      </c>
      <c r="AG2286" s="23">
        <f>AG2280+AG2283</f>
        <v>479</v>
      </c>
      <c r="AH2286" s="23">
        <f>AH2280+AH2283</f>
        <v>529</v>
      </c>
      <c r="AI2286" s="23">
        <f>AI2280+AI2283</f>
        <v>542</v>
      </c>
      <c r="AJ2286" s="23">
        <f>AJ2280+AJ2283</f>
        <v>592</v>
      </c>
      <c r="AK2286" s="23">
        <f>AK2280+AK2283</f>
        <v>749</v>
      </c>
      <c r="AL2286" s="601" t="s">
        <v>432</v>
      </c>
      <c r="AM2286" s="137" t="s">
        <v>432</v>
      </c>
      <c r="AN2286" s="137" t="s">
        <v>432</v>
      </c>
      <c r="AO2286" s="137" t="s">
        <v>432</v>
      </c>
      <c r="AP2286" s="137" t="s">
        <v>432</v>
      </c>
      <c r="AQ2286" s="137" t="s">
        <v>432</v>
      </c>
      <c r="AR2286" s="137" t="s">
        <v>432</v>
      </c>
      <c r="AS2286" s="137" t="s">
        <v>432</v>
      </c>
      <c r="AT2286" s="137" t="s">
        <v>432</v>
      </c>
      <c r="AU2286" s="137" t="s">
        <v>432</v>
      </c>
      <c r="AV2286" s="137" t="s">
        <v>432</v>
      </c>
      <c r="AW2286" s="137" t="s">
        <v>432</v>
      </c>
      <c r="AX2286" s="137" t="s">
        <v>432</v>
      </c>
      <c r="AY2286" s="137" t="s">
        <v>432</v>
      </c>
      <c r="AZ2286" s="137" t="s">
        <v>432</v>
      </c>
      <c r="BA2286" s="137" t="s">
        <v>432</v>
      </c>
      <c r="BB2286" s="239" t="str">
        <f t="shared" si="666"/>
        <v>Estacionamentoacessibilidade</v>
      </c>
      <c r="BC2286" s="239" t="str">
        <f t="shared" si="667"/>
        <v>Estacionamentoacessibilidadex</v>
      </c>
      <c r="BD2286" s="239" t="str">
        <f t="shared" si="668"/>
        <v>Estacionamentox</v>
      </c>
      <c r="BM2286" s="68"/>
      <c r="BN2286" s="68"/>
      <c r="BO2286" s="68"/>
    </row>
    <row r="2287" spans="1:69" s="105" customFormat="1" ht="96" customHeight="1" x14ac:dyDescent="0.25">
      <c r="A2287" s="275" t="str">
        <f>'Q100b-totais'!$B$65</f>
        <v>9.2</v>
      </c>
      <c r="B2287" s="53" t="str">
        <f>'Q100b-totais'!$C$65</f>
        <v>Estacionamento</v>
      </c>
      <c r="C2287" s="230" t="s">
        <v>743</v>
      </c>
      <c r="D2287" s="325" t="s">
        <v>3146</v>
      </c>
      <c r="E2287" s="1512" t="s">
        <v>1306</v>
      </c>
      <c r="F2287" s="126" t="s">
        <v>3585</v>
      </c>
      <c r="G2287" s="111" t="s">
        <v>2041</v>
      </c>
      <c r="H2287" s="173" t="s">
        <v>432</v>
      </c>
      <c r="I2287" s="57">
        <v>1</v>
      </c>
      <c r="J2287" s="109" t="s">
        <v>432</v>
      </c>
      <c r="K2287" s="109" t="s">
        <v>432</v>
      </c>
      <c r="L2287" s="109" t="s">
        <v>432</v>
      </c>
      <c r="M2287" s="109" t="s">
        <v>432</v>
      </c>
      <c r="N2287" s="109" t="s">
        <v>432</v>
      </c>
      <c r="O2287" s="109" t="s">
        <v>432</v>
      </c>
      <c r="P2287" s="109" t="s">
        <v>432</v>
      </c>
      <c r="Q2287" s="109" t="s">
        <v>432</v>
      </c>
      <c r="R2287" s="109" t="s">
        <v>432</v>
      </c>
      <c r="S2287" s="109" t="s">
        <v>2209</v>
      </c>
      <c r="T2287" s="109" t="s">
        <v>432</v>
      </c>
      <c r="U2287" s="109" t="s">
        <v>432</v>
      </c>
      <c r="V2287" s="109" t="s">
        <v>2209</v>
      </c>
      <c r="W2287" s="23" t="s">
        <v>432</v>
      </c>
      <c r="X2287" s="47">
        <f t="shared" ref="X2287:AJ2287" si="672">X2286/X2279</f>
        <v>6.2893081761006293E-3</v>
      </c>
      <c r="Y2287" s="47">
        <f t="shared" si="672"/>
        <v>1.288056206088993E-2</v>
      </c>
      <c r="Z2287" s="47">
        <f t="shared" si="672"/>
        <v>2.3179352293276344E-2</v>
      </c>
      <c r="AA2287" s="47">
        <f t="shared" si="672"/>
        <v>2.3496549457771937E-2</v>
      </c>
      <c r="AB2287" s="47">
        <f t="shared" si="672"/>
        <v>2.2240969399493826E-2</v>
      </c>
      <c r="AC2287" s="47">
        <f t="shared" si="672"/>
        <v>2.2266460222664604E-2</v>
      </c>
      <c r="AD2287" s="47">
        <f t="shared" si="672"/>
        <v>2.0990873533246416E-2</v>
      </c>
      <c r="AE2287" s="47">
        <f t="shared" si="672"/>
        <v>2.4473569786943289E-2</v>
      </c>
      <c r="AF2287" s="47">
        <f t="shared" si="672"/>
        <v>2.2906074391222907E-2</v>
      </c>
      <c r="AG2287" s="47">
        <f t="shared" si="672"/>
        <v>2.3231000533488529E-2</v>
      </c>
      <c r="AH2287" s="47">
        <f t="shared" si="672"/>
        <v>2.542535806978756E-2</v>
      </c>
      <c r="AI2287" s="47">
        <f t="shared" si="672"/>
        <v>2.6022661801421165E-2</v>
      </c>
      <c r="AJ2287" s="47">
        <f t="shared" si="672"/>
        <v>2.8095486687864837E-2</v>
      </c>
      <c r="AK2287" s="47">
        <f>AK2286/AK2279</f>
        <v>3.5210605490786008E-2</v>
      </c>
      <c r="AL2287" s="601" t="s">
        <v>432</v>
      </c>
      <c r="AM2287" s="137" t="s">
        <v>432</v>
      </c>
      <c r="AN2287" s="137" t="s">
        <v>432</v>
      </c>
      <c r="AO2287" s="137" t="s">
        <v>432</v>
      </c>
      <c r="AP2287" s="137" t="s">
        <v>432</v>
      </c>
      <c r="AQ2287" s="137" t="s">
        <v>432</v>
      </c>
      <c r="AR2287" s="137" t="s">
        <v>432</v>
      </c>
      <c r="AS2287" s="137" t="s">
        <v>432</v>
      </c>
      <c r="AT2287" s="137" t="s">
        <v>432</v>
      </c>
      <c r="AU2287" s="137" t="s">
        <v>432</v>
      </c>
      <c r="AV2287" s="137" t="s">
        <v>432</v>
      </c>
      <c r="AW2287" s="137" t="s">
        <v>432</v>
      </c>
      <c r="AX2287" s="137" t="s">
        <v>432</v>
      </c>
      <c r="AY2287" s="137" t="s">
        <v>432</v>
      </c>
      <c r="AZ2287" s="137" t="s">
        <v>432</v>
      </c>
      <c r="BA2287" s="137" t="s">
        <v>432</v>
      </c>
      <c r="BB2287" s="239" t="str">
        <f t="shared" si="666"/>
        <v>Estacionamentoacessibilidade</v>
      </c>
      <c r="BC2287" s="239" t="str">
        <f t="shared" si="667"/>
        <v>Estacionamentoacessibilidadex</v>
      </c>
      <c r="BD2287" s="239" t="str">
        <f t="shared" si="668"/>
        <v>Estacionamentox</v>
      </c>
      <c r="BM2287" s="68"/>
      <c r="BN2287" s="68"/>
      <c r="BO2287" s="68"/>
    </row>
    <row r="2288" spans="1:69" ht="109.5" customHeight="1" x14ac:dyDescent="0.25">
      <c r="A2288" s="275" t="str">
        <f>'Q100b-totais'!$B$65</f>
        <v>9.2</v>
      </c>
      <c r="B2288" s="252" t="str">
        <f>'Q100b-totais'!$C$65</f>
        <v>Estacionamento</v>
      </c>
      <c r="C2288" s="167" t="s">
        <v>432</v>
      </c>
      <c r="D2288" s="325" t="s">
        <v>2027</v>
      </c>
      <c r="E2288" s="1512" t="s">
        <v>1306</v>
      </c>
      <c r="F2288" s="15" t="s">
        <v>4355</v>
      </c>
      <c r="G2288" s="110" t="s">
        <v>77</v>
      </c>
      <c r="H2288" s="173" t="s">
        <v>432</v>
      </c>
      <c r="I2288" s="167">
        <v>1</v>
      </c>
      <c r="J2288" s="107" t="s">
        <v>432</v>
      </c>
      <c r="K2288" s="86">
        <v>0</v>
      </c>
      <c r="L2288" s="86">
        <v>0</v>
      </c>
      <c r="M2288" s="86">
        <v>0</v>
      </c>
      <c r="N2288" s="86">
        <v>0</v>
      </c>
      <c r="O2288" s="86">
        <v>0</v>
      </c>
      <c r="P2288" s="86">
        <v>0</v>
      </c>
      <c r="Q2288" s="86">
        <v>0</v>
      </c>
      <c r="R2288" s="86">
        <v>0</v>
      </c>
      <c r="S2288" s="109" t="s">
        <v>2209</v>
      </c>
      <c r="T2288" s="86">
        <v>0</v>
      </c>
      <c r="U2288" s="86">
        <v>0</v>
      </c>
      <c r="V2288" s="109" t="s">
        <v>2209</v>
      </c>
      <c r="W2288" s="86">
        <v>0</v>
      </c>
      <c r="X2288" s="86">
        <v>0</v>
      </c>
      <c r="Y2288" s="86">
        <v>0</v>
      </c>
      <c r="Z2288" s="86">
        <v>0</v>
      </c>
      <c r="AA2288" s="86">
        <v>0</v>
      </c>
      <c r="AB2288" s="86">
        <v>0</v>
      </c>
      <c r="AC2288" s="86">
        <v>0</v>
      </c>
      <c r="AD2288" s="86">
        <v>0</v>
      </c>
      <c r="AE2288" s="86">
        <v>0</v>
      </c>
      <c r="AF2288" s="86">
        <v>0</v>
      </c>
      <c r="AG2288" s="86">
        <v>0</v>
      </c>
      <c r="AH2288" s="86">
        <v>0</v>
      </c>
      <c r="AI2288" s="86">
        <v>0</v>
      </c>
      <c r="AJ2288" s="92">
        <v>363</v>
      </c>
      <c r="AK2288" s="92">
        <v>374</v>
      </c>
      <c r="AL2288" s="601" t="s">
        <v>432</v>
      </c>
      <c r="AM2288" s="137" t="s">
        <v>432</v>
      </c>
      <c r="AN2288" s="137" t="s">
        <v>432</v>
      </c>
      <c r="AO2288" s="137" t="s">
        <v>432</v>
      </c>
      <c r="AP2288" s="137" t="s">
        <v>432</v>
      </c>
      <c r="AQ2288" s="137" t="s">
        <v>432</v>
      </c>
      <c r="AR2288" s="137" t="s">
        <v>432</v>
      </c>
      <c r="AS2288" s="137" t="s">
        <v>432</v>
      </c>
      <c r="AT2288" s="137" t="s">
        <v>432</v>
      </c>
      <c r="AU2288" s="137" t="s">
        <v>432</v>
      </c>
      <c r="AV2288" s="137" t="s">
        <v>432</v>
      </c>
      <c r="AW2288" s="137" t="s">
        <v>432</v>
      </c>
      <c r="AX2288" s="137" t="s">
        <v>432</v>
      </c>
      <c r="AY2288" s="137" t="s">
        <v>432</v>
      </c>
      <c r="AZ2288" s="137" t="s">
        <v>432</v>
      </c>
      <c r="BA2288" s="137" t="s">
        <v>432</v>
      </c>
      <c r="BB2288" s="239" t="str">
        <f t="shared" si="666"/>
        <v>Estacionamentox</v>
      </c>
      <c r="BC2288" s="239" t="str">
        <f t="shared" si="667"/>
        <v>Estacionamentoxx</v>
      </c>
      <c r="BD2288" s="239" t="str">
        <f t="shared" si="668"/>
        <v>Estacionamentox</v>
      </c>
      <c r="BM2288" s="68"/>
      <c r="BN2288" s="68"/>
      <c r="BO2288" s="68"/>
    </row>
    <row r="2289" spans="1:67" ht="53.25" customHeight="1" x14ac:dyDescent="0.25">
      <c r="A2289" s="275" t="str">
        <f>'Q100b-totais'!$B$65</f>
        <v>9.2</v>
      </c>
      <c r="B2289" s="53" t="str">
        <f>'Q100b-totais'!$C$65</f>
        <v>Estacionamento</v>
      </c>
      <c r="C2289" s="229" t="s">
        <v>432</v>
      </c>
      <c r="D2289" s="377" t="s">
        <v>2028</v>
      </c>
      <c r="E2289" s="1513" t="s">
        <v>1306</v>
      </c>
      <c r="F2289" s="338" t="s">
        <v>4145</v>
      </c>
      <c r="G2289" s="423" t="s">
        <v>2039</v>
      </c>
      <c r="H2289" s="173" t="s">
        <v>432</v>
      </c>
      <c r="I2289" s="167">
        <v>1</v>
      </c>
      <c r="J2289" s="107" t="s">
        <v>432</v>
      </c>
      <c r="K2289" s="84" t="s">
        <v>432</v>
      </c>
      <c r="L2289" s="84" t="s">
        <v>432</v>
      </c>
      <c r="M2289" s="84" t="s">
        <v>432</v>
      </c>
      <c r="N2289" s="84" t="s">
        <v>432</v>
      </c>
      <c r="O2289" s="84" t="s">
        <v>432</v>
      </c>
      <c r="P2289" s="84" t="s">
        <v>432</v>
      </c>
      <c r="Q2289" s="84" t="s">
        <v>432</v>
      </c>
      <c r="R2289" s="84" t="s">
        <v>432</v>
      </c>
      <c r="S2289" s="109" t="s">
        <v>2209</v>
      </c>
      <c r="T2289" s="84" t="s">
        <v>432</v>
      </c>
      <c r="U2289" s="84" t="s">
        <v>432</v>
      </c>
      <c r="V2289" s="109" t="s">
        <v>2209</v>
      </c>
      <c r="W2289" s="86">
        <v>65102</v>
      </c>
      <c r="X2289" s="86">
        <v>64588</v>
      </c>
      <c r="Y2289" s="86">
        <v>65729</v>
      </c>
      <c r="Z2289" s="86">
        <v>66318</v>
      </c>
      <c r="AA2289" s="86">
        <v>57136</v>
      </c>
      <c r="AB2289" s="86">
        <v>60520</v>
      </c>
      <c r="AC2289" s="86">
        <v>62899</v>
      </c>
      <c r="AD2289" s="86">
        <v>71504</v>
      </c>
      <c r="AE2289" s="86">
        <v>74005</v>
      </c>
      <c r="AF2289" s="86">
        <v>84363</v>
      </c>
      <c r="AG2289" s="86">
        <v>90949</v>
      </c>
      <c r="AH2289" s="86">
        <v>90950</v>
      </c>
      <c r="AI2289" s="86">
        <v>95264</v>
      </c>
      <c r="AJ2289" s="86">
        <v>97864</v>
      </c>
      <c r="AK2289" s="86">
        <v>97492</v>
      </c>
      <c r="AL2289" s="601" t="s">
        <v>432</v>
      </c>
      <c r="AM2289" s="137" t="s">
        <v>432</v>
      </c>
      <c r="AN2289" s="137" t="s">
        <v>432</v>
      </c>
      <c r="AO2289" s="137" t="s">
        <v>432</v>
      </c>
      <c r="AP2289" s="137" t="s">
        <v>432</v>
      </c>
      <c r="AQ2289" s="137" t="s">
        <v>432</v>
      </c>
      <c r="AR2289" s="137" t="s">
        <v>432</v>
      </c>
      <c r="AS2289" s="137" t="s">
        <v>432</v>
      </c>
      <c r="AT2289" s="137" t="s">
        <v>432</v>
      </c>
      <c r="AU2289" s="137" t="s">
        <v>432</v>
      </c>
      <c r="AV2289" s="137" t="s">
        <v>432</v>
      </c>
      <c r="AW2289" s="137" t="s">
        <v>432</v>
      </c>
      <c r="AX2289" s="137" t="s">
        <v>432</v>
      </c>
      <c r="AY2289" s="137" t="s">
        <v>432</v>
      </c>
      <c r="AZ2289" s="137" t="s">
        <v>432</v>
      </c>
      <c r="BA2289" s="137" t="s">
        <v>432</v>
      </c>
      <c r="BB2289" s="239" t="str">
        <f t="shared" si="666"/>
        <v>Estacionamentox</v>
      </c>
      <c r="BC2289" s="239" t="str">
        <f t="shared" si="667"/>
        <v>Estacionamentoxx</v>
      </c>
      <c r="BD2289" s="239" t="str">
        <f t="shared" si="668"/>
        <v>Estacionamentox</v>
      </c>
      <c r="BM2289" s="68"/>
      <c r="BN2289" s="68"/>
      <c r="BO2289" s="68"/>
    </row>
    <row r="2290" spans="1:67" s="1" customFormat="1" x14ac:dyDescent="0.25">
      <c r="A2290" s="398"/>
      <c r="B2290" s="221"/>
      <c r="C2290" s="399"/>
      <c r="D2290" s="987"/>
      <c r="E2290" s="1533"/>
      <c r="F2290" s="405"/>
      <c r="G2290" s="405"/>
      <c r="H2290" s="399"/>
      <c r="I2290" s="405"/>
      <c r="J2290" s="221"/>
      <c r="K2290" s="403"/>
      <c r="L2290" s="403"/>
      <c r="M2290" s="403"/>
      <c r="N2290" s="403"/>
      <c r="O2290" s="403"/>
      <c r="P2290" s="403"/>
      <c r="Q2290" s="403"/>
      <c r="R2290" s="403"/>
      <c r="S2290" s="403"/>
      <c r="T2290" s="403"/>
      <c r="U2290" s="403"/>
      <c r="V2290" s="403"/>
      <c r="W2290" s="403"/>
      <c r="X2290" s="403"/>
      <c r="Y2290" s="403"/>
      <c r="Z2290" s="403"/>
      <c r="AA2290" s="403"/>
      <c r="AB2290" s="403"/>
      <c r="AC2290" s="403"/>
      <c r="AD2290" s="403"/>
      <c r="AE2290" s="403"/>
      <c r="AF2290" s="403"/>
      <c r="AG2290" s="403"/>
      <c r="AH2290" s="403"/>
      <c r="AI2290" s="403"/>
      <c r="AJ2290" s="403"/>
      <c r="AK2290" s="223"/>
      <c r="AL2290" s="223"/>
      <c r="AM2290" s="223"/>
      <c r="AN2290" s="223"/>
      <c r="AO2290" s="223"/>
      <c r="AP2290" s="223"/>
      <c r="AQ2290" s="223"/>
      <c r="AR2290" s="223"/>
      <c r="AS2290" s="223"/>
      <c r="AT2290" s="223"/>
      <c r="AU2290" s="223"/>
      <c r="AV2290" s="223"/>
      <c r="AW2290" s="223"/>
      <c r="AX2290" s="223"/>
      <c r="AY2290" s="223"/>
      <c r="AZ2290" s="223"/>
      <c r="BA2290" s="223"/>
      <c r="BB2290" s="400"/>
      <c r="BC2290" s="400"/>
      <c r="BD2290" s="400"/>
    </row>
    <row r="2291" spans="1:67" s="1" customFormat="1" ht="83.25" customHeight="1" x14ac:dyDescent="0.25">
      <c r="A2291" s="262" t="s">
        <v>432</v>
      </c>
      <c r="B2291" s="252" t="s">
        <v>742</v>
      </c>
      <c r="C2291" s="167" t="s">
        <v>743</v>
      </c>
      <c r="D2291" s="939" t="s">
        <v>5264</v>
      </c>
      <c r="E2291" s="1445" t="s">
        <v>432</v>
      </c>
      <c r="F2291" s="1172" t="s">
        <v>5274</v>
      </c>
      <c r="G2291" s="230" t="s">
        <v>3507</v>
      </c>
      <c r="H2291" s="167" t="s">
        <v>2408</v>
      </c>
      <c r="I2291" s="167" t="s">
        <v>432</v>
      </c>
      <c r="J2291" s="107" t="s">
        <v>432</v>
      </c>
      <c r="K2291" s="107" t="s">
        <v>432</v>
      </c>
      <c r="L2291" s="107" t="s">
        <v>432</v>
      </c>
      <c r="M2291" s="107" t="s">
        <v>432</v>
      </c>
      <c r="N2291" s="107" t="s">
        <v>432</v>
      </c>
      <c r="O2291" s="107" t="s">
        <v>432</v>
      </c>
      <c r="P2291" s="107" t="s">
        <v>432</v>
      </c>
      <c r="Q2291" s="107" t="s">
        <v>432</v>
      </c>
      <c r="R2291" s="107" t="s">
        <v>432</v>
      </c>
      <c r="S2291" s="109" t="s">
        <v>2209</v>
      </c>
      <c r="T2291" s="107" t="s">
        <v>432</v>
      </c>
      <c r="U2291" s="107" t="s">
        <v>432</v>
      </c>
      <c r="V2291" s="109" t="s">
        <v>2209</v>
      </c>
      <c r="W2291" s="107" t="s">
        <v>432</v>
      </c>
      <c r="X2291" s="107" t="s">
        <v>432</v>
      </c>
      <c r="Y2291" s="107" t="s">
        <v>432</v>
      </c>
      <c r="Z2291" s="107" t="s">
        <v>432</v>
      </c>
      <c r="AA2291" s="107" t="s">
        <v>432</v>
      </c>
      <c r="AB2291" s="107" t="s">
        <v>432</v>
      </c>
      <c r="AC2291" s="107" t="s">
        <v>432</v>
      </c>
      <c r="AD2291" s="107" t="s">
        <v>432</v>
      </c>
      <c r="AE2291" s="107" t="s">
        <v>432</v>
      </c>
      <c r="AF2291" s="107" t="s">
        <v>432</v>
      </c>
      <c r="AG2291" s="107" t="s">
        <v>432</v>
      </c>
      <c r="AH2291" s="107" t="s">
        <v>432</v>
      </c>
      <c r="AI2291" s="107" t="s">
        <v>432</v>
      </c>
      <c r="AJ2291" s="107" t="s">
        <v>432</v>
      </c>
      <c r="AK2291" s="137" t="s">
        <v>432</v>
      </c>
      <c r="AL2291" s="601" t="s">
        <v>432</v>
      </c>
      <c r="AM2291" s="137" t="s">
        <v>432</v>
      </c>
      <c r="AN2291" s="137" t="s">
        <v>432</v>
      </c>
      <c r="AO2291" s="137" t="s">
        <v>432</v>
      </c>
      <c r="AP2291" s="137" t="s">
        <v>432</v>
      </c>
      <c r="AQ2291" s="137" t="s">
        <v>432</v>
      </c>
      <c r="AR2291" s="137" t="s">
        <v>432</v>
      </c>
      <c r="AS2291" s="137" t="s">
        <v>432</v>
      </c>
      <c r="AT2291" s="137" t="s">
        <v>432</v>
      </c>
      <c r="AU2291" s="137" t="s">
        <v>432</v>
      </c>
      <c r="AV2291" s="137" t="s">
        <v>432</v>
      </c>
      <c r="AW2291" s="137" t="s">
        <v>432</v>
      </c>
      <c r="AX2291" s="137" t="s">
        <v>432</v>
      </c>
      <c r="AY2291" s="137" t="s">
        <v>432</v>
      </c>
      <c r="AZ2291" s="137" t="s">
        <v>432</v>
      </c>
      <c r="BA2291" s="137" t="s">
        <v>432</v>
      </c>
      <c r="BB2291" s="239" t="str">
        <f>B2291&amp;C2291</f>
        <v>geralacessibilidade</v>
      </c>
      <c r="BC2291" s="239" t="str">
        <f>B2291&amp;C2291&amp;H2291</f>
        <v>geralacessibilidadesigla/verbete</v>
      </c>
      <c r="BD2291" s="239" t="str">
        <f>B2291&amp;H2291</f>
        <v>geralsigla/verbete</v>
      </c>
    </row>
    <row r="2292" spans="1:67" s="3" customFormat="1" ht="60" customHeight="1" x14ac:dyDescent="0.25">
      <c r="A2292" s="262" t="s">
        <v>432</v>
      </c>
      <c r="B2292" s="252" t="s">
        <v>742</v>
      </c>
      <c r="C2292" s="167" t="s">
        <v>743</v>
      </c>
      <c r="D2292" s="968" t="s">
        <v>2634</v>
      </c>
      <c r="E2292" s="1509" t="s">
        <v>432</v>
      </c>
      <c r="F2292" s="53" t="s">
        <v>2724</v>
      </c>
      <c r="G2292" s="230" t="s">
        <v>3507</v>
      </c>
      <c r="H2292" s="167" t="s">
        <v>2408</v>
      </c>
      <c r="I2292" s="167" t="s">
        <v>432</v>
      </c>
      <c r="J2292" s="107" t="s">
        <v>432</v>
      </c>
      <c r="K2292" s="107" t="s">
        <v>432</v>
      </c>
      <c r="L2292" s="107" t="s">
        <v>432</v>
      </c>
      <c r="M2292" s="107" t="s">
        <v>432</v>
      </c>
      <c r="N2292" s="107" t="s">
        <v>432</v>
      </c>
      <c r="O2292" s="107" t="s">
        <v>432</v>
      </c>
      <c r="P2292" s="107" t="s">
        <v>432</v>
      </c>
      <c r="Q2292" s="107" t="s">
        <v>432</v>
      </c>
      <c r="R2292" s="107" t="s">
        <v>432</v>
      </c>
      <c r="S2292" s="109" t="s">
        <v>2209</v>
      </c>
      <c r="T2292" s="107" t="s">
        <v>432</v>
      </c>
      <c r="U2292" s="107" t="s">
        <v>432</v>
      </c>
      <c r="V2292" s="109" t="s">
        <v>2209</v>
      </c>
      <c r="W2292" s="107" t="s">
        <v>432</v>
      </c>
      <c r="X2292" s="107" t="s">
        <v>432</v>
      </c>
      <c r="Y2292" s="107" t="s">
        <v>432</v>
      </c>
      <c r="Z2292" s="107" t="s">
        <v>432</v>
      </c>
      <c r="AA2292" s="107" t="s">
        <v>432</v>
      </c>
      <c r="AB2292" s="107" t="s">
        <v>432</v>
      </c>
      <c r="AC2292" s="107" t="s">
        <v>432</v>
      </c>
      <c r="AD2292" s="107" t="s">
        <v>432</v>
      </c>
      <c r="AE2292" s="107" t="s">
        <v>432</v>
      </c>
      <c r="AF2292" s="107" t="s">
        <v>432</v>
      </c>
      <c r="AG2292" s="107" t="s">
        <v>432</v>
      </c>
      <c r="AH2292" s="107" t="s">
        <v>432</v>
      </c>
      <c r="AI2292" s="107" t="s">
        <v>432</v>
      </c>
      <c r="AJ2292" s="107" t="s">
        <v>432</v>
      </c>
      <c r="AK2292" s="137" t="s">
        <v>432</v>
      </c>
      <c r="AL2292" s="601" t="s">
        <v>432</v>
      </c>
      <c r="AM2292" s="137" t="s">
        <v>432</v>
      </c>
      <c r="AN2292" s="137" t="s">
        <v>432</v>
      </c>
      <c r="AO2292" s="137" t="s">
        <v>432</v>
      </c>
      <c r="AP2292" s="137" t="s">
        <v>432</v>
      </c>
      <c r="AQ2292" s="137" t="s">
        <v>432</v>
      </c>
      <c r="AR2292" s="137" t="s">
        <v>432</v>
      </c>
      <c r="AS2292" s="137" t="s">
        <v>432</v>
      </c>
      <c r="AT2292" s="137" t="s">
        <v>432</v>
      </c>
      <c r="AU2292" s="137" t="s">
        <v>432</v>
      </c>
      <c r="AV2292" s="137" t="s">
        <v>432</v>
      </c>
      <c r="AW2292" s="137" t="s">
        <v>432</v>
      </c>
      <c r="AX2292" s="137" t="s">
        <v>432</v>
      </c>
      <c r="AY2292" s="137" t="s">
        <v>432</v>
      </c>
      <c r="AZ2292" s="137" t="s">
        <v>432</v>
      </c>
      <c r="BA2292" s="137" t="s">
        <v>432</v>
      </c>
      <c r="BB2292" s="239" t="str">
        <f>B2292&amp;C2292</f>
        <v>geralacessibilidade</v>
      </c>
      <c r="BC2292" s="239" t="str">
        <f>B2292&amp;C2292&amp;H2292</f>
        <v>geralacessibilidadesigla/verbete</v>
      </c>
      <c r="BD2292" s="239" t="str">
        <f>B2292&amp;H2292</f>
        <v>geralsigla/verbete</v>
      </c>
    </row>
    <row r="2293" spans="1:67" s="3" customFormat="1" ht="72" customHeight="1" x14ac:dyDescent="0.25">
      <c r="A2293" s="262" t="s">
        <v>432</v>
      </c>
      <c r="B2293" s="252" t="s">
        <v>742</v>
      </c>
      <c r="C2293" s="167" t="s">
        <v>743</v>
      </c>
      <c r="D2293" s="968" t="s">
        <v>4377</v>
      </c>
      <c r="E2293" s="1509" t="s">
        <v>432</v>
      </c>
      <c r="F2293" s="252" t="s">
        <v>4378</v>
      </c>
      <c r="G2293" s="230" t="s">
        <v>3507</v>
      </c>
      <c r="H2293" s="167" t="s">
        <v>2408</v>
      </c>
      <c r="I2293" s="167" t="s">
        <v>432</v>
      </c>
      <c r="J2293" s="107" t="s">
        <v>432</v>
      </c>
      <c r="K2293" s="107" t="s">
        <v>432</v>
      </c>
      <c r="L2293" s="107" t="s">
        <v>432</v>
      </c>
      <c r="M2293" s="107" t="s">
        <v>432</v>
      </c>
      <c r="N2293" s="107" t="s">
        <v>432</v>
      </c>
      <c r="O2293" s="107" t="s">
        <v>432</v>
      </c>
      <c r="P2293" s="107" t="s">
        <v>432</v>
      </c>
      <c r="Q2293" s="107" t="s">
        <v>432</v>
      </c>
      <c r="R2293" s="107" t="s">
        <v>432</v>
      </c>
      <c r="S2293" s="109" t="s">
        <v>2209</v>
      </c>
      <c r="T2293" s="107" t="s">
        <v>432</v>
      </c>
      <c r="U2293" s="107" t="s">
        <v>432</v>
      </c>
      <c r="V2293" s="109" t="s">
        <v>2209</v>
      </c>
      <c r="W2293" s="107" t="s">
        <v>432</v>
      </c>
      <c r="X2293" s="107" t="s">
        <v>432</v>
      </c>
      <c r="Y2293" s="107" t="s">
        <v>432</v>
      </c>
      <c r="Z2293" s="107" t="s">
        <v>432</v>
      </c>
      <c r="AA2293" s="107" t="s">
        <v>432</v>
      </c>
      <c r="AB2293" s="107" t="s">
        <v>432</v>
      </c>
      <c r="AC2293" s="107" t="s">
        <v>432</v>
      </c>
      <c r="AD2293" s="107" t="s">
        <v>432</v>
      </c>
      <c r="AE2293" s="107" t="s">
        <v>432</v>
      </c>
      <c r="AF2293" s="107" t="s">
        <v>432</v>
      </c>
      <c r="AG2293" s="107" t="s">
        <v>432</v>
      </c>
      <c r="AH2293" s="107" t="s">
        <v>432</v>
      </c>
      <c r="AI2293" s="107" t="s">
        <v>432</v>
      </c>
      <c r="AJ2293" s="107" t="s">
        <v>432</v>
      </c>
      <c r="AK2293" s="137" t="s">
        <v>432</v>
      </c>
      <c r="AL2293" s="601" t="s">
        <v>432</v>
      </c>
      <c r="AM2293" s="137" t="s">
        <v>432</v>
      </c>
      <c r="AN2293" s="137" t="s">
        <v>432</v>
      </c>
      <c r="AO2293" s="137" t="s">
        <v>432</v>
      </c>
      <c r="AP2293" s="137" t="s">
        <v>432</v>
      </c>
      <c r="AQ2293" s="137" t="s">
        <v>432</v>
      </c>
      <c r="AR2293" s="137" t="s">
        <v>432</v>
      </c>
      <c r="AS2293" s="137" t="s">
        <v>432</v>
      </c>
      <c r="AT2293" s="137" t="s">
        <v>432</v>
      </c>
      <c r="AU2293" s="137" t="s">
        <v>432</v>
      </c>
      <c r="AV2293" s="137" t="s">
        <v>432</v>
      </c>
      <c r="AW2293" s="137" t="s">
        <v>432</v>
      </c>
      <c r="AX2293" s="137" t="s">
        <v>432</v>
      </c>
      <c r="AY2293" s="137" t="s">
        <v>432</v>
      </c>
      <c r="AZ2293" s="137" t="s">
        <v>432</v>
      </c>
      <c r="BA2293" s="137" t="s">
        <v>432</v>
      </c>
      <c r="BB2293" s="239" t="str">
        <f>B2293&amp;C2293</f>
        <v>geralacessibilidade</v>
      </c>
      <c r="BC2293" s="239" t="str">
        <f>B2293&amp;C2293&amp;H2293</f>
        <v>geralacessibilidadesigla/verbete</v>
      </c>
      <c r="BD2293" s="239" t="str">
        <f>B2293&amp;H2293</f>
        <v>geralsigla/verbete</v>
      </c>
    </row>
    <row r="2294" spans="1:67" s="1" customFormat="1" x14ac:dyDescent="0.25">
      <c r="A2294" s="398"/>
      <c r="B2294" s="221"/>
      <c r="C2294" s="399"/>
      <c r="D2294" s="987"/>
      <c r="E2294" s="1533"/>
      <c r="F2294" s="405"/>
      <c r="G2294" s="405"/>
      <c r="H2294" s="399"/>
      <c r="I2294" s="405"/>
      <c r="J2294" s="221"/>
      <c r="K2294" s="403"/>
      <c r="L2294" s="403"/>
      <c r="M2294" s="403"/>
      <c r="N2294" s="403"/>
      <c r="O2294" s="403"/>
      <c r="P2294" s="403"/>
      <c r="Q2294" s="403"/>
      <c r="R2294" s="403"/>
      <c r="S2294" s="403"/>
      <c r="T2294" s="403"/>
      <c r="U2294" s="403"/>
      <c r="V2294" s="403"/>
      <c r="W2294" s="403"/>
      <c r="X2294" s="403"/>
      <c r="Y2294" s="403"/>
      <c r="Z2294" s="403"/>
      <c r="AA2294" s="403"/>
      <c r="AB2294" s="403"/>
      <c r="AC2294" s="403"/>
      <c r="AD2294" s="403"/>
      <c r="AE2294" s="403"/>
      <c r="AF2294" s="403"/>
      <c r="AG2294" s="403"/>
      <c r="AH2294" s="403"/>
      <c r="AI2294" s="403"/>
      <c r="AJ2294" s="403"/>
      <c r="AK2294" s="223"/>
      <c r="AL2294" s="223"/>
      <c r="AM2294" s="223"/>
      <c r="AN2294" s="223"/>
      <c r="AO2294" s="223"/>
      <c r="AP2294" s="223"/>
      <c r="AQ2294" s="223"/>
      <c r="AR2294" s="223"/>
      <c r="AS2294" s="223"/>
      <c r="AT2294" s="223"/>
      <c r="AU2294" s="223"/>
      <c r="AV2294" s="223"/>
      <c r="AW2294" s="223"/>
      <c r="AX2294" s="223"/>
      <c r="AY2294" s="223"/>
      <c r="AZ2294" s="223"/>
      <c r="BA2294" s="223"/>
      <c r="BB2294" s="400"/>
      <c r="BC2294" s="400"/>
      <c r="BD2294" s="400"/>
    </row>
    <row r="2295" spans="1:67" s="1" customFormat="1" ht="41.25" x14ac:dyDescent="0.25">
      <c r="A2295" s="275" t="str">
        <f>'Q100b-totais'!$B$11</f>
        <v>1.2</v>
      </c>
      <c r="B2295" s="54" t="str">
        <f>'Q100b-totais'!$C$11</f>
        <v>Atendimento ao usuário em geral</v>
      </c>
      <c r="C2295" s="229" t="s">
        <v>432</v>
      </c>
      <c r="D2295" s="323" t="s">
        <v>368</v>
      </c>
      <c r="E2295" s="509" t="s">
        <v>1306</v>
      </c>
      <c r="F2295" s="11" t="s">
        <v>716</v>
      </c>
      <c r="G2295" s="241" t="s">
        <v>77</v>
      </c>
      <c r="H2295" s="444" t="s">
        <v>678</v>
      </c>
      <c r="I2295" s="172">
        <v>1</v>
      </c>
      <c r="J2295" s="109" t="s">
        <v>432</v>
      </c>
      <c r="K2295" s="110" t="s">
        <v>432</v>
      </c>
      <c r="L2295" s="110" t="s">
        <v>432</v>
      </c>
      <c r="M2295" s="110" t="s">
        <v>432</v>
      </c>
      <c r="N2295" s="110" t="s">
        <v>432</v>
      </c>
      <c r="O2295" s="110" t="s">
        <v>432</v>
      </c>
      <c r="P2295" s="110" t="s">
        <v>432</v>
      </c>
      <c r="Q2295" s="110" t="s">
        <v>432</v>
      </c>
      <c r="R2295" s="110" t="s">
        <v>432</v>
      </c>
      <c r="S2295" s="109" t="s">
        <v>2209</v>
      </c>
      <c r="T2295" s="110" t="s">
        <v>432</v>
      </c>
      <c r="U2295" s="110" t="s">
        <v>432</v>
      </c>
      <c r="V2295" s="109" t="s">
        <v>2209</v>
      </c>
      <c r="W2295" s="110" t="s">
        <v>432</v>
      </c>
      <c r="X2295" s="110" t="s">
        <v>432</v>
      </c>
      <c r="Y2295" s="110" t="s">
        <v>432</v>
      </c>
      <c r="Z2295" s="110" t="s">
        <v>432</v>
      </c>
      <c r="AA2295" s="110" t="s">
        <v>432</v>
      </c>
      <c r="AB2295" s="110" t="s">
        <v>432</v>
      </c>
      <c r="AC2295" s="110" t="s">
        <v>432</v>
      </c>
      <c r="AD2295" s="110" t="s">
        <v>432</v>
      </c>
      <c r="AE2295" s="110" t="s">
        <v>432</v>
      </c>
      <c r="AF2295" s="110" t="s">
        <v>432</v>
      </c>
      <c r="AG2295" s="110" t="s">
        <v>432</v>
      </c>
      <c r="AH2295" s="110" t="s">
        <v>432</v>
      </c>
      <c r="AI2295" s="110" t="s">
        <v>432</v>
      </c>
      <c r="AJ2295" s="110" t="s">
        <v>432</v>
      </c>
      <c r="AK2295" s="137" t="s">
        <v>432</v>
      </c>
      <c r="AL2295" s="601" t="s">
        <v>432</v>
      </c>
      <c r="AM2295" s="137" t="s">
        <v>432</v>
      </c>
      <c r="AN2295" s="137" t="s">
        <v>432</v>
      </c>
      <c r="AO2295" s="137" t="s">
        <v>432</v>
      </c>
      <c r="AP2295" s="137" t="s">
        <v>432</v>
      </c>
      <c r="AQ2295" s="137" t="s">
        <v>432</v>
      </c>
      <c r="AR2295" s="137" t="s">
        <v>432</v>
      </c>
      <c r="AS2295" s="137" t="s">
        <v>432</v>
      </c>
      <c r="AT2295" s="137" t="s">
        <v>432</v>
      </c>
      <c r="AU2295" s="137" t="s">
        <v>432</v>
      </c>
      <c r="AV2295" s="137" t="s">
        <v>432</v>
      </c>
      <c r="AW2295" s="137" t="s">
        <v>432</v>
      </c>
      <c r="AX2295" s="137" t="s">
        <v>432</v>
      </c>
      <c r="AY2295" s="137" t="s">
        <v>432</v>
      </c>
      <c r="AZ2295" s="137" t="s">
        <v>432</v>
      </c>
      <c r="BA2295" s="137" t="s">
        <v>432</v>
      </c>
      <c r="BB2295" s="239" t="str">
        <f t="shared" si="666"/>
        <v>Atendimento ao usuário em geralx</v>
      </c>
      <c r="BC2295" s="239" t="str">
        <f t="shared" si="667"/>
        <v>Atendimento ao usuário em geralxainda não incorporado ao SisMob-BH</v>
      </c>
      <c r="BD2295" s="239" t="str">
        <f t="shared" si="668"/>
        <v>Atendimento ao usuário em geralainda não incorporado ao SisMob-BH</v>
      </c>
      <c r="BM2295" s="19"/>
      <c r="BN2295" s="19"/>
      <c r="BO2295" s="19"/>
    </row>
    <row r="2296" spans="1:67" s="3" customFormat="1" ht="25.5" customHeight="1" x14ac:dyDescent="0.25">
      <c r="A2296" s="262" t="s">
        <v>432</v>
      </c>
      <c r="B2296" s="252" t="s">
        <v>742</v>
      </c>
      <c r="C2296" s="167" t="s">
        <v>432</v>
      </c>
      <c r="D2296" s="324" t="s">
        <v>1104</v>
      </c>
      <c r="E2296" s="1496" t="s">
        <v>432</v>
      </c>
      <c r="F2296" s="11" t="s">
        <v>1103</v>
      </c>
      <c r="G2296" s="167" t="s">
        <v>3879</v>
      </c>
      <c r="H2296" s="169" t="s">
        <v>432</v>
      </c>
      <c r="I2296" s="167" t="s">
        <v>432</v>
      </c>
      <c r="J2296" s="109" t="s">
        <v>432</v>
      </c>
      <c r="K2296" s="109" t="s">
        <v>432</v>
      </c>
      <c r="L2296" s="109" t="s">
        <v>432</v>
      </c>
      <c r="M2296" s="109" t="s">
        <v>432</v>
      </c>
      <c r="N2296" s="109" t="s">
        <v>432</v>
      </c>
      <c r="O2296" s="109" t="s">
        <v>432</v>
      </c>
      <c r="P2296" s="109" t="s">
        <v>432</v>
      </c>
      <c r="Q2296" s="109" t="s">
        <v>432</v>
      </c>
      <c r="R2296" s="109" t="s">
        <v>432</v>
      </c>
      <c r="S2296" s="109" t="s">
        <v>2209</v>
      </c>
      <c r="T2296" s="109" t="s">
        <v>432</v>
      </c>
      <c r="U2296" s="109" t="s">
        <v>432</v>
      </c>
      <c r="V2296" s="109" t="s">
        <v>2209</v>
      </c>
      <c r="W2296" s="109" t="s">
        <v>432</v>
      </c>
      <c r="X2296" s="109" t="s">
        <v>432</v>
      </c>
      <c r="Y2296" s="109" t="s">
        <v>432</v>
      </c>
      <c r="Z2296" s="109" t="s">
        <v>432</v>
      </c>
      <c r="AA2296" s="109" t="s">
        <v>432</v>
      </c>
      <c r="AB2296" s="109" t="s">
        <v>432</v>
      </c>
      <c r="AC2296" s="109" t="s">
        <v>432</v>
      </c>
      <c r="AD2296" s="109" t="s">
        <v>432</v>
      </c>
      <c r="AE2296" s="109" t="s">
        <v>432</v>
      </c>
      <c r="AF2296" s="109" t="s">
        <v>432</v>
      </c>
      <c r="AG2296" s="109" t="s">
        <v>432</v>
      </c>
      <c r="AH2296" s="109" t="s">
        <v>432</v>
      </c>
      <c r="AI2296" s="109" t="s">
        <v>432</v>
      </c>
      <c r="AJ2296" s="109" t="s">
        <v>432</v>
      </c>
      <c r="AK2296" s="109" t="s">
        <v>432</v>
      </c>
      <c r="AL2296" s="601" t="s">
        <v>432</v>
      </c>
      <c r="AM2296" s="109" t="s">
        <v>432</v>
      </c>
      <c r="AN2296" s="109" t="s">
        <v>432</v>
      </c>
      <c r="AO2296" s="109" t="s">
        <v>432</v>
      </c>
      <c r="AP2296" s="109" t="s">
        <v>432</v>
      </c>
      <c r="AQ2296" s="109" t="s">
        <v>432</v>
      </c>
      <c r="AR2296" s="109" t="s">
        <v>432</v>
      </c>
      <c r="AS2296" s="109" t="s">
        <v>432</v>
      </c>
      <c r="AT2296" s="109" t="s">
        <v>432</v>
      </c>
      <c r="AU2296" s="109" t="s">
        <v>432</v>
      </c>
      <c r="AV2296" s="109" t="s">
        <v>432</v>
      </c>
      <c r="AW2296" s="109" t="s">
        <v>432</v>
      </c>
      <c r="AX2296" s="109" t="s">
        <v>432</v>
      </c>
      <c r="AY2296" s="109" t="s">
        <v>432</v>
      </c>
      <c r="AZ2296" s="109" t="s">
        <v>432</v>
      </c>
      <c r="BA2296" s="109" t="s">
        <v>432</v>
      </c>
      <c r="BB2296" s="239" t="str">
        <f t="shared" si="666"/>
        <v>geralx</v>
      </c>
      <c r="BC2296" s="239" t="str">
        <f t="shared" si="667"/>
        <v>geralxx</v>
      </c>
      <c r="BD2296" s="239" t="str">
        <f t="shared" si="668"/>
        <v>geralx</v>
      </c>
    </row>
    <row r="2297" spans="1:67" s="3" customFormat="1" ht="25.5" x14ac:dyDescent="0.25">
      <c r="A2297" s="262" t="str">
        <f>'Q100b-totais'!B21</f>
        <v>2.6</v>
      </c>
      <c r="B2297" s="252" t="str">
        <f>'Q100b-totais'!C21</f>
        <v>Cidades da RMBH</v>
      </c>
      <c r="C2297" s="167" t="s">
        <v>432</v>
      </c>
      <c r="D2297" s="323" t="s">
        <v>1760</v>
      </c>
      <c r="E2297" s="1491" t="s">
        <v>1760</v>
      </c>
      <c r="F2297" s="468" t="str">
        <f>pend!C209</f>
        <v>município da RMBH (faltando completar)</v>
      </c>
      <c r="G2297" s="230" t="s">
        <v>3507</v>
      </c>
      <c r="H2297" s="167" t="s">
        <v>2408</v>
      </c>
      <c r="I2297" s="167" t="s">
        <v>432</v>
      </c>
      <c r="J2297" s="107" t="s">
        <v>432</v>
      </c>
      <c r="K2297" s="107" t="s">
        <v>432</v>
      </c>
      <c r="L2297" s="107" t="s">
        <v>432</v>
      </c>
      <c r="M2297" s="107" t="s">
        <v>432</v>
      </c>
      <c r="N2297" s="107" t="s">
        <v>432</v>
      </c>
      <c r="O2297" s="107" t="s">
        <v>432</v>
      </c>
      <c r="P2297" s="107" t="s">
        <v>432</v>
      </c>
      <c r="Q2297" s="107" t="s">
        <v>432</v>
      </c>
      <c r="R2297" s="107" t="s">
        <v>432</v>
      </c>
      <c r="S2297" s="109" t="s">
        <v>2209</v>
      </c>
      <c r="T2297" s="107" t="s">
        <v>432</v>
      </c>
      <c r="U2297" s="107" t="s">
        <v>432</v>
      </c>
      <c r="V2297" s="109" t="s">
        <v>2209</v>
      </c>
      <c r="W2297" s="107" t="s">
        <v>432</v>
      </c>
      <c r="X2297" s="107" t="s">
        <v>432</v>
      </c>
      <c r="Y2297" s="107" t="s">
        <v>432</v>
      </c>
      <c r="Z2297" s="107" t="s">
        <v>432</v>
      </c>
      <c r="AA2297" s="107" t="s">
        <v>432</v>
      </c>
      <c r="AB2297" s="107" t="s">
        <v>432</v>
      </c>
      <c r="AC2297" s="107" t="s">
        <v>432</v>
      </c>
      <c r="AD2297" s="107" t="s">
        <v>432</v>
      </c>
      <c r="AE2297" s="107" t="s">
        <v>432</v>
      </c>
      <c r="AF2297" s="107" t="s">
        <v>432</v>
      </c>
      <c r="AG2297" s="107" t="s">
        <v>432</v>
      </c>
      <c r="AH2297" s="107" t="s">
        <v>432</v>
      </c>
      <c r="AI2297" s="107" t="s">
        <v>432</v>
      </c>
      <c r="AJ2297" s="107" t="s">
        <v>432</v>
      </c>
      <c r="AK2297" s="107" t="s">
        <v>432</v>
      </c>
      <c r="AL2297" s="601" t="s">
        <v>432</v>
      </c>
      <c r="AM2297" s="137" t="s">
        <v>432</v>
      </c>
      <c r="AN2297" s="137" t="s">
        <v>432</v>
      </c>
      <c r="AO2297" s="137" t="s">
        <v>432</v>
      </c>
      <c r="AP2297" s="137" t="s">
        <v>432</v>
      </c>
      <c r="AQ2297" s="137" t="s">
        <v>432</v>
      </c>
      <c r="AR2297" s="137" t="s">
        <v>432</v>
      </c>
      <c r="AS2297" s="137" t="s">
        <v>432</v>
      </c>
      <c r="AT2297" s="137" t="s">
        <v>432</v>
      </c>
      <c r="AU2297" s="137" t="s">
        <v>432</v>
      </c>
      <c r="AV2297" s="137" t="s">
        <v>432</v>
      </c>
      <c r="AW2297" s="137" t="s">
        <v>432</v>
      </c>
      <c r="AX2297" s="137" t="s">
        <v>432</v>
      </c>
      <c r="AY2297" s="137" t="s">
        <v>432</v>
      </c>
      <c r="AZ2297" s="137" t="s">
        <v>432</v>
      </c>
      <c r="BA2297" s="137" t="s">
        <v>432</v>
      </c>
      <c r="BB2297" s="239" t="str">
        <f t="shared" si="666"/>
        <v>Cidades da RMBHx</v>
      </c>
      <c r="BC2297" s="239" t="str">
        <f t="shared" si="667"/>
        <v>Cidades da RMBHxsigla/verbete</v>
      </c>
      <c r="BD2297" s="239" t="str">
        <f t="shared" si="668"/>
        <v>Cidades da RMBHsigla/verbete</v>
      </c>
    </row>
    <row r="2298" spans="1:67" s="3" customFormat="1" ht="57" customHeight="1" x14ac:dyDescent="0.25">
      <c r="A2298" s="262" t="str">
        <f>'Q100b-totais'!B22</f>
        <v>2.7</v>
      </c>
      <c r="B2298" s="252" t="str">
        <f>'Q100b-totais'!C22</f>
        <v>Outras cidades/regiões</v>
      </c>
      <c r="C2298" s="167" t="s">
        <v>743</v>
      </c>
      <c r="D2298" s="325" t="s">
        <v>4197</v>
      </c>
      <c r="E2298" s="1445" t="s">
        <v>4197</v>
      </c>
      <c r="F2298" s="252" t="s">
        <v>4257</v>
      </c>
      <c r="G2298" s="230" t="s">
        <v>3507</v>
      </c>
      <c r="H2298" s="167" t="s">
        <v>2408</v>
      </c>
      <c r="I2298" s="167" t="s">
        <v>432</v>
      </c>
      <c r="J2298" s="107" t="s">
        <v>432</v>
      </c>
      <c r="K2298" s="107" t="s">
        <v>432</v>
      </c>
      <c r="L2298" s="107" t="s">
        <v>432</v>
      </c>
      <c r="M2298" s="107" t="s">
        <v>432</v>
      </c>
      <c r="N2298" s="107" t="s">
        <v>432</v>
      </c>
      <c r="O2298" s="107" t="s">
        <v>432</v>
      </c>
      <c r="P2298" s="107" t="s">
        <v>432</v>
      </c>
      <c r="Q2298" s="107" t="s">
        <v>432</v>
      </c>
      <c r="R2298" s="107" t="s">
        <v>432</v>
      </c>
      <c r="S2298" s="109" t="s">
        <v>2209</v>
      </c>
      <c r="T2298" s="107" t="s">
        <v>432</v>
      </c>
      <c r="U2298" s="107" t="s">
        <v>432</v>
      </c>
      <c r="V2298" s="109" t="s">
        <v>2209</v>
      </c>
      <c r="W2298" s="107" t="s">
        <v>432</v>
      </c>
      <c r="X2298" s="107" t="s">
        <v>432</v>
      </c>
      <c r="Y2298" s="107" t="s">
        <v>432</v>
      </c>
      <c r="Z2298" s="107" t="s">
        <v>432</v>
      </c>
      <c r="AA2298" s="107" t="s">
        <v>432</v>
      </c>
      <c r="AB2298" s="107" t="s">
        <v>432</v>
      </c>
      <c r="AC2298" s="107" t="s">
        <v>432</v>
      </c>
      <c r="AD2298" s="107" t="s">
        <v>432</v>
      </c>
      <c r="AE2298" s="107" t="s">
        <v>432</v>
      </c>
      <c r="AF2298" s="107" t="s">
        <v>432</v>
      </c>
      <c r="AG2298" s="107" t="s">
        <v>432</v>
      </c>
      <c r="AH2298" s="107" t="s">
        <v>432</v>
      </c>
      <c r="AI2298" s="107" t="s">
        <v>432</v>
      </c>
      <c r="AJ2298" s="107" t="s">
        <v>432</v>
      </c>
      <c r="AK2298" s="107" t="s">
        <v>432</v>
      </c>
      <c r="AL2298" s="601" t="s">
        <v>432</v>
      </c>
      <c r="AM2298" s="137" t="s">
        <v>432</v>
      </c>
      <c r="AN2298" s="137" t="s">
        <v>432</v>
      </c>
      <c r="AO2298" s="137" t="s">
        <v>432</v>
      </c>
      <c r="AP2298" s="137" t="s">
        <v>432</v>
      </c>
      <c r="AQ2298" s="137" t="s">
        <v>432</v>
      </c>
      <c r="AR2298" s="137" t="s">
        <v>432</v>
      </c>
      <c r="AS2298" s="137" t="s">
        <v>432</v>
      </c>
      <c r="AT2298" s="137" t="s">
        <v>432</v>
      </c>
      <c r="AU2298" s="137" t="s">
        <v>432</v>
      </c>
      <c r="AV2298" s="137" t="s">
        <v>432</v>
      </c>
      <c r="AW2298" s="137" t="s">
        <v>432</v>
      </c>
      <c r="AX2298" s="137" t="s">
        <v>432</v>
      </c>
      <c r="AY2298" s="137" t="s">
        <v>432</v>
      </c>
      <c r="AZ2298" s="137" t="s">
        <v>432</v>
      </c>
      <c r="BA2298" s="137" t="s">
        <v>432</v>
      </c>
      <c r="BB2298" s="239" t="str">
        <f>B2298&amp;C2298</f>
        <v>Outras cidades/regiõesacessibilidade</v>
      </c>
      <c r="BC2298" s="239" t="str">
        <f>B2298&amp;C2298&amp;H2298</f>
        <v>Outras cidades/regiõesacessibilidadesigla/verbete</v>
      </c>
      <c r="BD2298" s="239" t="str">
        <f>B2298&amp;H2298</f>
        <v>Outras cidades/regiõessigla/verbete</v>
      </c>
    </row>
    <row r="2299" spans="1:67" s="3" customFormat="1" ht="25.5" x14ac:dyDescent="0.25">
      <c r="A2299" s="262" t="str">
        <f>'Q100b-totais'!B21</f>
        <v>2.6</v>
      </c>
      <c r="B2299" s="252" t="str">
        <f>'Q100b-totais'!C21</f>
        <v>Cidades da RMBH</v>
      </c>
      <c r="C2299" s="167" t="s">
        <v>432</v>
      </c>
      <c r="D2299" s="323" t="s">
        <v>1761</v>
      </c>
      <c r="E2299" s="1491" t="s">
        <v>1761</v>
      </c>
      <c r="F2299" s="468" t="str">
        <f>pend!C210</f>
        <v>município da RMBH (faltando completar)</v>
      </c>
      <c r="G2299" s="230" t="s">
        <v>3507</v>
      </c>
      <c r="H2299" s="167" t="s">
        <v>2408</v>
      </c>
      <c r="I2299" s="167" t="s">
        <v>432</v>
      </c>
      <c r="J2299" s="107" t="s">
        <v>432</v>
      </c>
      <c r="K2299" s="107" t="s">
        <v>432</v>
      </c>
      <c r="L2299" s="107" t="s">
        <v>432</v>
      </c>
      <c r="M2299" s="107" t="s">
        <v>432</v>
      </c>
      <c r="N2299" s="107" t="s">
        <v>432</v>
      </c>
      <c r="O2299" s="107" t="s">
        <v>432</v>
      </c>
      <c r="P2299" s="107" t="s">
        <v>432</v>
      </c>
      <c r="Q2299" s="107" t="s">
        <v>432</v>
      </c>
      <c r="R2299" s="107" t="s">
        <v>432</v>
      </c>
      <c r="S2299" s="109" t="s">
        <v>2209</v>
      </c>
      <c r="T2299" s="107" t="s">
        <v>432</v>
      </c>
      <c r="U2299" s="107" t="s">
        <v>432</v>
      </c>
      <c r="V2299" s="109" t="s">
        <v>2209</v>
      </c>
      <c r="W2299" s="107" t="s">
        <v>432</v>
      </c>
      <c r="X2299" s="107" t="s">
        <v>432</v>
      </c>
      <c r="Y2299" s="107" t="s">
        <v>432</v>
      </c>
      <c r="Z2299" s="107" t="s">
        <v>432</v>
      </c>
      <c r="AA2299" s="107" t="s">
        <v>432</v>
      </c>
      <c r="AB2299" s="107" t="s">
        <v>432</v>
      </c>
      <c r="AC2299" s="107" t="s">
        <v>432</v>
      </c>
      <c r="AD2299" s="107" t="s">
        <v>432</v>
      </c>
      <c r="AE2299" s="107" t="s">
        <v>432</v>
      </c>
      <c r="AF2299" s="107" t="s">
        <v>432</v>
      </c>
      <c r="AG2299" s="107" t="s">
        <v>432</v>
      </c>
      <c r="AH2299" s="107" t="s">
        <v>432</v>
      </c>
      <c r="AI2299" s="107" t="s">
        <v>432</v>
      </c>
      <c r="AJ2299" s="107" t="s">
        <v>432</v>
      </c>
      <c r="AK2299" s="107" t="s">
        <v>432</v>
      </c>
      <c r="AL2299" s="601" t="s">
        <v>432</v>
      </c>
      <c r="AM2299" s="137" t="s">
        <v>432</v>
      </c>
      <c r="AN2299" s="137" t="s">
        <v>432</v>
      </c>
      <c r="AO2299" s="137" t="s">
        <v>432</v>
      </c>
      <c r="AP2299" s="137" t="s">
        <v>432</v>
      </c>
      <c r="AQ2299" s="137" t="s">
        <v>432</v>
      </c>
      <c r="AR2299" s="137" t="s">
        <v>432</v>
      </c>
      <c r="AS2299" s="137" t="s">
        <v>432</v>
      </c>
      <c r="AT2299" s="137" t="s">
        <v>432</v>
      </c>
      <c r="AU2299" s="137" t="s">
        <v>432</v>
      </c>
      <c r="AV2299" s="137" t="s">
        <v>432</v>
      </c>
      <c r="AW2299" s="137" t="s">
        <v>432</v>
      </c>
      <c r="AX2299" s="137" t="s">
        <v>432</v>
      </c>
      <c r="AY2299" s="137" t="s">
        <v>432</v>
      </c>
      <c r="AZ2299" s="137" t="s">
        <v>432</v>
      </c>
      <c r="BA2299" s="137" t="s">
        <v>432</v>
      </c>
      <c r="BB2299" s="239" t="str">
        <f t="shared" ref="BB2299" si="673">B2299&amp;C2299</f>
        <v>Cidades da RMBHx</v>
      </c>
      <c r="BC2299" s="239" t="str">
        <f t="shared" ref="BC2299" si="674">B2299&amp;C2299&amp;H2299</f>
        <v>Cidades da RMBHxsigla/verbete</v>
      </c>
      <c r="BD2299" s="239" t="str">
        <f t="shared" ref="BD2299" si="675">B2299&amp;H2299</f>
        <v>Cidades da RMBHsigla/verbete</v>
      </c>
    </row>
    <row r="2300" spans="1:67" s="3" customFormat="1" ht="45.75" customHeight="1" x14ac:dyDescent="0.25">
      <c r="A2300" s="262" t="str">
        <f>'Q100b-totais'!B22</f>
        <v>2.7</v>
      </c>
      <c r="B2300" s="252" t="str">
        <f>'Q100b-totais'!C22</f>
        <v>Outras cidades/regiões</v>
      </c>
      <c r="C2300" s="167" t="s">
        <v>743</v>
      </c>
      <c r="D2300" s="325" t="s">
        <v>3038</v>
      </c>
      <c r="E2300" s="1445" t="s">
        <v>3038</v>
      </c>
      <c r="F2300" s="252" t="s">
        <v>4258</v>
      </c>
      <c r="G2300" s="230" t="s">
        <v>3507</v>
      </c>
      <c r="H2300" s="167" t="s">
        <v>2408</v>
      </c>
      <c r="I2300" s="167" t="s">
        <v>432</v>
      </c>
      <c r="J2300" s="107" t="s">
        <v>432</v>
      </c>
      <c r="K2300" s="107" t="s">
        <v>432</v>
      </c>
      <c r="L2300" s="107" t="s">
        <v>432</v>
      </c>
      <c r="M2300" s="107" t="s">
        <v>432</v>
      </c>
      <c r="N2300" s="107" t="s">
        <v>432</v>
      </c>
      <c r="O2300" s="107" t="s">
        <v>432</v>
      </c>
      <c r="P2300" s="107" t="s">
        <v>432</v>
      </c>
      <c r="Q2300" s="107" t="s">
        <v>432</v>
      </c>
      <c r="R2300" s="107" t="s">
        <v>432</v>
      </c>
      <c r="S2300" s="109" t="s">
        <v>2209</v>
      </c>
      <c r="T2300" s="107" t="s">
        <v>432</v>
      </c>
      <c r="U2300" s="107" t="s">
        <v>432</v>
      </c>
      <c r="V2300" s="109" t="s">
        <v>2209</v>
      </c>
      <c r="W2300" s="107" t="s">
        <v>432</v>
      </c>
      <c r="X2300" s="107" t="s">
        <v>432</v>
      </c>
      <c r="Y2300" s="107" t="s">
        <v>432</v>
      </c>
      <c r="Z2300" s="107" t="s">
        <v>432</v>
      </c>
      <c r="AA2300" s="107" t="s">
        <v>432</v>
      </c>
      <c r="AB2300" s="107" t="s">
        <v>432</v>
      </c>
      <c r="AC2300" s="107" t="s">
        <v>432</v>
      </c>
      <c r="AD2300" s="107" t="s">
        <v>432</v>
      </c>
      <c r="AE2300" s="107" t="s">
        <v>432</v>
      </c>
      <c r="AF2300" s="107" t="s">
        <v>432</v>
      </c>
      <c r="AG2300" s="107" t="s">
        <v>432</v>
      </c>
      <c r="AH2300" s="107" t="s">
        <v>432</v>
      </c>
      <c r="AI2300" s="107" t="s">
        <v>432</v>
      </c>
      <c r="AJ2300" s="107" t="s">
        <v>432</v>
      </c>
      <c r="AK2300" s="107" t="s">
        <v>432</v>
      </c>
      <c r="AL2300" s="601" t="s">
        <v>432</v>
      </c>
      <c r="AM2300" s="137" t="s">
        <v>432</v>
      </c>
      <c r="AN2300" s="137" t="s">
        <v>432</v>
      </c>
      <c r="AO2300" s="137" t="s">
        <v>432</v>
      </c>
      <c r="AP2300" s="137" t="s">
        <v>432</v>
      </c>
      <c r="AQ2300" s="137" t="s">
        <v>432</v>
      </c>
      <c r="AR2300" s="137" t="s">
        <v>432</v>
      </c>
      <c r="AS2300" s="137" t="s">
        <v>432</v>
      </c>
      <c r="AT2300" s="137" t="s">
        <v>432</v>
      </c>
      <c r="AU2300" s="137" t="s">
        <v>432</v>
      </c>
      <c r="AV2300" s="137" t="s">
        <v>432</v>
      </c>
      <c r="AW2300" s="137" t="s">
        <v>432</v>
      </c>
      <c r="AX2300" s="137" t="s">
        <v>432</v>
      </c>
      <c r="AY2300" s="137" t="s">
        <v>432</v>
      </c>
      <c r="AZ2300" s="137" t="s">
        <v>432</v>
      </c>
      <c r="BA2300" s="137" t="s">
        <v>432</v>
      </c>
      <c r="BB2300" s="239" t="str">
        <f>B2300&amp;C2300</f>
        <v>Outras cidades/regiõesacessibilidade</v>
      </c>
      <c r="BC2300" s="239" t="str">
        <f>B2300&amp;C2300&amp;H2300</f>
        <v>Outras cidades/regiõesacessibilidadesigla/verbete</v>
      </c>
      <c r="BD2300" s="239" t="str">
        <f>B2300&amp;H2300</f>
        <v>Outras cidades/regiõessigla/verbete</v>
      </c>
    </row>
    <row r="2301" spans="1:67" s="3" customFormat="1" ht="31.5" x14ac:dyDescent="0.25">
      <c r="A2301" s="262" t="str">
        <f>'Q100b-totais'!B21</f>
        <v>2.6</v>
      </c>
      <c r="B2301" s="252" t="str">
        <f>'Q100b-totais'!C21</f>
        <v>Cidades da RMBH</v>
      </c>
      <c r="C2301" s="167" t="s">
        <v>432</v>
      </c>
      <c r="D2301" s="323" t="s">
        <v>1762</v>
      </c>
      <c r="E2301" s="1491" t="s">
        <v>1762</v>
      </c>
      <c r="F2301" s="468" t="str">
        <f>pend!C211</f>
        <v>município da RMBH (faltando completar)</v>
      </c>
      <c r="G2301" s="230" t="s">
        <v>3507</v>
      </c>
      <c r="H2301" s="167" t="s">
        <v>2408</v>
      </c>
      <c r="I2301" s="167" t="s">
        <v>432</v>
      </c>
      <c r="J2301" s="107" t="s">
        <v>432</v>
      </c>
      <c r="K2301" s="107" t="s">
        <v>432</v>
      </c>
      <c r="L2301" s="107" t="s">
        <v>432</v>
      </c>
      <c r="M2301" s="107" t="s">
        <v>432</v>
      </c>
      <c r="N2301" s="107" t="s">
        <v>432</v>
      </c>
      <c r="O2301" s="107" t="s">
        <v>432</v>
      </c>
      <c r="P2301" s="107" t="s">
        <v>432</v>
      </c>
      <c r="Q2301" s="107" t="s">
        <v>432</v>
      </c>
      <c r="R2301" s="107" t="s">
        <v>432</v>
      </c>
      <c r="S2301" s="109" t="s">
        <v>2209</v>
      </c>
      <c r="T2301" s="107" t="s">
        <v>432</v>
      </c>
      <c r="U2301" s="107" t="s">
        <v>432</v>
      </c>
      <c r="V2301" s="109" t="s">
        <v>2209</v>
      </c>
      <c r="W2301" s="107" t="s">
        <v>432</v>
      </c>
      <c r="X2301" s="107" t="s">
        <v>432</v>
      </c>
      <c r="Y2301" s="107" t="s">
        <v>432</v>
      </c>
      <c r="Z2301" s="107" t="s">
        <v>432</v>
      </c>
      <c r="AA2301" s="107" t="s">
        <v>432</v>
      </c>
      <c r="AB2301" s="107" t="s">
        <v>432</v>
      </c>
      <c r="AC2301" s="107" t="s">
        <v>432</v>
      </c>
      <c r="AD2301" s="107" t="s">
        <v>432</v>
      </c>
      <c r="AE2301" s="107" t="s">
        <v>432</v>
      </c>
      <c r="AF2301" s="107" t="s">
        <v>432</v>
      </c>
      <c r="AG2301" s="107" t="s">
        <v>432</v>
      </c>
      <c r="AH2301" s="107" t="s">
        <v>432</v>
      </c>
      <c r="AI2301" s="107" t="s">
        <v>432</v>
      </c>
      <c r="AJ2301" s="107" t="s">
        <v>432</v>
      </c>
      <c r="AK2301" s="107" t="s">
        <v>432</v>
      </c>
      <c r="AL2301" s="601" t="s">
        <v>432</v>
      </c>
      <c r="AM2301" s="137" t="s">
        <v>432</v>
      </c>
      <c r="AN2301" s="137" t="s">
        <v>432</v>
      </c>
      <c r="AO2301" s="137" t="s">
        <v>432</v>
      </c>
      <c r="AP2301" s="137" t="s">
        <v>432</v>
      </c>
      <c r="AQ2301" s="137" t="s">
        <v>432</v>
      </c>
      <c r="AR2301" s="137" t="s">
        <v>432</v>
      </c>
      <c r="AS2301" s="137" t="s">
        <v>432</v>
      </c>
      <c r="AT2301" s="137" t="s">
        <v>432</v>
      </c>
      <c r="AU2301" s="137" t="s">
        <v>432</v>
      </c>
      <c r="AV2301" s="137" t="s">
        <v>432</v>
      </c>
      <c r="AW2301" s="137" t="s">
        <v>432</v>
      </c>
      <c r="AX2301" s="137" t="s">
        <v>432</v>
      </c>
      <c r="AY2301" s="137" t="s">
        <v>432</v>
      </c>
      <c r="AZ2301" s="137" t="s">
        <v>432</v>
      </c>
      <c r="BA2301" s="137" t="s">
        <v>432</v>
      </c>
      <c r="BB2301" s="239" t="str">
        <f t="shared" ref="BB2301:BB2302" si="676">B2301&amp;C2301</f>
        <v>Cidades da RMBHx</v>
      </c>
      <c r="BC2301" s="239" t="str">
        <f t="shared" ref="BC2301:BC2302" si="677">B2301&amp;C2301&amp;H2301</f>
        <v>Cidades da RMBHxsigla/verbete</v>
      </c>
      <c r="BD2301" s="239" t="str">
        <f t="shared" ref="BD2301:BD2302" si="678">B2301&amp;H2301</f>
        <v>Cidades da RMBHsigla/verbete</v>
      </c>
    </row>
    <row r="2302" spans="1:67" s="3" customFormat="1" ht="31.5" x14ac:dyDescent="0.25">
      <c r="A2302" s="262" t="str">
        <f>'Q100b-totais'!B21</f>
        <v>2.6</v>
      </c>
      <c r="B2302" s="252" t="str">
        <f>'Q100b-totais'!C21</f>
        <v>Cidades da RMBH</v>
      </c>
      <c r="C2302" s="167" t="s">
        <v>432</v>
      </c>
      <c r="D2302" s="323" t="s">
        <v>1763</v>
      </c>
      <c r="E2302" s="1491" t="s">
        <v>1763</v>
      </c>
      <c r="F2302" s="468" t="str">
        <f>pend!C212</f>
        <v>município da RMBH (faltando completar)</v>
      </c>
      <c r="G2302" s="230" t="s">
        <v>3507</v>
      </c>
      <c r="H2302" s="167" t="s">
        <v>2408</v>
      </c>
      <c r="I2302" s="167" t="s">
        <v>432</v>
      </c>
      <c r="J2302" s="107" t="s">
        <v>432</v>
      </c>
      <c r="K2302" s="107" t="s">
        <v>432</v>
      </c>
      <c r="L2302" s="107" t="s">
        <v>432</v>
      </c>
      <c r="M2302" s="107" t="s">
        <v>432</v>
      </c>
      <c r="N2302" s="107" t="s">
        <v>432</v>
      </c>
      <c r="O2302" s="107" t="s">
        <v>432</v>
      </c>
      <c r="P2302" s="107" t="s">
        <v>432</v>
      </c>
      <c r="Q2302" s="107" t="s">
        <v>432</v>
      </c>
      <c r="R2302" s="107" t="s">
        <v>432</v>
      </c>
      <c r="S2302" s="109" t="s">
        <v>2209</v>
      </c>
      <c r="T2302" s="107" t="s">
        <v>432</v>
      </c>
      <c r="U2302" s="107" t="s">
        <v>432</v>
      </c>
      <c r="V2302" s="109" t="s">
        <v>2209</v>
      </c>
      <c r="W2302" s="107" t="s">
        <v>432</v>
      </c>
      <c r="X2302" s="107" t="s">
        <v>432</v>
      </c>
      <c r="Y2302" s="107" t="s">
        <v>432</v>
      </c>
      <c r="Z2302" s="107" t="s">
        <v>432</v>
      </c>
      <c r="AA2302" s="107" t="s">
        <v>432</v>
      </c>
      <c r="AB2302" s="107" t="s">
        <v>432</v>
      </c>
      <c r="AC2302" s="107" t="s">
        <v>432</v>
      </c>
      <c r="AD2302" s="107" t="s">
        <v>432</v>
      </c>
      <c r="AE2302" s="107" t="s">
        <v>432</v>
      </c>
      <c r="AF2302" s="107" t="s">
        <v>432</v>
      </c>
      <c r="AG2302" s="107" t="s">
        <v>432</v>
      </c>
      <c r="AH2302" s="107" t="s">
        <v>432</v>
      </c>
      <c r="AI2302" s="107" t="s">
        <v>432</v>
      </c>
      <c r="AJ2302" s="107" t="s">
        <v>432</v>
      </c>
      <c r="AK2302" s="107" t="s">
        <v>432</v>
      </c>
      <c r="AL2302" s="601" t="s">
        <v>432</v>
      </c>
      <c r="AM2302" s="137" t="s">
        <v>432</v>
      </c>
      <c r="AN2302" s="137" t="s">
        <v>432</v>
      </c>
      <c r="AO2302" s="137" t="s">
        <v>432</v>
      </c>
      <c r="AP2302" s="137" t="s">
        <v>432</v>
      </c>
      <c r="AQ2302" s="137" t="s">
        <v>432</v>
      </c>
      <c r="AR2302" s="137" t="s">
        <v>432</v>
      </c>
      <c r="AS2302" s="137" t="s">
        <v>432</v>
      </c>
      <c r="AT2302" s="137" t="s">
        <v>432</v>
      </c>
      <c r="AU2302" s="137" t="s">
        <v>432</v>
      </c>
      <c r="AV2302" s="137" t="s">
        <v>432</v>
      </c>
      <c r="AW2302" s="137" t="s">
        <v>432</v>
      </c>
      <c r="AX2302" s="137" t="s">
        <v>432</v>
      </c>
      <c r="AY2302" s="137" t="s">
        <v>432</v>
      </c>
      <c r="AZ2302" s="137" t="s">
        <v>432</v>
      </c>
      <c r="BA2302" s="137" t="s">
        <v>432</v>
      </c>
      <c r="BB2302" s="239" t="str">
        <f t="shared" si="676"/>
        <v>Cidades da RMBHx</v>
      </c>
      <c r="BC2302" s="239" t="str">
        <f t="shared" si="677"/>
        <v>Cidades da RMBHxsigla/verbete</v>
      </c>
      <c r="BD2302" s="239" t="str">
        <f t="shared" si="678"/>
        <v>Cidades da RMBHsigla/verbete</v>
      </c>
    </row>
    <row r="2303" spans="1:67" s="1" customFormat="1" ht="30.75" customHeight="1" x14ac:dyDescent="0.25">
      <c r="A2303" s="262" t="str">
        <f>'Q100b-totais'!B22</f>
        <v>2.7</v>
      </c>
      <c r="B2303" s="252" t="str">
        <f>'Q100b-totais'!C22</f>
        <v>Outras cidades/regiões</v>
      </c>
      <c r="C2303" s="167" t="s">
        <v>432</v>
      </c>
      <c r="D2303" s="325" t="s">
        <v>1705</v>
      </c>
      <c r="E2303" s="1445" t="s">
        <v>1705</v>
      </c>
      <c r="F2303" s="1151" t="s">
        <v>6054</v>
      </c>
      <c r="G2303" s="230" t="s">
        <v>3507</v>
      </c>
      <c r="H2303" s="167" t="s">
        <v>2408</v>
      </c>
      <c r="I2303" s="167" t="s">
        <v>432</v>
      </c>
      <c r="J2303" s="107" t="s">
        <v>432</v>
      </c>
      <c r="K2303" s="107" t="s">
        <v>432</v>
      </c>
      <c r="L2303" s="107" t="s">
        <v>432</v>
      </c>
      <c r="M2303" s="107" t="s">
        <v>432</v>
      </c>
      <c r="N2303" s="107" t="s">
        <v>432</v>
      </c>
      <c r="O2303" s="107" t="s">
        <v>432</v>
      </c>
      <c r="P2303" s="107" t="s">
        <v>432</v>
      </c>
      <c r="Q2303" s="107" t="s">
        <v>432</v>
      </c>
      <c r="R2303" s="107" t="s">
        <v>432</v>
      </c>
      <c r="S2303" s="109" t="s">
        <v>2209</v>
      </c>
      <c r="T2303" s="107" t="s">
        <v>432</v>
      </c>
      <c r="U2303" s="107" t="s">
        <v>432</v>
      </c>
      <c r="V2303" s="109" t="s">
        <v>2209</v>
      </c>
      <c r="W2303" s="107" t="s">
        <v>432</v>
      </c>
      <c r="X2303" s="107" t="s">
        <v>432</v>
      </c>
      <c r="Y2303" s="107" t="s">
        <v>432</v>
      </c>
      <c r="Z2303" s="107" t="s">
        <v>432</v>
      </c>
      <c r="AA2303" s="107" t="s">
        <v>432</v>
      </c>
      <c r="AB2303" s="107" t="s">
        <v>432</v>
      </c>
      <c r="AC2303" s="107" t="s">
        <v>432</v>
      </c>
      <c r="AD2303" s="107" t="s">
        <v>432</v>
      </c>
      <c r="AE2303" s="107" t="s">
        <v>432</v>
      </c>
      <c r="AF2303" s="107" t="s">
        <v>432</v>
      </c>
      <c r="AG2303" s="107" t="s">
        <v>432</v>
      </c>
      <c r="AH2303" s="107" t="s">
        <v>432</v>
      </c>
      <c r="AI2303" s="107" t="s">
        <v>432</v>
      </c>
      <c r="AJ2303" s="107" t="s">
        <v>432</v>
      </c>
      <c r="AK2303" s="137" t="s">
        <v>432</v>
      </c>
      <c r="AL2303" s="601" t="s">
        <v>432</v>
      </c>
      <c r="AM2303" s="137" t="s">
        <v>432</v>
      </c>
      <c r="AN2303" s="137" t="s">
        <v>432</v>
      </c>
      <c r="AO2303" s="137" t="s">
        <v>432</v>
      </c>
      <c r="AP2303" s="137" t="s">
        <v>432</v>
      </c>
      <c r="AQ2303" s="137" t="s">
        <v>432</v>
      </c>
      <c r="AR2303" s="137" t="s">
        <v>432</v>
      </c>
      <c r="AS2303" s="137" t="s">
        <v>432</v>
      </c>
      <c r="AT2303" s="137" t="s">
        <v>432</v>
      </c>
      <c r="AU2303" s="137" t="s">
        <v>432</v>
      </c>
      <c r="AV2303" s="137" t="s">
        <v>432</v>
      </c>
      <c r="AW2303" s="137" t="s">
        <v>432</v>
      </c>
      <c r="AX2303" s="137" t="s">
        <v>432</v>
      </c>
      <c r="AY2303" s="137" t="s">
        <v>432</v>
      </c>
      <c r="AZ2303" s="137" t="s">
        <v>432</v>
      </c>
      <c r="BA2303" s="137" t="s">
        <v>432</v>
      </c>
      <c r="BB2303" s="239" t="str">
        <f>B2303&amp;C2303</f>
        <v>Outras cidades/regiõesx</v>
      </c>
      <c r="BC2303" s="239" t="str">
        <f>B2303&amp;C2303&amp;H2303</f>
        <v>Outras cidades/regiõesxsigla/verbete</v>
      </c>
      <c r="BD2303" s="239" t="str">
        <f>B2303&amp;H2303</f>
        <v>Outras cidades/regiõessigla/verbete</v>
      </c>
    </row>
    <row r="2304" spans="1:67" s="3" customFormat="1" ht="31.5" x14ac:dyDescent="0.25">
      <c r="A2304" s="262" t="s">
        <v>432</v>
      </c>
      <c r="B2304" s="252" t="s">
        <v>742</v>
      </c>
      <c r="C2304" s="167" t="s">
        <v>743</v>
      </c>
      <c r="D2304" s="324" t="s">
        <v>2521</v>
      </c>
      <c r="E2304" s="1445" t="s">
        <v>1705</v>
      </c>
      <c r="F2304" s="252" t="s">
        <v>2722</v>
      </c>
      <c r="G2304" s="230" t="s">
        <v>3507</v>
      </c>
      <c r="H2304" s="167" t="s">
        <v>2408</v>
      </c>
      <c r="I2304" s="167" t="s">
        <v>432</v>
      </c>
      <c r="J2304" s="107" t="s">
        <v>432</v>
      </c>
      <c r="K2304" s="107" t="s">
        <v>432</v>
      </c>
      <c r="L2304" s="107" t="s">
        <v>432</v>
      </c>
      <c r="M2304" s="107" t="s">
        <v>432</v>
      </c>
      <c r="N2304" s="107" t="s">
        <v>432</v>
      </c>
      <c r="O2304" s="107" t="s">
        <v>432</v>
      </c>
      <c r="P2304" s="107" t="s">
        <v>432</v>
      </c>
      <c r="Q2304" s="107" t="s">
        <v>432</v>
      </c>
      <c r="R2304" s="107" t="s">
        <v>432</v>
      </c>
      <c r="S2304" s="109" t="s">
        <v>2209</v>
      </c>
      <c r="T2304" s="107" t="s">
        <v>432</v>
      </c>
      <c r="U2304" s="107" t="s">
        <v>432</v>
      </c>
      <c r="V2304" s="109" t="s">
        <v>2209</v>
      </c>
      <c r="W2304" s="107" t="s">
        <v>432</v>
      </c>
      <c r="X2304" s="107" t="s">
        <v>432</v>
      </c>
      <c r="Y2304" s="107" t="s">
        <v>432</v>
      </c>
      <c r="Z2304" s="107" t="s">
        <v>432</v>
      </c>
      <c r="AA2304" s="107" t="s">
        <v>432</v>
      </c>
      <c r="AB2304" s="107" t="s">
        <v>432</v>
      </c>
      <c r="AC2304" s="107" t="s">
        <v>432</v>
      </c>
      <c r="AD2304" s="107" t="s">
        <v>432</v>
      </c>
      <c r="AE2304" s="107" t="s">
        <v>432</v>
      </c>
      <c r="AF2304" s="107" t="s">
        <v>432</v>
      </c>
      <c r="AG2304" s="107" t="s">
        <v>432</v>
      </c>
      <c r="AH2304" s="107" t="s">
        <v>432</v>
      </c>
      <c r="AI2304" s="107" t="s">
        <v>432</v>
      </c>
      <c r="AJ2304" s="107" t="s">
        <v>432</v>
      </c>
      <c r="AK2304" s="137" t="s">
        <v>432</v>
      </c>
      <c r="AL2304" s="601" t="s">
        <v>432</v>
      </c>
      <c r="AM2304" s="137" t="s">
        <v>432</v>
      </c>
      <c r="AN2304" s="137" t="s">
        <v>432</v>
      </c>
      <c r="AO2304" s="137" t="s">
        <v>432</v>
      </c>
      <c r="AP2304" s="137" t="s">
        <v>432</v>
      </c>
      <c r="AQ2304" s="137" t="s">
        <v>432</v>
      </c>
      <c r="AR2304" s="137" t="s">
        <v>432</v>
      </c>
      <c r="AS2304" s="137" t="s">
        <v>432</v>
      </c>
      <c r="AT2304" s="137" t="s">
        <v>432</v>
      </c>
      <c r="AU2304" s="137" t="s">
        <v>432</v>
      </c>
      <c r="AV2304" s="137" t="s">
        <v>432</v>
      </c>
      <c r="AW2304" s="137" t="s">
        <v>432</v>
      </c>
      <c r="AX2304" s="137" t="s">
        <v>432</v>
      </c>
      <c r="AY2304" s="137" t="s">
        <v>432</v>
      </c>
      <c r="AZ2304" s="137" t="s">
        <v>432</v>
      </c>
      <c r="BA2304" s="137" t="s">
        <v>432</v>
      </c>
      <c r="BB2304" s="239" t="str">
        <f>B2304&amp;C2304</f>
        <v>geralacessibilidade</v>
      </c>
      <c r="BC2304" s="239" t="str">
        <f>B2304&amp;C2304&amp;H2304</f>
        <v>geralacessibilidadesigla/verbete</v>
      </c>
      <c r="BD2304" s="239" t="str">
        <f>B2304&amp;H2304</f>
        <v>geralsigla/verbete</v>
      </c>
    </row>
    <row r="2305" spans="1:67" s="3" customFormat="1" ht="25.5" x14ac:dyDescent="0.25">
      <c r="A2305" s="262" t="str">
        <f>'Q100b-totais'!B21</f>
        <v>2.6</v>
      </c>
      <c r="B2305" s="252" t="str">
        <f>'Q100b-totais'!C21</f>
        <v>Cidades da RMBH</v>
      </c>
      <c r="C2305" s="167" t="s">
        <v>432</v>
      </c>
      <c r="D2305" s="323" t="s">
        <v>1764</v>
      </c>
      <c r="E2305" s="1491" t="s">
        <v>1764</v>
      </c>
      <c r="F2305" s="468" t="str">
        <f>pend!C213</f>
        <v>município da RMBH (faltando completar)</v>
      </c>
      <c r="G2305" s="230" t="s">
        <v>3507</v>
      </c>
      <c r="H2305" s="167" t="s">
        <v>2408</v>
      </c>
      <c r="I2305" s="167" t="s">
        <v>432</v>
      </c>
      <c r="J2305" s="107" t="s">
        <v>432</v>
      </c>
      <c r="K2305" s="107" t="s">
        <v>432</v>
      </c>
      <c r="L2305" s="107" t="s">
        <v>432</v>
      </c>
      <c r="M2305" s="107" t="s">
        <v>432</v>
      </c>
      <c r="N2305" s="107" t="s">
        <v>432</v>
      </c>
      <c r="O2305" s="107" t="s">
        <v>432</v>
      </c>
      <c r="P2305" s="107" t="s">
        <v>432</v>
      </c>
      <c r="Q2305" s="107" t="s">
        <v>432</v>
      </c>
      <c r="R2305" s="107" t="s">
        <v>432</v>
      </c>
      <c r="S2305" s="109" t="s">
        <v>2209</v>
      </c>
      <c r="T2305" s="107" t="s">
        <v>432</v>
      </c>
      <c r="U2305" s="107" t="s">
        <v>432</v>
      </c>
      <c r="V2305" s="109" t="s">
        <v>2209</v>
      </c>
      <c r="W2305" s="107" t="s">
        <v>432</v>
      </c>
      <c r="X2305" s="107" t="s">
        <v>432</v>
      </c>
      <c r="Y2305" s="107" t="s">
        <v>432</v>
      </c>
      <c r="Z2305" s="107" t="s">
        <v>432</v>
      </c>
      <c r="AA2305" s="107" t="s">
        <v>432</v>
      </c>
      <c r="AB2305" s="107" t="s">
        <v>432</v>
      </c>
      <c r="AC2305" s="107" t="s">
        <v>432</v>
      </c>
      <c r="AD2305" s="107" t="s">
        <v>432</v>
      </c>
      <c r="AE2305" s="107" t="s">
        <v>432</v>
      </c>
      <c r="AF2305" s="107" t="s">
        <v>432</v>
      </c>
      <c r="AG2305" s="107" t="s">
        <v>432</v>
      </c>
      <c r="AH2305" s="107" t="s">
        <v>432</v>
      </c>
      <c r="AI2305" s="107" t="s">
        <v>432</v>
      </c>
      <c r="AJ2305" s="107" t="s">
        <v>432</v>
      </c>
      <c r="AK2305" s="107" t="s">
        <v>432</v>
      </c>
      <c r="AL2305" s="601" t="s">
        <v>432</v>
      </c>
      <c r="AM2305" s="137" t="s">
        <v>432</v>
      </c>
      <c r="AN2305" s="137" t="s">
        <v>432</v>
      </c>
      <c r="AO2305" s="137" t="s">
        <v>432</v>
      </c>
      <c r="AP2305" s="137" t="s">
        <v>432</v>
      </c>
      <c r="AQ2305" s="137" t="s">
        <v>432</v>
      </c>
      <c r="AR2305" s="137" t="s">
        <v>432</v>
      </c>
      <c r="AS2305" s="137" t="s">
        <v>432</v>
      </c>
      <c r="AT2305" s="137" t="s">
        <v>432</v>
      </c>
      <c r="AU2305" s="137" t="s">
        <v>432</v>
      </c>
      <c r="AV2305" s="137" t="s">
        <v>432</v>
      </c>
      <c r="AW2305" s="137" t="s">
        <v>432</v>
      </c>
      <c r="AX2305" s="137" t="s">
        <v>432</v>
      </c>
      <c r="AY2305" s="137" t="s">
        <v>432</v>
      </c>
      <c r="AZ2305" s="137" t="s">
        <v>432</v>
      </c>
      <c r="BA2305" s="137" t="s">
        <v>432</v>
      </c>
      <c r="BB2305" s="239" t="str">
        <f t="shared" ref="BB2305" si="679">B2305&amp;C2305</f>
        <v>Cidades da RMBHx</v>
      </c>
      <c r="BC2305" s="239" t="str">
        <f t="shared" ref="BC2305" si="680">B2305&amp;C2305&amp;H2305</f>
        <v>Cidades da RMBHxsigla/verbete</v>
      </c>
      <c r="BD2305" s="239" t="str">
        <f t="shared" ref="BD2305" si="681">B2305&amp;H2305</f>
        <v>Cidades da RMBHsigla/verbete</v>
      </c>
    </row>
    <row r="2306" spans="1:67" s="1" customFormat="1" ht="110.25" customHeight="1" x14ac:dyDescent="0.25">
      <c r="A2306" s="262" t="s">
        <v>432</v>
      </c>
      <c r="B2306" s="252" t="s">
        <v>742</v>
      </c>
      <c r="C2306" s="167" t="s">
        <v>432</v>
      </c>
      <c r="D2306" s="324" t="s">
        <v>369</v>
      </c>
      <c r="E2306" s="1496" t="s">
        <v>432</v>
      </c>
      <c r="F2306" s="165" t="s">
        <v>898</v>
      </c>
      <c r="G2306" s="167" t="s">
        <v>3879</v>
      </c>
      <c r="H2306" s="167" t="s">
        <v>432</v>
      </c>
      <c r="I2306" s="167" t="s">
        <v>432</v>
      </c>
      <c r="J2306" s="107" t="s">
        <v>432</v>
      </c>
      <c r="K2306" s="107" t="s">
        <v>432</v>
      </c>
      <c r="L2306" s="107" t="s">
        <v>432</v>
      </c>
      <c r="M2306" s="107" t="s">
        <v>432</v>
      </c>
      <c r="N2306" s="107" t="s">
        <v>432</v>
      </c>
      <c r="O2306" s="107" t="s">
        <v>432</v>
      </c>
      <c r="P2306" s="107" t="s">
        <v>432</v>
      </c>
      <c r="Q2306" s="107" t="s">
        <v>432</v>
      </c>
      <c r="R2306" s="107" t="s">
        <v>432</v>
      </c>
      <c r="S2306" s="109" t="s">
        <v>2209</v>
      </c>
      <c r="T2306" s="107" t="s">
        <v>432</v>
      </c>
      <c r="U2306" s="107" t="s">
        <v>432</v>
      </c>
      <c r="V2306" s="109" t="s">
        <v>2209</v>
      </c>
      <c r="W2306" s="107" t="s">
        <v>432</v>
      </c>
      <c r="X2306" s="107" t="s">
        <v>432</v>
      </c>
      <c r="Y2306" s="107" t="s">
        <v>432</v>
      </c>
      <c r="Z2306" s="107" t="s">
        <v>432</v>
      </c>
      <c r="AA2306" s="107" t="s">
        <v>432</v>
      </c>
      <c r="AB2306" s="107" t="s">
        <v>432</v>
      </c>
      <c r="AC2306" s="107" t="s">
        <v>432</v>
      </c>
      <c r="AD2306" s="107" t="s">
        <v>432</v>
      </c>
      <c r="AE2306" s="107" t="s">
        <v>432</v>
      </c>
      <c r="AF2306" s="107" t="s">
        <v>432</v>
      </c>
      <c r="AG2306" s="107" t="s">
        <v>432</v>
      </c>
      <c r="AH2306" s="107" t="s">
        <v>432</v>
      </c>
      <c r="AI2306" s="107" t="s">
        <v>432</v>
      </c>
      <c r="AJ2306" s="107" t="s">
        <v>432</v>
      </c>
      <c r="AK2306" s="137" t="s">
        <v>432</v>
      </c>
      <c r="AL2306" s="601" t="s">
        <v>432</v>
      </c>
      <c r="AM2306" s="137" t="s">
        <v>432</v>
      </c>
      <c r="AN2306" s="137" t="s">
        <v>432</v>
      </c>
      <c r="AO2306" s="137" t="s">
        <v>432</v>
      </c>
      <c r="AP2306" s="137" t="s">
        <v>432</v>
      </c>
      <c r="AQ2306" s="137" t="s">
        <v>432</v>
      </c>
      <c r="AR2306" s="137" t="s">
        <v>432</v>
      </c>
      <c r="AS2306" s="137" t="s">
        <v>432</v>
      </c>
      <c r="AT2306" s="137" t="s">
        <v>432</v>
      </c>
      <c r="AU2306" s="137" t="s">
        <v>432</v>
      </c>
      <c r="AV2306" s="137" t="s">
        <v>432</v>
      </c>
      <c r="AW2306" s="137" t="s">
        <v>432</v>
      </c>
      <c r="AX2306" s="137" t="s">
        <v>432</v>
      </c>
      <c r="AY2306" s="137" t="s">
        <v>432</v>
      </c>
      <c r="AZ2306" s="137" t="s">
        <v>432</v>
      </c>
      <c r="BA2306" s="137" t="s">
        <v>432</v>
      </c>
      <c r="BB2306" s="239" t="str">
        <f t="shared" si="666"/>
        <v>geralx</v>
      </c>
      <c r="BC2306" s="239" t="str">
        <f t="shared" si="667"/>
        <v>geralxx</v>
      </c>
      <c r="BD2306" s="239" t="str">
        <f t="shared" si="668"/>
        <v>geralx</v>
      </c>
      <c r="BM2306" s="19"/>
      <c r="BN2306" s="19"/>
      <c r="BO2306" s="19"/>
    </row>
    <row r="2307" spans="1:67" s="3" customFormat="1" ht="189.75" customHeight="1" x14ac:dyDescent="0.25">
      <c r="A2307" s="262" t="s">
        <v>432</v>
      </c>
      <c r="B2307" s="252" t="s">
        <v>742</v>
      </c>
      <c r="C2307" s="167" t="s">
        <v>432</v>
      </c>
      <c r="D2307" s="325" t="s">
        <v>3850</v>
      </c>
      <c r="E2307" s="1496" t="s">
        <v>1767</v>
      </c>
      <c r="F2307" s="53" t="s">
        <v>3849</v>
      </c>
      <c r="G2307" s="57" t="s">
        <v>3507</v>
      </c>
      <c r="H2307" s="167" t="s">
        <v>2408</v>
      </c>
      <c r="I2307" s="167" t="s">
        <v>432</v>
      </c>
      <c r="J2307" s="109" t="s">
        <v>432</v>
      </c>
      <c r="K2307" s="109" t="s">
        <v>432</v>
      </c>
      <c r="L2307" s="109" t="s">
        <v>432</v>
      </c>
      <c r="M2307" s="109" t="s">
        <v>432</v>
      </c>
      <c r="N2307" s="109" t="s">
        <v>432</v>
      </c>
      <c r="O2307" s="109" t="s">
        <v>432</v>
      </c>
      <c r="P2307" s="109" t="s">
        <v>432</v>
      </c>
      <c r="Q2307" s="109" t="s">
        <v>432</v>
      </c>
      <c r="R2307" s="109" t="s">
        <v>432</v>
      </c>
      <c r="S2307" s="109" t="s">
        <v>2209</v>
      </c>
      <c r="T2307" s="109" t="s">
        <v>432</v>
      </c>
      <c r="U2307" s="109" t="s">
        <v>432</v>
      </c>
      <c r="V2307" s="109" t="s">
        <v>2209</v>
      </c>
      <c r="W2307" s="109" t="s">
        <v>432</v>
      </c>
      <c r="X2307" s="109" t="s">
        <v>432</v>
      </c>
      <c r="Y2307" s="109" t="s">
        <v>432</v>
      </c>
      <c r="Z2307" s="109" t="s">
        <v>432</v>
      </c>
      <c r="AA2307" s="109" t="s">
        <v>432</v>
      </c>
      <c r="AB2307" s="109" t="s">
        <v>432</v>
      </c>
      <c r="AC2307" s="109" t="s">
        <v>432</v>
      </c>
      <c r="AD2307" s="109" t="s">
        <v>432</v>
      </c>
      <c r="AE2307" s="109" t="s">
        <v>432</v>
      </c>
      <c r="AF2307" s="109" t="s">
        <v>432</v>
      </c>
      <c r="AG2307" s="109" t="s">
        <v>432</v>
      </c>
      <c r="AH2307" s="109" t="s">
        <v>432</v>
      </c>
      <c r="AI2307" s="109" t="s">
        <v>432</v>
      </c>
      <c r="AJ2307" s="109" t="s">
        <v>432</v>
      </c>
      <c r="AK2307" s="109" t="s">
        <v>432</v>
      </c>
      <c r="AL2307" s="656" t="s">
        <v>432</v>
      </c>
      <c r="AM2307" s="137" t="s">
        <v>432</v>
      </c>
      <c r="AN2307" s="137" t="s">
        <v>432</v>
      </c>
      <c r="AO2307" s="137" t="s">
        <v>432</v>
      </c>
      <c r="AP2307" s="137" t="s">
        <v>432</v>
      </c>
      <c r="AQ2307" s="137" t="s">
        <v>432</v>
      </c>
      <c r="AR2307" s="137" t="s">
        <v>432</v>
      </c>
      <c r="AS2307" s="137" t="s">
        <v>432</v>
      </c>
      <c r="AT2307" s="137" t="s">
        <v>432</v>
      </c>
      <c r="AU2307" s="137" t="s">
        <v>432</v>
      </c>
      <c r="AV2307" s="137" t="s">
        <v>432</v>
      </c>
      <c r="AW2307" s="137" t="s">
        <v>432</v>
      </c>
      <c r="AX2307" s="137" t="s">
        <v>432</v>
      </c>
      <c r="AY2307" s="137" t="s">
        <v>432</v>
      </c>
      <c r="AZ2307" s="137" t="s">
        <v>432</v>
      </c>
      <c r="BA2307" s="137" t="s">
        <v>432</v>
      </c>
      <c r="BB2307" s="239" t="str">
        <f>B2307&amp;C2307</f>
        <v>geralx</v>
      </c>
      <c r="BC2307" s="239" t="str">
        <f>B2307&amp;C2307&amp;H2307</f>
        <v>geralxsigla/verbete</v>
      </c>
      <c r="BD2307" s="239" t="str">
        <f>B2307&amp;H2307</f>
        <v>geralsigla/verbete</v>
      </c>
    </row>
    <row r="2308" spans="1:67" s="1" customFormat="1" ht="25.5" customHeight="1" x14ac:dyDescent="0.25">
      <c r="A2308" s="262" t="s">
        <v>432</v>
      </c>
      <c r="B2308" s="252" t="s">
        <v>742</v>
      </c>
      <c r="C2308" s="167" t="s">
        <v>432</v>
      </c>
      <c r="D2308" s="324" t="s">
        <v>690</v>
      </c>
      <c r="E2308" s="1496" t="s">
        <v>432</v>
      </c>
      <c r="F2308" s="53" t="s">
        <v>1401</v>
      </c>
      <c r="G2308" s="167" t="s">
        <v>3879</v>
      </c>
      <c r="H2308" s="167" t="s">
        <v>432</v>
      </c>
      <c r="I2308" s="167" t="s">
        <v>432</v>
      </c>
      <c r="J2308" s="109" t="s">
        <v>432</v>
      </c>
      <c r="K2308" s="109" t="s">
        <v>432</v>
      </c>
      <c r="L2308" s="109" t="s">
        <v>432</v>
      </c>
      <c r="M2308" s="109" t="s">
        <v>432</v>
      </c>
      <c r="N2308" s="109" t="s">
        <v>432</v>
      </c>
      <c r="O2308" s="109" t="s">
        <v>432</v>
      </c>
      <c r="P2308" s="109" t="s">
        <v>432</v>
      </c>
      <c r="Q2308" s="109" t="s">
        <v>432</v>
      </c>
      <c r="R2308" s="109" t="s">
        <v>432</v>
      </c>
      <c r="S2308" s="109" t="s">
        <v>2209</v>
      </c>
      <c r="T2308" s="109" t="s">
        <v>432</v>
      </c>
      <c r="U2308" s="109" t="s">
        <v>432</v>
      </c>
      <c r="V2308" s="109" t="s">
        <v>2209</v>
      </c>
      <c r="W2308" s="109" t="s">
        <v>432</v>
      </c>
      <c r="X2308" s="109" t="s">
        <v>432</v>
      </c>
      <c r="Y2308" s="109" t="s">
        <v>432</v>
      </c>
      <c r="Z2308" s="109" t="s">
        <v>432</v>
      </c>
      <c r="AA2308" s="109" t="s">
        <v>432</v>
      </c>
      <c r="AB2308" s="109" t="s">
        <v>432</v>
      </c>
      <c r="AC2308" s="109" t="s">
        <v>432</v>
      </c>
      <c r="AD2308" s="109" t="s">
        <v>432</v>
      </c>
      <c r="AE2308" s="109" t="s">
        <v>432</v>
      </c>
      <c r="AF2308" s="109" t="s">
        <v>432</v>
      </c>
      <c r="AG2308" s="109" t="s">
        <v>432</v>
      </c>
      <c r="AH2308" s="109" t="s">
        <v>432</v>
      </c>
      <c r="AI2308" s="109" t="s">
        <v>432</v>
      </c>
      <c r="AJ2308" s="109" t="s">
        <v>432</v>
      </c>
      <c r="AK2308" s="137" t="s">
        <v>432</v>
      </c>
      <c r="AL2308" s="601" t="s">
        <v>432</v>
      </c>
      <c r="AM2308" s="137" t="s">
        <v>432</v>
      </c>
      <c r="AN2308" s="137" t="s">
        <v>432</v>
      </c>
      <c r="AO2308" s="137" t="s">
        <v>432</v>
      </c>
      <c r="AP2308" s="137" t="s">
        <v>432</v>
      </c>
      <c r="AQ2308" s="137" t="s">
        <v>432</v>
      </c>
      <c r="AR2308" s="137" t="s">
        <v>432</v>
      </c>
      <c r="AS2308" s="137" t="s">
        <v>432</v>
      </c>
      <c r="AT2308" s="137" t="s">
        <v>432</v>
      </c>
      <c r="AU2308" s="137" t="s">
        <v>432</v>
      </c>
      <c r="AV2308" s="137" t="s">
        <v>432</v>
      </c>
      <c r="AW2308" s="137" t="s">
        <v>432</v>
      </c>
      <c r="AX2308" s="137" t="s">
        <v>432</v>
      </c>
      <c r="AY2308" s="137" t="s">
        <v>432</v>
      </c>
      <c r="AZ2308" s="137" t="s">
        <v>432</v>
      </c>
      <c r="BA2308" s="137" t="s">
        <v>432</v>
      </c>
      <c r="BB2308" s="239" t="str">
        <f t="shared" si="666"/>
        <v>geralx</v>
      </c>
      <c r="BC2308" s="239" t="str">
        <f t="shared" si="667"/>
        <v>geralxx</v>
      </c>
      <c r="BD2308" s="239" t="str">
        <f t="shared" si="668"/>
        <v>geralx</v>
      </c>
      <c r="BM2308" s="19"/>
      <c r="BN2308" s="19"/>
      <c r="BO2308" s="19"/>
    </row>
    <row r="2309" spans="1:67" s="1" customFormat="1" ht="153" customHeight="1" x14ac:dyDescent="0.25">
      <c r="A2309" s="262" t="s">
        <v>432</v>
      </c>
      <c r="B2309" s="252" t="s">
        <v>742</v>
      </c>
      <c r="C2309" s="167" t="s">
        <v>432</v>
      </c>
      <c r="D2309" s="324" t="s">
        <v>3275</v>
      </c>
      <c r="E2309" s="1496" t="s">
        <v>1306</v>
      </c>
      <c r="F2309" s="53" t="s">
        <v>3280</v>
      </c>
      <c r="G2309" s="230" t="s">
        <v>3507</v>
      </c>
      <c r="H2309" s="167" t="s">
        <v>2408</v>
      </c>
      <c r="I2309" s="167" t="s">
        <v>432</v>
      </c>
      <c r="J2309" s="109" t="s">
        <v>432</v>
      </c>
      <c r="K2309" s="109" t="s">
        <v>432</v>
      </c>
      <c r="L2309" s="109" t="s">
        <v>432</v>
      </c>
      <c r="M2309" s="109" t="s">
        <v>432</v>
      </c>
      <c r="N2309" s="109" t="s">
        <v>432</v>
      </c>
      <c r="O2309" s="109" t="s">
        <v>432</v>
      </c>
      <c r="P2309" s="109" t="s">
        <v>432</v>
      </c>
      <c r="Q2309" s="109" t="s">
        <v>432</v>
      </c>
      <c r="R2309" s="109" t="s">
        <v>432</v>
      </c>
      <c r="S2309" s="109" t="s">
        <v>2209</v>
      </c>
      <c r="T2309" s="109" t="s">
        <v>432</v>
      </c>
      <c r="U2309" s="109" t="s">
        <v>432</v>
      </c>
      <c r="V2309" s="109" t="s">
        <v>2209</v>
      </c>
      <c r="W2309" s="109" t="s">
        <v>432</v>
      </c>
      <c r="X2309" s="109" t="s">
        <v>432</v>
      </c>
      <c r="Y2309" s="109" t="s">
        <v>432</v>
      </c>
      <c r="Z2309" s="109" t="s">
        <v>432</v>
      </c>
      <c r="AA2309" s="109" t="s">
        <v>432</v>
      </c>
      <c r="AB2309" s="109" t="s">
        <v>432</v>
      </c>
      <c r="AC2309" s="109" t="s">
        <v>432</v>
      </c>
      <c r="AD2309" s="109" t="s">
        <v>432</v>
      </c>
      <c r="AE2309" s="109" t="s">
        <v>432</v>
      </c>
      <c r="AF2309" s="109" t="s">
        <v>432</v>
      </c>
      <c r="AG2309" s="109" t="s">
        <v>432</v>
      </c>
      <c r="AH2309" s="109" t="s">
        <v>432</v>
      </c>
      <c r="AI2309" s="109" t="s">
        <v>432</v>
      </c>
      <c r="AJ2309" s="109" t="s">
        <v>432</v>
      </c>
      <c r="AK2309" s="137" t="s">
        <v>432</v>
      </c>
      <c r="AL2309" s="601" t="s">
        <v>432</v>
      </c>
      <c r="AM2309" s="137" t="s">
        <v>432</v>
      </c>
      <c r="AN2309" s="137" t="s">
        <v>432</v>
      </c>
      <c r="AO2309" s="137" t="s">
        <v>432</v>
      </c>
      <c r="AP2309" s="137" t="s">
        <v>432</v>
      </c>
      <c r="AQ2309" s="137" t="s">
        <v>432</v>
      </c>
      <c r="AR2309" s="137" t="s">
        <v>432</v>
      </c>
      <c r="AS2309" s="137" t="s">
        <v>432</v>
      </c>
      <c r="AT2309" s="137" t="s">
        <v>432</v>
      </c>
      <c r="AU2309" s="137" t="s">
        <v>432</v>
      </c>
      <c r="AV2309" s="137" t="s">
        <v>432</v>
      </c>
      <c r="AW2309" s="137" t="s">
        <v>432</v>
      </c>
      <c r="AX2309" s="137" t="s">
        <v>432</v>
      </c>
      <c r="AY2309" s="137" t="s">
        <v>432</v>
      </c>
      <c r="AZ2309" s="137" t="s">
        <v>432</v>
      </c>
      <c r="BA2309" s="137" t="s">
        <v>432</v>
      </c>
      <c r="BB2309" s="239" t="str">
        <f t="shared" si="666"/>
        <v>geralx</v>
      </c>
      <c r="BC2309" s="239" t="str">
        <f t="shared" si="667"/>
        <v>geralxsigla/verbete</v>
      </c>
      <c r="BD2309" s="239" t="str">
        <f t="shared" si="668"/>
        <v>geralsigla/verbete</v>
      </c>
      <c r="BM2309" s="1008"/>
      <c r="BN2309" s="1008"/>
      <c r="BO2309" s="1008"/>
    </row>
    <row r="2310" spans="1:67" s="1" customFormat="1" ht="112.5" customHeight="1" x14ac:dyDescent="0.25">
      <c r="A2310" s="262" t="s">
        <v>432</v>
      </c>
      <c r="B2310" s="252" t="s">
        <v>742</v>
      </c>
      <c r="C2310" s="167" t="s">
        <v>432</v>
      </c>
      <c r="D2310" s="324" t="s">
        <v>3275</v>
      </c>
      <c r="E2310" s="1496" t="s">
        <v>1705</v>
      </c>
      <c r="F2310" s="53" t="s">
        <v>3710</v>
      </c>
      <c r="G2310" s="230" t="s">
        <v>3507</v>
      </c>
      <c r="H2310" s="167" t="s">
        <v>2408</v>
      </c>
      <c r="I2310" s="167" t="s">
        <v>432</v>
      </c>
      <c r="J2310" s="109" t="s">
        <v>432</v>
      </c>
      <c r="K2310" s="109" t="s">
        <v>432</v>
      </c>
      <c r="L2310" s="109" t="s">
        <v>432</v>
      </c>
      <c r="M2310" s="109" t="s">
        <v>432</v>
      </c>
      <c r="N2310" s="109" t="s">
        <v>432</v>
      </c>
      <c r="O2310" s="109" t="s">
        <v>432</v>
      </c>
      <c r="P2310" s="109" t="s">
        <v>432</v>
      </c>
      <c r="Q2310" s="109" t="s">
        <v>432</v>
      </c>
      <c r="R2310" s="109" t="s">
        <v>432</v>
      </c>
      <c r="S2310" s="109" t="s">
        <v>2209</v>
      </c>
      <c r="T2310" s="109" t="s">
        <v>432</v>
      </c>
      <c r="U2310" s="109" t="s">
        <v>432</v>
      </c>
      <c r="V2310" s="109" t="s">
        <v>2209</v>
      </c>
      <c r="W2310" s="109" t="s">
        <v>432</v>
      </c>
      <c r="X2310" s="109" t="s">
        <v>432</v>
      </c>
      <c r="Y2310" s="109" t="s">
        <v>432</v>
      </c>
      <c r="Z2310" s="109" t="s">
        <v>432</v>
      </c>
      <c r="AA2310" s="109" t="s">
        <v>432</v>
      </c>
      <c r="AB2310" s="109" t="s">
        <v>432</v>
      </c>
      <c r="AC2310" s="109" t="s">
        <v>432</v>
      </c>
      <c r="AD2310" s="109" t="s">
        <v>432</v>
      </c>
      <c r="AE2310" s="109" t="s">
        <v>432</v>
      </c>
      <c r="AF2310" s="109" t="s">
        <v>432</v>
      </c>
      <c r="AG2310" s="109" t="s">
        <v>432</v>
      </c>
      <c r="AH2310" s="109" t="s">
        <v>432</v>
      </c>
      <c r="AI2310" s="109" t="s">
        <v>432</v>
      </c>
      <c r="AJ2310" s="109" t="s">
        <v>432</v>
      </c>
      <c r="AK2310" s="137" t="s">
        <v>432</v>
      </c>
      <c r="AL2310" s="601" t="s">
        <v>432</v>
      </c>
      <c r="AM2310" s="137" t="s">
        <v>432</v>
      </c>
      <c r="AN2310" s="137" t="s">
        <v>432</v>
      </c>
      <c r="AO2310" s="137" t="s">
        <v>432</v>
      </c>
      <c r="AP2310" s="137" t="s">
        <v>432</v>
      </c>
      <c r="AQ2310" s="137" t="s">
        <v>432</v>
      </c>
      <c r="AR2310" s="137" t="s">
        <v>432</v>
      </c>
      <c r="AS2310" s="137" t="s">
        <v>432</v>
      </c>
      <c r="AT2310" s="137" t="s">
        <v>432</v>
      </c>
      <c r="AU2310" s="137" t="s">
        <v>432</v>
      </c>
      <c r="AV2310" s="137" t="s">
        <v>432</v>
      </c>
      <c r="AW2310" s="137" t="s">
        <v>432</v>
      </c>
      <c r="AX2310" s="137" t="s">
        <v>432</v>
      </c>
      <c r="AY2310" s="137" t="s">
        <v>432</v>
      </c>
      <c r="AZ2310" s="137" t="s">
        <v>432</v>
      </c>
      <c r="BA2310" s="137" t="s">
        <v>432</v>
      </c>
      <c r="BB2310" s="239" t="str">
        <f t="shared" si="666"/>
        <v>geralx</v>
      </c>
      <c r="BC2310" s="239" t="str">
        <f t="shared" si="667"/>
        <v>geralxsigla/verbete</v>
      </c>
      <c r="BD2310" s="239" t="str">
        <f t="shared" si="668"/>
        <v>geralsigla/verbete</v>
      </c>
      <c r="BM2310" s="1008"/>
      <c r="BN2310" s="1008"/>
      <c r="BO2310" s="1008"/>
    </row>
    <row r="2311" spans="1:67" s="1" customFormat="1" ht="25.5" x14ac:dyDescent="0.25">
      <c r="A2311" s="262" t="s">
        <v>432</v>
      </c>
      <c r="B2311" s="252" t="s">
        <v>742</v>
      </c>
      <c r="C2311" s="167" t="s">
        <v>743</v>
      </c>
      <c r="D2311" s="324" t="s">
        <v>2638</v>
      </c>
      <c r="E2311" s="1445" t="s">
        <v>432</v>
      </c>
      <c r="F2311" s="252" t="s">
        <v>2639</v>
      </c>
      <c r="G2311" s="230" t="s">
        <v>3507</v>
      </c>
      <c r="H2311" s="167" t="s">
        <v>2408</v>
      </c>
      <c r="I2311" s="167" t="s">
        <v>432</v>
      </c>
      <c r="J2311" s="109" t="s">
        <v>432</v>
      </c>
      <c r="K2311" s="109" t="s">
        <v>432</v>
      </c>
      <c r="L2311" s="109" t="s">
        <v>432</v>
      </c>
      <c r="M2311" s="109" t="s">
        <v>432</v>
      </c>
      <c r="N2311" s="109" t="s">
        <v>432</v>
      </c>
      <c r="O2311" s="109" t="s">
        <v>432</v>
      </c>
      <c r="P2311" s="109" t="s">
        <v>432</v>
      </c>
      <c r="Q2311" s="109" t="s">
        <v>432</v>
      </c>
      <c r="R2311" s="109" t="s">
        <v>432</v>
      </c>
      <c r="S2311" s="109" t="s">
        <v>2209</v>
      </c>
      <c r="T2311" s="109" t="s">
        <v>432</v>
      </c>
      <c r="U2311" s="109" t="s">
        <v>432</v>
      </c>
      <c r="V2311" s="109" t="s">
        <v>2209</v>
      </c>
      <c r="W2311" s="109" t="s">
        <v>432</v>
      </c>
      <c r="X2311" s="109" t="s">
        <v>432</v>
      </c>
      <c r="Y2311" s="109" t="s">
        <v>432</v>
      </c>
      <c r="Z2311" s="109" t="s">
        <v>432</v>
      </c>
      <c r="AA2311" s="109" t="s">
        <v>432</v>
      </c>
      <c r="AB2311" s="109" t="s">
        <v>432</v>
      </c>
      <c r="AC2311" s="109" t="s">
        <v>432</v>
      </c>
      <c r="AD2311" s="109" t="s">
        <v>432</v>
      </c>
      <c r="AE2311" s="109" t="s">
        <v>432</v>
      </c>
      <c r="AF2311" s="109" t="s">
        <v>432</v>
      </c>
      <c r="AG2311" s="109" t="s">
        <v>432</v>
      </c>
      <c r="AH2311" s="109" t="s">
        <v>432</v>
      </c>
      <c r="AI2311" s="109" t="s">
        <v>432</v>
      </c>
      <c r="AJ2311" s="109" t="s">
        <v>432</v>
      </c>
      <c r="AK2311" s="137" t="s">
        <v>432</v>
      </c>
      <c r="AL2311" s="601" t="s">
        <v>432</v>
      </c>
      <c r="AM2311" s="137" t="s">
        <v>432</v>
      </c>
      <c r="AN2311" s="137" t="s">
        <v>432</v>
      </c>
      <c r="AO2311" s="137" t="s">
        <v>432</v>
      </c>
      <c r="AP2311" s="137" t="s">
        <v>432</v>
      </c>
      <c r="AQ2311" s="137" t="s">
        <v>432</v>
      </c>
      <c r="AR2311" s="137" t="s">
        <v>432</v>
      </c>
      <c r="AS2311" s="137" t="s">
        <v>432</v>
      </c>
      <c r="AT2311" s="137" t="s">
        <v>432</v>
      </c>
      <c r="AU2311" s="137" t="s">
        <v>432</v>
      </c>
      <c r="AV2311" s="137" t="s">
        <v>432</v>
      </c>
      <c r="AW2311" s="137" t="s">
        <v>432</v>
      </c>
      <c r="AX2311" s="137" t="s">
        <v>432</v>
      </c>
      <c r="AY2311" s="137" t="s">
        <v>432</v>
      </c>
      <c r="AZ2311" s="137" t="s">
        <v>432</v>
      </c>
      <c r="BA2311" s="137" t="s">
        <v>432</v>
      </c>
      <c r="BB2311" s="239" t="str">
        <f>B2311&amp;C2311</f>
        <v>geralacessibilidade</v>
      </c>
      <c r="BC2311" s="239" t="str">
        <f>B2311&amp;C2311&amp;H2311</f>
        <v>geralacessibilidadesigla/verbete</v>
      </c>
      <c r="BD2311" s="239" t="str">
        <f>B2311&amp;H2311</f>
        <v>geralsigla/verbete</v>
      </c>
      <c r="BM2311" s="883"/>
      <c r="BN2311" s="883"/>
      <c r="BO2311" s="883"/>
    </row>
    <row r="2312" spans="1:67" s="1" customFormat="1" ht="31.5" x14ac:dyDescent="0.25">
      <c r="A2312" s="262" t="s">
        <v>432</v>
      </c>
      <c r="B2312" s="252" t="s">
        <v>742</v>
      </c>
      <c r="C2312" s="167" t="s">
        <v>743</v>
      </c>
      <c r="D2312" s="324" t="s">
        <v>2334</v>
      </c>
      <c r="E2312" s="1496" t="s">
        <v>432</v>
      </c>
      <c r="F2312" s="53" t="s">
        <v>2639</v>
      </c>
      <c r="G2312" s="230" t="s">
        <v>3507</v>
      </c>
      <c r="H2312" s="167" t="s">
        <v>2408</v>
      </c>
      <c r="I2312" s="167" t="s">
        <v>432</v>
      </c>
      <c r="J2312" s="109" t="s">
        <v>432</v>
      </c>
      <c r="K2312" s="109" t="s">
        <v>432</v>
      </c>
      <c r="L2312" s="109" t="s">
        <v>432</v>
      </c>
      <c r="M2312" s="109" t="s">
        <v>432</v>
      </c>
      <c r="N2312" s="109" t="s">
        <v>432</v>
      </c>
      <c r="O2312" s="109" t="s">
        <v>432</v>
      </c>
      <c r="P2312" s="109" t="s">
        <v>432</v>
      </c>
      <c r="Q2312" s="109" t="s">
        <v>432</v>
      </c>
      <c r="R2312" s="109" t="s">
        <v>432</v>
      </c>
      <c r="S2312" s="109" t="s">
        <v>2209</v>
      </c>
      <c r="T2312" s="109" t="s">
        <v>432</v>
      </c>
      <c r="U2312" s="109" t="s">
        <v>432</v>
      </c>
      <c r="V2312" s="109" t="s">
        <v>2209</v>
      </c>
      <c r="W2312" s="109" t="s">
        <v>432</v>
      </c>
      <c r="X2312" s="109" t="s">
        <v>432</v>
      </c>
      <c r="Y2312" s="109" t="s">
        <v>432</v>
      </c>
      <c r="Z2312" s="109" t="s">
        <v>432</v>
      </c>
      <c r="AA2312" s="109" t="s">
        <v>432</v>
      </c>
      <c r="AB2312" s="109" t="s">
        <v>432</v>
      </c>
      <c r="AC2312" s="109" t="s">
        <v>432</v>
      </c>
      <c r="AD2312" s="109" t="s">
        <v>432</v>
      </c>
      <c r="AE2312" s="109" t="s">
        <v>432</v>
      </c>
      <c r="AF2312" s="109" t="s">
        <v>432</v>
      </c>
      <c r="AG2312" s="109" t="s">
        <v>432</v>
      </c>
      <c r="AH2312" s="109" t="s">
        <v>432</v>
      </c>
      <c r="AI2312" s="109" t="s">
        <v>432</v>
      </c>
      <c r="AJ2312" s="109" t="s">
        <v>432</v>
      </c>
      <c r="AK2312" s="137" t="s">
        <v>432</v>
      </c>
      <c r="AL2312" s="601" t="s">
        <v>432</v>
      </c>
      <c r="AM2312" s="137" t="s">
        <v>432</v>
      </c>
      <c r="AN2312" s="137" t="s">
        <v>432</v>
      </c>
      <c r="AO2312" s="137" t="s">
        <v>432</v>
      </c>
      <c r="AP2312" s="137" t="s">
        <v>432</v>
      </c>
      <c r="AQ2312" s="137" t="s">
        <v>432</v>
      </c>
      <c r="AR2312" s="137" t="s">
        <v>432</v>
      </c>
      <c r="AS2312" s="137" t="s">
        <v>432</v>
      </c>
      <c r="AT2312" s="137" t="s">
        <v>432</v>
      </c>
      <c r="AU2312" s="137" t="s">
        <v>432</v>
      </c>
      <c r="AV2312" s="137" t="s">
        <v>432</v>
      </c>
      <c r="AW2312" s="137" t="s">
        <v>432</v>
      </c>
      <c r="AX2312" s="137" t="s">
        <v>432</v>
      </c>
      <c r="AY2312" s="137" t="s">
        <v>432</v>
      </c>
      <c r="AZ2312" s="137" t="s">
        <v>432</v>
      </c>
      <c r="BA2312" s="137" t="s">
        <v>432</v>
      </c>
      <c r="BB2312" s="239" t="str">
        <f>B2312&amp;C2312</f>
        <v>geralacessibilidade</v>
      </c>
      <c r="BC2312" s="239" t="str">
        <f>B2312&amp;C2312&amp;H2312</f>
        <v>geralacessibilidadesigla/verbete</v>
      </c>
      <c r="BD2312" s="239" t="str">
        <f>B2312&amp;H2312</f>
        <v>geralsigla/verbete</v>
      </c>
      <c r="BM2312" s="883"/>
      <c r="BN2312" s="883"/>
      <c r="BO2312" s="883"/>
    </row>
    <row r="2313" spans="1:67" s="1" customFormat="1" ht="179.25" customHeight="1" x14ac:dyDescent="0.25">
      <c r="A2313" s="262" t="str">
        <f>'Q100b-totais'!B68</f>
        <v>9.5</v>
      </c>
      <c r="B2313" s="252" t="str">
        <f>'Q100b-totais'!C68</f>
        <v>Sinalização semafórica</v>
      </c>
      <c r="C2313" s="167" t="s">
        <v>743</v>
      </c>
      <c r="D2313" s="324" t="s">
        <v>6184</v>
      </c>
      <c r="E2313" s="1496" t="s">
        <v>1767</v>
      </c>
      <c r="F2313" s="53" t="s">
        <v>6196</v>
      </c>
      <c r="G2313" s="230" t="s">
        <v>3507</v>
      </c>
      <c r="H2313" s="167" t="s">
        <v>2408</v>
      </c>
      <c r="I2313" s="167" t="s">
        <v>432</v>
      </c>
      <c r="J2313" s="109" t="s">
        <v>432</v>
      </c>
      <c r="K2313" s="109" t="s">
        <v>432</v>
      </c>
      <c r="L2313" s="109" t="s">
        <v>432</v>
      </c>
      <c r="M2313" s="109" t="s">
        <v>432</v>
      </c>
      <c r="N2313" s="109" t="s">
        <v>432</v>
      </c>
      <c r="O2313" s="109" t="s">
        <v>432</v>
      </c>
      <c r="P2313" s="109" t="s">
        <v>432</v>
      </c>
      <c r="Q2313" s="109" t="s">
        <v>432</v>
      </c>
      <c r="R2313" s="109" t="s">
        <v>432</v>
      </c>
      <c r="S2313" s="109" t="s">
        <v>2209</v>
      </c>
      <c r="T2313" s="109" t="s">
        <v>432</v>
      </c>
      <c r="U2313" s="109" t="s">
        <v>432</v>
      </c>
      <c r="V2313" s="109" t="s">
        <v>2209</v>
      </c>
      <c r="W2313" s="109" t="s">
        <v>432</v>
      </c>
      <c r="X2313" s="109" t="s">
        <v>432</v>
      </c>
      <c r="Y2313" s="109" t="s">
        <v>432</v>
      </c>
      <c r="Z2313" s="109" t="s">
        <v>432</v>
      </c>
      <c r="AA2313" s="109" t="s">
        <v>432</v>
      </c>
      <c r="AB2313" s="109" t="s">
        <v>432</v>
      </c>
      <c r="AC2313" s="109" t="s">
        <v>432</v>
      </c>
      <c r="AD2313" s="109" t="s">
        <v>432</v>
      </c>
      <c r="AE2313" s="109" t="s">
        <v>432</v>
      </c>
      <c r="AF2313" s="109" t="s">
        <v>432</v>
      </c>
      <c r="AG2313" s="109" t="s">
        <v>432</v>
      </c>
      <c r="AH2313" s="109" t="s">
        <v>432</v>
      </c>
      <c r="AI2313" s="109" t="s">
        <v>432</v>
      </c>
      <c r="AJ2313" s="109" t="s">
        <v>432</v>
      </c>
      <c r="AK2313" s="137" t="s">
        <v>432</v>
      </c>
      <c r="AL2313" s="601" t="s">
        <v>432</v>
      </c>
      <c r="AM2313" s="137" t="s">
        <v>432</v>
      </c>
      <c r="AN2313" s="137" t="s">
        <v>432</v>
      </c>
      <c r="AO2313" s="137" t="s">
        <v>432</v>
      </c>
      <c r="AP2313" s="137" t="s">
        <v>432</v>
      </c>
      <c r="AQ2313" s="137" t="s">
        <v>432</v>
      </c>
      <c r="AR2313" s="137" t="s">
        <v>432</v>
      </c>
      <c r="AS2313" s="137" t="s">
        <v>432</v>
      </c>
      <c r="AT2313" s="137" t="s">
        <v>432</v>
      </c>
      <c r="AU2313" s="137" t="s">
        <v>432</v>
      </c>
      <c r="AV2313" s="137" t="s">
        <v>432</v>
      </c>
      <c r="AW2313" s="137" t="s">
        <v>432</v>
      </c>
      <c r="AX2313" s="137" t="s">
        <v>432</v>
      </c>
      <c r="AY2313" s="137" t="s">
        <v>432</v>
      </c>
      <c r="AZ2313" s="137" t="s">
        <v>432</v>
      </c>
      <c r="BA2313" s="137" t="s">
        <v>432</v>
      </c>
      <c r="BB2313" s="239" t="str">
        <f>B2313&amp;C2313</f>
        <v>Sinalização semafóricaacessibilidade</v>
      </c>
      <c r="BC2313" s="239" t="str">
        <f>B2313&amp;C2313&amp;H2313</f>
        <v>Sinalização semafóricaacessibilidadesigla/verbete</v>
      </c>
      <c r="BD2313" s="239" t="str">
        <f>B2313&amp;H2313</f>
        <v>Sinalização semafóricasigla/verbete</v>
      </c>
      <c r="BM2313" s="1479"/>
      <c r="BN2313" s="1479"/>
      <c r="BO2313" s="1479"/>
    </row>
    <row r="2314" spans="1:67" s="1" customFormat="1" ht="43.5" customHeight="1" x14ac:dyDescent="0.25">
      <c r="A2314" s="262" t="str">
        <f>'Q100b-totais'!B68</f>
        <v>9.5</v>
      </c>
      <c r="B2314" s="252" t="str">
        <f>'Q100b-totais'!C68</f>
        <v>Sinalização semafórica</v>
      </c>
      <c r="C2314" s="167" t="s">
        <v>432</v>
      </c>
      <c r="D2314" s="324" t="s">
        <v>6182</v>
      </c>
      <c r="E2314" s="1496" t="s">
        <v>1306</v>
      </c>
      <c r="F2314" s="53" t="s">
        <v>6183</v>
      </c>
      <c r="G2314" s="230" t="s">
        <v>3507</v>
      </c>
      <c r="H2314" s="167" t="s">
        <v>2408</v>
      </c>
      <c r="I2314" s="167" t="s">
        <v>432</v>
      </c>
      <c r="J2314" s="109" t="s">
        <v>432</v>
      </c>
      <c r="K2314" s="109" t="s">
        <v>432</v>
      </c>
      <c r="L2314" s="109" t="s">
        <v>432</v>
      </c>
      <c r="M2314" s="109" t="s">
        <v>432</v>
      </c>
      <c r="N2314" s="109" t="s">
        <v>432</v>
      </c>
      <c r="O2314" s="109" t="s">
        <v>432</v>
      </c>
      <c r="P2314" s="109" t="s">
        <v>432</v>
      </c>
      <c r="Q2314" s="109" t="s">
        <v>432</v>
      </c>
      <c r="R2314" s="109" t="s">
        <v>432</v>
      </c>
      <c r="S2314" s="109" t="s">
        <v>2209</v>
      </c>
      <c r="T2314" s="109" t="s">
        <v>432</v>
      </c>
      <c r="U2314" s="109" t="s">
        <v>432</v>
      </c>
      <c r="V2314" s="109" t="s">
        <v>2209</v>
      </c>
      <c r="W2314" s="109" t="s">
        <v>432</v>
      </c>
      <c r="X2314" s="109" t="s">
        <v>432</v>
      </c>
      <c r="Y2314" s="109" t="s">
        <v>432</v>
      </c>
      <c r="Z2314" s="109" t="s">
        <v>432</v>
      </c>
      <c r="AA2314" s="109" t="s">
        <v>432</v>
      </c>
      <c r="AB2314" s="109" t="s">
        <v>432</v>
      </c>
      <c r="AC2314" s="109" t="s">
        <v>432</v>
      </c>
      <c r="AD2314" s="109" t="s">
        <v>432</v>
      </c>
      <c r="AE2314" s="109" t="s">
        <v>432</v>
      </c>
      <c r="AF2314" s="109" t="s">
        <v>432</v>
      </c>
      <c r="AG2314" s="109" t="s">
        <v>432</v>
      </c>
      <c r="AH2314" s="109" t="s">
        <v>432</v>
      </c>
      <c r="AI2314" s="109" t="s">
        <v>432</v>
      </c>
      <c r="AJ2314" s="109" t="s">
        <v>432</v>
      </c>
      <c r="AK2314" s="137" t="s">
        <v>432</v>
      </c>
      <c r="AL2314" s="601" t="s">
        <v>432</v>
      </c>
      <c r="AM2314" s="137" t="s">
        <v>432</v>
      </c>
      <c r="AN2314" s="137" t="s">
        <v>432</v>
      </c>
      <c r="AO2314" s="137" t="s">
        <v>432</v>
      </c>
      <c r="AP2314" s="137" t="s">
        <v>432</v>
      </c>
      <c r="AQ2314" s="137" t="s">
        <v>432</v>
      </c>
      <c r="AR2314" s="137" t="s">
        <v>432</v>
      </c>
      <c r="AS2314" s="137" t="s">
        <v>432</v>
      </c>
      <c r="AT2314" s="137" t="s">
        <v>432</v>
      </c>
      <c r="AU2314" s="137" t="s">
        <v>432</v>
      </c>
      <c r="AV2314" s="137" t="s">
        <v>432</v>
      </c>
      <c r="AW2314" s="137" t="s">
        <v>432</v>
      </c>
      <c r="AX2314" s="137" t="s">
        <v>432</v>
      </c>
      <c r="AY2314" s="137" t="s">
        <v>432</v>
      </c>
      <c r="AZ2314" s="137" t="s">
        <v>432</v>
      </c>
      <c r="BA2314" s="137" t="s">
        <v>432</v>
      </c>
      <c r="BB2314" s="239" t="str">
        <f>B2314&amp;C2314</f>
        <v>Sinalização semafóricax</v>
      </c>
      <c r="BC2314" s="239" t="str">
        <f>B2314&amp;C2314&amp;H2314</f>
        <v>Sinalização semafóricaxsigla/verbete</v>
      </c>
      <c r="BD2314" s="239" t="str">
        <f>B2314&amp;H2314</f>
        <v>Sinalização semafóricasigla/verbete</v>
      </c>
      <c r="BM2314" s="1407"/>
      <c r="BN2314" s="1407"/>
      <c r="BO2314" s="1407"/>
    </row>
    <row r="2315" spans="1:67" s="1" customFormat="1" ht="96.75" customHeight="1" x14ac:dyDescent="0.25">
      <c r="A2315" s="262" t="s">
        <v>432</v>
      </c>
      <c r="B2315" s="252" t="s">
        <v>742</v>
      </c>
      <c r="C2315" s="57" t="s">
        <v>743</v>
      </c>
      <c r="D2315" s="324" t="s">
        <v>3380</v>
      </c>
      <c r="E2315" s="1496" t="s">
        <v>432</v>
      </c>
      <c r="F2315" s="11" t="s">
        <v>3381</v>
      </c>
      <c r="G2315" s="230" t="s">
        <v>3507</v>
      </c>
      <c r="H2315" s="167" t="s">
        <v>2408</v>
      </c>
      <c r="I2315" s="167" t="s">
        <v>432</v>
      </c>
      <c r="J2315" s="109" t="s">
        <v>432</v>
      </c>
      <c r="K2315" s="109" t="s">
        <v>432</v>
      </c>
      <c r="L2315" s="109" t="s">
        <v>432</v>
      </c>
      <c r="M2315" s="109" t="s">
        <v>432</v>
      </c>
      <c r="N2315" s="109" t="s">
        <v>432</v>
      </c>
      <c r="O2315" s="109" t="s">
        <v>432</v>
      </c>
      <c r="P2315" s="109" t="s">
        <v>432</v>
      </c>
      <c r="Q2315" s="109" t="s">
        <v>432</v>
      </c>
      <c r="R2315" s="109" t="s">
        <v>432</v>
      </c>
      <c r="S2315" s="109" t="s">
        <v>2209</v>
      </c>
      <c r="T2315" s="109" t="s">
        <v>432</v>
      </c>
      <c r="U2315" s="109" t="s">
        <v>432</v>
      </c>
      <c r="V2315" s="109" t="s">
        <v>2209</v>
      </c>
      <c r="W2315" s="109" t="s">
        <v>432</v>
      </c>
      <c r="X2315" s="109" t="s">
        <v>432</v>
      </c>
      <c r="Y2315" s="109" t="s">
        <v>432</v>
      </c>
      <c r="Z2315" s="109" t="s">
        <v>432</v>
      </c>
      <c r="AA2315" s="109" t="s">
        <v>432</v>
      </c>
      <c r="AB2315" s="109" t="s">
        <v>432</v>
      </c>
      <c r="AC2315" s="109" t="s">
        <v>432</v>
      </c>
      <c r="AD2315" s="109" t="s">
        <v>432</v>
      </c>
      <c r="AE2315" s="109" t="s">
        <v>432</v>
      </c>
      <c r="AF2315" s="109" t="s">
        <v>432</v>
      </c>
      <c r="AG2315" s="109" t="s">
        <v>432</v>
      </c>
      <c r="AH2315" s="109" t="s">
        <v>432</v>
      </c>
      <c r="AI2315" s="109" t="s">
        <v>432</v>
      </c>
      <c r="AJ2315" s="109" t="s">
        <v>432</v>
      </c>
      <c r="AK2315" s="137" t="s">
        <v>432</v>
      </c>
      <c r="AL2315" s="601" t="s">
        <v>432</v>
      </c>
      <c r="AM2315" s="137" t="s">
        <v>432</v>
      </c>
      <c r="AN2315" s="137" t="s">
        <v>432</v>
      </c>
      <c r="AO2315" s="137" t="s">
        <v>432</v>
      </c>
      <c r="AP2315" s="137" t="s">
        <v>432</v>
      </c>
      <c r="AQ2315" s="137" t="s">
        <v>432</v>
      </c>
      <c r="AR2315" s="137" t="s">
        <v>432</v>
      </c>
      <c r="AS2315" s="137" t="s">
        <v>432</v>
      </c>
      <c r="AT2315" s="137" t="s">
        <v>432</v>
      </c>
      <c r="AU2315" s="137" t="s">
        <v>432</v>
      </c>
      <c r="AV2315" s="137" t="s">
        <v>432</v>
      </c>
      <c r="AW2315" s="137" t="s">
        <v>432</v>
      </c>
      <c r="AX2315" s="137" t="s">
        <v>432</v>
      </c>
      <c r="AY2315" s="137" t="s">
        <v>432</v>
      </c>
      <c r="AZ2315" s="137" t="s">
        <v>432</v>
      </c>
      <c r="BA2315" s="137" t="s">
        <v>432</v>
      </c>
      <c r="BB2315" s="239" t="str">
        <f>B2315&amp;C2315</f>
        <v>geralacessibilidade</v>
      </c>
      <c r="BC2315" s="239" t="str">
        <f>B2315&amp;C2315&amp;H2315</f>
        <v>geralacessibilidadesigla/verbete</v>
      </c>
      <c r="BD2315" s="239" t="str">
        <f>B2315&amp;H2315</f>
        <v>geralsigla/verbete</v>
      </c>
    </row>
    <row r="2316" spans="1:67" s="1" customFormat="1" ht="110.25" customHeight="1" x14ac:dyDescent="0.25">
      <c r="A2316" s="262" t="s">
        <v>432</v>
      </c>
      <c r="B2316" s="252" t="s">
        <v>742</v>
      </c>
      <c r="C2316" s="167" t="s">
        <v>432</v>
      </c>
      <c r="D2316" s="325" t="s">
        <v>488</v>
      </c>
      <c r="E2316" s="1496" t="s">
        <v>432</v>
      </c>
      <c r="F2316" s="53" t="s">
        <v>489</v>
      </c>
      <c r="G2316" s="167" t="s">
        <v>3879</v>
      </c>
      <c r="H2316" s="167" t="s">
        <v>432</v>
      </c>
      <c r="I2316" s="167" t="s">
        <v>432</v>
      </c>
      <c r="J2316" s="107" t="s">
        <v>432</v>
      </c>
      <c r="K2316" s="107" t="s">
        <v>432</v>
      </c>
      <c r="L2316" s="107" t="s">
        <v>432</v>
      </c>
      <c r="M2316" s="107" t="s">
        <v>432</v>
      </c>
      <c r="N2316" s="107" t="s">
        <v>432</v>
      </c>
      <c r="O2316" s="107" t="s">
        <v>432</v>
      </c>
      <c r="P2316" s="107" t="s">
        <v>432</v>
      </c>
      <c r="Q2316" s="107" t="s">
        <v>432</v>
      </c>
      <c r="R2316" s="107" t="s">
        <v>432</v>
      </c>
      <c r="S2316" s="109" t="s">
        <v>2209</v>
      </c>
      <c r="T2316" s="107" t="s">
        <v>432</v>
      </c>
      <c r="U2316" s="107" t="s">
        <v>432</v>
      </c>
      <c r="V2316" s="109" t="s">
        <v>2209</v>
      </c>
      <c r="W2316" s="107" t="s">
        <v>432</v>
      </c>
      <c r="X2316" s="107" t="s">
        <v>432</v>
      </c>
      <c r="Y2316" s="107" t="s">
        <v>432</v>
      </c>
      <c r="Z2316" s="107" t="s">
        <v>432</v>
      </c>
      <c r="AA2316" s="107" t="s">
        <v>432</v>
      </c>
      <c r="AB2316" s="107" t="s">
        <v>432</v>
      </c>
      <c r="AC2316" s="107" t="s">
        <v>432</v>
      </c>
      <c r="AD2316" s="107" t="s">
        <v>432</v>
      </c>
      <c r="AE2316" s="107" t="s">
        <v>432</v>
      </c>
      <c r="AF2316" s="107" t="s">
        <v>432</v>
      </c>
      <c r="AG2316" s="107" t="s">
        <v>432</v>
      </c>
      <c r="AH2316" s="107" t="s">
        <v>432</v>
      </c>
      <c r="AI2316" s="107" t="s">
        <v>432</v>
      </c>
      <c r="AJ2316" s="107" t="s">
        <v>432</v>
      </c>
      <c r="AK2316" s="137" t="s">
        <v>432</v>
      </c>
      <c r="AL2316" s="601" t="s">
        <v>432</v>
      </c>
      <c r="AM2316" s="137" t="s">
        <v>432</v>
      </c>
      <c r="AN2316" s="137" t="s">
        <v>432</v>
      </c>
      <c r="AO2316" s="137" t="s">
        <v>432</v>
      </c>
      <c r="AP2316" s="137" t="s">
        <v>432</v>
      </c>
      <c r="AQ2316" s="137" t="s">
        <v>432</v>
      </c>
      <c r="AR2316" s="137" t="s">
        <v>432</v>
      </c>
      <c r="AS2316" s="137" t="s">
        <v>432</v>
      </c>
      <c r="AT2316" s="137" t="s">
        <v>432</v>
      </c>
      <c r="AU2316" s="137" t="s">
        <v>432</v>
      </c>
      <c r="AV2316" s="137" t="s">
        <v>432</v>
      </c>
      <c r="AW2316" s="137" t="s">
        <v>432</v>
      </c>
      <c r="AX2316" s="137" t="s">
        <v>432</v>
      </c>
      <c r="AY2316" s="137" t="s">
        <v>432</v>
      </c>
      <c r="AZ2316" s="137" t="s">
        <v>432</v>
      </c>
      <c r="BA2316" s="137" t="s">
        <v>432</v>
      </c>
      <c r="BB2316" s="239" t="str">
        <f t="shared" si="666"/>
        <v>geralx</v>
      </c>
      <c r="BC2316" s="239" t="str">
        <f t="shared" si="667"/>
        <v>geralxx</v>
      </c>
      <c r="BD2316" s="239" t="str">
        <f t="shared" si="668"/>
        <v>geralx</v>
      </c>
      <c r="BM2316" s="19"/>
      <c r="BN2316" s="19"/>
      <c r="BO2316" s="19"/>
    </row>
    <row r="2317" spans="1:67" s="1" customFormat="1" ht="110.25" customHeight="1" x14ac:dyDescent="0.25">
      <c r="A2317" s="262" t="s">
        <v>432</v>
      </c>
      <c r="B2317" s="252" t="s">
        <v>742</v>
      </c>
      <c r="C2317" s="167" t="s">
        <v>432</v>
      </c>
      <c r="D2317" s="325" t="s">
        <v>5123</v>
      </c>
      <c r="E2317" s="1496" t="s">
        <v>1298</v>
      </c>
      <c r="F2317" s="53" t="s">
        <v>5124</v>
      </c>
      <c r="G2317" s="229" t="s">
        <v>3719</v>
      </c>
      <c r="H2317" s="167" t="s">
        <v>2408</v>
      </c>
      <c r="I2317" s="167" t="s">
        <v>432</v>
      </c>
      <c r="J2317" s="107" t="s">
        <v>432</v>
      </c>
      <c r="K2317" s="107" t="s">
        <v>432</v>
      </c>
      <c r="L2317" s="107" t="s">
        <v>432</v>
      </c>
      <c r="M2317" s="107" t="s">
        <v>432</v>
      </c>
      <c r="N2317" s="107" t="s">
        <v>432</v>
      </c>
      <c r="O2317" s="107" t="s">
        <v>432</v>
      </c>
      <c r="P2317" s="107" t="s">
        <v>432</v>
      </c>
      <c r="Q2317" s="107" t="s">
        <v>432</v>
      </c>
      <c r="R2317" s="107" t="s">
        <v>432</v>
      </c>
      <c r="S2317" s="109" t="s">
        <v>2209</v>
      </c>
      <c r="T2317" s="107" t="s">
        <v>432</v>
      </c>
      <c r="U2317" s="107" t="s">
        <v>432</v>
      </c>
      <c r="V2317" s="109" t="s">
        <v>2209</v>
      </c>
      <c r="W2317" s="107" t="s">
        <v>432</v>
      </c>
      <c r="X2317" s="107" t="s">
        <v>432</v>
      </c>
      <c r="Y2317" s="107" t="s">
        <v>432</v>
      </c>
      <c r="Z2317" s="107" t="s">
        <v>432</v>
      </c>
      <c r="AA2317" s="107" t="s">
        <v>432</v>
      </c>
      <c r="AB2317" s="107" t="s">
        <v>432</v>
      </c>
      <c r="AC2317" s="107" t="s">
        <v>432</v>
      </c>
      <c r="AD2317" s="107" t="s">
        <v>432</v>
      </c>
      <c r="AE2317" s="107" t="s">
        <v>432</v>
      </c>
      <c r="AF2317" s="107" t="s">
        <v>432</v>
      </c>
      <c r="AG2317" s="107" t="s">
        <v>432</v>
      </c>
      <c r="AH2317" s="107" t="s">
        <v>432</v>
      </c>
      <c r="AI2317" s="107" t="s">
        <v>432</v>
      </c>
      <c r="AJ2317" s="107" t="s">
        <v>432</v>
      </c>
      <c r="AK2317" s="137" t="s">
        <v>432</v>
      </c>
      <c r="AL2317" s="601" t="s">
        <v>432</v>
      </c>
      <c r="AM2317" s="137" t="s">
        <v>432</v>
      </c>
      <c r="AN2317" s="137" t="s">
        <v>432</v>
      </c>
      <c r="AO2317" s="137" t="s">
        <v>432</v>
      </c>
      <c r="AP2317" s="137" t="s">
        <v>432</v>
      </c>
      <c r="AQ2317" s="137" t="s">
        <v>432</v>
      </c>
      <c r="AR2317" s="137" t="s">
        <v>432</v>
      </c>
      <c r="AS2317" s="137" t="s">
        <v>432</v>
      </c>
      <c r="AT2317" s="137" t="s">
        <v>432</v>
      </c>
      <c r="AU2317" s="137" t="s">
        <v>432</v>
      </c>
      <c r="AV2317" s="137" t="s">
        <v>432</v>
      </c>
      <c r="AW2317" s="137" t="s">
        <v>432</v>
      </c>
      <c r="AX2317" s="137" t="s">
        <v>432</v>
      </c>
      <c r="AY2317" s="137" t="s">
        <v>432</v>
      </c>
      <c r="AZ2317" s="137" t="s">
        <v>432</v>
      </c>
      <c r="BA2317" s="137" t="s">
        <v>432</v>
      </c>
      <c r="BB2317" s="239" t="str">
        <f t="shared" si="666"/>
        <v>geralx</v>
      </c>
      <c r="BC2317" s="239" t="str">
        <f t="shared" si="667"/>
        <v>geralxsigla/verbete</v>
      </c>
      <c r="BD2317" s="239" t="str">
        <f t="shared" si="668"/>
        <v>geralsigla/verbete</v>
      </c>
      <c r="BM2317" s="1404"/>
      <c r="BN2317" s="1404"/>
      <c r="BO2317" s="1404"/>
    </row>
    <row r="2318" spans="1:67" s="1" customFormat="1" ht="34.5" customHeight="1" x14ac:dyDescent="0.25">
      <c r="A2318" s="262" t="str">
        <f>'Q100b-totais'!B22</f>
        <v>2.7</v>
      </c>
      <c r="B2318" s="252" t="str">
        <f>'Q100b-totais'!C22</f>
        <v>Outras cidades/regiões</v>
      </c>
      <c r="C2318" s="167" t="s">
        <v>743</v>
      </c>
      <c r="D2318" s="325" t="s">
        <v>3297</v>
      </c>
      <c r="E2318" s="1445" t="s">
        <v>3297</v>
      </c>
      <c r="F2318" s="1205" t="s">
        <v>4204</v>
      </c>
      <c r="G2318" s="230" t="s">
        <v>3507</v>
      </c>
      <c r="H2318" s="167" t="s">
        <v>2408</v>
      </c>
      <c r="I2318" s="167" t="s">
        <v>432</v>
      </c>
      <c r="J2318" s="107" t="s">
        <v>432</v>
      </c>
      <c r="K2318" s="107" t="s">
        <v>432</v>
      </c>
      <c r="L2318" s="107" t="s">
        <v>432</v>
      </c>
      <c r="M2318" s="107" t="s">
        <v>432</v>
      </c>
      <c r="N2318" s="107" t="s">
        <v>432</v>
      </c>
      <c r="O2318" s="107" t="s">
        <v>432</v>
      </c>
      <c r="P2318" s="107" t="s">
        <v>432</v>
      </c>
      <c r="Q2318" s="107" t="s">
        <v>432</v>
      </c>
      <c r="R2318" s="107" t="s">
        <v>432</v>
      </c>
      <c r="S2318" s="109" t="s">
        <v>2209</v>
      </c>
      <c r="T2318" s="107" t="s">
        <v>432</v>
      </c>
      <c r="U2318" s="107" t="s">
        <v>432</v>
      </c>
      <c r="V2318" s="109" t="s">
        <v>2209</v>
      </c>
      <c r="W2318" s="107" t="s">
        <v>432</v>
      </c>
      <c r="X2318" s="107" t="s">
        <v>432</v>
      </c>
      <c r="Y2318" s="107" t="s">
        <v>432</v>
      </c>
      <c r="Z2318" s="107" t="s">
        <v>432</v>
      </c>
      <c r="AA2318" s="107" t="s">
        <v>432</v>
      </c>
      <c r="AB2318" s="107" t="s">
        <v>432</v>
      </c>
      <c r="AC2318" s="107" t="s">
        <v>432</v>
      </c>
      <c r="AD2318" s="107" t="s">
        <v>432</v>
      </c>
      <c r="AE2318" s="107" t="s">
        <v>432</v>
      </c>
      <c r="AF2318" s="107" t="s">
        <v>432</v>
      </c>
      <c r="AG2318" s="107" t="s">
        <v>432</v>
      </c>
      <c r="AH2318" s="107" t="s">
        <v>432</v>
      </c>
      <c r="AI2318" s="107" t="s">
        <v>432</v>
      </c>
      <c r="AJ2318" s="107" t="s">
        <v>432</v>
      </c>
      <c r="AK2318" s="137" t="s">
        <v>432</v>
      </c>
      <c r="AL2318" s="601" t="s">
        <v>432</v>
      </c>
      <c r="AM2318" s="137" t="s">
        <v>432</v>
      </c>
      <c r="AN2318" s="137" t="s">
        <v>432</v>
      </c>
      <c r="AO2318" s="137" t="s">
        <v>432</v>
      </c>
      <c r="AP2318" s="137" t="s">
        <v>432</v>
      </c>
      <c r="AQ2318" s="137" t="s">
        <v>432</v>
      </c>
      <c r="AR2318" s="137" t="s">
        <v>432</v>
      </c>
      <c r="AS2318" s="137" t="s">
        <v>432</v>
      </c>
      <c r="AT2318" s="137" t="s">
        <v>432</v>
      </c>
      <c r="AU2318" s="137" t="s">
        <v>432</v>
      </c>
      <c r="AV2318" s="137" t="s">
        <v>432</v>
      </c>
      <c r="AW2318" s="137" t="s">
        <v>432</v>
      </c>
      <c r="AX2318" s="137" t="s">
        <v>432</v>
      </c>
      <c r="AY2318" s="137" t="s">
        <v>432</v>
      </c>
      <c r="AZ2318" s="137" t="s">
        <v>432</v>
      </c>
      <c r="BA2318" s="137" t="s">
        <v>432</v>
      </c>
      <c r="BB2318" s="239" t="str">
        <f>B2318&amp;C2318</f>
        <v>Outras cidades/regiõesacessibilidade</v>
      </c>
      <c r="BC2318" s="239" t="str">
        <f>B2318&amp;C2318&amp;H2318</f>
        <v>Outras cidades/regiõesacessibilidadesigla/verbete</v>
      </c>
      <c r="BD2318" s="239" t="str">
        <f>B2318&amp;H2318</f>
        <v>Outras cidades/regiõessigla/verbete</v>
      </c>
      <c r="BM2318" s="1325"/>
      <c r="BN2318" s="1325"/>
      <c r="BO2318" s="1325"/>
    </row>
    <row r="2319" spans="1:67" s="1" customFormat="1" ht="25.5" x14ac:dyDescent="0.25">
      <c r="A2319" s="262" t="s">
        <v>432</v>
      </c>
      <c r="B2319" s="252" t="s">
        <v>742</v>
      </c>
      <c r="C2319" s="167" t="s">
        <v>743</v>
      </c>
      <c r="D2319" s="325" t="s">
        <v>3394</v>
      </c>
      <c r="E2319" s="1445" t="s">
        <v>432</v>
      </c>
      <c r="F2319" s="252" t="s">
        <v>5272</v>
      </c>
      <c r="G2319" s="230" t="s">
        <v>3507</v>
      </c>
      <c r="H2319" s="167" t="s">
        <v>2408</v>
      </c>
      <c r="I2319" s="167" t="s">
        <v>432</v>
      </c>
      <c r="J2319" s="107" t="s">
        <v>432</v>
      </c>
      <c r="K2319" s="107" t="s">
        <v>432</v>
      </c>
      <c r="L2319" s="107" t="s">
        <v>432</v>
      </c>
      <c r="M2319" s="107" t="s">
        <v>432</v>
      </c>
      <c r="N2319" s="107" t="s">
        <v>432</v>
      </c>
      <c r="O2319" s="107" t="s">
        <v>432</v>
      </c>
      <c r="P2319" s="107" t="s">
        <v>432</v>
      </c>
      <c r="Q2319" s="107" t="s">
        <v>432</v>
      </c>
      <c r="R2319" s="107" t="s">
        <v>432</v>
      </c>
      <c r="S2319" s="109" t="s">
        <v>2209</v>
      </c>
      <c r="T2319" s="107" t="s">
        <v>432</v>
      </c>
      <c r="U2319" s="107" t="s">
        <v>432</v>
      </c>
      <c r="V2319" s="109" t="s">
        <v>2209</v>
      </c>
      <c r="W2319" s="107" t="s">
        <v>432</v>
      </c>
      <c r="X2319" s="107" t="s">
        <v>432</v>
      </c>
      <c r="Y2319" s="107" t="s">
        <v>432</v>
      </c>
      <c r="Z2319" s="107" t="s">
        <v>432</v>
      </c>
      <c r="AA2319" s="107" t="s">
        <v>432</v>
      </c>
      <c r="AB2319" s="107" t="s">
        <v>432</v>
      </c>
      <c r="AC2319" s="107" t="s">
        <v>432</v>
      </c>
      <c r="AD2319" s="107" t="s">
        <v>432</v>
      </c>
      <c r="AE2319" s="107" t="s">
        <v>432</v>
      </c>
      <c r="AF2319" s="107" t="s">
        <v>432</v>
      </c>
      <c r="AG2319" s="107" t="s">
        <v>432</v>
      </c>
      <c r="AH2319" s="107" t="s">
        <v>432</v>
      </c>
      <c r="AI2319" s="107" t="s">
        <v>432</v>
      </c>
      <c r="AJ2319" s="107" t="s">
        <v>432</v>
      </c>
      <c r="AK2319" s="137" t="s">
        <v>432</v>
      </c>
      <c r="AL2319" s="601" t="s">
        <v>432</v>
      </c>
      <c r="AM2319" s="137" t="s">
        <v>432</v>
      </c>
      <c r="AN2319" s="137" t="s">
        <v>432</v>
      </c>
      <c r="AO2319" s="137" t="s">
        <v>432</v>
      </c>
      <c r="AP2319" s="137" t="s">
        <v>432</v>
      </c>
      <c r="AQ2319" s="137" t="s">
        <v>432</v>
      </c>
      <c r="AR2319" s="137" t="s">
        <v>432</v>
      </c>
      <c r="AS2319" s="137" t="s">
        <v>432</v>
      </c>
      <c r="AT2319" s="137" t="s">
        <v>432</v>
      </c>
      <c r="AU2319" s="137" t="s">
        <v>432</v>
      </c>
      <c r="AV2319" s="137" t="s">
        <v>432</v>
      </c>
      <c r="AW2319" s="137" t="s">
        <v>432</v>
      </c>
      <c r="AX2319" s="137" t="s">
        <v>432</v>
      </c>
      <c r="AY2319" s="137" t="s">
        <v>432</v>
      </c>
      <c r="AZ2319" s="137" t="s">
        <v>432</v>
      </c>
      <c r="BA2319" s="137" t="s">
        <v>432</v>
      </c>
      <c r="BB2319" s="239" t="str">
        <f t="shared" si="666"/>
        <v>geralacessibilidade</v>
      </c>
      <c r="BC2319" s="239" t="str">
        <f t="shared" si="667"/>
        <v>geralacessibilidadesigla/verbete</v>
      </c>
      <c r="BD2319" s="239" t="str">
        <f t="shared" si="668"/>
        <v>geralsigla/verbete</v>
      </c>
      <c r="BM2319" s="1018"/>
      <c r="BN2319" s="1018"/>
      <c r="BO2319" s="1018"/>
    </row>
    <row r="2320" spans="1:67" s="1" customFormat="1" ht="188.25" customHeight="1" x14ac:dyDescent="0.25">
      <c r="A2320" s="262" t="s">
        <v>432</v>
      </c>
      <c r="B2320" s="252" t="s">
        <v>742</v>
      </c>
      <c r="C2320" s="167" t="s">
        <v>743</v>
      </c>
      <c r="D2320" s="325" t="s">
        <v>2535</v>
      </c>
      <c r="E2320" s="1496" t="s">
        <v>1767</v>
      </c>
      <c r="F2320" s="53" t="s">
        <v>4599</v>
      </c>
      <c r="G2320" s="230" t="s">
        <v>3507</v>
      </c>
      <c r="H2320" s="167" t="s">
        <v>2408</v>
      </c>
      <c r="I2320" s="167" t="s">
        <v>432</v>
      </c>
      <c r="J2320" s="107" t="s">
        <v>432</v>
      </c>
      <c r="K2320" s="107" t="s">
        <v>432</v>
      </c>
      <c r="L2320" s="107" t="s">
        <v>432</v>
      </c>
      <c r="M2320" s="107" t="s">
        <v>432</v>
      </c>
      <c r="N2320" s="107" t="s">
        <v>432</v>
      </c>
      <c r="O2320" s="107" t="s">
        <v>432</v>
      </c>
      <c r="P2320" s="107" t="s">
        <v>432</v>
      </c>
      <c r="Q2320" s="107" t="s">
        <v>432</v>
      </c>
      <c r="R2320" s="107" t="s">
        <v>432</v>
      </c>
      <c r="S2320" s="109" t="s">
        <v>2209</v>
      </c>
      <c r="T2320" s="107" t="s">
        <v>432</v>
      </c>
      <c r="U2320" s="107" t="s">
        <v>432</v>
      </c>
      <c r="V2320" s="109" t="s">
        <v>2209</v>
      </c>
      <c r="W2320" s="107" t="s">
        <v>432</v>
      </c>
      <c r="X2320" s="107" t="s">
        <v>432</v>
      </c>
      <c r="Y2320" s="107" t="s">
        <v>432</v>
      </c>
      <c r="Z2320" s="107" t="s">
        <v>432</v>
      </c>
      <c r="AA2320" s="107" t="s">
        <v>432</v>
      </c>
      <c r="AB2320" s="107" t="s">
        <v>432</v>
      </c>
      <c r="AC2320" s="107" t="s">
        <v>432</v>
      </c>
      <c r="AD2320" s="107" t="s">
        <v>432</v>
      </c>
      <c r="AE2320" s="107" t="s">
        <v>432</v>
      </c>
      <c r="AF2320" s="107" t="s">
        <v>432</v>
      </c>
      <c r="AG2320" s="107" t="s">
        <v>432</v>
      </c>
      <c r="AH2320" s="107" t="s">
        <v>432</v>
      </c>
      <c r="AI2320" s="107" t="s">
        <v>432</v>
      </c>
      <c r="AJ2320" s="107" t="s">
        <v>432</v>
      </c>
      <c r="AK2320" s="137" t="s">
        <v>432</v>
      </c>
      <c r="AL2320" s="601" t="s">
        <v>432</v>
      </c>
      <c r="AM2320" s="137" t="s">
        <v>432</v>
      </c>
      <c r="AN2320" s="137" t="s">
        <v>432</v>
      </c>
      <c r="AO2320" s="137" t="s">
        <v>432</v>
      </c>
      <c r="AP2320" s="137" t="s">
        <v>432</v>
      </c>
      <c r="AQ2320" s="137" t="s">
        <v>432</v>
      </c>
      <c r="AR2320" s="137" t="s">
        <v>432</v>
      </c>
      <c r="AS2320" s="137" t="s">
        <v>432</v>
      </c>
      <c r="AT2320" s="137" t="s">
        <v>432</v>
      </c>
      <c r="AU2320" s="137" t="s">
        <v>432</v>
      </c>
      <c r="AV2320" s="137" t="s">
        <v>432</v>
      </c>
      <c r="AW2320" s="137" t="s">
        <v>432</v>
      </c>
      <c r="AX2320" s="137" t="s">
        <v>432</v>
      </c>
      <c r="AY2320" s="137" t="s">
        <v>432</v>
      </c>
      <c r="AZ2320" s="137" t="s">
        <v>432</v>
      </c>
      <c r="BA2320" s="137" t="s">
        <v>432</v>
      </c>
      <c r="BB2320" s="239" t="str">
        <f>B2320&amp;C2320</f>
        <v>geralacessibilidade</v>
      </c>
      <c r="BC2320" s="239" t="str">
        <f>B2320&amp;C2320&amp;H2320</f>
        <v>geralacessibilidadesigla/verbete</v>
      </c>
      <c r="BD2320" s="239" t="str">
        <f>B2320&amp;H2320</f>
        <v>geralsigla/verbete</v>
      </c>
      <c r="BM2320" s="843"/>
      <c r="BN2320" s="843"/>
      <c r="BO2320" s="843"/>
    </row>
    <row r="2321" spans="1:67" s="1" customFormat="1" ht="25.5" x14ac:dyDescent="0.25">
      <c r="A2321" s="262" t="s">
        <v>432</v>
      </c>
      <c r="B2321" s="252" t="s">
        <v>742</v>
      </c>
      <c r="C2321" s="167" t="s">
        <v>432</v>
      </c>
      <c r="D2321" s="324" t="s">
        <v>458</v>
      </c>
      <c r="E2321" s="1496" t="s">
        <v>432</v>
      </c>
      <c r="F2321" s="53" t="s">
        <v>674</v>
      </c>
      <c r="G2321" s="167" t="s">
        <v>3879</v>
      </c>
      <c r="H2321" s="167" t="s">
        <v>432</v>
      </c>
      <c r="I2321" s="167" t="s">
        <v>432</v>
      </c>
      <c r="J2321" s="107" t="s">
        <v>432</v>
      </c>
      <c r="K2321" s="107" t="s">
        <v>432</v>
      </c>
      <c r="L2321" s="107" t="s">
        <v>432</v>
      </c>
      <c r="M2321" s="107" t="s">
        <v>432</v>
      </c>
      <c r="N2321" s="107" t="s">
        <v>432</v>
      </c>
      <c r="O2321" s="107" t="s">
        <v>432</v>
      </c>
      <c r="P2321" s="107" t="s">
        <v>432</v>
      </c>
      <c r="Q2321" s="107" t="s">
        <v>432</v>
      </c>
      <c r="R2321" s="107" t="s">
        <v>432</v>
      </c>
      <c r="S2321" s="109" t="s">
        <v>2209</v>
      </c>
      <c r="T2321" s="107" t="s">
        <v>432</v>
      </c>
      <c r="U2321" s="107" t="s">
        <v>432</v>
      </c>
      <c r="V2321" s="109" t="s">
        <v>2209</v>
      </c>
      <c r="W2321" s="107" t="s">
        <v>432</v>
      </c>
      <c r="X2321" s="107" t="s">
        <v>432</v>
      </c>
      <c r="Y2321" s="107" t="s">
        <v>432</v>
      </c>
      <c r="Z2321" s="107" t="s">
        <v>432</v>
      </c>
      <c r="AA2321" s="107" t="s">
        <v>432</v>
      </c>
      <c r="AB2321" s="107" t="s">
        <v>432</v>
      </c>
      <c r="AC2321" s="107" t="s">
        <v>432</v>
      </c>
      <c r="AD2321" s="107" t="s">
        <v>432</v>
      </c>
      <c r="AE2321" s="107" t="s">
        <v>432</v>
      </c>
      <c r="AF2321" s="107" t="s">
        <v>432</v>
      </c>
      <c r="AG2321" s="107" t="s">
        <v>432</v>
      </c>
      <c r="AH2321" s="107" t="s">
        <v>432</v>
      </c>
      <c r="AI2321" s="107" t="s">
        <v>432</v>
      </c>
      <c r="AJ2321" s="107" t="s">
        <v>432</v>
      </c>
      <c r="AK2321" s="137" t="s">
        <v>432</v>
      </c>
      <c r="AL2321" s="601" t="s">
        <v>432</v>
      </c>
      <c r="AM2321" s="137" t="s">
        <v>432</v>
      </c>
      <c r="AN2321" s="137" t="s">
        <v>432</v>
      </c>
      <c r="AO2321" s="137" t="s">
        <v>432</v>
      </c>
      <c r="AP2321" s="137" t="s">
        <v>432</v>
      </c>
      <c r="AQ2321" s="137" t="s">
        <v>432</v>
      </c>
      <c r="AR2321" s="137" t="s">
        <v>432</v>
      </c>
      <c r="AS2321" s="137" t="s">
        <v>432</v>
      </c>
      <c r="AT2321" s="137" t="s">
        <v>432</v>
      </c>
      <c r="AU2321" s="137" t="s">
        <v>432</v>
      </c>
      <c r="AV2321" s="137" t="s">
        <v>432</v>
      </c>
      <c r="AW2321" s="137" t="s">
        <v>432</v>
      </c>
      <c r="AX2321" s="137" t="s">
        <v>432</v>
      </c>
      <c r="AY2321" s="137" t="s">
        <v>432</v>
      </c>
      <c r="AZ2321" s="137" t="s">
        <v>432</v>
      </c>
      <c r="BA2321" s="137" t="s">
        <v>432</v>
      </c>
      <c r="BB2321" s="239" t="str">
        <f t="shared" si="666"/>
        <v>geralx</v>
      </c>
      <c r="BC2321" s="239" t="str">
        <f t="shared" si="667"/>
        <v>geralxx</v>
      </c>
      <c r="BD2321" s="239" t="str">
        <f t="shared" si="668"/>
        <v>geralx</v>
      </c>
      <c r="BM2321" s="19"/>
      <c r="BN2321" s="19"/>
      <c r="BO2321" s="19"/>
    </row>
    <row r="2322" spans="1:67" s="1" customFormat="1" ht="38.25" x14ac:dyDescent="0.25">
      <c r="A2322" s="262" t="str">
        <f>'Q100b-totais'!B22</f>
        <v>2.7</v>
      </c>
      <c r="B2322" s="252" t="str">
        <f>'Q100b-totais'!C22</f>
        <v>Outras cidades/regiões</v>
      </c>
      <c r="C2322" s="167" t="s">
        <v>432</v>
      </c>
      <c r="D2322" s="325" t="s">
        <v>4190</v>
      </c>
      <c r="E2322" s="1445" t="s">
        <v>4190</v>
      </c>
      <c r="F2322" s="1205" t="s">
        <v>4193</v>
      </c>
      <c r="G2322" s="230" t="s">
        <v>3507</v>
      </c>
      <c r="H2322" s="167" t="s">
        <v>2408</v>
      </c>
      <c r="I2322" s="167" t="s">
        <v>432</v>
      </c>
      <c r="J2322" s="107" t="s">
        <v>432</v>
      </c>
      <c r="K2322" s="107" t="s">
        <v>432</v>
      </c>
      <c r="L2322" s="107" t="s">
        <v>432</v>
      </c>
      <c r="M2322" s="107" t="s">
        <v>432</v>
      </c>
      <c r="N2322" s="107" t="s">
        <v>432</v>
      </c>
      <c r="O2322" s="107" t="s">
        <v>432</v>
      </c>
      <c r="P2322" s="107" t="s">
        <v>432</v>
      </c>
      <c r="Q2322" s="107" t="s">
        <v>432</v>
      </c>
      <c r="R2322" s="107" t="s">
        <v>432</v>
      </c>
      <c r="S2322" s="109" t="s">
        <v>2209</v>
      </c>
      <c r="T2322" s="107" t="s">
        <v>432</v>
      </c>
      <c r="U2322" s="107" t="s">
        <v>432</v>
      </c>
      <c r="V2322" s="109" t="s">
        <v>2209</v>
      </c>
      <c r="W2322" s="107" t="s">
        <v>432</v>
      </c>
      <c r="X2322" s="107" t="s">
        <v>432</v>
      </c>
      <c r="Y2322" s="107" t="s">
        <v>432</v>
      </c>
      <c r="Z2322" s="107" t="s">
        <v>432</v>
      </c>
      <c r="AA2322" s="107" t="s">
        <v>432</v>
      </c>
      <c r="AB2322" s="107" t="s">
        <v>432</v>
      </c>
      <c r="AC2322" s="107" t="s">
        <v>432</v>
      </c>
      <c r="AD2322" s="107" t="s">
        <v>432</v>
      </c>
      <c r="AE2322" s="107" t="s">
        <v>432</v>
      </c>
      <c r="AF2322" s="107" t="s">
        <v>432</v>
      </c>
      <c r="AG2322" s="107" t="s">
        <v>432</v>
      </c>
      <c r="AH2322" s="107" t="s">
        <v>432</v>
      </c>
      <c r="AI2322" s="107" t="s">
        <v>432</v>
      </c>
      <c r="AJ2322" s="107" t="s">
        <v>432</v>
      </c>
      <c r="AK2322" s="137" t="s">
        <v>432</v>
      </c>
      <c r="AL2322" s="601" t="s">
        <v>432</v>
      </c>
      <c r="AM2322" s="137" t="s">
        <v>432</v>
      </c>
      <c r="AN2322" s="137" t="s">
        <v>432</v>
      </c>
      <c r="AO2322" s="137" t="s">
        <v>432</v>
      </c>
      <c r="AP2322" s="137" t="s">
        <v>432</v>
      </c>
      <c r="AQ2322" s="137" t="s">
        <v>432</v>
      </c>
      <c r="AR2322" s="137" t="s">
        <v>432</v>
      </c>
      <c r="AS2322" s="137" t="s">
        <v>432</v>
      </c>
      <c r="AT2322" s="137" t="s">
        <v>432</v>
      </c>
      <c r="AU2322" s="137" t="s">
        <v>432</v>
      </c>
      <c r="AV2322" s="137" t="s">
        <v>432</v>
      </c>
      <c r="AW2322" s="137" t="s">
        <v>432</v>
      </c>
      <c r="AX2322" s="137" t="s">
        <v>432</v>
      </c>
      <c r="AY2322" s="137" t="s">
        <v>432</v>
      </c>
      <c r="AZ2322" s="137" t="s">
        <v>432</v>
      </c>
      <c r="BA2322" s="137" t="s">
        <v>432</v>
      </c>
      <c r="BB2322" s="239" t="str">
        <f t="shared" ref="BB2322:BB2329" si="682">B2322&amp;C2322</f>
        <v>Outras cidades/regiõesx</v>
      </c>
      <c r="BC2322" s="239" t="str">
        <f t="shared" ref="BC2322:BC2329" si="683">B2322&amp;C2322&amp;H2322</f>
        <v>Outras cidades/regiõesxsigla/verbete</v>
      </c>
      <c r="BD2322" s="239" t="str">
        <f t="shared" ref="BD2322:BD2329" si="684">B2322&amp;H2322</f>
        <v>Outras cidades/regiõessigla/verbete</v>
      </c>
      <c r="BM2322" s="1325"/>
      <c r="BN2322" s="1325"/>
      <c r="BO2322" s="1325"/>
    </row>
    <row r="2323" spans="1:67" s="1" customFormat="1" ht="47.25" x14ac:dyDescent="0.25">
      <c r="A2323" s="262" t="s">
        <v>432</v>
      </c>
      <c r="B2323" s="252" t="s">
        <v>742</v>
      </c>
      <c r="C2323" s="167" t="s">
        <v>743</v>
      </c>
      <c r="D2323" s="325" t="s">
        <v>4521</v>
      </c>
      <c r="E2323" s="1496" t="s">
        <v>432</v>
      </c>
      <c r="F2323" s="54" t="s">
        <v>4522</v>
      </c>
      <c r="G2323" s="230" t="s">
        <v>3507</v>
      </c>
      <c r="H2323" s="167" t="s">
        <v>2408</v>
      </c>
      <c r="I2323" s="167" t="s">
        <v>432</v>
      </c>
      <c r="J2323" s="107" t="s">
        <v>432</v>
      </c>
      <c r="K2323" s="107" t="s">
        <v>432</v>
      </c>
      <c r="L2323" s="107" t="s">
        <v>432</v>
      </c>
      <c r="M2323" s="107" t="s">
        <v>432</v>
      </c>
      <c r="N2323" s="107" t="s">
        <v>432</v>
      </c>
      <c r="O2323" s="107" t="s">
        <v>432</v>
      </c>
      <c r="P2323" s="107" t="s">
        <v>432</v>
      </c>
      <c r="Q2323" s="107" t="s">
        <v>432</v>
      </c>
      <c r="R2323" s="107" t="s">
        <v>432</v>
      </c>
      <c r="S2323" s="109" t="s">
        <v>2209</v>
      </c>
      <c r="T2323" s="107" t="s">
        <v>432</v>
      </c>
      <c r="U2323" s="107" t="s">
        <v>432</v>
      </c>
      <c r="V2323" s="109" t="s">
        <v>2209</v>
      </c>
      <c r="W2323" s="107" t="s">
        <v>432</v>
      </c>
      <c r="X2323" s="107" t="s">
        <v>432</v>
      </c>
      <c r="Y2323" s="107" t="s">
        <v>432</v>
      </c>
      <c r="Z2323" s="107" t="s">
        <v>432</v>
      </c>
      <c r="AA2323" s="107" t="s">
        <v>432</v>
      </c>
      <c r="AB2323" s="107" t="s">
        <v>432</v>
      </c>
      <c r="AC2323" s="107" t="s">
        <v>432</v>
      </c>
      <c r="AD2323" s="107" t="s">
        <v>432</v>
      </c>
      <c r="AE2323" s="107" t="s">
        <v>432</v>
      </c>
      <c r="AF2323" s="107" t="s">
        <v>432</v>
      </c>
      <c r="AG2323" s="107" t="s">
        <v>432</v>
      </c>
      <c r="AH2323" s="107" t="s">
        <v>432</v>
      </c>
      <c r="AI2323" s="107" t="s">
        <v>432</v>
      </c>
      <c r="AJ2323" s="107" t="s">
        <v>432</v>
      </c>
      <c r="AK2323" s="137" t="s">
        <v>432</v>
      </c>
      <c r="AL2323" s="601" t="s">
        <v>432</v>
      </c>
      <c r="AM2323" s="137" t="s">
        <v>432</v>
      </c>
      <c r="AN2323" s="137" t="s">
        <v>432</v>
      </c>
      <c r="AO2323" s="137" t="s">
        <v>432</v>
      </c>
      <c r="AP2323" s="137" t="s">
        <v>432</v>
      </c>
      <c r="AQ2323" s="137" t="s">
        <v>432</v>
      </c>
      <c r="AR2323" s="137" t="s">
        <v>432</v>
      </c>
      <c r="AS2323" s="137" t="s">
        <v>432</v>
      </c>
      <c r="AT2323" s="137" t="s">
        <v>432</v>
      </c>
      <c r="AU2323" s="137" t="s">
        <v>432</v>
      </c>
      <c r="AV2323" s="137" t="s">
        <v>432</v>
      </c>
      <c r="AW2323" s="137" t="s">
        <v>432</v>
      </c>
      <c r="AX2323" s="137" t="s">
        <v>432</v>
      </c>
      <c r="AY2323" s="137" t="s">
        <v>432</v>
      </c>
      <c r="AZ2323" s="137" t="s">
        <v>432</v>
      </c>
      <c r="BA2323" s="137" t="s">
        <v>432</v>
      </c>
      <c r="BB2323" s="239" t="str">
        <f t="shared" si="682"/>
        <v>geralacessibilidade</v>
      </c>
      <c r="BC2323" s="239" t="str">
        <f t="shared" si="683"/>
        <v>geralacessibilidadesigla/verbete</v>
      </c>
      <c r="BD2323" s="239" t="str">
        <f t="shared" si="684"/>
        <v>geralsigla/verbete</v>
      </c>
      <c r="BM2323" s="1346"/>
      <c r="BN2323" s="1346"/>
      <c r="BO2323" s="1346"/>
    </row>
    <row r="2324" spans="1:67" s="1" customFormat="1" ht="63" x14ac:dyDescent="0.25">
      <c r="A2324" s="262" t="s">
        <v>432</v>
      </c>
      <c r="B2324" s="252" t="s">
        <v>742</v>
      </c>
      <c r="C2324" s="167" t="s">
        <v>743</v>
      </c>
      <c r="D2324" s="325" t="s">
        <v>4523</v>
      </c>
      <c r="E2324" s="1496" t="s">
        <v>432</v>
      </c>
      <c r="F2324" s="54" t="s">
        <v>4526</v>
      </c>
      <c r="G2324" s="230" t="s">
        <v>3507</v>
      </c>
      <c r="H2324" s="167" t="s">
        <v>2408</v>
      </c>
      <c r="I2324" s="167" t="s">
        <v>432</v>
      </c>
      <c r="J2324" s="107" t="s">
        <v>432</v>
      </c>
      <c r="K2324" s="107" t="s">
        <v>432</v>
      </c>
      <c r="L2324" s="107" t="s">
        <v>432</v>
      </c>
      <c r="M2324" s="107" t="s">
        <v>432</v>
      </c>
      <c r="N2324" s="107" t="s">
        <v>432</v>
      </c>
      <c r="O2324" s="107" t="s">
        <v>432</v>
      </c>
      <c r="P2324" s="107" t="s">
        <v>432</v>
      </c>
      <c r="Q2324" s="107" t="s">
        <v>432</v>
      </c>
      <c r="R2324" s="107" t="s">
        <v>432</v>
      </c>
      <c r="S2324" s="109" t="s">
        <v>2209</v>
      </c>
      <c r="T2324" s="107" t="s">
        <v>432</v>
      </c>
      <c r="U2324" s="107" t="s">
        <v>432</v>
      </c>
      <c r="V2324" s="109" t="s">
        <v>2209</v>
      </c>
      <c r="W2324" s="107" t="s">
        <v>432</v>
      </c>
      <c r="X2324" s="107" t="s">
        <v>432</v>
      </c>
      <c r="Y2324" s="107" t="s">
        <v>432</v>
      </c>
      <c r="Z2324" s="107" t="s">
        <v>432</v>
      </c>
      <c r="AA2324" s="107" t="s">
        <v>432</v>
      </c>
      <c r="AB2324" s="107" t="s">
        <v>432</v>
      </c>
      <c r="AC2324" s="107" t="s">
        <v>432</v>
      </c>
      <c r="AD2324" s="107" t="s">
        <v>432</v>
      </c>
      <c r="AE2324" s="107" t="s">
        <v>432</v>
      </c>
      <c r="AF2324" s="107" t="s">
        <v>432</v>
      </c>
      <c r="AG2324" s="107" t="s">
        <v>432</v>
      </c>
      <c r="AH2324" s="107" t="s">
        <v>432</v>
      </c>
      <c r="AI2324" s="107" t="s">
        <v>432</v>
      </c>
      <c r="AJ2324" s="107" t="s">
        <v>432</v>
      </c>
      <c r="AK2324" s="137" t="s">
        <v>432</v>
      </c>
      <c r="AL2324" s="601" t="s">
        <v>432</v>
      </c>
      <c r="AM2324" s="137" t="s">
        <v>432</v>
      </c>
      <c r="AN2324" s="137" t="s">
        <v>432</v>
      </c>
      <c r="AO2324" s="137" t="s">
        <v>432</v>
      </c>
      <c r="AP2324" s="137" t="s">
        <v>432</v>
      </c>
      <c r="AQ2324" s="137" t="s">
        <v>432</v>
      </c>
      <c r="AR2324" s="137" t="s">
        <v>432</v>
      </c>
      <c r="AS2324" s="137" t="s">
        <v>432</v>
      </c>
      <c r="AT2324" s="137" t="s">
        <v>432</v>
      </c>
      <c r="AU2324" s="137" t="s">
        <v>432</v>
      </c>
      <c r="AV2324" s="137" t="s">
        <v>432</v>
      </c>
      <c r="AW2324" s="137" t="s">
        <v>432</v>
      </c>
      <c r="AX2324" s="137" t="s">
        <v>432</v>
      </c>
      <c r="AY2324" s="137" t="s">
        <v>432</v>
      </c>
      <c r="AZ2324" s="137" t="s">
        <v>432</v>
      </c>
      <c r="BA2324" s="137" t="s">
        <v>432</v>
      </c>
      <c r="BB2324" s="239" t="str">
        <f t="shared" si="682"/>
        <v>geralacessibilidade</v>
      </c>
      <c r="BC2324" s="239" t="str">
        <f t="shared" si="683"/>
        <v>geralacessibilidadesigla/verbete</v>
      </c>
      <c r="BD2324" s="239" t="str">
        <f t="shared" si="684"/>
        <v>geralsigla/verbete</v>
      </c>
      <c r="BM2324" s="1346"/>
      <c r="BN2324" s="1346"/>
      <c r="BO2324" s="1346"/>
    </row>
    <row r="2325" spans="1:67" s="1" customFormat="1" ht="78.75" x14ac:dyDescent="0.25">
      <c r="A2325" s="262" t="s">
        <v>432</v>
      </c>
      <c r="B2325" s="252" t="s">
        <v>742</v>
      </c>
      <c r="C2325" s="167" t="s">
        <v>743</v>
      </c>
      <c r="D2325" s="325" t="s">
        <v>4524</v>
      </c>
      <c r="E2325" s="1496" t="s">
        <v>432</v>
      </c>
      <c r="F2325" s="54" t="s">
        <v>4525</v>
      </c>
      <c r="G2325" s="230" t="s">
        <v>3507</v>
      </c>
      <c r="H2325" s="167" t="s">
        <v>2408</v>
      </c>
      <c r="I2325" s="167" t="s">
        <v>432</v>
      </c>
      <c r="J2325" s="107" t="s">
        <v>432</v>
      </c>
      <c r="K2325" s="107" t="s">
        <v>432</v>
      </c>
      <c r="L2325" s="107" t="s">
        <v>432</v>
      </c>
      <c r="M2325" s="107" t="s">
        <v>432</v>
      </c>
      <c r="N2325" s="107" t="s">
        <v>432</v>
      </c>
      <c r="O2325" s="107" t="s">
        <v>432</v>
      </c>
      <c r="P2325" s="107" t="s">
        <v>432</v>
      </c>
      <c r="Q2325" s="107" t="s">
        <v>432</v>
      </c>
      <c r="R2325" s="107" t="s">
        <v>432</v>
      </c>
      <c r="S2325" s="109" t="s">
        <v>2209</v>
      </c>
      <c r="T2325" s="107" t="s">
        <v>432</v>
      </c>
      <c r="U2325" s="107" t="s">
        <v>432</v>
      </c>
      <c r="V2325" s="109" t="s">
        <v>2209</v>
      </c>
      <c r="W2325" s="107" t="s">
        <v>432</v>
      </c>
      <c r="X2325" s="107" t="s">
        <v>432</v>
      </c>
      <c r="Y2325" s="107" t="s">
        <v>432</v>
      </c>
      <c r="Z2325" s="107" t="s">
        <v>432</v>
      </c>
      <c r="AA2325" s="107" t="s">
        <v>432</v>
      </c>
      <c r="AB2325" s="107" t="s">
        <v>432</v>
      </c>
      <c r="AC2325" s="107" t="s">
        <v>432</v>
      </c>
      <c r="AD2325" s="107" t="s">
        <v>432</v>
      </c>
      <c r="AE2325" s="107" t="s">
        <v>432</v>
      </c>
      <c r="AF2325" s="107" t="s">
        <v>432</v>
      </c>
      <c r="AG2325" s="107" t="s">
        <v>432</v>
      </c>
      <c r="AH2325" s="107" t="s">
        <v>432</v>
      </c>
      <c r="AI2325" s="107" t="s">
        <v>432</v>
      </c>
      <c r="AJ2325" s="107" t="s">
        <v>432</v>
      </c>
      <c r="AK2325" s="137" t="s">
        <v>432</v>
      </c>
      <c r="AL2325" s="601" t="s">
        <v>432</v>
      </c>
      <c r="AM2325" s="137" t="s">
        <v>432</v>
      </c>
      <c r="AN2325" s="137" t="s">
        <v>432</v>
      </c>
      <c r="AO2325" s="137" t="s">
        <v>432</v>
      </c>
      <c r="AP2325" s="137" t="s">
        <v>432</v>
      </c>
      <c r="AQ2325" s="137" t="s">
        <v>432</v>
      </c>
      <c r="AR2325" s="137" t="s">
        <v>432</v>
      </c>
      <c r="AS2325" s="137" t="s">
        <v>432</v>
      </c>
      <c r="AT2325" s="137" t="s">
        <v>432</v>
      </c>
      <c r="AU2325" s="137" t="s">
        <v>432</v>
      </c>
      <c r="AV2325" s="137" t="s">
        <v>432</v>
      </c>
      <c r="AW2325" s="137" t="s">
        <v>432</v>
      </c>
      <c r="AX2325" s="137" t="s">
        <v>432</v>
      </c>
      <c r="AY2325" s="137" t="s">
        <v>432</v>
      </c>
      <c r="AZ2325" s="137" t="s">
        <v>432</v>
      </c>
      <c r="BA2325" s="137" t="s">
        <v>432</v>
      </c>
      <c r="BB2325" s="239" t="str">
        <f t="shared" si="682"/>
        <v>geralacessibilidade</v>
      </c>
      <c r="BC2325" s="239" t="str">
        <f t="shared" si="683"/>
        <v>geralacessibilidadesigla/verbete</v>
      </c>
      <c r="BD2325" s="239" t="str">
        <f t="shared" si="684"/>
        <v>geralsigla/verbete</v>
      </c>
      <c r="BM2325" s="1346"/>
      <c r="BN2325" s="1346"/>
      <c r="BO2325" s="1346"/>
    </row>
    <row r="2326" spans="1:67" s="1" customFormat="1" ht="25.5" x14ac:dyDescent="0.25">
      <c r="A2326" s="262" t="s">
        <v>432</v>
      </c>
      <c r="B2326" s="252" t="s">
        <v>742</v>
      </c>
      <c r="C2326" s="167" t="s">
        <v>432</v>
      </c>
      <c r="D2326" s="324" t="s">
        <v>2557</v>
      </c>
      <c r="E2326" s="1496" t="s">
        <v>1306</v>
      </c>
      <c r="F2326" s="53" t="s">
        <v>2558</v>
      </c>
      <c r="G2326" s="167" t="s">
        <v>3719</v>
      </c>
      <c r="H2326" s="167" t="s">
        <v>2408</v>
      </c>
      <c r="I2326" s="167" t="s">
        <v>432</v>
      </c>
      <c r="J2326" s="107" t="s">
        <v>432</v>
      </c>
      <c r="K2326" s="107" t="s">
        <v>432</v>
      </c>
      <c r="L2326" s="107" t="s">
        <v>432</v>
      </c>
      <c r="M2326" s="107" t="s">
        <v>432</v>
      </c>
      <c r="N2326" s="107" t="s">
        <v>432</v>
      </c>
      <c r="O2326" s="107" t="s">
        <v>432</v>
      </c>
      <c r="P2326" s="107" t="s">
        <v>432</v>
      </c>
      <c r="Q2326" s="107" t="s">
        <v>432</v>
      </c>
      <c r="R2326" s="107" t="s">
        <v>432</v>
      </c>
      <c r="S2326" s="109" t="s">
        <v>2209</v>
      </c>
      <c r="T2326" s="107" t="s">
        <v>432</v>
      </c>
      <c r="U2326" s="107" t="s">
        <v>432</v>
      </c>
      <c r="V2326" s="109" t="s">
        <v>2209</v>
      </c>
      <c r="W2326" s="107" t="s">
        <v>432</v>
      </c>
      <c r="X2326" s="107" t="s">
        <v>432</v>
      </c>
      <c r="Y2326" s="107" t="s">
        <v>432</v>
      </c>
      <c r="Z2326" s="107" t="s">
        <v>432</v>
      </c>
      <c r="AA2326" s="107" t="s">
        <v>432</v>
      </c>
      <c r="AB2326" s="107" t="s">
        <v>432</v>
      </c>
      <c r="AC2326" s="107" t="s">
        <v>432</v>
      </c>
      <c r="AD2326" s="107" t="s">
        <v>432</v>
      </c>
      <c r="AE2326" s="107" t="s">
        <v>432</v>
      </c>
      <c r="AF2326" s="107" t="s">
        <v>432</v>
      </c>
      <c r="AG2326" s="107" t="s">
        <v>432</v>
      </c>
      <c r="AH2326" s="107" t="s">
        <v>432</v>
      </c>
      <c r="AI2326" s="107" t="s">
        <v>432</v>
      </c>
      <c r="AJ2326" s="107" t="s">
        <v>432</v>
      </c>
      <c r="AK2326" s="137" t="s">
        <v>432</v>
      </c>
      <c r="AL2326" s="601" t="s">
        <v>432</v>
      </c>
      <c r="AM2326" s="137" t="s">
        <v>432</v>
      </c>
      <c r="AN2326" s="137" t="s">
        <v>432</v>
      </c>
      <c r="AO2326" s="137" t="s">
        <v>432</v>
      </c>
      <c r="AP2326" s="137" t="s">
        <v>432</v>
      </c>
      <c r="AQ2326" s="137" t="s">
        <v>432</v>
      </c>
      <c r="AR2326" s="137" t="s">
        <v>432</v>
      </c>
      <c r="AS2326" s="137" t="s">
        <v>432</v>
      </c>
      <c r="AT2326" s="137" t="s">
        <v>432</v>
      </c>
      <c r="AU2326" s="137" t="s">
        <v>432</v>
      </c>
      <c r="AV2326" s="137" t="s">
        <v>432</v>
      </c>
      <c r="AW2326" s="137" t="s">
        <v>432</v>
      </c>
      <c r="AX2326" s="137" t="s">
        <v>432</v>
      </c>
      <c r="AY2326" s="137" t="s">
        <v>432</v>
      </c>
      <c r="AZ2326" s="137" t="s">
        <v>432</v>
      </c>
      <c r="BA2326" s="137" t="s">
        <v>432</v>
      </c>
      <c r="BB2326" s="239" t="str">
        <f t="shared" si="682"/>
        <v>geralx</v>
      </c>
      <c r="BC2326" s="239" t="str">
        <f t="shared" si="683"/>
        <v>geralxsigla/verbete</v>
      </c>
      <c r="BD2326" s="239" t="str">
        <f t="shared" si="684"/>
        <v>geralsigla/verbete</v>
      </c>
      <c r="BM2326" s="854"/>
      <c r="BN2326" s="854"/>
      <c r="BO2326" s="854"/>
    </row>
    <row r="2327" spans="1:67" s="1" customFormat="1" ht="73.5" customHeight="1" x14ac:dyDescent="0.25">
      <c r="A2327" s="262" t="s">
        <v>432</v>
      </c>
      <c r="B2327" s="252" t="s">
        <v>742</v>
      </c>
      <c r="C2327" s="167" t="s">
        <v>432</v>
      </c>
      <c r="D2327" s="324" t="s">
        <v>5461</v>
      </c>
      <c r="E2327" s="1496" t="s">
        <v>3373</v>
      </c>
      <c r="F2327" s="53" t="s">
        <v>5462</v>
      </c>
      <c r="G2327" s="230" t="s">
        <v>3507</v>
      </c>
      <c r="H2327" s="167" t="s">
        <v>2408</v>
      </c>
      <c r="I2327" s="167" t="s">
        <v>432</v>
      </c>
      <c r="J2327" s="107" t="s">
        <v>432</v>
      </c>
      <c r="K2327" s="107" t="s">
        <v>432</v>
      </c>
      <c r="L2327" s="107" t="s">
        <v>432</v>
      </c>
      <c r="M2327" s="107" t="s">
        <v>432</v>
      </c>
      <c r="N2327" s="107" t="s">
        <v>432</v>
      </c>
      <c r="O2327" s="107" t="s">
        <v>432</v>
      </c>
      <c r="P2327" s="107" t="s">
        <v>432</v>
      </c>
      <c r="Q2327" s="107" t="s">
        <v>432</v>
      </c>
      <c r="R2327" s="107" t="s">
        <v>432</v>
      </c>
      <c r="S2327" s="109" t="s">
        <v>2209</v>
      </c>
      <c r="T2327" s="107" t="s">
        <v>432</v>
      </c>
      <c r="U2327" s="107" t="s">
        <v>432</v>
      </c>
      <c r="V2327" s="109" t="s">
        <v>2209</v>
      </c>
      <c r="W2327" s="107" t="s">
        <v>432</v>
      </c>
      <c r="X2327" s="107" t="s">
        <v>432</v>
      </c>
      <c r="Y2327" s="107" t="s">
        <v>432</v>
      </c>
      <c r="Z2327" s="107" t="s">
        <v>432</v>
      </c>
      <c r="AA2327" s="107" t="s">
        <v>432</v>
      </c>
      <c r="AB2327" s="107" t="s">
        <v>432</v>
      </c>
      <c r="AC2327" s="107" t="s">
        <v>432</v>
      </c>
      <c r="AD2327" s="107" t="s">
        <v>432</v>
      </c>
      <c r="AE2327" s="107" t="s">
        <v>432</v>
      </c>
      <c r="AF2327" s="107" t="s">
        <v>432</v>
      </c>
      <c r="AG2327" s="107" t="s">
        <v>432</v>
      </c>
      <c r="AH2327" s="107" t="s">
        <v>432</v>
      </c>
      <c r="AI2327" s="107" t="s">
        <v>432</v>
      </c>
      <c r="AJ2327" s="107" t="s">
        <v>432</v>
      </c>
      <c r="AK2327" s="137" t="s">
        <v>432</v>
      </c>
      <c r="AL2327" s="601" t="s">
        <v>432</v>
      </c>
      <c r="AM2327" s="137" t="s">
        <v>432</v>
      </c>
      <c r="AN2327" s="137" t="s">
        <v>432</v>
      </c>
      <c r="AO2327" s="137" t="s">
        <v>432</v>
      </c>
      <c r="AP2327" s="137" t="s">
        <v>432</v>
      </c>
      <c r="AQ2327" s="137" t="s">
        <v>432</v>
      </c>
      <c r="AR2327" s="137" t="s">
        <v>432</v>
      </c>
      <c r="AS2327" s="137" t="s">
        <v>432</v>
      </c>
      <c r="AT2327" s="137" t="s">
        <v>432</v>
      </c>
      <c r="AU2327" s="137" t="s">
        <v>432</v>
      </c>
      <c r="AV2327" s="137" t="s">
        <v>432</v>
      </c>
      <c r="AW2327" s="137" t="s">
        <v>432</v>
      </c>
      <c r="AX2327" s="137" t="s">
        <v>432</v>
      </c>
      <c r="AY2327" s="137" t="s">
        <v>432</v>
      </c>
      <c r="AZ2327" s="137" t="s">
        <v>432</v>
      </c>
      <c r="BA2327" s="137" t="s">
        <v>432</v>
      </c>
      <c r="BB2327" s="239" t="str">
        <f>B2327&amp;C2327</f>
        <v>geralx</v>
      </c>
      <c r="BC2327" s="239" t="str">
        <f>B2327&amp;C2327&amp;H2327</f>
        <v>geralxsigla/verbete</v>
      </c>
      <c r="BD2327" s="239" t="str">
        <f>B2327&amp;H2327</f>
        <v>geralsigla/verbete</v>
      </c>
      <c r="BM2327" s="1423"/>
      <c r="BN2327" s="1423"/>
      <c r="BO2327" s="1423"/>
    </row>
    <row r="2328" spans="1:67" s="1" customFormat="1" ht="47.25" x14ac:dyDescent="0.25">
      <c r="A2328" s="262" t="s">
        <v>432</v>
      </c>
      <c r="B2328" s="252" t="s">
        <v>742</v>
      </c>
      <c r="C2328" s="167" t="s">
        <v>432</v>
      </c>
      <c r="D2328" s="324" t="s">
        <v>3263</v>
      </c>
      <c r="E2328" s="1496" t="s">
        <v>1306</v>
      </c>
      <c r="F2328" s="53" t="s">
        <v>3262</v>
      </c>
      <c r="G2328" s="230" t="s">
        <v>3507</v>
      </c>
      <c r="H2328" s="167" t="s">
        <v>2408</v>
      </c>
      <c r="I2328" s="167" t="s">
        <v>432</v>
      </c>
      <c r="J2328" s="107" t="s">
        <v>432</v>
      </c>
      <c r="K2328" s="107" t="s">
        <v>432</v>
      </c>
      <c r="L2328" s="107" t="s">
        <v>432</v>
      </c>
      <c r="M2328" s="107" t="s">
        <v>432</v>
      </c>
      <c r="N2328" s="107" t="s">
        <v>432</v>
      </c>
      <c r="O2328" s="107" t="s">
        <v>432</v>
      </c>
      <c r="P2328" s="107" t="s">
        <v>432</v>
      </c>
      <c r="Q2328" s="107" t="s">
        <v>432</v>
      </c>
      <c r="R2328" s="107" t="s">
        <v>432</v>
      </c>
      <c r="S2328" s="109" t="s">
        <v>2209</v>
      </c>
      <c r="T2328" s="107" t="s">
        <v>432</v>
      </c>
      <c r="U2328" s="107" t="s">
        <v>432</v>
      </c>
      <c r="V2328" s="109" t="s">
        <v>2209</v>
      </c>
      <c r="W2328" s="107" t="s">
        <v>432</v>
      </c>
      <c r="X2328" s="107" t="s">
        <v>432</v>
      </c>
      <c r="Y2328" s="107" t="s">
        <v>432</v>
      </c>
      <c r="Z2328" s="107" t="s">
        <v>432</v>
      </c>
      <c r="AA2328" s="107" t="s">
        <v>432</v>
      </c>
      <c r="AB2328" s="107" t="s">
        <v>432</v>
      </c>
      <c r="AC2328" s="107" t="s">
        <v>432</v>
      </c>
      <c r="AD2328" s="107" t="s">
        <v>432</v>
      </c>
      <c r="AE2328" s="107" t="s">
        <v>432</v>
      </c>
      <c r="AF2328" s="107" t="s">
        <v>432</v>
      </c>
      <c r="AG2328" s="107" t="s">
        <v>432</v>
      </c>
      <c r="AH2328" s="107" t="s">
        <v>432</v>
      </c>
      <c r="AI2328" s="107" t="s">
        <v>432</v>
      </c>
      <c r="AJ2328" s="107" t="s">
        <v>432</v>
      </c>
      <c r="AK2328" s="137" t="s">
        <v>432</v>
      </c>
      <c r="AL2328" s="601" t="s">
        <v>432</v>
      </c>
      <c r="AM2328" s="137" t="s">
        <v>432</v>
      </c>
      <c r="AN2328" s="137" t="s">
        <v>432</v>
      </c>
      <c r="AO2328" s="137" t="s">
        <v>432</v>
      </c>
      <c r="AP2328" s="137" t="s">
        <v>432</v>
      </c>
      <c r="AQ2328" s="137" t="s">
        <v>432</v>
      </c>
      <c r="AR2328" s="137" t="s">
        <v>432</v>
      </c>
      <c r="AS2328" s="137" t="s">
        <v>432</v>
      </c>
      <c r="AT2328" s="137" t="s">
        <v>432</v>
      </c>
      <c r="AU2328" s="137" t="s">
        <v>432</v>
      </c>
      <c r="AV2328" s="137" t="s">
        <v>432</v>
      </c>
      <c r="AW2328" s="137" t="s">
        <v>432</v>
      </c>
      <c r="AX2328" s="137" t="s">
        <v>432</v>
      </c>
      <c r="AY2328" s="137" t="s">
        <v>432</v>
      </c>
      <c r="AZ2328" s="137" t="s">
        <v>432</v>
      </c>
      <c r="BA2328" s="137" t="s">
        <v>432</v>
      </c>
      <c r="BB2328" s="239" t="str">
        <f t="shared" si="682"/>
        <v>geralx</v>
      </c>
      <c r="BC2328" s="239" t="str">
        <f t="shared" si="683"/>
        <v>geralxsigla/verbete</v>
      </c>
      <c r="BD2328" s="239" t="str">
        <f t="shared" si="684"/>
        <v>geralsigla/verbete</v>
      </c>
      <c r="BM2328" s="1002"/>
      <c r="BN2328" s="1002"/>
      <c r="BO2328" s="1002"/>
    </row>
    <row r="2329" spans="1:67" s="1" customFormat="1" ht="47.25" x14ac:dyDescent="0.25">
      <c r="A2329" s="262" t="s">
        <v>432</v>
      </c>
      <c r="B2329" s="252" t="s">
        <v>742</v>
      </c>
      <c r="C2329" s="167" t="s">
        <v>743</v>
      </c>
      <c r="D2329" s="324" t="s">
        <v>3481</v>
      </c>
      <c r="E2329" s="1496" t="s">
        <v>432</v>
      </c>
      <c r="F2329" s="53" t="s">
        <v>3482</v>
      </c>
      <c r="G2329" s="230" t="s">
        <v>3507</v>
      </c>
      <c r="H2329" s="167" t="s">
        <v>2408</v>
      </c>
      <c r="I2329" s="167" t="s">
        <v>432</v>
      </c>
      <c r="J2329" s="107" t="s">
        <v>432</v>
      </c>
      <c r="K2329" s="107" t="s">
        <v>432</v>
      </c>
      <c r="L2329" s="107" t="s">
        <v>432</v>
      </c>
      <c r="M2329" s="107" t="s">
        <v>432</v>
      </c>
      <c r="N2329" s="107" t="s">
        <v>432</v>
      </c>
      <c r="O2329" s="107" t="s">
        <v>432</v>
      </c>
      <c r="P2329" s="107" t="s">
        <v>432</v>
      </c>
      <c r="Q2329" s="107" t="s">
        <v>432</v>
      </c>
      <c r="R2329" s="107" t="s">
        <v>432</v>
      </c>
      <c r="S2329" s="109" t="s">
        <v>2209</v>
      </c>
      <c r="T2329" s="107" t="s">
        <v>432</v>
      </c>
      <c r="U2329" s="107" t="s">
        <v>432</v>
      </c>
      <c r="V2329" s="109" t="s">
        <v>2209</v>
      </c>
      <c r="W2329" s="107" t="s">
        <v>432</v>
      </c>
      <c r="X2329" s="107" t="s">
        <v>432</v>
      </c>
      <c r="Y2329" s="107" t="s">
        <v>432</v>
      </c>
      <c r="Z2329" s="107" t="s">
        <v>432</v>
      </c>
      <c r="AA2329" s="107" t="s">
        <v>432</v>
      </c>
      <c r="AB2329" s="107" t="s">
        <v>432</v>
      </c>
      <c r="AC2329" s="107" t="s">
        <v>432</v>
      </c>
      <c r="AD2329" s="107" t="s">
        <v>432</v>
      </c>
      <c r="AE2329" s="107" t="s">
        <v>432</v>
      </c>
      <c r="AF2329" s="107" t="s">
        <v>432</v>
      </c>
      <c r="AG2329" s="107" t="s">
        <v>432</v>
      </c>
      <c r="AH2329" s="107" t="s">
        <v>432</v>
      </c>
      <c r="AI2329" s="107" t="s">
        <v>432</v>
      </c>
      <c r="AJ2329" s="107" t="s">
        <v>432</v>
      </c>
      <c r="AK2329" s="137" t="s">
        <v>432</v>
      </c>
      <c r="AL2329" s="601" t="s">
        <v>432</v>
      </c>
      <c r="AM2329" s="137" t="s">
        <v>432</v>
      </c>
      <c r="AN2329" s="137" t="s">
        <v>432</v>
      </c>
      <c r="AO2329" s="137" t="s">
        <v>432</v>
      </c>
      <c r="AP2329" s="137" t="s">
        <v>432</v>
      </c>
      <c r="AQ2329" s="137" t="s">
        <v>432</v>
      </c>
      <c r="AR2329" s="137" t="s">
        <v>432</v>
      </c>
      <c r="AS2329" s="137" t="s">
        <v>432</v>
      </c>
      <c r="AT2329" s="137" t="s">
        <v>432</v>
      </c>
      <c r="AU2329" s="137" t="s">
        <v>432</v>
      </c>
      <c r="AV2329" s="137" t="s">
        <v>432</v>
      </c>
      <c r="AW2329" s="137" t="s">
        <v>432</v>
      </c>
      <c r="AX2329" s="137" t="s">
        <v>432</v>
      </c>
      <c r="AY2329" s="137" t="s">
        <v>432</v>
      </c>
      <c r="AZ2329" s="137" t="s">
        <v>432</v>
      </c>
      <c r="BA2329" s="137" t="s">
        <v>432</v>
      </c>
      <c r="BB2329" s="239" t="str">
        <f t="shared" si="682"/>
        <v>geralacessibilidade</v>
      </c>
      <c r="BC2329" s="239" t="str">
        <f t="shared" si="683"/>
        <v>geralacessibilidadesigla/verbete</v>
      </c>
      <c r="BD2329" s="239" t="str">
        <f t="shared" si="684"/>
        <v>geralsigla/verbete</v>
      </c>
      <c r="BM2329" s="1091"/>
      <c r="BN2329" s="1091"/>
      <c r="BO2329" s="1091"/>
    </row>
    <row r="2330" spans="1:67" s="1" customFormat="1" ht="70.5" customHeight="1" x14ac:dyDescent="0.25">
      <c r="A2330" s="262" t="str">
        <f>'Q100b-totais'!B62</f>
        <v>8.10</v>
      </c>
      <c r="B2330" s="252" t="str">
        <f>'Q100b-totais'!C62</f>
        <v>Sistema de transporte coletivo com um todo</v>
      </c>
      <c r="C2330" s="167" t="s">
        <v>743</v>
      </c>
      <c r="D2330" s="324" t="s">
        <v>5869</v>
      </c>
      <c r="E2330" s="1496" t="s">
        <v>1767</v>
      </c>
      <c r="F2330" s="53" t="s">
        <v>5870</v>
      </c>
      <c r="G2330" s="230" t="s">
        <v>3507</v>
      </c>
      <c r="H2330" s="167" t="s">
        <v>2408</v>
      </c>
      <c r="I2330" s="167" t="s">
        <v>432</v>
      </c>
      <c r="J2330" s="107" t="s">
        <v>432</v>
      </c>
      <c r="K2330" s="107" t="s">
        <v>432</v>
      </c>
      <c r="L2330" s="107" t="s">
        <v>432</v>
      </c>
      <c r="M2330" s="107" t="s">
        <v>432</v>
      </c>
      <c r="N2330" s="107" t="s">
        <v>432</v>
      </c>
      <c r="O2330" s="107" t="s">
        <v>432</v>
      </c>
      <c r="P2330" s="107" t="s">
        <v>432</v>
      </c>
      <c r="Q2330" s="107" t="s">
        <v>432</v>
      </c>
      <c r="R2330" s="107" t="s">
        <v>432</v>
      </c>
      <c r="S2330" s="109" t="s">
        <v>2209</v>
      </c>
      <c r="T2330" s="107" t="s">
        <v>432</v>
      </c>
      <c r="U2330" s="107" t="s">
        <v>432</v>
      </c>
      <c r="V2330" s="109" t="s">
        <v>2209</v>
      </c>
      <c r="W2330" s="107" t="s">
        <v>432</v>
      </c>
      <c r="X2330" s="107" t="s">
        <v>432</v>
      </c>
      <c r="Y2330" s="107" t="s">
        <v>432</v>
      </c>
      <c r="Z2330" s="107" t="s">
        <v>432</v>
      </c>
      <c r="AA2330" s="107" t="s">
        <v>432</v>
      </c>
      <c r="AB2330" s="107" t="s">
        <v>432</v>
      </c>
      <c r="AC2330" s="107" t="s">
        <v>432</v>
      </c>
      <c r="AD2330" s="107" t="s">
        <v>432</v>
      </c>
      <c r="AE2330" s="107" t="s">
        <v>432</v>
      </c>
      <c r="AF2330" s="107" t="s">
        <v>432</v>
      </c>
      <c r="AG2330" s="107" t="s">
        <v>432</v>
      </c>
      <c r="AH2330" s="107" t="s">
        <v>432</v>
      </c>
      <c r="AI2330" s="107" t="s">
        <v>432</v>
      </c>
      <c r="AJ2330" s="107" t="s">
        <v>432</v>
      </c>
      <c r="AK2330" s="137" t="s">
        <v>432</v>
      </c>
      <c r="AL2330" s="601" t="s">
        <v>432</v>
      </c>
      <c r="AM2330" s="137" t="s">
        <v>432</v>
      </c>
      <c r="AN2330" s="137" t="s">
        <v>432</v>
      </c>
      <c r="AO2330" s="137" t="s">
        <v>432</v>
      </c>
      <c r="AP2330" s="137" t="s">
        <v>432</v>
      </c>
      <c r="AQ2330" s="137" t="s">
        <v>432</v>
      </c>
      <c r="AR2330" s="137" t="s">
        <v>432</v>
      </c>
      <c r="AS2330" s="137" t="s">
        <v>432</v>
      </c>
      <c r="AT2330" s="137" t="s">
        <v>432</v>
      </c>
      <c r="AU2330" s="137" t="s">
        <v>432</v>
      </c>
      <c r="AV2330" s="137" t="s">
        <v>432</v>
      </c>
      <c r="AW2330" s="137" t="s">
        <v>432</v>
      </c>
      <c r="AX2330" s="137" t="s">
        <v>432</v>
      </c>
      <c r="AY2330" s="137" t="s">
        <v>432</v>
      </c>
      <c r="AZ2330" s="137" t="s">
        <v>432</v>
      </c>
      <c r="BA2330" s="137" t="s">
        <v>432</v>
      </c>
      <c r="BB2330" s="239" t="str">
        <f t="shared" ref="BB2330" si="685">B2330&amp;C2330</f>
        <v>Sistema de transporte coletivo com um todoacessibilidade</v>
      </c>
      <c r="BC2330" s="239" t="str">
        <f t="shared" ref="BC2330" si="686">B2330&amp;C2330&amp;H2330</f>
        <v>Sistema de transporte coletivo com um todoacessibilidadesigla/verbete</v>
      </c>
      <c r="BD2330" s="239" t="str">
        <f t="shared" ref="BD2330" si="687">B2330&amp;H2330</f>
        <v>Sistema de transporte coletivo com um todosigla/verbete</v>
      </c>
      <c r="BM2330" s="1443"/>
      <c r="BN2330" s="1443"/>
      <c r="BO2330" s="1443"/>
    </row>
    <row r="2331" spans="1:67" s="1" customFormat="1" ht="51" x14ac:dyDescent="0.25">
      <c r="A2331" s="262" t="str">
        <f>'Q100b-totais'!B62</f>
        <v>8.10</v>
      </c>
      <c r="B2331" s="252" t="str">
        <f>'Q100b-totais'!C62</f>
        <v>Sistema de transporte coletivo com um todo</v>
      </c>
      <c r="C2331" s="167" t="s">
        <v>432</v>
      </c>
      <c r="D2331" s="324" t="s">
        <v>2089</v>
      </c>
      <c r="E2331" s="1496" t="s">
        <v>2056</v>
      </c>
      <c r="F2331" s="53" t="s">
        <v>2090</v>
      </c>
      <c r="G2331" s="230" t="s">
        <v>3507</v>
      </c>
      <c r="H2331" s="167" t="s">
        <v>2408</v>
      </c>
      <c r="I2331" s="167" t="s">
        <v>432</v>
      </c>
      <c r="J2331" s="107" t="s">
        <v>432</v>
      </c>
      <c r="K2331" s="107" t="s">
        <v>432</v>
      </c>
      <c r="L2331" s="107" t="s">
        <v>432</v>
      </c>
      <c r="M2331" s="107" t="s">
        <v>432</v>
      </c>
      <c r="N2331" s="107" t="s">
        <v>432</v>
      </c>
      <c r="O2331" s="107" t="s">
        <v>432</v>
      </c>
      <c r="P2331" s="107" t="s">
        <v>432</v>
      </c>
      <c r="Q2331" s="107" t="s">
        <v>432</v>
      </c>
      <c r="R2331" s="107" t="s">
        <v>432</v>
      </c>
      <c r="S2331" s="109" t="s">
        <v>2209</v>
      </c>
      <c r="T2331" s="107" t="s">
        <v>432</v>
      </c>
      <c r="U2331" s="107" t="s">
        <v>432</v>
      </c>
      <c r="V2331" s="109" t="s">
        <v>2209</v>
      </c>
      <c r="W2331" s="107" t="s">
        <v>432</v>
      </c>
      <c r="X2331" s="107" t="s">
        <v>432</v>
      </c>
      <c r="Y2331" s="107" t="s">
        <v>432</v>
      </c>
      <c r="Z2331" s="107" t="s">
        <v>432</v>
      </c>
      <c r="AA2331" s="107" t="s">
        <v>432</v>
      </c>
      <c r="AB2331" s="107" t="s">
        <v>432</v>
      </c>
      <c r="AC2331" s="107" t="s">
        <v>432</v>
      </c>
      <c r="AD2331" s="107" t="s">
        <v>432</v>
      </c>
      <c r="AE2331" s="107" t="s">
        <v>432</v>
      </c>
      <c r="AF2331" s="107" t="s">
        <v>432</v>
      </c>
      <c r="AG2331" s="107" t="s">
        <v>432</v>
      </c>
      <c r="AH2331" s="107" t="s">
        <v>432</v>
      </c>
      <c r="AI2331" s="107" t="s">
        <v>432</v>
      </c>
      <c r="AJ2331" s="107" t="s">
        <v>432</v>
      </c>
      <c r="AK2331" s="137" t="s">
        <v>432</v>
      </c>
      <c r="AL2331" s="601" t="s">
        <v>432</v>
      </c>
      <c r="AM2331" s="137" t="s">
        <v>432</v>
      </c>
      <c r="AN2331" s="137" t="s">
        <v>432</v>
      </c>
      <c r="AO2331" s="137" t="s">
        <v>432</v>
      </c>
      <c r="AP2331" s="137" t="s">
        <v>432</v>
      </c>
      <c r="AQ2331" s="137" t="s">
        <v>432</v>
      </c>
      <c r="AR2331" s="137" t="s">
        <v>432</v>
      </c>
      <c r="AS2331" s="137" t="s">
        <v>432</v>
      </c>
      <c r="AT2331" s="137" t="s">
        <v>432</v>
      </c>
      <c r="AU2331" s="137" t="s">
        <v>432</v>
      </c>
      <c r="AV2331" s="137" t="s">
        <v>432</v>
      </c>
      <c r="AW2331" s="137" t="s">
        <v>432</v>
      </c>
      <c r="AX2331" s="137" t="s">
        <v>432</v>
      </c>
      <c r="AY2331" s="137" t="s">
        <v>432</v>
      </c>
      <c r="AZ2331" s="137" t="s">
        <v>432</v>
      </c>
      <c r="BA2331" s="137" t="s">
        <v>432</v>
      </c>
      <c r="BB2331" s="239" t="str">
        <f t="shared" si="666"/>
        <v>Sistema de transporte coletivo com um todox</v>
      </c>
      <c r="BC2331" s="239" t="str">
        <f t="shared" si="667"/>
        <v>Sistema de transporte coletivo com um todoxsigla/verbete</v>
      </c>
      <c r="BD2331" s="239" t="str">
        <f t="shared" si="668"/>
        <v>Sistema de transporte coletivo com um todosigla/verbete</v>
      </c>
      <c r="BM2331" s="527"/>
      <c r="BN2331" s="527"/>
      <c r="BO2331" s="527"/>
    </row>
    <row r="2332" spans="1:67" s="1" customFormat="1" ht="90" customHeight="1" x14ac:dyDescent="0.25">
      <c r="A2332" s="262" t="str">
        <f>'Q100b-totais'!B62</f>
        <v>8.10</v>
      </c>
      <c r="B2332" s="252" t="str">
        <f>'Q100b-totais'!C62</f>
        <v>Sistema de transporte coletivo com um todo</v>
      </c>
      <c r="C2332" s="167" t="s">
        <v>743</v>
      </c>
      <c r="D2332" s="324" t="s">
        <v>2088</v>
      </c>
      <c r="E2332" s="1496" t="s">
        <v>1266</v>
      </c>
      <c r="F2332" s="252" t="s">
        <v>3499</v>
      </c>
      <c r="G2332" s="230" t="s">
        <v>3507</v>
      </c>
      <c r="H2332" s="167" t="s">
        <v>2408</v>
      </c>
      <c r="I2332" s="167" t="s">
        <v>432</v>
      </c>
      <c r="J2332" s="107" t="s">
        <v>432</v>
      </c>
      <c r="K2332" s="107" t="s">
        <v>432</v>
      </c>
      <c r="L2332" s="107" t="s">
        <v>432</v>
      </c>
      <c r="M2332" s="107" t="s">
        <v>432</v>
      </c>
      <c r="N2332" s="107" t="s">
        <v>432</v>
      </c>
      <c r="O2332" s="107" t="s">
        <v>432</v>
      </c>
      <c r="P2332" s="107" t="s">
        <v>432</v>
      </c>
      <c r="Q2332" s="107" t="s">
        <v>432</v>
      </c>
      <c r="R2332" s="107" t="s">
        <v>432</v>
      </c>
      <c r="S2332" s="109" t="s">
        <v>2209</v>
      </c>
      <c r="T2332" s="107" t="s">
        <v>432</v>
      </c>
      <c r="U2332" s="107" t="s">
        <v>432</v>
      </c>
      <c r="V2332" s="109" t="s">
        <v>2209</v>
      </c>
      <c r="W2332" s="107" t="s">
        <v>432</v>
      </c>
      <c r="X2332" s="107" t="s">
        <v>432</v>
      </c>
      <c r="Y2332" s="107" t="s">
        <v>432</v>
      </c>
      <c r="Z2332" s="107" t="s">
        <v>432</v>
      </c>
      <c r="AA2332" s="107" t="s">
        <v>432</v>
      </c>
      <c r="AB2332" s="107" t="s">
        <v>432</v>
      </c>
      <c r="AC2332" s="107" t="s">
        <v>432</v>
      </c>
      <c r="AD2332" s="107" t="s">
        <v>432</v>
      </c>
      <c r="AE2332" s="107" t="s">
        <v>432</v>
      </c>
      <c r="AF2332" s="107" t="s">
        <v>432</v>
      </c>
      <c r="AG2332" s="107" t="s">
        <v>432</v>
      </c>
      <c r="AH2332" s="107" t="s">
        <v>432</v>
      </c>
      <c r="AI2332" s="107" t="s">
        <v>432</v>
      </c>
      <c r="AJ2332" s="107" t="s">
        <v>432</v>
      </c>
      <c r="AK2332" s="137" t="s">
        <v>432</v>
      </c>
      <c r="AL2332" s="601" t="s">
        <v>432</v>
      </c>
      <c r="AM2332" s="137" t="s">
        <v>432</v>
      </c>
      <c r="AN2332" s="137" t="s">
        <v>432</v>
      </c>
      <c r="AO2332" s="137" t="s">
        <v>432</v>
      </c>
      <c r="AP2332" s="137" t="s">
        <v>432</v>
      </c>
      <c r="AQ2332" s="137" t="s">
        <v>432</v>
      </c>
      <c r="AR2332" s="137" t="s">
        <v>432</v>
      </c>
      <c r="AS2332" s="137" t="s">
        <v>432</v>
      </c>
      <c r="AT2332" s="137" t="s">
        <v>432</v>
      </c>
      <c r="AU2332" s="137" t="s">
        <v>432</v>
      </c>
      <c r="AV2332" s="137" t="s">
        <v>432</v>
      </c>
      <c r="AW2332" s="137" t="s">
        <v>432</v>
      </c>
      <c r="AX2332" s="137" t="s">
        <v>432</v>
      </c>
      <c r="AY2332" s="137" t="s">
        <v>432</v>
      </c>
      <c r="AZ2332" s="137" t="s">
        <v>432</v>
      </c>
      <c r="BA2332" s="137" t="s">
        <v>432</v>
      </c>
      <c r="BB2332" s="239" t="str">
        <f t="shared" si="666"/>
        <v>Sistema de transporte coletivo com um todoacessibilidade</v>
      </c>
      <c r="BC2332" s="239" t="str">
        <f t="shared" si="667"/>
        <v>Sistema de transporte coletivo com um todoacessibilidadesigla/verbete</v>
      </c>
      <c r="BD2332" s="239" t="str">
        <f t="shared" si="668"/>
        <v>Sistema de transporte coletivo com um todosigla/verbete</v>
      </c>
      <c r="BM2332" s="527"/>
      <c r="BN2332" s="527"/>
      <c r="BO2332" s="527"/>
    </row>
    <row r="2333" spans="1:67" s="1" customFormat="1" ht="48" customHeight="1" x14ac:dyDescent="0.25">
      <c r="A2333" s="262" t="str">
        <f>'Q100b-totais'!B22</f>
        <v>2.7</v>
      </c>
      <c r="B2333" s="252" t="str">
        <f>'Q100b-totais'!C22</f>
        <v>Outras cidades/regiões</v>
      </c>
      <c r="C2333" s="167" t="s">
        <v>743</v>
      </c>
      <c r="D2333" s="1570" t="s">
        <v>6322</v>
      </c>
      <c r="E2333" s="1499" t="s">
        <v>6322</v>
      </c>
      <c r="F2333" s="252" t="s">
        <v>6338</v>
      </c>
      <c r="G2333" s="230" t="s">
        <v>3507</v>
      </c>
      <c r="H2333" s="167" t="s">
        <v>2408</v>
      </c>
      <c r="I2333" s="167" t="s">
        <v>432</v>
      </c>
      <c r="J2333" s="107" t="s">
        <v>432</v>
      </c>
      <c r="K2333" s="107" t="s">
        <v>432</v>
      </c>
      <c r="L2333" s="107" t="s">
        <v>432</v>
      </c>
      <c r="M2333" s="107" t="s">
        <v>432</v>
      </c>
      <c r="N2333" s="107" t="s">
        <v>432</v>
      </c>
      <c r="O2333" s="107" t="s">
        <v>432</v>
      </c>
      <c r="P2333" s="107" t="s">
        <v>432</v>
      </c>
      <c r="Q2333" s="107" t="s">
        <v>432</v>
      </c>
      <c r="R2333" s="107" t="s">
        <v>432</v>
      </c>
      <c r="S2333" s="109" t="s">
        <v>2209</v>
      </c>
      <c r="T2333" s="107" t="s">
        <v>432</v>
      </c>
      <c r="U2333" s="107" t="s">
        <v>432</v>
      </c>
      <c r="V2333" s="109" t="s">
        <v>2209</v>
      </c>
      <c r="W2333" s="107" t="s">
        <v>432</v>
      </c>
      <c r="X2333" s="107" t="s">
        <v>432</v>
      </c>
      <c r="Y2333" s="107" t="s">
        <v>432</v>
      </c>
      <c r="Z2333" s="107" t="s">
        <v>432</v>
      </c>
      <c r="AA2333" s="107" t="s">
        <v>432</v>
      </c>
      <c r="AB2333" s="107" t="s">
        <v>432</v>
      </c>
      <c r="AC2333" s="107" t="s">
        <v>432</v>
      </c>
      <c r="AD2333" s="107" t="s">
        <v>432</v>
      </c>
      <c r="AE2333" s="107" t="s">
        <v>432</v>
      </c>
      <c r="AF2333" s="107" t="s">
        <v>432</v>
      </c>
      <c r="AG2333" s="107" t="s">
        <v>432</v>
      </c>
      <c r="AH2333" s="107" t="s">
        <v>432</v>
      </c>
      <c r="AI2333" s="107" t="s">
        <v>432</v>
      </c>
      <c r="AJ2333" s="107" t="s">
        <v>432</v>
      </c>
      <c r="AK2333" s="137" t="s">
        <v>432</v>
      </c>
      <c r="AL2333" s="601" t="s">
        <v>432</v>
      </c>
      <c r="AM2333" s="137" t="s">
        <v>432</v>
      </c>
      <c r="AN2333" s="137" t="s">
        <v>432</v>
      </c>
      <c r="AO2333" s="137" t="s">
        <v>432</v>
      </c>
      <c r="AP2333" s="137" t="s">
        <v>432</v>
      </c>
      <c r="AQ2333" s="137" t="s">
        <v>432</v>
      </c>
      <c r="AR2333" s="137" t="s">
        <v>432</v>
      </c>
      <c r="AS2333" s="137" t="s">
        <v>432</v>
      </c>
      <c r="AT2333" s="137" t="s">
        <v>432</v>
      </c>
      <c r="AU2333" s="137" t="s">
        <v>432</v>
      </c>
      <c r="AV2333" s="137" t="s">
        <v>432</v>
      </c>
      <c r="AW2333" s="137" t="s">
        <v>432</v>
      </c>
      <c r="AX2333" s="137" t="s">
        <v>432</v>
      </c>
      <c r="AY2333" s="137" t="s">
        <v>432</v>
      </c>
      <c r="AZ2333" s="137" t="s">
        <v>432</v>
      </c>
      <c r="BA2333" s="137" t="s">
        <v>432</v>
      </c>
      <c r="BB2333" s="239" t="str">
        <f t="shared" ref="BB2333" si="688">B2333&amp;C2333</f>
        <v>Outras cidades/regiõesacessibilidade</v>
      </c>
      <c r="BC2333" s="239" t="str">
        <f t="shared" ref="BC2333" si="689">B2333&amp;C2333&amp;H2333</f>
        <v>Outras cidades/regiõesacessibilidadesigla/verbete</v>
      </c>
      <c r="BD2333" s="239" t="str">
        <f t="shared" ref="BD2333" si="690">B2333&amp;H2333</f>
        <v>Outras cidades/regiõessigla/verbete</v>
      </c>
      <c r="BM2333" s="1573"/>
      <c r="BN2333" s="1573"/>
      <c r="BO2333" s="1573"/>
    </row>
    <row r="2334" spans="1:67" s="1" customFormat="1" ht="188.25" customHeight="1" x14ac:dyDescent="0.25">
      <c r="A2334" s="262" t="s">
        <v>604</v>
      </c>
      <c r="B2334" s="252" t="s">
        <v>736</v>
      </c>
      <c r="C2334" s="167" t="s">
        <v>432</v>
      </c>
      <c r="D2334" s="325" t="s">
        <v>1309</v>
      </c>
      <c r="E2334" s="1445" t="s">
        <v>1306</v>
      </c>
      <c r="F2334" s="350" t="s">
        <v>1931</v>
      </c>
      <c r="G2334" s="167" t="s">
        <v>432</v>
      </c>
      <c r="H2334" s="167" t="s">
        <v>432</v>
      </c>
      <c r="I2334" s="167">
        <v>1</v>
      </c>
      <c r="J2334" s="109" t="s">
        <v>432</v>
      </c>
      <c r="K2334" s="109" t="s">
        <v>432</v>
      </c>
      <c r="L2334" s="109" t="s">
        <v>432</v>
      </c>
      <c r="M2334" s="109" t="s">
        <v>432</v>
      </c>
      <c r="N2334" s="109" t="s">
        <v>432</v>
      </c>
      <c r="O2334" s="109" t="s">
        <v>432</v>
      </c>
      <c r="P2334" s="109" t="s">
        <v>432</v>
      </c>
      <c r="Q2334" s="109" t="s">
        <v>432</v>
      </c>
      <c r="R2334" s="109" t="s">
        <v>432</v>
      </c>
      <c r="S2334" s="109" t="s">
        <v>2209</v>
      </c>
      <c r="T2334" s="109" t="s">
        <v>432</v>
      </c>
      <c r="U2334" s="109" t="s">
        <v>432</v>
      </c>
      <c r="V2334" s="109" t="s">
        <v>2209</v>
      </c>
      <c r="W2334" s="109" t="s">
        <v>432</v>
      </c>
      <c r="X2334" s="109" t="s">
        <v>432</v>
      </c>
      <c r="Y2334" s="109" t="s">
        <v>432</v>
      </c>
      <c r="Z2334" s="109" t="s">
        <v>432</v>
      </c>
      <c r="AA2334" s="109" t="s">
        <v>432</v>
      </c>
      <c r="AB2334" s="109" t="s">
        <v>432</v>
      </c>
      <c r="AC2334" s="109" t="s">
        <v>432</v>
      </c>
      <c r="AD2334" s="109" t="s">
        <v>432</v>
      </c>
      <c r="AE2334" s="109" t="s">
        <v>432</v>
      </c>
      <c r="AF2334" s="109" t="s">
        <v>432</v>
      </c>
      <c r="AG2334" s="109" t="s">
        <v>432</v>
      </c>
      <c r="AH2334" s="109" t="s">
        <v>432</v>
      </c>
      <c r="AI2334" s="109" t="s">
        <v>432</v>
      </c>
      <c r="AJ2334" s="109" t="s">
        <v>432</v>
      </c>
      <c r="AK2334" s="109" t="s">
        <v>432</v>
      </c>
      <c r="AL2334" s="601" t="s">
        <v>432</v>
      </c>
      <c r="AM2334" s="109" t="s">
        <v>432</v>
      </c>
      <c r="AN2334" s="109" t="s">
        <v>432</v>
      </c>
      <c r="AO2334" s="109" t="s">
        <v>432</v>
      </c>
      <c r="AP2334" s="109" t="s">
        <v>432</v>
      </c>
      <c r="AQ2334" s="109" t="s">
        <v>432</v>
      </c>
      <c r="AR2334" s="109" t="s">
        <v>432</v>
      </c>
      <c r="AS2334" s="109" t="s">
        <v>432</v>
      </c>
      <c r="AT2334" s="109" t="s">
        <v>432</v>
      </c>
      <c r="AU2334" s="109" t="s">
        <v>432</v>
      </c>
      <c r="AV2334" s="109" t="s">
        <v>432</v>
      </c>
      <c r="AW2334" s="109" t="s">
        <v>432</v>
      </c>
      <c r="AX2334" s="109" t="s">
        <v>432</v>
      </c>
      <c r="AY2334" s="109" t="s">
        <v>432</v>
      </c>
      <c r="AZ2334" s="109" t="s">
        <v>432</v>
      </c>
      <c r="BA2334" s="109" t="s">
        <v>432</v>
      </c>
      <c r="BB2334" s="239" t="str">
        <f t="shared" si="666"/>
        <v>Poluição do arx</v>
      </c>
      <c r="BC2334" s="239" t="str">
        <f t="shared" si="667"/>
        <v>Poluição do arxx</v>
      </c>
      <c r="BD2334" s="239" t="str">
        <f t="shared" si="668"/>
        <v>Poluição do arx</v>
      </c>
      <c r="BM2334" s="348"/>
      <c r="BN2334" s="348"/>
      <c r="BO2334" s="348"/>
    </row>
    <row r="2335" spans="1:67" s="105" customFormat="1" ht="25.5" x14ac:dyDescent="0.25">
      <c r="A2335" s="262" t="s">
        <v>604</v>
      </c>
      <c r="B2335" s="252" t="s">
        <v>736</v>
      </c>
      <c r="C2335" s="167" t="s">
        <v>432</v>
      </c>
      <c r="D2335" s="325" t="s">
        <v>1321</v>
      </c>
      <c r="E2335" s="1445" t="s">
        <v>1767</v>
      </c>
      <c r="F2335" s="102" t="s">
        <v>1319</v>
      </c>
      <c r="G2335" s="167" t="s">
        <v>2452</v>
      </c>
      <c r="H2335" s="168" t="s">
        <v>765</v>
      </c>
      <c r="I2335" s="167" t="s">
        <v>432</v>
      </c>
      <c r="J2335" s="109" t="s">
        <v>432</v>
      </c>
      <c r="K2335" s="109" t="s">
        <v>432</v>
      </c>
      <c r="L2335" s="109" t="s">
        <v>432</v>
      </c>
      <c r="M2335" s="109" t="s">
        <v>432</v>
      </c>
      <c r="N2335" s="109" t="s">
        <v>432</v>
      </c>
      <c r="O2335" s="109" t="s">
        <v>432</v>
      </c>
      <c r="P2335" s="109" t="s">
        <v>432</v>
      </c>
      <c r="Q2335" s="109" t="s">
        <v>432</v>
      </c>
      <c r="R2335" s="109" t="s">
        <v>432</v>
      </c>
      <c r="S2335" s="109" t="s">
        <v>2209</v>
      </c>
      <c r="T2335" s="109" t="s">
        <v>432</v>
      </c>
      <c r="U2335" s="109" t="s">
        <v>432</v>
      </c>
      <c r="V2335" s="109" t="s">
        <v>2209</v>
      </c>
      <c r="W2335" s="109" t="s">
        <v>432</v>
      </c>
      <c r="X2335" s="109" t="s">
        <v>432</v>
      </c>
      <c r="Y2335" s="109" t="s">
        <v>432</v>
      </c>
      <c r="Z2335" s="109" t="s">
        <v>432</v>
      </c>
      <c r="AA2335" s="109" t="s">
        <v>432</v>
      </c>
      <c r="AB2335" s="109" t="s">
        <v>432</v>
      </c>
      <c r="AC2335" s="109" t="s">
        <v>432</v>
      </c>
      <c r="AD2335" s="109" t="s">
        <v>432</v>
      </c>
      <c r="AE2335" s="109" t="s">
        <v>432</v>
      </c>
      <c r="AF2335" s="109" t="s">
        <v>432</v>
      </c>
      <c r="AG2335" s="109" t="s">
        <v>432</v>
      </c>
      <c r="AH2335" s="109" t="s">
        <v>432</v>
      </c>
      <c r="AI2335" s="109" t="s">
        <v>432</v>
      </c>
      <c r="AJ2335" s="109" t="s">
        <v>432</v>
      </c>
      <c r="AK2335" s="109" t="s">
        <v>432</v>
      </c>
      <c r="AL2335" s="601" t="s">
        <v>432</v>
      </c>
      <c r="AM2335" s="109" t="s">
        <v>432</v>
      </c>
      <c r="AN2335" s="109" t="s">
        <v>432</v>
      </c>
      <c r="AO2335" s="109" t="s">
        <v>432</v>
      </c>
      <c r="AP2335" s="109" t="s">
        <v>432</v>
      </c>
      <c r="AQ2335" s="109" t="s">
        <v>432</v>
      </c>
      <c r="AR2335" s="109" t="s">
        <v>432</v>
      </c>
      <c r="AS2335" s="109" t="s">
        <v>432</v>
      </c>
      <c r="AT2335" s="109" t="s">
        <v>432</v>
      </c>
      <c r="AU2335" s="109" t="s">
        <v>432</v>
      </c>
      <c r="AV2335" s="109" t="s">
        <v>432</v>
      </c>
      <c r="AW2335" s="109" t="s">
        <v>432</v>
      </c>
      <c r="AX2335" s="109" t="s">
        <v>432</v>
      </c>
      <c r="AY2335" s="109" t="s">
        <v>432</v>
      </c>
      <c r="AZ2335" s="109" t="s">
        <v>432</v>
      </c>
      <c r="BA2335" s="109" t="s">
        <v>432</v>
      </c>
      <c r="BB2335" s="239" t="str">
        <f t="shared" si="666"/>
        <v>Poluição do arx</v>
      </c>
      <c r="BC2335" s="239" t="str">
        <f t="shared" si="667"/>
        <v>Poluição do arxmeta/RPI</v>
      </c>
      <c r="BD2335" s="239" t="str">
        <f t="shared" si="668"/>
        <v>Poluição do armeta/RPI</v>
      </c>
      <c r="BM2335" s="349"/>
      <c r="BN2335" s="349"/>
      <c r="BO2335" s="349"/>
    </row>
    <row r="2336" spans="1:67" s="105" customFormat="1" ht="25.5" x14ac:dyDescent="0.25">
      <c r="A2336" s="262" t="s">
        <v>604</v>
      </c>
      <c r="B2336" s="252" t="s">
        <v>736</v>
      </c>
      <c r="C2336" s="167" t="s">
        <v>432</v>
      </c>
      <c r="D2336" s="325" t="s">
        <v>1322</v>
      </c>
      <c r="E2336" s="1445" t="s">
        <v>1767</v>
      </c>
      <c r="F2336" s="102" t="s">
        <v>1324</v>
      </c>
      <c r="G2336" s="167" t="s">
        <v>2044</v>
      </c>
      <c r="H2336" s="168" t="s">
        <v>765</v>
      </c>
      <c r="I2336" s="167" t="s">
        <v>432</v>
      </c>
      <c r="J2336" s="109" t="s">
        <v>432</v>
      </c>
      <c r="K2336" s="109" t="s">
        <v>432</v>
      </c>
      <c r="L2336" s="109" t="s">
        <v>432</v>
      </c>
      <c r="M2336" s="109" t="s">
        <v>432</v>
      </c>
      <c r="N2336" s="109" t="s">
        <v>432</v>
      </c>
      <c r="O2336" s="109" t="s">
        <v>432</v>
      </c>
      <c r="P2336" s="109" t="s">
        <v>432</v>
      </c>
      <c r="Q2336" s="109" t="s">
        <v>432</v>
      </c>
      <c r="R2336" s="109" t="s">
        <v>432</v>
      </c>
      <c r="S2336" s="109" t="s">
        <v>2209</v>
      </c>
      <c r="T2336" s="109" t="s">
        <v>432</v>
      </c>
      <c r="U2336" s="109" t="s">
        <v>432</v>
      </c>
      <c r="V2336" s="109" t="s">
        <v>2209</v>
      </c>
      <c r="W2336" s="109" t="s">
        <v>432</v>
      </c>
      <c r="X2336" s="109" t="s">
        <v>432</v>
      </c>
      <c r="Y2336" s="109" t="s">
        <v>432</v>
      </c>
      <c r="Z2336" s="109" t="s">
        <v>432</v>
      </c>
      <c r="AA2336" s="109" t="s">
        <v>432</v>
      </c>
      <c r="AB2336" s="109" t="s">
        <v>432</v>
      </c>
      <c r="AC2336" s="109" t="s">
        <v>432</v>
      </c>
      <c r="AD2336" s="109" t="s">
        <v>432</v>
      </c>
      <c r="AE2336" s="109" t="s">
        <v>432</v>
      </c>
      <c r="AF2336" s="109" t="s">
        <v>432</v>
      </c>
      <c r="AG2336" s="109" t="s">
        <v>432</v>
      </c>
      <c r="AH2336" s="109" t="s">
        <v>432</v>
      </c>
      <c r="AI2336" s="109" t="s">
        <v>432</v>
      </c>
      <c r="AJ2336" s="109" t="s">
        <v>432</v>
      </c>
      <c r="AK2336" s="109" t="s">
        <v>432</v>
      </c>
      <c r="AL2336" s="601" t="s">
        <v>432</v>
      </c>
      <c r="AM2336" s="109" t="s">
        <v>432</v>
      </c>
      <c r="AN2336" s="109" t="s">
        <v>432</v>
      </c>
      <c r="AO2336" s="109" t="s">
        <v>432</v>
      </c>
      <c r="AP2336" s="109" t="s">
        <v>432</v>
      </c>
      <c r="AQ2336" s="109" t="s">
        <v>432</v>
      </c>
      <c r="AR2336" s="109" t="s">
        <v>432</v>
      </c>
      <c r="AS2336" s="109" t="s">
        <v>432</v>
      </c>
      <c r="AT2336" s="109" t="s">
        <v>432</v>
      </c>
      <c r="AU2336" s="109" t="s">
        <v>432</v>
      </c>
      <c r="AV2336" s="109" t="s">
        <v>432</v>
      </c>
      <c r="AW2336" s="109" t="s">
        <v>432</v>
      </c>
      <c r="AX2336" s="109" t="s">
        <v>432</v>
      </c>
      <c r="AY2336" s="109" t="s">
        <v>432</v>
      </c>
      <c r="AZ2336" s="109" t="s">
        <v>432</v>
      </c>
      <c r="BA2336" s="109" t="s">
        <v>432</v>
      </c>
      <c r="BB2336" s="239" t="str">
        <f t="shared" si="666"/>
        <v>Poluição do arx</v>
      </c>
      <c r="BC2336" s="239" t="str">
        <f t="shared" si="667"/>
        <v>Poluição do arxmeta/RPI</v>
      </c>
      <c r="BD2336" s="239" t="str">
        <f t="shared" si="668"/>
        <v>Poluição do armeta/RPI</v>
      </c>
      <c r="BM2336" s="349"/>
      <c r="BN2336" s="349"/>
      <c r="BO2336" s="349"/>
    </row>
    <row r="2337" spans="1:67" s="105" customFormat="1" ht="25.5" x14ac:dyDescent="0.25">
      <c r="A2337" s="262" t="s">
        <v>604</v>
      </c>
      <c r="B2337" s="252" t="s">
        <v>736</v>
      </c>
      <c r="C2337" s="167" t="s">
        <v>432</v>
      </c>
      <c r="D2337" s="325" t="s">
        <v>1323</v>
      </c>
      <c r="E2337" s="1445" t="s">
        <v>1767</v>
      </c>
      <c r="F2337" s="102" t="s">
        <v>1325</v>
      </c>
      <c r="G2337" s="167" t="s">
        <v>2044</v>
      </c>
      <c r="H2337" s="168" t="s">
        <v>765</v>
      </c>
      <c r="I2337" s="167" t="s">
        <v>432</v>
      </c>
      <c r="J2337" s="109" t="s">
        <v>432</v>
      </c>
      <c r="K2337" s="109" t="s">
        <v>432</v>
      </c>
      <c r="L2337" s="109" t="s">
        <v>432</v>
      </c>
      <c r="M2337" s="109" t="s">
        <v>432</v>
      </c>
      <c r="N2337" s="109" t="s">
        <v>432</v>
      </c>
      <c r="O2337" s="109" t="s">
        <v>432</v>
      </c>
      <c r="P2337" s="109" t="s">
        <v>432</v>
      </c>
      <c r="Q2337" s="109" t="s">
        <v>432</v>
      </c>
      <c r="R2337" s="109" t="s">
        <v>432</v>
      </c>
      <c r="S2337" s="109" t="s">
        <v>2209</v>
      </c>
      <c r="T2337" s="109" t="s">
        <v>432</v>
      </c>
      <c r="U2337" s="109" t="s">
        <v>432</v>
      </c>
      <c r="V2337" s="109" t="s">
        <v>2209</v>
      </c>
      <c r="W2337" s="109" t="s">
        <v>432</v>
      </c>
      <c r="X2337" s="109" t="s">
        <v>432</v>
      </c>
      <c r="Y2337" s="109" t="s">
        <v>432</v>
      </c>
      <c r="Z2337" s="109" t="s">
        <v>432</v>
      </c>
      <c r="AA2337" s="109" t="s">
        <v>432</v>
      </c>
      <c r="AB2337" s="109" t="s">
        <v>432</v>
      </c>
      <c r="AC2337" s="109" t="s">
        <v>432</v>
      </c>
      <c r="AD2337" s="109" t="s">
        <v>432</v>
      </c>
      <c r="AE2337" s="109" t="s">
        <v>432</v>
      </c>
      <c r="AF2337" s="109" t="s">
        <v>432</v>
      </c>
      <c r="AG2337" s="109" t="s">
        <v>432</v>
      </c>
      <c r="AH2337" s="109" t="s">
        <v>432</v>
      </c>
      <c r="AI2337" s="109" t="s">
        <v>432</v>
      </c>
      <c r="AJ2337" s="109" t="s">
        <v>432</v>
      </c>
      <c r="AK2337" s="109" t="s">
        <v>432</v>
      </c>
      <c r="AL2337" s="601" t="s">
        <v>432</v>
      </c>
      <c r="AM2337" s="109" t="s">
        <v>432</v>
      </c>
      <c r="AN2337" s="109" t="s">
        <v>432</v>
      </c>
      <c r="AO2337" s="109" t="s">
        <v>432</v>
      </c>
      <c r="AP2337" s="109" t="s">
        <v>432</v>
      </c>
      <c r="AQ2337" s="109" t="s">
        <v>432</v>
      </c>
      <c r="AR2337" s="109" t="s">
        <v>432</v>
      </c>
      <c r="AS2337" s="109" t="s">
        <v>432</v>
      </c>
      <c r="AT2337" s="109" t="s">
        <v>432</v>
      </c>
      <c r="AU2337" s="109" t="s">
        <v>432</v>
      </c>
      <c r="AV2337" s="109" t="s">
        <v>432</v>
      </c>
      <c r="AW2337" s="109" t="s">
        <v>432</v>
      </c>
      <c r="AX2337" s="109" t="s">
        <v>432</v>
      </c>
      <c r="AY2337" s="109" t="s">
        <v>432</v>
      </c>
      <c r="AZ2337" s="109" t="s">
        <v>432</v>
      </c>
      <c r="BA2337" s="109" t="s">
        <v>432</v>
      </c>
      <c r="BB2337" s="239" t="str">
        <f t="shared" si="666"/>
        <v>Poluição do arx</v>
      </c>
      <c r="BC2337" s="239" t="str">
        <f t="shared" si="667"/>
        <v>Poluição do arxmeta/RPI</v>
      </c>
      <c r="BD2337" s="239" t="str">
        <f t="shared" si="668"/>
        <v>Poluição do armeta/RPI</v>
      </c>
      <c r="BM2337" s="349"/>
      <c r="BN2337" s="349"/>
      <c r="BO2337" s="349"/>
    </row>
    <row r="2338" spans="1:67" s="105" customFormat="1" ht="72" customHeight="1" x14ac:dyDescent="0.25">
      <c r="A2338" s="262" t="s">
        <v>604</v>
      </c>
      <c r="B2338" s="252" t="s">
        <v>736</v>
      </c>
      <c r="C2338" s="167" t="s">
        <v>432</v>
      </c>
      <c r="D2338" s="325" t="s">
        <v>1310</v>
      </c>
      <c r="E2338" s="1445" t="s">
        <v>1298</v>
      </c>
      <c r="F2338" s="102" t="s">
        <v>1933</v>
      </c>
      <c r="G2338" s="167" t="s">
        <v>432</v>
      </c>
      <c r="H2338" s="167" t="s">
        <v>1298</v>
      </c>
      <c r="I2338" s="167">
        <v>5</v>
      </c>
      <c r="J2338" s="109" t="s">
        <v>432</v>
      </c>
      <c r="K2338" s="109" t="s">
        <v>432</v>
      </c>
      <c r="L2338" s="109" t="s">
        <v>432</v>
      </c>
      <c r="M2338" s="109" t="s">
        <v>432</v>
      </c>
      <c r="N2338" s="109" t="s">
        <v>432</v>
      </c>
      <c r="O2338" s="109" t="s">
        <v>432</v>
      </c>
      <c r="P2338" s="109" t="s">
        <v>432</v>
      </c>
      <c r="Q2338" s="109" t="s">
        <v>432</v>
      </c>
      <c r="R2338" s="109" t="s">
        <v>432</v>
      </c>
      <c r="S2338" s="109" t="s">
        <v>2209</v>
      </c>
      <c r="T2338" s="109" t="s">
        <v>432</v>
      </c>
      <c r="U2338" s="109" t="s">
        <v>432</v>
      </c>
      <c r="V2338" s="109" t="s">
        <v>2209</v>
      </c>
      <c r="W2338" s="109" t="s">
        <v>432</v>
      </c>
      <c r="X2338" s="109" t="s">
        <v>432</v>
      </c>
      <c r="Y2338" s="109" t="s">
        <v>432</v>
      </c>
      <c r="Z2338" s="109" t="s">
        <v>432</v>
      </c>
      <c r="AA2338" s="109" t="s">
        <v>432</v>
      </c>
      <c r="AB2338" s="109" t="s">
        <v>432</v>
      </c>
      <c r="AC2338" s="109" t="s">
        <v>432</v>
      </c>
      <c r="AD2338" s="109" t="s">
        <v>432</v>
      </c>
      <c r="AE2338" s="109" t="s">
        <v>432</v>
      </c>
      <c r="AF2338" s="109" t="s">
        <v>432</v>
      </c>
      <c r="AG2338" s="109" t="s">
        <v>432</v>
      </c>
      <c r="AH2338" s="109" t="s">
        <v>432</v>
      </c>
      <c r="AI2338" s="109" t="s">
        <v>432</v>
      </c>
      <c r="AJ2338" s="109" t="s">
        <v>432</v>
      </c>
      <c r="AK2338" s="109" t="s">
        <v>432</v>
      </c>
      <c r="AL2338" s="601" t="s">
        <v>432</v>
      </c>
      <c r="AM2338" s="109" t="s">
        <v>432</v>
      </c>
      <c r="AN2338" s="109" t="s">
        <v>432</v>
      </c>
      <c r="AO2338" s="109" t="s">
        <v>432</v>
      </c>
      <c r="AP2338" s="109" t="s">
        <v>432</v>
      </c>
      <c r="AQ2338" s="109" t="s">
        <v>432</v>
      </c>
      <c r="AR2338" s="109" t="s">
        <v>432</v>
      </c>
      <c r="AS2338" s="109" t="s">
        <v>432</v>
      </c>
      <c r="AT2338" s="109" t="s">
        <v>432</v>
      </c>
      <c r="AU2338" s="109" t="s">
        <v>432</v>
      </c>
      <c r="AV2338" s="109" t="s">
        <v>432</v>
      </c>
      <c r="AW2338" s="109" t="s">
        <v>432</v>
      </c>
      <c r="AX2338" s="109" t="s">
        <v>432</v>
      </c>
      <c r="AY2338" s="109" t="s">
        <v>432</v>
      </c>
      <c r="AZ2338" s="109" t="s">
        <v>432</v>
      </c>
      <c r="BA2338" s="109" t="s">
        <v>432</v>
      </c>
      <c r="BB2338" s="239" t="str">
        <f t="shared" si="666"/>
        <v>Poluição do arx</v>
      </c>
      <c r="BC2338" s="239" t="str">
        <f t="shared" si="667"/>
        <v>Poluição do arxRMBH</v>
      </c>
      <c r="BD2338" s="239" t="str">
        <f t="shared" si="668"/>
        <v>Poluição do arRMBH</v>
      </c>
      <c r="BM2338" s="349"/>
      <c r="BN2338" s="349"/>
      <c r="BO2338" s="349"/>
    </row>
    <row r="2339" spans="1:67" s="105" customFormat="1" ht="105" customHeight="1" x14ac:dyDescent="0.25">
      <c r="A2339" s="262" t="s">
        <v>432</v>
      </c>
      <c r="B2339" s="252" t="s">
        <v>742</v>
      </c>
      <c r="C2339" s="167" t="s">
        <v>743</v>
      </c>
      <c r="D2339" s="325" t="s">
        <v>3706</v>
      </c>
      <c r="E2339" s="1496" t="s">
        <v>2075</v>
      </c>
      <c r="F2339" s="1151" t="s">
        <v>3707</v>
      </c>
      <c r="G2339" s="167" t="s">
        <v>3507</v>
      </c>
      <c r="H2339" s="167" t="s">
        <v>2408</v>
      </c>
      <c r="I2339" s="167" t="s">
        <v>432</v>
      </c>
      <c r="J2339" s="109" t="s">
        <v>432</v>
      </c>
      <c r="K2339" s="109" t="s">
        <v>432</v>
      </c>
      <c r="L2339" s="109" t="s">
        <v>432</v>
      </c>
      <c r="M2339" s="109" t="s">
        <v>432</v>
      </c>
      <c r="N2339" s="109" t="s">
        <v>432</v>
      </c>
      <c r="O2339" s="109" t="s">
        <v>432</v>
      </c>
      <c r="P2339" s="109" t="s">
        <v>432</v>
      </c>
      <c r="Q2339" s="109" t="s">
        <v>432</v>
      </c>
      <c r="R2339" s="109" t="s">
        <v>432</v>
      </c>
      <c r="S2339" s="109" t="s">
        <v>2209</v>
      </c>
      <c r="T2339" s="109" t="s">
        <v>432</v>
      </c>
      <c r="U2339" s="109" t="s">
        <v>432</v>
      </c>
      <c r="V2339" s="109" t="s">
        <v>2209</v>
      </c>
      <c r="W2339" s="109" t="s">
        <v>432</v>
      </c>
      <c r="X2339" s="109" t="s">
        <v>432</v>
      </c>
      <c r="Y2339" s="109" t="s">
        <v>432</v>
      </c>
      <c r="Z2339" s="109" t="s">
        <v>432</v>
      </c>
      <c r="AA2339" s="109" t="s">
        <v>432</v>
      </c>
      <c r="AB2339" s="109" t="s">
        <v>432</v>
      </c>
      <c r="AC2339" s="109" t="s">
        <v>432</v>
      </c>
      <c r="AD2339" s="109" t="s">
        <v>432</v>
      </c>
      <c r="AE2339" s="109" t="s">
        <v>432</v>
      </c>
      <c r="AF2339" s="109" t="s">
        <v>432</v>
      </c>
      <c r="AG2339" s="109" t="s">
        <v>432</v>
      </c>
      <c r="AH2339" s="109" t="s">
        <v>432</v>
      </c>
      <c r="AI2339" s="109" t="s">
        <v>432</v>
      </c>
      <c r="AJ2339" s="109" t="s">
        <v>432</v>
      </c>
      <c r="AK2339" s="109" t="s">
        <v>432</v>
      </c>
      <c r="AL2339" s="601" t="s">
        <v>432</v>
      </c>
      <c r="AM2339" s="109" t="s">
        <v>432</v>
      </c>
      <c r="AN2339" s="109" t="s">
        <v>432</v>
      </c>
      <c r="AO2339" s="109" t="s">
        <v>432</v>
      </c>
      <c r="AP2339" s="109" t="s">
        <v>432</v>
      </c>
      <c r="AQ2339" s="109" t="s">
        <v>432</v>
      </c>
      <c r="AR2339" s="109" t="s">
        <v>432</v>
      </c>
      <c r="AS2339" s="109" t="s">
        <v>432</v>
      </c>
      <c r="AT2339" s="109" t="s">
        <v>432</v>
      </c>
      <c r="AU2339" s="109" t="s">
        <v>432</v>
      </c>
      <c r="AV2339" s="137" t="s">
        <v>432</v>
      </c>
      <c r="AW2339" s="137" t="s">
        <v>432</v>
      </c>
      <c r="AX2339" s="137" t="s">
        <v>432</v>
      </c>
      <c r="AY2339" s="137" t="s">
        <v>432</v>
      </c>
      <c r="AZ2339" s="137" t="s">
        <v>432</v>
      </c>
      <c r="BA2339" s="137" t="s">
        <v>432</v>
      </c>
      <c r="BB2339" s="239" t="str">
        <f>B2339&amp;C2339</f>
        <v>geralacessibilidade</v>
      </c>
      <c r="BC2339" s="239" t="str">
        <f>B2339&amp;C2339&amp;H2339</f>
        <v>geralacessibilidadesigla/verbete</v>
      </c>
      <c r="BD2339" s="239" t="str">
        <f>B2339&amp;H2339</f>
        <v>geralsigla/verbete</v>
      </c>
      <c r="BM2339" s="1140"/>
      <c r="BN2339" s="1140"/>
      <c r="BO2339" s="1140"/>
    </row>
    <row r="2340" spans="1:67" s="1" customFormat="1" ht="136.5" customHeight="1" x14ac:dyDescent="0.25">
      <c r="A2340" s="262" t="s">
        <v>432</v>
      </c>
      <c r="B2340" s="252" t="s">
        <v>742</v>
      </c>
      <c r="C2340" s="167" t="s">
        <v>432</v>
      </c>
      <c r="D2340" s="324" t="s">
        <v>820</v>
      </c>
      <c r="E2340" s="1496" t="s">
        <v>432</v>
      </c>
      <c r="F2340" s="11" t="s">
        <v>1367</v>
      </c>
      <c r="G2340" s="167" t="s">
        <v>3879</v>
      </c>
      <c r="H2340" s="167" t="s">
        <v>432</v>
      </c>
      <c r="I2340" s="167" t="s">
        <v>432</v>
      </c>
      <c r="J2340" s="109" t="s">
        <v>432</v>
      </c>
      <c r="K2340" s="109" t="s">
        <v>432</v>
      </c>
      <c r="L2340" s="109" t="s">
        <v>432</v>
      </c>
      <c r="M2340" s="109" t="s">
        <v>432</v>
      </c>
      <c r="N2340" s="109" t="s">
        <v>432</v>
      </c>
      <c r="O2340" s="109" t="s">
        <v>432</v>
      </c>
      <c r="P2340" s="109" t="s">
        <v>432</v>
      </c>
      <c r="Q2340" s="109" t="s">
        <v>432</v>
      </c>
      <c r="R2340" s="109" t="s">
        <v>432</v>
      </c>
      <c r="S2340" s="109" t="s">
        <v>2209</v>
      </c>
      <c r="T2340" s="109" t="s">
        <v>432</v>
      </c>
      <c r="U2340" s="109" t="s">
        <v>432</v>
      </c>
      <c r="V2340" s="109" t="s">
        <v>2209</v>
      </c>
      <c r="W2340" s="109" t="s">
        <v>432</v>
      </c>
      <c r="X2340" s="109" t="s">
        <v>432</v>
      </c>
      <c r="Y2340" s="109" t="s">
        <v>432</v>
      </c>
      <c r="Z2340" s="109" t="s">
        <v>432</v>
      </c>
      <c r="AA2340" s="109" t="s">
        <v>432</v>
      </c>
      <c r="AB2340" s="109" t="s">
        <v>432</v>
      </c>
      <c r="AC2340" s="109" t="s">
        <v>432</v>
      </c>
      <c r="AD2340" s="109" t="s">
        <v>432</v>
      </c>
      <c r="AE2340" s="109" t="s">
        <v>432</v>
      </c>
      <c r="AF2340" s="109" t="s">
        <v>432</v>
      </c>
      <c r="AG2340" s="109" t="s">
        <v>432</v>
      </c>
      <c r="AH2340" s="109" t="s">
        <v>432</v>
      </c>
      <c r="AI2340" s="109" t="s">
        <v>432</v>
      </c>
      <c r="AJ2340" s="109" t="s">
        <v>432</v>
      </c>
      <c r="AK2340" s="109" t="s">
        <v>432</v>
      </c>
      <c r="AL2340" s="601" t="s">
        <v>432</v>
      </c>
      <c r="AM2340" s="109" t="s">
        <v>432</v>
      </c>
      <c r="AN2340" s="109" t="s">
        <v>432</v>
      </c>
      <c r="AO2340" s="109" t="s">
        <v>432</v>
      </c>
      <c r="AP2340" s="109" t="s">
        <v>432</v>
      </c>
      <c r="AQ2340" s="109" t="s">
        <v>432</v>
      </c>
      <c r="AR2340" s="109" t="s">
        <v>432</v>
      </c>
      <c r="AS2340" s="109" t="s">
        <v>432</v>
      </c>
      <c r="AT2340" s="109" t="s">
        <v>432</v>
      </c>
      <c r="AU2340" s="109" t="s">
        <v>432</v>
      </c>
      <c r="AV2340" s="137" t="s">
        <v>432</v>
      </c>
      <c r="AW2340" s="137" t="s">
        <v>432</v>
      </c>
      <c r="AX2340" s="137" t="s">
        <v>432</v>
      </c>
      <c r="AY2340" s="137" t="s">
        <v>432</v>
      </c>
      <c r="AZ2340" s="137" t="s">
        <v>432</v>
      </c>
      <c r="BA2340" s="137" t="s">
        <v>432</v>
      </c>
      <c r="BB2340" s="239" t="str">
        <f t="shared" si="666"/>
        <v>geralx</v>
      </c>
      <c r="BC2340" s="239" t="str">
        <f t="shared" si="667"/>
        <v>geralxx</v>
      </c>
      <c r="BD2340" s="239" t="str">
        <f t="shared" si="668"/>
        <v>geralx</v>
      </c>
      <c r="BM2340" s="158"/>
      <c r="BN2340" s="158"/>
      <c r="BO2340" s="158"/>
    </row>
    <row r="2341" spans="1:67" s="3" customFormat="1" ht="25.5" customHeight="1" x14ac:dyDescent="0.25">
      <c r="A2341" s="262" t="s">
        <v>432</v>
      </c>
      <c r="B2341" s="252" t="s">
        <v>742</v>
      </c>
      <c r="C2341" s="167" t="s">
        <v>432</v>
      </c>
      <c r="D2341" s="324" t="s">
        <v>1105</v>
      </c>
      <c r="E2341" s="1496" t="s">
        <v>432</v>
      </c>
      <c r="F2341" s="11" t="s">
        <v>1106</v>
      </c>
      <c r="G2341" s="167" t="s">
        <v>3879</v>
      </c>
      <c r="H2341" s="169" t="s">
        <v>432</v>
      </c>
      <c r="I2341" s="167" t="s">
        <v>432</v>
      </c>
      <c r="J2341" s="109" t="s">
        <v>432</v>
      </c>
      <c r="K2341" s="109" t="s">
        <v>432</v>
      </c>
      <c r="L2341" s="109" t="s">
        <v>432</v>
      </c>
      <c r="M2341" s="109" t="s">
        <v>432</v>
      </c>
      <c r="N2341" s="109" t="s">
        <v>432</v>
      </c>
      <c r="O2341" s="109" t="s">
        <v>432</v>
      </c>
      <c r="P2341" s="109" t="s">
        <v>432</v>
      </c>
      <c r="Q2341" s="109" t="s">
        <v>432</v>
      </c>
      <c r="R2341" s="109" t="s">
        <v>432</v>
      </c>
      <c r="S2341" s="109" t="s">
        <v>2209</v>
      </c>
      <c r="T2341" s="109" t="s">
        <v>432</v>
      </c>
      <c r="U2341" s="109" t="s">
        <v>432</v>
      </c>
      <c r="V2341" s="109" t="s">
        <v>2209</v>
      </c>
      <c r="W2341" s="109" t="s">
        <v>432</v>
      </c>
      <c r="X2341" s="109" t="s">
        <v>432</v>
      </c>
      <c r="Y2341" s="109" t="s">
        <v>432</v>
      </c>
      <c r="Z2341" s="109" t="s">
        <v>432</v>
      </c>
      <c r="AA2341" s="109" t="s">
        <v>432</v>
      </c>
      <c r="AB2341" s="109" t="s">
        <v>432</v>
      </c>
      <c r="AC2341" s="109" t="s">
        <v>432</v>
      </c>
      <c r="AD2341" s="109" t="s">
        <v>432</v>
      </c>
      <c r="AE2341" s="109" t="s">
        <v>432</v>
      </c>
      <c r="AF2341" s="109" t="s">
        <v>432</v>
      </c>
      <c r="AG2341" s="109" t="s">
        <v>432</v>
      </c>
      <c r="AH2341" s="109" t="s">
        <v>432</v>
      </c>
      <c r="AI2341" s="109" t="s">
        <v>432</v>
      </c>
      <c r="AJ2341" s="109" t="s">
        <v>432</v>
      </c>
      <c r="AK2341" s="109" t="s">
        <v>432</v>
      </c>
      <c r="AL2341" s="601" t="s">
        <v>432</v>
      </c>
      <c r="AM2341" s="109" t="s">
        <v>432</v>
      </c>
      <c r="AN2341" s="109" t="s">
        <v>432</v>
      </c>
      <c r="AO2341" s="109" t="s">
        <v>432</v>
      </c>
      <c r="AP2341" s="109" t="s">
        <v>432</v>
      </c>
      <c r="AQ2341" s="109" t="s">
        <v>432</v>
      </c>
      <c r="AR2341" s="109" t="s">
        <v>432</v>
      </c>
      <c r="AS2341" s="109" t="s">
        <v>432</v>
      </c>
      <c r="AT2341" s="109" t="s">
        <v>432</v>
      </c>
      <c r="AU2341" s="109" t="s">
        <v>432</v>
      </c>
      <c r="AV2341" s="109" t="s">
        <v>432</v>
      </c>
      <c r="AW2341" s="109" t="s">
        <v>432</v>
      </c>
      <c r="AX2341" s="109" t="s">
        <v>432</v>
      </c>
      <c r="AY2341" s="109" t="s">
        <v>432</v>
      </c>
      <c r="AZ2341" s="109" t="s">
        <v>432</v>
      </c>
      <c r="BA2341" s="109" t="s">
        <v>432</v>
      </c>
      <c r="BB2341" s="239" t="str">
        <f t="shared" si="666"/>
        <v>geralx</v>
      </c>
      <c r="BC2341" s="239" t="str">
        <f t="shared" si="667"/>
        <v>geralxx</v>
      </c>
      <c r="BD2341" s="239" t="str">
        <f t="shared" si="668"/>
        <v>geralx</v>
      </c>
    </row>
    <row r="2342" spans="1:67" s="3" customFormat="1" ht="110.25" customHeight="1" x14ac:dyDescent="0.25">
      <c r="A2342" s="262" t="str">
        <f>'Q100b-totais'!B59</f>
        <v>8.7</v>
      </c>
      <c r="B2342" s="252" t="str">
        <f>'Q100b-totais'!C59</f>
        <v>Transporte de baixa capacidade</v>
      </c>
      <c r="C2342" s="229" t="s">
        <v>432</v>
      </c>
      <c r="D2342" s="324" t="s">
        <v>3684</v>
      </c>
      <c r="E2342" s="1496" t="s">
        <v>1307</v>
      </c>
      <c r="F2342" s="1139" t="s">
        <v>3687</v>
      </c>
      <c r="G2342" s="57" t="s">
        <v>3507</v>
      </c>
      <c r="H2342" s="169" t="s">
        <v>2408</v>
      </c>
      <c r="I2342" s="167" t="s">
        <v>432</v>
      </c>
      <c r="J2342" s="109" t="s">
        <v>432</v>
      </c>
      <c r="K2342" s="109" t="s">
        <v>432</v>
      </c>
      <c r="L2342" s="109" t="s">
        <v>432</v>
      </c>
      <c r="M2342" s="109" t="s">
        <v>432</v>
      </c>
      <c r="N2342" s="109" t="s">
        <v>432</v>
      </c>
      <c r="O2342" s="109" t="s">
        <v>432</v>
      </c>
      <c r="P2342" s="109" t="s">
        <v>432</v>
      </c>
      <c r="Q2342" s="109" t="s">
        <v>432</v>
      </c>
      <c r="R2342" s="109" t="s">
        <v>432</v>
      </c>
      <c r="S2342" s="109" t="s">
        <v>2209</v>
      </c>
      <c r="T2342" s="109" t="s">
        <v>432</v>
      </c>
      <c r="U2342" s="109" t="s">
        <v>432</v>
      </c>
      <c r="V2342" s="109" t="s">
        <v>2209</v>
      </c>
      <c r="W2342" s="109" t="s">
        <v>432</v>
      </c>
      <c r="X2342" s="109" t="s">
        <v>432</v>
      </c>
      <c r="Y2342" s="109" t="s">
        <v>432</v>
      </c>
      <c r="Z2342" s="109" t="s">
        <v>432</v>
      </c>
      <c r="AA2342" s="109" t="s">
        <v>432</v>
      </c>
      <c r="AB2342" s="109" t="s">
        <v>432</v>
      </c>
      <c r="AC2342" s="109" t="s">
        <v>432</v>
      </c>
      <c r="AD2342" s="109" t="s">
        <v>432</v>
      </c>
      <c r="AE2342" s="109" t="s">
        <v>432</v>
      </c>
      <c r="AF2342" s="109" t="s">
        <v>432</v>
      </c>
      <c r="AG2342" s="109" t="s">
        <v>432</v>
      </c>
      <c r="AH2342" s="109" t="s">
        <v>432</v>
      </c>
      <c r="AI2342" s="109" t="s">
        <v>432</v>
      </c>
      <c r="AJ2342" s="109" t="s">
        <v>432</v>
      </c>
      <c r="AK2342" s="109" t="s">
        <v>432</v>
      </c>
      <c r="AL2342" s="601" t="s">
        <v>432</v>
      </c>
      <c r="AM2342" s="109" t="s">
        <v>432</v>
      </c>
      <c r="AN2342" s="109" t="s">
        <v>432</v>
      </c>
      <c r="AO2342" s="109" t="s">
        <v>432</v>
      </c>
      <c r="AP2342" s="109" t="s">
        <v>432</v>
      </c>
      <c r="AQ2342" s="109" t="s">
        <v>432</v>
      </c>
      <c r="AR2342" s="109" t="s">
        <v>432</v>
      </c>
      <c r="AS2342" s="109" t="s">
        <v>432</v>
      </c>
      <c r="AT2342" s="109" t="s">
        <v>432</v>
      </c>
      <c r="AU2342" s="109" t="s">
        <v>432</v>
      </c>
      <c r="AV2342" s="109" t="s">
        <v>432</v>
      </c>
      <c r="AW2342" s="109" t="s">
        <v>432</v>
      </c>
      <c r="AX2342" s="109" t="s">
        <v>432</v>
      </c>
      <c r="AY2342" s="109" t="s">
        <v>432</v>
      </c>
      <c r="AZ2342" s="109" t="s">
        <v>432</v>
      </c>
      <c r="BA2342" s="109" t="s">
        <v>432</v>
      </c>
      <c r="BB2342" s="239" t="str">
        <f>B2342&amp;C2342</f>
        <v>Transporte de baixa capacidadex</v>
      </c>
      <c r="BC2342" s="239" t="str">
        <f>B2342&amp;C2342&amp;H2342</f>
        <v>Transporte de baixa capacidadexsigla/verbete</v>
      </c>
      <c r="BD2342" s="239" t="str">
        <f>B2342&amp;H2342</f>
        <v>Transporte de baixa capacidadesigla/verbete</v>
      </c>
    </row>
    <row r="2343" spans="1:67" s="1" customFormat="1" ht="35.25" customHeight="1" x14ac:dyDescent="0.25">
      <c r="A2343" s="262" t="s">
        <v>432</v>
      </c>
      <c r="B2343" s="252" t="s">
        <v>742</v>
      </c>
      <c r="C2343" s="230" t="s">
        <v>432</v>
      </c>
      <c r="D2343" s="325" t="s">
        <v>371</v>
      </c>
      <c r="E2343" s="1496" t="s">
        <v>432</v>
      </c>
      <c r="F2343" s="11" t="s">
        <v>2537</v>
      </c>
      <c r="G2343" s="167" t="s">
        <v>3879</v>
      </c>
      <c r="H2343" s="167" t="s">
        <v>432</v>
      </c>
      <c r="I2343" s="167" t="s">
        <v>432</v>
      </c>
      <c r="J2343" s="107" t="s">
        <v>432</v>
      </c>
      <c r="K2343" s="107" t="s">
        <v>432</v>
      </c>
      <c r="L2343" s="107" t="s">
        <v>432</v>
      </c>
      <c r="M2343" s="107" t="s">
        <v>432</v>
      </c>
      <c r="N2343" s="107" t="s">
        <v>432</v>
      </c>
      <c r="O2343" s="107" t="s">
        <v>432</v>
      </c>
      <c r="P2343" s="107" t="s">
        <v>432</v>
      </c>
      <c r="Q2343" s="107" t="s">
        <v>432</v>
      </c>
      <c r="R2343" s="107" t="s">
        <v>432</v>
      </c>
      <c r="S2343" s="109" t="s">
        <v>2209</v>
      </c>
      <c r="T2343" s="107" t="s">
        <v>432</v>
      </c>
      <c r="U2343" s="107" t="s">
        <v>432</v>
      </c>
      <c r="V2343" s="109" t="s">
        <v>2209</v>
      </c>
      <c r="W2343" s="107" t="s">
        <v>432</v>
      </c>
      <c r="X2343" s="107" t="s">
        <v>432</v>
      </c>
      <c r="Y2343" s="107" t="s">
        <v>432</v>
      </c>
      <c r="Z2343" s="107" t="s">
        <v>432</v>
      </c>
      <c r="AA2343" s="107" t="s">
        <v>432</v>
      </c>
      <c r="AB2343" s="107" t="s">
        <v>432</v>
      </c>
      <c r="AC2343" s="107" t="s">
        <v>432</v>
      </c>
      <c r="AD2343" s="107" t="s">
        <v>432</v>
      </c>
      <c r="AE2343" s="107" t="s">
        <v>432</v>
      </c>
      <c r="AF2343" s="107" t="s">
        <v>432</v>
      </c>
      <c r="AG2343" s="107" t="s">
        <v>432</v>
      </c>
      <c r="AH2343" s="107" t="s">
        <v>432</v>
      </c>
      <c r="AI2343" s="107" t="s">
        <v>432</v>
      </c>
      <c r="AJ2343" s="107" t="s">
        <v>432</v>
      </c>
      <c r="AK2343" s="137" t="s">
        <v>432</v>
      </c>
      <c r="AL2343" s="601" t="s">
        <v>432</v>
      </c>
      <c r="AM2343" s="137" t="s">
        <v>432</v>
      </c>
      <c r="AN2343" s="137" t="s">
        <v>432</v>
      </c>
      <c r="AO2343" s="137" t="s">
        <v>432</v>
      </c>
      <c r="AP2343" s="137" t="s">
        <v>432</v>
      </c>
      <c r="AQ2343" s="137" t="s">
        <v>432</v>
      </c>
      <c r="AR2343" s="137" t="s">
        <v>432</v>
      </c>
      <c r="AS2343" s="137" t="s">
        <v>432</v>
      </c>
      <c r="AT2343" s="137" t="s">
        <v>432</v>
      </c>
      <c r="AU2343" s="137" t="s">
        <v>432</v>
      </c>
      <c r="AV2343" s="137" t="s">
        <v>432</v>
      </c>
      <c r="AW2343" s="137" t="s">
        <v>432</v>
      </c>
      <c r="AX2343" s="137" t="s">
        <v>432</v>
      </c>
      <c r="AY2343" s="137" t="s">
        <v>432</v>
      </c>
      <c r="AZ2343" s="137" t="s">
        <v>432</v>
      </c>
      <c r="BA2343" s="137" t="s">
        <v>432</v>
      </c>
      <c r="BB2343" s="239" t="str">
        <f t="shared" si="666"/>
        <v>geralx</v>
      </c>
      <c r="BC2343" s="239" t="str">
        <f t="shared" si="667"/>
        <v>geralxx</v>
      </c>
      <c r="BD2343" s="239" t="str">
        <f t="shared" si="668"/>
        <v>geralx</v>
      </c>
      <c r="BM2343" s="19"/>
      <c r="BN2343" s="19"/>
      <c r="BO2343" s="19"/>
    </row>
    <row r="2344" spans="1:67" s="1" customFormat="1" ht="35.25" customHeight="1" x14ac:dyDescent="0.25">
      <c r="A2344" s="262" t="s">
        <v>432</v>
      </c>
      <c r="B2344" s="252" t="s">
        <v>742</v>
      </c>
      <c r="C2344" s="230" t="s">
        <v>432</v>
      </c>
      <c r="D2344" s="325" t="s">
        <v>5102</v>
      </c>
      <c r="E2344" s="1496" t="s">
        <v>432</v>
      </c>
      <c r="F2344" s="1205" t="s">
        <v>5103</v>
      </c>
      <c r="G2344" s="57" t="s">
        <v>3507</v>
      </c>
      <c r="H2344" s="169" t="s">
        <v>2408</v>
      </c>
      <c r="I2344" s="167" t="s">
        <v>432</v>
      </c>
      <c r="J2344" s="107" t="s">
        <v>432</v>
      </c>
      <c r="K2344" s="107" t="s">
        <v>432</v>
      </c>
      <c r="L2344" s="107" t="s">
        <v>432</v>
      </c>
      <c r="M2344" s="107" t="s">
        <v>432</v>
      </c>
      <c r="N2344" s="107" t="s">
        <v>432</v>
      </c>
      <c r="O2344" s="107" t="s">
        <v>432</v>
      </c>
      <c r="P2344" s="107" t="s">
        <v>432</v>
      </c>
      <c r="Q2344" s="107" t="s">
        <v>432</v>
      </c>
      <c r="R2344" s="107" t="s">
        <v>432</v>
      </c>
      <c r="S2344" s="109" t="s">
        <v>2209</v>
      </c>
      <c r="T2344" s="107" t="s">
        <v>432</v>
      </c>
      <c r="U2344" s="107" t="s">
        <v>432</v>
      </c>
      <c r="V2344" s="109" t="s">
        <v>2209</v>
      </c>
      <c r="W2344" s="107" t="s">
        <v>432</v>
      </c>
      <c r="X2344" s="107" t="s">
        <v>432</v>
      </c>
      <c r="Y2344" s="107" t="s">
        <v>432</v>
      </c>
      <c r="Z2344" s="107" t="s">
        <v>432</v>
      </c>
      <c r="AA2344" s="107" t="s">
        <v>432</v>
      </c>
      <c r="AB2344" s="107" t="s">
        <v>432</v>
      </c>
      <c r="AC2344" s="107" t="s">
        <v>432</v>
      </c>
      <c r="AD2344" s="107" t="s">
        <v>432</v>
      </c>
      <c r="AE2344" s="107" t="s">
        <v>432</v>
      </c>
      <c r="AF2344" s="107" t="s">
        <v>432</v>
      </c>
      <c r="AG2344" s="107" t="s">
        <v>432</v>
      </c>
      <c r="AH2344" s="107" t="s">
        <v>432</v>
      </c>
      <c r="AI2344" s="107" t="s">
        <v>432</v>
      </c>
      <c r="AJ2344" s="107" t="s">
        <v>432</v>
      </c>
      <c r="AK2344" s="137" t="s">
        <v>432</v>
      </c>
      <c r="AL2344" s="601" t="s">
        <v>432</v>
      </c>
      <c r="AM2344" s="137" t="s">
        <v>432</v>
      </c>
      <c r="AN2344" s="137" t="s">
        <v>432</v>
      </c>
      <c r="AO2344" s="137" t="s">
        <v>432</v>
      </c>
      <c r="AP2344" s="137" t="s">
        <v>432</v>
      </c>
      <c r="AQ2344" s="137" t="s">
        <v>432</v>
      </c>
      <c r="AR2344" s="137" t="s">
        <v>432</v>
      </c>
      <c r="AS2344" s="137" t="s">
        <v>432</v>
      </c>
      <c r="AT2344" s="137" t="s">
        <v>432</v>
      </c>
      <c r="AU2344" s="137" t="s">
        <v>432</v>
      </c>
      <c r="AV2344" s="137" t="s">
        <v>432</v>
      </c>
      <c r="AW2344" s="137" t="s">
        <v>432</v>
      </c>
      <c r="AX2344" s="137" t="s">
        <v>432</v>
      </c>
      <c r="AY2344" s="137" t="s">
        <v>432</v>
      </c>
      <c r="AZ2344" s="137" t="s">
        <v>432</v>
      </c>
      <c r="BA2344" s="137" t="s">
        <v>432</v>
      </c>
      <c r="BB2344" s="239" t="str">
        <f>B2344&amp;C2344</f>
        <v>geralx</v>
      </c>
      <c r="BC2344" s="239" t="str">
        <f>B2344&amp;C2344&amp;H2344</f>
        <v>geralxsigla/verbete</v>
      </c>
      <c r="BD2344" s="239" t="str">
        <f>B2344&amp;H2344</f>
        <v>geralsigla/verbete</v>
      </c>
      <c r="BM2344" s="1394"/>
      <c r="BN2344" s="1394"/>
      <c r="BO2344" s="1394"/>
    </row>
    <row r="2345" spans="1:67" s="1" customFormat="1" ht="63" customHeight="1" x14ac:dyDescent="0.25">
      <c r="A2345" s="262" t="s">
        <v>432</v>
      </c>
      <c r="B2345" s="252" t="s">
        <v>742</v>
      </c>
      <c r="C2345" s="167" t="s">
        <v>432</v>
      </c>
      <c r="D2345" s="325" t="s">
        <v>370</v>
      </c>
      <c r="E2345" s="1496" t="s">
        <v>432</v>
      </c>
      <c r="F2345" s="165" t="s">
        <v>899</v>
      </c>
      <c r="G2345" s="167" t="s">
        <v>3879</v>
      </c>
      <c r="H2345" s="167" t="s">
        <v>432</v>
      </c>
      <c r="I2345" s="167" t="s">
        <v>432</v>
      </c>
      <c r="J2345" s="107" t="s">
        <v>432</v>
      </c>
      <c r="K2345" s="107" t="s">
        <v>432</v>
      </c>
      <c r="L2345" s="107" t="s">
        <v>432</v>
      </c>
      <c r="M2345" s="107" t="s">
        <v>432</v>
      </c>
      <c r="N2345" s="107" t="s">
        <v>432</v>
      </c>
      <c r="O2345" s="107" t="s">
        <v>432</v>
      </c>
      <c r="P2345" s="107" t="s">
        <v>432</v>
      </c>
      <c r="Q2345" s="107" t="s">
        <v>432</v>
      </c>
      <c r="R2345" s="107" t="s">
        <v>432</v>
      </c>
      <c r="S2345" s="109" t="s">
        <v>2209</v>
      </c>
      <c r="T2345" s="107" t="s">
        <v>432</v>
      </c>
      <c r="U2345" s="107" t="s">
        <v>432</v>
      </c>
      <c r="V2345" s="109" t="s">
        <v>2209</v>
      </c>
      <c r="W2345" s="107" t="s">
        <v>432</v>
      </c>
      <c r="X2345" s="107" t="s">
        <v>432</v>
      </c>
      <c r="Y2345" s="107" t="s">
        <v>432</v>
      </c>
      <c r="Z2345" s="107" t="s">
        <v>432</v>
      </c>
      <c r="AA2345" s="107" t="s">
        <v>432</v>
      </c>
      <c r="AB2345" s="107" t="s">
        <v>432</v>
      </c>
      <c r="AC2345" s="107" t="s">
        <v>432</v>
      </c>
      <c r="AD2345" s="107" t="s">
        <v>432</v>
      </c>
      <c r="AE2345" s="107" t="s">
        <v>432</v>
      </c>
      <c r="AF2345" s="107" t="s">
        <v>432</v>
      </c>
      <c r="AG2345" s="107" t="s">
        <v>432</v>
      </c>
      <c r="AH2345" s="107" t="s">
        <v>432</v>
      </c>
      <c r="AI2345" s="107" t="s">
        <v>432</v>
      </c>
      <c r="AJ2345" s="107" t="s">
        <v>432</v>
      </c>
      <c r="AK2345" s="137" t="s">
        <v>432</v>
      </c>
      <c r="AL2345" s="601" t="s">
        <v>432</v>
      </c>
      <c r="AM2345" s="137" t="s">
        <v>432</v>
      </c>
      <c r="AN2345" s="137" t="s">
        <v>432</v>
      </c>
      <c r="AO2345" s="137" t="s">
        <v>432</v>
      </c>
      <c r="AP2345" s="137" t="s">
        <v>432</v>
      </c>
      <c r="AQ2345" s="137" t="s">
        <v>432</v>
      </c>
      <c r="AR2345" s="137" t="s">
        <v>432</v>
      </c>
      <c r="AS2345" s="137" t="s">
        <v>432</v>
      </c>
      <c r="AT2345" s="137" t="s">
        <v>432</v>
      </c>
      <c r="AU2345" s="137" t="s">
        <v>432</v>
      </c>
      <c r="AV2345" s="137" t="s">
        <v>432</v>
      </c>
      <c r="AW2345" s="137" t="s">
        <v>432</v>
      </c>
      <c r="AX2345" s="137" t="s">
        <v>432</v>
      </c>
      <c r="AY2345" s="137" t="s">
        <v>432</v>
      </c>
      <c r="AZ2345" s="137" t="s">
        <v>432</v>
      </c>
      <c r="BA2345" s="137" t="s">
        <v>432</v>
      </c>
      <c r="BB2345" s="239" t="str">
        <f t="shared" si="666"/>
        <v>geralx</v>
      </c>
      <c r="BC2345" s="239" t="str">
        <f t="shared" si="667"/>
        <v>geralxx</v>
      </c>
      <c r="BD2345" s="239" t="str">
        <f t="shared" si="668"/>
        <v>geralx</v>
      </c>
      <c r="BM2345" s="19"/>
      <c r="BN2345" s="19"/>
      <c r="BO2345" s="19"/>
    </row>
    <row r="2346" spans="1:67" s="1" customFormat="1" x14ac:dyDescent="0.25">
      <c r="A2346" s="398"/>
      <c r="B2346" s="221"/>
      <c r="C2346" s="399"/>
      <c r="D2346" s="987"/>
      <c r="E2346" s="1533"/>
      <c r="F2346" s="405"/>
      <c r="G2346" s="405"/>
      <c r="H2346" s="399"/>
      <c r="I2346" s="405"/>
      <c r="J2346" s="221"/>
      <c r="K2346" s="403"/>
      <c r="L2346" s="403"/>
      <c r="M2346" s="403"/>
      <c r="N2346" s="403"/>
      <c r="O2346" s="403"/>
      <c r="P2346" s="403"/>
      <c r="Q2346" s="403"/>
      <c r="R2346" s="403"/>
      <c r="S2346" s="403"/>
      <c r="T2346" s="403"/>
      <c r="U2346" s="403"/>
      <c r="V2346" s="403"/>
      <c r="W2346" s="403"/>
      <c r="X2346" s="403"/>
      <c r="Y2346" s="403"/>
      <c r="Z2346" s="403"/>
      <c r="AA2346" s="403"/>
      <c r="AB2346" s="403"/>
      <c r="AC2346" s="403"/>
      <c r="AD2346" s="403"/>
      <c r="AE2346" s="403"/>
      <c r="AF2346" s="403"/>
      <c r="AG2346" s="403"/>
      <c r="AH2346" s="403"/>
      <c r="AI2346" s="403"/>
      <c r="AJ2346" s="403"/>
      <c r="AK2346" s="223"/>
      <c r="AL2346" s="601" t="s">
        <v>432</v>
      </c>
      <c r="AM2346" s="223"/>
      <c r="AN2346" s="223"/>
      <c r="AO2346" s="223"/>
      <c r="AP2346" s="223"/>
      <c r="AQ2346" s="223"/>
      <c r="AR2346" s="223"/>
      <c r="AS2346" s="223"/>
      <c r="AT2346" s="223"/>
      <c r="AU2346" s="223"/>
      <c r="AV2346" s="223"/>
      <c r="AW2346" s="223"/>
      <c r="AX2346" s="223"/>
      <c r="AY2346" s="223"/>
      <c r="AZ2346" s="223"/>
      <c r="BA2346" s="223"/>
      <c r="BB2346" s="400"/>
      <c r="BC2346" s="400"/>
      <c r="BD2346" s="400"/>
    </row>
    <row r="2347" spans="1:67" s="1" customFormat="1" ht="25.5" x14ac:dyDescent="0.25">
      <c r="A2347" s="262" t="s">
        <v>432</v>
      </c>
      <c r="B2347" s="252" t="s">
        <v>742</v>
      </c>
      <c r="C2347" s="167" t="s">
        <v>432</v>
      </c>
      <c r="D2347" s="325" t="s">
        <v>3205</v>
      </c>
      <c r="E2347" s="1496" t="s">
        <v>432</v>
      </c>
      <c r="F2347" s="252" t="s">
        <v>3406</v>
      </c>
      <c r="G2347" s="167" t="s">
        <v>3879</v>
      </c>
      <c r="H2347" s="167" t="s">
        <v>432</v>
      </c>
      <c r="I2347" s="167" t="s">
        <v>432</v>
      </c>
      <c r="J2347" s="107" t="s">
        <v>432</v>
      </c>
      <c r="K2347" s="107" t="s">
        <v>432</v>
      </c>
      <c r="L2347" s="107" t="s">
        <v>432</v>
      </c>
      <c r="M2347" s="107" t="s">
        <v>432</v>
      </c>
      <c r="N2347" s="107" t="s">
        <v>432</v>
      </c>
      <c r="O2347" s="107" t="s">
        <v>432</v>
      </c>
      <c r="P2347" s="107" t="s">
        <v>432</v>
      </c>
      <c r="Q2347" s="107" t="s">
        <v>432</v>
      </c>
      <c r="R2347" s="107" t="s">
        <v>432</v>
      </c>
      <c r="S2347" s="109" t="s">
        <v>2209</v>
      </c>
      <c r="T2347" s="107" t="s">
        <v>432</v>
      </c>
      <c r="U2347" s="107" t="s">
        <v>432</v>
      </c>
      <c r="V2347" s="109" t="s">
        <v>2209</v>
      </c>
      <c r="W2347" s="107" t="s">
        <v>432</v>
      </c>
      <c r="X2347" s="107" t="s">
        <v>432</v>
      </c>
      <c r="Y2347" s="107" t="s">
        <v>432</v>
      </c>
      <c r="Z2347" s="107" t="s">
        <v>432</v>
      </c>
      <c r="AA2347" s="107" t="s">
        <v>432</v>
      </c>
      <c r="AB2347" s="107" t="s">
        <v>432</v>
      </c>
      <c r="AC2347" s="107" t="s">
        <v>432</v>
      </c>
      <c r="AD2347" s="107" t="s">
        <v>432</v>
      </c>
      <c r="AE2347" s="107" t="s">
        <v>432</v>
      </c>
      <c r="AF2347" s="107" t="s">
        <v>432</v>
      </c>
      <c r="AG2347" s="107" t="s">
        <v>432</v>
      </c>
      <c r="AH2347" s="107" t="s">
        <v>432</v>
      </c>
      <c r="AI2347" s="107" t="s">
        <v>432</v>
      </c>
      <c r="AJ2347" s="107" t="s">
        <v>432</v>
      </c>
      <c r="AK2347" s="137" t="s">
        <v>432</v>
      </c>
      <c r="AL2347" s="601" t="s">
        <v>432</v>
      </c>
      <c r="AM2347" s="137" t="s">
        <v>432</v>
      </c>
      <c r="AN2347" s="137" t="s">
        <v>432</v>
      </c>
      <c r="AO2347" s="137" t="s">
        <v>432</v>
      </c>
      <c r="AP2347" s="137" t="s">
        <v>432</v>
      </c>
      <c r="AQ2347" s="137" t="s">
        <v>432</v>
      </c>
      <c r="AR2347" s="137" t="s">
        <v>432</v>
      </c>
      <c r="AS2347" s="137" t="s">
        <v>432</v>
      </c>
      <c r="AT2347" s="137" t="s">
        <v>432</v>
      </c>
      <c r="AU2347" s="137" t="s">
        <v>432</v>
      </c>
      <c r="AV2347" s="137" t="s">
        <v>432</v>
      </c>
      <c r="AW2347" s="137" t="s">
        <v>432</v>
      </c>
      <c r="AX2347" s="137" t="s">
        <v>432</v>
      </c>
      <c r="AY2347" s="137" t="s">
        <v>432</v>
      </c>
      <c r="AZ2347" s="137" t="s">
        <v>432</v>
      </c>
      <c r="BA2347" s="137" t="s">
        <v>432</v>
      </c>
      <c r="BB2347" s="239" t="str">
        <f>B2347&amp;C2347</f>
        <v>geralx</v>
      </c>
      <c r="BC2347" s="239" t="str">
        <f>B2347&amp;C2347&amp;H2347</f>
        <v>geralxx</v>
      </c>
      <c r="BD2347" s="239" t="str">
        <f>B2347&amp;H2347</f>
        <v>geralx</v>
      </c>
      <c r="BM2347" s="997"/>
      <c r="BN2347" s="997"/>
      <c r="BO2347" s="997"/>
    </row>
    <row r="2348" spans="1:67" s="1" customFormat="1" ht="63.75" x14ac:dyDescent="0.25">
      <c r="A2348" s="275" t="str">
        <f>'Q100b-totais'!$B$64</f>
        <v>9.1</v>
      </c>
      <c r="B2348" s="1205" t="str">
        <f>'Q100b-totais'!$C$64</f>
        <v>Acidentes de trânsito</v>
      </c>
      <c r="C2348" s="57" t="s">
        <v>432</v>
      </c>
      <c r="D2348" s="324" t="s">
        <v>372</v>
      </c>
      <c r="E2348" s="1402" t="s">
        <v>1306</v>
      </c>
      <c r="F2348" s="14" t="s">
        <v>1534</v>
      </c>
      <c r="G2348" s="409" t="s">
        <v>77</v>
      </c>
      <c r="H2348" s="173" t="s">
        <v>432</v>
      </c>
      <c r="I2348" s="57">
        <v>1</v>
      </c>
      <c r="J2348" s="107" t="s">
        <v>432</v>
      </c>
      <c r="K2348" s="161">
        <v>4585</v>
      </c>
      <c r="L2348" s="161">
        <v>4219</v>
      </c>
      <c r="M2348" s="161">
        <v>5133</v>
      </c>
      <c r="N2348" s="161">
        <v>5146</v>
      </c>
      <c r="O2348" s="161">
        <v>4863</v>
      </c>
      <c r="P2348" s="161">
        <v>4843</v>
      </c>
      <c r="Q2348" s="161">
        <v>4517</v>
      </c>
      <c r="R2348" s="161">
        <v>4551</v>
      </c>
      <c r="S2348" s="109" t="s">
        <v>2209</v>
      </c>
      <c r="T2348" s="161">
        <v>4488</v>
      </c>
      <c r="U2348" s="161">
        <v>4148</v>
      </c>
      <c r="V2348" s="109" t="s">
        <v>2209</v>
      </c>
      <c r="W2348" s="161">
        <v>3733</v>
      </c>
      <c r="X2348" s="161">
        <v>3268</v>
      </c>
      <c r="Y2348" s="161">
        <v>3520</v>
      </c>
      <c r="Z2348" s="162">
        <v>3581</v>
      </c>
      <c r="AA2348" s="162">
        <v>3552</v>
      </c>
      <c r="AB2348" s="162">
        <v>3335</v>
      </c>
      <c r="AC2348" s="162">
        <v>3127</v>
      </c>
      <c r="AD2348" s="162">
        <v>3087</v>
      </c>
      <c r="AE2348" s="162">
        <v>3076</v>
      </c>
      <c r="AF2348" s="162">
        <v>3116</v>
      </c>
      <c r="AG2348" s="162">
        <v>2850</v>
      </c>
      <c r="AH2348" s="162">
        <v>2559</v>
      </c>
      <c r="AI2348" s="162">
        <v>2269</v>
      </c>
      <c r="AJ2348" s="162">
        <v>2260</v>
      </c>
      <c r="AK2348" s="137" t="s">
        <v>432</v>
      </c>
      <c r="AL2348" s="601" t="s">
        <v>432</v>
      </c>
      <c r="AM2348" s="137" t="s">
        <v>432</v>
      </c>
      <c r="AN2348" s="137" t="s">
        <v>432</v>
      </c>
      <c r="AO2348" s="137" t="s">
        <v>432</v>
      </c>
      <c r="AP2348" s="137" t="s">
        <v>432</v>
      </c>
      <c r="AQ2348" s="137" t="s">
        <v>432</v>
      </c>
      <c r="AR2348" s="137" t="s">
        <v>432</v>
      </c>
      <c r="AS2348" s="137" t="s">
        <v>432</v>
      </c>
      <c r="AT2348" s="137" t="s">
        <v>432</v>
      </c>
      <c r="AU2348" s="137" t="s">
        <v>432</v>
      </c>
      <c r="AV2348" s="137" t="s">
        <v>432</v>
      </c>
      <c r="AW2348" s="137" t="s">
        <v>432</v>
      </c>
      <c r="AX2348" s="137" t="s">
        <v>432</v>
      </c>
      <c r="AY2348" s="137" t="s">
        <v>432</v>
      </c>
      <c r="AZ2348" s="137" t="s">
        <v>432</v>
      </c>
      <c r="BA2348" s="137" t="s">
        <v>432</v>
      </c>
      <c r="BB2348" s="239" t="str">
        <f t="shared" si="666"/>
        <v>Acidentes de trânsitox</v>
      </c>
      <c r="BC2348" s="239" t="str">
        <f t="shared" si="667"/>
        <v>Acidentes de trânsitoxx</v>
      </c>
      <c r="BD2348" s="239" t="str">
        <f t="shared" si="668"/>
        <v>Acidentes de trânsitox</v>
      </c>
      <c r="BM2348" s="19"/>
      <c r="BN2348" s="19"/>
      <c r="BO2348" s="19"/>
    </row>
    <row r="2349" spans="1:67" s="1" customFormat="1" ht="63.75" customHeight="1" x14ac:dyDescent="0.25">
      <c r="A2349" s="275" t="str">
        <f>'Q100b-totais'!$B$64</f>
        <v>9.1</v>
      </c>
      <c r="B2349" s="1205" t="str">
        <f>'Q100b-totais'!$C$64</f>
        <v>Acidentes de trânsito</v>
      </c>
      <c r="C2349" s="57" t="s">
        <v>432</v>
      </c>
      <c r="D2349" s="323" t="s">
        <v>373</v>
      </c>
      <c r="E2349" s="1402" t="s">
        <v>1306</v>
      </c>
      <c r="F2349" s="25" t="s">
        <v>810</v>
      </c>
      <c r="G2349" s="404" t="s">
        <v>795</v>
      </c>
      <c r="H2349" s="173" t="s">
        <v>432</v>
      </c>
      <c r="I2349" s="57">
        <v>1</v>
      </c>
      <c r="J2349" s="107" t="s">
        <v>432</v>
      </c>
      <c r="K2349" s="64">
        <f t="shared" ref="K2349:R2349" si="691">(K2348/K814)*10000</f>
        <v>95.559654442950773</v>
      </c>
      <c r="L2349" s="64">
        <f t="shared" si="691"/>
        <v>86.072705832910003</v>
      </c>
      <c r="M2349" s="64">
        <f t="shared" si="691"/>
        <v>100.85767337675735</v>
      </c>
      <c r="N2349" s="64">
        <f t="shared" si="691"/>
        <v>95.851168058054583</v>
      </c>
      <c r="O2349" s="64">
        <f t="shared" si="691"/>
        <v>85.494127223278028</v>
      </c>
      <c r="P2349" s="64">
        <f t="shared" si="691"/>
        <v>80.878963787333248</v>
      </c>
      <c r="Q2349" s="64">
        <f t="shared" si="691"/>
        <v>73.81225508940156</v>
      </c>
      <c r="R2349" s="64">
        <f t="shared" si="691"/>
        <v>72.943329876632646</v>
      </c>
      <c r="S2349" s="109" t="s">
        <v>2209</v>
      </c>
      <c r="T2349" s="64">
        <f>(T2348/T814)*10000</f>
        <v>68.495345887761033</v>
      </c>
      <c r="U2349" s="64">
        <f>(U2348/U814)*10000</f>
        <v>61.024499541727785</v>
      </c>
      <c r="V2349" s="109" t="s">
        <v>2209</v>
      </c>
      <c r="W2349" s="64">
        <f t="shared" ref="W2349:AJ2349" si="692">(W2348/W814)*10000</f>
        <v>52.000696500087066</v>
      </c>
      <c r="X2349" s="64">
        <f t="shared" si="692"/>
        <v>43.488617506430806</v>
      </c>
      <c r="Y2349" s="64">
        <f t="shared" si="692"/>
        <v>44.525906614500521</v>
      </c>
      <c r="Z2349" s="64">
        <f t="shared" si="692"/>
        <v>43.577571362684402</v>
      </c>
      <c r="AA2349" s="64">
        <f t="shared" si="692"/>
        <v>41.162707421455366</v>
      </c>
      <c r="AB2349" s="64">
        <f t="shared" si="692"/>
        <v>35.810657724203175</v>
      </c>
      <c r="AC2349" s="64">
        <f t="shared" si="692"/>
        <v>30.642893190849268</v>
      </c>
      <c r="AD2349" s="64">
        <f t="shared" si="692"/>
        <v>27.879655979314684</v>
      </c>
      <c r="AE2349" s="64">
        <f t="shared" si="692"/>
        <v>25.210531707816823</v>
      </c>
      <c r="AF2349" s="64">
        <f t="shared" si="692"/>
        <v>23.386703953298646</v>
      </c>
      <c r="AG2349" s="64">
        <f t="shared" si="692"/>
        <v>19.931951617810071</v>
      </c>
      <c r="AH2349" s="64">
        <f t="shared" si="692"/>
        <v>16.976982555304559</v>
      </c>
      <c r="AI2349" s="64">
        <f t="shared" si="692"/>
        <v>14.355081059707395</v>
      </c>
      <c r="AJ2349" s="64">
        <f t="shared" si="692"/>
        <v>13.846215112592397</v>
      </c>
      <c r="AK2349" s="137" t="s">
        <v>432</v>
      </c>
      <c r="AL2349" s="601" t="s">
        <v>432</v>
      </c>
      <c r="AM2349" s="137" t="s">
        <v>432</v>
      </c>
      <c r="AN2349" s="137" t="s">
        <v>432</v>
      </c>
      <c r="AO2349" s="137" t="s">
        <v>432</v>
      </c>
      <c r="AP2349" s="137" t="s">
        <v>432</v>
      </c>
      <c r="AQ2349" s="137" t="s">
        <v>432</v>
      </c>
      <c r="AR2349" s="137" t="s">
        <v>432</v>
      </c>
      <c r="AS2349" s="137" t="s">
        <v>432</v>
      </c>
      <c r="AT2349" s="137" t="s">
        <v>432</v>
      </c>
      <c r="AU2349" s="137" t="s">
        <v>432</v>
      </c>
      <c r="AV2349" s="137" t="s">
        <v>432</v>
      </c>
      <c r="AW2349" s="137" t="s">
        <v>432</v>
      </c>
      <c r="AX2349" s="137" t="s">
        <v>432</v>
      </c>
      <c r="AY2349" s="137" t="s">
        <v>432</v>
      </c>
      <c r="AZ2349" s="137" t="s">
        <v>432</v>
      </c>
      <c r="BA2349" s="137" t="s">
        <v>432</v>
      </c>
      <c r="BB2349" s="239" t="str">
        <f t="shared" si="666"/>
        <v>Acidentes de trânsitox</v>
      </c>
      <c r="BC2349" s="239" t="str">
        <f t="shared" si="667"/>
        <v>Acidentes de trânsitoxx</v>
      </c>
      <c r="BD2349" s="239" t="str">
        <f t="shared" si="668"/>
        <v>Acidentes de trânsitox</v>
      </c>
      <c r="BM2349" s="19"/>
      <c r="BN2349" s="19"/>
      <c r="BO2349" s="19"/>
    </row>
    <row r="2350" spans="1:67" s="1" customFormat="1" ht="36.75" customHeight="1" x14ac:dyDescent="0.25">
      <c r="A2350" s="275" t="str">
        <f>'Q100b-totais'!$B$64</f>
        <v>9.1</v>
      </c>
      <c r="B2350" s="1205" t="str">
        <f>'Q100b-totais'!$C$64</f>
        <v>Acidentes de trânsito</v>
      </c>
      <c r="C2350" s="57" t="s">
        <v>432</v>
      </c>
      <c r="D2350" s="323" t="s">
        <v>374</v>
      </c>
      <c r="E2350" s="1402" t="s">
        <v>1306</v>
      </c>
      <c r="F2350" s="14" t="s">
        <v>796</v>
      </c>
      <c r="G2350" s="404" t="s">
        <v>797</v>
      </c>
      <c r="H2350" s="173" t="s">
        <v>432</v>
      </c>
      <c r="I2350" s="57">
        <v>1</v>
      </c>
      <c r="J2350" s="107" t="s">
        <v>432</v>
      </c>
      <c r="K2350" s="64">
        <f t="shared" ref="K2350:R2350" si="693">(K2348/K1855)*100000</f>
        <v>226.9621084656124</v>
      </c>
      <c r="L2350" s="64">
        <f t="shared" si="693"/>
        <v>208.01265332243392</v>
      </c>
      <c r="M2350" s="64">
        <f t="shared" si="693"/>
        <v>252.06803332424849</v>
      </c>
      <c r="N2350" s="64">
        <f t="shared" si="693"/>
        <v>251.69968207385671</v>
      </c>
      <c r="O2350" s="64">
        <f t="shared" si="693"/>
        <v>236.91002680400922</v>
      </c>
      <c r="P2350" s="64">
        <f t="shared" si="693"/>
        <v>231.56205652734374</v>
      </c>
      <c r="Q2350" s="64">
        <f t="shared" si="693"/>
        <v>215.11429107530475</v>
      </c>
      <c r="R2350" s="64">
        <f t="shared" si="693"/>
        <v>215.87002831307845</v>
      </c>
      <c r="S2350" s="109" t="s">
        <v>2209</v>
      </c>
      <c r="T2350" s="64">
        <f>(T2348/T1855)*100000</f>
        <v>212.03356631198602</v>
      </c>
      <c r="U2350" s="64">
        <f>(U2348/U1855)*100000</f>
        <v>185.30050577924939</v>
      </c>
      <c r="V2350" s="109" t="s">
        <v>2209</v>
      </c>
      <c r="W2350" s="64">
        <f t="shared" ref="W2350:AJ2350" si="694">(W2348/W1855)*100000</f>
        <v>165.27740082802515</v>
      </c>
      <c r="X2350" s="64">
        <f t="shared" si="694"/>
        <v>143.05299964805809</v>
      </c>
      <c r="Y2350" s="64">
        <f t="shared" si="694"/>
        <v>152.65771884264632</v>
      </c>
      <c r="Z2350" s="64">
        <f t="shared" si="694"/>
        <v>152.34641558366417</v>
      </c>
      <c r="AA2350" s="64">
        <f t="shared" si="694"/>
        <v>149.53717990223672</v>
      </c>
      <c r="AB2350" s="64">
        <f t="shared" si="694"/>
        <v>138.96296543218108</v>
      </c>
      <c r="AC2350" s="64">
        <f t="shared" si="694"/>
        <v>129.59310582912028</v>
      </c>
      <c r="AD2350" s="64">
        <f t="shared" si="694"/>
        <v>126.79482240099365</v>
      </c>
      <c r="AE2350" s="64">
        <f t="shared" si="694"/>
        <v>125.41705451768458</v>
      </c>
      <c r="AF2350" s="64">
        <f t="shared" si="694"/>
        <v>131.19165897241902</v>
      </c>
      <c r="AG2350" s="64">
        <f t="shared" si="694"/>
        <v>119.46479770627589</v>
      </c>
      <c r="AH2350" s="64">
        <f t="shared" si="694"/>
        <v>106.81258961050344</v>
      </c>
      <c r="AI2350" s="64">
        <f t="shared" si="694"/>
        <v>91.522750603529815</v>
      </c>
      <c r="AJ2350" s="64">
        <f t="shared" si="694"/>
        <v>90.722646018299486</v>
      </c>
      <c r="AK2350" s="137" t="s">
        <v>432</v>
      </c>
      <c r="AL2350" s="601" t="s">
        <v>432</v>
      </c>
      <c r="AM2350" s="137" t="s">
        <v>432</v>
      </c>
      <c r="AN2350" s="137" t="s">
        <v>432</v>
      </c>
      <c r="AO2350" s="137" t="s">
        <v>432</v>
      </c>
      <c r="AP2350" s="137" t="s">
        <v>432</v>
      </c>
      <c r="AQ2350" s="137" t="s">
        <v>432</v>
      </c>
      <c r="AR2350" s="137" t="s">
        <v>432</v>
      </c>
      <c r="AS2350" s="137" t="s">
        <v>432</v>
      </c>
      <c r="AT2350" s="137" t="s">
        <v>432</v>
      </c>
      <c r="AU2350" s="137" t="s">
        <v>432</v>
      </c>
      <c r="AV2350" s="137" t="s">
        <v>432</v>
      </c>
      <c r="AW2350" s="137" t="s">
        <v>432</v>
      </c>
      <c r="AX2350" s="137" t="s">
        <v>432</v>
      </c>
      <c r="AY2350" s="137" t="s">
        <v>432</v>
      </c>
      <c r="AZ2350" s="137" t="s">
        <v>432</v>
      </c>
      <c r="BA2350" s="137" t="s">
        <v>432</v>
      </c>
      <c r="BB2350" s="239" t="str">
        <f t="shared" si="666"/>
        <v>Acidentes de trânsitox</v>
      </c>
      <c r="BC2350" s="239" t="str">
        <f t="shared" si="667"/>
        <v>Acidentes de trânsitoxx</v>
      </c>
      <c r="BD2350" s="239" t="str">
        <f t="shared" si="668"/>
        <v>Acidentes de trânsitox</v>
      </c>
      <c r="BM2350" s="19"/>
      <c r="BN2350" s="19"/>
      <c r="BO2350" s="19"/>
    </row>
    <row r="2351" spans="1:67" s="1" customFormat="1" ht="25.5" customHeight="1" x14ac:dyDescent="0.25">
      <c r="A2351" s="275" t="str">
        <f>'Q100b-totais'!$B$64</f>
        <v>9.1</v>
      </c>
      <c r="B2351" s="1205" t="str">
        <f>'Q100b-totais'!$C$64</f>
        <v>Acidentes de trânsito</v>
      </c>
      <c r="C2351" s="57" t="s">
        <v>432</v>
      </c>
      <c r="D2351" s="323" t="s">
        <v>375</v>
      </c>
      <c r="E2351" s="1402" t="s">
        <v>1306</v>
      </c>
      <c r="F2351" s="14" t="s">
        <v>798</v>
      </c>
      <c r="G2351" s="404" t="s">
        <v>799</v>
      </c>
      <c r="H2351" s="173" t="s">
        <v>432</v>
      </c>
      <c r="I2351" s="57">
        <v>1</v>
      </c>
      <c r="J2351" s="107" t="s">
        <v>432</v>
      </c>
      <c r="K2351" s="64">
        <f t="shared" ref="K2351:R2351" si="695">(K2348/K277)*1000</f>
        <v>134.67469525627845</v>
      </c>
      <c r="L2351" s="64">
        <f t="shared" si="695"/>
        <v>107.09752754226531</v>
      </c>
      <c r="M2351" s="64">
        <f t="shared" si="695"/>
        <v>119.38597511338529</v>
      </c>
      <c r="N2351" s="64">
        <f t="shared" si="695"/>
        <v>134.77201896131785</v>
      </c>
      <c r="O2351" s="64">
        <f t="shared" si="695"/>
        <v>126.1576776402833</v>
      </c>
      <c r="P2351" s="64">
        <f t="shared" si="695"/>
        <v>193.86733917777511</v>
      </c>
      <c r="Q2351" s="64">
        <f t="shared" si="695"/>
        <v>404.96682804375109</v>
      </c>
      <c r="R2351" s="64">
        <f t="shared" si="695"/>
        <v>408.30791315270056</v>
      </c>
      <c r="S2351" s="109" t="s">
        <v>2209</v>
      </c>
      <c r="T2351" s="64">
        <f>(T2348/T277)*1000</f>
        <v>390.77057030909884</v>
      </c>
      <c r="U2351" s="64">
        <f>(U2348/U277)*1000</f>
        <v>361.51298588112252</v>
      </c>
      <c r="V2351" s="109" t="s">
        <v>2209</v>
      </c>
      <c r="W2351" s="64">
        <f t="shared" ref="W2351:AJ2351" si="696">(W2348/W277)*1000</f>
        <v>342.13179360278616</v>
      </c>
      <c r="X2351" s="64">
        <f t="shared" si="696"/>
        <v>335.73042942264232</v>
      </c>
      <c r="Y2351" s="64">
        <f t="shared" si="696"/>
        <v>296.0719993271091</v>
      </c>
      <c r="Z2351" s="64">
        <f t="shared" si="696"/>
        <v>273.92335347663123</v>
      </c>
      <c r="AA2351" s="64">
        <f t="shared" si="696"/>
        <v>261.2917463586877</v>
      </c>
      <c r="AB2351" s="64">
        <f t="shared" si="696"/>
        <v>241.70169589795623</v>
      </c>
      <c r="AC2351" s="64">
        <f t="shared" si="696"/>
        <v>208.59182175972248</v>
      </c>
      <c r="AD2351" s="64">
        <f t="shared" si="696"/>
        <v>196.3865385838794</v>
      </c>
      <c r="AE2351" s="64">
        <f t="shared" si="696"/>
        <v>187.8243878610246</v>
      </c>
      <c r="AF2351" s="64">
        <f t="shared" si="696"/>
        <v>185.23362263702296</v>
      </c>
      <c r="AG2351" s="64">
        <f t="shared" si="696"/>
        <v>174.91101018779921</v>
      </c>
      <c r="AH2351" s="64">
        <f t="shared" si="696"/>
        <v>167.69331585845347</v>
      </c>
      <c r="AI2351" s="64">
        <f t="shared" si="696"/>
        <v>160.41003888299753</v>
      </c>
      <c r="AJ2351" s="64">
        <f t="shared" si="696"/>
        <v>151.01904443701972</v>
      </c>
      <c r="AK2351" s="137" t="s">
        <v>432</v>
      </c>
      <c r="AL2351" s="601" t="s">
        <v>432</v>
      </c>
      <c r="AM2351" s="137" t="s">
        <v>432</v>
      </c>
      <c r="AN2351" s="137" t="s">
        <v>432</v>
      </c>
      <c r="AO2351" s="137" t="s">
        <v>432</v>
      </c>
      <c r="AP2351" s="137" t="s">
        <v>432</v>
      </c>
      <c r="AQ2351" s="137" t="s">
        <v>432</v>
      </c>
      <c r="AR2351" s="137" t="s">
        <v>432</v>
      </c>
      <c r="AS2351" s="137" t="s">
        <v>432</v>
      </c>
      <c r="AT2351" s="137" t="s">
        <v>432</v>
      </c>
      <c r="AU2351" s="137" t="s">
        <v>432</v>
      </c>
      <c r="AV2351" s="137" t="s">
        <v>432</v>
      </c>
      <c r="AW2351" s="137" t="s">
        <v>432</v>
      </c>
      <c r="AX2351" s="137" t="s">
        <v>432</v>
      </c>
      <c r="AY2351" s="137" t="s">
        <v>432</v>
      </c>
      <c r="AZ2351" s="137" t="s">
        <v>432</v>
      </c>
      <c r="BA2351" s="137" t="s">
        <v>432</v>
      </c>
      <c r="BB2351" s="239" t="str">
        <f t="shared" si="666"/>
        <v>Acidentes de trânsitox</v>
      </c>
      <c r="BC2351" s="239" t="str">
        <f t="shared" si="667"/>
        <v>Acidentes de trânsitoxx</v>
      </c>
      <c r="BD2351" s="239" t="str">
        <f t="shared" si="668"/>
        <v>Acidentes de trânsitox</v>
      </c>
      <c r="BM2351" s="19"/>
      <c r="BN2351" s="19"/>
      <c r="BO2351" s="19"/>
    </row>
    <row r="2352" spans="1:67" s="3" customFormat="1" ht="38.25" x14ac:dyDescent="0.25">
      <c r="A2352" s="262" t="str">
        <f>'Q100b-totais'!B22</f>
        <v>2.7</v>
      </c>
      <c r="B2352" s="252" t="str">
        <f>'Q100b-totais'!C22</f>
        <v>Outras cidades/regiões</v>
      </c>
      <c r="C2352" s="167" t="s">
        <v>743</v>
      </c>
      <c r="D2352" s="1323" t="s">
        <v>3028</v>
      </c>
      <c r="E2352" s="1499" t="s">
        <v>3028</v>
      </c>
      <c r="F2352" s="252" t="s">
        <v>4259</v>
      </c>
      <c r="G2352" s="230" t="s">
        <v>3507</v>
      </c>
      <c r="H2352" s="167" t="s">
        <v>2408</v>
      </c>
      <c r="I2352" s="167" t="s">
        <v>432</v>
      </c>
      <c r="J2352" s="107" t="s">
        <v>432</v>
      </c>
      <c r="K2352" s="107" t="s">
        <v>432</v>
      </c>
      <c r="L2352" s="107" t="s">
        <v>432</v>
      </c>
      <c r="M2352" s="107" t="s">
        <v>432</v>
      </c>
      <c r="N2352" s="107" t="s">
        <v>432</v>
      </c>
      <c r="O2352" s="107" t="s">
        <v>432</v>
      </c>
      <c r="P2352" s="107" t="s">
        <v>432</v>
      </c>
      <c r="Q2352" s="107" t="s">
        <v>432</v>
      </c>
      <c r="R2352" s="107" t="s">
        <v>432</v>
      </c>
      <c r="S2352" s="109" t="s">
        <v>2209</v>
      </c>
      <c r="T2352" s="107" t="s">
        <v>432</v>
      </c>
      <c r="U2352" s="107" t="s">
        <v>432</v>
      </c>
      <c r="V2352" s="109" t="s">
        <v>2209</v>
      </c>
      <c r="W2352" s="107" t="s">
        <v>432</v>
      </c>
      <c r="X2352" s="107" t="s">
        <v>432</v>
      </c>
      <c r="Y2352" s="107" t="s">
        <v>432</v>
      </c>
      <c r="Z2352" s="107" t="s">
        <v>432</v>
      </c>
      <c r="AA2352" s="107" t="s">
        <v>432</v>
      </c>
      <c r="AB2352" s="107" t="s">
        <v>432</v>
      </c>
      <c r="AC2352" s="107" t="s">
        <v>432</v>
      </c>
      <c r="AD2352" s="107" t="s">
        <v>432</v>
      </c>
      <c r="AE2352" s="107" t="s">
        <v>432</v>
      </c>
      <c r="AF2352" s="107" t="s">
        <v>432</v>
      </c>
      <c r="AG2352" s="107" t="s">
        <v>432</v>
      </c>
      <c r="AH2352" s="107" t="s">
        <v>432</v>
      </c>
      <c r="AI2352" s="107" t="s">
        <v>432</v>
      </c>
      <c r="AJ2352" s="107" t="s">
        <v>432</v>
      </c>
      <c r="AK2352" s="107" t="s">
        <v>432</v>
      </c>
      <c r="AL2352" s="601" t="s">
        <v>432</v>
      </c>
      <c r="AM2352" s="137" t="s">
        <v>432</v>
      </c>
      <c r="AN2352" s="137" t="s">
        <v>432</v>
      </c>
      <c r="AO2352" s="137" t="s">
        <v>432</v>
      </c>
      <c r="AP2352" s="137" t="s">
        <v>432</v>
      </c>
      <c r="AQ2352" s="137" t="s">
        <v>432</v>
      </c>
      <c r="AR2352" s="137" t="s">
        <v>432</v>
      </c>
      <c r="AS2352" s="137" t="s">
        <v>432</v>
      </c>
      <c r="AT2352" s="137" t="s">
        <v>432</v>
      </c>
      <c r="AU2352" s="137" t="s">
        <v>432</v>
      </c>
      <c r="AV2352" s="137" t="s">
        <v>432</v>
      </c>
      <c r="AW2352" s="137" t="s">
        <v>432</v>
      </c>
      <c r="AX2352" s="137" t="s">
        <v>432</v>
      </c>
      <c r="AY2352" s="137" t="s">
        <v>432</v>
      </c>
      <c r="AZ2352" s="137" t="s">
        <v>432</v>
      </c>
      <c r="BA2352" s="137" t="s">
        <v>432</v>
      </c>
      <c r="BB2352" s="239" t="str">
        <f>B2352&amp;C2352</f>
        <v>Outras cidades/regiõesacessibilidade</v>
      </c>
      <c r="BC2352" s="239" t="str">
        <f>B2352&amp;C2352&amp;H2352</f>
        <v>Outras cidades/regiõesacessibilidadesigla/verbete</v>
      </c>
      <c r="BD2352" s="239" t="str">
        <f>B2352&amp;H2352</f>
        <v>Outras cidades/regiõessigla/verbete</v>
      </c>
    </row>
    <row r="2353" spans="1:67" s="3" customFormat="1" ht="31.5" x14ac:dyDescent="0.25">
      <c r="A2353" s="262" t="str">
        <f>'Q100b-totais'!B21</f>
        <v>2.6</v>
      </c>
      <c r="B2353" s="252" t="str">
        <f>'Q100b-totais'!C21</f>
        <v>Cidades da RMBH</v>
      </c>
      <c r="C2353" s="167" t="s">
        <v>432</v>
      </c>
      <c r="D2353" s="323" t="s">
        <v>1765</v>
      </c>
      <c r="E2353" s="1491" t="s">
        <v>1765</v>
      </c>
      <c r="F2353" s="468" t="str">
        <f>pend!C214</f>
        <v>município da RMBH (faltando completar)</v>
      </c>
      <c r="G2353" s="230" t="s">
        <v>3507</v>
      </c>
      <c r="H2353" s="167" t="s">
        <v>2408</v>
      </c>
      <c r="I2353" s="167" t="s">
        <v>432</v>
      </c>
      <c r="J2353" s="107" t="s">
        <v>432</v>
      </c>
      <c r="K2353" s="107" t="s">
        <v>432</v>
      </c>
      <c r="L2353" s="107" t="s">
        <v>432</v>
      </c>
      <c r="M2353" s="107" t="s">
        <v>432</v>
      </c>
      <c r="N2353" s="107" t="s">
        <v>432</v>
      </c>
      <c r="O2353" s="107" t="s">
        <v>432</v>
      </c>
      <c r="P2353" s="107" t="s">
        <v>432</v>
      </c>
      <c r="Q2353" s="107" t="s">
        <v>432</v>
      </c>
      <c r="R2353" s="107" t="s">
        <v>432</v>
      </c>
      <c r="S2353" s="109" t="s">
        <v>2209</v>
      </c>
      <c r="T2353" s="107" t="s">
        <v>432</v>
      </c>
      <c r="U2353" s="107" t="s">
        <v>432</v>
      </c>
      <c r="V2353" s="109" t="s">
        <v>2209</v>
      </c>
      <c r="W2353" s="107" t="s">
        <v>432</v>
      </c>
      <c r="X2353" s="107" t="s">
        <v>432</v>
      </c>
      <c r="Y2353" s="107" t="s">
        <v>432</v>
      </c>
      <c r="Z2353" s="107" t="s">
        <v>432</v>
      </c>
      <c r="AA2353" s="107" t="s">
        <v>432</v>
      </c>
      <c r="AB2353" s="107" t="s">
        <v>432</v>
      </c>
      <c r="AC2353" s="107" t="s">
        <v>432</v>
      </c>
      <c r="AD2353" s="107" t="s">
        <v>432</v>
      </c>
      <c r="AE2353" s="107" t="s">
        <v>432</v>
      </c>
      <c r="AF2353" s="107" t="s">
        <v>432</v>
      </c>
      <c r="AG2353" s="107" t="s">
        <v>432</v>
      </c>
      <c r="AH2353" s="107" t="s">
        <v>432</v>
      </c>
      <c r="AI2353" s="107" t="s">
        <v>432</v>
      </c>
      <c r="AJ2353" s="107" t="s">
        <v>432</v>
      </c>
      <c r="AK2353" s="107" t="s">
        <v>432</v>
      </c>
      <c r="AL2353" s="601" t="s">
        <v>432</v>
      </c>
      <c r="AM2353" s="137" t="s">
        <v>432</v>
      </c>
      <c r="AN2353" s="137" t="s">
        <v>432</v>
      </c>
      <c r="AO2353" s="137" t="s">
        <v>432</v>
      </c>
      <c r="AP2353" s="137" t="s">
        <v>432</v>
      </c>
      <c r="AQ2353" s="137" t="s">
        <v>432</v>
      </c>
      <c r="AR2353" s="137" t="s">
        <v>432</v>
      </c>
      <c r="AS2353" s="137" t="s">
        <v>432</v>
      </c>
      <c r="AT2353" s="137" t="s">
        <v>432</v>
      </c>
      <c r="AU2353" s="137" t="s">
        <v>432</v>
      </c>
      <c r="AV2353" s="137" t="s">
        <v>432</v>
      </c>
      <c r="AW2353" s="137" t="s">
        <v>432</v>
      </c>
      <c r="AX2353" s="137" t="s">
        <v>432</v>
      </c>
      <c r="AY2353" s="137" t="s">
        <v>432</v>
      </c>
      <c r="AZ2353" s="137" t="s">
        <v>432</v>
      </c>
      <c r="BA2353" s="137" t="s">
        <v>432</v>
      </c>
      <c r="BB2353" s="239" t="str">
        <f t="shared" ref="BB2353" si="697">B2353&amp;C2353</f>
        <v>Cidades da RMBHx</v>
      </c>
      <c r="BC2353" s="239" t="str">
        <f t="shared" ref="BC2353" si="698">B2353&amp;C2353&amp;H2353</f>
        <v>Cidades da RMBHxsigla/verbete</v>
      </c>
      <c r="BD2353" s="239" t="str">
        <f t="shared" ref="BD2353" si="699">B2353&amp;H2353</f>
        <v>Cidades da RMBHsigla/verbete</v>
      </c>
    </row>
    <row r="2354" spans="1:67" s="1" customFormat="1" ht="25.5" x14ac:dyDescent="0.25">
      <c r="A2354" s="275" t="str">
        <f>'Q100b-totais'!B57</f>
        <v>8.5</v>
      </c>
      <c r="B2354" s="1205" t="str">
        <f>'Q100b-totais'!C57</f>
        <v>Transporte convencional</v>
      </c>
      <c r="C2354" s="57" t="s">
        <v>432</v>
      </c>
      <c r="D2354" s="323" t="s">
        <v>2267</v>
      </c>
      <c r="E2354" s="1402" t="s">
        <v>1306</v>
      </c>
      <c r="F2354" s="14" t="s">
        <v>3051</v>
      </c>
      <c r="G2354" s="409" t="s">
        <v>77</v>
      </c>
      <c r="H2354" s="173" t="s">
        <v>432</v>
      </c>
      <c r="I2354" s="57">
        <v>1</v>
      </c>
      <c r="J2354" s="107" t="s">
        <v>432</v>
      </c>
      <c r="K2354" s="107" t="s">
        <v>432</v>
      </c>
      <c r="L2354" s="107" t="s">
        <v>432</v>
      </c>
      <c r="M2354" s="625">
        <v>0.34</v>
      </c>
      <c r="N2354" s="625">
        <v>0.34</v>
      </c>
      <c r="O2354" s="625">
        <v>0.46</v>
      </c>
      <c r="P2354" s="624" t="s">
        <v>1370</v>
      </c>
      <c r="Q2354" s="624" t="s">
        <v>1370</v>
      </c>
      <c r="R2354" s="624" t="s">
        <v>1370</v>
      </c>
      <c r="S2354" s="109" t="s">
        <v>2209</v>
      </c>
      <c r="T2354" s="624" t="s">
        <v>1370</v>
      </c>
      <c r="U2354" s="624" t="s">
        <v>1370</v>
      </c>
      <c r="V2354" s="109" t="s">
        <v>2209</v>
      </c>
      <c r="W2354" s="624" t="s">
        <v>1370</v>
      </c>
      <c r="X2354" s="624" t="s">
        <v>1370</v>
      </c>
      <c r="Y2354" s="624" t="s">
        <v>1370</v>
      </c>
      <c r="Z2354" s="624" t="s">
        <v>1370</v>
      </c>
      <c r="AA2354" s="624" t="s">
        <v>1370</v>
      </c>
      <c r="AB2354" s="624" t="s">
        <v>1370</v>
      </c>
      <c r="AC2354" s="624" t="s">
        <v>1370</v>
      </c>
      <c r="AD2354" s="624" t="s">
        <v>1370</v>
      </c>
      <c r="AE2354" s="624" t="s">
        <v>1370</v>
      </c>
      <c r="AF2354" s="624" t="s">
        <v>1370</v>
      </c>
      <c r="AG2354" s="624" t="s">
        <v>1370</v>
      </c>
      <c r="AH2354" s="624" t="s">
        <v>1370</v>
      </c>
      <c r="AI2354" s="624" t="s">
        <v>1370</v>
      </c>
      <c r="AJ2354" s="624" t="s">
        <v>1370</v>
      </c>
      <c r="AK2354" s="624" t="s">
        <v>1370</v>
      </c>
      <c r="AL2354" s="601"/>
      <c r="AM2354" s="137" t="s">
        <v>432</v>
      </c>
      <c r="AN2354" s="137" t="s">
        <v>432</v>
      </c>
      <c r="AO2354" s="137" t="s">
        <v>432</v>
      </c>
      <c r="AP2354" s="137" t="s">
        <v>432</v>
      </c>
      <c r="AQ2354" s="137" t="s">
        <v>432</v>
      </c>
      <c r="AR2354" s="137" t="s">
        <v>432</v>
      </c>
      <c r="AS2354" s="137" t="s">
        <v>432</v>
      </c>
      <c r="AT2354" s="137" t="s">
        <v>432</v>
      </c>
      <c r="AU2354" s="137" t="s">
        <v>432</v>
      </c>
      <c r="AV2354" s="137" t="s">
        <v>432</v>
      </c>
      <c r="AW2354" s="137" t="s">
        <v>432</v>
      </c>
      <c r="AX2354" s="137" t="s">
        <v>432</v>
      </c>
      <c r="AY2354" s="137" t="s">
        <v>432</v>
      </c>
      <c r="AZ2354" s="137" t="s">
        <v>432</v>
      </c>
      <c r="BA2354" s="137" t="s">
        <v>432</v>
      </c>
      <c r="BB2354" s="239" t="str">
        <f>B2354&amp;C2354</f>
        <v>Transporte convencionalx</v>
      </c>
      <c r="BC2354" s="239" t="str">
        <f>B2354&amp;C2354&amp;H2354</f>
        <v>Transporte convencionalxx</v>
      </c>
      <c r="BD2354" s="239" t="str">
        <f>B2354&amp;H2354</f>
        <v>Transporte convencionalx</v>
      </c>
      <c r="BM2354" s="614"/>
      <c r="BN2354" s="614"/>
      <c r="BO2354" s="614"/>
    </row>
    <row r="2355" spans="1:67" s="1" customFormat="1" ht="25.5" x14ac:dyDescent="0.25">
      <c r="A2355" s="262" t="str">
        <f>'Q100b-totais'!B56</f>
        <v>8.4</v>
      </c>
      <c r="B2355" s="252" t="str">
        <f>'Q100b-totais'!C56</f>
        <v>Táxi</v>
      </c>
      <c r="C2355" s="230" t="s">
        <v>432</v>
      </c>
      <c r="D2355" s="323" t="s">
        <v>376</v>
      </c>
      <c r="E2355" s="1496" t="s">
        <v>432</v>
      </c>
      <c r="F2355" s="11" t="s">
        <v>4683</v>
      </c>
      <c r="G2355" s="230" t="s">
        <v>3507</v>
      </c>
      <c r="H2355" s="167" t="s">
        <v>2408</v>
      </c>
      <c r="I2355" s="167" t="s">
        <v>432</v>
      </c>
      <c r="J2355" s="109" t="s">
        <v>432</v>
      </c>
      <c r="K2355" s="109" t="s">
        <v>432</v>
      </c>
      <c r="L2355" s="109" t="s">
        <v>432</v>
      </c>
      <c r="M2355" s="109" t="s">
        <v>432</v>
      </c>
      <c r="N2355" s="109" t="s">
        <v>432</v>
      </c>
      <c r="O2355" s="109" t="s">
        <v>432</v>
      </c>
      <c r="P2355" s="109" t="s">
        <v>432</v>
      </c>
      <c r="Q2355" s="109" t="s">
        <v>432</v>
      </c>
      <c r="R2355" s="109" t="s">
        <v>432</v>
      </c>
      <c r="S2355" s="109" t="s">
        <v>2209</v>
      </c>
      <c r="T2355" s="109" t="s">
        <v>432</v>
      </c>
      <c r="U2355" s="109" t="s">
        <v>432</v>
      </c>
      <c r="V2355" s="109" t="s">
        <v>2209</v>
      </c>
      <c r="W2355" s="109" t="s">
        <v>432</v>
      </c>
      <c r="X2355" s="109" t="s">
        <v>432</v>
      </c>
      <c r="Y2355" s="109" t="s">
        <v>432</v>
      </c>
      <c r="Z2355" s="109" t="s">
        <v>432</v>
      </c>
      <c r="AA2355" s="109" t="s">
        <v>432</v>
      </c>
      <c r="AB2355" s="109" t="s">
        <v>432</v>
      </c>
      <c r="AC2355" s="109" t="s">
        <v>432</v>
      </c>
      <c r="AD2355" s="109" t="s">
        <v>432</v>
      </c>
      <c r="AE2355" s="109" t="s">
        <v>432</v>
      </c>
      <c r="AF2355" s="109" t="s">
        <v>432</v>
      </c>
      <c r="AG2355" s="109" t="s">
        <v>432</v>
      </c>
      <c r="AH2355" s="109" t="s">
        <v>432</v>
      </c>
      <c r="AI2355" s="109" t="s">
        <v>432</v>
      </c>
      <c r="AJ2355" s="109" t="s">
        <v>432</v>
      </c>
      <c r="AK2355" s="137" t="s">
        <v>432</v>
      </c>
      <c r="AL2355" s="601" t="s">
        <v>432</v>
      </c>
      <c r="AM2355" s="137" t="s">
        <v>432</v>
      </c>
      <c r="AN2355" s="137" t="s">
        <v>432</v>
      </c>
      <c r="AO2355" s="137" t="s">
        <v>432</v>
      </c>
      <c r="AP2355" s="137" t="s">
        <v>432</v>
      </c>
      <c r="AQ2355" s="137" t="s">
        <v>432</v>
      </c>
      <c r="AR2355" s="137" t="s">
        <v>432</v>
      </c>
      <c r="AS2355" s="137" t="s">
        <v>432</v>
      </c>
      <c r="AT2355" s="137" t="s">
        <v>432</v>
      </c>
      <c r="AU2355" s="137" t="s">
        <v>432</v>
      </c>
      <c r="AV2355" s="137" t="s">
        <v>432</v>
      </c>
      <c r="AW2355" s="137" t="s">
        <v>432</v>
      </c>
      <c r="AX2355" s="137" t="s">
        <v>432</v>
      </c>
      <c r="AY2355" s="137" t="s">
        <v>432</v>
      </c>
      <c r="AZ2355" s="137" t="s">
        <v>432</v>
      </c>
      <c r="BA2355" s="137" t="s">
        <v>432</v>
      </c>
      <c r="BB2355" s="239" t="str">
        <f t="shared" ref="BB2355:BB2422" si="700">B2355&amp;C2355</f>
        <v>Táxix</v>
      </c>
      <c r="BC2355" s="239" t="str">
        <f t="shared" ref="BC2355:BC2422" si="701">B2355&amp;C2355&amp;H2355</f>
        <v>Táxixsigla/verbete</v>
      </c>
      <c r="BD2355" s="239" t="str">
        <f t="shared" ref="BD2355:BD2422" si="702">B2355&amp;H2355</f>
        <v>Táxisigla/verbete</v>
      </c>
      <c r="BM2355" s="176"/>
      <c r="BN2355" s="176"/>
      <c r="BO2355" s="176"/>
    </row>
    <row r="2356" spans="1:67" s="1" customFormat="1" ht="25.5" x14ac:dyDescent="0.25">
      <c r="A2356" s="262" t="str">
        <f>'Q100b-totais'!B56</f>
        <v>8.4</v>
      </c>
      <c r="B2356" s="252" t="str">
        <f>'Q100b-totais'!C56</f>
        <v>Táxi</v>
      </c>
      <c r="C2356" s="230" t="s">
        <v>743</v>
      </c>
      <c r="D2356" s="323" t="s">
        <v>4679</v>
      </c>
      <c r="E2356" s="1496" t="s">
        <v>1306</v>
      </c>
      <c r="F2356" s="1205" t="s">
        <v>4706</v>
      </c>
      <c r="G2356" s="230" t="s">
        <v>3507</v>
      </c>
      <c r="H2356" s="167" t="s">
        <v>2408</v>
      </c>
      <c r="I2356" s="167" t="s">
        <v>432</v>
      </c>
      <c r="J2356" s="109" t="s">
        <v>432</v>
      </c>
      <c r="K2356" s="109" t="s">
        <v>432</v>
      </c>
      <c r="L2356" s="109" t="s">
        <v>432</v>
      </c>
      <c r="M2356" s="109" t="s">
        <v>432</v>
      </c>
      <c r="N2356" s="109" t="s">
        <v>432</v>
      </c>
      <c r="O2356" s="109" t="s">
        <v>432</v>
      </c>
      <c r="P2356" s="109" t="s">
        <v>432</v>
      </c>
      <c r="Q2356" s="109" t="s">
        <v>432</v>
      </c>
      <c r="R2356" s="109" t="s">
        <v>432</v>
      </c>
      <c r="S2356" s="109" t="s">
        <v>2209</v>
      </c>
      <c r="T2356" s="109" t="s">
        <v>432</v>
      </c>
      <c r="U2356" s="109" t="s">
        <v>432</v>
      </c>
      <c r="V2356" s="109" t="s">
        <v>2209</v>
      </c>
      <c r="W2356" s="109" t="s">
        <v>432</v>
      </c>
      <c r="X2356" s="109" t="s">
        <v>432</v>
      </c>
      <c r="Y2356" s="109" t="s">
        <v>432</v>
      </c>
      <c r="Z2356" s="109" t="s">
        <v>432</v>
      </c>
      <c r="AA2356" s="109" t="s">
        <v>432</v>
      </c>
      <c r="AB2356" s="109" t="s">
        <v>432</v>
      </c>
      <c r="AC2356" s="109" t="s">
        <v>432</v>
      </c>
      <c r="AD2356" s="109" t="s">
        <v>432</v>
      </c>
      <c r="AE2356" s="109" t="s">
        <v>432</v>
      </c>
      <c r="AF2356" s="109" t="s">
        <v>432</v>
      </c>
      <c r="AG2356" s="109" t="s">
        <v>432</v>
      </c>
      <c r="AH2356" s="109" t="s">
        <v>432</v>
      </c>
      <c r="AI2356" s="109" t="s">
        <v>432</v>
      </c>
      <c r="AJ2356" s="109" t="s">
        <v>432</v>
      </c>
      <c r="AK2356" s="137" t="s">
        <v>432</v>
      </c>
      <c r="AL2356" s="601" t="s">
        <v>432</v>
      </c>
      <c r="AM2356" s="137" t="s">
        <v>432</v>
      </c>
      <c r="AN2356" s="137" t="s">
        <v>432</v>
      </c>
      <c r="AO2356" s="137" t="s">
        <v>432</v>
      </c>
      <c r="AP2356" s="137" t="s">
        <v>432</v>
      </c>
      <c r="AQ2356" s="137" t="s">
        <v>432</v>
      </c>
      <c r="AR2356" s="137" t="s">
        <v>432</v>
      </c>
      <c r="AS2356" s="137" t="s">
        <v>432</v>
      </c>
      <c r="AT2356" s="137" t="s">
        <v>432</v>
      </c>
      <c r="AU2356" s="137" t="s">
        <v>432</v>
      </c>
      <c r="AV2356" s="137" t="s">
        <v>432</v>
      </c>
      <c r="AW2356" s="137" t="s">
        <v>432</v>
      </c>
      <c r="AX2356" s="137" t="s">
        <v>432</v>
      </c>
      <c r="AY2356" s="137" t="s">
        <v>432</v>
      </c>
      <c r="AZ2356" s="137" t="s">
        <v>432</v>
      </c>
      <c r="BA2356" s="137" t="s">
        <v>432</v>
      </c>
      <c r="BB2356" s="239" t="str">
        <f t="shared" si="700"/>
        <v>Táxiacessibilidade</v>
      </c>
      <c r="BC2356" s="239" t="str">
        <f t="shared" si="701"/>
        <v>Táxiacessibilidadesigla/verbete</v>
      </c>
      <c r="BD2356" s="239" t="str">
        <f t="shared" si="702"/>
        <v>Táxisigla/verbete</v>
      </c>
      <c r="BM2356" s="1357"/>
      <c r="BN2356" s="1357"/>
      <c r="BO2356" s="1357"/>
    </row>
    <row r="2357" spans="1:67" s="1" customFormat="1" ht="87" customHeight="1" x14ac:dyDescent="0.25">
      <c r="A2357" s="262" t="str">
        <f>'Q100b-totais'!B56</f>
        <v>8.4</v>
      </c>
      <c r="B2357" s="252" t="str">
        <f>'Q100b-totais'!C56</f>
        <v>Táxi</v>
      </c>
      <c r="C2357" s="230" t="s">
        <v>743</v>
      </c>
      <c r="D2357" s="323" t="s">
        <v>4679</v>
      </c>
      <c r="E2357" s="1496" t="s">
        <v>1767</v>
      </c>
      <c r="F2357" s="1205" t="s">
        <v>4680</v>
      </c>
      <c r="G2357" s="230" t="s">
        <v>3507</v>
      </c>
      <c r="H2357" s="167" t="s">
        <v>2408</v>
      </c>
      <c r="I2357" s="167" t="s">
        <v>432</v>
      </c>
      <c r="J2357" s="109" t="s">
        <v>432</v>
      </c>
      <c r="K2357" s="109" t="s">
        <v>432</v>
      </c>
      <c r="L2357" s="109" t="s">
        <v>432</v>
      </c>
      <c r="M2357" s="109" t="s">
        <v>432</v>
      </c>
      <c r="N2357" s="109" t="s">
        <v>432</v>
      </c>
      <c r="O2357" s="109" t="s">
        <v>432</v>
      </c>
      <c r="P2357" s="109" t="s">
        <v>432</v>
      </c>
      <c r="Q2357" s="109" t="s">
        <v>432</v>
      </c>
      <c r="R2357" s="109" t="s">
        <v>432</v>
      </c>
      <c r="S2357" s="109" t="s">
        <v>2209</v>
      </c>
      <c r="T2357" s="109" t="s">
        <v>432</v>
      </c>
      <c r="U2357" s="109" t="s">
        <v>432</v>
      </c>
      <c r="V2357" s="109" t="s">
        <v>2209</v>
      </c>
      <c r="W2357" s="109" t="s">
        <v>432</v>
      </c>
      <c r="X2357" s="109" t="s">
        <v>432</v>
      </c>
      <c r="Y2357" s="109" t="s">
        <v>432</v>
      </c>
      <c r="Z2357" s="109" t="s">
        <v>432</v>
      </c>
      <c r="AA2357" s="109" t="s">
        <v>432</v>
      </c>
      <c r="AB2357" s="109" t="s">
        <v>432</v>
      </c>
      <c r="AC2357" s="109" t="s">
        <v>432</v>
      </c>
      <c r="AD2357" s="109" t="s">
        <v>432</v>
      </c>
      <c r="AE2357" s="109" t="s">
        <v>432</v>
      </c>
      <c r="AF2357" s="109" t="s">
        <v>432</v>
      </c>
      <c r="AG2357" s="109" t="s">
        <v>432</v>
      </c>
      <c r="AH2357" s="109" t="s">
        <v>432</v>
      </c>
      <c r="AI2357" s="109" t="s">
        <v>432</v>
      </c>
      <c r="AJ2357" s="109" t="s">
        <v>432</v>
      </c>
      <c r="AK2357" s="137" t="s">
        <v>432</v>
      </c>
      <c r="AL2357" s="601" t="s">
        <v>432</v>
      </c>
      <c r="AM2357" s="137" t="s">
        <v>432</v>
      </c>
      <c r="AN2357" s="137" t="s">
        <v>432</v>
      </c>
      <c r="AO2357" s="137" t="s">
        <v>432</v>
      </c>
      <c r="AP2357" s="137" t="s">
        <v>432</v>
      </c>
      <c r="AQ2357" s="137" t="s">
        <v>432</v>
      </c>
      <c r="AR2357" s="137" t="s">
        <v>432</v>
      </c>
      <c r="AS2357" s="137" t="s">
        <v>432</v>
      </c>
      <c r="AT2357" s="137" t="s">
        <v>432</v>
      </c>
      <c r="AU2357" s="137" t="s">
        <v>432</v>
      </c>
      <c r="AV2357" s="137" t="s">
        <v>432</v>
      </c>
      <c r="AW2357" s="137" t="s">
        <v>432</v>
      </c>
      <c r="AX2357" s="137" t="s">
        <v>432</v>
      </c>
      <c r="AY2357" s="137" t="s">
        <v>432</v>
      </c>
      <c r="AZ2357" s="137" t="s">
        <v>432</v>
      </c>
      <c r="BA2357" s="137" t="s">
        <v>432</v>
      </c>
      <c r="BB2357" s="239" t="str">
        <f t="shared" ref="BB2357:BB2363" si="703">B2357&amp;C2357</f>
        <v>Táxiacessibilidade</v>
      </c>
      <c r="BC2357" s="239" t="str">
        <f t="shared" ref="BC2357:BC2363" si="704">B2357&amp;C2357&amp;H2357</f>
        <v>Táxiacessibilidadesigla/verbete</v>
      </c>
      <c r="BD2357" s="239" t="str">
        <f t="shared" ref="BD2357:BD2363" si="705">B2357&amp;H2357</f>
        <v>Táxisigla/verbete</v>
      </c>
      <c r="BM2357" s="1357"/>
      <c r="BN2357" s="1357"/>
      <c r="BO2357" s="1357"/>
    </row>
    <row r="2358" spans="1:67" s="1" customFormat="1" ht="39.75" customHeight="1" x14ac:dyDescent="0.25">
      <c r="A2358" s="262" t="str">
        <f>'Q100b-totais'!B56</f>
        <v>8.4</v>
      </c>
      <c r="B2358" s="252" t="str">
        <f>'Q100b-totais'!C56</f>
        <v>Táxi</v>
      </c>
      <c r="C2358" s="230" t="s">
        <v>743</v>
      </c>
      <c r="D2358" s="323" t="s">
        <v>4681</v>
      </c>
      <c r="E2358" s="1496" t="s">
        <v>1767</v>
      </c>
      <c r="F2358" s="1205" t="s">
        <v>4682</v>
      </c>
      <c r="G2358" s="167" t="s">
        <v>3925</v>
      </c>
      <c r="H2358" s="167" t="s">
        <v>765</v>
      </c>
      <c r="I2358" s="167" t="s">
        <v>432</v>
      </c>
      <c r="J2358" s="109" t="s">
        <v>432</v>
      </c>
      <c r="K2358" s="109" t="s">
        <v>432</v>
      </c>
      <c r="L2358" s="109" t="s">
        <v>432</v>
      </c>
      <c r="M2358" s="109" t="s">
        <v>432</v>
      </c>
      <c r="N2358" s="109" t="s">
        <v>432</v>
      </c>
      <c r="O2358" s="109" t="s">
        <v>432</v>
      </c>
      <c r="P2358" s="109" t="s">
        <v>432</v>
      </c>
      <c r="Q2358" s="109" t="s">
        <v>432</v>
      </c>
      <c r="R2358" s="109" t="s">
        <v>432</v>
      </c>
      <c r="S2358" s="109" t="s">
        <v>2209</v>
      </c>
      <c r="T2358" s="109" t="s">
        <v>432</v>
      </c>
      <c r="U2358" s="109" t="s">
        <v>432</v>
      </c>
      <c r="V2358" s="109" t="s">
        <v>2209</v>
      </c>
      <c r="W2358" s="109" t="s">
        <v>432</v>
      </c>
      <c r="X2358" s="109" t="s">
        <v>432</v>
      </c>
      <c r="Y2358" s="109" t="s">
        <v>432</v>
      </c>
      <c r="Z2358" s="109" t="s">
        <v>432</v>
      </c>
      <c r="AA2358" s="109" t="s">
        <v>432</v>
      </c>
      <c r="AB2358" s="109" t="s">
        <v>432</v>
      </c>
      <c r="AC2358" s="109" t="s">
        <v>432</v>
      </c>
      <c r="AD2358" s="109" t="s">
        <v>432</v>
      </c>
      <c r="AE2358" s="109" t="s">
        <v>432</v>
      </c>
      <c r="AF2358" s="109" t="s">
        <v>432</v>
      </c>
      <c r="AG2358" s="109" t="s">
        <v>432</v>
      </c>
      <c r="AH2358" s="109" t="s">
        <v>432</v>
      </c>
      <c r="AI2358" s="109" t="s">
        <v>432</v>
      </c>
      <c r="AJ2358" s="109" t="s">
        <v>432</v>
      </c>
      <c r="AK2358" s="137" t="s">
        <v>432</v>
      </c>
      <c r="AL2358" s="601" t="s">
        <v>432</v>
      </c>
      <c r="AM2358" s="137" t="s">
        <v>432</v>
      </c>
      <c r="AN2358" s="137" t="s">
        <v>432</v>
      </c>
      <c r="AO2358" s="137" t="s">
        <v>432</v>
      </c>
      <c r="AP2358" s="137" t="s">
        <v>432</v>
      </c>
      <c r="AQ2358" s="137" t="s">
        <v>432</v>
      </c>
      <c r="AR2358" s="137" t="s">
        <v>432</v>
      </c>
      <c r="AS2358" s="137" t="s">
        <v>432</v>
      </c>
      <c r="AT2358" s="137" t="s">
        <v>432</v>
      </c>
      <c r="AU2358" s="137" t="s">
        <v>432</v>
      </c>
      <c r="AV2358" s="137" t="s">
        <v>432</v>
      </c>
      <c r="AW2358" s="137" t="s">
        <v>432</v>
      </c>
      <c r="AX2358" s="137" t="s">
        <v>432</v>
      </c>
      <c r="AY2358" s="137" t="s">
        <v>432</v>
      </c>
      <c r="AZ2358" s="137" t="s">
        <v>432</v>
      </c>
      <c r="BA2358" s="137" t="s">
        <v>432</v>
      </c>
      <c r="BB2358" s="239" t="str">
        <f t="shared" si="703"/>
        <v>Táxiacessibilidade</v>
      </c>
      <c r="BC2358" s="239" t="str">
        <f t="shared" si="704"/>
        <v>Táxiacessibilidademeta/RPI</v>
      </c>
      <c r="BD2358" s="239" t="str">
        <f t="shared" si="705"/>
        <v>Táximeta/RPI</v>
      </c>
      <c r="BM2358" s="1357"/>
      <c r="BN2358" s="1357"/>
      <c r="BO2358" s="1357"/>
    </row>
    <row r="2359" spans="1:67" s="1" customFormat="1" ht="87" customHeight="1" x14ac:dyDescent="0.25">
      <c r="A2359" s="262" t="str">
        <f>'Q100b-totais'!B56</f>
        <v>8.4</v>
      </c>
      <c r="B2359" s="252" t="str">
        <f>'Q100b-totais'!C56</f>
        <v>Táxi</v>
      </c>
      <c r="C2359" s="230" t="s">
        <v>743</v>
      </c>
      <c r="D2359" s="323" t="s">
        <v>4679</v>
      </c>
      <c r="E2359" s="1496" t="s">
        <v>1769</v>
      </c>
      <c r="F2359" s="1205" t="s">
        <v>5958</v>
      </c>
      <c r="G2359" s="230" t="s">
        <v>3507</v>
      </c>
      <c r="H2359" s="167" t="s">
        <v>2408</v>
      </c>
      <c r="I2359" s="167" t="s">
        <v>432</v>
      </c>
      <c r="J2359" s="109" t="s">
        <v>432</v>
      </c>
      <c r="K2359" s="109" t="s">
        <v>432</v>
      </c>
      <c r="L2359" s="109" t="s">
        <v>432</v>
      </c>
      <c r="M2359" s="109" t="s">
        <v>432</v>
      </c>
      <c r="N2359" s="109" t="s">
        <v>432</v>
      </c>
      <c r="O2359" s="109" t="s">
        <v>432</v>
      </c>
      <c r="P2359" s="109" t="s">
        <v>432</v>
      </c>
      <c r="Q2359" s="109" t="s">
        <v>432</v>
      </c>
      <c r="R2359" s="109" t="s">
        <v>432</v>
      </c>
      <c r="S2359" s="109" t="s">
        <v>2209</v>
      </c>
      <c r="T2359" s="109" t="s">
        <v>432</v>
      </c>
      <c r="U2359" s="109" t="s">
        <v>432</v>
      </c>
      <c r="V2359" s="109" t="s">
        <v>2209</v>
      </c>
      <c r="W2359" s="109" t="s">
        <v>432</v>
      </c>
      <c r="X2359" s="109" t="s">
        <v>432</v>
      </c>
      <c r="Y2359" s="109" t="s">
        <v>432</v>
      </c>
      <c r="Z2359" s="109" t="s">
        <v>432</v>
      </c>
      <c r="AA2359" s="109" t="s">
        <v>432</v>
      </c>
      <c r="AB2359" s="109" t="s">
        <v>432</v>
      </c>
      <c r="AC2359" s="109" t="s">
        <v>432</v>
      </c>
      <c r="AD2359" s="109" t="s">
        <v>432</v>
      </c>
      <c r="AE2359" s="109" t="s">
        <v>432</v>
      </c>
      <c r="AF2359" s="109" t="s">
        <v>432</v>
      </c>
      <c r="AG2359" s="109" t="s">
        <v>432</v>
      </c>
      <c r="AH2359" s="109" t="s">
        <v>432</v>
      </c>
      <c r="AI2359" s="109" t="s">
        <v>432</v>
      </c>
      <c r="AJ2359" s="109" t="s">
        <v>432</v>
      </c>
      <c r="AK2359" s="137" t="s">
        <v>432</v>
      </c>
      <c r="AL2359" s="601" t="s">
        <v>432</v>
      </c>
      <c r="AM2359" s="137" t="s">
        <v>432</v>
      </c>
      <c r="AN2359" s="137" t="s">
        <v>432</v>
      </c>
      <c r="AO2359" s="137" t="s">
        <v>432</v>
      </c>
      <c r="AP2359" s="137" t="s">
        <v>432</v>
      </c>
      <c r="AQ2359" s="137" t="s">
        <v>432</v>
      </c>
      <c r="AR2359" s="137" t="s">
        <v>432</v>
      </c>
      <c r="AS2359" s="137" t="s">
        <v>432</v>
      </c>
      <c r="AT2359" s="137" t="s">
        <v>432</v>
      </c>
      <c r="AU2359" s="137" t="s">
        <v>432</v>
      </c>
      <c r="AV2359" s="137" t="s">
        <v>432</v>
      </c>
      <c r="AW2359" s="137" t="s">
        <v>432</v>
      </c>
      <c r="AX2359" s="137" t="s">
        <v>432</v>
      </c>
      <c r="AY2359" s="137" t="s">
        <v>432</v>
      </c>
      <c r="AZ2359" s="137" t="s">
        <v>432</v>
      </c>
      <c r="BA2359" s="137" t="s">
        <v>432</v>
      </c>
      <c r="BB2359" s="239" t="str">
        <f t="shared" si="703"/>
        <v>Táxiacessibilidade</v>
      </c>
      <c r="BC2359" s="239" t="str">
        <f t="shared" si="704"/>
        <v>Táxiacessibilidadesigla/verbete</v>
      </c>
      <c r="BD2359" s="239" t="str">
        <f t="shared" si="705"/>
        <v>Táxisigla/verbete</v>
      </c>
      <c r="BM2359" s="1448"/>
      <c r="BN2359" s="1448"/>
      <c r="BO2359" s="1448"/>
    </row>
    <row r="2360" spans="1:67" s="1" customFormat="1" ht="87" customHeight="1" x14ac:dyDescent="0.25">
      <c r="A2360" s="262" t="str">
        <f>'Q100b-totais'!B56</f>
        <v>8.4</v>
      </c>
      <c r="B2360" s="252" t="str">
        <f>'Q100b-totais'!C56</f>
        <v>Táxi</v>
      </c>
      <c r="C2360" s="230" t="s">
        <v>743</v>
      </c>
      <c r="D2360" s="323" t="s">
        <v>4679</v>
      </c>
      <c r="E2360" s="1496" t="s">
        <v>1770</v>
      </c>
      <c r="F2360" s="1205" t="s">
        <v>5957</v>
      </c>
      <c r="G2360" s="230" t="s">
        <v>5956</v>
      </c>
      <c r="H2360" s="167" t="s">
        <v>2408</v>
      </c>
      <c r="I2360" s="167" t="s">
        <v>432</v>
      </c>
      <c r="J2360" s="109" t="s">
        <v>432</v>
      </c>
      <c r="K2360" s="109" t="s">
        <v>432</v>
      </c>
      <c r="L2360" s="109" t="s">
        <v>432</v>
      </c>
      <c r="M2360" s="109" t="s">
        <v>432</v>
      </c>
      <c r="N2360" s="109" t="s">
        <v>432</v>
      </c>
      <c r="O2360" s="109" t="s">
        <v>432</v>
      </c>
      <c r="P2360" s="109" t="s">
        <v>432</v>
      </c>
      <c r="Q2360" s="109" t="s">
        <v>432</v>
      </c>
      <c r="R2360" s="109" t="s">
        <v>432</v>
      </c>
      <c r="S2360" s="109" t="s">
        <v>2209</v>
      </c>
      <c r="T2360" s="109" t="s">
        <v>432</v>
      </c>
      <c r="U2360" s="109" t="s">
        <v>432</v>
      </c>
      <c r="V2360" s="109" t="s">
        <v>2209</v>
      </c>
      <c r="W2360" s="109" t="s">
        <v>432</v>
      </c>
      <c r="X2360" s="109" t="s">
        <v>432</v>
      </c>
      <c r="Y2360" s="109" t="s">
        <v>432</v>
      </c>
      <c r="Z2360" s="109" t="s">
        <v>432</v>
      </c>
      <c r="AA2360" s="109" t="s">
        <v>432</v>
      </c>
      <c r="AB2360" s="109" t="s">
        <v>432</v>
      </c>
      <c r="AC2360" s="109" t="s">
        <v>432</v>
      </c>
      <c r="AD2360" s="109" t="s">
        <v>432</v>
      </c>
      <c r="AE2360" s="109" t="s">
        <v>432</v>
      </c>
      <c r="AF2360" s="109" t="s">
        <v>432</v>
      </c>
      <c r="AG2360" s="109" t="s">
        <v>432</v>
      </c>
      <c r="AH2360" s="109" t="s">
        <v>432</v>
      </c>
      <c r="AI2360" s="109" t="s">
        <v>432</v>
      </c>
      <c r="AJ2360" s="109" t="s">
        <v>432</v>
      </c>
      <c r="AK2360" s="137" t="s">
        <v>432</v>
      </c>
      <c r="AL2360" s="601" t="s">
        <v>432</v>
      </c>
      <c r="AM2360" s="137" t="s">
        <v>432</v>
      </c>
      <c r="AN2360" s="137" t="s">
        <v>432</v>
      </c>
      <c r="AO2360" s="137" t="s">
        <v>432</v>
      </c>
      <c r="AP2360" s="137" t="s">
        <v>432</v>
      </c>
      <c r="AQ2360" s="137" t="s">
        <v>432</v>
      </c>
      <c r="AR2360" s="137" t="s">
        <v>432</v>
      </c>
      <c r="AS2360" s="137" t="s">
        <v>432</v>
      </c>
      <c r="AT2360" s="137" t="s">
        <v>432</v>
      </c>
      <c r="AU2360" s="137" t="s">
        <v>432</v>
      </c>
      <c r="AV2360" s="137" t="s">
        <v>432</v>
      </c>
      <c r="AW2360" s="137" t="s">
        <v>432</v>
      </c>
      <c r="AX2360" s="137" t="s">
        <v>432</v>
      </c>
      <c r="AY2360" s="137" t="s">
        <v>432</v>
      </c>
      <c r="AZ2360" s="137" t="s">
        <v>432</v>
      </c>
      <c r="BA2360" s="137" t="s">
        <v>432</v>
      </c>
      <c r="BB2360" s="239" t="str">
        <f t="shared" si="703"/>
        <v>Táxiacessibilidade</v>
      </c>
      <c r="BC2360" s="239" t="str">
        <f t="shared" si="704"/>
        <v>Táxiacessibilidadesigla/verbete</v>
      </c>
      <c r="BD2360" s="239" t="str">
        <f t="shared" si="705"/>
        <v>Táxisigla/verbete</v>
      </c>
      <c r="BM2360" s="1448"/>
      <c r="BN2360" s="1448"/>
      <c r="BO2360" s="1448"/>
    </row>
    <row r="2361" spans="1:67" s="1" customFormat="1" ht="39.75" customHeight="1" x14ac:dyDescent="0.25">
      <c r="A2361" s="262" t="str">
        <f>'Q100b-totais'!B56</f>
        <v>8.4</v>
      </c>
      <c r="B2361" s="252" t="str">
        <f>'Q100b-totais'!C56</f>
        <v>Táxi</v>
      </c>
      <c r="C2361" s="230" t="s">
        <v>432</v>
      </c>
      <c r="D2361" s="323" t="s">
        <v>4685</v>
      </c>
      <c r="E2361" s="1496" t="s">
        <v>1306</v>
      </c>
      <c r="F2361" s="1205" t="s">
        <v>4707</v>
      </c>
      <c r="G2361" s="230" t="s">
        <v>3507</v>
      </c>
      <c r="H2361" s="167" t="s">
        <v>2408</v>
      </c>
      <c r="I2361" s="167" t="s">
        <v>432</v>
      </c>
      <c r="J2361" s="109" t="s">
        <v>432</v>
      </c>
      <c r="K2361" s="109" t="s">
        <v>432</v>
      </c>
      <c r="L2361" s="109" t="s">
        <v>432</v>
      </c>
      <c r="M2361" s="109" t="s">
        <v>432</v>
      </c>
      <c r="N2361" s="109" t="s">
        <v>432</v>
      </c>
      <c r="O2361" s="109" t="s">
        <v>432</v>
      </c>
      <c r="P2361" s="109" t="s">
        <v>432</v>
      </c>
      <c r="Q2361" s="109" t="s">
        <v>432</v>
      </c>
      <c r="R2361" s="109" t="s">
        <v>432</v>
      </c>
      <c r="S2361" s="109" t="s">
        <v>2209</v>
      </c>
      <c r="T2361" s="109" t="s">
        <v>432</v>
      </c>
      <c r="U2361" s="109" t="s">
        <v>432</v>
      </c>
      <c r="V2361" s="109" t="s">
        <v>2209</v>
      </c>
      <c r="W2361" s="109" t="s">
        <v>432</v>
      </c>
      <c r="X2361" s="109" t="s">
        <v>432</v>
      </c>
      <c r="Y2361" s="109" t="s">
        <v>432</v>
      </c>
      <c r="Z2361" s="109" t="s">
        <v>432</v>
      </c>
      <c r="AA2361" s="109" t="s">
        <v>432</v>
      </c>
      <c r="AB2361" s="109" t="s">
        <v>432</v>
      </c>
      <c r="AC2361" s="109" t="s">
        <v>432</v>
      </c>
      <c r="AD2361" s="109" t="s">
        <v>432</v>
      </c>
      <c r="AE2361" s="109" t="s">
        <v>432</v>
      </c>
      <c r="AF2361" s="109" t="s">
        <v>432</v>
      </c>
      <c r="AG2361" s="109" t="s">
        <v>432</v>
      </c>
      <c r="AH2361" s="109" t="s">
        <v>432</v>
      </c>
      <c r="AI2361" s="109" t="s">
        <v>432</v>
      </c>
      <c r="AJ2361" s="109" t="s">
        <v>432</v>
      </c>
      <c r="AK2361" s="137" t="s">
        <v>432</v>
      </c>
      <c r="AL2361" s="601" t="s">
        <v>432</v>
      </c>
      <c r="AM2361" s="137" t="s">
        <v>432</v>
      </c>
      <c r="AN2361" s="137" t="s">
        <v>432</v>
      </c>
      <c r="AO2361" s="137" t="s">
        <v>432</v>
      </c>
      <c r="AP2361" s="137" t="s">
        <v>432</v>
      </c>
      <c r="AQ2361" s="137" t="s">
        <v>432</v>
      </c>
      <c r="AR2361" s="137" t="s">
        <v>432</v>
      </c>
      <c r="AS2361" s="137" t="s">
        <v>432</v>
      </c>
      <c r="AT2361" s="137" t="s">
        <v>432</v>
      </c>
      <c r="AU2361" s="137" t="s">
        <v>432</v>
      </c>
      <c r="AV2361" s="137" t="s">
        <v>432</v>
      </c>
      <c r="AW2361" s="137" t="s">
        <v>432</v>
      </c>
      <c r="AX2361" s="137" t="s">
        <v>432</v>
      </c>
      <c r="AY2361" s="137" t="s">
        <v>432</v>
      </c>
      <c r="AZ2361" s="137" t="s">
        <v>432</v>
      </c>
      <c r="BA2361" s="137" t="s">
        <v>432</v>
      </c>
      <c r="BB2361" s="239" t="str">
        <f t="shared" si="703"/>
        <v>Táxix</v>
      </c>
      <c r="BC2361" s="239" t="str">
        <f t="shared" si="704"/>
        <v>Táxixsigla/verbete</v>
      </c>
      <c r="BD2361" s="239" t="str">
        <f t="shared" si="705"/>
        <v>Táxisigla/verbete</v>
      </c>
      <c r="BM2361" s="1357"/>
      <c r="BN2361" s="1357"/>
      <c r="BO2361" s="1357"/>
    </row>
    <row r="2362" spans="1:67" s="1" customFormat="1" ht="39.75" customHeight="1" x14ac:dyDescent="0.25">
      <c r="A2362" s="262" t="str">
        <f>'Q100b-totais'!B56</f>
        <v>8.4</v>
      </c>
      <c r="B2362" s="252" t="str">
        <f>'Q100b-totais'!C56</f>
        <v>Táxi</v>
      </c>
      <c r="C2362" s="230" t="s">
        <v>432</v>
      </c>
      <c r="D2362" s="323" t="s">
        <v>4697</v>
      </c>
      <c r="E2362" s="1496" t="s">
        <v>1306</v>
      </c>
      <c r="F2362" s="1205" t="s">
        <v>4708</v>
      </c>
      <c r="G2362" s="230" t="s">
        <v>3507</v>
      </c>
      <c r="H2362" s="167" t="s">
        <v>2408</v>
      </c>
      <c r="I2362" s="167" t="s">
        <v>432</v>
      </c>
      <c r="J2362" s="109" t="s">
        <v>432</v>
      </c>
      <c r="K2362" s="109" t="s">
        <v>432</v>
      </c>
      <c r="L2362" s="109" t="s">
        <v>432</v>
      </c>
      <c r="M2362" s="109" t="s">
        <v>432</v>
      </c>
      <c r="N2362" s="109" t="s">
        <v>432</v>
      </c>
      <c r="O2362" s="109" t="s">
        <v>432</v>
      </c>
      <c r="P2362" s="109" t="s">
        <v>432</v>
      </c>
      <c r="Q2362" s="109" t="s">
        <v>432</v>
      </c>
      <c r="R2362" s="109" t="s">
        <v>432</v>
      </c>
      <c r="S2362" s="109" t="s">
        <v>2209</v>
      </c>
      <c r="T2362" s="109" t="s">
        <v>432</v>
      </c>
      <c r="U2362" s="109" t="s">
        <v>432</v>
      </c>
      <c r="V2362" s="109" t="s">
        <v>2209</v>
      </c>
      <c r="W2362" s="109" t="s">
        <v>432</v>
      </c>
      <c r="X2362" s="109" t="s">
        <v>432</v>
      </c>
      <c r="Y2362" s="109" t="s">
        <v>432</v>
      </c>
      <c r="Z2362" s="109" t="s">
        <v>432</v>
      </c>
      <c r="AA2362" s="109" t="s">
        <v>432</v>
      </c>
      <c r="AB2362" s="109" t="s">
        <v>432</v>
      </c>
      <c r="AC2362" s="109" t="s">
        <v>432</v>
      </c>
      <c r="AD2362" s="109" t="s">
        <v>432</v>
      </c>
      <c r="AE2362" s="109" t="s">
        <v>432</v>
      </c>
      <c r="AF2362" s="109" t="s">
        <v>432</v>
      </c>
      <c r="AG2362" s="109" t="s">
        <v>432</v>
      </c>
      <c r="AH2362" s="109" t="s">
        <v>432</v>
      </c>
      <c r="AI2362" s="109" t="s">
        <v>432</v>
      </c>
      <c r="AJ2362" s="109" t="s">
        <v>432</v>
      </c>
      <c r="AK2362" s="137" t="s">
        <v>432</v>
      </c>
      <c r="AL2362" s="601" t="s">
        <v>432</v>
      </c>
      <c r="AM2362" s="137" t="s">
        <v>432</v>
      </c>
      <c r="AN2362" s="137" t="s">
        <v>432</v>
      </c>
      <c r="AO2362" s="137" t="s">
        <v>432</v>
      </c>
      <c r="AP2362" s="137" t="s">
        <v>432</v>
      </c>
      <c r="AQ2362" s="137" t="s">
        <v>432</v>
      </c>
      <c r="AR2362" s="137" t="s">
        <v>432</v>
      </c>
      <c r="AS2362" s="137" t="s">
        <v>432</v>
      </c>
      <c r="AT2362" s="137" t="s">
        <v>432</v>
      </c>
      <c r="AU2362" s="137" t="s">
        <v>432</v>
      </c>
      <c r="AV2362" s="137" t="s">
        <v>432</v>
      </c>
      <c r="AW2362" s="137" t="s">
        <v>432</v>
      </c>
      <c r="AX2362" s="137" t="s">
        <v>432</v>
      </c>
      <c r="AY2362" s="137" t="s">
        <v>432</v>
      </c>
      <c r="AZ2362" s="137" t="s">
        <v>432</v>
      </c>
      <c r="BA2362" s="137" t="s">
        <v>432</v>
      </c>
      <c r="BB2362" s="239" t="str">
        <f t="shared" si="703"/>
        <v>Táxix</v>
      </c>
      <c r="BC2362" s="239" t="str">
        <f t="shared" si="704"/>
        <v>Táxixsigla/verbete</v>
      </c>
      <c r="BD2362" s="239" t="str">
        <f t="shared" si="705"/>
        <v>Táxisigla/verbete</v>
      </c>
      <c r="BM2362" s="1357"/>
      <c r="BN2362" s="1357"/>
      <c r="BO2362" s="1357"/>
    </row>
    <row r="2363" spans="1:67" s="1" customFormat="1" ht="39.75" customHeight="1" x14ac:dyDescent="0.25">
      <c r="A2363" s="262" t="str">
        <f>'Q100b-totais'!B56</f>
        <v>8.4</v>
      </c>
      <c r="B2363" s="252" t="str">
        <f>'Q100b-totais'!C56</f>
        <v>Táxi</v>
      </c>
      <c r="C2363" s="230" t="s">
        <v>432</v>
      </c>
      <c r="D2363" s="323" t="s">
        <v>4698</v>
      </c>
      <c r="E2363" s="1496" t="s">
        <v>1306</v>
      </c>
      <c r="F2363" s="1205" t="s">
        <v>4709</v>
      </c>
      <c r="G2363" s="230" t="s">
        <v>3507</v>
      </c>
      <c r="H2363" s="167" t="s">
        <v>2408</v>
      </c>
      <c r="I2363" s="167" t="s">
        <v>432</v>
      </c>
      <c r="J2363" s="109" t="s">
        <v>432</v>
      </c>
      <c r="K2363" s="109" t="s">
        <v>432</v>
      </c>
      <c r="L2363" s="109" t="s">
        <v>432</v>
      </c>
      <c r="M2363" s="109" t="s">
        <v>432</v>
      </c>
      <c r="N2363" s="109" t="s">
        <v>432</v>
      </c>
      <c r="O2363" s="109" t="s">
        <v>432</v>
      </c>
      <c r="P2363" s="109" t="s">
        <v>432</v>
      </c>
      <c r="Q2363" s="109" t="s">
        <v>432</v>
      </c>
      <c r="R2363" s="109" t="s">
        <v>432</v>
      </c>
      <c r="S2363" s="109" t="s">
        <v>2209</v>
      </c>
      <c r="T2363" s="109" t="s">
        <v>432</v>
      </c>
      <c r="U2363" s="109" t="s">
        <v>432</v>
      </c>
      <c r="V2363" s="109" t="s">
        <v>2209</v>
      </c>
      <c r="W2363" s="109" t="s">
        <v>432</v>
      </c>
      <c r="X2363" s="109" t="s">
        <v>432</v>
      </c>
      <c r="Y2363" s="109" t="s">
        <v>432</v>
      </c>
      <c r="Z2363" s="109" t="s">
        <v>432</v>
      </c>
      <c r="AA2363" s="109" t="s">
        <v>432</v>
      </c>
      <c r="AB2363" s="109" t="s">
        <v>432</v>
      </c>
      <c r="AC2363" s="109" t="s">
        <v>432</v>
      </c>
      <c r="AD2363" s="109" t="s">
        <v>432</v>
      </c>
      <c r="AE2363" s="109" t="s">
        <v>432</v>
      </c>
      <c r="AF2363" s="109" t="s">
        <v>432</v>
      </c>
      <c r="AG2363" s="109" t="s">
        <v>432</v>
      </c>
      <c r="AH2363" s="109" t="s">
        <v>432</v>
      </c>
      <c r="AI2363" s="109" t="s">
        <v>432</v>
      </c>
      <c r="AJ2363" s="109" t="s">
        <v>432</v>
      </c>
      <c r="AK2363" s="137" t="s">
        <v>432</v>
      </c>
      <c r="AL2363" s="601" t="s">
        <v>432</v>
      </c>
      <c r="AM2363" s="137" t="s">
        <v>432</v>
      </c>
      <c r="AN2363" s="137" t="s">
        <v>432</v>
      </c>
      <c r="AO2363" s="137" t="s">
        <v>432</v>
      </c>
      <c r="AP2363" s="137" t="s">
        <v>432</v>
      </c>
      <c r="AQ2363" s="137" t="s">
        <v>432</v>
      </c>
      <c r="AR2363" s="137" t="s">
        <v>432</v>
      </c>
      <c r="AS2363" s="137" t="s">
        <v>432</v>
      </c>
      <c r="AT2363" s="137" t="s">
        <v>432</v>
      </c>
      <c r="AU2363" s="137" t="s">
        <v>432</v>
      </c>
      <c r="AV2363" s="137" t="s">
        <v>432</v>
      </c>
      <c r="AW2363" s="137" t="s">
        <v>432</v>
      </c>
      <c r="AX2363" s="137" t="s">
        <v>432</v>
      </c>
      <c r="AY2363" s="137" t="s">
        <v>432</v>
      </c>
      <c r="AZ2363" s="137" t="s">
        <v>432</v>
      </c>
      <c r="BA2363" s="137" t="s">
        <v>432</v>
      </c>
      <c r="BB2363" s="239" t="str">
        <f t="shared" si="703"/>
        <v>Táxix</v>
      </c>
      <c r="BC2363" s="239" t="str">
        <f t="shared" si="704"/>
        <v>Táxixsigla/verbete</v>
      </c>
      <c r="BD2363" s="239" t="str">
        <f t="shared" si="705"/>
        <v>Táxisigla/verbete</v>
      </c>
      <c r="BM2363" s="1357"/>
      <c r="BN2363" s="1357"/>
      <c r="BO2363" s="1357"/>
    </row>
    <row r="2364" spans="1:67" s="1" customFormat="1" ht="51" customHeight="1" x14ac:dyDescent="0.25">
      <c r="A2364" s="262" t="s">
        <v>432</v>
      </c>
      <c r="B2364" s="252" t="s">
        <v>742</v>
      </c>
      <c r="C2364" s="230" t="s">
        <v>432</v>
      </c>
      <c r="D2364" s="323" t="s">
        <v>377</v>
      </c>
      <c r="E2364" s="1496" t="s">
        <v>432</v>
      </c>
      <c r="F2364" s="11" t="s">
        <v>1400</v>
      </c>
      <c r="G2364" s="167" t="s">
        <v>3879</v>
      </c>
      <c r="H2364" s="167" t="s">
        <v>432</v>
      </c>
      <c r="I2364" s="167" t="s">
        <v>432</v>
      </c>
      <c r="J2364" s="107" t="s">
        <v>432</v>
      </c>
      <c r="K2364" s="107" t="s">
        <v>432</v>
      </c>
      <c r="L2364" s="107" t="s">
        <v>432</v>
      </c>
      <c r="M2364" s="107" t="s">
        <v>432</v>
      </c>
      <c r="N2364" s="107" t="s">
        <v>432</v>
      </c>
      <c r="O2364" s="107" t="s">
        <v>432</v>
      </c>
      <c r="P2364" s="107" t="s">
        <v>432</v>
      </c>
      <c r="Q2364" s="107" t="s">
        <v>432</v>
      </c>
      <c r="R2364" s="107" t="s">
        <v>432</v>
      </c>
      <c r="S2364" s="109" t="s">
        <v>2209</v>
      </c>
      <c r="T2364" s="107" t="s">
        <v>432</v>
      </c>
      <c r="U2364" s="107" t="s">
        <v>432</v>
      </c>
      <c r="V2364" s="109" t="s">
        <v>2209</v>
      </c>
      <c r="W2364" s="107" t="s">
        <v>432</v>
      </c>
      <c r="X2364" s="107" t="s">
        <v>432</v>
      </c>
      <c r="Y2364" s="107" t="s">
        <v>432</v>
      </c>
      <c r="Z2364" s="107" t="s">
        <v>432</v>
      </c>
      <c r="AA2364" s="107" t="s">
        <v>432</v>
      </c>
      <c r="AB2364" s="107" t="s">
        <v>432</v>
      </c>
      <c r="AC2364" s="107" t="s">
        <v>432</v>
      </c>
      <c r="AD2364" s="107" t="s">
        <v>432</v>
      </c>
      <c r="AE2364" s="107" t="s">
        <v>432</v>
      </c>
      <c r="AF2364" s="107" t="s">
        <v>432</v>
      </c>
      <c r="AG2364" s="107" t="s">
        <v>432</v>
      </c>
      <c r="AH2364" s="107" t="s">
        <v>432</v>
      </c>
      <c r="AI2364" s="107" t="s">
        <v>432</v>
      </c>
      <c r="AJ2364" s="107" t="s">
        <v>432</v>
      </c>
      <c r="AK2364" s="137" t="s">
        <v>432</v>
      </c>
      <c r="AL2364" s="601" t="s">
        <v>432</v>
      </c>
      <c r="AM2364" s="137" t="s">
        <v>432</v>
      </c>
      <c r="AN2364" s="137" t="s">
        <v>432</v>
      </c>
      <c r="AO2364" s="137" t="s">
        <v>432</v>
      </c>
      <c r="AP2364" s="137" t="s">
        <v>432</v>
      </c>
      <c r="AQ2364" s="137" t="s">
        <v>432</v>
      </c>
      <c r="AR2364" s="137" t="s">
        <v>432</v>
      </c>
      <c r="AS2364" s="137" t="s">
        <v>432</v>
      </c>
      <c r="AT2364" s="137" t="s">
        <v>432</v>
      </c>
      <c r="AU2364" s="137" t="s">
        <v>432</v>
      </c>
      <c r="AV2364" s="137" t="s">
        <v>432</v>
      </c>
      <c r="AW2364" s="137" t="s">
        <v>432</v>
      </c>
      <c r="AX2364" s="137" t="s">
        <v>432</v>
      </c>
      <c r="AY2364" s="137" t="s">
        <v>432</v>
      </c>
      <c r="AZ2364" s="137" t="s">
        <v>432</v>
      </c>
      <c r="BA2364" s="137" t="s">
        <v>432</v>
      </c>
      <c r="BB2364" s="239" t="str">
        <f t="shared" si="700"/>
        <v>geralx</v>
      </c>
      <c r="BC2364" s="239" t="str">
        <f t="shared" si="701"/>
        <v>geralxx</v>
      </c>
      <c r="BD2364" s="239" t="str">
        <f t="shared" si="702"/>
        <v>geralx</v>
      </c>
      <c r="BM2364" s="19"/>
      <c r="BN2364" s="19"/>
      <c r="BO2364" s="19"/>
    </row>
    <row r="2365" spans="1:67" s="1" customFormat="1" ht="38.25" customHeight="1" x14ac:dyDescent="0.25">
      <c r="A2365" s="262" t="s">
        <v>432</v>
      </c>
      <c r="B2365" s="252" t="s">
        <v>742</v>
      </c>
      <c r="C2365" s="167" t="s">
        <v>432</v>
      </c>
      <c r="D2365" s="323" t="s">
        <v>968</v>
      </c>
      <c r="E2365" s="1496" t="s">
        <v>432</v>
      </c>
      <c r="F2365" s="11" t="s">
        <v>3872</v>
      </c>
      <c r="G2365" s="167" t="s">
        <v>3879</v>
      </c>
      <c r="H2365" s="167" t="s">
        <v>432</v>
      </c>
      <c r="I2365" s="167" t="s">
        <v>432</v>
      </c>
      <c r="J2365" s="109" t="s">
        <v>432</v>
      </c>
      <c r="K2365" s="109" t="s">
        <v>432</v>
      </c>
      <c r="L2365" s="109" t="s">
        <v>432</v>
      </c>
      <c r="M2365" s="109" t="s">
        <v>432</v>
      </c>
      <c r="N2365" s="109" t="s">
        <v>432</v>
      </c>
      <c r="O2365" s="109" t="s">
        <v>432</v>
      </c>
      <c r="P2365" s="109" t="s">
        <v>432</v>
      </c>
      <c r="Q2365" s="109" t="s">
        <v>432</v>
      </c>
      <c r="R2365" s="109" t="s">
        <v>432</v>
      </c>
      <c r="S2365" s="109" t="s">
        <v>2209</v>
      </c>
      <c r="T2365" s="109" t="s">
        <v>432</v>
      </c>
      <c r="U2365" s="109" t="s">
        <v>432</v>
      </c>
      <c r="V2365" s="109" t="s">
        <v>2209</v>
      </c>
      <c r="W2365" s="109" t="s">
        <v>432</v>
      </c>
      <c r="X2365" s="109" t="s">
        <v>432</v>
      </c>
      <c r="Y2365" s="109" t="s">
        <v>432</v>
      </c>
      <c r="Z2365" s="109" t="s">
        <v>432</v>
      </c>
      <c r="AA2365" s="109" t="s">
        <v>432</v>
      </c>
      <c r="AB2365" s="109" t="s">
        <v>432</v>
      </c>
      <c r="AC2365" s="109" t="s">
        <v>432</v>
      </c>
      <c r="AD2365" s="109" t="s">
        <v>432</v>
      </c>
      <c r="AE2365" s="109" t="s">
        <v>432</v>
      </c>
      <c r="AF2365" s="109" t="s">
        <v>432</v>
      </c>
      <c r="AG2365" s="109" t="s">
        <v>432</v>
      </c>
      <c r="AH2365" s="109" t="s">
        <v>432</v>
      </c>
      <c r="AI2365" s="109" t="s">
        <v>432</v>
      </c>
      <c r="AJ2365" s="109" t="s">
        <v>432</v>
      </c>
      <c r="AK2365" s="137" t="s">
        <v>432</v>
      </c>
      <c r="AL2365" s="601" t="s">
        <v>432</v>
      </c>
      <c r="AM2365" s="137" t="s">
        <v>432</v>
      </c>
      <c r="AN2365" s="137" t="s">
        <v>432</v>
      </c>
      <c r="AO2365" s="137" t="s">
        <v>432</v>
      </c>
      <c r="AP2365" s="137" t="s">
        <v>432</v>
      </c>
      <c r="AQ2365" s="137" t="s">
        <v>432</v>
      </c>
      <c r="AR2365" s="137" t="s">
        <v>432</v>
      </c>
      <c r="AS2365" s="137" t="s">
        <v>432</v>
      </c>
      <c r="AT2365" s="137" t="s">
        <v>432</v>
      </c>
      <c r="AU2365" s="137" t="s">
        <v>432</v>
      </c>
      <c r="AV2365" s="137" t="s">
        <v>432</v>
      </c>
      <c r="AW2365" s="137" t="s">
        <v>432</v>
      </c>
      <c r="AX2365" s="137" t="s">
        <v>432</v>
      </c>
      <c r="AY2365" s="137" t="s">
        <v>432</v>
      </c>
      <c r="AZ2365" s="137" t="s">
        <v>432</v>
      </c>
      <c r="BA2365" s="137" t="s">
        <v>432</v>
      </c>
      <c r="BB2365" s="239" t="str">
        <f t="shared" si="700"/>
        <v>geralx</v>
      </c>
      <c r="BC2365" s="239" t="str">
        <f t="shared" si="701"/>
        <v>geralxx</v>
      </c>
      <c r="BD2365" s="239" t="str">
        <f t="shared" si="702"/>
        <v>geralx</v>
      </c>
      <c r="BM2365" s="193"/>
      <c r="BN2365" s="193"/>
      <c r="BO2365" s="193"/>
    </row>
    <row r="2366" spans="1:67" s="1" customFormat="1" ht="38.25" customHeight="1" x14ac:dyDescent="0.25">
      <c r="A2366" s="262" t="str">
        <f>'Q100b-totais'!B57</f>
        <v>8.5</v>
      </c>
      <c r="B2366" s="252" t="str">
        <f>'Q100b-totais'!C57</f>
        <v>Transporte convencional</v>
      </c>
      <c r="C2366" s="167"/>
      <c r="D2366" s="323" t="s">
        <v>4126</v>
      </c>
      <c r="E2366" s="1496" t="s">
        <v>1306</v>
      </c>
      <c r="F2366" s="1205" t="s">
        <v>4127</v>
      </c>
      <c r="G2366" s="1205" t="s">
        <v>4128</v>
      </c>
      <c r="H2366" s="167" t="s">
        <v>432</v>
      </c>
      <c r="I2366" s="167">
        <v>1</v>
      </c>
      <c r="J2366" s="109" t="s">
        <v>432</v>
      </c>
      <c r="K2366" s="109" t="s">
        <v>432</v>
      </c>
      <c r="L2366" s="109" t="s">
        <v>432</v>
      </c>
      <c r="M2366" s="1314" t="s">
        <v>1370</v>
      </c>
      <c r="N2366" s="1314" t="s">
        <v>1370</v>
      </c>
      <c r="O2366" s="1314" t="s">
        <v>1370</v>
      </c>
      <c r="P2366" s="1314" t="s">
        <v>1370</v>
      </c>
      <c r="Q2366" s="1314" t="s">
        <v>1370</v>
      </c>
      <c r="R2366" s="1314" t="s">
        <v>1370</v>
      </c>
      <c r="S2366" s="109" t="s">
        <v>2209</v>
      </c>
      <c r="T2366" s="1314" t="s">
        <v>1370</v>
      </c>
      <c r="U2366" s="1314" t="s">
        <v>1370</v>
      </c>
      <c r="V2366" s="109" t="s">
        <v>2209</v>
      </c>
      <c r="W2366" s="1314" t="s">
        <v>1370</v>
      </c>
      <c r="X2366" s="1314" t="s">
        <v>1370</v>
      </c>
      <c r="Y2366" s="1314" t="s">
        <v>1370</v>
      </c>
      <c r="Z2366" s="1314" t="s">
        <v>1370</v>
      </c>
      <c r="AA2366" s="1314" t="s">
        <v>1370</v>
      </c>
      <c r="AB2366" s="1314" t="s">
        <v>1370</v>
      </c>
      <c r="AC2366" s="1314" t="s">
        <v>1370</v>
      </c>
      <c r="AD2366" s="1314" t="s">
        <v>1370</v>
      </c>
      <c r="AE2366" s="1314" t="s">
        <v>1370</v>
      </c>
      <c r="AF2366" s="1314" t="s">
        <v>1370</v>
      </c>
      <c r="AG2366" s="1314" t="s">
        <v>1370</v>
      </c>
      <c r="AH2366" s="1314" t="s">
        <v>1370</v>
      </c>
      <c r="AI2366" s="1314" t="s">
        <v>1370</v>
      </c>
      <c r="AJ2366" s="1314" t="s">
        <v>1370</v>
      </c>
      <c r="AK2366" s="1314" t="s">
        <v>1370</v>
      </c>
      <c r="AL2366" s="601" t="s">
        <v>432</v>
      </c>
      <c r="AM2366" s="137" t="s">
        <v>432</v>
      </c>
      <c r="AN2366" s="137" t="s">
        <v>432</v>
      </c>
      <c r="AO2366" s="137" t="s">
        <v>432</v>
      </c>
      <c r="AP2366" s="137" t="s">
        <v>432</v>
      </c>
      <c r="AQ2366" s="137" t="s">
        <v>432</v>
      </c>
      <c r="AR2366" s="137" t="s">
        <v>432</v>
      </c>
      <c r="AS2366" s="137" t="s">
        <v>432</v>
      </c>
      <c r="AT2366" s="137" t="s">
        <v>432</v>
      </c>
      <c r="AU2366" s="137" t="s">
        <v>432</v>
      </c>
      <c r="AV2366" s="137" t="s">
        <v>432</v>
      </c>
      <c r="AW2366" s="137" t="s">
        <v>432</v>
      </c>
      <c r="AX2366" s="137" t="s">
        <v>432</v>
      </c>
      <c r="AY2366" s="137" t="s">
        <v>432</v>
      </c>
      <c r="AZ2366" s="137" t="s">
        <v>432</v>
      </c>
      <c r="BA2366" s="137" t="s">
        <v>432</v>
      </c>
      <c r="BB2366" s="239" t="str">
        <f>B2366&amp;C2366</f>
        <v>Transporte convencional</v>
      </c>
      <c r="BC2366" s="239" t="str">
        <f>B2366&amp;C2366&amp;H2366</f>
        <v>Transporte convencionalx</v>
      </c>
      <c r="BD2366" s="239" t="str">
        <f>B2366&amp;H2366</f>
        <v>Transporte convencionalx</v>
      </c>
      <c r="BM2366" s="1311"/>
      <c r="BN2366" s="1311"/>
      <c r="BO2366" s="1311"/>
    </row>
    <row r="2367" spans="1:67" s="1" customFormat="1" ht="38.25" customHeight="1" x14ac:dyDescent="0.25">
      <c r="A2367" s="262" t="s">
        <v>432</v>
      </c>
      <c r="B2367" s="252" t="s">
        <v>742</v>
      </c>
      <c r="C2367" s="167" t="s">
        <v>432</v>
      </c>
      <c r="D2367" s="323" t="s">
        <v>3876</v>
      </c>
      <c r="E2367" s="1496" t="s">
        <v>432</v>
      </c>
      <c r="F2367" s="1200" t="s">
        <v>3878</v>
      </c>
      <c r="G2367" s="167" t="s">
        <v>3879</v>
      </c>
      <c r="H2367" s="167" t="s">
        <v>432</v>
      </c>
      <c r="I2367" s="167" t="s">
        <v>432</v>
      </c>
      <c r="J2367" s="109" t="s">
        <v>432</v>
      </c>
      <c r="K2367" s="109" t="s">
        <v>432</v>
      </c>
      <c r="L2367" s="109" t="s">
        <v>432</v>
      </c>
      <c r="M2367" s="109" t="s">
        <v>432</v>
      </c>
      <c r="N2367" s="109" t="s">
        <v>432</v>
      </c>
      <c r="O2367" s="109" t="s">
        <v>432</v>
      </c>
      <c r="P2367" s="109" t="s">
        <v>432</v>
      </c>
      <c r="Q2367" s="109" t="s">
        <v>432</v>
      </c>
      <c r="R2367" s="109" t="s">
        <v>432</v>
      </c>
      <c r="S2367" s="109" t="s">
        <v>2209</v>
      </c>
      <c r="T2367" s="109" t="s">
        <v>432</v>
      </c>
      <c r="U2367" s="109" t="s">
        <v>432</v>
      </c>
      <c r="V2367" s="109" t="s">
        <v>2209</v>
      </c>
      <c r="W2367" s="109" t="s">
        <v>432</v>
      </c>
      <c r="X2367" s="109" t="s">
        <v>432</v>
      </c>
      <c r="Y2367" s="109" t="s">
        <v>432</v>
      </c>
      <c r="Z2367" s="109" t="s">
        <v>432</v>
      </c>
      <c r="AA2367" s="109" t="s">
        <v>432</v>
      </c>
      <c r="AB2367" s="109" t="s">
        <v>432</v>
      </c>
      <c r="AC2367" s="109" t="s">
        <v>432</v>
      </c>
      <c r="AD2367" s="109" t="s">
        <v>432</v>
      </c>
      <c r="AE2367" s="109" t="s">
        <v>432</v>
      </c>
      <c r="AF2367" s="109" t="s">
        <v>432</v>
      </c>
      <c r="AG2367" s="109" t="s">
        <v>432</v>
      </c>
      <c r="AH2367" s="109" t="s">
        <v>432</v>
      </c>
      <c r="AI2367" s="109" t="s">
        <v>432</v>
      </c>
      <c r="AJ2367" s="109" t="s">
        <v>432</v>
      </c>
      <c r="AK2367" s="137" t="s">
        <v>432</v>
      </c>
      <c r="AL2367" s="601" t="s">
        <v>432</v>
      </c>
      <c r="AM2367" s="137" t="s">
        <v>432</v>
      </c>
      <c r="AN2367" s="137" t="s">
        <v>432</v>
      </c>
      <c r="AO2367" s="137" t="s">
        <v>432</v>
      </c>
      <c r="AP2367" s="137" t="s">
        <v>432</v>
      </c>
      <c r="AQ2367" s="137" t="s">
        <v>432</v>
      </c>
      <c r="AR2367" s="137" t="s">
        <v>432</v>
      </c>
      <c r="AS2367" s="137" t="s">
        <v>432</v>
      </c>
      <c r="AT2367" s="137" t="s">
        <v>432</v>
      </c>
      <c r="AU2367" s="137" t="s">
        <v>432</v>
      </c>
      <c r="AV2367" s="137" t="s">
        <v>432</v>
      </c>
      <c r="AW2367" s="137" t="s">
        <v>432</v>
      </c>
      <c r="AX2367" s="137" t="s">
        <v>432</v>
      </c>
      <c r="AY2367" s="137" t="s">
        <v>432</v>
      </c>
      <c r="AZ2367" s="137" t="s">
        <v>432</v>
      </c>
      <c r="BA2367" s="137" t="s">
        <v>432</v>
      </c>
      <c r="BB2367" s="239" t="str">
        <f>B2367&amp;C2367</f>
        <v>geralx</v>
      </c>
      <c r="BC2367" s="239" t="str">
        <f>B2367&amp;C2367&amp;H2367</f>
        <v>geralxx</v>
      </c>
      <c r="BD2367" s="239" t="str">
        <f>B2367&amp;H2367</f>
        <v>geralx</v>
      </c>
      <c r="BM2367" s="1201"/>
      <c r="BN2367" s="1201"/>
      <c r="BO2367" s="1201"/>
    </row>
    <row r="2368" spans="1:67" s="1" customFormat="1" ht="38.25" customHeight="1" x14ac:dyDescent="0.25">
      <c r="A2368" s="262" t="s">
        <v>432</v>
      </c>
      <c r="B2368" s="252" t="s">
        <v>742</v>
      </c>
      <c r="C2368" s="167" t="s">
        <v>432</v>
      </c>
      <c r="D2368" s="323" t="s">
        <v>3877</v>
      </c>
      <c r="E2368" s="1496" t="s">
        <v>432</v>
      </c>
      <c r="F2368" s="1200" t="s">
        <v>4554</v>
      </c>
      <c r="G2368" s="167" t="s">
        <v>3879</v>
      </c>
      <c r="H2368" s="167" t="s">
        <v>432</v>
      </c>
      <c r="I2368" s="167" t="s">
        <v>432</v>
      </c>
      <c r="J2368" s="109" t="s">
        <v>432</v>
      </c>
      <c r="K2368" s="109" t="s">
        <v>432</v>
      </c>
      <c r="L2368" s="109" t="s">
        <v>432</v>
      </c>
      <c r="M2368" s="109" t="s">
        <v>432</v>
      </c>
      <c r="N2368" s="109" t="s">
        <v>432</v>
      </c>
      <c r="O2368" s="109" t="s">
        <v>432</v>
      </c>
      <c r="P2368" s="109" t="s">
        <v>432</v>
      </c>
      <c r="Q2368" s="109" t="s">
        <v>432</v>
      </c>
      <c r="R2368" s="109" t="s">
        <v>432</v>
      </c>
      <c r="S2368" s="109" t="s">
        <v>2209</v>
      </c>
      <c r="T2368" s="109" t="s">
        <v>432</v>
      </c>
      <c r="U2368" s="109" t="s">
        <v>432</v>
      </c>
      <c r="V2368" s="109" t="s">
        <v>2209</v>
      </c>
      <c r="W2368" s="109" t="s">
        <v>432</v>
      </c>
      <c r="X2368" s="109" t="s">
        <v>432</v>
      </c>
      <c r="Y2368" s="109" t="s">
        <v>432</v>
      </c>
      <c r="Z2368" s="109" t="s">
        <v>432</v>
      </c>
      <c r="AA2368" s="109" t="s">
        <v>432</v>
      </c>
      <c r="AB2368" s="109" t="s">
        <v>432</v>
      </c>
      <c r="AC2368" s="109" t="s">
        <v>432</v>
      </c>
      <c r="AD2368" s="109" t="s">
        <v>432</v>
      </c>
      <c r="AE2368" s="109" t="s">
        <v>432</v>
      </c>
      <c r="AF2368" s="109" t="s">
        <v>432</v>
      </c>
      <c r="AG2368" s="109" t="s">
        <v>432</v>
      </c>
      <c r="AH2368" s="109" t="s">
        <v>432</v>
      </c>
      <c r="AI2368" s="109" t="s">
        <v>432</v>
      </c>
      <c r="AJ2368" s="109" t="s">
        <v>432</v>
      </c>
      <c r="AK2368" s="137" t="s">
        <v>432</v>
      </c>
      <c r="AL2368" s="601" t="s">
        <v>432</v>
      </c>
      <c r="AM2368" s="137" t="s">
        <v>432</v>
      </c>
      <c r="AN2368" s="137" t="s">
        <v>432</v>
      </c>
      <c r="AO2368" s="137" t="s">
        <v>432</v>
      </c>
      <c r="AP2368" s="137" t="s">
        <v>432</v>
      </c>
      <c r="AQ2368" s="137" t="s">
        <v>432</v>
      </c>
      <c r="AR2368" s="137" t="s">
        <v>432</v>
      </c>
      <c r="AS2368" s="137" t="s">
        <v>432</v>
      </c>
      <c r="AT2368" s="137" t="s">
        <v>432</v>
      </c>
      <c r="AU2368" s="137" t="s">
        <v>432</v>
      </c>
      <c r="AV2368" s="137" t="s">
        <v>432</v>
      </c>
      <c r="AW2368" s="137" t="s">
        <v>432</v>
      </c>
      <c r="AX2368" s="137" t="s">
        <v>432</v>
      </c>
      <c r="AY2368" s="137" t="s">
        <v>432</v>
      </c>
      <c r="AZ2368" s="137" t="s">
        <v>432</v>
      </c>
      <c r="BA2368" s="137" t="s">
        <v>432</v>
      </c>
      <c r="BB2368" s="239" t="str">
        <f>B2368&amp;C2368</f>
        <v>geralx</v>
      </c>
      <c r="BC2368" s="239" t="str">
        <f>B2368&amp;C2368&amp;H2368</f>
        <v>geralxx</v>
      </c>
      <c r="BD2368" s="239" t="str">
        <f>B2368&amp;H2368</f>
        <v>geralx</v>
      </c>
      <c r="BM2368" s="1201"/>
      <c r="BN2368" s="1201"/>
      <c r="BO2368" s="1201"/>
    </row>
    <row r="2369" spans="1:67" s="1" customFormat="1" ht="38.25" customHeight="1" x14ac:dyDescent="0.25">
      <c r="A2369" s="262" t="s">
        <v>432</v>
      </c>
      <c r="B2369" s="252" t="s">
        <v>742</v>
      </c>
      <c r="C2369" s="167" t="s">
        <v>432</v>
      </c>
      <c r="D2369" s="323" t="s">
        <v>1403</v>
      </c>
      <c r="E2369" s="1496" t="s">
        <v>432</v>
      </c>
      <c r="F2369" s="11" t="s">
        <v>1404</v>
      </c>
      <c r="G2369" s="167" t="s">
        <v>3879</v>
      </c>
      <c r="H2369" s="167" t="s">
        <v>432</v>
      </c>
      <c r="I2369" s="167" t="s">
        <v>432</v>
      </c>
      <c r="J2369" s="109" t="s">
        <v>432</v>
      </c>
      <c r="K2369" s="109" t="s">
        <v>432</v>
      </c>
      <c r="L2369" s="109" t="s">
        <v>432</v>
      </c>
      <c r="M2369" s="109" t="s">
        <v>432</v>
      </c>
      <c r="N2369" s="109" t="s">
        <v>432</v>
      </c>
      <c r="O2369" s="109" t="s">
        <v>432</v>
      </c>
      <c r="P2369" s="109" t="s">
        <v>432</v>
      </c>
      <c r="Q2369" s="109" t="s">
        <v>432</v>
      </c>
      <c r="R2369" s="109" t="s">
        <v>432</v>
      </c>
      <c r="S2369" s="109" t="s">
        <v>2209</v>
      </c>
      <c r="T2369" s="109" t="s">
        <v>432</v>
      </c>
      <c r="U2369" s="109" t="s">
        <v>432</v>
      </c>
      <c r="V2369" s="109" t="s">
        <v>2209</v>
      </c>
      <c r="W2369" s="109" t="s">
        <v>432</v>
      </c>
      <c r="X2369" s="109" t="s">
        <v>432</v>
      </c>
      <c r="Y2369" s="109" t="s">
        <v>432</v>
      </c>
      <c r="Z2369" s="109" t="s">
        <v>432</v>
      </c>
      <c r="AA2369" s="109" t="s">
        <v>432</v>
      </c>
      <c r="AB2369" s="109" t="s">
        <v>432</v>
      </c>
      <c r="AC2369" s="109" t="s">
        <v>432</v>
      </c>
      <c r="AD2369" s="109" t="s">
        <v>432</v>
      </c>
      <c r="AE2369" s="109" t="s">
        <v>432</v>
      </c>
      <c r="AF2369" s="109" t="s">
        <v>432</v>
      </c>
      <c r="AG2369" s="109" t="s">
        <v>432</v>
      </c>
      <c r="AH2369" s="109" t="s">
        <v>432</v>
      </c>
      <c r="AI2369" s="109" t="s">
        <v>432</v>
      </c>
      <c r="AJ2369" s="109" t="s">
        <v>432</v>
      </c>
      <c r="AK2369" s="137" t="s">
        <v>432</v>
      </c>
      <c r="AL2369" s="601" t="s">
        <v>432</v>
      </c>
      <c r="AM2369" s="137" t="s">
        <v>432</v>
      </c>
      <c r="AN2369" s="137" t="s">
        <v>432</v>
      </c>
      <c r="AO2369" s="137" t="s">
        <v>432</v>
      </c>
      <c r="AP2369" s="137" t="s">
        <v>432</v>
      </c>
      <c r="AQ2369" s="137" t="s">
        <v>432</v>
      </c>
      <c r="AR2369" s="137" t="s">
        <v>432</v>
      </c>
      <c r="AS2369" s="137" t="s">
        <v>432</v>
      </c>
      <c r="AT2369" s="137" t="s">
        <v>432</v>
      </c>
      <c r="AU2369" s="137" t="s">
        <v>432</v>
      </c>
      <c r="AV2369" s="137" t="s">
        <v>432</v>
      </c>
      <c r="AW2369" s="137" t="s">
        <v>432</v>
      </c>
      <c r="AX2369" s="137" t="s">
        <v>432</v>
      </c>
      <c r="AY2369" s="137" t="s">
        <v>432</v>
      </c>
      <c r="AZ2369" s="137" t="s">
        <v>432</v>
      </c>
      <c r="BA2369" s="137" t="s">
        <v>432</v>
      </c>
      <c r="BB2369" s="239" t="str">
        <f t="shared" si="700"/>
        <v>geralx</v>
      </c>
      <c r="BC2369" s="239" t="str">
        <f t="shared" si="701"/>
        <v>geralxx</v>
      </c>
      <c r="BD2369" s="239" t="str">
        <f t="shared" si="702"/>
        <v>geralx</v>
      </c>
      <c r="BM2369" s="367"/>
      <c r="BN2369" s="367"/>
      <c r="BO2369" s="367"/>
    </row>
    <row r="2370" spans="1:67" s="3" customFormat="1" ht="117" customHeight="1" x14ac:dyDescent="0.25">
      <c r="A2370" s="262" t="s">
        <v>432</v>
      </c>
      <c r="B2370" s="252" t="s">
        <v>742</v>
      </c>
      <c r="C2370" s="167" t="s">
        <v>743</v>
      </c>
      <c r="D2370" s="847" t="s">
        <v>4652</v>
      </c>
      <c r="E2370" s="1496" t="s">
        <v>1767</v>
      </c>
      <c r="F2370" s="53" t="s">
        <v>4726</v>
      </c>
      <c r="G2370" s="230" t="s">
        <v>3507</v>
      </c>
      <c r="H2370" s="167" t="s">
        <v>2408</v>
      </c>
      <c r="I2370" s="167" t="s">
        <v>432</v>
      </c>
      <c r="J2370" s="107" t="s">
        <v>432</v>
      </c>
      <c r="K2370" s="107" t="s">
        <v>432</v>
      </c>
      <c r="L2370" s="107" t="s">
        <v>432</v>
      </c>
      <c r="M2370" s="107" t="s">
        <v>432</v>
      </c>
      <c r="N2370" s="107" t="s">
        <v>432</v>
      </c>
      <c r="O2370" s="107" t="s">
        <v>432</v>
      </c>
      <c r="P2370" s="107" t="s">
        <v>432</v>
      </c>
      <c r="Q2370" s="107" t="s">
        <v>432</v>
      </c>
      <c r="R2370" s="107" t="s">
        <v>432</v>
      </c>
      <c r="S2370" s="109" t="s">
        <v>2209</v>
      </c>
      <c r="T2370" s="107" t="s">
        <v>432</v>
      </c>
      <c r="U2370" s="107" t="s">
        <v>432</v>
      </c>
      <c r="V2370" s="109" t="s">
        <v>2209</v>
      </c>
      <c r="W2370" s="107" t="s">
        <v>432</v>
      </c>
      <c r="X2370" s="107" t="s">
        <v>432</v>
      </c>
      <c r="Y2370" s="107" t="s">
        <v>432</v>
      </c>
      <c r="Z2370" s="107" t="s">
        <v>432</v>
      </c>
      <c r="AA2370" s="107" t="s">
        <v>432</v>
      </c>
      <c r="AB2370" s="107" t="s">
        <v>432</v>
      </c>
      <c r="AC2370" s="107" t="s">
        <v>432</v>
      </c>
      <c r="AD2370" s="107" t="s">
        <v>432</v>
      </c>
      <c r="AE2370" s="107" t="s">
        <v>432</v>
      </c>
      <c r="AF2370" s="107" t="s">
        <v>432</v>
      </c>
      <c r="AG2370" s="107" t="s">
        <v>432</v>
      </c>
      <c r="AH2370" s="107" t="s">
        <v>432</v>
      </c>
      <c r="AI2370" s="107" t="s">
        <v>432</v>
      </c>
      <c r="AJ2370" s="107" t="s">
        <v>432</v>
      </c>
      <c r="AK2370" s="137" t="s">
        <v>432</v>
      </c>
      <c r="AL2370" s="600" t="s">
        <v>432</v>
      </c>
      <c r="AM2370" s="137" t="s">
        <v>432</v>
      </c>
      <c r="AN2370" s="137" t="s">
        <v>432</v>
      </c>
      <c r="AO2370" s="137" t="s">
        <v>432</v>
      </c>
      <c r="AP2370" s="137" t="s">
        <v>432</v>
      </c>
      <c r="AQ2370" s="137" t="s">
        <v>432</v>
      </c>
      <c r="AR2370" s="137" t="s">
        <v>432</v>
      </c>
      <c r="AS2370" s="137" t="s">
        <v>432</v>
      </c>
      <c r="AT2370" s="137" t="s">
        <v>432</v>
      </c>
      <c r="AU2370" s="137" t="s">
        <v>432</v>
      </c>
      <c r="AV2370" s="137" t="s">
        <v>432</v>
      </c>
      <c r="AW2370" s="137" t="s">
        <v>432</v>
      </c>
      <c r="AX2370" s="137" t="s">
        <v>432</v>
      </c>
      <c r="AY2370" s="137" t="s">
        <v>432</v>
      </c>
      <c r="AZ2370" s="137" t="s">
        <v>432</v>
      </c>
      <c r="BA2370" s="137" t="s">
        <v>432</v>
      </c>
      <c r="BB2370" s="239" t="str">
        <f t="shared" ref="BB2370:BB2376" si="706">B2370&amp;C2370</f>
        <v>geralacessibilidade</v>
      </c>
      <c r="BC2370" s="239" t="str">
        <f t="shared" ref="BC2370:BC2376" si="707">B2370&amp;C2370&amp;H2370</f>
        <v>geralacessibilidadesigla/verbete</v>
      </c>
      <c r="BD2370" s="239" t="str">
        <f t="shared" ref="BD2370:BD2376" si="708">B2370&amp;H2370</f>
        <v>geralsigla/verbete</v>
      </c>
    </row>
    <row r="2371" spans="1:67" s="3" customFormat="1" ht="139.5" customHeight="1" x14ac:dyDescent="0.25">
      <c r="A2371" s="262" t="str">
        <f>'Q100b-totais'!B62</f>
        <v>8.10</v>
      </c>
      <c r="B2371" s="252" t="str">
        <f>'Q100b-totais'!C62</f>
        <v>Sistema de transporte coletivo com um todo</v>
      </c>
      <c r="C2371" s="167" t="s">
        <v>432</v>
      </c>
      <c r="D2371" s="847" t="s">
        <v>5567</v>
      </c>
      <c r="E2371" s="1496" t="s">
        <v>5561</v>
      </c>
      <c r="F2371" s="53" t="s">
        <v>5570</v>
      </c>
      <c r="G2371" s="230" t="s">
        <v>3507</v>
      </c>
      <c r="H2371" s="167" t="s">
        <v>2408</v>
      </c>
      <c r="I2371" s="167" t="s">
        <v>432</v>
      </c>
      <c r="J2371" s="107" t="s">
        <v>432</v>
      </c>
      <c r="K2371" s="107" t="s">
        <v>432</v>
      </c>
      <c r="L2371" s="107" t="s">
        <v>432</v>
      </c>
      <c r="M2371" s="107" t="s">
        <v>432</v>
      </c>
      <c r="N2371" s="107" t="s">
        <v>432</v>
      </c>
      <c r="O2371" s="107" t="s">
        <v>432</v>
      </c>
      <c r="P2371" s="107" t="s">
        <v>432</v>
      </c>
      <c r="Q2371" s="107" t="s">
        <v>432</v>
      </c>
      <c r="R2371" s="107" t="s">
        <v>432</v>
      </c>
      <c r="S2371" s="109" t="s">
        <v>2209</v>
      </c>
      <c r="T2371" s="107" t="s">
        <v>432</v>
      </c>
      <c r="U2371" s="107" t="s">
        <v>432</v>
      </c>
      <c r="V2371" s="109" t="s">
        <v>2209</v>
      </c>
      <c r="W2371" s="107" t="s">
        <v>432</v>
      </c>
      <c r="X2371" s="107" t="s">
        <v>432</v>
      </c>
      <c r="Y2371" s="107" t="s">
        <v>432</v>
      </c>
      <c r="Z2371" s="107" t="s">
        <v>432</v>
      </c>
      <c r="AA2371" s="107" t="s">
        <v>432</v>
      </c>
      <c r="AB2371" s="107" t="s">
        <v>432</v>
      </c>
      <c r="AC2371" s="107" t="s">
        <v>432</v>
      </c>
      <c r="AD2371" s="107" t="s">
        <v>432</v>
      </c>
      <c r="AE2371" s="107" t="s">
        <v>432</v>
      </c>
      <c r="AF2371" s="107" t="s">
        <v>432</v>
      </c>
      <c r="AG2371" s="107" t="s">
        <v>432</v>
      </c>
      <c r="AH2371" s="107" t="s">
        <v>432</v>
      </c>
      <c r="AI2371" s="107" t="s">
        <v>432</v>
      </c>
      <c r="AJ2371" s="107" t="s">
        <v>432</v>
      </c>
      <c r="AK2371" s="137" t="s">
        <v>432</v>
      </c>
      <c r="AL2371" s="600" t="s">
        <v>432</v>
      </c>
      <c r="AM2371" s="137" t="s">
        <v>432</v>
      </c>
      <c r="AN2371" s="137" t="s">
        <v>432</v>
      </c>
      <c r="AO2371" s="137" t="s">
        <v>432</v>
      </c>
      <c r="AP2371" s="137" t="s">
        <v>432</v>
      </c>
      <c r="AQ2371" s="137" t="s">
        <v>432</v>
      </c>
      <c r="AR2371" s="137" t="s">
        <v>432</v>
      </c>
      <c r="AS2371" s="137" t="s">
        <v>432</v>
      </c>
      <c r="AT2371" s="137" t="s">
        <v>432</v>
      </c>
      <c r="AU2371" s="137" t="s">
        <v>432</v>
      </c>
      <c r="AV2371" s="137" t="s">
        <v>432</v>
      </c>
      <c r="AW2371" s="137" t="s">
        <v>432</v>
      </c>
      <c r="AX2371" s="137" t="s">
        <v>432</v>
      </c>
      <c r="AY2371" s="137" t="s">
        <v>432</v>
      </c>
      <c r="AZ2371" s="137" t="s">
        <v>432</v>
      </c>
      <c r="BA2371" s="137" t="s">
        <v>432</v>
      </c>
      <c r="BB2371" s="239" t="str">
        <f t="shared" si="706"/>
        <v>Sistema de transporte coletivo com um todox</v>
      </c>
      <c r="BC2371" s="239" t="str">
        <f t="shared" si="707"/>
        <v>Sistema de transporte coletivo com um todoxsigla/verbete</v>
      </c>
      <c r="BD2371" s="239" t="str">
        <f t="shared" si="708"/>
        <v>Sistema de transporte coletivo com um todosigla/verbete</v>
      </c>
    </row>
    <row r="2372" spans="1:67" s="3" customFormat="1" ht="51" x14ac:dyDescent="0.25">
      <c r="A2372" s="262" t="str">
        <f>'Q100b-totais'!B62</f>
        <v>8.10</v>
      </c>
      <c r="B2372" s="252" t="str">
        <f>'Q100b-totais'!C62</f>
        <v>Sistema de transporte coletivo com um todo</v>
      </c>
      <c r="C2372" s="167" t="s">
        <v>432</v>
      </c>
      <c r="D2372" s="847" t="s">
        <v>5567</v>
      </c>
      <c r="E2372" s="1496" t="s">
        <v>1283</v>
      </c>
      <c r="F2372" s="53" t="s">
        <v>5573</v>
      </c>
      <c r="G2372" s="230" t="s">
        <v>3507</v>
      </c>
      <c r="H2372" s="167" t="s">
        <v>2408</v>
      </c>
      <c r="I2372" s="167" t="s">
        <v>432</v>
      </c>
      <c r="J2372" s="107" t="s">
        <v>432</v>
      </c>
      <c r="K2372" s="107" t="s">
        <v>432</v>
      </c>
      <c r="L2372" s="107" t="s">
        <v>432</v>
      </c>
      <c r="M2372" s="107" t="s">
        <v>432</v>
      </c>
      <c r="N2372" s="107" t="s">
        <v>432</v>
      </c>
      <c r="O2372" s="107" t="s">
        <v>432</v>
      </c>
      <c r="P2372" s="107" t="s">
        <v>432</v>
      </c>
      <c r="Q2372" s="107" t="s">
        <v>432</v>
      </c>
      <c r="R2372" s="107" t="s">
        <v>432</v>
      </c>
      <c r="S2372" s="109" t="s">
        <v>2209</v>
      </c>
      <c r="T2372" s="107" t="s">
        <v>432</v>
      </c>
      <c r="U2372" s="107" t="s">
        <v>432</v>
      </c>
      <c r="V2372" s="109" t="s">
        <v>2209</v>
      </c>
      <c r="W2372" s="107" t="s">
        <v>432</v>
      </c>
      <c r="X2372" s="107" t="s">
        <v>432</v>
      </c>
      <c r="Y2372" s="107" t="s">
        <v>432</v>
      </c>
      <c r="Z2372" s="107" t="s">
        <v>432</v>
      </c>
      <c r="AA2372" s="107" t="s">
        <v>432</v>
      </c>
      <c r="AB2372" s="107" t="s">
        <v>432</v>
      </c>
      <c r="AC2372" s="107" t="s">
        <v>432</v>
      </c>
      <c r="AD2372" s="107" t="s">
        <v>432</v>
      </c>
      <c r="AE2372" s="107" t="s">
        <v>432</v>
      </c>
      <c r="AF2372" s="107" t="s">
        <v>432</v>
      </c>
      <c r="AG2372" s="107" t="s">
        <v>432</v>
      </c>
      <c r="AH2372" s="107" t="s">
        <v>432</v>
      </c>
      <c r="AI2372" s="107" t="s">
        <v>432</v>
      </c>
      <c r="AJ2372" s="107" t="s">
        <v>432</v>
      </c>
      <c r="AK2372" s="137" t="s">
        <v>432</v>
      </c>
      <c r="AL2372" s="600" t="s">
        <v>432</v>
      </c>
      <c r="AM2372" s="137" t="s">
        <v>432</v>
      </c>
      <c r="AN2372" s="137" t="s">
        <v>432</v>
      </c>
      <c r="AO2372" s="137" t="s">
        <v>432</v>
      </c>
      <c r="AP2372" s="137" t="s">
        <v>432</v>
      </c>
      <c r="AQ2372" s="137" t="s">
        <v>432</v>
      </c>
      <c r="AR2372" s="137" t="s">
        <v>432</v>
      </c>
      <c r="AS2372" s="137" t="s">
        <v>432</v>
      </c>
      <c r="AT2372" s="137" t="s">
        <v>432</v>
      </c>
      <c r="AU2372" s="137" t="s">
        <v>432</v>
      </c>
      <c r="AV2372" s="137" t="s">
        <v>432</v>
      </c>
      <c r="AW2372" s="137" t="s">
        <v>432</v>
      </c>
      <c r="AX2372" s="137" t="s">
        <v>432</v>
      </c>
      <c r="AY2372" s="137" t="s">
        <v>432</v>
      </c>
      <c r="AZ2372" s="137" t="s">
        <v>432</v>
      </c>
      <c r="BA2372" s="137" t="s">
        <v>432</v>
      </c>
      <c r="BB2372" s="239" t="str">
        <f t="shared" si="706"/>
        <v>Sistema de transporte coletivo com um todox</v>
      </c>
      <c r="BC2372" s="239" t="str">
        <f t="shared" si="707"/>
        <v>Sistema de transporte coletivo com um todoxsigla/verbete</v>
      </c>
      <c r="BD2372" s="239" t="str">
        <f t="shared" si="708"/>
        <v>Sistema de transporte coletivo com um todosigla/verbete</v>
      </c>
    </row>
    <row r="2373" spans="1:67" s="3" customFormat="1" ht="278.25" customHeight="1" x14ac:dyDescent="0.25">
      <c r="A2373" s="262" t="str">
        <f>'Q100b-totais'!B68</f>
        <v>9.5</v>
      </c>
      <c r="B2373" s="252" t="str">
        <f>'Q100b-totais'!C68</f>
        <v>Sinalização semafórica</v>
      </c>
      <c r="C2373" s="167" t="s">
        <v>743</v>
      </c>
      <c r="D2373" s="325" t="s">
        <v>6174</v>
      </c>
      <c r="E2373" s="509" t="s">
        <v>1767</v>
      </c>
      <c r="F2373" s="1172" t="s">
        <v>6192</v>
      </c>
      <c r="G2373" s="230" t="s">
        <v>3507</v>
      </c>
      <c r="H2373" s="167" t="s">
        <v>2408</v>
      </c>
      <c r="I2373" s="167" t="s">
        <v>432</v>
      </c>
      <c r="J2373" s="107" t="s">
        <v>432</v>
      </c>
      <c r="K2373" s="107" t="s">
        <v>432</v>
      </c>
      <c r="L2373" s="107" t="s">
        <v>432</v>
      </c>
      <c r="M2373" s="107" t="s">
        <v>432</v>
      </c>
      <c r="N2373" s="107" t="s">
        <v>432</v>
      </c>
      <c r="O2373" s="107" t="s">
        <v>432</v>
      </c>
      <c r="P2373" s="107" t="s">
        <v>432</v>
      </c>
      <c r="Q2373" s="107" t="s">
        <v>432</v>
      </c>
      <c r="R2373" s="107" t="s">
        <v>432</v>
      </c>
      <c r="S2373" s="109" t="s">
        <v>2209</v>
      </c>
      <c r="T2373" s="107" t="s">
        <v>432</v>
      </c>
      <c r="U2373" s="107" t="s">
        <v>432</v>
      </c>
      <c r="V2373" s="109" t="s">
        <v>2209</v>
      </c>
      <c r="W2373" s="107" t="s">
        <v>432</v>
      </c>
      <c r="X2373" s="107" t="s">
        <v>432</v>
      </c>
      <c r="Y2373" s="107" t="s">
        <v>432</v>
      </c>
      <c r="Z2373" s="107" t="s">
        <v>432</v>
      </c>
      <c r="AA2373" s="107" t="s">
        <v>432</v>
      </c>
      <c r="AB2373" s="107" t="s">
        <v>432</v>
      </c>
      <c r="AC2373" s="107" t="s">
        <v>432</v>
      </c>
      <c r="AD2373" s="107" t="s">
        <v>432</v>
      </c>
      <c r="AE2373" s="107" t="s">
        <v>432</v>
      </c>
      <c r="AF2373" s="107" t="s">
        <v>432</v>
      </c>
      <c r="AG2373" s="107" t="s">
        <v>432</v>
      </c>
      <c r="AH2373" s="107" t="s">
        <v>432</v>
      </c>
      <c r="AI2373" s="107" t="s">
        <v>432</v>
      </c>
      <c r="AJ2373" s="107" t="s">
        <v>432</v>
      </c>
      <c r="AK2373" s="137" t="s">
        <v>432</v>
      </c>
      <c r="AL2373" s="600" t="s">
        <v>432</v>
      </c>
      <c r="AM2373" s="137" t="s">
        <v>432</v>
      </c>
      <c r="AN2373" s="137" t="s">
        <v>432</v>
      </c>
      <c r="AO2373" s="137" t="s">
        <v>432</v>
      </c>
      <c r="AP2373" s="137" t="s">
        <v>432</v>
      </c>
      <c r="AQ2373" s="137" t="s">
        <v>432</v>
      </c>
      <c r="AR2373" s="137" t="s">
        <v>432</v>
      </c>
      <c r="AS2373" s="137" t="s">
        <v>432</v>
      </c>
      <c r="AT2373" s="137" t="s">
        <v>432</v>
      </c>
      <c r="AU2373" s="137" t="s">
        <v>432</v>
      </c>
      <c r="AV2373" s="137" t="s">
        <v>432</v>
      </c>
      <c r="AW2373" s="137" t="s">
        <v>432</v>
      </c>
      <c r="AX2373" s="137" t="s">
        <v>432</v>
      </c>
      <c r="AY2373" s="137" t="s">
        <v>432</v>
      </c>
      <c r="AZ2373" s="137" t="s">
        <v>432</v>
      </c>
      <c r="BA2373" s="137" t="s">
        <v>432</v>
      </c>
      <c r="BB2373" s="239" t="str">
        <f t="shared" si="706"/>
        <v>Sinalização semafóricaacessibilidade</v>
      </c>
      <c r="BC2373" s="239" t="str">
        <f t="shared" si="707"/>
        <v>Sinalização semafóricaacessibilidadesigla/verbete</v>
      </c>
      <c r="BD2373" s="239" t="str">
        <f t="shared" si="708"/>
        <v>Sinalização semafóricasigla/verbete</v>
      </c>
    </row>
    <row r="2374" spans="1:67" s="3" customFormat="1" ht="39.75" customHeight="1" x14ac:dyDescent="0.25">
      <c r="A2374" s="262" t="str">
        <f>'Q100b-totais'!B68</f>
        <v>9.5</v>
      </c>
      <c r="B2374" s="252" t="str">
        <f>'Q100b-totais'!C68</f>
        <v>Sinalização semafórica</v>
      </c>
      <c r="C2374" s="167" t="s">
        <v>743</v>
      </c>
      <c r="D2374" s="325" t="s">
        <v>6178</v>
      </c>
      <c r="E2374" s="509" t="s">
        <v>1767</v>
      </c>
      <c r="F2374" s="1172" t="s">
        <v>6177</v>
      </c>
      <c r="G2374" s="230" t="s">
        <v>3507</v>
      </c>
      <c r="H2374" s="167" t="s">
        <v>2408</v>
      </c>
      <c r="I2374" s="167" t="s">
        <v>432</v>
      </c>
      <c r="J2374" s="107" t="s">
        <v>432</v>
      </c>
      <c r="K2374" s="107" t="s">
        <v>432</v>
      </c>
      <c r="L2374" s="107" t="s">
        <v>432</v>
      </c>
      <c r="M2374" s="107" t="s">
        <v>432</v>
      </c>
      <c r="N2374" s="107" t="s">
        <v>432</v>
      </c>
      <c r="O2374" s="107" t="s">
        <v>432</v>
      </c>
      <c r="P2374" s="107" t="s">
        <v>432</v>
      </c>
      <c r="Q2374" s="107" t="s">
        <v>432</v>
      </c>
      <c r="R2374" s="107" t="s">
        <v>432</v>
      </c>
      <c r="S2374" s="109" t="s">
        <v>2209</v>
      </c>
      <c r="T2374" s="107" t="s">
        <v>432</v>
      </c>
      <c r="U2374" s="107" t="s">
        <v>432</v>
      </c>
      <c r="V2374" s="109" t="s">
        <v>2209</v>
      </c>
      <c r="W2374" s="107" t="s">
        <v>432</v>
      </c>
      <c r="X2374" s="107" t="s">
        <v>432</v>
      </c>
      <c r="Y2374" s="107" t="s">
        <v>432</v>
      </c>
      <c r="Z2374" s="107" t="s">
        <v>432</v>
      </c>
      <c r="AA2374" s="107" t="s">
        <v>432</v>
      </c>
      <c r="AB2374" s="107" t="s">
        <v>432</v>
      </c>
      <c r="AC2374" s="107" t="s">
        <v>432</v>
      </c>
      <c r="AD2374" s="107" t="s">
        <v>432</v>
      </c>
      <c r="AE2374" s="107" t="s">
        <v>432</v>
      </c>
      <c r="AF2374" s="107" t="s">
        <v>432</v>
      </c>
      <c r="AG2374" s="107" t="s">
        <v>432</v>
      </c>
      <c r="AH2374" s="107" t="s">
        <v>432</v>
      </c>
      <c r="AI2374" s="107" t="s">
        <v>432</v>
      </c>
      <c r="AJ2374" s="107" t="s">
        <v>432</v>
      </c>
      <c r="AK2374" s="137" t="s">
        <v>432</v>
      </c>
      <c r="AL2374" s="600" t="s">
        <v>432</v>
      </c>
      <c r="AM2374" s="137" t="s">
        <v>432</v>
      </c>
      <c r="AN2374" s="137" t="s">
        <v>432</v>
      </c>
      <c r="AO2374" s="137" t="s">
        <v>432</v>
      </c>
      <c r="AP2374" s="137" t="s">
        <v>432</v>
      </c>
      <c r="AQ2374" s="137" t="s">
        <v>432</v>
      </c>
      <c r="AR2374" s="137" t="s">
        <v>432</v>
      </c>
      <c r="AS2374" s="137" t="s">
        <v>432</v>
      </c>
      <c r="AT2374" s="137" t="s">
        <v>432</v>
      </c>
      <c r="AU2374" s="137" t="s">
        <v>432</v>
      </c>
      <c r="AV2374" s="137" t="s">
        <v>432</v>
      </c>
      <c r="AW2374" s="137" t="s">
        <v>432</v>
      </c>
      <c r="AX2374" s="137" t="s">
        <v>432</v>
      </c>
      <c r="AY2374" s="137" t="s">
        <v>432</v>
      </c>
      <c r="AZ2374" s="137" t="s">
        <v>432</v>
      </c>
      <c r="BA2374" s="137" t="s">
        <v>432</v>
      </c>
      <c r="BB2374" s="239" t="str">
        <f t="shared" si="706"/>
        <v>Sinalização semafóricaacessibilidade</v>
      </c>
      <c r="BC2374" s="239" t="str">
        <f t="shared" si="707"/>
        <v>Sinalização semafóricaacessibilidadesigla/verbete</v>
      </c>
      <c r="BD2374" s="239" t="str">
        <f t="shared" si="708"/>
        <v>Sinalização semafóricasigla/verbete</v>
      </c>
    </row>
    <row r="2375" spans="1:67" s="3" customFormat="1" ht="51" x14ac:dyDescent="0.25">
      <c r="A2375" s="262" t="str">
        <f>'Q100b-totais'!B62</f>
        <v>8.10</v>
      </c>
      <c r="B2375" s="252" t="str">
        <f>'Q100b-totais'!C62</f>
        <v>Sistema de transporte coletivo com um todo</v>
      </c>
      <c r="C2375" s="167" t="s">
        <v>432</v>
      </c>
      <c r="D2375" s="847" t="s">
        <v>6003</v>
      </c>
      <c r="E2375" s="1496" t="s">
        <v>1767</v>
      </c>
      <c r="F2375" s="53" t="s">
        <v>6004</v>
      </c>
      <c r="G2375" s="230" t="s">
        <v>3507</v>
      </c>
      <c r="H2375" s="167" t="s">
        <v>2408</v>
      </c>
      <c r="I2375" s="167" t="s">
        <v>432</v>
      </c>
      <c r="J2375" s="107" t="s">
        <v>432</v>
      </c>
      <c r="K2375" s="107" t="s">
        <v>432</v>
      </c>
      <c r="L2375" s="107" t="s">
        <v>432</v>
      </c>
      <c r="M2375" s="107" t="s">
        <v>432</v>
      </c>
      <c r="N2375" s="107" t="s">
        <v>432</v>
      </c>
      <c r="O2375" s="107" t="s">
        <v>432</v>
      </c>
      <c r="P2375" s="107" t="s">
        <v>432</v>
      </c>
      <c r="Q2375" s="107" t="s">
        <v>432</v>
      </c>
      <c r="R2375" s="107" t="s">
        <v>432</v>
      </c>
      <c r="S2375" s="109" t="s">
        <v>2209</v>
      </c>
      <c r="T2375" s="107" t="s">
        <v>432</v>
      </c>
      <c r="U2375" s="107" t="s">
        <v>432</v>
      </c>
      <c r="V2375" s="109" t="s">
        <v>2209</v>
      </c>
      <c r="W2375" s="107" t="s">
        <v>432</v>
      </c>
      <c r="X2375" s="107" t="s">
        <v>432</v>
      </c>
      <c r="Y2375" s="107" t="s">
        <v>432</v>
      </c>
      <c r="Z2375" s="107" t="s">
        <v>432</v>
      </c>
      <c r="AA2375" s="107" t="s">
        <v>432</v>
      </c>
      <c r="AB2375" s="107" t="s">
        <v>432</v>
      </c>
      <c r="AC2375" s="107" t="s">
        <v>432</v>
      </c>
      <c r="AD2375" s="107" t="s">
        <v>432</v>
      </c>
      <c r="AE2375" s="107" t="s">
        <v>432</v>
      </c>
      <c r="AF2375" s="107" t="s">
        <v>432</v>
      </c>
      <c r="AG2375" s="107" t="s">
        <v>432</v>
      </c>
      <c r="AH2375" s="107" t="s">
        <v>432</v>
      </c>
      <c r="AI2375" s="107" t="s">
        <v>432</v>
      </c>
      <c r="AJ2375" s="107" t="s">
        <v>432</v>
      </c>
      <c r="AK2375" s="137" t="s">
        <v>432</v>
      </c>
      <c r="AL2375" s="600" t="s">
        <v>432</v>
      </c>
      <c r="AM2375" s="137" t="s">
        <v>432</v>
      </c>
      <c r="AN2375" s="137" t="s">
        <v>432</v>
      </c>
      <c r="AO2375" s="137" t="s">
        <v>432</v>
      </c>
      <c r="AP2375" s="137" t="s">
        <v>432</v>
      </c>
      <c r="AQ2375" s="137" t="s">
        <v>432</v>
      </c>
      <c r="AR2375" s="137" t="s">
        <v>432</v>
      </c>
      <c r="AS2375" s="137" t="s">
        <v>432</v>
      </c>
      <c r="AT2375" s="137" t="s">
        <v>432</v>
      </c>
      <c r="AU2375" s="137" t="s">
        <v>432</v>
      </c>
      <c r="AV2375" s="137" t="s">
        <v>432</v>
      </c>
      <c r="AW2375" s="137" t="s">
        <v>432</v>
      </c>
      <c r="AX2375" s="137" t="s">
        <v>432</v>
      </c>
      <c r="AY2375" s="137" t="s">
        <v>432</v>
      </c>
      <c r="AZ2375" s="137" t="s">
        <v>432</v>
      </c>
      <c r="BA2375" s="137" t="s">
        <v>432</v>
      </c>
      <c r="BB2375" s="239" t="str">
        <f t="shared" si="706"/>
        <v>Sistema de transporte coletivo com um todox</v>
      </c>
      <c r="BC2375" s="239" t="str">
        <f t="shared" si="707"/>
        <v>Sistema de transporte coletivo com um todoxsigla/verbete</v>
      </c>
      <c r="BD2375" s="239" t="str">
        <f t="shared" si="708"/>
        <v>Sistema de transporte coletivo com um todosigla/verbete</v>
      </c>
    </row>
    <row r="2376" spans="1:67" s="3" customFormat="1" ht="38.25" x14ac:dyDescent="0.25">
      <c r="A2376" s="262" t="str">
        <f>'Q100b-totais'!B22</f>
        <v>2.7</v>
      </c>
      <c r="B2376" s="252" t="str">
        <f>'Q100b-totais'!C22</f>
        <v>Outras cidades/regiões</v>
      </c>
      <c r="C2376" s="167" t="s">
        <v>743</v>
      </c>
      <c r="D2376" s="325" t="s">
        <v>3039</v>
      </c>
      <c r="E2376" s="1445" t="s">
        <v>3039</v>
      </c>
      <c r="F2376" s="252" t="s">
        <v>4258</v>
      </c>
      <c r="G2376" s="230" t="s">
        <v>3507</v>
      </c>
      <c r="H2376" s="167" t="s">
        <v>2408</v>
      </c>
      <c r="I2376" s="167" t="s">
        <v>432</v>
      </c>
      <c r="J2376" s="107" t="s">
        <v>432</v>
      </c>
      <c r="K2376" s="107" t="s">
        <v>432</v>
      </c>
      <c r="L2376" s="107" t="s">
        <v>432</v>
      </c>
      <c r="M2376" s="107" t="s">
        <v>432</v>
      </c>
      <c r="N2376" s="107" t="s">
        <v>432</v>
      </c>
      <c r="O2376" s="107" t="s">
        <v>432</v>
      </c>
      <c r="P2376" s="107" t="s">
        <v>432</v>
      </c>
      <c r="Q2376" s="107" t="s">
        <v>432</v>
      </c>
      <c r="R2376" s="107" t="s">
        <v>432</v>
      </c>
      <c r="S2376" s="109" t="s">
        <v>2209</v>
      </c>
      <c r="T2376" s="107" t="s">
        <v>432</v>
      </c>
      <c r="U2376" s="107" t="s">
        <v>432</v>
      </c>
      <c r="V2376" s="109" t="s">
        <v>2209</v>
      </c>
      <c r="W2376" s="107" t="s">
        <v>432</v>
      </c>
      <c r="X2376" s="107" t="s">
        <v>432</v>
      </c>
      <c r="Y2376" s="107" t="s">
        <v>432</v>
      </c>
      <c r="Z2376" s="107" t="s">
        <v>432</v>
      </c>
      <c r="AA2376" s="107" t="s">
        <v>432</v>
      </c>
      <c r="AB2376" s="107" t="s">
        <v>432</v>
      </c>
      <c r="AC2376" s="107" t="s">
        <v>432</v>
      </c>
      <c r="AD2376" s="107" t="s">
        <v>432</v>
      </c>
      <c r="AE2376" s="107" t="s">
        <v>432</v>
      </c>
      <c r="AF2376" s="107" t="s">
        <v>432</v>
      </c>
      <c r="AG2376" s="107" t="s">
        <v>432</v>
      </c>
      <c r="AH2376" s="107" t="s">
        <v>432</v>
      </c>
      <c r="AI2376" s="107" t="s">
        <v>432</v>
      </c>
      <c r="AJ2376" s="107" t="s">
        <v>432</v>
      </c>
      <c r="AK2376" s="107" t="s">
        <v>432</v>
      </c>
      <c r="AL2376" s="601" t="s">
        <v>432</v>
      </c>
      <c r="AM2376" s="137" t="s">
        <v>432</v>
      </c>
      <c r="AN2376" s="137" t="s">
        <v>432</v>
      </c>
      <c r="AO2376" s="137" t="s">
        <v>432</v>
      </c>
      <c r="AP2376" s="137" t="s">
        <v>432</v>
      </c>
      <c r="AQ2376" s="137" t="s">
        <v>432</v>
      </c>
      <c r="AR2376" s="137" t="s">
        <v>432</v>
      </c>
      <c r="AS2376" s="137" t="s">
        <v>432</v>
      </c>
      <c r="AT2376" s="137" t="s">
        <v>432</v>
      </c>
      <c r="AU2376" s="137" t="s">
        <v>432</v>
      </c>
      <c r="AV2376" s="137" t="s">
        <v>432</v>
      </c>
      <c r="AW2376" s="137" t="s">
        <v>432</v>
      </c>
      <c r="AX2376" s="137" t="s">
        <v>432</v>
      </c>
      <c r="AY2376" s="137" t="s">
        <v>432</v>
      </c>
      <c r="AZ2376" s="137" t="s">
        <v>432</v>
      </c>
      <c r="BA2376" s="137" t="s">
        <v>432</v>
      </c>
      <c r="BB2376" s="239" t="str">
        <f t="shared" si="706"/>
        <v>Outras cidades/regiõesacessibilidade</v>
      </c>
      <c r="BC2376" s="239" t="str">
        <f t="shared" si="707"/>
        <v>Outras cidades/regiõesacessibilidadesigla/verbete</v>
      </c>
      <c r="BD2376" s="239" t="str">
        <f t="shared" si="708"/>
        <v>Outras cidades/regiõessigla/verbete</v>
      </c>
    </row>
    <row r="2377" spans="1:67" s="1" customFormat="1" ht="38.25" customHeight="1" x14ac:dyDescent="0.25">
      <c r="A2377" s="262" t="s">
        <v>432</v>
      </c>
      <c r="B2377" s="252" t="s">
        <v>742</v>
      </c>
      <c r="C2377" s="167" t="s">
        <v>432</v>
      </c>
      <c r="D2377" s="323" t="s">
        <v>2078</v>
      </c>
      <c r="E2377" s="1496" t="s">
        <v>432</v>
      </c>
      <c r="F2377" s="252" t="s">
        <v>2080</v>
      </c>
      <c r="G2377" s="167" t="s">
        <v>3879</v>
      </c>
      <c r="H2377" s="167" t="s">
        <v>432</v>
      </c>
      <c r="I2377" s="167" t="s">
        <v>432</v>
      </c>
      <c r="J2377" s="109" t="s">
        <v>432</v>
      </c>
      <c r="K2377" s="109" t="s">
        <v>432</v>
      </c>
      <c r="L2377" s="109" t="s">
        <v>432</v>
      </c>
      <c r="M2377" s="109" t="s">
        <v>432</v>
      </c>
      <c r="N2377" s="109" t="s">
        <v>432</v>
      </c>
      <c r="O2377" s="109" t="s">
        <v>432</v>
      </c>
      <c r="P2377" s="109" t="s">
        <v>432</v>
      </c>
      <c r="Q2377" s="109" t="s">
        <v>432</v>
      </c>
      <c r="R2377" s="109" t="s">
        <v>432</v>
      </c>
      <c r="S2377" s="109" t="s">
        <v>2209</v>
      </c>
      <c r="T2377" s="109" t="s">
        <v>432</v>
      </c>
      <c r="U2377" s="109" t="s">
        <v>432</v>
      </c>
      <c r="V2377" s="109" t="s">
        <v>2209</v>
      </c>
      <c r="W2377" s="109" t="s">
        <v>432</v>
      </c>
      <c r="X2377" s="109" t="s">
        <v>432</v>
      </c>
      <c r="Y2377" s="109" t="s">
        <v>432</v>
      </c>
      <c r="Z2377" s="109" t="s">
        <v>432</v>
      </c>
      <c r="AA2377" s="109" t="s">
        <v>432</v>
      </c>
      <c r="AB2377" s="109" t="s">
        <v>432</v>
      </c>
      <c r="AC2377" s="109" t="s">
        <v>432</v>
      </c>
      <c r="AD2377" s="109" t="s">
        <v>432</v>
      </c>
      <c r="AE2377" s="109" t="s">
        <v>432</v>
      </c>
      <c r="AF2377" s="109" t="s">
        <v>432</v>
      </c>
      <c r="AG2377" s="109" t="s">
        <v>432</v>
      </c>
      <c r="AH2377" s="109" t="s">
        <v>432</v>
      </c>
      <c r="AI2377" s="109" t="s">
        <v>432</v>
      </c>
      <c r="AJ2377" s="109" t="s">
        <v>432</v>
      </c>
      <c r="AK2377" s="137" t="s">
        <v>432</v>
      </c>
      <c r="AL2377" s="601" t="s">
        <v>432</v>
      </c>
      <c r="AM2377" s="137" t="s">
        <v>432</v>
      </c>
      <c r="AN2377" s="137" t="s">
        <v>432</v>
      </c>
      <c r="AO2377" s="137" t="s">
        <v>432</v>
      </c>
      <c r="AP2377" s="137" t="s">
        <v>432</v>
      </c>
      <c r="AQ2377" s="137" t="s">
        <v>432</v>
      </c>
      <c r="AR2377" s="137" t="s">
        <v>432</v>
      </c>
      <c r="AS2377" s="137" t="s">
        <v>432</v>
      </c>
      <c r="AT2377" s="137" t="s">
        <v>432</v>
      </c>
      <c r="AU2377" s="137" t="s">
        <v>432</v>
      </c>
      <c r="AV2377" s="137" t="s">
        <v>432</v>
      </c>
      <c r="AW2377" s="137" t="s">
        <v>432</v>
      </c>
      <c r="AX2377" s="137" t="s">
        <v>432</v>
      </c>
      <c r="AY2377" s="137" t="s">
        <v>432</v>
      </c>
      <c r="AZ2377" s="137" t="s">
        <v>432</v>
      </c>
      <c r="BA2377" s="137" t="s">
        <v>432</v>
      </c>
      <c r="BB2377" s="239" t="str">
        <f t="shared" si="700"/>
        <v>geralx</v>
      </c>
      <c r="BC2377" s="239" t="str">
        <f t="shared" si="701"/>
        <v>geralxx</v>
      </c>
      <c r="BD2377" s="239" t="str">
        <f t="shared" si="702"/>
        <v>geralx</v>
      </c>
      <c r="BM2377" s="527"/>
      <c r="BN2377" s="527"/>
      <c r="BO2377" s="527"/>
    </row>
    <row r="2378" spans="1:67" s="1" customFormat="1" ht="38.25" customHeight="1" x14ac:dyDescent="0.25">
      <c r="A2378" s="262" t="s">
        <v>432</v>
      </c>
      <c r="B2378" s="252" t="s">
        <v>742</v>
      </c>
      <c r="C2378" s="167" t="s">
        <v>432</v>
      </c>
      <c r="D2378" s="323" t="s">
        <v>378</v>
      </c>
      <c r="E2378" s="1496" t="s">
        <v>432</v>
      </c>
      <c r="F2378" s="11" t="s">
        <v>874</v>
      </c>
      <c r="G2378" s="167" t="s">
        <v>3879</v>
      </c>
      <c r="H2378" s="167" t="s">
        <v>432</v>
      </c>
      <c r="I2378" s="167" t="s">
        <v>432</v>
      </c>
      <c r="J2378" s="109" t="s">
        <v>432</v>
      </c>
      <c r="K2378" s="109" t="s">
        <v>432</v>
      </c>
      <c r="L2378" s="109" t="s">
        <v>432</v>
      </c>
      <c r="M2378" s="109" t="s">
        <v>432</v>
      </c>
      <c r="N2378" s="109" t="s">
        <v>432</v>
      </c>
      <c r="O2378" s="109" t="s">
        <v>432</v>
      </c>
      <c r="P2378" s="109" t="s">
        <v>432</v>
      </c>
      <c r="Q2378" s="109" t="s">
        <v>432</v>
      </c>
      <c r="R2378" s="109" t="s">
        <v>432</v>
      </c>
      <c r="S2378" s="109" t="s">
        <v>2209</v>
      </c>
      <c r="T2378" s="109" t="s">
        <v>432</v>
      </c>
      <c r="U2378" s="109" t="s">
        <v>432</v>
      </c>
      <c r="V2378" s="109" t="s">
        <v>2209</v>
      </c>
      <c r="W2378" s="109" t="s">
        <v>432</v>
      </c>
      <c r="X2378" s="109" t="s">
        <v>432</v>
      </c>
      <c r="Y2378" s="109" t="s">
        <v>432</v>
      </c>
      <c r="Z2378" s="109" t="s">
        <v>432</v>
      </c>
      <c r="AA2378" s="109" t="s">
        <v>432</v>
      </c>
      <c r="AB2378" s="109" t="s">
        <v>432</v>
      </c>
      <c r="AC2378" s="109" t="s">
        <v>432</v>
      </c>
      <c r="AD2378" s="109" t="s">
        <v>432</v>
      </c>
      <c r="AE2378" s="109" t="s">
        <v>432</v>
      </c>
      <c r="AF2378" s="109" t="s">
        <v>432</v>
      </c>
      <c r="AG2378" s="109" t="s">
        <v>432</v>
      </c>
      <c r="AH2378" s="109" t="s">
        <v>432</v>
      </c>
      <c r="AI2378" s="109" t="s">
        <v>432</v>
      </c>
      <c r="AJ2378" s="109" t="s">
        <v>432</v>
      </c>
      <c r="AK2378" s="137" t="s">
        <v>432</v>
      </c>
      <c r="AL2378" s="601" t="s">
        <v>432</v>
      </c>
      <c r="AM2378" s="137" t="s">
        <v>432</v>
      </c>
      <c r="AN2378" s="137" t="s">
        <v>432</v>
      </c>
      <c r="AO2378" s="137" t="s">
        <v>432</v>
      </c>
      <c r="AP2378" s="137" t="s">
        <v>432</v>
      </c>
      <c r="AQ2378" s="137" t="s">
        <v>432</v>
      </c>
      <c r="AR2378" s="137" t="s">
        <v>432</v>
      </c>
      <c r="AS2378" s="137" t="s">
        <v>432</v>
      </c>
      <c r="AT2378" s="137" t="s">
        <v>432</v>
      </c>
      <c r="AU2378" s="137" t="s">
        <v>432</v>
      </c>
      <c r="AV2378" s="137" t="s">
        <v>432</v>
      </c>
      <c r="AW2378" s="137" t="s">
        <v>432</v>
      </c>
      <c r="AX2378" s="137" t="s">
        <v>432</v>
      </c>
      <c r="AY2378" s="137" t="s">
        <v>432</v>
      </c>
      <c r="AZ2378" s="137" t="s">
        <v>432</v>
      </c>
      <c r="BA2378" s="137" t="s">
        <v>432</v>
      </c>
      <c r="BB2378" s="239" t="str">
        <f t="shared" si="700"/>
        <v>geralx</v>
      </c>
      <c r="BC2378" s="239" t="str">
        <f t="shared" si="701"/>
        <v>geralxx</v>
      </c>
      <c r="BD2378" s="239" t="str">
        <f t="shared" si="702"/>
        <v>geralx</v>
      </c>
      <c r="BM2378" s="176"/>
      <c r="BN2378" s="176"/>
      <c r="BO2378" s="176"/>
    </row>
    <row r="2379" spans="1:67" s="3" customFormat="1" ht="51" x14ac:dyDescent="0.25">
      <c r="A2379" s="262" t="str">
        <f>'Q100b-totais'!B62</f>
        <v>8.10</v>
      </c>
      <c r="B2379" s="252" t="str">
        <f>'Q100b-totais'!C62</f>
        <v>Sistema de transporte coletivo com um todo</v>
      </c>
      <c r="C2379" s="167" t="s">
        <v>743</v>
      </c>
      <c r="D2379" s="325" t="s">
        <v>5211</v>
      </c>
      <c r="E2379" s="1509" t="s">
        <v>1767</v>
      </c>
      <c r="F2379" s="53" t="s">
        <v>5210</v>
      </c>
      <c r="G2379" s="167" t="s">
        <v>3879</v>
      </c>
      <c r="H2379" s="167" t="s">
        <v>432</v>
      </c>
      <c r="I2379" s="167" t="s">
        <v>432</v>
      </c>
      <c r="J2379" s="107" t="s">
        <v>432</v>
      </c>
      <c r="K2379" s="107" t="s">
        <v>432</v>
      </c>
      <c r="L2379" s="107" t="s">
        <v>432</v>
      </c>
      <c r="M2379" s="107" t="s">
        <v>432</v>
      </c>
      <c r="N2379" s="107" t="s">
        <v>432</v>
      </c>
      <c r="O2379" s="107" t="s">
        <v>432</v>
      </c>
      <c r="P2379" s="107" t="s">
        <v>432</v>
      </c>
      <c r="Q2379" s="107" t="s">
        <v>432</v>
      </c>
      <c r="R2379" s="107" t="s">
        <v>432</v>
      </c>
      <c r="S2379" s="109" t="s">
        <v>2209</v>
      </c>
      <c r="T2379" s="107" t="s">
        <v>432</v>
      </c>
      <c r="U2379" s="107" t="s">
        <v>432</v>
      </c>
      <c r="V2379" s="109" t="s">
        <v>2209</v>
      </c>
      <c r="W2379" s="107" t="s">
        <v>432</v>
      </c>
      <c r="X2379" s="107" t="s">
        <v>432</v>
      </c>
      <c r="Y2379" s="107" t="s">
        <v>432</v>
      </c>
      <c r="Z2379" s="107" t="s">
        <v>432</v>
      </c>
      <c r="AA2379" s="107" t="s">
        <v>432</v>
      </c>
      <c r="AB2379" s="107" t="s">
        <v>432</v>
      </c>
      <c r="AC2379" s="107" t="s">
        <v>432</v>
      </c>
      <c r="AD2379" s="107" t="s">
        <v>432</v>
      </c>
      <c r="AE2379" s="107" t="s">
        <v>432</v>
      </c>
      <c r="AF2379" s="107" t="s">
        <v>432</v>
      </c>
      <c r="AG2379" s="107" t="s">
        <v>432</v>
      </c>
      <c r="AH2379" s="107" t="s">
        <v>432</v>
      </c>
      <c r="AI2379" s="107" t="s">
        <v>432</v>
      </c>
      <c r="AJ2379" s="107" t="s">
        <v>432</v>
      </c>
      <c r="AK2379" s="137" t="s">
        <v>432</v>
      </c>
      <c r="AL2379" s="600" t="s">
        <v>432</v>
      </c>
      <c r="AM2379" s="137" t="s">
        <v>432</v>
      </c>
      <c r="AN2379" s="137" t="s">
        <v>432</v>
      </c>
      <c r="AO2379" s="137" t="s">
        <v>432</v>
      </c>
      <c r="AP2379" s="137" t="s">
        <v>432</v>
      </c>
      <c r="AQ2379" s="137" t="s">
        <v>432</v>
      </c>
      <c r="AR2379" s="137" t="s">
        <v>432</v>
      </c>
      <c r="AS2379" s="137" t="s">
        <v>432</v>
      </c>
      <c r="AT2379" s="137" t="s">
        <v>432</v>
      </c>
      <c r="AU2379" s="137" t="s">
        <v>432</v>
      </c>
      <c r="AV2379" s="137" t="s">
        <v>432</v>
      </c>
      <c r="AW2379" s="137" t="s">
        <v>432</v>
      </c>
      <c r="AX2379" s="137" t="s">
        <v>432</v>
      </c>
      <c r="AY2379" s="137" t="s">
        <v>432</v>
      </c>
      <c r="AZ2379" s="137" t="s">
        <v>432</v>
      </c>
      <c r="BA2379" s="137" t="s">
        <v>432</v>
      </c>
      <c r="BB2379" s="239" t="str">
        <f>B2379&amp;C2379</f>
        <v>Sistema de transporte coletivo com um todoacessibilidade</v>
      </c>
      <c r="BC2379" s="239" t="str">
        <f>B2379&amp;C2379&amp;H2379</f>
        <v>Sistema de transporte coletivo com um todoacessibilidadex</v>
      </c>
      <c r="BD2379" s="239" t="str">
        <f>B2379&amp;H2379</f>
        <v>Sistema de transporte coletivo com um todox</v>
      </c>
    </row>
    <row r="2380" spans="1:67" ht="63.75" customHeight="1" x14ac:dyDescent="0.25">
      <c r="A2380" s="262" t="s">
        <v>432</v>
      </c>
      <c r="B2380" s="252" t="s">
        <v>742</v>
      </c>
      <c r="C2380" s="167" t="s">
        <v>432</v>
      </c>
      <c r="D2380" s="325" t="s">
        <v>379</v>
      </c>
      <c r="E2380" s="1496" t="s">
        <v>432</v>
      </c>
      <c r="F2380" s="165" t="s">
        <v>380</v>
      </c>
      <c r="G2380" s="167" t="s">
        <v>3879</v>
      </c>
      <c r="H2380" s="167" t="s">
        <v>432</v>
      </c>
      <c r="I2380" s="167" t="s">
        <v>432</v>
      </c>
      <c r="J2380" s="107" t="s">
        <v>432</v>
      </c>
      <c r="K2380" s="107" t="s">
        <v>432</v>
      </c>
      <c r="L2380" s="107" t="s">
        <v>432</v>
      </c>
      <c r="M2380" s="107" t="s">
        <v>432</v>
      </c>
      <c r="N2380" s="107" t="s">
        <v>432</v>
      </c>
      <c r="O2380" s="107" t="s">
        <v>432</v>
      </c>
      <c r="P2380" s="107" t="s">
        <v>432</v>
      </c>
      <c r="Q2380" s="107" t="s">
        <v>432</v>
      </c>
      <c r="R2380" s="107" t="s">
        <v>432</v>
      </c>
      <c r="S2380" s="109" t="s">
        <v>2209</v>
      </c>
      <c r="T2380" s="107" t="s">
        <v>432</v>
      </c>
      <c r="U2380" s="107" t="s">
        <v>432</v>
      </c>
      <c r="V2380" s="109" t="s">
        <v>2209</v>
      </c>
      <c r="W2380" s="107" t="s">
        <v>432</v>
      </c>
      <c r="X2380" s="107" t="s">
        <v>432</v>
      </c>
      <c r="Y2380" s="107" t="s">
        <v>432</v>
      </c>
      <c r="Z2380" s="107" t="s">
        <v>432</v>
      </c>
      <c r="AA2380" s="107" t="s">
        <v>432</v>
      </c>
      <c r="AB2380" s="107" t="s">
        <v>432</v>
      </c>
      <c r="AC2380" s="107" t="s">
        <v>432</v>
      </c>
      <c r="AD2380" s="107" t="s">
        <v>432</v>
      </c>
      <c r="AE2380" s="107" t="s">
        <v>432</v>
      </c>
      <c r="AF2380" s="107" t="s">
        <v>432</v>
      </c>
      <c r="AG2380" s="107" t="s">
        <v>432</v>
      </c>
      <c r="AH2380" s="107" t="s">
        <v>432</v>
      </c>
      <c r="AI2380" s="107" t="s">
        <v>432</v>
      </c>
      <c r="AJ2380" s="107" t="s">
        <v>432</v>
      </c>
      <c r="AK2380" s="137" t="s">
        <v>432</v>
      </c>
      <c r="AL2380" s="601" t="s">
        <v>432</v>
      </c>
      <c r="AM2380" s="137" t="s">
        <v>432</v>
      </c>
      <c r="AN2380" s="137" t="s">
        <v>432</v>
      </c>
      <c r="AO2380" s="137" t="s">
        <v>432</v>
      </c>
      <c r="AP2380" s="137" t="s">
        <v>432</v>
      </c>
      <c r="AQ2380" s="137" t="s">
        <v>432</v>
      </c>
      <c r="AR2380" s="137" t="s">
        <v>432</v>
      </c>
      <c r="AS2380" s="137" t="s">
        <v>432</v>
      </c>
      <c r="AT2380" s="137" t="s">
        <v>432</v>
      </c>
      <c r="AU2380" s="137" t="s">
        <v>432</v>
      </c>
      <c r="AV2380" s="137" t="s">
        <v>432</v>
      </c>
      <c r="AW2380" s="137" t="s">
        <v>432</v>
      </c>
      <c r="AX2380" s="137" t="s">
        <v>432</v>
      </c>
      <c r="AY2380" s="137" t="s">
        <v>432</v>
      </c>
      <c r="AZ2380" s="137" t="s">
        <v>432</v>
      </c>
      <c r="BA2380" s="137" t="s">
        <v>432</v>
      </c>
      <c r="BB2380" s="239" t="str">
        <f t="shared" si="700"/>
        <v>geralx</v>
      </c>
      <c r="BC2380" s="239" t="str">
        <f t="shared" si="701"/>
        <v>geralxx</v>
      </c>
      <c r="BD2380" s="239" t="str">
        <f t="shared" si="702"/>
        <v>geralx</v>
      </c>
      <c r="BM2380" s="19"/>
      <c r="BN2380" s="19"/>
      <c r="BO2380" s="19"/>
    </row>
    <row r="2381" spans="1:67" s="105" customFormat="1" ht="63.75" customHeight="1" x14ac:dyDescent="0.25">
      <c r="A2381" s="262" t="s">
        <v>589</v>
      </c>
      <c r="B2381" s="53" t="s">
        <v>863</v>
      </c>
      <c r="C2381" s="229"/>
      <c r="D2381" s="948" t="s">
        <v>1058</v>
      </c>
      <c r="E2381" s="1512" t="s">
        <v>1306</v>
      </c>
      <c r="F2381" s="188" t="s">
        <v>1559</v>
      </c>
      <c r="G2381" s="423" t="s">
        <v>77</v>
      </c>
      <c r="H2381" s="167" t="s">
        <v>432</v>
      </c>
      <c r="I2381" s="167">
        <v>1</v>
      </c>
      <c r="J2381" s="109" t="s">
        <v>432</v>
      </c>
      <c r="K2381" s="109" t="s">
        <v>432</v>
      </c>
      <c r="L2381" s="109" t="s">
        <v>432</v>
      </c>
      <c r="M2381" s="109" t="s">
        <v>432</v>
      </c>
      <c r="N2381" s="109" t="s">
        <v>432</v>
      </c>
      <c r="O2381" s="109" t="s">
        <v>432</v>
      </c>
      <c r="P2381" s="109" t="s">
        <v>432</v>
      </c>
      <c r="Q2381" s="109" t="s">
        <v>432</v>
      </c>
      <c r="R2381" s="109" t="s">
        <v>432</v>
      </c>
      <c r="S2381" s="109" t="s">
        <v>2209</v>
      </c>
      <c r="T2381" s="109" t="s">
        <v>432</v>
      </c>
      <c r="U2381" s="109" t="s">
        <v>432</v>
      </c>
      <c r="V2381" s="109" t="s">
        <v>2209</v>
      </c>
      <c r="W2381" s="109" t="s">
        <v>432</v>
      </c>
      <c r="X2381" s="110">
        <v>1.1399999999999999</v>
      </c>
      <c r="Y2381" s="109" t="s">
        <v>432</v>
      </c>
      <c r="Z2381" s="109" t="s">
        <v>432</v>
      </c>
      <c r="AA2381" s="109" t="s">
        <v>432</v>
      </c>
      <c r="AB2381" s="109" t="s">
        <v>432</v>
      </c>
      <c r="AC2381" s="109" t="s">
        <v>432</v>
      </c>
      <c r="AD2381" s="110">
        <v>1.1399999999999999</v>
      </c>
      <c r="AE2381" s="109" t="s">
        <v>432</v>
      </c>
      <c r="AF2381" s="109" t="s">
        <v>432</v>
      </c>
      <c r="AG2381" s="109" t="s">
        <v>432</v>
      </c>
      <c r="AH2381" s="109" t="s">
        <v>432</v>
      </c>
      <c r="AI2381" s="109" t="s">
        <v>432</v>
      </c>
      <c r="AJ2381" s="109" t="s">
        <v>432</v>
      </c>
      <c r="AK2381" s="109" t="s">
        <v>432</v>
      </c>
      <c r="AL2381" s="601" t="s">
        <v>432</v>
      </c>
      <c r="AM2381" s="137" t="s">
        <v>432</v>
      </c>
      <c r="AN2381" s="137" t="s">
        <v>432</v>
      </c>
      <c r="AO2381" s="137" t="s">
        <v>432</v>
      </c>
      <c r="AP2381" s="137" t="s">
        <v>432</v>
      </c>
      <c r="AQ2381" s="137" t="s">
        <v>432</v>
      </c>
      <c r="AR2381" s="137" t="s">
        <v>432</v>
      </c>
      <c r="AS2381" s="137" t="s">
        <v>432</v>
      </c>
      <c r="AT2381" s="137" t="s">
        <v>432</v>
      </c>
      <c r="AU2381" s="137" t="s">
        <v>432</v>
      </c>
      <c r="AV2381" s="137" t="s">
        <v>432</v>
      </c>
      <c r="AW2381" s="137" t="s">
        <v>432</v>
      </c>
      <c r="AX2381" s="137" t="s">
        <v>432</v>
      </c>
      <c r="AY2381" s="137" t="s">
        <v>432</v>
      </c>
      <c r="AZ2381" s="137" t="s">
        <v>432</v>
      </c>
      <c r="BA2381" s="137" t="s">
        <v>432</v>
      </c>
      <c r="BB2381" s="239" t="str">
        <f t="shared" si="700"/>
        <v>Distribuição modal em pesquisas origem/destino</v>
      </c>
      <c r="BC2381" s="239" t="str">
        <f t="shared" si="701"/>
        <v>Distribuição modal em pesquisas origem/destinox</v>
      </c>
      <c r="BD2381" s="239" t="str">
        <f t="shared" si="702"/>
        <v>Distribuição modal em pesquisas origem/destinox</v>
      </c>
      <c r="BM2381" s="193"/>
      <c r="BN2381" s="193"/>
      <c r="BO2381" s="193"/>
    </row>
    <row r="2382" spans="1:67" s="105" customFormat="1" ht="63.75" customHeight="1" x14ac:dyDescent="0.25">
      <c r="A2382" s="262" t="s">
        <v>864</v>
      </c>
      <c r="B2382" s="53" t="s">
        <v>863</v>
      </c>
      <c r="C2382" s="229"/>
      <c r="D2382" s="948" t="s">
        <v>1059</v>
      </c>
      <c r="E2382" s="1512" t="s">
        <v>1306</v>
      </c>
      <c r="F2382" s="188" t="s">
        <v>1560</v>
      </c>
      <c r="G2382" s="423" t="s">
        <v>768</v>
      </c>
      <c r="H2382" s="167" t="s">
        <v>765</v>
      </c>
      <c r="I2382" s="167" t="s">
        <v>432</v>
      </c>
      <c r="J2382" s="109" t="s">
        <v>432</v>
      </c>
      <c r="K2382" s="109" t="s">
        <v>432</v>
      </c>
      <c r="L2382" s="109" t="s">
        <v>432</v>
      </c>
      <c r="M2382" s="109" t="s">
        <v>432</v>
      </c>
      <c r="N2382" s="109" t="s">
        <v>432</v>
      </c>
      <c r="O2382" s="109" t="s">
        <v>432</v>
      </c>
      <c r="P2382" s="109" t="s">
        <v>432</v>
      </c>
      <c r="Q2382" s="109" t="s">
        <v>432</v>
      </c>
      <c r="R2382" s="109" t="s">
        <v>432</v>
      </c>
      <c r="S2382" s="109" t="s">
        <v>2209</v>
      </c>
      <c r="T2382" s="109" t="s">
        <v>432</v>
      </c>
      <c r="U2382" s="109" t="s">
        <v>432</v>
      </c>
      <c r="V2382" s="109" t="s">
        <v>2209</v>
      </c>
      <c r="W2382" s="109" t="s">
        <v>432</v>
      </c>
      <c r="X2382" s="109" t="s">
        <v>432</v>
      </c>
      <c r="Y2382" s="109" t="s">
        <v>432</v>
      </c>
      <c r="Z2382" s="109" t="s">
        <v>432</v>
      </c>
      <c r="AA2382" s="109" t="s">
        <v>432</v>
      </c>
      <c r="AB2382" s="109" t="s">
        <v>432</v>
      </c>
      <c r="AC2382" s="109" t="s">
        <v>432</v>
      </c>
      <c r="AD2382" s="109" t="s">
        <v>432</v>
      </c>
      <c r="AE2382" s="109" t="s">
        <v>432</v>
      </c>
      <c r="AF2382" s="109" t="s">
        <v>432</v>
      </c>
      <c r="AG2382" s="109" t="s">
        <v>432</v>
      </c>
      <c r="AH2382" s="109" t="s">
        <v>432</v>
      </c>
      <c r="AI2382" s="109" t="s">
        <v>432</v>
      </c>
      <c r="AJ2382" s="110" t="s">
        <v>1060</v>
      </c>
      <c r="AK2382" s="109" t="s">
        <v>432</v>
      </c>
      <c r="AL2382" s="601" t="s">
        <v>432</v>
      </c>
      <c r="AM2382" s="137" t="s">
        <v>432</v>
      </c>
      <c r="AN2382" s="137" t="s">
        <v>432</v>
      </c>
      <c r="AO2382" s="137" t="s">
        <v>432</v>
      </c>
      <c r="AP2382" s="137" t="s">
        <v>432</v>
      </c>
      <c r="AQ2382" s="93" t="s">
        <v>1061</v>
      </c>
      <c r="AR2382" s="137" t="s">
        <v>432</v>
      </c>
      <c r="AS2382" s="137" t="s">
        <v>432</v>
      </c>
      <c r="AT2382" s="137" t="s">
        <v>432</v>
      </c>
      <c r="AU2382" s="137" t="s">
        <v>432</v>
      </c>
      <c r="AV2382" s="137" t="s">
        <v>432</v>
      </c>
      <c r="AW2382" s="137" t="s">
        <v>432</v>
      </c>
      <c r="AX2382" s="137" t="s">
        <v>432</v>
      </c>
      <c r="AY2382" s="137" t="s">
        <v>432</v>
      </c>
      <c r="AZ2382" s="137" t="s">
        <v>432</v>
      </c>
      <c r="BA2382" s="137" t="s">
        <v>432</v>
      </c>
      <c r="BB2382" s="239" t="str">
        <f t="shared" si="700"/>
        <v>Distribuição modal em pesquisas origem/destino</v>
      </c>
      <c r="BC2382" s="239" t="str">
        <f t="shared" si="701"/>
        <v>Distribuição modal em pesquisas origem/destinometa/RPI</v>
      </c>
      <c r="BD2382" s="239" t="str">
        <f t="shared" si="702"/>
        <v>Distribuição modal em pesquisas origem/destinometa/RPI</v>
      </c>
      <c r="BM2382" s="193"/>
      <c r="BN2382" s="193"/>
      <c r="BO2382" s="193"/>
    </row>
    <row r="2383" spans="1:67" s="1" customFormat="1" ht="51" x14ac:dyDescent="0.25">
      <c r="A2383" s="275" t="str">
        <f>'Q100b-totais'!$B$17</f>
        <v>2.2</v>
      </c>
      <c r="B2383" s="54" t="str">
        <f>'Q100b-totais'!$C$17</f>
        <v>Frota e condutores de veículos automotores</v>
      </c>
      <c r="C2383" s="229" t="s">
        <v>2</v>
      </c>
      <c r="D2383" s="984" t="s">
        <v>381</v>
      </c>
      <c r="E2383" s="1505" t="s">
        <v>432</v>
      </c>
      <c r="F2383" s="14" t="s">
        <v>450</v>
      </c>
      <c r="G2383" s="168" t="s">
        <v>462</v>
      </c>
      <c r="H2383" s="173" t="s">
        <v>2408</v>
      </c>
      <c r="I2383" s="167" t="s">
        <v>432</v>
      </c>
      <c r="J2383" s="107" t="s">
        <v>432</v>
      </c>
      <c r="K2383" s="107" t="s">
        <v>432</v>
      </c>
      <c r="L2383" s="107" t="s">
        <v>432</v>
      </c>
      <c r="M2383" s="107" t="s">
        <v>432</v>
      </c>
      <c r="N2383" s="107" t="s">
        <v>432</v>
      </c>
      <c r="O2383" s="107" t="s">
        <v>432</v>
      </c>
      <c r="P2383" s="107" t="s">
        <v>432</v>
      </c>
      <c r="Q2383" s="107" t="s">
        <v>432</v>
      </c>
      <c r="R2383" s="107" t="s">
        <v>432</v>
      </c>
      <c r="S2383" s="109" t="s">
        <v>2209</v>
      </c>
      <c r="T2383" s="107" t="s">
        <v>432</v>
      </c>
      <c r="U2383" s="107" t="s">
        <v>432</v>
      </c>
      <c r="V2383" s="109" t="s">
        <v>2209</v>
      </c>
      <c r="W2383" s="107" t="s">
        <v>432</v>
      </c>
      <c r="X2383" s="107" t="s">
        <v>432</v>
      </c>
      <c r="Y2383" s="107" t="s">
        <v>432</v>
      </c>
      <c r="Z2383" s="107" t="s">
        <v>432</v>
      </c>
      <c r="AA2383" s="107" t="s">
        <v>432</v>
      </c>
      <c r="AB2383" s="107" t="s">
        <v>432</v>
      </c>
      <c r="AC2383" s="107" t="s">
        <v>432</v>
      </c>
      <c r="AD2383" s="107" t="s">
        <v>432</v>
      </c>
      <c r="AE2383" s="107" t="s">
        <v>432</v>
      </c>
      <c r="AF2383" s="107" t="s">
        <v>432</v>
      </c>
      <c r="AG2383" s="107" t="s">
        <v>432</v>
      </c>
      <c r="AH2383" s="107" t="s">
        <v>432</v>
      </c>
      <c r="AI2383" s="107" t="s">
        <v>432</v>
      </c>
      <c r="AJ2383" s="107" t="s">
        <v>432</v>
      </c>
      <c r="AK2383" s="137" t="s">
        <v>432</v>
      </c>
      <c r="AL2383" s="601" t="s">
        <v>432</v>
      </c>
      <c r="AM2383" s="137" t="s">
        <v>432</v>
      </c>
      <c r="AN2383" s="137" t="s">
        <v>432</v>
      </c>
      <c r="AO2383" s="137" t="s">
        <v>432</v>
      </c>
      <c r="AP2383" s="137" t="s">
        <v>432</v>
      </c>
      <c r="AQ2383" s="137" t="s">
        <v>432</v>
      </c>
      <c r="AR2383" s="137" t="s">
        <v>432</v>
      </c>
      <c r="AS2383" s="137" t="s">
        <v>432</v>
      </c>
      <c r="AT2383" s="137" t="s">
        <v>432</v>
      </c>
      <c r="AU2383" s="137" t="s">
        <v>432</v>
      </c>
      <c r="AV2383" s="137" t="s">
        <v>432</v>
      </c>
      <c r="AW2383" s="137" t="s">
        <v>432</v>
      </c>
      <c r="AX2383" s="137" t="s">
        <v>432</v>
      </c>
      <c r="AY2383" s="137" t="s">
        <v>432</v>
      </c>
      <c r="AZ2383" s="137" t="s">
        <v>432</v>
      </c>
      <c r="BA2383" s="137" t="s">
        <v>432</v>
      </c>
      <c r="BB2383" s="239" t="str">
        <f t="shared" si="700"/>
        <v>Frota e condutores de veículos automotores-</v>
      </c>
      <c r="BC2383" s="239" t="str">
        <f t="shared" si="701"/>
        <v>Frota e condutores de veículos automotores-sigla/verbete</v>
      </c>
      <c r="BD2383" s="239" t="str">
        <f t="shared" si="702"/>
        <v>Frota e condutores de veículos automotoressigla/verbete</v>
      </c>
      <c r="BM2383" s="19"/>
      <c r="BN2383" s="19"/>
      <c r="BO2383" s="19"/>
    </row>
    <row r="2384" spans="1:67" s="1" customFormat="1" ht="51" x14ac:dyDescent="0.25">
      <c r="A2384" s="275" t="str">
        <f>'Q100b-totais'!$B$17</f>
        <v>2.2</v>
      </c>
      <c r="B2384" s="54" t="str">
        <f>'Q100b-totais'!$C$17</f>
        <v>Frota e condutores de veículos automotores</v>
      </c>
      <c r="C2384" s="229" t="s">
        <v>2</v>
      </c>
      <c r="D2384" s="984" t="s">
        <v>382</v>
      </c>
      <c r="E2384" s="1505" t="s">
        <v>432</v>
      </c>
      <c r="F2384" s="14" t="s">
        <v>451</v>
      </c>
      <c r="G2384" s="168" t="s">
        <v>461</v>
      </c>
      <c r="H2384" s="173" t="s">
        <v>2408</v>
      </c>
      <c r="I2384" s="167" t="s">
        <v>432</v>
      </c>
      <c r="J2384" s="107" t="s">
        <v>432</v>
      </c>
      <c r="K2384" s="107" t="s">
        <v>432</v>
      </c>
      <c r="L2384" s="107" t="s">
        <v>432</v>
      </c>
      <c r="M2384" s="107" t="s">
        <v>432</v>
      </c>
      <c r="N2384" s="107" t="s">
        <v>432</v>
      </c>
      <c r="O2384" s="107" t="s">
        <v>432</v>
      </c>
      <c r="P2384" s="107" t="s">
        <v>432</v>
      </c>
      <c r="Q2384" s="107" t="s">
        <v>432</v>
      </c>
      <c r="R2384" s="107" t="s">
        <v>432</v>
      </c>
      <c r="S2384" s="109" t="s">
        <v>2209</v>
      </c>
      <c r="T2384" s="107" t="s">
        <v>432</v>
      </c>
      <c r="U2384" s="107" t="s">
        <v>432</v>
      </c>
      <c r="V2384" s="109" t="s">
        <v>2209</v>
      </c>
      <c r="W2384" s="107" t="s">
        <v>432</v>
      </c>
      <c r="X2384" s="107" t="s">
        <v>432</v>
      </c>
      <c r="Y2384" s="107" t="s">
        <v>432</v>
      </c>
      <c r="Z2384" s="107" t="s">
        <v>432</v>
      </c>
      <c r="AA2384" s="107" t="s">
        <v>432</v>
      </c>
      <c r="AB2384" s="107" t="s">
        <v>432</v>
      </c>
      <c r="AC2384" s="107" t="s">
        <v>432</v>
      </c>
      <c r="AD2384" s="107" t="s">
        <v>432</v>
      </c>
      <c r="AE2384" s="107" t="s">
        <v>432</v>
      </c>
      <c r="AF2384" s="107" t="s">
        <v>432</v>
      </c>
      <c r="AG2384" s="107" t="s">
        <v>432</v>
      </c>
      <c r="AH2384" s="107" t="s">
        <v>432</v>
      </c>
      <c r="AI2384" s="107" t="s">
        <v>432</v>
      </c>
      <c r="AJ2384" s="107" t="s">
        <v>432</v>
      </c>
      <c r="AK2384" s="137" t="s">
        <v>432</v>
      </c>
      <c r="AL2384" s="601" t="s">
        <v>432</v>
      </c>
      <c r="AM2384" s="137" t="s">
        <v>432</v>
      </c>
      <c r="AN2384" s="137" t="s">
        <v>432</v>
      </c>
      <c r="AO2384" s="137" t="s">
        <v>432</v>
      </c>
      <c r="AP2384" s="137" t="s">
        <v>432</v>
      </c>
      <c r="AQ2384" s="137" t="s">
        <v>432</v>
      </c>
      <c r="AR2384" s="137" t="s">
        <v>432</v>
      </c>
      <c r="AS2384" s="137" t="s">
        <v>432</v>
      </c>
      <c r="AT2384" s="137" t="s">
        <v>432</v>
      </c>
      <c r="AU2384" s="137" t="s">
        <v>432</v>
      </c>
      <c r="AV2384" s="137" t="s">
        <v>432</v>
      </c>
      <c r="AW2384" s="137" t="s">
        <v>432</v>
      </c>
      <c r="AX2384" s="137" t="s">
        <v>432</v>
      </c>
      <c r="AY2384" s="137" t="s">
        <v>432</v>
      </c>
      <c r="AZ2384" s="137" t="s">
        <v>432</v>
      </c>
      <c r="BA2384" s="137" t="s">
        <v>432</v>
      </c>
      <c r="BB2384" s="239" t="str">
        <f t="shared" si="700"/>
        <v>Frota e condutores de veículos automotores-</v>
      </c>
      <c r="BC2384" s="239" t="str">
        <f t="shared" si="701"/>
        <v>Frota e condutores de veículos automotores-sigla/verbete</v>
      </c>
      <c r="BD2384" s="239" t="str">
        <f t="shared" si="702"/>
        <v>Frota e condutores de veículos automotoressigla/verbete</v>
      </c>
      <c r="BM2384" s="19"/>
      <c r="BN2384" s="19"/>
      <c r="BO2384" s="19"/>
    </row>
    <row r="2385" spans="1:67" s="1" customFormat="1" ht="51" x14ac:dyDescent="0.25">
      <c r="A2385" s="275" t="str">
        <f>'Q100b-totais'!$B$17</f>
        <v>2.2</v>
      </c>
      <c r="B2385" s="54" t="str">
        <f>'Q100b-totais'!$C$17</f>
        <v>Frota e condutores de veículos automotores</v>
      </c>
      <c r="C2385" s="229" t="s">
        <v>2</v>
      </c>
      <c r="D2385" s="984" t="s">
        <v>383</v>
      </c>
      <c r="E2385" s="1505" t="s">
        <v>432</v>
      </c>
      <c r="F2385" s="14" t="s">
        <v>452</v>
      </c>
      <c r="G2385" s="168" t="s">
        <v>463</v>
      </c>
      <c r="H2385" s="173" t="s">
        <v>2408</v>
      </c>
      <c r="I2385" s="167" t="s">
        <v>432</v>
      </c>
      <c r="J2385" s="107" t="s">
        <v>432</v>
      </c>
      <c r="K2385" s="107" t="s">
        <v>432</v>
      </c>
      <c r="L2385" s="107" t="s">
        <v>432</v>
      </c>
      <c r="M2385" s="107" t="s">
        <v>432</v>
      </c>
      <c r="N2385" s="107" t="s">
        <v>432</v>
      </c>
      <c r="O2385" s="107" t="s">
        <v>432</v>
      </c>
      <c r="P2385" s="107" t="s">
        <v>432</v>
      </c>
      <c r="Q2385" s="107" t="s">
        <v>432</v>
      </c>
      <c r="R2385" s="107" t="s">
        <v>432</v>
      </c>
      <c r="S2385" s="109" t="s">
        <v>2209</v>
      </c>
      <c r="T2385" s="107" t="s">
        <v>432</v>
      </c>
      <c r="U2385" s="107" t="s">
        <v>432</v>
      </c>
      <c r="V2385" s="109" t="s">
        <v>2209</v>
      </c>
      <c r="W2385" s="107" t="s">
        <v>432</v>
      </c>
      <c r="X2385" s="107" t="s">
        <v>432</v>
      </c>
      <c r="Y2385" s="107" t="s">
        <v>432</v>
      </c>
      <c r="Z2385" s="107" t="s">
        <v>432</v>
      </c>
      <c r="AA2385" s="107" t="s">
        <v>432</v>
      </c>
      <c r="AB2385" s="107" t="s">
        <v>432</v>
      </c>
      <c r="AC2385" s="107" t="s">
        <v>432</v>
      </c>
      <c r="AD2385" s="107" t="s">
        <v>432</v>
      </c>
      <c r="AE2385" s="107" t="s">
        <v>432</v>
      </c>
      <c r="AF2385" s="107" t="s">
        <v>432</v>
      </c>
      <c r="AG2385" s="107" t="s">
        <v>432</v>
      </c>
      <c r="AH2385" s="107" t="s">
        <v>432</v>
      </c>
      <c r="AI2385" s="107" t="s">
        <v>432</v>
      </c>
      <c r="AJ2385" s="107" t="s">
        <v>432</v>
      </c>
      <c r="AK2385" s="137" t="s">
        <v>432</v>
      </c>
      <c r="AL2385" s="601" t="s">
        <v>432</v>
      </c>
      <c r="AM2385" s="137" t="s">
        <v>432</v>
      </c>
      <c r="AN2385" s="137" t="s">
        <v>432</v>
      </c>
      <c r="AO2385" s="137" t="s">
        <v>432</v>
      </c>
      <c r="AP2385" s="137" t="s">
        <v>432</v>
      </c>
      <c r="AQ2385" s="137" t="s">
        <v>432</v>
      </c>
      <c r="AR2385" s="137" t="s">
        <v>432</v>
      </c>
      <c r="AS2385" s="137" t="s">
        <v>432</v>
      </c>
      <c r="AT2385" s="137" t="s">
        <v>432</v>
      </c>
      <c r="AU2385" s="137" t="s">
        <v>432</v>
      </c>
      <c r="AV2385" s="137" t="s">
        <v>432</v>
      </c>
      <c r="AW2385" s="137" t="s">
        <v>432</v>
      </c>
      <c r="AX2385" s="137" t="s">
        <v>432</v>
      </c>
      <c r="AY2385" s="137" t="s">
        <v>432</v>
      </c>
      <c r="AZ2385" s="137" t="s">
        <v>432</v>
      </c>
      <c r="BA2385" s="137" t="s">
        <v>432</v>
      </c>
      <c r="BB2385" s="239" t="str">
        <f t="shared" si="700"/>
        <v>Frota e condutores de veículos automotores-</v>
      </c>
      <c r="BC2385" s="239" t="str">
        <f t="shared" si="701"/>
        <v>Frota e condutores de veículos automotores-sigla/verbete</v>
      </c>
      <c r="BD2385" s="239" t="str">
        <f t="shared" si="702"/>
        <v>Frota e condutores de veículos automotoressigla/verbete</v>
      </c>
      <c r="BM2385" s="19"/>
      <c r="BN2385" s="19"/>
      <c r="BO2385" s="19"/>
    </row>
    <row r="2386" spans="1:67" s="1" customFormat="1" ht="51" customHeight="1" x14ac:dyDescent="0.25">
      <c r="A2386" s="275" t="str">
        <f>'Q100b-totais'!$B$11</f>
        <v>1.2</v>
      </c>
      <c r="B2386" s="54" t="str">
        <f>'Q100b-totais'!$C$11</f>
        <v>Atendimento ao usuário em geral</v>
      </c>
      <c r="C2386" s="57" t="s">
        <v>432</v>
      </c>
      <c r="D2386" s="323" t="s">
        <v>384</v>
      </c>
      <c r="E2386" s="1491" t="s">
        <v>432</v>
      </c>
      <c r="F2386" s="11" t="s">
        <v>1939</v>
      </c>
      <c r="G2386" s="172" t="s">
        <v>1934</v>
      </c>
      <c r="H2386" s="173" t="s">
        <v>2408</v>
      </c>
      <c r="I2386" s="167" t="s">
        <v>432</v>
      </c>
      <c r="J2386" s="109" t="s">
        <v>432</v>
      </c>
      <c r="K2386" s="110" t="s">
        <v>432</v>
      </c>
      <c r="L2386" s="110" t="s">
        <v>432</v>
      </c>
      <c r="M2386" s="110" t="s">
        <v>432</v>
      </c>
      <c r="N2386" s="110" t="s">
        <v>432</v>
      </c>
      <c r="O2386" s="110" t="s">
        <v>432</v>
      </c>
      <c r="P2386" s="110" t="s">
        <v>432</v>
      </c>
      <c r="Q2386" s="110" t="s">
        <v>432</v>
      </c>
      <c r="R2386" s="110" t="s">
        <v>432</v>
      </c>
      <c r="S2386" s="109" t="s">
        <v>2209</v>
      </c>
      <c r="T2386" s="110" t="s">
        <v>432</v>
      </c>
      <c r="U2386" s="110" t="s">
        <v>432</v>
      </c>
      <c r="V2386" s="109" t="s">
        <v>2209</v>
      </c>
      <c r="W2386" s="110" t="s">
        <v>432</v>
      </c>
      <c r="X2386" s="110" t="s">
        <v>432</v>
      </c>
      <c r="Y2386" s="110" t="s">
        <v>432</v>
      </c>
      <c r="Z2386" s="110" t="s">
        <v>432</v>
      </c>
      <c r="AA2386" s="110" t="s">
        <v>432</v>
      </c>
      <c r="AB2386" s="110" t="s">
        <v>432</v>
      </c>
      <c r="AC2386" s="110" t="s">
        <v>432</v>
      </c>
      <c r="AD2386" s="110" t="s">
        <v>432</v>
      </c>
      <c r="AE2386" s="110" t="s">
        <v>432</v>
      </c>
      <c r="AF2386" s="110" t="s">
        <v>432</v>
      </c>
      <c r="AG2386" s="110" t="s">
        <v>432</v>
      </c>
      <c r="AH2386" s="110" t="s">
        <v>432</v>
      </c>
      <c r="AI2386" s="110" t="s">
        <v>432</v>
      </c>
      <c r="AJ2386" s="110" t="s">
        <v>432</v>
      </c>
      <c r="AK2386" s="137" t="s">
        <v>432</v>
      </c>
      <c r="AL2386" s="601" t="s">
        <v>432</v>
      </c>
      <c r="AM2386" s="137" t="s">
        <v>432</v>
      </c>
      <c r="AN2386" s="137" t="s">
        <v>432</v>
      </c>
      <c r="AO2386" s="137" t="s">
        <v>432</v>
      </c>
      <c r="AP2386" s="137" t="s">
        <v>432</v>
      </c>
      <c r="AQ2386" s="137" t="s">
        <v>432</v>
      </c>
      <c r="AR2386" s="137" t="s">
        <v>432</v>
      </c>
      <c r="AS2386" s="137" t="s">
        <v>432</v>
      </c>
      <c r="AT2386" s="137" t="s">
        <v>432</v>
      </c>
      <c r="AU2386" s="137" t="s">
        <v>432</v>
      </c>
      <c r="AV2386" s="137" t="s">
        <v>432</v>
      </c>
      <c r="AW2386" s="137" t="s">
        <v>432</v>
      </c>
      <c r="AX2386" s="137" t="s">
        <v>432</v>
      </c>
      <c r="AY2386" s="137" t="s">
        <v>432</v>
      </c>
      <c r="AZ2386" s="137" t="s">
        <v>432</v>
      </c>
      <c r="BA2386" s="137" t="s">
        <v>432</v>
      </c>
      <c r="BB2386" s="239" t="str">
        <f t="shared" si="700"/>
        <v>Atendimento ao usuário em geralx</v>
      </c>
      <c r="BC2386" s="239" t="str">
        <f t="shared" si="701"/>
        <v>Atendimento ao usuário em geralxsigla/verbete</v>
      </c>
      <c r="BD2386" s="239" t="str">
        <f t="shared" si="702"/>
        <v>Atendimento ao usuário em geralsigla/verbete</v>
      </c>
      <c r="BM2386" s="19"/>
      <c r="BN2386" s="19"/>
      <c r="BO2386" s="19"/>
    </row>
    <row r="2387" spans="1:67" s="105" customFormat="1" ht="374.25" customHeight="1" x14ac:dyDescent="0.25">
      <c r="A2387" s="275" t="str">
        <f>'Q100b-totais'!B22</f>
        <v>2.7</v>
      </c>
      <c r="B2387" s="53" t="str">
        <f>'Q100b-totais'!C22</f>
        <v>Outras cidades/regiões</v>
      </c>
      <c r="C2387" s="167" t="s">
        <v>743</v>
      </c>
      <c r="D2387" s="716" t="s">
        <v>6172</v>
      </c>
      <c r="E2387" s="509" t="s">
        <v>6172</v>
      </c>
      <c r="F2387" s="252" t="s">
        <v>6213</v>
      </c>
      <c r="G2387" s="230" t="s">
        <v>3507</v>
      </c>
      <c r="H2387" s="167" t="s">
        <v>2408</v>
      </c>
      <c r="I2387" s="167" t="s">
        <v>432</v>
      </c>
      <c r="J2387" s="107" t="s">
        <v>432</v>
      </c>
      <c r="K2387" s="107" t="s">
        <v>432</v>
      </c>
      <c r="L2387" s="107" t="s">
        <v>432</v>
      </c>
      <c r="M2387" s="107" t="s">
        <v>432</v>
      </c>
      <c r="N2387" s="107" t="s">
        <v>432</v>
      </c>
      <c r="O2387" s="107" t="s">
        <v>432</v>
      </c>
      <c r="P2387" s="107" t="s">
        <v>432</v>
      </c>
      <c r="Q2387" s="107" t="s">
        <v>432</v>
      </c>
      <c r="R2387" s="107" t="s">
        <v>432</v>
      </c>
      <c r="S2387" s="109" t="s">
        <v>2209</v>
      </c>
      <c r="T2387" s="107" t="s">
        <v>432</v>
      </c>
      <c r="U2387" s="107" t="s">
        <v>432</v>
      </c>
      <c r="V2387" s="109" t="s">
        <v>2209</v>
      </c>
      <c r="W2387" s="107" t="s">
        <v>432</v>
      </c>
      <c r="X2387" s="107" t="s">
        <v>432</v>
      </c>
      <c r="Y2387" s="107" t="s">
        <v>432</v>
      </c>
      <c r="Z2387" s="107" t="s">
        <v>432</v>
      </c>
      <c r="AA2387" s="107" t="s">
        <v>432</v>
      </c>
      <c r="AB2387" s="107" t="s">
        <v>432</v>
      </c>
      <c r="AC2387" s="107" t="s">
        <v>432</v>
      </c>
      <c r="AD2387" s="107" t="s">
        <v>432</v>
      </c>
      <c r="AE2387" s="107" t="s">
        <v>432</v>
      </c>
      <c r="AF2387" s="107" t="s">
        <v>432</v>
      </c>
      <c r="AG2387" s="107" t="s">
        <v>432</v>
      </c>
      <c r="AH2387" s="107" t="s">
        <v>432</v>
      </c>
      <c r="AI2387" s="107" t="s">
        <v>432</v>
      </c>
      <c r="AJ2387" s="107" t="s">
        <v>432</v>
      </c>
      <c r="AK2387" s="137" t="s">
        <v>432</v>
      </c>
      <c r="AL2387" s="601" t="s">
        <v>432</v>
      </c>
      <c r="AM2387" s="137" t="s">
        <v>432</v>
      </c>
      <c r="AN2387" s="137" t="s">
        <v>432</v>
      </c>
      <c r="AO2387" s="137" t="s">
        <v>432</v>
      </c>
      <c r="AP2387" s="137" t="s">
        <v>432</v>
      </c>
      <c r="AQ2387" s="137" t="s">
        <v>432</v>
      </c>
      <c r="AR2387" s="137" t="s">
        <v>432</v>
      </c>
      <c r="AS2387" s="137" t="s">
        <v>432</v>
      </c>
      <c r="AT2387" s="137" t="s">
        <v>432</v>
      </c>
      <c r="AU2387" s="137" t="s">
        <v>432</v>
      </c>
      <c r="AV2387" s="137" t="s">
        <v>432</v>
      </c>
      <c r="AW2387" s="137" t="s">
        <v>432</v>
      </c>
      <c r="AX2387" s="137" t="s">
        <v>432</v>
      </c>
      <c r="AY2387" s="137" t="s">
        <v>432</v>
      </c>
      <c r="AZ2387" s="137" t="s">
        <v>432</v>
      </c>
      <c r="BA2387" s="137" t="s">
        <v>432</v>
      </c>
      <c r="BB2387" s="239" t="str">
        <f t="shared" ref="BB2387" si="709">B2387&amp;C2387</f>
        <v>Outras cidades/regiõesacessibilidade</v>
      </c>
      <c r="BC2387" s="239" t="str">
        <f t="shared" ref="BC2387" si="710">B2387&amp;C2387&amp;H2387</f>
        <v>Outras cidades/regiõesacessibilidadesigla/verbete</v>
      </c>
      <c r="BD2387" s="239" t="str">
        <f t="shared" ref="BD2387" si="711">B2387&amp;H2387</f>
        <v>Outras cidades/regiõessigla/verbete</v>
      </c>
      <c r="BM2387" s="68"/>
      <c r="BN2387" s="68"/>
      <c r="BO2387" s="68"/>
    </row>
    <row r="2388" spans="1:67" ht="25.5" customHeight="1" x14ac:dyDescent="0.25">
      <c r="A2388" s="275" t="str">
        <f>'Q100b-totais'!$B$65</f>
        <v>9.2</v>
      </c>
      <c r="B2388" s="53" t="str">
        <f>'Q100b-totais'!$C$65</f>
        <v>Estacionamento</v>
      </c>
      <c r="C2388" s="229" t="s">
        <v>2</v>
      </c>
      <c r="D2388" s="325" t="s">
        <v>385</v>
      </c>
      <c r="E2388" s="1512" t="s">
        <v>432</v>
      </c>
      <c r="F2388" s="15" t="s">
        <v>1898</v>
      </c>
      <c r="G2388" s="230" t="s">
        <v>3507</v>
      </c>
      <c r="H2388" s="167" t="s">
        <v>2408</v>
      </c>
      <c r="I2388" s="167" t="s">
        <v>432</v>
      </c>
      <c r="J2388" s="107" t="s">
        <v>432</v>
      </c>
      <c r="K2388" s="107" t="s">
        <v>432</v>
      </c>
      <c r="L2388" s="107" t="s">
        <v>432</v>
      </c>
      <c r="M2388" s="107" t="s">
        <v>432</v>
      </c>
      <c r="N2388" s="107" t="s">
        <v>432</v>
      </c>
      <c r="O2388" s="107" t="s">
        <v>432</v>
      </c>
      <c r="P2388" s="107" t="s">
        <v>432</v>
      </c>
      <c r="Q2388" s="107" t="s">
        <v>432</v>
      </c>
      <c r="R2388" s="107" t="s">
        <v>432</v>
      </c>
      <c r="S2388" s="109" t="s">
        <v>2209</v>
      </c>
      <c r="T2388" s="107" t="s">
        <v>432</v>
      </c>
      <c r="U2388" s="107" t="s">
        <v>432</v>
      </c>
      <c r="V2388" s="109" t="s">
        <v>2209</v>
      </c>
      <c r="W2388" s="107" t="s">
        <v>432</v>
      </c>
      <c r="X2388" s="107" t="s">
        <v>432</v>
      </c>
      <c r="Y2388" s="107" t="s">
        <v>432</v>
      </c>
      <c r="Z2388" s="107" t="s">
        <v>432</v>
      </c>
      <c r="AA2388" s="107" t="s">
        <v>432</v>
      </c>
      <c r="AB2388" s="107" t="s">
        <v>432</v>
      </c>
      <c r="AC2388" s="107" t="s">
        <v>432</v>
      </c>
      <c r="AD2388" s="107" t="s">
        <v>432</v>
      </c>
      <c r="AE2388" s="107" t="s">
        <v>432</v>
      </c>
      <c r="AF2388" s="107" t="s">
        <v>432</v>
      </c>
      <c r="AG2388" s="107" t="s">
        <v>432</v>
      </c>
      <c r="AH2388" s="107" t="s">
        <v>432</v>
      </c>
      <c r="AI2388" s="107" t="s">
        <v>432</v>
      </c>
      <c r="AJ2388" s="107" t="s">
        <v>432</v>
      </c>
      <c r="AK2388" s="137" t="s">
        <v>432</v>
      </c>
      <c r="AL2388" s="601" t="s">
        <v>432</v>
      </c>
      <c r="AM2388" s="137" t="s">
        <v>432</v>
      </c>
      <c r="AN2388" s="137" t="s">
        <v>432</v>
      </c>
      <c r="AO2388" s="137" t="s">
        <v>432</v>
      </c>
      <c r="AP2388" s="137" t="s">
        <v>432</v>
      </c>
      <c r="AQ2388" s="137" t="s">
        <v>432</v>
      </c>
      <c r="AR2388" s="137" t="s">
        <v>432</v>
      </c>
      <c r="AS2388" s="137" t="s">
        <v>432</v>
      </c>
      <c r="AT2388" s="137" t="s">
        <v>432</v>
      </c>
      <c r="AU2388" s="137" t="s">
        <v>432</v>
      </c>
      <c r="AV2388" s="137" t="s">
        <v>432</v>
      </c>
      <c r="AW2388" s="137" t="s">
        <v>432</v>
      </c>
      <c r="AX2388" s="137" t="s">
        <v>432</v>
      </c>
      <c r="AY2388" s="137" t="s">
        <v>432</v>
      </c>
      <c r="AZ2388" s="137" t="s">
        <v>432</v>
      </c>
      <c r="BA2388" s="137" t="s">
        <v>432</v>
      </c>
      <c r="BB2388" s="239" t="str">
        <f t="shared" si="700"/>
        <v>Estacionamento-</v>
      </c>
      <c r="BC2388" s="239" t="str">
        <f t="shared" si="701"/>
        <v>Estacionamento-sigla/verbete</v>
      </c>
      <c r="BD2388" s="239" t="str">
        <f t="shared" si="702"/>
        <v>Estacionamentosigla/verbete</v>
      </c>
      <c r="BM2388" s="68"/>
      <c r="BN2388" s="68"/>
      <c r="BO2388" s="68"/>
    </row>
    <row r="2389" spans="1:67" s="1" customFormat="1" ht="25.5" customHeight="1" x14ac:dyDescent="0.25">
      <c r="A2389" s="262" t="s">
        <v>432</v>
      </c>
      <c r="B2389" s="252" t="s">
        <v>742</v>
      </c>
      <c r="C2389" s="167" t="s">
        <v>432</v>
      </c>
      <c r="D2389" s="324" t="s">
        <v>385</v>
      </c>
      <c r="E2389" s="1496" t="s">
        <v>432</v>
      </c>
      <c r="F2389" s="11" t="s">
        <v>386</v>
      </c>
      <c r="G2389" s="167" t="s">
        <v>3879</v>
      </c>
      <c r="H2389" s="167" t="s">
        <v>432</v>
      </c>
      <c r="I2389" s="167" t="s">
        <v>432</v>
      </c>
      <c r="J2389" s="107" t="s">
        <v>432</v>
      </c>
      <c r="K2389" s="107" t="s">
        <v>432</v>
      </c>
      <c r="L2389" s="107" t="s">
        <v>432</v>
      </c>
      <c r="M2389" s="107" t="s">
        <v>432</v>
      </c>
      <c r="N2389" s="107" t="s">
        <v>432</v>
      </c>
      <c r="O2389" s="107" t="s">
        <v>432</v>
      </c>
      <c r="P2389" s="107" t="s">
        <v>432</v>
      </c>
      <c r="Q2389" s="107" t="s">
        <v>432</v>
      </c>
      <c r="R2389" s="107" t="s">
        <v>432</v>
      </c>
      <c r="S2389" s="109" t="s">
        <v>2209</v>
      </c>
      <c r="T2389" s="107" t="s">
        <v>432</v>
      </c>
      <c r="U2389" s="107" t="s">
        <v>432</v>
      </c>
      <c r="V2389" s="109" t="s">
        <v>2209</v>
      </c>
      <c r="W2389" s="107" t="s">
        <v>432</v>
      </c>
      <c r="X2389" s="107" t="s">
        <v>432</v>
      </c>
      <c r="Y2389" s="107" t="s">
        <v>432</v>
      </c>
      <c r="Z2389" s="107" t="s">
        <v>432</v>
      </c>
      <c r="AA2389" s="107" t="s">
        <v>432</v>
      </c>
      <c r="AB2389" s="107" t="s">
        <v>432</v>
      </c>
      <c r="AC2389" s="107" t="s">
        <v>432</v>
      </c>
      <c r="AD2389" s="107" t="s">
        <v>432</v>
      </c>
      <c r="AE2389" s="107" t="s">
        <v>432</v>
      </c>
      <c r="AF2389" s="107" t="s">
        <v>432</v>
      </c>
      <c r="AG2389" s="107" t="s">
        <v>432</v>
      </c>
      <c r="AH2389" s="107" t="s">
        <v>432</v>
      </c>
      <c r="AI2389" s="107" t="s">
        <v>432</v>
      </c>
      <c r="AJ2389" s="107" t="s">
        <v>432</v>
      </c>
      <c r="AK2389" s="137" t="s">
        <v>432</v>
      </c>
      <c r="AL2389" s="601" t="s">
        <v>432</v>
      </c>
      <c r="AM2389" s="137" t="s">
        <v>432</v>
      </c>
      <c r="AN2389" s="137" t="s">
        <v>432</v>
      </c>
      <c r="AO2389" s="137" t="s">
        <v>432</v>
      </c>
      <c r="AP2389" s="137" t="s">
        <v>432</v>
      </c>
      <c r="AQ2389" s="137" t="s">
        <v>432</v>
      </c>
      <c r="AR2389" s="137" t="s">
        <v>432</v>
      </c>
      <c r="AS2389" s="137" t="s">
        <v>432</v>
      </c>
      <c r="AT2389" s="137" t="s">
        <v>432</v>
      </c>
      <c r="AU2389" s="137" t="s">
        <v>432</v>
      </c>
      <c r="AV2389" s="137" t="s">
        <v>432</v>
      </c>
      <c r="AW2389" s="137" t="s">
        <v>432</v>
      </c>
      <c r="AX2389" s="137" t="s">
        <v>432</v>
      </c>
      <c r="AY2389" s="137" t="s">
        <v>432</v>
      </c>
      <c r="AZ2389" s="137" t="s">
        <v>432</v>
      </c>
      <c r="BA2389" s="137" t="s">
        <v>432</v>
      </c>
      <c r="BB2389" s="239" t="str">
        <f t="shared" si="700"/>
        <v>geralx</v>
      </c>
      <c r="BC2389" s="239" t="str">
        <f t="shared" si="701"/>
        <v>geralxx</v>
      </c>
      <c r="BD2389" s="239" t="str">
        <f t="shared" si="702"/>
        <v>geralx</v>
      </c>
      <c r="BM2389" s="19"/>
      <c r="BN2389" s="19"/>
      <c r="BO2389" s="19"/>
    </row>
    <row r="2390" spans="1:67" s="1" customFormat="1" ht="78.75" customHeight="1" x14ac:dyDescent="0.25">
      <c r="A2390" s="262" t="s">
        <v>432</v>
      </c>
      <c r="B2390" s="252" t="s">
        <v>742</v>
      </c>
      <c r="C2390" s="167" t="s">
        <v>432</v>
      </c>
      <c r="D2390" s="323" t="s">
        <v>387</v>
      </c>
      <c r="E2390" s="1496" t="s">
        <v>432</v>
      </c>
      <c r="F2390" s="11" t="s">
        <v>854</v>
      </c>
      <c r="G2390" s="167" t="s">
        <v>3879</v>
      </c>
      <c r="H2390" s="167" t="s">
        <v>432</v>
      </c>
      <c r="I2390" s="167" t="s">
        <v>432</v>
      </c>
      <c r="J2390" s="109" t="s">
        <v>432</v>
      </c>
      <c r="K2390" s="109" t="s">
        <v>432</v>
      </c>
      <c r="L2390" s="109" t="s">
        <v>432</v>
      </c>
      <c r="M2390" s="109" t="s">
        <v>432</v>
      </c>
      <c r="N2390" s="109" t="s">
        <v>432</v>
      </c>
      <c r="O2390" s="109" t="s">
        <v>432</v>
      </c>
      <c r="P2390" s="109" t="s">
        <v>432</v>
      </c>
      <c r="Q2390" s="109" t="s">
        <v>432</v>
      </c>
      <c r="R2390" s="109" t="s">
        <v>432</v>
      </c>
      <c r="S2390" s="109" t="s">
        <v>2209</v>
      </c>
      <c r="T2390" s="109" t="s">
        <v>432</v>
      </c>
      <c r="U2390" s="109" t="s">
        <v>432</v>
      </c>
      <c r="V2390" s="109" t="s">
        <v>2209</v>
      </c>
      <c r="W2390" s="109" t="s">
        <v>432</v>
      </c>
      <c r="X2390" s="109" t="s">
        <v>432</v>
      </c>
      <c r="Y2390" s="109" t="s">
        <v>432</v>
      </c>
      <c r="Z2390" s="109" t="s">
        <v>432</v>
      </c>
      <c r="AA2390" s="109" t="s">
        <v>432</v>
      </c>
      <c r="AB2390" s="109" t="s">
        <v>432</v>
      </c>
      <c r="AC2390" s="109" t="s">
        <v>432</v>
      </c>
      <c r="AD2390" s="109" t="s">
        <v>432</v>
      </c>
      <c r="AE2390" s="109" t="s">
        <v>432</v>
      </c>
      <c r="AF2390" s="109" t="s">
        <v>432</v>
      </c>
      <c r="AG2390" s="109" t="s">
        <v>432</v>
      </c>
      <c r="AH2390" s="109" t="s">
        <v>432</v>
      </c>
      <c r="AI2390" s="109" t="s">
        <v>432</v>
      </c>
      <c r="AJ2390" s="109" t="s">
        <v>432</v>
      </c>
      <c r="AK2390" s="137" t="s">
        <v>432</v>
      </c>
      <c r="AL2390" s="601" t="s">
        <v>432</v>
      </c>
      <c r="AM2390" s="137" t="s">
        <v>432</v>
      </c>
      <c r="AN2390" s="137" t="s">
        <v>432</v>
      </c>
      <c r="AO2390" s="137" t="s">
        <v>432</v>
      </c>
      <c r="AP2390" s="137" t="s">
        <v>432</v>
      </c>
      <c r="AQ2390" s="137" t="s">
        <v>432</v>
      </c>
      <c r="AR2390" s="137" t="s">
        <v>432</v>
      </c>
      <c r="AS2390" s="137" t="s">
        <v>432</v>
      </c>
      <c r="AT2390" s="137" t="s">
        <v>432</v>
      </c>
      <c r="AU2390" s="137" t="s">
        <v>432</v>
      </c>
      <c r="AV2390" s="137" t="s">
        <v>432</v>
      </c>
      <c r="AW2390" s="137" t="s">
        <v>432</v>
      </c>
      <c r="AX2390" s="137" t="s">
        <v>432</v>
      </c>
      <c r="AY2390" s="137" t="s">
        <v>432</v>
      </c>
      <c r="AZ2390" s="137" t="s">
        <v>432</v>
      </c>
      <c r="BA2390" s="137" t="s">
        <v>432</v>
      </c>
      <c r="BB2390" s="239" t="str">
        <f t="shared" si="700"/>
        <v>geralx</v>
      </c>
      <c r="BC2390" s="239" t="str">
        <f t="shared" si="701"/>
        <v>geralxx</v>
      </c>
      <c r="BD2390" s="239" t="str">
        <f t="shared" si="702"/>
        <v>geralx</v>
      </c>
      <c r="BM2390" s="19"/>
      <c r="BN2390" s="19"/>
      <c r="BO2390" s="19"/>
    </row>
    <row r="2391" spans="1:67" s="1" customFormat="1" ht="78.75" customHeight="1" x14ac:dyDescent="0.25">
      <c r="A2391" s="262" t="s">
        <v>432</v>
      </c>
      <c r="B2391" s="252" t="s">
        <v>742</v>
      </c>
      <c r="C2391" s="167" t="s">
        <v>432</v>
      </c>
      <c r="D2391" s="324" t="s">
        <v>388</v>
      </c>
      <c r="E2391" s="1496" t="s">
        <v>432</v>
      </c>
      <c r="F2391" s="165" t="s">
        <v>900</v>
      </c>
      <c r="G2391" s="167" t="s">
        <v>3879</v>
      </c>
      <c r="H2391" s="167" t="s">
        <v>432</v>
      </c>
      <c r="I2391" s="167" t="s">
        <v>432</v>
      </c>
      <c r="J2391" s="107" t="s">
        <v>432</v>
      </c>
      <c r="K2391" s="107" t="s">
        <v>432</v>
      </c>
      <c r="L2391" s="107" t="s">
        <v>432</v>
      </c>
      <c r="M2391" s="107" t="s">
        <v>432</v>
      </c>
      <c r="N2391" s="107" t="s">
        <v>432</v>
      </c>
      <c r="O2391" s="107" t="s">
        <v>432</v>
      </c>
      <c r="P2391" s="107" t="s">
        <v>432</v>
      </c>
      <c r="Q2391" s="107" t="s">
        <v>432</v>
      </c>
      <c r="R2391" s="107" t="s">
        <v>432</v>
      </c>
      <c r="S2391" s="109" t="s">
        <v>2209</v>
      </c>
      <c r="T2391" s="107" t="s">
        <v>432</v>
      </c>
      <c r="U2391" s="107" t="s">
        <v>432</v>
      </c>
      <c r="V2391" s="109" t="s">
        <v>2209</v>
      </c>
      <c r="W2391" s="107" t="s">
        <v>432</v>
      </c>
      <c r="X2391" s="107" t="s">
        <v>432</v>
      </c>
      <c r="Y2391" s="107" t="s">
        <v>432</v>
      </c>
      <c r="Z2391" s="107" t="s">
        <v>432</v>
      </c>
      <c r="AA2391" s="107" t="s">
        <v>432</v>
      </c>
      <c r="AB2391" s="107" t="s">
        <v>432</v>
      </c>
      <c r="AC2391" s="107" t="s">
        <v>432</v>
      </c>
      <c r="AD2391" s="107" t="s">
        <v>432</v>
      </c>
      <c r="AE2391" s="107" t="s">
        <v>432</v>
      </c>
      <c r="AF2391" s="107" t="s">
        <v>432</v>
      </c>
      <c r="AG2391" s="107" t="s">
        <v>432</v>
      </c>
      <c r="AH2391" s="107" t="s">
        <v>432</v>
      </c>
      <c r="AI2391" s="107" t="s">
        <v>432</v>
      </c>
      <c r="AJ2391" s="107" t="s">
        <v>432</v>
      </c>
      <c r="AK2391" s="137" t="s">
        <v>432</v>
      </c>
      <c r="AL2391" s="601" t="s">
        <v>432</v>
      </c>
      <c r="AM2391" s="137" t="s">
        <v>432</v>
      </c>
      <c r="AN2391" s="137" t="s">
        <v>432</v>
      </c>
      <c r="AO2391" s="137" t="s">
        <v>432</v>
      </c>
      <c r="AP2391" s="137" t="s">
        <v>432</v>
      </c>
      <c r="AQ2391" s="137" t="s">
        <v>432</v>
      </c>
      <c r="AR2391" s="137" t="s">
        <v>432</v>
      </c>
      <c r="AS2391" s="137" t="s">
        <v>432</v>
      </c>
      <c r="AT2391" s="137" t="s">
        <v>432</v>
      </c>
      <c r="AU2391" s="137" t="s">
        <v>432</v>
      </c>
      <c r="AV2391" s="137" t="s">
        <v>432</v>
      </c>
      <c r="AW2391" s="137" t="s">
        <v>432</v>
      </c>
      <c r="AX2391" s="137" t="s">
        <v>432</v>
      </c>
      <c r="AY2391" s="137" t="s">
        <v>432</v>
      </c>
      <c r="AZ2391" s="137" t="s">
        <v>432</v>
      </c>
      <c r="BA2391" s="137" t="s">
        <v>432</v>
      </c>
      <c r="BB2391" s="239" t="str">
        <f t="shared" si="700"/>
        <v>geralx</v>
      </c>
      <c r="BC2391" s="239" t="str">
        <f t="shared" si="701"/>
        <v>geralxx</v>
      </c>
      <c r="BD2391" s="239" t="str">
        <f t="shared" si="702"/>
        <v>geralx</v>
      </c>
      <c r="BM2391" s="19"/>
      <c r="BN2391" s="19"/>
      <c r="BO2391" s="19"/>
    </row>
    <row r="2392" spans="1:67" s="1" customFormat="1" ht="78.75" customHeight="1" x14ac:dyDescent="0.25">
      <c r="A2392" s="262" t="s">
        <v>432</v>
      </c>
      <c r="B2392" s="252" t="s">
        <v>742</v>
      </c>
      <c r="C2392" s="167" t="s">
        <v>432</v>
      </c>
      <c r="D2392" s="324" t="s">
        <v>5341</v>
      </c>
      <c r="E2392" s="1496" t="s">
        <v>1306</v>
      </c>
      <c r="F2392" s="252" t="s">
        <v>5342</v>
      </c>
      <c r="G2392" s="230" t="s">
        <v>3507</v>
      </c>
      <c r="H2392" s="167" t="s">
        <v>2408</v>
      </c>
      <c r="I2392" s="57" t="s">
        <v>432</v>
      </c>
      <c r="J2392" s="109" t="s">
        <v>432</v>
      </c>
      <c r="K2392" s="109" t="s">
        <v>432</v>
      </c>
      <c r="L2392" s="109" t="s">
        <v>432</v>
      </c>
      <c r="M2392" s="109" t="s">
        <v>432</v>
      </c>
      <c r="N2392" s="109" t="s">
        <v>432</v>
      </c>
      <c r="O2392" s="109" t="s">
        <v>432</v>
      </c>
      <c r="P2392" s="109" t="s">
        <v>432</v>
      </c>
      <c r="Q2392" s="109" t="s">
        <v>432</v>
      </c>
      <c r="R2392" s="109" t="s">
        <v>432</v>
      </c>
      <c r="S2392" s="109" t="s">
        <v>2209</v>
      </c>
      <c r="T2392" s="109" t="s">
        <v>432</v>
      </c>
      <c r="U2392" s="109" t="s">
        <v>432</v>
      </c>
      <c r="V2392" s="109" t="s">
        <v>2209</v>
      </c>
      <c r="W2392" s="109" t="s">
        <v>432</v>
      </c>
      <c r="X2392" s="109" t="s">
        <v>432</v>
      </c>
      <c r="Y2392" s="109" t="s">
        <v>432</v>
      </c>
      <c r="Z2392" s="109" t="s">
        <v>432</v>
      </c>
      <c r="AA2392" s="109" t="s">
        <v>432</v>
      </c>
      <c r="AB2392" s="109" t="s">
        <v>432</v>
      </c>
      <c r="AC2392" s="109" t="s">
        <v>432</v>
      </c>
      <c r="AD2392" s="109" t="s">
        <v>432</v>
      </c>
      <c r="AE2392" s="109" t="s">
        <v>432</v>
      </c>
      <c r="AF2392" s="109" t="s">
        <v>432</v>
      </c>
      <c r="AG2392" s="109" t="s">
        <v>432</v>
      </c>
      <c r="AH2392" s="109" t="s">
        <v>432</v>
      </c>
      <c r="AI2392" s="109" t="s">
        <v>432</v>
      </c>
      <c r="AJ2392" s="109" t="s">
        <v>432</v>
      </c>
      <c r="AK2392" s="137" t="s">
        <v>432</v>
      </c>
      <c r="AL2392" s="601" t="s">
        <v>432</v>
      </c>
      <c r="AM2392" s="137" t="s">
        <v>432</v>
      </c>
      <c r="AN2392" s="137" t="s">
        <v>432</v>
      </c>
      <c r="AO2392" s="137" t="s">
        <v>432</v>
      </c>
      <c r="AP2392" s="137" t="s">
        <v>432</v>
      </c>
      <c r="AQ2392" s="137" t="s">
        <v>432</v>
      </c>
      <c r="AR2392" s="137" t="s">
        <v>432</v>
      </c>
      <c r="AS2392" s="137" t="s">
        <v>432</v>
      </c>
      <c r="AT2392" s="137" t="s">
        <v>432</v>
      </c>
      <c r="AU2392" s="137" t="s">
        <v>432</v>
      </c>
      <c r="AV2392" s="137" t="s">
        <v>432</v>
      </c>
      <c r="AW2392" s="137" t="s">
        <v>432</v>
      </c>
      <c r="AX2392" s="137" t="s">
        <v>432</v>
      </c>
      <c r="AY2392" s="137" t="s">
        <v>432</v>
      </c>
      <c r="AZ2392" s="137" t="s">
        <v>432</v>
      </c>
      <c r="BA2392" s="137" t="s">
        <v>432</v>
      </c>
      <c r="BB2392" s="239" t="str">
        <f>B2392&amp;C2392</f>
        <v>geralx</v>
      </c>
      <c r="BC2392" s="239" t="str">
        <f>B2392&amp;C2392&amp;H2392</f>
        <v>geralxsigla/verbete</v>
      </c>
      <c r="BD2392" s="239" t="str">
        <f>B2392&amp;H2392</f>
        <v>geralsigla/verbete</v>
      </c>
      <c r="BM2392" s="1411"/>
      <c r="BN2392" s="1411"/>
      <c r="BO2392" s="1411"/>
    </row>
    <row r="2393" spans="1:67" s="1" customFormat="1" ht="78.75" customHeight="1" x14ac:dyDescent="0.25">
      <c r="A2393" s="262" t="str">
        <f>'Q100b-totais'!B70</f>
        <v>9.7</v>
      </c>
      <c r="B2393" s="252" t="str">
        <f>'Q100b-totais'!C70</f>
        <v>Outras questões sobre trânsito</v>
      </c>
      <c r="C2393" s="167" t="s">
        <v>743</v>
      </c>
      <c r="D2393" s="324" t="s">
        <v>5442</v>
      </c>
      <c r="E2393" s="1496" t="s">
        <v>1767</v>
      </c>
      <c r="F2393" s="252" t="s">
        <v>5445</v>
      </c>
      <c r="G2393" s="230" t="s">
        <v>3507</v>
      </c>
      <c r="H2393" s="167" t="s">
        <v>2408</v>
      </c>
      <c r="I2393" s="57" t="s">
        <v>432</v>
      </c>
      <c r="J2393" s="109" t="s">
        <v>432</v>
      </c>
      <c r="K2393" s="109" t="s">
        <v>432</v>
      </c>
      <c r="L2393" s="109" t="s">
        <v>432</v>
      </c>
      <c r="M2393" s="109" t="s">
        <v>432</v>
      </c>
      <c r="N2393" s="109" t="s">
        <v>432</v>
      </c>
      <c r="O2393" s="109" t="s">
        <v>432</v>
      </c>
      <c r="P2393" s="109" t="s">
        <v>432</v>
      </c>
      <c r="Q2393" s="109" t="s">
        <v>432</v>
      </c>
      <c r="R2393" s="109" t="s">
        <v>432</v>
      </c>
      <c r="S2393" s="109" t="s">
        <v>2209</v>
      </c>
      <c r="T2393" s="109" t="s">
        <v>432</v>
      </c>
      <c r="U2393" s="109" t="s">
        <v>432</v>
      </c>
      <c r="V2393" s="109" t="s">
        <v>2209</v>
      </c>
      <c r="W2393" s="109" t="s">
        <v>432</v>
      </c>
      <c r="X2393" s="109" t="s">
        <v>432</v>
      </c>
      <c r="Y2393" s="109" t="s">
        <v>432</v>
      </c>
      <c r="Z2393" s="109" t="s">
        <v>432</v>
      </c>
      <c r="AA2393" s="109" t="s">
        <v>432</v>
      </c>
      <c r="AB2393" s="109" t="s">
        <v>432</v>
      </c>
      <c r="AC2393" s="109" t="s">
        <v>432</v>
      </c>
      <c r="AD2393" s="109" t="s">
        <v>432</v>
      </c>
      <c r="AE2393" s="109" t="s">
        <v>432</v>
      </c>
      <c r="AF2393" s="109" t="s">
        <v>432</v>
      </c>
      <c r="AG2393" s="109" t="s">
        <v>432</v>
      </c>
      <c r="AH2393" s="109" t="s">
        <v>432</v>
      </c>
      <c r="AI2393" s="109" t="s">
        <v>432</v>
      </c>
      <c r="AJ2393" s="109" t="s">
        <v>432</v>
      </c>
      <c r="AK2393" s="137" t="s">
        <v>432</v>
      </c>
      <c r="AL2393" s="601" t="s">
        <v>432</v>
      </c>
      <c r="AM2393" s="137" t="s">
        <v>432</v>
      </c>
      <c r="AN2393" s="137" t="s">
        <v>432</v>
      </c>
      <c r="AO2393" s="137" t="s">
        <v>432</v>
      </c>
      <c r="AP2393" s="137" t="s">
        <v>432</v>
      </c>
      <c r="AQ2393" s="137" t="s">
        <v>432</v>
      </c>
      <c r="AR2393" s="137" t="s">
        <v>432</v>
      </c>
      <c r="AS2393" s="137" t="s">
        <v>432</v>
      </c>
      <c r="AT2393" s="137" t="s">
        <v>432</v>
      </c>
      <c r="AU2393" s="137" t="s">
        <v>432</v>
      </c>
      <c r="AV2393" s="137" t="s">
        <v>432</v>
      </c>
      <c r="AW2393" s="137" t="s">
        <v>432</v>
      </c>
      <c r="AX2393" s="137" t="s">
        <v>432</v>
      </c>
      <c r="AY2393" s="137" t="s">
        <v>432</v>
      </c>
      <c r="AZ2393" s="137" t="s">
        <v>432</v>
      </c>
      <c r="BA2393" s="137" t="s">
        <v>432</v>
      </c>
      <c r="BB2393" s="239" t="str">
        <f>B2393&amp;C2393</f>
        <v>Outras questões sobre trânsitoacessibilidade</v>
      </c>
      <c r="BC2393" s="239" t="str">
        <f>B2393&amp;C2393&amp;H2393</f>
        <v>Outras questões sobre trânsitoacessibilidadesigla/verbete</v>
      </c>
      <c r="BD2393" s="239" t="str">
        <f>B2393&amp;H2393</f>
        <v>Outras questões sobre trânsitosigla/verbete</v>
      </c>
      <c r="BM2393" s="1422"/>
      <c r="BN2393" s="1422"/>
      <c r="BO2393" s="1422"/>
    </row>
    <row r="2394" spans="1:67" s="1" customFormat="1" ht="52.5" customHeight="1" x14ac:dyDescent="0.25">
      <c r="A2394" s="262" t="s">
        <v>432</v>
      </c>
      <c r="B2394" s="252" t="s">
        <v>742</v>
      </c>
      <c r="C2394" s="167" t="s">
        <v>432</v>
      </c>
      <c r="D2394" s="324" t="s">
        <v>2072</v>
      </c>
      <c r="E2394" s="1496" t="s">
        <v>1767</v>
      </c>
      <c r="F2394" s="252" t="s">
        <v>2074</v>
      </c>
      <c r="G2394" s="230" t="s">
        <v>3507</v>
      </c>
      <c r="H2394" s="167" t="s">
        <v>2408</v>
      </c>
      <c r="I2394" s="57" t="s">
        <v>432</v>
      </c>
      <c r="J2394" s="109" t="s">
        <v>432</v>
      </c>
      <c r="K2394" s="109" t="s">
        <v>432</v>
      </c>
      <c r="L2394" s="109" t="s">
        <v>432</v>
      </c>
      <c r="M2394" s="109" t="s">
        <v>432</v>
      </c>
      <c r="N2394" s="109" t="s">
        <v>432</v>
      </c>
      <c r="O2394" s="109" t="s">
        <v>432</v>
      </c>
      <c r="P2394" s="109" t="s">
        <v>432</v>
      </c>
      <c r="Q2394" s="109" t="s">
        <v>432</v>
      </c>
      <c r="R2394" s="109" t="s">
        <v>432</v>
      </c>
      <c r="S2394" s="109" t="s">
        <v>2209</v>
      </c>
      <c r="T2394" s="109" t="s">
        <v>432</v>
      </c>
      <c r="U2394" s="109" t="s">
        <v>432</v>
      </c>
      <c r="V2394" s="109" t="s">
        <v>2209</v>
      </c>
      <c r="W2394" s="109" t="s">
        <v>432</v>
      </c>
      <c r="X2394" s="109" t="s">
        <v>432</v>
      </c>
      <c r="Y2394" s="109" t="s">
        <v>432</v>
      </c>
      <c r="Z2394" s="109" t="s">
        <v>432</v>
      </c>
      <c r="AA2394" s="109" t="s">
        <v>432</v>
      </c>
      <c r="AB2394" s="109" t="s">
        <v>432</v>
      </c>
      <c r="AC2394" s="109" t="s">
        <v>432</v>
      </c>
      <c r="AD2394" s="109" t="s">
        <v>432</v>
      </c>
      <c r="AE2394" s="109" t="s">
        <v>432</v>
      </c>
      <c r="AF2394" s="109" t="s">
        <v>432</v>
      </c>
      <c r="AG2394" s="109" t="s">
        <v>432</v>
      </c>
      <c r="AH2394" s="109" t="s">
        <v>432</v>
      </c>
      <c r="AI2394" s="109" t="s">
        <v>432</v>
      </c>
      <c r="AJ2394" s="109" t="s">
        <v>432</v>
      </c>
      <c r="AK2394" s="137" t="s">
        <v>432</v>
      </c>
      <c r="AL2394" s="601" t="s">
        <v>432</v>
      </c>
      <c r="AM2394" s="137" t="s">
        <v>432</v>
      </c>
      <c r="AN2394" s="137" t="s">
        <v>432</v>
      </c>
      <c r="AO2394" s="137" t="s">
        <v>432</v>
      </c>
      <c r="AP2394" s="137" t="s">
        <v>432</v>
      </c>
      <c r="AQ2394" s="137" t="s">
        <v>432</v>
      </c>
      <c r="AR2394" s="137" t="s">
        <v>432</v>
      </c>
      <c r="AS2394" s="137" t="s">
        <v>432</v>
      </c>
      <c r="AT2394" s="137" t="s">
        <v>432</v>
      </c>
      <c r="AU2394" s="137" t="s">
        <v>432</v>
      </c>
      <c r="AV2394" s="137" t="s">
        <v>432</v>
      </c>
      <c r="AW2394" s="137" t="s">
        <v>432</v>
      </c>
      <c r="AX2394" s="137" t="s">
        <v>432</v>
      </c>
      <c r="AY2394" s="137" t="s">
        <v>432</v>
      </c>
      <c r="AZ2394" s="137" t="s">
        <v>432</v>
      </c>
      <c r="BA2394" s="137" t="s">
        <v>432</v>
      </c>
      <c r="BB2394" s="239" t="str">
        <f t="shared" si="700"/>
        <v>geralx</v>
      </c>
      <c r="BC2394" s="239" t="str">
        <f t="shared" si="701"/>
        <v>geralxsigla/verbete</v>
      </c>
      <c r="BD2394" s="239" t="str">
        <f t="shared" si="702"/>
        <v>geralsigla/verbete</v>
      </c>
      <c r="BM2394" s="526"/>
      <c r="BN2394" s="526"/>
      <c r="BO2394" s="526"/>
    </row>
    <row r="2395" spans="1:67" s="1" customFormat="1" ht="52.5" customHeight="1" x14ac:dyDescent="0.25">
      <c r="A2395" s="262" t="str">
        <f>'Q100b-totais'!B62</f>
        <v>8.10</v>
      </c>
      <c r="B2395" s="252" t="str">
        <f>'Q100b-totais'!C62</f>
        <v>Sistema de transporte coletivo com um todo</v>
      </c>
      <c r="C2395" s="167" t="s">
        <v>432</v>
      </c>
      <c r="D2395" s="324" t="s">
        <v>3865</v>
      </c>
      <c r="E2395" s="1496" t="s">
        <v>1306</v>
      </c>
      <c r="F2395" s="252" t="s">
        <v>4307</v>
      </c>
      <c r="G2395" s="230" t="s">
        <v>3507</v>
      </c>
      <c r="H2395" s="167" t="s">
        <v>2408</v>
      </c>
      <c r="I2395" s="57" t="s">
        <v>432</v>
      </c>
      <c r="J2395" s="109" t="s">
        <v>432</v>
      </c>
      <c r="K2395" s="109" t="s">
        <v>432</v>
      </c>
      <c r="L2395" s="109" t="s">
        <v>432</v>
      </c>
      <c r="M2395" s="109" t="s">
        <v>432</v>
      </c>
      <c r="N2395" s="109" t="s">
        <v>432</v>
      </c>
      <c r="O2395" s="109" t="s">
        <v>432</v>
      </c>
      <c r="P2395" s="109" t="s">
        <v>432</v>
      </c>
      <c r="Q2395" s="109" t="s">
        <v>432</v>
      </c>
      <c r="R2395" s="109" t="s">
        <v>432</v>
      </c>
      <c r="S2395" s="109" t="s">
        <v>2209</v>
      </c>
      <c r="T2395" s="109" t="s">
        <v>432</v>
      </c>
      <c r="U2395" s="109" t="s">
        <v>432</v>
      </c>
      <c r="V2395" s="109" t="s">
        <v>2209</v>
      </c>
      <c r="W2395" s="109" t="s">
        <v>432</v>
      </c>
      <c r="X2395" s="109" t="s">
        <v>432</v>
      </c>
      <c r="Y2395" s="109" t="s">
        <v>432</v>
      </c>
      <c r="Z2395" s="109" t="s">
        <v>432</v>
      </c>
      <c r="AA2395" s="109" t="s">
        <v>432</v>
      </c>
      <c r="AB2395" s="109" t="s">
        <v>432</v>
      </c>
      <c r="AC2395" s="109" t="s">
        <v>432</v>
      </c>
      <c r="AD2395" s="109" t="s">
        <v>432</v>
      </c>
      <c r="AE2395" s="109" t="s">
        <v>432</v>
      </c>
      <c r="AF2395" s="109" t="s">
        <v>432</v>
      </c>
      <c r="AG2395" s="109" t="s">
        <v>432</v>
      </c>
      <c r="AH2395" s="109" t="s">
        <v>432</v>
      </c>
      <c r="AI2395" s="109" t="s">
        <v>432</v>
      </c>
      <c r="AJ2395" s="109" t="s">
        <v>432</v>
      </c>
      <c r="AK2395" s="137" t="s">
        <v>432</v>
      </c>
      <c r="AL2395" s="601" t="s">
        <v>432</v>
      </c>
      <c r="AM2395" s="137" t="s">
        <v>432</v>
      </c>
      <c r="AN2395" s="137" t="s">
        <v>432</v>
      </c>
      <c r="AO2395" s="137" t="s">
        <v>432</v>
      </c>
      <c r="AP2395" s="137" t="s">
        <v>432</v>
      </c>
      <c r="AQ2395" s="137" t="s">
        <v>432</v>
      </c>
      <c r="AR2395" s="137" t="s">
        <v>432</v>
      </c>
      <c r="AS2395" s="137" t="s">
        <v>432</v>
      </c>
      <c r="AT2395" s="137" t="s">
        <v>432</v>
      </c>
      <c r="AU2395" s="137" t="s">
        <v>432</v>
      </c>
      <c r="AV2395" s="137" t="s">
        <v>432</v>
      </c>
      <c r="AW2395" s="137" t="s">
        <v>432</v>
      </c>
      <c r="AX2395" s="137" t="s">
        <v>432</v>
      </c>
      <c r="AY2395" s="137" t="s">
        <v>432</v>
      </c>
      <c r="AZ2395" s="137" t="s">
        <v>432</v>
      </c>
      <c r="BA2395" s="137" t="s">
        <v>432</v>
      </c>
      <c r="BB2395" s="239" t="str">
        <f>B2395&amp;C2395</f>
        <v>Sistema de transporte coletivo com um todox</v>
      </c>
      <c r="BC2395" s="239" t="str">
        <f>B2395&amp;C2395&amp;H2395</f>
        <v>Sistema de transporte coletivo com um todoxsigla/verbete</v>
      </c>
      <c r="BD2395" s="239" t="str">
        <f>B2395&amp;H2395</f>
        <v>Sistema de transporte coletivo com um todosigla/verbete</v>
      </c>
      <c r="BM2395" s="1201"/>
      <c r="BN2395" s="1201"/>
      <c r="BO2395" s="1201"/>
    </row>
    <row r="2396" spans="1:67" s="1" customFormat="1" ht="52.5" customHeight="1" x14ac:dyDescent="0.25">
      <c r="A2396" s="262" t="str">
        <f>'Q100b-totais'!B62</f>
        <v>8.10</v>
      </c>
      <c r="B2396" s="252" t="str">
        <f>'Q100b-totais'!C62</f>
        <v>Sistema de transporte coletivo com um todo</v>
      </c>
      <c r="C2396" s="167" t="s">
        <v>432</v>
      </c>
      <c r="D2396" s="324" t="s">
        <v>3865</v>
      </c>
      <c r="E2396" s="1496" t="s">
        <v>1307</v>
      </c>
      <c r="F2396" s="252" t="s">
        <v>4308</v>
      </c>
      <c r="G2396" s="230" t="s">
        <v>3507</v>
      </c>
      <c r="H2396" s="167" t="s">
        <v>2408</v>
      </c>
      <c r="I2396" s="57" t="s">
        <v>432</v>
      </c>
      <c r="J2396" s="109" t="s">
        <v>432</v>
      </c>
      <c r="K2396" s="109" t="s">
        <v>432</v>
      </c>
      <c r="L2396" s="109" t="s">
        <v>432</v>
      </c>
      <c r="M2396" s="109" t="s">
        <v>432</v>
      </c>
      <c r="N2396" s="109" t="s">
        <v>432</v>
      </c>
      <c r="O2396" s="109" t="s">
        <v>432</v>
      </c>
      <c r="P2396" s="109" t="s">
        <v>432</v>
      </c>
      <c r="Q2396" s="109" t="s">
        <v>432</v>
      </c>
      <c r="R2396" s="109" t="s">
        <v>432</v>
      </c>
      <c r="S2396" s="109" t="s">
        <v>2209</v>
      </c>
      <c r="T2396" s="109" t="s">
        <v>432</v>
      </c>
      <c r="U2396" s="109" t="s">
        <v>432</v>
      </c>
      <c r="V2396" s="109" t="s">
        <v>2209</v>
      </c>
      <c r="W2396" s="109" t="s">
        <v>432</v>
      </c>
      <c r="X2396" s="109" t="s">
        <v>432</v>
      </c>
      <c r="Y2396" s="109" t="s">
        <v>432</v>
      </c>
      <c r="Z2396" s="109" t="s">
        <v>432</v>
      </c>
      <c r="AA2396" s="109" t="s">
        <v>432</v>
      </c>
      <c r="AB2396" s="109" t="s">
        <v>432</v>
      </c>
      <c r="AC2396" s="109" t="s">
        <v>432</v>
      </c>
      <c r="AD2396" s="109" t="s">
        <v>432</v>
      </c>
      <c r="AE2396" s="109" t="s">
        <v>432</v>
      </c>
      <c r="AF2396" s="109" t="s">
        <v>432</v>
      </c>
      <c r="AG2396" s="109" t="s">
        <v>432</v>
      </c>
      <c r="AH2396" s="109" t="s">
        <v>432</v>
      </c>
      <c r="AI2396" s="109" t="s">
        <v>432</v>
      </c>
      <c r="AJ2396" s="109" t="s">
        <v>432</v>
      </c>
      <c r="AK2396" s="137" t="s">
        <v>432</v>
      </c>
      <c r="AL2396" s="601" t="s">
        <v>432</v>
      </c>
      <c r="AM2396" s="137" t="s">
        <v>432</v>
      </c>
      <c r="AN2396" s="137" t="s">
        <v>432</v>
      </c>
      <c r="AO2396" s="137" t="s">
        <v>432</v>
      </c>
      <c r="AP2396" s="137" t="s">
        <v>432</v>
      </c>
      <c r="AQ2396" s="137" t="s">
        <v>432</v>
      </c>
      <c r="AR2396" s="137" t="s">
        <v>432</v>
      </c>
      <c r="AS2396" s="137" t="s">
        <v>432</v>
      </c>
      <c r="AT2396" s="137" t="s">
        <v>432</v>
      </c>
      <c r="AU2396" s="137" t="s">
        <v>432</v>
      </c>
      <c r="AV2396" s="137" t="s">
        <v>432</v>
      </c>
      <c r="AW2396" s="137" t="s">
        <v>432</v>
      </c>
      <c r="AX2396" s="137" t="s">
        <v>432</v>
      </c>
      <c r="AY2396" s="137" t="s">
        <v>432</v>
      </c>
      <c r="AZ2396" s="137" t="s">
        <v>432</v>
      </c>
      <c r="BA2396" s="137" t="s">
        <v>432</v>
      </c>
      <c r="BB2396" s="239" t="str">
        <f>B2396&amp;C2396</f>
        <v>Sistema de transporte coletivo com um todox</v>
      </c>
      <c r="BC2396" s="239" t="str">
        <f>B2396&amp;C2396&amp;H2396</f>
        <v>Sistema de transporte coletivo com um todoxsigla/verbete</v>
      </c>
      <c r="BD2396" s="239" t="str">
        <f>B2396&amp;H2396</f>
        <v>Sistema de transporte coletivo com um todosigla/verbete</v>
      </c>
      <c r="BM2396" s="1265"/>
      <c r="BN2396" s="1265"/>
      <c r="BO2396" s="1265"/>
    </row>
    <row r="2397" spans="1:67" s="1" customFormat="1" ht="52.5" customHeight="1" x14ac:dyDescent="0.25">
      <c r="A2397" s="262" t="str">
        <f>'Q100b-totais'!B62</f>
        <v>8.10</v>
      </c>
      <c r="B2397" s="252" t="str">
        <f>'Q100b-totais'!C62</f>
        <v>Sistema de transporte coletivo com um todo</v>
      </c>
      <c r="C2397" s="167" t="s">
        <v>432</v>
      </c>
      <c r="D2397" s="324" t="s">
        <v>3865</v>
      </c>
      <c r="E2397" s="1496" t="s">
        <v>1705</v>
      </c>
      <c r="F2397" s="252" t="s">
        <v>4309</v>
      </c>
      <c r="G2397" s="230" t="s">
        <v>3507</v>
      </c>
      <c r="H2397" s="167" t="s">
        <v>2408</v>
      </c>
      <c r="I2397" s="57" t="s">
        <v>432</v>
      </c>
      <c r="J2397" s="109" t="s">
        <v>432</v>
      </c>
      <c r="K2397" s="109" t="s">
        <v>432</v>
      </c>
      <c r="L2397" s="109" t="s">
        <v>432</v>
      </c>
      <c r="M2397" s="109" t="s">
        <v>432</v>
      </c>
      <c r="N2397" s="109" t="s">
        <v>432</v>
      </c>
      <c r="O2397" s="109" t="s">
        <v>432</v>
      </c>
      <c r="P2397" s="109" t="s">
        <v>432</v>
      </c>
      <c r="Q2397" s="109" t="s">
        <v>432</v>
      </c>
      <c r="R2397" s="109" t="s">
        <v>432</v>
      </c>
      <c r="S2397" s="109" t="s">
        <v>2209</v>
      </c>
      <c r="T2397" s="109" t="s">
        <v>432</v>
      </c>
      <c r="U2397" s="109" t="s">
        <v>432</v>
      </c>
      <c r="V2397" s="109" t="s">
        <v>2209</v>
      </c>
      <c r="W2397" s="109" t="s">
        <v>432</v>
      </c>
      <c r="X2397" s="109" t="s">
        <v>432</v>
      </c>
      <c r="Y2397" s="109" t="s">
        <v>432</v>
      </c>
      <c r="Z2397" s="109" t="s">
        <v>432</v>
      </c>
      <c r="AA2397" s="109" t="s">
        <v>432</v>
      </c>
      <c r="AB2397" s="109" t="s">
        <v>432</v>
      </c>
      <c r="AC2397" s="109" t="s">
        <v>432</v>
      </c>
      <c r="AD2397" s="109" t="s">
        <v>432</v>
      </c>
      <c r="AE2397" s="109" t="s">
        <v>432</v>
      </c>
      <c r="AF2397" s="109" t="s">
        <v>432</v>
      </c>
      <c r="AG2397" s="109" t="s">
        <v>432</v>
      </c>
      <c r="AH2397" s="109" t="s">
        <v>432</v>
      </c>
      <c r="AI2397" s="109" t="s">
        <v>432</v>
      </c>
      <c r="AJ2397" s="109" t="s">
        <v>432</v>
      </c>
      <c r="AK2397" s="137" t="s">
        <v>432</v>
      </c>
      <c r="AL2397" s="601" t="s">
        <v>432</v>
      </c>
      <c r="AM2397" s="137" t="s">
        <v>432</v>
      </c>
      <c r="AN2397" s="137" t="s">
        <v>432</v>
      </c>
      <c r="AO2397" s="137" t="s">
        <v>432</v>
      </c>
      <c r="AP2397" s="137" t="s">
        <v>432</v>
      </c>
      <c r="AQ2397" s="137" t="s">
        <v>432</v>
      </c>
      <c r="AR2397" s="137" t="s">
        <v>432</v>
      </c>
      <c r="AS2397" s="137" t="s">
        <v>432</v>
      </c>
      <c r="AT2397" s="137" t="s">
        <v>432</v>
      </c>
      <c r="AU2397" s="137" t="s">
        <v>432</v>
      </c>
      <c r="AV2397" s="137" t="s">
        <v>432</v>
      </c>
      <c r="AW2397" s="137" t="s">
        <v>432</v>
      </c>
      <c r="AX2397" s="137" t="s">
        <v>432</v>
      </c>
      <c r="AY2397" s="137" t="s">
        <v>432</v>
      </c>
      <c r="AZ2397" s="137" t="s">
        <v>432</v>
      </c>
      <c r="BA2397" s="137" t="s">
        <v>432</v>
      </c>
      <c r="BB2397" s="239" t="str">
        <f>B2397&amp;C2397</f>
        <v>Sistema de transporte coletivo com um todox</v>
      </c>
      <c r="BC2397" s="239" t="str">
        <f>B2397&amp;C2397&amp;H2397</f>
        <v>Sistema de transporte coletivo com um todoxsigla/verbete</v>
      </c>
      <c r="BD2397" s="239" t="str">
        <f>B2397&amp;H2397</f>
        <v>Sistema de transporte coletivo com um todosigla/verbete</v>
      </c>
      <c r="BM2397" s="1201"/>
      <c r="BN2397" s="1201"/>
      <c r="BO2397" s="1201"/>
    </row>
    <row r="2398" spans="1:67" s="1" customFormat="1" ht="73.5" customHeight="1" x14ac:dyDescent="0.25">
      <c r="A2398" s="262" t="str">
        <f>'Q100b-totais'!B57</f>
        <v>8.5</v>
      </c>
      <c r="B2398" s="252" t="str">
        <f>'Q100b-totais'!C57</f>
        <v>Transporte convencional</v>
      </c>
      <c r="C2398" s="167" t="s">
        <v>432</v>
      </c>
      <c r="D2398" s="323" t="s">
        <v>2553</v>
      </c>
      <c r="E2398" s="1496" t="s">
        <v>1306</v>
      </c>
      <c r="F2398" s="252" t="s">
        <v>4306</v>
      </c>
      <c r="G2398" s="230" t="s">
        <v>3507</v>
      </c>
      <c r="H2398" s="167" t="s">
        <v>2408</v>
      </c>
      <c r="I2398" s="57" t="s">
        <v>432</v>
      </c>
      <c r="J2398" s="109" t="s">
        <v>432</v>
      </c>
      <c r="K2398" s="109" t="s">
        <v>432</v>
      </c>
      <c r="L2398" s="109" t="s">
        <v>432</v>
      </c>
      <c r="M2398" s="109" t="s">
        <v>432</v>
      </c>
      <c r="N2398" s="109" t="s">
        <v>432</v>
      </c>
      <c r="O2398" s="109" t="s">
        <v>432</v>
      </c>
      <c r="P2398" s="109" t="s">
        <v>432</v>
      </c>
      <c r="Q2398" s="109" t="s">
        <v>432</v>
      </c>
      <c r="R2398" s="109" t="s">
        <v>432</v>
      </c>
      <c r="S2398" s="109" t="s">
        <v>2209</v>
      </c>
      <c r="T2398" s="109" t="s">
        <v>432</v>
      </c>
      <c r="U2398" s="109" t="s">
        <v>432</v>
      </c>
      <c r="V2398" s="109" t="s">
        <v>2209</v>
      </c>
      <c r="W2398" s="109" t="s">
        <v>432</v>
      </c>
      <c r="X2398" s="109" t="s">
        <v>432</v>
      </c>
      <c r="Y2398" s="109" t="s">
        <v>432</v>
      </c>
      <c r="Z2398" s="109" t="s">
        <v>432</v>
      </c>
      <c r="AA2398" s="109" t="s">
        <v>432</v>
      </c>
      <c r="AB2398" s="109" t="s">
        <v>432</v>
      </c>
      <c r="AC2398" s="109" t="s">
        <v>432</v>
      </c>
      <c r="AD2398" s="109" t="s">
        <v>432</v>
      </c>
      <c r="AE2398" s="109" t="s">
        <v>432</v>
      </c>
      <c r="AF2398" s="109" t="s">
        <v>432</v>
      </c>
      <c r="AG2398" s="109" t="s">
        <v>432</v>
      </c>
      <c r="AH2398" s="109" t="s">
        <v>432</v>
      </c>
      <c r="AI2398" s="109" t="s">
        <v>432</v>
      </c>
      <c r="AJ2398" s="109" t="s">
        <v>432</v>
      </c>
      <c r="AK2398" s="137" t="s">
        <v>432</v>
      </c>
      <c r="AL2398" s="601" t="s">
        <v>432</v>
      </c>
      <c r="AM2398" s="137" t="s">
        <v>432</v>
      </c>
      <c r="AN2398" s="137" t="s">
        <v>432</v>
      </c>
      <c r="AO2398" s="137" t="s">
        <v>432</v>
      </c>
      <c r="AP2398" s="137" t="s">
        <v>432</v>
      </c>
      <c r="AQ2398" s="137" t="s">
        <v>432</v>
      </c>
      <c r="AR2398" s="137" t="s">
        <v>432</v>
      </c>
      <c r="AS2398" s="137" t="s">
        <v>432</v>
      </c>
      <c r="AT2398" s="137" t="s">
        <v>432</v>
      </c>
      <c r="AU2398" s="137" t="s">
        <v>432</v>
      </c>
      <c r="AV2398" s="137" t="s">
        <v>432</v>
      </c>
      <c r="AW2398" s="137" t="s">
        <v>432</v>
      </c>
      <c r="AX2398" s="137" t="s">
        <v>432</v>
      </c>
      <c r="AY2398" s="137" t="s">
        <v>432</v>
      </c>
      <c r="AZ2398" s="137" t="s">
        <v>432</v>
      </c>
      <c r="BA2398" s="137" t="s">
        <v>432</v>
      </c>
      <c r="BB2398" s="239" t="str">
        <f>B2398&amp;C2398</f>
        <v>Transporte convencionalx</v>
      </c>
      <c r="BC2398" s="239" t="str">
        <f>B2398&amp;C2398&amp;H2398</f>
        <v>Transporte convencionalxsigla/verbete</v>
      </c>
      <c r="BD2398" s="239" t="str">
        <f>B2398&amp;H2398</f>
        <v>Transporte convencionalsigla/verbete</v>
      </c>
      <c r="BM2398" s="849"/>
      <c r="BN2398" s="849"/>
      <c r="BO2398" s="849"/>
    </row>
    <row r="2399" spans="1:67" s="1" customFormat="1" ht="77.25" customHeight="1" x14ac:dyDescent="0.25">
      <c r="A2399" s="262" t="str">
        <f>'Q100b-totais'!B57</f>
        <v>8.5</v>
      </c>
      <c r="B2399" s="252" t="str">
        <f>'Q100b-totais'!C57</f>
        <v>Transporte convencional</v>
      </c>
      <c r="C2399" s="167" t="s">
        <v>432</v>
      </c>
      <c r="D2399" s="323" t="s">
        <v>2553</v>
      </c>
      <c r="E2399" s="1496" t="s">
        <v>1307</v>
      </c>
      <c r="F2399" s="252" t="s">
        <v>4304</v>
      </c>
      <c r="G2399" s="230" t="s">
        <v>3507</v>
      </c>
      <c r="H2399" s="167" t="s">
        <v>2408</v>
      </c>
      <c r="I2399" s="57" t="s">
        <v>432</v>
      </c>
      <c r="J2399" s="109" t="s">
        <v>432</v>
      </c>
      <c r="K2399" s="109" t="s">
        <v>432</v>
      </c>
      <c r="L2399" s="109" t="s">
        <v>432</v>
      </c>
      <c r="M2399" s="109" t="s">
        <v>432</v>
      </c>
      <c r="N2399" s="109" t="s">
        <v>432</v>
      </c>
      <c r="O2399" s="109" t="s">
        <v>432</v>
      </c>
      <c r="P2399" s="109" t="s">
        <v>432</v>
      </c>
      <c r="Q2399" s="109" t="s">
        <v>432</v>
      </c>
      <c r="R2399" s="109" t="s">
        <v>432</v>
      </c>
      <c r="S2399" s="109" t="s">
        <v>2209</v>
      </c>
      <c r="T2399" s="109" t="s">
        <v>432</v>
      </c>
      <c r="U2399" s="109" t="s">
        <v>432</v>
      </c>
      <c r="V2399" s="109" t="s">
        <v>2209</v>
      </c>
      <c r="W2399" s="109" t="s">
        <v>432</v>
      </c>
      <c r="X2399" s="109" t="s">
        <v>432</v>
      </c>
      <c r="Y2399" s="109" t="s">
        <v>432</v>
      </c>
      <c r="Z2399" s="109" t="s">
        <v>432</v>
      </c>
      <c r="AA2399" s="109" t="s">
        <v>432</v>
      </c>
      <c r="AB2399" s="109" t="s">
        <v>432</v>
      </c>
      <c r="AC2399" s="109" t="s">
        <v>432</v>
      </c>
      <c r="AD2399" s="109" t="s">
        <v>432</v>
      </c>
      <c r="AE2399" s="109" t="s">
        <v>432</v>
      </c>
      <c r="AF2399" s="109" t="s">
        <v>432</v>
      </c>
      <c r="AG2399" s="109" t="s">
        <v>432</v>
      </c>
      <c r="AH2399" s="109" t="s">
        <v>432</v>
      </c>
      <c r="AI2399" s="109" t="s">
        <v>432</v>
      </c>
      <c r="AJ2399" s="109" t="s">
        <v>432</v>
      </c>
      <c r="AK2399" s="137" t="s">
        <v>432</v>
      </c>
      <c r="AL2399" s="601" t="s">
        <v>432</v>
      </c>
      <c r="AM2399" s="137" t="s">
        <v>432</v>
      </c>
      <c r="AN2399" s="137" t="s">
        <v>432</v>
      </c>
      <c r="AO2399" s="137" t="s">
        <v>432</v>
      </c>
      <c r="AP2399" s="137" t="s">
        <v>432</v>
      </c>
      <c r="AQ2399" s="137" t="s">
        <v>432</v>
      </c>
      <c r="AR2399" s="137" t="s">
        <v>432</v>
      </c>
      <c r="AS2399" s="137" t="s">
        <v>432</v>
      </c>
      <c r="AT2399" s="137" t="s">
        <v>432</v>
      </c>
      <c r="AU2399" s="137" t="s">
        <v>432</v>
      </c>
      <c r="AV2399" s="137" t="s">
        <v>432</v>
      </c>
      <c r="AW2399" s="137" t="s">
        <v>432</v>
      </c>
      <c r="AX2399" s="137" t="s">
        <v>432</v>
      </c>
      <c r="AY2399" s="137" t="s">
        <v>432</v>
      </c>
      <c r="AZ2399" s="137" t="s">
        <v>432</v>
      </c>
      <c r="BA2399" s="137" t="s">
        <v>432</v>
      </c>
      <c r="BB2399" s="239" t="str">
        <f>B2399&amp;C2399</f>
        <v>Transporte convencionalx</v>
      </c>
      <c r="BC2399" s="239" t="str">
        <f>B2399&amp;C2399&amp;H2399</f>
        <v>Transporte convencionalxsigla/verbete</v>
      </c>
      <c r="BD2399" s="239" t="str">
        <f>B2399&amp;H2399</f>
        <v>Transporte convencionalsigla/verbete</v>
      </c>
      <c r="BM2399" s="1140"/>
      <c r="BN2399" s="1140"/>
      <c r="BO2399" s="1140"/>
    </row>
    <row r="2400" spans="1:67" s="1" customFormat="1" ht="77.25" customHeight="1" x14ac:dyDescent="0.25">
      <c r="A2400" s="262" t="str">
        <f>'Q100b-totais'!B59</f>
        <v>8.7</v>
      </c>
      <c r="B2400" s="252" t="str">
        <f>'Q100b-totais'!C59</f>
        <v>Transporte de baixa capacidade</v>
      </c>
      <c r="C2400" s="167" t="s">
        <v>432</v>
      </c>
      <c r="D2400" s="323" t="s">
        <v>3869</v>
      </c>
      <c r="E2400" s="1496" t="s">
        <v>1307</v>
      </c>
      <c r="F2400" s="252" t="s">
        <v>4305</v>
      </c>
      <c r="G2400" s="230"/>
      <c r="H2400" s="167"/>
      <c r="I2400" s="57"/>
      <c r="J2400" s="109"/>
      <c r="K2400" s="109"/>
      <c r="L2400" s="109"/>
      <c r="M2400" s="109"/>
      <c r="N2400" s="109"/>
      <c r="O2400" s="109"/>
      <c r="P2400" s="109"/>
      <c r="Q2400" s="109"/>
      <c r="R2400" s="109"/>
      <c r="S2400" s="109"/>
      <c r="T2400" s="109"/>
      <c r="U2400" s="109"/>
      <c r="V2400" s="109"/>
      <c r="W2400" s="109"/>
      <c r="X2400" s="109"/>
      <c r="Y2400" s="109"/>
      <c r="Z2400" s="109"/>
      <c r="AA2400" s="109"/>
      <c r="AB2400" s="109"/>
      <c r="AC2400" s="109"/>
      <c r="AD2400" s="109"/>
      <c r="AE2400" s="109"/>
      <c r="AF2400" s="109"/>
      <c r="AG2400" s="109"/>
      <c r="AH2400" s="109"/>
      <c r="AI2400" s="109"/>
      <c r="AJ2400" s="109"/>
      <c r="AK2400" s="137"/>
      <c r="AL2400" s="601"/>
      <c r="AM2400" s="137"/>
      <c r="AN2400" s="137"/>
      <c r="AO2400" s="137"/>
      <c r="AP2400" s="137"/>
      <c r="AQ2400" s="137"/>
      <c r="AR2400" s="137"/>
      <c r="AS2400" s="137"/>
      <c r="AT2400" s="137"/>
      <c r="AU2400" s="137"/>
      <c r="AV2400" s="137"/>
      <c r="AW2400" s="137"/>
      <c r="AX2400" s="137"/>
      <c r="AY2400" s="137"/>
      <c r="AZ2400" s="137"/>
      <c r="BA2400" s="137"/>
      <c r="BB2400" s="239"/>
      <c r="BC2400" s="239"/>
      <c r="BD2400" s="239"/>
      <c r="BM2400" s="1201"/>
      <c r="BN2400" s="1201"/>
      <c r="BO2400" s="1201"/>
    </row>
    <row r="2401" spans="1:67" s="1" customFormat="1" ht="63.75" customHeight="1" x14ac:dyDescent="0.25">
      <c r="A2401" s="262" t="str">
        <f>'Q100b-totais'!B62</f>
        <v>8.10</v>
      </c>
      <c r="B2401" s="252" t="str">
        <f>'Q100b-totais'!C62</f>
        <v>Sistema de transporte coletivo com um todo</v>
      </c>
      <c r="C2401" s="167" t="s">
        <v>432</v>
      </c>
      <c r="D2401" s="323" t="s">
        <v>3867</v>
      </c>
      <c r="E2401" s="1496" t="s">
        <v>1705</v>
      </c>
      <c r="F2401" s="252" t="s">
        <v>4555</v>
      </c>
      <c r="G2401" s="230" t="s">
        <v>3507</v>
      </c>
      <c r="H2401" s="167" t="s">
        <v>2408</v>
      </c>
      <c r="I2401" s="57" t="s">
        <v>432</v>
      </c>
      <c r="J2401" s="109" t="s">
        <v>432</v>
      </c>
      <c r="K2401" s="109" t="s">
        <v>432</v>
      </c>
      <c r="L2401" s="109" t="s">
        <v>432</v>
      </c>
      <c r="M2401" s="109" t="s">
        <v>432</v>
      </c>
      <c r="N2401" s="109" t="s">
        <v>432</v>
      </c>
      <c r="O2401" s="109" t="s">
        <v>432</v>
      </c>
      <c r="P2401" s="109" t="s">
        <v>432</v>
      </c>
      <c r="Q2401" s="109" t="s">
        <v>432</v>
      </c>
      <c r="R2401" s="109" t="s">
        <v>432</v>
      </c>
      <c r="S2401" s="109" t="s">
        <v>2209</v>
      </c>
      <c r="T2401" s="109" t="s">
        <v>432</v>
      </c>
      <c r="U2401" s="109" t="s">
        <v>432</v>
      </c>
      <c r="V2401" s="109" t="s">
        <v>2209</v>
      </c>
      <c r="W2401" s="109" t="s">
        <v>432</v>
      </c>
      <c r="X2401" s="109" t="s">
        <v>432</v>
      </c>
      <c r="Y2401" s="109" t="s">
        <v>432</v>
      </c>
      <c r="Z2401" s="109" t="s">
        <v>432</v>
      </c>
      <c r="AA2401" s="109" t="s">
        <v>432</v>
      </c>
      <c r="AB2401" s="109" t="s">
        <v>432</v>
      </c>
      <c r="AC2401" s="109" t="s">
        <v>432</v>
      </c>
      <c r="AD2401" s="109" t="s">
        <v>432</v>
      </c>
      <c r="AE2401" s="109" t="s">
        <v>432</v>
      </c>
      <c r="AF2401" s="109" t="s">
        <v>432</v>
      </c>
      <c r="AG2401" s="109" t="s">
        <v>432</v>
      </c>
      <c r="AH2401" s="109" t="s">
        <v>432</v>
      </c>
      <c r="AI2401" s="109" t="s">
        <v>432</v>
      </c>
      <c r="AJ2401" s="109" t="s">
        <v>432</v>
      </c>
      <c r="AK2401" s="137" t="s">
        <v>432</v>
      </c>
      <c r="AL2401" s="601" t="s">
        <v>432</v>
      </c>
      <c r="AM2401" s="137" t="s">
        <v>432</v>
      </c>
      <c r="AN2401" s="137" t="s">
        <v>432</v>
      </c>
      <c r="AO2401" s="137" t="s">
        <v>432</v>
      </c>
      <c r="AP2401" s="137" t="s">
        <v>432</v>
      </c>
      <c r="AQ2401" s="137" t="s">
        <v>432</v>
      </c>
      <c r="AR2401" s="137" t="s">
        <v>432</v>
      </c>
      <c r="AS2401" s="137" t="s">
        <v>432</v>
      </c>
      <c r="AT2401" s="137" t="s">
        <v>432</v>
      </c>
      <c r="AU2401" s="137" t="s">
        <v>432</v>
      </c>
      <c r="AV2401" s="137" t="s">
        <v>432</v>
      </c>
      <c r="AW2401" s="137" t="s">
        <v>432</v>
      </c>
      <c r="AX2401" s="137" t="s">
        <v>432</v>
      </c>
      <c r="AY2401" s="137" t="s">
        <v>432</v>
      </c>
      <c r="AZ2401" s="137" t="s">
        <v>432</v>
      </c>
      <c r="BA2401" s="137" t="s">
        <v>432</v>
      </c>
      <c r="BB2401" s="239" t="str">
        <f>B2401&amp;C2401</f>
        <v>Sistema de transporte coletivo com um todox</v>
      </c>
      <c r="BC2401" s="239" t="str">
        <f>B2401&amp;C2401&amp;H2401</f>
        <v>Sistema de transporte coletivo com um todoxsigla/verbete</v>
      </c>
      <c r="BD2401" s="239" t="str">
        <f>B2401&amp;H2401</f>
        <v>Sistema de transporte coletivo com um todosigla/verbete</v>
      </c>
      <c r="BM2401" s="1201"/>
      <c r="BN2401" s="1201"/>
      <c r="BO2401" s="1201"/>
    </row>
    <row r="2402" spans="1:67" s="1" customFormat="1" ht="52.5" customHeight="1" x14ac:dyDescent="0.25">
      <c r="A2402" s="262" t="str">
        <f>'Q100b-totais'!B62</f>
        <v>8.10</v>
      </c>
      <c r="B2402" s="252" t="str">
        <f>'Q100b-totais'!C62</f>
        <v>Sistema de transporte coletivo com um todo</v>
      </c>
      <c r="C2402" s="167" t="s">
        <v>432</v>
      </c>
      <c r="D2402" s="323" t="s">
        <v>3868</v>
      </c>
      <c r="E2402" s="1496" t="s">
        <v>1705</v>
      </c>
      <c r="F2402" s="252" t="s">
        <v>4556</v>
      </c>
      <c r="G2402" s="230" t="s">
        <v>3507</v>
      </c>
      <c r="H2402" s="167" t="s">
        <v>2408</v>
      </c>
      <c r="I2402" s="57" t="s">
        <v>432</v>
      </c>
      <c r="J2402" s="109" t="s">
        <v>432</v>
      </c>
      <c r="K2402" s="109" t="s">
        <v>432</v>
      </c>
      <c r="L2402" s="109" t="s">
        <v>432</v>
      </c>
      <c r="M2402" s="109" t="s">
        <v>432</v>
      </c>
      <c r="N2402" s="109" t="s">
        <v>432</v>
      </c>
      <c r="O2402" s="109" t="s">
        <v>432</v>
      </c>
      <c r="P2402" s="109" t="s">
        <v>432</v>
      </c>
      <c r="Q2402" s="109" t="s">
        <v>432</v>
      </c>
      <c r="R2402" s="109" t="s">
        <v>432</v>
      </c>
      <c r="S2402" s="109" t="s">
        <v>2209</v>
      </c>
      <c r="T2402" s="109" t="s">
        <v>432</v>
      </c>
      <c r="U2402" s="109" t="s">
        <v>432</v>
      </c>
      <c r="V2402" s="109" t="s">
        <v>2209</v>
      </c>
      <c r="W2402" s="109" t="s">
        <v>432</v>
      </c>
      <c r="X2402" s="109" t="s">
        <v>432</v>
      </c>
      <c r="Y2402" s="109" t="s">
        <v>432</v>
      </c>
      <c r="Z2402" s="109" t="s">
        <v>432</v>
      </c>
      <c r="AA2402" s="109" t="s">
        <v>432</v>
      </c>
      <c r="AB2402" s="109" t="s">
        <v>432</v>
      </c>
      <c r="AC2402" s="109" t="s">
        <v>432</v>
      </c>
      <c r="AD2402" s="109" t="s">
        <v>432</v>
      </c>
      <c r="AE2402" s="109" t="s">
        <v>432</v>
      </c>
      <c r="AF2402" s="109" t="s">
        <v>432</v>
      </c>
      <c r="AG2402" s="109" t="s">
        <v>432</v>
      </c>
      <c r="AH2402" s="109" t="s">
        <v>432</v>
      </c>
      <c r="AI2402" s="109" t="s">
        <v>432</v>
      </c>
      <c r="AJ2402" s="109" t="s">
        <v>432</v>
      </c>
      <c r="AK2402" s="137" t="s">
        <v>432</v>
      </c>
      <c r="AL2402" s="601" t="s">
        <v>432</v>
      </c>
      <c r="AM2402" s="137" t="s">
        <v>432</v>
      </c>
      <c r="AN2402" s="137" t="s">
        <v>432</v>
      </c>
      <c r="AO2402" s="137" t="s">
        <v>432</v>
      </c>
      <c r="AP2402" s="137" t="s">
        <v>432</v>
      </c>
      <c r="AQ2402" s="137" t="s">
        <v>432</v>
      </c>
      <c r="AR2402" s="137" t="s">
        <v>432</v>
      </c>
      <c r="AS2402" s="137" t="s">
        <v>432</v>
      </c>
      <c r="AT2402" s="137" t="s">
        <v>432</v>
      </c>
      <c r="AU2402" s="137" t="s">
        <v>432</v>
      </c>
      <c r="AV2402" s="137" t="s">
        <v>432</v>
      </c>
      <c r="AW2402" s="137" t="s">
        <v>432</v>
      </c>
      <c r="AX2402" s="137" t="s">
        <v>432</v>
      </c>
      <c r="AY2402" s="137" t="s">
        <v>432</v>
      </c>
      <c r="AZ2402" s="137" t="s">
        <v>432</v>
      </c>
      <c r="BA2402" s="137" t="s">
        <v>432</v>
      </c>
      <c r="BB2402" s="239" t="str">
        <f>B2402&amp;C2402</f>
        <v>Sistema de transporte coletivo com um todox</v>
      </c>
      <c r="BC2402" s="239" t="str">
        <f>B2402&amp;C2402&amp;H2402</f>
        <v>Sistema de transporte coletivo com um todoxsigla/verbete</v>
      </c>
      <c r="BD2402" s="239" t="str">
        <f>B2402&amp;H2402</f>
        <v>Sistema de transporte coletivo com um todosigla/verbete</v>
      </c>
      <c r="BM2402" s="1201"/>
      <c r="BN2402" s="1201"/>
      <c r="BO2402" s="1201"/>
    </row>
    <row r="2403" spans="1:67" s="1" customFormat="1" ht="99" customHeight="1" x14ac:dyDescent="0.25">
      <c r="A2403" s="262" t="str">
        <f>'Q100b-totais'!B57</f>
        <v>8.5</v>
      </c>
      <c r="B2403" s="252" t="str">
        <f>'Q100b-totais'!C57</f>
        <v>Transporte convencional</v>
      </c>
      <c r="C2403" s="167" t="s">
        <v>432</v>
      </c>
      <c r="D2403" s="323" t="s">
        <v>3682</v>
      </c>
      <c r="E2403" s="1496" t="s">
        <v>1306</v>
      </c>
      <c r="F2403" s="252" t="s">
        <v>3683</v>
      </c>
      <c r="G2403" s="230" t="s">
        <v>3507</v>
      </c>
      <c r="H2403" s="167" t="s">
        <v>2408</v>
      </c>
      <c r="I2403" s="167" t="s">
        <v>432</v>
      </c>
      <c r="J2403" s="107" t="s">
        <v>432</v>
      </c>
      <c r="K2403" s="107" t="s">
        <v>432</v>
      </c>
      <c r="L2403" s="107" t="s">
        <v>432</v>
      </c>
      <c r="M2403" s="107" t="s">
        <v>432</v>
      </c>
      <c r="N2403" s="107" t="s">
        <v>432</v>
      </c>
      <c r="O2403" s="107" t="s">
        <v>432</v>
      </c>
      <c r="P2403" s="107" t="s">
        <v>432</v>
      </c>
      <c r="Q2403" s="107" t="s">
        <v>432</v>
      </c>
      <c r="R2403" s="107" t="s">
        <v>432</v>
      </c>
      <c r="S2403" s="109" t="s">
        <v>2209</v>
      </c>
      <c r="T2403" s="107" t="s">
        <v>432</v>
      </c>
      <c r="U2403" s="107" t="s">
        <v>432</v>
      </c>
      <c r="V2403" s="109" t="s">
        <v>2209</v>
      </c>
      <c r="W2403" s="107" t="s">
        <v>432</v>
      </c>
      <c r="X2403" s="107" t="s">
        <v>432</v>
      </c>
      <c r="Y2403" s="107" t="s">
        <v>432</v>
      </c>
      <c r="Z2403" s="107" t="s">
        <v>432</v>
      </c>
      <c r="AA2403" s="107" t="s">
        <v>432</v>
      </c>
      <c r="AB2403" s="107" t="s">
        <v>432</v>
      </c>
      <c r="AC2403" s="107" t="s">
        <v>432</v>
      </c>
      <c r="AD2403" s="107" t="s">
        <v>432</v>
      </c>
      <c r="AE2403" s="107" t="s">
        <v>432</v>
      </c>
      <c r="AF2403" s="107" t="s">
        <v>432</v>
      </c>
      <c r="AG2403" s="107" t="s">
        <v>432</v>
      </c>
      <c r="AH2403" s="107" t="s">
        <v>432</v>
      </c>
      <c r="AI2403" s="107" t="s">
        <v>432</v>
      </c>
      <c r="AJ2403" s="107" t="s">
        <v>432</v>
      </c>
      <c r="AK2403" s="137" t="s">
        <v>432</v>
      </c>
      <c r="AL2403" s="601" t="s">
        <v>432</v>
      </c>
      <c r="AM2403" s="137" t="s">
        <v>432</v>
      </c>
      <c r="AN2403" s="137" t="s">
        <v>432</v>
      </c>
      <c r="AO2403" s="137" t="s">
        <v>432</v>
      </c>
      <c r="AP2403" s="137" t="s">
        <v>432</v>
      </c>
      <c r="AQ2403" s="137" t="s">
        <v>432</v>
      </c>
      <c r="AR2403" s="137" t="s">
        <v>432</v>
      </c>
      <c r="AS2403" s="137" t="s">
        <v>432</v>
      </c>
      <c r="AT2403" s="137" t="s">
        <v>432</v>
      </c>
      <c r="AU2403" s="137" t="s">
        <v>432</v>
      </c>
      <c r="AV2403" s="137" t="s">
        <v>432</v>
      </c>
      <c r="AW2403" s="137" t="s">
        <v>432</v>
      </c>
      <c r="AX2403" s="137" t="s">
        <v>432</v>
      </c>
      <c r="AY2403" s="137" t="s">
        <v>432</v>
      </c>
      <c r="AZ2403" s="137" t="s">
        <v>432</v>
      </c>
      <c r="BA2403" s="137" t="s">
        <v>432</v>
      </c>
      <c r="BB2403" s="239" t="str">
        <f>B2403&amp;C2403</f>
        <v>Transporte convencionalx</v>
      </c>
      <c r="BC2403" s="239" t="str">
        <f>B2403&amp;C2403&amp;H2403</f>
        <v>Transporte convencionalxsigla/verbete</v>
      </c>
      <c r="BD2403" s="239" t="str">
        <f>B2403&amp;H2403</f>
        <v>Transporte convencionalsigla/verbete</v>
      </c>
      <c r="BM2403" s="1140"/>
      <c r="BN2403" s="1140"/>
      <c r="BO2403" s="1140"/>
    </row>
    <row r="2404" spans="1:67" s="1" customFormat="1" ht="139.5" customHeight="1" x14ac:dyDescent="0.25">
      <c r="A2404" s="262" t="str">
        <f>'Q100b-totais'!B59</f>
        <v>8.7</v>
      </c>
      <c r="B2404" s="252" t="str">
        <f>'Q100b-totais'!C59</f>
        <v>Transporte de baixa capacidade</v>
      </c>
      <c r="C2404" s="167" t="s">
        <v>432</v>
      </c>
      <c r="D2404" s="323" t="s">
        <v>2054</v>
      </c>
      <c r="E2404" s="1496" t="s">
        <v>1306</v>
      </c>
      <c r="F2404" s="11" t="s">
        <v>5333</v>
      </c>
      <c r="G2404" s="230" t="s">
        <v>3507</v>
      </c>
      <c r="H2404" s="173" t="s">
        <v>2408</v>
      </c>
      <c r="I2404" s="167" t="s">
        <v>432</v>
      </c>
      <c r="J2404" s="107" t="s">
        <v>432</v>
      </c>
      <c r="K2404" s="107" t="s">
        <v>432</v>
      </c>
      <c r="L2404" s="107" t="s">
        <v>432</v>
      </c>
      <c r="M2404" s="107" t="s">
        <v>432</v>
      </c>
      <c r="N2404" s="107" t="s">
        <v>432</v>
      </c>
      <c r="O2404" s="107" t="s">
        <v>432</v>
      </c>
      <c r="P2404" s="107" t="s">
        <v>432</v>
      </c>
      <c r="Q2404" s="107" t="s">
        <v>432</v>
      </c>
      <c r="R2404" s="107" t="s">
        <v>432</v>
      </c>
      <c r="S2404" s="109" t="s">
        <v>2209</v>
      </c>
      <c r="T2404" s="107" t="s">
        <v>432</v>
      </c>
      <c r="U2404" s="107" t="s">
        <v>432</v>
      </c>
      <c r="V2404" s="109" t="s">
        <v>2209</v>
      </c>
      <c r="W2404" s="107" t="s">
        <v>432</v>
      </c>
      <c r="X2404" s="107" t="s">
        <v>432</v>
      </c>
      <c r="Y2404" s="107" t="s">
        <v>432</v>
      </c>
      <c r="Z2404" s="107" t="s">
        <v>432</v>
      </c>
      <c r="AA2404" s="107" t="s">
        <v>432</v>
      </c>
      <c r="AB2404" s="107" t="s">
        <v>432</v>
      </c>
      <c r="AC2404" s="107" t="s">
        <v>432</v>
      </c>
      <c r="AD2404" s="107" t="s">
        <v>432</v>
      </c>
      <c r="AE2404" s="107" t="s">
        <v>432</v>
      </c>
      <c r="AF2404" s="107" t="s">
        <v>432</v>
      </c>
      <c r="AG2404" s="107" t="s">
        <v>432</v>
      </c>
      <c r="AH2404" s="107" t="s">
        <v>432</v>
      </c>
      <c r="AI2404" s="107" t="s">
        <v>432</v>
      </c>
      <c r="AJ2404" s="107" t="s">
        <v>432</v>
      </c>
      <c r="AK2404" s="137" t="s">
        <v>432</v>
      </c>
      <c r="AL2404" s="601" t="s">
        <v>432</v>
      </c>
      <c r="AM2404" s="137" t="s">
        <v>432</v>
      </c>
      <c r="AN2404" s="137" t="s">
        <v>432</v>
      </c>
      <c r="AO2404" s="137" t="s">
        <v>432</v>
      </c>
      <c r="AP2404" s="137" t="s">
        <v>432</v>
      </c>
      <c r="AQ2404" s="137" t="s">
        <v>432</v>
      </c>
      <c r="AR2404" s="137" t="s">
        <v>432</v>
      </c>
      <c r="AS2404" s="137" t="s">
        <v>432</v>
      </c>
      <c r="AT2404" s="137" t="s">
        <v>432</v>
      </c>
      <c r="AU2404" s="137" t="s">
        <v>432</v>
      </c>
      <c r="AV2404" s="137" t="s">
        <v>432</v>
      </c>
      <c r="AW2404" s="137" t="s">
        <v>432</v>
      </c>
      <c r="AX2404" s="137" t="s">
        <v>432</v>
      </c>
      <c r="AY2404" s="137" t="s">
        <v>432</v>
      </c>
      <c r="AZ2404" s="137" t="s">
        <v>432</v>
      </c>
      <c r="BA2404" s="137" t="s">
        <v>432</v>
      </c>
      <c r="BB2404" s="239" t="str">
        <f t="shared" si="700"/>
        <v>Transporte de baixa capacidadex</v>
      </c>
      <c r="BC2404" s="239" t="str">
        <f t="shared" si="701"/>
        <v>Transporte de baixa capacidadexsigla/verbete</v>
      </c>
      <c r="BD2404" s="239" t="str">
        <f t="shared" si="702"/>
        <v>Transporte de baixa capacidadesigla/verbete</v>
      </c>
      <c r="BM2404" s="519"/>
      <c r="BN2404" s="519"/>
      <c r="BO2404" s="519"/>
    </row>
    <row r="2405" spans="1:67" s="1" customFormat="1" ht="139.5" customHeight="1" x14ac:dyDescent="0.25">
      <c r="A2405" s="262" t="str">
        <f>'Q100b-totais'!B59</f>
        <v>8.7</v>
      </c>
      <c r="B2405" s="252" t="str">
        <f>'Q100b-totais'!C59</f>
        <v>Transporte de baixa capacidade</v>
      </c>
      <c r="C2405" s="167" t="s">
        <v>743</v>
      </c>
      <c r="D2405" s="323" t="s">
        <v>5884</v>
      </c>
      <c r="E2405" s="1496" t="s">
        <v>1306</v>
      </c>
      <c r="F2405" s="1205" t="s">
        <v>5885</v>
      </c>
      <c r="G2405" s="230" t="s">
        <v>3507</v>
      </c>
      <c r="H2405" s="173" t="s">
        <v>2408</v>
      </c>
      <c r="I2405" s="167" t="s">
        <v>432</v>
      </c>
      <c r="J2405" s="107" t="s">
        <v>432</v>
      </c>
      <c r="K2405" s="107" t="s">
        <v>432</v>
      </c>
      <c r="L2405" s="107" t="s">
        <v>432</v>
      </c>
      <c r="M2405" s="107" t="s">
        <v>432</v>
      </c>
      <c r="N2405" s="107" t="s">
        <v>432</v>
      </c>
      <c r="O2405" s="107" t="s">
        <v>432</v>
      </c>
      <c r="P2405" s="107" t="s">
        <v>432</v>
      </c>
      <c r="Q2405" s="107" t="s">
        <v>432</v>
      </c>
      <c r="R2405" s="107" t="s">
        <v>432</v>
      </c>
      <c r="S2405" s="109" t="s">
        <v>2209</v>
      </c>
      <c r="T2405" s="107" t="s">
        <v>432</v>
      </c>
      <c r="U2405" s="107" t="s">
        <v>432</v>
      </c>
      <c r="V2405" s="109" t="s">
        <v>2209</v>
      </c>
      <c r="W2405" s="107" t="s">
        <v>432</v>
      </c>
      <c r="X2405" s="107" t="s">
        <v>432</v>
      </c>
      <c r="Y2405" s="107" t="s">
        <v>432</v>
      </c>
      <c r="Z2405" s="107" t="s">
        <v>432</v>
      </c>
      <c r="AA2405" s="107" t="s">
        <v>432</v>
      </c>
      <c r="AB2405" s="107" t="s">
        <v>432</v>
      </c>
      <c r="AC2405" s="107" t="s">
        <v>432</v>
      </c>
      <c r="AD2405" s="107" t="s">
        <v>432</v>
      </c>
      <c r="AE2405" s="107" t="s">
        <v>432</v>
      </c>
      <c r="AF2405" s="107" t="s">
        <v>432</v>
      </c>
      <c r="AG2405" s="107" t="s">
        <v>432</v>
      </c>
      <c r="AH2405" s="107" t="s">
        <v>432</v>
      </c>
      <c r="AI2405" s="107" t="s">
        <v>432</v>
      </c>
      <c r="AJ2405" s="107" t="s">
        <v>432</v>
      </c>
      <c r="AK2405" s="137" t="s">
        <v>432</v>
      </c>
      <c r="AL2405" s="601" t="s">
        <v>432</v>
      </c>
      <c r="AM2405" s="137" t="s">
        <v>432</v>
      </c>
      <c r="AN2405" s="137" t="s">
        <v>432</v>
      </c>
      <c r="AO2405" s="137" t="s">
        <v>432</v>
      </c>
      <c r="AP2405" s="137" t="s">
        <v>432</v>
      </c>
      <c r="AQ2405" s="137" t="s">
        <v>432</v>
      </c>
      <c r="AR2405" s="137" t="s">
        <v>432</v>
      </c>
      <c r="AS2405" s="137" t="s">
        <v>432</v>
      </c>
      <c r="AT2405" s="137" t="s">
        <v>432</v>
      </c>
      <c r="AU2405" s="137" t="s">
        <v>432</v>
      </c>
      <c r="AV2405" s="137" t="s">
        <v>432</v>
      </c>
      <c r="AW2405" s="137" t="s">
        <v>432</v>
      </c>
      <c r="AX2405" s="137" t="s">
        <v>432</v>
      </c>
      <c r="AY2405" s="137" t="s">
        <v>432</v>
      </c>
      <c r="AZ2405" s="137" t="s">
        <v>432</v>
      </c>
      <c r="BA2405" s="137" t="s">
        <v>432</v>
      </c>
      <c r="BB2405" s="239" t="str">
        <f t="shared" ref="BB2405" si="712">B2405&amp;C2405</f>
        <v>Transporte de baixa capacidadeacessibilidade</v>
      </c>
      <c r="BC2405" s="239" t="str">
        <f t="shared" ref="BC2405" si="713">B2405&amp;C2405&amp;H2405</f>
        <v>Transporte de baixa capacidadeacessibilidadesigla/verbete</v>
      </c>
      <c r="BD2405" s="239" t="str">
        <f t="shared" ref="BD2405" si="714">B2405&amp;H2405</f>
        <v>Transporte de baixa capacidadesigla/verbete</v>
      </c>
      <c r="BM2405" s="1444"/>
      <c r="BN2405" s="1444"/>
      <c r="BO2405" s="1444"/>
    </row>
    <row r="2406" spans="1:67" s="1" customFormat="1" ht="63.75" customHeight="1" x14ac:dyDescent="0.25">
      <c r="A2406" s="275">
        <v>7</v>
      </c>
      <c r="B2406" s="54" t="s">
        <v>3558</v>
      </c>
      <c r="C2406" s="167" t="s">
        <v>432</v>
      </c>
      <c r="D2406" s="323" t="s">
        <v>4312</v>
      </c>
      <c r="E2406" s="1496" t="s">
        <v>1767</v>
      </c>
      <c r="F2406" s="11" t="s">
        <v>4313</v>
      </c>
      <c r="G2406" s="230" t="s">
        <v>3507</v>
      </c>
      <c r="H2406" s="167" t="s">
        <v>2408</v>
      </c>
      <c r="I2406" s="57" t="s">
        <v>432</v>
      </c>
      <c r="J2406" s="109" t="s">
        <v>432</v>
      </c>
      <c r="K2406" s="109" t="s">
        <v>432</v>
      </c>
      <c r="L2406" s="109" t="s">
        <v>432</v>
      </c>
      <c r="M2406" s="109" t="s">
        <v>432</v>
      </c>
      <c r="N2406" s="109" t="s">
        <v>432</v>
      </c>
      <c r="O2406" s="109" t="s">
        <v>432</v>
      </c>
      <c r="P2406" s="109" t="s">
        <v>432</v>
      </c>
      <c r="Q2406" s="109" t="s">
        <v>432</v>
      </c>
      <c r="R2406" s="109" t="s">
        <v>432</v>
      </c>
      <c r="S2406" s="109" t="s">
        <v>2209</v>
      </c>
      <c r="T2406" s="109" t="s">
        <v>432</v>
      </c>
      <c r="U2406" s="109" t="s">
        <v>432</v>
      </c>
      <c r="V2406" s="109" t="s">
        <v>2209</v>
      </c>
      <c r="W2406" s="109" t="s">
        <v>432</v>
      </c>
      <c r="X2406" s="109" t="s">
        <v>432</v>
      </c>
      <c r="Y2406" s="109" t="s">
        <v>432</v>
      </c>
      <c r="Z2406" s="109" t="s">
        <v>432</v>
      </c>
      <c r="AA2406" s="109" t="s">
        <v>432</v>
      </c>
      <c r="AB2406" s="109" t="s">
        <v>432</v>
      </c>
      <c r="AC2406" s="109" t="s">
        <v>432</v>
      </c>
      <c r="AD2406" s="109" t="s">
        <v>432</v>
      </c>
      <c r="AE2406" s="109" t="s">
        <v>432</v>
      </c>
      <c r="AF2406" s="109" t="s">
        <v>432</v>
      </c>
      <c r="AG2406" s="109" t="s">
        <v>432</v>
      </c>
      <c r="AH2406" s="109" t="s">
        <v>432</v>
      </c>
      <c r="AI2406" s="109" t="s">
        <v>432</v>
      </c>
      <c r="AJ2406" s="109" t="s">
        <v>432</v>
      </c>
      <c r="AK2406" s="137" t="s">
        <v>432</v>
      </c>
      <c r="AL2406" s="601" t="s">
        <v>432</v>
      </c>
      <c r="AM2406" s="137" t="s">
        <v>432</v>
      </c>
      <c r="AN2406" s="137" t="s">
        <v>432</v>
      </c>
      <c r="AO2406" s="137" t="s">
        <v>432</v>
      </c>
      <c r="AP2406" s="137" t="s">
        <v>432</v>
      </c>
      <c r="AQ2406" s="137" t="s">
        <v>432</v>
      </c>
      <c r="AR2406" s="137" t="s">
        <v>432</v>
      </c>
      <c r="AS2406" s="137" t="s">
        <v>432</v>
      </c>
      <c r="AT2406" s="137" t="s">
        <v>432</v>
      </c>
      <c r="AU2406" s="137" t="s">
        <v>432</v>
      </c>
      <c r="AV2406" s="137" t="s">
        <v>432</v>
      </c>
      <c r="AW2406" s="137" t="s">
        <v>432</v>
      </c>
      <c r="AX2406" s="137" t="s">
        <v>432</v>
      </c>
      <c r="AY2406" s="137" t="s">
        <v>432</v>
      </c>
      <c r="AZ2406" s="137" t="s">
        <v>432</v>
      </c>
      <c r="BA2406" s="137" t="s">
        <v>432</v>
      </c>
      <c r="BB2406" s="239" t="str">
        <f t="shared" si="700"/>
        <v>Sistema de transporte de cargax</v>
      </c>
      <c r="BC2406" s="239" t="str">
        <f t="shared" si="701"/>
        <v>Sistema de transporte de cargaxsigla/verbete</v>
      </c>
      <c r="BD2406" s="239" t="str">
        <f t="shared" si="702"/>
        <v>Sistema de transporte de cargasigla/verbete</v>
      </c>
      <c r="BM2406" s="19"/>
      <c r="BN2406" s="19"/>
      <c r="BO2406" s="19"/>
    </row>
    <row r="2407" spans="1:67" s="1" customFormat="1" ht="307.5" customHeight="1" x14ac:dyDescent="0.25">
      <c r="A2407" s="275" t="str">
        <f>'Q100b-totais'!B62</f>
        <v>8.10</v>
      </c>
      <c r="B2407" s="54" t="str">
        <f>'Q100b-totais'!C62</f>
        <v>Sistema de transporte coletivo com um todo</v>
      </c>
      <c r="C2407" s="167" t="s">
        <v>432</v>
      </c>
      <c r="D2407" s="323" t="s">
        <v>2092</v>
      </c>
      <c r="E2407" s="1496" t="s">
        <v>2056</v>
      </c>
      <c r="F2407" s="252" t="s">
        <v>2093</v>
      </c>
      <c r="G2407" s="230" t="s">
        <v>3507</v>
      </c>
      <c r="H2407" s="167" t="s">
        <v>2408</v>
      </c>
      <c r="I2407" s="57" t="s">
        <v>432</v>
      </c>
      <c r="J2407" s="109" t="s">
        <v>432</v>
      </c>
      <c r="K2407" s="109" t="s">
        <v>432</v>
      </c>
      <c r="L2407" s="109" t="s">
        <v>432</v>
      </c>
      <c r="M2407" s="109" t="s">
        <v>432</v>
      </c>
      <c r="N2407" s="109" t="s">
        <v>432</v>
      </c>
      <c r="O2407" s="109" t="s">
        <v>432</v>
      </c>
      <c r="P2407" s="109" t="s">
        <v>432</v>
      </c>
      <c r="Q2407" s="109" t="s">
        <v>432</v>
      </c>
      <c r="R2407" s="109" t="s">
        <v>432</v>
      </c>
      <c r="S2407" s="109" t="s">
        <v>2209</v>
      </c>
      <c r="T2407" s="109" t="s">
        <v>432</v>
      </c>
      <c r="U2407" s="109" t="s">
        <v>432</v>
      </c>
      <c r="V2407" s="109" t="s">
        <v>2209</v>
      </c>
      <c r="W2407" s="109" t="s">
        <v>432</v>
      </c>
      <c r="X2407" s="109" t="s">
        <v>432</v>
      </c>
      <c r="Y2407" s="109" t="s">
        <v>432</v>
      </c>
      <c r="Z2407" s="109" t="s">
        <v>432</v>
      </c>
      <c r="AA2407" s="109" t="s">
        <v>432</v>
      </c>
      <c r="AB2407" s="109" t="s">
        <v>432</v>
      </c>
      <c r="AC2407" s="109" t="s">
        <v>432</v>
      </c>
      <c r="AD2407" s="109" t="s">
        <v>432</v>
      </c>
      <c r="AE2407" s="109" t="s">
        <v>432</v>
      </c>
      <c r="AF2407" s="109" t="s">
        <v>432</v>
      </c>
      <c r="AG2407" s="109" t="s">
        <v>432</v>
      </c>
      <c r="AH2407" s="109" t="s">
        <v>432</v>
      </c>
      <c r="AI2407" s="109" t="s">
        <v>432</v>
      </c>
      <c r="AJ2407" s="109" t="s">
        <v>432</v>
      </c>
      <c r="AK2407" s="137" t="s">
        <v>432</v>
      </c>
      <c r="AL2407" s="601" t="s">
        <v>432</v>
      </c>
      <c r="AM2407" s="137" t="s">
        <v>432</v>
      </c>
      <c r="AN2407" s="137" t="s">
        <v>432</v>
      </c>
      <c r="AO2407" s="137" t="s">
        <v>432</v>
      </c>
      <c r="AP2407" s="137" t="s">
        <v>432</v>
      </c>
      <c r="AQ2407" s="137" t="s">
        <v>432</v>
      </c>
      <c r="AR2407" s="137" t="s">
        <v>432</v>
      </c>
      <c r="AS2407" s="137" t="s">
        <v>432</v>
      </c>
      <c r="AT2407" s="137" t="s">
        <v>432</v>
      </c>
      <c r="AU2407" s="137" t="s">
        <v>432</v>
      </c>
      <c r="AV2407" s="137" t="s">
        <v>432</v>
      </c>
      <c r="AW2407" s="137" t="s">
        <v>432</v>
      </c>
      <c r="AX2407" s="137" t="s">
        <v>432</v>
      </c>
      <c r="AY2407" s="137" t="s">
        <v>432</v>
      </c>
      <c r="AZ2407" s="137" t="s">
        <v>432</v>
      </c>
      <c r="BA2407" s="137" t="s">
        <v>432</v>
      </c>
      <c r="BB2407" s="239" t="str">
        <f t="shared" si="700"/>
        <v>Sistema de transporte coletivo com um todox</v>
      </c>
      <c r="BC2407" s="239" t="str">
        <f t="shared" si="701"/>
        <v>Sistema de transporte coletivo com um todoxsigla/verbete</v>
      </c>
      <c r="BD2407" s="239" t="str">
        <f t="shared" si="702"/>
        <v>Sistema de transporte coletivo com um todosigla/verbete</v>
      </c>
      <c r="BM2407" s="527"/>
      <c r="BN2407" s="527"/>
      <c r="BO2407" s="527"/>
    </row>
    <row r="2408" spans="1:67" s="1" customFormat="1" ht="219.75" customHeight="1" x14ac:dyDescent="0.25">
      <c r="A2408" s="262" t="str">
        <f>'Q100b-totais'!B62</f>
        <v>8.10</v>
      </c>
      <c r="B2408" s="53" t="str">
        <f>'Q100b-totais'!C62</f>
        <v>Sistema de transporte coletivo com um todo</v>
      </c>
      <c r="C2408" s="167" t="s">
        <v>432</v>
      </c>
      <c r="D2408" s="323" t="s">
        <v>2079</v>
      </c>
      <c r="E2408" s="1496" t="s">
        <v>1767</v>
      </c>
      <c r="F2408" s="252" t="s">
        <v>2084</v>
      </c>
      <c r="G2408" s="230" t="s">
        <v>3507</v>
      </c>
      <c r="H2408" s="167" t="s">
        <v>2408</v>
      </c>
      <c r="I2408" s="57" t="s">
        <v>2</v>
      </c>
      <c r="J2408" s="109" t="s">
        <v>432</v>
      </c>
      <c r="K2408" s="109" t="s">
        <v>432</v>
      </c>
      <c r="L2408" s="109" t="s">
        <v>432</v>
      </c>
      <c r="M2408" s="109" t="s">
        <v>432</v>
      </c>
      <c r="N2408" s="109" t="s">
        <v>432</v>
      </c>
      <c r="O2408" s="109" t="s">
        <v>432</v>
      </c>
      <c r="P2408" s="109" t="s">
        <v>432</v>
      </c>
      <c r="Q2408" s="109" t="s">
        <v>432</v>
      </c>
      <c r="R2408" s="109" t="s">
        <v>432</v>
      </c>
      <c r="S2408" s="109" t="s">
        <v>2209</v>
      </c>
      <c r="T2408" s="109" t="s">
        <v>432</v>
      </c>
      <c r="U2408" s="109" t="s">
        <v>432</v>
      </c>
      <c r="V2408" s="109" t="s">
        <v>2209</v>
      </c>
      <c r="W2408" s="109" t="s">
        <v>432</v>
      </c>
      <c r="X2408" s="109" t="s">
        <v>432</v>
      </c>
      <c r="Y2408" s="109" t="s">
        <v>432</v>
      </c>
      <c r="Z2408" s="109" t="s">
        <v>432</v>
      </c>
      <c r="AA2408" s="109" t="s">
        <v>432</v>
      </c>
      <c r="AB2408" s="109" t="s">
        <v>432</v>
      </c>
      <c r="AC2408" s="109" t="s">
        <v>432</v>
      </c>
      <c r="AD2408" s="109" t="s">
        <v>432</v>
      </c>
      <c r="AE2408" s="109" t="s">
        <v>432</v>
      </c>
      <c r="AF2408" s="109" t="s">
        <v>432</v>
      </c>
      <c r="AG2408" s="109" t="s">
        <v>432</v>
      </c>
      <c r="AH2408" s="109" t="s">
        <v>432</v>
      </c>
      <c r="AI2408" s="109" t="s">
        <v>432</v>
      </c>
      <c r="AJ2408" s="109" t="s">
        <v>432</v>
      </c>
      <c r="AK2408" s="137" t="s">
        <v>432</v>
      </c>
      <c r="AL2408" s="601" t="s">
        <v>432</v>
      </c>
      <c r="AM2408" s="137" t="s">
        <v>432</v>
      </c>
      <c r="AN2408" s="137" t="s">
        <v>432</v>
      </c>
      <c r="AO2408" s="137" t="s">
        <v>432</v>
      </c>
      <c r="AP2408" s="137" t="s">
        <v>432</v>
      </c>
      <c r="AQ2408" s="137" t="s">
        <v>432</v>
      </c>
      <c r="AR2408" s="137" t="s">
        <v>432</v>
      </c>
      <c r="AS2408" s="137" t="s">
        <v>432</v>
      </c>
      <c r="AT2408" s="137" t="s">
        <v>432</v>
      </c>
      <c r="AU2408" s="137" t="s">
        <v>432</v>
      </c>
      <c r="AV2408" s="137" t="s">
        <v>432</v>
      </c>
      <c r="AW2408" s="137" t="s">
        <v>432</v>
      </c>
      <c r="AX2408" s="137" t="s">
        <v>432</v>
      </c>
      <c r="AY2408" s="137" t="s">
        <v>432</v>
      </c>
      <c r="AZ2408" s="137" t="s">
        <v>432</v>
      </c>
      <c r="BA2408" s="137" t="s">
        <v>432</v>
      </c>
      <c r="BB2408" s="239" t="str">
        <f t="shared" si="700"/>
        <v>Sistema de transporte coletivo com um todox</v>
      </c>
      <c r="BC2408" s="239" t="str">
        <f t="shared" si="701"/>
        <v>Sistema de transporte coletivo com um todoxsigla/verbete</v>
      </c>
      <c r="BD2408" s="239" t="str">
        <f t="shared" si="702"/>
        <v>Sistema de transporte coletivo com um todosigla/verbete</v>
      </c>
      <c r="BM2408" s="527"/>
      <c r="BN2408" s="527"/>
      <c r="BO2408" s="527"/>
    </row>
    <row r="2409" spans="1:67" s="1" customFormat="1" ht="126" customHeight="1" x14ac:dyDescent="0.25">
      <c r="A2409" s="275" t="str">
        <f>'Q100b-totais'!$B$20</f>
        <v>2.5</v>
      </c>
      <c r="B2409" s="54" t="str">
        <f>'Q100b-totais'!$C$20</f>
        <v>Distribuição modal em pesquisas origem/destino</v>
      </c>
      <c r="C2409" s="167" t="s">
        <v>432</v>
      </c>
      <c r="D2409" s="323" t="s">
        <v>870</v>
      </c>
      <c r="E2409" s="1496" t="s">
        <v>1767</v>
      </c>
      <c r="F2409" s="24" t="s">
        <v>4316</v>
      </c>
      <c r="G2409" s="230" t="s">
        <v>3507</v>
      </c>
      <c r="H2409" s="167" t="s">
        <v>2408</v>
      </c>
      <c r="I2409" s="57"/>
      <c r="J2409" s="109" t="s">
        <v>432</v>
      </c>
      <c r="K2409" s="109" t="s">
        <v>432</v>
      </c>
      <c r="L2409" s="109" t="s">
        <v>432</v>
      </c>
      <c r="M2409" s="109" t="s">
        <v>432</v>
      </c>
      <c r="N2409" s="109" t="s">
        <v>432</v>
      </c>
      <c r="O2409" s="109" t="s">
        <v>432</v>
      </c>
      <c r="P2409" s="109" t="s">
        <v>432</v>
      </c>
      <c r="Q2409" s="109" t="s">
        <v>432</v>
      </c>
      <c r="R2409" s="109" t="s">
        <v>432</v>
      </c>
      <c r="S2409" s="109" t="s">
        <v>2209</v>
      </c>
      <c r="T2409" s="109" t="s">
        <v>432</v>
      </c>
      <c r="U2409" s="109" t="s">
        <v>432</v>
      </c>
      <c r="V2409" s="109" t="s">
        <v>2209</v>
      </c>
      <c r="W2409" s="109" t="s">
        <v>432</v>
      </c>
      <c r="X2409" s="109" t="s">
        <v>432</v>
      </c>
      <c r="Y2409" s="109" t="s">
        <v>432</v>
      </c>
      <c r="Z2409" s="109" t="s">
        <v>432</v>
      </c>
      <c r="AA2409" s="109" t="s">
        <v>432</v>
      </c>
      <c r="AB2409" s="109" t="s">
        <v>432</v>
      </c>
      <c r="AC2409" s="109" t="s">
        <v>432</v>
      </c>
      <c r="AD2409" s="109" t="s">
        <v>432</v>
      </c>
      <c r="AE2409" s="109" t="s">
        <v>432</v>
      </c>
      <c r="AF2409" s="109" t="s">
        <v>432</v>
      </c>
      <c r="AG2409" s="109" t="s">
        <v>432</v>
      </c>
      <c r="AH2409" s="109" t="s">
        <v>432</v>
      </c>
      <c r="AI2409" s="109" t="s">
        <v>432</v>
      </c>
      <c r="AJ2409" s="109" t="s">
        <v>432</v>
      </c>
      <c r="AK2409" s="137"/>
      <c r="AL2409" s="601" t="s">
        <v>432</v>
      </c>
      <c r="AM2409" s="137"/>
      <c r="AN2409" s="137"/>
      <c r="AO2409" s="137"/>
      <c r="AP2409" s="137"/>
      <c r="AQ2409" s="137"/>
      <c r="AR2409" s="137"/>
      <c r="AS2409" s="137"/>
      <c r="AT2409" s="137"/>
      <c r="AU2409" s="137"/>
      <c r="AV2409" s="137" t="s">
        <v>432</v>
      </c>
      <c r="AW2409" s="137" t="s">
        <v>432</v>
      </c>
      <c r="AX2409" s="137" t="s">
        <v>432</v>
      </c>
      <c r="AY2409" s="137" t="s">
        <v>432</v>
      </c>
      <c r="AZ2409" s="137" t="s">
        <v>432</v>
      </c>
      <c r="BA2409" s="137" t="s">
        <v>432</v>
      </c>
      <c r="BB2409" s="239" t="str">
        <f t="shared" si="700"/>
        <v>Distribuição modal em pesquisas origem/destinox</v>
      </c>
      <c r="BC2409" s="239" t="str">
        <f t="shared" si="701"/>
        <v>Distribuição modal em pesquisas origem/destinoxsigla/verbete</v>
      </c>
      <c r="BD2409" s="239" t="str">
        <f t="shared" si="702"/>
        <v>Distribuição modal em pesquisas origem/destinosigla/verbete</v>
      </c>
      <c r="BM2409" s="176"/>
      <c r="BN2409" s="176"/>
      <c r="BO2409" s="176"/>
    </row>
    <row r="2410" spans="1:67" s="1" customFormat="1" ht="78.75" customHeight="1" x14ac:dyDescent="0.25">
      <c r="A2410" s="275" t="str">
        <f>'Q100b-totais'!$B$20</f>
        <v>2.5</v>
      </c>
      <c r="B2410" s="54" t="str">
        <f>'Q100b-totais'!$C$20</f>
        <v>Distribuição modal em pesquisas origem/destino</v>
      </c>
      <c r="C2410" s="167" t="s">
        <v>432</v>
      </c>
      <c r="D2410" s="323" t="s">
        <v>389</v>
      </c>
      <c r="E2410" s="1496" t="s">
        <v>1767</v>
      </c>
      <c r="F2410" s="11" t="s">
        <v>4315</v>
      </c>
      <c r="G2410" s="230" t="s">
        <v>3507</v>
      </c>
      <c r="H2410" s="167" t="s">
        <v>2408</v>
      </c>
      <c r="I2410" s="57" t="s">
        <v>432</v>
      </c>
      <c r="J2410" s="109" t="s">
        <v>432</v>
      </c>
      <c r="K2410" s="109" t="s">
        <v>432</v>
      </c>
      <c r="L2410" s="109" t="s">
        <v>432</v>
      </c>
      <c r="M2410" s="109" t="s">
        <v>432</v>
      </c>
      <c r="N2410" s="109" t="s">
        <v>432</v>
      </c>
      <c r="O2410" s="109" t="s">
        <v>432</v>
      </c>
      <c r="P2410" s="109" t="s">
        <v>432</v>
      </c>
      <c r="Q2410" s="109" t="s">
        <v>432</v>
      </c>
      <c r="R2410" s="109" t="s">
        <v>432</v>
      </c>
      <c r="S2410" s="109" t="s">
        <v>2209</v>
      </c>
      <c r="T2410" s="109" t="s">
        <v>432</v>
      </c>
      <c r="U2410" s="109" t="s">
        <v>432</v>
      </c>
      <c r="V2410" s="109" t="s">
        <v>2209</v>
      </c>
      <c r="W2410" s="109" t="s">
        <v>432</v>
      </c>
      <c r="X2410" s="109" t="s">
        <v>432</v>
      </c>
      <c r="Y2410" s="109" t="s">
        <v>432</v>
      </c>
      <c r="Z2410" s="109" t="s">
        <v>432</v>
      </c>
      <c r="AA2410" s="109" t="s">
        <v>432</v>
      </c>
      <c r="AB2410" s="109" t="s">
        <v>432</v>
      </c>
      <c r="AC2410" s="109" t="s">
        <v>432</v>
      </c>
      <c r="AD2410" s="109" t="s">
        <v>432</v>
      </c>
      <c r="AE2410" s="109" t="s">
        <v>432</v>
      </c>
      <c r="AF2410" s="109" t="s">
        <v>432</v>
      </c>
      <c r="AG2410" s="109" t="s">
        <v>432</v>
      </c>
      <c r="AH2410" s="109" t="s">
        <v>432</v>
      </c>
      <c r="AI2410" s="109" t="s">
        <v>432</v>
      </c>
      <c r="AJ2410" s="109" t="s">
        <v>432</v>
      </c>
      <c r="AK2410" s="137" t="s">
        <v>432</v>
      </c>
      <c r="AL2410" s="601" t="s">
        <v>432</v>
      </c>
      <c r="AM2410" s="137" t="s">
        <v>432</v>
      </c>
      <c r="AN2410" s="137" t="s">
        <v>432</v>
      </c>
      <c r="AO2410" s="137" t="s">
        <v>432</v>
      </c>
      <c r="AP2410" s="137" t="s">
        <v>432</v>
      </c>
      <c r="AQ2410" s="137" t="s">
        <v>432</v>
      </c>
      <c r="AR2410" s="137" t="s">
        <v>432</v>
      </c>
      <c r="AS2410" s="137" t="s">
        <v>432</v>
      </c>
      <c r="AT2410" s="137" t="s">
        <v>432</v>
      </c>
      <c r="AU2410" s="137" t="s">
        <v>432</v>
      </c>
      <c r="AV2410" s="137" t="s">
        <v>432</v>
      </c>
      <c r="AW2410" s="137" t="s">
        <v>432</v>
      </c>
      <c r="AX2410" s="137" t="s">
        <v>432</v>
      </c>
      <c r="AY2410" s="137" t="s">
        <v>432</v>
      </c>
      <c r="AZ2410" s="137" t="s">
        <v>432</v>
      </c>
      <c r="BA2410" s="137" t="s">
        <v>432</v>
      </c>
      <c r="BB2410" s="239" t="str">
        <f t="shared" si="700"/>
        <v>Distribuição modal em pesquisas origem/destinox</v>
      </c>
      <c r="BC2410" s="239" t="str">
        <f t="shared" si="701"/>
        <v>Distribuição modal em pesquisas origem/destinoxsigla/verbete</v>
      </c>
      <c r="BD2410" s="239" t="str">
        <f t="shared" si="702"/>
        <v>Distribuição modal em pesquisas origem/destinosigla/verbete</v>
      </c>
      <c r="BM2410" s="19"/>
      <c r="BN2410" s="19"/>
      <c r="BO2410" s="19"/>
    </row>
    <row r="2411" spans="1:67" s="1" customFormat="1" ht="78.75" customHeight="1" x14ac:dyDescent="0.25">
      <c r="A2411" s="275" t="str">
        <f>'Q100b-totais'!$B$20</f>
        <v>2.5</v>
      </c>
      <c r="B2411" s="54" t="str">
        <f>'Q100b-totais'!$C$20</f>
        <v>Distribuição modal em pesquisas origem/destino</v>
      </c>
      <c r="C2411" s="167" t="s">
        <v>432</v>
      </c>
      <c r="D2411" s="324" t="s">
        <v>869</v>
      </c>
      <c r="E2411" s="1496" t="s">
        <v>1767</v>
      </c>
      <c r="F2411" s="11" t="s">
        <v>4314</v>
      </c>
      <c r="G2411" s="230" t="s">
        <v>3507</v>
      </c>
      <c r="H2411" s="167" t="s">
        <v>2408</v>
      </c>
      <c r="I2411" s="57" t="s">
        <v>432</v>
      </c>
      <c r="J2411" s="109" t="s">
        <v>432</v>
      </c>
      <c r="K2411" s="109" t="s">
        <v>432</v>
      </c>
      <c r="L2411" s="109" t="s">
        <v>432</v>
      </c>
      <c r="M2411" s="109" t="s">
        <v>432</v>
      </c>
      <c r="N2411" s="109" t="s">
        <v>432</v>
      </c>
      <c r="O2411" s="109" t="s">
        <v>432</v>
      </c>
      <c r="P2411" s="109" t="s">
        <v>432</v>
      </c>
      <c r="Q2411" s="109" t="s">
        <v>432</v>
      </c>
      <c r="R2411" s="109" t="s">
        <v>432</v>
      </c>
      <c r="S2411" s="109" t="s">
        <v>2209</v>
      </c>
      <c r="T2411" s="109" t="s">
        <v>432</v>
      </c>
      <c r="U2411" s="109" t="s">
        <v>432</v>
      </c>
      <c r="V2411" s="109" t="s">
        <v>2209</v>
      </c>
      <c r="W2411" s="109" t="s">
        <v>432</v>
      </c>
      <c r="X2411" s="109" t="s">
        <v>432</v>
      </c>
      <c r="Y2411" s="109" t="s">
        <v>432</v>
      </c>
      <c r="Z2411" s="109" t="s">
        <v>432</v>
      </c>
      <c r="AA2411" s="109" t="s">
        <v>432</v>
      </c>
      <c r="AB2411" s="109" t="s">
        <v>432</v>
      </c>
      <c r="AC2411" s="109" t="s">
        <v>432</v>
      </c>
      <c r="AD2411" s="109" t="s">
        <v>432</v>
      </c>
      <c r="AE2411" s="109" t="s">
        <v>432</v>
      </c>
      <c r="AF2411" s="109" t="s">
        <v>432</v>
      </c>
      <c r="AG2411" s="109" t="s">
        <v>432</v>
      </c>
      <c r="AH2411" s="109" t="s">
        <v>432</v>
      </c>
      <c r="AI2411" s="109" t="s">
        <v>432</v>
      </c>
      <c r="AJ2411" s="109" t="s">
        <v>432</v>
      </c>
      <c r="AK2411" s="137"/>
      <c r="AL2411" s="601" t="s">
        <v>432</v>
      </c>
      <c r="AM2411" s="137"/>
      <c r="AN2411" s="137"/>
      <c r="AO2411" s="137"/>
      <c r="AP2411" s="137"/>
      <c r="AQ2411" s="137"/>
      <c r="AR2411" s="137"/>
      <c r="AS2411" s="137"/>
      <c r="AT2411" s="137"/>
      <c r="AU2411" s="137"/>
      <c r="AV2411" s="137" t="s">
        <v>432</v>
      </c>
      <c r="AW2411" s="137" t="s">
        <v>432</v>
      </c>
      <c r="AX2411" s="137" t="s">
        <v>432</v>
      </c>
      <c r="AY2411" s="137" t="s">
        <v>432</v>
      </c>
      <c r="AZ2411" s="137" t="s">
        <v>432</v>
      </c>
      <c r="BA2411" s="137" t="s">
        <v>432</v>
      </c>
      <c r="BB2411" s="239" t="str">
        <f t="shared" si="700"/>
        <v>Distribuição modal em pesquisas origem/destinox</v>
      </c>
      <c r="BC2411" s="239" t="str">
        <f t="shared" si="701"/>
        <v>Distribuição modal em pesquisas origem/destinoxsigla/verbete</v>
      </c>
      <c r="BD2411" s="239" t="str">
        <f t="shared" si="702"/>
        <v>Distribuição modal em pesquisas origem/destinosigla/verbete</v>
      </c>
      <c r="BM2411" s="176"/>
      <c r="BN2411" s="176"/>
      <c r="BO2411" s="176"/>
    </row>
    <row r="2412" spans="1:67" s="3" customFormat="1" ht="72" customHeight="1" x14ac:dyDescent="0.25">
      <c r="A2412" s="262" t="str">
        <f>'Q100b-totais'!B62</f>
        <v>8.10</v>
      </c>
      <c r="B2412" s="252" t="str">
        <f>'Q100b-totais'!C62</f>
        <v>Sistema de transporte coletivo com um todo</v>
      </c>
      <c r="C2412" s="167" t="s">
        <v>743</v>
      </c>
      <c r="D2412" s="968" t="s">
        <v>2520</v>
      </c>
      <c r="E2412" s="1509" t="s">
        <v>1284</v>
      </c>
      <c r="F2412" s="53" t="s">
        <v>5093</v>
      </c>
      <c r="G2412" s="230" t="s">
        <v>3507</v>
      </c>
      <c r="H2412" s="167" t="s">
        <v>2408</v>
      </c>
      <c r="I2412" s="167" t="s">
        <v>432</v>
      </c>
      <c r="J2412" s="107" t="s">
        <v>432</v>
      </c>
      <c r="K2412" s="107" t="s">
        <v>432</v>
      </c>
      <c r="L2412" s="107" t="s">
        <v>432</v>
      </c>
      <c r="M2412" s="107" t="s">
        <v>432</v>
      </c>
      <c r="N2412" s="107" t="s">
        <v>432</v>
      </c>
      <c r="O2412" s="107" t="s">
        <v>432</v>
      </c>
      <c r="P2412" s="107" t="s">
        <v>432</v>
      </c>
      <c r="Q2412" s="107" t="s">
        <v>432</v>
      </c>
      <c r="R2412" s="107" t="s">
        <v>432</v>
      </c>
      <c r="S2412" s="109" t="s">
        <v>2209</v>
      </c>
      <c r="T2412" s="107" t="s">
        <v>432</v>
      </c>
      <c r="U2412" s="107" t="s">
        <v>432</v>
      </c>
      <c r="V2412" s="109" t="s">
        <v>2209</v>
      </c>
      <c r="W2412" s="107" t="s">
        <v>432</v>
      </c>
      <c r="X2412" s="107" t="s">
        <v>432</v>
      </c>
      <c r="Y2412" s="107" t="s">
        <v>432</v>
      </c>
      <c r="Z2412" s="107" t="s">
        <v>432</v>
      </c>
      <c r="AA2412" s="107" t="s">
        <v>432</v>
      </c>
      <c r="AB2412" s="107" t="s">
        <v>432</v>
      </c>
      <c r="AC2412" s="107" t="s">
        <v>432</v>
      </c>
      <c r="AD2412" s="107" t="s">
        <v>432</v>
      </c>
      <c r="AE2412" s="107" t="s">
        <v>432</v>
      </c>
      <c r="AF2412" s="107" t="s">
        <v>432</v>
      </c>
      <c r="AG2412" s="107" t="s">
        <v>432</v>
      </c>
      <c r="AH2412" s="107" t="s">
        <v>432</v>
      </c>
      <c r="AI2412" s="107" t="s">
        <v>432</v>
      </c>
      <c r="AJ2412" s="107" t="s">
        <v>432</v>
      </c>
      <c r="AK2412" s="137" t="s">
        <v>432</v>
      </c>
      <c r="AL2412" s="601" t="s">
        <v>432</v>
      </c>
      <c r="AM2412" s="137" t="s">
        <v>432</v>
      </c>
      <c r="AN2412" s="137" t="s">
        <v>432</v>
      </c>
      <c r="AO2412" s="137" t="s">
        <v>432</v>
      </c>
      <c r="AP2412" s="137" t="s">
        <v>432</v>
      </c>
      <c r="AQ2412" s="137" t="s">
        <v>432</v>
      </c>
      <c r="AR2412" s="137" t="s">
        <v>432</v>
      </c>
      <c r="AS2412" s="137" t="s">
        <v>432</v>
      </c>
      <c r="AT2412" s="137" t="s">
        <v>432</v>
      </c>
      <c r="AU2412" s="137" t="s">
        <v>432</v>
      </c>
      <c r="AV2412" s="137" t="s">
        <v>432</v>
      </c>
      <c r="AW2412" s="137" t="s">
        <v>432</v>
      </c>
      <c r="AX2412" s="137" t="s">
        <v>432</v>
      </c>
      <c r="AY2412" s="137" t="s">
        <v>432</v>
      </c>
      <c r="AZ2412" s="137" t="s">
        <v>432</v>
      </c>
      <c r="BA2412" s="137" t="s">
        <v>432</v>
      </c>
      <c r="BB2412" s="239" t="str">
        <f>B2412&amp;C2412</f>
        <v>Sistema de transporte coletivo com um todoacessibilidade</v>
      </c>
      <c r="BC2412" s="239" t="str">
        <f>B2412&amp;C2412&amp;H2412</f>
        <v>Sistema de transporte coletivo com um todoacessibilidadesigla/verbete</v>
      </c>
      <c r="BD2412" s="239" t="str">
        <f>B2412&amp;H2412</f>
        <v>Sistema de transporte coletivo com um todosigla/verbete</v>
      </c>
    </row>
    <row r="2413" spans="1:67" s="1" customFormat="1" ht="63" customHeight="1" x14ac:dyDescent="0.25">
      <c r="A2413" s="275" t="str">
        <f>'Q100b-totais'!$B$20</f>
        <v>2.5</v>
      </c>
      <c r="B2413" s="54" t="str">
        <f>'Q100b-totais'!$C$20</f>
        <v>Distribuição modal em pesquisas origem/destino</v>
      </c>
      <c r="C2413" s="167" t="s">
        <v>432</v>
      </c>
      <c r="D2413" s="323" t="s">
        <v>390</v>
      </c>
      <c r="E2413" s="1496" t="s">
        <v>1767</v>
      </c>
      <c r="F2413" s="11" t="s">
        <v>4317</v>
      </c>
      <c r="G2413" s="230" t="s">
        <v>3507</v>
      </c>
      <c r="H2413" s="167" t="s">
        <v>2408</v>
      </c>
      <c r="I2413" s="57" t="s">
        <v>432</v>
      </c>
      <c r="J2413" s="109" t="s">
        <v>432</v>
      </c>
      <c r="K2413" s="109" t="s">
        <v>432</v>
      </c>
      <c r="L2413" s="109" t="s">
        <v>432</v>
      </c>
      <c r="M2413" s="109" t="s">
        <v>432</v>
      </c>
      <c r="N2413" s="109" t="s">
        <v>432</v>
      </c>
      <c r="O2413" s="109" t="s">
        <v>432</v>
      </c>
      <c r="P2413" s="109" t="s">
        <v>432</v>
      </c>
      <c r="Q2413" s="109" t="s">
        <v>432</v>
      </c>
      <c r="R2413" s="109" t="s">
        <v>432</v>
      </c>
      <c r="S2413" s="109" t="s">
        <v>2209</v>
      </c>
      <c r="T2413" s="109" t="s">
        <v>432</v>
      </c>
      <c r="U2413" s="109" t="s">
        <v>432</v>
      </c>
      <c r="V2413" s="109" t="s">
        <v>2209</v>
      </c>
      <c r="W2413" s="109" t="s">
        <v>432</v>
      </c>
      <c r="X2413" s="109" t="s">
        <v>432</v>
      </c>
      <c r="Y2413" s="109" t="s">
        <v>432</v>
      </c>
      <c r="Z2413" s="109" t="s">
        <v>432</v>
      </c>
      <c r="AA2413" s="109" t="s">
        <v>432</v>
      </c>
      <c r="AB2413" s="109" t="s">
        <v>432</v>
      </c>
      <c r="AC2413" s="109" t="s">
        <v>432</v>
      </c>
      <c r="AD2413" s="109" t="s">
        <v>432</v>
      </c>
      <c r="AE2413" s="109" t="s">
        <v>432</v>
      </c>
      <c r="AF2413" s="109" t="s">
        <v>432</v>
      </c>
      <c r="AG2413" s="109" t="s">
        <v>432</v>
      </c>
      <c r="AH2413" s="109" t="s">
        <v>432</v>
      </c>
      <c r="AI2413" s="109" t="s">
        <v>432</v>
      </c>
      <c r="AJ2413" s="109" t="s">
        <v>432</v>
      </c>
      <c r="AK2413" s="137" t="s">
        <v>432</v>
      </c>
      <c r="AL2413" s="601" t="s">
        <v>432</v>
      </c>
      <c r="AM2413" s="137" t="s">
        <v>432</v>
      </c>
      <c r="AN2413" s="137" t="s">
        <v>432</v>
      </c>
      <c r="AO2413" s="137" t="s">
        <v>432</v>
      </c>
      <c r="AP2413" s="137" t="s">
        <v>432</v>
      </c>
      <c r="AQ2413" s="137" t="s">
        <v>432</v>
      </c>
      <c r="AR2413" s="137" t="s">
        <v>432</v>
      </c>
      <c r="AS2413" s="137" t="s">
        <v>432</v>
      </c>
      <c r="AT2413" s="137" t="s">
        <v>432</v>
      </c>
      <c r="AU2413" s="137" t="s">
        <v>432</v>
      </c>
      <c r="AV2413" s="137" t="s">
        <v>432</v>
      </c>
      <c r="AW2413" s="137" t="s">
        <v>432</v>
      </c>
      <c r="AX2413" s="137" t="s">
        <v>432</v>
      </c>
      <c r="AY2413" s="137" t="s">
        <v>432</v>
      </c>
      <c r="AZ2413" s="137" t="s">
        <v>432</v>
      </c>
      <c r="BA2413" s="137" t="s">
        <v>432</v>
      </c>
      <c r="BB2413" s="239" t="str">
        <f t="shared" si="700"/>
        <v>Distribuição modal em pesquisas origem/destinox</v>
      </c>
      <c r="BC2413" s="239" t="str">
        <f t="shared" si="701"/>
        <v>Distribuição modal em pesquisas origem/destinoxsigla/verbete</v>
      </c>
      <c r="BD2413" s="239" t="str">
        <f t="shared" si="702"/>
        <v>Distribuição modal em pesquisas origem/destinosigla/verbete</v>
      </c>
      <c r="BM2413" s="19"/>
      <c r="BN2413" s="19"/>
      <c r="BO2413" s="19"/>
    </row>
    <row r="2414" spans="1:67" s="1" customFormat="1" ht="78.75" customHeight="1" x14ac:dyDescent="0.25">
      <c r="A2414" s="275" t="str">
        <f>'Q100b-totais'!B62</f>
        <v>8.10</v>
      </c>
      <c r="B2414" s="54" t="str">
        <f>'Q100b-totais'!C62</f>
        <v>Sistema de transporte coletivo com um todo</v>
      </c>
      <c r="C2414" s="167" t="s">
        <v>432</v>
      </c>
      <c r="D2414" s="323" t="s">
        <v>391</v>
      </c>
      <c r="E2414" s="1496" t="s">
        <v>1767</v>
      </c>
      <c r="F2414" s="11" t="s">
        <v>4318</v>
      </c>
      <c r="G2414" s="230" t="s">
        <v>3507</v>
      </c>
      <c r="H2414" s="167" t="s">
        <v>2408</v>
      </c>
      <c r="I2414" s="57" t="s">
        <v>432</v>
      </c>
      <c r="J2414" s="109" t="s">
        <v>432</v>
      </c>
      <c r="K2414" s="109" t="s">
        <v>432</v>
      </c>
      <c r="L2414" s="109" t="s">
        <v>432</v>
      </c>
      <c r="M2414" s="109" t="s">
        <v>432</v>
      </c>
      <c r="N2414" s="109" t="s">
        <v>432</v>
      </c>
      <c r="O2414" s="109" t="s">
        <v>432</v>
      </c>
      <c r="P2414" s="109" t="s">
        <v>432</v>
      </c>
      <c r="Q2414" s="109" t="s">
        <v>432</v>
      </c>
      <c r="R2414" s="109" t="s">
        <v>432</v>
      </c>
      <c r="S2414" s="109" t="s">
        <v>2209</v>
      </c>
      <c r="T2414" s="109" t="s">
        <v>432</v>
      </c>
      <c r="U2414" s="109" t="s">
        <v>432</v>
      </c>
      <c r="V2414" s="109" t="s">
        <v>2209</v>
      </c>
      <c r="W2414" s="109" t="s">
        <v>432</v>
      </c>
      <c r="X2414" s="109" t="s">
        <v>432</v>
      </c>
      <c r="Y2414" s="109" t="s">
        <v>432</v>
      </c>
      <c r="Z2414" s="109" t="s">
        <v>432</v>
      </c>
      <c r="AA2414" s="109" t="s">
        <v>432</v>
      </c>
      <c r="AB2414" s="109" t="s">
        <v>432</v>
      </c>
      <c r="AC2414" s="109" t="s">
        <v>432</v>
      </c>
      <c r="AD2414" s="109" t="s">
        <v>432</v>
      </c>
      <c r="AE2414" s="109" t="s">
        <v>432</v>
      </c>
      <c r="AF2414" s="109" t="s">
        <v>432</v>
      </c>
      <c r="AG2414" s="109" t="s">
        <v>432</v>
      </c>
      <c r="AH2414" s="109" t="s">
        <v>432</v>
      </c>
      <c r="AI2414" s="109" t="s">
        <v>432</v>
      </c>
      <c r="AJ2414" s="109" t="s">
        <v>432</v>
      </c>
      <c r="AK2414" s="137" t="s">
        <v>432</v>
      </c>
      <c r="AL2414" s="601" t="s">
        <v>432</v>
      </c>
      <c r="AM2414" s="137" t="s">
        <v>432</v>
      </c>
      <c r="AN2414" s="137" t="s">
        <v>432</v>
      </c>
      <c r="AO2414" s="137" t="s">
        <v>432</v>
      </c>
      <c r="AP2414" s="137" t="s">
        <v>432</v>
      </c>
      <c r="AQ2414" s="137" t="s">
        <v>432</v>
      </c>
      <c r="AR2414" s="137" t="s">
        <v>432</v>
      </c>
      <c r="AS2414" s="137" t="s">
        <v>432</v>
      </c>
      <c r="AT2414" s="137" t="s">
        <v>432</v>
      </c>
      <c r="AU2414" s="137" t="s">
        <v>432</v>
      </c>
      <c r="AV2414" s="137" t="s">
        <v>432</v>
      </c>
      <c r="AW2414" s="137" t="s">
        <v>432</v>
      </c>
      <c r="AX2414" s="137" t="s">
        <v>432</v>
      </c>
      <c r="AY2414" s="137" t="s">
        <v>432</v>
      </c>
      <c r="AZ2414" s="137" t="s">
        <v>432</v>
      </c>
      <c r="BA2414" s="137" t="s">
        <v>432</v>
      </c>
      <c r="BB2414" s="239" t="str">
        <f t="shared" si="700"/>
        <v>Sistema de transporte coletivo com um todox</v>
      </c>
      <c r="BC2414" s="239" t="str">
        <f t="shared" si="701"/>
        <v>Sistema de transporte coletivo com um todoxsigla/verbete</v>
      </c>
      <c r="BD2414" s="239" t="str">
        <f t="shared" si="702"/>
        <v>Sistema de transporte coletivo com um todosigla/verbete</v>
      </c>
      <c r="BM2414" s="19"/>
      <c r="BN2414" s="19"/>
      <c r="BO2414" s="19"/>
    </row>
    <row r="2415" spans="1:67" s="1" customFormat="1" ht="78.75" x14ac:dyDescent="0.25">
      <c r="A2415" s="275" t="str">
        <f>'Q100b-totais'!B62</f>
        <v>8.10</v>
      </c>
      <c r="B2415" s="54" t="str">
        <f>'Q100b-totais'!C62</f>
        <v>Sistema de transporte coletivo com um todo</v>
      </c>
      <c r="C2415" s="167"/>
      <c r="D2415" s="323" t="s">
        <v>4322</v>
      </c>
      <c r="E2415" s="1496"/>
      <c r="F2415" s="1205" t="s">
        <v>4321</v>
      </c>
      <c r="G2415" s="230"/>
      <c r="H2415" s="167"/>
      <c r="I2415" s="57"/>
      <c r="J2415" s="109"/>
      <c r="K2415" s="109"/>
      <c r="L2415" s="109"/>
      <c r="M2415" s="109"/>
      <c r="N2415" s="109"/>
      <c r="O2415" s="109"/>
      <c r="P2415" s="109"/>
      <c r="Q2415" s="109"/>
      <c r="R2415" s="109"/>
      <c r="S2415" s="109"/>
      <c r="T2415" s="109"/>
      <c r="U2415" s="109"/>
      <c r="V2415" s="109"/>
      <c r="W2415" s="109"/>
      <c r="X2415" s="109"/>
      <c r="Y2415" s="109"/>
      <c r="Z2415" s="109"/>
      <c r="AA2415" s="109"/>
      <c r="AB2415" s="109"/>
      <c r="AC2415" s="109"/>
      <c r="AD2415" s="109"/>
      <c r="AE2415" s="109"/>
      <c r="AF2415" s="109"/>
      <c r="AG2415" s="109"/>
      <c r="AH2415" s="109"/>
      <c r="AI2415" s="109"/>
      <c r="AJ2415" s="109"/>
      <c r="AK2415" s="137"/>
      <c r="AL2415" s="601"/>
      <c r="AM2415" s="137"/>
      <c r="AN2415" s="137"/>
      <c r="AO2415" s="137"/>
      <c r="AP2415" s="137"/>
      <c r="AQ2415" s="137"/>
      <c r="AR2415" s="137"/>
      <c r="AS2415" s="137"/>
      <c r="AT2415" s="137"/>
      <c r="AU2415" s="137"/>
      <c r="AV2415" s="137"/>
      <c r="AW2415" s="137"/>
      <c r="AX2415" s="137"/>
      <c r="AY2415" s="137"/>
      <c r="AZ2415" s="137"/>
      <c r="BA2415" s="137"/>
      <c r="BB2415" s="239"/>
      <c r="BC2415" s="239"/>
      <c r="BD2415" s="239"/>
      <c r="BM2415" s="1330"/>
      <c r="BN2415" s="1330"/>
      <c r="BO2415" s="1330"/>
    </row>
    <row r="2416" spans="1:67" s="1" customFormat="1" ht="78.75" customHeight="1" x14ac:dyDescent="0.25">
      <c r="A2416" s="275" t="str">
        <f>'Q100b-totais'!B59</f>
        <v>8.7</v>
      </c>
      <c r="B2416" s="54" t="str">
        <f>'Q100b-totais'!C59</f>
        <v>Transporte de baixa capacidade</v>
      </c>
      <c r="C2416" s="167" t="s">
        <v>432</v>
      </c>
      <c r="D2416" s="323" t="s">
        <v>3688</v>
      </c>
      <c r="E2416" s="1496" t="s">
        <v>1767</v>
      </c>
      <c r="F2416" s="1139" t="s">
        <v>3870</v>
      </c>
      <c r="G2416" s="230" t="s">
        <v>3507</v>
      </c>
      <c r="H2416" s="167" t="s">
        <v>2408</v>
      </c>
      <c r="I2416" s="57" t="s">
        <v>432</v>
      </c>
      <c r="J2416" s="109" t="s">
        <v>432</v>
      </c>
      <c r="K2416" s="109" t="s">
        <v>432</v>
      </c>
      <c r="L2416" s="109" t="s">
        <v>432</v>
      </c>
      <c r="M2416" s="109" t="s">
        <v>432</v>
      </c>
      <c r="N2416" s="109" t="s">
        <v>432</v>
      </c>
      <c r="O2416" s="109" t="s">
        <v>432</v>
      </c>
      <c r="P2416" s="109" t="s">
        <v>432</v>
      </c>
      <c r="Q2416" s="109" t="s">
        <v>432</v>
      </c>
      <c r="R2416" s="109" t="s">
        <v>432</v>
      </c>
      <c r="S2416" s="109" t="s">
        <v>2209</v>
      </c>
      <c r="T2416" s="109" t="s">
        <v>432</v>
      </c>
      <c r="U2416" s="109" t="s">
        <v>432</v>
      </c>
      <c r="V2416" s="109" t="s">
        <v>2209</v>
      </c>
      <c r="W2416" s="109" t="s">
        <v>432</v>
      </c>
      <c r="X2416" s="109" t="s">
        <v>432</v>
      </c>
      <c r="Y2416" s="109" t="s">
        <v>432</v>
      </c>
      <c r="Z2416" s="109" t="s">
        <v>432</v>
      </c>
      <c r="AA2416" s="109" t="s">
        <v>432</v>
      </c>
      <c r="AB2416" s="109" t="s">
        <v>432</v>
      </c>
      <c r="AC2416" s="109" t="s">
        <v>432</v>
      </c>
      <c r="AD2416" s="109" t="s">
        <v>432</v>
      </c>
      <c r="AE2416" s="109" t="s">
        <v>432</v>
      </c>
      <c r="AF2416" s="109" t="s">
        <v>432</v>
      </c>
      <c r="AG2416" s="109" t="s">
        <v>432</v>
      </c>
      <c r="AH2416" s="109" t="s">
        <v>432</v>
      </c>
      <c r="AI2416" s="109" t="s">
        <v>432</v>
      </c>
      <c r="AJ2416" s="109" t="s">
        <v>432</v>
      </c>
      <c r="AK2416" s="137" t="s">
        <v>432</v>
      </c>
      <c r="AL2416" s="601" t="s">
        <v>432</v>
      </c>
      <c r="AM2416" s="137" t="s">
        <v>432</v>
      </c>
      <c r="AN2416" s="137" t="s">
        <v>432</v>
      </c>
      <c r="AO2416" s="137" t="s">
        <v>432</v>
      </c>
      <c r="AP2416" s="137" t="s">
        <v>432</v>
      </c>
      <c r="AQ2416" s="137" t="s">
        <v>432</v>
      </c>
      <c r="AR2416" s="137" t="s">
        <v>432</v>
      </c>
      <c r="AS2416" s="137" t="s">
        <v>432</v>
      </c>
      <c r="AT2416" s="137" t="s">
        <v>432</v>
      </c>
      <c r="AU2416" s="137" t="s">
        <v>432</v>
      </c>
      <c r="AV2416" s="137" t="s">
        <v>432</v>
      </c>
      <c r="AW2416" s="137" t="s">
        <v>432</v>
      </c>
      <c r="AX2416" s="137" t="s">
        <v>432</v>
      </c>
      <c r="AY2416" s="137" t="s">
        <v>432</v>
      </c>
      <c r="AZ2416" s="137" t="s">
        <v>432</v>
      </c>
      <c r="BA2416" s="137" t="s">
        <v>432</v>
      </c>
      <c r="BB2416" s="239" t="str">
        <f>B2416&amp;C2416</f>
        <v>Transporte de baixa capacidadex</v>
      </c>
      <c r="BC2416" s="239" t="str">
        <f>B2416&amp;C2416&amp;H2416</f>
        <v>Transporte de baixa capacidadexsigla/verbete</v>
      </c>
      <c r="BD2416" s="239" t="str">
        <f>B2416&amp;H2416</f>
        <v>Transporte de baixa capacidadesigla/verbete</v>
      </c>
      <c r="BM2416" s="1140"/>
      <c r="BN2416" s="1140"/>
      <c r="BO2416" s="1140"/>
    </row>
    <row r="2417" spans="1:67" s="1" customFormat="1" ht="78.75" customHeight="1" x14ac:dyDescent="0.25">
      <c r="A2417" s="275" t="str">
        <f>'Q100b-totais'!$B$20</f>
        <v>2.5</v>
      </c>
      <c r="B2417" s="54" t="str">
        <f>'Q100b-totais'!$C$20</f>
        <v>Distribuição modal em pesquisas origem/destino</v>
      </c>
      <c r="C2417" s="167" t="s">
        <v>432</v>
      </c>
      <c r="D2417" s="323" t="s">
        <v>392</v>
      </c>
      <c r="E2417" s="1496" t="s">
        <v>1767</v>
      </c>
      <c r="F2417" s="11" t="s">
        <v>4319</v>
      </c>
      <c r="G2417" s="230" t="s">
        <v>3507</v>
      </c>
      <c r="H2417" s="167" t="s">
        <v>2408</v>
      </c>
      <c r="I2417" s="57" t="s">
        <v>432</v>
      </c>
      <c r="J2417" s="109" t="s">
        <v>432</v>
      </c>
      <c r="K2417" s="109" t="s">
        <v>432</v>
      </c>
      <c r="L2417" s="109" t="s">
        <v>432</v>
      </c>
      <c r="M2417" s="109" t="s">
        <v>432</v>
      </c>
      <c r="N2417" s="109" t="s">
        <v>432</v>
      </c>
      <c r="O2417" s="109" t="s">
        <v>432</v>
      </c>
      <c r="P2417" s="109" t="s">
        <v>432</v>
      </c>
      <c r="Q2417" s="109" t="s">
        <v>432</v>
      </c>
      <c r="R2417" s="109" t="s">
        <v>432</v>
      </c>
      <c r="S2417" s="109" t="s">
        <v>2209</v>
      </c>
      <c r="T2417" s="109" t="s">
        <v>432</v>
      </c>
      <c r="U2417" s="109" t="s">
        <v>432</v>
      </c>
      <c r="V2417" s="109" t="s">
        <v>2209</v>
      </c>
      <c r="W2417" s="109" t="s">
        <v>432</v>
      </c>
      <c r="X2417" s="109" t="s">
        <v>432</v>
      </c>
      <c r="Y2417" s="109" t="s">
        <v>432</v>
      </c>
      <c r="Z2417" s="109" t="s">
        <v>432</v>
      </c>
      <c r="AA2417" s="109" t="s">
        <v>432</v>
      </c>
      <c r="AB2417" s="109" t="s">
        <v>432</v>
      </c>
      <c r="AC2417" s="109" t="s">
        <v>432</v>
      </c>
      <c r="AD2417" s="109" t="s">
        <v>432</v>
      </c>
      <c r="AE2417" s="109" t="s">
        <v>432</v>
      </c>
      <c r="AF2417" s="109" t="s">
        <v>432</v>
      </c>
      <c r="AG2417" s="109" t="s">
        <v>432</v>
      </c>
      <c r="AH2417" s="109" t="s">
        <v>432</v>
      </c>
      <c r="AI2417" s="109" t="s">
        <v>432</v>
      </c>
      <c r="AJ2417" s="109" t="s">
        <v>432</v>
      </c>
      <c r="AK2417" s="137" t="s">
        <v>432</v>
      </c>
      <c r="AL2417" s="601" t="s">
        <v>432</v>
      </c>
      <c r="AM2417" s="137" t="s">
        <v>432</v>
      </c>
      <c r="AN2417" s="137" t="s">
        <v>432</v>
      </c>
      <c r="AO2417" s="137" t="s">
        <v>432</v>
      </c>
      <c r="AP2417" s="137" t="s">
        <v>432</v>
      </c>
      <c r="AQ2417" s="137" t="s">
        <v>432</v>
      </c>
      <c r="AR2417" s="137" t="s">
        <v>432</v>
      </c>
      <c r="AS2417" s="137" t="s">
        <v>432</v>
      </c>
      <c r="AT2417" s="137" t="s">
        <v>432</v>
      </c>
      <c r="AU2417" s="137" t="s">
        <v>432</v>
      </c>
      <c r="AV2417" s="137" t="s">
        <v>432</v>
      </c>
      <c r="AW2417" s="137" t="s">
        <v>432</v>
      </c>
      <c r="AX2417" s="137" t="s">
        <v>432</v>
      </c>
      <c r="AY2417" s="137" t="s">
        <v>432</v>
      </c>
      <c r="AZ2417" s="137" t="s">
        <v>432</v>
      </c>
      <c r="BA2417" s="137" t="s">
        <v>432</v>
      </c>
      <c r="BB2417" s="239" t="str">
        <f t="shared" si="700"/>
        <v>Distribuição modal em pesquisas origem/destinox</v>
      </c>
      <c r="BC2417" s="239" t="str">
        <f t="shared" si="701"/>
        <v>Distribuição modal em pesquisas origem/destinoxsigla/verbete</v>
      </c>
      <c r="BD2417" s="239" t="str">
        <f t="shared" si="702"/>
        <v>Distribuição modal em pesquisas origem/destinosigla/verbete</v>
      </c>
      <c r="BM2417" s="19"/>
      <c r="BN2417" s="19"/>
      <c r="BO2417" s="19"/>
    </row>
    <row r="2418" spans="1:67" s="1" customFormat="1" ht="38.25" x14ac:dyDescent="0.25">
      <c r="A2418" s="262" t="str">
        <f>'Q100b-totais'!B59</f>
        <v>8.7</v>
      </c>
      <c r="B2418" s="252" t="str">
        <f>'Q100b-totais'!C59</f>
        <v>Transporte de baixa capacidade</v>
      </c>
      <c r="C2418" s="167" t="s">
        <v>432</v>
      </c>
      <c r="D2418" s="323" t="s">
        <v>2053</v>
      </c>
      <c r="E2418" s="1496" t="s">
        <v>1306</v>
      </c>
      <c r="F2418" s="11" t="s">
        <v>3871</v>
      </c>
      <c r="G2418" s="230" t="s">
        <v>3507</v>
      </c>
      <c r="H2418" s="167" t="s">
        <v>2408</v>
      </c>
      <c r="I2418" s="167" t="s">
        <v>432</v>
      </c>
      <c r="J2418" s="109" t="s">
        <v>432</v>
      </c>
      <c r="K2418" s="109" t="s">
        <v>432</v>
      </c>
      <c r="L2418" s="109" t="s">
        <v>432</v>
      </c>
      <c r="M2418" s="109" t="s">
        <v>432</v>
      </c>
      <c r="N2418" s="109" t="s">
        <v>432</v>
      </c>
      <c r="O2418" s="109" t="s">
        <v>432</v>
      </c>
      <c r="P2418" s="109" t="s">
        <v>432</v>
      </c>
      <c r="Q2418" s="109" t="s">
        <v>432</v>
      </c>
      <c r="R2418" s="109" t="s">
        <v>432</v>
      </c>
      <c r="S2418" s="109" t="s">
        <v>2209</v>
      </c>
      <c r="T2418" s="109" t="s">
        <v>432</v>
      </c>
      <c r="U2418" s="109" t="s">
        <v>432</v>
      </c>
      <c r="V2418" s="109" t="s">
        <v>2209</v>
      </c>
      <c r="W2418" s="109" t="s">
        <v>432</v>
      </c>
      <c r="X2418" s="109" t="s">
        <v>432</v>
      </c>
      <c r="Y2418" s="109" t="s">
        <v>432</v>
      </c>
      <c r="Z2418" s="109" t="s">
        <v>432</v>
      </c>
      <c r="AA2418" s="109" t="s">
        <v>432</v>
      </c>
      <c r="AB2418" s="109" t="s">
        <v>432</v>
      </c>
      <c r="AC2418" s="109" t="s">
        <v>432</v>
      </c>
      <c r="AD2418" s="109" t="s">
        <v>432</v>
      </c>
      <c r="AE2418" s="109" t="s">
        <v>432</v>
      </c>
      <c r="AF2418" s="109" t="s">
        <v>432</v>
      </c>
      <c r="AG2418" s="109" t="s">
        <v>432</v>
      </c>
      <c r="AH2418" s="109" t="s">
        <v>432</v>
      </c>
      <c r="AI2418" s="109" t="s">
        <v>432</v>
      </c>
      <c r="AJ2418" s="109" t="s">
        <v>432</v>
      </c>
      <c r="AK2418" s="137" t="s">
        <v>432</v>
      </c>
      <c r="AL2418" s="601" t="s">
        <v>432</v>
      </c>
      <c r="AM2418" s="137" t="s">
        <v>432</v>
      </c>
      <c r="AN2418" s="137" t="s">
        <v>432</v>
      </c>
      <c r="AO2418" s="137" t="s">
        <v>432</v>
      </c>
      <c r="AP2418" s="137" t="s">
        <v>432</v>
      </c>
      <c r="AQ2418" s="137" t="s">
        <v>432</v>
      </c>
      <c r="AR2418" s="137" t="s">
        <v>432</v>
      </c>
      <c r="AS2418" s="137" t="s">
        <v>432</v>
      </c>
      <c r="AT2418" s="137" t="s">
        <v>432</v>
      </c>
      <c r="AU2418" s="137" t="s">
        <v>432</v>
      </c>
      <c r="AV2418" s="137" t="s">
        <v>432</v>
      </c>
      <c r="AW2418" s="137" t="s">
        <v>432</v>
      </c>
      <c r="AX2418" s="137" t="s">
        <v>432</v>
      </c>
      <c r="AY2418" s="137" t="s">
        <v>432</v>
      </c>
      <c r="AZ2418" s="137" t="s">
        <v>432</v>
      </c>
      <c r="BA2418" s="137" t="s">
        <v>432</v>
      </c>
      <c r="BB2418" s="239" t="str">
        <f t="shared" si="700"/>
        <v>Transporte de baixa capacidadex</v>
      </c>
      <c r="BC2418" s="239" t="str">
        <f t="shared" si="701"/>
        <v>Transporte de baixa capacidadexsigla/verbete</v>
      </c>
      <c r="BD2418" s="239" t="str">
        <f t="shared" si="702"/>
        <v>Transporte de baixa capacidadesigla/verbete</v>
      </c>
      <c r="BM2418" s="519"/>
      <c r="BN2418" s="519"/>
      <c r="BO2418" s="519"/>
    </row>
    <row r="2419" spans="1:67" s="1" customFormat="1" ht="63.75" customHeight="1" x14ac:dyDescent="0.25">
      <c r="A2419" s="262" t="s">
        <v>432</v>
      </c>
      <c r="B2419" s="54" t="s">
        <v>742</v>
      </c>
      <c r="C2419" s="230" t="s">
        <v>432</v>
      </c>
      <c r="D2419" s="323" t="s">
        <v>393</v>
      </c>
      <c r="E2419" s="1496" t="s">
        <v>1767</v>
      </c>
      <c r="F2419" s="5" t="s">
        <v>4320</v>
      </c>
      <c r="G2419" s="230" t="s">
        <v>3507</v>
      </c>
      <c r="H2419" s="167" t="s">
        <v>2408</v>
      </c>
      <c r="I2419" s="167" t="s">
        <v>432</v>
      </c>
      <c r="J2419" s="109" t="s">
        <v>432</v>
      </c>
      <c r="K2419" s="109" t="s">
        <v>432</v>
      </c>
      <c r="L2419" s="109" t="s">
        <v>432</v>
      </c>
      <c r="M2419" s="109" t="s">
        <v>432</v>
      </c>
      <c r="N2419" s="109" t="s">
        <v>432</v>
      </c>
      <c r="O2419" s="109" t="s">
        <v>432</v>
      </c>
      <c r="P2419" s="109" t="s">
        <v>432</v>
      </c>
      <c r="Q2419" s="109" t="s">
        <v>432</v>
      </c>
      <c r="R2419" s="109" t="s">
        <v>432</v>
      </c>
      <c r="S2419" s="109" t="s">
        <v>2209</v>
      </c>
      <c r="T2419" s="109" t="s">
        <v>432</v>
      </c>
      <c r="U2419" s="109" t="s">
        <v>432</v>
      </c>
      <c r="V2419" s="109" t="s">
        <v>2209</v>
      </c>
      <c r="W2419" s="109" t="s">
        <v>432</v>
      </c>
      <c r="X2419" s="109" t="s">
        <v>432</v>
      </c>
      <c r="Y2419" s="109" t="s">
        <v>432</v>
      </c>
      <c r="Z2419" s="109" t="s">
        <v>432</v>
      </c>
      <c r="AA2419" s="109" t="s">
        <v>432</v>
      </c>
      <c r="AB2419" s="109" t="s">
        <v>432</v>
      </c>
      <c r="AC2419" s="109" t="s">
        <v>432</v>
      </c>
      <c r="AD2419" s="109" t="s">
        <v>432</v>
      </c>
      <c r="AE2419" s="109" t="s">
        <v>432</v>
      </c>
      <c r="AF2419" s="109" t="s">
        <v>432</v>
      </c>
      <c r="AG2419" s="109" t="s">
        <v>432</v>
      </c>
      <c r="AH2419" s="109" t="s">
        <v>432</v>
      </c>
      <c r="AI2419" s="109" t="s">
        <v>432</v>
      </c>
      <c r="AJ2419" s="109" t="s">
        <v>432</v>
      </c>
      <c r="AK2419" s="137" t="s">
        <v>432</v>
      </c>
      <c r="AL2419" s="601" t="s">
        <v>432</v>
      </c>
      <c r="AM2419" s="137" t="s">
        <v>432</v>
      </c>
      <c r="AN2419" s="137" t="s">
        <v>432</v>
      </c>
      <c r="AO2419" s="137" t="s">
        <v>432</v>
      </c>
      <c r="AP2419" s="137" t="s">
        <v>432</v>
      </c>
      <c r="AQ2419" s="137" t="s">
        <v>432</v>
      </c>
      <c r="AR2419" s="137" t="s">
        <v>432</v>
      </c>
      <c r="AS2419" s="137" t="s">
        <v>432</v>
      </c>
      <c r="AT2419" s="137" t="s">
        <v>432</v>
      </c>
      <c r="AU2419" s="137" t="s">
        <v>432</v>
      </c>
      <c r="AV2419" s="137" t="s">
        <v>432</v>
      </c>
      <c r="AW2419" s="137" t="s">
        <v>432</v>
      </c>
      <c r="AX2419" s="137" t="s">
        <v>432</v>
      </c>
      <c r="AY2419" s="137" t="s">
        <v>432</v>
      </c>
      <c r="AZ2419" s="137" t="s">
        <v>432</v>
      </c>
      <c r="BA2419" s="137" t="s">
        <v>432</v>
      </c>
      <c r="BB2419" s="239" t="str">
        <f t="shared" si="700"/>
        <v>geralx</v>
      </c>
      <c r="BC2419" s="239" t="str">
        <f t="shared" si="701"/>
        <v>geralxsigla/verbete</v>
      </c>
      <c r="BD2419" s="239" t="str">
        <f t="shared" si="702"/>
        <v>geralsigla/verbete</v>
      </c>
      <c r="BM2419" s="19"/>
      <c r="BN2419" s="19"/>
      <c r="BO2419" s="19"/>
    </row>
    <row r="2420" spans="1:67" s="1" customFormat="1" ht="63.75" customHeight="1" x14ac:dyDescent="0.25">
      <c r="A2420" s="275">
        <v>7</v>
      </c>
      <c r="B2420" s="54" t="s">
        <v>3558</v>
      </c>
      <c r="C2420" s="230" t="s">
        <v>432</v>
      </c>
      <c r="D2420" s="323" t="s">
        <v>4310</v>
      </c>
      <c r="E2420" s="1496" t="s">
        <v>1767</v>
      </c>
      <c r="F2420" s="59" t="s">
        <v>4311</v>
      </c>
      <c r="G2420" s="230" t="s">
        <v>3507</v>
      </c>
      <c r="H2420" s="167" t="s">
        <v>2408</v>
      </c>
      <c r="I2420" s="167" t="s">
        <v>432</v>
      </c>
      <c r="J2420" s="109" t="s">
        <v>432</v>
      </c>
      <c r="K2420" s="109" t="s">
        <v>432</v>
      </c>
      <c r="L2420" s="109" t="s">
        <v>432</v>
      </c>
      <c r="M2420" s="109" t="s">
        <v>432</v>
      </c>
      <c r="N2420" s="109" t="s">
        <v>432</v>
      </c>
      <c r="O2420" s="109" t="s">
        <v>432</v>
      </c>
      <c r="P2420" s="109" t="s">
        <v>432</v>
      </c>
      <c r="Q2420" s="109" t="s">
        <v>432</v>
      </c>
      <c r="R2420" s="109" t="s">
        <v>432</v>
      </c>
      <c r="S2420" s="109" t="s">
        <v>2209</v>
      </c>
      <c r="T2420" s="109" t="s">
        <v>432</v>
      </c>
      <c r="U2420" s="109" t="s">
        <v>432</v>
      </c>
      <c r="V2420" s="109" t="s">
        <v>2209</v>
      </c>
      <c r="W2420" s="109" t="s">
        <v>432</v>
      </c>
      <c r="X2420" s="109" t="s">
        <v>432</v>
      </c>
      <c r="Y2420" s="109" t="s">
        <v>432</v>
      </c>
      <c r="Z2420" s="109" t="s">
        <v>432</v>
      </c>
      <c r="AA2420" s="109" t="s">
        <v>432</v>
      </c>
      <c r="AB2420" s="109" t="s">
        <v>432</v>
      </c>
      <c r="AC2420" s="109" t="s">
        <v>432</v>
      </c>
      <c r="AD2420" s="109" t="s">
        <v>432</v>
      </c>
      <c r="AE2420" s="109" t="s">
        <v>432</v>
      </c>
      <c r="AF2420" s="109" t="s">
        <v>432</v>
      </c>
      <c r="AG2420" s="109" t="s">
        <v>432</v>
      </c>
      <c r="AH2420" s="109" t="s">
        <v>432</v>
      </c>
      <c r="AI2420" s="109" t="s">
        <v>432</v>
      </c>
      <c r="AJ2420" s="109" t="s">
        <v>432</v>
      </c>
      <c r="AK2420" s="137" t="s">
        <v>432</v>
      </c>
      <c r="AL2420" s="601" t="s">
        <v>432</v>
      </c>
      <c r="AM2420" s="137" t="s">
        <v>432</v>
      </c>
      <c r="AN2420" s="137" t="s">
        <v>432</v>
      </c>
      <c r="AO2420" s="137" t="s">
        <v>432</v>
      </c>
      <c r="AP2420" s="137" t="s">
        <v>432</v>
      </c>
      <c r="AQ2420" s="137" t="s">
        <v>432</v>
      </c>
      <c r="AR2420" s="137" t="s">
        <v>432</v>
      </c>
      <c r="AS2420" s="137" t="s">
        <v>432</v>
      </c>
      <c r="AT2420" s="137" t="s">
        <v>432</v>
      </c>
      <c r="AU2420" s="137" t="s">
        <v>432</v>
      </c>
      <c r="AV2420" s="137" t="s">
        <v>432</v>
      </c>
      <c r="AW2420" s="137" t="s">
        <v>432</v>
      </c>
      <c r="AX2420" s="137" t="s">
        <v>432</v>
      </c>
      <c r="AY2420" s="137" t="s">
        <v>432</v>
      </c>
      <c r="AZ2420" s="137" t="s">
        <v>432</v>
      </c>
      <c r="BA2420" s="137" t="s">
        <v>432</v>
      </c>
      <c r="BB2420" s="239" t="str">
        <f>B2420&amp;C2420</f>
        <v>Sistema de transporte de cargax</v>
      </c>
      <c r="BC2420" s="239" t="str">
        <f>B2420&amp;C2420&amp;H2420</f>
        <v>Sistema de transporte de cargaxsigla/verbete</v>
      </c>
      <c r="BD2420" s="239" t="str">
        <f>B2420&amp;H2420</f>
        <v>Sistema de transporte de cargasigla/verbete</v>
      </c>
      <c r="BM2420" s="1330"/>
      <c r="BN2420" s="1330"/>
      <c r="BO2420" s="1330"/>
    </row>
    <row r="2421" spans="1:67" s="1" customFormat="1" ht="78.75" customHeight="1" x14ac:dyDescent="0.25">
      <c r="A2421" s="262" t="s">
        <v>432</v>
      </c>
      <c r="B2421" s="252" t="s">
        <v>742</v>
      </c>
      <c r="C2421" s="167" t="s">
        <v>432</v>
      </c>
      <c r="D2421" s="325" t="s">
        <v>477</v>
      </c>
      <c r="E2421" s="1496" t="s">
        <v>2075</v>
      </c>
      <c r="F2421" s="53" t="s">
        <v>490</v>
      </c>
      <c r="G2421" s="167" t="s">
        <v>3879</v>
      </c>
      <c r="H2421" s="167" t="s">
        <v>432</v>
      </c>
      <c r="I2421" s="167" t="s">
        <v>432</v>
      </c>
      <c r="J2421" s="107" t="s">
        <v>432</v>
      </c>
      <c r="K2421" s="107" t="s">
        <v>432</v>
      </c>
      <c r="L2421" s="107" t="s">
        <v>432</v>
      </c>
      <c r="M2421" s="107" t="s">
        <v>432</v>
      </c>
      <c r="N2421" s="107" t="s">
        <v>432</v>
      </c>
      <c r="O2421" s="107" t="s">
        <v>432</v>
      </c>
      <c r="P2421" s="107" t="s">
        <v>432</v>
      </c>
      <c r="Q2421" s="107" t="s">
        <v>432</v>
      </c>
      <c r="R2421" s="107" t="s">
        <v>432</v>
      </c>
      <c r="S2421" s="109" t="s">
        <v>2209</v>
      </c>
      <c r="T2421" s="107" t="s">
        <v>432</v>
      </c>
      <c r="U2421" s="107" t="s">
        <v>432</v>
      </c>
      <c r="V2421" s="109" t="s">
        <v>2209</v>
      </c>
      <c r="W2421" s="107" t="s">
        <v>432</v>
      </c>
      <c r="X2421" s="107" t="s">
        <v>432</v>
      </c>
      <c r="Y2421" s="107" t="s">
        <v>432</v>
      </c>
      <c r="Z2421" s="107" t="s">
        <v>432</v>
      </c>
      <c r="AA2421" s="107" t="s">
        <v>432</v>
      </c>
      <c r="AB2421" s="107" t="s">
        <v>432</v>
      </c>
      <c r="AC2421" s="107" t="s">
        <v>432</v>
      </c>
      <c r="AD2421" s="107" t="s">
        <v>432</v>
      </c>
      <c r="AE2421" s="107" t="s">
        <v>432</v>
      </c>
      <c r="AF2421" s="107" t="s">
        <v>432</v>
      </c>
      <c r="AG2421" s="107" t="s">
        <v>432</v>
      </c>
      <c r="AH2421" s="107" t="s">
        <v>432</v>
      </c>
      <c r="AI2421" s="107" t="s">
        <v>432</v>
      </c>
      <c r="AJ2421" s="107" t="s">
        <v>432</v>
      </c>
      <c r="AK2421" s="137" t="s">
        <v>432</v>
      </c>
      <c r="AL2421" s="601" t="s">
        <v>432</v>
      </c>
      <c r="AM2421" s="137" t="s">
        <v>432</v>
      </c>
      <c r="AN2421" s="137" t="s">
        <v>432</v>
      </c>
      <c r="AO2421" s="137" t="s">
        <v>432</v>
      </c>
      <c r="AP2421" s="137" t="s">
        <v>432</v>
      </c>
      <c r="AQ2421" s="137" t="s">
        <v>432</v>
      </c>
      <c r="AR2421" s="137" t="s">
        <v>432</v>
      </c>
      <c r="AS2421" s="137" t="s">
        <v>432</v>
      </c>
      <c r="AT2421" s="137" t="s">
        <v>432</v>
      </c>
      <c r="AU2421" s="137" t="s">
        <v>432</v>
      </c>
      <c r="AV2421" s="137" t="s">
        <v>432</v>
      </c>
      <c r="AW2421" s="137" t="s">
        <v>432</v>
      </c>
      <c r="AX2421" s="137" t="s">
        <v>432</v>
      </c>
      <c r="AY2421" s="137" t="s">
        <v>432</v>
      </c>
      <c r="AZ2421" s="137" t="s">
        <v>432</v>
      </c>
      <c r="BA2421" s="137" t="s">
        <v>432</v>
      </c>
      <c r="BB2421" s="239" t="str">
        <f t="shared" si="700"/>
        <v>geralx</v>
      </c>
      <c r="BC2421" s="239" t="str">
        <f t="shared" si="701"/>
        <v>geralxx</v>
      </c>
      <c r="BD2421" s="239" t="str">
        <f t="shared" si="702"/>
        <v>geralx</v>
      </c>
      <c r="BM2421" s="19"/>
      <c r="BN2421" s="19"/>
      <c r="BO2421" s="19"/>
    </row>
    <row r="2422" spans="1:67" s="1" customFormat="1" ht="78.75" customHeight="1" x14ac:dyDescent="0.25">
      <c r="A2422" s="262" t="s">
        <v>432</v>
      </c>
      <c r="B2422" s="252" t="s">
        <v>742</v>
      </c>
      <c r="C2422" s="167" t="s">
        <v>432</v>
      </c>
      <c r="D2422" s="323" t="s">
        <v>478</v>
      </c>
      <c r="E2422" s="1496" t="s">
        <v>2075</v>
      </c>
      <c r="F2422" s="53" t="s">
        <v>491</v>
      </c>
      <c r="G2422" s="167" t="s">
        <v>3879</v>
      </c>
      <c r="H2422" s="167" t="s">
        <v>432</v>
      </c>
      <c r="I2422" s="167" t="s">
        <v>432</v>
      </c>
      <c r="J2422" s="107" t="s">
        <v>432</v>
      </c>
      <c r="K2422" s="107" t="s">
        <v>432</v>
      </c>
      <c r="L2422" s="107" t="s">
        <v>432</v>
      </c>
      <c r="M2422" s="107" t="s">
        <v>432</v>
      </c>
      <c r="N2422" s="107" t="s">
        <v>432</v>
      </c>
      <c r="O2422" s="107" t="s">
        <v>432</v>
      </c>
      <c r="P2422" s="107" t="s">
        <v>432</v>
      </c>
      <c r="Q2422" s="107" t="s">
        <v>432</v>
      </c>
      <c r="R2422" s="107" t="s">
        <v>432</v>
      </c>
      <c r="S2422" s="109" t="s">
        <v>2209</v>
      </c>
      <c r="T2422" s="107" t="s">
        <v>432</v>
      </c>
      <c r="U2422" s="107" t="s">
        <v>432</v>
      </c>
      <c r="V2422" s="109" t="s">
        <v>2209</v>
      </c>
      <c r="W2422" s="107" t="s">
        <v>432</v>
      </c>
      <c r="X2422" s="107" t="s">
        <v>432</v>
      </c>
      <c r="Y2422" s="107" t="s">
        <v>432</v>
      </c>
      <c r="Z2422" s="107" t="s">
        <v>432</v>
      </c>
      <c r="AA2422" s="107" t="s">
        <v>432</v>
      </c>
      <c r="AB2422" s="107" t="s">
        <v>432</v>
      </c>
      <c r="AC2422" s="107" t="s">
        <v>432</v>
      </c>
      <c r="AD2422" s="107" t="s">
        <v>432</v>
      </c>
      <c r="AE2422" s="107" t="s">
        <v>432</v>
      </c>
      <c r="AF2422" s="107" t="s">
        <v>432</v>
      </c>
      <c r="AG2422" s="107" t="s">
        <v>432</v>
      </c>
      <c r="AH2422" s="107" t="s">
        <v>432</v>
      </c>
      <c r="AI2422" s="107" t="s">
        <v>432</v>
      </c>
      <c r="AJ2422" s="107" t="s">
        <v>432</v>
      </c>
      <c r="AK2422" s="137" t="s">
        <v>432</v>
      </c>
      <c r="AL2422" s="601" t="s">
        <v>432</v>
      </c>
      <c r="AM2422" s="137" t="s">
        <v>432</v>
      </c>
      <c r="AN2422" s="137" t="s">
        <v>432</v>
      </c>
      <c r="AO2422" s="137" t="s">
        <v>432</v>
      </c>
      <c r="AP2422" s="137" t="s">
        <v>432</v>
      </c>
      <c r="AQ2422" s="137" t="s">
        <v>432</v>
      </c>
      <c r="AR2422" s="137" t="s">
        <v>432</v>
      </c>
      <c r="AS2422" s="137" t="s">
        <v>432</v>
      </c>
      <c r="AT2422" s="137" t="s">
        <v>432</v>
      </c>
      <c r="AU2422" s="137" t="s">
        <v>432</v>
      </c>
      <c r="AV2422" s="137" t="s">
        <v>432</v>
      </c>
      <c r="AW2422" s="137" t="s">
        <v>432</v>
      </c>
      <c r="AX2422" s="137" t="s">
        <v>432</v>
      </c>
      <c r="AY2422" s="137" t="s">
        <v>432</v>
      </c>
      <c r="AZ2422" s="137" t="s">
        <v>432</v>
      </c>
      <c r="BA2422" s="137" t="s">
        <v>432</v>
      </c>
      <c r="BB2422" s="239" t="str">
        <f t="shared" si="700"/>
        <v>geralx</v>
      </c>
      <c r="BC2422" s="239" t="str">
        <f t="shared" si="701"/>
        <v>geralxx</v>
      </c>
      <c r="BD2422" s="239" t="str">
        <f t="shared" si="702"/>
        <v>geralx</v>
      </c>
      <c r="BM2422" s="19"/>
      <c r="BN2422" s="19"/>
      <c r="BO2422" s="19"/>
    </row>
    <row r="2423" spans="1:67" s="1" customFormat="1" ht="78.75" customHeight="1" x14ac:dyDescent="0.25">
      <c r="A2423" s="262" t="s">
        <v>432</v>
      </c>
      <c r="B2423" s="252" t="s">
        <v>742</v>
      </c>
      <c r="C2423" s="167" t="s">
        <v>432</v>
      </c>
      <c r="D2423" s="324" t="s">
        <v>459</v>
      </c>
      <c r="E2423" s="1496" t="s">
        <v>1767</v>
      </c>
      <c r="F2423" s="53" t="s">
        <v>492</v>
      </c>
      <c r="G2423" s="167" t="s">
        <v>3879</v>
      </c>
      <c r="H2423" s="167" t="s">
        <v>432</v>
      </c>
      <c r="I2423" s="167" t="s">
        <v>432</v>
      </c>
      <c r="J2423" s="107" t="s">
        <v>432</v>
      </c>
      <c r="K2423" s="107" t="s">
        <v>432</v>
      </c>
      <c r="L2423" s="107" t="s">
        <v>432</v>
      </c>
      <c r="M2423" s="107" t="s">
        <v>432</v>
      </c>
      <c r="N2423" s="107" t="s">
        <v>432</v>
      </c>
      <c r="O2423" s="107" t="s">
        <v>432</v>
      </c>
      <c r="P2423" s="107" t="s">
        <v>432</v>
      </c>
      <c r="Q2423" s="107" t="s">
        <v>432</v>
      </c>
      <c r="R2423" s="107" t="s">
        <v>432</v>
      </c>
      <c r="S2423" s="109" t="s">
        <v>2209</v>
      </c>
      <c r="T2423" s="107" t="s">
        <v>432</v>
      </c>
      <c r="U2423" s="107" t="s">
        <v>432</v>
      </c>
      <c r="V2423" s="109" t="s">
        <v>2209</v>
      </c>
      <c r="W2423" s="107" t="s">
        <v>432</v>
      </c>
      <c r="X2423" s="107" t="s">
        <v>432</v>
      </c>
      <c r="Y2423" s="107" t="s">
        <v>432</v>
      </c>
      <c r="Z2423" s="107" t="s">
        <v>432</v>
      </c>
      <c r="AA2423" s="107" t="s">
        <v>432</v>
      </c>
      <c r="AB2423" s="107" t="s">
        <v>432</v>
      </c>
      <c r="AC2423" s="107" t="s">
        <v>432</v>
      </c>
      <c r="AD2423" s="107" t="s">
        <v>432</v>
      </c>
      <c r="AE2423" s="107" t="s">
        <v>432</v>
      </c>
      <c r="AF2423" s="107" t="s">
        <v>432</v>
      </c>
      <c r="AG2423" s="107" t="s">
        <v>432</v>
      </c>
      <c r="AH2423" s="107" t="s">
        <v>432</v>
      </c>
      <c r="AI2423" s="107" t="s">
        <v>432</v>
      </c>
      <c r="AJ2423" s="107" t="s">
        <v>432</v>
      </c>
      <c r="AK2423" s="137" t="s">
        <v>432</v>
      </c>
      <c r="AL2423" s="601" t="s">
        <v>432</v>
      </c>
      <c r="AM2423" s="137" t="s">
        <v>432</v>
      </c>
      <c r="AN2423" s="137" t="s">
        <v>432</v>
      </c>
      <c r="AO2423" s="137" t="s">
        <v>432</v>
      </c>
      <c r="AP2423" s="137" t="s">
        <v>432</v>
      </c>
      <c r="AQ2423" s="137" t="s">
        <v>432</v>
      </c>
      <c r="AR2423" s="137" t="s">
        <v>432</v>
      </c>
      <c r="AS2423" s="137" t="s">
        <v>432</v>
      </c>
      <c r="AT2423" s="137" t="s">
        <v>432</v>
      </c>
      <c r="AU2423" s="137" t="s">
        <v>432</v>
      </c>
      <c r="AV2423" s="137" t="s">
        <v>432</v>
      </c>
      <c r="AW2423" s="137" t="s">
        <v>432</v>
      </c>
      <c r="AX2423" s="137" t="s">
        <v>432</v>
      </c>
      <c r="AY2423" s="137" t="s">
        <v>432</v>
      </c>
      <c r="AZ2423" s="137" t="s">
        <v>432</v>
      </c>
      <c r="BA2423" s="137" t="s">
        <v>432</v>
      </c>
      <c r="BB2423" s="239" t="str">
        <f>B2423&amp;C2423</f>
        <v>geralx</v>
      </c>
      <c r="BC2423" s="239" t="str">
        <f>B2423&amp;C2423&amp;H2423</f>
        <v>geralxx</v>
      </c>
      <c r="BD2423" s="239" t="str">
        <f>B2423&amp;H2423</f>
        <v>geralx</v>
      </c>
      <c r="BM2423" s="19"/>
      <c r="BN2423" s="19"/>
      <c r="BO2423" s="19"/>
    </row>
    <row r="2424" spans="1:67" s="1" customFormat="1" ht="62.25" customHeight="1" x14ac:dyDescent="0.25">
      <c r="A2424" s="275" t="str">
        <f>'Q100b-totais'!$B$11</f>
        <v>1.2</v>
      </c>
      <c r="B2424" s="54" t="str">
        <f>'Q100b-totais'!$C$11</f>
        <v>Atendimento ao usuário em geral</v>
      </c>
      <c r="C2424" s="230" t="s">
        <v>432</v>
      </c>
      <c r="D2424" s="323" t="s">
        <v>394</v>
      </c>
      <c r="E2424" s="509" t="s">
        <v>1306</v>
      </c>
      <c r="F2424" s="11" t="s">
        <v>1899</v>
      </c>
      <c r="G2424" s="24" t="s">
        <v>718</v>
      </c>
      <c r="H2424" s="444" t="s">
        <v>678</v>
      </c>
      <c r="I2424" s="167">
        <v>1</v>
      </c>
      <c r="J2424" s="109" t="s">
        <v>432</v>
      </c>
      <c r="K2424" s="110" t="s">
        <v>432</v>
      </c>
      <c r="L2424" s="110" t="s">
        <v>432</v>
      </c>
      <c r="M2424" s="110" t="s">
        <v>432</v>
      </c>
      <c r="N2424" s="110" t="s">
        <v>432</v>
      </c>
      <c r="O2424" s="110" t="s">
        <v>432</v>
      </c>
      <c r="P2424" s="110" t="s">
        <v>432</v>
      </c>
      <c r="Q2424" s="110" t="s">
        <v>432</v>
      </c>
      <c r="R2424" s="110" t="s">
        <v>432</v>
      </c>
      <c r="S2424" s="109" t="s">
        <v>2209</v>
      </c>
      <c r="T2424" s="110" t="s">
        <v>432</v>
      </c>
      <c r="U2424" s="110" t="s">
        <v>432</v>
      </c>
      <c r="V2424" s="109" t="s">
        <v>2209</v>
      </c>
      <c r="W2424" s="110" t="s">
        <v>432</v>
      </c>
      <c r="X2424" s="110" t="s">
        <v>432</v>
      </c>
      <c r="Y2424" s="110" t="s">
        <v>432</v>
      </c>
      <c r="Z2424" s="110" t="s">
        <v>432</v>
      </c>
      <c r="AA2424" s="110" t="s">
        <v>432</v>
      </c>
      <c r="AB2424" s="110" t="s">
        <v>432</v>
      </c>
      <c r="AC2424" s="110" t="s">
        <v>432</v>
      </c>
      <c r="AD2424" s="110" t="s">
        <v>432</v>
      </c>
      <c r="AE2424" s="110" t="s">
        <v>432</v>
      </c>
      <c r="AF2424" s="110" t="s">
        <v>432</v>
      </c>
      <c r="AG2424" s="110" t="s">
        <v>432</v>
      </c>
      <c r="AH2424" s="110" t="s">
        <v>432</v>
      </c>
      <c r="AI2424" s="110" t="s">
        <v>432</v>
      </c>
      <c r="AJ2424" s="110" t="s">
        <v>432</v>
      </c>
      <c r="AK2424" s="137" t="s">
        <v>432</v>
      </c>
      <c r="AL2424" s="601" t="s">
        <v>432</v>
      </c>
      <c r="AM2424" s="137" t="s">
        <v>432</v>
      </c>
      <c r="AN2424" s="137" t="s">
        <v>432</v>
      </c>
      <c r="AO2424" s="137" t="s">
        <v>432</v>
      </c>
      <c r="AP2424" s="137" t="s">
        <v>432</v>
      </c>
      <c r="AQ2424" s="137" t="s">
        <v>432</v>
      </c>
      <c r="AR2424" s="137" t="s">
        <v>432</v>
      </c>
      <c r="AS2424" s="137" t="s">
        <v>432</v>
      </c>
      <c r="AT2424" s="137" t="s">
        <v>432</v>
      </c>
      <c r="AU2424" s="137" t="s">
        <v>432</v>
      </c>
      <c r="AV2424" s="137" t="s">
        <v>432</v>
      </c>
      <c r="AW2424" s="137" t="s">
        <v>432</v>
      </c>
      <c r="AX2424" s="137" t="s">
        <v>432</v>
      </c>
      <c r="AY2424" s="137" t="s">
        <v>432</v>
      </c>
      <c r="AZ2424" s="137" t="s">
        <v>432</v>
      </c>
      <c r="BA2424" s="137" t="s">
        <v>432</v>
      </c>
      <c r="BB2424" s="239" t="str">
        <f>B2424&amp;C2424</f>
        <v>Atendimento ao usuário em geralx</v>
      </c>
      <c r="BC2424" s="239" t="str">
        <f>B2424&amp;C2424&amp;H2424</f>
        <v>Atendimento ao usuário em geralxainda não incorporado ao SisMob-BH</v>
      </c>
      <c r="BD2424" s="239" t="str">
        <f>B2424&amp;H2424</f>
        <v>Atendimento ao usuário em geralainda não incorporado ao SisMob-BH</v>
      </c>
      <c r="BM2424" s="19"/>
      <c r="BN2424" s="19"/>
      <c r="BO2424" s="19"/>
    </row>
    <row r="2425" spans="1:67" s="1" customFormat="1" ht="51" customHeight="1" x14ac:dyDescent="0.25">
      <c r="A2425" s="262" t="s">
        <v>432</v>
      </c>
      <c r="B2425" s="252" t="s">
        <v>742</v>
      </c>
      <c r="C2425" s="167" t="s">
        <v>432</v>
      </c>
      <c r="D2425" s="324" t="s">
        <v>395</v>
      </c>
      <c r="E2425" s="1496" t="s">
        <v>432</v>
      </c>
      <c r="F2425" s="11" t="s">
        <v>663</v>
      </c>
      <c r="G2425" s="167" t="s">
        <v>3879</v>
      </c>
      <c r="H2425" s="167" t="s">
        <v>432</v>
      </c>
      <c r="I2425" s="167" t="s">
        <v>432</v>
      </c>
      <c r="J2425" s="107" t="s">
        <v>432</v>
      </c>
      <c r="K2425" s="107" t="s">
        <v>432</v>
      </c>
      <c r="L2425" s="107" t="s">
        <v>432</v>
      </c>
      <c r="M2425" s="107" t="s">
        <v>432</v>
      </c>
      <c r="N2425" s="107" t="s">
        <v>432</v>
      </c>
      <c r="O2425" s="107" t="s">
        <v>432</v>
      </c>
      <c r="P2425" s="107" t="s">
        <v>432</v>
      </c>
      <c r="Q2425" s="107" t="s">
        <v>432</v>
      </c>
      <c r="R2425" s="107" t="s">
        <v>432</v>
      </c>
      <c r="S2425" s="109" t="s">
        <v>2209</v>
      </c>
      <c r="T2425" s="107" t="s">
        <v>432</v>
      </c>
      <c r="U2425" s="107" t="s">
        <v>432</v>
      </c>
      <c r="V2425" s="109" t="s">
        <v>2209</v>
      </c>
      <c r="W2425" s="107" t="s">
        <v>432</v>
      </c>
      <c r="X2425" s="107" t="s">
        <v>432</v>
      </c>
      <c r="Y2425" s="107" t="s">
        <v>432</v>
      </c>
      <c r="Z2425" s="107" t="s">
        <v>432</v>
      </c>
      <c r="AA2425" s="107" t="s">
        <v>432</v>
      </c>
      <c r="AB2425" s="107" t="s">
        <v>432</v>
      </c>
      <c r="AC2425" s="107" t="s">
        <v>432</v>
      </c>
      <c r="AD2425" s="107" t="s">
        <v>432</v>
      </c>
      <c r="AE2425" s="107" t="s">
        <v>432</v>
      </c>
      <c r="AF2425" s="107" t="s">
        <v>432</v>
      </c>
      <c r="AG2425" s="107" t="s">
        <v>432</v>
      </c>
      <c r="AH2425" s="107" t="s">
        <v>432</v>
      </c>
      <c r="AI2425" s="107" t="s">
        <v>432</v>
      </c>
      <c r="AJ2425" s="107" t="s">
        <v>432</v>
      </c>
      <c r="AK2425" s="137" t="s">
        <v>432</v>
      </c>
      <c r="AL2425" s="601" t="s">
        <v>432</v>
      </c>
      <c r="AM2425" s="137" t="s">
        <v>432</v>
      </c>
      <c r="AN2425" s="137" t="s">
        <v>432</v>
      </c>
      <c r="AO2425" s="137" t="s">
        <v>432</v>
      </c>
      <c r="AP2425" s="137" t="s">
        <v>432</v>
      </c>
      <c r="AQ2425" s="137" t="s">
        <v>432</v>
      </c>
      <c r="AR2425" s="137" t="s">
        <v>432</v>
      </c>
      <c r="AS2425" s="137" t="s">
        <v>432</v>
      </c>
      <c r="AT2425" s="137" t="s">
        <v>432</v>
      </c>
      <c r="AU2425" s="137" t="s">
        <v>432</v>
      </c>
      <c r="AV2425" s="137" t="s">
        <v>432</v>
      </c>
      <c r="AW2425" s="137" t="s">
        <v>432</v>
      </c>
      <c r="AX2425" s="137" t="s">
        <v>432</v>
      </c>
      <c r="AY2425" s="137" t="s">
        <v>432</v>
      </c>
      <c r="AZ2425" s="137" t="s">
        <v>432</v>
      </c>
      <c r="BA2425" s="137" t="s">
        <v>432</v>
      </c>
      <c r="BB2425" s="239" t="str">
        <f>B2425&amp;C2425</f>
        <v>geralx</v>
      </c>
      <c r="BC2425" s="239" t="str">
        <f>B2425&amp;C2425&amp;H2425</f>
        <v>geralxx</v>
      </c>
      <c r="BD2425" s="239" t="str">
        <f>B2425&amp;H2425</f>
        <v>geralx</v>
      </c>
      <c r="BM2425" s="19"/>
      <c r="BN2425" s="19"/>
      <c r="BO2425" s="19"/>
    </row>
    <row r="2426" spans="1:67" s="1" customFormat="1" ht="25.5" customHeight="1" x14ac:dyDescent="0.25">
      <c r="A2426" s="262" t="s">
        <v>432</v>
      </c>
      <c r="B2426" s="252" t="s">
        <v>742</v>
      </c>
      <c r="C2426" s="167" t="s">
        <v>432</v>
      </c>
      <c r="D2426" s="324" t="s">
        <v>396</v>
      </c>
      <c r="E2426" s="1496" t="s">
        <v>432</v>
      </c>
      <c r="F2426" s="11" t="s">
        <v>397</v>
      </c>
      <c r="G2426" s="167" t="s">
        <v>3879</v>
      </c>
      <c r="H2426" s="167" t="s">
        <v>432</v>
      </c>
      <c r="I2426" s="167" t="s">
        <v>432</v>
      </c>
      <c r="J2426" s="107" t="s">
        <v>432</v>
      </c>
      <c r="K2426" s="107" t="s">
        <v>432</v>
      </c>
      <c r="L2426" s="107" t="s">
        <v>432</v>
      </c>
      <c r="M2426" s="107" t="s">
        <v>432</v>
      </c>
      <c r="N2426" s="107" t="s">
        <v>432</v>
      </c>
      <c r="O2426" s="107" t="s">
        <v>432</v>
      </c>
      <c r="P2426" s="107" t="s">
        <v>432</v>
      </c>
      <c r="Q2426" s="107" t="s">
        <v>432</v>
      </c>
      <c r="R2426" s="107" t="s">
        <v>432</v>
      </c>
      <c r="S2426" s="109" t="s">
        <v>2209</v>
      </c>
      <c r="T2426" s="107" t="s">
        <v>432</v>
      </c>
      <c r="U2426" s="107" t="s">
        <v>432</v>
      </c>
      <c r="V2426" s="109" t="s">
        <v>2209</v>
      </c>
      <c r="W2426" s="107" t="s">
        <v>432</v>
      </c>
      <c r="X2426" s="107" t="s">
        <v>432</v>
      </c>
      <c r="Y2426" s="107" t="s">
        <v>432</v>
      </c>
      <c r="Z2426" s="107" t="s">
        <v>432</v>
      </c>
      <c r="AA2426" s="107" t="s">
        <v>432</v>
      </c>
      <c r="AB2426" s="107" t="s">
        <v>432</v>
      </c>
      <c r="AC2426" s="107" t="s">
        <v>432</v>
      </c>
      <c r="AD2426" s="107" t="s">
        <v>432</v>
      </c>
      <c r="AE2426" s="107" t="s">
        <v>432</v>
      </c>
      <c r="AF2426" s="107" t="s">
        <v>432</v>
      </c>
      <c r="AG2426" s="107" t="s">
        <v>432</v>
      </c>
      <c r="AH2426" s="107" t="s">
        <v>432</v>
      </c>
      <c r="AI2426" s="107" t="s">
        <v>432</v>
      </c>
      <c r="AJ2426" s="107" t="s">
        <v>432</v>
      </c>
      <c r="AK2426" s="137" t="s">
        <v>432</v>
      </c>
      <c r="AL2426" s="601" t="s">
        <v>432</v>
      </c>
      <c r="AM2426" s="137" t="s">
        <v>432</v>
      </c>
      <c r="AN2426" s="137" t="s">
        <v>432</v>
      </c>
      <c r="AO2426" s="137" t="s">
        <v>432</v>
      </c>
      <c r="AP2426" s="137" t="s">
        <v>432</v>
      </c>
      <c r="AQ2426" s="137" t="s">
        <v>432</v>
      </c>
      <c r="AR2426" s="137" t="s">
        <v>432</v>
      </c>
      <c r="AS2426" s="137" t="s">
        <v>432</v>
      </c>
      <c r="AT2426" s="137" t="s">
        <v>432</v>
      </c>
      <c r="AU2426" s="137" t="s">
        <v>432</v>
      </c>
      <c r="AV2426" s="137" t="s">
        <v>432</v>
      </c>
      <c r="AW2426" s="137" t="s">
        <v>432</v>
      </c>
      <c r="AX2426" s="137" t="s">
        <v>432</v>
      </c>
      <c r="AY2426" s="137" t="s">
        <v>432</v>
      </c>
      <c r="AZ2426" s="137" t="s">
        <v>432</v>
      </c>
      <c r="BA2426" s="137" t="s">
        <v>432</v>
      </c>
      <c r="BB2426" s="239" t="str">
        <f>B2426&amp;C2426</f>
        <v>geralx</v>
      </c>
      <c r="BC2426" s="239" t="str">
        <f>B2426&amp;C2426&amp;H2426</f>
        <v>geralxx</v>
      </c>
      <c r="BD2426" s="239" t="str">
        <f>B2426&amp;H2426</f>
        <v>geralx</v>
      </c>
      <c r="BM2426" s="19"/>
      <c r="BN2426" s="19"/>
      <c r="BO2426" s="19"/>
    </row>
    <row r="2427" spans="1:67" s="3" customFormat="1" ht="38.25" x14ac:dyDescent="0.25">
      <c r="A2427" s="262" t="str">
        <f>'Q100b-totais'!B22</f>
        <v>2.7</v>
      </c>
      <c r="B2427" s="252" t="str">
        <f>'Q100b-totais'!C22</f>
        <v>Outras cidades/regiões</v>
      </c>
      <c r="C2427" s="167" t="s">
        <v>743</v>
      </c>
      <c r="D2427" s="325" t="s">
        <v>4196</v>
      </c>
      <c r="E2427" s="1445" t="s">
        <v>4196</v>
      </c>
      <c r="F2427" s="252" t="s">
        <v>4260</v>
      </c>
      <c r="G2427" s="230" t="s">
        <v>3507</v>
      </c>
      <c r="H2427" s="167" t="s">
        <v>2408</v>
      </c>
      <c r="I2427" s="167" t="s">
        <v>432</v>
      </c>
      <c r="J2427" s="107" t="s">
        <v>432</v>
      </c>
      <c r="K2427" s="107" t="s">
        <v>432</v>
      </c>
      <c r="L2427" s="107" t="s">
        <v>432</v>
      </c>
      <c r="M2427" s="107" t="s">
        <v>432</v>
      </c>
      <c r="N2427" s="107" t="s">
        <v>432</v>
      </c>
      <c r="O2427" s="107" t="s">
        <v>432</v>
      </c>
      <c r="P2427" s="107" t="s">
        <v>432</v>
      </c>
      <c r="Q2427" s="107" t="s">
        <v>432</v>
      </c>
      <c r="R2427" s="107" t="s">
        <v>432</v>
      </c>
      <c r="S2427" s="109" t="s">
        <v>2209</v>
      </c>
      <c r="T2427" s="107" t="s">
        <v>432</v>
      </c>
      <c r="U2427" s="107" t="s">
        <v>432</v>
      </c>
      <c r="V2427" s="109" t="s">
        <v>2209</v>
      </c>
      <c r="W2427" s="107" t="s">
        <v>432</v>
      </c>
      <c r="X2427" s="107" t="s">
        <v>432</v>
      </c>
      <c r="Y2427" s="107" t="s">
        <v>432</v>
      </c>
      <c r="Z2427" s="107" t="s">
        <v>432</v>
      </c>
      <c r="AA2427" s="107" t="s">
        <v>432</v>
      </c>
      <c r="AB2427" s="107" t="s">
        <v>432</v>
      </c>
      <c r="AC2427" s="107" t="s">
        <v>432</v>
      </c>
      <c r="AD2427" s="107" t="s">
        <v>432</v>
      </c>
      <c r="AE2427" s="107" t="s">
        <v>432</v>
      </c>
      <c r="AF2427" s="107" t="s">
        <v>432</v>
      </c>
      <c r="AG2427" s="107" t="s">
        <v>432</v>
      </c>
      <c r="AH2427" s="107" t="s">
        <v>432</v>
      </c>
      <c r="AI2427" s="107" t="s">
        <v>432</v>
      </c>
      <c r="AJ2427" s="107" t="s">
        <v>432</v>
      </c>
      <c r="AK2427" s="107" t="s">
        <v>432</v>
      </c>
      <c r="AL2427" s="601" t="s">
        <v>432</v>
      </c>
      <c r="AM2427" s="137" t="s">
        <v>432</v>
      </c>
      <c r="AN2427" s="137" t="s">
        <v>432</v>
      </c>
      <c r="AO2427" s="137" t="s">
        <v>432</v>
      </c>
      <c r="AP2427" s="137" t="s">
        <v>432</v>
      </c>
      <c r="AQ2427" s="137" t="s">
        <v>432</v>
      </c>
      <c r="AR2427" s="137" t="s">
        <v>432</v>
      </c>
      <c r="AS2427" s="137" t="s">
        <v>432</v>
      </c>
      <c r="AT2427" s="137" t="s">
        <v>432</v>
      </c>
      <c r="AU2427" s="137" t="s">
        <v>432</v>
      </c>
      <c r="AV2427" s="137" t="s">
        <v>432</v>
      </c>
      <c r="AW2427" s="137" t="s">
        <v>432</v>
      </c>
      <c r="AX2427" s="137" t="s">
        <v>432</v>
      </c>
      <c r="AY2427" s="137" t="s">
        <v>432</v>
      </c>
      <c r="AZ2427" s="137" t="s">
        <v>432</v>
      </c>
      <c r="BA2427" s="137" t="s">
        <v>432</v>
      </c>
      <c r="BB2427" s="239" t="str">
        <f>B2427&amp;C2427</f>
        <v>Outras cidades/regiõesacessibilidade</v>
      </c>
      <c r="BC2427" s="239" t="str">
        <f>B2427&amp;C2427&amp;H2427</f>
        <v>Outras cidades/regiõesacessibilidadesigla/verbete</v>
      </c>
      <c r="BD2427" s="239" t="str">
        <f>B2427&amp;H2427</f>
        <v>Outras cidades/regiõessigla/verbete</v>
      </c>
    </row>
    <row r="2428" spans="1:67" s="1" customFormat="1" x14ac:dyDescent="0.25">
      <c r="A2428" s="398"/>
      <c r="B2428" s="221"/>
      <c r="C2428" s="399"/>
      <c r="D2428" s="987"/>
      <c r="E2428" s="1533"/>
      <c r="F2428" s="405"/>
      <c r="G2428" s="405"/>
      <c r="H2428" s="399"/>
      <c r="I2428" s="405"/>
      <c r="J2428" s="221"/>
      <c r="K2428" s="403"/>
      <c r="L2428" s="403"/>
      <c r="M2428" s="403"/>
      <c r="N2428" s="403"/>
      <c r="O2428" s="403"/>
      <c r="P2428" s="403"/>
      <c r="Q2428" s="403"/>
      <c r="R2428" s="403"/>
      <c r="S2428" s="403"/>
      <c r="T2428" s="403"/>
      <c r="U2428" s="403"/>
      <c r="V2428" s="403"/>
      <c r="W2428" s="403"/>
      <c r="X2428" s="403"/>
      <c r="Y2428" s="403"/>
      <c r="Z2428" s="403"/>
      <c r="AA2428" s="403"/>
      <c r="AB2428" s="403"/>
      <c r="AC2428" s="403"/>
      <c r="AD2428" s="403"/>
      <c r="AE2428" s="403"/>
      <c r="AF2428" s="403"/>
      <c r="AG2428" s="403"/>
      <c r="AH2428" s="403"/>
      <c r="AI2428" s="403"/>
      <c r="AJ2428" s="403"/>
      <c r="AK2428" s="223"/>
      <c r="AL2428" s="223"/>
      <c r="AM2428" s="223"/>
      <c r="AN2428" s="223"/>
      <c r="AO2428" s="223"/>
      <c r="AP2428" s="223"/>
      <c r="AQ2428" s="223"/>
      <c r="AR2428" s="223"/>
      <c r="AS2428" s="223"/>
      <c r="AT2428" s="223"/>
      <c r="AU2428" s="223"/>
      <c r="AV2428" s="223"/>
      <c r="AW2428" s="223"/>
      <c r="AX2428" s="223"/>
      <c r="AY2428" s="223"/>
      <c r="AZ2428" s="223"/>
      <c r="BA2428" s="223"/>
      <c r="BB2428" s="400"/>
      <c r="BC2428" s="400"/>
      <c r="BD2428" s="400"/>
    </row>
    <row r="2429" spans="1:67" s="1" customFormat="1" ht="59.25" customHeight="1" x14ac:dyDescent="0.25">
      <c r="A2429" s="275" t="str">
        <f>'Q100b-totais'!$B$56</f>
        <v>8.4</v>
      </c>
      <c r="B2429" s="1205" t="s">
        <v>641</v>
      </c>
      <c r="C2429" s="167" t="s">
        <v>432</v>
      </c>
      <c r="D2429" s="362" t="s">
        <v>398</v>
      </c>
      <c r="E2429" s="1507" t="s">
        <v>1306</v>
      </c>
      <c r="F2429" s="925" t="s">
        <v>1365</v>
      </c>
      <c r="G2429" s="408" t="s">
        <v>1363</v>
      </c>
      <c r="H2429" s="173" t="s">
        <v>432</v>
      </c>
      <c r="I2429" s="157">
        <v>1</v>
      </c>
      <c r="J2429" s="58" t="s">
        <v>432</v>
      </c>
      <c r="K2429" s="23" t="s">
        <v>432</v>
      </c>
      <c r="L2429" s="23" t="s">
        <v>432</v>
      </c>
      <c r="M2429" s="23" t="s">
        <v>432</v>
      </c>
      <c r="N2429" s="23" t="s">
        <v>432</v>
      </c>
      <c r="O2429" s="23" t="s">
        <v>432</v>
      </c>
      <c r="P2429" s="23" t="s">
        <v>432</v>
      </c>
      <c r="Q2429" s="23" t="s">
        <v>432</v>
      </c>
      <c r="R2429" s="23" t="s">
        <v>432</v>
      </c>
      <c r="S2429" s="109" t="s">
        <v>2209</v>
      </c>
      <c r="T2429" s="23" t="s">
        <v>432</v>
      </c>
      <c r="U2429" s="23" t="s">
        <v>432</v>
      </c>
      <c r="V2429" s="109" t="s">
        <v>2209</v>
      </c>
      <c r="W2429" s="23" t="s">
        <v>432</v>
      </c>
      <c r="X2429" s="23" t="s">
        <v>432</v>
      </c>
      <c r="Y2429" s="23" t="s">
        <v>432</v>
      </c>
      <c r="Z2429" s="23" t="s">
        <v>432</v>
      </c>
      <c r="AA2429" s="23" t="s">
        <v>432</v>
      </c>
      <c r="AB2429" s="23" t="s">
        <v>432</v>
      </c>
      <c r="AC2429" s="23" t="s">
        <v>432</v>
      </c>
      <c r="AD2429" s="23" t="s">
        <v>432</v>
      </c>
      <c r="AE2429" s="23" t="s">
        <v>432</v>
      </c>
      <c r="AF2429" s="23" t="s">
        <v>432</v>
      </c>
      <c r="AG2429" s="23" t="s">
        <v>432</v>
      </c>
      <c r="AH2429" s="23" t="s">
        <v>432</v>
      </c>
      <c r="AI2429" s="23" t="s">
        <v>432</v>
      </c>
      <c r="AJ2429" s="20">
        <f>AJ2434+AJ2448+AJ2453+AJ2444</f>
        <v>6577</v>
      </c>
      <c r="AK2429" s="20">
        <f>AK2434+AK2448+AK2453+AK2444</f>
        <v>6879</v>
      </c>
      <c r="AL2429" s="601" t="s">
        <v>432</v>
      </c>
      <c r="AM2429" s="137" t="s">
        <v>432</v>
      </c>
      <c r="AN2429" s="137" t="s">
        <v>432</v>
      </c>
      <c r="AO2429" s="137" t="s">
        <v>432</v>
      </c>
      <c r="AP2429" s="137" t="s">
        <v>432</v>
      </c>
      <c r="AQ2429" s="137" t="s">
        <v>432</v>
      </c>
      <c r="AR2429" s="137" t="s">
        <v>432</v>
      </c>
      <c r="AS2429" s="137" t="s">
        <v>432</v>
      </c>
      <c r="AT2429" s="137" t="s">
        <v>432</v>
      </c>
      <c r="AU2429" s="137" t="s">
        <v>432</v>
      </c>
      <c r="AV2429" s="137" t="s">
        <v>432</v>
      </c>
      <c r="AW2429" s="137" t="s">
        <v>432</v>
      </c>
      <c r="AX2429" s="137" t="s">
        <v>432</v>
      </c>
      <c r="AY2429" s="137" t="s">
        <v>432</v>
      </c>
      <c r="AZ2429" s="137" t="s">
        <v>432</v>
      </c>
      <c r="BA2429" s="137" t="s">
        <v>432</v>
      </c>
      <c r="BB2429" s="239" t="str">
        <f t="shared" ref="BB2429:BB2435" si="715">B2429&amp;C2429</f>
        <v>Táxix</v>
      </c>
      <c r="BC2429" s="239" t="str">
        <f t="shared" ref="BC2429:BC2435" si="716">B2429&amp;C2429&amp;H2429</f>
        <v>Táxixx</v>
      </c>
      <c r="BD2429" s="239" t="str">
        <f t="shared" ref="BD2429:BD2435" si="717">B2429&amp;H2429</f>
        <v>Táxix</v>
      </c>
      <c r="BM2429" s="19"/>
      <c r="BN2429" s="19"/>
      <c r="BO2429" s="19"/>
    </row>
    <row r="2430" spans="1:67" s="1" customFormat="1" ht="54.75" customHeight="1" x14ac:dyDescent="0.25">
      <c r="A2430" s="275" t="str">
        <f>'Q100b-totais'!$B$56</f>
        <v>8.4</v>
      </c>
      <c r="B2430" s="54" t="s">
        <v>641</v>
      </c>
      <c r="C2430" s="229" t="s">
        <v>432</v>
      </c>
      <c r="D2430" s="362" t="s">
        <v>398</v>
      </c>
      <c r="E2430" s="1507" t="s">
        <v>1371</v>
      </c>
      <c r="F2430" s="925" t="s">
        <v>2667</v>
      </c>
      <c r="G2430" s="110" t="s">
        <v>77</v>
      </c>
      <c r="H2430" s="173" t="s">
        <v>432</v>
      </c>
      <c r="I2430" s="157">
        <v>1</v>
      </c>
      <c r="J2430" s="93" t="s">
        <v>432</v>
      </c>
      <c r="K2430" s="84" t="s">
        <v>432</v>
      </c>
      <c r="L2430" s="84" t="s">
        <v>432</v>
      </c>
      <c r="M2430" s="84" t="s">
        <v>432</v>
      </c>
      <c r="N2430" s="84" t="s">
        <v>432</v>
      </c>
      <c r="O2430" s="84" t="s">
        <v>432</v>
      </c>
      <c r="P2430" s="84" t="s">
        <v>432</v>
      </c>
      <c r="Q2430" s="84" t="s">
        <v>432</v>
      </c>
      <c r="R2430" s="84" t="s">
        <v>432</v>
      </c>
      <c r="S2430" s="109" t="s">
        <v>2209</v>
      </c>
      <c r="T2430" s="84" t="s">
        <v>432</v>
      </c>
      <c r="U2430" s="84" t="s">
        <v>432</v>
      </c>
      <c r="V2430" s="109" t="s">
        <v>2209</v>
      </c>
      <c r="W2430" s="84" t="s">
        <v>432</v>
      </c>
      <c r="X2430" s="84" t="s">
        <v>432</v>
      </c>
      <c r="Y2430" s="84" t="s">
        <v>432</v>
      </c>
      <c r="Z2430" s="84" t="s">
        <v>432</v>
      </c>
      <c r="AA2430" s="84" t="s">
        <v>432</v>
      </c>
      <c r="AB2430" s="84" t="s">
        <v>432</v>
      </c>
      <c r="AC2430" s="84" t="s">
        <v>432</v>
      </c>
      <c r="AD2430" s="84" t="s">
        <v>432</v>
      </c>
      <c r="AE2430" s="84" t="s">
        <v>432</v>
      </c>
      <c r="AF2430" s="84" t="s">
        <v>432</v>
      </c>
      <c r="AG2430" s="84" t="s">
        <v>432</v>
      </c>
      <c r="AH2430" s="84" t="s">
        <v>432</v>
      </c>
      <c r="AI2430" s="84" t="s">
        <v>432</v>
      </c>
      <c r="AJ2430" s="84">
        <v>382</v>
      </c>
      <c r="AK2430" s="84">
        <v>380</v>
      </c>
      <c r="AL2430" s="601" t="s">
        <v>432</v>
      </c>
      <c r="AM2430" s="137" t="s">
        <v>432</v>
      </c>
      <c r="AN2430" s="137" t="s">
        <v>432</v>
      </c>
      <c r="AO2430" s="137" t="s">
        <v>432</v>
      </c>
      <c r="AP2430" s="137" t="s">
        <v>432</v>
      </c>
      <c r="AQ2430" s="137" t="s">
        <v>432</v>
      </c>
      <c r="AR2430" s="137" t="s">
        <v>432</v>
      </c>
      <c r="AS2430" s="137" t="s">
        <v>432</v>
      </c>
      <c r="AT2430" s="137" t="s">
        <v>432</v>
      </c>
      <c r="AU2430" s="137" t="s">
        <v>432</v>
      </c>
      <c r="AV2430" s="137" t="s">
        <v>432</v>
      </c>
      <c r="AW2430" s="137" t="s">
        <v>432</v>
      </c>
      <c r="AX2430" s="137" t="s">
        <v>432</v>
      </c>
      <c r="AY2430" s="137" t="s">
        <v>432</v>
      </c>
      <c r="AZ2430" s="137" t="s">
        <v>432</v>
      </c>
      <c r="BA2430" s="137" t="s">
        <v>432</v>
      </c>
      <c r="BB2430" s="239" t="str">
        <f t="shared" si="715"/>
        <v>Táxix</v>
      </c>
      <c r="BC2430" s="239" t="str">
        <f t="shared" si="716"/>
        <v>Táxixx</v>
      </c>
      <c r="BD2430" s="239" t="str">
        <f t="shared" si="717"/>
        <v>Táxix</v>
      </c>
      <c r="BM2430" s="19"/>
      <c r="BN2430" s="19"/>
      <c r="BO2430" s="19"/>
    </row>
    <row r="2431" spans="1:67" s="1" customFormat="1" ht="51" customHeight="1" x14ac:dyDescent="0.25">
      <c r="A2431" s="275" t="str">
        <f>'Q100b-totais'!$B$56</f>
        <v>8.4</v>
      </c>
      <c r="B2431" s="54" t="s">
        <v>641</v>
      </c>
      <c r="C2431" s="229" t="s">
        <v>432</v>
      </c>
      <c r="D2431" s="362" t="s">
        <v>398</v>
      </c>
      <c r="E2431" s="1507" t="s">
        <v>1269</v>
      </c>
      <c r="F2431" s="925" t="s">
        <v>2666</v>
      </c>
      <c r="G2431" s="110" t="s">
        <v>77</v>
      </c>
      <c r="H2431" s="173" t="s">
        <v>432</v>
      </c>
      <c r="I2431" s="157">
        <v>1</v>
      </c>
      <c r="J2431" s="93" t="s">
        <v>432</v>
      </c>
      <c r="K2431" s="84" t="s">
        <v>432</v>
      </c>
      <c r="L2431" s="84" t="s">
        <v>432</v>
      </c>
      <c r="M2431" s="84" t="s">
        <v>432</v>
      </c>
      <c r="N2431" s="84" t="s">
        <v>432</v>
      </c>
      <c r="O2431" s="84" t="s">
        <v>432</v>
      </c>
      <c r="P2431" s="84" t="s">
        <v>432</v>
      </c>
      <c r="Q2431" s="84" t="s">
        <v>432</v>
      </c>
      <c r="R2431" s="84" t="s">
        <v>432</v>
      </c>
      <c r="S2431" s="109" t="s">
        <v>2209</v>
      </c>
      <c r="T2431" s="84" t="s">
        <v>432</v>
      </c>
      <c r="U2431" s="84" t="s">
        <v>432</v>
      </c>
      <c r="V2431" s="109" t="s">
        <v>2209</v>
      </c>
      <c r="W2431" s="84" t="s">
        <v>432</v>
      </c>
      <c r="X2431" s="84" t="s">
        <v>432</v>
      </c>
      <c r="Y2431" s="84" t="s">
        <v>432</v>
      </c>
      <c r="Z2431" s="84" t="s">
        <v>432</v>
      </c>
      <c r="AA2431" s="84" t="s">
        <v>432</v>
      </c>
      <c r="AB2431" s="84" t="s">
        <v>432</v>
      </c>
      <c r="AC2431" s="84" t="s">
        <v>432</v>
      </c>
      <c r="AD2431" s="84" t="s">
        <v>432</v>
      </c>
      <c r="AE2431" s="84" t="s">
        <v>432</v>
      </c>
      <c r="AF2431" s="84" t="s">
        <v>432</v>
      </c>
      <c r="AG2431" s="84" t="s">
        <v>432</v>
      </c>
      <c r="AH2431" s="84" t="s">
        <v>432</v>
      </c>
      <c r="AI2431" s="84" t="s">
        <v>432</v>
      </c>
      <c r="AJ2431" s="84">
        <v>25</v>
      </c>
      <c r="AK2431" s="84">
        <v>25</v>
      </c>
      <c r="AL2431" s="601" t="s">
        <v>432</v>
      </c>
      <c r="AM2431" s="137" t="s">
        <v>432</v>
      </c>
      <c r="AN2431" s="137" t="s">
        <v>432</v>
      </c>
      <c r="AO2431" s="137" t="s">
        <v>432</v>
      </c>
      <c r="AP2431" s="137" t="s">
        <v>432</v>
      </c>
      <c r="AQ2431" s="137" t="s">
        <v>432</v>
      </c>
      <c r="AR2431" s="137" t="s">
        <v>432</v>
      </c>
      <c r="AS2431" s="137" t="s">
        <v>432</v>
      </c>
      <c r="AT2431" s="137" t="s">
        <v>432</v>
      </c>
      <c r="AU2431" s="137" t="s">
        <v>432</v>
      </c>
      <c r="AV2431" s="137" t="s">
        <v>432</v>
      </c>
      <c r="AW2431" s="137" t="s">
        <v>432</v>
      </c>
      <c r="AX2431" s="137" t="s">
        <v>432</v>
      </c>
      <c r="AY2431" s="137" t="s">
        <v>432</v>
      </c>
      <c r="AZ2431" s="137" t="s">
        <v>432</v>
      </c>
      <c r="BA2431" s="137" t="s">
        <v>432</v>
      </c>
      <c r="BB2431" s="239" t="str">
        <f t="shared" si="715"/>
        <v>Táxix</v>
      </c>
      <c r="BC2431" s="239" t="str">
        <f t="shared" si="716"/>
        <v>Táxixx</v>
      </c>
      <c r="BD2431" s="239" t="str">
        <f t="shared" si="717"/>
        <v>Táxix</v>
      </c>
      <c r="BM2431" s="19"/>
      <c r="BN2431" s="19"/>
      <c r="BO2431" s="19"/>
    </row>
    <row r="2432" spans="1:67" s="1" customFormat="1" ht="60.75" customHeight="1" x14ac:dyDescent="0.25">
      <c r="A2432" s="275" t="str">
        <f>'Q100b-totais'!$B$56</f>
        <v>8.4</v>
      </c>
      <c r="B2432" s="54" t="s">
        <v>641</v>
      </c>
      <c r="C2432" s="229" t="s">
        <v>432</v>
      </c>
      <c r="D2432" s="362" t="s">
        <v>398</v>
      </c>
      <c r="E2432" s="1507" t="s">
        <v>1757</v>
      </c>
      <c r="F2432" s="925" t="s">
        <v>2661</v>
      </c>
      <c r="G2432" s="408" t="s">
        <v>1362</v>
      </c>
      <c r="H2432" s="173" t="s">
        <v>432</v>
      </c>
      <c r="I2432" s="157">
        <v>1</v>
      </c>
      <c r="J2432" s="58" t="s">
        <v>432</v>
      </c>
      <c r="K2432" s="23" t="s">
        <v>432</v>
      </c>
      <c r="L2432" s="23" t="s">
        <v>432</v>
      </c>
      <c r="M2432" s="23" t="s">
        <v>432</v>
      </c>
      <c r="N2432" s="23" t="s">
        <v>432</v>
      </c>
      <c r="O2432" s="23" t="s">
        <v>432</v>
      </c>
      <c r="P2432" s="23" t="s">
        <v>432</v>
      </c>
      <c r="Q2432" s="23" t="s">
        <v>432</v>
      </c>
      <c r="R2432" s="23" t="s">
        <v>432</v>
      </c>
      <c r="S2432" s="109" t="s">
        <v>2209</v>
      </c>
      <c r="T2432" s="23" t="s">
        <v>432</v>
      </c>
      <c r="U2432" s="23" t="s">
        <v>432</v>
      </c>
      <c r="V2432" s="109" t="s">
        <v>2209</v>
      </c>
      <c r="W2432" s="23" t="s">
        <v>432</v>
      </c>
      <c r="X2432" s="23" t="s">
        <v>432</v>
      </c>
      <c r="Y2432" s="23" t="s">
        <v>432</v>
      </c>
      <c r="Z2432" s="23" t="s">
        <v>432</v>
      </c>
      <c r="AA2432" s="23" t="s">
        <v>432</v>
      </c>
      <c r="AB2432" s="23" t="s">
        <v>432</v>
      </c>
      <c r="AC2432" s="23" t="s">
        <v>432</v>
      </c>
      <c r="AD2432" s="23" t="s">
        <v>432</v>
      </c>
      <c r="AE2432" s="23" t="s">
        <v>432</v>
      </c>
      <c r="AF2432" s="23" t="s">
        <v>432</v>
      </c>
      <c r="AG2432" s="23" t="s">
        <v>432</v>
      </c>
      <c r="AH2432" s="23" t="s">
        <v>432</v>
      </c>
      <c r="AI2432" s="23" t="s">
        <v>432</v>
      </c>
      <c r="AJ2432" s="23">
        <f>AJ2438+AJ2445+AJ2449+AJ2454</f>
        <v>11</v>
      </c>
      <c r="AK2432" s="23">
        <f>AK2438+AK2445+AK2449+AK2454</f>
        <v>11</v>
      </c>
      <c r="AL2432" s="601" t="s">
        <v>432</v>
      </c>
      <c r="AM2432" s="137" t="s">
        <v>432</v>
      </c>
      <c r="AN2432" s="137" t="s">
        <v>432</v>
      </c>
      <c r="AO2432" s="137" t="s">
        <v>432</v>
      </c>
      <c r="AP2432" s="137" t="s">
        <v>432</v>
      </c>
      <c r="AQ2432" s="137" t="s">
        <v>432</v>
      </c>
      <c r="AR2432" s="137" t="s">
        <v>432</v>
      </c>
      <c r="AS2432" s="137" t="s">
        <v>432</v>
      </c>
      <c r="AT2432" s="137" t="s">
        <v>432</v>
      </c>
      <c r="AU2432" s="137" t="s">
        <v>432</v>
      </c>
      <c r="AV2432" s="137" t="s">
        <v>432</v>
      </c>
      <c r="AW2432" s="137" t="s">
        <v>432</v>
      </c>
      <c r="AX2432" s="137" t="s">
        <v>432</v>
      </c>
      <c r="AY2432" s="137" t="s">
        <v>432</v>
      </c>
      <c r="AZ2432" s="137" t="s">
        <v>432</v>
      </c>
      <c r="BA2432" s="137" t="s">
        <v>432</v>
      </c>
      <c r="BB2432" s="239" t="str">
        <f t="shared" si="715"/>
        <v>Táxix</v>
      </c>
      <c r="BC2432" s="239" t="str">
        <f t="shared" si="716"/>
        <v>Táxixx</v>
      </c>
      <c r="BD2432" s="239" t="str">
        <f t="shared" si="717"/>
        <v>Táxix</v>
      </c>
      <c r="BM2432" s="19"/>
      <c r="BN2432" s="19"/>
      <c r="BO2432" s="19"/>
    </row>
    <row r="2433" spans="1:67" s="1" customFormat="1" ht="54.75" customHeight="1" x14ac:dyDescent="0.25">
      <c r="A2433" s="275" t="str">
        <f>'Q100b-totais'!$B$56</f>
        <v>8.4</v>
      </c>
      <c r="B2433" s="54" t="s">
        <v>641</v>
      </c>
      <c r="C2433" s="229" t="s">
        <v>432</v>
      </c>
      <c r="D2433" s="362" t="s">
        <v>398</v>
      </c>
      <c r="E2433" s="1507" t="s">
        <v>1760</v>
      </c>
      <c r="F2433" s="925" t="s">
        <v>2665</v>
      </c>
      <c r="G2433" s="110" t="s">
        <v>77</v>
      </c>
      <c r="H2433" s="173" t="s">
        <v>432</v>
      </c>
      <c r="I2433" s="157">
        <v>1</v>
      </c>
      <c r="J2433" s="93" t="s">
        <v>432</v>
      </c>
      <c r="K2433" s="84" t="s">
        <v>432</v>
      </c>
      <c r="L2433" s="84" t="s">
        <v>432</v>
      </c>
      <c r="M2433" s="84" t="s">
        <v>432</v>
      </c>
      <c r="N2433" s="84" t="s">
        <v>432</v>
      </c>
      <c r="O2433" s="84" t="s">
        <v>432</v>
      </c>
      <c r="P2433" s="84" t="s">
        <v>432</v>
      </c>
      <c r="Q2433" s="84" t="s">
        <v>432</v>
      </c>
      <c r="R2433" s="84" t="s">
        <v>432</v>
      </c>
      <c r="S2433" s="109" t="s">
        <v>2209</v>
      </c>
      <c r="T2433" s="84" t="s">
        <v>432</v>
      </c>
      <c r="U2433" s="84" t="s">
        <v>432</v>
      </c>
      <c r="V2433" s="109" t="s">
        <v>2209</v>
      </c>
      <c r="W2433" s="84" t="s">
        <v>432</v>
      </c>
      <c r="X2433" s="84" t="s">
        <v>432</v>
      </c>
      <c r="Y2433" s="84" t="s">
        <v>432</v>
      </c>
      <c r="Z2433" s="84" t="s">
        <v>432</v>
      </c>
      <c r="AA2433" s="84" t="s">
        <v>432</v>
      </c>
      <c r="AB2433" s="84" t="s">
        <v>432</v>
      </c>
      <c r="AC2433" s="84" t="s">
        <v>432</v>
      </c>
      <c r="AD2433" s="84" t="s">
        <v>432</v>
      </c>
      <c r="AE2433" s="84" t="s">
        <v>432</v>
      </c>
      <c r="AF2433" s="84" t="s">
        <v>432</v>
      </c>
      <c r="AG2433" s="84" t="s">
        <v>432</v>
      </c>
      <c r="AH2433" s="84" t="s">
        <v>432</v>
      </c>
      <c r="AI2433" s="84" t="s">
        <v>432</v>
      </c>
      <c r="AJ2433" s="84">
        <v>28</v>
      </c>
      <c r="AK2433" s="84">
        <v>30</v>
      </c>
      <c r="AL2433" s="601" t="s">
        <v>432</v>
      </c>
      <c r="AM2433" s="137" t="s">
        <v>432</v>
      </c>
      <c r="AN2433" s="137" t="s">
        <v>432</v>
      </c>
      <c r="AO2433" s="137" t="s">
        <v>432</v>
      </c>
      <c r="AP2433" s="137" t="s">
        <v>432</v>
      </c>
      <c r="AQ2433" s="137" t="s">
        <v>432</v>
      </c>
      <c r="AR2433" s="137" t="s">
        <v>432</v>
      </c>
      <c r="AS2433" s="137" t="s">
        <v>432</v>
      </c>
      <c r="AT2433" s="137" t="s">
        <v>432</v>
      </c>
      <c r="AU2433" s="137" t="s">
        <v>432</v>
      </c>
      <c r="AV2433" s="137" t="s">
        <v>432</v>
      </c>
      <c r="AW2433" s="137" t="s">
        <v>432</v>
      </c>
      <c r="AX2433" s="137" t="s">
        <v>432</v>
      </c>
      <c r="AY2433" s="137" t="s">
        <v>432</v>
      </c>
      <c r="AZ2433" s="137" t="s">
        <v>432</v>
      </c>
      <c r="BA2433" s="137" t="s">
        <v>432</v>
      </c>
      <c r="BB2433" s="239" t="str">
        <f t="shared" si="715"/>
        <v>Táxix</v>
      </c>
      <c r="BC2433" s="239" t="str">
        <f t="shared" si="716"/>
        <v>Táxixx</v>
      </c>
      <c r="BD2433" s="239" t="str">
        <f t="shared" si="717"/>
        <v>Táxix</v>
      </c>
      <c r="BM2433" s="19"/>
      <c r="BN2433" s="19"/>
      <c r="BO2433" s="19"/>
    </row>
    <row r="2434" spans="1:67" s="1" customFormat="1" ht="88.5" customHeight="1" x14ac:dyDescent="0.25">
      <c r="A2434" s="275" t="str">
        <f>'Q100b-totais'!$B$56</f>
        <v>8.4</v>
      </c>
      <c r="B2434" s="54" t="s">
        <v>641</v>
      </c>
      <c r="C2434" s="229" t="s">
        <v>743</v>
      </c>
      <c r="D2434" s="325" t="s">
        <v>2660</v>
      </c>
      <c r="E2434" s="1402" t="s">
        <v>1306</v>
      </c>
      <c r="F2434" s="14" t="s">
        <v>4684</v>
      </c>
      <c r="G2434" s="110" t="s">
        <v>77</v>
      </c>
      <c r="H2434" s="173" t="s">
        <v>432</v>
      </c>
      <c r="I2434" s="157">
        <v>1</v>
      </c>
      <c r="J2434" s="93">
        <v>0</v>
      </c>
      <c r="K2434" s="84">
        <v>0</v>
      </c>
      <c r="L2434" s="84">
        <v>0</v>
      </c>
      <c r="M2434" s="84">
        <v>0</v>
      </c>
      <c r="N2434" s="84">
        <v>0</v>
      </c>
      <c r="O2434" s="84">
        <v>0</v>
      </c>
      <c r="P2434" s="84">
        <v>0</v>
      </c>
      <c r="Q2434" s="84">
        <v>0</v>
      </c>
      <c r="R2434" s="84">
        <v>0</v>
      </c>
      <c r="S2434" s="109" t="s">
        <v>2209</v>
      </c>
      <c r="T2434" s="84">
        <v>0</v>
      </c>
      <c r="U2434" s="84">
        <v>0</v>
      </c>
      <c r="V2434" s="109" t="s">
        <v>2209</v>
      </c>
      <c r="W2434" s="84">
        <v>0</v>
      </c>
      <c r="X2434" s="84">
        <v>0</v>
      </c>
      <c r="Y2434" s="84">
        <v>0</v>
      </c>
      <c r="Z2434" s="84">
        <v>0</v>
      </c>
      <c r="AA2434" s="84">
        <v>0</v>
      </c>
      <c r="AB2434" s="84">
        <v>0</v>
      </c>
      <c r="AC2434" s="84">
        <v>0</v>
      </c>
      <c r="AD2434" s="84">
        <v>0</v>
      </c>
      <c r="AE2434" s="84">
        <v>0</v>
      </c>
      <c r="AF2434" s="84">
        <v>0</v>
      </c>
      <c r="AG2434" s="84">
        <v>0</v>
      </c>
      <c r="AH2434" s="84">
        <v>0</v>
      </c>
      <c r="AI2434" s="84">
        <v>0</v>
      </c>
      <c r="AJ2434" s="84">
        <v>60</v>
      </c>
      <c r="AK2434" s="84">
        <v>60</v>
      </c>
      <c r="AL2434" s="601" t="s">
        <v>432</v>
      </c>
      <c r="AM2434" s="137" t="s">
        <v>432</v>
      </c>
      <c r="AN2434" s="137" t="s">
        <v>432</v>
      </c>
      <c r="AO2434" s="137" t="s">
        <v>432</v>
      </c>
      <c r="AP2434" s="137" t="s">
        <v>432</v>
      </c>
      <c r="AQ2434" s="137" t="s">
        <v>432</v>
      </c>
      <c r="AR2434" s="137" t="s">
        <v>432</v>
      </c>
      <c r="AS2434" s="137" t="s">
        <v>432</v>
      </c>
      <c r="AT2434" s="137" t="s">
        <v>432</v>
      </c>
      <c r="AU2434" s="137" t="s">
        <v>432</v>
      </c>
      <c r="AV2434" s="137" t="s">
        <v>432</v>
      </c>
      <c r="AW2434" s="137" t="s">
        <v>432</v>
      </c>
      <c r="AX2434" s="137" t="s">
        <v>432</v>
      </c>
      <c r="AY2434" s="137" t="s">
        <v>432</v>
      </c>
      <c r="AZ2434" s="137" t="s">
        <v>432</v>
      </c>
      <c r="BA2434" s="137" t="s">
        <v>432</v>
      </c>
      <c r="BB2434" s="239" t="str">
        <f t="shared" si="715"/>
        <v>Táxiacessibilidade</v>
      </c>
      <c r="BC2434" s="239" t="str">
        <f t="shared" si="716"/>
        <v>Táxiacessibilidadex</v>
      </c>
      <c r="BD2434" s="239" t="str">
        <f t="shared" si="717"/>
        <v>Táxix</v>
      </c>
      <c r="BM2434" s="19"/>
      <c r="BN2434" s="19"/>
      <c r="BO2434" s="19"/>
    </row>
    <row r="2435" spans="1:67" s="1" customFormat="1" ht="75" customHeight="1" x14ac:dyDescent="0.25">
      <c r="A2435" s="275" t="str">
        <f>'Q100b-totais'!$B$56</f>
        <v>8.4</v>
      </c>
      <c r="B2435" s="54" t="str">
        <f>'Q100b-totais'!C56</f>
        <v>Táxi</v>
      </c>
      <c r="C2435" s="229" t="s">
        <v>743</v>
      </c>
      <c r="D2435" s="325" t="s">
        <v>4690</v>
      </c>
      <c r="E2435" s="1402" t="s">
        <v>1306</v>
      </c>
      <c r="F2435" s="14" t="s">
        <v>2669</v>
      </c>
      <c r="G2435" s="408" t="s">
        <v>2670</v>
      </c>
      <c r="H2435" s="173" t="s">
        <v>432</v>
      </c>
      <c r="I2435" s="762">
        <v>1</v>
      </c>
      <c r="J2435" s="58" t="s">
        <v>432</v>
      </c>
      <c r="K2435" s="23" t="s">
        <v>432</v>
      </c>
      <c r="L2435" s="23" t="s">
        <v>432</v>
      </c>
      <c r="M2435" s="23" t="s">
        <v>432</v>
      </c>
      <c r="N2435" s="23" t="s">
        <v>432</v>
      </c>
      <c r="O2435" s="23" t="s">
        <v>432</v>
      </c>
      <c r="P2435" s="23" t="s">
        <v>432</v>
      </c>
      <c r="Q2435" s="23" t="s">
        <v>432</v>
      </c>
      <c r="R2435" s="23" t="s">
        <v>432</v>
      </c>
      <c r="S2435" s="109" t="s">
        <v>2209</v>
      </c>
      <c r="T2435" s="23" t="s">
        <v>432</v>
      </c>
      <c r="U2435" s="23" t="s">
        <v>432</v>
      </c>
      <c r="V2435" s="109" t="s">
        <v>2209</v>
      </c>
      <c r="W2435" s="23" t="s">
        <v>432</v>
      </c>
      <c r="X2435" s="23" t="s">
        <v>432</v>
      </c>
      <c r="Y2435" s="23" t="s">
        <v>432</v>
      </c>
      <c r="Z2435" s="23" t="s">
        <v>432</v>
      </c>
      <c r="AA2435" s="23" t="s">
        <v>432</v>
      </c>
      <c r="AB2435" s="23" t="s">
        <v>432</v>
      </c>
      <c r="AC2435" s="23" t="s">
        <v>432</v>
      </c>
      <c r="AD2435" s="23" t="s">
        <v>432</v>
      </c>
      <c r="AE2435" s="23" t="s">
        <v>432</v>
      </c>
      <c r="AF2435" s="23" t="s">
        <v>432</v>
      </c>
      <c r="AG2435" s="23" t="s">
        <v>432</v>
      </c>
      <c r="AH2435" s="23" t="s">
        <v>432</v>
      </c>
      <c r="AI2435" s="23" t="s">
        <v>432</v>
      </c>
      <c r="AJ2435" s="889">
        <f>AJ2434/AJ2429</f>
        <v>9.1227003192945119E-3</v>
      </c>
      <c r="AK2435" s="889">
        <f>AK2434/AK2429</f>
        <v>8.7221979938944608E-3</v>
      </c>
      <c r="AL2435" s="601" t="s">
        <v>432</v>
      </c>
      <c r="AM2435" s="137" t="s">
        <v>432</v>
      </c>
      <c r="AN2435" s="137" t="s">
        <v>432</v>
      </c>
      <c r="AO2435" s="137" t="s">
        <v>432</v>
      </c>
      <c r="AP2435" s="137" t="s">
        <v>432</v>
      </c>
      <c r="AQ2435" s="137" t="s">
        <v>432</v>
      </c>
      <c r="AR2435" s="137" t="s">
        <v>432</v>
      </c>
      <c r="AS2435" s="137" t="s">
        <v>432</v>
      </c>
      <c r="AT2435" s="137" t="s">
        <v>432</v>
      </c>
      <c r="AU2435" s="137" t="s">
        <v>432</v>
      </c>
      <c r="AV2435" s="137" t="s">
        <v>432</v>
      </c>
      <c r="AW2435" s="137" t="s">
        <v>432</v>
      </c>
      <c r="AX2435" s="137" t="s">
        <v>432</v>
      </c>
      <c r="AY2435" s="137" t="s">
        <v>432</v>
      </c>
      <c r="AZ2435" s="137" t="s">
        <v>432</v>
      </c>
      <c r="BA2435" s="137" t="s">
        <v>432</v>
      </c>
      <c r="BB2435" s="239" t="str">
        <f t="shared" si="715"/>
        <v>Táxiacessibilidade</v>
      </c>
      <c r="BC2435" s="239" t="str">
        <f t="shared" si="716"/>
        <v>Táxiacessibilidadex</v>
      </c>
      <c r="BD2435" s="239" t="str">
        <f t="shared" si="717"/>
        <v>Táxix</v>
      </c>
      <c r="BM2435" s="19"/>
      <c r="BN2435" s="19"/>
      <c r="BO2435" s="19"/>
    </row>
    <row r="2436" spans="1:67" s="1" customFormat="1" ht="51" x14ac:dyDescent="0.25">
      <c r="A2436" s="275" t="str">
        <f>'Q100b-totais'!$B$56</f>
        <v>8.4</v>
      </c>
      <c r="B2436" s="54" t="str">
        <f>'Q100b-totais'!C56</f>
        <v>Táxi</v>
      </c>
      <c r="C2436" s="229" t="s">
        <v>743</v>
      </c>
      <c r="D2436" s="324" t="s">
        <v>2660</v>
      </c>
      <c r="E2436" s="1402" t="s">
        <v>1371</v>
      </c>
      <c r="F2436" s="14" t="s">
        <v>2671</v>
      </c>
      <c r="G2436" s="110" t="s">
        <v>77</v>
      </c>
      <c r="H2436" s="173" t="s">
        <v>432</v>
      </c>
      <c r="I2436" s="157">
        <v>1</v>
      </c>
      <c r="J2436" s="84">
        <v>0</v>
      </c>
      <c r="K2436" s="84">
        <v>0</v>
      </c>
      <c r="L2436" s="84">
        <v>0</v>
      </c>
      <c r="M2436" s="84">
        <v>0</v>
      </c>
      <c r="N2436" s="84">
        <v>0</v>
      </c>
      <c r="O2436" s="84">
        <v>0</v>
      </c>
      <c r="P2436" s="84">
        <v>0</v>
      </c>
      <c r="Q2436" s="84">
        <v>0</v>
      </c>
      <c r="R2436" s="84">
        <v>0</v>
      </c>
      <c r="S2436" s="109" t="s">
        <v>2209</v>
      </c>
      <c r="T2436" s="84">
        <v>0</v>
      </c>
      <c r="U2436" s="84">
        <v>0</v>
      </c>
      <c r="V2436" s="109" t="s">
        <v>2209</v>
      </c>
      <c r="W2436" s="84">
        <v>0</v>
      </c>
      <c r="X2436" s="84">
        <v>0</v>
      </c>
      <c r="Y2436" s="84">
        <v>0</v>
      </c>
      <c r="Z2436" s="84">
        <v>0</v>
      </c>
      <c r="AA2436" s="84">
        <v>0</v>
      </c>
      <c r="AB2436" s="84">
        <v>0</v>
      </c>
      <c r="AC2436" s="84">
        <v>0</v>
      </c>
      <c r="AD2436" s="84">
        <v>0</v>
      </c>
      <c r="AE2436" s="84">
        <v>0</v>
      </c>
      <c r="AF2436" s="84">
        <v>0</v>
      </c>
      <c r="AG2436" s="84">
        <v>0</v>
      </c>
      <c r="AH2436" s="84">
        <v>0</v>
      </c>
      <c r="AI2436" s="84">
        <v>0</v>
      </c>
      <c r="AJ2436" s="84">
        <v>0</v>
      </c>
      <c r="AK2436" s="84">
        <v>0</v>
      </c>
      <c r="AL2436" s="601" t="s">
        <v>432</v>
      </c>
      <c r="AM2436" s="137" t="s">
        <v>432</v>
      </c>
      <c r="AN2436" s="137" t="s">
        <v>432</v>
      </c>
      <c r="AO2436" s="137" t="s">
        <v>432</v>
      </c>
      <c r="AP2436" s="137" t="s">
        <v>432</v>
      </c>
      <c r="AQ2436" s="137" t="s">
        <v>432</v>
      </c>
      <c r="AR2436" s="137" t="s">
        <v>432</v>
      </c>
      <c r="AS2436" s="137" t="s">
        <v>432</v>
      </c>
      <c r="AT2436" s="137" t="s">
        <v>432</v>
      </c>
      <c r="AU2436" s="137" t="s">
        <v>432</v>
      </c>
      <c r="AV2436" s="137" t="s">
        <v>432</v>
      </c>
      <c r="AW2436" s="137" t="s">
        <v>432</v>
      </c>
      <c r="AX2436" s="137" t="s">
        <v>432</v>
      </c>
      <c r="AY2436" s="137" t="s">
        <v>432</v>
      </c>
      <c r="AZ2436" s="137" t="s">
        <v>432</v>
      </c>
      <c r="BA2436" s="137" t="s">
        <v>432</v>
      </c>
      <c r="BB2436" s="239" t="str">
        <f t="shared" ref="BB2436:BB2441" si="718">B2436&amp;C2436</f>
        <v>Táxiacessibilidade</v>
      </c>
      <c r="BC2436" s="239" t="str">
        <f t="shared" ref="BC2436:BC2441" si="719">B2436&amp;C2436&amp;H2436</f>
        <v>Táxiacessibilidadex</v>
      </c>
      <c r="BD2436" s="239" t="str">
        <f t="shared" ref="BD2436:BD2441" si="720">B2436&amp;H2436</f>
        <v>Táxix</v>
      </c>
      <c r="BM2436" s="128"/>
      <c r="BN2436" s="128"/>
      <c r="BO2436" s="128"/>
    </row>
    <row r="2437" spans="1:67" s="1" customFormat="1" ht="51" x14ac:dyDescent="0.25">
      <c r="A2437" s="275" t="str">
        <f>'Q100b-totais'!$B$56</f>
        <v>8.4</v>
      </c>
      <c r="B2437" s="54" t="str">
        <f>'Q100b-totais'!C56</f>
        <v>Táxi</v>
      </c>
      <c r="C2437" s="229" t="s">
        <v>743</v>
      </c>
      <c r="D2437" s="324" t="s">
        <v>2660</v>
      </c>
      <c r="E2437" s="1402" t="s">
        <v>1269</v>
      </c>
      <c r="F2437" s="14" t="s">
        <v>2672</v>
      </c>
      <c r="G2437" s="110" t="s">
        <v>77</v>
      </c>
      <c r="H2437" s="173" t="s">
        <v>432</v>
      </c>
      <c r="I2437" s="157">
        <v>1</v>
      </c>
      <c r="J2437" s="84">
        <v>0</v>
      </c>
      <c r="K2437" s="84">
        <v>0</v>
      </c>
      <c r="L2437" s="84">
        <v>0</v>
      </c>
      <c r="M2437" s="84">
        <v>0</v>
      </c>
      <c r="N2437" s="84">
        <v>0</v>
      </c>
      <c r="O2437" s="84">
        <v>0</v>
      </c>
      <c r="P2437" s="84">
        <v>0</v>
      </c>
      <c r="Q2437" s="84">
        <v>0</v>
      </c>
      <c r="R2437" s="84">
        <v>0</v>
      </c>
      <c r="S2437" s="109" t="s">
        <v>2209</v>
      </c>
      <c r="T2437" s="84">
        <v>0</v>
      </c>
      <c r="U2437" s="84">
        <v>0</v>
      </c>
      <c r="V2437" s="109" t="s">
        <v>2209</v>
      </c>
      <c r="W2437" s="84">
        <v>0</v>
      </c>
      <c r="X2437" s="84">
        <v>0</v>
      </c>
      <c r="Y2437" s="84">
        <v>0</v>
      </c>
      <c r="Z2437" s="84">
        <v>0</v>
      </c>
      <c r="AA2437" s="84">
        <v>0</v>
      </c>
      <c r="AB2437" s="84">
        <v>0</v>
      </c>
      <c r="AC2437" s="84">
        <v>0</v>
      </c>
      <c r="AD2437" s="84">
        <v>0</v>
      </c>
      <c r="AE2437" s="84">
        <v>0</v>
      </c>
      <c r="AF2437" s="84">
        <v>0</v>
      </c>
      <c r="AG2437" s="84">
        <v>0</v>
      </c>
      <c r="AH2437" s="84">
        <v>0</v>
      </c>
      <c r="AI2437" s="84">
        <v>0</v>
      </c>
      <c r="AJ2437" s="84">
        <v>0</v>
      </c>
      <c r="AK2437" s="84">
        <v>0</v>
      </c>
      <c r="AL2437" s="601" t="s">
        <v>432</v>
      </c>
      <c r="AM2437" s="137" t="s">
        <v>432</v>
      </c>
      <c r="AN2437" s="137" t="s">
        <v>432</v>
      </c>
      <c r="AO2437" s="137" t="s">
        <v>432</v>
      </c>
      <c r="AP2437" s="137" t="s">
        <v>432</v>
      </c>
      <c r="AQ2437" s="137" t="s">
        <v>432</v>
      </c>
      <c r="AR2437" s="137" t="s">
        <v>432</v>
      </c>
      <c r="AS2437" s="137" t="s">
        <v>432</v>
      </c>
      <c r="AT2437" s="137" t="s">
        <v>432</v>
      </c>
      <c r="AU2437" s="137" t="s">
        <v>432</v>
      </c>
      <c r="AV2437" s="137" t="s">
        <v>432</v>
      </c>
      <c r="AW2437" s="137" t="s">
        <v>432</v>
      </c>
      <c r="AX2437" s="137" t="s">
        <v>432</v>
      </c>
      <c r="AY2437" s="137" t="s">
        <v>432</v>
      </c>
      <c r="AZ2437" s="137" t="s">
        <v>432</v>
      </c>
      <c r="BA2437" s="137" t="s">
        <v>432</v>
      </c>
      <c r="BB2437" s="239" t="str">
        <f t="shared" si="718"/>
        <v>Táxiacessibilidade</v>
      </c>
      <c r="BC2437" s="239" t="str">
        <f t="shared" si="719"/>
        <v>Táxiacessibilidadex</v>
      </c>
      <c r="BD2437" s="239" t="str">
        <f t="shared" si="720"/>
        <v>Táxix</v>
      </c>
      <c r="BM2437" s="128"/>
      <c r="BN2437" s="128"/>
      <c r="BO2437" s="128"/>
    </row>
    <row r="2438" spans="1:67" s="1" customFormat="1" ht="51" x14ac:dyDescent="0.25">
      <c r="A2438" s="275" t="str">
        <f>'Q100b-totais'!$B$56</f>
        <v>8.4</v>
      </c>
      <c r="B2438" s="54" t="str">
        <f>'Q100b-totais'!C56</f>
        <v>Táxi</v>
      </c>
      <c r="C2438" s="229" t="s">
        <v>743</v>
      </c>
      <c r="D2438" s="324" t="s">
        <v>2660</v>
      </c>
      <c r="E2438" s="1402" t="s">
        <v>1757</v>
      </c>
      <c r="F2438" s="14" t="s">
        <v>2673</v>
      </c>
      <c r="G2438" s="110" t="s">
        <v>77</v>
      </c>
      <c r="H2438" s="173" t="s">
        <v>432</v>
      </c>
      <c r="I2438" s="157">
        <v>1</v>
      </c>
      <c r="J2438" s="84">
        <v>0</v>
      </c>
      <c r="K2438" s="84">
        <v>0</v>
      </c>
      <c r="L2438" s="84">
        <v>0</v>
      </c>
      <c r="M2438" s="84">
        <v>0</v>
      </c>
      <c r="N2438" s="84">
        <v>0</v>
      </c>
      <c r="O2438" s="84">
        <v>0</v>
      </c>
      <c r="P2438" s="84">
        <v>0</v>
      </c>
      <c r="Q2438" s="84">
        <v>0</v>
      </c>
      <c r="R2438" s="84">
        <v>0</v>
      </c>
      <c r="S2438" s="109" t="s">
        <v>2209</v>
      </c>
      <c r="T2438" s="84">
        <v>0</v>
      </c>
      <c r="U2438" s="84">
        <v>0</v>
      </c>
      <c r="V2438" s="109" t="s">
        <v>2209</v>
      </c>
      <c r="W2438" s="84">
        <v>0</v>
      </c>
      <c r="X2438" s="84">
        <v>0</v>
      </c>
      <c r="Y2438" s="84">
        <v>0</v>
      </c>
      <c r="Z2438" s="84">
        <v>0</v>
      </c>
      <c r="AA2438" s="84">
        <v>0</v>
      </c>
      <c r="AB2438" s="84">
        <v>0</v>
      </c>
      <c r="AC2438" s="84">
        <v>0</v>
      </c>
      <c r="AD2438" s="84">
        <v>0</v>
      </c>
      <c r="AE2438" s="84">
        <v>0</v>
      </c>
      <c r="AF2438" s="84">
        <v>0</v>
      </c>
      <c r="AG2438" s="84">
        <v>0</v>
      </c>
      <c r="AH2438" s="84">
        <v>0</v>
      </c>
      <c r="AI2438" s="84">
        <v>0</v>
      </c>
      <c r="AJ2438" s="84">
        <v>0</v>
      </c>
      <c r="AK2438" s="84">
        <v>0</v>
      </c>
      <c r="AL2438" s="601" t="s">
        <v>432</v>
      </c>
      <c r="AM2438" s="137" t="s">
        <v>432</v>
      </c>
      <c r="AN2438" s="137" t="s">
        <v>432</v>
      </c>
      <c r="AO2438" s="137" t="s">
        <v>432</v>
      </c>
      <c r="AP2438" s="137" t="s">
        <v>432</v>
      </c>
      <c r="AQ2438" s="137" t="s">
        <v>432</v>
      </c>
      <c r="AR2438" s="137" t="s">
        <v>432</v>
      </c>
      <c r="AS2438" s="137" t="s">
        <v>432</v>
      </c>
      <c r="AT2438" s="137" t="s">
        <v>432</v>
      </c>
      <c r="AU2438" s="137" t="s">
        <v>432</v>
      </c>
      <c r="AV2438" s="137" t="s">
        <v>432</v>
      </c>
      <c r="AW2438" s="137" t="s">
        <v>432</v>
      </c>
      <c r="AX2438" s="137" t="s">
        <v>432</v>
      </c>
      <c r="AY2438" s="137" t="s">
        <v>432</v>
      </c>
      <c r="AZ2438" s="137" t="s">
        <v>432</v>
      </c>
      <c r="BA2438" s="137" t="s">
        <v>432</v>
      </c>
      <c r="BB2438" s="239" t="str">
        <f t="shared" si="718"/>
        <v>Táxiacessibilidade</v>
      </c>
      <c r="BC2438" s="239" t="str">
        <f t="shared" si="719"/>
        <v>Táxiacessibilidadex</v>
      </c>
      <c r="BD2438" s="239" t="str">
        <f t="shared" si="720"/>
        <v>Táxix</v>
      </c>
      <c r="BM2438" s="19"/>
      <c r="BN2438" s="19"/>
      <c r="BO2438" s="19"/>
    </row>
    <row r="2439" spans="1:67" s="1" customFormat="1" ht="51" x14ac:dyDescent="0.25">
      <c r="A2439" s="275" t="str">
        <f>'Q100b-totais'!$B$56</f>
        <v>8.4</v>
      </c>
      <c r="B2439" s="54" t="str">
        <f>'Q100b-totais'!C56</f>
        <v>Táxi</v>
      </c>
      <c r="C2439" s="229" t="s">
        <v>743</v>
      </c>
      <c r="D2439" s="324" t="s">
        <v>2660</v>
      </c>
      <c r="E2439" s="1402" t="s">
        <v>1760</v>
      </c>
      <c r="F2439" s="14" t="s">
        <v>2674</v>
      </c>
      <c r="G2439" s="110" t="s">
        <v>77</v>
      </c>
      <c r="H2439" s="173" t="s">
        <v>432</v>
      </c>
      <c r="I2439" s="157">
        <v>1</v>
      </c>
      <c r="J2439" s="84">
        <v>0</v>
      </c>
      <c r="K2439" s="84">
        <v>0</v>
      </c>
      <c r="L2439" s="84">
        <v>0</v>
      </c>
      <c r="M2439" s="84">
        <v>0</v>
      </c>
      <c r="N2439" s="84">
        <v>0</v>
      </c>
      <c r="O2439" s="84">
        <v>0</v>
      </c>
      <c r="P2439" s="84">
        <v>0</v>
      </c>
      <c r="Q2439" s="84">
        <v>0</v>
      </c>
      <c r="R2439" s="84">
        <v>0</v>
      </c>
      <c r="S2439" s="109" t="s">
        <v>2209</v>
      </c>
      <c r="T2439" s="84">
        <v>0</v>
      </c>
      <c r="U2439" s="84">
        <v>0</v>
      </c>
      <c r="V2439" s="109" t="s">
        <v>2209</v>
      </c>
      <c r="W2439" s="84">
        <v>0</v>
      </c>
      <c r="X2439" s="84">
        <v>0</v>
      </c>
      <c r="Y2439" s="84">
        <v>0</v>
      </c>
      <c r="Z2439" s="84">
        <v>0</v>
      </c>
      <c r="AA2439" s="84">
        <v>0</v>
      </c>
      <c r="AB2439" s="84">
        <v>0</v>
      </c>
      <c r="AC2439" s="84">
        <v>0</v>
      </c>
      <c r="AD2439" s="84">
        <v>0</v>
      </c>
      <c r="AE2439" s="84">
        <v>0</v>
      </c>
      <c r="AF2439" s="84">
        <v>0</v>
      </c>
      <c r="AG2439" s="84">
        <v>0</v>
      </c>
      <c r="AH2439" s="84">
        <v>0</v>
      </c>
      <c r="AI2439" s="84">
        <v>0</v>
      </c>
      <c r="AJ2439" s="84">
        <v>0</v>
      </c>
      <c r="AK2439" s="84">
        <v>0</v>
      </c>
      <c r="AL2439" s="601" t="s">
        <v>432</v>
      </c>
      <c r="AM2439" s="137" t="s">
        <v>432</v>
      </c>
      <c r="AN2439" s="137" t="s">
        <v>432</v>
      </c>
      <c r="AO2439" s="137" t="s">
        <v>432</v>
      </c>
      <c r="AP2439" s="137" t="s">
        <v>432</v>
      </c>
      <c r="AQ2439" s="137" t="s">
        <v>432</v>
      </c>
      <c r="AR2439" s="137" t="s">
        <v>432</v>
      </c>
      <c r="AS2439" s="137" t="s">
        <v>432</v>
      </c>
      <c r="AT2439" s="137" t="s">
        <v>432</v>
      </c>
      <c r="AU2439" s="137" t="s">
        <v>432</v>
      </c>
      <c r="AV2439" s="137" t="s">
        <v>432</v>
      </c>
      <c r="AW2439" s="137" t="s">
        <v>432</v>
      </c>
      <c r="AX2439" s="137" t="s">
        <v>432</v>
      </c>
      <c r="AY2439" s="137" t="s">
        <v>432</v>
      </c>
      <c r="AZ2439" s="137" t="s">
        <v>432</v>
      </c>
      <c r="BA2439" s="137" t="s">
        <v>432</v>
      </c>
      <c r="BB2439" s="239" t="str">
        <f t="shared" si="718"/>
        <v>Táxiacessibilidade</v>
      </c>
      <c r="BC2439" s="239" t="str">
        <f t="shared" si="719"/>
        <v>Táxiacessibilidadex</v>
      </c>
      <c r="BD2439" s="239" t="str">
        <f t="shared" si="720"/>
        <v>Táxix</v>
      </c>
      <c r="BM2439" s="128"/>
      <c r="BN2439" s="128"/>
      <c r="BO2439" s="128"/>
    </row>
    <row r="2440" spans="1:67" s="1" customFormat="1" ht="134.25" customHeight="1" x14ac:dyDescent="0.25">
      <c r="A2440" s="275" t="str">
        <f>'Q100b-totais'!$B$56</f>
        <v>8.4</v>
      </c>
      <c r="B2440" s="54" t="str">
        <f>'Q100b-totais'!C56</f>
        <v>Táxi</v>
      </c>
      <c r="C2440" s="229" t="s">
        <v>743</v>
      </c>
      <c r="D2440" s="324" t="s">
        <v>2686</v>
      </c>
      <c r="E2440" s="1402" t="s">
        <v>1298</v>
      </c>
      <c r="F2440" s="14" t="s">
        <v>2689</v>
      </c>
      <c r="G2440" s="111" t="s">
        <v>2675</v>
      </c>
      <c r="H2440" s="173" t="s">
        <v>432</v>
      </c>
      <c r="I2440" s="157">
        <v>1</v>
      </c>
      <c r="J2440" s="23">
        <f t="shared" ref="J2440:R2440" si="721">J2434</f>
        <v>0</v>
      </c>
      <c r="K2440" s="23">
        <f t="shared" si="721"/>
        <v>0</v>
      </c>
      <c r="L2440" s="23">
        <f t="shared" si="721"/>
        <v>0</v>
      </c>
      <c r="M2440" s="23">
        <f t="shared" si="721"/>
        <v>0</v>
      </c>
      <c r="N2440" s="23">
        <f t="shared" si="721"/>
        <v>0</v>
      </c>
      <c r="O2440" s="23">
        <f t="shared" si="721"/>
        <v>0</v>
      </c>
      <c r="P2440" s="23">
        <f t="shared" si="721"/>
        <v>0</v>
      </c>
      <c r="Q2440" s="23">
        <f t="shared" si="721"/>
        <v>0</v>
      </c>
      <c r="R2440" s="23">
        <f t="shared" si="721"/>
        <v>0</v>
      </c>
      <c r="S2440" s="109" t="s">
        <v>2209</v>
      </c>
      <c r="T2440" s="23">
        <f>T2434</f>
        <v>0</v>
      </c>
      <c r="U2440" s="23">
        <f>U2434</f>
        <v>0</v>
      </c>
      <c r="V2440" s="109" t="s">
        <v>2209</v>
      </c>
      <c r="W2440" s="23">
        <f>W2434</f>
        <v>0</v>
      </c>
      <c r="X2440" s="23">
        <f>X2434</f>
        <v>0</v>
      </c>
      <c r="Y2440" s="23">
        <f>Y2434</f>
        <v>0</v>
      </c>
      <c r="Z2440" s="23">
        <f>Z2434</f>
        <v>0</v>
      </c>
      <c r="AA2440" s="23">
        <f>AA2434</f>
        <v>0</v>
      </c>
      <c r="AB2440" s="23">
        <f t="shared" ref="AB2440:AI2440" si="722">AB2434</f>
        <v>0</v>
      </c>
      <c r="AC2440" s="23">
        <f t="shared" si="722"/>
        <v>0</v>
      </c>
      <c r="AD2440" s="23">
        <f t="shared" si="722"/>
        <v>0</v>
      </c>
      <c r="AE2440" s="23">
        <f t="shared" si="722"/>
        <v>0</v>
      </c>
      <c r="AF2440" s="23">
        <f t="shared" si="722"/>
        <v>0</v>
      </c>
      <c r="AG2440" s="23">
        <f t="shared" si="722"/>
        <v>0</v>
      </c>
      <c r="AH2440" s="23">
        <f t="shared" si="722"/>
        <v>0</v>
      </c>
      <c r="AI2440" s="23">
        <f t="shared" si="722"/>
        <v>0</v>
      </c>
      <c r="AJ2440" s="23">
        <f>AJ2434</f>
        <v>60</v>
      </c>
      <c r="AK2440" s="23">
        <f>AK2434</f>
        <v>60</v>
      </c>
      <c r="AL2440" s="601" t="s">
        <v>432</v>
      </c>
      <c r="AM2440" s="137" t="s">
        <v>432</v>
      </c>
      <c r="AN2440" s="137" t="s">
        <v>432</v>
      </c>
      <c r="AO2440" s="137" t="s">
        <v>432</v>
      </c>
      <c r="AP2440" s="137" t="s">
        <v>432</v>
      </c>
      <c r="AQ2440" s="137" t="s">
        <v>432</v>
      </c>
      <c r="AR2440" s="137" t="s">
        <v>432</v>
      </c>
      <c r="AS2440" s="137" t="s">
        <v>432</v>
      </c>
      <c r="AT2440" s="137" t="s">
        <v>432</v>
      </c>
      <c r="AU2440" s="137" t="s">
        <v>432</v>
      </c>
      <c r="AV2440" s="137" t="s">
        <v>432</v>
      </c>
      <c r="AW2440" s="137" t="s">
        <v>432</v>
      </c>
      <c r="AX2440" s="137" t="s">
        <v>432</v>
      </c>
      <c r="AY2440" s="137" t="s">
        <v>432</v>
      </c>
      <c r="AZ2440" s="137" t="s">
        <v>432</v>
      </c>
      <c r="BA2440" s="137" t="s">
        <v>432</v>
      </c>
      <c r="BB2440" s="239" t="str">
        <f t="shared" si="718"/>
        <v>Táxiacessibilidade</v>
      </c>
      <c r="BC2440" s="239" t="str">
        <f t="shared" si="719"/>
        <v>Táxiacessibilidadex</v>
      </c>
      <c r="BD2440" s="239" t="str">
        <f t="shared" si="720"/>
        <v>Táxix</v>
      </c>
      <c r="BM2440" s="19"/>
      <c r="BN2440" s="19"/>
      <c r="BO2440" s="19"/>
    </row>
    <row r="2441" spans="1:67" s="1" customFormat="1" ht="134.25" customHeight="1" x14ac:dyDescent="0.25">
      <c r="A2441" s="275" t="str">
        <f>'Q100b-totais'!$B$56</f>
        <v>8.4</v>
      </c>
      <c r="B2441" s="54" t="str">
        <f>'Q100b-totais'!C56</f>
        <v>Táxi</v>
      </c>
      <c r="C2441" s="229" t="s">
        <v>743</v>
      </c>
      <c r="D2441" s="362" t="s">
        <v>2687</v>
      </c>
      <c r="E2441" s="1507" t="s">
        <v>1298</v>
      </c>
      <c r="F2441" s="925" t="s">
        <v>2688</v>
      </c>
      <c r="G2441" s="111" t="s">
        <v>2675</v>
      </c>
      <c r="H2441" s="173" t="s">
        <v>432</v>
      </c>
      <c r="I2441" s="157">
        <v>1</v>
      </c>
      <c r="J2441" s="23">
        <f t="shared" ref="J2441:Q2441" si="723">J2434</f>
        <v>0</v>
      </c>
      <c r="K2441" s="23">
        <f t="shared" si="723"/>
        <v>0</v>
      </c>
      <c r="L2441" s="23">
        <f t="shared" si="723"/>
        <v>0</v>
      </c>
      <c r="M2441" s="23">
        <f t="shared" si="723"/>
        <v>0</v>
      </c>
      <c r="N2441" s="23">
        <f t="shared" si="723"/>
        <v>0</v>
      </c>
      <c r="O2441" s="23">
        <f t="shared" si="723"/>
        <v>0</v>
      </c>
      <c r="P2441" s="23">
        <f t="shared" si="723"/>
        <v>0</v>
      </c>
      <c r="Q2441" s="23">
        <f t="shared" si="723"/>
        <v>0</v>
      </c>
      <c r="R2441" s="23">
        <f>R2434</f>
        <v>0</v>
      </c>
      <c r="S2441" s="109" t="s">
        <v>2209</v>
      </c>
      <c r="T2441" s="23">
        <f>T2434</f>
        <v>0</v>
      </c>
      <c r="U2441" s="23">
        <f>U2434</f>
        <v>0</v>
      </c>
      <c r="V2441" s="109" t="s">
        <v>2209</v>
      </c>
      <c r="W2441" s="23">
        <f>W2434</f>
        <v>0</v>
      </c>
      <c r="X2441" s="23">
        <f>X2434</f>
        <v>0</v>
      </c>
      <c r="Y2441" s="23">
        <f>Y2434</f>
        <v>0</v>
      </c>
      <c r="Z2441" s="23">
        <f>Z2434</f>
        <v>0</v>
      </c>
      <c r="AA2441" s="23">
        <f t="shared" ref="AA2441:AI2441" si="724">AA2434</f>
        <v>0</v>
      </c>
      <c r="AB2441" s="23">
        <f t="shared" si="724"/>
        <v>0</v>
      </c>
      <c r="AC2441" s="23">
        <f t="shared" si="724"/>
        <v>0</v>
      </c>
      <c r="AD2441" s="23">
        <f t="shared" si="724"/>
        <v>0</v>
      </c>
      <c r="AE2441" s="23">
        <f t="shared" si="724"/>
        <v>0</v>
      </c>
      <c r="AF2441" s="23">
        <f t="shared" si="724"/>
        <v>0</v>
      </c>
      <c r="AG2441" s="23">
        <f t="shared" si="724"/>
        <v>0</v>
      </c>
      <c r="AH2441" s="23">
        <f t="shared" si="724"/>
        <v>0</v>
      </c>
      <c r="AI2441" s="23">
        <f t="shared" si="724"/>
        <v>0</v>
      </c>
      <c r="AJ2441" s="23">
        <f>AJ2434</f>
        <v>60</v>
      </c>
      <c r="AK2441" s="23">
        <f>AK2434</f>
        <v>60</v>
      </c>
      <c r="AL2441" s="601" t="s">
        <v>432</v>
      </c>
      <c r="AM2441" s="137" t="s">
        <v>432</v>
      </c>
      <c r="AN2441" s="137" t="s">
        <v>432</v>
      </c>
      <c r="AO2441" s="137" t="s">
        <v>432</v>
      </c>
      <c r="AP2441" s="137" t="s">
        <v>432</v>
      </c>
      <c r="AQ2441" s="137" t="s">
        <v>432</v>
      </c>
      <c r="AR2441" s="137" t="s">
        <v>432</v>
      </c>
      <c r="AS2441" s="137" t="s">
        <v>432</v>
      </c>
      <c r="AT2441" s="137" t="s">
        <v>432</v>
      </c>
      <c r="AU2441" s="137" t="s">
        <v>432</v>
      </c>
      <c r="AV2441" s="137" t="s">
        <v>432</v>
      </c>
      <c r="AW2441" s="137" t="s">
        <v>432</v>
      </c>
      <c r="AX2441" s="137" t="s">
        <v>432</v>
      </c>
      <c r="AY2441" s="137" t="s">
        <v>432</v>
      </c>
      <c r="AZ2441" s="137" t="s">
        <v>432</v>
      </c>
      <c r="BA2441" s="137" t="s">
        <v>432</v>
      </c>
      <c r="BB2441" s="239" t="str">
        <f t="shared" si="718"/>
        <v>Táxiacessibilidade</v>
      </c>
      <c r="BC2441" s="239" t="str">
        <f t="shared" si="719"/>
        <v>Táxiacessibilidadex</v>
      </c>
      <c r="BD2441" s="239" t="str">
        <f t="shared" si="720"/>
        <v>Táxix</v>
      </c>
      <c r="BM2441" s="885"/>
      <c r="BN2441" s="885"/>
      <c r="BO2441" s="885"/>
    </row>
    <row r="2442" spans="1:67" s="1" customFormat="1" ht="71.25" customHeight="1" x14ac:dyDescent="0.25">
      <c r="A2442" s="275" t="str">
        <f>'Q100b-totais'!B56</f>
        <v>8.4</v>
      </c>
      <c r="B2442" s="54" t="str">
        <f>'Q100b-totais'!C56</f>
        <v>Táxi</v>
      </c>
      <c r="C2442" s="229" t="s">
        <v>743</v>
      </c>
      <c r="D2442" s="325" t="s">
        <v>4691</v>
      </c>
      <c r="E2442" s="1402" t="s">
        <v>1298</v>
      </c>
      <c r="F2442" s="14" t="s">
        <v>2676</v>
      </c>
      <c r="G2442" s="408" t="s">
        <v>2670</v>
      </c>
      <c r="H2442" s="173"/>
      <c r="I2442" s="157"/>
      <c r="J2442" s="125">
        <v>0</v>
      </c>
      <c r="K2442" s="125">
        <v>0</v>
      </c>
      <c r="L2442" s="125">
        <v>0</v>
      </c>
      <c r="M2442" s="125">
        <v>0</v>
      </c>
      <c r="N2442" s="125">
        <v>0</v>
      </c>
      <c r="O2442" s="125">
        <v>0</v>
      </c>
      <c r="P2442" s="125">
        <v>0</v>
      </c>
      <c r="Q2442" s="125">
        <v>0</v>
      </c>
      <c r="R2442" s="125">
        <v>0</v>
      </c>
      <c r="S2442" s="109" t="s">
        <v>2209</v>
      </c>
      <c r="T2442" s="125">
        <v>0</v>
      </c>
      <c r="U2442" s="125">
        <v>0</v>
      </c>
      <c r="V2442" s="109" t="s">
        <v>2209</v>
      </c>
      <c r="W2442" s="125">
        <v>0</v>
      </c>
      <c r="X2442" s="125">
        <v>0</v>
      </c>
      <c r="Y2442" s="125">
        <v>0</v>
      </c>
      <c r="Z2442" s="125">
        <v>0</v>
      </c>
      <c r="AA2442" s="125">
        <v>0</v>
      </c>
      <c r="AB2442" s="47">
        <f t="shared" ref="AB2442:AK2442" si="725">AB2440/AB2452</f>
        <v>0</v>
      </c>
      <c r="AC2442" s="47">
        <f t="shared" si="725"/>
        <v>0</v>
      </c>
      <c r="AD2442" s="47">
        <f t="shared" si="725"/>
        <v>0</v>
      </c>
      <c r="AE2442" s="47">
        <f t="shared" si="725"/>
        <v>0</v>
      </c>
      <c r="AF2442" s="47">
        <f t="shared" si="725"/>
        <v>0</v>
      </c>
      <c r="AG2442" s="47">
        <f t="shared" si="725"/>
        <v>0</v>
      </c>
      <c r="AH2442" s="47">
        <f t="shared" si="725"/>
        <v>0</v>
      </c>
      <c r="AI2442" s="47">
        <f t="shared" si="725"/>
        <v>0</v>
      </c>
      <c r="AJ2442" s="889">
        <f t="shared" si="725"/>
        <v>9.0730379555421133E-3</v>
      </c>
      <c r="AK2442" s="889">
        <f t="shared" si="725"/>
        <v>8.6767895878524948E-3</v>
      </c>
      <c r="AL2442" s="601"/>
      <c r="AM2442" s="137"/>
      <c r="AN2442" s="137"/>
      <c r="AO2442" s="137"/>
      <c r="AP2442" s="137"/>
      <c r="AQ2442" s="137"/>
      <c r="AR2442" s="137"/>
      <c r="AS2442" s="137"/>
      <c r="AT2442" s="137"/>
      <c r="AU2442" s="137"/>
      <c r="AV2442" s="137"/>
      <c r="AW2442" s="137"/>
      <c r="AX2442" s="137"/>
      <c r="AY2442" s="137"/>
      <c r="AZ2442" s="137"/>
      <c r="BA2442" s="137"/>
      <c r="BB2442" s="239"/>
      <c r="BC2442" s="239"/>
      <c r="BD2442" s="239"/>
      <c r="BM2442" s="885"/>
      <c r="BN2442" s="885"/>
      <c r="BO2442" s="885"/>
    </row>
    <row r="2443" spans="1:67" s="1" customFormat="1" ht="72" customHeight="1" x14ac:dyDescent="0.25">
      <c r="A2443" s="275" t="str">
        <f>'Q100b-totais'!B56</f>
        <v>8.4</v>
      </c>
      <c r="B2443" s="54" t="str">
        <f>'Q100b-totais'!C56</f>
        <v>Táxi</v>
      </c>
      <c r="C2443" s="229" t="s">
        <v>743</v>
      </c>
      <c r="D2443" s="325" t="s">
        <v>4692</v>
      </c>
      <c r="E2443" s="1402" t="s">
        <v>1298</v>
      </c>
      <c r="F2443" s="14" t="s">
        <v>2704</v>
      </c>
      <c r="G2443" s="408" t="s">
        <v>2685</v>
      </c>
      <c r="H2443" s="173"/>
      <c r="I2443" s="157"/>
      <c r="J2443" s="47">
        <f t="shared" ref="J2443:Q2443" si="726">J2442</f>
        <v>0</v>
      </c>
      <c r="K2443" s="47">
        <f t="shared" si="726"/>
        <v>0</v>
      </c>
      <c r="L2443" s="47">
        <f t="shared" si="726"/>
        <v>0</v>
      </c>
      <c r="M2443" s="47">
        <f t="shared" si="726"/>
        <v>0</v>
      </c>
      <c r="N2443" s="47">
        <f t="shared" si="726"/>
        <v>0</v>
      </c>
      <c r="O2443" s="47">
        <f t="shared" si="726"/>
        <v>0</v>
      </c>
      <c r="P2443" s="47">
        <f t="shared" si="726"/>
        <v>0</v>
      </c>
      <c r="Q2443" s="47">
        <f t="shared" si="726"/>
        <v>0</v>
      </c>
      <c r="R2443" s="47">
        <f t="shared" ref="R2443:AH2443" si="727">R2442</f>
        <v>0</v>
      </c>
      <c r="S2443" s="109" t="s">
        <v>2209</v>
      </c>
      <c r="T2443" s="47">
        <f t="shared" si="727"/>
        <v>0</v>
      </c>
      <c r="U2443" s="47">
        <f t="shared" si="727"/>
        <v>0</v>
      </c>
      <c r="V2443" s="109" t="s">
        <v>2209</v>
      </c>
      <c r="W2443" s="47">
        <f t="shared" si="727"/>
        <v>0</v>
      </c>
      <c r="X2443" s="47">
        <f t="shared" si="727"/>
        <v>0</v>
      </c>
      <c r="Y2443" s="47">
        <f t="shared" si="727"/>
        <v>0</v>
      </c>
      <c r="Z2443" s="47">
        <f t="shared" si="727"/>
        <v>0</v>
      </c>
      <c r="AA2443" s="47">
        <f t="shared" si="727"/>
        <v>0</v>
      </c>
      <c r="AB2443" s="47">
        <f t="shared" si="727"/>
        <v>0</v>
      </c>
      <c r="AC2443" s="47">
        <f t="shared" si="727"/>
        <v>0</v>
      </c>
      <c r="AD2443" s="47">
        <f t="shared" si="727"/>
        <v>0</v>
      </c>
      <c r="AE2443" s="47">
        <f t="shared" si="727"/>
        <v>0</v>
      </c>
      <c r="AF2443" s="47">
        <f t="shared" si="727"/>
        <v>0</v>
      </c>
      <c r="AG2443" s="47">
        <f t="shared" si="727"/>
        <v>0</v>
      </c>
      <c r="AH2443" s="47">
        <f t="shared" si="727"/>
        <v>0</v>
      </c>
      <c r="AI2443" s="47">
        <f>AI2442</f>
        <v>0</v>
      </c>
      <c r="AJ2443" s="889">
        <f>AJ2441/AJ2457</f>
        <v>8.5433575395130294E-3</v>
      </c>
      <c r="AK2443" s="889">
        <f>AK2441/AK2457</f>
        <v>8.1911262798634813E-3</v>
      </c>
      <c r="AL2443" s="601"/>
      <c r="AM2443" s="137"/>
      <c r="AN2443" s="137"/>
      <c r="AO2443" s="137"/>
      <c r="AP2443" s="137"/>
      <c r="AQ2443" s="137"/>
      <c r="AR2443" s="137"/>
      <c r="AS2443" s="137"/>
      <c r="AT2443" s="137"/>
      <c r="AU2443" s="137"/>
      <c r="AV2443" s="137"/>
      <c r="AW2443" s="137"/>
      <c r="AX2443" s="137"/>
      <c r="AY2443" s="137"/>
      <c r="AZ2443" s="137"/>
      <c r="BA2443" s="137"/>
      <c r="BB2443" s="239"/>
      <c r="BC2443" s="239"/>
      <c r="BD2443" s="239"/>
      <c r="BM2443" s="885"/>
      <c r="BN2443" s="885"/>
      <c r="BO2443" s="885"/>
    </row>
    <row r="2444" spans="1:67" s="1" customFormat="1" ht="63" customHeight="1" x14ac:dyDescent="0.25">
      <c r="A2444" s="275" t="str">
        <f>'Q100b-totais'!$B$56</f>
        <v>8.4</v>
      </c>
      <c r="B2444" s="1205" t="s">
        <v>641</v>
      </c>
      <c r="C2444" s="167" t="s">
        <v>432</v>
      </c>
      <c r="D2444" s="324" t="s">
        <v>2691</v>
      </c>
      <c r="E2444" s="1402" t="s">
        <v>1306</v>
      </c>
      <c r="F2444" s="14" t="s">
        <v>4686</v>
      </c>
      <c r="G2444" s="110" t="s">
        <v>77</v>
      </c>
      <c r="H2444" s="173" t="s">
        <v>432</v>
      </c>
      <c r="I2444" s="157">
        <v>1</v>
      </c>
      <c r="J2444" s="93" t="s">
        <v>432</v>
      </c>
      <c r="K2444" s="84" t="s">
        <v>432</v>
      </c>
      <c r="L2444" s="84" t="s">
        <v>432</v>
      </c>
      <c r="M2444" s="84" t="s">
        <v>432</v>
      </c>
      <c r="N2444" s="84" t="s">
        <v>432</v>
      </c>
      <c r="O2444" s="84" t="s">
        <v>432</v>
      </c>
      <c r="P2444" s="84" t="s">
        <v>432</v>
      </c>
      <c r="Q2444" s="84" t="s">
        <v>432</v>
      </c>
      <c r="R2444" s="84" t="s">
        <v>432</v>
      </c>
      <c r="S2444" s="109" t="s">
        <v>2209</v>
      </c>
      <c r="T2444" s="84" t="s">
        <v>432</v>
      </c>
      <c r="U2444" s="84" t="s">
        <v>432</v>
      </c>
      <c r="V2444" s="109" t="s">
        <v>2209</v>
      </c>
      <c r="W2444" s="84" t="s">
        <v>432</v>
      </c>
      <c r="X2444" s="84" t="s">
        <v>432</v>
      </c>
      <c r="Y2444" s="84" t="s">
        <v>432</v>
      </c>
      <c r="Z2444" s="84" t="s">
        <v>432</v>
      </c>
      <c r="AA2444" s="84" t="s">
        <v>432</v>
      </c>
      <c r="AB2444" s="84" t="s">
        <v>432</v>
      </c>
      <c r="AC2444" s="84" t="s">
        <v>432</v>
      </c>
      <c r="AD2444" s="84" t="s">
        <v>432</v>
      </c>
      <c r="AE2444" s="84" t="s">
        <v>432</v>
      </c>
      <c r="AF2444" s="84" t="s">
        <v>432</v>
      </c>
      <c r="AG2444" s="84" t="s">
        <v>432</v>
      </c>
      <c r="AH2444" s="84" t="s">
        <v>432</v>
      </c>
      <c r="AI2444" s="84" t="s">
        <v>432</v>
      </c>
      <c r="AJ2444" s="87">
        <v>6312</v>
      </c>
      <c r="AK2444" s="87">
        <v>6631</v>
      </c>
      <c r="AL2444" s="601" t="s">
        <v>432</v>
      </c>
      <c r="AM2444" s="137" t="s">
        <v>432</v>
      </c>
      <c r="AN2444" s="137" t="s">
        <v>432</v>
      </c>
      <c r="AO2444" s="137" t="s">
        <v>432</v>
      </c>
      <c r="AP2444" s="137" t="s">
        <v>432</v>
      </c>
      <c r="AQ2444" s="137" t="s">
        <v>432</v>
      </c>
      <c r="AR2444" s="137" t="s">
        <v>432</v>
      </c>
      <c r="AS2444" s="137" t="s">
        <v>432</v>
      </c>
      <c r="AT2444" s="137" t="s">
        <v>432</v>
      </c>
      <c r="AU2444" s="137" t="s">
        <v>432</v>
      </c>
      <c r="AV2444" s="137" t="s">
        <v>432</v>
      </c>
      <c r="AW2444" s="137" t="s">
        <v>432</v>
      </c>
      <c r="AX2444" s="137" t="s">
        <v>432</v>
      </c>
      <c r="AY2444" s="137" t="s">
        <v>432</v>
      </c>
      <c r="AZ2444" s="137" t="s">
        <v>432</v>
      </c>
      <c r="BA2444" s="137" t="s">
        <v>432</v>
      </c>
      <c r="BB2444" s="239" t="str">
        <f t="shared" ref="BB2444:BB2449" si="728">B2444&amp;C2444</f>
        <v>Táxix</v>
      </c>
      <c r="BC2444" s="239" t="str">
        <f t="shared" ref="BC2444:BC2449" si="729">B2444&amp;C2444&amp;H2444</f>
        <v>Táxixx</v>
      </c>
      <c r="BD2444" s="239" t="str">
        <f t="shared" ref="BD2444:BD2449" si="730">B2444&amp;H2444</f>
        <v>Táxix</v>
      </c>
      <c r="BM2444" s="19"/>
      <c r="BN2444" s="19"/>
      <c r="BO2444" s="19"/>
    </row>
    <row r="2445" spans="1:67" s="1" customFormat="1" ht="51" customHeight="1" x14ac:dyDescent="0.25">
      <c r="A2445" s="275" t="str">
        <f>'Q100b-totais'!$B$56</f>
        <v>8.4</v>
      </c>
      <c r="B2445" s="54" t="s">
        <v>641</v>
      </c>
      <c r="C2445" s="229" t="s">
        <v>432</v>
      </c>
      <c r="D2445" s="324" t="s">
        <v>2691</v>
      </c>
      <c r="E2445" s="1402" t="s">
        <v>1757</v>
      </c>
      <c r="F2445" s="14" t="s">
        <v>4687</v>
      </c>
      <c r="G2445" s="110" t="s">
        <v>77</v>
      </c>
      <c r="H2445" s="173" t="s">
        <v>432</v>
      </c>
      <c r="I2445" s="157">
        <v>1</v>
      </c>
      <c r="J2445" s="93" t="s">
        <v>432</v>
      </c>
      <c r="K2445" s="84" t="s">
        <v>432</v>
      </c>
      <c r="L2445" s="84" t="s">
        <v>432</v>
      </c>
      <c r="M2445" s="84" t="s">
        <v>432</v>
      </c>
      <c r="N2445" s="84" t="s">
        <v>432</v>
      </c>
      <c r="O2445" s="84" t="s">
        <v>432</v>
      </c>
      <c r="P2445" s="84" t="s">
        <v>432</v>
      </c>
      <c r="Q2445" s="84" t="s">
        <v>432</v>
      </c>
      <c r="R2445" s="84" t="s">
        <v>432</v>
      </c>
      <c r="S2445" s="109" t="s">
        <v>2209</v>
      </c>
      <c r="T2445" s="84" t="s">
        <v>432</v>
      </c>
      <c r="U2445" s="84" t="s">
        <v>432</v>
      </c>
      <c r="V2445" s="109" t="s">
        <v>2209</v>
      </c>
      <c r="W2445" s="84" t="s">
        <v>432</v>
      </c>
      <c r="X2445" s="84" t="s">
        <v>432</v>
      </c>
      <c r="Y2445" s="84" t="s">
        <v>432</v>
      </c>
      <c r="Z2445" s="84" t="s">
        <v>432</v>
      </c>
      <c r="AA2445" s="84" t="s">
        <v>432</v>
      </c>
      <c r="AB2445" s="84" t="s">
        <v>432</v>
      </c>
      <c r="AC2445" s="84" t="s">
        <v>432</v>
      </c>
      <c r="AD2445" s="84" t="s">
        <v>432</v>
      </c>
      <c r="AE2445" s="84" t="s">
        <v>432</v>
      </c>
      <c r="AF2445" s="84" t="s">
        <v>432</v>
      </c>
      <c r="AG2445" s="84" t="s">
        <v>432</v>
      </c>
      <c r="AH2445" s="84" t="s">
        <v>432</v>
      </c>
      <c r="AI2445" s="84" t="s">
        <v>432</v>
      </c>
      <c r="AJ2445" s="84">
        <v>10</v>
      </c>
      <c r="AK2445" s="84">
        <v>10</v>
      </c>
      <c r="AL2445" s="601" t="s">
        <v>432</v>
      </c>
      <c r="AM2445" s="137" t="s">
        <v>432</v>
      </c>
      <c r="AN2445" s="137" t="s">
        <v>432</v>
      </c>
      <c r="AO2445" s="137" t="s">
        <v>432</v>
      </c>
      <c r="AP2445" s="137" t="s">
        <v>432</v>
      </c>
      <c r="AQ2445" s="137" t="s">
        <v>432</v>
      </c>
      <c r="AR2445" s="137" t="s">
        <v>432</v>
      </c>
      <c r="AS2445" s="137" t="s">
        <v>432</v>
      </c>
      <c r="AT2445" s="137" t="s">
        <v>432</v>
      </c>
      <c r="AU2445" s="137" t="s">
        <v>432</v>
      </c>
      <c r="AV2445" s="137" t="s">
        <v>432</v>
      </c>
      <c r="AW2445" s="137" t="s">
        <v>432</v>
      </c>
      <c r="AX2445" s="137" t="s">
        <v>432</v>
      </c>
      <c r="AY2445" s="137" t="s">
        <v>432</v>
      </c>
      <c r="AZ2445" s="137" t="s">
        <v>432</v>
      </c>
      <c r="BA2445" s="137" t="s">
        <v>432</v>
      </c>
      <c r="BB2445" s="239" t="str">
        <f t="shared" si="728"/>
        <v>Táxix</v>
      </c>
      <c r="BC2445" s="239" t="str">
        <f t="shared" si="729"/>
        <v>Táxixx</v>
      </c>
      <c r="BD2445" s="239" t="str">
        <f t="shared" si="730"/>
        <v>Táxix</v>
      </c>
      <c r="BM2445" s="19"/>
      <c r="BN2445" s="19"/>
      <c r="BO2445" s="19"/>
    </row>
    <row r="2446" spans="1:67" s="1" customFormat="1" ht="63.75" customHeight="1" x14ac:dyDescent="0.25">
      <c r="A2446" s="275" t="str">
        <f>'Q100b-totais'!$B$56</f>
        <v>8.4</v>
      </c>
      <c r="B2446" s="54" t="s">
        <v>641</v>
      </c>
      <c r="C2446" s="229" t="s">
        <v>432</v>
      </c>
      <c r="D2446" s="324" t="s">
        <v>2695</v>
      </c>
      <c r="E2446" s="1402" t="s">
        <v>1298</v>
      </c>
      <c r="F2446" s="14" t="s">
        <v>4688</v>
      </c>
      <c r="G2446" s="408" t="s">
        <v>523</v>
      </c>
      <c r="H2446" s="173" t="s">
        <v>432</v>
      </c>
      <c r="I2446" s="157">
        <v>1</v>
      </c>
      <c r="J2446" s="58" t="s">
        <v>432</v>
      </c>
      <c r="K2446" s="23" t="s">
        <v>432</v>
      </c>
      <c r="L2446" s="23" t="s">
        <v>432</v>
      </c>
      <c r="M2446" s="23" t="s">
        <v>432</v>
      </c>
      <c r="N2446" s="23" t="s">
        <v>432</v>
      </c>
      <c r="O2446" s="23" t="s">
        <v>432</v>
      </c>
      <c r="P2446" s="23" t="s">
        <v>432</v>
      </c>
      <c r="Q2446" s="23" t="s">
        <v>432</v>
      </c>
      <c r="R2446" s="23" t="s">
        <v>432</v>
      </c>
      <c r="S2446" s="109" t="s">
        <v>2209</v>
      </c>
      <c r="T2446" s="23" t="s">
        <v>432</v>
      </c>
      <c r="U2446" s="23" t="s">
        <v>432</v>
      </c>
      <c r="V2446" s="109" t="s">
        <v>2209</v>
      </c>
      <c r="W2446" s="23" t="s">
        <v>432</v>
      </c>
      <c r="X2446" s="23" t="s">
        <v>432</v>
      </c>
      <c r="Y2446" s="23" t="s">
        <v>432</v>
      </c>
      <c r="Z2446" s="23" t="s">
        <v>432</v>
      </c>
      <c r="AA2446" s="23" t="s">
        <v>432</v>
      </c>
      <c r="AB2446" s="23" t="s">
        <v>432</v>
      </c>
      <c r="AC2446" s="23" t="s">
        <v>432</v>
      </c>
      <c r="AD2446" s="23" t="s">
        <v>432</v>
      </c>
      <c r="AE2446" s="23" t="s">
        <v>432</v>
      </c>
      <c r="AF2446" s="23" t="s">
        <v>432</v>
      </c>
      <c r="AG2446" s="23" t="s">
        <v>432</v>
      </c>
      <c r="AH2446" s="23" t="s">
        <v>432</v>
      </c>
      <c r="AI2446" s="23" t="s">
        <v>432</v>
      </c>
      <c r="AJ2446" s="20">
        <f>AJ2444+AJ2431+AJ2445</f>
        <v>6347</v>
      </c>
      <c r="AK2446" s="20">
        <f>AK2444+AK2431+AK2445</f>
        <v>6666</v>
      </c>
      <c r="AL2446" s="601" t="s">
        <v>432</v>
      </c>
      <c r="AM2446" s="137" t="s">
        <v>432</v>
      </c>
      <c r="AN2446" s="137" t="s">
        <v>432</v>
      </c>
      <c r="AO2446" s="137" t="s">
        <v>432</v>
      </c>
      <c r="AP2446" s="137" t="s">
        <v>432</v>
      </c>
      <c r="AQ2446" s="137" t="s">
        <v>432</v>
      </c>
      <c r="AR2446" s="137" t="s">
        <v>432</v>
      </c>
      <c r="AS2446" s="137" t="s">
        <v>432</v>
      </c>
      <c r="AT2446" s="137" t="s">
        <v>432</v>
      </c>
      <c r="AU2446" s="137" t="s">
        <v>432</v>
      </c>
      <c r="AV2446" s="137" t="s">
        <v>432</v>
      </c>
      <c r="AW2446" s="137" t="s">
        <v>432</v>
      </c>
      <c r="AX2446" s="137" t="s">
        <v>432</v>
      </c>
      <c r="AY2446" s="137" t="s">
        <v>432</v>
      </c>
      <c r="AZ2446" s="137" t="s">
        <v>432</v>
      </c>
      <c r="BA2446" s="137" t="s">
        <v>432</v>
      </c>
      <c r="BB2446" s="239" t="str">
        <f t="shared" si="728"/>
        <v>Táxix</v>
      </c>
      <c r="BC2446" s="239" t="str">
        <f t="shared" si="729"/>
        <v>Táxixx</v>
      </c>
      <c r="BD2446" s="239" t="str">
        <f t="shared" si="730"/>
        <v>Táxix</v>
      </c>
      <c r="BM2446" s="19"/>
      <c r="BN2446" s="19"/>
      <c r="BO2446" s="19"/>
    </row>
    <row r="2447" spans="1:67" s="1" customFormat="1" ht="63.75" customHeight="1" x14ac:dyDescent="0.25">
      <c r="A2447" s="275" t="str">
        <f>'Q100b-totais'!$B$56</f>
        <v>8.4</v>
      </c>
      <c r="B2447" s="54" t="s">
        <v>641</v>
      </c>
      <c r="C2447" s="229" t="s">
        <v>432</v>
      </c>
      <c r="D2447" s="362" t="s">
        <v>2694</v>
      </c>
      <c r="E2447" s="1507" t="s">
        <v>1298</v>
      </c>
      <c r="F2447" s="925" t="s">
        <v>4689</v>
      </c>
      <c r="G2447" s="408" t="s">
        <v>749</v>
      </c>
      <c r="H2447" s="173" t="s">
        <v>432</v>
      </c>
      <c r="I2447" s="157">
        <v>1</v>
      </c>
      <c r="J2447" s="58" t="s">
        <v>432</v>
      </c>
      <c r="K2447" s="23" t="s">
        <v>432</v>
      </c>
      <c r="L2447" s="23" t="s">
        <v>432</v>
      </c>
      <c r="M2447" s="23" t="s">
        <v>432</v>
      </c>
      <c r="N2447" s="23" t="s">
        <v>432</v>
      </c>
      <c r="O2447" s="23" t="s">
        <v>432</v>
      </c>
      <c r="P2447" s="23" t="s">
        <v>432</v>
      </c>
      <c r="Q2447" s="23" t="s">
        <v>432</v>
      </c>
      <c r="R2447" s="23" t="s">
        <v>432</v>
      </c>
      <c r="S2447" s="109" t="s">
        <v>2209</v>
      </c>
      <c r="T2447" s="23" t="s">
        <v>432</v>
      </c>
      <c r="U2447" s="23" t="s">
        <v>432</v>
      </c>
      <c r="V2447" s="109" t="s">
        <v>2209</v>
      </c>
      <c r="W2447" s="23" t="s">
        <v>432</v>
      </c>
      <c r="X2447" s="23" t="s">
        <v>432</v>
      </c>
      <c r="Y2447" s="23" t="s">
        <v>432</v>
      </c>
      <c r="Z2447" s="23" t="s">
        <v>432</v>
      </c>
      <c r="AA2447" s="23" t="s">
        <v>432</v>
      </c>
      <c r="AB2447" s="23" t="s">
        <v>432</v>
      </c>
      <c r="AC2447" s="23" t="s">
        <v>432</v>
      </c>
      <c r="AD2447" s="23" t="s">
        <v>432</v>
      </c>
      <c r="AE2447" s="23" t="s">
        <v>432</v>
      </c>
      <c r="AF2447" s="23" t="s">
        <v>432</v>
      </c>
      <c r="AG2447" s="23" t="s">
        <v>432</v>
      </c>
      <c r="AH2447" s="23" t="s">
        <v>432</v>
      </c>
      <c r="AI2447" s="23" t="s">
        <v>432</v>
      </c>
      <c r="AJ2447" s="20">
        <f>AJ2444+AJ2431+AJ2445+AJ2433+AJ2430</f>
        <v>6757</v>
      </c>
      <c r="AK2447" s="20">
        <f>AK2444+AK2431+AK2445+AK2433+AK2430</f>
        <v>7076</v>
      </c>
      <c r="AL2447" s="601" t="s">
        <v>432</v>
      </c>
      <c r="AM2447" s="137" t="s">
        <v>432</v>
      </c>
      <c r="AN2447" s="137" t="s">
        <v>432</v>
      </c>
      <c r="AO2447" s="137" t="s">
        <v>432</v>
      </c>
      <c r="AP2447" s="137" t="s">
        <v>432</v>
      </c>
      <c r="AQ2447" s="137" t="s">
        <v>432</v>
      </c>
      <c r="AR2447" s="137" t="s">
        <v>432</v>
      </c>
      <c r="AS2447" s="137" t="s">
        <v>432</v>
      </c>
      <c r="AT2447" s="137" t="s">
        <v>432</v>
      </c>
      <c r="AU2447" s="137" t="s">
        <v>432</v>
      </c>
      <c r="AV2447" s="137" t="s">
        <v>432</v>
      </c>
      <c r="AW2447" s="137" t="s">
        <v>432</v>
      </c>
      <c r="AX2447" s="137" t="s">
        <v>432</v>
      </c>
      <c r="AY2447" s="137" t="s">
        <v>432</v>
      </c>
      <c r="AZ2447" s="137" t="s">
        <v>432</v>
      </c>
      <c r="BA2447" s="137" t="s">
        <v>432</v>
      </c>
      <c r="BB2447" s="239" t="str">
        <f t="shared" si="728"/>
        <v>Táxix</v>
      </c>
      <c r="BC2447" s="239" t="str">
        <f t="shared" si="729"/>
        <v>Táxixx</v>
      </c>
      <c r="BD2447" s="239" t="str">
        <f t="shared" si="730"/>
        <v>Táxix</v>
      </c>
      <c r="BM2447" s="19"/>
      <c r="BN2447" s="19"/>
      <c r="BO2447" s="19"/>
    </row>
    <row r="2448" spans="1:67" s="1" customFormat="1" ht="51" customHeight="1" x14ac:dyDescent="0.25">
      <c r="A2448" s="275" t="str">
        <f>'Q100b-totais'!$B$56</f>
        <v>8.4</v>
      </c>
      <c r="B2448" s="54" t="s">
        <v>641</v>
      </c>
      <c r="C2448" s="229" t="s">
        <v>432</v>
      </c>
      <c r="D2448" s="324" t="s">
        <v>2692</v>
      </c>
      <c r="E2448" s="1402" t="s">
        <v>1306</v>
      </c>
      <c r="F2448" s="14" t="s">
        <v>2703</v>
      </c>
      <c r="G2448" s="110" t="s">
        <v>77</v>
      </c>
      <c r="H2448" s="173" t="s">
        <v>432</v>
      </c>
      <c r="I2448" s="157">
        <v>1</v>
      </c>
      <c r="J2448" s="93" t="s">
        <v>432</v>
      </c>
      <c r="K2448" s="84" t="s">
        <v>432</v>
      </c>
      <c r="L2448" s="84" t="s">
        <v>432</v>
      </c>
      <c r="M2448" s="84" t="s">
        <v>432</v>
      </c>
      <c r="N2448" s="84" t="s">
        <v>432</v>
      </c>
      <c r="O2448" s="84" t="s">
        <v>432</v>
      </c>
      <c r="P2448" s="84" t="s">
        <v>432</v>
      </c>
      <c r="Q2448" s="84" t="s">
        <v>432</v>
      </c>
      <c r="R2448" s="84" t="s">
        <v>432</v>
      </c>
      <c r="S2448" s="109" t="s">
        <v>2209</v>
      </c>
      <c r="T2448" s="84" t="s">
        <v>432</v>
      </c>
      <c r="U2448" s="84" t="s">
        <v>432</v>
      </c>
      <c r="V2448" s="109" t="s">
        <v>2209</v>
      </c>
      <c r="W2448" s="84" t="s">
        <v>432</v>
      </c>
      <c r="X2448" s="84" t="s">
        <v>432</v>
      </c>
      <c r="Y2448" s="84" t="s">
        <v>432</v>
      </c>
      <c r="Z2448" s="84" t="s">
        <v>432</v>
      </c>
      <c r="AA2448" s="84" t="s">
        <v>432</v>
      </c>
      <c r="AB2448" s="84" t="s">
        <v>432</v>
      </c>
      <c r="AC2448" s="84" t="s">
        <v>432</v>
      </c>
      <c r="AD2448" s="84" t="s">
        <v>432</v>
      </c>
      <c r="AE2448" s="84" t="s">
        <v>432</v>
      </c>
      <c r="AF2448" s="84" t="s">
        <v>432</v>
      </c>
      <c r="AG2448" s="84" t="s">
        <v>432</v>
      </c>
      <c r="AH2448" s="84" t="s">
        <v>432</v>
      </c>
      <c r="AI2448" s="84" t="s">
        <v>432</v>
      </c>
      <c r="AJ2448" s="84">
        <v>92</v>
      </c>
      <c r="AK2448" s="84">
        <v>75</v>
      </c>
      <c r="AL2448" s="601" t="s">
        <v>432</v>
      </c>
      <c r="AM2448" s="137" t="s">
        <v>432</v>
      </c>
      <c r="AN2448" s="137" t="s">
        <v>432</v>
      </c>
      <c r="AO2448" s="137" t="s">
        <v>432</v>
      </c>
      <c r="AP2448" s="137" t="s">
        <v>432</v>
      </c>
      <c r="AQ2448" s="137" t="s">
        <v>432</v>
      </c>
      <c r="AR2448" s="137" t="s">
        <v>432</v>
      </c>
      <c r="AS2448" s="137" t="s">
        <v>432</v>
      </c>
      <c r="AT2448" s="137" t="s">
        <v>432</v>
      </c>
      <c r="AU2448" s="137" t="s">
        <v>432</v>
      </c>
      <c r="AV2448" s="137" t="s">
        <v>432</v>
      </c>
      <c r="AW2448" s="137" t="s">
        <v>432</v>
      </c>
      <c r="AX2448" s="137" t="s">
        <v>432</v>
      </c>
      <c r="AY2448" s="137" t="s">
        <v>432</v>
      </c>
      <c r="AZ2448" s="137" t="s">
        <v>432</v>
      </c>
      <c r="BA2448" s="137" t="s">
        <v>432</v>
      </c>
      <c r="BB2448" s="239" t="str">
        <f t="shared" si="728"/>
        <v>Táxix</v>
      </c>
      <c r="BC2448" s="239" t="str">
        <f t="shared" si="729"/>
        <v>Táxixx</v>
      </c>
      <c r="BD2448" s="239" t="str">
        <f t="shared" si="730"/>
        <v>Táxix</v>
      </c>
      <c r="BM2448" s="19"/>
      <c r="BN2448" s="19"/>
      <c r="BO2448" s="19"/>
    </row>
    <row r="2449" spans="1:67" s="1" customFormat="1" ht="51" customHeight="1" x14ac:dyDescent="0.25">
      <c r="A2449" s="275" t="str">
        <f>'Q100b-totais'!$B$56</f>
        <v>8.4</v>
      </c>
      <c r="B2449" s="54" t="s">
        <v>641</v>
      </c>
      <c r="C2449" s="229" t="s">
        <v>432</v>
      </c>
      <c r="D2449" s="324" t="s">
        <v>2692</v>
      </c>
      <c r="E2449" s="1402" t="s">
        <v>1757</v>
      </c>
      <c r="F2449" s="14" t="s">
        <v>2662</v>
      </c>
      <c r="G2449" s="110" t="s">
        <v>77</v>
      </c>
      <c r="H2449" s="173" t="s">
        <v>432</v>
      </c>
      <c r="I2449" s="157">
        <v>1</v>
      </c>
      <c r="J2449" s="93" t="s">
        <v>432</v>
      </c>
      <c r="K2449" s="84" t="s">
        <v>432</v>
      </c>
      <c r="L2449" s="84" t="s">
        <v>432</v>
      </c>
      <c r="M2449" s="84" t="s">
        <v>432</v>
      </c>
      <c r="N2449" s="84" t="s">
        <v>432</v>
      </c>
      <c r="O2449" s="84" t="s">
        <v>432</v>
      </c>
      <c r="P2449" s="84" t="s">
        <v>432</v>
      </c>
      <c r="Q2449" s="84" t="s">
        <v>432</v>
      </c>
      <c r="R2449" s="84" t="s">
        <v>432</v>
      </c>
      <c r="S2449" s="109" t="s">
        <v>2209</v>
      </c>
      <c r="T2449" s="84" t="s">
        <v>432</v>
      </c>
      <c r="U2449" s="84" t="s">
        <v>432</v>
      </c>
      <c r="V2449" s="109" t="s">
        <v>2209</v>
      </c>
      <c r="W2449" s="84" t="s">
        <v>432</v>
      </c>
      <c r="X2449" s="84" t="s">
        <v>432</v>
      </c>
      <c r="Y2449" s="84" t="s">
        <v>432</v>
      </c>
      <c r="Z2449" s="84" t="s">
        <v>432</v>
      </c>
      <c r="AA2449" s="84" t="s">
        <v>432</v>
      </c>
      <c r="AB2449" s="84" t="s">
        <v>432</v>
      </c>
      <c r="AC2449" s="84" t="s">
        <v>432</v>
      </c>
      <c r="AD2449" s="84" t="s">
        <v>432</v>
      </c>
      <c r="AE2449" s="84" t="s">
        <v>432</v>
      </c>
      <c r="AF2449" s="84" t="s">
        <v>432</v>
      </c>
      <c r="AG2449" s="84" t="s">
        <v>432</v>
      </c>
      <c r="AH2449" s="84" t="s">
        <v>432</v>
      </c>
      <c r="AI2449" s="84" t="s">
        <v>432</v>
      </c>
      <c r="AJ2449" s="84">
        <v>1</v>
      </c>
      <c r="AK2449" s="84">
        <v>1</v>
      </c>
      <c r="AL2449" s="601" t="s">
        <v>432</v>
      </c>
      <c r="AM2449" s="137" t="s">
        <v>432</v>
      </c>
      <c r="AN2449" s="137" t="s">
        <v>432</v>
      </c>
      <c r="AO2449" s="137" t="s">
        <v>432</v>
      </c>
      <c r="AP2449" s="137" t="s">
        <v>432</v>
      </c>
      <c r="AQ2449" s="137" t="s">
        <v>432</v>
      </c>
      <c r="AR2449" s="137" t="s">
        <v>432</v>
      </c>
      <c r="AS2449" s="137" t="s">
        <v>432</v>
      </c>
      <c r="AT2449" s="137" t="s">
        <v>432</v>
      </c>
      <c r="AU2449" s="137" t="s">
        <v>432</v>
      </c>
      <c r="AV2449" s="137" t="s">
        <v>432</v>
      </c>
      <c r="AW2449" s="137" t="s">
        <v>432</v>
      </c>
      <c r="AX2449" s="137" t="s">
        <v>432</v>
      </c>
      <c r="AY2449" s="137" t="s">
        <v>432</v>
      </c>
      <c r="AZ2449" s="137" t="s">
        <v>432</v>
      </c>
      <c r="BA2449" s="137" t="s">
        <v>432</v>
      </c>
      <c r="BB2449" s="239" t="str">
        <f t="shared" si="728"/>
        <v>Táxix</v>
      </c>
      <c r="BC2449" s="239" t="str">
        <f t="shared" si="729"/>
        <v>Táxixx</v>
      </c>
      <c r="BD2449" s="239" t="str">
        <f t="shared" si="730"/>
        <v>Táxix</v>
      </c>
      <c r="BM2449" s="19"/>
      <c r="BN2449" s="19"/>
      <c r="BO2449" s="19"/>
    </row>
    <row r="2450" spans="1:67" s="1" customFormat="1" ht="87.75" customHeight="1" x14ac:dyDescent="0.25">
      <c r="A2450" s="275" t="str">
        <f>'Q100b-totais'!B56</f>
        <v>8.4</v>
      </c>
      <c r="B2450" s="54" t="str">
        <f>'Q100b-totais'!C56</f>
        <v>Táxi</v>
      </c>
      <c r="C2450" s="229" t="s">
        <v>432</v>
      </c>
      <c r="D2450" s="324" t="s">
        <v>2908</v>
      </c>
      <c r="E2450" s="1402" t="s">
        <v>1298</v>
      </c>
      <c r="F2450" s="14" t="s">
        <v>2909</v>
      </c>
      <c r="G2450" s="423"/>
      <c r="H2450" s="173" t="s">
        <v>432</v>
      </c>
      <c r="I2450" s="157">
        <v>1</v>
      </c>
      <c r="J2450" s="84" t="str">
        <f t="shared" ref="J2450:R2450" si="731">J2451</f>
        <v>x</v>
      </c>
      <c r="K2450" s="84" t="str">
        <f t="shared" si="731"/>
        <v>x</v>
      </c>
      <c r="L2450" s="84" t="str">
        <f t="shared" si="731"/>
        <v>x</v>
      </c>
      <c r="M2450" s="84" t="str">
        <f t="shared" si="731"/>
        <v>x</v>
      </c>
      <c r="N2450" s="84" t="str">
        <f t="shared" si="731"/>
        <v>x</v>
      </c>
      <c r="O2450" s="84" t="str">
        <f t="shared" si="731"/>
        <v>x</v>
      </c>
      <c r="P2450" s="84" t="str">
        <f t="shared" si="731"/>
        <v>x</v>
      </c>
      <c r="Q2450" s="84" t="str">
        <f t="shared" si="731"/>
        <v>x</v>
      </c>
      <c r="R2450" s="84" t="str">
        <f t="shared" si="731"/>
        <v>x</v>
      </c>
      <c r="S2450" s="109" t="s">
        <v>2209</v>
      </c>
      <c r="T2450" s="84" t="str">
        <f>T2451</f>
        <v>x</v>
      </c>
      <c r="U2450" s="84" t="str">
        <f t="shared" ref="U2450:AI2450" si="732">U2451</f>
        <v>x</v>
      </c>
      <c r="V2450" s="109" t="s">
        <v>2209</v>
      </c>
      <c r="W2450" s="84" t="str">
        <f t="shared" si="732"/>
        <v>x</v>
      </c>
      <c r="X2450" s="84" t="str">
        <f t="shared" si="732"/>
        <v>x</v>
      </c>
      <c r="Y2450" s="84" t="str">
        <f t="shared" si="732"/>
        <v>x</v>
      </c>
      <c r="Z2450" s="84" t="str">
        <f t="shared" si="732"/>
        <v>x</v>
      </c>
      <c r="AA2450" s="84" t="str">
        <f t="shared" si="732"/>
        <v>x</v>
      </c>
      <c r="AB2450" s="84" t="str">
        <f t="shared" si="732"/>
        <v>x</v>
      </c>
      <c r="AC2450" s="84" t="str">
        <f t="shared" si="732"/>
        <v>x</v>
      </c>
      <c r="AD2450" s="84" t="str">
        <f t="shared" si="732"/>
        <v>x</v>
      </c>
      <c r="AE2450" s="84" t="str">
        <f t="shared" si="732"/>
        <v>x</v>
      </c>
      <c r="AF2450" s="84" t="str">
        <f t="shared" si="732"/>
        <v>x</v>
      </c>
      <c r="AG2450" s="84" t="str">
        <f t="shared" si="732"/>
        <v>x</v>
      </c>
      <c r="AH2450" s="84" t="str">
        <f t="shared" si="732"/>
        <v>x</v>
      </c>
      <c r="AI2450" s="84" t="str">
        <f t="shared" si="732"/>
        <v>x</v>
      </c>
      <c r="AJ2450" s="84">
        <f>AJ2451</f>
        <v>93</v>
      </c>
      <c r="AK2450" s="84">
        <f>AK2451</f>
        <v>76</v>
      </c>
      <c r="AL2450" s="601"/>
      <c r="AM2450" s="137"/>
      <c r="AN2450" s="137"/>
      <c r="AO2450" s="137"/>
      <c r="AP2450" s="137"/>
      <c r="AQ2450" s="137"/>
      <c r="AR2450" s="137"/>
      <c r="AS2450" s="137"/>
      <c r="AT2450" s="137"/>
      <c r="AU2450" s="137"/>
      <c r="AV2450" s="137"/>
      <c r="AW2450" s="137"/>
      <c r="AX2450" s="137"/>
      <c r="AY2450" s="137"/>
      <c r="AZ2450" s="137"/>
      <c r="BA2450" s="137"/>
      <c r="BB2450" s="239"/>
      <c r="BC2450" s="239"/>
      <c r="BD2450" s="239"/>
      <c r="BM2450" s="927"/>
      <c r="BN2450" s="927"/>
      <c r="BO2450" s="927"/>
    </row>
    <row r="2451" spans="1:67" s="1" customFormat="1" ht="106.5" customHeight="1" x14ac:dyDescent="0.25">
      <c r="A2451" s="275" t="str">
        <f>'Q100b-totais'!$B$56</f>
        <v>8.4</v>
      </c>
      <c r="B2451" s="54" t="s">
        <v>641</v>
      </c>
      <c r="C2451" s="229" t="s">
        <v>432</v>
      </c>
      <c r="D2451" s="362" t="s">
        <v>2696</v>
      </c>
      <c r="E2451" s="1507" t="s">
        <v>1298</v>
      </c>
      <c r="F2451" s="925" t="s">
        <v>2697</v>
      </c>
      <c r="G2451" s="408" t="s">
        <v>522</v>
      </c>
      <c r="H2451" s="173" t="s">
        <v>432</v>
      </c>
      <c r="I2451" s="157">
        <v>1</v>
      </c>
      <c r="J2451" s="58" t="s">
        <v>432</v>
      </c>
      <c r="K2451" s="23" t="s">
        <v>432</v>
      </c>
      <c r="L2451" s="23" t="s">
        <v>432</v>
      </c>
      <c r="M2451" s="23" t="s">
        <v>432</v>
      </c>
      <c r="N2451" s="23" t="s">
        <v>432</v>
      </c>
      <c r="O2451" s="23" t="s">
        <v>432</v>
      </c>
      <c r="P2451" s="23" t="s">
        <v>432</v>
      </c>
      <c r="Q2451" s="23" t="s">
        <v>432</v>
      </c>
      <c r="R2451" s="23" t="s">
        <v>432</v>
      </c>
      <c r="S2451" s="109" t="s">
        <v>2209</v>
      </c>
      <c r="T2451" s="23" t="s">
        <v>432</v>
      </c>
      <c r="U2451" s="23" t="s">
        <v>432</v>
      </c>
      <c r="V2451" s="109" t="s">
        <v>2209</v>
      </c>
      <c r="W2451" s="23" t="s">
        <v>432</v>
      </c>
      <c r="X2451" s="23" t="s">
        <v>432</v>
      </c>
      <c r="Y2451" s="23" t="s">
        <v>432</v>
      </c>
      <c r="Z2451" s="23" t="s">
        <v>432</v>
      </c>
      <c r="AA2451" s="23" t="s">
        <v>432</v>
      </c>
      <c r="AB2451" s="23" t="s">
        <v>432</v>
      </c>
      <c r="AC2451" s="23" t="s">
        <v>432</v>
      </c>
      <c r="AD2451" s="23" t="s">
        <v>432</v>
      </c>
      <c r="AE2451" s="23" t="s">
        <v>432</v>
      </c>
      <c r="AF2451" s="23" t="s">
        <v>432</v>
      </c>
      <c r="AG2451" s="23" t="s">
        <v>432</v>
      </c>
      <c r="AH2451" s="23" t="s">
        <v>432</v>
      </c>
      <c r="AI2451" s="23" t="s">
        <v>432</v>
      </c>
      <c r="AJ2451" s="23">
        <f>AJ2448+AJ2449</f>
        <v>93</v>
      </c>
      <c r="AK2451" s="23">
        <f>AK2448+AK2449</f>
        <v>76</v>
      </c>
      <c r="AL2451" s="601" t="s">
        <v>432</v>
      </c>
      <c r="AM2451" s="137" t="s">
        <v>432</v>
      </c>
      <c r="AN2451" s="137" t="s">
        <v>432</v>
      </c>
      <c r="AO2451" s="137" t="s">
        <v>432</v>
      </c>
      <c r="AP2451" s="137" t="s">
        <v>432</v>
      </c>
      <c r="AQ2451" s="137" t="s">
        <v>432</v>
      </c>
      <c r="AR2451" s="137" t="s">
        <v>432</v>
      </c>
      <c r="AS2451" s="137" t="s">
        <v>432</v>
      </c>
      <c r="AT2451" s="137" t="s">
        <v>432</v>
      </c>
      <c r="AU2451" s="137" t="s">
        <v>432</v>
      </c>
      <c r="AV2451" s="137" t="s">
        <v>432</v>
      </c>
      <c r="AW2451" s="137" t="s">
        <v>432</v>
      </c>
      <c r="AX2451" s="137" t="s">
        <v>432</v>
      </c>
      <c r="AY2451" s="137" t="s">
        <v>432</v>
      </c>
      <c r="AZ2451" s="137" t="s">
        <v>432</v>
      </c>
      <c r="BA2451" s="137" t="s">
        <v>432</v>
      </c>
      <c r="BB2451" s="239" t="str">
        <f t="shared" ref="BB2451:BB2457" si="733">B2451&amp;C2451</f>
        <v>Táxix</v>
      </c>
      <c r="BC2451" s="239" t="str">
        <f t="shared" ref="BC2451:BC2457" si="734">B2451&amp;C2451&amp;H2451</f>
        <v>Táxixx</v>
      </c>
      <c r="BD2451" s="239" t="str">
        <f t="shared" ref="BD2451:BD2457" si="735">B2451&amp;H2451</f>
        <v>Táxix</v>
      </c>
      <c r="BM2451" s="19"/>
      <c r="BN2451" s="19"/>
      <c r="BO2451" s="19"/>
    </row>
    <row r="2452" spans="1:67" s="1" customFormat="1" ht="133.5" customHeight="1" x14ac:dyDescent="0.25">
      <c r="A2452" s="275" t="str">
        <f>'Q100b-totais'!$B$56</f>
        <v>8.4</v>
      </c>
      <c r="B2452" s="54" t="s">
        <v>641</v>
      </c>
      <c r="C2452" s="229" t="s">
        <v>432</v>
      </c>
      <c r="D2452" s="362" t="s">
        <v>2680</v>
      </c>
      <c r="E2452" s="1507" t="s">
        <v>1298</v>
      </c>
      <c r="F2452" s="925" t="s">
        <v>2668</v>
      </c>
      <c r="G2452" s="408" t="s">
        <v>2679</v>
      </c>
      <c r="H2452" s="173" t="s">
        <v>432</v>
      </c>
      <c r="I2452" s="57">
        <v>1</v>
      </c>
      <c r="J2452" s="93" t="s">
        <v>432</v>
      </c>
      <c r="K2452" s="84" t="s">
        <v>432</v>
      </c>
      <c r="L2452" s="84" t="s">
        <v>432</v>
      </c>
      <c r="M2452" s="84" t="s">
        <v>432</v>
      </c>
      <c r="N2452" s="84" t="s">
        <v>432</v>
      </c>
      <c r="O2452" s="84" t="s">
        <v>432</v>
      </c>
      <c r="P2452" s="84" t="s">
        <v>432</v>
      </c>
      <c r="Q2452" s="84" t="s">
        <v>432</v>
      </c>
      <c r="R2452" s="84" t="s">
        <v>432</v>
      </c>
      <c r="S2452" s="109" t="s">
        <v>2209</v>
      </c>
      <c r="T2452" s="84" t="s">
        <v>432</v>
      </c>
      <c r="U2452" s="84" t="s">
        <v>432</v>
      </c>
      <c r="V2452" s="109" t="s">
        <v>2209</v>
      </c>
      <c r="W2452" s="84" t="s">
        <v>432</v>
      </c>
      <c r="X2452" s="84" t="s">
        <v>432</v>
      </c>
      <c r="Y2452" s="84" t="s">
        <v>432</v>
      </c>
      <c r="Z2452" s="84" t="s">
        <v>432</v>
      </c>
      <c r="AA2452" s="84" t="s">
        <v>432</v>
      </c>
      <c r="AB2452" s="86">
        <v>6048</v>
      </c>
      <c r="AC2452" s="86">
        <v>6035</v>
      </c>
      <c r="AD2452" s="86">
        <v>6027</v>
      </c>
      <c r="AE2452" s="86">
        <v>6017</v>
      </c>
      <c r="AF2452" s="86">
        <v>5998</v>
      </c>
      <c r="AG2452" s="86">
        <v>5997</v>
      </c>
      <c r="AH2452" s="86">
        <v>5991</v>
      </c>
      <c r="AI2452" s="87">
        <v>6515</v>
      </c>
      <c r="AJ2452" s="67">
        <f>AJ2429+AJ2431+AJ2432</f>
        <v>6613</v>
      </c>
      <c r="AK2452" s="67">
        <f>AK2429+AK2431+AK2432</f>
        <v>6915</v>
      </c>
      <c r="AL2452" s="601" t="s">
        <v>432</v>
      </c>
      <c r="AM2452" s="137" t="s">
        <v>432</v>
      </c>
      <c r="AN2452" s="137" t="s">
        <v>432</v>
      </c>
      <c r="AO2452" s="137" t="s">
        <v>432</v>
      </c>
      <c r="AP2452" s="137" t="s">
        <v>432</v>
      </c>
      <c r="AQ2452" s="137" t="s">
        <v>432</v>
      </c>
      <c r="AR2452" s="137" t="s">
        <v>432</v>
      </c>
      <c r="AS2452" s="137" t="s">
        <v>432</v>
      </c>
      <c r="AT2452" s="137" t="s">
        <v>432</v>
      </c>
      <c r="AU2452" s="137" t="s">
        <v>432</v>
      </c>
      <c r="AV2452" s="137" t="s">
        <v>432</v>
      </c>
      <c r="AW2452" s="137" t="s">
        <v>432</v>
      </c>
      <c r="AX2452" s="137" t="s">
        <v>432</v>
      </c>
      <c r="AY2452" s="137" t="s">
        <v>432</v>
      </c>
      <c r="AZ2452" s="137" t="s">
        <v>432</v>
      </c>
      <c r="BA2452" s="137" t="s">
        <v>432</v>
      </c>
      <c r="BB2452" s="239" t="str">
        <f t="shared" si="733"/>
        <v>Táxix</v>
      </c>
      <c r="BC2452" s="239" t="str">
        <f t="shared" si="734"/>
        <v>Táxixx</v>
      </c>
      <c r="BD2452" s="239" t="str">
        <f t="shared" si="735"/>
        <v>Táxix</v>
      </c>
      <c r="BM2452" s="19"/>
      <c r="BN2452" s="19"/>
      <c r="BO2452" s="19"/>
    </row>
    <row r="2453" spans="1:67" s="1" customFormat="1" ht="51" customHeight="1" x14ac:dyDescent="0.25">
      <c r="A2453" s="275" t="str">
        <f>'Q100b-totais'!$B$56</f>
        <v>8.4</v>
      </c>
      <c r="B2453" s="54" t="s">
        <v>641</v>
      </c>
      <c r="C2453" s="229" t="s">
        <v>432</v>
      </c>
      <c r="D2453" s="324" t="s">
        <v>2693</v>
      </c>
      <c r="E2453" s="1402" t="s">
        <v>1306</v>
      </c>
      <c r="F2453" s="14" t="s">
        <v>4693</v>
      </c>
      <c r="G2453" s="110" t="s">
        <v>77</v>
      </c>
      <c r="H2453" s="173" t="s">
        <v>432</v>
      </c>
      <c r="I2453" s="157">
        <v>1</v>
      </c>
      <c r="J2453" s="93" t="s">
        <v>432</v>
      </c>
      <c r="K2453" s="84" t="s">
        <v>432</v>
      </c>
      <c r="L2453" s="84" t="s">
        <v>432</v>
      </c>
      <c r="M2453" s="84" t="s">
        <v>432</v>
      </c>
      <c r="N2453" s="84" t="s">
        <v>432</v>
      </c>
      <c r="O2453" s="84" t="s">
        <v>432</v>
      </c>
      <c r="P2453" s="84" t="s">
        <v>432</v>
      </c>
      <c r="Q2453" s="84" t="s">
        <v>432</v>
      </c>
      <c r="R2453" s="84" t="s">
        <v>432</v>
      </c>
      <c r="S2453" s="109" t="s">
        <v>2209</v>
      </c>
      <c r="T2453" s="84" t="s">
        <v>432</v>
      </c>
      <c r="U2453" s="84" t="s">
        <v>432</v>
      </c>
      <c r="V2453" s="109" t="s">
        <v>2209</v>
      </c>
      <c r="W2453" s="84" t="s">
        <v>432</v>
      </c>
      <c r="X2453" s="84" t="s">
        <v>432</v>
      </c>
      <c r="Y2453" s="84" t="s">
        <v>432</v>
      </c>
      <c r="Z2453" s="84" t="s">
        <v>432</v>
      </c>
      <c r="AA2453" s="84" t="s">
        <v>432</v>
      </c>
      <c r="AB2453" s="84" t="s">
        <v>432</v>
      </c>
      <c r="AC2453" s="84" t="s">
        <v>432</v>
      </c>
      <c r="AD2453" s="84" t="s">
        <v>432</v>
      </c>
      <c r="AE2453" s="84" t="s">
        <v>432</v>
      </c>
      <c r="AF2453" s="84" t="s">
        <v>432</v>
      </c>
      <c r="AG2453" s="84" t="s">
        <v>432</v>
      </c>
      <c r="AH2453" s="84" t="s">
        <v>432</v>
      </c>
      <c r="AI2453" s="84" t="s">
        <v>432</v>
      </c>
      <c r="AJ2453" s="84">
        <v>113</v>
      </c>
      <c r="AK2453" s="84">
        <v>113</v>
      </c>
      <c r="AL2453" s="601" t="s">
        <v>432</v>
      </c>
      <c r="AM2453" s="137" t="s">
        <v>432</v>
      </c>
      <c r="AN2453" s="137" t="s">
        <v>432</v>
      </c>
      <c r="AO2453" s="137" t="s">
        <v>432</v>
      </c>
      <c r="AP2453" s="137" t="s">
        <v>432</v>
      </c>
      <c r="AQ2453" s="137" t="s">
        <v>432</v>
      </c>
      <c r="AR2453" s="137" t="s">
        <v>432</v>
      </c>
      <c r="AS2453" s="137" t="s">
        <v>432</v>
      </c>
      <c r="AT2453" s="137" t="s">
        <v>432</v>
      </c>
      <c r="AU2453" s="137" t="s">
        <v>432</v>
      </c>
      <c r="AV2453" s="137" t="s">
        <v>432</v>
      </c>
      <c r="AW2453" s="137" t="s">
        <v>432</v>
      </c>
      <c r="AX2453" s="137" t="s">
        <v>432</v>
      </c>
      <c r="AY2453" s="137" t="s">
        <v>432</v>
      </c>
      <c r="AZ2453" s="137" t="s">
        <v>432</v>
      </c>
      <c r="BA2453" s="137" t="s">
        <v>432</v>
      </c>
      <c r="BB2453" s="239" t="str">
        <f t="shared" si="733"/>
        <v>Táxix</v>
      </c>
      <c r="BC2453" s="239" t="str">
        <f t="shared" si="734"/>
        <v>Táxixx</v>
      </c>
      <c r="BD2453" s="239" t="str">
        <f t="shared" si="735"/>
        <v>Táxix</v>
      </c>
      <c r="BM2453" s="19"/>
      <c r="BN2453" s="19"/>
      <c r="BO2453" s="19"/>
    </row>
    <row r="2454" spans="1:67" s="1" customFormat="1" ht="51" customHeight="1" x14ac:dyDescent="0.25">
      <c r="A2454" s="275" t="str">
        <f>'Q100b-totais'!$B$56</f>
        <v>8.4</v>
      </c>
      <c r="B2454" s="54" t="s">
        <v>641</v>
      </c>
      <c r="C2454" s="229" t="s">
        <v>432</v>
      </c>
      <c r="D2454" s="324" t="s">
        <v>2693</v>
      </c>
      <c r="E2454" s="1402" t="s">
        <v>1757</v>
      </c>
      <c r="F2454" s="14" t="s">
        <v>4696</v>
      </c>
      <c r="G2454" s="110" t="s">
        <v>77</v>
      </c>
      <c r="H2454" s="173" t="s">
        <v>432</v>
      </c>
      <c r="I2454" s="157">
        <v>1</v>
      </c>
      <c r="J2454" s="93" t="s">
        <v>432</v>
      </c>
      <c r="K2454" s="84" t="s">
        <v>432</v>
      </c>
      <c r="L2454" s="84" t="s">
        <v>432</v>
      </c>
      <c r="M2454" s="84" t="s">
        <v>432</v>
      </c>
      <c r="N2454" s="84" t="s">
        <v>432</v>
      </c>
      <c r="O2454" s="84" t="s">
        <v>432</v>
      </c>
      <c r="P2454" s="84" t="s">
        <v>432</v>
      </c>
      <c r="Q2454" s="84" t="s">
        <v>432</v>
      </c>
      <c r="R2454" s="84" t="s">
        <v>432</v>
      </c>
      <c r="S2454" s="109" t="s">
        <v>2209</v>
      </c>
      <c r="T2454" s="84" t="s">
        <v>432</v>
      </c>
      <c r="U2454" s="84" t="s">
        <v>432</v>
      </c>
      <c r="V2454" s="109" t="s">
        <v>2209</v>
      </c>
      <c r="W2454" s="84" t="s">
        <v>432</v>
      </c>
      <c r="X2454" s="84" t="s">
        <v>432</v>
      </c>
      <c r="Y2454" s="84" t="s">
        <v>432</v>
      </c>
      <c r="Z2454" s="84" t="s">
        <v>432</v>
      </c>
      <c r="AA2454" s="84" t="s">
        <v>432</v>
      </c>
      <c r="AB2454" s="84" t="s">
        <v>432</v>
      </c>
      <c r="AC2454" s="84" t="s">
        <v>432</v>
      </c>
      <c r="AD2454" s="84" t="s">
        <v>432</v>
      </c>
      <c r="AE2454" s="84" t="s">
        <v>432</v>
      </c>
      <c r="AF2454" s="84" t="s">
        <v>432</v>
      </c>
      <c r="AG2454" s="84" t="s">
        <v>432</v>
      </c>
      <c r="AH2454" s="84" t="s">
        <v>432</v>
      </c>
      <c r="AI2454" s="84" t="s">
        <v>432</v>
      </c>
      <c r="AJ2454" s="84">
        <v>0</v>
      </c>
      <c r="AK2454" s="84">
        <v>0</v>
      </c>
      <c r="AL2454" s="601" t="s">
        <v>432</v>
      </c>
      <c r="AM2454" s="137" t="s">
        <v>432</v>
      </c>
      <c r="AN2454" s="137" t="s">
        <v>432</v>
      </c>
      <c r="AO2454" s="137" t="s">
        <v>432</v>
      </c>
      <c r="AP2454" s="137" t="s">
        <v>432</v>
      </c>
      <c r="AQ2454" s="137" t="s">
        <v>432</v>
      </c>
      <c r="AR2454" s="137" t="s">
        <v>432</v>
      </c>
      <c r="AS2454" s="137" t="s">
        <v>432</v>
      </c>
      <c r="AT2454" s="137" t="s">
        <v>432</v>
      </c>
      <c r="AU2454" s="137" t="s">
        <v>432</v>
      </c>
      <c r="AV2454" s="137" t="s">
        <v>432</v>
      </c>
      <c r="AW2454" s="137" t="s">
        <v>432</v>
      </c>
      <c r="AX2454" s="137" t="s">
        <v>432</v>
      </c>
      <c r="AY2454" s="137" t="s">
        <v>432</v>
      </c>
      <c r="AZ2454" s="137" t="s">
        <v>432</v>
      </c>
      <c r="BA2454" s="137" t="s">
        <v>432</v>
      </c>
      <c r="BB2454" s="239" t="str">
        <f t="shared" si="733"/>
        <v>Táxix</v>
      </c>
      <c r="BC2454" s="239" t="str">
        <f t="shared" si="734"/>
        <v>Táxixx</v>
      </c>
      <c r="BD2454" s="239" t="str">
        <f t="shared" si="735"/>
        <v>Táxix</v>
      </c>
      <c r="BM2454" s="19"/>
      <c r="BN2454" s="19"/>
      <c r="BO2454" s="19"/>
    </row>
    <row r="2455" spans="1:67" s="1" customFormat="1" ht="51" customHeight="1" x14ac:dyDescent="0.25">
      <c r="A2455" s="275" t="str">
        <f>'Q100b-totais'!$B$56</f>
        <v>8.4</v>
      </c>
      <c r="B2455" s="1205" t="s">
        <v>641</v>
      </c>
      <c r="C2455" s="167" t="s">
        <v>432</v>
      </c>
      <c r="D2455" s="324" t="s">
        <v>2910</v>
      </c>
      <c r="E2455" s="254" t="s">
        <v>1298</v>
      </c>
      <c r="F2455" s="11" t="s">
        <v>4695</v>
      </c>
      <c r="G2455" s="111" t="s">
        <v>2702</v>
      </c>
      <c r="H2455" s="173" t="s">
        <v>432</v>
      </c>
      <c r="I2455" s="157">
        <v>1</v>
      </c>
      <c r="J2455" s="23" t="str">
        <f t="shared" ref="J2455:Q2455" si="736">J2453</f>
        <v>x</v>
      </c>
      <c r="K2455" s="23" t="str">
        <f t="shared" si="736"/>
        <v>x</v>
      </c>
      <c r="L2455" s="23" t="str">
        <f t="shared" si="736"/>
        <v>x</v>
      </c>
      <c r="M2455" s="23" t="str">
        <f t="shared" si="736"/>
        <v>x</v>
      </c>
      <c r="N2455" s="23" t="str">
        <f t="shared" si="736"/>
        <v>x</v>
      </c>
      <c r="O2455" s="23" t="str">
        <f t="shared" si="736"/>
        <v>x</v>
      </c>
      <c r="P2455" s="23" t="str">
        <f t="shared" si="736"/>
        <v>x</v>
      </c>
      <c r="Q2455" s="23" t="str">
        <f t="shared" si="736"/>
        <v>x</v>
      </c>
      <c r="R2455" s="23" t="str">
        <f t="shared" ref="R2455:AH2455" si="737">R2453</f>
        <v>x</v>
      </c>
      <c r="S2455" s="109" t="s">
        <v>2209</v>
      </c>
      <c r="T2455" s="23" t="str">
        <f t="shared" si="737"/>
        <v>x</v>
      </c>
      <c r="U2455" s="23" t="str">
        <f t="shared" si="737"/>
        <v>x</v>
      </c>
      <c r="V2455" s="109" t="s">
        <v>2209</v>
      </c>
      <c r="W2455" s="23" t="str">
        <f t="shared" si="737"/>
        <v>x</v>
      </c>
      <c r="X2455" s="23" t="str">
        <f t="shared" si="737"/>
        <v>x</v>
      </c>
      <c r="Y2455" s="23" t="str">
        <f t="shared" si="737"/>
        <v>x</v>
      </c>
      <c r="Z2455" s="23" t="str">
        <f t="shared" si="737"/>
        <v>x</v>
      </c>
      <c r="AA2455" s="23" t="str">
        <f t="shared" si="737"/>
        <v>x</v>
      </c>
      <c r="AB2455" s="23" t="str">
        <f t="shared" si="737"/>
        <v>x</v>
      </c>
      <c r="AC2455" s="23" t="str">
        <f t="shared" si="737"/>
        <v>x</v>
      </c>
      <c r="AD2455" s="23" t="str">
        <f t="shared" si="737"/>
        <v>x</v>
      </c>
      <c r="AE2455" s="23" t="str">
        <f t="shared" si="737"/>
        <v>x</v>
      </c>
      <c r="AF2455" s="23" t="str">
        <f t="shared" si="737"/>
        <v>x</v>
      </c>
      <c r="AG2455" s="23" t="str">
        <f t="shared" si="737"/>
        <v>x</v>
      </c>
      <c r="AH2455" s="23" t="str">
        <f t="shared" si="737"/>
        <v>x</v>
      </c>
      <c r="AI2455" s="23" t="str">
        <f>AI2453</f>
        <v>x</v>
      </c>
      <c r="AJ2455" s="23">
        <f>AJ2453</f>
        <v>113</v>
      </c>
      <c r="AK2455" s="23">
        <f>AK2453</f>
        <v>113</v>
      </c>
      <c r="AL2455" s="601" t="s">
        <v>432</v>
      </c>
      <c r="AM2455" s="137" t="s">
        <v>432</v>
      </c>
      <c r="AN2455" s="137" t="s">
        <v>432</v>
      </c>
      <c r="AO2455" s="137" t="s">
        <v>432</v>
      </c>
      <c r="AP2455" s="137" t="s">
        <v>432</v>
      </c>
      <c r="AQ2455" s="137" t="s">
        <v>432</v>
      </c>
      <c r="AR2455" s="137" t="s">
        <v>432</v>
      </c>
      <c r="AS2455" s="137" t="s">
        <v>432</v>
      </c>
      <c r="AT2455" s="137" t="s">
        <v>432</v>
      </c>
      <c r="AU2455" s="137" t="s">
        <v>432</v>
      </c>
      <c r="AV2455" s="137" t="s">
        <v>432</v>
      </c>
      <c r="AW2455" s="137" t="s">
        <v>432</v>
      </c>
      <c r="AX2455" s="137" t="s">
        <v>432</v>
      </c>
      <c r="AY2455" s="137" t="s">
        <v>432</v>
      </c>
      <c r="AZ2455" s="137" t="s">
        <v>432</v>
      </c>
      <c r="BA2455" s="137" t="s">
        <v>432</v>
      </c>
      <c r="BB2455" s="239" t="str">
        <f t="shared" si="733"/>
        <v>Táxix</v>
      </c>
      <c r="BC2455" s="239" t="str">
        <f t="shared" si="734"/>
        <v>Táxixx</v>
      </c>
      <c r="BD2455" s="239" t="str">
        <f t="shared" si="735"/>
        <v>Táxix</v>
      </c>
      <c r="BM2455" s="927"/>
      <c r="BN2455" s="927"/>
      <c r="BO2455" s="927"/>
    </row>
    <row r="2456" spans="1:67" s="1" customFormat="1" ht="70.5" customHeight="1" x14ac:dyDescent="0.25">
      <c r="A2456" s="275" t="str">
        <f>'Q100b-totais'!$B$56</f>
        <v>8.4</v>
      </c>
      <c r="B2456" s="1205" t="s">
        <v>641</v>
      </c>
      <c r="C2456" s="167" t="s">
        <v>432</v>
      </c>
      <c r="D2456" s="362" t="s">
        <v>2698</v>
      </c>
      <c r="E2456" s="1502" t="s">
        <v>1298</v>
      </c>
      <c r="F2456" s="926" t="s">
        <v>4694</v>
      </c>
      <c r="G2456" s="111" t="s">
        <v>2702</v>
      </c>
      <c r="H2456" s="173" t="s">
        <v>432</v>
      </c>
      <c r="I2456" s="157">
        <v>1</v>
      </c>
      <c r="J2456" s="23" t="str">
        <f t="shared" ref="J2456:R2456" si="738">J2453</f>
        <v>x</v>
      </c>
      <c r="K2456" s="23" t="str">
        <f t="shared" si="738"/>
        <v>x</v>
      </c>
      <c r="L2456" s="23" t="str">
        <f t="shared" si="738"/>
        <v>x</v>
      </c>
      <c r="M2456" s="23" t="str">
        <f t="shared" si="738"/>
        <v>x</v>
      </c>
      <c r="N2456" s="23" t="str">
        <f t="shared" si="738"/>
        <v>x</v>
      </c>
      <c r="O2456" s="23" t="str">
        <f t="shared" si="738"/>
        <v>x</v>
      </c>
      <c r="P2456" s="23" t="str">
        <f t="shared" si="738"/>
        <v>x</v>
      </c>
      <c r="Q2456" s="23" t="str">
        <f t="shared" si="738"/>
        <v>x</v>
      </c>
      <c r="R2456" s="23" t="str">
        <f t="shared" si="738"/>
        <v>x</v>
      </c>
      <c r="S2456" s="109" t="s">
        <v>2209</v>
      </c>
      <c r="T2456" s="23" t="str">
        <f>T2453</f>
        <v>x</v>
      </c>
      <c r="U2456" s="23" t="str">
        <f>U2453</f>
        <v>x</v>
      </c>
      <c r="V2456" s="109" t="s">
        <v>2209</v>
      </c>
      <c r="W2456" s="23" t="str">
        <f t="shared" ref="W2456:AK2456" si="739">W2453</f>
        <v>x</v>
      </c>
      <c r="X2456" s="23" t="str">
        <f t="shared" si="739"/>
        <v>x</v>
      </c>
      <c r="Y2456" s="23" t="str">
        <f t="shared" si="739"/>
        <v>x</v>
      </c>
      <c r="Z2456" s="23" t="str">
        <f t="shared" si="739"/>
        <v>x</v>
      </c>
      <c r="AA2456" s="23" t="str">
        <f t="shared" si="739"/>
        <v>x</v>
      </c>
      <c r="AB2456" s="23" t="str">
        <f t="shared" si="739"/>
        <v>x</v>
      </c>
      <c r="AC2456" s="23" t="str">
        <f t="shared" si="739"/>
        <v>x</v>
      </c>
      <c r="AD2456" s="23" t="str">
        <f t="shared" si="739"/>
        <v>x</v>
      </c>
      <c r="AE2456" s="23" t="str">
        <f t="shared" si="739"/>
        <v>x</v>
      </c>
      <c r="AF2456" s="23" t="str">
        <f t="shared" si="739"/>
        <v>x</v>
      </c>
      <c r="AG2456" s="23" t="str">
        <f t="shared" si="739"/>
        <v>x</v>
      </c>
      <c r="AH2456" s="23" t="str">
        <f t="shared" si="739"/>
        <v>x</v>
      </c>
      <c r="AI2456" s="23" t="str">
        <f t="shared" si="739"/>
        <v>x</v>
      </c>
      <c r="AJ2456" s="23">
        <f t="shared" si="739"/>
        <v>113</v>
      </c>
      <c r="AK2456" s="23">
        <f t="shared" si="739"/>
        <v>113</v>
      </c>
      <c r="AL2456" s="601" t="s">
        <v>432</v>
      </c>
      <c r="AM2456" s="137" t="s">
        <v>432</v>
      </c>
      <c r="AN2456" s="137" t="s">
        <v>432</v>
      </c>
      <c r="AO2456" s="137" t="s">
        <v>432</v>
      </c>
      <c r="AP2456" s="137" t="s">
        <v>432</v>
      </c>
      <c r="AQ2456" s="137" t="s">
        <v>432</v>
      </c>
      <c r="AR2456" s="137" t="s">
        <v>432</v>
      </c>
      <c r="AS2456" s="137" t="s">
        <v>432</v>
      </c>
      <c r="AT2456" s="137" t="s">
        <v>432</v>
      </c>
      <c r="AU2456" s="137" t="s">
        <v>432</v>
      </c>
      <c r="AV2456" s="137" t="s">
        <v>432</v>
      </c>
      <c r="AW2456" s="137" t="s">
        <v>432</v>
      </c>
      <c r="AX2456" s="137" t="s">
        <v>432</v>
      </c>
      <c r="AY2456" s="137" t="s">
        <v>432</v>
      </c>
      <c r="AZ2456" s="137" t="s">
        <v>432</v>
      </c>
      <c r="BA2456" s="137" t="s">
        <v>432</v>
      </c>
      <c r="BB2456" s="239" t="str">
        <f t="shared" si="733"/>
        <v>Táxix</v>
      </c>
      <c r="BC2456" s="239" t="str">
        <f t="shared" si="734"/>
        <v>Táxixx</v>
      </c>
      <c r="BD2456" s="239" t="str">
        <f t="shared" si="735"/>
        <v>Táxix</v>
      </c>
      <c r="BM2456" s="19"/>
      <c r="BN2456" s="19"/>
      <c r="BO2456" s="19"/>
    </row>
    <row r="2457" spans="1:67" s="1" customFormat="1" ht="100.5" customHeight="1" x14ac:dyDescent="0.25">
      <c r="A2457" s="275" t="str">
        <f>'Q100b-totais'!$B$56</f>
        <v>8.4</v>
      </c>
      <c r="B2457" s="54" t="s">
        <v>641</v>
      </c>
      <c r="C2457" s="229" t="s">
        <v>432</v>
      </c>
      <c r="D2457" s="362" t="s">
        <v>2678</v>
      </c>
      <c r="E2457" s="1502" t="s">
        <v>1298</v>
      </c>
      <c r="F2457" s="926" t="s">
        <v>1366</v>
      </c>
      <c r="G2457" s="58" t="s">
        <v>2677</v>
      </c>
      <c r="H2457" s="173" t="s">
        <v>432</v>
      </c>
      <c r="I2457" s="157">
        <v>1</v>
      </c>
      <c r="J2457" s="58" t="s">
        <v>432</v>
      </c>
      <c r="K2457" s="23" t="s">
        <v>432</v>
      </c>
      <c r="L2457" s="23" t="s">
        <v>432</v>
      </c>
      <c r="M2457" s="23" t="s">
        <v>432</v>
      </c>
      <c r="N2457" s="23" t="s">
        <v>432</v>
      </c>
      <c r="O2457" s="23" t="s">
        <v>432</v>
      </c>
      <c r="P2457" s="23" t="s">
        <v>432</v>
      </c>
      <c r="Q2457" s="23" t="s">
        <v>432</v>
      </c>
      <c r="R2457" s="23" t="s">
        <v>432</v>
      </c>
      <c r="S2457" s="109" t="s">
        <v>2209</v>
      </c>
      <c r="T2457" s="23" t="s">
        <v>432</v>
      </c>
      <c r="U2457" s="23" t="s">
        <v>432</v>
      </c>
      <c r="V2457" s="109" t="s">
        <v>2209</v>
      </c>
      <c r="W2457" s="23" t="s">
        <v>432</v>
      </c>
      <c r="X2457" s="23" t="s">
        <v>432</v>
      </c>
      <c r="Y2457" s="23" t="s">
        <v>432</v>
      </c>
      <c r="Z2457" s="23" t="s">
        <v>432</v>
      </c>
      <c r="AA2457" s="23" t="s">
        <v>432</v>
      </c>
      <c r="AB2457" s="23" t="s">
        <v>432</v>
      </c>
      <c r="AC2457" s="23" t="s">
        <v>432</v>
      </c>
      <c r="AD2457" s="23" t="s">
        <v>432</v>
      </c>
      <c r="AE2457" s="23" t="s">
        <v>432</v>
      </c>
      <c r="AF2457" s="23" t="s">
        <v>432</v>
      </c>
      <c r="AG2457" s="23" t="s">
        <v>432</v>
      </c>
      <c r="AH2457" s="23" t="s">
        <v>432</v>
      </c>
      <c r="AI2457" s="23" t="s">
        <v>432</v>
      </c>
      <c r="AJ2457" s="20">
        <f>AJ2452+AJ2430+AJ2433</f>
        <v>7023</v>
      </c>
      <c r="AK2457" s="20">
        <f>AK2452+AK2430+AK2433</f>
        <v>7325</v>
      </c>
      <c r="AL2457" s="601" t="s">
        <v>432</v>
      </c>
      <c r="AM2457" s="137" t="s">
        <v>432</v>
      </c>
      <c r="AN2457" s="137" t="s">
        <v>432</v>
      </c>
      <c r="AO2457" s="137" t="s">
        <v>432</v>
      </c>
      <c r="AP2457" s="137" t="s">
        <v>432</v>
      </c>
      <c r="AQ2457" s="137" t="s">
        <v>432</v>
      </c>
      <c r="AR2457" s="137" t="s">
        <v>432</v>
      </c>
      <c r="AS2457" s="137" t="s">
        <v>432</v>
      </c>
      <c r="AT2457" s="137" t="s">
        <v>432</v>
      </c>
      <c r="AU2457" s="137" t="s">
        <v>432</v>
      </c>
      <c r="AV2457" s="137" t="s">
        <v>432</v>
      </c>
      <c r="AW2457" s="137" t="s">
        <v>432</v>
      </c>
      <c r="AX2457" s="137" t="s">
        <v>432</v>
      </c>
      <c r="AY2457" s="137" t="s">
        <v>432</v>
      </c>
      <c r="AZ2457" s="137" t="s">
        <v>432</v>
      </c>
      <c r="BA2457" s="137" t="s">
        <v>432</v>
      </c>
      <c r="BB2457" s="239" t="str">
        <f t="shared" si="733"/>
        <v>Táxix</v>
      </c>
      <c r="BC2457" s="239" t="str">
        <f t="shared" si="734"/>
        <v>Táxixx</v>
      </c>
      <c r="BD2457" s="239" t="str">
        <f t="shared" si="735"/>
        <v>Táxix</v>
      </c>
      <c r="BM2457" s="19"/>
      <c r="BN2457" s="19"/>
      <c r="BO2457" s="19"/>
    </row>
    <row r="2458" spans="1:67" s="1" customFormat="1" x14ac:dyDescent="0.25">
      <c r="A2458" s="398"/>
      <c r="B2458" s="221"/>
      <c r="C2458" s="399"/>
      <c r="D2458" s="987"/>
      <c r="E2458" s="1533"/>
      <c r="F2458" s="405"/>
      <c r="G2458" s="405"/>
      <c r="H2458" s="399"/>
      <c r="I2458" s="405"/>
      <c r="J2458" s="221"/>
      <c r="K2458" s="403"/>
      <c r="L2458" s="403"/>
      <c r="M2458" s="403"/>
      <c r="N2458" s="403"/>
      <c r="O2458" s="403"/>
      <c r="P2458" s="403"/>
      <c r="Q2458" s="403"/>
      <c r="R2458" s="403"/>
      <c r="S2458" s="403"/>
      <c r="T2458" s="403"/>
      <c r="U2458" s="403"/>
      <c r="V2458" s="403"/>
      <c r="W2458" s="403"/>
      <c r="X2458" s="403"/>
      <c r="Y2458" s="403"/>
      <c r="Z2458" s="403"/>
      <c r="AA2458" s="403"/>
      <c r="AB2458" s="403"/>
      <c r="AC2458" s="403"/>
      <c r="AD2458" s="403"/>
      <c r="AE2458" s="403"/>
      <c r="AF2458" s="403"/>
      <c r="AG2458" s="403"/>
      <c r="AH2458" s="403"/>
      <c r="AI2458" s="403"/>
      <c r="AJ2458" s="403"/>
      <c r="AK2458" s="223"/>
      <c r="AL2458" s="223"/>
      <c r="AM2458" s="223"/>
      <c r="AN2458" s="223"/>
      <c r="AO2458" s="223"/>
      <c r="AP2458" s="223"/>
      <c r="AQ2458" s="223"/>
      <c r="AR2458" s="223"/>
      <c r="AS2458" s="223"/>
      <c r="AT2458" s="223"/>
      <c r="AU2458" s="223"/>
      <c r="AV2458" s="223"/>
      <c r="AW2458" s="223"/>
      <c r="AX2458" s="223"/>
      <c r="AY2458" s="223"/>
      <c r="AZ2458" s="223"/>
      <c r="BA2458" s="223"/>
      <c r="BB2458" s="400"/>
      <c r="BC2458" s="400"/>
      <c r="BD2458" s="400"/>
    </row>
    <row r="2459" spans="1:67" s="1" customFormat="1" ht="70.5" customHeight="1" x14ac:dyDescent="0.25">
      <c r="A2459" s="275" t="str">
        <f>'Q100b-totais'!B56</f>
        <v>8.4</v>
      </c>
      <c r="B2459" s="1205" t="str">
        <f>'Q100b-totais'!C56</f>
        <v>Táxi</v>
      </c>
      <c r="C2459" s="167" t="s">
        <v>743</v>
      </c>
      <c r="D2459" s="325" t="s">
        <v>3491</v>
      </c>
      <c r="E2459" s="1512" t="s">
        <v>3492</v>
      </c>
      <c r="F2459" s="14"/>
      <c r="G2459" s="17" t="s">
        <v>2701</v>
      </c>
      <c r="H2459" s="173" t="s">
        <v>432</v>
      </c>
      <c r="I2459" s="157" t="s">
        <v>432</v>
      </c>
      <c r="J2459" s="107" t="s">
        <v>432</v>
      </c>
      <c r="K2459" s="107" t="s">
        <v>432</v>
      </c>
      <c r="L2459" s="107" t="s">
        <v>432</v>
      </c>
      <c r="M2459" s="107" t="s">
        <v>432</v>
      </c>
      <c r="N2459" s="107" t="s">
        <v>432</v>
      </c>
      <c r="O2459" s="107" t="s">
        <v>432</v>
      </c>
      <c r="P2459" s="107" t="s">
        <v>432</v>
      </c>
      <c r="Q2459" s="107" t="s">
        <v>432</v>
      </c>
      <c r="R2459" s="107" t="s">
        <v>432</v>
      </c>
      <c r="S2459" s="109" t="s">
        <v>2209</v>
      </c>
      <c r="T2459" s="107" t="s">
        <v>432</v>
      </c>
      <c r="U2459" s="107" t="s">
        <v>432</v>
      </c>
      <c r="V2459" s="109" t="s">
        <v>2209</v>
      </c>
      <c r="W2459" s="107" t="s">
        <v>432</v>
      </c>
      <c r="X2459" s="107" t="s">
        <v>432</v>
      </c>
      <c r="Y2459" s="107" t="s">
        <v>432</v>
      </c>
      <c r="Z2459" s="107" t="s">
        <v>432</v>
      </c>
      <c r="AA2459" s="107" t="s">
        <v>432</v>
      </c>
      <c r="AB2459" s="107" t="s">
        <v>432</v>
      </c>
      <c r="AC2459" s="107" t="s">
        <v>432</v>
      </c>
      <c r="AD2459" s="107" t="s">
        <v>432</v>
      </c>
      <c r="AE2459" s="107" t="s">
        <v>432</v>
      </c>
      <c r="AF2459" s="107" t="s">
        <v>432</v>
      </c>
      <c r="AG2459" s="107" t="s">
        <v>432</v>
      </c>
      <c r="AH2459" s="107" t="s">
        <v>432</v>
      </c>
      <c r="AI2459" s="107" t="s">
        <v>432</v>
      </c>
      <c r="AJ2459" s="107" t="s">
        <v>432</v>
      </c>
      <c r="AK2459" s="107" t="s">
        <v>432</v>
      </c>
      <c r="AL2459" s="601" t="s">
        <v>432</v>
      </c>
      <c r="AM2459" s="137" t="s">
        <v>432</v>
      </c>
      <c r="AN2459" s="137" t="s">
        <v>432</v>
      </c>
      <c r="AO2459" s="137" t="s">
        <v>432</v>
      </c>
      <c r="AP2459" s="137" t="s">
        <v>432</v>
      </c>
      <c r="AQ2459" s="137" t="s">
        <v>432</v>
      </c>
      <c r="AR2459" s="137" t="s">
        <v>432</v>
      </c>
      <c r="AS2459" s="137" t="s">
        <v>432</v>
      </c>
      <c r="AT2459" s="137" t="s">
        <v>432</v>
      </c>
      <c r="AU2459" s="137" t="s">
        <v>432</v>
      </c>
      <c r="AV2459" s="137" t="s">
        <v>432</v>
      </c>
      <c r="AW2459" s="137" t="s">
        <v>432</v>
      </c>
      <c r="AX2459" s="137" t="s">
        <v>432</v>
      </c>
      <c r="AY2459" s="137" t="s">
        <v>432</v>
      </c>
      <c r="AZ2459" s="137" t="s">
        <v>432</v>
      </c>
      <c r="BA2459" s="137" t="s">
        <v>432</v>
      </c>
      <c r="BB2459" s="239" t="str">
        <f>B2459&amp;C2459</f>
        <v>Táxiacessibilidade</v>
      </c>
      <c r="BC2459" s="239" t="str">
        <f>B2459&amp;C2459&amp;H2459</f>
        <v>Táxiacessibilidadex</v>
      </c>
      <c r="BD2459" s="239" t="str">
        <f>B2459&amp;H2459</f>
        <v>Táxix</v>
      </c>
      <c r="BM2459" s="1091"/>
      <c r="BN2459" s="1091"/>
      <c r="BO2459" s="1091"/>
    </row>
    <row r="2460" spans="1:67" s="1" customFormat="1" x14ac:dyDescent="0.25">
      <c r="A2460" s="398"/>
      <c r="B2460" s="221"/>
      <c r="C2460" s="399"/>
      <c r="D2460" s="987"/>
      <c r="E2460" s="1533"/>
      <c r="F2460" s="405"/>
      <c r="G2460" s="405"/>
      <c r="H2460" s="399"/>
      <c r="I2460" s="405"/>
      <c r="J2460" s="221"/>
      <c r="K2460" s="403"/>
      <c r="L2460" s="403"/>
      <c r="M2460" s="403"/>
      <c r="N2460" s="403"/>
      <c r="O2460" s="403"/>
      <c r="P2460" s="403"/>
      <c r="Q2460" s="403"/>
      <c r="R2460" s="403"/>
      <c r="S2460" s="403"/>
      <c r="T2460" s="403"/>
      <c r="U2460" s="403"/>
      <c r="V2460" s="403"/>
      <c r="W2460" s="403"/>
      <c r="X2460" s="403"/>
      <c r="Y2460" s="403"/>
      <c r="Z2460" s="403"/>
      <c r="AA2460" s="403"/>
      <c r="AB2460" s="403"/>
      <c r="AC2460" s="403"/>
      <c r="AD2460" s="403"/>
      <c r="AE2460" s="403"/>
      <c r="AF2460" s="403"/>
      <c r="AG2460" s="403"/>
      <c r="AH2460" s="403"/>
      <c r="AI2460" s="403"/>
      <c r="AJ2460" s="403"/>
      <c r="AK2460" s="223"/>
      <c r="AL2460" s="223"/>
      <c r="AM2460" s="223"/>
      <c r="AN2460" s="223"/>
      <c r="AO2460" s="223"/>
      <c r="AP2460" s="223"/>
      <c r="AQ2460" s="223"/>
      <c r="AR2460" s="223"/>
      <c r="AS2460" s="223"/>
      <c r="AT2460" s="223"/>
      <c r="AU2460" s="223"/>
      <c r="AV2460" s="223"/>
      <c r="AW2460" s="223"/>
      <c r="AX2460" s="223"/>
      <c r="AY2460" s="223"/>
      <c r="AZ2460" s="223"/>
      <c r="BA2460" s="223"/>
      <c r="BB2460" s="400"/>
      <c r="BC2460" s="400"/>
      <c r="BD2460" s="400"/>
    </row>
    <row r="2461" spans="1:67" s="1" customFormat="1" ht="44.25" customHeight="1" x14ac:dyDescent="0.25">
      <c r="A2461" s="275" t="str">
        <f>'Q100b-totais'!$B$56</f>
        <v>8.4</v>
      </c>
      <c r="B2461" s="1205" t="s">
        <v>641</v>
      </c>
      <c r="C2461" s="167" t="s">
        <v>432</v>
      </c>
      <c r="D2461" s="362" t="s">
        <v>2659</v>
      </c>
      <c r="E2461" s="1507" t="s">
        <v>1306</v>
      </c>
      <c r="F2461" s="925" t="s">
        <v>524</v>
      </c>
      <c r="G2461" s="425" t="s">
        <v>2690</v>
      </c>
      <c r="H2461" s="167" t="s">
        <v>432</v>
      </c>
      <c r="I2461" s="157">
        <v>1</v>
      </c>
      <c r="J2461" s="58" t="s">
        <v>432</v>
      </c>
      <c r="K2461" s="23" t="s">
        <v>432</v>
      </c>
      <c r="L2461" s="23" t="s">
        <v>432</v>
      </c>
      <c r="M2461" s="23" t="s">
        <v>432</v>
      </c>
      <c r="N2461" s="23" t="s">
        <v>432</v>
      </c>
      <c r="O2461" s="23" t="s">
        <v>432</v>
      </c>
      <c r="P2461" s="23" t="s">
        <v>432</v>
      </c>
      <c r="Q2461" s="23" t="s">
        <v>432</v>
      </c>
      <c r="R2461" s="23" t="s">
        <v>432</v>
      </c>
      <c r="S2461" s="109" t="s">
        <v>2209</v>
      </c>
      <c r="T2461" s="23" t="s">
        <v>432</v>
      </c>
      <c r="U2461" s="23" t="s">
        <v>432</v>
      </c>
      <c r="V2461" s="109" t="s">
        <v>2209</v>
      </c>
      <c r="W2461" s="23" t="s">
        <v>432</v>
      </c>
      <c r="X2461" s="23" t="s">
        <v>432</v>
      </c>
      <c r="Y2461" s="23" t="s">
        <v>432</v>
      </c>
      <c r="Z2461" s="23" t="s">
        <v>432</v>
      </c>
      <c r="AA2461" s="23" t="s">
        <v>432</v>
      </c>
      <c r="AB2461" s="23" t="s">
        <v>432</v>
      </c>
      <c r="AC2461" s="23" t="s">
        <v>432</v>
      </c>
      <c r="AD2461" s="23" t="s">
        <v>432</v>
      </c>
      <c r="AE2461" s="23" t="s">
        <v>432</v>
      </c>
      <c r="AF2461" s="23" t="s">
        <v>432</v>
      </c>
      <c r="AG2461" s="23" t="s">
        <v>432</v>
      </c>
      <c r="AH2461" s="23" t="s">
        <v>432</v>
      </c>
      <c r="AI2461" s="23" t="s">
        <v>432</v>
      </c>
      <c r="AJ2461" s="64">
        <f>(AJ2429/AJ1855)*1000</f>
        <v>2.6401895701874145</v>
      </c>
      <c r="AK2461" s="64">
        <f>(AK2429/AK1855)*1000</f>
        <v>2.7487885390822266</v>
      </c>
      <c r="AL2461" s="601" t="s">
        <v>432</v>
      </c>
      <c r="AM2461" s="137" t="s">
        <v>432</v>
      </c>
      <c r="AN2461" s="137" t="s">
        <v>432</v>
      </c>
      <c r="AO2461" s="137" t="s">
        <v>432</v>
      </c>
      <c r="AP2461" s="137" t="s">
        <v>432</v>
      </c>
      <c r="AQ2461" s="137" t="s">
        <v>432</v>
      </c>
      <c r="AR2461" s="137" t="s">
        <v>432</v>
      </c>
      <c r="AS2461" s="137" t="s">
        <v>432</v>
      </c>
      <c r="AT2461" s="137" t="s">
        <v>432</v>
      </c>
      <c r="AU2461" s="137" t="s">
        <v>432</v>
      </c>
      <c r="AV2461" s="137" t="s">
        <v>432</v>
      </c>
      <c r="AW2461" s="137" t="s">
        <v>432</v>
      </c>
      <c r="AX2461" s="137" t="s">
        <v>432</v>
      </c>
      <c r="AY2461" s="137" t="s">
        <v>432</v>
      </c>
      <c r="AZ2461" s="137" t="s">
        <v>432</v>
      </c>
      <c r="BA2461" s="137" t="s">
        <v>432</v>
      </c>
      <c r="BB2461" s="239" t="str">
        <f>B2461&amp;C2461</f>
        <v>Táxix</v>
      </c>
      <c r="BC2461" s="239" t="str">
        <f>B2461&amp;C2461&amp;H2461</f>
        <v>Táxixx</v>
      </c>
      <c r="BD2461" s="239" t="str">
        <f>B2461&amp;H2461</f>
        <v>Táxix</v>
      </c>
      <c r="BM2461" s="19"/>
      <c r="BN2461" s="19"/>
      <c r="BO2461" s="19"/>
    </row>
    <row r="2462" spans="1:67" s="1" customFormat="1" ht="31.5" x14ac:dyDescent="0.25">
      <c r="A2462" s="275" t="str">
        <f>'Q100b-totais'!$B$56</f>
        <v>8.4</v>
      </c>
      <c r="B2462" s="54" t="s">
        <v>641</v>
      </c>
      <c r="C2462" s="229" t="s">
        <v>432</v>
      </c>
      <c r="D2462" s="324" t="s">
        <v>2659</v>
      </c>
      <c r="E2462" s="254" t="s">
        <v>1298</v>
      </c>
      <c r="F2462" s="14" t="s">
        <v>2699</v>
      </c>
      <c r="G2462" s="17" t="s">
        <v>2701</v>
      </c>
      <c r="H2462" s="167" t="s">
        <v>432</v>
      </c>
      <c r="I2462" s="157">
        <v>1</v>
      </c>
      <c r="J2462" s="107" t="s">
        <v>432</v>
      </c>
      <c r="K2462" s="107" t="s">
        <v>432</v>
      </c>
      <c r="L2462" s="107" t="s">
        <v>432</v>
      </c>
      <c r="M2462" s="107" t="s">
        <v>432</v>
      </c>
      <c r="N2462" s="107" t="s">
        <v>432</v>
      </c>
      <c r="O2462" s="107" t="s">
        <v>432</v>
      </c>
      <c r="P2462" s="107" t="s">
        <v>432</v>
      </c>
      <c r="Q2462" s="107" t="s">
        <v>432</v>
      </c>
      <c r="R2462" s="107" t="s">
        <v>432</v>
      </c>
      <c r="S2462" s="109" t="s">
        <v>2209</v>
      </c>
      <c r="T2462" s="107" t="s">
        <v>432</v>
      </c>
      <c r="U2462" s="107" t="s">
        <v>432</v>
      </c>
      <c r="V2462" s="109" t="s">
        <v>2209</v>
      </c>
      <c r="W2462" s="107" t="s">
        <v>432</v>
      </c>
      <c r="X2462" s="107" t="s">
        <v>432</v>
      </c>
      <c r="Y2462" s="107" t="s">
        <v>432</v>
      </c>
      <c r="Z2462" s="107" t="s">
        <v>432</v>
      </c>
      <c r="AA2462" s="107" t="s">
        <v>432</v>
      </c>
      <c r="AB2462" s="107" t="s">
        <v>432</v>
      </c>
      <c r="AC2462" s="107" t="s">
        <v>432</v>
      </c>
      <c r="AD2462" s="107" t="s">
        <v>432</v>
      </c>
      <c r="AE2462" s="107" t="s">
        <v>432</v>
      </c>
      <c r="AF2462" s="107" t="s">
        <v>432</v>
      </c>
      <c r="AG2462" s="107" t="s">
        <v>432</v>
      </c>
      <c r="AH2462" s="107" t="s">
        <v>432</v>
      </c>
      <c r="AI2462" s="107" t="s">
        <v>432</v>
      </c>
      <c r="AJ2462" s="107" t="s">
        <v>432</v>
      </c>
      <c r="AK2462" s="107" t="s">
        <v>432</v>
      </c>
      <c r="AL2462" s="601" t="s">
        <v>432</v>
      </c>
      <c r="AM2462" s="137" t="s">
        <v>432</v>
      </c>
      <c r="AN2462" s="137" t="s">
        <v>432</v>
      </c>
      <c r="AO2462" s="137" t="s">
        <v>432</v>
      </c>
      <c r="AP2462" s="137" t="s">
        <v>432</v>
      </c>
      <c r="AQ2462" s="137" t="s">
        <v>432</v>
      </c>
      <c r="AR2462" s="137" t="s">
        <v>432</v>
      </c>
      <c r="AS2462" s="137" t="s">
        <v>432</v>
      </c>
      <c r="AT2462" s="137" t="s">
        <v>432</v>
      </c>
      <c r="AU2462" s="137" t="s">
        <v>432</v>
      </c>
      <c r="AV2462" s="137" t="s">
        <v>432</v>
      </c>
      <c r="AW2462" s="137" t="s">
        <v>432</v>
      </c>
      <c r="AX2462" s="137" t="s">
        <v>432</v>
      </c>
      <c r="AY2462" s="137" t="s">
        <v>432</v>
      </c>
      <c r="AZ2462" s="137" t="s">
        <v>432</v>
      </c>
      <c r="BA2462" s="137" t="s">
        <v>432</v>
      </c>
      <c r="BB2462" s="239" t="str">
        <f>B2462&amp;C2462</f>
        <v>Táxix</v>
      </c>
      <c r="BC2462" s="239" t="str">
        <f>B2462&amp;C2462&amp;H2462</f>
        <v>Táxixx</v>
      </c>
      <c r="BD2462" s="239" t="str">
        <f>B2462&amp;H2462</f>
        <v>Táxix</v>
      </c>
      <c r="BM2462" s="885"/>
      <c r="BN2462" s="885"/>
      <c r="BO2462" s="885"/>
    </row>
    <row r="2463" spans="1:67" s="1" customFormat="1" ht="41.25" customHeight="1" x14ac:dyDescent="0.25">
      <c r="A2463" s="275" t="str">
        <f>'Q100b-totais'!B56</f>
        <v>8.4</v>
      </c>
      <c r="B2463" s="13" t="str">
        <f>'Q100b-totais'!C56</f>
        <v>Táxi</v>
      </c>
      <c r="C2463" s="229" t="s">
        <v>432</v>
      </c>
      <c r="D2463" s="324" t="s">
        <v>2659</v>
      </c>
      <c r="E2463" s="254" t="s">
        <v>1298</v>
      </c>
      <c r="F2463" s="14" t="s">
        <v>2700</v>
      </c>
      <c r="G2463" s="17" t="s">
        <v>2701</v>
      </c>
      <c r="H2463" s="167" t="s">
        <v>432</v>
      </c>
      <c r="I2463" s="157">
        <v>1</v>
      </c>
      <c r="J2463" s="107" t="s">
        <v>432</v>
      </c>
      <c r="K2463" s="107" t="s">
        <v>432</v>
      </c>
      <c r="L2463" s="107" t="s">
        <v>432</v>
      </c>
      <c r="M2463" s="107" t="s">
        <v>432</v>
      </c>
      <c r="N2463" s="107" t="s">
        <v>432</v>
      </c>
      <c r="O2463" s="107" t="s">
        <v>432</v>
      </c>
      <c r="P2463" s="107" t="s">
        <v>432</v>
      </c>
      <c r="Q2463" s="107" t="s">
        <v>432</v>
      </c>
      <c r="R2463" s="107" t="s">
        <v>432</v>
      </c>
      <c r="S2463" s="109" t="s">
        <v>2209</v>
      </c>
      <c r="T2463" s="107" t="s">
        <v>432</v>
      </c>
      <c r="U2463" s="107" t="s">
        <v>432</v>
      </c>
      <c r="V2463" s="109" t="s">
        <v>2209</v>
      </c>
      <c r="W2463" s="107" t="s">
        <v>432</v>
      </c>
      <c r="X2463" s="107" t="s">
        <v>432</v>
      </c>
      <c r="Y2463" s="107" t="s">
        <v>432</v>
      </c>
      <c r="Z2463" s="107" t="s">
        <v>432</v>
      </c>
      <c r="AA2463" s="107" t="s">
        <v>432</v>
      </c>
      <c r="AB2463" s="107" t="s">
        <v>432</v>
      </c>
      <c r="AC2463" s="107" t="s">
        <v>432</v>
      </c>
      <c r="AD2463" s="107" t="s">
        <v>432</v>
      </c>
      <c r="AE2463" s="107" t="s">
        <v>432</v>
      </c>
      <c r="AF2463" s="107" t="s">
        <v>432</v>
      </c>
      <c r="AG2463" s="107" t="s">
        <v>432</v>
      </c>
      <c r="AH2463" s="107" t="s">
        <v>432</v>
      </c>
      <c r="AI2463" s="107" t="s">
        <v>432</v>
      </c>
      <c r="AJ2463" s="107" t="s">
        <v>432</v>
      </c>
      <c r="AK2463" s="107" t="s">
        <v>432</v>
      </c>
      <c r="AL2463" s="601" t="s">
        <v>432</v>
      </c>
      <c r="AM2463" s="137" t="s">
        <v>432</v>
      </c>
      <c r="AN2463" s="137" t="s">
        <v>432</v>
      </c>
      <c r="AO2463" s="137" t="s">
        <v>432</v>
      </c>
      <c r="AP2463" s="137" t="s">
        <v>432</v>
      </c>
      <c r="AQ2463" s="137" t="s">
        <v>432</v>
      </c>
      <c r="AR2463" s="137" t="s">
        <v>432</v>
      </c>
      <c r="AS2463" s="137" t="s">
        <v>432</v>
      </c>
      <c r="AT2463" s="137" t="s">
        <v>432</v>
      </c>
      <c r="AU2463" s="137" t="s">
        <v>432</v>
      </c>
      <c r="AV2463" s="137" t="s">
        <v>432</v>
      </c>
      <c r="AW2463" s="137" t="s">
        <v>432</v>
      </c>
      <c r="AX2463" s="137" t="s">
        <v>432</v>
      </c>
      <c r="AY2463" s="137" t="s">
        <v>432</v>
      </c>
      <c r="AZ2463" s="137" t="s">
        <v>432</v>
      </c>
      <c r="BA2463" s="137" t="s">
        <v>432</v>
      </c>
      <c r="BB2463" s="239" t="str">
        <f>B2463&amp;C2463</f>
        <v>Táxix</v>
      </c>
      <c r="BC2463" s="239" t="str">
        <f>B2463&amp;C2463&amp;H2463</f>
        <v>Táxixx</v>
      </c>
      <c r="BD2463" s="239" t="str">
        <f>B2463&amp;H2463</f>
        <v>Táxix</v>
      </c>
      <c r="BM2463" s="885"/>
      <c r="BN2463" s="885"/>
      <c r="BO2463" s="885"/>
    </row>
    <row r="2464" spans="1:67" s="1" customFormat="1" ht="36" x14ac:dyDescent="0.25">
      <c r="A2464" s="275" t="str">
        <f>'Q100b-totais'!B56</f>
        <v>8.4</v>
      </c>
      <c r="B2464" s="13" t="str">
        <f>'Q100b-totais'!C56</f>
        <v>Táxi</v>
      </c>
      <c r="C2464" s="229" t="s">
        <v>432</v>
      </c>
      <c r="D2464" s="377" t="s">
        <v>2659</v>
      </c>
      <c r="E2464" s="1544" t="s">
        <v>2799</v>
      </c>
      <c r="F2464" s="14" t="s">
        <v>2916</v>
      </c>
      <c r="G2464" s="84" t="s">
        <v>77</v>
      </c>
      <c r="H2464" s="173" t="s">
        <v>819</v>
      </c>
      <c r="I2464" s="167" t="s">
        <v>432</v>
      </c>
      <c r="J2464" s="107" t="s">
        <v>432</v>
      </c>
      <c r="K2464" s="107" t="s">
        <v>432</v>
      </c>
      <c r="L2464" s="107" t="s">
        <v>432</v>
      </c>
      <c r="M2464" s="107" t="s">
        <v>432</v>
      </c>
      <c r="N2464" s="107" t="s">
        <v>432</v>
      </c>
      <c r="O2464" s="107" t="s">
        <v>432</v>
      </c>
      <c r="P2464" s="107" t="s">
        <v>432</v>
      </c>
      <c r="Q2464" s="107" t="s">
        <v>432</v>
      </c>
      <c r="R2464" s="107" t="s">
        <v>432</v>
      </c>
      <c r="S2464" s="109" t="s">
        <v>2209</v>
      </c>
      <c r="T2464" s="107" t="s">
        <v>432</v>
      </c>
      <c r="U2464" s="107" t="s">
        <v>432</v>
      </c>
      <c r="V2464" s="109" t="s">
        <v>2209</v>
      </c>
      <c r="W2464" s="107" t="s">
        <v>432</v>
      </c>
      <c r="X2464" s="107" t="s">
        <v>432</v>
      </c>
      <c r="Y2464" s="107" t="s">
        <v>432</v>
      </c>
      <c r="Z2464" s="107" t="s">
        <v>432</v>
      </c>
      <c r="AA2464" s="107" t="s">
        <v>432</v>
      </c>
      <c r="AB2464" s="107" t="s">
        <v>432</v>
      </c>
      <c r="AC2464" s="107" t="s">
        <v>432</v>
      </c>
      <c r="AD2464" s="107" t="s">
        <v>432</v>
      </c>
      <c r="AE2464" s="107" t="s">
        <v>432</v>
      </c>
      <c r="AF2464" s="107" t="s">
        <v>432</v>
      </c>
      <c r="AG2464" s="107" t="s">
        <v>432</v>
      </c>
      <c r="AH2464" s="107" t="s">
        <v>432</v>
      </c>
      <c r="AI2464" s="85">
        <v>2.73</v>
      </c>
      <c r="AJ2464" s="107" t="s">
        <v>432</v>
      </c>
      <c r="AK2464" s="107" t="s">
        <v>432</v>
      </c>
      <c r="AL2464" s="601" t="s">
        <v>432</v>
      </c>
      <c r="AM2464" s="137" t="s">
        <v>432</v>
      </c>
      <c r="AN2464" s="137" t="s">
        <v>432</v>
      </c>
      <c r="AO2464" s="137" t="s">
        <v>432</v>
      </c>
      <c r="AP2464" s="137" t="s">
        <v>432</v>
      </c>
      <c r="AQ2464" s="137" t="s">
        <v>432</v>
      </c>
      <c r="AR2464" s="137" t="s">
        <v>432</v>
      </c>
      <c r="AS2464" s="137" t="s">
        <v>432</v>
      </c>
      <c r="AT2464" s="137" t="s">
        <v>432</v>
      </c>
      <c r="AU2464" s="137" t="s">
        <v>432</v>
      </c>
      <c r="AV2464" s="137" t="s">
        <v>432</v>
      </c>
      <c r="AW2464" s="137" t="s">
        <v>432</v>
      </c>
      <c r="AX2464" s="137" t="s">
        <v>432</v>
      </c>
      <c r="AY2464" s="137" t="s">
        <v>432</v>
      </c>
      <c r="AZ2464" s="137" t="s">
        <v>432</v>
      </c>
      <c r="BA2464" s="137" t="s">
        <v>432</v>
      </c>
      <c r="BB2464" s="239" t="str">
        <f t="shared" ref="BB2464:BB2469" si="740">B2464&amp;C2464</f>
        <v>Táxix</v>
      </c>
      <c r="BC2464" s="239" t="str">
        <f t="shared" ref="BC2464:BC2469" si="741">B2464&amp;C2464&amp;H2464</f>
        <v>Táxixbenchmarking</v>
      </c>
      <c r="BD2464" s="239" t="str">
        <f t="shared" ref="BD2464:BD2469" si="742">B2464&amp;H2464</f>
        <v>Táxibenchmarking</v>
      </c>
      <c r="BM2464" s="927"/>
      <c r="BN2464" s="927"/>
      <c r="BO2464" s="927"/>
    </row>
    <row r="2465" spans="1:67" s="1" customFormat="1" ht="48" x14ac:dyDescent="0.25">
      <c r="A2465" s="275" t="str">
        <f>'Q100b-totais'!B56</f>
        <v>8.4</v>
      </c>
      <c r="B2465" s="13" t="str">
        <f>'Q100b-totais'!C56</f>
        <v>Táxi</v>
      </c>
      <c r="C2465" s="229" t="s">
        <v>432</v>
      </c>
      <c r="D2465" s="377" t="s">
        <v>2659</v>
      </c>
      <c r="E2465" s="1544" t="s">
        <v>2800</v>
      </c>
      <c r="F2465" s="14" t="s">
        <v>2917</v>
      </c>
      <c r="G2465" s="84" t="s">
        <v>77</v>
      </c>
      <c r="H2465" s="173" t="s">
        <v>819</v>
      </c>
      <c r="I2465" s="167" t="s">
        <v>432</v>
      </c>
      <c r="J2465" s="107" t="s">
        <v>432</v>
      </c>
      <c r="K2465" s="107" t="s">
        <v>432</v>
      </c>
      <c r="L2465" s="107" t="s">
        <v>432</v>
      </c>
      <c r="M2465" s="107" t="s">
        <v>432</v>
      </c>
      <c r="N2465" s="107" t="s">
        <v>432</v>
      </c>
      <c r="O2465" s="107" t="s">
        <v>432</v>
      </c>
      <c r="P2465" s="107" t="s">
        <v>432</v>
      </c>
      <c r="Q2465" s="107" t="s">
        <v>432</v>
      </c>
      <c r="R2465" s="107" t="s">
        <v>432</v>
      </c>
      <c r="S2465" s="109" t="s">
        <v>2209</v>
      </c>
      <c r="T2465" s="107" t="s">
        <v>432</v>
      </c>
      <c r="U2465" s="107" t="s">
        <v>432</v>
      </c>
      <c r="V2465" s="109" t="s">
        <v>2209</v>
      </c>
      <c r="W2465" s="107" t="s">
        <v>432</v>
      </c>
      <c r="X2465" s="107" t="s">
        <v>432</v>
      </c>
      <c r="Y2465" s="107" t="s">
        <v>432</v>
      </c>
      <c r="Z2465" s="107" t="s">
        <v>432</v>
      </c>
      <c r="AA2465" s="107" t="s">
        <v>432</v>
      </c>
      <c r="AB2465" s="107" t="s">
        <v>432</v>
      </c>
      <c r="AC2465" s="107" t="s">
        <v>432</v>
      </c>
      <c r="AD2465" s="107" t="s">
        <v>432</v>
      </c>
      <c r="AE2465" s="107" t="s">
        <v>432</v>
      </c>
      <c r="AF2465" s="107" t="s">
        <v>432</v>
      </c>
      <c r="AG2465" s="107" t="s">
        <v>432</v>
      </c>
      <c r="AH2465" s="107" t="s">
        <v>432</v>
      </c>
      <c r="AI2465" s="85">
        <v>1.1599999999999999</v>
      </c>
      <c r="AJ2465" s="107" t="s">
        <v>432</v>
      </c>
      <c r="AK2465" s="107" t="s">
        <v>432</v>
      </c>
      <c r="AL2465" s="601" t="s">
        <v>432</v>
      </c>
      <c r="AM2465" s="137" t="s">
        <v>432</v>
      </c>
      <c r="AN2465" s="137" t="s">
        <v>432</v>
      </c>
      <c r="AO2465" s="137" t="s">
        <v>432</v>
      </c>
      <c r="AP2465" s="137" t="s">
        <v>432</v>
      </c>
      <c r="AQ2465" s="137" t="s">
        <v>432</v>
      </c>
      <c r="AR2465" s="137" t="s">
        <v>432</v>
      </c>
      <c r="AS2465" s="137" t="s">
        <v>432</v>
      </c>
      <c r="AT2465" s="137" t="s">
        <v>432</v>
      </c>
      <c r="AU2465" s="137" t="s">
        <v>432</v>
      </c>
      <c r="AV2465" s="137" t="s">
        <v>432</v>
      </c>
      <c r="AW2465" s="137" t="s">
        <v>432</v>
      </c>
      <c r="AX2465" s="137" t="s">
        <v>432</v>
      </c>
      <c r="AY2465" s="137" t="s">
        <v>432</v>
      </c>
      <c r="AZ2465" s="137" t="s">
        <v>432</v>
      </c>
      <c r="BA2465" s="137" t="s">
        <v>432</v>
      </c>
      <c r="BB2465" s="239" t="str">
        <f t="shared" si="740"/>
        <v>Táxix</v>
      </c>
      <c r="BC2465" s="239" t="str">
        <f t="shared" si="741"/>
        <v>Táxixbenchmarking</v>
      </c>
      <c r="BD2465" s="239" t="str">
        <f t="shared" si="742"/>
        <v>Táxibenchmarking</v>
      </c>
      <c r="BM2465" s="927"/>
      <c r="BN2465" s="927"/>
      <c r="BO2465" s="927"/>
    </row>
    <row r="2466" spans="1:67" s="1" customFormat="1" ht="36" x14ac:dyDescent="0.25">
      <c r="A2466" s="275" t="str">
        <f>'Q100b-totais'!B56</f>
        <v>8.4</v>
      </c>
      <c r="B2466" s="13" t="str">
        <f>'Q100b-totais'!C56</f>
        <v>Táxi</v>
      </c>
      <c r="C2466" s="229" t="s">
        <v>432</v>
      </c>
      <c r="D2466" s="377" t="s">
        <v>2659</v>
      </c>
      <c r="E2466" s="1544" t="s">
        <v>2801</v>
      </c>
      <c r="F2466" s="14" t="s">
        <v>2918</v>
      </c>
      <c r="G2466" s="84" t="s">
        <v>77</v>
      </c>
      <c r="H2466" s="173" t="s">
        <v>819</v>
      </c>
      <c r="I2466" s="167" t="s">
        <v>432</v>
      </c>
      <c r="J2466" s="107" t="s">
        <v>432</v>
      </c>
      <c r="K2466" s="107" t="s">
        <v>432</v>
      </c>
      <c r="L2466" s="107" t="s">
        <v>432</v>
      </c>
      <c r="M2466" s="107" t="s">
        <v>432</v>
      </c>
      <c r="N2466" s="107" t="s">
        <v>432</v>
      </c>
      <c r="O2466" s="107" t="s">
        <v>432</v>
      </c>
      <c r="P2466" s="107" t="s">
        <v>432</v>
      </c>
      <c r="Q2466" s="107" t="s">
        <v>432</v>
      </c>
      <c r="R2466" s="107" t="s">
        <v>432</v>
      </c>
      <c r="S2466" s="109" t="s">
        <v>2209</v>
      </c>
      <c r="T2466" s="107" t="s">
        <v>432</v>
      </c>
      <c r="U2466" s="107" t="s">
        <v>432</v>
      </c>
      <c r="V2466" s="109" t="s">
        <v>2209</v>
      </c>
      <c r="W2466" s="107" t="s">
        <v>432</v>
      </c>
      <c r="X2466" s="107" t="s">
        <v>432</v>
      </c>
      <c r="Y2466" s="107" t="s">
        <v>432</v>
      </c>
      <c r="Z2466" s="107" t="s">
        <v>432</v>
      </c>
      <c r="AA2466" s="107" t="s">
        <v>432</v>
      </c>
      <c r="AB2466" s="107" t="s">
        <v>432</v>
      </c>
      <c r="AC2466" s="107" t="s">
        <v>432</v>
      </c>
      <c r="AD2466" s="107" t="s">
        <v>432</v>
      </c>
      <c r="AE2466" s="107" t="s">
        <v>432</v>
      </c>
      <c r="AF2466" s="107" t="s">
        <v>432</v>
      </c>
      <c r="AG2466" s="107" t="s">
        <v>432</v>
      </c>
      <c r="AH2466" s="107" t="s">
        <v>432</v>
      </c>
      <c r="AI2466" s="85">
        <v>1</v>
      </c>
      <c r="AJ2466" s="107" t="s">
        <v>432</v>
      </c>
      <c r="AK2466" s="107" t="s">
        <v>432</v>
      </c>
      <c r="AL2466" s="601" t="s">
        <v>432</v>
      </c>
      <c r="AM2466" s="137" t="s">
        <v>432</v>
      </c>
      <c r="AN2466" s="137" t="s">
        <v>432</v>
      </c>
      <c r="AO2466" s="137" t="s">
        <v>432</v>
      </c>
      <c r="AP2466" s="137" t="s">
        <v>432</v>
      </c>
      <c r="AQ2466" s="137" t="s">
        <v>432</v>
      </c>
      <c r="AR2466" s="137" t="s">
        <v>432</v>
      </c>
      <c r="AS2466" s="137" t="s">
        <v>432</v>
      </c>
      <c r="AT2466" s="137" t="s">
        <v>432</v>
      </c>
      <c r="AU2466" s="137" t="s">
        <v>432</v>
      </c>
      <c r="AV2466" s="137" t="s">
        <v>432</v>
      </c>
      <c r="AW2466" s="137" t="s">
        <v>432</v>
      </c>
      <c r="AX2466" s="137" t="s">
        <v>432</v>
      </c>
      <c r="AY2466" s="137" t="s">
        <v>432</v>
      </c>
      <c r="AZ2466" s="137" t="s">
        <v>432</v>
      </c>
      <c r="BA2466" s="137" t="s">
        <v>432</v>
      </c>
      <c r="BB2466" s="239" t="str">
        <f t="shared" si="740"/>
        <v>Táxix</v>
      </c>
      <c r="BC2466" s="239" t="str">
        <f t="shared" si="741"/>
        <v>Táxixbenchmarking</v>
      </c>
      <c r="BD2466" s="239" t="str">
        <f t="shared" si="742"/>
        <v>Táxibenchmarking</v>
      </c>
      <c r="BM2466" s="927"/>
      <c r="BN2466" s="927"/>
      <c r="BO2466" s="927"/>
    </row>
    <row r="2467" spans="1:67" s="1" customFormat="1" ht="36" x14ac:dyDescent="0.25">
      <c r="A2467" s="275" t="str">
        <f>'Q100b-totais'!B56</f>
        <v>8.4</v>
      </c>
      <c r="B2467" s="13" t="str">
        <f>'Q100b-totais'!C56</f>
        <v>Táxi</v>
      </c>
      <c r="C2467" s="229" t="s">
        <v>432</v>
      </c>
      <c r="D2467" s="377" t="s">
        <v>2659</v>
      </c>
      <c r="E2467" s="1544" t="s">
        <v>2802</v>
      </c>
      <c r="F2467" s="14" t="s">
        <v>2919</v>
      </c>
      <c r="G2467" s="84" t="s">
        <v>77</v>
      </c>
      <c r="H2467" s="173" t="s">
        <v>819</v>
      </c>
      <c r="I2467" s="167" t="s">
        <v>432</v>
      </c>
      <c r="J2467" s="107" t="s">
        <v>432</v>
      </c>
      <c r="K2467" s="107" t="s">
        <v>432</v>
      </c>
      <c r="L2467" s="107" t="s">
        <v>432</v>
      </c>
      <c r="M2467" s="107" t="s">
        <v>432</v>
      </c>
      <c r="N2467" s="107" t="s">
        <v>432</v>
      </c>
      <c r="O2467" s="107" t="s">
        <v>432</v>
      </c>
      <c r="P2467" s="107" t="s">
        <v>432</v>
      </c>
      <c r="Q2467" s="107" t="s">
        <v>432</v>
      </c>
      <c r="R2467" s="107" t="s">
        <v>432</v>
      </c>
      <c r="S2467" s="109" t="s">
        <v>2209</v>
      </c>
      <c r="T2467" s="107" t="s">
        <v>432</v>
      </c>
      <c r="U2467" s="107" t="s">
        <v>432</v>
      </c>
      <c r="V2467" s="109" t="s">
        <v>2209</v>
      </c>
      <c r="W2467" s="107" t="s">
        <v>432</v>
      </c>
      <c r="X2467" s="107" t="s">
        <v>432</v>
      </c>
      <c r="Y2467" s="107" t="s">
        <v>432</v>
      </c>
      <c r="Z2467" s="107" t="s">
        <v>432</v>
      </c>
      <c r="AA2467" s="107" t="s">
        <v>432</v>
      </c>
      <c r="AB2467" s="107" t="s">
        <v>432</v>
      </c>
      <c r="AC2467" s="107" t="s">
        <v>432</v>
      </c>
      <c r="AD2467" s="107" t="s">
        <v>432</v>
      </c>
      <c r="AE2467" s="107" t="s">
        <v>432</v>
      </c>
      <c r="AF2467" s="107" t="s">
        <v>432</v>
      </c>
      <c r="AG2467" s="107" t="s">
        <v>432</v>
      </c>
      <c r="AH2467" s="107" t="s">
        <v>432</v>
      </c>
      <c r="AI2467" s="85">
        <v>0.96</v>
      </c>
      <c r="AJ2467" s="107" t="s">
        <v>432</v>
      </c>
      <c r="AK2467" s="107" t="s">
        <v>432</v>
      </c>
      <c r="AL2467" s="601" t="s">
        <v>432</v>
      </c>
      <c r="AM2467" s="137" t="s">
        <v>432</v>
      </c>
      <c r="AN2467" s="137" t="s">
        <v>432</v>
      </c>
      <c r="AO2467" s="137" t="s">
        <v>432</v>
      </c>
      <c r="AP2467" s="137" t="s">
        <v>432</v>
      </c>
      <c r="AQ2467" s="137" t="s">
        <v>432</v>
      </c>
      <c r="AR2467" s="137" t="s">
        <v>432</v>
      </c>
      <c r="AS2467" s="137" t="s">
        <v>432</v>
      </c>
      <c r="AT2467" s="137" t="s">
        <v>432</v>
      </c>
      <c r="AU2467" s="137" t="s">
        <v>432</v>
      </c>
      <c r="AV2467" s="137" t="s">
        <v>432</v>
      </c>
      <c r="AW2467" s="137" t="s">
        <v>432</v>
      </c>
      <c r="AX2467" s="137" t="s">
        <v>432</v>
      </c>
      <c r="AY2467" s="137" t="s">
        <v>432</v>
      </c>
      <c r="AZ2467" s="137" t="s">
        <v>432</v>
      </c>
      <c r="BA2467" s="137" t="s">
        <v>432</v>
      </c>
      <c r="BB2467" s="239" t="str">
        <f t="shared" si="740"/>
        <v>Táxix</v>
      </c>
      <c r="BC2467" s="239" t="str">
        <f t="shared" si="741"/>
        <v>Táxixbenchmarking</v>
      </c>
      <c r="BD2467" s="239" t="str">
        <f t="shared" si="742"/>
        <v>Táxibenchmarking</v>
      </c>
      <c r="BM2467" s="927"/>
      <c r="BN2467" s="927"/>
      <c r="BO2467" s="927"/>
    </row>
    <row r="2468" spans="1:67" s="1" customFormat="1" ht="36" x14ac:dyDescent="0.25">
      <c r="A2468" s="275" t="str">
        <f>'Q100b-totais'!B56</f>
        <v>8.4</v>
      </c>
      <c r="B2468" s="13" t="str">
        <f>'Q100b-totais'!C56</f>
        <v>Táxi</v>
      </c>
      <c r="C2468" s="229" t="s">
        <v>432</v>
      </c>
      <c r="D2468" s="377" t="s">
        <v>2659</v>
      </c>
      <c r="E2468" s="1544" t="s">
        <v>2803</v>
      </c>
      <c r="F2468" s="14" t="s">
        <v>2920</v>
      </c>
      <c r="G2468" s="84" t="s">
        <v>77</v>
      </c>
      <c r="H2468" s="173" t="s">
        <v>819</v>
      </c>
      <c r="I2468" s="167" t="s">
        <v>432</v>
      </c>
      <c r="J2468" s="107" t="s">
        <v>432</v>
      </c>
      <c r="K2468" s="107" t="s">
        <v>432</v>
      </c>
      <c r="L2468" s="107" t="s">
        <v>432</v>
      </c>
      <c r="M2468" s="107" t="s">
        <v>432</v>
      </c>
      <c r="N2468" s="107" t="s">
        <v>432</v>
      </c>
      <c r="O2468" s="107" t="s">
        <v>432</v>
      </c>
      <c r="P2468" s="107" t="s">
        <v>432</v>
      </c>
      <c r="Q2468" s="107" t="s">
        <v>432</v>
      </c>
      <c r="R2468" s="107" t="s">
        <v>432</v>
      </c>
      <c r="S2468" s="109" t="s">
        <v>2209</v>
      </c>
      <c r="T2468" s="107" t="s">
        <v>432</v>
      </c>
      <c r="U2468" s="107" t="s">
        <v>432</v>
      </c>
      <c r="V2468" s="109" t="s">
        <v>2209</v>
      </c>
      <c r="W2468" s="107" t="s">
        <v>432</v>
      </c>
      <c r="X2468" s="107" t="s">
        <v>432</v>
      </c>
      <c r="Y2468" s="107" t="s">
        <v>432</v>
      </c>
      <c r="Z2468" s="107" t="s">
        <v>432</v>
      </c>
      <c r="AA2468" s="107" t="s">
        <v>432</v>
      </c>
      <c r="AB2468" s="107" t="s">
        <v>432</v>
      </c>
      <c r="AC2468" s="107" t="s">
        <v>432</v>
      </c>
      <c r="AD2468" s="107" t="s">
        <v>432</v>
      </c>
      <c r="AE2468" s="107" t="s">
        <v>432</v>
      </c>
      <c r="AF2468" s="107" t="s">
        <v>432</v>
      </c>
      <c r="AG2468" s="107" t="s">
        <v>432</v>
      </c>
      <c r="AH2468" s="107" t="s">
        <v>432</v>
      </c>
      <c r="AI2468" s="85">
        <v>0.84</v>
      </c>
      <c r="AJ2468" s="107" t="s">
        <v>432</v>
      </c>
      <c r="AK2468" s="107" t="s">
        <v>432</v>
      </c>
      <c r="AL2468" s="601" t="s">
        <v>432</v>
      </c>
      <c r="AM2468" s="137" t="s">
        <v>432</v>
      </c>
      <c r="AN2468" s="137" t="s">
        <v>432</v>
      </c>
      <c r="AO2468" s="137" t="s">
        <v>432</v>
      </c>
      <c r="AP2468" s="137" t="s">
        <v>432</v>
      </c>
      <c r="AQ2468" s="137" t="s">
        <v>432</v>
      </c>
      <c r="AR2468" s="137" t="s">
        <v>432</v>
      </c>
      <c r="AS2468" s="137" t="s">
        <v>432</v>
      </c>
      <c r="AT2468" s="137" t="s">
        <v>432</v>
      </c>
      <c r="AU2468" s="137" t="s">
        <v>432</v>
      </c>
      <c r="AV2468" s="137" t="s">
        <v>432</v>
      </c>
      <c r="AW2468" s="137" t="s">
        <v>432</v>
      </c>
      <c r="AX2468" s="137" t="s">
        <v>432</v>
      </c>
      <c r="AY2468" s="137" t="s">
        <v>432</v>
      </c>
      <c r="AZ2468" s="137" t="s">
        <v>432</v>
      </c>
      <c r="BA2468" s="137" t="s">
        <v>432</v>
      </c>
      <c r="BB2468" s="239" t="str">
        <f t="shared" si="740"/>
        <v>Táxix</v>
      </c>
      <c r="BC2468" s="239" t="str">
        <f t="shared" si="741"/>
        <v>Táxixbenchmarking</v>
      </c>
      <c r="BD2468" s="239" t="str">
        <f t="shared" si="742"/>
        <v>Táxibenchmarking</v>
      </c>
      <c r="BM2468" s="927"/>
      <c r="BN2468" s="927"/>
      <c r="BO2468" s="927"/>
    </row>
    <row r="2469" spans="1:67" s="1" customFormat="1" ht="31.5" x14ac:dyDescent="0.25">
      <c r="A2469" s="275" t="str">
        <f>'Q100b-totais'!B56</f>
        <v>8.4</v>
      </c>
      <c r="B2469" s="13" t="str">
        <f>'Q100b-totais'!C56</f>
        <v>Táxi</v>
      </c>
      <c r="C2469" s="229" t="s">
        <v>432</v>
      </c>
      <c r="D2469" s="377" t="s">
        <v>2659</v>
      </c>
      <c r="E2469" s="1544" t="s">
        <v>1767</v>
      </c>
      <c r="F2469" s="14" t="s">
        <v>2921</v>
      </c>
      <c r="G2469" s="84" t="s">
        <v>77</v>
      </c>
      <c r="H2469" s="173" t="s">
        <v>819</v>
      </c>
      <c r="I2469" s="167" t="s">
        <v>432</v>
      </c>
      <c r="J2469" s="107" t="s">
        <v>432</v>
      </c>
      <c r="K2469" s="107" t="s">
        <v>432</v>
      </c>
      <c r="L2469" s="107" t="s">
        <v>432</v>
      </c>
      <c r="M2469" s="107" t="s">
        <v>432</v>
      </c>
      <c r="N2469" s="107" t="s">
        <v>432</v>
      </c>
      <c r="O2469" s="107" t="s">
        <v>432</v>
      </c>
      <c r="P2469" s="107" t="s">
        <v>432</v>
      </c>
      <c r="Q2469" s="107" t="s">
        <v>432</v>
      </c>
      <c r="R2469" s="107" t="s">
        <v>432</v>
      </c>
      <c r="S2469" s="109" t="s">
        <v>2209</v>
      </c>
      <c r="T2469" s="107" t="s">
        <v>432</v>
      </c>
      <c r="U2469" s="107" t="s">
        <v>432</v>
      </c>
      <c r="V2469" s="109" t="s">
        <v>2209</v>
      </c>
      <c r="W2469" s="107" t="s">
        <v>432</v>
      </c>
      <c r="X2469" s="107" t="s">
        <v>432</v>
      </c>
      <c r="Y2469" s="107" t="s">
        <v>432</v>
      </c>
      <c r="Z2469" s="107" t="s">
        <v>432</v>
      </c>
      <c r="AA2469" s="107" t="s">
        <v>432</v>
      </c>
      <c r="AB2469" s="107" t="s">
        <v>432</v>
      </c>
      <c r="AC2469" s="107" t="s">
        <v>432</v>
      </c>
      <c r="AD2469" s="107" t="s">
        <v>432</v>
      </c>
      <c r="AE2469" s="107" t="s">
        <v>432</v>
      </c>
      <c r="AF2469" s="107" t="s">
        <v>432</v>
      </c>
      <c r="AG2469" s="107" t="s">
        <v>432</v>
      </c>
      <c r="AH2469" s="107" t="s">
        <v>432</v>
      </c>
      <c r="AI2469" s="85">
        <v>1.6</v>
      </c>
      <c r="AJ2469" s="107" t="s">
        <v>432</v>
      </c>
      <c r="AK2469" s="107" t="s">
        <v>432</v>
      </c>
      <c r="AL2469" s="601" t="s">
        <v>432</v>
      </c>
      <c r="AM2469" s="137" t="s">
        <v>432</v>
      </c>
      <c r="AN2469" s="137" t="s">
        <v>432</v>
      </c>
      <c r="AO2469" s="137" t="s">
        <v>432</v>
      </c>
      <c r="AP2469" s="137" t="s">
        <v>432</v>
      </c>
      <c r="AQ2469" s="137" t="s">
        <v>432</v>
      </c>
      <c r="AR2469" s="137" t="s">
        <v>432</v>
      </c>
      <c r="AS2469" s="137" t="s">
        <v>432</v>
      </c>
      <c r="AT2469" s="137" t="s">
        <v>432</v>
      </c>
      <c r="AU2469" s="137" t="s">
        <v>432</v>
      </c>
      <c r="AV2469" s="137" t="s">
        <v>432</v>
      </c>
      <c r="AW2469" s="137" t="s">
        <v>432</v>
      </c>
      <c r="AX2469" s="137" t="s">
        <v>432</v>
      </c>
      <c r="AY2469" s="137" t="s">
        <v>432</v>
      </c>
      <c r="AZ2469" s="137" t="s">
        <v>432</v>
      </c>
      <c r="BA2469" s="137" t="s">
        <v>432</v>
      </c>
      <c r="BB2469" s="239" t="str">
        <f t="shared" si="740"/>
        <v>Táxix</v>
      </c>
      <c r="BC2469" s="239" t="str">
        <f t="shared" si="741"/>
        <v>Táxixbenchmarking</v>
      </c>
      <c r="BD2469" s="239" t="str">
        <f t="shared" si="742"/>
        <v>Táxibenchmarking</v>
      </c>
      <c r="BM2469" s="927"/>
      <c r="BN2469" s="927"/>
      <c r="BO2469" s="927"/>
    </row>
    <row r="2470" spans="1:67" s="1" customFormat="1" x14ac:dyDescent="0.25">
      <c r="A2470" s="398"/>
      <c r="B2470" s="221"/>
      <c r="C2470" s="399"/>
      <c r="D2470" s="987"/>
      <c r="E2470" s="1533"/>
      <c r="F2470" s="405"/>
      <c r="G2470" s="405"/>
      <c r="H2470" s="399"/>
      <c r="I2470" s="405"/>
      <c r="J2470" s="221"/>
      <c r="K2470" s="403"/>
      <c r="L2470" s="403"/>
      <c r="M2470" s="403"/>
      <c r="N2470" s="403"/>
      <c r="O2470" s="403"/>
      <c r="P2470" s="403"/>
      <c r="Q2470" s="403"/>
      <c r="R2470" s="403"/>
      <c r="S2470" s="403"/>
      <c r="T2470" s="403"/>
      <c r="U2470" s="403"/>
      <c r="V2470" s="403"/>
      <c r="W2470" s="403"/>
      <c r="X2470" s="403"/>
      <c r="Y2470" s="403"/>
      <c r="Z2470" s="403"/>
      <c r="AA2470" s="403"/>
      <c r="AB2470" s="403"/>
      <c r="AC2470" s="403"/>
      <c r="AD2470" s="403"/>
      <c r="AE2470" s="403"/>
      <c r="AF2470" s="403"/>
      <c r="AG2470" s="403"/>
      <c r="AH2470" s="403"/>
      <c r="AI2470" s="403"/>
      <c r="AJ2470" s="403"/>
      <c r="AK2470" s="223"/>
      <c r="AL2470" s="223"/>
      <c r="AM2470" s="223"/>
      <c r="AN2470" s="223"/>
      <c r="AO2470" s="223"/>
      <c r="AP2470" s="223"/>
      <c r="AQ2470" s="223"/>
      <c r="AR2470" s="223"/>
      <c r="AS2470" s="223"/>
      <c r="AT2470" s="223"/>
      <c r="AU2470" s="223"/>
      <c r="AV2470" s="223"/>
      <c r="AW2470" s="223"/>
      <c r="AX2470" s="223"/>
      <c r="AY2470" s="223"/>
      <c r="AZ2470" s="223"/>
      <c r="BA2470" s="223"/>
      <c r="BB2470" s="400"/>
      <c r="BC2470" s="400"/>
      <c r="BD2470" s="400"/>
    </row>
    <row r="2471" spans="1:67" s="1" customFormat="1" ht="51" x14ac:dyDescent="0.25">
      <c r="A2471" s="275" t="str">
        <f>'Q100b-totais'!$B$17</f>
        <v>2.2</v>
      </c>
      <c r="B2471" s="54" t="str">
        <f>'Q100b-totais'!$C$17</f>
        <v>Frota e condutores de veículos automotores</v>
      </c>
      <c r="C2471" s="229" t="s">
        <v>2</v>
      </c>
      <c r="D2471" s="716" t="s">
        <v>516</v>
      </c>
      <c r="E2471" s="1510" t="s">
        <v>1306</v>
      </c>
      <c r="F2471" s="15" t="s">
        <v>517</v>
      </c>
      <c r="G2471" s="408" t="s">
        <v>518</v>
      </c>
      <c r="H2471" s="167" t="s">
        <v>432</v>
      </c>
      <c r="I2471" s="167">
        <v>1</v>
      </c>
      <c r="J2471" s="58" t="s">
        <v>432</v>
      </c>
      <c r="K2471" s="58" t="s">
        <v>432</v>
      </c>
      <c r="L2471" s="47">
        <f t="shared" ref="L2471:R2471" si="743">(L814-K814)/K814</f>
        <v>2.1596273486103729E-2</v>
      </c>
      <c r="M2471" s="47">
        <f t="shared" si="743"/>
        <v>3.8288991302964093E-2</v>
      </c>
      <c r="N2471" s="47">
        <f t="shared" si="743"/>
        <v>5.4896990774853369E-2</v>
      </c>
      <c r="O2471" s="47">
        <f t="shared" si="743"/>
        <v>5.9486955971047209E-2</v>
      </c>
      <c r="P2471" s="47">
        <f t="shared" si="743"/>
        <v>5.2715225268147065E-2</v>
      </c>
      <c r="Q2471" s="47">
        <f t="shared" si="743"/>
        <v>2.198077475467438E-2</v>
      </c>
      <c r="R2471" s="47">
        <f t="shared" si="743"/>
        <v>1.9529118011366794E-2</v>
      </c>
      <c r="S2471" s="109" t="s">
        <v>2209</v>
      </c>
      <c r="T2471" s="47">
        <f>(T814-R814)/R814</f>
        <v>5.0196422875771946E-2</v>
      </c>
      <c r="U2471" s="47">
        <f>(U814-T814)/T814</f>
        <v>3.739162152963782E-2</v>
      </c>
      <c r="V2471" s="109" t="s">
        <v>2209</v>
      </c>
      <c r="W2471" s="47">
        <f>(W814-U814)/U814</f>
        <v>5.6122531545752925E-2</v>
      </c>
      <c r="X2471" s="47">
        <f t="shared" ref="X2471:AJ2471" si="744">(X814-W814)/W814</f>
        <v>4.6785303848162978E-2</v>
      </c>
      <c r="Y2471" s="47">
        <f t="shared" si="744"/>
        <v>5.2018667635446152E-2</v>
      </c>
      <c r="Z2471" s="47">
        <f t="shared" si="744"/>
        <v>3.9468674380274009E-2</v>
      </c>
      <c r="AA2471" s="47">
        <f t="shared" si="744"/>
        <v>5.0092911130230129E-2</v>
      </c>
      <c r="AB2471" s="47">
        <f t="shared" si="744"/>
        <v>7.9231258626264178E-2</v>
      </c>
      <c r="AC2471" s="47">
        <f t="shared" si="744"/>
        <v>9.5757806132803311E-2</v>
      </c>
      <c r="AD2471" s="47">
        <f t="shared" si="744"/>
        <v>8.5053382526593266E-2</v>
      </c>
      <c r="AE2471" s="47">
        <f t="shared" si="744"/>
        <v>0.10193279079239817</v>
      </c>
      <c r="AF2471" s="47">
        <f t="shared" si="744"/>
        <v>9.2003688146706286E-2</v>
      </c>
      <c r="AG2471" s="47">
        <f t="shared" si="744"/>
        <v>7.3165258285730589E-2</v>
      </c>
      <c r="AH2471" s="47">
        <f t="shared" si="744"/>
        <v>5.4179940064271799E-2</v>
      </c>
      <c r="AI2471" s="47">
        <f t="shared" si="744"/>
        <v>4.8622237259799583E-2</v>
      </c>
      <c r="AJ2471" s="47">
        <f t="shared" si="744"/>
        <v>3.2638987742190588E-2</v>
      </c>
      <c r="AK2471" s="137" t="s">
        <v>432</v>
      </c>
      <c r="AL2471" s="601" t="s">
        <v>432</v>
      </c>
      <c r="AM2471" s="137" t="s">
        <v>432</v>
      </c>
      <c r="AN2471" s="137" t="s">
        <v>432</v>
      </c>
      <c r="AO2471" s="137" t="s">
        <v>432</v>
      </c>
      <c r="AP2471" s="137" t="s">
        <v>432</v>
      </c>
      <c r="AQ2471" s="137" t="s">
        <v>432</v>
      </c>
      <c r="AR2471" s="137" t="s">
        <v>432</v>
      </c>
      <c r="AS2471" s="137" t="s">
        <v>432</v>
      </c>
      <c r="AT2471" s="137" t="s">
        <v>432</v>
      </c>
      <c r="AU2471" s="137" t="s">
        <v>432</v>
      </c>
      <c r="AV2471" s="137" t="s">
        <v>432</v>
      </c>
      <c r="AW2471" s="137" t="s">
        <v>432</v>
      </c>
      <c r="AX2471" s="137" t="s">
        <v>432</v>
      </c>
      <c r="AY2471" s="137" t="s">
        <v>432</v>
      </c>
      <c r="AZ2471" s="137" t="s">
        <v>432</v>
      </c>
      <c r="BA2471" s="137" t="s">
        <v>432</v>
      </c>
      <c r="BB2471" s="239" t="str">
        <f>B2471&amp;C2471</f>
        <v>Frota e condutores de veículos automotores-</v>
      </c>
      <c r="BC2471" s="239" t="str">
        <f>B2471&amp;C2471&amp;H2471</f>
        <v>Frota e condutores de veículos automotores-x</v>
      </c>
      <c r="BD2471" s="239" t="str">
        <f>B2471&amp;H2471</f>
        <v>Frota e condutores de veículos automotoresx</v>
      </c>
      <c r="BM2471" s="19"/>
      <c r="BN2471" s="19"/>
      <c r="BO2471" s="19"/>
    </row>
    <row r="2472" spans="1:67" s="1" customFormat="1" ht="51" x14ac:dyDescent="0.25">
      <c r="A2472" s="275" t="str">
        <f>'Q100b-totais'!$B$17</f>
        <v>2.2</v>
      </c>
      <c r="B2472" s="54" t="str">
        <f>'Q100b-totais'!$C$17</f>
        <v>Frota e condutores de veículos automotores</v>
      </c>
      <c r="C2472" s="229" t="s">
        <v>2</v>
      </c>
      <c r="D2472" s="716" t="s">
        <v>519</v>
      </c>
      <c r="E2472" s="1510" t="s">
        <v>1306</v>
      </c>
      <c r="F2472" s="15" t="s">
        <v>517</v>
      </c>
      <c r="G2472" s="408" t="s">
        <v>518</v>
      </c>
      <c r="H2472" s="167" t="s">
        <v>432</v>
      </c>
      <c r="I2472" s="167">
        <v>1</v>
      </c>
      <c r="J2472" s="58" t="s">
        <v>432</v>
      </c>
      <c r="K2472" s="23" t="s">
        <v>432</v>
      </c>
      <c r="L2472" s="23" t="s">
        <v>432</v>
      </c>
      <c r="M2472" s="23" t="s">
        <v>432</v>
      </c>
      <c r="N2472" s="23" t="s">
        <v>432</v>
      </c>
      <c r="O2472" s="23" t="s">
        <v>432</v>
      </c>
      <c r="P2472" s="23" t="s">
        <v>432</v>
      </c>
      <c r="Q2472" s="23" t="s">
        <v>432</v>
      </c>
      <c r="R2472" s="23" t="s">
        <v>432</v>
      </c>
      <c r="S2472" s="109" t="s">
        <v>2209</v>
      </c>
      <c r="T2472" s="23" t="s">
        <v>432</v>
      </c>
      <c r="U2472" s="47">
        <f>(U821-T821)/T821</f>
        <v>4.0836111786843723E-2</v>
      </c>
      <c r="V2472" s="109" t="s">
        <v>2209</v>
      </c>
      <c r="W2472" s="47">
        <f>(W821-U821)/U821</f>
        <v>4.9809759165758714E-2</v>
      </c>
      <c r="X2472" s="47">
        <f t="shared" ref="X2472:AJ2472" si="745">(X821-W821)/W821</f>
        <v>3.7991219195976936E-2</v>
      </c>
      <c r="Y2472" s="47">
        <f t="shared" si="745"/>
        <v>4.946016786366518E-2</v>
      </c>
      <c r="Z2472" s="47">
        <f t="shared" si="745"/>
        <v>3.5870571404527478E-2</v>
      </c>
      <c r="AA2472" s="47">
        <f t="shared" si="745"/>
        <v>4.6628696769850778E-2</v>
      </c>
      <c r="AB2472" s="47">
        <f t="shared" si="745"/>
        <v>7.1096110664485901E-2</v>
      </c>
      <c r="AC2472" s="47">
        <f t="shared" si="745"/>
        <v>8.4064377621309791E-2</v>
      </c>
      <c r="AD2472" s="47">
        <f t="shared" si="745"/>
        <v>7.578839556220858E-2</v>
      </c>
      <c r="AE2472" s="47">
        <f t="shared" si="745"/>
        <v>9.8310813434930866E-2</v>
      </c>
      <c r="AF2472" s="47">
        <f t="shared" si="745"/>
        <v>9.1898270460425882E-2</v>
      </c>
      <c r="AG2472" s="47">
        <f t="shared" si="745"/>
        <v>6.9818331880654574E-2</v>
      </c>
      <c r="AH2472" s="47">
        <f t="shared" si="745"/>
        <v>5.462286988883594E-2</v>
      </c>
      <c r="AI2472" s="47">
        <f t="shared" si="745"/>
        <v>4.868723731419785E-2</v>
      </c>
      <c r="AJ2472" s="47">
        <f t="shared" si="745"/>
        <v>3.2429503035402735E-2</v>
      </c>
      <c r="AK2472" s="137" t="s">
        <v>432</v>
      </c>
      <c r="AL2472" s="601" t="s">
        <v>432</v>
      </c>
      <c r="AM2472" s="137" t="s">
        <v>432</v>
      </c>
      <c r="AN2472" s="137" t="s">
        <v>432</v>
      </c>
      <c r="AO2472" s="137" t="s">
        <v>432</v>
      </c>
      <c r="AP2472" s="137" t="s">
        <v>432</v>
      </c>
      <c r="AQ2472" s="137" t="s">
        <v>432</v>
      </c>
      <c r="AR2472" s="137" t="s">
        <v>432</v>
      </c>
      <c r="AS2472" s="137" t="s">
        <v>432</v>
      </c>
      <c r="AT2472" s="137" t="s">
        <v>432</v>
      </c>
      <c r="AU2472" s="137" t="s">
        <v>432</v>
      </c>
      <c r="AV2472" s="137" t="s">
        <v>432</v>
      </c>
      <c r="AW2472" s="137" t="s">
        <v>432</v>
      </c>
      <c r="AX2472" s="137" t="s">
        <v>432</v>
      </c>
      <c r="AY2472" s="137" t="s">
        <v>432</v>
      </c>
      <c r="AZ2472" s="137" t="s">
        <v>432</v>
      </c>
      <c r="BA2472" s="137" t="s">
        <v>432</v>
      </c>
      <c r="BB2472" s="239" t="str">
        <f>B2472&amp;C2472</f>
        <v>Frota e condutores de veículos automotores-</v>
      </c>
      <c r="BC2472" s="239" t="str">
        <f>B2472&amp;C2472&amp;H2472</f>
        <v>Frota e condutores de veículos automotores-x</v>
      </c>
      <c r="BD2472" s="239" t="str">
        <f>B2472&amp;H2472</f>
        <v>Frota e condutores de veículos automotoresx</v>
      </c>
      <c r="BM2472" s="19"/>
      <c r="BN2472" s="19"/>
      <c r="BO2472" s="19"/>
    </row>
    <row r="2473" spans="1:67" s="1" customFormat="1" ht="51" x14ac:dyDescent="0.25">
      <c r="A2473" s="275" t="str">
        <f>'Q100b-totais'!$B$17</f>
        <v>2.2</v>
      </c>
      <c r="B2473" s="54" t="str">
        <f>'Q100b-totais'!$C$17</f>
        <v>Frota e condutores de veículos automotores</v>
      </c>
      <c r="C2473" s="229" t="s">
        <v>2</v>
      </c>
      <c r="D2473" s="716" t="s">
        <v>520</v>
      </c>
      <c r="E2473" s="1510" t="s">
        <v>1306</v>
      </c>
      <c r="F2473" s="15" t="s">
        <v>517</v>
      </c>
      <c r="G2473" s="408" t="s">
        <v>518</v>
      </c>
      <c r="H2473" s="167" t="s">
        <v>432</v>
      </c>
      <c r="I2473" s="167">
        <v>1</v>
      </c>
      <c r="J2473" s="58" t="s">
        <v>432</v>
      </c>
      <c r="K2473" s="23" t="s">
        <v>432</v>
      </c>
      <c r="L2473" s="23" t="s">
        <v>432</v>
      </c>
      <c r="M2473" s="23" t="s">
        <v>432</v>
      </c>
      <c r="N2473" s="23" t="s">
        <v>432</v>
      </c>
      <c r="O2473" s="23" t="s">
        <v>432</v>
      </c>
      <c r="P2473" s="23" t="s">
        <v>432</v>
      </c>
      <c r="Q2473" s="23" t="s">
        <v>432</v>
      </c>
      <c r="R2473" s="23" t="s">
        <v>432</v>
      </c>
      <c r="S2473" s="109" t="s">
        <v>2209</v>
      </c>
      <c r="T2473" s="23" t="s">
        <v>432</v>
      </c>
      <c r="U2473" s="47">
        <f>(U843-T843)/T843</f>
        <v>8.4711206703409953E-2</v>
      </c>
      <c r="V2473" s="109" t="s">
        <v>2209</v>
      </c>
      <c r="W2473" s="47">
        <f>(W843-U843)/U843</f>
        <v>0.12960859237839512</v>
      </c>
      <c r="X2473" s="47">
        <f t="shared" ref="X2473:AJ2473" si="746">(X843-W843)/W843</f>
        <v>0.14938745657341379</v>
      </c>
      <c r="Y2473" s="47">
        <f t="shared" si="746"/>
        <v>0.10999045497931913</v>
      </c>
      <c r="Z2473" s="47">
        <f t="shared" si="746"/>
        <v>0.15885573422764926</v>
      </c>
      <c r="AA2473" s="47">
        <f t="shared" si="746"/>
        <v>0.10151129139973782</v>
      </c>
      <c r="AB2473" s="47">
        <f t="shared" si="746"/>
        <v>0.15176386050793794</v>
      </c>
      <c r="AC2473" s="47">
        <f t="shared" si="746"/>
        <v>0.19652379049160193</v>
      </c>
      <c r="AD2473" s="47">
        <f t="shared" si="746"/>
        <v>0.15852635180824975</v>
      </c>
      <c r="AE2473" s="47">
        <f t="shared" si="746"/>
        <v>0.12899346699390299</v>
      </c>
      <c r="AF2473" s="47">
        <f t="shared" si="746"/>
        <v>9.5905172413793108E-2</v>
      </c>
      <c r="AG2473" s="47">
        <f t="shared" si="746"/>
        <v>8.6801825611994926E-2</v>
      </c>
      <c r="AH2473" s="47">
        <f t="shared" si="746"/>
        <v>5.3354112952571218E-2</v>
      </c>
      <c r="AI2473" s="47">
        <f t="shared" si="746"/>
        <v>4.4271777176476429E-2</v>
      </c>
      <c r="AJ2473" s="47">
        <f t="shared" si="746"/>
        <v>3.2363121160831447E-2</v>
      </c>
      <c r="AK2473" s="137" t="s">
        <v>432</v>
      </c>
      <c r="AL2473" s="601" t="s">
        <v>432</v>
      </c>
      <c r="AM2473" s="137" t="s">
        <v>432</v>
      </c>
      <c r="AN2473" s="137" t="s">
        <v>432</v>
      </c>
      <c r="AO2473" s="137" t="s">
        <v>432</v>
      </c>
      <c r="AP2473" s="137" t="s">
        <v>432</v>
      </c>
      <c r="AQ2473" s="137" t="s">
        <v>432</v>
      </c>
      <c r="AR2473" s="137" t="s">
        <v>432</v>
      </c>
      <c r="AS2473" s="137" t="s">
        <v>432</v>
      </c>
      <c r="AT2473" s="137" t="s">
        <v>432</v>
      </c>
      <c r="AU2473" s="137" t="s">
        <v>432</v>
      </c>
      <c r="AV2473" s="137" t="s">
        <v>432</v>
      </c>
      <c r="AW2473" s="137" t="s">
        <v>432</v>
      </c>
      <c r="AX2473" s="137" t="s">
        <v>432</v>
      </c>
      <c r="AY2473" s="137" t="s">
        <v>432</v>
      </c>
      <c r="AZ2473" s="137" t="s">
        <v>432</v>
      </c>
      <c r="BA2473" s="137" t="s">
        <v>432</v>
      </c>
      <c r="BB2473" s="239" t="str">
        <f t="shared" ref="BB2473:BB2533" si="747">B2473&amp;C2473</f>
        <v>Frota e condutores de veículos automotores-</v>
      </c>
      <c r="BC2473" s="239" t="str">
        <f t="shared" ref="BC2473:BC2533" si="748">B2473&amp;C2473&amp;H2473</f>
        <v>Frota e condutores de veículos automotores-x</v>
      </c>
      <c r="BD2473" s="239" t="str">
        <f t="shared" ref="BD2473:BD2533" si="749">B2473&amp;H2473</f>
        <v>Frota e condutores de veículos automotoresx</v>
      </c>
      <c r="BM2473" s="19"/>
      <c r="BN2473" s="19"/>
      <c r="BO2473" s="19"/>
    </row>
    <row r="2474" spans="1:67" s="1" customFormat="1" ht="45" customHeight="1" x14ac:dyDescent="0.25">
      <c r="A2474" s="275" t="str">
        <f>'Q100b-totais'!$B$19</f>
        <v>2.4</v>
      </c>
      <c r="B2474" s="54" t="str">
        <f>'Q100b-totais'!$C$19</f>
        <v>População</v>
      </c>
      <c r="C2474" s="229" t="s">
        <v>2</v>
      </c>
      <c r="D2474" s="716" t="s">
        <v>507</v>
      </c>
      <c r="E2474" s="1510" t="s">
        <v>1306</v>
      </c>
      <c r="F2474" s="15" t="s">
        <v>823</v>
      </c>
      <c r="G2474" s="408" t="s">
        <v>509</v>
      </c>
      <c r="H2474" s="167" t="s">
        <v>432</v>
      </c>
      <c r="I2474" s="167">
        <v>1</v>
      </c>
      <c r="J2474" s="93" t="s">
        <v>432</v>
      </c>
      <c r="K2474" s="93" t="s">
        <v>432</v>
      </c>
      <c r="L2474" s="47">
        <f t="shared" ref="L2474:R2474" si="750">(L1855-K1855)/K1855</f>
        <v>4.0001762235782196E-3</v>
      </c>
      <c r="M2474" s="47">
        <f t="shared" si="750"/>
        <v>4.0000157772100177E-3</v>
      </c>
      <c r="N2474" s="47">
        <f t="shared" si="750"/>
        <v>3.9997937491252755E-3</v>
      </c>
      <c r="O2474" s="47">
        <f t="shared" si="750"/>
        <v>4.0000000000000001E-3</v>
      </c>
      <c r="P2474" s="47">
        <f t="shared" si="750"/>
        <v>1.8887521569383996E-2</v>
      </c>
      <c r="Q2474" s="47">
        <f t="shared" si="750"/>
        <v>4.0000994526280358E-3</v>
      </c>
      <c r="R2474" s="47">
        <f t="shared" si="750"/>
        <v>3.9998780844398597E-3</v>
      </c>
      <c r="S2474" s="109" t="s">
        <v>2209</v>
      </c>
      <c r="T2474" s="47">
        <f>(T1855-R1855)/R1855</f>
        <v>4.0000702016352238E-3</v>
      </c>
      <c r="U2474" s="47">
        <f>(U1855-T1855)/T1855</f>
        <v>5.7581664576882484E-2</v>
      </c>
      <c r="V2474" s="109" t="s">
        <v>2209</v>
      </c>
      <c r="W2474" s="47">
        <f>(W1855-U1855)/U1855</f>
        <v>8.9795695917760168E-3</v>
      </c>
      <c r="X2474" s="47">
        <f t="shared" ref="X2474:AJ2474" si="751">(X1855-W1855)/W1855</f>
        <v>1.1441021470123221E-2</v>
      </c>
      <c r="Y2474" s="47">
        <f t="shared" si="751"/>
        <v>9.3430943221791685E-3</v>
      </c>
      <c r="Z2474" s="47">
        <f t="shared" si="751"/>
        <v>1.9408347254676443E-2</v>
      </c>
      <c r="AA2474" s="47">
        <f t="shared" si="751"/>
        <v>1.0535769287711374E-2</v>
      </c>
      <c r="AB2474" s="47">
        <f t="shared" si="751"/>
        <v>1.0352671145765492E-2</v>
      </c>
      <c r="AC2474" s="47">
        <f t="shared" si="751"/>
        <v>5.4239307976932565E-3</v>
      </c>
      <c r="AD2474" s="47">
        <f t="shared" si="751"/>
        <v>8.9952617909211888E-3</v>
      </c>
      <c r="AE2474" s="47">
        <f t="shared" si="751"/>
        <v>7.3830156548683546E-3</v>
      </c>
      <c r="AF2474" s="47">
        <f t="shared" si="751"/>
        <v>-3.1585037533377609E-2</v>
      </c>
      <c r="AG2474" s="47">
        <f t="shared" si="751"/>
        <v>4.4161402790812033E-3</v>
      </c>
      <c r="AH2474" s="47">
        <f t="shared" si="751"/>
        <v>4.2525276236146277E-3</v>
      </c>
      <c r="AI2474" s="47">
        <f t="shared" si="751"/>
        <v>3.4802789064962009E-2</v>
      </c>
      <c r="AJ2474" s="47">
        <f t="shared" si="751"/>
        <v>4.8177511379839579E-3</v>
      </c>
      <c r="AK2474" s="137" t="s">
        <v>432</v>
      </c>
      <c r="AL2474" s="601" t="s">
        <v>432</v>
      </c>
      <c r="AM2474" s="137" t="s">
        <v>432</v>
      </c>
      <c r="AN2474" s="137" t="s">
        <v>432</v>
      </c>
      <c r="AO2474" s="137" t="s">
        <v>432</v>
      </c>
      <c r="AP2474" s="137" t="s">
        <v>432</v>
      </c>
      <c r="AQ2474" s="137" t="s">
        <v>432</v>
      </c>
      <c r="AR2474" s="137" t="s">
        <v>432</v>
      </c>
      <c r="AS2474" s="137" t="s">
        <v>432</v>
      </c>
      <c r="AT2474" s="137" t="s">
        <v>432</v>
      </c>
      <c r="AU2474" s="137" t="s">
        <v>432</v>
      </c>
      <c r="AV2474" s="137" t="s">
        <v>432</v>
      </c>
      <c r="AW2474" s="137" t="s">
        <v>432</v>
      </c>
      <c r="AX2474" s="137" t="s">
        <v>432</v>
      </c>
      <c r="AY2474" s="137" t="s">
        <v>432</v>
      </c>
      <c r="AZ2474" s="137" t="s">
        <v>432</v>
      </c>
      <c r="BA2474" s="137" t="s">
        <v>432</v>
      </c>
      <c r="BB2474" s="239" t="str">
        <f t="shared" si="747"/>
        <v>População-</v>
      </c>
      <c r="BC2474" s="239" t="str">
        <f t="shared" si="748"/>
        <v>População-x</v>
      </c>
      <c r="BD2474" s="239" t="str">
        <f t="shared" si="749"/>
        <v>Populaçãox</v>
      </c>
      <c r="BM2474" s="19"/>
      <c r="BN2474" s="19"/>
      <c r="BO2474" s="19"/>
    </row>
    <row r="2475" spans="1:67" s="1" customFormat="1" ht="85.5" customHeight="1" x14ac:dyDescent="0.25">
      <c r="A2475" s="275" t="str">
        <f>'Q100b-totais'!$B$19</f>
        <v>2.4</v>
      </c>
      <c r="B2475" s="54" t="str">
        <f>'Q100b-totais'!$C$19</f>
        <v>População</v>
      </c>
      <c r="C2475" s="229" t="s">
        <v>2</v>
      </c>
      <c r="D2475" s="716" t="s">
        <v>508</v>
      </c>
      <c r="E2475" s="1510" t="s">
        <v>1306</v>
      </c>
      <c r="F2475" s="15" t="s">
        <v>824</v>
      </c>
      <c r="G2475" s="408" t="s">
        <v>510</v>
      </c>
      <c r="H2475" s="168" t="s">
        <v>432</v>
      </c>
      <c r="I2475" s="167">
        <v>1</v>
      </c>
      <c r="J2475" s="58" t="s">
        <v>432</v>
      </c>
      <c r="K2475" s="107" t="s">
        <v>432</v>
      </c>
      <c r="L2475" s="107" t="s">
        <v>432</v>
      </c>
      <c r="M2475" s="107" t="s">
        <v>432</v>
      </c>
      <c r="N2475" s="107" t="s">
        <v>432</v>
      </c>
      <c r="O2475" s="107" t="s">
        <v>432</v>
      </c>
      <c r="P2475" s="107" t="s">
        <v>432</v>
      </c>
      <c r="Q2475" s="107" t="s">
        <v>432</v>
      </c>
      <c r="R2475" s="107" t="s">
        <v>432</v>
      </c>
      <c r="S2475" s="109" t="s">
        <v>2209</v>
      </c>
      <c r="T2475" s="107" t="s">
        <v>432</v>
      </c>
      <c r="U2475" s="47">
        <f>(U1855-K1855)/K1855</f>
        <v>0.1080928698257218</v>
      </c>
      <c r="V2475" s="109" t="s">
        <v>2209</v>
      </c>
      <c r="W2475" s="107" t="s">
        <v>432</v>
      </c>
      <c r="X2475" s="107" t="s">
        <v>432</v>
      </c>
      <c r="Y2475" s="107" t="s">
        <v>432</v>
      </c>
      <c r="Z2475" s="107" t="s">
        <v>432</v>
      </c>
      <c r="AA2475" s="107" t="s">
        <v>432</v>
      </c>
      <c r="AB2475" s="107" t="s">
        <v>432</v>
      </c>
      <c r="AC2475" s="107" t="s">
        <v>432</v>
      </c>
      <c r="AD2475" s="107" t="s">
        <v>432</v>
      </c>
      <c r="AE2475" s="107" t="s">
        <v>432</v>
      </c>
      <c r="AF2475" s="47">
        <f>(AF1855-U1855)/U1855</f>
        <v>6.1033465771672964E-2</v>
      </c>
      <c r="AG2475" s="107" t="s">
        <v>432</v>
      </c>
      <c r="AH2475" s="107" t="s">
        <v>432</v>
      </c>
      <c r="AI2475" s="107" t="s">
        <v>432</v>
      </c>
      <c r="AJ2475" s="107" t="s">
        <v>432</v>
      </c>
      <c r="AK2475" s="137" t="s">
        <v>432</v>
      </c>
      <c r="AL2475" s="601" t="s">
        <v>432</v>
      </c>
      <c r="AM2475" s="137" t="s">
        <v>432</v>
      </c>
      <c r="AN2475" s="137" t="s">
        <v>432</v>
      </c>
      <c r="AO2475" s="137" t="s">
        <v>432</v>
      </c>
      <c r="AP2475" s="137" t="s">
        <v>432</v>
      </c>
      <c r="AQ2475" s="137" t="s">
        <v>432</v>
      </c>
      <c r="AR2475" s="137" t="s">
        <v>432</v>
      </c>
      <c r="AS2475" s="137" t="s">
        <v>432</v>
      </c>
      <c r="AT2475" s="137" t="s">
        <v>432</v>
      </c>
      <c r="AU2475" s="137" t="s">
        <v>432</v>
      </c>
      <c r="AV2475" s="137" t="s">
        <v>432</v>
      </c>
      <c r="AW2475" s="137" t="s">
        <v>432</v>
      </c>
      <c r="AX2475" s="137" t="s">
        <v>432</v>
      </c>
      <c r="AY2475" s="137" t="s">
        <v>432</v>
      </c>
      <c r="AZ2475" s="137" t="s">
        <v>432</v>
      </c>
      <c r="BA2475" s="137" t="s">
        <v>432</v>
      </c>
      <c r="BB2475" s="239" t="str">
        <f t="shared" si="747"/>
        <v>População-</v>
      </c>
      <c r="BC2475" s="239" t="str">
        <f t="shared" si="748"/>
        <v>População-x</v>
      </c>
      <c r="BD2475" s="239" t="str">
        <f t="shared" si="749"/>
        <v>Populaçãox</v>
      </c>
      <c r="BM2475" s="19"/>
      <c r="BN2475" s="19"/>
      <c r="BO2475" s="19"/>
    </row>
    <row r="2476" spans="1:67" s="1" customFormat="1" x14ac:dyDescent="0.25">
      <c r="A2476" s="398"/>
      <c r="B2476" s="221"/>
      <c r="C2476" s="399"/>
      <c r="D2476" s="987"/>
      <c r="E2476" s="1533"/>
      <c r="F2476" s="405"/>
      <c r="G2476" s="405"/>
      <c r="H2476" s="399"/>
      <c r="I2476" s="405"/>
      <c r="J2476" s="221"/>
      <c r="K2476" s="403"/>
      <c r="L2476" s="403"/>
      <c r="M2476" s="403"/>
      <c r="N2476" s="403"/>
      <c r="O2476" s="403"/>
      <c r="P2476" s="403"/>
      <c r="Q2476" s="403"/>
      <c r="R2476" s="403"/>
      <c r="S2476" s="403"/>
      <c r="T2476" s="403"/>
      <c r="U2476" s="403"/>
      <c r="V2476" s="403"/>
      <c r="W2476" s="403"/>
      <c r="X2476" s="403"/>
      <c r="Y2476" s="403"/>
      <c r="Z2476" s="403"/>
      <c r="AA2476" s="403"/>
      <c r="AB2476" s="403"/>
      <c r="AC2476" s="403"/>
      <c r="AD2476" s="403"/>
      <c r="AE2476" s="403"/>
      <c r="AF2476" s="403"/>
      <c r="AG2476" s="403"/>
      <c r="AH2476" s="403"/>
      <c r="AI2476" s="403"/>
      <c r="AJ2476" s="403"/>
      <c r="AK2476" s="223"/>
      <c r="AL2476" s="223"/>
      <c r="AM2476" s="223"/>
      <c r="AN2476" s="223"/>
      <c r="AO2476" s="223"/>
      <c r="AP2476" s="223"/>
      <c r="AQ2476" s="223"/>
      <c r="AR2476" s="223"/>
      <c r="AS2476" s="223"/>
      <c r="AT2476" s="223"/>
      <c r="AU2476" s="223"/>
      <c r="AV2476" s="223"/>
      <c r="AW2476" s="223"/>
      <c r="AX2476" s="223"/>
      <c r="AY2476" s="223"/>
      <c r="AZ2476" s="223"/>
      <c r="BA2476" s="223"/>
      <c r="BB2476" s="400"/>
      <c r="BC2476" s="400"/>
      <c r="BD2476" s="400"/>
    </row>
    <row r="2477" spans="1:67" s="1" customFormat="1" ht="38.25" x14ac:dyDescent="0.25">
      <c r="A2477" s="262" t="str">
        <f>'Q100b-totais'!B22</f>
        <v>2.7</v>
      </c>
      <c r="B2477" s="252" t="str">
        <f>'Q100b-totais'!C22</f>
        <v>Outras cidades/regiões</v>
      </c>
      <c r="C2477" s="167" t="s">
        <v>432</v>
      </c>
      <c r="D2477" s="1569" t="s">
        <v>3334</v>
      </c>
      <c r="E2477" s="509" t="s">
        <v>3334</v>
      </c>
      <c r="F2477" s="252" t="s">
        <v>6310</v>
      </c>
      <c r="G2477" s="230" t="s">
        <v>3507</v>
      </c>
      <c r="H2477" s="167" t="s">
        <v>2408</v>
      </c>
      <c r="I2477" s="167" t="s">
        <v>432</v>
      </c>
      <c r="J2477" s="107" t="s">
        <v>432</v>
      </c>
      <c r="K2477" s="107" t="s">
        <v>432</v>
      </c>
      <c r="L2477" s="107" t="s">
        <v>432</v>
      </c>
      <c r="M2477" s="107" t="s">
        <v>432</v>
      </c>
      <c r="N2477" s="107" t="s">
        <v>432</v>
      </c>
      <c r="O2477" s="107" t="s">
        <v>432</v>
      </c>
      <c r="P2477" s="107" t="s">
        <v>432</v>
      </c>
      <c r="Q2477" s="107" t="s">
        <v>432</v>
      </c>
      <c r="R2477" s="107" t="s">
        <v>432</v>
      </c>
      <c r="S2477" s="109" t="s">
        <v>2209</v>
      </c>
      <c r="T2477" s="107" t="s">
        <v>432</v>
      </c>
      <c r="U2477" s="107" t="s">
        <v>432</v>
      </c>
      <c r="V2477" s="109" t="s">
        <v>2209</v>
      </c>
      <c r="W2477" s="107" t="s">
        <v>432</v>
      </c>
      <c r="X2477" s="107" t="s">
        <v>432</v>
      </c>
      <c r="Y2477" s="107" t="s">
        <v>432</v>
      </c>
      <c r="Z2477" s="107" t="s">
        <v>432</v>
      </c>
      <c r="AA2477" s="107" t="s">
        <v>432</v>
      </c>
      <c r="AB2477" s="107" t="s">
        <v>432</v>
      </c>
      <c r="AC2477" s="107" t="s">
        <v>432</v>
      </c>
      <c r="AD2477" s="107" t="s">
        <v>432</v>
      </c>
      <c r="AE2477" s="107" t="s">
        <v>432</v>
      </c>
      <c r="AF2477" s="107" t="s">
        <v>432</v>
      </c>
      <c r="AG2477" s="107" t="s">
        <v>432</v>
      </c>
      <c r="AH2477" s="107" t="s">
        <v>432</v>
      </c>
      <c r="AI2477" s="107" t="s">
        <v>432</v>
      </c>
      <c r="AJ2477" s="107" t="s">
        <v>432</v>
      </c>
      <c r="AK2477" s="137" t="s">
        <v>432</v>
      </c>
      <c r="AL2477" s="601" t="s">
        <v>432</v>
      </c>
      <c r="AM2477" s="137" t="s">
        <v>432</v>
      </c>
      <c r="AN2477" s="137" t="s">
        <v>432</v>
      </c>
      <c r="AO2477" s="137" t="s">
        <v>432</v>
      </c>
      <c r="AP2477" s="137" t="s">
        <v>432</v>
      </c>
      <c r="AQ2477" s="137" t="s">
        <v>432</v>
      </c>
      <c r="AR2477" s="137" t="s">
        <v>432</v>
      </c>
      <c r="AS2477" s="137" t="s">
        <v>432</v>
      </c>
      <c r="AT2477" s="137" t="s">
        <v>432</v>
      </c>
      <c r="AU2477" s="137" t="s">
        <v>432</v>
      </c>
      <c r="AV2477" s="137" t="s">
        <v>432</v>
      </c>
      <c r="AW2477" s="137" t="s">
        <v>432</v>
      </c>
      <c r="AX2477" s="137" t="s">
        <v>432</v>
      </c>
      <c r="AY2477" s="137" t="s">
        <v>432</v>
      </c>
      <c r="AZ2477" s="137" t="s">
        <v>432</v>
      </c>
      <c r="BA2477" s="137" t="s">
        <v>432</v>
      </c>
      <c r="BB2477" s="239" t="str">
        <f t="shared" ref="BB2477" si="752">B2477&amp;C2477</f>
        <v>Outras cidades/regiõesx</v>
      </c>
      <c r="BC2477" s="239" t="str">
        <f t="shared" ref="BC2477" si="753">B2477&amp;C2477&amp;H2477</f>
        <v>Outras cidades/regiõesxsigla/verbete</v>
      </c>
      <c r="BD2477" s="239" t="str">
        <f t="shared" ref="BD2477" si="754">B2477&amp;H2477</f>
        <v>Outras cidades/regiõessigla/verbete</v>
      </c>
      <c r="BM2477" s="1573"/>
      <c r="BN2477" s="1573"/>
      <c r="BO2477" s="1573"/>
    </row>
    <row r="2478" spans="1:67" s="1" customFormat="1" ht="25.5" x14ac:dyDescent="0.25">
      <c r="A2478" s="262" t="s">
        <v>432</v>
      </c>
      <c r="B2478" s="252" t="s">
        <v>742</v>
      </c>
      <c r="C2478" s="167" t="s">
        <v>432</v>
      </c>
      <c r="D2478" s="324" t="s">
        <v>399</v>
      </c>
      <c r="E2478" s="254" t="s">
        <v>1306</v>
      </c>
      <c r="F2478" s="12" t="s">
        <v>400</v>
      </c>
      <c r="G2478" s="230" t="s">
        <v>3507</v>
      </c>
      <c r="H2478" s="167" t="s">
        <v>2408</v>
      </c>
      <c r="I2478" s="167" t="s">
        <v>432</v>
      </c>
      <c r="J2478" s="107" t="s">
        <v>432</v>
      </c>
      <c r="K2478" s="107" t="s">
        <v>432</v>
      </c>
      <c r="L2478" s="107" t="s">
        <v>432</v>
      </c>
      <c r="M2478" s="107" t="s">
        <v>432</v>
      </c>
      <c r="N2478" s="107" t="s">
        <v>432</v>
      </c>
      <c r="O2478" s="107" t="s">
        <v>432</v>
      </c>
      <c r="P2478" s="107" t="s">
        <v>432</v>
      </c>
      <c r="Q2478" s="107" t="s">
        <v>432</v>
      </c>
      <c r="R2478" s="107" t="s">
        <v>432</v>
      </c>
      <c r="S2478" s="109" t="s">
        <v>2209</v>
      </c>
      <c r="T2478" s="107" t="s">
        <v>432</v>
      </c>
      <c r="U2478" s="107" t="s">
        <v>432</v>
      </c>
      <c r="V2478" s="109" t="s">
        <v>2209</v>
      </c>
      <c r="W2478" s="107" t="s">
        <v>432</v>
      </c>
      <c r="X2478" s="107" t="s">
        <v>432</v>
      </c>
      <c r="Y2478" s="107" t="s">
        <v>432</v>
      </c>
      <c r="Z2478" s="107" t="s">
        <v>432</v>
      </c>
      <c r="AA2478" s="107" t="s">
        <v>432</v>
      </c>
      <c r="AB2478" s="107" t="s">
        <v>432</v>
      </c>
      <c r="AC2478" s="107" t="s">
        <v>432</v>
      </c>
      <c r="AD2478" s="107" t="s">
        <v>432</v>
      </c>
      <c r="AE2478" s="107" t="s">
        <v>432</v>
      </c>
      <c r="AF2478" s="107" t="s">
        <v>432</v>
      </c>
      <c r="AG2478" s="107" t="s">
        <v>432</v>
      </c>
      <c r="AH2478" s="107" t="s">
        <v>432</v>
      </c>
      <c r="AI2478" s="107" t="s">
        <v>432</v>
      </c>
      <c r="AJ2478" s="107" t="s">
        <v>432</v>
      </c>
      <c r="AK2478" s="137" t="s">
        <v>432</v>
      </c>
      <c r="AL2478" s="601" t="s">
        <v>432</v>
      </c>
      <c r="AM2478" s="137" t="s">
        <v>432</v>
      </c>
      <c r="AN2478" s="137" t="s">
        <v>432</v>
      </c>
      <c r="AO2478" s="137" t="s">
        <v>432</v>
      </c>
      <c r="AP2478" s="137" t="s">
        <v>432</v>
      </c>
      <c r="AQ2478" s="137" t="s">
        <v>432</v>
      </c>
      <c r="AR2478" s="137" t="s">
        <v>432</v>
      </c>
      <c r="AS2478" s="137" t="s">
        <v>432</v>
      </c>
      <c r="AT2478" s="137" t="s">
        <v>432</v>
      </c>
      <c r="AU2478" s="137" t="s">
        <v>432</v>
      </c>
      <c r="AV2478" s="137" t="s">
        <v>432</v>
      </c>
      <c r="AW2478" s="137" t="s">
        <v>432</v>
      </c>
      <c r="AX2478" s="137" t="s">
        <v>432</v>
      </c>
      <c r="AY2478" s="137" t="s">
        <v>432</v>
      </c>
      <c r="AZ2478" s="137" t="s">
        <v>432</v>
      </c>
      <c r="BA2478" s="137" t="s">
        <v>432</v>
      </c>
      <c r="BB2478" s="239" t="str">
        <f t="shared" si="747"/>
        <v>geralx</v>
      </c>
      <c r="BC2478" s="239" t="str">
        <f t="shared" si="748"/>
        <v>geralxsigla/verbete</v>
      </c>
      <c r="BD2478" s="239" t="str">
        <f t="shared" si="749"/>
        <v>geralsigla/verbete</v>
      </c>
      <c r="BM2478" s="19"/>
      <c r="BN2478" s="19"/>
      <c r="BO2478" s="19"/>
    </row>
    <row r="2479" spans="1:67" s="1" customFormat="1" ht="63" customHeight="1" x14ac:dyDescent="0.25">
      <c r="A2479" s="262" t="s">
        <v>432</v>
      </c>
      <c r="B2479" s="252" t="s">
        <v>742</v>
      </c>
      <c r="C2479" s="167" t="s">
        <v>432</v>
      </c>
      <c r="D2479" s="324" t="s">
        <v>401</v>
      </c>
      <c r="E2479" s="1496" t="s">
        <v>432</v>
      </c>
      <c r="F2479" s="165" t="s">
        <v>901</v>
      </c>
      <c r="G2479" s="167" t="s">
        <v>3879</v>
      </c>
      <c r="H2479" s="167" t="s">
        <v>432</v>
      </c>
      <c r="I2479" s="167" t="s">
        <v>432</v>
      </c>
      <c r="J2479" s="107" t="s">
        <v>432</v>
      </c>
      <c r="K2479" s="107" t="s">
        <v>432</v>
      </c>
      <c r="L2479" s="107" t="s">
        <v>432</v>
      </c>
      <c r="M2479" s="107" t="s">
        <v>432</v>
      </c>
      <c r="N2479" s="107" t="s">
        <v>432</v>
      </c>
      <c r="O2479" s="107" t="s">
        <v>432</v>
      </c>
      <c r="P2479" s="107" t="s">
        <v>432</v>
      </c>
      <c r="Q2479" s="107" t="s">
        <v>432</v>
      </c>
      <c r="R2479" s="107" t="s">
        <v>432</v>
      </c>
      <c r="S2479" s="109" t="s">
        <v>2209</v>
      </c>
      <c r="T2479" s="107" t="s">
        <v>432</v>
      </c>
      <c r="U2479" s="107" t="s">
        <v>432</v>
      </c>
      <c r="V2479" s="109" t="s">
        <v>2209</v>
      </c>
      <c r="W2479" s="107" t="s">
        <v>432</v>
      </c>
      <c r="X2479" s="107" t="s">
        <v>432</v>
      </c>
      <c r="Y2479" s="107" t="s">
        <v>432</v>
      </c>
      <c r="Z2479" s="107" t="s">
        <v>432</v>
      </c>
      <c r="AA2479" s="107" t="s">
        <v>432</v>
      </c>
      <c r="AB2479" s="107" t="s">
        <v>432</v>
      </c>
      <c r="AC2479" s="107" t="s">
        <v>432</v>
      </c>
      <c r="AD2479" s="107" t="s">
        <v>432</v>
      </c>
      <c r="AE2479" s="107" t="s">
        <v>432</v>
      </c>
      <c r="AF2479" s="107" t="s">
        <v>432</v>
      </c>
      <c r="AG2479" s="107" t="s">
        <v>432</v>
      </c>
      <c r="AH2479" s="107" t="s">
        <v>432</v>
      </c>
      <c r="AI2479" s="107" t="s">
        <v>432</v>
      </c>
      <c r="AJ2479" s="107" t="s">
        <v>432</v>
      </c>
      <c r="AK2479" s="137" t="s">
        <v>432</v>
      </c>
      <c r="AL2479" s="601" t="s">
        <v>432</v>
      </c>
      <c r="AM2479" s="137" t="s">
        <v>432</v>
      </c>
      <c r="AN2479" s="137" t="s">
        <v>432</v>
      </c>
      <c r="AO2479" s="137" t="s">
        <v>432</v>
      </c>
      <c r="AP2479" s="137" t="s">
        <v>432</v>
      </c>
      <c r="AQ2479" s="137" t="s">
        <v>432</v>
      </c>
      <c r="AR2479" s="137" t="s">
        <v>432</v>
      </c>
      <c r="AS2479" s="137" t="s">
        <v>432</v>
      </c>
      <c r="AT2479" s="137" t="s">
        <v>432</v>
      </c>
      <c r="AU2479" s="137" t="s">
        <v>432</v>
      </c>
      <c r="AV2479" s="137" t="s">
        <v>432</v>
      </c>
      <c r="AW2479" s="137" t="s">
        <v>432</v>
      </c>
      <c r="AX2479" s="137" t="s">
        <v>432</v>
      </c>
      <c r="AY2479" s="137" t="s">
        <v>432</v>
      </c>
      <c r="AZ2479" s="137" t="s">
        <v>432</v>
      </c>
      <c r="BA2479" s="137" t="s">
        <v>432</v>
      </c>
      <c r="BB2479" s="239" t="str">
        <f t="shared" si="747"/>
        <v>geralx</v>
      </c>
      <c r="BC2479" s="239" t="str">
        <f t="shared" si="748"/>
        <v>geralxx</v>
      </c>
      <c r="BD2479" s="239" t="str">
        <f t="shared" si="749"/>
        <v>geralx</v>
      </c>
      <c r="BM2479" s="19"/>
      <c r="BN2479" s="19"/>
      <c r="BO2479" s="19"/>
    </row>
    <row r="2480" spans="1:67" s="1" customFormat="1" ht="128.25" customHeight="1" x14ac:dyDescent="0.25">
      <c r="A2480" s="275" t="str">
        <f>'Q100b-totais'!$B$38</f>
        <v>4.3</v>
      </c>
      <c r="B2480" s="252" t="str">
        <f>'Q100b-totais'!$C$38</f>
        <v>Fiscalização urbanística integrada</v>
      </c>
      <c r="C2480" s="167" t="s">
        <v>935</v>
      </c>
      <c r="D2480" s="362" t="s">
        <v>402</v>
      </c>
      <c r="E2480" s="1502" t="s">
        <v>1306</v>
      </c>
      <c r="F2480" s="286" t="s">
        <v>5559</v>
      </c>
      <c r="G2480" s="111" t="s">
        <v>879</v>
      </c>
      <c r="H2480" s="168" t="s">
        <v>432</v>
      </c>
      <c r="I2480" s="167">
        <f>24-8</f>
        <v>16</v>
      </c>
      <c r="J2480" s="109" t="s">
        <v>432</v>
      </c>
      <c r="K2480" s="109" t="s">
        <v>432</v>
      </c>
      <c r="L2480" s="109" t="s">
        <v>432</v>
      </c>
      <c r="M2480" s="109" t="s">
        <v>432</v>
      </c>
      <c r="N2480" s="109" t="s">
        <v>432</v>
      </c>
      <c r="O2480" s="109" t="s">
        <v>432</v>
      </c>
      <c r="P2480" s="109" t="s">
        <v>432</v>
      </c>
      <c r="Q2480" s="109" t="s">
        <v>432</v>
      </c>
      <c r="R2480" s="109" t="s">
        <v>432</v>
      </c>
      <c r="S2480" s="109" t="s">
        <v>2209</v>
      </c>
      <c r="T2480" s="109" t="s">
        <v>432</v>
      </c>
      <c r="U2480" s="109" t="s">
        <v>432</v>
      </c>
      <c r="V2480" s="109" t="s">
        <v>2209</v>
      </c>
      <c r="W2480" s="109" t="s">
        <v>432</v>
      </c>
      <c r="X2480" s="109" t="s">
        <v>432</v>
      </c>
      <c r="Y2480" s="109" t="s">
        <v>432</v>
      </c>
      <c r="Z2480" s="109" t="s">
        <v>432</v>
      </c>
      <c r="AA2480" s="109" t="s">
        <v>432</v>
      </c>
      <c r="AB2480" s="109" t="s">
        <v>432</v>
      </c>
      <c r="AC2480" s="109" t="s">
        <v>432</v>
      </c>
      <c r="AD2480" s="109" t="s">
        <v>432</v>
      </c>
      <c r="AE2480" s="109" t="s">
        <v>432</v>
      </c>
      <c r="AF2480" s="109" t="s">
        <v>432</v>
      </c>
      <c r="AG2480" s="109" t="s">
        <v>432</v>
      </c>
      <c r="AH2480" s="109" t="s">
        <v>432</v>
      </c>
      <c r="AI2480" s="109" t="s">
        <v>432</v>
      </c>
      <c r="AJ2480" s="109" t="s">
        <v>432</v>
      </c>
      <c r="AK2480" s="109" t="s">
        <v>432</v>
      </c>
      <c r="AL2480" s="601" t="s">
        <v>432</v>
      </c>
      <c r="AM2480" s="137" t="s">
        <v>432</v>
      </c>
      <c r="AN2480" s="137" t="s">
        <v>432</v>
      </c>
      <c r="AO2480" s="137" t="s">
        <v>432</v>
      </c>
      <c r="AP2480" s="137" t="s">
        <v>432</v>
      </c>
      <c r="AQ2480" s="137" t="s">
        <v>432</v>
      </c>
      <c r="AR2480" s="137" t="s">
        <v>432</v>
      </c>
      <c r="AS2480" s="137" t="s">
        <v>432</v>
      </c>
      <c r="AT2480" s="137" t="s">
        <v>432</v>
      </c>
      <c r="AU2480" s="137" t="s">
        <v>432</v>
      </c>
      <c r="AV2480" s="137" t="s">
        <v>432</v>
      </c>
      <c r="AW2480" s="137" t="s">
        <v>432</v>
      </c>
      <c r="AX2480" s="137" t="s">
        <v>432</v>
      </c>
      <c r="AY2480" s="137" t="s">
        <v>432</v>
      </c>
      <c r="AZ2480" s="137" t="s">
        <v>432</v>
      </c>
      <c r="BA2480" s="137" t="s">
        <v>432</v>
      </c>
      <c r="BB2480" s="239" t="str">
        <f t="shared" si="747"/>
        <v>Fiscalização urbanística integradaCMMCE</v>
      </c>
      <c r="BC2480" s="239" t="str">
        <f t="shared" si="748"/>
        <v>Fiscalização urbanística integradaCMMCEx</v>
      </c>
      <c r="BD2480" s="239" t="str">
        <f t="shared" si="749"/>
        <v>Fiscalização urbanística integradax</v>
      </c>
      <c r="BM2480" s="19"/>
      <c r="BN2480" s="19"/>
      <c r="BO2480" s="19"/>
    </row>
    <row r="2481" spans="1:67" s="1" customFormat="1" ht="38.25" x14ac:dyDescent="0.25">
      <c r="A2481" s="275" t="str">
        <f>'Q100b-totais'!$B$38</f>
        <v>4.3</v>
      </c>
      <c r="B2481" s="252" t="str">
        <f>'Q100b-totais'!$C$38</f>
        <v>Fiscalização urbanística integrada</v>
      </c>
      <c r="C2481" s="167" t="s">
        <v>743</v>
      </c>
      <c r="D2481" s="324" t="s">
        <v>2406</v>
      </c>
      <c r="E2481" s="254" t="s">
        <v>1306</v>
      </c>
      <c r="F2481" s="11" t="s">
        <v>2405</v>
      </c>
      <c r="G2481" s="111" t="s">
        <v>2407</v>
      </c>
      <c r="H2481" s="168" t="s">
        <v>432</v>
      </c>
      <c r="I2481" s="167">
        <v>8</v>
      </c>
      <c r="J2481" s="109" t="s">
        <v>432</v>
      </c>
      <c r="K2481" s="109" t="s">
        <v>432</v>
      </c>
      <c r="L2481" s="109" t="s">
        <v>432</v>
      </c>
      <c r="M2481" s="109" t="s">
        <v>432</v>
      </c>
      <c r="N2481" s="109" t="s">
        <v>432</v>
      </c>
      <c r="O2481" s="109" t="s">
        <v>432</v>
      </c>
      <c r="P2481" s="109" t="s">
        <v>432</v>
      </c>
      <c r="Q2481" s="109" t="s">
        <v>432</v>
      </c>
      <c r="R2481" s="109" t="s">
        <v>432</v>
      </c>
      <c r="S2481" s="109" t="s">
        <v>2209</v>
      </c>
      <c r="T2481" s="109" t="s">
        <v>432</v>
      </c>
      <c r="U2481" s="109" t="s">
        <v>432</v>
      </c>
      <c r="V2481" s="109" t="s">
        <v>2209</v>
      </c>
      <c r="W2481" s="109" t="s">
        <v>432</v>
      </c>
      <c r="X2481" s="109" t="s">
        <v>432</v>
      </c>
      <c r="Y2481" s="109" t="s">
        <v>432</v>
      </c>
      <c r="Z2481" s="109" t="s">
        <v>432</v>
      </c>
      <c r="AA2481" s="109" t="s">
        <v>432</v>
      </c>
      <c r="AB2481" s="109" t="s">
        <v>432</v>
      </c>
      <c r="AC2481" s="109" t="s">
        <v>432</v>
      </c>
      <c r="AD2481" s="109" t="s">
        <v>432</v>
      </c>
      <c r="AE2481" s="109" t="s">
        <v>432</v>
      </c>
      <c r="AF2481" s="109" t="s">
        <v>432</v>
      </c>
      <c r="AG2481" s="109" t="s">
        <v>432</v>
      </c>
      <c r="AH2481" s="109" t="s">
        <v>432</v>
      </c>
      <c r="AI2481" s="109" t="s">
        <v>432</v>
      </c>
      <c r="AJ2481" s="109" t="s">
        <v>432</v>
      </c>
      <c r="AK2481" s="109" t="s">
        <v>432</v>
      </c>
      <c r="AL2481" s="601" t="s">
        <v>432</v>
      </c>
      <c r="AM2481" s="137" t="s">
        <v>432</v>
      </c>
      <c r="AN2481" s="137" t="s">
        <v>432</v>
      </c>
      <c r="AO2481" s="137" t="s">
        <v>432</v>
      </c>
      <c r="AP2481" s="137" t="s">
        <v>432</v>
      </c>
      <c r="AQ2481" s="137" t="s">
        <v>432</v>
      </c>
      <c r="AR2481" s="137" t="s">
        <v>432</v>
      </c>
      <c r="AS2481" s="137" t="s">
        <v>432</v>
      </c>
      <c r="AT2481" s="137" t="s">
        <v>432</v>
      </c>
      <c r="AU2481" s="137" t="s">
        <v>432</v>
      </c>
      <c r="AV2481" s="137" t="s">
        <v>432</v>
      </c>
      <c r="AW2481" s="137" t="s">
        <v>432</v>
      </c>
      <c r="AX2481" s="137" t="s">
        <v>432</v>
      </c>
      <c r="AY2481" s="137" t="s">
        <v>432</v>
      </c>
      <c r="AZ2481" s="137" t="s">
        <v>432</v>
      </c>
      <c r="BA2481" s="137" t="s">
        <v>432</v>
      </c>
      <c r="BB2481" s="239" t="str">
        <f>B2481&amp;C2481</f>
        <v>Fiscalização urbanística integradaacessibilidade</v>
      </c>
      <c r="BC2481" s="239" t="str">
        <f>B2481&amp;C2481&amp;H2481</f>
        <v>Fiscalização urbanística integradaacessibilidadex</v>
      </c>
      <c r="BD2481" s="239" t="str">
        <f>B2481&amp;H2481</f>
        <v>Fiscalização urbanística integradax</v>
      </c>
      <c r="BM2481" s="761"/>
      <c r="BN2481" s="761"/>
      <c r="BO2481" s="761"/>
    </row>
    <row r="2482" spans="1:67" s="347" customFormat="1" ht="128.25" customHeight="1" x14ac:dyDescent="0.25">
      <c r="A2482" s="413" t="str">
        <f>'Q100b-totais'!B49</f>
        <v>6.1</v>
      </c>
      <c r="B2482" s="252" t="str">
        <f>'Q100b-totais'!C49</f>
        <v>Calçadas e passarelas</v>
      </c>
      <c r="C2482" s="167" t="s">
        <v>743</v>
      </c>
      <c r="D2482" s="324" t="s">
        <v>1977</v>
      </c>
      <c r="E2482" s="1364" t="s">
        <v>1705</v>
      </c>
      <c r="F2482" s="54" t="s">
        <v>1978</v>
      </c>
      <c r="G2482" s="110" t="s">
        <v>1974</v>
      </c>
      <c r="H2482" s="168" t="s">
        <v>765</v>
      </c>
      <c r="I2482" s="167" t="s">
        <v>432</v>
      </c>
      <c r="J2482" s="109" t="s">
        <v>432</v>
      </c>
      <c r="K2482" s="109" t="s">
        <v>432</v>
      </c>
      <c r="L2482" s="109" t="s">
        <v>432</v>
      </c>
      <c r="M2482" s="109" t="s">
        <v>432</v>
      </c>
      <c r="N2482" s="109" t="s">
        <v>432</v>
      </c>
      <c r="O2482" s="109" t="s">
        <v>432</v>
      </c>
      <c r="P2482" s="109" t="s">
        <v>432</v>
      </c>
      <c r="Q2482" s="109" t="s">
        <v>432</v>
      </c>
      <c r="R2482" s="109" t="s">
        <v>432</v>
      </c>
      <c r="S2482" s="109" t="s">
        <v>2209</v>
      </c>
      <c r="T2482" s="109" t="s">
        <v>432</v>
      </c>
      <c r="U2482" s="109" t="s">
        <v>432</v>
      </c>
      <c r="V2482" s="109" t="s">
        <v>2209</v>
      </c>
      <c r="W2482" s="109" t="s">
        <v>432</v>
      </c>
      <c r="X2482" s="109" t="s">
        <v>432</v>
      </c>
      <c r="Y2482" s="109" t="s">
        <v>432</v>
      </c>
      <c r="Z2482" s="109" t="s">
        <v>432</v>
      </c>
      <c r="AA2482" s="109" t="s">
        <v>432</v>
      </c>
      <c r="AB2482" s="109" t="s">
        <v>432</v>
      </c>
      <c r="AC2482" s="109" t="s">
        <v>432</v>
      </c>
      <c r="AD2482" s="109" t="s">
        <v>432</v>
      </c>
      <c r="AE2482" s="109" t="s">
        <v>432</v>
      </c>
      <c r="AF2482" s="109" t="s">
        <v>432</v>
      </c>
      <c r="AG2482" s="109" t="s">
        <v>432</v>
      </c>
      <c r="AH2482" s="109" t="s">
        <v>432</v>
      </c>
      <c r="AI2482" s="109" t="s">
        <v>432</v>
      </c>
      <c r="AJ2482" s="516">
        <v>1.2E-2</v>
      </c>
      <c r="AK2482" s="109" t="s">
        <v>432</v>
      </c>
      <c r="AL2482" s="601" t="s">
        <v>432</v>
      </c>
      <c r="AM2482" s="109" t="s">
        <v>432</v>
      </c>
      <c r="AN2482" s="109" t="s">
        <v>432</v>
      </c>
      <c r="AO2482" s="109" t="s">
        <v>432</v>
      </c>
      <c r="AP2482" s="109" t="s">
        <v>432</v>
      </c>
      <c r="AQ2482" s="109" t="s">
        <v>432</v>
      </c>
      <c r="AR2482" s="109" t="s">
        <v>432</v>
      </c>
      <c r="AS2482" s="109" t="s">
        <v>432</v>
      </c>
      <c r="AT2482" s="109" t="s">
        <v>432</v>
      </c>
      <c r="AU2482" s="109" t="s">
        <v>432</v>
      </c>
      <c r="AV2482" s="109" t="s">
        <v>432</v>
      </c>
      <c r="AW2482" s="109" t="s">
        <v>432</v>
      </c>
      <c r="AX2482" s="109" t="s">
        <v>432</v>
      </c>
      <c r="AY2482" s="109" t="s">
        <v>432</v>
      </c>
      <c r="AZ2482" s="109" t="s">
        <v>432</v>
      </c>
      <c r="BA2482" s="109" t="s">
        <v>432</v>
      </c>
      <c r="BB2482" s="239" t="str">
        <f t="shared" si="747"/>
        <v>Calçadas e passarelasacessibilidade</v>
      </c>
      <c r="BC2482" s="239" t="str">
        <f t="shared" si="748"/>
        <v>Calçadas e passarelasacessibilidademeta/RPI</v>
      </c>
      <c r="BD2482" s="239" t="str">
        <f t="shared" si="749"/>
        <v>Calçadas e passarelasmeta/RPI</v>
      </c>
      <c r="BM2482" s="511"/>
      <c r="BN2482" s="511"/>
      <c r="BO2482" s="511"/>
    </row>
    <row r="2483" spans="1:67" s="347" customFormat="1" ht="153" customHeight="1" x14ac:dyDescent="0.25">
      <c r="A2483" s="262" t="s">
        <v>432</v>
      </c>
      <c r="B2483" s="252" t="s">
        <v>742</v>
      </c>
      <c r="C2483" s="167" t="s">
        <v>432</v>
      </c>
      <c r="D2483" s="324" t="s">
        <v>2323</v>
      </c>
      <c r="E2483" s="1364" t="s">
        <v>1266</v>
      </c>
      <c r="F2483" s="54" t="s">
        <v>2325</v>
      </c>
      <c r="G2483" s="230" t="s">
        <v>3507</v>
      </c>
      <c r="H2483" s="167" t="s">
        <v>2408</v>
      </c>
      <c r="I2483" s="167" t="s">
        <v>432</v>
      </c>
      <c r="J2483" s="107" t="s">
        <v>432</v>
      </c>
      <c r="K2483" s="107" t="s">
        <v>432</v>
      </c>
      <c r="L2483" s="107" t="s">
        <v>432</v>
      </c>
      <c r="M2483" s="107" t="s">
        <v>432</v>
      </c>
      <c r="N2483" s="107" t="s">
        <v>432</v>
      </c>
      <c r="O2483" s="107" t="s">
        <v>432</v>
      </c>
      <c r="P2483" s="107" t="s">
        <v>432</v>
      </c>
      <c r="Q2483" s="107" t="s">
        <v>432</v>
      </c>
      <c r="R2483" s="107" t="s">
        <v>432</v>
      </c>
      <c r="S2483" s="109" t="s">
        <v>2209</v>
      </c>
      <c r="T2483" s="107" t="s">
        <v>432</v>
      </c>
      <c r="U2483" s="107" t="s">
        <v>432</v>
      </c>
      <c r="V2483" s="109" t="s">
        <v>2209</v>
      </c>
      <c r="W2483" s="107" t="s">
        <v>432</v>
      </c>
      <c r="X2483" s="107" t="s">
        <v>432</v>
      </c>
      <c r="Y2483" s="107" t="s">
        <v>432</v>
      </c>
      <c r="Z2483" s="107" t="s">
        <v>432</v>
      </c>
      <c r="AA2483" s="107" t="s">
        <v>432</v>
      </c>
      <c r="AB2483" s="107" t="s">
        <v>432</v>
      </c>
      <c r="AC2483" s="107" t="s">
        <v>432</v>
      </c>
      <c r="AD2483" s="107" t="s">
        <v>432</v>
      </c>
      <c r="AE2483" s="107" t="s">
        <v>432</v>
      </c>
      <c r="AF2483" s="107" t="s">
        <v>432</v>
      </c>
      <c r="AG2483" s="107" t="s">
        <v>432</v>
      </c>
      <c r="AH2483" s="107" t="s">
        <v>432</v>
      </c>
      <c r="AI2483" s="107" t="s">
        <v>432</v>
      </c>
      <c r="AJ2483" s="107" t="s">
        <v>432</v>
      </c>
      <c r="AK2483" s="137" t="s">
        <v>432</v>
      </c>
      <c r="AL2483" s="601" t="s">
        <v>432</v>
      </c>
      <c r="AM2483" s="137" t="s">
        <v>432</v>
      </c>
      <c r="AN2483" s="137" t="s">
        <v>432</v>
      </c>
      <c r="AO2483" s="137" t="s">
        <v>432</v>
      </c>
      <c r="AP2483" s="137" t="s">
        <v>432</v>
      </c>
      <c r="AQ2483" s="137" t="s">
        <v>432</v>
      </c>
      <c r="AR2483" s="137" t="s">
        <v>432</v>
      </c>
      <c r="AS2483" s="137" t="s">
        <v>432</v>
      </c>
      <c r="AT2483" s="137" t="s">
        <v>432</v>
      </c>
      <c r="AU2483" s="137" t="s">
        <v>432</v>
      </c>
      <c r="AV2483" s="137" t="s">
        <v>432</v>
      </c>
      <c r="AW2483" s="137" t="s">
        <v>432</v>
      </c>
      <c r="AX2483" s="137" t="s">
        <v>432</v>
      </c>
      <c r="AY2483" s="137" t="s">
        <v>432</v>
      </c>
      <c r="AZ2483" s="137" t="s">
        <v>432</v>
      </c>
      <c r="BA2483" s="137" t="s">
        <v>432</v>
      </c>
      <c r="BB2483" s="239" t="str">
        <f>B2483&amp;C2483</f>
        <v>geralx</v>
      </c>
      <c r="BC2483" s="239" t="str">
        <f>B2483&amp;C2483&amp;H2483</f>
        <v>geralxsigla/verbete</v>
      </c>
      <c r="BD2483" s="239" t="str">
        <f>B2483&amp;H2483</f>
        <v>geralsigla/verbete</v>
      </c>
      <c r="BM2483" s="650"/>
      <c r="BN2483" s="650"/>
      <c r="BO2483" s="650"/>
    </row>
    <row r="2484" spans="1:67" s="1" customFormat="1" ht="63.75" customHeight="1" x14ac:dyDescent="0.25">
      <c r="A2484" s="262" t="s">
        <v>432</v>
      </c>
      <c r="B2484" s="252" t="s">
        <v>742</v>
      </c>
      <c r="C2484" s="167" t="s">
        <v>432</v>
      </c>
      <c r="D2484" s="323" t="s">
        <v>460</v>
      </c>
      <c r="E2484" s="1496" t="s">
        <v>432</v>
      </c>
      <c r="F2484" s="53" t="s">
        <v>484</v>
      </c>
      <c r="G2484" s="167" t="s">
        <v>3879</v>
      </c>
      <c r="H2484" s="167" t="s">
        <v>432</v>
      </c>
      <c r="I2484" s="167" t="s">
        <v>432</v>
      </c>
      <c r="J2484" s="107" t="s">
        <v>432</v>
      </c>
      <c r="K2484" s="107" t="s">
        <v>432</v>
      </c>
      <c r="L2484" s="107" t="s">
        <v>432</v>
      </c>
      <c r="M2484" s="107" t="s">
        <v>432</v>
      </c>
      <c r="N2484" s="107" t="s">
        <v>432</v>
      </c>
      <c r="O2484" s="107" t="s">
        <v>432</v>
      </c>
      <c r="P2484" s="107" t="s">
        <v>432</v>
      </c>
      <c r="Q2484" s="107" t="s">
        <v>432</v>
      </c>
      <c r="R2484" s="107" t="s">
        <v>432</v>
      </c>
      <c r="S2484" s="109" t="s">
        <v>2209</v>
      </c>
      <c r="T2484" s="107" t="s">
        <v>432</v>
      </c>
      <c r="U2484" s="107" t="s">
        <v>432</v>
      </c>
      <c r="V2484" s="109" t="s">
        <v>2209</v>
      </c>
      <c r="W2484" s="107" t="s">
        <v>432</v>
      </c>
      <c r="X2484" s="107" t="s">
        <v>432</v>
      </c>
      <c r="Y2484" s="107" t="s">
        <v>432</v>
      </c>
      <c r="Z2484" s="107" t="s">
        <v>432</v>
      </c>
      <c r="AA2484" s="107" t="s">
        <v>432</v>
      </c>
      <c r="AB2484" s="107" t="s">
        <v>432</v>
      </c>
      <c r="AC2484" s="107" t="s">
        <v>432</v>
      </c>
      <c r="AD2484" s="107" t="s">
        <v>432</v>
      </c>
      <c r="AE2484" s="107" t="s">
        <v>432</v>
      </c>
      <c r="AF2484" s="107" t="s">
        <v>432</v>
      </c>
      <c r="AG2484" s="107" t="s">
        <v>432</v>
      </c>
      <c r="AH2484" s="107" t="s">
        <v>432</v>
      </c>
      <c r="AI2484" s="107" t="s">
        <v>432</v>
      </c>
      <c r="AJ2484" s="107" t="s">
        <v>432</v>
      </c>
      <c r="AK2484" s="137" t="s">
        <v>432</v>
      </c>
      <c r="AL2484" s="601" t="s">
        <v>432</v>
      </c>
      <c r="AM2484" s="137" t="s">
        <v>432</v>
      </c>
      <c r="AN2484" s="137" t="s">
        <v>432</v>
      </c>
      <c r="AO2484" s="137" t="s">
        <v>432</v>
      </c>
      <c r="AP2484" s="137" t="s">
        <v>432</v>
      </c>
      <c r="AQ2484" s="137" t="s">
        <v>432</v>
      </c>
      <c r="AR2484" s="137" t="s">
        <v>432</v>
      </c>
      <c r="AS2484" s="137" t="s">
        <v>432</v>
      </c>
      <c r="AT2484" s="137" t="s">
        <v>432</v>
      </c>
      <c r="AU2484" s="137" t="s">
        <v>432</v>
      </c>
      <c r="AV2484" s="137" t="s">
        <v>432</v>
      </c>
      <c r="AW2484" s="137" t="s">
        <v>432</v>
      </c>
      <c r="AX2484" s="137" t="s">
        <v>432</v>
      </c>
      <c r="AY2484" s="137" t="s">
        <v>432</v>
      </c>
      <c r="AZ2484" s="137" t="s">
        <v>432</v>
      </c>
      <c r="BA2484" s="137" t="s">
        <v>432</v>
      </c>
      <c r="BB2484" s="239" t="str">
        <f t="shared" si="747"/>
        <v>geralx</v>
      </c>
      <c r="BC2484" s="239" t="str">
        <f t="shared" si="748"/>
        <v>geralxx</v>
      </c>
      <c r="BD2484" s="239" t="str">
        <f t="shared" si="749"/>
        <v>geralx</v>
      </c>
      <c r="BM2484" s="19"/>
      <c r="BN2484" s="19"/>
      <c r="BO2484" s="19"/>
    </row>
    <row r="2485" spans="1:67" s="1" customFormat="1" x14ac:dyDescent="0.25">
      <c r="A2485" s="398"/>
      <c r="B2485" s="221"/>
      <c r="C2485" s="399"/>
      <c r="D2485" s="987"/>
      <c r="E2485" s="1533"/>
      <c r="F2485" s="405"/>
      <c r="G2485" s="405"/>
      <c r="H2485" s="399"/>
      <c r="I2485" s="405"/>
      <c r="J2485" s="221"/>
      <c r="K2485" s="403"/>
      <c r="L2485" s="403"/>
      <c r="M2485" s="403"/>
      <c r="N2485" s="403"/>
      <c r="O2485" s="403"/>
      <c r="P2485" s="403"/>
      <c r="Q2485" s="403"/>
      <c r="R2485" s="403"/>
      <c r="S2485" s="403"/>
      <c r="T2485" s="403"/>
      <c r="U2485" s="403"/>
      <c r="V2485" s="403"/>
      <c r="W2485" s="403"/>
      <c r="X2485" s="403"/>
      <c r="Y2485" s="403"/>
      <c r="Z2485" s="403"/>
      <c r="AA2485" s="403"/>
      <c r="AB2485" s="403"/>
      <c r="AC2485" s="403"/>
      <c r="AD2485" s="403"/>
      <c r="AE2485" s="403"/>
      <c r="AF2485" s="403"/>
      <c r="AG2485" s="403"/>
      <c r="AH2485" s="403"/>
      <c r="AI2485" s="403"/>
      <c r="AJ2485" s="403"/>
      <c r="AK2485" s="223"/>
      <c r="AL2485" s="223"/>
      <c r="AM2485" s="223"/>
      <c r="AN2485" s="223"/>
      <c r="AO2485" s="223"/>
      <c r="AP2485" s="223"/>
      <c r="AQ2485" s="223"/>
      <c r="AR2485" s="223"/>
      <c r="AS2485" s="223"/>
      <c r="AT2485" s="223"/>
      <c r="AU2485" s="223"/>
      <c r="AV2485" s="223"/>
      <c r="AW2485" s="223"/>
      <c r="AX2485" s="223"/>
      <c r="AY2485" s="223"/>
      <c r="AZ2485" s="223"/>
      <c r="BA2485" s="223"/>
      <c r="BB2485" s="400"/>
      <c r="BC2485" s="400"/>
      <c r="BD2485" s="400"/>
    </row>
    <row r="2486" spans="1:67" s="1" customFormat="1" ht="102" customHeight="1" x14ac:dyDescent="0.25">
      <c r="A2486" s="275" t="str">
        <f>'Q100b-totais'!$B$64</f>
        <v>9.1</v>
      </c>
      <c r="B2486" s="1205" t="str">
        <f>'Q100b-totais'!$C$64</f>
        <v>Acidentes de trânsito</v>
      </c>
      <c r="C2486" s="57" t="s">
        <v>432</v>
      </c>
      <c r="D2486" s="324" t="s">
        <v>403</v>
      </c>
      <c r="E2486" s="1402" t="s">
        <v>1306</v>
      </c>
      <c r="F2486" s="151" t="s">
        <v>1535</v>
      </c>
      <c r="G2486" s="409" t="s">
        <v>1531</v>
      </c>
      <c r="H2486" s="173" t="s">
        <v>432</v>
      </c>
      <c r="I2486" s="57">
        <v>1</v>
      </c>
      <c r="J2486" s="107" t="s">
        <v>432</v>
      </c>
      <c r="K2486" s="161">
        <v>10777</v>
      </c>
      <c r="L2486" s="161">
        <v>9750</v>
      </c>
      <c r="M2486" s="161">
        <v>12242</v>
      </c>
      <c r="N2486" s="161">
        <v>12838</v>
      </c>
      <c r="O2486" s="161">
        <v>12515</v>
      </c>
      <c r="P2486" s="161">
        <v>13063</v>
      </c>
      <c r="Q2486" s="161">
        <v>13648</v>
      </c>
      <c r="R2486" s="161">
        <v>13395</v>
      </c>
      <c r="S2486" s="109" t="s">
        <v>2209</v>
      </c>
      <c r="T2486" s="161">
        <v>13648</v>
      </c>
      <c r="U2486" s="161">
        <v>13346</v>
      </c>
      <c r="V2486" s="109" t="s">
        <v>2209</v>
      </c>
      <c r="W2486" s="161">
        <v>13093</v>
      </c>
      <c r="X2486" s="161">
        <v>11812</v>
      </c>
      <c r="Y2486" s="161">
        <v>14884</v>
      </c>
      <c r="Z2486" s="162">
        <v>17004</v>
      </c>
      <c r="AA2486" s="162">
        <v>17636</v>
      </c>
      <c r="AB2486" s="162">
        <v>18209</v>
      </c>
      <c r="AC2486" s="162">
        <v>20055</v>
      </c>
      <c r="AD2486" s="162">
        <v>20799</v>
      </c>
      <c r="AE2486" s="162">
        <v>21945</v>
      </c>
      <c r="AF2486" s="162">
        <v>22167</v>
      </c>
      <c r="AG2486" s="162">
        <v>21774</v>
      </c>
      <c r="AH2486" s="162">
        <v>20369</v>
      </c>
      <c r="AI2486" s="162">
        <v>19871</v>
      </c>
      <c r="AJ2486" s="162">
        <v>20757</v>
      </c>
      <c r="AK2486" s="137" t="s">
        <v>432</v>
      </c>
      <c r="AL2486" s="601" t="s">
        <v>432</v>
      </c>
      <c r="AM2486" s="137" t="s">
        <v>432</v>
      </c>
      <c r="AN2486" s="137" t="s">
        <v>432</v>
      </c>
      <c r="AO2486" s="137" t="s">
        <v>432</v>
      </c>
      <c r="AP2486" s="137" t="s">
        <v>432</v>
      </c>
      <c r="AQ2486" s="137" t="s">
        <v>432</v>
      </c>
      <c r="AR2486" s="137" t="s">
        <v>432</v>
      </c>
      <c r="AS2486" s="137" t="s">
        <v>432</v>
      </c>
      <c r="AT2486" s="137" t="s">
        <v>432</v>
      </c>
      <c r="AU2486" s="137" t="s">
        <v>432</v>
      </c>
      <c r="AV2486" s="137" t="s">
        <v>432</v>
      </c>
      <c r="AW2486" s="137" t="s">
        <v>432</v>
      </c>
      <c r="AX2486" s="137" t="s">
        <v>432</v>
      </c>
      <c r="AY2486" s="137" t="s">
        <v>432</v>
      </c>
      <c r="AZ2486" s="137" t="s">
        <v>432</v>
      </c>
      <c r="BA2486" s="137" t="s">
        <v>432</v>
      </c>
      <c r="BB2486" s="239" t="str">
        <f t="shared" si="747"/>
        <v>Acidentes de trânsitox</v>
      </c>
      <c r="BC2486" s="239" t="str">
        <f t="shared" si="748"/>
        <v>Acidentes de trânsitoxx</v>
      </c>
      <c r="BD2486" s="239" t="str">
        <f t="shared" si="749"/>
        <v>Acidentes de trânsitox</v>
      </c>
      <c r="BM2486" s="19"/>
      <c r="BN2486" s="19"/>
      <c r="BO2486" s="19"/>
    </row>
    <row r="2487" spans="1:67" s="1" customFormat="1" ht="37.5" customHeight="1" x14ac:dyDescent="0.25">
      <c r="A2487" s="275" t="str">
        <f>'Q100b-totais'!$B$64</f>
        <v>9.1</v>
      </c>
      <c r="B2487" s="1205" t="str">
        <f>'Q100b-totais'!$C$64</f>
        <v>Acidentes de trânsito</v>
      </c>
      <c r="C2487" s="57" t="s">
        <v>432</v>
      </c>
      <c r="D2487" s="324" t="s">
        <v>404</v>
      </c>
      <c r="E2487" s="1402" t="s">
        <v>1306</v>
      </c>
      <c r="F2487" s="40" t="s">
        <v>800</v>
      </c>
      <c r="G2487" s="408" t="s">
        <v>801</v>
      </c>
      <c r="H2487" s="173" t="s">
        <v>432</v>
      </c>
      <c r="I2487" s="57">
        <v>1</v>
      </c>
      <c r="J2487" s="107" t="s">
        <v>432</v>
      </c>
      <c r="K2487" s="64">
        <f t="shared" ref="K2487:R2487" si="755">(K2486/K814)*10000</f>
        <v>224.61208199164244</v>
      </c>
      <c r="L2487" s="64">
        <f t="shared" si="755"/>
        <v>198.91179944794325</v>
      </c>
      <c r="M2487" s="64">
        <f t="shared" si="755"/>
        <v>240.54152298427107</v>
      </c>
      <c r="N2487" s="64">
        <f t="shared" si="755"/>
        <v>239.12500884751356</v>
      </c>
      <c r="O2487" s="64">
        <f t="shared" si="755"/>
        <v>220.02035825608155</v>
      </c>
      <c r="P2487" s="64">
        <f t="shared" si="755"/>
        <v>218.15442988931122</v>
      </c>
      <c r="Q2487" s="64">
        <f t="shared" si="755"/>
        <v>223.02184136819847</v>
      </c>
      <c r="R2487" s="64">
        <f t="shared" si="755"/>
        <v>214.69477119259381</v>
      </c>
      <c r="S2487" s="109" t="s">
        <v>2209</v>
      </c>
      <c r="T2487" s="64">
        <f>(T2486/T814)*10000</f>
        <v>208.2942247495906</v>
      </c>
      <c r="U2487" s="64">
        <f>(U2486/U814)*10000</f>
        <v>196.3435320356555</v>
      </c>
      <c r="V2487" s="109" t="s">
        <v>2209</v>
      </c>
      <c r="W2487" s="64">
        <f t="shared" ref="W2487:AJ2487" si="756">(W2486/W814)*10000</f>
        <v>182.3855127981891</v>
      </c>
      <c r="X2487" s="64">
        <f t="shared" si="756"/>
        <v>157.18713279864158</v>
      </c>
      <c r="Y2487" s="64">
        <f t="shared" si="756"/>
        <v>188.27374830972323</v>
      </c>
      <c r="Z2487" s="64">
        <f t="shared" si="756"/>
        <v>206.92349160879243</v>
      </c>
      <c r="AA2487" s="64">
        <f t="shared" si="756"/>
        <v>204.37655069954582</v>
      </c>
      <c r="AB2487" s="64">
        <f t="shared" si="756"/>
        <v>195.52511739130901</v>
      </c>
      <c r="AC2487" s="64">
        <f t="shared" si="756"/>
        <v>196.52805338742633</v>
      </c>
      <c r="AD2487" s="64">
        <f t="shared" si="756"/>
        <v>187.84223022797738</v>
      </c>
      <c r="AE2487" s="64">
        <f t="shared" si="756"/>
        <v>179.85862104292593</v>
      </c>
      <c r="AF2487" s="64">
        <f t="shared" si="756"/>
        <v>166.37133072296888</v>
      </c>
      <c r="AG2487" s="64">
        <f t="shared" si="756"/>
        <v>152.28011036006896</v>
      </c>
      <c r="AH2487" s="64">
        <f t="shared" si="756"/>
        <v>135.13253523602916</v>
      </c>
      <c r="AI2487" s="64">
        <f t="shared" si="756"/>
        <v>125.71609331751681</v>
      </c>
      <c r="AJ2487" s="64">
        <f t="shared" si="756"/>
        <v>127.17074650092053</v>
      </c>
      <c r="AK2487" s="137" t="s">
        <v>432</v>
      </c>
      <c r="AL2487" s="601" t="s">
        <v>432</v>
      </c>
      <c r="AM2487" s="137" t="s">
        <v>432</v>
      </c>
      <c r="AN2487" s="137" t="s">
        <v>432</v>
      </c>
      <c r="AO2487" s="137" t="s">
        <v>432</v>
      </c>
      <c r="AP2487" s="137" t="s">
        <v>432</v>
      </c>
      <c r="AQ2487" s="137" t="s">
        <v>432</v>
      </c>
      <c r="AR2487" s="137" t="s">
        <v>432</v>
      </c>
      <c r="AS2487" s="137" t="s">
        <v>432</v>
      </c>
      <c r="AT2487" s="137" t="s">
        <v>432</v>
      </c>
      <c r="AU2487" s="137" t="s">
        <v>432</v>
      </c>
      <c r="AV2487" s="137" t="s">
        <v>432</v>
      </c>
      <c r="AW2487" s="137" t="s">
        <v>432</v>
      </c>
      <c r="AX2487" s="137" t="s">
        <v>432</v>
      </c>
      <c r="AY2487" s="137" t="s">
        <v>432</v>
      </c>
      <c r="AZ2487" s="137" t="s">
        <v>432</v>
      </c>
      <c r="BA2487" s="137" t="s">
        <v>432</v>
      </c>
      <c r="BB2487" s="239" t="str">
        <f t="shared" si="747"/>
        <v>Acidentes de trânsitox</v>
      </c>
      <c r="BC2487" s="239" t="str">
        <f t="shared" si="748"/>
        <v>Acidentes de trânsitoxx</v>
      </c>
      <c r="BD2487" s="239" t="str">
        <f t="shared" si="749"/>
        <v>Acidentes de trânsitox</v>
      </c>
      <c r="BM2487" s="19"/>
      <c r="BN2487" s="19"/>
      <c r="BO2487" s="19"/>
    </row>
    <row r="2488" spans="1:67" s="1" customFormat="1" ht="39.75" customHeight="1" x14ac:dyDescent="0.25">
      <c r="A2488" s="275" t="str">
        <f>'Q100b-totais'!$B$64</f>
        <v>9.1</v>
      </c>
      <c r="B2488" s="1205" t="str">
        <f>'Q100b-totais'!$C$64</f>
        <v>Acidentes de trânsito</v>
      </c>
      <c r="C2488" s="57" t="s">
        <v>432</v>
      </c>
      <c r="D2488" s="324" t="s">
        <v>405</v>
      </c>
      <c r="E2488" s="1402" t="s">
        <v>1306</v>
      </c>
      <c r="F2488" s="151" t="s">
        <v>802</v>
      </c>
      <c r="G2488" s="408" t="s">
        <v>803</v>
      </c>
      <c r="H2488" s="173" t="s">
        <v>432</v>
      </c>
      <c r="I2488" s="57">
        <v>1</v>
      </c>
      <c r="J2488" s="107" t="s">
        <v>432</v>
      </c>
      <c r="K2488" s="64">
        <f t="shared" ref="K2488:R2488" si="757">(K2486/K1855)*100000</f>
        <v>533.47233215570441</v>
      </c>
      <c r="L2488" s="64">
        <f t="shared" si="757"/>
        <v>480.71186771598263</v>
      </c>
      <c r="M2488" s="64">
        <f t="shared" si="757"/>
        <v>601.17219247135199</v>
      </c>
      <c r="N2488" s="64">
        <f t="shared" si="757"/>
        <v>627.92858889704087</v>
      </c>
      <c r="O2488" s="64">
        <f t="shared" si="757"/>
        <v>609.69133980098195</v>
      </c>
      <c r="P2488" s="64">
        <f t="shared" si="757"/>
        <v>624.59119232225714</v>
      </c>
      <c r="Q2488" s="64">
        <f t="shared" si="757"/>
        <v>649.9623299968473</v>
      </c>
      <c r="R2488" s="64">
        <f t="shared" si="757"/>
        <v>635.37223231238966</v>
      </c>
      <c r="S2488" s="109" t="s">
        <v>2209</v>
      </c>
      <c r="T2488" s="64">
        <f>(T2486/T1855)*100000</f>
        <v>644.79369719830333</v>
      </c>
      <c r="U2488" s="64">
        <f>(U2486/U1855)*100000</f>
        <v>596.19588961664954</v>
      </c>
      <c r="V2488" s="109" t="s">
        <v>2209</v>
      </c>
      <c r="W2488" s="64">
        <f t="shared" ref="W2488:AJ2488" si="758">(W2486/W1855)*100000</f>
        <v>579.68845674828117</v>
      </c>
      <c r="X2488" s="64">
        <f t="shared" si="758"/>
        <v>517.05692528851353</v>
      </c>
      <c r="Y2488" s="64">
        <f t="shared" si="758"/>
        <v>645.49928615168972</v>
      </c>
      <c r="Z2488" s="64">
        <f t="shared" si="758"/>
        <v>723.40085188065495</v>
      </c>
      <c r="AA2488" s="64">
        <f t="shared" si="758"/>
        <v>742.46557003261444</v>
      </c>
      <c r="AB2488" s="64">
        <f t="shared" si="758"/>
        <v>758.73362445414841</v>
      </c>
      <c r="AC2488" s="64">
        <f t="shared" si="758"/>
        <v>831.14478330764541</v>
      </c>
      <c r="AD2488" s="64">
        <f t="shared" si="758"/>
        <v>854.29397833439168</v>
      </c>
      <c r="AE2488" s="64">
        <f t="shared" si="758"/>
        <v>894.75853751319505</v>
      </c>
      <c r="AF2488" s="64">
        <f t="shared" si="758"/>
        <v>933.28803095045328</v>
      </c>
      <c r="AG2488" s="64">
        <f t="shared" si="758"/>
        <v>912.71105447594778</v>
      </c>
      <c r="AH2488" s="64">
        <f t="shared" si="758"/>
        <v>850.20149971721162</v>
      </c>
      <c r="AI2488" s="64">
        <f t="shared" si="758"/>
        <v>801.51986656797749</v>
      </c>
      <c r="AJ2488" s="64">
        <f t="shared" si="758"/>
        <v>833.24334663798322</v>
      </c>
      <c r="AK2488" s="137" t="s">
        <v>432</v>
      </c>
      <c r="AL2488" s="601" t="s">
        <v>432</v>
      </c>
      <c r="AM2488" s="137" t="s">
        <v>432</v>
      </c>
      <c r="AN2488" s="137" t="s">
        <v>432</v>
      </c>
      <c r="AO2488" s="137" t="s">
        <v>432</v>
      </c>
      <c r="AP2488" s="137" t="s">
        <v>432</v>
      </c>
      <c r="AQ2488" s="137" t="s">
        <v>432</v>
      </c>
      <c r="AR2488" s="137" t="s">
        <v>432</v>
      </c>
      <c r="AS2488" s="137" t="s">
        <v>432</v>
      </c>
      <c r="AT2488" s="137" t="s">
        <v>432</v>
      </c>
      <c r="AU2488" s="137" t="s">
        <v>432</v>
      </c>
      <c r="AV2488" s="137" t="s">
        <v>432</v>
      </c>
      <c r="AW2488" s="137" t="s">
        <v>432</v>
      </c>
      <c r="AX2488" s="137" t="s">
        <v>432</v>
      </c>
      <c r="AY2488" s="137" t="s">
        <v>432</v>
      </c>
      <c r="AZ2488" s="137" t="s">
        <v>432</v>
      </c>
      <c r="BA2488" s="137" t="s">
        <v>432</v>
      </c>
      <c r="BB2488" s="239" t="str">
        <f t="shared" si="747"/>
        <v>Acidentes de trânsitox</v>
      </c>
      <c r="BC2488" s="239" t="str">
        <f t="shared" si="748"/>
        <v>Acidentes de trânsitoxx</v>
      </c>
      <c r="BD2488" s="239" t="str">
        <f t="shared" si="749"/>
        <v>Acidentes de trânsitox</v>
      </c>
      <c r="BM2488" s="19"/>
      <c r="BN2488" s="19"/>
      <c r="BO2488" s="19"/>
    </row>
    <row r="2489" spans="1:67" s="1" customFormat="1" ht="25.5" customHeight="1" x14ac:dyDescent="0.25">
      <c r="A2489" s="275" t="str">
        <f>'Q100b-totais'!$B$64</f>
        <v>9.1</v>
      </c>
      <c r="B2489" s="1205" t="str">
        <f>'Q100b-totais'!$C$64</f>
        <v>Acidentes de trânsito</v>
      </c>
      <c r="C2489" s="57" t="s">
        <v>432</v>
      </c>
      <c r="D2489" s="324" t="s">
        <v>406</v>
      </c>
      <c r="E2489" s="1402" t="s">
        <v>1306</v>
      </c>
      <c r="F2489" s="151" t="s">
        <v>804</v>
      </c>
      <c r="G2489" s="408" t="s">
        <v>805</v>
      </c>
      <c r="H2489" s="173" t="s">
        <v>432</v>
      </c>
      <c r="I2489" s="57">
        <v>1</v>
      </c>
      <c r="J2489" s="107" t="s">
        <v>432</v>
      </c>
      <c r="K2489" s="64">
        <f t="shared" ref="K2489:R2489" si="759">(K2486/K277)*1000</f>
        <v>316.55162285210753</v>
      </c>
      <c r="L2489" s="64">
        <f t="shared" si="759"/>
        <v>247.49961923135501</v>
      </c>
      <c r="M2489" s="64">
        <f t="shared" si="759"/>
        <v>284.73078264914523</v>
      </c>
      <c r="N2489" s="64">
        <f t="shared" si="759"/>
        <v>336.22292643322942</v>
      </c>
      <c r="O2489" s="64">
        <f t="shared" si="759"/>
        <v>324.66858640101691</v>
      </c>
      <c r="P2489" s="64">
        <f t="shared" si="759"/>
        <v>522.91741723710015</v>
      </c>
      <c r="Q2489" s="20">
        <f t="shared" si="759"/>
        <v>1223.5969159046083</v>
      </c>
      <c r="R2489" s="20">
        <f t="shared" si="759"/>
        <v>1201.7764220348106</v>
      </c>
      <c r="S2489" s="109" t="s">
        <v>2209</v>
      </c>
      <c r="T2489" s="20">
        <f>(T2486/T277)*1000</f>
        <v>1188.3326077492382</v>
      </c>
      <c r="U2489" s="20">
        <f>(U2486/U277)*1000</f>
        <v>1163.1514728952416</v>
      </c>
      <c r="V2489" s="109" t="s">
        <v>2209</v>
      </c>
      <c r="W2489" s="20">
        <f t="shared" ref="W2489:AJ2489" si="760">(W2486/W277)*1000</f>
        <v>1199.9816698744385</v>
      </c>
      <c r="X2489" s="20">
        <f t="shared" si="760"/>
        <v>1213.4785288678859</v>
      </c>
      <c r="Y2489" s="20">
        <f t="shared" si="760"/>
        <v>1251.9135335183785</v>
      </c>
      <c r="Z2489" s="20">
        <f t="shared" si="760"/>
        <v>1300.6960911802951</v>
      </c>
      <c r="AA2489" s="20">
        <f t="shared" si="760"/>
        <v>1297.3370604678535</v>
      </c>
      <c r="AB2489" s="20">
        <f t="shared" si="760"/>
        <v>1319.6840121756777</v>
      </c>
      <c r="AC2489" s="20">
        <f t="shared" si="760"/>
        <v>1337.8026816089655</v>
      </c>
      <c r="AD2489" s="20">
        <f t="shared" si="760"/>
        <v>1323.1757745403652</v>
      </c>
      <c r="AE2489" s="20">
        <f t="shared" si="760"/>
        <v>1339.9890089760029</v>
      </c>
      <c r="AF2489" s="20">
        <f t="shared" si="760"/>
        <v>1317.7386755439306</v>
      </c>
      <c r="AG2489" s="20">
        <f t="shared" si="760"/>
        <v>1336.3201178347858</v>
      </c>
      <c r="AH2489" s="20">
        <f t="shared" si="760"/>
        <v>1334.7968545216252</v>
      </c>
      <c r="AI2489" s="20">
        <f t="shared" si="760"/>
        <v>1404.8073524213503</v>
      </c>
      <c r="AJ2489" s="20">
        <f t="shared" si="760"/>
        <v>1387.0364183093886</v>
      </c>
      <c r="AK2489" s="137" t="s">
        <v>432</v>
      </c>
      <c r="AL2489" s="601" t="s">
        <v>432</v>
      </c>
      <c r="AM2489" s="137" t="s">
        <v>432</v>
      </c>
      <c r="AN2489" s="137" t="s">
        <v>432</v>
      </c>
      <c r="AO2489" s="137" t="s">
        <v>432</v>
      </c>
      <c r="AP2489" s="137" t="s">
        <v>432</v>
      </c>
      <c r="AQ2489" s="137" t="s">
        <v>432</v>
      </c>
      <c r="AR2489" s="137" t="s">
        <v>432</v>
      </c>
      <c r="AS2489" s="137" t="s">
        <v>432</v>
      </c>
      <c r="AT2489" s="137" t="s">
        <v>432</v>
      </c>
      <c r="AU2489" s="137" t="s">
        <v>432</v>
      </c>
      <c r="AV2489" s="137" t="s">
        <v>432</v>
      </c>
      <c r="AW2489" s="137" t="s">
        <v>432</v>
      </c>
      <c r="AX2489" s="137" t="s">
        <v>432</v>
      </c>
      <c r="AY2489" s="137" t="s">
        <v>432</v>
      </c>
      <c r="AZ2489" s="137" t="s">
        <v>432</v>
      </c>
      <c r="BA2489" s="137" t="s">
        <v>432</v>
      </c>
      <c r="BB2489" s="239" t="str">
        <f t="shared" si="747"/>
        <v>Acidentes de trânsitox</v>
      </c>
      <c r="BC2489" s="239" t="str">
        <f t="shared" si="748"/>
        <v>Acidentes de trânsitoxx</v>
      </c>
      <c r="BD2489" s="239" t="str">
        <f t="shared" si="749"/>
        <v>Acidentes de trânsitox</v>
      </c>
      <c r="BM2489" s="19"/>
      <c r="BN2489" s="19"/>
      <c r="BO2489" s="19"/>
    </row>
    <row r="2490" spans="1:67" s="1" customFormat="1" ht="288" customHeight="1" x14ac:dyDescent="0.25">
      <c r="A2490" s="275" t="str">
        <f>'Q100b-totais'!B22</f>
        <v>2.7</v>
      </c>
      <c r="B2490" s="1205" t="str">
        <f>'Q100b-totais'!C22</f>
        <v>Outras cidades/regiões</v>
      </c>
      <c r="C2490" s="167" t="s">
        <v>743</v>
      </c>
      <c r="D2490" s="716" t="s">
        <v>6212</v>
      </c>
      <c r="E2490" s="509" t="s">
        <v>6171</v>
      </c>
      <c r="F2490" s="252" t="s">
        <v>6219</v>
      </c>
      <c r="G2490" s="230" t="s">
        <v>3507</v>
      </c>
      <c r="H2490" s="167" t="s">
        <v>432</v>
      </c>
      <c r="I2490" s="167" t="s">
        <v>432</v>
      </c>
      <c r="J2490" s="109" t="s">
        <v>432</v>
      </c>
      <c r="K2490" s="109" t="s">
        <v>432</v>
      </c>
      <c r="L2490" s="109" t="s">
        <v>432</v>
      </c>
      <c r="M2490" s="109" t="s">
        <v>432</v>
      </c>
      <c r="N2490" s="109" t="s">
        <v>432</v>
      </c>
      <c r="O2490" s="109" t="s">
        <v>432</v>
      </c>
      <c r="P2490" s="109" t="s">
        <v>432</v>
      </c>
      <c r="Q2490" s="109" t="s">
        <v>432</v>
      </c>
      <c r="R2490" s="109" t="s">
        <v>432</v>
      </c>
      <c r="S2490" s="109" t="s">
        <v>2209</v>
      </c>
      <c r="T2490" s="109" t="s">
        <v>432</v>
      </c>
      <c r="U2490" s="109" t="s">
        <v>432</v>
      </c>
      <c r="V2490" s="109" t="s">
        <v>2209</v>
      </c>
      <c r="W2490" s="109" t="s">
        <v>432</v>
      </c>
      <c r="X2490" s="109" t="s">
        <v>432</v>
      </c>
      <c r="Y2490" s="109" t="s">
        <v>432</v>
      </c>
      <c r="Z2490" s="109" t="s">
        <v>432</v>
      </c>
      <c r="AA2490" s="109" t="s">
        <v>432</v>
      </c>
      <c r="AB2490" s="109" t="s">
        <v>432</v>
      </c>
      <c r="AC2490" s="109" t="s">
        <v>432</v>
      </c>
      <c r="AD2490" s="109" t="s">
        <v>432</v>
      </c>
      <c r="AE2490" s="109" t="s">
        <v>432</v>
      </c>
      <c r="AF2490" s="109" t="s">
        <v>432</v>
      </c>
      <c r="AG2490" s="109" t="s">
        <v>432</v>
      </c>
      <c r="AH2490" s="109" t="s">
        <v>432</v>
      </c>
      <c r="AI2490" s="109" t="s">
        <v>432</v>
      </c>
      <c r="AJ2490" s="109" t="s">
        <v>432</v>
      </c>
      <c r="AK2490" s="109" t="s">
        <v>432</v>
      </c>
      <c r="AL2490" s="601" t="s">
        <v>432</v>
      </c>
      <c r="AM2490" s="109" t="s">
        <v>432</v>
      </c>
      <c r="AN2490" s="109" t="s">
        <v>432</v>
      </c>
      <c r="AO2490" s="109" t="s">
        <v>432</v>
      </c>
      <c r="AP2490" s="109" t="s">
        <v>432</v>
      </c>
      <c r="AQ2490" s="109" t="s">
        <v>432</v>
      </c>
      <c r="AR2490" s="109" t="s">
        <v>432</v>
      </c>
      <c r="AS2490" s="109" t="s">
        <v>432</v>
      </c>
      <c r="AT2490" s="109" t="s">
        <v>432</v>
      </c>
      <c r="AU2490" s="109" t="s">
        <v>432</v>
      </c>
      <c r="AV2490" s="109" t="s">
        <v>432</v>
      </c>
      <c r="AW2490" s="109" t="s">
        <v>432</v>
      </c>
      <c r="AX2490" s="109" t="s">
        <v>432</v>
      </c>
      <c r="AY2490" s="109" t="s">
        <v>432</v>
      </c>
      <c r="AZ2490" s="109" t="s">
        <v>432</v>
      </c>
      <c r="BA2490" s="109" t="s">
        <v>432</v>
      </c>
      <c r="BB2490" s="239" t="str">
        <f>B2490&amp;C2490</f>
        <v>Outras cidades/regiõesacessibilidade</v>
      </c>
      <c r="BC2490" s="239" t="str">
        <f>B2490&amp;C2490&amp;H2490</f>
        <v>Outras cidades/regiõesacessibilidadex</v>
      </c>
      <c r="BD2490" s="239" t="str">
        <f>B2490&amp;H2490</f>
        <v>Outras cidades/regiõesx</v>
      </c>
      <c r="BM2490" s="1485"/>
      <c r="BN2490" s="1485"/>
      <c r="BO2490" s="1485"/>
    </row>
    <row r="2491" spans="1:67" s="1" customFormat="1" ht="66.75" customHeight="1" x14ac:dyDescent="0.25">
      <c r="A2491" s="275" t="str">
        <f>'Q100b-totais'!B65</f>
        <v>9.2</v>
      </c>
      <c r="B2491" s="1205" t="str">
        <f>'Q100b-totais'!C65</f>
        <v>Estacionamento</v>
      </c>
      <c r="C2491" s="167" t="s">
        <v>743</v>
      </c>
      <c r="D2491" s="324" t="s">
        <v>2479</v>
      </c>
      <c r="E2491" s="1402" t="s">
        <v>1306</v>
      </c>
      <c r="F2491" s="151" t="s">
        <v>2480</v>
      </c>
      <c r="G2491" s="230" t="s">
        <v>3507</v>
      </c>
      <c r="H2491" s="167" t="s">
        <v>432</v>
      </c>
      <c r="I2491" s="167" t="s">
        <v>432</v>
      </c>
      <c r="J2491" s="109" t="s">
        <v>432</v>
      </c>
      <c r="K2491" s="109" t="s">
        <v>432</v>
      </c>
      <c r="L2491" s="109" t="s">
        <v>432</v>
      </c>
      <c r="M2491" s="109" t="s">
        <v>432</v>
      </c>
      <c r="N2491" s="109" t="s">
        <v>432</v>
      </c>
      <c r="O2491" s="109" t="s">
        <v>432</v>
      </c>
      <c r="P2491" s="109" t="s">
        <v>432</v>
      </c>
      <c r="Q2491" s="109" t="s">
        <v>432</v>
      </c>
      <c r="R2491" s="109" t="s">
        <v>432</v>
      </c>
      <c r="S2491" s="109" t="s">
        <v>2209</v>
      </c>
      <c r="T2491" s="109" t="s">
        <v>432</v>
      </c>
      <c r="U2491" s="109" t="s">
        <v>432</v>
      </c>
      <c r="V2491" s="109" t="s">
        <v>2209</v>
      </c>
      <c r="W2491" s="109" t="s">
        <v>432</v>
      </c>
      <c r="X2491" s="109" t="s">
        <v>432</v>
      </c>
      <c r="Y2491" s="109" t="s">
        <v>432</v>
      </c>
      <c r="Z2491" s="109" t="s">
        <v>432</v>
      </c>
      <c r="AA2491" s="109" t="s">
        <v>432</v>
      </c>
      <c r="AB2491" s="109" t="s">
        <v>432</v>
      </c>
      <c r="AC2491" s="109" t="s">
        <v>432</v>
      </c>
      <c r="AD2491" s="109" t="s">
        <v>432</v>
      </c>
      <c r="AE2491" s="109" t="s">
        <v>432</v>
      </c>
      <c r="AF2491" s="109" t="s">
        <v>432</v>
      </c>
      <c r="AG2491" s="109" t="s">
        <v>432</v>
      </c>
      <c r="AH2491" s="109" t="s">
        <v>432</v>
      </c>
      <c r="AI2491" s="109" t="s">
        <v>432</v>
      </c>
      <c r="AJ2491" s="109" t="s">
        <v>432</v>
      </c>
      <c r="AK2491" s="109" t="s">
        <v>432</v>
      </c>
      <c r="AL2491" s="601" t="s">
        <v>432</v>
      </c>
      <c r="AM2491" s="109" t="s">
        <v>432</v>
      </c>
      <c r="AN2491" s="109" t="s">
        <v>432</v>
      </c>
      <c r="AO2491" s="109" t="s">
        <v>432</v>
      </c>
      <c r="AP2491" s="109" t="s">
        <v>432</v>
      </c>
      <c r="AQ2491" s="109" t="s">
        <v>432</v>
      </c>
      <c r="AR2491" s="109" t="s">
        <v>432</v>
      </c>
      <c r="AS2491" s="109" t="s">
        <v>432</v>
      </c>
      <c r="AT2491" s="109" t="s">
        <v>432</v>
      </c>
      <c r="AU2491" s="109" t="s">
        <v>432</v>
      </c>
      <c r="AV2491" s="109" t="s">
        <v>432</v>
      </c>
      <c r="AW2491" s="109" t="s">
        <v>432</v>
      </c>
      <c r="AX2491" s="109" t="s">
        <v>432</v>
      </c>
      <c r="AY2491" s="109" t="s">
        <v>432</v>
      </c>
      <c r="AZ2491" s="109" t="s">
        <v>432</v>
      </c>
      <c r="BA2491" s="109" t="s">
        <v>432</v>
      </c>
      <c r="BB2491" s="239" t="str">
        <f>B2491&amp;C2491</f>
        <v>Estacionamentoacessibilidade</v>
      </c>
      <c r="BC2491" s="239" t="str">
        <f>B2491&amp;C2491&amp;H2491</f>
        <v>Estacionamentoacessibilidadex</v>
      </c>
      <c r="BD2491" s="239" t="str">
        <f>B2491&amp;H2491</f>
        <v>Estacionamentox</v>
      </c>
      <c r="BM2491" s="806"/>
      <c r="BN2491" s="806"/>
      <c r="BO2491" s="806"/>
    </row>
    <row r="2492" spans="1:67" s="1" customFormat="1" x14ac:dyDescent="0.25">
      <c r="A2492" s="398"/>
      <c r="B2492" s="221"/>
      <c r="C2492" s="399"/>
      <c r="D2492" s="987"/>
      <c r="E2492" s="1533"/>
      <c r="F2492" s="405"/>
      <c r="G2492" s="405"/>
      <c r="H2492" s="399"/>
      <c r="I2492" s="405"/>
      <c r="J2492" s="221"/>
      <c r="K2492" s="403"/>
      <c r="L2492" s="403"/>
      <c r="M2492" s="403"/>
      <c r="N2492" s="403"/>
      <c r="O2492" s="403"/>
      <c r="P2492" s="403"/>
      <c r="Q2492" s="403"/>
      <c r="R2492" s="403"/>
      <c r="S2492" s="403"/>
      <c r="T2492" s="403"/>
      <c r="U2492" s="403"/>
      <c r="V2492" s="403"/>
      <c r="W2492" s="403"/>
      <c r="X2492" s="403"/>
      <c r="Y2492" s="403"/>
      <c r="Z2492" s="403"/>
      <c r="AA2492" s="403"/>
      <c r="AB2492" s="403"/>
      <c r="AC2492" s="403"/>
      <c r="AD2492" s="403"/>
      <c r="AE2492" s="403"/>
      <c r="AF2492" s="403"/>
      <c r="AG2492" s="403"/>
      <c r="AH2492" s="403"/>
      <c r="AI2492" s="403"/>
      <c r="AJ2492" s="403"/>
      <c r="AK2492" s="223"/>
      <c r="AL2492" s="223"/>
      <c r="AM2492" s="223"/>
      <c r="AN2492" s="223"/>
      <c r="AO2492" s="223"/>
      <c r="AP2492" s="223"/>
      <c r="AQ2492" s="223"/>
      <c r="AR2492" s="223"/>
      <c r="AS2492" s="223"/>
      <c r="AT2492" s="223"/>
      <c r="AU2492" s="223"/>
      <c r="AV2492" s="223"/>
      <c r="AW2492" s="223"/>
      <c r="AX2492" s="223"/>
      <c r="AY2492" s="223"/>
      <c r="AZ2492" s="223"/>
      <c r="BA2492" s="223"/>
      <c r="BB2492" s="400"/>
      <c r="BC2492" s="400"/>
      <c r="BD2492" s="400"/>
    </row>
    <row r="2493" spans="1:67" s="1" customFormat="1" ht="25.5" customHeight="1" x14ac:dyDescent="0.25">
      <c r="A2493" s="262" t="s">
        <v>432</v>
      </c>
      <c r="B2493" s="252" t="s">
        <v>742</v>
      </c>
      <c r="C2493" s="167" t="s">
        <v>432</v>
      </c>
      <c r="D2493" s="324" t="s">
        <v>1861</v>
      </c>
      <c r="E2493" s="1402" t="s">
        <v>432</v>
      </c>
      <c r="F2493" s="5" t="s">
        <v>1860</v>
      </c>
      <c r="G2493" s="167" t="s">
        <v>3879</v>
      </c>
      <c r="H2493" s="167" t="s">
        <v>432</v>
      </c>
      <c r="I2493" s="167" t="s">
        <v>432</v>
      </c>
      <c r="J2493" s="109" t="s">
        <v>432</v>
      </c>
      <c r="K2493" s="109" t="s">
        <v>432</v>
      </c>
      <c r="L2493" s="109" t="s">
        <v>432</v>
      </c>
      <c r="M2493" s="109" t="s">
        <v>432</v>
      </c>
      <c r="N2493" s="109" t="s">
        <v>432</v>
      </c>
      <c r="O2493" s="109" t="s">
        <v>432</v>
      </c>
      <c r="P2493" s="109" t="s">
        <v>432</v>
      </c>
      <c r="Q2493" s="109" t="s">
        <v>432</v>
      </c>
      <c r="R2493" s="109" t="s">
        <v>432</v>
      </c>
      <c r="S2493" s="109" t="s">
        <v>2209</v>
      </c>
      <c r="T2493" s="109" t="s">
        <v>432</v>
      </c>
      <c r="U2493" s="109" t="s">
        <v>432</v>
      </c>
      <c r="V2493" s="109" t="s">
        <v>2209</v>
      </c>
      <c r="W2493" s="109" t="s">
        <v>432</v>
      </c>
      <c r="X2493" s="109" t="s">
        <v>432</v>
      </c>
      <c r="Y2493" s="109" t="s">
        <v>432</v>
      </c>
      <c r="Z2493" s="109" t="s">
        <v>432</v>
      </c>
      <c r="AA2493" s="109" t="s">
        <v>432</v>
      </c>
      <c r="AB2493" s="109" t="s">
        <v>432</v>
      </c>
      <c r="AC2493" s="109" t="s">
        <v>432</v>
      </c>
      <c r="AD2493" s="109" t="s">
        <v>432</v>
      </c>
      <c r="AE2493" s="109" t="s">
        <v>432</v>
      </c>
      <c r="AF2493" s="109" t="s">
        <v>432</v>
      </c>
      <c r="AG2493" s="109" t="s">
        <v>432</v>
      </c>
      <c r="AH2493" s="109" t="s">
        <v>432</v>
      </c>
      <c r="AI2493" s="109" t="s">
        <v>432</v>
      </c>
      <c r="AJ2493" s="109" t="s">
        <v>432</v>
      </c>
      <c r="AK2493" s="109" t="s">
        <v>432</v>
      </c>
      <c r="AL2493" s="601" t="s">
        <v>432</v>
      </c>
      <c r="AM2493" s="109" t="s">
        <v>432</v>
      </c>
      <c r="AN2493" s="109" t="s">
        <v>432</v>
      </c>
      <c r="AO2493" s="109" t="s">
        <v>432</v>
      </c>
      <c r="AP2493" s="109" t="s">
        <v>432</v>
      </c>
      <c r="AQ2493" s="109" t="s">
        <v>432</v>
      </c>
      <c r="AR2493" s="109" t="s">
        <v>432</v>
      </c>
      <c r="AS2493" s="109" t="s">
        <v>432</v>
      </c>
      <c r="AT2493" s="109" t="s">
        <v>432</v>
      </c>
      <c r="AU2493" s="109" t="s">
        <v>432</v>
      </c>
      <c r="AV2493" s="109" t="s">
        <v>432</v>
      </c>
      <c r="AW2493" s="109" t="s">
        <v>432</v>
      </c>
      <c r="AX2493" s="109" t="s">
        <v>432</v>
      </c>
      <c r="AY2493" s="109" t="s">
        <v>432</v>
      </c>
      <c r="AZ2493" s="109" t="s">
        <v>432</v>
      </c>
      <c r="BA2493" s="109" t="s">
        <v>432</v>
      </c>
      <c r="BB2493" s="239" t="str">
        <f t="shared" si="747"/>
        <v>geralx</v>
      </c>
      <c r="BC2493" s="239" t="str">
        <f t="shared" si="748"/>
        <v>geralxx</v>
      </c>
      <c r="BD2493" s="239" t="str">
        <f t="shared" si="749"/>
        <v>geralx</v>
      </c>
      <c r="BM2493" s="505"/>
      <c r="BN2493" s="505"/>
      <c r="BO2493" s="505"/>
    </row>
    <row r="2494" spans="1:67" s="1" customFormat="1" ht="25.5" customHeight="1" x14ac:dyDescent="0.25">
      <c r="A2494" s="262" t="s">
        <v>432</v>
      </c>
      <c r="B2494" s="252" t="s">
        <v>742</v>
      </c>
      <c r="C2494" s="167" t="s">
        <v>432</v>
      </c>
      <c r="D2494" s="324" t="s">
        <v>1870</v>
      </c>
      <c r="E2494" s="1402" t="s">
        <v>432</v>
      </c>
      <c r="F2494" s="5" t="s">
        <v>1871</v>
      </c>
      <c r="G2494" s="167" t="s">
        <v>3879</v>
      </c>
      <c r="H2494" s="167" t="s">
        <v>432</v>
      </c>
      <c r="I2494" s="167" t="s">
        <v>432</v>
      </c>
      <c r="J2494" s="109" t="s">
        <v>432</v>
      </c>
      <c r="K2494" s="109" t="s">
        <v>432</v>
      </c>
      <c r="L2494" s="109" t="s">
        <v>432</v>
      </c>
      <c r="M2494" s="109" t="s">
        <v>432</v>
      </c>
      <c r="N2494" s="109" t="s">
        <v>432</v>
      </c>
      <c r="O2494" s="109" t="s">
        <v>432</v>
      </c>
      <c r="P2494" s="109" t="s">
        <v>432</v>
      </c>
      <c r="Q2494" s="109" t="s">
        <v>432</v>
      </c>
      <c r="R2494" s="109" t="s">
        <v>432</v>
      </c>
      <c r="S2494" s="109" t="s">
        <v>2209</v>
      </c>
      <c r="T2494" s="109" t="s">
        <v>432</v>
      </c>
      <c r="U2494" s="109" t="s">
        <v>432</v>
      </c>
      <c r="V2494" s="109" t="s">
        <v>2209</v>
      </c>
      <c r="W2494" s="109" t="s">
        <v>432</v>
      </c>
      <c r="X2494" s="109" t="s">
        <v>432</v>
      </c>
      <c r="Y2494" s="109" t="s">
        <v>432</v>
      </c>
      <c r="Z2494" s="109" t="s">
        <v>432</v>
      </c>
      <c r="AA2494" s="109" t="s">
        <v>432</v>
      </c>
      <c r="AB2494" s="109" t="s">
        <v>432</v>
      </c>
      <c r="AC2494" s="109" t="s">
        <v>432</v>
      </c>
      <c r="AD2494" s="109" t="s">
        <v>432</v>
      </c>
      <c r="AE2494" s="109" t="s">
        <v>432</v>
      </c>
      <c r="AF2494" s="109" t="s">
        <v>432</v>
      </c>
      <c r="AG2494" s="109" t="s">
        <v>432</v>
      </c>
      <c r="AH2494" s="109" t="s">
        <v>432</v>
      </c>
      <c r="AI2494" s="109" t="s">
        <v>432</v>
      </c>
      <c r="AJ2494" s="109" t="s">
        <v>432</v>
      </c>
      <c r="AK2494" s="109" t="s">
        <v>432</v>
      </c>
      <c r="AL2494" s="601" t="s">
        <v>432</v>
      </c>
      <c r="AM2494" s="109" t="s">
        <v>432</v>
      </c>
      <c r="AN2494" s="109" t="s">
        <v>432</v>
      </c>
      <c r="AO2494" s="109" t="s">
        <v>432</v>
      </c>
      <c r="AP2494" s="109" t="s">
        <v>432</v>
      </c>
      <c r="AQ2494" s="109" t="s">
        <v>432</v>
      </c>
      <c r="AR2494" s="109" t="s">
        <v>432</v>
      </c>
      <c r="AS2494" s="109" t="s">
        <v>432</v>
      </c>
      <c r="AT2494" s="109" t="s">
        <v>432</v>
      </c>
      <c r="AU2494" s="109" t="s">
        <v>432</v>
      </c>
      <c r="AV2494" s="109" t="s">
        <v>432</v>
      </c>
      <c r="AW2494" s="109" t="s">
        <v>432</v>
      </c>
      <c r="AX2494" s="109" t="s">
        <v>432</v>
      </c>
      <c r="AY2494" s="109" t="s">
        <v>432</v>
      </c>
      <c r="AZ2494" s="109" t="s">
        <v>432</v>
      </c>
      <c r="BA2494" s="109" t="s">
        <v>432</v>
      </c>
      <c r="BB2494" s="239" t="str">
        <f t="shared" si="747"/>
        <v>geralx</v>
      </c>
      <c r="BC2494" s="239" t="str">
        <f t="shared" si="748"/>
        <v>geralxx</v>
      </c>
      <c r="BD2494" s="239" t="str">
        <f t="shared" si="749"/>
        <v>geralx</v>
      </c>
      <c r="BM2494" s="505"/>
      <c r="BN2494" s="505"/>
      <c r="BO2494" s="505"/>
    </row>
    <row r="2495" spans="1:67" s="1" customFormat="1" ht="25.5" customHeight="1" x14ac:dyDescent="0.25">
      <c r="A2495" s="262" t="s">
        <v>432</v>
      </c>
      <c r="B2495" s="252" t="s">
        <v>742</v>
      </c>
      <c r="C2495" s="167" t="s">
        <v>432</v>
      </c>
      <c r="D2495" s="324" t="s">
        <v>1862</v>
      </c>
      <c r="E2495" s="1402" t="s">
        <v>432</v>
      </c>
      <c r="F2495" s="5" t="s">
        <v>1866</v>
      </c>
      <c r="G2495" s="167" t="s">
        <v>3879</v>
      </c>
      <c r="H2495" s="167" t="s">
        <v>432</v>
      </c>
      <c r="I2495" s="167" t="s">
        <v>432</v>
      </c>
      <c r="J2495" s="109" t="s">
        <v>432</v>
      </c>
      <c r="K2495" s="109" t="s">
        <v>432</v>
      </c>
      <c r="L2495" s="109" t="s">
        <v>432</v>
      </c>
      <c r="M2495" s="109" t="s">
        <v>432</v>
      </c>
      <c r="N2495" s="109" t="s">
        <v>432</v>
      </c>
      <c r="O2495" s="109" t="s">
        <v>432</v>
      </c>
      <c r="P2495" s="109" t="s">
        <v>432</v>
      </c>
      <c r="Q2495" s="109" t="s">
        <v>432</v>
      </c>
      <c r="R2495" s="109" t="s">
        <v>432</v>
      </c>
      <c r="S2495" s="109" t="s">
        <v>2209</v>
      </c>
      <c r="T2495" s="109" t="s">
        <v>432</v>
      </c>
      <c r="U2495" s="109" t="s">
        <v>432</v>
      </c>
      <c r="V2495" s="109" t="s">
        <v>2209</v>
      </c>
      <c r="W2495" s="109" t="s">
        <v>432</v>
      </c>
      <c r="X2495" s="109" t="s">
        <v>432</v>
      </c>
      <c r="Y2495" s="109" t="s">
        <v>432</v>
      </c>
      <c r="Z2495" s="109" t="s">
        <v>432</v>
      </c>
      <c r="AA2495" s="109" t="s">
        <v>432</v>
      </c>
      <c r="AB2495" s="109" t="s">
        <v>432</v>
      </c>
      <c r="AC2495" s="109" t="s">
        <v>432</v>
      </c>
      <c r="AD2495" s="109" t="s">
        <v>432</v>
      </c>
      <c r="AE2495" s="109" t="s">
        <v>432</v>
      </c>
      <c r="AF2495" s="109" t="s">
        <v>432</v>
      </c>
      <c r="AG2495" s="109" t="s">
        <v>432</v>
      </c>
      <c r="AH2495" s="109" t="s">
        <v>432</v>
      </c>
      <c r="AI2495" s="109" t="s">
        <v>432</v>
      </c>
      <c r="AJ2495" s="109" t="s">
        <v>432</v>
      </c>
      <c r="AK2495" s="109" t="s">
        <v>432</v>
      </c>
      <c r="AL2495" s="601" t="s">
        <v>432</v>
      </c>
      <c r="AM2495" s="109" t="s">
        <v>432</v>
      </c>
      <c r="AN2495" s="109" t="s">
        <v>432</v>
      </c>
      <c r="AO2495" s="109" t="s">
        <v>432</v>
      </c>
      <c r="AP2495" s="109" t="s">
        <v>432</v>
      </c>
      <c r="AQ2495" s="109" t="s">
        <v>432</v>
      </c>
      <c r="AR2495" s="109" t="s">
        <v>432</v>
      </c>
      <c r="AS2495" s="109" t="s">
        <v>432</v>
      </c>
      <c r="AT2495" s="109" t="s">
        <v>432</v>
      </c>
      <c r="AU2495" s="109" t="s">
        <v>432</v>
      </c>
      <c r="AV2495" s="109" t="s">
        <v>432</v>
      </c>
      <c r="AW2495" s="109" t="s">
        <v>432</v>
      </c>
      <c r="AX2495" s="109" t="s">
        <v>432</v>
      </c>
      <c r="AY2495" s="109" t="s">
        <v>432</v>
      </c>
      <c r="AZ2495" s="109" t="s">
        <v>432</v>
      </c>
      <c r="BA2495" s="109" t="s">
        <v>432</v>
      </c>
      <c r="BB2495" s="239" t="str">
        <f t="shared" si="747"/>
        <v>geralx</v>
      </c>
      <c r="BC2495" s="239" t="str">
        <f t="shared" si="748"/>
        <v>geralxx</v>
      </c>
      <c r="BD2495" s="239" t="str">
        <f t="shared" si="749"/>
        <v>geralx</v>
      </c>
      <c r="BM2495" s="502"/>
      <c r="BN2495" s="502"/>
      <c r="BO2495" s="502"/>
    </row>
    <row r="2496" spans="1:67" s="1" customFormat="1" ht="25.5" customHeight="1" x14ac:dyDescent="0.25">
      <c r="A2496" s="262" t="s">
        <v>432</v>
      </c>
      <c r="B2496" s="252" t="s">
        <v>742</v>
      </c>
      <c r="C2496" s="167" t="s">
        <v>432</v>
      </c>
      <c r="D2496" s="324" t="s">
        <v>1872</v>
      </c>
      <c r="E2496" s="1402" t="s">
        <v>432</v>
      </c>
      <c r="F2496" s="5" t="s">
        <v>1873</v>
      </c>
      <c r="G2496" s="167" t="s">
        <v>3879</v>
      </c>
      <c r="H2496" s="167" t="s">
        <v>432</v>
      </c>
      <c r="I2496" s="167" t="s">
        <v>432</v>
      </c>
      <c r="J2496" s="109" t="s">
        <v>432</v>
      </c>
      <c r="K2496" s="109" t="s">
        <v>432</v>
      </c>
      <c r="L2496" s="109" t="s">
        <v>432</v>
      </c>
      <c r="M2496" s="109" t="s">
        <v>432</v>
      </c>
      <c r="N2496" s="109" t="s">
        <v>432</v>
      </c>
      <c r="O2496" s="109" t="s">
        <v>432</v>
      </c>
      <c r="P2496" s="109" t="s">
        <v>432</v>
      </c>
      <c r="Q2496" s="109" t="s">
        <v>432</v>
      </c>
      <c r="R2496" s="109" t="s">
        <v>432</v>
      </c>
      <c r="S2496" s="109" t="s">
        <v>2209</v>
      </c>
      <c r="T2496" s="109" t="s">
        <v>432</v>
      </c>
      <c r="U2496" s="109" t="s">
        <v>432</v>
      </c>
      <c r="V2496" s="109" t="s">
        <v>2209</v>
      </c>
      <c r="W2496" s="109" t="s">
        <v>432</v>
      </c>
      <c r="X2496" s="109" t="s">
        <v>432</v>
      </c>
      <c r="Y2496" s="109" t="s">
        <v>432</v>
      </c>
      <c r="Z2496" s="109" t="s">
        <v>432</v>
      </c>
      <c r="AA2496" s="109" t="s">
        <v>432</v>
      </c>
      <c r="AB2496" s="109" t="s">
        <v>432</v>
      </c>
      <c r="AC2496" s="109" t="s">
        <v>432</v>
      </c>
      <c r="AD2496" s="109" t="s">
        <v>432</v>
      </c>
      <c r="AE2496" s="109" t="s">
        <v>432</v>
      </c>
      <c r="AF2496" s="109" t="s">
        <v>432</v>
      </c>
      <c r="AG2496" s="109" t="s">
        <v>432</v>
      </c>
      <c r="AH2496" s="109" t="s">
        <v>432</v>
      </c>
      <c r="AI2496" s="109" t="s">
        <v>432</v>
      </c>
      <c r="AJ2496" s="109" t="s">
        <v>432</v>
      </c>
      <c r="AK2496" s="109" t="s">
        <v>432</v>
      </c>
      <c r="AL2496" s="601" t="s">
        <v>432</v>
      </c>
      <c r="AM2496" s="109" t="s">
        <v>432</v>
      </c>
      <c r="AN2496" s="109" t="s">
        <v>432</v>
      </c>
      <c r="AO2496" s="109" t="s">
        <v>432</v>
      </c>
      <c r="AP2496" s="109" t="s">
        <v>432</v>
      </c>
      <c r="AQ2496" s="109" t="s">
        <v>432</v>
      </c>
      <c r="AR2496" s="109" t="s">
        <v>432</v>
      </c>
      <c r="AS2496" s="109" t="s">
        <v>432</v>
      </c>
      <c r="AT2496" s="109" t="s">
        <v>432</v>
      </c>
      <c r="AU2496" s="109" t="s">
        <v>432</v>
      </c>
      <c r="AV2496" s="109" t="s">
        <v>432</v>
      </c>
      <c r="AW2496" s="109" t="s">
        <v>432</v>
      </c>
      <c r="AX2496" s="109" t="s">
        <v>432</v>
      </c>
      <c r="AY2496" s="109" t="s">
        <v>432</v>
      </c>
      <c r="AZ2496" s="109" t="s">
        <v>432</v>
      </c>
      <c r="BA2496" s="109" t="s">
        <v>432</v>
      </c>
      <c r="BB2496" s="239" t="str">
        <f t="shared" si="747"/>
        <v>geralx</v>
      </c>
      <c r="BC2496" s="239" t="str">
        <f t="shared" si="748"/>
        <v>geralxx</v>
      </c>
      <c r="BD2496" s="239" t="str">
        <f t="shared" si="749"/>
        <v>geralx</v>
      </c>
      <c r="BM2496" s="505"/>
      <c r="BN2496" s="505"/>
      <c r="BO2496" s="505"/>
    </row>
    <row r="2497" spans="1:67" s="1" customFormat="1" ht="25.5" customHeight="1" x14ac:dyDescent="0.25">
      <c r="A2497" s="262" t="s">
        <v>432</v>
      </c>
      <c r="B2497" s="252" t="s">
        <v>742</v>
      </c>
      <c r="C2497" s="167" t="s">
        <v>432</v>
      </c>
      <c r="D2497" s="324" t="s">
        <v>1863</v>
      </c>
      <c r="E2497" s="1402" t="s">
        <v>432</v>
      </c>
      <c r="F2497" s="5" t="s">
        <v>1867</v>
      </c>
      <c r="G2497" s="167" t="s">
        <v>3879</v>
      </c>
      <c r="H2497" s="167" t="s">
        <v>432</v>
      </c>
      <c r="I2497" s="167" t="s">
        <v>432</v>
      </c>
      <c r="J2497" s="109" t="s">
        <v>432</v>
      </c>
      <c r="K2497" s="109" t="s">
        <v>432</v>
      </c>
      <c r="L2497" s="109" t="s">
        <v>432</v>
      </c>
      <c r="M2497" s="109" t="s">
        <v>432</v>
      </c>
      <c r="N2497" s="109" t="s">
        <v>432</v>
      </c>
      <c r="O2497" s="109" t="s">
        <v>432</v>
      </c>
      <c r="P2497" s="109" t="s">
        <v>432</v>
      </c>
      <c r="Q2497" s="109" t="s">
        <v>432</v>
      </c>
      <c r="R2497" s="109" t="s">
        <v>432</v>
      </c>
      <c r="S2497" s="109" t="s">
        <v>2209</v>
      </c>
      <c r="T2497" s="109" t="s">
        <v>432</v>
      </c>
      <c r="U2497" s="109" t="s">
        <v>432</v>
      </c>
      <c r="V2497" s="109" t="s">
        <v>2209</v>
      </c>
      <c r="W2497" s="109" t="s">
        <v>432</v>
      </c>
      <c r="X2497" s="109" t="s">
        <v>432</v>
      </c>
      <c r="Y2497" s="109" t="s">
        <v>432</v>
      </c>
      <c r="Z2497" s="109" t="s">
        <v>432</v>
      </c>
      <c r="AA2497" s="109" t="s">
        <v>432</v>
      </c>
      <c r="AB2497" s="109" t="s">
        <v>432</v>
      </c>
      <c r="AC2497" s="109" t="s">
        <v>432</v>
      </c>
      <c r="AD2497" s="109" t="s">
        <v>432</v>
      </c>
      <c r="AE2497" s="109" t="s">
        <v>432</v>
      </c>
      <c r="AF2497" s="109" t="s">
        <v>432</v>
      </c>
      <c r="AG2497" s="109" t="s">
        <v>432</v>
      </c>
      <c r="AH2497" s="109" t="s">
        <v>432</v>
      </c>
      <c r="AI2497" s="109" t="s">
        <v>432</v>
      </c>
      <c r="AJ2497" s="109" t="s">
        <v>432</v>
      </c>
      <c r="AK2497" s="109" t="s">
        <v>432</v>
      </c>
      <c r="AL2497" s="601" t="s">
        <v>432</v>
      </c>
      <c r="AM2497" s="109" t="s">
        <v>432</v>
      </c>
      <c r="AN2497" s="109" t="s">
        <v>432</v>
      </c>
      <c r="AO2497" s="109" t="s">
        <v>432</v>
      </c>
      <c r="AP2497" s="109" t="s">
        <v>432</v>
      </c>
      <c r="AQ2497" s="109" t="s">
        <v>432</v>
      </c>
      <c r="AR2497" s="109" t="s">
        <v>432</v>
      </c>
      <c r="AS2497" s="109" t="s">
        <v>432</v>
      </c>
      <c r="AT2497" s="109" t="s">
        <v>432</v>
      </c>
      <c r="AU2497" s="109" t="s">
        <v>432</v>
      </c>
      <c r="AV2497" s="109" t="s">
        <v>432</v>
      </c>
      <c r="AW2497" s="109" t="s">
        <v>432</v>
      </c>
      <c r="AX2497" s="109" t="s">
        <v>432</v>
      </c>
      <c r="AY2497" s="109" t="s">
        <v>432</v>
      </c>
      <c r="AZ2497" s="109" t="s">
        <v>432</v>
      </c>
      <c r="BA2497" s="109" t="s">
        <v>432</v>
      </c>
      <c r="BB2497" s="239" t="str">
        <f t="shared" si="747"/>
        <v>geralx</v>
      </c>
      <c r="BC2497" s="239" t="str">
        <f t="shared" si="748"/>
        <v>geralxx</v>
      </c>
      <c r="BD2497" s="239" t="str">
        <f t="shared" si="749"/>
        <v>geralx</v>
      </c>
      <c r="BM2497" s="502"/>
      <c r="BN2497" s="502"/>
      <c r="BO2497" s="502"/>
    </row>
    <row r="2498" spans="1:67" s="1" customFormat="1" ht="25.5" customHeight="1" x14ac:dyDescent="0.25">
      <c r="A2498" s="262" t="s">
        <v>432</v>
      </c>
      <c r="B2498" s="252" t="s">
        <v>742</v>
      </c>
      <c r="C2498" s="167" t="s">
        <v>432</v>
      </c>
      <c r="D2498" s="324" t="s">
        <v>1874</v>
      </c>
      <c r="E2498" s="1402" t="s">
        <v>432</v>
      </c>
      <c r="F2498" s="5" t="s">
        <v>1875</v>
      </c>
      <c r="G2498" s="167" t="s">
        <v>3879</v>
      </c>
      <c r="H2498" s="167" t="s">
        <v>432</v>
      </c>
      <c r="I2498" s="167" t="s">
        <v>432</v>
      </c>
      <c r="J2498" s="109" t="s">
        <v>432</v>
      </c>
      <c r="K2498" s="109" t="s">
        <v>432</v>
      </c>
      <c r="L2498" s="109" t="s">
        <v>432</v>
      </c>
      <c r="M2498" s="109" t="s">
        <v>432</v>
      </c>
      <c r="N2498" s="109" t="s">
        <v>432</v>
      </c>
      <c r="O2498" s="109" t="s">
        <v>432</v>
      </c>
      <c r="P2498" s="109" t="s">
        <v>432</v>
      </c>
      <c r="Q2498" s="109" t="s">
        <v>432</v>
      </c>
      <c r="R2498" s="109" t="s">
        <v>432</v>
      </c>
      <c r="S2498" s="109" t="s">
        <v>2209</v>
      </c>
      <c r="T2498" s="109" t="s">
        <v>432</v>
      </c>
      <c r="U2498" s="109" t="s">
        <v>432</v>
      </c>
      <c r="V2498" s="109" t="s">
        <v>2209</v>
      </c>
      <c r="W2498" s="109" t="s">
        <v>432</v>
      </c>
      <c r="X2498" s="109" t="s">
        <v>432</v>
      </c>
      <c r="Y2498" s="109" t="s">
        <v>432</v>
      </c>
      <c r="Z2498" s="109" t="s">
        <v>432</v>
      </c>
      <c r="AA2498" s="109" t="s">
        <v>432</v>
      </c>
      <c r="AB2498" s="109" t="s">
        <v>432</v>
      </c>
      <c r="AC2498" s="109" t="s">
        <v>432</v>
      </c>
      <c r="AD2498" s="109" t="s">
        <v>432</v>
      </c>
      <c r="AE2498" s="109" t="s">
        <v>432</v>
      </c>
      <c r="AF2498" s="109" t="s">
        <v>432</v>
      </c>
      <c r="AG2498" s="109" t="s">
        <v>432</v>
      </c>
      <c r="AH2498" s="109" t="s">
        <v>432</v>
      </c>
      <c r="AI2498" s="109" t="s">
        <v>432</v>
      </c>
      <c r="AJ2498" s="109" t="s">
        <v>432</v>
      </c>
      <c r="AK2498" s="109" t="s">
        <v>432</v>
      </c>
      <c r="AL2498" s="601" t="s">
        <v>432</v>
      </c>
      <c r="AM2498" s="109" t="s">
        <v>432</v>
      </c>
      <c r="AN2498" s="109" t="s">
        <v>432</v>
      </c>
      <c r="AO2498" s="109" t="s">
        <v>432</v>
      </c>
      <c r="AP2498" s="109" t="s">
        <v>432</v>
      </c>
      <c r="AQ2498" s="109" t="s">
        <v>432</v>
      </c>
      <c r="AR2498" s="109" t="s">
        <v>432</v>
      </c>
      <c r="AS2498" s="109" t="s">
        <v>432</v>
      </c>
      <c r="AT2498" s="109" t="s">
        <v>432</v>
      </c>
      <c r="AU2498" s="109" t="s">
        <v>432</v>
      </c>
      <c r="AV2498" s="109" t="s">
        <v>432</v>
      </c>
      <c r="AW2498" s="109" t="s">
        <v>432</v>
      </c>
      <c r="AX2498" s="109" t="s">
        <v>432</v>
      </c>
      <c r="AY2498" s="109" t="s">
        <v>432</v>
      </c>
      <c r="AZ2498" s="109" t="s">
        <v>432</v>
      </c>
      <c r="BA2498" s="109" t="s">
        <v>432</v>
      </c>
      <c r="BB2498" s="239" t="str">
        <f t="shared" si="747"/>
        <v>geralx</v>
      </c>
      <c r="BC2498" s="239" t="str">
        <f t="shared" si="748"/>
        <v>geralxx</v>
      </c>
      <c r="BD2498" s="239" t="str">
        <f t="shared" si="749"/>
        <v>geralx</v>
      </c>
      <c r="BM2498" s="505"/>
      <c r="BN2498" s="505"/>
      <c r="BO2498" s="505"/>
    </row>
    <row r="2499" spans="1:67" s="1" customFormat="1" ht="25.5" customHeight="1" x14ac:dyDescent="0.25">
      <c r="A2499" s="262" t="s">
        <v>432</v>
      </c>
      <c r="B2499" s="252" t="s">
        <v>742</v>
      </c>
      <c r="C2499" s="167" t="s">
        <v>432</v>
      </c>
      <c r="D2499" s="324" t="s">
        <v>1864</v>
      </c>
      <c r="E2499" s="1402" t="s">
        <v>432</v>
      </c>
      <c r="F2499" s="5" t="s">
        <v>1868</v>
      </c>
      <c r="G2499" s="167" t="s">
        <v>3879</v>
      </c>
      <c r="H2499" s="167" t="s">
        <v>432</v>
      </c>
      <c r="I2499" s="167" t="s">
        <v>432</v>
      </c>
      <c r="J2499" s="109" t="s">
        <v>432</v>
      </c>
      <c r="K2499" s="109" t="s">
        <v>432</v>
      </c>
      <c r="L2499" s="109" t="s">
        <v>432</v>
      </c>
      <c r="M2499" s="109" t="s">
        <v>432</v>
      </c>
      <c r="N2499" s="109" t="s">
        <v>432</v>
      </c>
      <c r="O2499" s="109" t="s">
        <v>432</v>
      </c>
      <c r="P2499" s="109" t="s">
        <v>432</v>
      </c>
      <c r="Q2499" s="109" t="s">
        <v>432</v>
      </c>
      <c r="R2499" s="109" t="s">
        <v>432</v>
      </c>
      <c r="S2499" s="109" t="s">
        <v>2209</v>
      </c>
      <c r="T2499" s="109" t="s">
        <v>432</v>
      </c>
      <c r="U2499" s="109" t="s">
        <v>432</v>
      </c>
      <c r="V2499" s="109" t="s">
        <v>2209</v>
      </c>
      <c r="W2499" s="109" t="s">
        <v>432</v>
      </c>
      <c r="X2499" s="109" t="s">
        <v>432</v>
      </c>
      <c r="Y2499" s="109" t="s">
        <v>432</v>
      </c>
      <c r="Z2499" s="109" t="s">
        <v>432</v>
      </c>
      <c r="AA2499" s="109" t="s">
        <v>432</v>
      </c>
      <c r="AB2499" s="109" t="s">
        <v>432</v>
      </c>
      <c r="AC2499" s="109" t="s">
        <v>432</v>
      </c>
      <c r="AD2499" s="109" t="s">
        <v>432</v>
      </c>
      <c r="AE2499" s="109" t="s">
        <v>432</v>
      </c>
      <c r="AF2499" s="109" t="s">
        <v>432</v>
      </c>
      <c r="AG2499" s="109" t="s">
        <v>432</v>
      </c>
      <c r="AH2499" s="109" t="s">
        <v>432</v>
      </c>
      <c r="AI2499" s="109" t="s">
        <v>432</v>
      </c>
      <c r="AJ2499" s="109" t="s">
        <v>432</v>
      </c>
      <c r="AK2499" s="109" t="s">
        <v>432</v>
      </c>
      <c r="AL2499" s="601" t="s">
        <v>432</v>
      </c>
      <c r="AM2499" s="109" t="s">
        <v>432</v>
      </c>
      <c r="AN2499" s="109" t="s">
        <v>432</v>
      </c>
      <c r="AO2499" s="109" t="s">
        <v>432</v>
      </c>
      <c r="AP2499" s="109" t="s">
        <v>432</v>
      </c>
      <c r="AQ2499" s="109" t="s">
        <v>432</v>
      </c>
      <c r="AR2499" s="109" t="s">
        <v>432</v>
      </c>
      <c r="AS2499" s="109" t="s">
        <v>432</v>
      </c>
      <c r="AT2499" s="109" t="s">
        <v>432</v>
      </c>
      <c r="AU2499" s="109" t="s">
        <v>432</v>
      </c>
      <c r="AV2499" s="109" t="s">
        <v>432</v>
      </c>
      <c r="AW2499" s="109" t="s">
        <v>432</v>
      </c>
      <c r="AX2499" s="109" t="s">
        <v>432</v>
      </c>
      <c r="AY2499" s="109" t="s">
        <v>432</v>
      </c>
      <c r="AZ2499" s="109" t="s">
        <v>432</v>
      </c>
      <c r="BA2499" s="109" t="s">
        <v>432</v>
      </c>
      <c r="BB2499" s="239" t="str">
        <f t="shared" si="747"/>
        <v>geralx</v>
      </c>
      <c r="BC2499" s="239" t="str">
        <f t="shared" si="748"/>
        <v>geralxx</v>
      </c>
      <c r="BD2499" s="239" t="str">
        <f t="shared" si="749"/>
        <v>geralx</v>
      </c>
      <c r="BM2499" s="502"/>
      <c r="BN2499" s="502"/>
      <c r="BO2499" s="502"/>
    </row>
    <row r="2500" spans="1:67" s="1" customFormat="1" ht="25.5" customHeight="1" x14ac:dyDescent="0.25">
      <c r="A2500" s="262" t="s">
        <v>432</v>
      </c>
      <c r="B2500" s="252" t="s">
        <v>742</v>
      </c>
      <c r="C2500" s="167" t="s">
        <v>432</v>
      </c>
      <c r="D2500" s="324" t="s">
        <v>1877</v>
      </c>
      <c r="E2500" s="1402" t="s">
        <v>432</v>
      </c>
      <c r="F2500" s="5" t="s">
        <v>1876</v>
      </c>
      <c r="G2500" s="167" t="s">
        <v>3879</v>
      </c>
      <c r="H2500" s="167" t="s">
        <v>432</v>
      </c>
      <c r="I2500" s="167" t="s">
        <v>432</v>
      </c>
      <c r="J2500" s="109" t="s">
        <v>432</v>
      </c>
      <c r="K2500" s="109" t="s">
        <v>432</v>
      </c>
      <c r="L2500" s="109" t="s">
        <v>432</v>
      </c>
      <c r="M2500" s="109" t="s">
        <v>432</v>
      </c>
      <c r="N2500" s="109" t="s">
        <v>432</v>
      </c>
      <c r="O2500" s="109" t="s">
        <v>432</v>
      </c>
      <c r="P2500" s="109" t="s">
        <v>432</v>
      </c>
      <c r="Q2500" s="109" t="s">
        <v>432</v>
      </c>
      <c r="R2500" s="109" t="s">
        <v>432</v>
      </c>
      <c r="S2500" s="109" t="s">
        <v>2209</v>
      </c>
      <c r="T2500" s="109" t="s">
        <v>432</v>
      </c>
      <c r="U2500" s="109" t="s">
        <v>432</v>
      </c>
      <c r="V2500" s="109" t="s">
        <v>2209</v>
      </c>
      <c r="W2500" s="109" t="s">
        <v>432</v>
      </c>
      <c r="X2500" s="109" t="s">
        <v>432</v>
      </c>
      <c r="Y2500" s="109" t="s">
        <v>432</v>
      </c>
      <c r="Z2500" s="109" t="s">
        <v>432</v>
      </c>
      <c r="AA2500" s="109" t="s">
        <v>432</v>
      </c>
      <c r="AB2500" s="109" t="s">
        <v>432</v>
      </c>
      <c r="AC2500" s="109" t="s">
        <v>432</v>
      </c>
      <c r="AD2500" s="109" t="s">
        <v>432</v>
      </c>
      <c r="AE2500" s="109" t="s">
        <v>432</v>
      </c>
      <c r="AF2500" s="109" t="s">
        <v>432</v>
      </c>
      <c r="AG2500" s="109" t="s">
        <v>432</v>
      </c>
      <c r="AH2500" s="109" t="s">
        <v>432</v>
      </c>
      <c r="AI2500" s="109" t="s">
        <v>432</v>
      </c>
      <c r="AJ2500" s="109" t="s">
        <v>432</v>
      </c>
      <c r="AK2500" s="109" t="s">
        <v>432</v>
      </c>
      <c r="AL2500" s="601" t="s">
        <v>432</v>
      </c>
      <c r="AM2500" s="109" t="s">
        <v>432</v>
      </c>
      <c r="AN2500" s="109" t="s">
        <v>432</v>
      </c>
      <c r="AO2500" s="109" t="s">
        <v>432</v>
      </c>
      <c r="AP2500" s="109" t="s">
        <v>432</v>
      </c>
      <c r="AQ2500" s="109" t="s">
        <v>432</v>
      </c>
      <c r="AR2500" s="109" t="s">
        <v>432</v>
      </c>
      <c r="AS2500" s="109" t="s">
        <v>432</v>
      </c>
      <c r="AT2500" s="109" t="s">
        <v>432</v>
      </c>
      <c r="AU2500" s="109" t="s">
        <v>432</v>
      </c>
      <c r="AV2500" s="109" t="s">
        <v>432</v>
      </c>
      <c r="AW2500" s="109" t="s">
        <v>432</v>
      </c>
      <c r="AX2500" s="109" t="s">
        <v>432</v>
      </c>
      <c r="AY2500" s="109" t="s">
        <v>432</v>
      </c>
      <c r="AZ2500" s="109" t="s">
        <v>432</v>
      </c>
      <c r="BA2500" s="109" t="s">
        <v>432</v>
      </c>
      <c r="BB2500" s="239" t="str">
        <f t="shared" si="747"/>
        <v>geralx</v>
      </c>
      <c r="BC2500" s="239" t="str">
        <f t="shared" si="748"/>
        <v>geralxx</v>
      </c>
      <c r="BD2500" s="239" t="str">
        <f t="shared" si="749"/>
        <v>geralx</v>
      </c>
      <c r="BM2500" s="505"/>
      <c r="BN2500" s="505"/>
      <c r="BO2500" s="505"/>
    </row>
    <row r="2501" spans="1:67" s="1" customFormat="1" ht="25.5" customHeight="1" x14ac:dyDescent="0.25">
      <c r="A2501" s="262" t="s">
        <v>432</v>
      </c>
      <c r="B2501" s="252" t="s">
        <v>742</v>
      </c>
      <c r="C2501" s="167" t="s">
        <v>432</v>
      </c>
      <c r="D2501" s="324" t="s">
        <v>1865</v>
      </c>
      <c r="E2501" s="1402" t="s">
        <v>432</v>
      </c>
      <c r="F2501" s="5" t="s">
        <v>1869</v>
      </c>
      <c r="G2501" s="167" t="s">
        <v>3879</v>
      </c>
      <c r="H2501" s="167" t="s">
        <v>432</v>
      </c>
      <c r="I2501" s="167" t="s">
        <v>432</v>
      </c>
      <c r="J2501" s="109" t="s">
        <v>432</v>
      </c>
      <c r="K2501" s="109" t="s">
        <v>432</v>
      </c>
      <c r="L2501" s="109" t="s">
        <v>432</v>
      </c>
      <c r="M2501" s="109" t="s">
        <v>432</v>
      </c>
      <c r="N2501" s="109" t="s">
        <v>432</v>
      </c>
      <c r="O2501" s="109" t="s">
        <v>432</v>
      </c>
      <c r="P2501" s="109" t="s">
        <v>432</v>
      </c>
      <c r="Q2501" s="109" t="s">
        <v>432</v>
      </c>
      <c r="R2501" s="109" t="s">
        <v>432</v>
      </c>
      <c r="S2501" s="109" t="s">
        <v>2209</v>
      </c>
      <c r="T2501" s="109" t="s">
        <v>432</v>
      </c>
      <c r="U2501" s="109" t="s">
        <v>432</v>
      </c>
      <c r="V2501" s="109" t="s">
        <v>2209</v>
      </c>
      <c r="W2501" s="109" t="s">
        <v>432</v>
      </c>
      <c r="X2501" s="109" t="s">
        <v>432</v>
      </c>
      <c r="Y2501" s="109" t="s">
        <v>432</v>
      </c>
      <c r="Z2501" s="109" t="s">
        <v>432</v>
      </c>
      <c r="AA2501" s="109" t="s">
        <v>432</v>
      </c>
      <c r="AB2501" s="109" t="s">
        <v>432</v>
      </c>
      <c r="AC2501" s="109" t="s">
        <v>432</v>
      </c>
      <c r="AD2501" s="109" t="s">
        <v>432</v>
      </c>
      <c r="AE2501" s="109" t="s">
        <v>432</v>
      </c>
      <c r="AF2501" s="109" t="s">
        <v>432</v>
      </c>
      <c r="AG2501" s="109" t="s">
        <v>432</v>
      </c>
      <c r="AH2501" s="109" t="s">
        <v>432</v>
      </c>
      <c r="AI2501" s="109" t="s">
        <v>432</v>
      </c>
      <c r="AJ2501" s="109" t="s">
        <v>432</v>
      </c>
      <c r="AK2501" s="109" t="s">
        <v>432</v>
      </c>
      <c r="AL2501" s="601" t="s">
        <v>432</v>
      </c>
      <c r="AM2501" s="109" t="s">
        <v>432</v>
      </c>
      <c r="AN2501" s="109" t="s">
        <v>432</v>
      </c>
      <c r="AO2501" s="109" t="s">
        <v>432</v>
      </c>
      <c r="AP2501" s="109" t="s">
        <v>432</v>
      </c>
      <c r="AQ2501" s="109" t="s">
        <v>432</v>
      </c>
      <c r="AR2501" s="109" t="s">
        <v>432</v>
      </c>
      <c r="AS2501" s="109" t="s">
        <v>432</v>
      </c>
      <c r="AT2501" s="109" t="s">
        <v>432</v>
      </c>
      <c r="AU2501" s="109" t="s">
        <v>432</v>
      </c>
      <c r="AV2501" s="109" t="s">
        <v>432</v>
      </c>
      <c r="AW2501" s="109" t="s">
        <v>432</v>
      </c>
      <c r="AX2501" s="109" t="s">
        <v>432</v>
      </c>
      <c r="AY2501" s="109" t="s">
        <v>432</v>
      </c>
      <c r="AZ2501" s="109" t="s">
        <v>432</v>
      </c>
      <c r="BA2501" s="109" t="s">
        <v>432</v>
      </c>
      <c r="BB2501" s="239" t="str">
        <f t="shared" si="747"/>
        <v>geralx</v>
      </c>
      <c r="BC2501" s="239" t="str">
        <f t="shared" si="748"/>
        <v>geralxx</v>
      </c>
      <c r="BD2501" s="239" t="str">
        <f t="shared" si="749"/>
        <v>geralx</v>
      </c>
      <c r="BM2501" s="502"/>
      <c r="BN2501" s="502"/>
      <c r="BO2501" s="502"/>
    </row>
    <row r="2502" spans="1:67" s="1" customFormat="1" x14ac:dyDescent="0.25">
      <c r="A2502" s="398"/>
      <c r="B2502" s="221"/>
      <c r="C2502" s="399"/>
      <c r="D2502" s="987"/>
      <c r="E2502" s="1533"/>
      <c r="F2502" s="405"/>
      <c r="G2502" s="405"/>
      <c r="H2502" s="399"/>
      <c r="I2502" s="405"/>
      <c r="J2502" s="221"/>
      <c r="K2502" s="403"/>
      <c r="L2502" s="403"/>
      <c r="M2502" s="403"/>
      <c r="N2502" s="403"/>
      <c r="O2502" s="403"/>
      <c r="P2502" s="403"/>
      <c r="Q2502" s="403"/>
      <c r="R2502" s="403"/>
      <c r="S2502" s="403"/>
      <c r="T2502" s="403"/>
      <c r="U2502" s="403"/>
      <c r="V2502" s="403"/>
      <c r="W2502" s="403"/>
      <c r="X2502" s="403"/>
      <c r="Y2502" s="403"/>
      <c r="Z2502" s="403"/>
      <c r="AA2502" s="403"/>
      <c r="AB2502" s="403"/>
      <c r="AC2502" s="403"/>
      <c r="AD2502" s="403"/>
      <c r="AE2502" s="403"/>
      <c r="AF2502" s="403"/>
      <c r="AG2502" s="403"/>
      <c r="AH2502" s="403"/>
      <c r="AI2502" s="403"/>
      <c r="AJ2502" s="403"/>
      <c r="AK2502" s="223"/>
      <c r="AL2502" s="223"/>
      <c r="AM2502" s="223"/>
      <c r="AN2502" s="223"/>
      <c r="AO2502" s="223"/>
      <c r="AP2502" s="223"/>
      <c r="AQ2502" s="223"/>
      <c r="AR2502" s="223"/>
      <c r="AS2502" s="223"/>
      <c r="AT2502" s="223"/>
      <c r="AU2502" s="223"/>
      <c r="AV2502" s="223"/>
      <c r="AW2502" s="223"/>
      <c r="AX2502" s="223"/>
      <c r="AY2502" s="223"/>
      <c r="AZ2502" s="223"/>
      <c r="BA2502" s="223"/>
      <c r="BB2502" s="400"/>
      <c r="BC2502" s="400"/>
      <c r="BD2502" s="400"/>
    </row>
    <row r="2503" spans="1:67" s="1" customFormat="1" ht="62.25" customHeight="1" x14ac:dyDescent="0.25">
      <c r="A2503" s="262" t="str">
        <f>'Q100b-totais'!B61</f>
        <v>8.9</v>
      </c>
      <c r="B2503" s="252" t="str">
        <f>'Q100b-totais'!C61</f>
        <v>Metrô</v>
      </c>
      <c r="C2503" s="167" t="s">
        <v>5371</v>
      </c>
      <c r="D2503" s="324" t="s">
        <v>5370</v>
      </c>
      <c r="E2503" s="1402" t="s">
        <v>432</v>
      </c>
      <c r="F2503" s="151" t="s">
        <v>5994</v>
      </c>
      <c r="G2503" s="230" t="s">
        <v>3507</v>
      </c>
      <c r="H2503" s="167" t="s">
        <v>2408</v>
      </c>
      <c r="I2503" s="167" t="s">
        <v>432</v>
      </c>
      <c r="J2503" s="109" t="s">
        <v>432</v>
      </c>
      <c r="K2503" s="109" t="s">
        <v>432</v>
      </c>
      <c r="L2503" s="109" t="s">
        <v>432</v>
      </c>
      <c r="M2503" s="109" t="s">
        <v>432</v>
      </c>
      <c r="N2503" s="109" t="s">
        <v>432</v>
      </c>
      <c r="O2503" s="109" t="s">
        <v>432</v>
      </c>
      <c r="P2503" s="109" t="s">
        <v>432</v>
      </c>
      <c r="Q2503" s="109" t="s">
        <v>432</v>
      </c>
      <c r="R2503" s="109" t="s">
        <v>432</v>
      </c>
      <c r="S2503" s="109" t="s">
        <v>2209</v>
      </c>
      <c r="T2503" s="109" t="s">
        <v>432</v>
      </c>
      <c r="U2503" s="109" t="s">
        <v>432</v>
      </c>
      <c r="V2503" s="109" t="s">
        <v>2209</v>
      </c>
      <c r="W2503" s="109" t="s">
        <v>432</v>
      </c>
      <c r="X2503" s="109" t="s">
        <v>432</v>
      </c>
      <c r="Y2503" s="109" t="s">
        <v>432</v>
      </c>
      <c r="Z2503" s="109" t="s">
        <v>432</v>
      </c>
      <c r="AA2503" s="109" t="s">
        <v>432</v>
      </c>
      <c r="AB2503" s="109" t="s">
        <v>432</v>
      </c>
      <c r="AC2503" s="109" t="s">
        <v>432</v>
      </c>
      <c r="AD2503" s="109" t="s">
        <v>432</v>
      </c>
      <c r="AE2503" s="109" t="s">
        <v>432</v>
      </c>
      <c r="AF2503" s="109" t="s">
        <v>432</v>
      </c>
      <c r="AG2503" s="109" t="s">
        <v>432</v>
      </c>
      <c r="AH2503" s="109" t="s">
        <v>432</v>
      </c>
      <c r="AI2503" s="109" t="s">
        <v>432</v>
      </c>
      <c r="AJ2503" s="109" t="s">
        <v>432</v>
      </c>
      <c r="AK2503" s="109" t="s">
        <v>432</v>
      </c>
      <c r="AL2503" s="601" t="s">
        <v>432</v>
      </c>
      <c r="AM2503" s="109" t="s">
        <v>432</v>
      </c>
      <c r="AN2503" s="109" t="s">
        <v>432</v>
      </c>
      <c r="AO2503" s="109" t="s">
        <v>432</v>
      </c>
      <c r="AP2503" s="109" t="s">
        <v>432</v>
      </c>
      <c r="AQ2503" s="109" t="s">
        <v>432</v>
      </c>
      <c r="AR2503" s="109" t="s">
        <v>432</v>
      </c>
      <c r="AS2503" s="109" t="s">
        <v>432</v>
      </c>
      <c r="AT2503" s="109" t="s">
        <v>432</v>
      </c>
      <c r="AU2503" s="109" t="s">
        <v>432</v>
      </c>
      <c r="AV2503" s="109" t="s">
        <v>432</v>
      </c>
      <c r="AW2503" s="109" t="s">
        <v>432</v>
      </c>
      <c r="AX2503" s="109" t="s">
        <v>432</v>
      </c>
      <c r="AY2503" s="109" t="s">
        <v>432</v>
      </c>
      <c r="AZ2503" s="109" t="s">
        <v>432</v>
      </c>
      <c r="BA2503" s="109" t="s">
        <v>432</v>
      </c>
      <c r="BB2503" s="239" t="str">
        <f>B2503&amp;C2503</f>
        <v>Metrômulheres</v>
      </c>
      <c r="BC2503" s="239" t="str">
        <f>B2503&amp;C2503&amp;H2503</f>
        <v>Metrômulheressigla/verbete</v>
      </c>
      <c r="BD2503" s="239" t="str">
        <f>B2503&amp;H2503</f>
        <v>Metrôsigla/verbete</v>
      </c>
      <c r="BM2503" s="1416"/>
      <c r="BN2503" s="1416"/>
      <c r="BO2503" s="1416"/>
    </row>
    <row r="2504" spans="1:67" s="1" customFormat="1" ht="106.5" customHeight="1" x14ac:dyDescent="0.25">
      <c r="A2504" s="262" t="str">
        <f>'Q100b-totais'!B61</f>
        <v>8.9</v>
      </c>
      <c r="B2504" s="252" t="str">
        <f>'Q100b-totais'!C61</f>
        <v>Metrô</v>
      </c>
      <c r="C2504" s="167" t="s">
        <v>5371</v>
      </c>
      <c r="D2504" s="324" t="s">
        <v>5370</v>
      </c>
      <c r="E2504" s="1402" t="s">
        <v>1306</v>
      </c>
      <c r="F2504" s="151" t="s">
        <v>5991</v>
      </c>
      <c r="G2504" s="230" t="s">
        <v>3507</v>
      </c>
      <c r="H2504" s="167" t="s">
        <v>2408</v>
      </c>
      <c r="I2504" s="167" t="s">
        <v>432</v>
      </c>
      <c r="J2504" s="109" t="s">
        <v>432</v>
      </c>
      <c r="K2504" s="109" t="s">
        <v>432</v>
      </c>
      <c r="L2504" s="109" t="s">
        <v>432</v>
      </c>
      <c r="M2504" s="109" t="s">
        <v>432</v>
      </c>
      <c r="N2504" s="109" t="s">
        <v>432</v>
      </c>
      <c r="O2504" s="109" t="s">
        <v>432</v>
      </c>
      <c r="P2504" s="109" t="s">
        <v>432</v>
      </c>
      <c r="Q2504" s="109" t="s">
        <v>432</v>
      </c>
      <c r="R2504" s="109" t="s">
        <v>432</v>
      </c>
      <c r="S2504" s="109" t="s">
        <v>2209</v>
      </c>
      <c r="T2504" s="109" t="s">
        <v>432</v>
      </c>
      <c r="U2504" s="109" t="s">
        <v>432</v>
      </c>
      <c r="V2504" s="109" t="s">
        <v>2209</v>
      </c>
      <c r="W2504" s="109" t="s">
        <v>432</v>
      </c>
      <c r="X2504" s="109" t="s">
        <v>432</v>
      </c>
      <c r="Y2504" s="109" t="s">
        <v>432</v>
      </c>
      <c r="Z2504" s="109" t="s">
        <v>432</v>
      </c>
      <c r="AA2504" s="109" t="s">
        <v>432</v>
      </c>
      <c r="AB2504" s="109" t="s">
        <v>432</v>
      </c>
      <c r="AC2504" s="109" t="s">
        <v>432</v>
      </c>
      <c r="AD2504" s="109" t="s">
        <v>432</v>
      </c>
      <c r="AE2504" s="109" t="s">
        <v>432</v>
      </c>
      <c r="AF2504" s="109" t="s">
        <v>432</v>
      </c>
      <c r="AG2504" s="109" t="s">
        <v>432</v>
      </c>
      <c r="AH2504" s="109" t="s">
        <v>432</v>
      </c>
      <c r="AI2504" s="109" t="s">
        <v>432</v>
      </c>
      <c r="AJ2504" s="109" t="s">
        <v>432</v>
      </c>
      <c r="AK2504" s="109" t="s">
        <v>432</v>
      </c>
      <c r="AL2504" s="601" t="s">
        <v>432</v>
      </c>
      <c r="AM2504" s="109" t="s">
        <v>432</v>
      </c>
      <c r="AN2504" s="109" t="s">
        <v>432</v>
      </c>
      <c r="AO2504" s="109" t="s">
        <v>432</v>
      </c>
      <c r="AP2504" s="109" t="s">
        <v>432</v>
      </c>
      <c r="AQ2504" s="109" t="s">
        <v>432</v>
      </c>
      <c r="AR2504" s="109" t="s">
        <v>432</v>
      </c>
      <c r="AS2504" s="109" t="s">
        <v>432</v>
      </c>
      <c r="AT2504" s="109" t="s">
        <v>432</v>
      </c>
      <c r="AU2504" s="109" t="s">
        <v>432</v>
      </c>
      <c r="AV2504" s="109" t="s">
        <v>432</v>
      </c>
      <c r="AW2504" s="109" t="s">
        <v>432</v>
      </c>
      <c r="AX2504" s="109" t="s">
        <v>432</v>
      </c>
      <c r="AY2504" s="109" t="s">
        <v>432</v>
      </c>
      <c r="AZ2504" s="109" t="s">
        <v>432</v>
      </c>
      <c r="BA2504" s="109" t="s">
        <v>432</v>
      </c>
      <c r="BB2504" s="239" t="str">
        <f>B2504&amp;C2504</f>
        <v>Metrômulheres</v>
      </c>
      <c r="BC2504" s="239" t="str">
        <f>B2504&amp;C2504&amp;H2504</f>
        <v>Metrômulheressigla/verbete</v>
      </c>
      <c r="BD2504" s="239" t="str">
        <f>B2504&amp;H2504</f>
        <v>Metrôsigla/verbete</v>
      </c>
      <c r="BM2504" s="1416"/>
      <c r="BN2504" s="1416"/>
      <c r="BO2504" s="1416"/>
    </row>
    <row r="2505" spans="1:67" s="1" customFormat="1" ht="79.5" customHeight="1" x14ac:dyDescent="0.25">
      <c r="A2505" s="262" t="s">
        <v>432</v>
      </c>
      <c r="B2505" s="252" t="s">
        <v>742</v>
      </c>
      <c r="C2505" s="167" t="s">
        <v>743</v>
      </c>
      <c r="D2505" s="324" t="s">
        <v>1993</v>
      </c>
      <c r="E2505" s="1402" t="s">
        <v>432</v>
      </c>
      <c r="F2505" s="151" t="s">
        <v>5868</v>
      </c>
      <c r="G2505" s="230" t="s">
        <v>3507</v>
      </c>
      <c r="H2505" s="167" t="s">
        <v>2408</v>
      </c>
      <c r="I2505" s="167" t="s">
        <v>432</v>
      </c>
      <c r="J2505" s="109" t="s">
        <v>432</v>
      </c>
      <c r="K2505" s="109" t="s">
        <v>432</v>
      </c>
      <c r="L2505" s="109" t="s">
        <v>432</v>
      </c>
      <c r="M2505" s="109" t="s">
        <v>432</v>
      </c>
      <c r="N2505" s="109" t="s">
        <v>432</v>
      </c>
      <c r="O2505" s="109" t="s">
        <v>432</v>
      </c>
      <c r="P2505" s="109" t="s">
        <v>432</v>
      </c>
      <c r="Q2505" s="109" t="s">
        <v>432</v>
      </c>
      <c r="R2505" s="109" t="s">
        <v>432</v>
      </c>
      <c r="S2505" s="109" t="s">
        <v>2209</v>
      </c>
      <c r="T2505" s="109" t="s">
        <v>432</v>
      </c>
      <c r="U2505" s="109" t="s">
        <v>432</v>
      </c>
      <c r="V2505" s="109" t="s">
        <v>2209</v>
      </c>
      <c r="W2505" s="109" t="s">
        <v>432</v>
      </c>
      <c r="X2505" s="109" t="s">
        <v>432</v>
      </c>
      <c r="Y2505" s="109" t="s">
        <v>432</v>
      </c>
      <c r="Z2505" s="109" t="s">
        <v>432</v>
      </c>
      <c r="AA2505" s="109" t="s">
        <v>432</v>
      </c>
      <c r="AB2505" s="109" t="s">
        <v>432</v>
      </c>
      <c r="AC2505" s="109" t="s">
        <v>432</v>
      </c>
      <c r="AD2505" s="109" t="s">
        <v>432</v>
      </c>
      <c r="AE2505" s="109" t="s">
        <v>432</v>
      </c>
      <c r="AF2505" s="109" t="s">
        <v>432</v>
      </c>
      <c r="AG2505" s="109" t="s">
        <v>432</v>
      </c>
      <c r="AH2505" s="109" t="s">
        <v>432</v>
      </c>
      <c r="AI2505" s="109" t="s">
        <v>432</v>
      </c>
      <c r="AJ2505" s="109" t="s">
        <v>432</v>
      </c>
      <c r="AK2505" s="109" t="s">
        <v>432</v>
      </c>
      <c r="AL2505" s="601" t="s">
        <v>432</v>
      </c>
      <c r="AM2505" s="109" t="s">
        <v>432</v>
      </c>
      <c r="AN2505" s="109" t="s">
        <v>432</v>
      </c>
      <c r="AO2505" s="109" t="s">
        <v>432</v>
      </c>
      <c r="AP2505" s="109" t="s">
        <v>432</v>
      </c>
      <c r="AQ2505" s="109" t="s">
        <v>432</v>
      </c>
      <c r="AR2505" s="109" t="s">
        <v>432</v>
      </c>
      <c r="AS2505" s="109" t="s">
        <v>432</v>
      </c>
      <c r="AT2505" s="109" t="s">
        <v>432</v>
      </c>
      <c r="AU2505" s="109" t="s">
        <v>432</v>
      </c>
      <c r="AV2505" s="109" t="s">
        <v>432</v>
      </c>
      <c r="AW2505" s="109" t="s">
        <v>432</v>
      </c>
      <c r="AX2505" s="109" t="s">
        <v>432</v>
      </c>
      <c r="AY2505" s="109" t="s">
        <v>432</v>
      </c>
      <c r="AZ2505" s="109" t="s">
        <v>432</v>
      </c>
      <c r="BA2505" s="109" t="s">
        <v>432</v>
      </c>
      <c r="BB2505" s="239" t="str">
        <f t="shared" si="747"/>
        <v>geralacessibilidade</v>
      </c>
      <c r="BC2505" s="239" t="str">
        <f t="shared" si="748"/>
        <v>geralacessibilidadesigla/verbete</v>
      </c>
      <c r="BD2505" s="239" t="str">
        <f t="shared" si="749"/>
        <v>geralsigla/verbete</v>
      </c>
      <c r="BM2505" s="512"/>
      <c r="BN2505" s="512"/>
      <c r="BO2505" s="512"/>
    </row>
    <row r="2506" spans="1:67" s="1" customFormat="1" ht="63.75" customHeight="1" x14ac:dyDescent="0.25">
      <c r="A2506" s="275" t="str">
        <f>'Q100b-totais'!$B$64</f>
        <v>9.1</v>
      </c>
      <c r="B2506" s="1205" t="str">
        <f>'Q100b-totais'!$C$64</f>
        <v>Acidentes de trânsito</v>
      </c>
      <c r="C2506" s="57" t="s">
        <v>432</v>
      </c>
      <c r="D2506" s="324" t="s">
        <v>407</v>
      </c>
      <c r="E2506" s="1402" t="s">
        <v>1306</v>
      </c>
      <c r="F2506" s="14" t="s">
        <v>811</v>
      </c>
      <c r="G2506" s="409" t="s">
        <v>1541</v>
      </c>
      <c r="H2506" s="173" t="s">
        <v>432</v>
      </c>
      <c r="I2506" s="57">
        <v>1</v>
      </c>
      <c r="J2506" s="107" t="s">
        <v>432</v>
      </c>
      <c r="K2506" s="93" t="s">
        <v>432</v>
      </c>
      <c r="L2506" s="93" t="s">
        <v>432</v>
      </c>
      <c r="M2506" s="93" t="s">
        <v>432</v>
      </c>
      <c r="N2506" s="93" t="s">
        <v>432</v>
      </c>
      <c r="O2506" s="93" t="s">
        <v>432</v>
      </c>
      <c r="P2506" s="93" t="s">
        <v>432</v>
      </c>
      <c r="Q2506" s="93" t="s">
        <v>432</v>
      </c>
      <c r="R2506" s="93" t="s">
        <v>432</v>
      </c>
      <c r="S2506" s="109" t="s">
        <v>2209</v>
      </c>
      <c r="T2506" s="93" t="s">
        <v>432</v>
      </c>
      <c r="U2506" s="93" t="s">
        <v>432</v>
      </c>
      <c r="V2506" s="109" t="s">
        <v>2209</v>
      </c>
      <c r="W2506" s="93" t="s">
        <v>432</v>
      </c>
      <c r="X2506" s="93" t="s">
        <v>432</v>
      </c>
      <c r="Y2506" s="93" t="s">
        <v>432</v>
      </c>
      <c r="Z2506" s="159">
        <v>1198</v>
      </c>
      <c r="AA2506" s="159">
        <v>988</v>
      </c>
      <c r="AB2506" s="159">
        <v>996</v>
      </c>
      <c r="AC2506" s="159">
        <v>1021</v>
      </c>
      <c r="AD2506" s="159">
        <v>485</v>
      </c>
      <c r="AE2506" s="159">
        <v>794</v>
      </c>
      <c r="AF2506" s="159">
        <v>658</v>
      </c>
      <c r="AG2506" s="159">
        <v>535</v>
      </c>
      <c r="AH2506" s="159">
        <v>529</v>
      </c>
      <c r="AI2506" s="159">
        <v>498</v>
      </c>
      <c r="AJ2506" s="160" t="s">
        <v>772</v>
      </c>
      <c r="AK2506" s="137" t="s">
        <v>432</v>
      </c>
      <c r="AL2506" s="601" t="s">
        <v>432</v>
      </c>
      <c r="AM2506" s="137" t="s">
        <v>432</v>
      </c>
      <c r="AN2506" s="137" t="s">
        <v>432</v>
      </c>
      <c r="AO2506" s="137" t="s">
        <v>432</v>
      </c>
      <c r="AP2506" s="137" t="s">
        <v>432</v>
      </c>
      <c r="AQ2506" s="137" t="s">
        <v>432</v>
      </c>
      <c r="AR2506" s="137" t="s">
        <v>432</v>
      </c>
      <c r="AS2506" s="137" t="s">
        <v>432</v>
      </c>
      <c r="AT2506" s="137" t="s">
        <v>432</v>
      </c>
      <c r="AU2506" s="137" t="s">
        <v>432</v>
      </c>
      <c r="AV2506" s="137" t="s">
        <v>432</v>
      </c>
      <c r="AW2506" s="137" t="s">
        <v>432</v>
      </c>
      <c r="AX2506" s="137" t="s">
        <v>432</v>
      </c>
      <c r="AY2506" s="137" t="s">
        <v>432</v>
      </c>
      <c r="AZ2506" s="137" t="s">
        <v>432</v>
      </c>
      <c r="BA2506" s="137" t="s">
        <v>432</v>
      </c>
      <c r="BB2506" s="239" t="str">
        <f t="shared" si="747"/>
        <v>Acidentes de trânsitox</v>
      </c>
      <c r="BC2506" s="239" t="str">
        <f t="shared" si="748"/>
        <v>Acidentes de trânsitoxx</v>
      </c>
      <c r="BD2506" s="239" t="str">
        <f t="shared" si="749"/>
        <v>Acidentes de trânsitox</v>
      </c>
      <c r="BM2506" s="19"/>
      <c r="BN2506" s="19"/>
      <c r="BO2506" s="19"/>
    </row>
    <row r="2507" spans="1:67" s="1" customFormat="1" ht="57.75" customHeight="1" x14ac:dyDescent="0.25">
      <c r="A2507" s="275" t="str">
        <f>'Q100b-totais'!$B$64</f>
        <v>9.1</v>
      </c>
      <c r="B2507" s="1205" t="str">
        <f>'Q100b-totais'!$C$64</f>
        <v>Acidentes de trânsito</v>
      </c>
      <c r="C2507" s="57" t="s">
        <v>432</v>
      </c>
      <c r="D2507" s="324" t="s">
        <v>408</v>
      </c>
      <c r="E2507" s="254" t="s">
        <v>432</v>
      </c>
      <c r="F2507" s="11" t="s">
        <v>1940</v>
      </c>
      <c r="G2507" s="5" t="s">
        <v>1893</v>
      </c>
      <c r="H2507" s="444" t="s">
        <v>678</v>
      </c>
      <c r="I2507" s="173" t="s">
        <v>432</v>
      </c>
      <c r="J2507" s="107" t="s">
        <v>432</v>
      </c>
      <c r="K2507" s="107" t="s">
        <v>432</v>
      </c>
      <c r="L2507" s="107" t="s">
        <v>432</v>
      </c>
      <c r="M2507" s="107" t="s">
        <v>432</v>
      </c>
      <c r="N2507" s="107" t="s">
        <v>432</v>
      </c>
      <c r="O2507" s="107" t="s">
        <v>432</v>
      </c>
      <c r="P2507" s="107" t="s">
        <v>432</v>
      </c>
      <c r="Q2507" s="107" t="s">
        <v>432</v>
      </c>
      <c r="R2507" s="107" t="s">
        <v>432</v>
      </c>
      <c r="S2507" s="109" t="s">
        <v>2209</v>
      </c>
      <c r="T2507" s="107" t="s">
        <v>432</v>
      </c>
      <c r="U2507" s="107" t="s">
        <v>432</v>
      </c>
      <c r="V2507" s="109" t="s">
        <v>2209</v>
      </c>
      <c r="W2507" s="107" t="s">
        <v>432</v>
      </c>
      <c r="X2507" s="107" t="s">
        <v>432</v>
      </c>
      <c r="Y2507" s="107" t="s">
        <v>432</v>
      </c>
      <c r="Z2507" s="107" t="s">
        <v>432</v>
      </c>
      <c r="AA2507" s="107" t="s">
        <v>432</v>
      </c>
      <c r="AB2507" s="107" t="s">
        <v>432</v>
      </c>
      <c r="AC2507" s="107" t="s">
        <v>432</v>
      </c>
      <c r="AD2507" s="107" t="s">
        <v>432</v>
      </c>
      <c r="AE2507" s="107" t="s">
        <v>432</v>
      </c>
      <c r="AF2507" s="107" t="s">
        <v>432</v>
      </c>
      <c r="AG2507" s="107" t="s">
        <v>432</v>
      </c>
      <c r="AH2507" s="107" t="s">
        <v>432</v>
      </c>
      <c r="AI2507" s="107" t="s">
        <v>432</v>
      </c>
      <c r="AJ2507" s="107" t="s">
        <v>432</v>
      </c>
      <c r="AK2507" s="137" t="s">
        <v>432</v>
      </c>
      <c r="AL2507" s="601" t="s">
        <v>432</v>
      </c>
      <c r="AM2507" s="137" t="s">
        <v>432</v>
      </c>
      <c r="AN2507" s="137" t="s">
        <v>432</v>
      </c>
      <c r="AO2507" s="137" t="s">
        <v>432</v>
      </c>
      <c r="AP2507" s="137" t="s">
        <v>432</v>
      </c>
      <c r="AQ2507" s="137" t="s">
        <v>432</v>
      </c>
      <c r="AR2507" s="137" t="s">
        <v>432</v>
      </c>
      <c r="AS2507" s="137" t="s">
        <v>432</v>
      </c>
      <c r="AT2507" s="137" t="s">
        <v>432</v>
      </c>
      <c r="AU2507" s="137" t="s">
        <v>432</v>
      </c>
      <c r="AV2507" s="137" t="s">
        <v>432</v>
      </c>
      <c r="AW2507" s="137" t="s">
        <v>432</v>
      </c>
      <c r="AX2507" s="137" t="s">
        <v>432</v>
      </c>
      <c r="AY2507" s="137" t="s">
        <v>432</v>
      </c>
      <c r="AZ2507" s="137" t="s">
        <v>432</v>
      </c>
      <c r="BA2507" s="137" t="s">
        <v>432</v>
      </c>
      <c r="BB2507" s="239" t="str">
        <f t="shared" si="747"/>
        <v>Acidentes de trânsitox</v>
      </c>
      <c r="BC2507" s="239" t="str">
        <f t="shared" si="748"/>
        <v>Acidentes de trânsitoxainda não incorporado ao SisMob-BH</v>
      </c>
      <c r="BD2507" s="239" t="str">
        <f t="shared" si="749"/>
        <v>Acidentes de trânsitoainda não incorporado ao SisMob-BH</v>
      </c>
      <c r="BM2507" s="19"/>
      <c r="BN2507" s="19"/>
      <c r="BO2507" s="19"/>
    </row>
    <row r="2508" spans="1:67" ht="63.75" customHeight="1" x14ac:dyDescent="0.25">
      <c r="A2508" s="262" t="s">
        <v>432</v>
      </c>
      <c r="B2508" s="252" t="s">
        <v>742</v>
      </c>
      <c r="C2508" s="167" t="s">
        <v>432</v>
      </c>
      <c r="D2508" s="325" t="s">
        <v>409</v>
      </c>
      <c r="E2508" s="1496" t="s">
        <v>432</v>
      </c>
      <c r="F2508" s="12" t="s">
        <v>410</v>
      </c>
      <c r="G2508" s="167" t="s">
        <v>3879</v>
      </c>
      <c r="H2508" s="167" t="s">
        <v>432</v>
      </c>
      <c r="I2508" s="167" t="s">
        <v>432</v>
      </c>
      <c r="J2508" s="107" t="s">
        <v>432</v>
      </c>
      <c r="K2508" s="107" t="s">
        <v>432</v>
      </c>
      <c r="L2508" s="107" t="s">
        <v>432</v>
      </c>
      <c r="M2508" s="107" t="s">
        <v>432</v>
      </c>
      <c r="N2508" s="107" t="s">
        <v>432</v>
      </c>
      <c r="O2508" s="107" t="s">
        <v>432</v>
      </c>
      <c r="P2508" s="107" t="s">
        <v>432</v>
      </c>
      <c r="Q2508" s="107" t="s">
        <v>432</v>
      </c>
      <c r="R2508" s="107" t="s">
        <v>432</v>
      </c>
      <c r="S2508" s="109" t="s">
        <v>2209</v>
      </c>
      <c r="T2508" s="107" t="s">
        <v>432</v>
      </c>
      <c r="U2508" s="107" t="s">
        <v>432</v>
      </c>
      <c r="V2508" s="109" t="s">
        <v>2209</v>
      </c>
      <c r="W2508" s="107" t="s">
        <v>432</v>
      </c>
      <c r="X2508" s="107" t="s">
        <v>432</v>
      </c>
      <c r="Y2508" s="107" t="s">
        <v>432</v>
      </c>
      <c r="Z2508" s="107" t="s">
        <v>432</v>
      </c>
      <c r="AA2508" s="107" t="s">
        <v>432</v>
      </c>
      <c r="AB2508" s="107" t="s">
        <v>432</v>
      </c>
      <c r="AC2508" s="107" t="s">
        <v>432</v>
      </c>
      <c r="AD2508" s="107" t="s">
        <v>432</v>
      </c>
      <c r="AE2508" s="107" t="s">
        <v>432</v>
      </c>
      <c r="AF2508" s="107" t="s">
        <v>432</v>
      </c>
      <c r="AG2508" s="107" t="s">
        <v>432</v>
      </c>
      <c r="AH2508" s="107" t="s">
        <v>432</v>
      </c>
      <c r="AI2508" s="107" t="s">
        <v>432</v>
      </c>
      <c r="AJ2508" s="107" t="s">
        <v>432</v>
      </c>
      <c r="AK2508" s="137" t="s">
        <v>432</v>
      </c>
      <c r="AL2508" s="601" t="s">
        <v>432</v>
      </c>
      <c r="AM2508" s="137" t="s">
        <v>432</v>
      </c>
      <c r="AN2508" s="137" t="s">
        <v>432</v>
      </c>
      <c r="AO2508" s="137" t="s">
        <v>432</v>
      </c>
      <c r="AP2508" s="137" t="s">
        <v>432</v>
      </c>
      <c r="AQ2508" s="137" t="s">
        <v>432</v>
      </c>
      <c r="AR2508" s="137" t="s">
        <v>432</v>
      </c>
      <c r="AS2508" s="137" t="s">
        <v>432</v>
      </c>
      <c r="AT2508" s="137" t="s">
        <v>432</v>
      </c>
      <c r="AU2508" s="137" t="s">
        <v>432</v>
      </c>
      <c r="AV2508" s="137" t="s">
        <v>432</v>
      </c>
      <c r="AW2508" s="137" t="s">
        <v>432</v>
      </c>
      <c r="AX2508" s="137" t="s">
        <v>432</v>
      </c>
      <c r="AY2508" s="137" t="s">
        <v>432</v>
      </c>
      <c r="AZ2508" s="137" t="s">
        <v>432</v>
      </c>
      <c r="BA2508" s="137" t="s">
        <v>432</v>
      </c>
      <c r="BB2508" s="239" t="str">
        <f t="shared" si="747"/>
        <v>geralx</v>
      </c>
      <c r="BC2508" s="239" t="str">
        <f t="shared" si="748"/>
        <v>geralxx</v>
      </c>
      <c r="BD2508" s="239" t="str">
        <f t="shared" si="749"/>
        <v>geralx</v>
      </c>
      <c r="BM2508" s="19"/>
      <c r="BN2508" s="19"/>
      <c r="BO2508" s="19"/>
    </row>
    <row r="2509" spans="1:67" s="105" customFormat="1" ht="63.75" customHeight="1" x14ac:dyDescent="0.25">
      <c r="A2509" s="262" t="str">
        <f>'Q100b-totais'!B62</f>
        <v>8.10</v>
      </c>
      <c r="B2509" s="252" t="str">
        <f>'Q100b-totais'!C62</f>
        <v>Sistema de transporte coletivo com um todo</v>
      </c>
      <c r="C2509" s="167" t="s">
        <v>743</v>
      </c>
      <c r="D2509" s="325" t="s">
        <v>5088</v>
      </c>
      <c r="E2509" s="254" t="s">
        <v>1767</v>
      </c>
      <c r="F2509" s="252" t="s">
        <v>5091</v>
      </c>
      <c r="G2509" s="57" t="s">
        <v>3507</v>
      </c>
      <c r="H2509" s="167" t="s">
        <v>2408</v>
      </c>
      <c r="I2509" s="167" t="s">
        <v>432</v>
      </c>
      <c r="J2509" s="107" t="s">
        <v>432</v>
      </c>
      <c r="K2509" s="107" t="s">
        <v>432</v>
      </c>
      <c r="L2509" s="107" t="s">
        <v>432</v>
      </c>
      <c r="M2509" s="107" t="s">
        <v>432</v>
      </c>
      <c r="N2509" s="107" t="s">
        <v>432</v>
      </c>
      <c r="O2509" s="107" t="s">
        <v>432</v>
      </c>
      <c r="P2509" s="107" t="s">
        <v>432</v>
      </c>
      <c r="Q2509" s="107" t="s">
        <v>432</v>
      </c>
      <c r="R2509" s="107" t="s">
        <v>432</v>
      </c>
      <c r="S2509" s="109" t="s">
        <v>2209</v>
      </c>
      <c r="T2509" s="107" t="s">
        <v>432</v>
      </c>
      <c r="U2509" s="107" t="s">
        <v>432</v>
      </c>
      <c r="V2509" s="109" t="s">
        <v>2209</v>
      </c>
      <c r="W2509" s="107" t="s">
        <v>432</v>
      </c>
      <c r="X2509" s="107" t="s">
        <v>432</v>
      </c>
      <c r="Y2509" s="107" t="s">
        <v>432</v>
      </c>
      <c r="Z2509" s="107" t="s">
        <v>432</v>
      </c>
      <c r="AA2509" s="107" t="s">
        <v>432</v>
      </c>
      <c r="AB2509" s="179">
        <v>2006</v>
      </c>
      <c r="AC2509" s="107" t="s">
        <v>432</v>
      </c>
      <c r="AD2509" s="107" t="s">
        <v>432</v>
      </c>
      <c r="AE2509" s="107" t="s">
        <v>432</v>
      </c>
      <c r="AF2509" s="107" t="s">
        <v>432</v>
      </c>
      <c r="AG2509" s="107" t="s">
        <v>432</v>
      </c>
      <c r="AH2509" s="107" t="s">
        <v>432</v>
      </c>
      <c r="AI2509" s="107" t="s">
        <v>432</v>
      </c>
      <c r="AJ2509" s="107" t="s">
        <v>432</v>
      </c>
      <c r="AK2509" s="137" t="s">
        <v>432</v>
      </c>
      <c r="AL2509" s="601" t="s">
        <v>432</v>
      </c>
      <c r="AM2509" s="137" t="s">
        <v>432</v>
      </c>
      <c r="AN2509" s="137" t="s">
        <v>432</v>
      </c>
      <c r="AO2509" s="137" t="s">
        <v>432</v>
      </c>
      <c r="AP2509" s="137" t="s">
        <v>432</v>
      </c>
      <c r="AQ2509" s="137" t="s">
        <v>432</v>
      </c>
      <c r="AR2509" s="137" t="s">
        <v>432</v>
      </c>
      <c r="AS2509" s="137" t="s">
        <v>432</v>
      </c>
      <c r="AT2509" s="137" t="s">
        <v>432</v>
      </c>
      <c r="AU2509" s="137" t="s">
        <v>432</v>
      </c>
      <c r="AV2509" s="137" t="s">
        <v>432</v>
      </c>
      <c r="AW2509" s="137" t="s">
        <v>432</v>
      </c>
      <c r="AX2509" s="137" t="s">
        <v>432</v>
      </c>
      <c r="AY2509" s="137" t="s">
        <v>432</v>
      </c>
      <c r="AZ2509" s="137" t="s">
        <v>432</v>
      </c>
      <c r="BA2509" s="137" t="s">
        <v>432</v>
      </c>
      <c r="BB2509" s="239" t="str">
        <f t="shared" si="747"/>
        <v>Sistema de transporte coletivo com um todoacessibilidade</v>
      </c>
      <c r="BC2509" s="239" t="str">
        <f t="shared" si="748"/>
        <v>Sistema de transporte coletivo com um todoacessibilidadesigla/verbete</v>
      </c>
      <c r="BD2509" s="239" t="str">
        <f t="shared" si="749"/>
        <v>Sistema de transporte coletivo com um todosigla/verbete</v>
      </c>
      <c r="BM2509" s="1394"/>
      <c r="BN2509" s="1394"/>
      <c r="BO2509" s="1394"/>
    </row>
    <row r="2510" spans="1:67" s="105" customFormat="1" ht="51" x14ac:dyDescent="0.25">
      <c r="A2510" s="262" t="str">
        <f>'Q100b-totais'!B62</f>
        <v>8.10</v>
      </c>
      <c r="B2510" s="252" t="str">
        <f>'Q100b-totais'!C62</f>
        <v>Sistema de transporte coletivo com um todo</v>
      </c>
      <c r="C2510" s="167" t="s">
        <v>743</v>
      </c>
      <c r="D2510" s="325" t="s">
        <v>5089</v>
      </c>
      <c r="E2510" s="254" t="s">
        <v>1767</v>
      </c>
      <c r="F2510" s="252" t="s">
        <v>5090</v>
      </c>
      <c r="G2510" s="57" t="s">
        <v>3507</v>
      </c>
      <c r="H2510" s="167" t="s">
        <v>2408</v>
      </c>
      <c r="I2510" s="167" t="s">
        <v>432</v>
      </c>
      <c r="J2510" s="107" t="s">
        <v>432</v>
      </c>
      <c r="K2510" s="107" t="s">
        <v>432</v>
      </c>
      <c r="L2510" s="107" t="s">
        <v>432</v>
      </c>
      <c r="M2510" s="107" t="s">
        <v>432</v>
      </c>
      <c r="N2510" s="107" t="s">
        <v>432</v>
      </c>
      <c r="O2510" s="107" t="s">
        <v>432</v>
      </c>
      <c r="P2510" s="107" t="s">
        <v>432</v>
      </c>
      <c r="Q2510" s="107" t="s">
        <v>432</v>
      </c>
      <c r="R2510" s="107" t="s">
        <v>432</v>
      </c>
      <c r="S2510" s="109" t="s">
        <v>2209</v>
      </c>
      <c r="T2510" s="107" t="s">
        <v>432</v>
      </c>
      <c r="U2510" s="107" t="s">
        <v>432</v>
      </c>
      <c r="V2510" s="109" t="s">
        <v>2209</v>
      </c>
      <c r="W2510" s="107" t="s">
        <v>432</v>
      </c>
      <c r="X2510" s="107" t="s">
        <v>432</v>
      </c>
      <c r="Y2510" s="107" t="s">
        <v>432</v>
      </c>
      <c r="Z2510" s="107" t="s">
        <v>432</v>
      </c>
      <c r="AA2510" s="107" t="s">
        <v>432</v>
      </c>
      <c r="AB2510" s="179">
        <v>2007</v>
      </c>
      <c r="AC2510" s="107" t="s">
        <v>432</v>
      </c>
      <c r="AD2510" s="107" t="s">
        <v>432</v>
      </c>
      <c r="AE2510" s="107" t="s">
        <v>432</v>
      </c>
      <c r="AF2510" s="107" t="s">
        <v>432</v>
      </c>
      <c r="AG2510" s="107" t="s">
        <v>432</v>
      </c>
      <c r="AH2510" s="107" t="s">
        <v>432</v>
      </c>
      <c r="AI2510" s="107" t="s">
        <v>432</v>
      </c>
      <c r="AJ2510" s="107" t="s">
        <v>432</v>
      </c>
      <c r="AK2510" s="137" t="s">
        <v>432</v>
      </c>
      <c r="AL2510" s="601" t="s">
        <v>432</v>
      </c>
      <c r="AM2510" s="137" t="s">
        <v>432</v>
      </c>
      <c r="AN2510" s="137" t="s">
        <v>432</v>
      </c>
      <c r="AO2510" s="137" t="s">
        <v>432</v>
      </c>
      <c r="AP2510" s="137" t="s">
        <v>432</v>
      </c>
      <c r="AQ2510" s="137" t="s">
        <v>432</v>
      </c>
      <c r="AR2510" s="137" t="s">
        <v>432</v>
      </c>
      <c r="AS2510" s="137" t="s">
        <v>432</v>
      </c>
      <c r="AT2510" s="137" t="s">
        <v>432</v>
      </c>
      <c r="AU2510" s="137" t="s">
        <v>432</v>
      </c>
      <c r="AV2510" s="137" t="s">
        <v>432</v>
      </c>
      <c r="AW2510" s="137" t="s">
        <v>432</v>
      </c>
      <c r="AX2510" s="137" t="s">
        <v>432</v>
      </c>
      <c r="AY2510" s="137" t="s">
        <v>432</v>
      </c>
      <c r="AZ2510" s="137" t="s">
        <v>432</v>
      </c>
      <c r="BA2510" s="137" t="s">
        <v>432</v>
      </c>
      <c r="BB2510" s="239" t="str">
        <f t="shared" si="747"/>
        <v>Sistema de transporte coletivo com um todoacessibilidade</v>
      </c>
      <c r="BC2510" s="239" t="str">
        <f t="shared" si="748"/>
        <v>Sistema de transporte coletivo com um todoacessibilidadesigla/verbete</v>
      </c>
      <c r="BD2510" s="239" t="str">
        <f t="shared" si="749"/>
        <v>Sistema de transporte coletivo com um todosigla/verbete</v>
      </c>
      <c r="BM2510" s="1394"/>
      <c r="BN2510" s="1394"/>
      <c r="BO2510" s="1394"/>
    </row>
    <row r="2511" spans="1:67" s="1" customFormat="1" ht="67.5" customHeight="1" x14ac:dyDescent="0.25">
      <c r="A2511" s="275" t="str">
        <f>'Q100b-totais'!B17</f>
        <v>2.2</v>
      </c>
      <c r="B2511" s="1205" t="str">
        <f>'Q100b-totais'!C17</f>
        <v>Frota e condutores de veículos automotores</v>
      </c>
      <c r="C2511" s="167" t="s">
        <v>432</v>
      </c>
      <c r="D2511" s="324" t="s">
        <v>3561</v>
      </c>
      <c r="E2511" s="254" t="s">
        <v>1767</v>
      </c>
      <c r="F2511" s="1127" t="s">
        <v>3564</v>
      </c>
      <c r="G2511" s="57" t="s">
        <v>3507</v>
      </c>
      <c r="H2511" s="167" t="s">
        <v>2408</v>
      </c>
      <c r="I2511" s="167" t="s">
        <v>432</v>
      </c>
      <c r="J2511" s="107" t="s">
        <v>432</v>
      </c>
      <c r="K2511" s="107" t="s">
        <v>432</v>
      </c>
      <c r="L2511" s="107" t="s">
        <v>432</v>
      </c>
      <c r="M2511" s="107" t="s">
        <v>432</v>
      </c>
      <c r="N2511" s="107" t="s">
        <v>432</v>
      </c>
      <c r="O2511" s="107" t="s">
        <v>432</v>
      </c>
      <c r="P2511" s="107" t="s">
        <v>432</v>
      </c>
      <c r="Q2511" s="107" t="s">
        <v>432</v>
      </c>
      <c r="R2511" s="107" t="s">
        <v>432</v>
      </c>
      <c r="S2511" s="109" t="s">
        <v>2209</v>
      </c>
      <c r="T2511" s="107" t="s">
        <v>432</v>
      </c>
      <c r="U2511" s="107" t="s">
        <v>432</v>
      </c>
      <c r="V2511" s="109" t="s">
        <v>2209</v>
      </c>
      <c r="W2511" s="107" t="s">
        <v>432</v>
      </c>
      <c r="X2511" s="107" t="s">
        <v>432</v>
      </c>
      <c r="Y2511" s="107" t="s">
        <v>432</v>
      </c>
      <c r="Z2511" s="107" t="s">
        <v>432</v>
      </c>
      <c r="AA2511" s="107" t="s">
        <v>432</v>
      </c>
      <c r="AB2511" s="179">
        <v>2008</v>
      </c>
      <c r="AC2511" s="107" t="s">
        <v>432</v>
      </c>
      <c r="AD2511" s="107" t="s">
        <v>432</v>
      </c>
      <c r="AE2511" s="107" t="s">
        <v>432</v>
      </c>
      <c r="AF2511" s="107" t="s">
        <v>432</v>
      </c>
      <c r="AG2511" s="107" t="s">
        <v>432</v>
      </c>
      <c r="AH2511" s="107" t="s">
        <v>432</v>
      </c>
      <c r="AI2511" s="107" t="s">
        <v>432</v>
      </c>
      <c r="AJ2511" s="107" t="s">
        <v>432</v>
      </c>
      <c r="AK2511" s="137" t="s">
        <v>432</v>
      </c>
      <c r="AL2511" s="601" t="s">
        <v>432</v>
      </c>
      <c r="AM2511" s="137" t="s">
        <v>432</v>
      </c>
      <c r="AN2511" s="137" t="s">
        <v>432</v>
      </c>
      <c r="AO2511" s="137" t="s">
        <v>432</v>
      </c>
      <c r="AP2511" s="137" t="s">
        <v>432</v>
      </c>
      <c r="AQ2511" s="137" t="s">
        <v>432</v>
      </c>
      <c r="AR2511" s="137" t="s">
        <v>432</v>
      </c>
      <c r="AS2511" s="137" t="s">
        <v>432</v>
      </c>
      <c r="AT2511" s="137" t="s">
        <v>432</v>
      </c>
      <c r="AU2511" s="137" t="s">
        <v>432</v>
      </c>
      <c r="AV2511" s="137" t="s">
        <v>432</v>
      </c>
      <c r="AW2511" s="137" t="s">
        <v>432</v>
      </c>
      <c r="AX2511" s="137" t="s">
        <v>432</v>
      </c>
      <c r="AY2511" s="137" t="s">
        <v>432</v>
      </c>
      <c r="AZ2511" s="137" t="s">
        <v>432</v>
      </c>
      <c r="BA2511" s="137" t="s">
        <v>432</v>
      </c>
      <c r="BB2511" s="239" t="str">
        <f>B2511&amp;C2511</f>
        <v>Frota e condutores de veículos automotoresx</v>
      </c>
      <c r="BC2511" s="239" t="str">
        <f>B2511&amp;C2511&amp;H2511</f>
        <v>Frota e condutores de veículos automotoresxsigla/verbete</v>
      </c>
      <c r="BD2511" s="239" t="str">
        <f>B2511&amp;H2511</f>
        <v>Frota e condutores de veículos automotoressigla/verbete</v>
      </c>
    </row>
    <row r="2512" spans="1:67" s="1" customFormat="1" ht="58.5" customHeight="1" x14ac:dyDescent="0.25">
      <c r="A2512" s="275" t="str">
        <f>'Q100b-totais'!B17</f>
        <v>2.2</v>
      </c>
      <c r="B2512" s="54" t="str">
        <f>'Q100b-totais'!C17</f>
        <v>Frota e condutores de veículos automotores</v>
      </c>
      <c r="C2512" s="229" t="s">
        <v>432</v>
      </c>
      <c r="D2512" s="977" t="s">
        <v>3562</v>
      </c>
      <c r="E2512" s="1402" t="s">
        <v>1767</v>
      </c>
      <c r="F2512" s="14" t="s">
        <v>3565</v>
      </c>
      <c r="G2512" s="230" t="s">
        <v>3507</v>
      </c>
      <c r="H2512" s="167" t="s">
        <v>2408</v>
      </c>
      <c r="I2512" s="167" t="s">
        <v>432</v>
      </c>
      <c r="J2512" s="107" t="s">
        <v>432</v>
      </c>
      <c r="K2512" s="107" t="s">
        <v>432</v>
      </c>
      <c r="L2512" s="107" t="s">
        <v>432</v>
      </c>
      <c r="M2512" s="107" t="s">
        <v>432</v>
      </c>
      <c r="N2512" s="107" t="s">
        <v>432</v>
      </c>
      <c r="O2512" s="107" t="s">
        <v>432</v>
      </c>
      <c r="P2512" s="107" t="s">
        <v>432</v>
      </c>
      <c r="Q2512" s="107" t="s">
        <v>432</v>
      </c>
      <c r="R2512" s="107" t="s">
        <v>432</v>
      </c>
      <c r="S2512" s="109" t="s">
        <v>2209</v>
      </c>
      <c r="T2512" s="107" t="s">
        <v>432</v>
      </c>
      <c r="U2512" s="107" t="s">
        <v>432</v>
      </c>
      <c r="V2512" s="109" t="s">
        <v>2209</v>
      </c>
      <c r="W2512" s="107" t="s">
        <v>432</v>
      </c>
      <c r="X2512" s="107" t="s">
        <v>432</v>
      </c>
      <c r="Y2512" s="107" t="s">
        <v>432</v>
      </c>
      <c r="Z2512" s="107" t="s">
        <v>432</v>
      </c>
      <c r="AA2512" s="107" t="s">
        <v>432</v>
      </c>
      <c r="AB2512" s="179">
        <v>2008</v>
      </c>
      <c r="AC2512" s="107" t="s">
        <v>432</v>
      </c>
      <c r="AD2512" s="107" t="s">
        <v>432</v>
      </c>
      <c r="AE2512" s="107" t="s">
        <v>432</v>
      </c>
      <c r="AF2512" s="107" t="s">
        <v>432</v>
      </c>
      <c r="AG2512" s="107" t="s">
        <v>432</v>
      </c>
      <c r="AH2512" s="107" t="s">
        <v>432</v>
      </c>
      <c r="AI2512" s="107" t="s">
        <v>432</v>
      </c>
      <c r="AJ2512" s="107" t="s">
        <v>432</v>
      </c>
      <c r="AK2512" s="137" t="s">
        <v>432</v>
      </c>
      <c r="AL2512" s="601" t="s">
        <v>432</v>
      </c>
      <c r="AM2512" s="137" t="s">
        <v>432</v>
      </c>
      <c r="AN2512" s="137" t="s">
        <v>432</v>
      </c>
      <c r="AO2512" s="137" t="s">
        <v>432</v>
      </c>
      <c r="AP2512" s="137" t="s">
        <v>432</v>
      </c>
      <c r="AQ2512" s="137" t="s">
        <v>432</v>
      </c>
      <c r="AR2512" s="137" t="s">
        <v>432</v>
      </c>
      <c r="AS2512" s="137" t="s">
        <v>432</v>
      </c>
      <c r="AT2512" s="137" t="s">
        <v>432</v>
      </c>
      <c r="AU2512" s="137" t="s">
        <v>432</v>
      </c>
      <c r="AV2512" s="137" t="s">
        <v>432</v>
      </c>
      <c r="AW2512" s="137" t="s">
        <v>432</v>
      </c>
      <c r="AX2512" s="137" t="s">
        <v>432</v>
      </c>
      <c r="AY2512" s="137" t="s">
        <v>432</v>
      </c>
      <c r="AZ2512" s="137" t="s">
        <v>432</v>
      </c>
      <c r="BA2512" s="137" t="s">
        <v>432</v>
      </c>
      <c r="BB2512" s="239" t="e">
        <f>#REF!&amp;C2512</f>
        <v>#REF!</v>
      </c>
      <c r="BC2512" s="239" t="e">
        <f>#REF!&amp;C2512&amp;H2512</f>
        <v>#REF!</v>
      </c>
      <c r="BD2512" s="239" t="e">
        <f>#REF!&amp;H2512</f>
        <v>#REF!</v>
      </c>
    </row>
    <row r="2513" spans="1:67" s="1" customFormat="1" ht="101.25" customHeight="1" x14ac:dyDescent="0.25">
      <c r="A2513" s="275" t="str">
        <f>'Q100b-totais'!B68</f>
        <v>9.5</v>
      </c>
      <c r="B2513" s="54" t="str">
        <f>'Q100b-totais'!C68</f>
        <v>Sinalização semafórica</v>
      </c>
      <c r="C2513" s="229" t="s">
        <v>743</v>
      </c>
      <c r="D2513" s="325" t="s">
        <v>6180</v>
      </c>
      <c r="E2513" s="509" t="s">
        <v>1767</v>
      </c>
      <c r="F2513" s="1172" t="s">
        <v>6194</v>
      </c>
      <c r="G2513" s="230" t="s">
        <v>3507</v>
      </c>
      <c r="H2513" s="167" t="s">
        <v>2408</v>
      </c>
      <c r="I2513" s="167" t="s">
        <v>432</v>
      </c>
      <c r="J2513" s="107" t="s">
        <v>432</v>
      </c>
      <c r="K2513" s="107" t="s">
        <v>432</v>
      </c>
      <c r="L2513" s="107" t="s">
        <v>432</v>
      </c>
      <c r="M2513" s="107" t="s">
        <v>432</v>
      </c>
      <c r="N2513" s="107" t="s">
        <v>432</v>
      </c>
      <c r="O2513" s="107" t="s">
        <v>432</v>
      </c>
      <c r="P2513" s="107" t="s">
        <v>432</v>
      </c>
      <c r="Q2513" s="107" t="s">
        <v>432</v>
      </c>
      <c r="R2513" s="107" t="s">
        <v>432</v>
      </c>
      <c r="S2513" s="109" t="s">
        <v>2209</v>
      </c>
      <c r="T2513" s="107" t="s">
        <v>432</v>
      </c>
      <c r="U2513" s="107" t="s">
        <v>432</v>
      </c>
      <c r="V2513" s="109" t="s">
        <v>2209</v>
      </c>
      <c r="W2513" s="107" t="s">
        <v>432</v>
      </c>
      <c r="X2513" s="107" t="s">
        <v>432</v>
      </c>
      <c r="Y2513" s="107" t="s">
        <v>432</v>
      </c>
      <c r="Z2513" s="107" t="s">
        <v>432</v>
      </c>
      <c r="AA2513" s="107" t="s">
        <v>432</v>
      </c>
      <c r="AB2513" s="179">
        <v>2008</v>
      </c>
      <c r="AC2513" s="107" t="s">
        <v>432</v>
      </c>
      <c r="AD2513" s="107" t="s">
        <v>432</v>
      </c>
      <c r="AE2513" s="107" t="s">
        <v>432</v>
      </c>
      <c r="AF2513" s="107" t="s">
        <v>432</v>
      </c>
      <c r="AG2513" s="107" t="s">
        <v>432</v>
      </c>
      <c r="AH2513" s="107" t="s">
        <v>432</v>
      </c>
      <c r="AI2513" s="107" t="s">
        <v>432</v>
      </c>
      <c r="AJ2513" s="107" t="s">
        <v>432</v>
      </c>
      <c r="AK2513" s="137" t="s">
        <v>432</v>
      </c>
      <c r="AL2513" s="601" t="s">
        <v>432</v>
      </c>
      <c r="AM2513" s="137" t="s">
        <v>432</v>
      </c>
      <c r="AN2513" s="137" t="s">
        <v>432</v>
      </c>
      <c r="AO2513" s="137" t="s">
        <v>432</v>
      </c>
      <c r="AP2513" s="137" t="s">
        <v>432</v>
      </c>
      <c r="AQ2513" s="137" t="s">
        <v>432</v>
      </c>
      <c r="AR2513" s="137" t="s">
        <v>432</v>
      </c>
      <c r="AS2513" s="137" t="s">
        <v>432</v>
      </c>
      <c r="AT2513" s="137" t="s">
        <v>432</v>
      </c>
      <c r="AU2513" s="137" t="s">
        <v>432</v>
      </c>
      <c r="AV2513" s="137" t="s">
        <v>432</v>
      </c>
      <c r="AW2513" s="137" t="s">
        <v>432</v>
      </c>
      <c r="AX2513" s="137" t="s">
        <v>432</v>
      </c>
      <c r="AY2513" s="137" t="s">
        <v>432</v>
      </c>
      <c r="AZ2513" s="137" t="s">
        <v>432</v>
      </c>
      <c r="BA2513" s="137" t="s">
        <v>432</v>
      </c>
      <c r="BB2513" s="239" t="e">
        <f>#REF!&amp;C2513</f>
        <v>#REF!</v>
      </c>
      <c r="BC2513" s="239" t="e">
        <f>#REF!&amp;C2513&amp;H2513</f>
        <v>#REF!</v>
      </c>
      <c r="BD2513" s="239" t="e">
        <f>#REF!&amp;H2513</f>
        <v>#REF!</v>
      </c>
    </row>
    <row r="2514" spans="1:67" s="1" customFormat="1" ht="25.5" x14ac:dyDescent="0.25">
      <c r="A2514" s="275" t="str">
        <f>'Q100b-totais'!B21</f>
        <v>2.6</v>
      </c>
      <c r="B2514" s="54" t="str">
        <f>'Q100b-totais'!C21</f>
        <v>Cidades da RMBH</v>
      </c>
      <c r="C2514" s="167" t="s">
        <v>432</v>
      </c>
      <c r="D2514" s="323" t="s">
        <v>1766</v>
      </c>
      <c r="E2514" s="1491" t="s">
        <v>1766</v>
      </c>
      <c r="F2514" s="468" t="str">
        <f>pend!C215</f>
        <v>município da RMBH (faltando completar)</v>
      </c>
      <c r="G2514" s="230" t="s">
        <v>3507</v>
      </c>
      <c r="H2514" s="167" t="s">
        <v>2408</v>
      </c>
      <c r="I2514" s="167" t="s">
        <v>432</v>
      </c>
      <c r="J2514" s="107" t="s">
        <v>432</v>
      </c>
      <c r="K2514" s="107" t="s">
        <v>432</v>
      </c>
      <c r="L2514" s="107" t="s">
        <v>432</v>
      </c>
      <c r="M2514" s="107" t="s">
        <v>432</v>
      </c>
      <c r="N2514" s="107" t="s">
        <v>432</v>
      </c>
      <c r="O2514" s="107" t="s">
        <v>432</v>
      </c>
      <c r="P2514" s="107" t="s">
        <v>432</v>
      </c>
      <c r="Q2514" s="107" t="s">
        <v>432</v>
      </c>
      <c r="R2514" s="107" t="s">
        <v>432</v>
      </c>
      <c r="S2514" s="109" t="s">
        <v>2209</v>
      </c>
      <c r="T2514" s="107" t="s">
        <v>432</v>
      </c>
      <c r="U2514" s="107" t="s">
        <v>432</v>
      </c>
      <c r="V2514" s="109" t="s">
        <v>2209</v>
      </c>
      <c r="W2514" s="107" t="s">
        <v>432</v>
      </c>
      <c r="X2514" s="107" t="s">
        <v>432</v>
      </c>
      <c r="Y2514" s="107" t="s">
        <v>432</v>
      </c>
      <c r="Z2514" s="107" t="s">
        <v>432</v>
      </c>
      <c r="AA2514" s="107" t="s">
        <v>432</v>
      </c>
      <c r="AB2514" s="179">
        <v>2008</v>
      </c>
      <c r="AC2514" s="107" t="s">
        <v>432</v>
      </c>
      <c r="AD2514" s="107" t="s">
        <v>432</v>
      </c>
      <c r="AE2514" s="107" t="s">
        <v>432</v>
      </c>
      <c r="AF2514" s="107" t="s">
        <v>432</v>
      </c>
      <c r="AG2514" s="107" t="s">
        <v>432</v>
      </c>
      <c r="AH2514" s="107" t="s">
        <v>432</v>
      </c>
      <c r="AI2514" s="107" t="s">
        <v>432</v>
      </c>
      <c r="AJ2514" s="107" t="s">
        <v>432</v>
      </c>
      <c r="AK2514" s="137" t="s">
        <v>432</v>
      </c>
      <c r="AL2514" s="601" t="s">
        <v>432</v>
      </c>
      <c r="AM2514" s="137" t="s">
        <v>432</v>
      </c>
      <c r="AN2514" s="137" t="s">
        <v>432</v>
      </c>
      <c r="AO2514" s="137" t="s">
        <v>432</v>
      </c>
      <c r="AP2514" s="137" t="s">
        <v>432</v>
      </c>
      <c r="AQ2514" s="137" t="s">
        <v>432</v>
      </c>
      <c r="AR2514" s="137" t="s">
        <v>432</v>
      </c>
      <c r="AS2514" s="137" t="s">
        <v>432</v>
      </c>
      <c r="AT2514" s="137" t="s">
        <v>432</v>
      </c>
      <c r="AU2514" s="137" t="s">
        <v>432</v>
      </c>
      <c r="AV2514" s="137" t="s">
        <v>432</v>
      </c>
      <c r="AW2514" s="137" t="s">
        <v>432</v>
      </c>
      <c r="AX2514" s="137" t="s">
        <v>432</v>
      </c>
      <c r="AY2514" s="137" t="s">
        <v>432</v>
      </c>
      <c r="AZ2514" s="137" t="s">
        <v>432</v>
      </c>
      <c r="BA2514" s="137" t="s">
        <v>432</v>
      </c>
      <c r="BB2514" s="239" t="str">
        <f t="shared" ref="BB2514" si="761">B2514&amp;C2514</f>
        <v>Cidades da RMBHx</v>
      </c>
      <c r="BC2514" s="239" t="str">
        <f t="shared" ref="BC2514" si="762">B2514&amp;C2514&amp;H2514</f>
        <v>Cidades da RMBHxsigla/verbete</v>
      </c>
      <c r="BD2514" s="239" t="str">
        <f t="shared" ref="BD2514" si="763">B2514&amp;H2514</f>
        <v>Cidades da RMBHsigla/verbete</v>
      </c>
    </row>
    <row r="2515" spans="1:67" ht="63.75" customHeight="1" x14ac:dyDescent="0.25">
      <c r="A2515" s="262" t="s">
        <v>432</v>
      </c>
      <c r="B2515" s="252" t="s">
        <v>742</v>
      </c>
      <c r="C2515" s="167" t="s">
        <v>432</v>
      </c>
      <c r="D2515" s="325" t="s">
        <v>411</v>
      </c>
      <c r="E2515" s="1496" t="s">
        <v>432</v>
      </c>
      <c r="F2515" s="12" t="s">
        <v>412</v>
      </c>
      <c r="G2515" s="167" t="s">
        <v>3879</v>
      </c>
      <c r="H2515" s="167" t="s">
        <v>432</v>
      </c>
      <c r="I2515" s="167" t="s">
        <v>432</v>
      </c>
      <c r="J2515" s="107" t="s">
        <v>432</v>
      </c>
      <c r="K2515" s="107" t="s">
        <v>432</v>
      </c>
      <c r="L2515" s="107" t="s">
        <v>432</v>
      </c>
      <c r="M2515" s="107" t="s">
        <v>432</v>
      </c>
      <c r="N2515" s="107" t="s">
        <v>432</v>
      </c>
      <c r="O2515" s="107" t="s">
        <v>432</v>
      </c>
      <c r="P2515" s="107" t="s">
        <v>432</v>
      </c>
      <c r="Q2515" s="107" t="s">
        <v>432</v>
      </c>
      <c r="R2515" s="107" t="s">
        <v>432</v>
      </c>
      <c r="S2515" s="109" t="s">
        <v>2209</v>
      </c>
      <c r="T2515" s="107" t="s">
        <v>432</v>
      </c>
      <c r="U2515" s="107" t="s">
        <v>432</v>
      </c>
      <c r="V2515" s="109" t="s">
        <v>2209</v>
      </c>
      <c r="W2515" s="107" t="s">
        <v>432</v>
      </c>
      <c r="X2515" s="107" t="s">
        <v>432</v>
      </c>
      <c r="Y2515" s="107" t="s">
        <v>432</v>
      </c>
      <c r="Z2515" s="107" t="s">
        <v>432</v>
      </c>
      <c r="AA2515" s="107" t="s">
        <v>432</v>
      </c>
      <c r="AB2515" s="107" t="s">
        <v>432</v>
      </c>
      <c r="AC2515" s="107" t="s">
        <v>432</v>
      </c>
      <c r="AD2515" s="107" t="s">
        <v>432</v>
      </c>
      <c r="AE2515" s="107" t="s">
        <v>432</v>
      </c>
      <c r="AF2515" s="107" t="s">
        <v>432</v>
      </c>
      <c r="AG2515" s="107" t="s">
        <v>432</v>
      </c>
      <c r="AH2515" s="107" t="s">
        <v>432</v>
      </c>
      <c r="AI2515" s="107" t="s">
        <v>432</v>
      </c>
      <c r="AJ2515" s="107" t="s">
        <v>432</v>
      </c>
      <c r="AK2515" s="137" t="s">
        <v>432</v>
      </c>
      <c r="AL2515" s="601" t="s">
        <v>432</v>
      </c>
      <c r="AM2515" s="137" t="s">
        <v>432</v>
      </c>
      <c r="AN2515" s="137" t="s">
        <v>432</v>
      </c>
      <c r="AO2515" s="137" t="s">
        <v>432</v>
      </c>
      <c r="AP2515" s="137" t="s">
        <v>432</v>
      </c>
      <c r="AQ2515" s="137" t="s">
        <v>432</v>
      </c>
      <c r="AR2515" s="137" t="s">
        <v>432</v>
      </c>
      <c r="AS2515" s="137" t="s">
        <v>432</v>
      </c>
      <c r="AT2515" s="137" t="s">
        <v>432</v>
      </c>
      <c r="AU2515" s="137" t="s">
        <v>432</v>
      </c>
      <c r="AV2515" s="137" t="s">
        <v>432</v>
      </c>
      <c r="AW2515" s="137" t="s">
        <v>432</v>
      </c>
      <c r="AX2515" s="137" t="s">
        <v>432</v>
      </c>
      <c r="AY2515" s="137" t="s">
        <v>432</v>
      </c>
      <c r="AZ2515" s="137" t="s">
        <v>432</v>
      </c>
      <c r="BA2515" s="137" t="s">
        <v>432</v>
      </c>
      <c r="BB2515" s="239" t="str">
        <f t="shared" si="747"/>
        <v>geralx</v>
      </c>
      <c r="BC2515" s="239" t="str">
        <f t="shared" si="748"/>
        <v>geralxx</v>
      </c>
      <c r="BD2515" s="239" t="str">
        <f t="shared" si="749"/>
        <v>geralx</v>
      </c>
      <c r="BM2515" s="19"/>
      <c r="BN2515" s="19"/>
      <c r="BO2515" s="19"/>
    </row>
    <row r="2516" spans="1:67" ht="25.5" x14ac:dyDescent="0.25">
      <c r="A2516" s="262" t="s">
        <v>432</v>
      </c>
      <c r="B2516" s="252" t="s">
        <v>742</v>
      </c>
      <c r="C2516" s="167" t="s">
        <v>432</v>
      </c>
      <c r="D2516" s="324" t="s">
        <v>413</v>
      </c>
      <c r="E2516" s="1496" t="s">
        <v>432</v>
      </c>
      <c r="F2516" s="12" t="s">
        <v>414</v>
      </c>
      <c r="G2516" s="167" t="s">
        <v>3879</v>
      </c>
      <c r="H2516" s="167" t="s">
        <v>432</v>
      </c>
      <c r="I2516" s="167" t="s">
        <v>432</v>
      </c>
      <c r="J2516" s="107" t="s">
        <v>432</v>
      </c>
      <c r="K2516" s="107" t="s">
        <v>432</v>
      </c>
      <c r="L2516" s="107" t="s">
        <v>432</v>
      </c>
      <c r="M2516" s="107" t="s">
        <v>432</v>
      </c>
      <c r="N2516" s="107" t="s">
        <v>432</v>
      </c>
      <c r="O2516" s="107" t="s">
        <v>432</v>
      </c>
      <c r="P2516" s="107" t="s">
        <v>432</v>
      </c>
      <c r="Q2516" s="107" t="s">
        <v>432</v>
      </c>
      <c r="R2516" s="107" t="s">
        <v>432</v>
      </c>
      <c r="S2516" s="109" t="s">
        <v>2209</v>
      </c>
      <c r="T2516" s="107" t="s">
        <v>432</v>
      </c>
      <c r="U2516" s="107" t="s">
        <v>432</v>
      </c>
      <c r="V2516" s="109" t="s">
        <v>2209</v>
      </c>
      <c r="W2516" s="107" t="s">
        <v>432</v>
      </c>
      <c r="X2516" s="107" t="s">
        <v>432</v>
      </c>
      <c r="Y2516" s="107" t="s">
        <v>432</v>
      </c>
      <c r="Z2516" s="107" t="s">
        <v>432</v>
      </c>
      <c r="AA2516" s="107" t="s">
        <v>432</v>
      </c>
      <c r="AB2516" s="107" t="s">
        <v>432</v>
      </c>
      <c r="AC2516" s="107" t="s">
        <v>432</v>
      </c>
      <c r="AD2516" s="107" t="s">
        <v>432</v>
      </c>
      <c r="AE2516" s="107" t="s">
        <v>432</v>
      </c>
      <c r="AF2516" s="107" t="s">
        <v>432</v>
      </c>
      <c r="AG2516" s="107" t="s">
        <v>432</v>
      </c>
      <c r="AH2516" s="107" t="s">
        <v>432</v>
      </c>
      <c r="AI2516" s="107" t="s">
        <v>432</v>
      </c>
      <c r="AJ2516" s="107" t="s">
        <v>432</v>
      </c>
      <c r="AK2516" s="137" t="s">
        <v>432</v>
      </c>
      <c r="AL2516" s="601" t="s">
        <v>432</v>
      </c>
      <c r="AM2516" s="137" t="s">
        <v>432</v>
      </c>
      <c r="AN2516" s="137" t="s">
        <v>432</v>
      </c>
      <c r="AO2516" s="137" t="s">
        <v>432</v>
      </c>
      <c r="AP2516" s="137" t="s">
        <v>432</v>
      </c>
      <c r="AQ2516" s="137" t="s">
        <v>432</v>
      </c>
      <c r="AR2516" s="137" t="s">
        <v>432</v>
      </c>
      <c r="AS2516" s="137" t="s">
        <v>432</v>
      </c>
      <c r="AT2516" s="137" t="s">
        <v>432</v>
      </c>
      <c r="AU2516" s="137" t="s">
        <v>432</v>
      </c>
      <c r="AV2516" s="137" t="s">
        <v>432</v>
      </c>
      <c r="AW2516" s="137" t="s">
        <v>432</v>
      </c>
      <c r="AX2516" s="137" t="s">
        <v>432</v>
      </c>
      <c r="AY2516" s="137" t="s">
        <v>432</v>
      </c>
      <c r="AZ2516" s="137" t="s">
        <v>432</v>
      </c>
      <c r="BA2516" s="137" t="s">
        <v>432</v>
      </c>
      <c r="BB2516" s="239" t="str">
        <f t="shared" si="747"/>
        <v>geralx</v>
      </c>
      <c r="BC2516" s="239" t="str">
        <f t="shared" si="748"/>
        <v>geralxx</v>
      </c>
      <c r="BD2516" s="239" t="str">
        <f t="shared" si="749"/>
        <v>geralx</v>
      </c>
      <c r="BM2516" s="19"/>
      <c r="BN2516" s="19"/>
      <c r="BO2516" s="19"/>
    </row>
    <row r="2517" spans="1:67" s="1" customFormat="1" ht="51" x14ac:dyDescent="0.25">
      <c r="A2517" s="275" t="str">
        <f>'Q100b-totais'!$B$20</f>
        <v>2.5</v>
      </c>
      <c r="B2517" s="54" t="str">
        <f>'Q100b-totais'!$C$20</f>
        <v>Distribuição modal em pesquisas origem/destino</v>
      </c>
      <c r="C2517" s="167" t="s">
        <v>432</v>
      </c>
      <c r="D2517" s="324" t="s">
        <v>415</v>
      </c>
      <c r="E2517" s="254" t="s">
        <v>432</v>
      </c>
      <c r="F2517" s="1205" t="s">
        <v>865</v>
      </c>
      <c r="G2517" s="230" t="s">
        <v>3507</v>
      </c>
      <c r="H2517" s="167" t="s">
        <v>2408</v>
      </c>
      <c r="I2517" s="172" t="s">
        <v>432</v>
      </c>
      <c r="J2517" s="109" t="s">
        <v>432</v>
      </c>
      <c r="K2517" s="109" t="s">
        <v>432</v>
      </c>
      <c r="L2517" s="109" t="s">
        <v>432</v>
      </c>
      <c r="M2517" s="109" t="s">
        <v>432</v>
      </c>
      <c r="N2517" s="109" t="s">
        <v>432</v>
      </c>
      <c r="O2517" s="109" t="s">
        <v>432</v>
      </c>
      <c r="P2517" s="109" t="s">
        <v>432</v>
      </c>
      <c r="Q2517" s="109" t="s">
        <v>432</v>
      </c>
      <c r="R2517" s="109" t="s">
        <v>432</v>
      </c>
      <c r="S2517" s="109" t="s">
        <v>2209</v>
      </c>
      <c r="T2517" s="109" t="s">
        <v>432</v>
      </c>
      <c r="U2517" s="109" t="s">
        <v>432</v>
      </c>
      <c r="V2517" s="109" t="s">
        <v>2209</v>
      </c>
      <c r="W2517" s="109" t="s">
        <v>432</v>
      </c>
      <c r="X2517" s="109" t="s">
        <v>432</v>
      </c>
      <c r="Y2517" s="109" t="s">
        <v>432</v>
      </c>
      <c r="Z2517" s="109" t="s">
        <v>432</v>
      </c>
      <c r="AA2517" s="109" t="s">
        <v>432</v>
      </c>
      <c r="AB2517" s="109" t="s">
        <v>432</v>
      </c>
      <c r="AC2517" s="109" t="s">
        <v>432</v>
      </c>
      <c r="AD2517" s="109" t="s">
        <v>432</v>
      </c>
      <c r="AE2517" s="109" t="s">
        <v>432</v>
      </c>
      <c r="AF2517" s="109" t="s">
        <v>432</v>
      </c>
      <c r="AG2517" s="109" t="s">
        <v>432</v>
      </c>
      <c r="AH2517" s="109" t="s">
        <v>432</v>
      </c>
      <c r="AI2517" s="109" t="s">
        <v>432</v>
      </c>
      <c r="AJ2517" s="109" t="s">
        <v>432</v>
      </c>
      <c r="AK2517" s="137" t="s">
        <v>432</v>
      </c>
      <c r="AL2517" s="601" t="s">
        <v>432</v>
      </c>
      <c r="AM2517" s="137" t="s">
        <v>432</v>
      </c>
      <c r="AN2517" s="137" t="s">
        <v>432</v>
      </c>
      <c r="AO2517" s="137" t="s">
        <v>432</v>
      </c>
      <c r="AP2517" s="137" t="s">
        <v>432</v>
      </c>
      <c r="AQ2517" s="137" t="s">
        <v>432</v>
      </c>
      <c r="AR2517" s="137" t="s">
        <v>432</v>
      </c>
      <c r="AS2517" s="137" t="s">
        <v>432</v>
      </c>
      <c r="AT2517" s="137" t="s">
        <v>432</v>
      </c>
      <c r="AU2517" s="137" t="s">
        <v>432</v>
      </c>
      <c r="AV2517" s="137" t="s">
        <v>432</v>
      </c>
      <c r="AW2517" s="137" t="s">
        <v>432</v>
      </c>
      <c r="AX2517" s="137" t="s">
        <v>432</v>
      </c>
      <c r="AY2517" s="137" t="s">
        <v>432</v>
      </c>
      <c r="AZ2517" s="137" t="s">
        <v>432</v>
      </c>
      <c r="BA2517" s="137" t="s">
        <v>432</v>
      </c>
      <c r="BB2517" s="239" t="str">
        <f t="shared" si="747"/>
        <v>Distribuição modal em pesquisas origem/destinox</v>
      </c>
      <c r="BC2517" s="239" t="str">
        <f t="shared" si="748"/>
        <v>Distribuição modal em pesquisas origem/destinoxsigla/verbete</v>
      </c>
      <c r="BD2517" s="239" t="str">
        <f t="shared" si="749"/>
        <v>Distribuição modal em pesquisas origem/destinosigla/verbete</v>
      </c>
      <c r="BM2517" s="19"/>
      <c r="BN2517" s="19"/>
      <c r="BO2517" s="19"/>
    </row>
    <row r="2518" spans="1:67" s="1" customFormat="1" ht="51" x14ac:dyDescent="0.25">
      <c r="A2518" s="275" t="str">
        <f>'Q100b-totais'!B62</f>
        <v>8.10</v>
      </c>
      <c r="B2518" s="54" t="str">
        <f>'Q100b-totais'!C62</f>
        <v>Sistema de transporte coletivo com um todo</v>
      </c>
      <c r="C2518" s="167" t="s">
        <v>743</v>
      </c>
      <c r="D2518" s="324" t="s">
        <v>4018</v>
      </c>
      <c r="E2518" s="254" t="s">
        <v>432</v>
      </c>
      <c r="F2518" s="1205" t="s">
        <v>4019</v>
      </c>
      <c r="G2518" s="230" t="s">
        <v>3507</v>
      </c>
      <c r="H2518" s="167" t="s">
        <v>2408</v>
      </c>
      <c r="I2518" s="172" t="s">
        <v>432</v>
      </c>
      <c r="J2518" s="109" t="s">
        <v>432</v>
      </c>
      <c r="K2518" s="109" t="s">
        <v>432</v>
      </c>
      <c r="L2518" s="109" t="s">
        <v>432</v>
      </c>
      <c r="M2518" s="109" t="s">
        <v>432</v>
      </c>
      <c r="N2518" s="109" t="s">
        <v>432</v>
      </c>
      <c r="O2518" s="109" t="s">
        <v>432</v>
      </c>
      <c r="P2518" s="109" t="s">
        <v>432</v>
      </c>
      <c r="Q2518" s="109" t="s">
        <v>432</v>
      </c>
      <c r="R2518" s="109" t="s">
        <v>432</v>
      </c>
      <c r="S2518" s="109" t="s">
        <v>2209</v>
      </c>
      <c r="T2518" s="109" t="s">
        <v>432</v>
      </c>
      <c r="U2518" s="109" t="s">
        <v>432</v>
      </c>
      <c r="V2518" s="109" t="s">
        <v>2209</v>
      </c>
      <c r="W2518" s="109" t="s">
        <v>432</v>
      </c>
      <c r="X2518" s="109" t="s">
        <v>432</v>
      </c>
      <c r="Y2518" s="109" t="s">
        <v>432</v>
      </c>
      <c r="Z2518" s="109" t="s">
        <v>432</v>
      </c>
      <c r="AA2518" s="109" t="s">
        <v>432</v>
      </c>
      <c r="AB2518" s="109" t="s">
        <v>432</v>
      </c>
      <c r="AC2518" s="109" t="s">
        <v>432</v>
      </c>
      <c r="AD2518" s="109" t="s">
        <v>432</v>
      </c>
      <c r="AE2518" s="109" t="s">
        <v>432</v>
      </c>
      <c r="AF2518" s="109" t="s">
        <v>432</v>
      </c>
      <c r="AG2518" s="109" t="s">
        <v>432</v>
      </c>
      <c r="AH2518" s="109" t="s">
        <v>432</v>
      </c>
      <c r="AI2518" s="109" t="s">
        <v>432</v>
      </c>
      <c r="AJ2518" s="109" t="s">
        <v>432</v>
      </c>
      <c r="AK2518" s="137" t="s">
        <v>432</v>
      </c>
      <c r="AL2518" s="601" t="s">
        <v>432</v>
      </c>
      <c r="AM2518" s="137" t="s">
        <v>432</v>
      </c>
      <c r="AN2518" s="137" t="s">
        <v>432</v>
      </c>
      <c r="AO2518" s="137" t="s">
        <v>432</v>
      </c>
      <c r="AP2518" s="137" t="s">
        <v>432</v>
      </c>
      <c r="AQ2518" s="137" t="s">
        <v>432</v>
      </c>
      <c r="AR2518" s="137" t="s">
        <v>432</v>
      </c>
      <c r="AS2518" s="137" t="s">
        <v>432</v>
      </c>
      <c r="AT2518" s="137" t="s">
        <v>432</v>
      </c>
      <c r="AU2518" s="137" t="s">
        <v>432</v>
      </c>
      <c r="AV2518" s="137" t="s">
        <v>432</v>
      </c>
      <c r="AW2518" s="137" t="s">
        <v>432</v>
      </c>
      <c r="AX2518" s="137" t="s">
        <v>432</v>
      </c>
      <c r="AY2518" s="137" t="s">
        <v>432</v>
      </c>
      <c r="AZ2518" s="137" t="s">
        <v>432</v>
      </c>
      <c r="BA2518" s="137" t="s">
        <v>432</v>
      </c>
      <c r="BB2518" s="239" t="str">
        <f t="shared" ref="BB2518:BB2524" si="764">B2518&amp;C2518</f>
        <v>Sistema de transporte coletivo com um todoacessibilidade</v>
      </c>
      <c r="BC2518" s="239" t="str">
        <f t="shared" ref="BC2518:BC2524" si="765">B2518&amp;C2518&amp;H2518</f>
        <v>Sistema de transporte coletivo com um todoacessibilidadesigla/verbete</v>
      </c>
      <c r="BD2518" s="239" t="str">
        <f t="shared" ref="BD2518:BD2524" si="766">B2518&amp;H2518</f>
        <v>Sistema de transporte coletivo com um todosigla/verbete</v>
      </c>
      <c r="BM2518" s="1211"/>
      <c r="BN2518" s="1211"/>
      <c r="BO2518" s="1211"/>
    </row>
    <row r="2519" spans="1:67" s="1" customFormat="1" ht="65.25" customHeight="1" x14ac:dyDescent="0.25">
      <c r="A2519" s="275" t="str">
        <f>'Q100b-totais'!B62</f>
        <v>8.10</v>
      </c>
      <c r="B2519" s="54" t="str">
        <f>'Q100b-totais'!C62</f>
        <v>Sistema de transporte coletivo com um todo</v>
      </c>
      <c r="C2519" s="167" t="s">
        <v>743</v>
      </c>
      <c r="D2519" s="324" t="s">
        <v>4083</v>
      </c>
      <c r="E2519" s="254" t="s">
        <v>1306</v>
      </c>
      <c r="F2519" s="1205" t="s">
        <v>4084</v>
      </c>
      <c r="G2519" s="230" t="s">
        <v>3507</v>
      </c>
      <c r="H2519" s="167" t="s">
        <v>2408</v>
      </c>
      <c r="I2519" s="172" t="s">
        <v>432</v>
      </c>
      <c r="J2519" s="109" t="s">
        <v>432</v>
      </c>
      <c r="K2519" s="109" t="s">
        <v>432</v>
      </c>
      <c r="L2519" s="109" t="s">
        <v>432</v>
      </c>
      <c r="M2519" s="109" t="s">
        <v>432</v>
      </c>
      <c r="N2519" s="109" t="s">
        <v>432</v>
      </c>
      <c r="O2519" s="109" t="s">
        <v>432</v>
      </c>
      <c r="P2519" s="109" t="s">
        <v>432</v>
      </c>
      <c r="Q2519" s="109" t="s">
        <v>432</v>
      </c>
      <c r="R2519" s="109" t="s">
        <v>432</v>
      </c>
      <c r="S2519" s="109" t="s">
        <v>2209</v>
      </c>
      <c r="T2519" s="109" t="s">
        <v>432</v>
      </c>
      <c r="U2519" s="109" t="s">
        <v>432</v>
      </c>
      <c r="V2519" s="109" t="s">
        <v>2209</v>
      </c>
      <c r="W2519" s="109" t="s">
        <v>432</v>
      </c>
      <c r="X2519" s="109" t="s">
        <v>432</v>
      </c>
      <c r="Y2519" s="109" t="s">
        <v>432</v>
      </c>
      <c r="Z2519" s="109" t="s">
        <v>432</v>
      </c>
      <c r="AA2519" s="109" t="s">
        <v>432</v>
      </c>
      <c r="AB2519" s="109" t="s">
        <v>432</v>
      </c>
      <c r="AC2519" s="109" t="s">
        <v>432</v>
      </c>
      <c r="AD2519" s="109" t="s">
        <v>432</v>
      </c>
      <c r="AE2519" s="109" t="s">
        <v>432</v>
      </c>
      <c r="AF2519" s="109" t="s">
        <v>432</v>
      </c>
      <c r="AG2519" s="109" t="s">
        <v>432</v>
      </c>
      <c r="AH2519" s="109" t="s">
        <v>432</v>
      </c>
      <c r="AI2519" s="109" t="s">
        <v>432</v>
      </c>
      <c r="AJ2519" s="109" t="s">
        <v>432</v>
      </c>
      <c r="AK2519" s="137" t="s">
        <v>432</v>
      </c>
      <c r="AL2519" s="601" t="s">
        <v>432</v>
      </c>
      <c r="AM2519" s="137" t="s">
        <v>432</v>
      </c>
      <c r="AN2519" s="137" t="s">
        <v>432</v>
      </c>
      <c r="AO2519" s="137" t="s">
        <v>432</v>
      </c>
      <c r="AP2519" s="137" t="s">
        <v>432</v>
      </c>
      <c r="AQ2519" s="137" t="s">
        <v>432</v>
      </c>
      <c r="AR2519" s="137" t="s">
        <v>432</v>
      </c>
      <c r="AS2519" s="137" t="s">
        <v>432</v>
      </c>
      <c r="AT2519" s="137" t="s">
        <v>432</v>
      </c>
      <c r="AU2519" s="137" t="s">
        <v>432</v>
      </c>
      <c r="AV2519" s="137" t="s">
        <v>432</v>
      </c>
      <c r="AW2519" s="137" t="s">
        <v>432</v>
      </c>
      <c r="AX2519" s="137" t="s">
        <v>432</v>
      </c>
      <c r="AY2519" s="137" t="s">
        <v>432</v>
      </c>
      <c r="AZ2519" s="137" t="s">
        <v>432</v>
      </c>
      <c r="BA2519" s="137" t="s">
        <v>432</v>
      </c>
      <c r="BB2519" s="239" t="str">
        <f t="shared" si="764"/>
        <v>Sistema de transporte coletivo com um todoacessibilidade</v>
      </c>
      <c r="BC2519" s="239" t="str">
        <f t="shared" si="765"/>
        <v>Sistema de transporte coletivo com um todoacessibilidadesigla/verbete</v>
      </c>
      <c r="BD2519" s="239" t="str">
        <f t="shared" si="766"/>
        <v>Sistema de transporte coletivo com um todosigla/verbete</v>
      </c>
      <c r="BM2519" s="1260"/>
      <c r="BN2519" s="1260"/>
      <c r="BO2519" s="1260"/>
    </row>
    <row r="2520" spans="1:67" s="1" customFormat="1" ht="99.75" customHeight="1" x14ac:dyDescent="0.25">
      <c r="A2520" s="262" t="s">
        <v>432</v>
      </c>
      <c r="B2520" s="252" t="s">
        <v>742</v>
      </c>
      <c r="C2520" s="167" t="s">
        <v>432</v>
      </c>
      <c r="D2520" s="324" t="s">
        <v>2450</v>
      </c>
      <c r="E2520" s="1364" t="s">
        <v>1767</v>
      </c>
      <c r="F2520" s="11" t="s">
        <v>4471</v>
      </c>
      <c r="G2520" s="230" t="s">
        <v>3507</v>
      </c>
      <c r="H2520" s="167" t="s">
        <v>2408</v>
      </c>
      <c r="I2520" s="172" t="s">
        <v>432</v>
      </c>
      <c r="J2520" s="109" t="s">
        <v>432</v>
      </c>
      <c r="K2520" s="109" t="s">
        <v>432</v>
      </c>
      <c r="L2520" s="109" t="s">
        <v>432</v>
      </c>
      <c r="M2520" s="109" t="s">
        <v>432</v>
      </c>
      <c r="N2520" s="109" t="s">
        <v>432</v>
      </c>
      <c r="O2520" s="109" t="s">
        <v>432</v>
      </c>
      <c r="P2520" s="109" t="s">
        <v>432</v>
      </c>
      <c r="Q2520" s="109" t="s">
        <v>432</v>
      </c>
      <c r="R2520" s="109" t="s">
        <v>432</v>
      </c>
      <c r="S2520" s="109" t="s">
        <v>2209</v>
      </c>
      <c r="T2520" s="109" t="s">
        <v>432</v>
      </c>
      <c r="U2520" s="109" t="s">
        <v>432</v>
      </c>
      <c r="V2520" s="109" t="s">
        <v>2209</v>
      </c>
      <c r="W2520" s="109" t="s">
        <v>432</v>
      </c>
      <c r="X2520" s="109" t="s">
        <v>432</v>
      </c>
      <c r="Y2520" s="109" t="s">
        <v>432</v>
      </c>
      <c r="Z2520" s="109" t="s">
        <v>432</v>
      </c>
      <c r="AA2520" s="109" t="s">
        <v>432</v>
      </c>
      <c r="AB2520" s="109" t="s">
        <v>432</v>
      </c>
      <c r="AC2520" s="109" t="s">
        <v>432</v>
      </c>
      <c r="AD2520" s="109" t="s">
        <v>432</v>
      </c>
      <c r="AE2520" s="109" t="s">
        <v>432</v>
      </c>
      <c r="AF2520" s="109" t="s">
        <v>432</v>
      </c>
      <c r="AG2520" s="109" t="s">
        <v>432</v>
      </c>
      <c r="AH2520" s="109" t="s">
        <v>432</v>
      </c>
      <c r="AI2520" s="109" t="s">
        <v>432</v>
      </c>
      <c r="AJ2520" s="109" t="s">
        <v>432</v>
      </c>
      <c r="AK2520" s="137" t="s">
        <v>432</v>
      </c>
      <c r="AL2520" s="601" t="s">
        <v>432</v>
      </c>
      <c r="AM2520" s="137" t="s">
        <v>432</v>
      </c>
      <c r="AN2520" s="137" t="s">
        <v>432</v>
      </c>
      <c r="AO2520" s="137" t="s">
        <v>432</v>
      </c>
      <c r="AP2520" s="137" t="s">
        <v>432</v>
      </c>
      <c r="AQ2520" s="137" t="s">
        <v>432</v>
      </c>
      <c r="AR2520" s="137" t="s">
        <v>432</v>
      </c>
      <c r="AS2520" s="137" t="s">
        <v>432</v>
      </c>
      <c r="AT2520" s="137" t="s">
        <v>432</v>
      </c>
      <c r="AU2520" s="137" t="s">
        <v>432</v>
      </c>
      <c r="AV2520" s="137" t="s">
        <v>432</v>
      </c>
      <c r="AW2520" s="137" t="s">
        <v>432</v>
      </c>
      <c r="AX2520" s="137" t="s">
        <v>432</v>
      </c>
      <c r="AY2520" s="137" t="s">
        <v>432</v>
      </c>
      <c r="AZ2520" s="137" t="s">
        <v>432</v>
      </c>
      <c r="BA2520" s="137" t="s">
        <v>432</v>
      </c>
      <c r="BB2520" s="239" t="str">
        <f t="shared" si="764"/>
        <v>geralx</v>
      </c>
      <c r="BC2520" s="239" t="str">
        <f t="shared" si="765"/>
        <v>geralxsigla/verbete</v>
      </c>
      <c r="BD2520" s="239" t="str">
        <f t="shared" si="766"/>
        <v>geralsigla/verbete</v>
      </c>
      <c r="BM2520" s="767"/>
      <c r="BN2520" s="767"/>
      <c r="BO2520" s="767"/>
    </row>
    <row r="2521" spans="1:67" s="1" customFormat="1" ht="62.25" customHeight="1" x14ac:dyDescent="0.25">
      <c r="A2521" s="262" t="str">
        <f>'Q100b-totais'!B22</f>
        <v>2.7</v>
      </c>
      <c r="B2521" s="252" t="str">
        <f>'Q100b-totais'!C22</f>
        <v>Outras cidades/regiões</v>
      </c>
      <c r="C2521" s="167" t="s">
        <v>743</v>
      </c>
      <c r="D2521" s="325" t="s">
        <v>3299</v>
      </c>
      <c r="E2521" s="1445" t="s">
        <v>3299</v>
      </c>
      <c r="F2521" s="1205" t="s">
        <v>4203</v>
      </c>
      <c r="G2521" s="230" t="s">
        <v>3507</v>
      </c>
      <c r="H2521" s="167" t="s">
        <v>2408</v>
      </c>
      <c r="I2521" s="172" t="s">
        <v>432</v>
      </c>
      <c r="J2521" s="109" t="s">
        <v>432</v>
      </c>
      <c r="K2521" s="109" t="s">
        <v>432</v>
      </c>
      <c r="L2521" s="109" t="s">
        <v>432</v>
      </c>
      <c r="M2521" s="109" t="s">
        <v>432</v>
      </c>
      <c r="N2521" s="109" t="s">
        <v>432</v>
      </c>
      <c r="O2521" s="109" t="s">
        <v>432</v>
      </c>
      <c r="P2521" s="109" t="s">
        <v>432</v>
      </c>
      <c r="Q2521" s="109" t="s">
        <v>432</v>
      </c>
      <c r="R2521" s="109" t="s">
        <v>432</v>
      </c>
      <c r="S2521" s="109" t="s">
        <v>2209</v>
      </c>
      <c r="T2521" s="109" t="s">
        <v>432</v>
      </c>
      <c r="U2521" s="109" t="s">
        <v>432</v>
      </c>
      <c r="V2521" s="109" t="s">
        <v>2209</v>
      </c>
      <c r="W2521" s="109" t="s">
        <v>432</v>
      </c>
      <c r="X2521" s="109" t="s">
        <v>432</v>
      </c>
      <c r="Y2521" s="109" t="s">
        <v>432</v>
      </c>
      <c r="Z2521" s="109" t="s">
        <v>432</v>
      </c>
      <c r="AA2521" s="109" t="s">
        <v>432</v>
      </c>
      <c r="AB2521" s="109" t="s">
        <v>432</v>
      </c>
      <c r="AC2521" s="109" t="s">
        <v>432</v>
      </c>
      <c r="AD2521" s="109" t="s">
        <v>432</v>
      </c>
      <c r="AE2521" s="109" t="s">
        <v>432</v>
      </c>
      <c r="AF2521" s="109" t="s">
        <v>432</v>
      </c>
      <c r="AG2521" s="109" t="s">
        <v>432</v>
      </c>
      <c r="AH2521" s="109" t="s">
        <v>432</v>
      </c>
      <c r="AI2521" s="109" t="s">
        <v>432</v>
      </c>
      <c r="AJ2521" s="109" t="s">
        <v>432</v>
      </c>
      <c r="AK2521" s="137" t="s">
        <v>432</v>
      </c>
      <c r="AL2521" s="601" t="s">
        <v>432</v>
      </c>
      <c r="AM2521" s="137" t="s">
        <v>432</v>
      </c>
      <c r="AN2521" s="137" t="s">
        <v>432</v>
      </c>
      <c r="AO2521" s="137" t="s">
        <v>432</v>
      </c>
      <c r="AP2521" s="137" t="s">
        <v>432</v>
      </c>
      <c r="AQ2521" s="137" t="s">
        <v>432</v>
      </c>
      <c r="AR2521" s="137" t="s">
        <v>432</v>
      </c>
      <c r="AS2521" s="137" t="s">
        <v>432</v>
      </c>
      <c r="AT2521" s="137" t="s">
        <v>432</v>
      </c>
      <c r="AU2521" s="137" t="s">
        <v>432</v>
      </c>
      <c r="AV2521" s="137" t="s">
        <v>432</v>
      </c>
      <c r="AW2521" s="137" t="s">
        <v>432</v>
      </c>
      <c r="AX2521" s="137" t="s">
        <v>432</v>
      </c>
      <c r="AY2521" s="137" t="s">
        <v>432</v>
      </c>
      <c r="AZ2521" s="137" t="s">
        <v>432</v>
      </c>
      <c r="BA2521" s="137" t="s">
        <v>432</v>
      </c>
      <c r="BB2521" s="239" t="str">
        <f t="shared" si="764"/>
        <v>Outras cidades/regiõesacessibilidade</v>
      </c>
      <c r="BC2521" s="239" t="str">
        <f t="shared" si="765"/>
        <v>Outras cidades/regiõesacessibilidadesigla/verbete</v>
      </c>
      <c r="BD2521" s="239" t="str">
        <f t="shared" si="766"/>
        <v>Outras cidades/regiõessigla/verbete</v>
      </c>
      <c r="BM2521" s="1325"/>
      <c r="BN2521" s="1325"/>
      <c r="BO2521" s="1325"/>
    </row>
    <row r="2522" spans="1:67" s="1" customFormat="1" ht="60" customHeight="1" x14ac:dyDescent="0.25">
      <c r="A2522" s="262" t="s">
        <v>432</v>
      </c>
      <c r="B2522" s="252" t="s">
        <v>742</v>
      </c>
      <c r="C2522" s="167" t="s">
        <v>743</v>
      </c>
      <c r="D2522" s="325" t="s">
        <v>5038</v>
      </c>
      <c r="E2522" s="1496" t="s">
        <v>1306</v>
      </c>
      <c r="F2522" s="1205" t="s">
        <v>5039</v>
      </c>
      <c r="G2522" s="230" t="s">
        <v>3507</v>
      </c>
      <c r="H2522" s="167" t="s">
        <v>2408</v>
      </c>
      <c r="I2522" s="172" t="s">
        <v>432</v>
      </c>
      <c r="J2522" s="109" t="s">
        <v>432</v>
      </c>
      <c r="K2522" s="109" t="s">
        <v>432</v>
      </c>
      <c r="L2522" s="109" t="s">
        <v>432</v>
      </c>
      <c r="M2522" s="109" t="s">
        <v>432</v>
      </c>
      <c r="N2522" s="109" t="s">
        <v>432</v>
      </c>
      <c r="O2522" s="109" t="s">
        <v>432</v>
      </c>
      <c r="P2522" s="109" t="s">
        <v>432</v>
      </c>
      <c r="Q2522" s="109" t="s">
        <v>432</v>
      </c>
      <c r="R2522" s="109" t="s">
        <v>432</v>
      </c>
      <c r="S2522" s="109" t="s">
        <v>2209</v>
      </c>
      <c r="T2522" s="109" t="s">
        <v>432</v>
      </c>
      <c r="U2522" s="109" t="s">
        <v>432</v>
      </c>
      <c r="V2522" s="109" t="s">
        <v>2209</v>
      </c>
      <c r="W2522" s="109" t="s">
        <v>432</v>
      </c>
      <c r="X2522" s="109" t="s">
        <v>432</v>
      </c>
      <c r="Y2522" s="109" t="s">
        <v>432</v>
      </c>
      <c r="Z2522" s="109" t="s">
        <v>432</v>
      </c>
      <c r="AA2522" s="109" t="s">
        <v>432</v>
      </c>
      <c r="AB2522" s="109" t="s">
        <v>432</v>
      </c>
      <c r="AC2522" s="109" t="s">
        <v>432</v>
      </c>
      <c r="AD2522" s="109" t="s">
        <v>432</v>
      </c>
      <c r="AE2522" s="109" t="s">
        <v>432</v>
      </c>
      <c r="AF2522" s="109" t="s">
        <v>432</v>
      </c>
      <c r="AG2522" s="109" t="s">
        <v>432</v>
      </c>
      <c r="AH2522" s="109" t="s">
        <v>432</v>
      </c>
      <c r="AI2522" s="109" t="s">
        <v>432</v>
      </c>
      <c r="AJ2522" s="109" t="s">
        <v>432</v>
      </c>
      <c r="AK2522" s="137" t="s">
        <v>432</v>
      </c>
      <c r="AL2522" s="601" t="s">
        <v>432</v>
      </c>
      <c r="AM2522" s="137" t="s">
        <v>432</v>
      </c>
      <c r="AN2522" s="137" t="s">
        <v>432</v>
      </c>
      <c r="AO2522" s="137" t="s">
        <v>432</v>
      </c>
      <c r="AP2522" s="137" t="s">
        <v>432</v>
      </c>
      <c r="AQ2522" s="137" t="s">
        <v>432</v>
      </c>
      <c r="AR2522" s="137" t="s">
        <v>432</v>
      </c>
      <c r="AS2522" s="137" t="s">
        <v>432</v>
      </c>
      <c r="AT2522" s="137" t="s">
        <v>432</v>
      </c>
      <c r="AU2522" s="137" t="s">
        <v>432</v>
      </c>
      <c r="AV2522" s="137" t="s">
        <v>432</v>
      </c>
      <c r="AW2522" s="137" t="s">
        <v>432</v>
      </c>
      <c r="AX2522" s="137" t="s">
        <v>432</v>
      </c>
      <c r="AY2522" s="137" t="s">
        <v>432</v>
      </c>
      <c r="AZ2522" s="137" t="s">
        <v>432</v>
      </c>
      <c r="BA2522" s="137" t="s">
        <v>432</v>
      </c>
      <c r="BB2522" s="239" t="str">
        <f t="shared" si="764"/>
        <v>geralacessibilidade</v>
      </c>
      <c r="BC2522" s="239" t="str">
        <f t="shared" si="765"/>
        <v>geralacessibilidadesigla/verbete</v>
      </c>
      <c r="BD2522" s="239" t="str">
        <f t="shared" si="766"/>
        <v>geralsigla/verbete</v>
      </c>
      <c r="BM2522" s="1387"/>
      <c r="BN2522" s="1387"/>
      <c r="BO2522" s="1387"/>
    </row>
    <row r="2523" spans="1:67" s="1" customFormat="1" ht="63.75" x14ac:dyDescent="0.25">
      <c r="A2523" s="262" t="str">
        <f>'Q100b-totais'!B64</f>
        <v>9.1</v>
      </c>
      <c r="B2523" s="252" t="str">
        <f>'Q100b-totais'!C64</f>
        <v>Acidentes de trânsito</v>
      </c>
      <c r="C2523" s="167" t="s">
        <v>432</v>
      </c>
      <c r="D2523" s="325" t="s">
        <v>5267</v>
      </c>
      <c r="E2523" s="1445" t="s">
        <v>432</v>
      </c>
      <c r="F2523" s="1205" t="s">
        <v>5278</v>
      </c>
      <c r="G2523" s="230" t="s">
        <v>3507</v>
      </c>
      <c r="H2523" s="167" t="s">
        <v>2408</v>
      </c>
      <c r="I2523" s="172" t="s">
        <v>432</v>
      </c>
      <c r="J2523" s="109" t="s">
        <v>432</v>
      </c>
      <c r="K2523" s="109" t="s">
        <v>432</v>
      </c>
      <c r="L2523" s="109" t="s">
        <v>432</v>
      </c>
      <c r="M2523" s="109" t="s">
        <v>432</v>
      </c>
      <c r="N2523" s="109" t="s">
        <v>432</v>
      </c>
      <c r="O2523" s="109" t="s">
        <v>432</v>
      </c>
      <c r="P2523" s="109" t="s">
        <v>432</v>
      </c>
      <c r="Q2523" s="109" t="s">
        <v>432</v>
      </c>
      <c r="R2523" s="109" t="s">
        <v>432</v>
      </c>
      <c r="S2523" s="109" t="s">
        <v>2209</v>
      </c>
      <c r="T2523" s="109" t="s">
        <v>432</v>
      </c>
      <c r="U2523" s="109" t="s">
        <v>432</v>
      </c>
      <c r="V2523" s="109" t="s">
        <v>2209</v>
      </c>
      <c r="W2523" s="109" t="s">
        <v>432</v>
      </c>
      <c r="X2523" s="109" t="s">
        <v>432</v>
      </c>
      <c r="Y2523" s="109" t="s">
        <v>432</v>
      </c>
      <c r="Z2523" s="109" t="s">
        <v>432</v>
      </c>
      <c r="AA2523" s="109" t="s">
        <v>432</v>
      </c>
      <c r="AB2523" s="109" t="s">
        <v>432</v>
      </c>
      <c r="AC2523" s="109" t="s">
        <v>432</v>
      </c>
      <c r="AD2523" s="109" t="s">
        <v>432</v>
      </c>
      <c r="AE2523" s="109" t="s">
        <v>432</v>
      </c>
      <c r="AF2523" s="109" t="s">
        <v>432</v>
      </c>
      <c r="AG2523" s="109" t="s">
        <v>432</v>
      </c>
      <c r="AH2523" s="109" t="s">
        <v>432</v>
      </c>
      <c r="AI2523" s="109" t="s">
        <v>432</v>
      </c>
      <c r="AJ2523" s="109" t="s">
        <v>432</v>
      </c>
      <c r="AK2523" s="137" t="s">
        <v>432</v>
      </c>
      <c r="AL2523" s="601" t="s">
        <v>432</v>
      </c>
      <c r="AM2523" s="137" t="s">
        <v>432</v>
      </c>
      <c r="AN2523" s="137" t="s">
        <v>432</v>
      </c>
      <c r="AO2523" s="137" t="s">
        <v>432</v>
      </c>
      <c r="AP2523" s="137" t="s">
        <v>432</v>
      </c>
      <c r="AQ2523" s="137" t="s">
        <v>432</v>
      </c>
      <c r="AR2523" s="137" t="s">
        <v>432</v>
      </c>
      <c r="AS2523" s="137" t="s">
        <v>432</v>
      </c>
      <c r="AT2523" s="137" t="s">
        <v>432</v>
      </c>
      <c r="AU2523" s="137" t="s">
        <v>432</v>
      </c>
      <c r="AV2523" s="137" t="s">
        <v>432</v>
      </c>
      <c r="AW2523" s="137" t="s">
        <v>432</v>
      </c>
      <c r="AX2523" s="137" t="s">
        <v>432</v>
      </c>
      <c r="AY2523" s="137" t="s">
        <v>432</v>
      </c>
      <c r="AZ2523" s="137" t="s">
        <v>432</v>
      </c>
      <c r="BA2523" s="137" t="s">
        <v>432</v>
      </c>
      <c r="BB2523" s="239" t="str">
        <f t="shared" si="764"/>
        <v>Acidentes de trânsitox</v>
      </c>
      <c r="BC2523" s="239" t="str">
        <f t="shared" si="765"/>
        <v>Acidentes de trânsitoxsigla/verbete</v>
      </c>
      <c r="BD2523" s="239" t="str">
        <f t="shared" si="766"/>
        <v>Acidentes de trânsitosigla/verbete</v>
      </c>
      <c r="BM2523" s="1409"/>
      <c r="BN2523" s="1409"/>
      <c r="BO2523" s="1409"/>
    </row>
    <row r="2524" spans="1:67" s="1" customFormat="1" ht="60" customHeight="1" x14ac:dyDescent="0.25">
      <c r="A2524" s="262" t="str">
        <f>'Q100b-totais'!B64</f>
        <v>9.1</v>
      </c>
      <c r="B2524" s="252" t="str">
        <f>'Q100b-totais'!C64</f>
        <v>Acidentes de trânsito</v>
      </c>
      <c r="C2524" s="167" t="s">
        <v>432</v>
      </c>
      <c r="D2524" s="325" t="s">
        <v>5256</v>
      </c>
      <c r="E2524" s="1445" t="s">
        <v>432</v>
      </c>
      <c r="F2524" s="1205" t="s">
        <v>5269</v>
      </c>
      <c r="G2524" s="230" t="s">
        <v>3507</v>
      </c>
      <c r="H2524" s="167" t="s">
        <v>2408</v>
      </c>
      <c r="I2524" s="172" t="s">
        <v>432</v>
      </c>
      <c r="J2524" s="109" t="s">
        <v>432</v>
      </c>
      <c r="K2524" s="109" t="s">
        <v>432</v>
      </c>
      <c r="L2524" s="109" t="s">
        <v>432</v>
      </c>
      <c r="M2524" s="109" t="s">
        <v>432</v>
      </c>
      <c r="N2524" s="109" t="s">
        <v>432</v>
      </c>
      <c r="O2524" s="109" t="s">
        <v>432</v>
      </c>
      <c r="P2524" s="109" t="s">
        <v>432</v>
      </c>
      <c r="Q2524" s="109" t="s">
        <v>432</v>
      </c>
      <c r="R2524" s="109" t="s">
        <v>432</v>
      </c>
      <c r="S2524" s="109" t="s">
        <v>2209</v>
      </c>
      <c r="T2524" s="109" t="s">
        <v>432</v>
      </c>
      <c r="U2524" s="109" t="s">
        <v>432</v>
      </c>
      <c r="V2524" s="109" t="s">
        <v>2209</v>
      </c>
      <c r="W2524" s="109" t="s">
        <v>432</v>
      </c>
      <c r="X2524" s="109" t="s">
        <v>432</v>
      </c>
      <c r="Y2524" s="109" t="s">
        <v>432</v>
      </c>
      <c r="Z2524" s="109" t="s">
        <v>432</v>
      </c>
      <c r="AA2524" s="109" t="s">
        <v>432</v>
      </c>
      <c r="AB2524" s="109" t="s">
        <v>432</v>
      </c>
      <c r="AC2524" s="109" t="s">
        <v>432</v>
      </c>
      <c r="AD2524" s="109" t="s">
        <v>432</v>
      </c>
      <c r="AE2524" s="109" t="s">
        <v>432</v>
      </c>
      <c r="AF2524" s="109" t="s">
        <v>432</v>
      </c>
      <c r="AG2524" s="109" t="s">
        <v>432</v>
      </c>
      <c r="AH2524" s="109" t="s">
        <v>432</v>
      </c>
      <c r="AI2524" s="109" t="s">
        <v>432</v>
      </c>
      <c r="AJ2524" s="109" t="s">
        <v>432</v>
      </c>
      <c r="AK2524" s="137" t="s">
        <v>432</v>
      </c>
      <c r="AL2524" s="601" t="s">
        <v>432</v>
      </c>
      <c r="AM2524" s="137" t="s">
        <v>432</v>
      </c>
      <c r="AN2524" s="137" t="s">
        <v>432</v>
      </c>
      <c r="AO2524" s="137" t="s">
        <v>432</v>
      </c>
      <c r="AP2524" s="137" t="s">
        <v>432</v>
      </c>
      <c r="AQ2524" s="137" t="s">
        <v>432</v>
      </c>
      <c r="AR2524" s="137" t="s">
        <v>432</v>
      </c>
      <c r="AS2524" s="137" t="s">
        <v>432</v>
      </c>
      <c r="AT2524" s="137" t="s">
        <v>432</v>
      </c>
      <c r="AU2524" s="137" t="s">
        <v>432</v>
      </c>
      <c r="AV2524" s="137" t="s">
        <v>432</v>
      </c>
      <c r="AW2524" s="137" t="s">
        <v>432</v>
      </c>
      <c r="AX2524" s="137" t="s">
        <v>432</v>
      </c>
      <c r="AY2524" s="137" t="s">
        <v>432</v>
      </c>
      <c r="AZ2524" s="137" t="s">
        <v>432</v>
      </c>
      <c r="BA2524" s="137" t="s">
        <v>432</v>
      </c>
      <c r="BB2524" s="239" t="str">
        <f t="shared" si="764"/>
        <v>Acidentes de trânsitox</v>
      </c>
      <c r="BC2524" s="239" t="str">
        <f t="shared" si="765"/>
        <v>Acidentes de trânsitoxsigla/verbete</v>
      </c>
      <c r="BD2524" s="239" t="str">
        <f t="shared" si="766"/>
        <v>Acidentes de trânsitosigla/verbete</v>
      </c>
      <c r="BM2524" s="1408"/>
      <c r="BN2524" s="1408"/>
      <c r="BO2524" s="1408"/>
    </row>
    <row r="2525" spans="1:67" ht="25.5" x14ac:dyDescent="0.25">
      <c r="A2525" s="262" t="s">
        <v>432</v>
      </c>
      <c r="B2525" s="252" t="s">
        <v>742</v>
      </c>
      <c r="C2525" s="167" t="s">
        <v>432</v>
      </c>
      <c r="D2525" s="325" t="s">
        <v>416</v>
      </c>
      <c r="E2525" s="1496" t="s">
        <v>432</v>
      </c>
      <c r="F2525" s="12" t="s">
        <v>417</v>
      </c>
      <c r="G2525" s="167" t="s">
        <v>3879</v>
      </c>
      <c r="H2525" s="167" t="s">
        <v>432</v>
      </c>
      <c r="I2525" s="167" t="s">
        <v>432</v>
      </c>
      <c r="J2525" s="107" t="s">
        <v>432</v>
      </c>
      <c r="K2525" s="107" t="s">
        <v>432</v>
      </c>
      <c r="L2525" s="107" t="s">
        <v>432</v>
      </c>
      <c r="M2525" s="107" t="s">
        <v>432</v>
      </c>
      <c r="N2525" s="107" t="s">
        <v>432</v>
      </c>
      <c r="O2525" s="107" t="s">
        <v>432</v>
      </c>
      <c r="P2525" s="107" t="s">
        <v>432</v>
      </c>
      <c r="Q2525" s="107" t="s">
        <v>432</v>
      </c>
      <c r="R2525" s="107" t="s">
        <v>432</v>
      </c>
      <c r="S2525" s="109" t="s">
        <v>2209</v>
      </c>
      <c r="T2525" s="107" t="s">
        <v>432</v>
      </c>
      <c r="U2525" s="107" t="s">
        <v>432</v>
      </c>
      <c r="V2525" s="109" t="s">
        <v>2209</v>
      </c>
      <c r="W2525" s="107" t="s">
        <v>432</v>
      </c>
      <c r="X2525" s="107" t="s">
        <v>432</v>
      </c>
      <c r="Y2525" s="107" t="s">
        <v>432</v>
      </c>
      <c r="Z2525" s="107" t="s">
        <v>432</v>
      </c>
      <c r="AA2525" s="107" t="s">
        <v>432</v>
      </c>
      <c r="AB2525" s="107" t="s">
        <v>432</v>
      </c>
      <c r="AC2525" s="107" t="s">
        <v>432</v>
      </c>
      <c r="AD2525" s="107" t="s">
        <v>432</v>
      </c>
      <c r="AE2525" s="107" t="s">
        <v>432</v>
      </c>
      <c r="AF2525" s="107" t="s">
        <v>432</v>
      </c>
      <c r="AG2525" s="107" t="s">
        <v>432</v>
      </c>
      <c r="AH2525" s="107" t="s">
        <v>432</v>
      </c>
      <c r="AI2525" s="107" t="s">
        <v>432</v>
      </c>
      <c r="AJ2525" s="107" t="s">
        <v>432</v>
      </c>
      <c r="AK2525" s="137" t="s">
        <v>432</v>
      </c>
      <c r="AL2525" s="601" t="s">
        <v>432</v>
      </c>
      <c r="AM2525" s="137" t="s">
        <v>432</v>
      </c>
      <c r="AN2525" s="137" t="s">
        <v>432</v>
      </c>
      <c r="AO2525" s="137" t="s">
        <v>432</v>
      </c>
      <c r="AP2525" s="137" t="s">
        <v>432</v>
      </c>
      <c r="AQ2525" s="137" t="s">
        <v>432</v>
      </c>
      <c r="AR2525" s="137" t="s">
        <v>432</v>
      </c>
      <c r="AS2525" s="137" t="s">
        <v>432</v>
      </c>
      <c r="AT2525" s="137" t="s">
        <v>432</v>
      </c>
      <c r="AU2525" s="137" t="s">
        <v>432</v>
      </c>
      <c r="AV2525" s="137" t="s">
        <v>432</v>
      </c>
      <c r="AW2525" s="137" t="s">
        <v>432</v>
      </c>
      <c r="AX2525" s="137" t="s">
        <v>432</v>
      </c>
      <c r="AY2525" s="137" t="s">
        <v>432</v>
      </c>
      <c r="AZ2525" s="137" t="s">
        <v>432</v>
      </c>
      <c r="BA2525" s="137" t="s">
        <v>432</v>
      </c>
      <c r="BB2525" s="239" t="str">
        <f t="shared" si="747"/>
        <v>geralx</v>
      </c>
      <c r="BC2525" s="239" t="str">
        <f t="shared" si="748"/>
        <v>geralxx</v>
      </c>
      <c r="BD2525" s="239" t="str">
        <f t="shared" si="749"/>
        <v>geralx</v>
      </c>
      <c r="BM2525" s="19"/>
      <c r="BN2525" s="19"/>
      <c r="BO2525" s="19"/>
    </row>
    <row r="2526" spans="1:67" s="1" customFormat="1" ht="25.5" customHeight="1" x14ac:dyDescent="0.25">
      <c r="A2526" s="262" t="s">
        <v>432</v>
      </c>
      <c r="B2526" s="252" t="s">
        <v>742</v>
      </c>
      <c r="C2526" s="167" t="s">
        <v>432</v>
      </c>
      <c r="D2526" s="324" t="s">
        <v>416</v>
      </c>
      <c r="E2526" s="1402" t="s">
        <v>432</v>
      </c>
      <c r="F2526" s="5" t="s">
        <v>1859</v>
      </c>
      <c r="G2526" s="167" t="s">
        <v>3879</v>
      </c>
      <c r="H2526" s="167" t="s">
        <v>432</v>
      </c>
      <c r="I2526" s="167" t="s">
        <v>432</v>
      </c>
      <c r="J2526" s="109" t="s">
        <v>432</v>
      </c>
      <c r="K2526" s="109" t="s">
        <v>432</v>
      </c>
      <c r="L2526" s="109" t="s">
        <v>432</v>
      </c>
      <c r="M2526" s="109" t="s">
        <v>432</v>
      </c>
      <c r="N2526" s="109" t="s">
        <v>432</v>
      </c>
      <c r="O2526" s="109" t="s">
        <v>432</v>
      </c>
      <c r="P2526" s="109" t="s">
        <v>432</v>
      </c>
      <c r="Q2526" s="109" t="s">
        <v>432</v>
      </c>
      <c r="R2526" s="109" t="s">
        <v>432</v>
      </c>
      <c r="S2526" s="109" t="s">
        <v>2209</v>
      </c>
      <c r="T2526" s="109" t="s">
        <v>432</v>
      </c>
      <c r="U2526" s="109" t="s">
        <v>432</v>
      </c>
      <c r="V2526" s="109" t="s">
        <v>2209</v>
      </c>
      <c r="W2526" s="109" t="s">
        <v>432</v>
      </c>
      <c r="X2526" s="109" t="s">
        <v>432</v>
      </c>
      <c r="Y2526" s="109" t="s">
        <v>432</v>
      </c>
      <c r="Z2526" s="109" t="s">
        <v>432</v>
      </c>
      <c r="AA2526" s="109" t="s">
        <v>432</v>
      </c>
      <c r="AB2526" s="109" t="s">
        <v>432</v>
      </c>
      <c r="AC2526" s="109" t="s">
        <v>432</v>
      </c>
      <c r="AD2526" s="109" t="s">
        <v>432</v>
      </c>
      <c r="AE2526" s="109" t="s">
        <v>432</v>
      </c>
      <c r="AF2526" s="109" t="s">
        <v>432</v>
      </c>
      <c r="AG2526" s="109" t="s">
        <v>432</v>
      </c>
      <c r="AH2526" s="109" t="s">
        <v>432</v>
      </c>
      <c r="AI2526" s="109" t="s">
        <v>432</v>
      </c>
      <c r="AJ2526" s="109" t="s">
        <v>432</v>
      </c>
      <c r="AK2526" s="109" t="s">
        <v>432</v>
      </c>
      <c r="AL2526" s="601" t="s">
        <v>432</v>
      </c>
      <c r="AM2526" s="109" t="s">
        <v>432</v>
      </c>
      <c r="AN2526" s="109" t="s">
        <v>432</v>
      </c>
      <c r="AO2526" s="109" t="s">
        <v>432</v>
      </c>
      <c r="AP2526" s="109" t="s">
        <v>432</v>
      </c>
      <c r="AQ2526" s="109" t="s">
        <v>432</v>
      </c>
      <c r="AR2526" s="109" t="s">
        <v>432</v>
      </c>
      <c r="AS2526" s="109" t="s">
        <v>432</v>
      </c>
      <c r="AT2526" s="109" t="s">
        <v>432</v>
      </c>
      <c r="AU2526" s="109" t="s">
        <v>432</v>
      </c>
      <c r="AV2526" s="109" t="s">
        <v>432</v>
      </c>
      <c r="AW2526" s="109" t="s">
        <v>432</v>
      </c>
      <c r="AX2526" s="109" t="s">
        <v>432</v>
      </c>
      <c r="AY2526" s="109" t="s">
        <v>432</v>
      </c>
      <c r="AZ2526" s="109" t="s">
        <v>432</v>
      </c>
      <c r="BA2526" s="109" t="s">
        <v>432</v>
      </c>
      <c r="BB2526" s="239" t="str">
        <f>B2526&amp;C2526</f>
        <v>geralx</v>
      </c>
      <c r="BC2526" s="239" t="str">
        <f>B2526&amp;C2526&amp;H2526</f>
        <v>geralxx</v>
      </c>
      <c r="BD2526" s="239" t="str">
        <f>B2526&amp;H2526</f>
        <v>geralx</v>
      </c>
      <c r="BM2526" s="505"/>
      <c r="BN2526" s="505"/>
      <c r="BO2526" s="505"/>
    </row>
    <row r="2527" spans="1:67" s="1" customFormat="1" ht="88.5" customHeight="1" x14ac:dyDescent="0.25">
      <c r="A2527" s="262" t="str">
        <f>'Q100b-totais'!B47</f>
        <v>5.5</v>
      </c>
      <c r="B2527" s="252" t="str">
        <f>'Q100b-totais'!C47</f>
        <v>Outros meio ambiente</v>
      </c>
      <c r="C2527" s="167" t="s">
        <v>432</v>
      </c>
      <c r="D2527" s="324" t="s">
        <v>5580</v>
      </c>
      <c r="E2527" s="509" t="s">
        <v>1306</v>
      </c>
      <c r="F2527" s="1172" t="s">
        <v>5585</v>
      </c>
      <c r="G2527" s="230" t="s">
        <v>3507</v>
      </c>
      <c r="H2527" s="167" t="s">
        <v>2408</v>
      </c>
      <c r="I2527" s="172" t="s">
        <v>432</v>
      </c>
      <c r="J2527" s="109" t="s">
        <v>432</v>
      </c>
      <c r="K2527" s="109" t="s">
        <v>432</v>
      </c>
      <c r="L2527" s="109" t="s">
        <v>432</v>
      </c>
      <c r="M2527" s="109" t="s">
        <v>432</v>
      </c>
      <c r="N2527" s="109" t="s">
        <v>432</v>
      </c>
      <c r="O2527" s="109" t="s">
        <v>432</v>
      </c>
      <c r="P2527" s="109" t="s">
        <v>432</v>
      </c>
      <c r="Q2527" s="109" t="s">
        <v>432</v>
      </c>
      <c r="R2527" s="109" t="s">
        <v>432</v>
      </c>
      <c r="S2527" s="109" t="s">
        <v>2209</v>
      </c>
      <c r="T2527" s="109" t="s">
        <v>432</v>
      </c>
      <c r="U2527" s="109" t="s">
        <v>432</v>
      </c>
      <c r="V2527" s="109" t="s">
        <v>2209</v>
      </c>
      <c r="W2527" s="109" t="s">
        <v>432</v>
      </c>
      <c r="X2527" s="109" t="s">
        <v>432</v>
      </c>
      <c r="Y2527" s="109" t="s">
        <v>432</v>
      </c>
      <c r="Z2527" s="109" t="s">
        <v>432</v>
      </c>
      <c r="AA2527" s="109" t="s">
        <v>432</v>
      </c>
      <c r="AB2527" s="109" t="s">
        <v>432</v>
      </c>
      <c r="AC2527" s="109" t="s">
        <v>432</v>
      </c>
      <c r="AD2527" s="109" t="s">
        <v>432</v>
      </c>
      <c r="AE2527" s="109" t="s">
        <v>432</v>
      </c>
      <c r="AF2527" s="109" t="s">
        <v>432</v>
      </c>
      <c r="AG2527" s="109" t="s">
        <v>432</v>
      </c>
      <c r="AH2527" s="109" t="s">
        <v>432</v>
      </c>
      <c r="AI2527" s="109" t="s">
        <v>432</v>
      </c>
      <c r="AJ2527" s="109" t="s">
        <v>432</v>
      </c>
      <c r="AK2527" s="137" t="s">
        <v>432</v>
      </c>
      <c r="AL2527" s="601" t="s">
        <v>432</v>
      </c>
      <c r="AM2527" s="137" t="s">
        <v>432</v>
      </c>
      <c r="AN2527" s="137" t="s">
        <v>432</v>
      </c>
      <c r="AO2527" s="137" t="s">
        <v>432</v>
      </c>
      <c r="AP2527" s="137" t="s">
        <v>432</v>
      </c>
      <c r="AQ2527" s="137" t="s">
        <v>432</v>
      </c>
      <c r="AR2527" s="137" t="s">
        <v>432</v>
      </c>
      <c r="AS2527" s="137" t="s">
        <v>432</v>
      </c>
      <c r="AT2527" s="137" t="s">
        <v>432</v>
      </c>
      <c r="AU2527" s="137" t="s">
        <v>432</v>
      </c>
      <c r="AV2527" s="137" t="s">
        <v>432</v>
      </c>
      <c r="AW2527" s="137" t="s">
        <v>432</v>
      </c>
      <c r="AX2527" s="137" t="s">
        <v>432</v>
      </c>
      <c r="AY2527" s="137" t="s">
        <v>432</v>
      </c>
      <c r="AZ2527" s="137" t="s">
        <v>432</v>
      </c>
      <c r="BA2527" s="137" t="s">
        <v>432</v>
      </c>
      <c r="BB2527" s="239" t="str">
        <f>B2527&amp;C2527</f>
        <v>Outros meio ambientex</v>
      </c>
      <c r="BC2527" s="239" t="str">
        <f>B2527&amp;C2527&amp;H2527</f>
        <v>Outros meio ambientexsigla/verbete</v>
      </c>
      <c r="BD2527" s="239" t="str">
        <f>B2527&amp;H2527</f>
        <v>Outros meio ambientesigla/verbete</v>
      </c>
      <c r="BM2527" s="1436"/>
      <c r="BN2527" s="1436"/>
      <c r="BO2527" s="1436"/>
    </row>
    <row r="2528" spans="1:67" s="1" customFormat="1" x14ac:dyDescent="0.25">
      <c r="A2528" s="398"/>
      <c r="B2528" s="522"/>
      <c r="C2528" s="520"/>
      <c r="D2528" s="987"/>
      <c r="E2528" s="1537"/>
      <c r="F2528" s="405"/>
      <c r="G2528" s="405"/>
      <c r="H2528" s="399"/>
      <c r="I2528" s="405"/>
      <c r="J2528" s="221"/>
      <c r="K2528" s="403"/>
      <c r="L2528" s="403"/>
      <c r="M2528" s="403"/>
      <c r="N2528" s="403"/>
      <c r="O2528" s="403"/>
      <c r="P2528" s="403"/>
      <c r="Q2528" s="403"/>
      <c r="R2528" s="403"/>
      <c r="S2528" s="403"/>
      <c r="T2528" s="403"/>
      <c r="U2528" s="403"/>
      <c r="V2528" s="403"/>
      <c r="W2528" s="403"/>
      <c r="X2528" s="403"/>
      <c r="Y2528" s="403"/>
      <c r="Z2528" s="403"/>
      <c r="AA2528" s="403"/>
      <c r="AB2528" s="403"/>
      <c r="AC2528" s="403"/>
      <c r="AD2528" s="403"/>
      <c r="AE2528" s="403"/>
      <c r="AF2528" s="403"/>
      <c r="AG2528" s="403"/>
      <c r="AH2528" s="403"/>
      <c r="AI2528" s="403"/>
      <c r="AJ2528" s="403"/>
      <c r="AK2528" s="223"/>
      <c r="AL2528" s="223"/>
      <c r="AM2528" s="223"/>
      <c r="AN2528" s="223"/>
      <c r="AO2528" s="223"/>
      <c r="AP2528" s="223"/>
      <c r="AQ2528" s="223"/>
      <c r="AR2528" s="223"/>
      <c r="AS2528" s="223"/>
      <c r="AT2528" s="223"/>
      <c r="AU2528" s="223"/>
      <c r="AV2528" s="223"/>
      <c r="AW2528" s="223"/>
      <c r="AX2528" s="223"/>
      <c r="AY2528" s="223"/>
      <c r="AZ2528" s="223"/>
      <c r="BA2528" s="223"/>
      <c r="BB2528" s="400"/>
      <c r="BC2528" s="400"/>
      <c r="BD2528" s="400"/>
    </row>
    <row r="2529" spans="1:67" s="1" customFormat="1" ht="29.25" customHeight="1" x14ac:dyDescent="0.25">
      <c r="A2529" s="262" t="str">
        <f>'Q100b-totais'!B49</f>
        <v>6.1</v>
      </c>
      <c r="B2529" s="252" t="str">
        <f>'Q100b-totais'!C49</f>
        <v>Calçadas e passarelas</v>
      </c>
      <c r="C2529" s="167" t="s">
        <v>432</v>
      </c>
      <c r="D2529" s="1198" t="s">
        <v>4502</v>
      </c>
      <c r="E2529" s="1496" t="s">
        <v>432</v>
      </c>
      <c r="F2529" s="252" t="s">
        <v>5237</v>
      </c>
      <c r="G2529" s="230" t="s">
        <v>3507</v>
      </c>
      <c r="H2529" s="167" t="s">
        <v>2408</v>
      </c>
      <c r="I2529" s="172" t="s">
        <v>432</v>
      </c>
      <c r="J2529" s="109" t="s">
        <v>432</v>
      </c>
      <c r="K2529" s="109" t="s">
        <v>432</v>
      </c>
      <c r="L2529" s="109" t="s">
        <v>432</v>
      </c>
      <c r="M2529" s="109" t="s">
        <v>432</v>
      </c>
      <c r="N2529" s="109" t="s">
        <v>432</v>
      </c>
      <c r="O2529" s="109" t="s">
        <v>432</v>
      </c>
      <c r="P2529" s="109" t="s">
        <v>432</v>
      </c>
      <c r="Q2529" s="109" t="s">
        <v>432</v>
      </c>
      <c r="R2529" s="109" t="s">
        <v>432</v>
      </c>
      <c r="S2529" s="109" t="s">
        <v>2209</v>
      </c>
      <c r="T2529" s="109" t="s">
        <v>432</v>
      </c>
      <c r="U2529" s="109" t="s">
        <v>432</v>
      </c>
      <c r="V2529" s="109" t="s">
        <v>2209</v>
      </c>
      <c r="W2529" s="109" t="s">
        <v>432</v>
      </c>
      <c r="X2529" s="109" t="s">
        <v>432</v>
      </c>
      <c r="Y2529" s="109" t="s">
        <v>432</v>
      </c>
      <c r="Z2529" s="109" t="s">
        <v>432</v>
      </c>
      <c r="AA2529" s="109" t="s">
        <v>432</v>
      </c>
      <c r="AB2529" s="109" t="s">
        <v>432</v>
      </c>
      <c r="AC2529" s="109" t="s">
        <v>432</v>
      </c>
      <c r="AD2529" s="109" t="s">
        <v>432</v>
      </c>
      <c r="AE2529" s="109" t="s">
        <v>432</v>
      </c>
      <c r="AF2529" s="109" t="s">
        <v>432</v>
      </c>
      <c r="AG2529" s="109" t="s">
        <v>432</v>
      </c>
      <c r="AH2529" s="109" t="s">
        <v>432</v>
      </c>
      <c r="AI2529" s="109" t="s">
        <v>432</v>
      </c>
      <c r="AJ2529" s="109" t="s">
        <v>432</v>
      </c>
      <c r="AK2529" s="137" t="s">
        <v>432</v>
      </c>
      <c r="AL2529" s="601" t="s">
        <v>432</v>
      </c>
      <c r="AM2529" s="137" t="s">
        <v>432</v>
      </c>
      <c r="AN2529" s="137" t="s">
        <v>432</v>
      </c>
      <c r="AO2529" s="137" t="s">
        <v>432</v>
      </c>
      <c r="AP2529" s="137" t="s">
        <v>432</v>
      </c>
      <c r="AQ2529" s="137" t="s">
        <v>432</v>
      </c>
      <c r="AR2529" s="137" t="s">
        <v>432</v>
      </c>
      <c r="AS2529" s="137" t="s">
        <v>432</v>
      </c>
      <c r="AT2529" s="137" t="s">
        <v>432</v>
      </c>
      <c r="AU2529" s="137" t="s">
        <v>432</v>
      </c>
      <c r="AV2529" s="137" t="s">
        <v>432</v>
      </c>
      <c r="AW2529" s="137" t="s">
        <v>432</v>
      </c>
      <c r="AX2529" s="137" t="s">
        <v>432</v>
      </c>
      <c r="AY2529" s="137" t="s">
        <v>432</v>
      </c>
      <c r="AZ2529" s="137" t="s">
        <v>432</v>
      </c>
      <c r="BA2529" s="137" t="s">
        <v>432</v>
      </c>
      <c r="BB2529" s="239" t="str">
        <f>B2529&amp;C2529</f>
        <v>Calçadas e passarelasx</v>
      </c>
      <c r="BC2529" s="239" t="str">
        <f>B2529&amp;C2529&amp;H2529</f>
        <v>Calçadas e passarelasxsigla/verbete</v>
      </c>
      <c r="BD2529" s="239" t="str">
        <f>B2529&amp;H2529</f>
        <v>Calçadas e passarelassigla/verbete</v>
      </c>
    </row>
    <row r="2530" spans="1:67" s="1" customFormat="1" ht="32.25" customHeight="1" x14ac:dyDescent="0.25">
      <c r="A2530" s="262" t="str">
        <f>'Q100b-totais'!B49</f>
        <v>6.1</v>
      </c>
      <c r="B2530" s="252" t="str">
        <f>'Q100b-totais'!C49</f>
        <v>Calçadas e passarelas</v>
      </c>
      <c r="C2530" s="167" t="s">
        <v>432</v>
      </c>
      <c r="D2530" s="1198" t="s">
        <v>5250</v>
      </c>
      <c r="E2530" s="1496" t="s">
        <v>432</v>
      </c>
      <c r="F2530" s="252" t="s">
        <v>5251</v>
      </c>
      <c r="G2530" s="230" t="s">
        <v>3507</v>
      </c>
      <c r="H2530" s="167" t="s">
        <v>2408</v>
      </c>
      <c r="I2530" s="172" t="s">
        <v>432</v>
      </c>
      <c r="J2530" s="109" t="s">
        <v>432</v>
      </c>
      <c r="K2530" s="109" t="s">
        <v>432</v>
      </c>
      <c r="L2530" s="109" t="s">
        <v>432</v>
      </c>
      <c r="M2530" s="109" t="s">
        <v>432</v>
      </c>
      <c r="N2530" s="109" t="s">
        <v>432</v>
      </c>
      <c r="O2530" s="109" t="s">
        <v>432</v>
      </c>
      <c r="P2530" s="109" t="s">
        <v>432</v>
      </c>
      <c r="Q2530" s="109" t="s">
        <v>432</v>
      </c>
      <c r="R2530" s="109" t="s">
        <v>432</v>
      </c>
      <c r="S2530" s="109" t="s">
        <v>2209</v>
      </c>
      <c r="T2530" s="109" t="s">
        <v>432</v>
      </c>
      <c r="U2530" s="109" t="s">
        <v>432</v>
      </c>
      <c r="V2530" s="109" t="s">
        <v>2209</v>
      </c>
      <c r="W2530" s="109" t="s">
        <v>432</v>
      </c>
      <c r="X2530" s="109" t="s">
        <v>432</v>
      </c>
      <c r="Y2530" s="109" t="s">
        <v>432</v>
      </c>
      <c r="Z2530" s="109" t="s">
        <v>432</v>
      </c>
      <c r="AA2530" s="109" t="s">
        <v>432</v>
      </c>
      <c r="AB2530" s="109" t="s">
        <v>432</v>
      </c>
      <c r="AC2530" s="109" t="s">
        <v>432</v>
      </c>
      <c r="AD2530" s="109" t="s">
        <v>432</v>
      </c>
      <c r="AE2530" s="109" t="s">
        <v>432</v>
      </c>
      <c r="AF2530" s="109" t="s">
        <v>432</v>
      </c>
      <c r="AG2530" s="109" t="s">
        <v>432</v>
      </c>
      <c r="AH2530" s="109" t="s">
        <v>432</v>
      </c>
      <c r="AI2530" s="109" t="s">
        <v>432</v>
      </c>
      <c r="AJ2530" s="109" t="s">
        <v>432</v>
      </c>
      <c r="AK2530" s="137" t="s">
        <v>432</v>
      </c>
      <c r="AL2530" s="601" t="s">
        <v>432</v>
      </c>
      <c r="AM2530" s="137" t="s">
        <v>432</v>
      </c>
      <c r="AN2530" s="137" t="s">
        <v>432</v>
      </c>
      <c r="AO2530" s="137" t="s">
        <v>432</v>
      </c>
      <c r="AP2530" s="137" t="s">
        <v>432</v>
      </c>
      <c r="AQ2530" s="137" t="s">
        <v>432</v>
      </c>
      <c r="AR2530" s="137" t="s">
        <v>432</v>
      </c>
      <c r="AS2530" s="137" t="s">
        <v>432</v>
      </c>
      <c r="AT2530" s="137" t="s">
        <v>432</v>
      </c>
      <c r="AU2530" s="137" t="s">
        <v>432</v>
      </c>
      <c r="AV2530" s="137" t="s">
        <v>432</v>
      </c>
      <c r="AW2530" s="137" t="s">
        <v>432</v>
      </c>
      <c r="AX2530" s="137" t="s">
        <v>432</v>
      </c>
      <c r="AY2530" s="137" t="s">
        <v>432</v>
      </c>
      <c r="AZ2530" s="137" t="s">
        <v>432</v>
      </c>
      <c r="BA2530" s="137" t="s">
        <v>432</v>
      </c>
      <c r="BB2530" s="239" t="str">
        <f>B2530&amp;C2530</f>
        <v>Calçadas e passarelasx</v>
      </c>
      <c r="BC2530" s="239" t="str">
        <f>B2530&amp;C2530&amp;H2530</f>
        <v>Calçadas e passarelasxsigla/verbete</v>
      </c>
      <c r="BD2530" s="239" t="str">
        <f>B2530&amp;H2530</f>
        <v>Calçadas e passarelassigla/verbete</v>
      </c>
    </row>
    <row r="2531" spans="1:67" s="1" customFormat="1" ht="219" customHeight="1" x14ac:dyDescent="0.25">
      <c r="A2531" s="262" t="str">
        <f>'Q100b-totais'!B22</f>
        <v>2.7</v>
      </c>
      <c r="B2531" s="252" t="str">
        <f>'Q100b-totais'!C22</f>
        <v>Outras cidades/regiões</v>
      </c>
      <c r="C2531" s="167" t="s">
        <v>743</v>
      </c>
      <c r="D2531" s="716" t="s">
        <v>6170</v>
      </c>
      <c r="E2531" s="509" t="s">
        <v>6170</v>
      </c>
      <c r="F2531" s="252" t="s">
        <v>6216</v>
      </c>
      <c r="G2531" s="230" t="s">
        <v>3507</v>
      </c>
      <c r="H2531" s="167" t="s">
        <v>2408</v>
      </c>
      <c r="I2531" s="172" t="s">
        <v>432</v>
      </c>
      <c r="J2531" s="109" t="s">
        <v>432</v>
      </c>
      <c r="K2531" s="109" t="s">
        <v>432</v>
      </c>
      <c r="L2531" s="109" t="s">
        <v>432</v>
      </c>
      <c r="M2531" s="109" t="s">
        <v>432</v>
      </c>
      <c r="N2531" s="109" t="s">
        <v>432</v>
      </c>
      <c r="O2531" s="109" t="s">
        <v>432</v>
      </c>
      <c r="P2531" s="109" t="s">
        <v>432</v>
      </c>
      <c r="Q2531" s="109" t="s">
        <v>432</v>
      </c>
      <c r="R2531" s="109" t="s">
        <v>432</v>
      </c>
      <c r="S2531" s="109" t="s">
        <v>2209</v>
      </c>
      <c r="T2531" s="109" t="s">
        <v>432</v>
      </c>
      <c r="U2531" s="109" t="s">
        <v>432</v>
      </c>
      <c r="V2531" s="109" t="s">
        <v>2209</v>
      </c>
      <c r="W2531" s="109" t="s">
        <v>432</v>
      </c>
      <c r="X2531" s="109" t="s">
        <v>432</v>
      </c>
      <c r="Y2531" s="109" t="s">
        <v>432</v>
      </c>
      <c r="Z2531" s="109" t="s">
        <v>432</v>
      </c>
      <c r="AA2531" s="109" t="s">
        <v>432</v>
      </c>
      <c r="AB2531" s="109" t="s">
        <v>432</v>
      </c>
      <c r="AC2531" s="109" t="s">
        <v>432</v>
      </c>
      <c r="AD2531" s="109" t="s">
        <v>432</v>
      </c>
      <c r="AE2531" s="109" t="s">
        <v>432</v>
      </c>
      <c r="AF2531" s="109" t="s">
        <v>432</v>
      </c>
      <c r="AG2531" s="109" t="s">
        <v>432</v>
      </c>
      <c r="AH2531" s="109" t="s">
        <v>432</v>
      </c>
      <c r="AI2531" s="109" t="s">
        <v>432</v>
      </c>
      <c r="AJ2531" s="109" t="s">
        <v>432</v>
      </c>
      <c r="AK2531" s="137" t="s">
        <v>432</v>
      </c>
      <c r="AL2531" s="601" t="s">
        <v>432</v>
      </c>
      <c r="AM2531" s="137" t="s">
        <v>432</v>
      </c>
      <c r="AN2531" s="137" t="s">
        <v>432</v>
      </c>
      <c r="AO2531" s="137" t="s">
        <v>432</v>
      </c>
      <c r="AP2531" s="137" t="s">
        <v>432</v>
      </c>
      <c r="AQ2531" s="137" t="s">
        <v>432</v>
      </c>
      <c r="AR2531" s="137" t="s">
        <v>432</v>
      </c>
      <c r="AS2531" s="137" t="s">
        <v>432</v>
      </c>
      <c r="AT2531" s="137" t="s">
        <v>432</v>
      </c>
      <c r="AU2531" s="137" t="s">
        <v>432</v>
      </c>
      <c r="AV2531" s="137" t="s">
        <v>432</v>
      </c>
      <c r="AW2531" s="137" t="s">
        <v>432</v>
      </c>
      <c r="AX2531" s="137" t="s">
        <v>432</v>
      </c>
      <c r="AY2531" s="137" t="s">
        <v>432</v>
      </c>
      <c r="AZ2531" s="137" t="s">
        <v>432</v>
      </c>
      <c r="BA2531" s="137" t="s">
        <v>432</v>
      </c>
      <c r="BB2531" s="239" t="str">
        <f>B2531&amp;C2531</f>
        <v>Outras cidades/regiõesacessibilidade</v>
      </c>
      <c r="BC2531" s="239" t="str">
        <f>B2531&amp;C2531&amp;H2531</f>
        <v>Outras cidades/regiõesacessibilidadesigla/verbete</v>
      </c>
      <c r="BD2531" s="239" t="str">
        <f>B2531&amp;H2531</f>
        <v>Outras cidades/regiõessigla/verbete</v>
      </c>
    </row>
    <row r="2532" spans="1:67" s="1" customFormat="1" x14ac:dyDescent="0.25">
      <c r="A2532" s="398"/>
      <c r="B2532" s="522"/>
      <c r="C2532" s="520"/>
      <c r="D2532" s="987"/>
      <c r="E2532" s="1537"/>
      <c r="F2532" s="405"/>
      <c r="G2532" s="405"/>
      <c r="H2532" s="399"/>
      <c r="I2532" s="405"/>
      <c r="J2532" s="221"/>
      <c r="K2532" s="403"/>
      <c r="L2532" s="403"/>
      <c r="M2532" s="403"/>
      <c r="N2532" s="403"/>
      <c r="O2532" s="403"/>
      <c r="P2532" s="403"/>
      <c r="Q2532" s="403"/>
      <c r="R2532" s="403"/>
      <c r="S2532" s="403"/>
      <c r="T2532" s="403"/>
      <c r="U2532" s="403"/>
      <c r="V2532" s="403"/>
      <c r="W2532" s="403"/>
      <c r="X2532" s="403"/>
      <c r="Y2532" s="403"/>
      <c r="Z2532" s="403"/>
      <c r="AA2532" s="403"/>
      <c r="AB2532" s="403"/>
      <c r="AC2532" s="403"/>
      <c r="AD2532" s="403"/>
      <c r="AE2532" s="403"/>
      <c r="AF2532" s="403"/>
      <c r="AG2532" s="403"/>
      <c r="AH2532" s="403"/>
      <c r="AI2532" s="403"/>
      <c r="AJ2532" s="403"/>
      <c r="AK2532" s="223"/>
      <c r="AL2532" s="223"/>
      <c r="AM2532" s="223"/>
      <c r="AN2532" s="223"/>
      <c r="AO2532" s="223"/>
      <c r="AP2532" s="223"/>
      <c r="AQ2532" s="223"/>
      <c r="AR2532" s="223"/>
      <c r="AS2532" s="223"/>
      <c r="AT2532" s="223"/>
      <c r="AU2532" s="223"/>
      <c r="AV2532" s="223"/>
      <c r="AW2532" s="223"/>
      <c r="AX2532" s="223"/>
      <c r="AY2532" s="223"/>
      <c r="AZ2532" s="223"/>
      <c r="BA2532" s="223"/>
      <c r="BB2532" s="400"/>
      <c r="BC2532" s="400"/>
      <c r="BD2532" s="400"/>
    </row>
    <row r="2533" spans="1:67" ht="57.75" x14ac:dyDescent="0.25">
      <c r="A2533" s="275" t="s">
        <v>982</v>
      </c>
      <c r="B2533" s="54" t="s">
        <v>983</v>
      </c>
      <c r="C2533" s="303" t="s">
        <v>935</v>
      </c>
      <c r="D2533" s="939" t="s">
        <v>1066</v>
      </c>
      <c r="E2533" s="1496" t="s">
        <v>1306</v>
      </c>
      <c r="F2533" s="5" t="s">
        <v>1062</v>
      </c>
      <c r="G2533" s="448" t="s">
        <v>678</v>
      </c>
      <c r="H2533" s="448" t="s">
        <v>678</v>
      </c>
      <c r="I2533" s="167">
        <v>1</v>
      </c>
      <c r="J2533" s="107" t="s">
        <v>432</v>
      </c>
      <c r="K2533" s="107" t="s">
        <v>432</v>
      </c>
      <c r="L2533" s="107" t="s">
        <v>432</v>
      </c>
      <c r="M2533" s="107" t="s">
        <v>432</v>
      </c>
      <c r="N2533" s="107" t="s">
        <v>432</v>
      </c>
      <c r="O2533" s="107" t="s">
        <v>432</v>
      </c>
      <c r="P2533" s="107" t="s">
        <v>432</v>
      </c>
      <c r="Q2533" s="107" t="s">
        <v>432</v>
      </c>
      <c r="R2533" s="107" t="s">
        <v>432</v>
      </c>
      <c r="S2533" s="109" t="s">
        <v>2209</v>
      </c>
      <c r="T2533" s="107" t="s">
        <v>432</v>
      </c>
      <c r="U2533" s="107" t="s">
        <v>432</v>
      </c>
      <c r="V2533" s="109" t="s">
        <v>2209</v>
      </c>
      <c r="W2533" s="107" t="s">
        <v>432</v>
      </c>
      <c r="X2533" s="107" t="s">
        <v>432</v>
      </c>
      <c r="Y2533" s="107" t="s">
        <v>432</v>
      </c>
      <c r="Z2533" s="107" t="s">
        <v>432</v>
      </c>
      <c r="AA2533" s="107" t="s">
        <v>432</v>
      </c>
      <c r="AB2533" s="107" t="s">
        <v>432</v>
      </c>
      <c r="AC2533" s="107" t="s">
        <v>432</v>
      </c>
      <c r="AD2533" s="107" t="s">
        <v>432</v>
      </c>
      <c r="AE2533" s="107" t="s">
        <v>432</v>
      </c>
      <c r="AF2533" s="107" t="s">
        <v>432</v>
      </c>
      <c r="AG2533" s="107" t="s">
        <v>432</v>
      </c>
      <c r="AH2533" s="107" t="s">
        <v>432</v>
      </c>
      <c r="AI2533" s="107" t="s">
        <v>432</v>
      </c>
      <c r="AJ2533" s="107" t="s">
        <v>432</v>
      </c>
      <c r="AK2533" s="137" t="s">
        <v>432</v>
      </c>
      <c r="AL2533" s="601" t="s">
        <v>432</v>
      </c>
      <c r="AM2533" s="137" t="s">
        <v>432</v>
      </c>
      <c r="AN2533" s="137" t="s">
        <v>432</v>
      </c>
      <c r="AO2533" s="137" t="s">
        <v>432</v>
      </c>
      <c r="AP2533" s="137" t="s">
        <v>432</v>
      </c>
      <c r="AQ2533" s="137" t="s">
        <v>432</v>
      </c>
      <c r="AR2533" s="137" t="s">
        <v>432</v>
      </c>
      <c r="AS2533" s="137" t="s">
        <v>432</v>
      </c>
      <c r="AT2533" s="137" t="s">
        <v>432</v>
      </c>
      <c r="AU2533" s="137" t="s">
        <v>432</v>
      </c>
      <c r="AV2533" s="137" t="s">
        <v>432</v>
      </c>
      <c r="AW2533" s="137" t="s">
        <v>432</v>
      </c>
      <c r="AX2533" s="137" t="s">
        <v>432</v>
      </c>
      <c r="AY2533" s="137" t="s">
        <v>432</v>
      </c>
      <c r="AZ2533" s="137" t="s">
        <v>432</v>
      </c>
      <c r="BA2533" s="137" t="s">
        <v>432</v>
      </c>
      <c r="BB2533" s="239" t="str">
        <f t="shared" si="747"/>
        <v>Sistema de transporte coletivo com um todoCMMCE</v>
      </c>
      <c r="BC2533" s="239" t="str">
        <f t="shared" si="748"/>
        <v>Sistema de transporte coletivo com um todoCMMCEainda não incorporado ao SisMob-BH</v>
      </c>
      <c r="BD2533" s="239" t="str">
        <f t="shared" si="749"/>
        <v>Sistema de transporte coletivo com um todoainda não incorporado ao SisMob-BH</v>
      </c>
      <c r="BM2533" s="19"/>
      <c r="BN2533" s="19"/>
      <c r="BO2533" s="19"/>
    </row>
    <row r="2534" spans="1:67" s="105" customFormat="1" ht="59.25" customHeight="1" x14ac:dyDescent="0.25">
      <c r="A2534" s="275" t="s">
        <v>982</v>
      </c>
      <c r="B2534" s="54" t="s">
        <v>983</v>
      </c>
      <c r="C2534" s="303" t="s">
        <v>935</v>
      </c>
      <c r="D2534" s="939" t="s">
        <v>1066</v>
      </c>
      <c r="E2534" s="1496" t="s">
        <v>1306</v>
      </c>
      <c r="F2534" s="5" t="s">
        <v>1431</v>
      </c>
      <c r="G2534" s="448" t="s">
        <v>678</v>
      </c>
      <c r="H2534" s="448" t="s">
        <v>678</v>
      </c>
      <c r="I2534" s="167">
        <v>1</v>
      </c>
      <c r="J2534" s="107" t="s">
        <v>432</v>
      </c>
      <c r="K2534" s="107" t="s">
        <v>432</v>
      </c>
      <c r="L2534" s="107" t="s">
        <v>432</v>
      </c>
      <c r="M2534" s="107" t="s">
        <v>432</v>
      </c>
      <c r="N2534" s="107" t="s">
        <v>432</v>
      </c>
      <c r="O2534" s="107" t="s">
        <v>432</v>
      </c>
      <c r="P2534" s="107" t="s">
        <v>432</v>
      </c>
      <c r="Q2534" s="107" t="s">
        <v>432</v>
      </c>
      <c r="R2534" s="107" t="s">
        <v>432</v>
      </c>
      <c r="S2534" s="109" t="s">
        <v>2209</v>
      </c>
      <c r="T2534" s="107" t="s">
        <v>432</v>
      </c>
      <c r="U2534" s="107" t="s">
        <v>432</v>
      </c>
      <c r="V2534" s="109" t="s">
        <v>2209</v>
      </c>
      <c r="W2534" s="107" t="s">
        <v>432</v>
      </c>
      <c r="X2534" s="107" t="s">
        <v>432</v>
      </c>
      <c r="Y2534" s="107" t="s">
        <v>432</v>
      </c>
      <c r="Z2534" s="107" t="s">
        <v>432</v>
      </c>
      <c r="AA2534" s="107" t="s">
        <v>432</v>
      </c>
      <c r="AB2534" s="107" t="s">
        <v>432</v>
      </c>
      <c r="AC2534" s="107" t="s">
        <v>432</v>
      </c>
      <c r="AD2534" s="107" t="s">
        <v>432</v>
      </c>
      <c r="AE2534" s="107" t="s">
        <v>432</v>
      </c>
      <c r="AF2534" s="107" t="s">
        <v>432</v>
      </c>
      <c r="AG2534" s="107" t="s">
        <v>432</v>
      </c>
      <c r="AH2534" s="107" t="s">
        <v>432</v>
      </c>
      <c r="AI2534" s="107" t="s">
        <v>432</v>
      </c>
      <c r="AJ2534" s="107" t="s">
        <v>432</v>
      </c>
      <c r="AK2534" s="137" t="s">
        <v>432</v>
      </c>
      <c r="AL2534" s="601" t="s">
        <v>432</v>
      </c>
      <c r="AM2534" s="137" t="s">
        <v>432</v>
      </c>
      <c r="AN2534" s="137" t="s">
        <v>432</v>
      </c>
      <c r="AO2534" s="137" t="s">
        <v>432</v>
      </c>
      <c r="AP2534" s="137" t="s">
        <v>432</v>
      </c>
      <c r="AQ2534" s="137" t="s">
        <v>432</v>
      </c>
      <c r="AR2534" s="137" t="s">
        <v>432</v>
      </c>
      <c r="AS2534" s="137" t="s">
        <v>432</v>
      </c>
      <c r="AT2534" s="137" t="s">
        <v>432</v>
      </c>
      <c r="AU2534" s="137" t="s">
        <v>432</v>
      </c>
      <c r="AV2534" s="137" t="s">
        <v>432</v>
      </c>
      <c r="AW2534" s="137" t="s">
        <v>432</v>
      </c>
      <c r="AX2534" s="137" t="s">
        <v>432</v>
      </c>
      <c r="AY2534" s="137" t="s">
        <v>432</v>
      </c>
      <c r="AZ2534" s="137" t="s">
        <v>432</v>
      </c>
      <c r="BA2534" s="137" t="s">
        <v>432</v>
      </c>
      <c r="BB2534" s="239" t="str">
        <f t="shared" ref="BB2534:BB2563" si="767">B2534&amp;C2534</f>
        <v>Sistema de transporte coletivo com um todoCMMCE</v>
      </c>
      <c r="BC2534" s="239" t="str">
        <f t="shared" ref="BC2534:BC2563" si="768">B2534&amp;C2534&amp;H2534</f>
        <v>Sistema de transporte coletivo com um todoCMMCEainda não incorporado ao SisMob-BH</v>
      </c>
      <c r="BD2534" s="239" t="str">
        <f t="shared" ref="BD2534:BD2563" si="769">B2534&amp;H2534</f>
        <v>Sistema de transporte coletivo com um todoainda não incorporado ao SisMob-BH</v>
      </c>
      <c r="BM2534" s="372"/>
      <c r="BN2534" s="372"/>
      <c r="BO2534" s="372"/>
    </row>
    <row r="2535" spans="1:67" s="105" customFormat="1" ht="59.25" customHeight="1" x14ac:dyDescent="0.25">
      <c r="A2535" s="275" t="s">
        <v>982</v>
      </c>
      <c r="B2535" s="54" t="s">
        <v>983</v>
      </c>
      <c r="C2535" s="303" t="s">
        <v>935</v>
      </c>
      <c r="D2535" s="939" t="s">
        <v>1066</v>
      </c>
      <c r="E2535" s="1496" t="s">
        <v>1306</v>
      </c>
      <c r="F2535" s="5" t="s">
        <v>1063</v>
      </c>
      <c r="G2535" s="448" t="s">
        <v>678</v>
      </c>
      <c r="H2535" s="448" t="s">
        <v>678</v>
      </c>
      <c r="I2535" s="167">
        <v>1</v>
      </c>
      <c r="J2535" s="107" t="s">
        <v>432</v>
      </c>
      <c r="K2535" s="107" t="s">
        <v>432</v>
      </c>
      <c r="L2535" s="107" t="s">
        <v>432</v>
      </c>
      <c r="M2535" s="107" t="s">
        <v>432</v>
      </c>
      <c r="N2535" s="107" t="s">
        <v>432</v>
      </c>
      <c r="O2535" s="107" t="s">
        <v>432</v>
      </c>
      <c r="P2535" s="107" t="s">
        <v>432</v>
      </c>
      <c r="Q2535" s="107" t="s">
        <v>432</v>
      </c>
      <c r="R2535" s="107" t="s">
        <v>432</v>
      </c>
      <c r="S2535" s="109" t="s">
        <v>2209</v>
      </c>
      <c r="T2535" s="107" t="s">
        <v>432</v>
      </c>
      <c r="U2535" s="107" t="s">
        <v>432</v>
      </c>
      <c r="V2535" s="109" t="s">
        <v>2209</v>
      </c>
      <c r="W2535" s="107" t="s">
        <v>432</v>
      </c>
      <c r="X2535" s="107" t="s">
        <v>432</v>
      </c>
      <c r="Y2535" s="107" t="s">
        <v>432</v>
      </c>
      <c r="Z2535" s="107" t="s">
        <v>432</v>
      </c>
      <c r="AA2535" s="107" t="s">
        <v>432</v>
      </c>
      <c r="AB2535" s="107" t="s">
        <v>432</v>
      </c>
      <c r="AC2535" s="107" t="s">
        <v>432</v>
      </c>
      <c r="AD2535" s="107" t="s">
        <v>432</v>
      </c>
      <c r="AE2535" s="107" t="s">
        <v>432</v>
      </c>
      <c r="AF2535" s="107" t="s">
        <v>432</v>
      </c>
      <c r="AG2535" s="107" t="s">
        <v>432</v>
      </c>
      <c r="AH2535" s="107" t="s">
        <v>432</v>
      </c>
      <c r="AI2535" s="107" t="s">
        <v>432</v>
      </c>
      <c r="AJ2535" s="107" t="s">
        <v>432</v>
      </c>
      <c r="AK2535" s="107" t="s">
        <v>432</v>
      </c>
      <c r="AL2535" s="601" t="s">
        <v>432</v>
      </c>
      <c r="AM2535" s="137" t="s">
        <v>432</v>
      </c>
      <c r="AN2535" s="137" t="s">
        <v>432</v>
      </c>
      <c r="AO2535" s="137" t="s">
        <v>432</v>
      </c>
      <c r="AP2535" s="137" t="s">
        <v>432</v>
      </c>
      <c r="AQ2535" s="137" t="s">
        <v>432</v>
      </c>
      <c r="AR2535" s="137" t="s">
        <v>432</v>
      </c>
      <c r="AS2535" s="137" t="s">
        <v>432</v>
      </c>
      <c r="AT2535" s="137" t="s">
        <v>432</v>
      </c>
      <c r="AU2535" s="137" t="s">
        <v>432</v>
      </c>
      <c r="AV2535" s="137" t="s">
        <v>432</v>
      </c>
      <c r="AW2535" s="137" t="s">
        <v>432</v>
      </c>
      <c r="AX2535" s="137" t="s">
        <v>432</v>
      </c>
      <c r="AY2535" s="137" t="s">
        <v>432</v>
      </c>
      <c r="AZ2535" s="137" t="s">
        <v>432</v>
      </c>
      <c r="BA2535" s="137" t="s">
        <v>432</v>
      </c>
      <c r="BB2535" s="239" t="str">
        <f t="shared" si="767"/>
        <v>Sistema de transporte coletivo com um todoCMMCE</v>
      </c>
      <c r="BC2535" s="239" t="str">
        <f t="shared" si="768"/>
        <v>Sistema de transporte coletivo com um todoCMMCEainda não incorporado ao SisMob-BH</v>
      </c>
      <c r="BD2535" s="239" t="str">
        <f t="shared" si="769"/>
        <v>Sistema de transporte coletivo com um todoainda não incorporado ao SisMob-BH</v>
      </c>
      <c r="BM2535" s="193"/>
      <c r="BN2535" s="193"/>
      <c r="BO2535" s="193"/>
    </row>
    <row r="2536" spans="1:67" s="105" customFormat="1" ht="41.25" x14ac:dyDescent="0.25">
      <c r="A2536" s="275" t="s">
        <v>623</v>
      </c>
      <c r="B2536" s="54" t="s">
        <v>186</v>
      </c>
      <c r="C2536" s="303" t="s">
        <v>935</v>
      </c>
      <c r="D2536" s="939" t="s">
        <v>1066</v>
      </c>
      <c r="E2536" s="1496" t="s">
        <v>1306</v>
      </c>
      <c r="F2536" s="5" t="s">
        <v>1064</v>
      </c>
      <c r="G2536" s="448" t="s">
        <v>678</v>
      </c>
      <c r="H2536" s="448" t="s">
        <v>678</v>
      </c>
      <c r="I2536" s="167">
        <v>1</v>
      </c>
      <c r="J2536" s="107" t="s">
        <v>432</v>
      </c>
      <c r="K2536" s="107" t="s">
        <v>432</v>
      </c>
      <c r="L2536" s="107" t="s">
        <v>432</v>
      </c>
      <c r="M2536" s="107" t="s">
        <v>432</v>
      </c>
      <c r="N2536" s="107" t="s">
        <v>432</v>
      </c>
      <c r="O2536" s="107" t="s">
        <v>432</v>
      </c>
      <c r="P2536" s="107" t="s">
        <v>432</v>
      </c>
      <c r="Q2536" s="107" t="s">
        <v>432</v>
      </c>
      <c r="R2536" s="107" t="s">
        <v>432</v>
      </c>
      <c r="S2536" s="109" t="s">
        <v>2209</v>
      </c>
      <c r="T2536" s="107" t="s">
        <v>432</v>
      </c>
      <c r="U2536" s="107" t="s">
        <v>432</v>
      </c>
      <c r="V2536" s="109" t="s">
        <v>2209</v>
      </c>
      <c r="W2536" s="107" t="s">
        <v>432</v>
      </c>
      <c r="X2536" s="107" t="s">
        <v>432</v>
      </c>
      <c r="Y2536" s="107" t="s">
        <v>432</v>
      </c>
      <c r="Z2536" s="107" t="s">
        <v>432</v>
      </c>
      <c r="AA2536" s="107" t="s">
        <v>432</v>
      </c>
      <c r="AB2536" s="107" t="s">
        <v>432</v>
      </c>
      <c r="AC2536" s="107" t="s">
        <v>432</v>
      </c>
      <c r="AD2536" s="107" t="s">
        <v>432</v>
      </c>
      <c r="AE2536" s="107" t="s">
        <v>432</v>
      </c>
      <c r="AF2536" s="107" t="s">
        <v>432</v>
      </c>
      <c r="AG2536" s="107" t="s">
        <v>432</v>
      </c>
      <c r="AH2536" s="107" t="s">
        <v>432</v>
      </c>
      <c r="AI2536" s="107" t="s">
        <v>432</v>
      </c>
      <c r="AJ2536" s="107" t="s">
        <v>432</v>
      </c>
      <c r="AK2536" s="107" t="s">
        <v>432</v>
      </c>
      <c r="AL2536" s="601" t="s">
        <v>432</v>
      </c>
      <c r="AM2536" s="137" t="s">
        <v>432</v>
      </c>
      <c r="AN2536" s="137" t="s">
        <v>432</v>
      </c>
      <c r="AO2536" s="137" t="s">
        <v>432</v>
      </c>
      <c r="AP2536" s="137" t="s">
        <v>432</v>
      </c>
      <c r="AQ2536" s="137" t="s">
        <v>432</v>
      </c>
      <c r="AR2536" s="137" t="s">
        <v>432</v>
      </c>
      <c r="AS2536" s="137" t="s">
        <v>432</v>
      </c>
      <c r="AT2536" s="137" t="s">
        <v>432</v>
      </c>
      <c r="AU2536" s="137" t="s">
        <v>432</v>
      </c>
      <c r="AV2536" s="137" t="s">
        <v>432</v>
      </c>
      <c r="AW2536" s="137" t="s">
        <v>432</v>
      </c>
      <c r="AX2536" s="137" t="s">
        <v>432</v>
      </c>
      <c r="AY2536" s="137" t="s">
        <v>432</v>
      </c>
      <c r="AZ2536" s="137" t="s">
        <v>432</v>
      </c>
      <c r="BA2536" s="137" t="s">
        <v>432</v>
      </c>
      <c r="BB2536" s="239" t="str">
        <f t="shared" si="767"/>
        <v>Velocidades e volumesCMMCE</v>
      </c>
      <c r="BC2536" s="239" t="str">
        <f t="shared" si="768"/>
        <v>Velocidades e volumesCMMCEainda não incorporado ao SisMob-BH</v>
      </c>
      <c r="BD2536" s="239" t="str">
        <f t="shared" si="769"/>
        <v>Velocidades e volumesainda não incorporado ao SisMob-BH</v>
      </c>
      <c r="BM2536" s="193"/>
      <c r="BN2536" s="193"/>
      <c r="BO2536" s="193"/>
    </row>
    <row r="2537" spans="1:67" s="105" customFormat="1" ht="59.25" customHeight="1" x14ac:dyDescent="0.25">
      <c r="A2537" s="275" t="s">
        <v>982</v>
      </c>
      <c r="B2537" s="54" t="s">
        <v>983</v>
      </c>
      <c r="C2537" s="303" t="s">
        <v>935</v>
      </c>
      <c r="D2537" s="939" t="s">
        <v>1066</v>
      </c>
      <c r="E2537" s="1496" t="s">
        <v>1306</v>
      </c>
      <c r="F2537" s="5" t="s">
        <v>1065</v>
      </c>
      <c r="G2537" s="448" t="s">
        <v>678</v>
      </c>
      <c r="H2537" s="448" t="s">
        <v>678</v>
      </c>
      <c r="I2537" s="167">
        <v>1</v>
      </c>
      <c r="J2537" s="107" t="s">
        <v>432</v>
      </c>
      <c r="K2537" s="107" t="s">
        <v>432</v>
      </c>
      <c r="L2537" s="107" t="s">
        <v>432</v>
      </c>
      <c r="M2537" s="107" t="s">
        <v>432</v>
      </c>
      <c r="N2537" s="107" t="s">
        <v>432</v>
      </c>
      <c r="O2537" s="107" t="s">
        <v>432</v>
      </c>
      <c r="P2537" s="107" t="s">
        <v>432</v>
      </c>
      <c r="Q2537" s="107" t="s">
        <v>432</v>
      </c>
      <c r="R2537" s="107" t="s">
        <v>432</v>
      </c>
      <c r="S2537" s="109" t="s">
        <v>2209</v>
      </c>
      <c r="T2537" s="107" t="s">
        <v>432</v>
      </c>
      <c r="U2537" s="107" t="s">
        <v>432</v>
      </c>
      <c r="V2537" s="109" t="s">
        <v>2209</v>
      </c>
      <c r="W2537" s="107" t="s">
        <v>432</v>
      </c>
      <c r="X2537" s="107" t="s">
        <v>432</v>
      </c>
      <c r="Y2537" s="107" t="s">
        <v>432</v>
      </c>
      <c r="Z2537" s="107" t="s">
        <v>432</v>
      </c>
      <c r="AA2537" s="107" t="s">
        <v>432</v>
      </c>
      <c r="AB2537" s="107" t="s">
        <v>432</v>
      </c>
      <c r="AC2537" s="107" t="s">
        <v>432</v>
      </c>
      <c r="AD2537" s="107" t="s">
        <v>432</v>
      </c>
      <c r="AE2537" s="107" t="s">
        <v>432</v>
      </c>
      <c r="AF2537" s="107" t="s">
        <v>432</v>
      </c>
      <c r="AG2537" s="107" t="s">
        <v>432</v>
      </c>
      <c r="AH2537" s="107" t="s">
        <v>432</v>
      </c>
      <c r="AI2537" s="107" t="s">
        <v>432</v>
      </c>
      <c r="AJ2537" s="107" t="s">
        <v>432</v>
      </c>
      <c r="AK2537" s="107" t="s">
        <v>432</v>
      </c>
      <c r="AL2537" s="601" t="s">
        <v>432</v>
      </c>
      <c r="AM2537" s="137" t="s">
        <v>432</v>
      </c>
      <c r="AN2537" s="137" t="s">
        <v>432</v>
      </c>
      <c r="AO2537" s="137" t="s">
        <v>432</v>
      </c>
      <c r="AP2537" s="137" t="s">
        <v>432</v>
      </c>
      <c r="AQ2537" s="137" t="s">
        <v>432</v>
      </c>
      <c r="AR2537" s="137" t="s">
        <v>432</v>
      </c>
      <c r="AS2537" s="137" t="s">
        <v>432</v>
      </c>
      <c r="AT2537" s="137" t="s">
        <v>432</v>
      </c>
      <c r="AU2537" s="137" t="s">
        <v>432</v>
      </c>
      <c r="AV2537" s="137" t="s">
        <v>432</v>
      </c>
      <c r="AW2537" s="137" t="s">
        <v>432</v>
      </c>
      <c r="AX2537" s="137" t="s">
        <v>432</v>
      </c>
      <c r="AY2537" s="137" t="s">
        <v>432</v>
      </c>
      <c r="AZ2537" s="137" t="s">
        <v>432</v>
      </c>
      <c r="BA2537" s="137" t="s">
        <v>432</v>
      </c>
      <c r="BB2537" s="239" t="str">
        <f t="shared" si="767"/>
        <v>Sistema de transporte coletivo com um todoCMMCE</v>
      </c>
      <c r="BC2537" s="239" t="str">
        <f t="shared" si="768"/>
        <v>Sistema de transporte coletivo com um todoCMMCEainda não incorporado ao SisMob-BH</v>
      </c>
      <c r="BD2537" s="239" t="str">
        <f t="shared" si="769"/>
        <v>Sistema de transporte coletivo com um todoainda não incorporado ao SisMob-BH</v>
      </c>
      <c r="BM2537" s="193"/>
      <c r="BN2537" s="193"/>
      <c r="BO2537" s="193"/>
    </row>
    <row r="2538" spans="1:67" s="105" customFormat="1" ht="76.5" customHeight="1" x14ac:dyDescent="0.25">
      <c r="A2538" s="275" t="s">
        <v>982</v>
      </c>
      <c r="B2538" s="54" t="s">
        <v>983</v>
      </c>
      <c r="C2538" s="303" t="s">
        <v>935</v>
      </c>
      <c r="D2538" s="939" t="s">
        <v>1066</v>
      </c>
      <c r="E2538" s="1496" t="s">
        <v>1306</v>
      </c>
      <c r="F2538" s="5" t="s">
        <v>1959</v>
      </c>
      <c r="G2538" s="448" t="s">
        <v>678</v>
      </c>
      <c r="H2538" s="448" t="s">
        <v>678</v>
      </c>
      <c r="I2538" s="167">
        <v>1</v>
      </c>
      <c r="J2538" s="107" t="s">
        <v>432</v>
      </c>
      <c r="K2538" s="107" t="s">
        <v>432</v>
      </c>
      <c r="L2538" s="107" t="s">
        <v>432</v>
      </c>
      <c r="M2538" s="107" t="s">
        <v>432</v>
      </c>
      <c r="N2538" s="107" t="s">
        <v>432</v>
      </c>
      <c r="O2538" s="107" t="s">
        <v>432</v>
      </c>
      <c r="P2538" s="107" t="s">
        <v>432</v>
      </c>
      <c r="Q2538" s="107" t="s">
        <v>432</v>
      </c>
      <c r="R2538" s="107" t="s">
        <v>432</v>
      </c>
      <c r="S2538" s="109" t="s">
        <v>2209</v>
      </c>
      <c r="T2538" s="107" t="s">
        <v>432</v>
      </c>
      <c r="U2538" s="107" t="s">
        <v>432</v>
      </c>
      <c r="V2538" s="109" t="s">
        <v>2209</v>
      </c>
      <c r="W2538" s="107" t="s">
        <v>432</v>
      </c>
      <c r="X2538" s="107" t="s">
        <v>432</v>
      </c>
      <c r="Y2538" s="107" t="s">
        <v>432</v>
      </c>
      <c r="Z2538" s="107" t="s">
        <v>432</v>
      </c>
      <c r="AA2538" s="107" t="s">
        <v>432</v>
      </c>
      <c r="AB2538" s="107" t="s">
        <v>432</v>
      </c>
      <c r="AC2538" s="107" t="s">
        <v>432</v>
      </c>
      <c r="AD2538" s="107" t="s">
        <v>432</v>
      </c>
      <c r="AE2538" s="107" t="s">
        <v>432</v>
      </c>
      <c r="AF2538" s="107" t="s">
        <v>432</v>
      </c>
      <c r="AG2538" s="107" t="s">
        <v>432</v>
      </c>
      <c r="AH2538" s="107" t="s">
        <v>432</v>
      </c>
      <c r="AI2538" s="107" t="s">
        <v>432</v>
      </c>
      <c r="AJ2538" s="107" t="s">
        <v>432</v>
      </c>
      <c r="AK2538" s="107" t="s">
        <v>432</v>
      </c>
      <c r="AL2538" s="601" t="s">
        <v>432</v>
      </c>
      <c r="AM2538" s="137" t="s">
        <v>432</v>
      </c>
      <c r="AN2538" s="137" t="s">
        <v>432</v>
      </c>
      <c r="AO2538" s="137" t="s">
        <v>432</v>
      </c>
      <c r="AP2538" s="137" t="s">
        <v>432</v>
      </c>
      <c r="AQ2538" s="137" t="s">
        <v>432</v>
      </c>
      <c r="AR2538" s="137" t="s">
        <v>432</v>
      </c>
      <c r="AS2538" s="137" t="s">
        <v>432</v>
      </c>
      <c r="AT2538" s="137" t="s">
        <v>432</v>
      </c>
      <c r="AU2538" s="137" t="s">
        <v>432</v>
      </c>
      <c r="AV2538" s="137" t="s">
        <v>432</v>
      </c>
      <c r="AW2538" s="137" t="s">
        <v>432</v>
      </c>
      <c r="AX2538" s="137" t="s">
        <v>432</v>
      </c>
      <c r="AY2538" s="137" t="s">
        <v>432</v>
      </c>
      <c r="AZ2538" s="137" t="s">
        <v>432</v>
      </c>
      <c r="BA2538" s="137" t="s">
        <v>432</v>
      </c>
      <c r="BB2538" s="239" t="str">
        <f t="shared" si="767"/>
        <v>Sistema de transporte coletivo com um todoCMMCE</v>
      </c>
      <c r="BC2538" s="239" t="str">
        <f t="shared" si="768"/>
        <v>Sistema de transporte coletivo com um todoCMMCEainda não incorporado ao SisMob-BH</v>
      </c>
      <c r="BD2538" s="239" t="str">
        <f t="shared" si="769"/>
        <v>Sistema de transporte coletivo com um todoainda não incorporado ao SisMob-BH</v>
      </c>
      <c r="BM2538" s="193"/>
      <c r="BN2538" s="193"/>
      <c r="BO2538" s="193"/>
    </row>
    <row r="2539" spans="1:67" s="105" customFormat="1" ht="43.5" customHeight="1" x14ac:dyDescent="0.25">
      <c r="A2539" s="275" t="s">
        <v>613</v>
      </c>
      <c r="B2539" s="54" t="s">
        <v>932</v>
      </c>
      <c r="C2539" s="303" t="s">
        <v>935</v>
      </c>
      <c r="D2539" s="939" t="s">
        <v>1066</v>
      </c>
      <c r="E2539" s="1496" t="s">
        <v>1306</v>
      </c>
      <c r="F2539" s="5" t="s">
        <v>1067</v>
      </c>
      <c r="G2539" s="448" t="s">
        <v>678</v>
      </c>
      <c r="H2539" s="602" t="s">
        <v>678</v>
      </c>
      <c r="I2539" s="167">
        <v>1</v>
      </c>
      <c r="J2539" s="107" t="s">
        <v>432</v>
      </c>
      <c r="K2539" s="107" t="s">
        <v>432</v>
      </c>
      <c r="L2539" s="107" t="s">
        <v>432</v>
      </c>
      <c r="M2539" s="107" t="s">
        <v>432</v>
      </c>
      <c r="N2539" s="107" t="s">
        <v>432</v>
      </c>
      <c r="O2539" s="107" t="s">
        <v>432</v>
      </c>
      <c r="P2539" s="107" t="s">
        <v>432</v>
      </c>
      <c r="Q2539" s="107" t="s">
        <v>432</v>
      </c>
      <c r="R2539" s="107" t="s">
        <v>432</v>
      </c>
      <c r="S2539" s="109" t="s">
        <v>2209</v>
      </c>
      <c r="T2539" s="107" t="s">
        <v>432</v>
      </c>
      <c r="U2539" s="107" t="s">
        <v>432</v>
      </c>
      <c r="V2539" s="109" t="s">
        <v>2209</v>
      </c>
      <c r="W2539" s="107" t="s">
        <v>432</v>
      </c>
      <c r="X2539" s="107" t="s">
        <v>432</v>
      </c>
      <c r="Y2539" s="107" t="s">
        <v>432</v>
      </c>
      <c r="Z2539" s="107" t="s">
        <v>432</v>
      </c>
      <c r="AA2539" s="107" t="s">
        <v>432</v>
      </c>
      <c r="AB2539" s="107" t="s">
        <v>432</v>
      </c>
      <c r="AC2539" s="107" t="s">
        <v>432</v>
      </c>
      <c r="AD2539" s="107" t="s">
        <v>432</v>
      </c>
      <c r="AE2539" s="107" t="s">
        <v>432</v>
      </c>
      <c r="AF2539" s="107" t="s">
        <v>432</v>
      </c>
      <c r="AG2539" s="107" t="s">
        <v>432</v>
      </c>
      <c r="AH2539" s="107" t="s">
        <v>432</v>
      </c>
      <c r="AI2539" s="107" t="s">
        <v>432</v>
      </c>
      <c r="AJ2539" s="107" t="s">
        <v>432</v>
      </c>
      <c r="AK2539" s="107" t="s">
        <v>678</v>
      </c>
      <c r="AL2539" s="601" t="s">
        <v>432</v>
      </c>
      <c r="AM2539" s="137" t="s">
        <v>432</v>
      </c>
      <c r="AN2539" s="137" t="s">
        <v>432</v>
      </c>
      <c r="AO2539" s="137" t="s">
        <v>432</v>
      </c>
      <c r="AP2539" s="137" t="s">
        <v>432</v>
      </c>
      <c r="AQ2539" s="137" t="s">
        <v>432</v>
      </c>
      <c r="AR2539" s="137" t="s">
        <v>432</v>
      </c>
      <c r="AS2539" s="137" t="s">
        <v>432</v>
      </c>
      <c r="AT2539" s="137" t="s">
        <v>432</v>
      </c>
      <c r="AU2539" s="137" t="s">
        <v>432</v>
      </c>
      <c r="AV2539" s="137" t="s">
        <v>432</v>
      </c>
      <c r="AW2539" s="137" t="s">
        <v>432</v>
      </c>
      <c r="AX2539" s="137" t="s">
        <v>432</v>
      </c>
      <c r="AY2539" s="137" t="s">
        <v>432</v>
      </c>
      <c r="AZ2539" s="137" t="s">
        <v>432</v>
      </c>
      <c r="BA2539" s="137" t="s">
        <v>432</v>
      </c>
      <c r="BB2539" s="239" t="str">
        <f t="shared" si="767"/>
        <v>Transporte convencionalCMMCE</v>
      </c>
      <c r="BC2539" s="239" t="str">
        <f t="shared" si="768"/>
        <v>Transporte convencionalCMMCEainda não incorporado ao SisMob-BH</v>
      </c>
      <c r="BD2539" s="239" t="str">
        <f t="shared" si="769"/>
        <v>Transporte convencionalainda não incorporado ao SisMob-BH</v>
      </c>
      <c r="BM2539" s="193"/>
      <c r="BN2539" s="193"/>
      <c r="BO2539" s="193"/>
    </row>
    <row r="2540" spans="1:67" s="105" customFormat="1" ht="48" customHeight="1" x14ac:dyDescent="0.25">
      <c r="A2540" s="275" t="s">
        <v>604</v>
      </c>
      <c r="B2540" s="54" t="s">
        <v>736</v>
      </c>
      <c r="C2540" s="303" t="s">
        <v>935</v>
      </c>
      <c r="D2540" s="939" t="s">
        <v>1066</v>
      </c>
      <c r="E2540" s="1496" t="s">
        <v>1306</v>
      </c>
      <c r="F2540" s="5" t="s">
        <v>1070</v>
      </c>
      <c r="G2540" s="448" t="s">
        <v>678</v>
      </c>
      <c r="H2540" s="448" t="s">
        <v>678</v>
      </c>
      <c r="I2540" s="167">
        <v>1</v>
      </c>
      <c r="J2540" s="107" t="s">
        <v>432</v>
      </c>
      <c r="K2540" s="107" t="s">
        <v>432</v>
      </c>
      <c r="L2540" s="107" t="s">
        <v>432</v>
      </c>
      <c r="M2540" s="107" t="s">
        <v>432</v>
      </c>
      <c r="N2540" s="107" t="s">
        <v>432</v>
      </c>
      <c r="O2540" s="107" t="s">
        <v>432</v>
      </c>
      <c r="P2540" s="107" t="s">
        <v>432</v>
      </c>
      <c r="Q2540" s="107" t="s">
        <v>432</v>
      </c>
      <c r="R2540" s="107" t="s">
        <v>432</v>
      </c>
      <c r="S2540" s="109" t="s">
        <v>2209</v>
      </c>
      <c r="T2540" s="107" t="s">
        <v>432</v>
      </c>
      <c r="U2540" s="107" t="s">
        <v>432</v>
      </c>
      <c r="V2540" s="109" t="s">
        <v>2209</v>
      </c>
      <c r="W2540" s="107" t="s">
        <v>432</v>
      </c>
      <c r="X2540" s="107" t="s">
        <v>432</v>
      </c>
      <c r="Y2540" s="107" t="s">
        <v>432</v>
      </c>
      <c r="Z2540" s="107" t="s">
        <v>432</v>
      </c>
      <c r="AA2540" s="107" t="s">
        <v>432</v>
      </c>
      <c r="AB2540" s="107" t="s">
        <v>432</v>
      </c>
      <c r="AC2540" s="107" t="s">
        <v>432</v>
      </c>
      <c r="AD2540" s="107" t="s">
        <v>432</v>
      </c>
      <c r="AE2540" s="107" t="s">
        <v>432</v>
      </c>
      <c r="AF2540" s="107" t="s">
        <v>432</v>
      </c>
      <c r="AG2540" s="107" t="s">
        <v>432</v>
      </c>
      <c r="AH2540" s="107" t="s">
        <v>432</v>
      </c>
      <c r="AI2540" s="107" t="s">
        <v>432</v>
      </c>
      <c r="AJ2540" s="107" t="s">
        <v>432</v>
      </c>
      <c r="AK2540" s="107" t="s">
        <v>432</v>
      </c>
      <c r="AL2540" s="601" t="s">
        <v>432</v>
      </c>
      <c r="AM2540" s="137" t="s">
        <v>432</v>
      </c>
      <c r="AN2540" s="137" t="s">
        <v>432</v>
      </c>
      <c r="AO2540" s="137" t="s">
        <v>432</v>
      </c>
      <c r="AP2540" s="137" t="s">
        <v>432</v>
      </c>
      <c r="AQ2540" s="137" t="s">
        <v>432</v>
      </c>
      <c r="AR2540" s="137" t="s">
        <v>432</v>
      </c>
      <c r="AS2540" s="137" t="s">
        <v>432</v>
      </c>
      <c r="AT2540" s="137" t="s">
        <v>432</v>
      </c>
      <c r="AU2540" s="137" t="s">
        <v>432</v>
      </c>
      <c r="AV2540" s="137" t="s">
        <v>432</v>
      </c>
      <c r="AW2540" s="137" t="s">
        <v>432</v>
      </c>
      <c r="AX2540" s="137" t="s">
        <v>432</v>
      </c>
      <c r="AY2540" s="137" t="s">
        <v>432</v>
      </c>
      <c r="AZ2540" s="137" t="s">
        <v>432</v>
      </c>
      <c r="BA2540" s="137" t="s">
        <v>432</v>
      </c>
      <c r="BB2540" s="239" t="str">
        <f t="shared" si="767"/>
        <v>Poluição do arCMMCE</v>
      </c>
      <c r="BC2540" s="239" t="str">
        <f t="shared" si="768"/>
        <v>Poluição do arCMMCEainda não incorporado ao SisMob-BH</v>
      </c>
      <c r="BD2540" s="239" t="str">
        <f t="shared" si="769"/>
        <v>Poluição do arainda não incorporado ao SisMob-BH</v>
      </c>
      <c r="BM2540" s="193"/>
      <c r="BN2540" s="193"/>
      <c r="BO2540" s="193"/>
    </row>
    <row r="2541" spans="1:67" s="105" customFormat="1" ht="59.25" customHeight="1" x14ac:dyDescent="0.25">
      <c r="A2541" s="275" t="s">
        <v>608</v>
      </c>
      <c r="B2541" s="54" t="s">
        <v>997</v>
      </c>
      <c r="C2541" s="303" t="s">
        <v>935</v>
      </c>
      <c r="D2541" s="939" t="s">
        <v>1066</v>
      </c>
      <c r="E2541" s="1496" t="s">
        <v>1306</v>
      </c>
      <c r="F2541" s="5" t="s">
        <v>1069</v>
      </c>
      <c r="G2541" s="448" t="s">
        <v>678</v>
      </c>
      <c r="H2541" s="448" t="s">
        <v>678</v>
      </c>
      <c r="I2541" s="167">
        <v>1</v>
      </c>
      <c r="J2541" s="107" t="s">
        <v>432</v>
      </c>
      <c r="K2541" s="107" t="s">
        <v>432</v>
      </c>
      <c r="L2541" s="107" t="s">
        <v>432</v>
      </c>
      <c r="M2541" s="107" t="s">
        <v>432</v>
      </c>
      <c r="N2541" s="107" t="s">
        <v>432</v>
      </c>
      <c r="O2541" s="107" t="s">
        <v>432</v>
      </c>
      <c r="P2541" s="107" t="s">
        <v>432</v>
      </c>
      <c r="Q2541" s="107" t="s">
        <v>432</v>
      </c>
      <c r="R2541" s="107" t="s">
        <v>432</v>
      </c>
      <c r="S2541" s="109" t="s">
        <v>2209</v>
      </c>
      <c r="T2541" s="107" t="s">
        <v>432</v>
      </c>
      <c r="U2541" s="107" t="s">
        <v>432</v>
      </c>
      <c r="V2541" s="109" t="s">
        <v>2209</v>
      </c>
      <c r="W2541" s="107" t="s">
        <v>432</v>
      </c>
      <c r="X2541" s="107" t="s">
        <v>432</v>
      </c>
      <c r="Y2541" s="107" t="s">
        <v>432</v>
      </c>
      <c r="Z2541" s="107" t="s">
        <v>432</v>
      </c>
      <c r="AA2541" s="107" t="s">
        <v>432</v>
      </c>
      <c r="AB2541" s="107" t="s">
        <v>432</v>
      </c>
      <c r="AC2541" s="107" t="s">
        <v>432</v>
      </c>
      <c r="AD2541" s="107" t="s">
        <v>432</v>
      </c>
      <c r="AE2541" s="107" t="s">
        <v>432</v>
      </c>
      <c r="AF2541" s="107" t="s">
        <v>432</v>
      </c>
      <c r="AG2541" s="107" t="s">
        <v>432</v>
      </c>
      <c r="AH2541" s="107" t="s">
        <v>432</v>
      </c>
      <c r="AI2541" s="107" t="s">
        <v>432</v>
      </c>
      <c r="AJ2541" s="107" t="s">
        <v>432</v>
      </c>
      <c r="AK2541" s="107" t="s">
        <v>678</v>
      </c>
      <c r="AL2541" s="601" t="s">
        <v>432</v>
      </c>
      <c r="AM2541" s="137" t="s">
        <v>432</v>
      </c>
      <c r="AN2541" s="137" t="s">
        <v>432</v>
      </c>
      <c r="AO2541" s="137" t="s">
        <v>432</v>
      </c>
      <c r="AP2541" s="137" t="s">
        <v>432</v>
      </c>
      <c r="AQ2541" s="137" t="s">
        <v>432</v>
      </c>
      <c r="AR2541" s="137" t="s">
        <v>432</v>
      </c>
      <c r="AS2541" s="137" t="s">
        <v>432</v>
      </c>
      <c r="AT2541" s="137" t="s">
        <v>432</v>
      </c>
      <c r="AU2541" s="137" t="s">
        <v>432</v>
      </c>
      <c r="AV2541" s="137" t="s">
        <v>432</v>
      </c>
      <c r="AW2541" s="137" t="s">
        <v>432</v>
      </c>
      <c r="AX2541" s="137" t="s">
        <v>432</v>
      </c>
      <c r="AY2541" s="137" t="s">
        <v>432</v>
      </c>
      <c r="AZ2541" s="137" t="s">
        <v>432</v>
      </c>
      <c r="BA2541" s="137" t="s">
        <v>432</v>
      </c>
      <c r="BB2541" s="239" t="str">
        <f t="shared" si="767"/>
        <v>Sistema de bicicletaCMMCE</v>
      </c>
      <c r="BC2541" s="239" t="str">
        <f t="shared" si="768"/>
        <v>Sistema de bicicletaCMMCEainda não incorporado ao SisMob-BH</v>
      </c>
      <c r="BD2541" s="239" t="str">
        <f t="shared" si="769"/>
        <v>Sistema de bicicletaainda não incorporado ao SisMob-BH</v>
      </c>
      <c r="BM2541" s="193"/>
      <c r="BN2541" s="193"/>
      <c r="BO2541" s="193"/>
    </row>
    <row r="2542" spans="1:67" s="105" customFormat="1" ht="59.25" customHeight="1" x14ac:dyDescent="0.25">
      <c r="A2542" s="275" t="s">
        <v>619</v>
      </c>
      <c r="B2542" s="54" t="s">
        <v>626</v>
      </c>
      <c r="C2542" s="303" t="s">
        <v>935</v>
      </c>
      <c r="D2542" s="939" t="s">
        <v>1066</v>
      </c>
      <c r="E2542" s="1496" t="s">
        <v>1306</v>
      </c>
      <c r="F2542" s="5" t="s">
        <v>1068</v>
      </c>
      <c r="G2542" s="448" t="s">
        <v>678</v>
      </c>
      <c r="H2542" s="448" t="s">
        <v>678</v>
      </c>
      <c r="I2542" s="167">
        <v>1</v>
      </c>
      <c r="J2542" s="107" t="s">
        <v>432</v>
      </c>
      <c r="K2542" s="107" t="s">
        <v>432</v>
      </c>
      <c r="L2542" s="107" t="s">
        <v>432</v>
      </c>
      <c r="M2542" s="107" t="s">
        <v>432</v>
      </c>
      <c r="N2542" s="107" t="s">
        <v>432</v>
      </c>
      <c r="O2542" s="107" t="s">
        <v>432</v>
      </c>
      <c r="P2542" s="107" t="s">
        <v>432</v>
      </c>
      <c r="Q2542" s="107" t="s">
        <v>432</v>
      </c>
      <c r="R2542" s="107" t="s">
        <v>432</v>
      </c>
      <c r="S2542" s="109" t="s">
        <v>2209</v>
      </c>
      <c r="T2542" s="107" t="s">
        <v>432</v>
      </c>
      <c r="U2542" s="107" t="s">
        <v>432</v>
      </c>
      <c r="V2542" s="109" t="s">
        <v>2209</v>
      </c>
      <c r="W2542" s="107" t="s">
        <v>432</v>
      </c>
      <c r="X2542" s="107" t="s">
        <v>432</v>
      </c>
      <c r="Y2542" s="107" t="s">
        <v>432</v>
      </c>
      <c r="Z2542" s="107" t="s">
        <v>432</v>
      </c>
      <c r="AA2542" s="107" t="s">
        <v>432</v>
      </c>
      <c r="AB2542" s="107" t="s">
        <v>432</v>
      </c>
      <c r="AC2542" s="107" t="s">
        <v>432</v>
      </c>
      <c r="AD2542" s="107" t="s">
        <v>432</v>
      </c>
      <c r="AE2542" s="107" t="s">
        <v>432</v>
      </c>
      <c r="AF2542" s="107" t="s">
        <v>432</v>
      </c>
      <c r="AG2542" s="107" t="s">
        <v>432</v>
      </c>
      <c r="AH2542" s="107" t="s">
        <v>432</v>
      </c>
      <c r="AI2542" s="107" t="s">
        <v>432</v>
      </c>
      <c r="AJ2542" s="107" t="s">
        <v>432</v>
      </c>
      <c r="AK2542" s="107" t="s">
        <v>678</v>
      </c>
      <c r="AL2542" s="601" t="s">
        <v>432</v>
      </c>
      <c r="AM2542" s="137" t="s">
        <v>432</v>
      </c>
      <c r="AN2542" s="137" t="s">
        <v>432</v>
      </c>
      <c r="AO2542" s="137" t="s">
        <v>432</v>
      </c>
      <c r="AP2542" s="137" t="s">
        <v>432</v>
      </c>
      <c r="AQ2542" s="137" t="s">
        <v>432</v>
      </c>
      <c r="AR2542" s="137" t="s">
        <v>432</v>
      </c>
      <c r="AS2542" s="137" t="s">
        <v>432</v>
      </c>
      <c r="AT2542" s="137" t="s">
        <v>432</v>
      </c>
      <c r="AU2542" s="137" t="s">
        <v>432</v>
      </c>
      <c r="AV2542" s="137" t="s">
        <v>432</v>
      </c>
      <c r="AW2542" s="137" t="s">
        <v>432</v>
      </c>
      <c r="AX2542" s="137" t="s">
        <v>432</v>
      </c>
      <c r="AY2542" s="137" t="s">
        <v>432</v>
      </c>
      <c r="AZ2542" s="137" t="s">
        <v>432</v>
      </c>
      <c r="BA2542" s="137" t="s">
        <v>432</v>
      </c>
      <c r="BB2542" s="239" t="str">
        <f t="shared" si="767"/>
        <v>EstacionamentoCMMCE</v>
      </c>
      <c r="BC2542" s="239" t="str">
        <f t="shared" si="768"/>
        <v>EstacionamentoCMMCEainda não incorporado ao SisMob-BH</v>
      </c>
      <c r="BD2542" s="239" t="str">
        <f t="shared" si="769"/>
        <v>Estacionamentoainda não incorporado ao SisMob-BH</v>
      </c>
      <c r="BM2542" s="193"/>
      <c r="BN2542" s="193"/>
      <c r="BO2542" s="193"/>
    </row>
    <row r="2543" spans="1:67" s="105" customFormat="1" ht="59.25" customHeight="1" x14ac:dyDescent="0.25">
      <c r="A2543" s="275" t="s">
        <v>619</v>
      </c>
      <c r="B2543" s="54" t="s">
        <v>626</v>
      </c>
      <c r="C2543" s="303" t="s">
        <v>935</v>
      </c>
      <c r="D2543" s="939" t="s">
        <v>1066</v>
      </c>
      <c r="E2543" s="1496" t="s">
        <v>1306</v>
      </c>
      <c r="F2543" s="5" t="s">
        <v>1071</v>
      </c>
      <c r="G2543" s="448" t="s">
        <v>678</v>
      </c>
      <c r="H2543" s="448" t="s">
        <v>678</v>
      </c>
      <c r="I2543" s="167">
        <v>1</v>
      </c>
      <c r="J2543" s="107" t="s">
        <v>432</v>
      </c>
      <c r="K2543" s="107" t="s">
        <v>432</v>
      </c>
      <c r="L2543" s="107" t="s">
        <v>432</v>
      </c>
      <c r="M2543" s="107" t="s">
        <v>432</v>
      </c>
      <c r="N2543" s="107" t="s">
        <v>432</v>
      </c>
      <c r="O2543" s="107" t="s">
        <v>432</v>
      </c>
      <c r="P2543" s="107" t="s">
        <v>432</v>
      </c>
      <c r="Q2543" s="107" t="s">
        <v>432</v>
      </c>
      <c r="R2543" s="107" t="s">
        <v>432</v>
      </c>
      <c r="S2543" s="109" t="s">
        <v>2209</v>
      </c>
      <c r="T2543" s="107" t="s">
        <v>432</v>
      </c>
      <c r="U2543" s="107" t="s">
        <v>432</v>
      </c>
      <c r="V2543" s="109" t="s">
        <v>2209</v>
      </c>
      <c r="W2543" s="107" t="s">
        <v>432</v>
      </c>
      <c r="X2543" s="107" t="s">
        <v>432</v>
      </c>
      <c r="Y2543" s="107" t="s">
        <v>432</v>
      </c>
      <c r="Z2543" s="107" t="s">
        <v>432</v>
      </c>
      <c r="AA2543" s="107" t="s">
        <v>432</v>
      </c>
      <c r="AB2543" s="107" t="s">
        <v>432</v>
      </c>
      <c r="AC2543" s="107" t="s">
        <v>432</v>
      </c>
      <c r="AD2543" s="107" t="s">
        <v>432</v>
      </c>
      <c r="AE2543" s="107" t="s">
        <v>432</v>
      </c>
      <c r="AF2543" s="107" t="s">
        <v>432</v>
      </c>
      <c r="AG2543" s="107" t="s">
        <v>432</v>
      </c>
      <c r="AH2543" s="107" t="s">
        <v>432</v>
      </c>
      <c r="AI2543" s="107" t="s">
        <v>432</v>
      </c>
      <c r="AJ2543" s="107" t="s">
        <v>432</v>
      </c>
      <c r="AK2543" s="107" t="s">
        <v>432</v>
      </c>
      <c r="AL2543" s="601" t="s">
        <v>432</v>
      </c>
      <c r="AM2543" s="137" t="s">
        <v>432</v>
      </c>
      <c r="AN2543" s="137" t="s">
        <v>432</v>
      </c>
      <c r="AO2543" s="137" t="s">
        <v>432</v>
      </c>
      <c r="AP2543" s="137" t="s">
        <v>432</v>
      </c>
      <c r="AQ2543" s="137" t="s">
        <v>432</v>
      </c>
      <c r="AR2543" s="137" t="s">
        <v>432</v>
      </c>
      <c r="AS2543" s="137" t="s">
        <v>432</v>
      </c>
      <c r="AT2543" s="137" t="s">
        <v>432</v>
      </c>
      <c r="AU2543" s="137" t="s">
        <v>432</v>
      </c>
      <c r="AV2543" s="137" t="s">
        <v>432</v>
      </c>
      <c r="AW2543" s="137" t="s">
        <v>432</v>
      </c>
      <c r="AX2543" s="137" t="s">
        <v>432</v>
      </c>
      <c r="AY2543" s="137" t="s">
        <v>432</v>
      </c>
      <c r="AZ2543" s="137" t="s">
        <v>432</v>
      </c>
      <c r="BA2543" s="137" t="s">
        <v>432</v>
      </c>
      <c r="BB2543" s="239" t="str">
        <f t="shared" si="767"/>
        <v>EstacionamentoCMMCE</v>
      </c>
      <c r="BC2543" s="239" t="str">
        <f t="shared" si="768"/>
        <v>EstacionamentoCMMCEainda não incorporado ao SisMob-BH</v>
      </c>
      <c r="BD2543" s="239" t="str">
        <f t="shared" si="769"/>
        <v>Estacionamentoainda não incorporado ao SisMob-BH</v>
      </c>
      <c r="BM2543" s="193"/>
      <c r="BN2543" s="193"/>
      <c r="BO2543" s="193"/>
    </row>
    <row r="2544" spans="1:67" s="105" customFormat="1" ht="57.75" x14ac:dyDescent="0.25">
      <c r="A2544" s="275" t="s">
        <v>584</v>
      </c>
      <c r="B2544" s="1205" t="s">
        <v>923</v>
      </c>
      <c r="C2544" s="303" t="s">
        <v>432</v>
      </c>
      <c r="D2544" s="939" t="s">
        <v>1066</v>
      </c>
      <c r="E2544" s="1496" t="s">
        <v>1306</v>
      </c>
      <c r="F2544" s="5" t="s">
        <v>1373</v>
      </c>
      <c r="G2544" s="448" t="s">
        <v>678</v>
      </c>
      <c r="H2544" s="448" t="s">
        <v>678</v>
      </c>
      <c r="I2544" s="167">
        <v>1</v>
      </c>
      <c r="J2544" s="107" t="s">
        <v>432</v>
      </c>
      <c r="K2544" s="107" t="s">
        <v>432</v>
      </c>
      <c r="L2544" s="107" t="s">
        <v>432</v>
      </c>
      <c r="M2544" s="107" t="s">
        <v>432</v>
      </c>
      <c r="N2544" s="107" t="s">
        <v>432</v>
      </c>
      <c r="O2544" s="107" t="s">
        <v>432</v>
      </c>
      <c r="P2544" s="107" t="s">
        <v>432</v>
      </c>
      <c r="Q2544" s="107" t="s">
        <v>432</v>
      </c>
      <c r="R2544" s="107" t="s">
        <v>432</v>
      </c>
      <c r="S2544" s="109" t="s">
        <v>2209</v>
      </c>
      <c r="T2544" s="107" t="s">
        <v>432</v>
      </c>
      <c r="U2544" s="107" t="s">
        <v>432</v>
      </c>
      <c r="V2544" s="109" t="s">
        <v>2209</v>
      </c>
      <c r="W2544" s="107" t="s">
        <v>432</v>
      </c>
      <c r="X2544" s="107" t="s">
        <v>432</v>
      </c>
      <c r="Y2544" s="107" t="s">
        <v>432</v>
      </c>
      <c r="Z2544" s="107" t="s">
        <v>432</v>
      </c>
      <c r="AA2544" s="107" t="s">
        <v>432</v>
      </c>
      <c r="AB2544" s="107" t="s">
        <v>432</v>
      </c>
      <c r="AC2544" s="107" t="s">
        <v>432</v>
      </c>
      <c r="AD2544" s="107" t="s">
        <v>432</v>
      </c>
      <c r="AE2544" s="107" t="s">
        <v>432</v>
      </c>
      <c r="AF2544" s="107" t="s">
        <v>432</v>
      </c>
      <c r="AG2544" s="107" t="s">
        <v>432</v>
      </c>
      <c r="AH2544" s="107" t="s">
        <v>432</v>
      </c>
      <c r="AI2544" s="107" t="s">
        <v>432</v>
      </c>
      <c r="AJ2544" s="107" t="s">
        <v>432</v>
      </c>
      <c r="AK2544" s="107" t="s">
        <v>432</v>
      </c>
      <c r="AL2544" s="601" t="s">
        <v>432</v>
      </c>
      <c r="AM2544" s="137" t="s">
        <v>432</v>
      </c>
      <c r="AN2544" s="137" t="s">
        <v>432</v>
      </c>
      <c r="AO2544" s="137" t="s">
        <v>432</v>
      </c>
      <c r="AP2544" s="137" t="s">
        <v>432</v>
      </c>
      <c r="AQ2544" s="137" t="s">
        <v>432</v>
      </c>
      <c r="AR2544" s="137" t="s">
        <v>432</v>
      </c>
      <c r="AS2544" s="137" t="s">
        <v>432</v>
      </c>
      <c r="AT2544" s="137" t="s">
        <v>432</v>
      </c>
      <c r="AU2544" s="137" t="s">
        <v>432</v>
      </c>
      <c r="AV2544" s="137" t="s">
        <v>432</v>
      </c>
      <c r="AW2544" s="137" t="s">
        <v>432</v>
      </c>
      <c r="AX2544" s="137" t="s">
        <v>432</v>
      </c>
      <c r="AY2544" s="137" t="s">
        <v>432</v>
      </c>
      <c r="AZ2544" s="137" t="s">
        <v>432</v>
      </c>
      <c r="BA2544" s="137" t="s">
        <v>432</v>
      </c>
      <c r="BB2544" s="239" t="str">
        <f t="shared" si="767"/>
        <v>Relacionamento com a sociedade organizadax</v>
      </c>
      <c r="BC2544" s="239" t="str">
        <f t="shared" si="768"/>
        <v>Relacionamento com a sociedade organizadaxainda não incorporado ao SisMob-BH</v>
      </c>
      <c r="BD2544" s="239" t="str">
        <f t="shared" si="769"/>
        <v>Relacionamento com a sociedade organizadaainda não incorporado ao SisMob-BH</v>
      </c>
      <c r="BM2544" s="360"/>
      <c r="BN2544" s="360"/>
      <c r="BO2544" s="360"/>
    </row>
    <row r="2545" spans="1:67" s="105" customFormat="1" ht="57.75" x14ac:dyDescent="0.25">
      <c r="A2545" s="275" t="s">
        <v>584</v>
      </c>
      <c r="B2545" s="1205" t="s">
        <v>923</v>
      </c>
      <c r="C2545" s="303" t="s">
        <v>432</v>
      </c>
      <c r="D2545" s="939" t="s">
        <v>1066</v>
      </c>
      <c r="E2545" s="1496" t="s">
        <v>1306</v>
      </c>
      <c r="F2545" s="5" t="s">
        <v>1374</v>
      </c>
      <c r="G2545" s="448" t="s">
        <v>678</v>
      </c>
      <c r="H2545" s="448" t="s">
        <v>678</v>
      </c>
      <c r="I2545" s="167">
        <v>1</v>
      </c>
      <c r="J2545" s="107" t="s">
        <v>432</v>
      </c>
      <c r="K2545" s="107" t="s">
        <v>432</v>
      </c>
      <c r="L2545" s="107" t="s">
        <v>432</v>
      </c>
      <c r="M2545" s="107" t="s">
        <v>432</v>
      </c>
      <c r="N2545" s="107" t="s">
        <v>432</v>
      </c>
      <c r="O2545" s="107" t="s">
        <v>432</v>
      </c>
      <c r="P2545" s="107" t="s">
        <v>432</v>
      </c>
      <c r="Q2545" s="107" t="s">
        <v>432</v>
      </c>
      <c r="R2545" s="107" t="s">
        <v>432</v>
      </c>
      <c r="S2545" s="109" t="s">
        <v>2209</v>
      </c>
      <c r="T2545" s="107" t="s">
        <v>432</v>
      </c>
      <c r="U2545" s="107" t="s">
        <v>432</v>
      </c>
      <c r="V2545" s="109" t="s">
        <v>2209</v>
      </c>
      <c r="W2545" s="107" t="s">
        <v>432</v>
      </c>
      <c r="X2545" s="107" t="s">
        <v>432</v>
      </c>
      <c r="Y2545" s="107" t="s">
        <v>432</v>
      </c>
      <c r="Z2545" s="107" t="s">
        <v>432</v>
      </c>
      <c r="AA2545" s="107" t="s">
        <v>432</v>
      </c>
      <c r="AB2545" s="107" t="s">
        <v>432</v>
      </c>
      <c r="AC2545" s="107" t="s">
        <v>432</v>
      </c>
      <c r="AD2545" s="107" t="s">
        <v>432</v>
      </c>
      <c r="AE2545" s="107" t="s">
        <v>432</v>
      </c>
      <c r="AF2545" s="107" t="s">
        <v>432</v>
      </c>
      <c r="AG2545" s="107" t="s">
        <v>432</v>
      </c>
      <c r="AH2545" s="107" t="s">
        <v>432</v>
      </c>
      <c r="AI2545" s="107" t="s">
        <v>432</v>
      </c>
      <c r="AJ2545" s="107" t="s">
        <v>432</v>
      </c>
      <c r="AK2545" s="107" t="s">
        <v>432</v>
      </c>
      <c r="AL2545" s="601" t="s">
        <v>432</v>
      </c>
      <c r="AM2545" s="137" t="s">
        <v>432</v>
      </c>
      <c r="AN2545" s="137" t="s">
        <v>432</v>
      </c>
      <c r="AO2545" s="137" t="s">
        <v>432</v>
      </c>
      <c r="AP2545" s="137" t="s">
        <v>432</v>
      </c>
      <c r="AQ2545" s="137" t="s">
        <v>432</v>
      </c>
      <c r="AR2545" s="137" t="s">
        <v>432</v>
      </c>
      <c r="AS2545" s="137" t="s">
        <v>432</v>
      </c>
      <c r="AT2545" s="137" t="s">
        <v>432</v>
      </c>
      <c r="AU2545" s="137" t="s">
        <v>432</v>
      </c>
      <c r="AV2545" s="137" t="s">
        <v>432</v>
      </c>
      <c r="AW2545" s="137" t="s">
        <v>432</v>
      </c>
      <c r="AX2545" s="137" t="s">
        <v>432</v>
      </c>
      <c r="AY2545" s="137" t="s">
        <v>432</v>
      </c>
      <c r="AZ2545" s="137" t="s">
        <v>432</v>
      </c>
      <c r="BA2545" s="137" t="s">
        <v>432</v>
      </c>
      <c r="BB2545" s="239" t="str">
        <f t="shared" si="767"/>
        <v>Relacionamento com a sociedade organizadax</v>
      </c>
      <c r="BC2545" s="239" t="str">
        <f t="shared" si="768"/>
        <v>Relacionamento com a sociedade organizadaxainda não incorporado ao SisMob-BH</v>
      </c>
      <c r="BD2545" s="239" t="str">
        <f t="shared" si="769"/>
        <v>Relacionamento com a sociedade organizadaainda não incorporado ao SisMob-BH</v>
      </c>
      <c r="BM2545" s="360"/>
      <c r="BN2545" s="360"/>
      <c r="BO2545" s="360"/>
    </row>
    <row r="2546" spans="1:67" s="105" customFormat="1" ht="41.25" x14ac:dyDescent="0.25">
      <c r="A2546" s="275" t="s">
        <v>623</v>
      </c>
      <c r="B2546" s="54" t="s">
        <v>186</v>
      </c>
      <c r="C2546" s="303" t="s">
        <v>432</v>
      </c>
      <c r="D2546" s="939" t="s">
        <v>1066</v>
      </c>
      <c r="E2546" s="1496" t="s">
        <v>1306</v>
      </c>
      <c r="F2546" s="5" t="s">
        <v>1377</v>
      </c>
      <c r="G2546" s="448" t="s">
        <v>678</v>
      </c>
      <c r="H2546" s="448" t="s">
        <v>678</v>
      </c>
      <c r="I2546" s="167">
        <v>1</v>
      </c>
      <c r="J2546" s="107" t="s">
        <v>432</v>
      </c>
      <c r="K2546" s="107" t="s">
        <v>432</v>
      </c>
      <c r="L2546" s="107" t="s">
        <v>432</v>
      </c>
      <c r="M2546" s="107" t="s">
        <v>432</v>
      </c>
      <c r="N2546" s="107" t="s">
        <v>432</v>
      </c>
      <c r="O2546" s="107" t="s">
        <v>432</v>
      </c>
      <c r="P2546" s="107" t="s">
        <v>432</v>
      </c>
      <c r="Q2546" s="107" t="s">
        <v>432</v>
      </c>
      <c r="R2546" s="107" t="s">
        <v>432</v>
      </c>
      <c r="S2546" s="109" t="s">
        <v>2209</v>
      </c>
      <c r="T2546" s="107" t="s">
        <v>432</v>
      </c>
      <c r="U2546" s="107" t="s">
        <v>432</v>
      </c>
      <c r="V2546" s="109" t="s">
        <v>2209</v>
      </c>
      <c r="W2546" s="107" t="s">
        <v>432</v>
      </c>
      <c r="X2546" s="107" t="s">
        <v>432</v>
      </c>
      <c r="Y2546" s="107" t="s">
        <v>432</v>
      </c>
      <c r="Z2546" s="107" t="s">
        <v>432</v>
      </c>
      <c r="AA2546" s="107" t="s">
        <v>432</v>
      </c>
      <c r="AB2546" s="107" t="s">
        <v>432</v>
      </c>
      <c r="AC2546" s="107" t="s">
        <v>432</v>
      </c>
      <c r="AD2546" s="107" t="s">
        <v>432</v>
      </c>
      <c r="AE2546" s="107" t="s">
        <v>432</v>
      </c>
      <c r="AF2546" s="107" t="s">
        <v>432</v>
      </c>
      <c r="AG2546" s="107" t="s">
        <v>432</v>
      </c>
      <c r="AH2546" s="107" t="s">
        <v>432</v>
      </c>
      <c r="AI2546" s="107" t="s">
        <v>432</v>
      </c>
      <c r="AJ2546" s="107" t="s">
        <v>432</v>
      </c>
      <c r="AK2546" s="107" t="s">
        <v>432</v>
      </c>
      <c r="AL2546" s="601" t="s">
        <v>432</v>
      </c>
      <c r="AM2546" s="137" t="s">
        <v>432</v>
      </c>
      <c r="AN2546" s="137" t="s">
        <v>432</v>
      </c>
      <c r="AO2546" s="137" t="s">
        <v>432</v>
      </c>
      <c r="AP2546" s="137" t="s">
        <v>432</v>
      </c>
      <c r="AQ2546" s="137" t="s">
        <v>432</v>
      </c>
      <c r="AR2546" s="137" t="s">
        <v>432</v>
      </c>
      <c r="AS2546" s="137" t="s">
        <v>432</v>
      </c>
      <c r="AT2546" s="137" t="s">
        <v>432</v>
      </c>
      <c r="AU2546" s="137" t="s">
        <v>432</v>
      </c>
      <c r="AV2546" s="137" t="s">
        <v>432</v>
      </c>
      <c r="AW2546" s="137" t="s">
        <v>432</v>
      </c>
      <c r="AX2546" s="137" t="s">
        <v>432</v>
      </c>
      <c r="AY2546" s="137" t="s">
        <v>432</v>
      </c>
      <c r="AZ2546" s="137" t="s">
        <v>432</v>
      </c>
      <c r="BA2546" s="137" t="s">
        <v>432</v>
      </c>
      <c r="BB2546" s="239" t="str">
        <f t="shared" si="767"/>
        <v>Velocidades e volumesx</v>
      </c>
      <c r="BC2546" s="239" t="str">
        <f t="shared" si="768"/>
        <v>Velocidades e volumesxainda não incorporado ao SisMob-BH</v>
      </c>
      <c r="BD2546" s="239" t="str">
        <f t="shared" si="769"/>
        <v>Velocidades e volumesainda não incorporado ao SisMob-BH</v>
      </c>
      <c r="BM2546" s="360"/>
      <c r="BN2546" s="360"/>
      <c r="BO2546" s="360"/>
    </row>
    <row r="2547" spans="1:67" s="105" customFormat="1" ht="41.25" x14ac:dyDescent="0.25">
      <c r="A2547" s="275" t="s">
        <v>594</v>
      </c>
      <c r="B2547" s="54" t="s">
        <v>683</v>
      </c>
      <c r="C2547" s="303" t="s">
        <v>432</v>
      </c>
      <c r="D2547" s="939" t="s">
        <v>1066</v>
      </c>
      <c r="E2547" s="1496" t="s">
        <v>1306</v>
      </c>
      <c r="F2547" s="5" t="s">
        <v>1378</v>
      </c>
      <c r="G2547" s="448" t="s">
        <v>678</v>
      </c>
      <c r="H2547" s="448" t="s">
        <v>678</v>
      </c>
      <c r="I2547" s="167">
        <v>1</v>
      </c>
      <c r="J2547" s="107" t="s">
        <v>432</v>
      </c>
      <c r="K2547" s="107" t="s">
        <v>432</v>
      </c>
      <c r="L2547" s="107" t="s">
        <v>432</v>
      </c>
      <c r="M2547" s="107" t="s">
        <v>432</v>
      </c>
      <c r="N2547" s="107" t="s">
        <v>432</v>
      </c>
      <c r="O2547" s="107" t="s">
        <v>432</v>
      </c>
      <c r="P2547" s="107" t="s">
        <v>432</v>
      </c>
      <c r="Q2547" s="107" t="s">
        <v>432</v>
      </c>
      <c r="R2547" s="107" t="s">
        <v>432</v>
      </c>
      <c r="S2547" s="109" t="s">
        <v>2209</v>
      </c>
      <c r="T2547" s="107" t="s">
        <v>432</v>
      </c>
      <c r="U2547" s="107" t="s">
        <v>432</v>
      </c>
      <c r="V2547" s="109" t="s">
        <v>2209</v>
      </c>
      <c r="W2547" s="107" t="s">
        <v>432</v>
      </c>
      <c r="X2547" s="107" t="s">
        <v>432</v>
      </c>
      <c r="Y2547" s="107" t="s">
        <v>432</v>
      </c>
      <c r="Z2547" s="107" t="s">
        <v>432</v>
      </c>
      <c r="AA2547" s="107" t="s">
        <v>432</v>
      </c>
      <c r="AB2547" s="107" t="s">
        <v>432</v>
      </c>
      <c r="AC2547" s="107" t="s">
        <v>432</v>
      </c>
      <c r="AD2547" s="107" t="s">
        <v>432</v>
      </c>
      <c r="AE2547" s="107" t="s">
        <v>432</v>
      </c>
      <c r="AF2547" s="107" t="s">
        <v>432</v>
      </c>
      <c r="AG2547" s="107" t="s">
        <v>432</v>
      </c>
      <c r="AH2547" s="107" t="s">
        <v>432</v>
      </c>
      <c r="AI2547" s="107" t="s">
        <v>432</v>
      </c>
      <c r="AJ2547" s="107" t="s">
        <v>432</v>
      </c>
      <c r="AK2547" s="107" t="s">
        <v>432</v>
      </c>
      <c r="AL2547" s="601" t="s">
        <v>432</v>
      </c>
      <c r="AM2547" s="137" t="s">
        <v>432</v>
      </c>
      <c r="AN2547" s="137" t="s">
        <v>432</v>
      </c>
      <c r="AO2547" s="137" t="s">
        <v>432</v>
      </c>
      <c r="AP2547" s="137" t="s">
        <v>432</v>
      </c>
      <c r="AQ2547" s="137" t="s">
        <v>432</v>
      </c>
      <c r="AR2547" s="137" t="s">
        <v>432</v>
      </c>
      <c r="AS2547" s="137" t="s">
        <v>432</v>
      </c>
      <c r="AT2547" s="137" t="s">
        <v>432</v>
      </c>
      <c r="AU2547" s="137" t="s">
        <v>432</v>
      </c>
      <c r="AV2547" s="137" t="s">
        <v>432</v>
      </c>
      <c r="AW2547" s="137" t="s">
        <v>432</v>
      </c>
      <c r="AX2547" s="137" t="s">
        <v>432</v>
      </c>
      <c r="AY2547" s="137" t="s">
        <v>432</v>
      </c>
      <c r="AZ2547" s="137" t="s">
        <v>432</v>
      </c>
      <c r="BA2547" s="137" t="s">
        <v>432</v>
      </c>
      <c r="BB2547" s="239" t="str">
        <f t="shared" si="767"/>
        <v>Recursos humanosx</v>
      </c>
      <c r="BC2547" s="239" t="str">
        <f t="shared" si="768"/>
        <v>Recursos humanosxainda não incorporado ao SisMob-BH</v>
      </c>
      <c r="BD2547" s="239" t="str">
        <f t="shared" si="769"/>
        <v>Recursos humanosainda não incorporado ao SisMob-BH</v>
      </c>
      <c r="BM2547" s="360"/>
      <c r="BN2547" s="360"/>
      <c r="BO2547" s="360"/>
    </row>
    <row r="2548" spans="1:67" s="105" customFormat="1" ht="41.25" x14ac:dyDescent="0.25">
      <c r="A2548" s="275" t="s">
        <v>594</v>
      </c>
      <c r="B2548" s="54" t="s">
        <v>683</v>
      </c>
      <c r="C2548" s="303" t="s">
        <v>432</v>
      </c>
      <c r="D2548" s="939" t="s">
        <v>1066</v>
      </c>
      <c r="E2548" s="1496" t="s">
        <v>1306</v>
      </c>
      <c r="F2548" s="5" t="s">
        <v>1379</v>
      </c>
      <c r="G2548" s="448" t="s">
        <v>678</v>
      </c>
      <c r="H2548" s="448" t="s">
        <v>678</v>
      </c>
      <c r="I2548" s="167">
        <v>1</v>
      </c>
      <c r="J2548" s="107" t="s">
        <v>432</v>
      </c>
      <c r="K2548" s="107" t="s">
        <v>432</v>
      </c>
      <c r="L2548" s="107" t="s">
        <v>432</v>
      </c>
      <c r="M2548" s="107" t="s">
        <v>432</v>
      </c>
      <c r="N2548" s="107" t="s">
        <v>432</v>
      </c>
      <c r="O2548" s="107" t="s">
        <v>432</v>
      </c>
      <c r="P2548" s="107" t="s">
        <v>432</v>
      </c>
      <c r="Q2548" s="107" t="s">
        <v>432</v>
      </c>
      <c r="R2548" s="107" t="s">
        <v>432</v>
      </c>
      <c r="S2548" s="109" t="s">
        <v>2209</v>
      </c>
      <c r="T2548" s="107" t="s">
        <v>432</v>
      </c>
      <c r="U2548" s="107" t="s">
        <v>432</v>
      </c>
      <c r="V2548" s="109" t="s">
        <v>2209</v>
      </c>
      <c r="W2548" s="107" t="s">
        <v>432</v>
      </c>
      <c r="X2548" s="107" t="s">
        <v>432</v>
      </c>
      <c r="Y2548" s="107" t="s">
        <v>432</v>
      </c>
      <c r="Z2548" s="107" t="s">
        <v>432</v>
      </c>
      <c r="AA2548" s="107" t="s">
        <v>432</v>
      </c>
      <c r="AB2548" s="107" t="s">
        <v>432</v>
      </c>
      <c r="AC2548" s="107" t="s">
        <v>432</v>
      </c>
      <c r="AD2548" s="107" t="s">
        <v>432</v>
      </c>
      <c r="AE2548" s="107" t="s">
        <v>432</v>
      </c>
      <c r="AF2548" s="107" t="s">
        <v>432</v>
      </c>
      <c r="AG2548" s="107" t="s">
        <v>432</v>
      </c>
      <c r="AH2548" s="107" t="s">
        <v>432</v>
      </c>
      <c r="AI2548" s="107" t="s">
        <v>432</v>
      </c>
      <c r="AJ2548" s="107" t="s">
        <v>432</v>
      </c>
      <c r="AK2548" s="107" t="s">
        <v>432</v>
      </c>
      <c r="AL2548" s="601" t="s">
        <v>432</v>
      </c>
      <c r="AM2548" s="137" t="s">
        <v>432</v>
      </c>
      <c r="AN2548" s="137" t="s">
        <v>432</v>
      </c>
      <c r="AO2548" s="137" t="s">
        <v>432</v>
      </c>
      <c r="AP2548" s="137" t="s">
        <v>432</v>
      </c>
      <c r="AQ2548" s="137" t="s">
        <v>432</v>
      </c>
      <c r="AR2548" s="137" t="s">
        <v>432</v>
      </c>
      <c r="AS2548" s="137" t="s">
        <v>432</v>
      </c>
      <c r="AT2548" s="137" t="s">
        <v>432</v>
      </c>
      <c r="AU2548" s="137" t="s">
        <v>432</v>
      </c>
      <c r="AV2548" s="137" t="s">
        <v>432</v>
      </c>
      <c r="AW2548" s="137" t="s">
        <v>432</v>
      </c>
      <c r="AX2548" s="137" t="s">
        <v>432</v>
      </c>
      <c r="AY2548" s="137" t="s">
        <v>432</v>
      </c>
      <c r="AZ2548" s="137" t="s">
        <v>432</v>
      </c>
      <c r="BA2548" s="137" t="s">
        <v>432</v>
      </c>
      <c r="BB2548" s="239" t="str">
        <f t="shared" si="767"/>
        <v>Recursos humanosx</v>
      </c>
      <c r="BC2548" s="239" t="str">
        <f t="shared" si="768"/>
        <v>Recursos humanosxainda não incorporado ao SisMob-BH</v>
      </c>
      <c r="BD2548" s="239" t="str">
        <f t="shared" si="769"/>
        <v>Recursos humanosainda não incorporado ao SisMob-BH</v>
      </c>
      <c r="BM2548" s="360"/>
      <c r="BN2548" s="360"/>
      <c r="BO2548" s="360"/>
    </row>
    <row r="2549" spans="1:67" s="105" customFormat="1" ht="41.25" x14ac:dyDescent="0.25">
      <c r="A2549" s="275" t="s">
        <v>594</v>
      </c>
      <c r="B2549" s="54" t="s">
        <v>683</v>
      </c>
      <c r="C2549" s="303" t="s">
        <v>432</v>
      </c>
      <c r="D2549" s="939" t="s">
        <v>1066</v>
      </c>
      <c r="E2549" s="1496" t="s">
        <v>1306</v>
      </c>
      <c r="F2549" s="5" t="s">
        <v>1380</v>
      </c>
      <c r="G2549" s="448" t="s">
        <v>678</v>
      </c>
      <c r="H2549" s="448" t="s">
        <v>678</v>
      </c>
      <c r="I2549" s="167">
        <v>1</v>
      </c>
      <c r="J2549" s="107" t="s">
        <v>432</v>
      </c>
      <c r="K2549" s="107" t="s">
        <v>432</v>
      </c>
      <c r="L2549" s="107" t="s">
        <v>432</v>
      </c>
      <c r="M2549" s="107" t="s">
        <v>432</v>
      </c>
      <c r="N2549" s="107" t="s">
        <v>432</v>
      </c>
      <c r="O2549" s="107" t="s">
        <v>432</v>
      </c>
      <c r="P2549" s="107" t="s">
        <v>432</v>
      </c>
      <c r="Q2549" s="107" t="s">
        <v>432</v>
      </c>
      <c r="R2549" s="107" t="s">
        <v>432</v>
      </c>
      <c r="S2549" s="109" t="s">
        <v>2209</v>
      </c>
      <c r="T2549" s="107" t="s">
        <v>432</v>
      </c>
      <c r="U2549" s="107" t="s">
        <v>432</v>
      </c>
      <c r="V2549" s="109" t="s">
        <v>2209</v>
      </c>
      <c r="W2549" s="107" t="s">
        <v>432</v>
      </c>
      <c r="X2549" s="107" t="s">
        <v>432</v>
      </c>
      <c r="Y2549" s="107" t="s">
        <v>432</v>
      </c>
      <c r="Z2549" s="107" t="s">
        <v>432</v>
      </c>
      <c r="AA2549" s="107" t="s">
        <v>432</v>
      </c>
      <c r="AB2549" s="107" t="s">
        <v>432</v>
      </c>
      <c r="AC2549" s="107" t="s">
        <v>432</v>
      </c>
      <c r="AD2549" s="107" t="s">
        <v>432</v>
      </c>
      <c r="AE2549" s="107" t="s">
        <v>432</v>
      </c>
      <c r="AF2549" s="107" t="s">
        <v>432</v>
      </c>
      <c r="AG2549" s="107" t="s">
        <v>432</v>
      </c>
      <c r="AH2549" s="107" t="s">
        <v>432</v>
      </c>
      <c r="AI2549" s="107" t="s">
        <v>432</v>
      </c>
      <c r="AJ2549" s="107" t="s">
        <v>432</v>
      </c>
      <c r="AK2549" s="107" t="s">
        <v>432</v>
      </c>
      <c r="AL2549" s="601" t="s">
        <v>432</v>
      </c>
      <c r="AM2549" s="137" t="s">
        <v>432</v>
      </c>
      <c r="AN2549" s="137" t="s">
        <v>432</v>
      </c>
      <c r="AO2549" s="137" t="s">
        <v>432</v>
      </c>
      <c r="AP2549" s="137" t="s">
        <v>432</v>
      </c>
      <c r="AQ2549" s="137" t="s">
        <v>432</v>
      </c>
      <c r="AR2549" s="137" t="s">
        <v>432</v>
      </c>
      <c r="AS2549" s="137" t="s">
        <v>432</v>
      </c>
      <c r="AT2549" s="137" t="s">
        <v>432</v>
      </c>
      <c r="AU2549" s="137" t="s">
        <v>432</v>
      </c>
      <c r="AV2549" s="137" t="s">
        <v>432</v>
      </c>
      <c r="AW2549" s="137" t="s">
        <v>432</v>
      </c>
      <c r="AX2549" s="137" t="s">
        <v>432</v>
      </c>
      <c r="AY2549" s="137" t="s">
        <v>432</v>
      </c>
      <c r="AZ2549" s="137" t="s">
        <v>432</v>
      </c>
      <c r="BA2549" s="137" t="s">
        <v>432</v>
      </c>
      <c r="BB2549" s="239" t="str">
        <f t="shared" si="767"/>
        <v>Recursos humanosx</v>
      </c>
      <c r="BC2549" s="239" t="str">
        <f t="shared" si="768"/>
        <v>Recursos humanosxainda não incorporado ao SisMob-BH</v>
      </c>
      <c r="BD2549" s="239" t="str">
        <f t="shared" si="769"/>
        <v>Recursos humanosainda não incorporado ao SisMob-BH</v>
      </c>
      <c r="BM2549" s="360"/>
      <c r="BN2549" s="360"/>
      <c r="BO2549" s="360"/>
    </row>
    <row r="2550" spans="1:67" s="105" customFormat="1" ht="41.25" x14ac:dyDescent="0.25">
      <c r="A2550" s="275" t="s">
        <v>594</v>
      </c>
      <c r="B2550" s="54" t="s">
        <v>683</v>
      </c>
      <c r="C2550" s="303" t="s">
        <v>432</v>
      </c>
      <c r="D2550" s="939" t="s">
        <v>1066</v>
      </c>
      <c r="E2550" s="1496" t="s">
        <v>1306</v>
      </c>
      <c r="F2550" s="5" t="s">
        <v>1381</v>
      </c>
      <c r="G2550" s="448" t="s">
        <v>678</v>
      </c>
      <c r="H2550" s="448" t="s">
        <v>678</v>
      </c>
      <c r="I2550" s="167">
        <v>1</v>
      </c>
      <c r="J2550" s="107" t="s">
        <v>432</v>
      </c>
      <c r="K2550" s="107" t="s">
        <v>432</v>
      </c>
      <c r="L2550" s="107" t="s">
        <v>432</v>
      </c>
      <c r="M2550" s="107" t="s">
        <v>432</v>
      </c>
      <c r="N2550" s="107" t="s">
        <v>432</v>
      </c>
      <c r="O2550" s="107" t="s">
        <v>432</v>
      </c>
      <c r="P2550" s="107" t="s">
        <v>432</v>
      </c>
      <c r="Q2550" s="107" t="s">
        <v>432</v>
      </c>
      <c r="R2550" s="107" t="s">
        <v>432</v>
      </c>
      <c r="S2550" s="109" t="s">
        <v>2209</v>
      </c>
      <c r="T2550" s="107" t="s">
        <v>432</v>
      </c>
      <c r="U2550" s="107" t="s">
        <v>432</v>
      </c>
      <c r="V2550" s="109" t="s">
        <v>2209</v>
      </c>
      <c r="W2550" s="107" t="s">
        <v>432</v>
      </c>
      <c r="X2550" s="107" t="s">
        <v>432</v>
      </c>
      <c r="Y2550" s="107" t="s">
        <v>432</v>
      </c>
      <c r="Z2550" s="107" t="s">
        <v>432</v>
      </c>
      <c r="AA2550" s="107" t="s">
        <v>432</v>
      </c>
      <c r="AB2550" s="107" t="s">
        <v>432</v>
      </c>
      <c r="AC2550" s="107" t="s">
        <v>432</v>
      </c>
      <c r="AD2550" s="107" t="s">
        <v>432</v>
      </c>
      <c r="AE2550" s="107" t="s">
        <v>432</v>
      </c>
      <c r="AF2550" s="107" t="s">
        <v>432</v>
      </c>
      <c r="AG2550" s="107" t="s">
        <v>432</v>
      </c>
      <c r="AH2550" s="107" t="s">
        <v>432</v>
      </c>
      <c r="AI2550" s="107" t="s">
        <v>432</v>
      </c>
      <c r="AJ2550" s="107" t="s">
        <v>432</v>
      </c>
      <c r="AK2550" s="107" t="s">
        <v>432</v>
      </c>
      <c r="AL2550" s="601" t="s">
        <v>432</v>
      </c>
      <c r="AM2550" s="137" t="s">
        <v>432</v>
      </c>
      <c r="AN2550" s="137" t="s">
        <v>432</v>
      </c>
      <c r="AO2550" s="137" t="s">
        <v>432</v>
      </c>
      <c r="AP2550" s="137" t="s">
        <v>432</v>
      </c>
      <c r="AQ2550" s="137" t="s">
        <v>432</v>
      </c>
      <c r="AR2550" s="137" t="s">
        <v>432</v>
      </c>
      <c r="AS2550" s="137" t="s">
        <v>432</v>
      </c>
      <c r="AT2550" s="137" t="s">
        <v>432</v>
      </c>
      <c r="AU2550" s="137" t="s">
        <v>432</v>
      </c>
      <c r="AV2550" s="137" t="s">
        <v>432</v>
      </c>
      <c r="AW2550" s="137" t="s">
        <v>432</v>
      </c>
      <c r="AX2550" s="137" t="s">
        <v>432</v>
      </c>
      <c r="AY2550" s="137" t="s">
        <v>432</v>
      </c>
      <c r="AZ2550" s="137" t="s">
        <v>432</v>
      </c>
      <c r="BA2550" s="137" t="s">
        <v>432</v>
      </c>
      <c r="BB2550" s="239" t="str">
        <f t="shared" si="767"/>
        <v>Recursos humanosx</v>
      </c>
      <c r="BC2550" s="239" t="str">
        <f t="shared" si="768"/>
        <v>Recursos humanosxainda não incorporado ao SisMob-BH</v>
      </c>
      <c r="BD2550" s="239" t="str">
        <f t="shared" si="769"/>
        <v>Recursos humanosainda não incorporado ao SisMob-BH</v>
      </c>
      <c r="BM2550" s="360"/>
      <c r="BN2550" s="360"/>
      <c r="BO2550" s="360"/>
    </row>
    <row r="2551" spans="1:67" s="105" customFormat="1" ht="41.25" x14ac:dyDescent="0.25">
      <c r="A2551" s="275" t="s">
        <v>594</v>
      </c>
      <c r="B2551" s="54" t="s">
        <v>683</v>
      </c>
      <c r="C2551" s="303" t="s">
        <v>432</v>
      </c>
      <c r="D2551" s="939" t="s">
        <v>1066</v>
      </c>
      <c r="E2551" s="1496" t="s">
        <v>1306</v>
      </c>
      <c r="F2551" s="5" t="s">
        <v>1382</v>
      </c>
      <c r="G2551" s="448" t="s">
        <v>678</v>
      </c>
      <c r="H2551" s="448" t="s">
        <v>678</v>
      </c>
      <c r="I2551" s="167">
        <v>1</v>
      </c>
      <c r="J2551" s="107" t="s">
        <v>432</v>
      </c>
      <c r="K2551" s="107" t="s">
        <v>432</v>
      </c>
      <c r="L2551" s="107" t="s">
        <v>432</v>
      </c>
      <c r="M2551" s="107" t="s">
        <v>432</v>
      </c>
      <c r="N2551" s="107" t="s">
        <v>432</v>
      </c>
      <c r="O2551" s="107" t="s">
        <v>432</v>
      </c>
      <c r="P2551" s="107" t="s">
        <v>432</v>
      </c>
      <c r="Q2551" s="107" t="s">
        <v>432</v>
      </c>
      <c r="R2551" s="107" t="s">
        <v>432</v>
      </c>
      <c r="S2551" s="109" t="s">
        <v>2209</v>
      </c>
      <c r="T2551" s="107" t="s">
        <v>432</v>
      </c>
      <c r="U2551" s="107" t="s">
        <v>432</v>
      </c>
      <c r="V2551" s="109" t="s">
        <v>2209</v>
      </c>
      <c r="W2551" s="107" t="s">
        <v>432</v>
      </c>
      <c r="X2551" s="107" t="s">
        <v>432</v>
      </c>
      <c r="Y2551" s="107" t="s">
        <v>432</v>
      </c>
      <c r="Z2551" s="107" t="s">
        <v>432</v>
      </c>
      <c r="AA2551" s="107" t="s">
        <v>432</v>
      </c>
      <c r="AB2551" s="107" t="s">
        <v>432</v>
      </c>
      <c r="AC2551" s="107" t="s">
        <v>432</v>
      </c>
      <c r="AD2551" s="107" t="s">
        <v>432</v>
      </c>
      <c r="AE2551" s="107" t="s">
        <v>432</v>
      </c>
      <c r="AF2551" s="107" t="s">
        <v>432</v>
      </c>
      <c r="AG2551" s="107" t="s">
        <v>432</v>
      </c>
      <c r="AH2551" s="107" t="s">
        <v>432</v>
      </c>
      <c r="AI2551" s="107" t="s">
        <v>432</v>
      </c>
      <c r="AJ2551" s="107" t="s">
        <v>432</v>
      </c>
      <c r="AK2551" s="107" t="s">
        <v>432</v>
      </c>
      <c r="AL2551" s="601" t="s">
        <v>432</v>
      </c>
      <c r="AM2551" s="137" t="s">
        <v>432</v>
      </c>
      <c r="AN2551" s="137" t="s">
        <v>432</v>
      </c>
      <c r="AO2551" s="137" t="s">
        <v>432</v>
      </c>
      <c r="AP2551" s="137" t="s">
        <v>432</v>
      </c>
      <c r="AQ2551" s="137" t="s">
        <v>432</v>
      </c>
      <c r="AR2551" s="137" t="s">
        <v>432</v>
      </c>
      <c r="AS2551" s="137" t="s">
        <v>432</v>
      </c>
      <c r="AT2551" s="137" t="s">
        <v>432</v>
      </c>
      <c r="AU2551" s="137" t="s">
        <v>432</v>
      </c>
      <c r="AV2551" s="137" t="s">
        <v>432</v>
      </c>
      <c r="AW2551" s="137" t="s">
        <v>432</v>
      </c>
      <c r="AX2551" s="137" t="s">
        <v>432</v>
      </c>
      <c r="AY2551" s="137" t="s">
        <v>432</v>
      </c>
      <c r="AZ2551" s="137" t="s">
        <v>432</v>
      </c>
      <c r="BA2551" s="137" t="s">
        <v>432</v>
      </c>
      <c r="BB2551" s="239" t="str">
        <f t="shared" si="767"/>
        <v>Recursos humanosx</v>
      </c>
      <c r="BC2551" s="239" t="str">
        <f t="shared" si="768"/>
        <v>Recursos humanosxainda não incorporado ao SisMob-BH</v>
      </c>
      <c r="BD2551" s="239" t="str">
        <f t="shared" si="769"/>
        <v>Recursos humanosainda não incorporado ao SisMob-BH</v>
      </c>
      <c r="BM2551" s="360"/>
      <c r="BN2551" s="360"/>
      <c r="BO2551" s="360"/>
    </row>
    <row r="2552" spans="1:67" s="105" customFormat="1" ht="41.25" x14ac:dyDescent="0.25">
      <c r="A2552" s="275" t="s">
        <v>582</v>
      </c>
      <c r="B2552" s="54" t="s">
        <v>720</v>
      </c>
      <c r="C2552" s="303" t="s">
        <v>432</v>
      </c>
      <c r="D2552" s="939" t="s">
        <v>1066</v>
      </c>
      <c r="E2552" s="1496" t="s">
        <v>1306</v>
      </c>
      <c r="F2552" s="5" t="s">
        <v>1383</v>
      </c>
      <c r="G2552" s="448" t="s">
        <v>678</v>
      </c>
      <c r="H2552" s="448" t="s">
        <v>678</v>
      </c>
      <c r="I2552" s="167">
        <v>1</v>
      </c>
      <c r="J2552" s="107" t="s">
        <v>432</v>
      </c>
      <c r="K2552" s="107" t="s">
        <v>432</v>
      </c>
      <c r="L2552" s="107" t="s">
        <v>432</v>
      </c>
      <c r="M2552" s="107" t="s">
        <v>432</v>
      </c>
      <c r="N2552" s="107" t="s">
        <v>432</v>
      </c>
      <c r="O2552" s="107" t="s">
        <v>432</v>
      </c>
      <c r="P2552" s="107" t="s">
        <v>432</v>
      </c>
      <c r="Q2552" s="107" t="s">
        <v>432</v>
      </c>
      <c r="R2552" s="107" t="s">
        <v>432</v>
      </c>
      <c r="S2552" s="109" t="s">
        <v>2209</v>
      </c>
      <c r="T2552" s="107" t="s">
        <v>432</v>
      </c>
      <c r="U2552" s="107" t="s">
        <v>432</v>
      </c>
      <c r="V2552" s="109" t="s">
        <v>2209</v>
      </c>
      <c r="W2552" s="107" t="s">
        <v>432</v>
      </c>
      <c r="X2552" s="107" t="s">
        <v>432</v>
      </c>
      <c r="Y2552" s="107" t="s">
        <v>432</v>
      </c>
      <c r="Z2552" s="107" t="s">
        <v>432</v>
      </c>
      <c r="AA2552" s="107" t="s">
        <v>432</v>
      </c>
      <c r="AB2552" s="107" t="s">
        <v>432</v>
      </c>
      <c r="AC2552" s="107" t="s">
        <v>432</v>
      </c>
      <c r="AD2552" s="107" t="s">
        <v>432</v>
      </c>
      <c r="AE2552" s="107" t="s">
        <v>432</v>
      </c>
      <c r="AF2552" s="107" t="s">
        <v>432</v>
      </c>
      <c r="AG2552" s="107" t="s">
        <v>432</v>
      </c>
      <c r="AH2552" s="107" t="s">
        <v>432</v>
      </c>
      <c r="AI2552" s="107" t="s">
        <v>432</v>
      </c>
      <c r="AJ2552" s="107" t="s">
        <v>432</v>
      </c>
      <c r="AK2552" s="107" t="s">
        <v>432</v>
      </c>
      <c r="AL2552" s="601" t="s">
        <v>432</v>
      </c>
      <c r="AM2552" s="137" t="s">
        <v>432</v>
      </c>
      <c r="AN2552" s="137" t="s">
        <v>432</v>
      </c>
      <c r="AO2552" s="137" t="s">
        <v>432</v>
      </c>
      <c r="AP2552" s="137" t="s">
        <v>432</v>
      </c>
      <c r="AQ2552" s="137" t="s">
        <v>432</v>
      </c>
      <c r="AR2552" s="137" t="s">
        <v>432</v>
      </c>
      <c r="AS2552" s="137" t="s">
        <v>432</v>
      </c>
      <c r="AT2552" s="137" t="s">
        <v>432</v>
      </c>
      <c r="AU2552" s="137" t="s">
        <v>432</v>
      </c>
      <c r="AV2552" s="137" t="s">
        <v>432</v>
      </c>
      <c r="AW2552" s="137" t="s">
        <v>432</v>
      </c>
      <c r="AX2552" s="137" t="s">
        <v>432</v>
      </c>
      <c r="AY2552" s="137" t="s">
        <v>432</v>
      </c>
      <c r="AZ2552" s="137" t="s">
        <v>432</v>
      </c>
      <c r="BA2552" s="137" t="s">
        <v>432</v>
      </c>
      <c r="BB2552" s="239" t="str">
        <f t="shared" si="767"/>
        <v>Atendimento ao usuário em geralx</v>
      </c>
      <c r="BC2552" s="239" t="str">
        <f t="shared" si="768"/>
        <v>Atendimento ao usuário em geralxainda não incorporado ao SisMob-BH</v>
      </c>
      <c r="BD2552" s="239" t="str">
        <f t="shared" si="769"/>
        <v>Atendimento ao usuário em geralainda não incorporado ao SisMob-BH</v>
      </c>
      <c r="BM2552" s="360"/>
      <c r="BN2552" s="360"/>
      <c r="BO2552" s="360"/>
    </row>
    <row r="2553" spans="1:67" s="105" customFormat="1" ht="41.25" x14ac:dyDescent="0.25">
      <c r="A2553" s="275" t="s">
        <v>582</v>
      </c>
      <c r="B2553" s="54" t="s">
        <v>720</v>
      </c>
      <c r="C2553" s="303" t="s">
        <v>432</v>
      </c>
      <c r="D2553" s="939" t="s">
        <v>1066</v>
      </c>
      <c r="E2553" s="1496" t="s">
        <v>1306</v>
      </c>
      <c r="F2553" s="5" t="s">
        <v>1384</v>
      </c>
      <c r="G2553" s="448" t="s">
        <v>678</v>
      </c>
      <c r="H2553" s="448" t="s">
        <v>678</v>
      </c>
      <c r="I2553" s="167">
        <v>1</v>
      </c>
      <c r="J2553" s="107" t="s">
        <v>432</v>
      </c>
      <c r="K2553" s="107" t="s">
        <v>432</v>
      </c>
      <c r="L2553" s="107" t="s">
        <v>432</v>
      </c>
      <c r="M2553" s="107" t="s">
        <v>432</v>
      </c>
      <c r="N2553" s="107" t="s">
        <v>432</v>
      </c>
      <c r="O2553" s="107" t="s">
        <v>432</v>
      </c>
      <c r="P2553" s="107" t="s">
        <v>432</v>
      </c>
      <c r="Q2553" s="107" t="s">
        <v>432</v>
      </c>
      <c r="R2553" s="107" t="s">
        <v>432</v>
      </c>
      <c r="S2553" s="109" t="s">
        <v>2209</v>
      </c>
      <c r="T2553" s="107" t="s">
        <v>432</v>
      </c>
      <c r="U2553" s="107" t="s">
        <v>432</v>
      </c>
      <c r="V2553" s="109" t="s">
        <v>2209</v>
      </c>
      <c r="W2553" s="107" t="s">
        <v>432</v>
      </c>
      <c r="X2553" s="107" t="s">
        <v>432</v>
      </c>
      <c r="Y2553" s="107" t="s">
        <v>432</v>
      </c>
      <c r="Z2553" s="107" t="s">
        <v>432</v>
      </c>
      <c r="AA2553" s="107" t="s">
        <v>432</v>
      </c>
      <c r="AB2553" s="107" t="s">
        <v>432</v>
      </c>
      <c r="AC2553" s="107" t="s">
        <v>432</v>
      </c>
      <c r="AD2553" s="107" t="s">
        <v>432</v>
      </c>
      <c r="AE2553" s="107" t="s">
        <v>432</v>
      </c>
      <c r="AF2553" s="107" t="s">
        <v>432</v>
      </c>
      <c r="AG2553" s="107" t="s">
        <v>432</v>
      </c>
      <c r="AH2553" s="107" t="s">
        <v>432</v>
      </c>
      <c r="AI2553" s="107" t="s">
        <v>432</v>
      </c>
      <c r="AJ2553" s="107" t="s">
        <v>432</v>
      </c>
      <c r="AK2553" s="107" t="s">
        <v>432</v>
      </c>
      <c r="AL2553" s="601" t="s">
        <v>432</v>
      </c>
      <c r="AM2553" s="137" t="s">
        <v>432</v>
      </c>
      <c r="AN2553" s="137" t="s">
        <v>432</v>
      </c>
      <c r="AO2553" s="137" t="s">
        <v>432</v>
      </c>
      <c r="AP2553" s="137" t="s">
        <v>432</v>
      </c>
      <c r="AQ2553" s="137" t="s">
        <v>432</v>
      </c>
      <c r="AR2553" s="137" t="s">
        <v>432</v>
      </c>
      <c r="AS2553" s="137" t="s">
        <v>432</v>
      </c>
      <c r="AT2553" s="137" t="s">
        <v>432</v>
      </c>
      <c r="AU2553" s="137" t="s">
        <v>432</v>
      </c>
      <c r="AV2553" s="137" t="s">
        <v>432</v>
      </c>
      <c r="AW2553" s="137" t="s">
        <v>432</v>
      </c>
      <c r="AX2553" s="137" t="s">
        <v>432</v>
      </c>
      <c r="AY2553" s="137" t="s">
        <v>432</v>
      </c>
      <c r="AZ2553" s="137" t="s">
        <v>432</v>
      </c>
      <c r="BA2553" s="137" t="s">
        <v>432</v>
      </c>
      <c r="BB2553" s="239" t="str">
        <f t="shared" si="767"/>
        <v>Atendimento ao usuário em geralx</v>
      </c>
      <c r="BC2553" s="239" t="str">
        <f t="shared" si="768"/>
        <v>Atendimento ao usuário em geralxainda não incorporado ao SisMob-BH</v>
      </c>
      <c r="BD2553" s="239" t="str">
        <f t="shared" si="769"/>
        <v>Atendimento ao usuário em geralainda não incorporado ao SisMob-BH</v>
      </c>
      <c r="BM2553" s="360"/>
      <c r="BN2553" s="360"/>
      <c r="BO2553" s="360"/>
    </row>
    <row r="2554" spans="1:67" s="105" customFormat="1" ht="41.25" x14ac:dyDescent="0.25">
      <c r="A2554" s="275" t="s">
        <v>582</v>
      </c>
      <c r="B2554" s="54" t="s">
        <v>720</v>
      </c>
      <c r="C2554" s="303" t="s">
        <v>432</v>
      </c>
      <c r="D2554" s="939" t="s">
        <v>1066</v>
      </c>
      <c r="E2554" s="1496" t="s">
        <v>1306</v>
      </c>
      <c r="F2554" s="5" t="s">
        <v>1385</v>
      </c>
      <c r="G2554" s="448" t="s">
        <v>678</v>
      </c>
      <c r="H2554" s="448" t="s">
        <v>678</v>
      </c>
      <c r="I2554" s="167">
        <v>1</v>
      </c>
      <c r="J2554" s="107" t="s">
        <v>432</v>
      </c>
      <c r="K2554" s="107" t="s">
        <v>432</v>
      </c>
      <c r="L2554" s="107" t="s">
        <v>432</v>
      </c>
      <c r="M2554" s="107" t="s">
        <v>432</v>
      </c>
      <c r="N2554" s="107" t="s">
        <v>432</v>
      </c>
      <c r="O2554" s="107" t="s">
        <v>432</v>
      </c>
      <c r="P2554" s="107" t="s">
        <v>432</v>
      </c>
      <c r="Q2554" s="107" t="s">
        <v>432</v>
      </c>
      <c r="R2554" s="107" t="s">
        <v>432</v>
      </c>
      <c r="S2554" s="109" t="s">
        <v>2209</v>
      </c>
      <c r="T2554" s="107" t="s">
        <v>432</v>
      </c>
      <c r="U2554" s="107" t="s">
        <v>432</v>
      </c>
      <c r="V2554" s="109" t="s">
        <v>2209</v>
      </c>
      <c r="W2554" s="107" t="s">
        <v>432</v>
      </c>
      <c r="X2554" s="107" t="s">
        <v>432</v>
      </c>
      <c r="Y2554" s="107" t="s">
        <v>432</v>
      </c>
      <c r="Z2554" s="107" t="s">
        <v>432</v>
      </c>
      <c r="AA2554" s="107" t="s">
        <v>432</v>
      </c>
      <c r="AB2554" s="107" t="s">
        <v>432</v>
      </c>
      <c r="AC2554" s="107" t="s">
        <v>432</v>
      </c>
      <c r="AD2554" s="107" t="s">
        <v>432</v>
      </c>
      <c r="AE2554" s="107" t="s">
        <v>432</v>
      </c>
      <c r="AF2554" s="107" t="s">
        <v>432</v>
      </c>
      <c r="AG2554" s="107" t="s">
        <v>432</v>
      </c>
      <c r="AH2554" s="107" t="s">
        <v>432</v>
      </c>
      <c r="AI2554" s="107" t="s">
        <v>432</v>
      </c>
      <c r="AJ2554" s="107" t="s">
        <v>432</v>
      </c>
      <c r="AK2554" s="107" t="s">
        <v>432</v>
      </c>
      <c r="AL2554" s="601" t="s">
        <v>432</v>
      </c>
      <c r="AM2554" s="137" t="s">
        <v>432</v>
      </c>
      <c r="AN2554" s="137" t="s">
        <v>432</v>
      </c>
      <c r="AO2554" s="137" t="s">
        <v>432</v>
      </c>
      <c r="AP2554" s="137" t="s">
        <v>432</v>
      </c>
      <c r="AQ2554" s="137" t="s">
        <v>432</v>
      </c>
      <c r="AR2554" s="137" t="s">
        <v>432</v>
      </c>
      <c r="AS2554" s="137" t="s">
        <v>432</v>
      </c>
      <c r="AT2554" s="137" t="s">
        <v>432</v>
      </c>
      <c r="AU2554" s="137" t="s">
        <v>432</v>
      </c>
      <c r="AV2554" s="137" t="s">
        <v>432</v>
      </c>
      <c r="AW2554" s="137" t="s">
        <v>432</v>
      </c>
      <c r="AX2554" s="137" t="s">
        <v>432</v>
      </c>
      <c r="AY2554" s="137" t="s">
        <v>432</v>
      </c>
      <c r="AZ2554" s="137" t="s">
        <v>432</v>
      </c>
      <c r="BA2554" s="137" t="s">
        <v>432</v>
      </c>
      <c r="BB2554" s="239" t="str">
        <f t="shared" si="767"/>
        <v>Atendimento ao usuário em geralx</v>
      </c>
      <c r="BC2554" s="239" t="str">
        <f t="shared" si="768"/>
        <v>Atendimento ao usuário em geralxainda não incorporado ao SisMob-BH</v>
      </c>
      <c r="BD2554" s="239" t="str">
        <f t="shared" si="769"/>
        <v>Atendimento ao usuário em geralainda não incorporado ao SisMob-BH</v>
      </c>
      <c r="BM2554" s="360"/>
      <c r="BN2554" s="360"/>
      <c r="BO2554" s="360"/>
    </row>
    <row r="2555" spans="1:67" s="105" customFormat="1" ht="41.25" x14ac:dyDescent="0.25">
      <c r="A2555" s="275" t="s">
        <v>582</v>
      </c>
      <c r="B2555" s="54" t="s">
        <v>720</v>
      </c>
      <c r="C2555" s="303" t="s">
        <v>432</v>
      </c>
      <c r="D2555" s="939" t="s">
        <v>1066</v>
      </c>
      <c r="E2555" s="1496" t="s">
        <v>1306</v>
      </c>
      <c r="F2555" s="5" t="s">
        <v>1386</v>
      </c>
      <c r="G2555" s="448" t="s">
        <v>678</v>
      </c>
      <c r="H2555" s="448" t="s">
        <v>678</v>
      </c>
      <c r="I2555" s="167">
        <v>1</v>
      </c>
      <c r="J2555" s="107" t="s">
        <v>432</v>
      </c>
      <c r="K2555" s="107" t="s">
        <v>432</v>
      </c>
      <c r="L2555" s="107" t="s">
        <v>432</v>
      </c>
      <c r="M2555" s="107" t="s">
        <v>432</v>
      </c>
      <c r="N2555" s="107" t="s">
        <v>432</v>
      </c>
      <c r="O2555" s="107" t="s">
        <v>432</v>
      </c>
      <c r="P2555" s="107" t="s">
        <v>432</v>
      </c>
      <c r="Q2555" s="107" t="s">
        <v>432</v>
      </c>
      <c r="R2555" s="107" t="s">
        <v>432</v>
      </c>
      <c r="S2555" s="109" t="s">
        <v>2209</v>
      </c>
      <c r="T2555" s="107" t="s">
        <v>432</v>
      </c>
      <c r="U2555" s="107" t="s">
        <v>432</v>
      </c>
      <c r="V2555" s="109" t="s">
        <v>2209</v>
      </c>
      <c r="W2555" s="107" t="s">
        <v>432</v>
      </c>
      <c r="X2555" s="107" t="s">
        <v>432</v>
      </c>
      <c r="Y2555" s="107" t="s">
        <v>432</v>
      </c>
      <c r="Z2555" s="107" t="s">
        <v>432</v>
      </c>
      <c r="AA2555" s="107" t="s">
        <v>432</v>
      </c>
      <c r="AB2555" s="107" t="s">
        <v>432</v>
      </c>
      <c r="AC2555" s="107" t="s">
        <v>432</v>
      </c>
      <c r="AD2555" s="107" t="s">
        <v>432</v>
      </c>
      <c r="AE2555" s="107" t="s">
        <v>432</v>
      </c>
      <c r="AF2555" s="107" t="s">
        <v>432</v>
      </c>
      <c r="AG2555" s="107" t="s">
        <v>432</v>
      </c>
      <c r="AH2555" s="107" t="s">
        <v>432</v>
      </c>
      <c r="AI2555" s="107" t="s">
        <v>432</v>
      </c>
      <c r="AJ2555" s="107" t="s">
        <v>432</v>
      </c>
      <c r="AK2555" s="107" t="s">
        <v>432</v>
      </c>
      <c r="AL2555" s="601" t="s">
        <v>432</v>
      </c>
      <c r="AM2555" s="137" t="s">
        <v>432</v>
      </c>
      <c r="AN2555" s="137" t="s">
        <v>432</v>
      </c>
      <c r="AO2555" s="137" t="s">
        <v>432</v>
      </c>
      <c r="AP2555" s="137" t="s">
        <v>432</v>
      </c>
      <c r="AQ2555" s="137" t="s">
        <v>432</v>
      </c>
      <c r="AR2555" s="137" t="s">
        <v>432</v>
      </c>
      <c r="AS2555" s="137" t="s">
        <v>432</v>
      </c>
      <c r="AT2555" s="137" t="s">
        <v>432</v>
      </c>
      <c r="AU2555" s="137" t="s">
        <v>432</v>
      </c>
      <c r="AV2555" s="137" t="s">
        <v>432</v>
      </c>
      <c r="AW2555" s="137" t="s">
        <v>432</v>
      </c>
      <c r="AX2555" s="137" t="s">
        <v>432</v>
      </c>
      <c r="AY2555" s="137" t="s">
        <v>432</v>
      </c>
      <c r="AZ2555" s="137" t="s">
        <v>432</v>
      </c>
      <c r="BA2555" s="137" t="s">
        <v>432</v>
      </c>
      <c r="BB2555" s="239" t="str">
        <f t="shared" si="767"/>
        <v>Atendimento ao usuário em geralx</v>
      </c>
      <c r="BC2555" s="239" t="str">
        <f t="shared" si="768"/>
        <v>Atendimento ao usuário em geralxainda não incorporado ao SisMob-BH</v>
      </c>
      <c r="BD2555" s="239" t="str">
        <f t="shared" si="769"/>
        <v>Atendimento ao usuário em geralainda não incorporado ao SisMob-BH</v>
      </c>
      <c r="BM2555" s="360"/>
      <c r="BN2555" s="360"/>
      <c r="BO2555" s="360"/>
    </row>
    <row r="2556" spans="1:67" s="105" customFormat="1" ht="41.25" x14ac:dyDescent="0.25">
      <c r="A2556" s="275" t="s">
        <v>582</v>
      </c>
      <c r="B2556" s="54" t="s">
        <v>720</v>
      </c>
      <c r="C2556" s="303" t="s">
        <v>432</v>
      </c>
      <c r="D2556" s="939" t="s">
        <v>1066</v>
      </c>
      <c r="E2556" s="1496" t="s">
        <v>1306</v>
      </c>
      <c r="F2556" s="5" t="s">
        <v>1387</v>
      </c>
      <c r="G2556" s="448" t="s">
        <v>678</v>
      </c>
      <c r="H2556" s="448" t="s">
        <v>678</v>
      </c>
      <c r="I2556" s="167">
        <v>1</v>
      </c>
      <c r="J2556" s="107" t="s">
        <v>432</v>
      </c>
      <c r="K2556" s="107" t="s">
        <v>432</v>
      </c>
      <c r="L2556" s="107" t="s">
        <v>432</v>
      </c>
      <c r="M2556" s="107" t="s">
        <v>432</v>
      </c>
      <c r="N2556" s="107" t="s">
        <v>432</v>
      </c>
      <c r="O2556" s="107" t="s">
        <v>432</v>
      </c>
      <c r="P2556" s="107" t="s">
        <v>432</v>
      </c>
      <c r="Q2556" s="107" t="s">
        <v>432</v>
      </c>
      <c r="R2556" s="107" t="s">
        <v>432</v>
      </c>
      <c r="S2556" s="109" t="s">
        <v>2209</v>
      </c>
      <c r="T2556" s="107" t="s">
        <v>432</v>
      </c>
      <c r="U2556" s="107" t="s">
        <v>432</v>
      </c>
      <c r="V2556" s="109" t="s">
        <v>2209</v>
      </c>
      <c r="W2556" s="107" t="s">
        <v>432</v>
      </c>
      <c r="X2556" s="107" t="s">
        <v>432</v>
      </c>
      <c r="Y2556" s="107" t="s">
        <v>432</v>
      </c>
      <c r="Z2556" s="107" t="s">
        <v>432</v>
      </c>
      <c r="AA2556" s="107" t="s">
        <v>432</v>
      </c>
      <c r="AB2556" s="107" t="s">
        <v>432</v>
      </c>
      <c r="AC2556" s="107" t="s">
        <v>432</v>
      </c>
      <c r="AD2556" s="107" t="s">
        <v>432</v>
      </c>
      <c r="AE2556" s="107" t="s">
        <v>432</v>
      </c>
      <c r="AF2556" s="107" t="s">
        <v>432</v>
      </c>
      <c r="AG2556" s="107" t="s">
        <v>432</v>
      </c>
      <c r="AH2556" s="107" t="s">
        <v>432</v>
      </c>
      <c r="AI2556" s="107" t="s">
        <v>432</v>
      </c>
      <c r="AJ2556" s="107" t="s">
        <v>432</v>
      </c>
      <c r="AK2556" s="107" t="s">
        <v>432</v>
      </c>
      <c r="AL2556" s="601" t="s">
        <v>432</v>
      </c>
      <c r="AM2556" s="137" t="s">
        <v>432</v>
      </c>
      <c r="AN2556" s="137" t="s">
        <v>432</v>
      </c>
      <c r="AO2556" s="137" t="s">
        <v>432</v>
      </c>
      <c r="AP2556" s="137" t="s">
        <v>432</v>
      </c>
      <c r="AQ2556" s="137" t="s">
        <v>432</v>
      </c>
      <c r="AR2556" s="137" t="s">
        <v>432</v>
      </c>
      <c r="AS2556" s="137" t="s">
        <v>432</v>
      </c>
      <c r="AT2556" s="137" t="s">
        <v>432</v>
      </c>
      <c r="AU2556" s="137" t="s">
        <v>432</v>
      </c>
      <c r="AV2556" s="137" t="s">
        <v>432</v>
      </c>
      <c r="AW2556" s="137" t="s">
        <v>432</v>
      </c>
      <c r="AX2556" s="137" t="s">
        <v>432</v>
      </c>
      <c r="AY2556" s="137" t="s">
        <v>432</v>
      </c>
      <c r="AZ2556" s="137" t="s">
        <v>432</v>
      </c>
      <c r="BA2556" s="137" t="s">
        <v>432</v>
      </c>
      <c r="BB2556" s="239" t="str">
        <f t="shared" si="767"/>
        <v>Atendimento ao usuário em geralx</v>
      </c>
      <c r="BC2556" s="239" t="str">
        <f t="shared" si="768"/>
        <v>Atendimento ao usuário em geralxainda não incorporado ao SisMob-BH</v>
      </c>
      <c r="BD2556" s="239" t="str">
        <f t="shared" si="769"/>
        <v>Atendimento ao usuário em geralainda não incorporado ao SisMob-BH</v>
      </c>
      <c r="BM2556" s="360"/>
      <c r="BN2556" s="360"/>
      <c r="BO2556" s="360"/>
    </row>
    <row r="2557" spans="1:67" s="105" customFormat="1" ht="41.25" x14ac:dyDescent="0.25">
      <c r="A2557" s="275" t="s">
        <v>613</v>
      </c>
      <c r="B2557" s="1205" t="s">
        <v>932</v>
      </c>
      <c r="C2557" s="303" t="s">
        <v>432</v>
      </c>
      <c r="D2557" s="969" t="s">
        <v>1066</v>
      </c>
      <c r="E2557" s="1496" t="s">
        <v>1306</v>
      </c>
      <c r="F2557" s="59" t="s">
        <v>1388</v>
      </c>
      <c r="G2557" s="448" t="s">
        <v>678</v>
      </c>
      <c r="H2557" s="445" t="s">
        <v>678</v>
      </c>
      <c r="I2557" s="167">
        <v>1</v>
      </c>
      <c r="J2557" s="107" t="s">
        <v>432</v>
      </c>
      <c r="K2557" s="107" t="s">
        <v>432</v>
      </c>
      <c r="L2557" s="107" t="s">
        <v>432</v>
      </c>
      <c r="M2557" s="107" t="s">
        <v>432</v>
      </c>
      <c r="N2557" s="107" t="s">
        <v>432</v>
      </c>
      <c r="O2557" s="107" t="s">
        <v>432</v>
      </c>
      <c r="P2557" s="107" t="s">
        <v>432</v>
      </c>
      <c r="Q2557" s="107" t="s">
        <v>432</v>
      </c>
      <c r="R2557" s="107" t="s">
        <v>432</v>
      </c>
      <c r="S2557" s="109" t="s">
        <v>2209</v>
      </c>
      <c r="T2557" s="107" t="s">
        <v>432</v>
      </c>
      <c r="U2557" s="107" t="s">
        <v>432</v>
      </c>
      <c r="V2557" s="109" t="s">
        <v>2209</v>
      </c>
      <c r="W2557" s="107" t="s">
        <v>432</v>
      </c>
      <c r="X2557" s="107" t="s">
        <v>432</v>
      </c>
      <c r="Y2557" s="107" t="s">
        <v>432</v>
      </c>
      <c r="Z2557" s="107" t="s">
        <v>432</v>
      </c>
      <c r="AA2557" s="107" t="s">
        <v>432</v>
      </c>
      <c r="AB2557" s="107" t="s">
        <v>432</v>
      </c>
      <c r="AC2557" s="107" t="s">
        <v>432</v>
      </c>
      <c r="AD2557" s="107" t="s">
        <v>432</v>
      </c>
      <c r="AE2557" s="107" t="s">
        <v>432</v>
      </c>
      <c r="AF2557" s="107" t="s">
        <v>432</v>
      </c>
      <c r="AG2557" s="107" t="s">
        <v>432</v>
      </c>
      <c r="AH2557" s="107" t="s">
        <v>432</v>
      </c>
      <c r="AI2557" s="107" t="s">
        <v>432</v>
      </c>
      <c r="AJ2557" s="107" t="s">
        <v>432</v>
      </c>
      <c r="AK2557" s="107" t="s">
        <v>678</v>
      </c>
      <c r="AL2557" s="601" t="s">
        <v>432</v>
      </c>
      <c r="AM2557" s="137" t="s">
        <v>432</v>
      </c>
      <c r="AN2557" s="137" t="s">
        <v>432</v>
      </c>
      <c r="AO2557" s="137" t="s">
        <v>432</v>
      </c>
      <c r="AP2557" s="137" t="s">
        <v>432</v>
      </c>
      <c r="AQ2557" s="137" t="s">
        <v>432</v>
      </c>
      <c r="AR2557" s="137" t="s">
        <v>432</v>
      </c>
      <c r="AS2557" s="137" t="s">
        <v>432</v>
      </c>
      <c r="AT2557" s="137" t="s">
        <v>432</v>
      </c>
      <c r="AU2557" s="137" t="s">
        <v>432</v>
      </c>
      <c r="AV2557" s="137" t="s">
        <v>432</v>
      </c>
      <c r="AW2557" s="137" t="s">
        <v>432</v>
      </c>
      <c r="AX2557" s="137" t="s">
        <v>432</v>
      </c>
      <c r="AY2557" s="137" t="s">
        <v>432</v>
      </c>
      <c r="AZ2557" s="137" t="s">
        <v>432</v>
      </c>
      <c r="BA2557" s="137" t="s">
        <v>432</v>
      </c>
      <c r="BB2557" s="239" t="str">
        <f t="shared" si="767"/>
        <v>Transporte convencionalx</v>
      </c>
      <c r="BC2557" s="239" t="str">
        <f t="shared" si="768"/>
        <v>Transporte convencionalxainda não incorporado ao SisMob-BH</v>
      </c>
      <c r="BD2557" s="239" t="str">
        <f t="shared" si="769"/>
        <v>Transporte convencionalainda não incorporado ao SisMob-BH</v>
      </c>
      <c r="BM2557" s="360"/>
      <c r="BN2557" s="360"/>
      <c r="BO2557" s="360"/>
    </row>
    <row r="2558" spans="1:67" s="105" customFormat="1" ht="41.25" x14ac:dyDescent="0.25">
      <c r="A2558" s="275" t="s">
        <v>613</v>
      </c>
      <c r="B2558" s="1205" t="s">
        <v>932</v>
      </c>
      <c r="C2558" s="303" t="s">
        <v>432</v>
      </c>
      <c r="D2558" s="969" t="s">
        <v>1066</v>
      </c>
      <c r="E2558" s="1496" t="s">
        <v>1306</v>
      </c>
      <c r="F2558" s="59" t="s">
        <v>1413</v>
      </c>
      <c r="G2558" s="448" t="s">
        <v>678</v>
      </c>
      <c r="H2558" s="445" t="s">
        <v>678</v>
      </c>
      <c r="I2558" s="167">
        <v>1</v>
      </c>
      <c r="J2558" s="107" t="s">
        <v>432</v>
      </c>
      <c r="K2558" s="107" t="s">
        <v>432</v>
      </c>
      <c r="L2558" s="107" t="s">
        <v>432</v>
      </c>
      <c r="M2558" s="107" t="s">
        <v>432</v>
      </c>
      <c r="N2558" s="107" t="s">
        <v>432</v>
      </c>
      <c r="O2558" s="107" t="s">
        <v>432</v>
      </c>
      <c r="P2558" s="107" t="s">
        <v>432</v>
      </c>
      <c r="Q2558" s="107" t="s">
        <v>432</v>
      </c>
      <c r="R2558" s="107" t="s">
        <v>432</v>
      </c>
      <c r="S2558" s="109" t="s">
        <v>2209</v>
      </c>
      <c r="T2558" s="107" t="s">
        <v>432</v>
      </c>
      <c r="U2558" s="107" t="s">
        <v>432</v>
      </c>
      <c r="V2558" s="109" t="s">
        <v>2209</v>
      </c>
      <c r="W2558" s="107" t="s">
        <v>432</v>
      </c>
      <c r="X2558" s="107" t="s">
        <v>432</v>
      </c>
      <c r="Y2558" s="107" t="s">
        <v>432</v>
      </c>
      <c r="Z2558" s="107" t="s">
        <v>432</v>
      </c>
      <c r="AA2558" s="107" t="s">
        <v>432</v>
      </c>
      <c r="AB2558" s="107" t="s">
        <v>432</v>
      </c>
      <c r="AC2558" s="107" t="s">
        <v>432</v>
      </c>
      <c r="AD2558" s="107" t="s">
        <v>432</v>
      </c>
      <c r="AE2558" s="107" t="s">
        <v>432</v>
      </c>
      <c r="AF2558" s="107" t="s">
        <v>432</v>
      </c>
      <c r="AG2558" s="107" t="s">
        <v>432</v>
      </c>
      <c r="AH2558" s="107" t="s">
        <v>432</v>
      </c>
      <c r="AI2558" s="107" t="s">
        <v>432</v>
      </c>
      <c r="AJ2558" s="107" t="s">
        <v>432</v>
      </c>
      <c r="AK2558" s="107" t="s">
        <v>678</v>
      </c>
      <c r="AL2558" s="601" t="s">
        <v>432</v>
      </c>
      <c r="AM2558" s="137" t="s">
        <v>432</v>
      </c>
      <c r="AN2558" s="137" t="s">
        <v>432</v>
      </c>
      <c r="AO2558" s="137" t="s">
        <v>432</v>
      </c>
      <c r="AP2558" s="137" t="s">
        <v>432</v>
      </c>
      <c r="AQ2558" s="137" t="s">
        <v>432</v>
      </c>
      <c r="AR2558" s="137" t="s">
        <v>432</v>
      </c>
      <c r="AS2558" s="137" t="s">
        <v>432</v>
      </c>
      <c r="AT2558" s="137" t="s">
        <v>432</v>
      </c>
      <c r="AU2558" s="137" t="s">
        <v>432</v>
      </c>
      <c r="AV2558" s="137" t="s">
        <v>432</v>
      </c>
      <c r="AW2558" s="137" t="s">
        <v>432</v>
      </c>
      <c r="AX2558" s="137" t="s">
        <v>432</v>
      </c>
      <c r="AY2558" s="137" t="s">
        <v>432</v>
      </c>
      <c r="AZ2558" s="137" t="s">
        <v>432</v>
      </c>
      <c r="BA2558" s="137" t="s">
        <v>432</v>
      </c>
      <c r="BB2558" s="239" t="str">
        <f t="shared" si="767"/>
        <v>Transporte convencionalx</v>
      </c>
      <c r="BC2558" s="239" t="str">
        <f t="shared" si="768"/>
        <v>Transporte convencionalxainda não incorporado ao SisMob-BH</v>
      </c>
      <c r="BD2558" s="239" t="str">
        <f t="shared" si="769"/>
        <v>Transporte convencionalainda não incorporado ao SisMob-BH</v>
      </c>
      <c r="BM2558" s="360"/>
      <c r="BN2558" s="360"/>
      <c r="BO2558" s="360"/>
    </row>
    <row r="2559" spans="1:67" s="105" customFormat="1" ht="33.75" x14ac:dyDescent="0.25">
      <c r="A2559" s="275" t="s">
        <v>610</v>
      </c>
      <c r="B2559" s="1205" t="s">
        <v>928</v>
      </c>
      <c r="C2559" s="303" t="s">
        <v>432</v>
      </c>
      <c r="D2559" s="969" t="s">
        <v>1066</v>
      </c>
      <c r="E2559" s="1496" t="s">
        <v>1306</v>
      </c>
      <c r="F2559" s="59" t="s">
        <v>1414</v>
      </c>
      <c r="G2559" s="448" t="s">
        <v>678</v>
      </c>
      <c r="H2559" s="448" t="s">
        <v>678</v>
      </c>
      <c r="I2559" s="167">
        <v>1</v>
      </c>
      <c r="J2559" s="107" t="s">
        <v>432</v>
      </c>
      <c r="K2559" s="107" t="s">
        <v>432</v>
      </c>
      <c r="L2559" s="107" t="s">
        <v>432</v>
      </c>
      <c r="M2559" s="107" t="s">
        <v>432</v>
      </c>
      <c r="N2559" s="107" t="s">
        <v>432</v>
      </c>
      <c r="O2559" s="107" t="s">
        <v>432</v>
      </c>
      <c r="P2559" s="107" t="s">
        <v>432</v>
      </c>
      <c r="Q2559" s="107" t="s">
        <v>432</v>
      </c>
      <c r="R2559" s="107" t="s">
        <v>432</v>
      </c>
      <c r="S2559" s="109" t="s">
        <v>2209</v>
      </c>
      <c r="T2559" s="107" t="s">
        <v>432</v>
      </c>
      <c r="U2559" s="107" t="s">
        <v>432</v>
      </c>
      <c r="V2559" s="109" t="s">
        <v>2209</v>
      </c>
      <c r="W2559" s="107" t="s">
        <v>432</v>
      </c>
      <c r="X2559" s="107" t="s">
        <v>432</v>
      </c>
      <c r="Y2559" s="107" t="s">
        <v>432</v>
      </c>
      <c r="Z2559" s="107" t="s">
        <v>432</v>
      </c>
      <c r="AA2559" s="107" t="s">
        <v>432</v>
      </c>
      <c r="AB2559" s="107" t="s">
        <v>432</v>
      </c>
      <c r="AC2559" s="107" t="s">
        <v>432</v>
      </c>
      <c r="AD2559" s="107" t="s">
        <v>432</v>
      </c>
      <c r="AE2559" s="107" t="s">
        <v>432</v>
      </c>
      <c r="AF2559" s="107" t="s">
        <v>432</v>
      </c>
      <c r="AG2559" s="107" t="s">
        <v>432</v>
      </c>
      <c r="AH2559" s="107" t="s">
        <v>432</v>
      </c>
      <c r="AI2559" s="107" t="s">
        <v>432</v>
      </c>
      <c r="AJ2559" s="107" t="s">
        <v>432</v>
      </c>
      <c r="AK2559" s="107" t="s">
        <v>432</v>
      </c>
      <c r="AL2559" s="601" t="s">
        <v>432</v>
      </c>
      <c r="AM2559" s="137" t="s">
        <v>432</v>
      </c>
      <c r="AN2559" s="137" t="s">
        <v>432</v>
      </c>
      <c r="AO2559" s="137" t="s">
        <v>432</v>
      </c>
      <c r="AP2559" s="137" t="s">
        <v>432</v>
      </c>
      <c r="AQ2559" s="137" t="s">
        <v>432</v>
      </c>
      <c r="AR2559" s="137" t="s">
        <v>432</v>
      </c>
      <c r="AS2559" s="137" t="s">
        <v>432</v>
      </c>
      <c r="AT2559" s="137" t="s">
        <v>432</v>
      </c>
      <c r="AU2559" s="137" t="s">
        <v>432</v>
      </c>
      <c r="AV2559" s="137" t="s">
        <v>432</v>
      </c>
      <c r="AW2559" s="137" t="s">
        <v>432</v>
      </c>
      <c r="AX2559" s="137" t="s">
        <v>432</v>
      </c>
      <c r="AY2559" s="137" t="s">
        <v>432</v>
      </c>
      <c r="AZ2559" s="137" t="s">
        <v>432</v>
      </c>
      <c r="BA2559" s="137" t="s">
        <v>432</v>
      </c>
      <c r="BB2559" s="239" t="str">
        <f t="shared" si="767"/>
        <v>BRTx</v>
      </c>
      <c r="BC2559" s="239" t="str">
        <f t="shared" si="768"/>
        <v>BRTxainda não incorporado ao SisMob-BH</v>
      </c>
      <c r="BD2559" s="239" t="str">
        <f t="shared" si="769"/>
        <v>BRTainda não incorporado ao SisMob-BH</v>
      </c>
      <c r="BM2559" s="360"/>
      <c r="BN2559" s="360"/>
      <c r="BO2559" s="360"/>
    </row>
    <row r="2560" spans="1:67" s="105" customFormat="1" ht="33.75" x14ac:dyDescent="0.25">
      <c r="A2560" s="275" t="s">
        <v>610</v>
      </c>
      <c r="B2560" s="1205" t="s">
        <v>928</v>
      </c>
      <c r="C2560" s="303" t="s">
        <v>432</v>
      </c>
      <c r="D2560" s="939" t="s">
        <v>1066</v>
      </c>
      <c r="E2560" s="1496" t="s">
        <v>1306</v>
      </c>
      <c r="F2560" s="59" t="s">
        <v>1415</v>
      </c>
      <c r="G2560" s="448" t="s">
        <v>678</v>
      </c>
      <c r="H2560" s="448" t="s">
        <v>678</v>
      </c>
      <c r="I2560" s="167">
        <v>1</v>
      </c>
      <c r="J2560" s="107" t="s">
        <v>432</v>
      </c>
      <c r="K2560" s="107" t="s">
        <v>432</v>
      </c>
      <c r="L2560" s="107" t="s">
        <v>432</v>
      </c>
      <c r="M2560" s="107" t="s">
        <v>432</v>
      </c>
      <c r="N2560" s="107" t="s">
        <v>432</v>
      </c>
      <c r="O2560" s="107" t="s">
        <v>432</v>
      </c>
      <c r="P2560" s="107" t="s">
        <v>432</v>
      </c>
      <c r="Q2560" s="107" t="s">
        <v>432</v>
      </c>
      <c r="R2560" s="107" t="s">
        <v>432</v>
      </c>
      <c r="S2560" s="109" t="s">
        <v>2209</v>
      </c>
      <c r="T2560" s="107" t="s">
        <v>432</v>
      </c>
      <c r="U2560" s="107" t="s">
        <v>432</v>
      </c>
      <c r="V2560" s="109" t="s">
        <v>2209</v>
      </c>
      <c r="W2560" s="107" t="s">
        <v>432</v>
      </c>
      <c r="X2560" s="107" t="s">
        <v>432</v>
      </c>
      <c r="Y2560" s="107" t="s">
        <v>432</v>
      </c>
      <c r="Z2560" s="107" t="s">
        <v>432</v>
      </c>
      <c r="AA2560" s="107" t="s">
        <v>432</v>
      </c>
      <c r="AB2560" s="107" t="s">
        <v>432</v>
      </c>
      <c r="AC2560" s="107" t="s">
        <v>432</v>
      </c>
      <c r="AD2560" s="107" t="s">
        <v>432</v>
      </c>
      <c r="AE2560" s="107" t="s">
        <v>432</v>
      </c>
      <c r="AF2560" s="107" t="s">
        <v>432</v>
      </c>
      <c r="AG2560" s="107" t="s">
        <v>432</v>
      </c>
      <c r="AH2560" s="107" t="s">
        <v>432</v>
      </c>
      <c r="AI2560" s="107" t="s">
        <v>432</v>
      </c>
      <c r="AJ2560" s="107" t="s">
        <v>432</v>
      </c>
      <c r="AK2560" s="107" t="s">
        <v>432</v>
      </c>
      <c r="AL2560" s="601" t="s">
        <v>432</v>
      </c>
      <c r="AM2560" s="137" t="s">
        <v>432</v>
      </c>
      <c r="AN2560" s="137" t="s">
        <v>432</v>
      </c>
      <c r="AO2560" s="137" t="s">
        <v>432</v>
      </c>
      <c r="AP2560" s="137" t="s">
        <v>432</v>
      </c>
      <c r="AQ2560" s="137" t="s">
        <v>432</v>
      </c>
      <c r="AR2560" s="137" t="s">
        <v>432</v>
      </c>
      <c r="AS2560" s="137" t="s">
        <v>432</v>
      </c>
      <c r="AT2560" s="137" t="s">
        <v>432</v>
      </c>
      <c r="AU2560" s="137" t="s">
        <v>432</v>
      </c>
      <c r="AV2560" s="137" t="s">
        <v>432</v>
      </c>
      <c r="AW2560" s="137" t="s">
        <v>432</v>
      </c>
      <c r="AX2560" s="137" t="s">
        <v>432</v>
      </c>
      <c r="AY2560" s="137" t="s">
        <v>432</v>
      </c>
      <c r="AZ2560" s="137" t="s">
        <v>432</v>
      </c>
      <c r="BA2560" s="137" t="s">
        <v>432</v>
      </c>
      <c r="BB2560" s="239" t="str">
        <f t="shared" si="767"/>
        <v>BRTx</v>
      </c>
      <c r="BC2560" s="239" t="str">
        <f t="shared" si="768"/>
        <v>BRTxainda não incorporado ao SisMob-BH</v>
      </c>
      <c r="BD2560" s="239" t="str">
        <f t="shared" si="769"/>
        <v>BRTainda não incorporado ao SisMob-BH</v>
      </c>
      <c r="BM2560" s="360"/>
      <c r="BN2560" s="360"/>
      <c r="BO2560" s="360"/>
    </row>
    <row r="2561" spans="1:67" s="105" customFormat="1" ht="33.75" x14ac:dyDescent="0.25">
      <c r="A2561" s="275" t="s">
        <v>610</v>
      </c>
      <c r="B2561" s="1205" t="s">
        <v>928</v>
      </c>
      <c r="C2561" s="303" t="s">
        <v>432</v>
      </c>
      <c r="D2561" s="939" t="s">
        <v>1066</v>
      </c>
      <c r="E2561" s="1496" t="s">
        <v>1306</v>
      </c>
      <c r="F2561" s="59" t="s">
        <v>1416</v>
      </c>
      <c r="G2561" s="448" t="s">
        <v>678</v>
      </c>
      <c r="H2561" s="448" t="s">
        <v>678</v>
      </c>
      <c r="I2561" s="167">
        <v>1</v>
      </c>
      <c r="J2561" s="107" t="s">
        <v>432</v>
      </c>
      <c r="K2561" s="107" t="s">
        <v>432</v>
      </c>
      <c r="L2561" s="107" t="s">
        <v>432</v>
      </c>
      <c r="M2561" s="107" t="s">
        <v>432</v>
      </c>
      <c r="N2561" s="107" t="s">
        <v>432</v>
      </c>
      <c r="O2561" s="107" t="s">
        <v>432</v>
      </c>
      <c r="P2561" s="107" t="s">
        <v>432</v>
      </c>
      <c r="Q2561" s="107" t="s">
        <v>432</v>
      </c>
      <c r="R2561" s="107" t="s">
        <v>432</v>
      </c>
      <c r="S2561" s="109" t="s">
        <v>2209</v>
      </c>
      <c r="T2561" s="107" t="s">
        <v>432</v>
      </c>
      <c r="U2561" s="107" t="s">
        <v>432</v>
      </c>
      <c r="V2561" s="109" t="s">
        <v>2209</v>
      </c>
      <c r="W2561" s="107" t="s">
        <v>432</v>
      </c>
      <c r="X2561" s="107" t="s">
        <v>432</v>
      </c>
      <c r="Y2561" s="107" t="s">
        <v>432</v>
      </c>
      <c r="Z2561" s="107" t="s">
        <v>432</v>
      </c>
      <c r="AA2561" s="107" t="s">
        <v>432</v>
      </c>
      <c r="AB2561" s="107" t="s">
        <v>432</v>
      </c>
      <c r="AC2561" s="107" t="s">
        <v>432</v>
      </c>
      <c r="AD2561" s="107" t="s">
        <v>432</v>
      </c>
      <c r="AE2561" s="107" t="s">
        <v>432</v>
      </c>
      <c r="AF2561" s="107" t="s">
        <v>432</v>
      </c>
      <c r="AG2561" s="107" t="s">
        <v>432</v>
      </c>
      <c r="AH2561" s="107" t="s">
        <v>432</v>
      </c>
      <c r="AI2561" s="107" t="s">
        <v>432</v>
      </c>
      <c r="AJ2561" s="107" t="s">
        <v>432</v>
      </c>
      <c r="AK2561" s="107" t="s">
        <v>432</v>
      </c>
      <c r="AL2561" s="601" t="s">
        <v>432</v>
      </c>
      <c r="AM2561" s="137" t="s">
        <v>432</v>
      </c>
      <c r="AN2561" s="137" t="s">
        <v>432</v>
      </c>
      <c r="AO2561" s="137" t="s">
        <v>432</v>
      </c>
      <c r="AP2561" s="137" t="s">
        <v>432</v>
      </c>
      <c r="AQ2561" s="137" t="s">
        <v>432</v>
      </c>
      <c r="AR2561" s="137" t="s">
        <v>432</v>
      </c>
      <c r="AS2561" s="137" t="s">
        <v>432</v>
      </c>
      <c r="AT2561" s="137" t="s">
        <v>432</v>
      </c>
      <c r="AU2561" s="137" t="s">
        <v>432</v>
      </c>
      <c r="AV2561" s="137" t="s">
        <v>432</v>
      </c>
      <c r="AW2561" s="137" t="s">
        <v>432</v>
      </c>
      <c r="AX2561" s="137" t="s">
        <v>432</v>
      </c>
      <c r="AY2561" s="137" t="s">
        <v>432</v>
      </c>
      <c r="AZ2561" s="137" t="s">
        <v>432</v>
      </c>
      <c r="BA2561" s="137" t="s">
        <v>432</v>
      </c>
      <c r="BB2561" s="239" t="str">
        <f t="shared" si="767"/>
        <v>BRTx</v>
      </c>
      <c r="BC2561" s="239" t="str">
        <f t="shared" si="768"/>
        <v>BRTxainda não incorporado ao SisMob-BH</v>
      </c>
      <c r="BD2561" s="239" t="str">
        <f t="shared" si="769"/>
        <v>BRTainda não incorporado ao SisMob-BH</v>
      </c>
      <c r="BM2561" s="360"/>
      <c r="BN2561" s="360"/>
      <c r="BO2561" s="360"/>
    </row>
    <row r="2562" spans="1:67" s="105" customFormat="1" ht="33.75" x14ac:dyDescent="0.25">
      <c r="A2562" s="275" t="s">
        <v>610</v>
      </c>
      <c r="B2562" s="1205" t="s">
        <v>928</v>
      </c>
      <c r="C2562" s="303" t="s">
        <v>432</v>
      </c>
      <c r="D2562" s="939" t="s">
        <v>1066</v>
      </c>
      <c r="E2562" s="1496" t="s">
        <v>1306</v>
      </c>
      <c r="F2562" s="59" t="s">
        <v>1417</v>
      </c>
      <c r="G2562" s="448" t="s">
        <v>678</v>
      </c>
      <c r="H2562" s="448" t="s">
        <v>678</v>
      </c>
      <c r="I2562" s="167">
        <v>1</v>
      </c>
      <c r="J2562" s="107" t="s">
        <v>432</v>
      </c>
      <c r="K2562" s="107" t="s">
        <v>432</v>
      </c>
      <c r="L2562" s="107" t="s">
        <v>432</v>
      </c>
      <c r="M2562" s="107" t="s">
        <v>432</v>
      </c>
      <c r="N2562" s="107" t="s">
        <v>432</v>
      </c>
      <c r="O2562" s="107" t="s">
        <v>432</v>
      </c>
      <c r="P2562" s="107" t="s">
        <v>432</v>
      </c>
      <c r="Q2562" s="107" t="s">
        <v>432</v>
      </c>
      <c r="R2562" s="107" t="s">
        <v>432</v>
      </c>
      <c r="S2562" s="109" t="s">
        <v>2209</v>
      </c>
      <c r="T2562" s="107" t="s">
        <v>432</v>
      </c>
      <c r="U2562" s="107" t="s">
        <v>432</v>
      </c>
      <c r="V2562" s="109" t="s">
        <v>2209</v>
      </c>
      <c r="W2562" s="107" t="s">
        <v>432</v>
      </c>
      <c r="X2562" s="107" t="s">
        <v>432</v>
      </c>
      <c r="Y2562" s="107" t="s">
        <v>432</v>
      </c>
      <c r="Z2562" s="107" t="s">
        <v>432</v>
      </c>
      <c r="AA2562" s="107" t="s">
        <v>432</v>
      </c>
      <c r="AB2562" s="107" t="s">
        <v>432</v>
      </c>
      <c r="AC2562" s="107" t="s">
        <v>432</v>
      </c>
      <c r="AD2562" s="107" t="s">
        <v>432</v>
      </c>
      <c r="AE2562" s="107" t="s">
        <v>432</v>
      </c>
      <c r="AF2562" s="107" t="s">
        <v>432</v>
      </c>
      <c r="AG2562" s="107" t="s">
        <v>432</v>
      </c>
      <c r="AH2562" s="107" t="s">
        <v>432</v>
      </c>
      <c r="AI2562" s="107" t="s">
        <v>432</v>
      </c>
      <c r="AJ2562" s="107" t="s">
        <v>432</v>
      </c>
      <c r="AK2562" s="107" t="s">
        <v>432</v>
      </c>
      <c r="AL2562" s="601" t="s">
        <v>432</v>
      </c>
      <c r="AM2562" s="137" t="s">
        <v>432</v>
      </c>
      <c r="AN2562" s="137" t="s">
        <v>432</v>
      </c>
      <c r="AO2562" s="137" t="s">
        <v>432</v>
      </c>
      <c r="AP2562" s="137" t="s">
        <v>432</v>
      </c>
      <c r="AQ2562" s="137" t="s">
        <v>432</v>
      </c>
      <c r="AR2562" s="137" t="s">
        <v>432</v>
      </c>
      <c r="AS2562" s="137" t="s">
        <v>432</v>
      </c>
      <c r="AT2562" s="137" t="s">
        <v>432</v>
      </c>
      <c r="AU2562" s="137" t="s">
        <v>432</v>
      </c>
      <c r="AV2562" s="137" t="s">
        <v>432</v>
      </c>
      <c r="AW2562" s="137" t="s">
        <v>432</v>
      </c>
      <c r="AX2562" s="137" t="s">
        <v>432</v>
      </c>
      <c r="AY2562" s="137" t="s">
        <v>432</v>
      </c>
      <c r="AZ2562" s="137" t="s">
        <v>432</v>
      </c>
      <c r="BA2562" s="137" t="s">
        <v>432</v>
      </c>
      <c r="BB2562" s="239" t="str">
        <f t="shared" si="767"/>
        <v>BRTx</v>
      </c>
      <c r="BC2562" s="239" t="str">
        <f t="shared" si="768"/>
        <v>BRTxainda não incorporado ao SisMob-BH</v>
      </c>
      <c r="BD2562" s="239" t="str">
        <f t="shared" si="769"/>
        <v>BRTainda não incorporado ao SisMob-BH</v>
      </c>
      <c r="BM2562" s="193"/>
      <c r="BN2562" s="193"/>
      <c r="BO2562" s="193"/>
    </row>
    <row r="2563" spans="1:67" s="105" customFormat="1" ht="57.75" x14ac:dyDescent="0.25">
      <c r="A2563" s="275" t="s">
        <v>982</v>
      </c>
      <c r="B2563" s="54" t="s">
        <v>983</v>
      </c>
      <c r="C2563" s="303" t="s">
        <v>432</v>
      </c>
      <c r="D2563" s="939" t="s">
        <v>1066</v>
      </c>
      <c r="E2563" s="1496" t="s">
        <v>1306</v>
      </c>
      <c r="F2563" s="59" t="s">
        <v>1418</v>
      </c>
      <c r="G2563" s="448" t="s">
        <v>678</v>
      </c>
      <c r="H2563" s="448" t="s">
        <v>678</v>
      </c>
      <c r="I2563" s="167">
        <v>1</v>
      </c>
      <c r="J2563" s="107" t="s">
        <v>432</v>
      </c>
      <c r="K2563" s="107" t="s">
        <v>432</v>
      </c>
      <c r="L2563" s="107" t="s">
        <v>432</v>
      </c>
      <c r="M2563" s="107" t="s">
        <v>432</v>
      </c>
      <c r="N2563" s="107" t="s">
        <v>432</v>
      </c>
      <c r="O2563" s="107" t="s">
        <v>432</v>
      </c>
      <c r="P2563" s="107" t="s">
        <v>432</v>
      </c>
      <c r="Q2563" s="107" t="s">
        <v>432</v>
      </c>
      <c r="R2563" s="107" t="s">
        <v>432</v>
      </c>
      <c r="S2563" s="109" t="s">
        <v>2209</v>
      </c>
      <c r="T2563" s="107" t="s">
        <v>432</v>
      </c>
      <c r="U2563" s="107" t="s">
        <v>432</v>
      </c>
      <c r="V2563" s="109" t="s">
        <v>2209</v>
      </c>
      <c r="W2563" s="107" t="s">
        <v>432</v>
      </c>
      <c r="X2563" s="107" t="s">
        <v>432</v>
      </c>
      <c r="Y2563" s="107" t="s">
        <v>432</v>
      </c>
      <c r="Z2563" s="107" t="s">
        <v>432</v>
      </c>
      <c r="AA2563" s="107" t="s">
        <v>432</v>
      </c>
      <c r="AB2563" s="107" t="s">
        <v>432</v>
      </c>
      <c r="AC2563" s="107" t="s">
        <v>432</v>
      </c>
      <c r="AD2563" s="107" t="s">
        <v>432</v>
      </c>
      <c r="AE2563" s="107" t="s">
        <v>432</v>
      </c>
      <c r="AF2563" s="107" t="s">
        <v>432</v>
      </c>
      <c r="AG2563" s="107" t="s">
        <v>432</v>
      </c>
      <c r="AH2563" s="107" t="s">
        <v>432</v>
      </c>
      <c r="AI2563" s="107" t="s">
        <v>432</v>
      </c>
      <c r="AJ2563" s="107" t="s">
        <v>432</v>
      </c>
      <c r="AK2563" s="107" t="s">
        <v>432</v>
      </c>
      <c r="AL2563" s="601" t="s">
        <v>432</v>
      </c>
      <c r="AM2563" s="137" t="s">
        <v>432</v>
      </c>
      <c r="AN2563" s="137" t="s">
        <v>432</v>
      </c>
      <c r="AO2563" s="137" t="s">
        <v>432</v>
      </c>
      <c r="AP2563" s="137" t="s">
        <v>432</v>
      </c>
      <c r="AQ2563" s="137" t="s">
        <v>432</v>
      </c>
      <c r="AR2563" s="137" t="s">
        <v>432</v>
      </c>
      <c r="AS2563" s="137" t="s">
        <v>432</v>
      </c>
      <c r="AT2563" s="137" t="s">
        <v>432</v>
      </c>
      <c r="AU2563" s="137" t="s">
        <v>432</v>
      </c>
      <c r="AV2563" s="137" t="s">
        <v>432</v>
      </c>
      <c r="AW2563" s="137" t="s">
        <v>432</v>
      </c>
      <c r="AX2563" s="137" t="s">
        <v>432</v>
      </c>
      <c r="AY2563" s="137" t="s">
        <v>432</v>
      </c>
      <c r="AZ2563" s="137" t="s">
        <v>432</v>
      </c>
      <c r="BA2563" s="137" t="s">
        <v>432</v>
      </c>
      <c r="BB2563" s="239" t="str">
        <f t="shared" si="767"/>
        <v>Sistema de transporte coletivo com um todox</v>
      </c>
      <c r="BC2563" s="239" t="str">
        <f t="shared" si="768"/>
        <v>Sistema de transporte coletivo com um todoxainda não incorporado ao SisMob-BH</v>
      </c>
      <c r="BD2563" s="239" t="str">
        <f t="shared" si="769"/>
        <v>Sistema de transporte coletivo com um todoainda não incorporado ao SisMob-BH</v>
      </c>
      <c r="BM2563" s="372"/>
      <c r="BN2563" s="372"/>
      <c r="BO2563" s="372"/>
    </row>
    <row r="2564" spans="1:67" s="105" customFormat="1" ht="57.75" x14ac:dyDescent="0.25">
      <c r="A2564" s="275" t="s">
        <v>982</v>
      </c>
      <c r="B2564" s="54" t="s">
        <v>983</v>
      </c>
      <c r="C2564" s="303" t="s">
        <v>432</v>
      </c>
      <c r="D2564" s="939" t="s">
        <v>1066</v>
      </c>
      <c r="E2564" s="1496" t="s">
        <v>1306</v>
      </c>
      <c r="F2564" s="59" t="s">
        <v>1419</v>
      </c>
      <c r="G2564" s="448" t="s">
        <v>678</v>
      </c>
      <c r="H2564" s="448" t="s">
        <v>678</v>
      </c>
      <c r="I2564" s="167">
        <v>1</v>
      </c>
      <c r="J2564" s="107" t="s">
        <v>432</v>
      </c>
      <c r="K2564" s="107" t="s">
        <v>432</v>
      </c>
      <c r="L2564" s="107" t="s">
        <v>432</v>
      </c>
      <c r="M2564" s="107" t="s">
        <v>432</v>
      </c>
      <c r="N2564" s="107" t="s">
        <v>432</v>
      </c>
      <c r="O2564" s="107" t="s">
        <v>432</v>
      </c>
      <c r="P2564" s="107" t="s">
        <v>432</v>
      </c>
      <c r="Q2564" s="107" t="s">
        <v>432</v>
      </c>
      <c r="R2564" s="107" t="s">
        <v>432</v>
      </c>
      <c r="S2564" s="109" t="s">
        <v>2209</v>
      </c>
      <c r="T2564" s="107" t="s">
        <v>432</v>
      </c>
      <c r="U2564" s="107" t="s">
        <v>432</v>
      </c>
      <c r="V2564" s="109" t="s">
        <v>2209</v>
      </c>
      <c r="W2564" s="107" t="s">
        <v>432</v>
      </c>
      <c r="X2564" s="107" t="s">
        <v>432</v>
      </c>
      <c r="Y2564" s="107" t="s">
        <v>432</v>
      </c>
      <c r="Z2564" s="107" t="s">
        <v>432</v>
      </c>
      <c r="AA2564" s="107" t="s">
        <v>432</v>
      </c>
      <c r="AB2564" s="107" t="s">
        <v>432</v>
      </c>
      <c r="AC2564" s="107" t="s">
        <v>432</v>
      </c>
      <c r="AD2564" s="107" t="s">
        <v>432</v>
      </c>
      <c r="AE2564" s="107" t="s">
        <v>432</v>
      </c>
      <c r="AF2564" s="107" t="s">
        <v>432</v>
      </c>
      <c r="AG2564" s="107" t="s">
        <v>432</v>
      </c>
      <c r="AH2564" s="107" t="s">
        <v>432</v>
      </c>
      <c r="AI2564" s="107" t="s">
        <v>432</v>
      </c>
      <c r="AJ2564" s="107" t="s">
        <v>432</v>
      </c>
      <c r="AK2564" s="107" t="s">
        <v>432</v>
      </c>
      <c r="AL2564" s="601" t="s">
        <v>432</v>
      </c>
      <c r="AM2564" s="137" t="s">
        <v>432</v>
      </c>
      <c r="AN2564" s="137" t="s">
        <v>432</v>
      </c>
      <c r="AO2564" s="137" t="s">
        <v>432</v>
      </c>
      <c r="AP2564" s="137" t="s">
        <v>432</v>
      </c>
      <c r="AQ2564" s="137" t="s">
        <v>432</v>
      </c>
      <c r="AR2564" s="137" t="s">
        <v>432</v>
      </c>
      <c r="AS2564" s="137" t="s">
        <v>432</v>
      </c>
      <c r="AT2564" s="137" t="s">
        <v>432</v>
      </c>
      <c r="AU2564" s="137" t="s">
        <v>432</v>
      </c>
      <c r="AV2564" s="137" t="s">
        <v>432</v>
      </c>
      <c r="AW2564" s="137" t="s">
        <v>432</v>
      </c>
      <c r="AX2564" s="137" t="s">
        <v>432</v>
      </c>
      <c r="AY2564" s="137" t="s">
        <v>432</v>
      </c>
      <c r="AZ2564" s="137" t="s">
        <v>432</v>
      </c>
      <c r="BA2564" s="137" t="s">
        <v>432</v>
      </c>
      <c r="BB2564" s="239" t="str">
        <f>B2564&amp;C2564</f>
        <v>Sistema de transporte coletivo com um todox</v>
      </c>
      <c r="BC2564" s="239" t="str">
        <f>B2564&amp;C2564&amp;H2564</f>
        <v>Sistema de transporte coletivo com um todoxainda não incorporado ao SisMob-BH</v>
      </c>
      <c r="BD2564" s="239" t="str">
        <f>B2564&amp;H2564</f>
        <v>Sistema de transporte coletivo com um todoainda não incorporado ao SisMob-BH</v>
      </c>
      <c r="BM2564" s="372"/>
      <c r="BN2564" s="372"/>
      <c r="BO2564" s="372"/>
    </row>
    <row r="2565" spans="1:67" x14ac:dyDescent="0.25">
      <c r="A2565" s="910"/>
      <c r="B2565" s="911"/>
      <c r="C2565" s="912"/>
      <c r="D2565" s="981"/>
      <c r="E2565" s="1528"/>
      <c r="F2565" s="913"/>
      <c r="G2565" s="913"/>
      <c r="H2565" s="913"/>
      <c r="I2565" s="914"/>
      <c r="J2565" s="914"/>
      <c r="K2565" s="910"/>
      <c r="L2565" s="910"/>
      <c r="M2565" s="910"/>
      <c r="N2565" s="910"/>
      <c r="O2565" s="910"/>
      <c r="P2565" s="910"/>
      <c r="Q2565" s="910"/>
      <c r="R2565" s="910"/>
      <c r="S2565" s="910"/>
      <c r="T2565" s="910"/>
      <c r="U2565" s="910"/>
      <c r="V2565" s="910"/>
      <c r="W2565" s="910"/>
      <c r="X2565" s="910"/>
      <c r="Y2565" s="910"/>
      <c r="Z2565" s="910"/>
      <c r="AA2565" s="910"/>
      <c r="AB2565" s="910"/>
      <c r="AC2565" s="910"/>
      <c r="AD2565" s="910"/>
      <c r="AE2565" s="910"/>
      <c r="AF2565" s="910"/>
      <c r="AG2565" s="910"/>
      <c r="AH2565" s="910"/>
      <c r="AI2565" s="910"/>
      <c r="AJ2565" s="910"/>
      <c r="AK2565" s="910"/>
      <c r="AL2565" s="910"/>
      <c r="AM2565" s="910"/>
      <c r="AN2565" s="910"/>
      <c r="AO2565" s="910"/>
      <c r="AP2565" s="910"/>
      <c r="AQ2565" s="910"/>
      <c r="AR2565" s="910"/>
      <c r="AS2565" s="910"/>
      <c r="AT2565" s="910"/>
      <c r="AU2565" s="910"/>
      <c r="AV2565" s="910"/>
      <c r="AW2565" s="910"/>
      <c r="AX2565" s="910"/>
      <c r="AY2565" s="910"/>
      <c r="AZ2565" s="910"/>
      <c r="BA2565" s="910"/>
      <c r="BB2565" s="910"/>
      <c r="BC2565" s="910"/>
      <c r="BD2565" s="910"/>
    </row>
    <row r="2566" spans="1:67" s="105" customFormat="1" ht="33.75" x14ac:dyDescent="0.25">
      <c r="A2566" s="275" t="s">
        <v>604</v>
      </c>
      <c r="B2566" s="1205" t="s">
        <v>736</v>
      </c>
      <c r="C2566" s="157" t="s">
        <v>432</v>
      </c>
      <c r="D2566" s="939" t="s">
        <v>1066</v>
      </c>
      <c r="E2566" s="1445" t="s">
        <v>1306</v>
      </c>
      <c r="F2566" s="5" t="s">
        <v>1420</v>
      </c>
      <c r="G2566" s="448" t="s">
        <v>678</v>
      </c>
      <c r="H2566" s="448" t="s">
        <v>678</v>
      </c>
      <c r="I2566" s="167">
        <v>1</v>
      </c>
      <c r="J2566" s="107" t="s">
        <v>432</v>
      </c>
      <c r="K2566" s="107" t="s">
        <v>432</v>
      </c>
      <c r="L2566" s="107" t="s">
        <v>432</v>
      </c>
      <c r="M2566" s="107" t="s">
        <v>432</v>
      </c>
      <c r="N2566" s="107" t="s">
        <v>432</v>
      </c>
      <c r="O2566" s="107" t="s">
        <v>432</v>
      </c>
      <c r="P2566" s="107" t="s">
        <v>432</v>
      </c>
      <c r="Q2566" s="107" t="s">
        <v>432</v>
      </c>
      <c r="R2566" s="107" t="s">
        <v>432</v>
      </c>
      <c r="S2566" s="109" t="s">
        <v>2209</v>
      </c>
      <c r="T2566" s="107" t="s">
        <v>432</v>
      </c>
      <c r="U2566" s="107" t="s">
        <v>432</v>
      </c>
      <c r="V2566" s="109" t="s">
        <v>2209</v>
      </c>
      <c r="W2566" s="107" t="s">
        <v>432</v>
      </c>
      <c r="X2566" s="107" t="s">
        <v>432</v>
      </c>
      <c r="Y2566" s="107" t="s">
        <v>432</v>
      </c>
      <c r="Z2566" s="107" t="s">
        <v>432</v>
      </c>
      <c r="AA2566" s="107" t="s">
        <v>432</v>
      </c>
      <c r="AB2566" s="107" t="s">
        <v>432</v>
      </c>
      <c r="AC2566" s="107" t="s">
        <v>432</v>
      </c>
      <c r="AD2566" s="107" t="s">
        <v>432</v>
      </c>
      <c r="AE2566" s="107" t="s">
        <v>432</v>
      </c>
      <c r="AF2566" s="107" t="s">
        <v>432</v>
      </c>
      <c r="AG2566" s="107" t="s">
        <v>432</v>
      </c>
      <c r="AH2566" s="107" t="s">
        <v>432</v>
      </c>
      <c r="AI2566" s="107" t="s">
        <v>432</v>
      </c>
      <c r="AJ2566" s="107" t="s">
        <v>432</v>
      </c>
      <c r="AK2566" s="107" t="s">
        <v>432</v>
      </c>
      <c r="AL2566" s="601" t="s">
        <v>432</v>
      </c>
      <c r="AM2566" s="137" t="s">
        <v>432</v>
      </c>
      <c r="AN2566" s="137" t="s">
        <v>432</v>
      </c>
      <c r="AO2566" s="137" t="s">
        <v>432</v>
      </c>
      <c r="AP2566" s="137" t="s">
        <v>432</v>
      </c>
      <c r="AQ2566" s="137" t="s">
        <v>432</v>
      </c>
      <c r="AR2566" s="137" t="s">
        <v>432</v>
      </c>
      <c r="AS2566" s="137" t="s">
        <v>432</v>
      </c>
      <c r="AT2566" s="137" t="s">
        <v>432</v>
      </c>
      <c r="AU2566" s="137" t="s">
        <v>432</v>
      </c>
      <c r="AV2566" s="137" t="s">
        <v>432</v>
      </c>
      <c r="AW2566" s="137" t="s">
        <v>432</v>
      </c>
      <c r="AX2566" s="137" t="s">
        <v>432</v>
      </c>
      <c r="AY2566" s="137" t="s">
        <v>432</v>
      </c>
      <c r="AZ2566" s="137" t="s">
        <v>432</v>
      </c>
      <c r="BA2566" s="137" t="s">
        <v>432</v>
      </c>
      <c r="BB2566" s="239" t="str">
        <f t="shared" ref="BB2566:BB2571" si="770">B2566&amp;C2566</f>
        <v>Poluição do arx</v>
      </c>
      <c r="BC2566" s="239" t="str">
        <f t="shared" ref="BC2566:BC2571" si="771">B2566&amp;C2566&amp;H2566</f>
        <v>Poluição do arxainda não incorporado ao SisMob-BH</v>
      </c>
      <c r="BD2566" s="239" t="str">
        <f t="shared" ref="BD2566:BD2571" si="772">B2566&amp;H2566</f>
        <v>Poluição do arainda não incorporado ao SisMob-BH</v>
      </c>
      <c r="BM2566" s="372"/>
      <c r="BN2566" s="372"/>
      <c r="BO2566" s="372"/>
    </row>
    <row r="2567" spans="1:67" s="105" customFormat="1" ht="41.25" x14ac:dyDescent="0.25">
      <c r="A2567" s="275" t="s">
        <v>623</v>
      </c>
      <c r="B2567" s="54" t="s">
        <v>186</v>
      </c>
      <c r="C2567" s="303" t="s">
        <v>432</v>
      </c>
      <c r="D2567" s="939" t="s">
        <v>1066</v>
      </c>
      <c r="E2567" s="1496" t="s">
        <v>1306</v>
      </c>
      <c r="F2567" s="59" t="s">
        <v>1421</v>
      </c>
      <c r="G2567" s="448" t="s">
        <v>678</v>
      </c>
      <c r="H2567" s="448" t="s">
        <v>678</v>
      </c>
      <c r="I2567" s="167">
        <v>1</v>
      </c>
      <c r="J2567" s="107" t="s">
        <v>432</v>
      </c>
      <c r="K2567" s="107" t="s">
        <v>432</v>
      </c>
      <c r="L2567" s="107" t="s">
        <v>432</v>
      </c>
      <c r="M2567" s="107" t="s">
        <v>432</v>
      </c>
      <c r="N2567" s="107" t="s">
        <v>432</v>
      </c>
      <c r="O2567" s="107" t="s">
        <v>432</v>
      </c>
      <c r="P2567" s="107" t="s">
        <v>432</v>
      </c>
      <c r="Q2567" s="107" t="s">
        <v>432</v>
      </c>
      <c r="R2567" s="107" t="s">
        <v>432</v>
      </c>
      <c r="S2567" s="109" t="s">
        <v>2209</v>
      </c>
      <c r="T2567" s="107" t="s">
        <v>432</v>
      </c>
      <c r="U2567" s="107" t="s">
        <v>432</v>
      </c>
      <c r="V2567" s="109" t="s">
        <v>2209</v>
      </c>
      <c r="W2567" s="107" t="s">
        <v>432</v>
      </c>
      <c r="X2567" s="107" t="s">
        <v>432</v>
      </c>
      <c r="Y2567" s="107" t="s">
        <v>432</v>
      </c>
      <c r="Z2567" s="107" t="s">
        <v>432</v>
      </c>
      <c r="AA2567" s="107" t="s">
        <v>432</v>
      </c>
      <c r="AB2567" s="107" t="s">
        <v>432</v>
      </c>
      <c r="AC2567" s="107" t="s">
        <v>432</v>
      </c>
      <c r="AD2567" s="107" t="s">
        <v>432</v>
      </c>
      <c r="AE2567" s="107" t="s">
        <v>432</v>
      </c>
      <c r="AF2567" s="107" t="s">
        <v>432</v>
      </c>
      <c r="AG2567" s="107" t="s">
        <v>432</v>
      </c>
      <c r="AH2567" s="107" t="s">
        <v>432</v>
      </c>
      <c r="AI2567" s="107" t="s">
        <v>432</v>
      </c>
      <c r="AJ2567" s="107" t="s">
        <v>432</v>
      </c>
      <c r="AK2567" s="107" t="s">
        <v>432</v>
      </c>
      <c r="AL2567" s="601" t="s">
        <v>432</v>
      </c>
      <c r="AM2567" s="137" t="s">
        <v>432</v>
      </c>
      <c r="AN2567" s="137" t="s">
        <v>432</v>
      </c>
      <c r="AO2567" s="137" t="s">
        <v>432</v>
      </c>
      <c r="AP2567" s="137" t="s">
        <v>432</v>
      </c>
      <c r="AQ2567" s="137" t="s">
        <v>432</v>
      </c>
      <c r="AR2567" s="137" t="s">
        <v>432</v>
      </c>
      <c r="AS2567" s="137" t="s">
        <v>432</v>
      </c>
      <c r="AT2567" s="137" t="s">
        <v>432</v>
      </c>
      <c r="AU2567" s="137" t="s">
        <v>432</v>
      </c>
      <c r="AV2567" s="137" t="s">
        <v>432</v>
      </c>
      <c r="AW2567" s="137" t="s">
        <v>432</v>
      </c>
      <c r="AX2567" s="137" t="s">
        <v>432</v>
      </c>
      <c r="AY2567" s="137" t="s">
        <v>432</v>
      </c>
      <c r="AZ2567" s="137" t="s">
        <v>432</v>
      </c>
      <c r="BA2567" s="137" t="s">
        <v>432</v>
      </c>
      <c r="BB2567" s="239" t="str">
        <f t="shared" si="770"/>
        <v>Velocidades e volumesx</v>
      </c>
      <c r="BC2567" s="239" t="str">
        <f t="shared" si="771"/>
        <v>Velocidades e volumesxainda não incorporado ao SisMob-BH</v>
      </c>
      <c r="BD2567" s="239" t="str">
        <f t="shared" si="772"/>
        <v>Velocidades e volumesainda não incorporado ao SisMob-BH</v>
      </c>
      <c r="BM2567" s="372"/>
      <c r="BN2567" s="372"/>
      <c r="BO2567" s="372"/>
    </row>
    <row r="2568" spans="1:67" s="105" customFormat="1" ht="41.25" x14ac:dyDescent="0.25">
      <c r="A2568" s="275" t="s">
        <v>623</v>
      </c>
      <c r="B2568" s="54" t="s">
        <v>186</v>
      </c>
      <c r="C2568" s="303" t="s">
        <v>432</v>
      </c>
      <c r="D2568" s="939" t="s">
        <v>1066</v>
      </c>
      <c r="E2568" s="1496" t="s">
        <v>1306</v>
      </c>
      <c r="F2568" s="59" t="s">
        <v>1422</v>
      </c>
      <c r="G2568" s="448" t="s">
        <v>678</v>
      </c>
      <c r="H2568" s="448" t="s">
        <v>678</v>
      </c>
      <c r="I2568" s="167">
        <v>1</v>
      </c>
      <c r="J2568" s="107" t="s">
        <v>432</v>
      </c>
      <c r="K2568" s="107" t="s">
        <v>432</v>
      </c>
      <c r="L2568" s="107" t="s">
        <v>432</v>
      </c>
      <c r="M2568" s="107" t="s">
        <v>432</v>
      </c>
      <c r="N2568" s="107" t="s">
        <v>432</v>
      </c>
      <c r="O2568" s="107" t="s">
        <v>432</v>
      </c>
      <c r="P2568" s="107" t="s">
        <v>432</v>
      </c>
      <c r="Q2568" s="107" t="s">
        <v>432</v>
      </c>
      <c r="R2568" s="107" t="s">
        <v>432</v>
      </c>
      <c r="S2568" s="109" t="s">
        <v>2209</v>
      </c>
      <c r="T2568" s="107" t="s">
        <v>432</v>
      </c>
      <c r="U2568" s="107" t="s">
        <v>432</v>
      </c>
      <c r="V2568" s="109" t="s">
        <v>2209</v>
      </c>
      <c r="W2568" s="107" t="s">
        <v>432</v>
      </c>
      <c r="X2568" s="107" t="s">
        <v>432</v>
      </c>
      <c r="Y2568" s="107" t="s">
        <v>432</v>
      </c>
      <c r="Z2568" s="107" t="s">
        <v>432</v>
      </c>
      <c r="AA2568" s="107" t="s">
        <v>432</v>
      </c>
      <c r="AB2568" s="107" t="s">
        <v>432</v>
      </c>
      <c r="AC2568" s="107" t="s">
        <v>432</v>
      </c>
      <c r="AD2568" s="107" t="s">
        <v>432</v>
      </c>
      <c r="AE2568" s="107" t="s">
        <v>432</v>
      </c>
      <c r="AF2568" s="107" t="s">
        <v>432</v>
      </c>
      <c r="AG2568" s="107" t="s">
        <v>432</v>
      </c>
      <c r="AH2568" s="107" t="s">
        <v>432</v>
      </c>
      <c r="AI2568" s="107" t="s">
        <v>432</v>
      </c>
      <c r="AJ2568" s="107" t="s">
        <v>432</v>
      </c>
      <c r="AK2568" s="107" t="s">
        <v>432</v>
      </c>
      <c r="AL2568" s="601" t="s">
        <v>432</v>
      </c>
      <c r="AM2568" s="137" t="s">
        <v>432</v>
      </c>
      <c r="AN2568" s="137" t="s">
        <v>432</v>
      </c>
      <c r="AO2568" s="137" t="s">
        <v>432</v>
      </c>
      <c r="AP2568" s="137" t="s">
        <v>432</v>
      </c>
      <c r="AQ2568" s="137" t="s">
        <v>432</v>
      </c>
      <c r="AR2568" s="137" t="s">
        <v>432</v>
      </c>
      <c r="AS2568" s="137" t="s">
        <v>432</v>
      </c>
      <c r="AT2568" s="137" t="s">
        <v>432</v>
      </c>
      <c r="AU2568" s="137" t="s">
        <v>432</v>
      </c>
      <c r="AV2568" s="137" t="s">
        <v>432</v>
      </c>
      <c r="AW2568" s="137" t="s">
        <v>432</v>
      </c>
      <c r="AX2568" s="137" t="s">
        <v>432</v>
      </c>
      <c r="AY2568" s="137" t="s">
        <v>432</v>
      </c>
      <c r="AZ2568" s="137" t="s">
        <v>432</v>
      </c>
      <c r="BA2568" s="137" t="s">
        <v>432</v>
      </c>
      <c r="BB2568" s="239" t="str">
        <f t="shared" si="770"/>
        <v>Velocidades e volumesx</v>
      </c>
      <c r="BC2568" s="239" t="str">
        <f t="shared" si="771"/>
        <v>Velocidades e volumesxainda não incorporado ao SisMob-BH</v>
      </c>
      <c r="BD2568" s="239" t="str">
        <f t="shared" si="772"/>
        <v>Velocidades e volumesainda não incorporado ao SisMob-BH</v>
      </c>
      <c r="BM2568" s="372"/>
      <c r="BN2568" s="372"/>
      <c r="BO2568" s="372"/>
    </row>
    <row r="2569" spans="1:67" s="105" customFormat="1" ht="41.25" x14ac:dyDescent="0.25">
      <c r="A2569" s="275" t="s">
        <v>623</v>
      </c>
      <c r="B2569" s="54" t="s">
        <v>186</v>
      </c>
      <c r="C2569" s="303" t="s">
        <v>432</v>
      </c>
      <c r="D2569" s="939" t="s">
        <v>1066</v>
      </c>
      <c r="E2569" s="1496" t="s">
        <v>1306</v>
      </c>
      <c r="F2569" s="59" t="s">
        <v>1423</v>
      </c>
      <c r="G2569" s="448" t="s">
        <v>678</v>
      </c>
      <c r="H2569" s="448" t="s">
        <v>678</v>
      </c>
      <c r="I2569" s="167">
        <v>1</v>
      </c>
      <c r="J2569" s="107" t="s">
        <v>432</v>
      </c>
      <c r="K2569" s="107" t="s">
        <v>432</v>
      </c>
      <c r="L2569" s="107" t="s">
        <v>432</v>
      </c>
      <c r="M2569" s="107" t="s">
        <v>432</v>
      </c>
      <c r="N2569" s="107" t="s">
        <v>432</v>
      </c>
      <c r="O2569" s="107" t="s">
        <v>432</v>
      </c>
      <c r="P2569" s="107" t="s">
        <v>432</v>
      </c>
      <c r="Q2569" s="107" t="s">
        <v>432</v>
      </c>
      <c r="R2569" s="107" t="s">
        <v>432</v>
      </c>
      <c r="S2569" s="109" t="s">
        <v>2209</v>
      </c>
      <c r="T2569" s="107" t="s">
        <v>432</v>
      </c>
      <c r="U2569" s="107" t="s">
        <v>432</v>
      </c>
      <c r="V2569" s="109" t="s">
        <v>2209</v>
      </c>
      <c r="W2569" s="107" t="s">
        <v>432</v>
      </c>
      <c r="X2569" s="107" t="s">
        <v>432</v>
      </c>
      <c r="Y2569" s="107" t="s">
        <v>432</v>
      </c>
      <c r="Z2569" s="107" t="s">
        <v>432</v>
      </c>
      <c r="AA2569" s="107" t="s">
        <v>432</v>
      </c>
      <c r="AB2569" s="107" t="s">
        <v>432</v>
      </c>
      <c r="AC2569" s="107" t="s">
        <v>432</v>
      </c>
      <c r="AD2569" s="107" t="s">
        <v>432</v>
      </c>
      <c r="AE2569" s="107" t="s">
        <v>432</v>
      </c>
      <c r="AF2569" s="107" t="s">
        <v>432</v>
      </c>
      <c r="AG2569" s="107" t="s">
        <v>432</v>
      </c>
      <c r="AH2569" s="107" t="s">
        <v>432</v>
      </c>
      <c r="AI2569" s="107" t="s">
        <v>432</v>
      </c>
      <c r="AJ2569" s="107" t="s">
        <v>432</v>
      </c>
      <c r="AK2569" s="107" t="s">
        <v>432</v>
      </c>
      <c r="AL2569" s="601" t="s">
        <v>432</v>
      </c>
      <c r="AM2569" s="137" t="s">
        <v>432</v>
      </c>
      <c r="AN2569" s="137" t="s">
        <v>432</v>
      </c>
      <c r="AO2569" s="137" t="s">
        <v>432</v>
      </c>
      <c r="AP2569" s="137" t="s">
        <v>432</v>
      </c>
      <c r="AQ2569" s="137" t="s">
        <v>432</v>
      </c>
      <c r="AR2569" s="137" t="s">
        <v>432</v>
      </c>
      <c r="AS2569" s="137" t="s">
        <v>432</v>
      </c>
      <c r="AT2569" s="137" t="s">
        <v>432</v>
      </c>
      <c r="AU2569" s="137" t="s">
        <v>432</v>
      </c>
      <c r="AV2569" s="137" t="s">
        <v>432</v>
      </c>
      <c r="AW2569" s="137" t="s">
        <v>432</v>
      </c>
      <c r="AX2569" s="137" t="s">
        <v>432</v>
      </c>
      <c r="AY2569" s="137" t="s">
        <v>432</v>
      </c>
      <c r="AZ2569" s="137" t="s">
        <v>432</v>
      </c>
      <c r="BA2569" s="137" t="s">
        <v>432</v>
      </c>
      <c r="BB2569" s="239" t="str">
        <f t="shared" si="770"/>
        <v>Velocidades e volumesx</v>
      </c>
      <c r="BC2569" s="239" t="str">
        <f t="shared" si="771"/>
        <v>Velocidades e volumesxainda não incorporado ao SisMob-BH</v>
      </c>
      <c r="BD2569" s="239" t="str">
        <f t="shared" si="772"/>
        <v>Velocidades e volumesainda não incorporado ao SisMob-BH</v>
      </c>
      <c r="BM2569" s="372"/>
      <c r="BN2569" s="372"/>
      <c r="BO2569" s="372"/>
    </row>
    <row r="2570" spans="1:67" s="105" customFormat="1" ht="41.25" x14ac:dyDescent="0.25">
      <c r="A2570" s="275" t="str">
        <f>'Q100b-totais'!$B$14</f>
        <v>1.5</v>
      </c>
      <c r="B2570" s="252" t="s">
        <v>642</v>
      </c>
      <c r="C2570" s="303" t="s">
        <v>432</v>
      </c>
      <c r="D2570" s="939" t="s">
        <v>1066</v>
      </c>
      <c r="E2570" s="1496" t="s">
        <v>1306</v>
      </c>
      <c r="F2570" s="59" t="s">
        <v>1429</v>
      </c>
      <c r="G2570" s="448" t="s">
        <v>678</v>
      </c>
      <c r="H2570" s="448" t="s">
        <v>678</v>
      </c>
      <c r="I2570" s="167">
        <v>1</v>
      </c>
      <c r="J2570" s="107" t="s">
        <v>432</v>
      </c>
      <c r="K2570" s="107" t="s">
        <v>432</v>
      </c>
      <c r="L2570" s="107" t="s">
        <v>432</v>
      </c>
      <c r="M2570" s="107" t="s">
        <v>432</v>
      </c>
      <c r="N2570" s="107" t="s">
        <v>432</v>
      </c>
      <c r="O2570" s="107" t="s">
        <v>432</v>
      </c>
      <c r="P2570" s="107" t="s">
        <v>432</v>
      </c>
      <c r="Q2570" s="107" t="s">
        <v>432</v>
      </c>
      <c r="R2570" s="107" t="s">
        <v>432</v>
      </c>
      <c r="S2570" s="109" t="s">
        <v>2209</v>
      </c>
      <c r="T2570" s="107" t="s">
        <v>432</v>
      </c>
      <c r="U2570" s="107" t="s">
        <v>432</v>
      </c>
      <c r="V2570" s="109" t="s">
        <v>2209</v>
      </c>
      <c r="W2570" s="107" t="s">
        <v>432</v>
      </c>
      <c r="X2570" s="107" t="s">
        <v>432</v>
      </c>
      <c r="Y2570" s="107" t="s">
        <v>432</v>
      </c>
      <c r="Z2570" s="107" t="s">
        <v>432</v>
      </c>
      <c r="AA2570" s="107" t="s">
        <v>432</v>
      </c>
      <c r="AB2570" s="107" t="s">
        <v>432</v>
      </c>
      <c r="AC2570" s="107" t="s">
        <v>432</v>
      </c>
      <c r="AD2570" s="107" t="s">
        <v>432</v>
      </c>
      <c r="AE2570" s="107" t="s">
        <v>432</v>
      </c>
      <c r="AF2570" s="107" t="s">
        <v>432</v>
      </c>
      <c r="AG2570" s="107" t="s">
        <v>432</v>
      </c>
      <c r="AH2570" s="107" t="s">
        <v>432</v>
      </c>
      <c r="AI2570" s="107" t="s">
        <v>432</v>
      </c>
      <c r="AJ2570" s="107" t="s">
        <v>432</v>
      </c>
      <c r="AK2570" s="107" t="s">
        <v>432</v>
      </c>
      <c r="AL2570" s="601" t="s">
        <v>432</v>
      </c>
      <c r="AM2570" s="137" t="s">
        <v>432</v>
      </c>
      <c r="AN2570" s="137" t="s">
        <v>432</v>
      </c>
      <c r="AO2570" s="137" t="s">
        <v>432</v>
      </c>
      <c r="AP2570" s="137" t="s">
        <v>432</v>
      </c>
      <c r="AQ2570" s="137" t="s">
        <v>432</v>
      </c>
      <c r="AR2570" s="137" t="s">
        <v>432</v>
      </c>
      <c r="AS2570" s="137" t="s">
        <v>432</v>
      </c>
      <c r="AT2570" s="137" t="s">
        <v>432</v>
      </c>
      <c r="AU2570" s="137" t="s">
        <v>432</v>
      </c>
      <c r="AV2570" s="137" t="s">
        <v>432</v>
      </c>
      <c r="AW2570" s="137" t="s">
        <v>432</v>
      </c>
      <c r="AX2570" s="137" t="s">
        <v>432</v>
      </c>
      <c r="AY2570" s="137" t="s">
        <v>432</v>
      </c>
      <c r="AZ2570" s="137" t="s">
        <v>432</v>
      </c>
      <c r="BA2570" s="137" t="s">
        <v>432</v>
      </c>
      <c r="BB2570" s="239" t="str">
        <f t="shared" si="770"/>
        <v>Solicitações urbanísticasx</v>
      </c>
      <c r="BC2570" s="239" t="str">
        <f t="shared" si="771"/>
        <v>Solicitações urbanísticasxainda não incorporado ao SisMob-BH</v>
      </c>
      <c r="BD2570" s="239" t="str">
        <f t="shared" si="772"/>
        <v>Solicitações urbanísticasainda não incorporado ao SisMob-BH</v>
      </c>
      <c r="BM2570" s="372"/>
      <c r="BN2570" s="372"/>
      <c r="BO2570" s="372"/>
    </row>
    <row r="2571" spans="1:67" s="105" customFormat="1" ht="45" customHeight="1" x14ac:dyDescent="0.25">
      <c r="A2571" s="275" t="s">
        <v>613</v>
      </c>
      <c r="B2571" s="54" t="s">
        <v>932</v>
      </c>
      <c r="C2571" s="303" t="s">
        <v>432</v>
      </c>
      <c r="D2571" s="939" t="s">
        <v>1066</v>
      </c>
      <c r="E2571" s="1496" t="s">
        <v>1306</v>
      </c>
      <c r="F2571" s="59" t="s">
        <v>1430</v>
      </c>
      <c r="G2571" s="448" t="s">
        <v>678</v>
      </c>
      <c r="H2571" s="602" t="s">
        <v>678</v>
      </c>
      <c r="I2571" s="167">
        <v>1</v>
      </c>
      <c r="J2571" s="107" t="s">
        <v>432</v>
      </c>
      <c r="K2571" s="107" t="s">
        <v>432</v>
      </c>
      <c r="L2571" s="107" t="s">
        <v>432</v>
      </c>
      <c r="M2571" s="107" t="s">
        <v>432</v>
      </c>
      <c r="N2571" s="107" t="s">
        <v>432</v>
      </c>
      <c r="O2571" s="107" t="s">
        <v>432</v>
      </c>
      <c r="P2571" s="107" t="s">
        <v>432</v>
      </c>
      <c r="Q2571" s="107" t="s">
        <v>432</v>
      </c>
      <c r="R2571" s="107" t="s">
        <v>432</v>
      </c>
      <c r="S2571" s="109" t="s">
        <v>2209</v>
      </c>
      <c r="T2571" s="107" t="s">
        <v>432</v>
      </c>
      <c r="U2571" s="107" t="s">
        <v>432</v>
      </c>
      <c r="V2571" s="109" t="s">
        <v>2209</v>
      </c>
      <c r="W2571" s="107" t="s">
        <v>432</v>
      </c>
      <c r="X2571" s="107" t="s">
        <v>432</v>
      </c>
      <c r="Y2571" s="107" t="s">
        <v>432</v>
      </c>
      <c r="Z2571" s="107" t="s">
        <v>432</v>
      </c>
      <c r="AA2571" s="107" t="s">
        <v>432</v>
      </c>
      <c r="AB2571" s="107" t="s">
        <v>432</v>
      </c>
      <c r="AC2571" s="107" t="s">
        <v>432</v>
      </c>
      <c r="AD2571" s="107" t="s">
        <v>432</v>
      </c>
      <c r="AE2571" s="107" t="s">
        <v>432</v>
      </c>
      <c r="AF2571" s="107" t="s">
        <v>432</v>
      </c>
      <c r="AG2571" s="107" t="s">
        <v>432</v>
      </c>
      <c r="AH2571" s="107" t="s">
        <v>432</v>
      </c>
      <c r="AI2571" s="107" t="s">
        <v>432</v>
      </c>
      <c r="AJ2571" s="107" t="s">
        <v>432</v>
      </c>
      <c r="AK2571" s="107" t="s">
        <v>678</v>
      </c>
      <c r="AL2571" s="601" t="s">
        <v>432</v>
      </c>
      <c r="AM2571" s="137" t="s">
        <v>432</v>
      </c>
      <c r="AN2571" s="137" t="s">
        <v>432</v>
      </c>
      <c r="AO2571" s="137" t="s">
        <v>432</v>
      </c>
      <c r="AP2571" s="137" t="s">
        <v>432</v>
      </c>
      <c r="AQ2571" s="137" t="s">
        <v>432</v>
      </c>
      <c r="AR2571" s="137" t="s">
        <v>432</v>
      </c>
      <c r="AS2571" s="137" t="s">
        <v>432</v>
      </c>
      <c r="AT2571" s="137" t="s">
        <v>432</v>
      </c>
      <c r="AU2571" s="137" t="s">
        <v>432</v>
      </c>
      <c r="AV2571" s="137" t="s">
        <v>432</v>
      </c>
      <c r="AW2571" s="137" t="s">
        <v>432</v>
      </c>
      <c r="AX2571" s="137" t="s">
        <v>432</v>
      </c>
      <c r="AY2571" s="137" t="s">
        <v>432</v>
      </c>
      <c r="AZ2571" s="137" t="s">
        <v>432</v>
      </c>
      <c r="BA2571" s="137" t="s">
        <v>432</v>
      </c>
      <c r="BB2571" s="239" t="str">
        <f t="shared" si="770"/>
        <v>Transporte convencionalx</v>
      </c>
      <c r="BC2571" s="239" t="str">
        <f t="shared" si="771"/>
        <v>Transporte convencionalxainda não incorporado ao SisMob-BH</v>
      </c>
      <c r="BD2571" s="239" t="str">
        <f t="shared" si="772"/>
        <v>Transporte convencionalainda não incorporado ao SisMob-BH</v>
      </c>
      <c r="BM2571" s="372"/>
      <c r="BN2571" s="372"/>
      <c r="BO2571" s="372"/>
    </row>
    <row r="2572" spans="1:67" s="105" customFormat="1" ht="33.75" x14ac:dyDescent="0.25">
      <c r="A2572" s="275" t="s">
        <v>588</v>
      </c>
      <c r="B2572" s="54" t="s">
        <v>677</v>
      </c>
      <c r="C2572" s="303" t="s">
        <v>432</v>
      </c>
      <c r="D2572" s="939" t="s">
        <v>1066</v>
      </c>
      <c r="E2572" s="1496" t="s">
        <v>1306</v>
      </c>
      <c r="F2572" s="59" t="s">
        <v>1432</v>
      </c>
      <c r="G2572" s="448" t="s">
        <v>678</v>
      </c>
      <c r="H2572" s="448" t="s">
        <v>678</v>
      </c>
      <c r="I2572" s="167">
        <v>1</v>
      </c>
      <c r="J2572" s="107" t="s">
        <v>432</v>
      </c>
      <c r="K2572" s="107" t="s">
        <v>432</v>
      </c>
      <c r="L2572" s="107" t="s">
        <v>432</v>
      </c>
      <c r="M2572" s="107" t="s">
        <v>432</v>
      </c>
      <c r="N2572" s="107" t="s">
        <v>432</v>
      </c>
      <c r="O2572" s="107" t="s">
        <v>432</v>
      </c>
      <c r="P2572" s="107" t="s">
        <v>432</v>
      </c>
      <c r="Q2572" s="107" t="s">
        <v>432</v>
      </c>
      <c r="R2572" s="107" t="s">
        <v>432</v>
      </c>
      <c r="S2572" s="109" t="s">
        <v>2209</v>
      </c>
      <c r="T2572" s="107" t="s">
        <v>432</v>
      </c>
      <c r="U2572" s="107" t="s">
        <v>432</v>
      </c>
      <c r="V2572" s="109" t="s">
        <v>2209</v>
      </c>
      <c r="W2572" s="107" t="s">
        <v>432</v>
      </c>
      <c r="X2572" s="107" t="s">
        <v>432</v>
      </c>
      <c r="Y2572" s="107" t="s">
        <v>432</v>
      </c>
      <c r="Z2572" s="107" t="s">
        <v>432</v>
      </c>
      <c r="AA2572" s="107" t="s">
        <v>432</v>
      </c>
      <c r="AB2572" s="107" t="s">
        <v>432</v>
      </c>
      <c r="AC2572" s="107" t="s">
        <v>432</v>
      </c>
      <c r="AD2572" s="107" t="s">
        <v>432</v>
      </c>
      <c r="AE2572" s="107" t="s">
        <v>432</v>
      </c>
      <c r="AF2572" s="107" t="s">
        <v>432</v>
      </c>
      <c r="AG2572" s="107" t="s">
        <v>432</v>
      </c>
      <c r="AH2572" s="107" t="s">
        <v>432</v>
      </c>
      <c r="AI2572" s="107" t="s">
        <v>432</v>
      </c>
      <c r="AJ2572" s="107" t="s">
        <v>432</v>
      </c>
      <c r="AK2572" s="107" t="s">
        <v>432</v>
      </c>
      <c r="AL2572" s="601" t="s">
        <v>432</v>
      </c>
      <c r="AM2572" s="107" t="s">
        <v>432</v>
      </c>
      <c r="AN2572" s="107" t="s">
        <v>432</v>
      </c>
      <c r="AO2572" s="107" t="s">
        <v>432</v>
      </c>
      <c r="AP2572" s="107" t="s">
        <v>432</v>
      </c>
      <c r="AQ2572" s="107" t="s">
        <v>432</v>
      </c>
      <c r="AR2572" s="107" t="s">
        <v>432</v>
      </c>
      <c r="AS2572" s="107" t="s">
        <v>432</v>
      </c>
      <c r="AT2572" s="107" t="s">
        <v>432</v>
      </c>
      <c r="AU2572" s="107" t="s">
        <v>432</v>
      </c>
      <c r="AV2572" s="107" t="s">
        <v>432</v>
      </c>
      <c r="AW2572" s="107" t="s">
        <v>432</v>
      </c>
      <c r="AX2572" s="107" t="s">
        <v>432</v>
      </c>
      <c r="AY2572" s="107" t="s">
        <v>432</v>
      </c>
      <c r="AZ2572" s="107" t="s">
        <v>432</v>
      </c>
      <c r="BA2572" s="107" t="s">
        <v>432</v>
      </c>
      <c r="BB2572" s="107" t="s">
        <v>432</v>
      </c>
      <c r="BC2572" s="107" t="s">
        <v>432</v>
      </c>
      <c r="BD2572" s="107" t="s">
        <v>432</v>
      </c>
      <c r="BM2572" s="372"/>
      <c r="BN2572" s="372"/>
      <c r="BO2572" s="372"/>
    </row>
    <row r="2573" spans="1:67" s="105" customFormat="1" ht="63.75" x14ac:dyDescent="0.25">
      <c r="A2573" s="275" t="s">
        <v>652</v>
      </c>
      <c r="B2573" s="54" t="s">
        <v>751</v>
      </c>
      <c r="C2573" s="303" t="s">
        <v>432</v>
      </c>
      <c r="D2573" s="939" t="s">
        <v>1066</v>
      </c>
      <c r="E2573" s="1496" t="s">
        <v>1306</v>
      </c>
      <c r="F2573" s="59" t="s">
        <v>1450</v>
      </c>
      <c r="G2573" s="448" t="s">
        <v>678</v>
      </c>
      <c r="H2573" s="448" t="s">
        <v>678</v>
      </c>
      <c r="I2573" s="167">
        <v>1</v>
      </c>
      <c r="J2573" s="107" t="s">
        <v>432</v>
      </c>
      <c r="K2573" s="107" t="s">
        <v>432</v>
      </c>
      <c r="L2573" s="107" t="s">
        <v>432</v>
      </c>
      <c r="M2573" s="107" t="s">
        <v>432</v>
      </c>
      <c r="N2573" s="107" t="s">
        <v>432</v>
      </c>
      <c r="O2573" s="107" t="s">
        <v>432</v>
      </c>
      <c r="P2573" s="107" t="s">
        <v>432</v>
      </c>
      <c r="Q2573" s="107" t="s">
        <v>432</v>
      </c>
      <c r="R2573" s="107" t="s">
        <v>432</v>
      </c>
      <c r="S2573" s="107" t="s">
        <v>432</v>
      </c>
      <c r="T2573" s="107" t="s">
        <v>432</v>
      </c>
      <c r="U2573" s="107" t="s">
        <v>432</v>
      </c>
      <c r="V2573" s="107" t="s">
        <v>432</v>
      </c>
      <c r="W2573" s="107" t="s">
        <v>432</v>
      </c>
      <c r="X2573" s="107" t="s">
        <v>432</v>
      </c>
      <c r="Y2573" s="107" t="s">
        <v>432</v>
      </c>
      <c r="Z2573" s="107" t="s">
        <v>432</v>
      </c>
      <c r="AA2573" s="107" t="s">
        <v>432</v>
      </c>
      <c r="AB2573" s="107" t="s">
        <v>432</v>
      </c>
      <c r="AC2573" s="107" t="s">
        <v>432</v>
      </c>
      <c r="AD2573" s="107" t="s">
        <v>432</v>
      </c>
      <c r="AE2573" s="107" t="s">
        <v>2208</v>
      </c>
      <c r="AF2573" s="107" t="s">
        <v>432</v>
      </c>
      <c r="AG2573" s="107" t="s">
        <v>432</v>
      </c>
      <c r="AH2573" s="107" t="s">
        <v>2208</v>
      </c>
      <c r="AI2573" s="107" t="s">
        <v>432</v>
      </c>
      <c r="AJ2573" s="107" t="s">
        <v>2208</v>
      </c>
      <c r="AK2573" s="107" t="s">
        <v>432</v>
      </c>
      <c r="AL2573" s="601" t="s">
        <v>432</v>
      </c>
      <c r="AM2573" s="107" t="s">
        <v>432</v>
      </c>
      <c r="AN2573" s="107" t="s">
        <v>432</v>
      </c>
      <c r="AO2573" s="107" t="s">
        <v>432</v>
      </c>
      <c r="AP2573" s="107" t="s">
        <v>432</v>
      </c>
      <c r="AQ2573" s="107" t="s">
        <v>432</v>
      </c>
      <c r="AR2573" s="107" t="s">
        <v>432</v>
      </c>
      <c r="AS2573" s="107" t="s">
        <v>432</v>
      </c>
      <c r="AT2573" s="107" t="s">
        <v>432</v>
      </c>
      <c r="AU2573" s="107" t="s">
        <v>432</v>
      </c>
      <c r="AV2573" s="107" t="s">
        <v>432</v>
      </c>
      <c r="AW2573" s="107" t="s">
        <v>432</v>
      </c>
      <c r="AX2573" s="107" t="s">
        <v>432</v>
      </c>
      <c r="AY2573" s="107" t="s">
        <v>432</v>
      </c>
      <c r="AZ2573" s="107" t="s">
        <v>432</v>
      </c>
      <c r="BA2573" s="107" t="s">
        <v>432</v>
      </c>
      <c r="BB2573" s="107" t="s">
        <v>432</v>
      </c>
      <c r="BC2573" s="107" t="s">
        <v>432</v>
      </c>
      <c r="BD2573" s="107" t="s">
        <v>432</v>
      </c>
      <c r="BM2573" s="372"/>
      <c r="BN2573" s="372"/>
      <c r="BO2573" s="372"/>
    </row>
    <row r="2574" spans="1:67" s="105" customFormat="1" ht="63.75" x14ac:dyDescent="0.25">
      <c r="A2574" s="275" t="s">
        <v>652</v>
      </c>
      <c r="B2574" s="54" t="s">
        <v>751</v>
      </c>
      <c r="C2574" s="303" t="s">
        <v>432</v>
      </c>
      <c r="D2574" s="939" t="s">
        <v>1066</v>
      </c>
      <c r="E2574" s="1496" t="s">
        <v>1306</v>
      </c>
      <c r="F2574" s="59" t="s">
        <v>1449</v>
      </c>
      <c r="G2574" s="448" t="s">
        <v>678</v>
      </c>
      <c r="H2574" s="448" t="s">
        <v>678</v>
      </c>
      <c r="I2574" s="167">
        <v>1</v>
      </c>
      <c r="J2574" s="107" t="s">
        <v>432</v>
      </c>
      <c r="K2574" s="107" t="s">
        <v>432</v>
      </c>
      <c r="L2574" s="107" t="s">
        <v>432</v>
      </c>
      <c r="M2574" s="107" t="s">
        <v>432</v>
      </c>
      <c r="N2574" s="107" t="s">
        <v>432</v>
      </c>
      <c r="O2574" s="107" t="s">
        <v>432</v>
      </c>
      <c r="P2574" s="107" t="s">
        <v>432</v>
      </c>
      <c r="Q2574" s="107" t="s">
        <v>432</v>
      </c>
      <c r="R2574" s="107" t="s">
        <v>432</v>
      </c>
      <c r="S2574" s="107" t="s">
        <v>432</v>
      </c>
      <c r="T2574" s="107" t="s">
        <v>432</v>
      </c>
      <c r="U2574" s="107" t="s">
        <v>432</v>
      </c>
      <c r="V2574" s="107" t="s">
        <v>432</v>
      </c>
      <c r="W2574" s="107" t="s">
        <v>432</v>
      </c>
      <c r="X2574" s="107" t="s">
        <v>432</v>
      </c>
      <c r="Y2574" s="107" t="s">
        <v>432</v>
      </c>
      <c r="Z2574" s="107" t="s">
        <v>432</v>
      </c>
      <c r="AA2574" s="107" t="s">
        <v>432</v>
      </c>
      <c r="AB2574" s="107" t="s">
        <v>432</v>
      </c>
      <c r="AC2574" s="107" t="s">
        <v>432</v>
      </c>
      <c r="AD2574" s="107" t="s">
        <v>432</v>
      </c>
      <c r="AE2574" s="107" t="s">
        <v>2208</v>
      </c>
      <c r="AF2574" s="107" t="s">
        <v>432</v>
      </c>
      <c r="AG2574" s="107" t="s">
        <v>432</v>
      </c>
      <c r="AH2574" s="107" t="s">
        <v>2208</v>
      </c>
      <c r="AI2574" s="107" t="s">
        <v>432</v>
      </c>
      <c r="AJ2574" s="107" t="s">
        <v>2208</v>
      </c>
      <c r="AK2574" s="107" t="s">
        <v>432</v>
      </c>
      <c r="AL2574" s="601" t="s">
        <v>432</v>
      </c>
      <c r="AM2574" s="107" t="s">
        <v>432</v>
      </c>
      <c r="AN2574" s="107" t="s">
        <v>432</v>
      </c>
      <c r="AO2574" s="107" t="s">
        <v>432</v>
      </c>
      <c r="AP2574" s="107" t="s">
        <v>432</v>
      </c>
      <c r="AQ2574" s="107" t="s">
        <v>432</v>
      </c>
      <c r="AR2574" s="107" t="s">
        <v>432</v>
      </c>
      <c r="AS2574" s="107" t="s">
        <v>432</v>
      </c>
      <c r="AT2574" s="107" t="s">
        <v>432</v>
      </c>
      <c r="AU2574" s="107" t="s">
        <v>432</v>
      </c>
      <c r="AV2574" s="107" t="s">
        <v>432</v>
      </c>
      <c r="AW2574" s="107" t="s">
        <v>432</v>
      </c>
      <c r="AX2574" s="107" t="s">
        <v>432</v>
      </c>
      <c r="AY2574" s="107" t="s">
        <v>432</v>
      </c>
      <c r="AZ2574" s="107" t="s">
        <v>432</v>
      </c>
      <c r="BA2574" s="107" t="s">
        <v>432</v>
      </c>
      <c r="BB2574" s="107" t="s">
        <v>432</v>
      </c>
      <c r="BC2574" s="107" t="s">
        <v>432</v>
      </c>
      <c r="BD2574" s="107" t="s">
        <v>432</v>
      </c>
      <c r="BM2574" s="372"/>
      <c r="BN2574" s="372"/>
      <c r="BO2574" s="372"/>
    </row>
    <row r="2575" spans="1:67" s="105" customFormat="1" ht="63.75" x14ac:dyDescent="0.25">
      <c r="A2575" s="275" t="s">
        <v>652</v>
      </c>
      <c r="B2575" s="54" t="s">
        <v>751</v>
      </c>
      <c r="C2575" s="303" t="s">
        <v>432</v>
      </c>
      <c r="D2575" s="939" t="s">
        <v>1066</v>
      </c>
      <c r="E2575" s="1496" t="s">
        <v>1306</v>
      </c>
      <c r="F2575" s="59" t="s">
        <v>1448</v>
      </c>
      <c r="G2575" s="448" t="s">
        <v>678</v>
      </c>
      <c r="H2575" s="448" t="s">
        <v>678</v>
      </c>
      <c r="I2575" s="167">
        <v>1</v>
      </c>
      <c r="J2575" s="107" t="s">
        <v>432</v>
      </c>
      <c r="K2575" s="107" t="s">
        <v>432</v>
      </c>
      <c r="L2575" s="107" t="s">
        <v>432</v>
      </c>
      <c r="M2575" s="107" t="s">
        <v>432</v>
      </c>
      <c r="N2575" s="107" t="s">
        <v>432</v>
      </c>
      <c r="O2575" s="107" t="s">
        <v>432</v>
      </c>
      <c r="P2575" s="107" t="s">
        <v>432</v>
      </c>
      <c r="Q2575" s="107" t="s">
        <v>432</v>
      </c>
      <c r="R2575" s="107" t="s">
        <v>432</v>
      </c>
      <c r="S2575" s="107" t="s">
        <v>432</v>
      </c>
      <c r="T2575" s="107" t="s">
        <v>432</v>
      </c>
      <c r="U2575" s="107" t="s">
        <v>432</v>
      </c>
      <c r="V2575" s="107" t="s">
        <v>432</v>
      </c>
      <c r="W2575" s="107" t="s">
        <v>432</v>
      </c>
      <c r="X2575" s="107" t="s">
        <v>432</v>
      </c>
      <c r="Y2575" s="107" t="s">
        <v>432</v>
      </c>
      <c r="Z2575" s="107" t="s">
        <v>432</v>
      </c>
      <c r="AA2575" s="107" t="s">
        <v>432</v>
      </c>
      <c r="AB2575" s="107" t="s">
        <v>432</v>
      </c>
      <c r="AC2575" s="107" t="s">
        <v>432</v>
      </c>
      <c r="AD2575" s="107" t="s">
        <v>432</v>
      </c>
      <c r="AE2575" s="107" t="s">
        <v>2208</v>
      </c>
      <c r="AF2575" s="107" t="s">
        <v>432</v>
      </c>
      <c r="AG2575" s="107" t="s">
        <v>432</v>
      </c>
      <c r="AH2575" s="107" t="s">
        <v>2208</v>
      </c>
      <c r="AI2575" s="107" t="s">
        <v>432</v>
      </c>
      <c r="AJ2575" s="107" t="s">
        <v>2208</v>
      </c>
      <c r="AK2575" s="107" t="s">
        <v>432</v>
      </c>
      <c r="AL2575" s="601" t="s">
        <v>432</v>
      </c>
      <c r="AM2575" s="107" t="s">
        <v>432</v>
      </c>
      <c r="AN2575" s="107" t="s">
        <v>432</v>
      </c>
      <c r="AO2575" s="107" t="s">
        <v>432</v>
      </c>
      <c r="AP2575" s="107" t="s">
        <v>432</v>
      </c>
      <c r="AQ2575" s="107" t="s">
        <v>432</v>
      </c>
      <c r="AR2575" s="107" t="s">
        <v>432</v>
      </c>
      <c r="AS2575" s="107" t="s">
        <v>432</v>
      </c>
      <c r="AT2575" s="107" t="s">
        <v>432</v>
      </c>
      <c r="AU2575" s="107" t="s">
        <v>432</v>
      </c>
      <c r="AV2575" s="107" t="s">
        <v>432</v>
      </c>
      <c r="AW2575" s="107" t="s">
        <v>432</v>
      </c>
      <c r="AX2575" s="107" t="s">
        <v>432</v>
      </c>
      <c r="AY2575" s="107" t="s">
        <v>432</v>
      </c>
      <c r="AZ2575" s="107" t="s">
        <v>432</v>
      </c>
      <c r="BA2575" s="107" t="s">
        <v>432</v>
      </c>
      <c r="BB2575" s="107" t="s">
        <v>432</v>
      </c>
      <c r="BC2575" s="107" t="s">
        <v>432</v>
      </c>
      <c r="BD2575" s="107" t="s">
        <v>432</v>
      </c>
      <c r="BM2575" s="372"/>
      <c r="BN2575" s="372"/>
      <c r="BO2575" s="372"/>
    </row>
    <row r="2576" spans="1:67" s="105" customFormat="1" ht="33.75" x14ac:dyDescent="0.25">
      <c r="A2576" s="275" t="s">
        <v>618</v>
      </c>
      <c r="B2576" s="54" t="s">
        <v>769</v>
      </c>
      <c r="C2576" s="303" t="s">
        <v>432</v>
      </c>
      <c r="D2576" s="939" t="s">
        <v>1066</v>
      </c>
      <c r="E2576" s="1496" t="s">
        <v>1306</v>
      </c>
      <c r="F2576" s="59" t="s">
        <v>1451</v>
      </c>
      <c r="G2576" s="448" t="s">
        <v>678</v>
      </c>
      <c r="H2576" s="448" t="s">
        <v>678</v>
      </c>
      <c r="I2576" s="167">
        <v>1</v>
      </c>
      <c r="J2576" s="107" t="s">
        <v>432</v>
      </c>
      <c r="K2576" s="107" t="s">
        <v>432</v>
      </c>
      <c r="L2576" s="107" t="s">
        <v>432</v>
      </c>
      <c r="M2576" s="107" t="s">
        <v>432</v>
      </c>
      <c r="N2576" s="107" t="s">
        <v>432</v>
      </c>
      <c r="O2576" s="107" t="s">
        <v>432</v>
      </c>
      <c r="P2576" s="107" t="s">
        <v>432</v>
      </c>
      <c r="Q2576" s="107" t="s">
        <v>432</v>
      </c>
      <c r="R2576" s="107" t="s">
        <v>432</v>
      </c>
      <c r="S2576" s="109" t="s">
        <v>2209</v>
      </c>
      <c r="T2576" s="107" t="s">
        <v>432</v>
      </c>
      <c r="U2576" s="107" t="s">
        <v>432</v>
      </c>
      <c r="V2576" s="109" t="s">
        <v>2209</v>
      </c>
      <c r="W2576" s="107" t="s">
        <v>432</v>
      </c>
      <c r="X2576" s="107" t="s">
        <v>432</v>
      </c>
      <c r="Y2576" s="107" t="s">
        <v>432</v>
      </c>
      <c r="Z2576" s="107" t="s">
        <v>432</v>
      </c>
      <c r="AA2576" s="107" t="s">
        <v>432</v>
      </c>
      <c r="AB2576" s="107" t="s">
        <v>432</v>
      </c>
      <c r="AC2576" s="107" t="s">
        <v>432</v>
      </c>
      <c r="AD2576" s="107" t="s">
        <v>432</v>
      </c>
      <c r="AE2576" s="107" t="s">
        <v>432</v>
      </c>
      <c r="AF2576" s="107" t="s">
        <v>432</v>
      </c>
      <c r="AG2576" s="107" t="s">
        <v>432</v>
      </c>
      <c r="AH2576" s="107" t="s">
        <v>432</v>
      </c>
      <c r="AI2576" s="107" t="s">
        <v>432</v>
      </c>
      <c r="AJ2576" s="107" t="s">
        <v>432</v>
      </c>
      <c r="AK2576" s="107" t="s">
        <v>432</v>
      </c>
      <c r="AL2576" s="601" t="s">
        <v>432</v>
      </c>
      <c r="AM2576" s="107" t="s">
        <v>432</v>
      </c>
      <c r="AN2576" s="107" t="s">
        <v>432</v>
      </c>
      <c r="AO2576" s="107" t="s">
        <v>432</v>
      </c>
      <c r="AP2576" s="107" t="s">
        <v>432</v>
      </c>
      <c r="AQ2576" s="107" t="s">
        <v>432</v>
      </c>
      <c r="AR2576" s="107" t="s">
        <v>432</v>
      </c>
      <c r="AS2576" s="107" t="s">
        <v>432</v>
      </c>
      <c r="AT2576" s="107" t="s">
        <v>432</v>
      </c>
      <c r="AU2576" s="107" t="s">
        <v>432</v>
      </c>
      <c r="AV2576" s="107" t="s">
        <v>432</v>
      </c>
      <c r="AW2576" s="107" t="s">
        <v>432</v>
      </c>
      <c r="AX2576" s="107" t="s">
        <v>432</v>
      </c>
      <c r="AY2576" s="107" t="s">
        <v>432</v>
      </c>
      <c r="AZ2576" s="107" t="s">
        <v>432</v>
      </c>
      <c r="BA2576" s="107" t="s">
        <v>432</v>
      </c>
      <c r="BB2576" s="107" t="s">
        <v>432</v>
      </c>
      <c r="BC2576" s="107" t="s">
        <v>432</v>
      </c>
      <c r="BD2576" s="107" t="s">
        <v>432</v>
      </c>
      <c r="BM2576" s="372"/>
      <c r="BN2576" s="372"/>
      <c r="BO2576" s="372"/>
    </row>
    <row r="2577" spans="1:67" s="105" customFormat="1" ht="33.75" x14ac:dyDescent="0.25">
      <c r="A2577" s="275" t="s">
        <v>618</v>
      </c>
      <c r="B2577" s="54" t="s">
        <v>769</v>
      </c>
      <c r="C2577" s="303" t="s">
        <v>432</v>
      </c>
      <c r="D2577" s="939" t="s">
        <v>1066</v>
      </c>
      <c r="E2577" s="1496" t="s">
        <v>1306</v>
      </c>
      <c r="F2577" s="59" t="s">
        <v>1452</v>
      </c>
      <c r="G2577" s="448" t="s">
        <v>678</v>
      </c>
      <c r="H2577" s="448" t="s">
        <v>678</v>
      </c>
      <c r="I2577" s="167">
        <v>1</v>
      </c>
      <c r="J2577" s="107" t="s">
        <v>432</v>
      </c>
      <c r="K2577" s="107" t="s">
        <v>432</v>
      </c>
      <c r="L2577" s="107" t="s">
        <v>432</v>
      </c>
      <c r="M2577" s="107" t="s">
        <v>432</v>
      </c>
      <c r="N2577" s="107" t="s">
        <v>432</v>
      </c>
      <c r="O2577" s="107" t="s">
        <v>432</v>
      </c>
      <c r="P2577" s="107" t="s">
        <v>432</v>
      </c>
      <c r="Q2577" s="107" t="s">
        <v>432</v>
      </c>
      <c r="R2577" s="107" t="s">
        <v>432</v>
      </c>
      <c r="S2577" s="109" t="s">
        <v>2209</v>
      </c>
      <c r="T2577" s="107" t="s">
        <v>432</v>
      </c>
      <c r="U2577" s="107" t="s">
        <v>432</v>
      </c>
      <c r="V2577" s="109" t="s">
        <v>2209</v>
      </c>
      <c r="W2577" s="107" t="s">
        <v>432</v>
      </c>
      <c r="X2577" s="107" t="s">
        <v>432</v>
      </c>
      <c r="Y2577" s="107" t="s">
        <v>432</v>
      </c>
      <c r="Z2577" s="107" t="s">
        <v>432</v>
      </c>
      <c r="AA2577" s="107" t="s">
        <v>432</v>
      </c>
      <c r="AB2577" s="107" t="s">
        <v>432</v>
      </c>
      <c r="AC2577" s="107" t="s">
        <v>432</v>
      </c>
      <c r="AD2577" s="107" t="s">
        <v>432</v>
      </c>
      <c r="AE2577" s="107" t="s">
        <v>432</v>
      </c>
      <c r="AF2577" s="107" t="s">
        <v>432</v>
      </c>
      <c r="AG2577" s="107" t="s">
        <v>432</v>
      </c>
      <c r="AH2577" s="107" t="s">
        <v>432</v>
      </c>
      <c r="AI2577" s="107" t="s">
        <v>432</v>
      </c>
      <c r="AJ2577" s="107" t="s">
        <v>432</v>
      </c>
      <c r="AK2577" s="107" t="s">
        <v>432</v>
      </c>
      <c r="AL2577" s="601" t="s">
        <v>432</v>
      </c>
      <c r="AM2577" s="107" t="s">
        <v>432</v>
      </c>
      <c r="AN2577" s="107" t="s">
        <v>432</v>
      </c>
      <c r="AO2577" s="107" t="s">
        <v>432</v>
      </c>
      <c r="AP2577" s="107" t="s">
        <v>432</v>
      </c>
      <c r="AQ2577" s="107" t="s">
        <v>432</v>
      </c>
      <c r="AR2577" s="107" t="s">
        <v>432</v>
      </c>
      <c r="AS2577" s="107" t="s">
        <v>432</v>
      </c>
      <c r="AT2577" s="107" t="s">
        <v>432</v>
      </c>
      <c r="AU2577" s="107" t="s">
        <v>432</v>
      </c>
      <c r="AV2577" s="107" t="s">
        <v>432</v>
      </c>
      <c r="AW2577" s="107" t="s">
        <v>432</v>
      </c>
      <c r="AX2577" s="107" t="s">
        <v>432</v>
      </c>
      <c r="AY2577" s="107" t="s">
        <v>432</v>
      </c>
      <c r="AZ2577" s="107" t="s">
        <v>432</v>
      </c>
      <c r="BA2577" s="107" t="s">
        <v>432</v>
      </c>
      <c r="BB2577" s="107" t="s">
        <v>432</v>
      </c>
      <c r="BC2577" s="107" t="s">
        <v>432</v>
      </c>
      <c r="BD2577" s="107" t="s">
        <v>432</v>
      </c>
      <c r="BM2577" s="374"/>
      <c r="BN2577" s="374"/>
      <c r="BO2577" s="374"/>
    </row>
    <row r="2578" spans="1:67" s="105" customFormat="1" ht="33.75" x14ac:dyDescent="0.25">
      <c r="A2578" s="275" t="s">
        <v>618</v>
      </c>
      <c r="B2578" s="54" t="s">
        <v>769</v>
      </c>
      <c r="C2578" s="303" t="s">
        <v>432</v>
      </c>
      <c r="D2578" s="939" t="s">
        <v>1066</v>
      </c>
      <c r="E2578" s="1496" t="s">
        <v>1306</v>
      </c>
      <c r="F2578" s="59" t="s">
        <v>1453</v>
      </c>
      <c r="G2578" s="448" t="s">
        <v>678</v>
      </c>
      <c r="H2578" s="448" t="s">
        <v>678</v>
      </c>
      <c r="I2578" s="167">
        <v>1</v>
      </c>
      <c r="J2578" s="107" t="s">
        <v>432</v>
      </c>
      <c r="K2578" s="107" t="s">
        <v>432</v>
      </c>
      <c r="L2578" s="107" t="s">
        <v>432</v>
      </c>
      <c r="M2578" s="107" t="s">
        <v>432</v>
      </c>
      <c r="N2578" s="107" t="s">
        <v>432</v>
      </c>
      <c r="O2578" s="107" t="s">
        <v>432</v>
      </c>
      <c r="P2578" s="107" t="s">
        <v>432</v>
      </c>
      <c r="Q2578" s="107" t="s">
        <v>432</v>
      </c>
      <c r="R2578" s="107" t="s">
        <v>432</v>
      </c>
      <c r="S2578" s="109" t="s">
        <v>2209</v>
      </c>
      <c r="T2578" s="107" t="s">
        <v>432</v>
      </c>
      <c r="U2578" s="107" t="s">
        <v>432</v>
      </c>
      <c r="V2578" s="109" t="s">
        <v>2209</v>
      </c>
      <c r="W2578" s="107" t="s">
        <v>432</v>
      </c>
      <c r="X2578" s="107" t="s">
        <v>432</v>
      </c>
      <c r="Y2578" s="107" t="s">
        <v>432</v>
      </c>
      <c r="Z2578" s="107" t="s">
        <v>432</v>
      </c>
      <c r="AA2578" s="107" t="s">
        <v>432</v>
      </c>
      <c r="AB2578" s="107" t="s">
        <v>432</v>
      </c>
      <c r="AC2578" s="107" t="s">
        <v>432</v>
      </c>
      <c r="AD2578" s="107" t="s">
        <v>432</v>
      </c>
      <c r="AE2578" s="107" t="s">
        <v>432</v>
      </c>
      <c r="AF2578" s="107" t="s">
        <v>432</v>
      </c>
      <c r="AG2578" s="107" t="s">
        <v>432</v>
      </c>
      <c r="AH2578" s="107" t="s">
        <v>432</v>
      </c>
      <c r="AI2578" s="107" t="s">
        <v>432</v>
      </c>
      <c r="AJ2578" s="107" t="s">
        <v>432</v>
      </c>
      <c r="AK2578" s="107" t="s">
        <v>432</v>
      </c>
      <c r="AL2578" s="601" t="s">
        <v>432</v>
      </c>
      <c r="AM2578" s="107" t="s">
        <v>432</v>
      </c>
      <c r="AN2578" s="107" t="s">
        <v>432</v>
      </c>
      <c r="AO2578" s="107" t="s">
        <v>432</v>
      </c>
      <c r="AP2578" s="107" t="s">
        <v>432</v>
      </c>
      <c r="AQ2578" s="107" t="s">
        <v>432</v>
      </c>
      <c r="AR2578" s="107" t="s">
        <v>432</v>
      </c>
      <c r="AS2578" s="107" t="s">
        <v>432</v>
      </c>
      <c r="AT2578" s="107" t="s">
        <v>432</v>
      </c>
      <c r="AU2578" s="107" t="s">
        <v>432</v>
      </c>
      <c r="AV2578" s="107" t="s">
        <v>432</v>
      </c>
      <c r="AW2578" s="107" t="s">
        <v>432</v>
      </c>
      <c r="AX2578" s="107" t="s">
        <v>432</v>
      </c>
      <c r="AY2578" s="107" t="s">
        <v>432</v>
      </c>
      <c r="AZ2578" s="107" t="s">
        <v>432</v>
      </c>
      <c r="BA2578" s="107" t="s">
        <v>432</v>
      </c>
      <c r="BB2578" s="107" t="s">
        <v>432</v>
      </c>
      <c r="BC2578" s="107" t="s">
        <v>432</v>
      </c>
      <c r="BD2578" s="107" t="s">
        <v>432</v>
      </c>
      <c r="BM2578" s="374"/>
      <c r="BN2578" s="374"/>
      <c r="BO2578" s="374"/>
    </row>
    <row r="2579" spans="1:67" s="105" customFormat="1" ht="33.75" x14ac:dyDescent="0.25">
      <c r="A2579" s="275" t="s">
        <v>618</v>
      </c>
      <c r="B2579" s="54" t="s">
        <v>769</v>
      </c>
      <c r="C2579" s="303" t="s">
        <v>432</v>
      </c>
      <c r="D2579" s="939" t="s">
        <v>1066</v>
      </c>
      <c r="E2579" s="1496" t="s">
        <v>1306</v>
      </c>
      <c r="F2579" s="59" t="s">
        <v>1454</v>
      </c>
      <c r="G2579" s="448" t="s">
        <v>678</v>
      </c>
      <c r="H2579" s="448" t="s">
        <v>678</v>
      </c>
      <c r="I2579" s="167">
        <v>1</v>
      </c>
      <c r="J2579" s="107" t="s">
        <v>432</v>
      </c>
      <c r="K2579" s="107" t="s">
        <v>432</v>
      </c>
      <c r="L2579" s="107" t="s">
        <v>432</v>
      </c>
      <c r="M2579" s="107" t="s">
        <v>432</v>
      </c>
      <c r="N2579" s="107" t="s">
        <v>432</v>
      </c>
      <c r="O2579" s="107" t="s">
        <v>432</v>
      </c>
      <c r="P2579" s="107" t="s">
        <v>432</v>
      </c>
      <c r="Q2579" s="107" t="s">
        <v>432</v>
      </c>
      <c r="R2579" s="107" t="s">
        <v>432</v>
      </c>
      <c r="S2579" s="109" t="s">
        <v>2209</v>
      </c>
      <c r="T2579" s="107" t="s">
        <v>432</v>
      </c>
      <c r="U2579" s="107" t="s">
        <v>432</v>
      </c>
      <c r="V2579" s="109" t="s">
        <v>2209</v>
      </c>
      <c r="W2579" s="107" t="s">
        <v>432</v>
      </c>
      <c r="X2579" s="107" t="s">
        <v>432</v>
      </c>
      <c r="Y2579" s="107" t="s">
        <v>432</v>
      </c>
      <c r="Z2579" s="107" t="s">
        <v>432</v>
      </c>
      <c r="AA2579" s="107" t="s">
        <v>432</v>
      </c>
      <c r="AB2579" s="107" t="s">
        <v>432</v>
      </c>
      <c r="AC2579" s="107" t="s">
        <v>432</v>
      </c>
      <c r="AD2579" s="107" t="s">
        <v>432</v>
      </c>
      <c r="AE2579" s="107" t="s">
        <v>432</v>
      </c>
      <c r="AF2579" s="107" t="s">
        <v>432</v>
      </c>
      <c r="AG2579" s="107" t="s">
        <v>432</v>
      </c>
      <c r="AH2579" s="107" t="s">
        <v>432</v>
      </c>
      <c r="AI2579" s="107" t="s">
        <v>432</v>
      </c>
      <c r="AJ2579" s="107" t="s">
        <v>432</v>
      </c>
      <c r="AK2579" s="107" t="s">
        <v>432</v>
      </c>
      <c r="AL2579" s="601" t="s">
        <v>432</v>
      </c>
      <c r="AM2579" s="107" t="s">
        <v>432</v>
      </c>
      <c r="AN2579" s="107" t="s">
        <v>432</v>
      </c>
      <c r="AO2579" s="107" t="s">
        <v>432</v>
      </c>
      <c r="AP2579" s="107" t="s">
        <v>432</v>
      </c>
      <c r="AQ2579" s="107" t="s">
        <v>432</v>
      </c>
      <c r="AR2579" s="107" t="s">
        <v>432</v>
      </c>
      <c r="AS2579" s="107" t="s">
        <v>432</v>
      </c>
      <c r="AT2579" s="107" t="s">
        <v>432</v>
      </c>
      <c r="AU2579" s="107" t="s">
        <v>432</v>
      </c>
      <c r="AV2579" s="107" t="s">
        <v>432</v>
      </c>
      <c r="AW2579" s="107" t="s">
        <v>432</v>
      </c>
      <c r="AX2579" s="107" t="s">
        <v>432</v>
      </c>
      <c r="AY2579" s="107" t="s">
        <v>432</v>
      </c>
      <c r="AZ2579" s="107" t="s">
        <v>432</v>
      </c>
      <c r="BA2579" s="107" t="s">
        <v>432</v>
      </c>
      <c r="BB2579" s="107" t="s">
        <v>432</v>
      </c>
      <c r="BC2579" s="107" t="s">
        <v>432</v>
      </c>
      <c r="BD2579" s="107" t="s">
        <v>432</v>
      </c>
      <c r="BM2579" s="374"/>
      <c r="BN2579" s="374"/>
      <c r="BO2579" s="374"/>
    </row>
    <row r="2580" spans="1:67" s="105" customFormat="1" ht="33.75" x14ac:dyDescent="0.25">
      <c r="A2580" s="275" t="s">
        <v>594</v>
      </c>
      <c r="B2580" s="54" t="s">
        <v>683</v>
      </c>
      <c r="C2580" s="303" t="s">
        <v>432</v>
      </c>
      <c r="D2580" s="939" t="s">
        <v>1066</v>
      </c>
      <c r="E2580" s="1496" t="s">
        <v>1306</v>
      </c>
      <c r="F2580" s="59" t="s">
        <v>1455</v>
      </c>
      <c r="G2580" s="448" t="s">
        <v>678</v>
      </c>
      <c r="H2580" s="448" t="s">
        <v>678</v>
      </c>
      <c r="I2580" s="167">
        <v>1</v>
      </c>
      <c r="J2580" s="107" t="s">
        <v>432</v>
      </c>
      <c r="K2580" s="107" t="s">
        <v>432</v>
      </c>
      <c r="L2580" s="107" t="s">
        <v>432</v>
      </c>
      <c r="M2580" s="107" t="s">
        <v>432</v>
      </c>
      <c r="N2580" s="107" t="s">
        <v>432</v>
      </c>
      <c r="O2580" s="107" t="s">
        <v>432</v>
      </c>
      <c r="P2580" s="107" t="s">
        <v>432</v>
      </c>
      <c r="Q2580" s="107" t="s">
        <v>432</v>
      </c>
      <c r="R2580" s="107" t="s">
        <v>432</v>
      </c>
      <c r="S2580" s="109" t="s">
        <v>2209</v>
      </c>
      <c r="T2580" s="107" t="s">
        <v>432</v>
      </c>
      <c r="U2580" s="107" t="s">
        <v>432</v>
      </c>
      <c r="V2580" s="109" t="s">
        <v>2209</v>
      </c>
      <c r="W2580" s="107" t="s">
        <v>432</v>
      </c>
      <c r="X2580" s="107" t="s">
        <v>432</v>
      </c>
      <c r="Y2580" s="107" t="s">
        <v>432</v>
      </c>
      <c r="Z2580" s="107" t="s">
        <v>432</v>
      </c>
      <c r="AA2580" s="107" t="s">
        <v>432</v>
      </c>
      <c r="AB2580" s="107" t="s">
        <v>432</v>
      </c>
      <c r="AC2580" s="107" t="s">
        <v>432</v>
      </c>
      <c r="AD2580" s="107" t="s">
        <v>432</v>
      </c>
      <c r="AE2580" s="107" t="s">
        <v>432</v>
      </c>
      <c r="AF2580" s="107" t="s">
        <v>432</v>
      </c>
      <c r="AG2580" s="107" t="s">
        <v>432</v>
      </c>
      <c r="AH2580" s="107" t="s">
        <v>432</v>
      </c>
      <c r="AI2580" s="107" t="s">
        <v>432</v>
      </c>
      <c r="AJ2580" s="107" t="s">
        <v>432</v>
      </c>
      <c r="AK2580" s="107" t="s">
        <v>432</v>
      </c>
      <c r="AL2580" s="601" t="s">
        <v>432</v>
      </c>
      <c r="AM2580" s="107" t="s">
        <v>432</v>
      </c>
      <c r="AN2580" s="107" t="s">
        <v>432</v>
      </c>
      <c r="AO2580" s="107" t="s">
        <v>432</v>
      </c>
      <c r="AP2580" s="107" t="s">
        <v>432</v>
      </c>
      <c r="AQ2580" s="107" t="s">
        <v>432</v>
      </c>
      <c r="AR2580" s="107" t="s">
        <v>432</v>
      </c>
      <c r="AS2580" s="107" t="s">
        <v>432</v>
      </c>
      <c r="AT2580" s="107" t="s">
        <v>432</v>
      </c>
      <c r="AU2580" s="107" t="s">
        <v>432</v>
      </c>
      <c r="AV2580" s="107" t="s">
        <v>432</v>
      </c>
      <c r="AW2580" s="107" t="s">
        <v>432</v>
      </c>
      <c r="AX2580" s="107" t="s">
        <v>432</v>
      </c>
      <c r="AY2580" s="107" t="s">
        <v>432</v>
      </c>
      <c r="AZ2580" s="107" t="s">
        <v>432</v>
      </c>
      <c r="BA2580" s="107" t="s">
        <v>432</v>
      </c>
      <c r="BB2580" s="107" t="s">
        <v>432</v>
      </c>
      <c r="BC2580" s="107" t="s">
        <v>432</v>
      </c>
      <c r="BD2580" s="107" t="s">
        <v>432</v>
      </c>
      <c r="BM2580" s="374"/>
      <c r="BN2580" s="374"/>
      <c r="BO2580" s="374"/>
    </row>
    <row r="2581" spans="1:67" s="105" customFormat="1" ht="45" customHeight="1" x14ac:dyDescent="0.25">
      <c r="A2581" s="275" t="s">
        <v>622</v>
      </c>
      <c r="B2581" s="54" t="s">
        <v>627</v>
      </c>
      <c r="C2581" s="303" t="s">
        <v>432</v>
      </c>
      <c r="D2581" s="939" t="s">
        <v>1066</v>
      </c>
      <c r="E2581" s="1496" t="s">
        <v>1306</v>
      </c>
      <c r="F2581" s="59" t="s">
        <v>1592</v>
      </c>
      <c r="G2581" s="448" t="s">
        <v>678</v>
      </c>
      <c r="H2581" s="448" t="s">
        <v>678</v>
      </c>
      <c r="I2581" s="167">
        <v>1</v>
      </c>
      <c r="J2581" s="107" t="s">
        <v>432</v>
      </c>
      <c r="K2581" s="107" t="s">
        <v>432</v>
      </c>
      <c r="L2581" s="107" t="s">
        <v>432</v>
      </c>
      <c r="M2581" s="107" t="s">
        <v>432</v>
      </c>
      <c r="N2581" s="107" t="s">
        <v>432</v>
      </c>
      <c r="O2581" s="107" t="s">
        <v>432</v>
      </c>
      <c r="P2581" s="107" t="s">
        <v>432</v>
      </c>
      <c r="Q2581" s="107" t="s">
        <v>432</v>
      </c>
      <c r="R2581" s="107" t="s">
        <v>432</v>
      </c>
      <c r="S2581" s="109" t="s">
        <v>2209</v>
      </c>
      <c r="T2581" s="107" t="s">
        <v>432</v>
      </c>
      <c r="U2581" s="107" t="s">
        <v>432</v>
      </c>
      <c r="V2581" s="109" t="s">
        <v>2209</v>
      </c>
      <c r="W2581" s="107" t="s">
        <v>432</v>
      </c>
      <c r="X2581" s="107" t="s">
        <v>432</v>
      </c>
      <c r="Y2581" s="107" t="s">
        <v>432</v>
      </c>
      <c r="Z2581" s="107" t="s">
        <v>432</v>
      </c>
      <c r="AA2581" s="107" t="s">
        <v>432</v>
      </c>
      <c r="AB2581" s="107" t="s">
        <v>432</v>
      </c>
      <c r="AC2581" s="107" t="s">
        <v>432</v>
      </c>
      <c r="AD2581" s="107" t="s">
        <v>432</v>
      </c>
      <c r="AE2581" s="107" t="s">
        <v>432</v>
      </c>
      <c r="AF2581" s="107" t="s">
        <v>432</v>
      </c>
      <c r="AG2581" s="107" t="s">
        <v>432</v>
      </c>
      <c r="AH2581" s="107" t="s">
        <v>432</v>
      </c>
      <c r="AI2581" s="107" t="s">
        <v>432</v>
      </c>
      <c r="AJ2581" s="107" t="s">
        <v>432</v>
      </c>
      <c r="AK2581" s="107" t="s">
        <v>432</v>
      </c>
      <c r="AL2581" s="601" t="s">
        <v>432</v>
      </c>
      <c r="AM2581" s="107" t="s">
        <v>432</v>
      </c>
      <c r="AN2581" s="107" t="s">
        <v>432</v>
      </c>
      <c r="AO2581" s="107" t="s">
        <v>432</v>
      </c>
      <c r="AP2581" s="107" t="s">
        <v>432</v>
      </c>
      <c r="AQ2581" s="107" t="s">
        <v>432</v>
      </c>
      <c r="AR2581" s="107" t="s">
        <v>432</v>
      </c>
      <c r="AS2581" s="107" t="s">
        <v>432</v>
      </c>
      <c r="AT2581" s="107" t="s">
        <v>432</v>
      </c>
      <c r="AU2581" s="107" t="s">
        <v>432</v>
      </c>
      <c r="AV2581" s="107" t="s">
        <v>432</v>
      </c>
      <c r="AW2581" s="107" t="s">
        <v>432</v>
      </c>
      <c r="AX2581" s="107" t="s">
        <v>432</v>
      </c>
      <c r="AY2581" s="107" t="s">
        <v>432</v>
      </c>
      <c r="AZ2581" s="107" t="s">
        <v>432</v>
      </c>
      <c r="BA2581" s="107" t="s">
        <v>432</v>
      </c>
      <c r="BB2581" s="107" t="s">
        <v>432</v>
      </c>
      <c r="BC2581" s="107" t="s">
        <v>432</v>
      </c>
      <c r="BD2581" s="107" t="s">
        <v>432</v>
      </c>
      <c r="BM2581" s="374"/>
      <c r="BN2581" s="374"/>
      <c r="BO2581" s="374"/>
    </row>
    <row r="2582" spans="1:67" s="105" customFormat="1" ht="51" x14ac:dyDescent="0.25">
      <c r="A2582" s="275" t="s">
        <v>982</v>
      </c>
      <c r="B2582" s="54" t="s">
        <v>983</v>
      </c>
      <c r="C2582" s="303" t="s">
        <v>432</v>
      </c>
      <c r="D2582" s="939" t="s">
        <v>1066</v>
      </c>
      <c r="E2582" s="1496" t="s">
        <v>1306</v>
      </c>
      <c r="F2582" s="59" t="s">
        <v>1456</v>
      </c>
      <c r="G2582" s="448" t="s">
        <v>678</v>
      </c>
      <c r="H2582" s="448" t="s">
        <v>678</v>
      </c>
      <c r="I2582" s="167">
        <v>1</v>
      </c>
      <c r="J2582" s="107" t="s">
        <v>432</v>
      </c>
      <c r="K2582" s="107" t="s">
        <v>432</v>
      </c>
      <c r="L2582" s="107" t="s">
        <v>432</v>
      </c>
      <c r="M2582" s="107" t="s">
        <v>432</v>
      </c>
      <c r="N2582" s="107" t="s">
        <v>432</v>
      </c>
      <c r="O2582" s="107" t="s">
        <v>432</v>
      </c>
      <c r="P2582" s="107" t="s">
        <v>432</v>
      </c>
      <c r="Q2582" s="107" t="s">
        <v>432</v>
      </c>
      <c r="R2582" s="107" t="s">
        <v>432</v>
      </c>
      <c r="S2582" s="109" t="s">
        <v>2209</v>
      </c>
      <c r="T2582" s="107" t="s">
        <v>432</v>
      </c>
      <c r="U2582" s="107" t="s">
        <v>432</v>
      </c>
      <c r="V2582" s="109" t="s">
        <v>2209</v>
      </c>
      <c r="W2582" s="107" t="s">
        <v>432</v>
      </c>
      <c r="X2582" s="107" t="s">
        <v>432</v>
      </c>
      <c r="Y2582" s="107" t="s">
        <v>432</v>
      </c>
      <c r="Z2582" s="107" t="s">
        <v>432</v>
      </c>
      <c r="AA2582" s="107" t="s">
        <v>432</v>
      </c>
      <c r="AB2582" s="107" t="s">
        <v>432</v>
      </c>
      <c r="AC2582" s="107" t="s">
        <v>432</v>
      </c>
      <c r="AD2582" s="107" t="s">
        <v>432</v>
      </c>
      <c r="AE2582" s="107" t="s">
        <v>432</v>
      </c>
      <c r="AF2582" s="107" t="s">
        <v>432</v>
      </c>
      <c r="AG2582" s="107" t="s">
        <v>432</v>
      </c>
      <c r="AH2582" s="107" t="s">
        <v>432</v>
      </c>
      <c r="AI2582" s="107" t="s">
        <v>432</v>
      </c>
      <c r="AJ2582" s="107" t="s">
        <v>432</v>
      </c>
      <c r="AK2582" s="107" t="s">
        <v>432</v>
      </c>
      <c r="AL2582" s="601" t="s">
        <v>432</v>
      </c>
      <c r="AM2582" s="107" t="s">
        <v>432</v>
      </c>
      <c r="AN2582" s="107" t="s">
        <v>432</v>
      </c>
      <c r="AO2582" s="107" t="s">
        <v>432</v>
      </c>
      <c r="AP2582" s="107" t="s">
        <v>432</v>
      </c>
      <c r="AQ2582" s="107" t="s">
        <v>432</v>
      </c>
      <c r="AR2582" s="107" t="s">
        <v>432</v>
      </c>
      <c r="AS2582" s="107" t="s">
        <v>432</v>
      </c>
      <c r="AT2582" s="107" t="s">
        <v>432</v>
      </c>
      <c r="AU2582" s="107" t="s">
        <v>432</v>
      </c>
      <c r="AV2582" s="107" t="s">
        <v>432</v>
      </c>
      <c r="AW2582" s="107" t="s">
        <v>432</v>
      </c>
      <c r="AX2582" s="107" t="s">
        <v>432</v>
      </c>
      <c r="AY2582" s="107" t="s">
        <v>432</v>
      </c>
      <c r="AZ2582" s="107" t="s">
        <v>432</v>
      </c>
      <c r="BA2582" s="107" t="s">
        <v>432</v>
      </c>
      <c r="BB2582" s="107" t="s">
        <v>432</v>
      </c>
      <c r="BC2582" s="107" t="s">
        <v>432</v>
      </c>
      <c r="BD2582" s="107" t="s">
        <v>432</v>
      </c>
      <c r="BM2582" s="372"/>
      <c r="BN2582" s="372"/>
      <c r="BO2582" s="372"/>
    </row>
    <row r="2583" spans="1:67" s="105" customFormat="1" ht="38.25" x14ac:dyDescent="0.25">
      <c r="A2583" s="275" t="s">
        <v>608</v>
      </c>
      <c r="B2583" s="54" t="s">
        <v>997</v>
      </c>
      <c r="C2583" s="303" t="s">
        <v>432</v>
      </c>
      <c r="D2583" s="939" t="s">
        <v>1066</v>
      </c>
      <c r="E2583" s="1496" t="s">
        <v>1306</v>
      </c>
      <c r="F2583" s="59" t="s">
        <v>4612</v>
      </c>
      <c r="G2583" s="448" t="s">
        <v>678</v>
      </c>
      <c r="H2583" s="448" t="s">
        <v>678</v>
      </c>
      <c r="I2583" s="167">
        <v>1</v>
      </c>
      <c r="J2583" s="107" t="s">
        <v>432</v>
      </c>
      <c r="K2583" s="107" t="s">
        <v>432</v>
      </c>
      <c r="L2583" s="107" t="s">
        <v>432</v>
      </c>
      <c r="M2583" s="107" t="s">
        <v>432</v>
      </c>
      <c r="N2583" s="107" t="s">
        <v>432</v>
      </c>
      <c r="O2583" s="107" t="s">
        <v>432</v>
      </c>
      <c r="P2583" s="107" t="s">
        <v>432</v>
      </c>
      <c r="Q2583" s="107" t="s">
        <v>432</v>
      </c>
      <c r="R2583" s="107" t="s">
        <v>432</v>
      </c>
      <c r="S2583" s="109" t="s">
        <v>2209</v>
      </c>
      <c r="T2583" s="107" t="s">
        <v>432</v>
      </c>
      <c r="U2583" s="107" t="s">
        <v>432</v>
      </c>
      <c r="V2583" s="109" t="s">
        <v>2209</v>
      </c>
      <c r="W2583" s="107" t="s">
        <v>432</v>
      </c>
      <c r="X2583" s="107" t="s">
        <v>432</v>
      </c>
      <c r="Y2583" s="107" t="s">
        <v>432</v>
      </c>
      <c r="Z2583" s="107" t="s">
        <v>432</v>
      </c>
      <c r="AA2583" s="107" t="s">
        <v>432</v>
      </c>
      <c r="AB2583" s="107" t="s">
        <v>432</v>
      </c>
      <c r="AC2583" s="107" t="s">
        <v>432</v>
      </c>
      <c r="AD2583" s="107" t="s">
        <v>432</v>
      </c>
      <c r="AE2583" s="107" t="s">
        <v>432</v>
      </c>
      <c r="AF2583" s="107" t="s">
        <v>432</v>
      </c>
      <c r="AG2583" s="107" t="s">
        <v>432</v>
      </c>
      <c r="AH2583" s="107" t="s">
        <v>432</v>
      </c>
      <c r="AI2583" s="107" t="s">
        <v>432</v>
      </c>
      <c r="AJ2583" s="107" t="s">
        <v>432</v>
      </c>
      <c r="AK2583" s="107" t="s">
        <v>678</v>
      </c>
      <c r="AL2583" s="601" t="s">
        <v>432</v>
      </c>
      <c r="AM2583" s="107" t="s">
        <v>432</v>
      </c>
      <c r="AN2583" s="107" t="s">
        <v>432</v>
      </c>
      <c r="AO2583" s="107" t="s">
        <v>432</v>
      </c>
      <c r="AP2583" s="107" t="s">
        <v>432</v>
      </c>
      <c r="AQ2583" s="107" t="s">
        <v>432</v>
      </c>
      <c r="AR2583" s="107" t="s">
        <v>432</v>
      </c>
      <c r="AS2583" s="107" t="s">
        <v>432</v>
      </c>
      <c r="AT2583" s="107" t="s">
        <v>432</v>
      </c>
      <c r="AU2583" s="107" t="s">
        <v>432</v>
      </c>
      <c r="AV2583" s="107" t="s">
        <v>432</v>
      </c>
      <c r="AW2583" s="107" t="s">
        <v>432</v>
      </c>
      <c r="AX2583" s="107" t="s">
        <v>432</v>
      </c>
      <c r="AY2583" s="107" t="s">
        <v>432</v>
      </c>
      <c r="AZ2583" s="107" t="s">
        <v>432</v>
      </c>
      <c r="BA2583" s="107" t="s">
        <v>432</v>
      </c>
      <c r="BB2583" s="107" t="s">
        <v>432</v>
      </c>
      <c r="BC2583" s="107" t="s">
        <v>432</v>
      </c>
      <c r="BD2583" s="107" t="s">
        <v>432</v>
      </c>
      <c r="BM2583" s="374"/>
      <c r="BN2583" s="374"/>
      <c r="BO2583" s="374"/>
    </row>
    <row r="2584" spans="1:67" s="105" customFormat="1" ht="33.75" x14ac:dyDescent="0.25">
      <c r="A2584" s="275" t="s">
        <v>623</v>
      </c>
      <c r="B2584" s="54" t="s">
        <v>186</v>
      </c>
      <c r="C2584" s="303" t="s">
        <v>432</v>
      </c>
      <c r="D2584" s="939" t="s">
        <v>1066</v>
      </c>
      <c r="E2584" s="1496" t="s">
        <v>1306</v>
      </c>
      <c r="F2584" s="59" t="s">
        <v>1457</v>
      </c>
      <c r="G2584" s="448" t="s">
        <v>678</v>
      </c>
      <c r="H2584" s="448" t="s">
        <v>678</v>
      </c>
      <c r="I2584" s="167">
        <v>1</v>
      </c>
      <c r="J2584" s="107" t="s">
        <v>432</v>
      </c>
      <c r="K2584" s="107" t="s">
        <v>432</v>
      </c>
      <c r="L2584" s="107" t="s">
        <v>432</v>
      </c>
      <c r="M2584" s="107" t="s">
        <v>432</v>
      </c>
      <c r="N2584" s="107" t="s">
        <v>432</v>
      </c>
      <c r="O2584" s="107" t="s">
        <v>432</v>
      </c>
      <c r="P2584" s="107" t="s">
        <v>432</v>
      </c>
      <c r="Q2584" s="107" t="s">
        <v>432</v>
      </c>
      <c r="R2584" s="107" t="s">
        <v>432</v>
      </c>
      <c r="S2584" s="109" t="s">
        <v>2209</v>
      </c>
      <c r="T2584" s="107" t="s">
        <v>432</v>
      </c>
      <c r="U2584" s="107" t="s">
        <v>432</v>
      </c>
      <c r="V2584" s="109" t="s">
        <v>2209</v>
      </c>
      <c r="W2584" s="107" t="s">
        <v>432</v>
      </c>
      <c r="X2584" s="107" t="s">
        <v>432</v>
      </c>
      <c r="Y2584" s="107" t="s">
        <v>432</v>
      </c>
      <c r="Z2584" s="107" t="s">
        <v>432</v>
      </c>
      <c r="AA2584" s="107" t="s">
        <v>432</v>
      </c>
      <c r="AB2584" s="107" t="s">
        <v>432</v>
      </c>
      <c r="AC2584" s="107" t="s">
        <v>432</v>
      </c>
      <c r="AD2584" s="107" t="s">
        <v>432</v>
      </c>
      <c r="AE2584" s="107" t="s">
        <v>432</v>
      </c>
      <c r="AF2584" s="107" t="s">
        <v>432</v>
      </c>
      <c r="AG2584" s="107" t="s">
        <v>432</v>
      </c>
      <c r="AH2584" s="107" t="s">
        <v>432</v>
      </c>
      <c r="AI2584" s="107" t="s">
        <v>432</v>
      </c>
      <c r="AJ2584" s="107" t="s">
        <v>432</v>
      </c>
      <c r="AK2584" s="107" t="s">
        <v>432</v>
      </c>
      <c r="AL2584" s="601" t="s">
        <v>432</v>
      </c>
      <c r="AM2584" s="107" t="s">
        <v>432</v>
      </c>
      <c r="AN2584" s="107" t="s">
        <v>432</v>
      </c>
      <c r="AO2584" s="107" t="s">
        <v>432</v>
      </c>
      <c r="AP2584" s="107" t="s">
        <v>432</v>
      </c>
      <c r="AQ2584" s="107" t="s">
        <v>432</v>
      </c>
      <c r="AR2584" s="107" t="s">
        <v>432</v>
      </c>
      <c r="AS2584" s="107" t="s">
        <v>432</v>
      </c>
      <c r="AT2584" s="107" t="s">
        <v>432</v>
      </c>
      <c r="AU2584" s="107" t="s">
        <v>432</v>
      </c>
      <c r="AV2584" s="107" t="s">
        <v>432</v>
      </c>
      <c r="AW2584" s="107" t="s">
        <v>432</v>
      </c>
      <c r="AX2584" s="107" t="s">
        <v>432</v>
      </c>
      <c r="AY2584" s="107" t="s">
        <v>432</v>
      </c>
      <c r="AZ2584" s="107" t="s">
        <v>432</v>
      </c>
      <c r="BA2584" s="107" t="s">
        <v>432</v>
      </c>
      <c r="BB2584" s="107" t="s">
        <v>432</v>
      </c>
      <c r="BC2584" s="107" t="s">
        <v>432</v>
      </c>
      <c r="BD2584" s="107" t="s">
        <v>432</v>
      </c>
      <c r="BM2584" s="374"/>
      <c r="BN2584" s="374"/>
      <c r="BO2584" s="374"/>
    </row>
    <row r="2585" spans="1:67" s="105" customFormat="1" ht="33.75" x14ac:dyDescent="0.25">
      <c r="A2585" s="275" t="s">
        <v>623</v>
      </c>
      <c r="B2585" s="54" t="s">
        <v>186</v>
      </c>
      <c r="C2585" s="303" t="s">
        <v>432</v>
      </c>
      <c r="D2585" s="939" t="s">
        <v>1066</v>
      </c>
      <c r="E2585" s="1496" t="s">
        <v>1306</v>
      </c>
      <c r="F2585" s="59" t="s">
        <v>1458</v>
      </c>
      <c r="G2585" s="448" t="s">
        <v>678</v>
      </c>
      <c r="H2585" s="448" t="s">
        <v>678</v>
      </c>
      <c r="I2585" s="167">
        <v>1</v>
      </c>
      <c r="J2585" s="107" t="s">
        <v>432</v>
      </c>
      <c r="K2585" s="107" t="s">
        <v>432</v>
      </c>
      <c r="L2585" s="107" t="s">
        <v>432</v>
      </c>
      <c r="M2585" s="107" t="s">
        <v>432</v>
      </c>
      <c r="N2585" s="107" t="s">
        <v>432</v>
      </c>
      <c r="O2585" s="107" t="s">
        <v>432</v>
      </c>
      <c r="P2585" s="107" t="s">
        <v>432</v>
      </c>
      <c r="Q2585" s="107" t="s">
        <v>432</v>
      </c>
      <c r="R2585" s="107" t="s">
        <v>432</v>
      </c>
      <c r="S2585" s="109" t="s">
        <v>2209</v>
      </c>
      <c r="T2585" s="107" t="s">
        <v>432</v>
      </c>
      <c r="U2585" s="107" t="s">
        <v>432</v>
      </c>
      <c r="V2585" s="109" t="s">
        <v>2209</v>
      </c>
      <c r="W2585" s="107" t="s">
        <v>432</v>
      </c>
      <c r="X2585" s="107" t="s">
        <v>432</v>
      </c>
      <c r="Y2585" s="107" t="s">
        <v>432</v>
      </c>
      <c r="Z2585" s="107" t="s">
        <v>432</v>
      </c>
      <c r="AA2585" s="107" t="s">
        <v>432</v>
      </c>
      <c r="AB2585" s="107" t="s">
        <v>432</v>
      </c>
      <c r="AC2585" s="107" t="s">
        <v>432</v>
      </c>
      <c r="AD2585" s="107" t="s">
        <v>432</v>
      </c>
      <c r="AE2585" s="107" t="s">
        <v>432</v>
      </c>
      <c r="AF2585" s="107" t="s">
        <v>432</v>
      </c>
      <c r="AG2585" s="107" t="s">
        <v>432</v>
      </c>
      <c r="AH2585" s="107" t="s">
        <v>432</v>
      </c>
      <c r="AI2585" s="107" t="s">
        <v>432</v>
      </c>
      <c r="AJ2585" s="107" t="s">
        <v>432</v>
      </c>
      <c r="AK2585" s="107" t="s">
        <v>432</v>
      </c>
      <c r="AL2585" s="601" t="s">
        <v>432</v>
      </c>
      <c r="AM2585" s="107" t="s">
        <v>432</v>
      </c>
      <c r="AN2585" s="107" t="s">
        <v>432</v>
      </c>
      <c r="AO2585" s="107" t="s">
        <v>432</v>
      </c>
      <c r="AP2585" s="107" t="s">
        <v>432</v>
      </c>
      <c r="AQ2585" s="107" t="s">
        <v>432</v>
      </c>
      <c r="AR2585" s="107" t="s">
        <v>432</v>
      </c>
      <c r="AS2585" s="107" t="s">
        <v>432</v>
      </c>
      <c r="AT2585" s="107" t="s">
        <v>432</v>
      </c>
      <c r="AU2585" s="107" t="s">
        <v>432</v>
      </c>
      <c r="AV2585" s="107" t="s">
        <v>432</v>
      </c>
      <c r="AW2585" s="107" t="s">
        <v>432</v>
      </c>
      <c r="AX2585" s="107" t="s">
        <v>432</v>
      </c>
      <c r="AY2585" s="107" t="s">
        <v>432</v>
      </c>
      <c r="AZ2585" s="107" t="s">
        <v>432</v>
      </c>
      <c r="BA2585" s="107" t="s">
        <v>432</v>
      </c>
      <c r="BB2585" s="107" t="s">
        <v>432</v>
      </c>
      <c r="BC2585" s="107" t="s">
        <v>432</v>
      </c>
      <c r="BD2585" s="107" t="s">
        <v>432</v>
      </c>
      <c r="BM2585" s="372"/>
      <c r="BN2585" s="372"/>
      <c r="BO2585" s="372"/>
    </row>
    <row r="2586" spans="1:67" ht="25.5" x14ac:dyDescent="0.25">
      <c r="A2586" s="275" t="s">
        <v>432</v>
      </c>
      <c r="B2586" s="1205" t="s">
        <v>432</v>
      </c>
      <c r="C2586" s="57" t="s">
        <v>432</v>
      </c>
      <c r="D2586" s="939" t="s">
        <v>432</v>
      </c>
      <c r="E2586" s="509"/>
      <c r="F2586" s="11" t="s">
        <v>432</v>
      </c>
      <c r="G2586" s="5" t="s">
        <v>432</v>
      </c>
      <c r="H2586" s="168" t="s">
        <v>432</v>
      </c>
      <c r="I2586" s="167" t="s">
        <v>432</v>
      </c>
      <c r="J2586" s="107" t="s">
        <v>432</v>
      </c>
      <c r="K2586" s="107" t="s">
        <v>432</v>
      </c>
      <c r="L2586" s="107" t="s">
        <v>432</v>
      </c>
      <c r="M2586" s="107" t="s">
        <v>432</v>
      </c>
      <c r="N2586" s="107" t="s">
        <v>432</v>
      </c>
      <c r="O2586" s="107" t="s">
        <v>432</v>
      </c>
      <c r="P2586" s="107" t="s">
        <v>432</v>
      </c>
      <c r="Q2586" s="107" t="s">
        <v>432</v>
      </c>
      <c r="R2586" s="107" t="s">
        <v>432</v>
      </c>
      <c r="S2586" s="109" t="s">
        <v>2209</v>
      </c>
      <c r="T2586" s="107" t="s">
        <v>432</v>
      </c>
      <c r="U2586" s="107" t="s">
        <v>432</v>
      </c>
      <c r="V2586" s="109" t="s">
        <v>2209</v>
      </c>
      <c r="W2586" s="107" t="s">
        <v>432</v>
      </c>
      <c r="X2586" s="107" t="s">
        <v>432</v>
      </c>
      <c r="Y2586" s="107" t="s">
        <v>432</v>
      </c>
      <c r="Z2586" s="107" t="s">
        <v>432</v>
      </c>
      <c r="AA2586" s="107" t="s">
        <v>432</v>
      </c>
      <c r="AB2586" s="107" t="s">
        <v>432</v>
      </c>
      <c r="AC2586" s="107" t="s">
        <v>432</v>
      </c>
      <c r="AD2586" s="107" t="s">
        <v>432</v>
      </c>
      <c r="AE2586" s="107" t="s">
        <v>432</v>
      </c>
      <c r="AF2586" s="107" t="s">
        <v>432</v>
      </c>
      <c r="AG2586" s="107" t="s">
        <v>432</v>
      </c>
      <c r="AH2586" s="107" t="s">
        <v>432</v>
      </c>
      <c r="AI2586" s="107" t="s">
        <v>432</v>
      </c>
      <c r="AJ2586" s="107" t="s">
        <v>432</v>
      </c>
      <c r="AK2586" s="137" t="s">
        <v>432</v>
      </c>
      <c r="AL2586" s="601" t="s">
        <v>432</v>
      </c>
      <c r="AM2586" s="137" t="s">
        <v>432</v>
      </c>
      <c r="AN2586" s="137" t="s">
        <v>432</v>
      </c>
      <c r="AO2586" s="137" t="s">
        <v>432</v>
      </c>
      <c r="AP2586" s="137" t="s">
        <v>432</v>
      </c>
      <c r="AQ2586" s="137" t="s">
        <v>432</v>
      </c>
      <c r="AR2586" s="137" t="s">
        <v>432</v>
      </c>
      <c r="AS2586" s="137" t="s">
        <v>432</v>
      </c>
      <c r="AT2586" s="137" t="s">
        <v>432</v>
      </c>
      <c r="AU2586" s="137" t="s">
        <v>432</v>
      </c>
      <c r="AV2586" s="137" t="s">
        <v>432</v>
      </c>
      <c r="AW2586" s="137" t="s">
        <v>432</v>
      </c>
      <c r="AX2586" s="137" t="s">
        <v>432</v>
      </c>
      <c r="AY2586" s="137" t="s">
        <v>432</v>
      </c>
      <c r="AZ2586" s="137" t="s">
        <v>432</v>
      </c>
      <c r="BA2586" s="137" t="s">
        <v>432</v>
      </c>
      <c r="BB2586" s="239" t="str">
        <f>B2586&amp;C2586</f>
        <v>xx</v>
      </c>
      <c r="BC2586" s="239" t="str">
        <f>B2586&amp;C2586&amp;H2586</f>
        <v>xxx</v>
      </c>
      <c r="BD2586" s="239" t="str">
        <f>B2586&amp;H2586</f>
        <v>xx</v>
      </c>
      <c r="BM2586" s="19"/>
      <c r="BN2586" s="19"/>
      <c r="BO2586" s="19"/>
    </row>
    <row r="2587" spans="1:67" ht="16.5" customHeight="1" thickBot="1" x14ac:dyDescent="0.3">
      <c r="A2587" s="390" t="s">
        <v>432</v>
      </c>
      <c r="B2587" s="70" t="s">
        <v>418</v>
      </c>
      <c r="C2587" s="1595" t="s">
        <v>432</v>
      </c>
      <c r="D2587" s="1596" t="s">
        <v>418</v>
      </c>
      <c r="E2587" s="1597"/>
      <c r="F2587" s="1595" t="s">
        <v>2</v>
      </c>
      <c r="G2587" s="391" t="s">
        <v>2</v>
      </c>
      <c r="H2587" s="391" t="s">
        <v>432</v>
      </c>
      <c r="I2587" s="1598">
        <f>SUM(I8:I2586)</f>
        <v>1502</v>
      </c>
      <c r="J2587" s="65"/>
      <c r="K2587" s="16"/>
      <c r="L2587" s="16"/>
      <c r="M2587" s="16"/>
      <c r="N2587" s="16"/>
      <c r="O2587" s="16"/>
      <c r="P2587" s="16"/>
      <c r="Q2587" s="16"/>
      <c r="R2587" s="16"/>
      <c r="S2587" s="16"/>
      <c r="T2587" s="16"/>
      <c r="U2587" s="16"/>
      <c r="V2587" s="16"/>
      <c r="BB2587" s="19" t="str">
        <f>B2587&amp;C2587</f>
        <v>TOTALx</v>
      </c>
      <c r="BC2587" s="19" t="str">
        <f>B2587&amp;C2587&amp;H2587</f>
        <v>TOTALxx</v>
      </c>
      <c r="BD2587" s="19"/>
      <c r="BE2587" s="19"/>
      <c r="BF2587" s="19"/>
      <c r="BG2587" s="19"/>
      <c r="BH2587" s="19"/>
      <c r="BI2587" s="19"/>
      <c r="BJ2587" s="19"/>
      <c r="BK2587" s="19"/>
      <c r="BL2587" s="19"/>
      <c r="BM2587" s="19"/>
      <c r="BN2587" s="19"/>
      <c r="BO2587" s="19"/>
    </row>
    <row r="2588" spans="1:67" ht="122.25" customHeight="1" x14ac:dyDescent="0.25">
      <c r="A2588" s="1599" t="s">
        <v>6349</v>
      </c>
      <c r="B2588" s="1600"/>
      <c r="C2588" s="1600"/>
      <c r="D2588" s="1600"/>
      <c r="E2588" s="1600"/>
      <c r="F2588" s="1600"/>
      <c r="G2588" s="1600"/>
      <c r="H2588" s="1600"/>
      <c r="I2588" s="1601"/>
      <c r="J2588" s="30"/>
      <c r="K2588" s="16"/>
      <c r="L2588" s="16"/>
      <c r="M2588" s="16"/>
      <c r="N2588" s="16"/>
      <c r="O2588" s="16"/>
      <c r="P2588" s="16"/>
      <c r="Q2588" s="16"/>
      <c r="R2588" s="16"/>
      <c r="S2588" s="16"/>
      <c r="T2588" s="16"/>
      <c r="U2588" s="16"/>
      <c r="V2588" s="16"/>
      <c r="BB2588" s="19"/>
      <c r="BC2588" s="19"/>
      <c r="BD2588" s="19"/>
      <c r="BE2588" s="19"/>
      <c r="BF2588" s="19"/>
      <c r="BG2588" s="19"/>
      <c r="BH2588" s="19"/>
      <c r="BI2588" s="19"/>
      <c r="BJ2588" s="19"/>
      <c r="BK2588" s="19"/>
      <c r="BL2588" s="19"/>
      <c r="BM2588" s="19"/>
      <c r="BN2588" s="19"/>
      <c r="BO2588" s="19"/>
    </row>
    <row r="2589" spans="1:67" s="105" customFormat="1" ht="16.5" thickBot="1" x14ac:dyDescent="0.3">
      <c r="A2589" s="1608" t="s">
        <v>6350</v>
      </c>
      <c r="B2589" s="1609"/>
      <c r="C2589" s="1609"/>
      <c r="D2589" s="1609"/>
      <c r="E2589" s="1609"/>
      <c r="F2589" s="1609"/>
      <c r="G2589" s="1609"/>
      <c r="H2589" s="1609"/>
      <c r="I2589" s="1610"/>
      <c r="J2589" s="1574"/>
      <c r="K2589" s="16"/>
      <c r="L2589" s="16"/>
      <c r="M2589" s="16"/>
      <c r="N2589" s="16"/>
      <c r="O2589" s="16"/>
      <c r="P2589" s="16"/>
      <c r="Q2589" s="16"/>
      <c r="R2589" s="16"/>
      <c r="S2589" s="16"/>
      <c r="T2589" s="16"/>
      <c r="U2589" s="16"/>
      <c r="V2589" s="16"/>
      <c r="BB2589" s="1577"/>
      <c r="BC2589" s="1577"/>
      <c r="BD2589" s="1577"/>
      <c r="BE2589" s="1577"/>
      <c r="BF2589" s="1577"/>
      <c r="BG2589" s="1577"/>
      <c r="BH2589" s="1577"/>
      <c r="BI2589" s="1577"/>
      <c r="BJ2589" s="1577"/>
      <c r="BK2589" s="1577"/>
      <c r="BL2589" s="1577"/>
      <c r="BM2589" s="1577"/>
      <c r="BN2589" s="1577"/>
      <c r="BO2589" s="1577"/>
    </row>
    <row r="2590" spans="1:67" x14ac:dyDescent="0.25">
      <c r="A2590" s="7"/>
      <c r="B2590" s="274"/>
      <c r="G2590" s="32"/>
      <c r="H2590" s="1607" t="s">
        <v>4389</v>
      </c>
      <c r="I2590" s="1607"/>
      <c r="J2590" s="18"/>
      <c r="K2590" s="19"/>
      <c r="L2590" s="19"/>
      <c r="M2590" s="19"/>
      <c r="N2590" s="19"/>
      <c r="O2590" s="19"/>
      <c r="P2590" s="19"/>
      <c r="Q2590" s="19"/>
      <c r="R2590" s="19"/>
      <c r="S2590" s="19"/>
      <c r="T2590" s="19"/>
      <c r="U2590" s="19"/>
      <c r="V2590" s="19"/>
      <c r="W2590" s="18"/>
      <c r="X2590" s="18"/>
      <c r="AK2590" s="1266"/>
      <c r="BB2590" s="68"/>
      <c r="BC2590" s="68"/>
      <c r="BD2590" s="68"/>
      <c r="BE2590" s="68"/>
      <c r="BF2590" s="68"/>
      <c r="BG2590" s="68"/>
      <c r="BH2590" s="68"/>
      <c r="BI2590" s="68"/>
      <c r="BJ2590" s="68"/>
      <c r="BK2590" s="68"/>
      <c r="BL2590" s="68"/>
      <c r="BM2590" s="68"/>
      <c r="BN2590" s="68"/>
      <c r="BO2590" s="68"/>
    </row>
    <row r="2591" spans="1:67" ht="60.75" customHeight="1" x14ac:dyDescent="0.25">
      <c r="A2591" s="7"/>
      <c r="B2591" s="274"/>
      <c r="F2591" s="166" t="s">
        <v>1028</v>
      </c>
      <c r="G2591" s="90"/>
      <c r="H2591" s="170" t="s">
        <v>1030</v>
      </c>
      <c r="I2591" s="1337">
        <f>SUBTOTAL(9,I8:I2586)</f>
        <v>1502</v>
      </c>
      <c r="K2591" s="2"/>
      <c r="L2591" s="2"/>
      <c r="M2591" s="2"/>
      <c r="N2591" s="2"/>
      <c r="O2591" s="2"/>
      <c r="P2591" s="2"/>
      <c r="Q2591" s="2"/>
      <c r="R2591" s="2"/>
      <c r="S2591" s="2"/>
      <c r="T2591" s="2"/>
      <c r="U2591" s="2"/>
      <c r="V2591" s="2"/>
      <c r="W2591" s="2"/>
      <c r="X2591" s="2"/>
      <c r="Y2591" s="2"/>
      <c r="Z2591" s="2"/>
      <c r="AA2591" s="2"/>
      <c r="AB2591" s="2"/>
      <c r="AC2591" s="2"/>
      <c r="BB2591" s="68"/>
      <c r="BC2591" s="68"/>
      <c r="BD2591" s="68"/>
      <c r="BE2591" s="68"/>
      <c r="BF2591" s="68"/>
      <c r="BG2591" s="68"/>
      <c r="BH2591" s="68"/>
      <c r="BI2591" s="68"/>
      <c r="BJ2591" s="68"/>
      <c r="BK2591" s="68"/>
      <c r="BL2591" s="68"/>
      <c r="BM2591" s="68"/>
      <c r="BN2591" s="68"/>
      <c r="BO2591" s="68"/>
    </row>
    <row r="2592" spans="1:67" x14ac:dyDescent="0.25">
      <c r="A2592" s="7"/>
      <c r="B2592" s="274"/>
      <c r="F2592" s="135"/>
      <c r="G2592" s="284"/>
      <c r="H2592" s="284"/>
      <c r="I2592" s="284"/>
      <c r="K2592" s="2"/>
      <c r="L2592" s="2"/>
      <c r="M2592" s="2"/>
      <c r="N2592" s="2"/>
      <c r="O2592" s="2"/>
      <c r="P2592" s="2"/>
      <c r="Q2592" s="2"/>
      <c r="R2592" s="2"/>
      <c r="S2592" s="2"/>
      <c r="T2592" s="2"/>
      <c r="U2592" s="2"/>
      <c r="V2592" s="2"/>
      <c r="W2592" s="2"/>
      <c r="X2592" s="2"/>
      <c r="Y2592" s="2"/>
      <c r="Z2592" s="2"/>
      <c r="AA2592" s="2"/>
      <c r="AB2592" s="2"/>
      <c r="AC2592" s="2"/>
      <c r="BB2592" s="68"/>
      <c r="BC2592" s="68"/>
      <c r="BD2592" s="68"/>
      <c r="BE2592" s="68"/>
      <c r="BF2592" s="68"/>
      <c r="BG2592" s="68"/>
      <c r="BH2592" s="68"/>
      <c r="BI2592" s="68"/>
      <c r="BJ2592" s="68"/>
      <c r="BK2592" s="68"/>
      <c r="BL2592" s="68"/>
      <c r="BM2592" s="68"/>
      <c r="BN2592" s="68"/>
      <c r="BO2592" s="68"/>
    </row>
    <row r="2593" spans="1:67" x14ac:dyDescent="0.25">
      <c r="A2593" s="7"/>
      <c r="B2593" s="274"/>
      <c r="C2593" s="7"/>
      <c r="F2593" s="93" t="s">
        <v>1479</v>
      </c>
      <c r="G2593" s="411"/>
      <c r="H2593" s="7"/>
      <c r="I2593" s="7"/>
      <c r="K2593" s="2"/>
      <c r="L2593" s="2"/>
      <c r="M2593" s="2"/>
      <c r="N2593" s="2"/>
      <c r="O2593" s="2"/>
      <c r="P2593" s="2"/>
      <c r="Q2593" s="2"/>
      <c r="R2593" s="2"/>
      <c r="S2593" s="2"/>
      <c r="T2593" s="2"/>
      <c r="U2593" s="2"/>
      <c r="V2593" s="2"/>
      <c r="W2593" s="2"/>
      <c r="X2593" s="2"/>
      <c r="Y2593" s="2"/>
      <c r="Z2593" s="2"/>
      <c r="AA2593" s="2"/>
      <c r="AB2593" s="2"/>
      <c r="AC2593" s="2"/>
      <c r="BB2593" s="68"/>
      <c r="BC2593" s="68"/>
      <c r="BD2593" s="68"/>
      <c r="BE2593" s="68"/>
      <c r="BF2593" s="68"/>
      <c r="BG2593" s="68"/>
      <c r="BH2593" s="68"/>
      <c r="BI2593" s="68"/>
      <c r="BJ2593" s="68"/>
      <c r="BK2593" s="68"/>
      <c r="BL2593" s="68"/>
      <c r="BM2593" s="68"/>
      <c r="BN2593" s="68"/>
      <c r="BO2593" s="68"/>
    </row>
    <row r="2594" spans="1:67" s="105" customFormat="1" x14ac:dyDescent="0.25">
      <c r="B2594" s="274"/>
      <c r="D2594" s="965"/>
      <c r="E2594" s="1489"/>
      <c r="F2594" s="58" t="s">
        <v>1027</v>
      </c>
      <c r="G2594" s="411"/>
      <c r="H2594" s="285"/>
      <c r="I2594" s="285"/>
      <c r="J2594" s="2"/>
      <c r="K2594" s="2"/>
      <c r="L2594" s="2"/>
      <c r="M2594" s="2"/>
      <c r="N2594" s="2"/>
      <c r="O2594" s="2"/>
      <c r="P2594" s="2"/>
      <c r="Q2594" s="2"/>
      <c r="R2594" s="2"/>
      <c r="S2594" s="2"/>
      <c r="T2594" s="2"/>
      <c r="U2594" s="2"/>
      <c r="V2594" s="2"/>
      <c r="W2594" s="2"/>
      <c r="X2594" s="2"/>
      <c r="Y2594" s="2"/>
      <c r="Z2594" s="2"/>
      <c r="AA2594" s="2"/>
      <c r="AB2594" s="2"/>
      <c r="AC2594" s="2"/>
      <c r="BB2594" s="68"/>
      <c r="BC2594" s="68"/>
      <c r="BD2594" s="68"/>
      <c r="BE2594" s="68"/>
      <c r="BF2594" s="68"/>
      <c r="BG2594" s="68"/>
      <c r="BH2594" s="68"/>
      <c r="BI2594" s="68"/>
      <c r="BJ2594" s="68"/>
      <c r="BK2594" s="68"/>
      <c r="BL2594" s="68"/>
      <c r="BM2594" s="68"/>
      <c r="BN2594" s="68"/>
      <c r="BO2594" s="68"/>
    </row>
    <row r="2595" spans="1:67" x14ac:dyDescent="0.25">
      <c r="A2595" s="7"/>
      <c r="B2595" s="274"/>
      <c r="C2595" s="105"/>
      <c r="F2595" s="109" t="s">
        <v>2083</v>
      </c>
      <c r="G2595" s="411"/>
      <c r="H2595" s="285"/>
      <c r="I2595" s="285"/>
      <c r="K2595" s="2"/>
      <c r="L2595" s="2"/>
      <c r="M2595" s="2"/>
      <c r="N2595" s="2"/>
      <c r="O2595" s="2"/>
      <c r="P2595" s="2"/>
      <c r="Q2595" s="2"/>
      <c r="R2595" s="2"/>
      <c r="S2595" s="2"/>
      <c r="T2595" s="2"/>
      <c r="U2595" s="2"/>
      <c r="V2595" s="2"/>
      <c r="W2595" s="2"/>
      <c r="X2595" s="2"/>
      <c r="Y2595" s="2"/>
      <c r="Z2595" s="2"/>
      <c r="AA2595" s="2"/>
      <c r="AB2595" s="2"/>
      <c r="AC2595" s="2"/>
    </row>
    <row r="2596" spans="1:67" x14ac:dyDescent="0.25">
      <c r="A2596" s="7"/>
      <c r="B2596" s="274"/>
      <c r="C2596" s="105"/>
      <c r="F2596" s="292" t="s">
        <v>1029</v>
      </c>
      <c r="H2596" s="285"/>
      <c r="K2596" s="2"/>
      <c r="L2596" s="2"/>
      <c r="M2596" s="2"/>
      <c r="N2596" s="2"/>
      <c r="O2596" s="2"/>
      <c r="P2596" s="2"/>
      <c r="Q2596" s="2"/>
      <c r="R2596" s="2"/>
      <c r="S2596" s="2"/>
      <c r="T2596" s="2"/>
      <c r="U2596" s="2"/>
      <c r="V2596" s="2"/>
      <c r="W2596" s="2"/>
      <c r="X2596" s="2"/>
      <c r="Y2596" s="2"/>
      <c r="Z2596" s="2"/>
      <c r="AA2596" s="2"/>
      <c r="AB2596" s="2"/>
      <c r="AC2596" s="2"/>
    </row>
    <row r="2597" spans="1:67" x14ac:dyDescent="0.25">
      <c r="A2597" s="7"/>
      <c r="B2597" s="274"/>
      <c r="C2597" s="105"/>
      <c r="F2597" s="1016" t="s">
        <v>3471</v>
      </c>
      <c r="G2597" s="32"/>
      <c r="H2597" s="931"/>
      <c r="I2597" s="7"/>
    </row>
    <row r="2598" spans="1:67" x14ac:dyDescent="0.25">
      <c r="A2598" s="7"/>
      <c r="B2598" s="274"/>
      <c r="G2598" s="7"/>
      <c r="H2598" s="105"/>
      <c r="I2598" s="7"/>
      <c r="J2598" s="7"/>
      <c r="S2598" s="7"/>
      <c r="V2598" s="7"/>
      <c r="AK2598" s="7"/>
      <c r="AM2598" s="7"/>
      <c r="AN2598" s="7"/>
      <c r="AO2598" s="7"/>
      <c r="AP2598" s="7"/>
      <c r="AQ2598" s="7"/>
      <c r="AV2598" s="7"/>
      <c r="BA2598" s="7"/>
    </row>
    <row r="2599" spans="1:67" x14ac:dyDescent="0.25">
      <c r="A2599" s="7"/>
      <c r="B2599" s="274"/>
      <c r="F2599" s="9" t="s">
        <v>1356</v>
      </c>
      <c r="G2599" s="7"/>
      <c r="H2599" s="7"/>
      <c r="I2599" s="7"/>
      <c r="J2599" s="7"/>
      <c r="S2599" s="7"/>
      <c r="V2599" s="7"/>
      <c r="AK2599" s="7"/>
      <c r="AM2599" s="7"/>
      <c r="AN2599" s="7"/>
      <c r="AO2599" s="7"/>
      <c r="AP2599" s="7"/>
      <c r="AQ2599" s="7"/>
      <c r="AV2599" s="7"/>
      <c r="BA2599" s="7"/>
    </row>
    <row r="2600" spans="1:67" s="105" customFormat="1" x14ac:dyDescent="0.25">
      <c r="B2600" s="274"/>
      <c r="C2600" s="52"/>
      <c r="D2600" s="965"/>
      <c r="E2600" s="1489"/>
      <c r="F2600" s="5" t="s">
        <v>1372</v>
      </c>
    </row>
    <row r="2601" spans="1:67" x14ac:dyDescent="0.25">
      <c r="A2601" s="7"/>
      <c r="B2601" s="274"/>
      <c r="F2601" s="5" t="s">
        <v>1355</v>
      </c>
      <c r="G2601" s="7"/>
      <c r="H2601" s="7"/>
      <c r="I2601" s="7"/>
      <c r="J2601" s="7"/>
      <c r="S2601" s="7"/>
      <c r="V2601" s="7"/>
      <c r="AK2601" s="7"/>
      <c r="AM2601" s="7"/>
      <c r="AN2601" s="7"/>
      <c r="AO2601" s="7"/>
      <c r="AP2601" s="7"/>
      <c r="AQ2601" s="7"/>
      <c r="AV2601" s="7"/>
      <c r="BA2601" s="7"/>
    </row>
    <row r="2602" spans="1:67" s="105" customFormat="1" x14ac:dyDescent="0.25">
      <c r="B2602" s="274"/>
      <c r="C2602" s="52"/>
      <c r="D2602" s="965"/>
      <c r="E2602" s="1489"/>
      <c r="F2602" s="5" t="s">
        <v>1359</v>
      </c>
    </row>
    <row r="2603" spans="1:67" s="105" customFormat="1" x14ac:dyDescent="0.25">
      <c r="B2603" s="274"/>
      <c r="C2603" s="52"/>
      <c r="D2603" s="965"/>
      <c r="E2603" s="1489"/>
      <c r="F2603" s="5" t="s">
        <v>1360</v>
      </c>
    </row>
    <row r="2604" spans="1:67" x14ac:dyDescent="0.25">
      <c r="A2604" s="7"/>
      <c r="B2604" s="274"/>
      <c r="F2604" s="5" t="s">
        <v>1357</v>
      </c>
      <c r="G2604" s="7"/>
      <c r="H2604" s="7"/>
      <c r="I2604" s="7"/>
      <c r="J2604" s="7"/>
      <c r="S2604" s="7"/>
      <c r="V2604" s="7"/>
      <c r="AK2604" s="7"/>
      <c r="AM2604" s="7"/>
      <c r="AN2604" s="7"/>
      <c r="AO2604" s="7"/>
      <c r="AP2604" s="7"/>
      <c r="AQ2604" s="7"/>
      <c r="AV2604" s="7"/>
      <c r="BA2604" s="7"/>
    </row>
    <row r="2605" spans="1:67" ht="30" customHeight="1" x14ac:dyDescent="0.25">
      <c r="A2605" s="7"/>
      <c r="B2605" s="274"/>
      <c r="F2605" s="5" t="s">
        <v>1358</v>
      </c>
      <c r="G2605" s="7"/>
      <c r="H2605" s="7"/>
      <c r="I2605" s="7"/>
      <c r="J2605" s="7"/>
      <c r="S2605" s="7"/>
      <c r="V2605" s="7"/>
      <c r="AK2605" s="7"/>
      <c r="AM2605" s="7"/>
      <c r="AN2605" s="7"/>
      <c r="AO2605" s="7"/>
      <c r="AP2605" s="7"/>
      <c r="AQ2605" s="7"/>
      <c r="AV2605" s="7"/>
      <c r="BA2605" s="7"/>
    </row>
    <row r="2606" spans="1:67" x14ac:dyDescent="0.25">
      <c r="A2606" s="7"/>
      <c r="B2606" s="274"/>
      <c r="C2606" s="7"/>
      <c r="D2606" s="105"/>
      <c r="E2606" s="1545"/>
      <c r="F2606" s="7"/>
      <c r="G2606" s="7"/>
      <c r="H2606" s="7"/>
      <c r="I2606" s="7"/>
      <c r="J2606" s="7"/>
      <c r="S2606" s="7"/>
      <c r="V2606" s="7"/>
      <c r="AK2606" s="7"/>
      <c r="AM2606" s="7"/>
      <c r="AN2606" s="7"/>
      <c r="AO2606" s="7"/>
      <c r="AP2606" s="7"/>
      <c r="AQ2606" s="7"/>
      <c r="AV2606" s="7"/>
      <c r="BA2606" s="7"/>
    </row>
    <row r="2607" spans="1:67" x14ac:dyDescent="0.25">
      <c r="A2607" s="7"/>
      <c r="B2607" s="274"/>
      <c r="F2607" s="746" t="s">
        <v>2385</v>
      </c>
      <c r="G2607" s="7"/>
      <c r="H2607" s="7"/>
      <c r="I2607" s="7"/>
      <c r="J2607" s="7"/>
      <c r="S2607" s="7"/>
      <c r="V2607" s="7"/>
      <c r="AK2607" s="7"/>
      <c r="AM2607" s="7"/>
      <c r="AN2607" s="7"/>
      <c r="AO2607" s="7"/>
      <c r="AP2607" s="7"/>
      <c r="AQ2607" s="7"/>
      <c r="AV2607" s="7"/>
      <c r="BA2607" s="7"/>
    </row>
    <row r="2608" spans="1:67" s="105" customFormat="1" x14ac:dyDescent="0.25">
      <c r="B2608" s="274"/>
      <c r="C2608" s="52"/>
      <c r="D2608" s="965"/>
      <c r="E2608" s="1489"/>
      <c r="F2608" s="746" t="s">
        <v>2958</v>
      </c>
    </row>
    <row r="2609" spans="1:53" s="105" customFormat="1" x14ac:dyDescent="0.25">
      <c r="B2609" s="274"/>
      <c r="C2609" s="52"/>
      <c r="D2609" s="965"/>
      <c r="E2609" s="1489"/>
      <c r="F2609" s="746" t="s">
        <v>2976</v>
      </c>
    </row>
    <row r="2610" spans="1:53" x14ac:dyDescent="0.25">
      <c r="A2610" s="7"/>
      <c r="B2610" s="274"/>
      <c r="F2610" s="5" t="s">
        <v>2386</v>
      </c>
      <c r="G2610" s="7"/>
      <c r="H2610" s="7"/>
      <c r="I2610" s="7"/>
      <c r="J2610" s="7"/>
      <c r="S2610" s="7"/>
      <c r="V2610" s="7"/>
      <c r="AK2610" s="7"/>
      <c r="AM2610" s="7"/>
      <c r="AN2610" s="7"/>
      <c r="AO2610" s="7"/>
      <c r="AP2610" s="7"/>
      <c r="AQ2610" s="7"/>
      <c r="AV2610" s="7"/>
      <c r="BA2610" s="7"/>
    </row>
    <row r="2611" spans="1:53" x14ac:dyDescent="0.25">
      <c r="A2611" s="7"/>
      <c r="B2611" s="274"/>
      <c r="G2611" s="7"/>
      <c r="H2611" s="7"/>
      <c r="I2611" s="7"/>
      <c r="J2611" s="7"/>
      <c r="S2611" s="7"/>
      <c r="V2611" s="7"/>
      <c r="AK2611" s="7"/>
      <c r="AM2611" s="7"/>
      <c r="AN2611" s="7"/>
      <c r="AO2611" s="7"/>
      <c r="AP2611" s="7"/>
      <c r="AQ2611" s="7"/>
      <c r="AV2611" s="7"/>
      <c r="BA2611" s="7"/>
    </row>
    <row r="2612" spans="1:53" x14ac:dyDescent="0.25">
      <c r="A2612" s="7"/>
      <c r="B2612" s="274"/>
      <c r="G2612" s="7"/>
      <c r="H2612" s="7"/>
      <c r="I2612" s="7"/>
      <c r="J2612" s="7"/>
      <c r="S2612" s="7"/>
      <c r="V2612" s="7"/>
      <c r="AK2612" s="7"/>
      <c r="AM2612" s="7"/>
      <c r="AN2612" s="7"/>
      <c r="AO2612" s="7"/>
      <c r="AP2612" s="7"/>
      <c r="AQ2612" s="7"/>
      <c r="AV2612" s="7"/>
      <c r="BA2612" s="7"/>
    </row>
    <row r="2613" spans="1:53" x14ac:dyDescent="0.25">
      <c r="A2613" s="7"/>
      <c r="B2613" s="274"/>
      <c r="G2613" s="7"/>
      <c r="H2613" s="7"/>
      <c r="I2613" s="7"/>
      <c r="J2613" s="7"/>
      <c r="S2613" s="7"/>
      <c r="V2613" s="7"/>
      <c r="AK2613" s="7"/>
      <c r="AM2613" s="7"/>
      <c r="AN2613" s="7"/>
      <c r="AO2613" s="7"/>
      <c r="AP2613" s="7"/>
      <c r="AQ2613" s="7"/>
      <c r="AV2613" s="7"/>
      <c r="BA2613" s="7"/>
    </row>
    <row r="2614" spans="1:53" x14ac:dyDescent="0.25">
      <c r="A2614" s="7"/>
      <c r="B2614" s="274"/>
      <c r="G2614" s="7"/>
      <c r="H2614" s="7"/>
      <c r="I2614" s="7"/>
      <c r="J2614" s="7"/>
      <c r="S2614" s="7"/>
      <c r="V2614" s="7"/>
      <c r="AK2614" s="7"/>
      <c r="AM2614" s="7"/>
      <c r="AN2614" s="7"/>
      <c r="AO2614" s="7"/>
      <c r="AP2614" s="7"/>
      <c r="AQ2614" s="7"/>
      <c r="AV2614" s="7"/>
      <c r="BA2614" s="7"/>
    </row>
    <row r="2615" spans="1:53" x14ac:dyDescent="0.25">
      <c r="A2615" s="7"/>
      <c r="B2615" s="274"/>
      <c r="G2615" s="7"/>
      <c r="H2615" s="7"/>
      <c r="I2615" s="7"/>
      <c r="J2615" s="7"/>
      <c r="S2615" s="7"/>
      <c r="V2615" s="7"/>
      <c r="AK2615" s="7"/>
      <c r="AM2615" s="7"/>
      <c r="AN2615" s="7"/>
      <c r="AO2615" s="7"/>
      <c r="AP2615" s="7"/>
      <c r="AQ2615" s="7"/>
      <c r="AV2615" s="7"/>
      <c r="BA2615" s="7"/>
    </row>
    <row r="2616" spans="1:53" x14ac:dyDescent="0.25">
      <c r="A2616" s="7"/>
      <c r="B2616" s="274"/>
      <c r="C2616" s="7"/>
      <c r="D2616" s="105"/>
      <c r="E2616" s="1545"/>
      <c r="F2616" s="7"/>
      <c r="G2616" s="7"/>
      <c r="H2616" s="7"/>
      <c r="I2616" s="7"/>
      <c r="J2616" s="7"/>
      <c r="S2616" s="7"/>
      <c r="V2616" s="7"/>
      <c r="AK2616" s="7"/>
      <c r="AM2616" s="7"/>
      <c r="AN2616" s="7"/>
      <c r="AO2616" s="7"/>
      <c r="AP2616" s="7"/>
      <c r="AQ2616" s="7"/>
      <c r="AV2616" s="7"/>
      <c r="BA2616" s="7"/>
    </row>
    <row r="2617" spans="1:53" x14ac:dyDescent="0.25">
      <c r="A2617" s="7"/>
      <c r="B2617" s="274"/>
      <c r="C2617" s="7"/>
      <c r="D2617" s="105"/>
      <c r="E2617" s="1545"/>
      <c r="F2617" s="7"/>
      <c r="G2617" s="7"/>
      <c r="H2617" s="7"/>
      <c r="I2617" s="7"/>
      <c r="J2617" s="7"/>
      <c r="S2617" s="7"/>
      <c r="V2617" s="7"/>
      <c r="AK2617" s="7"/>
      <c r="AM2617" s="7"/>
      <c r="AN2617" s="7"/>
      <c r="AO2617" s="7"/>
      <c r="AP2617" s="7"/>
      <c r="AQ2617" s="7"/>
      <c r="AV2617" s="7"/>
      <c r="BA2617" s="7"/>
    </row>
    <row r="2618" spans="1:53" x14ac:dyDescent="0.25">
      <c r="A2618" s="7"/>
      <c r="B2618" s="274"/>
      <c r="C2618" s="7"/>
      <c r="D2618" s="105"/>
      <c r="E2618" s="1545"/>
      <c r="F2618" s="7"/>
      <c r="G2618" s="7"/>
      <c r="H2618" s="7"/>
      <c r="I2618" s="7"/>
      <c r="J2618" s="7"/>
      <c r="S2618" s="7"/>
      <c r="V2618" s="7"/>
      <c r="AK2618" s="7"/>
      <c r="AM2618" s="7"/>
      <c r="AN2618" s="7"/>
      <c r="AO2618" s="7"/>
      <c r="AP2618" s="7"/>
      <c r="AQ2618" s="7"/>
      <c r="AV2618" s="7"/>
      <c r="BA2618" s="7"/>
    </row>
    <row r="2619" spans="1:53" x14ac:dyDescent="0.25">
      <c r="A2619" s="7"/>
      <c r="B2619" s="274"/>
      <c r="C2619" s="7"/>
      <c r="D2619" s="105"/>
      <c r="E2619" s="1545"/>
      <c r="F2619" s="7"/>
      <c r="G2619" s="7"/>
      <c r="H2619" s="7"/>
      <c r="I2619" s="7"/>
      <c r="J2619" s="7"/>
      <c r="S2619" s="7"/>
      <c r="V2619" s="7"/>
      <c r="AK2619" s="7"/>
      <c r="AM2619" s="7"/>
      <c r="AN2619" s="7"/>
      <c r="AO2619" s="7"/>
      <c r="AP2619" s="7"/>
      <c r="AQ2619" s="7"/>
      <c r="AV2619" s="7"/>
      <c r="BA2619" s="7"/>
    </row>
    <row r="2620" spans="1:53" x14ac:dyDescent="0.25">
      <c r="A2620" s="7"/>
      <c r="B2620" s="274"/>
      <c r="C2620" s="7"/>
      <c r="D2620" s="105"/>
      <c r="E2620" s="1545"/>
      <c r="F2620" s="7"/>
      <c r="G2620" s="7"/>
      <c r="H2620" s="7"/>
      <c r="I2620" s="7"/>
      <c r="J2620" s="7"/>
      <c r="S2620" s="7"/>
      <c r="V2620" s="7"/>
      <c r="AK2620" s="7"/>
      <c r="AM2620" s="7"/>
      <c r="AN2620" s="7"/>
      <c r="AO2620" s="7"/>
      <c r="AP2620" s="7"/>
      <c r="AQ2620" s="7"/>
      <c r="AV2620" s="7"/>
      <c r="BA2620" s="7"/>
    </row>
    <row r="2621" spans="1:53" x14ac:dyDescent="0.25">
      <c r="A2621" s="7"/>
      <c r="B2621" s="274"/>
      <c r="C2621" s="7"/>
      <c r="D2621" s="105"/>
      <c r="E2621" s="1545"/>
      <c r="F2621" s="7"/>
      <c r="G2621" s="7"/>
      <c r="H2621" s="7"/>
      <c r="I2621" s="7"/>
      <c r="J2621" s="7"/>
      <c r="S2621" s="7"/>
      <c r="V2621" s="7"/>
      <c r="AK2621" s="7"/>
      <c r="AM2621" s="7"/>
      <c r="AN2621" s="7"/>
      <c r="AO2621" s="7"/>
      <c r="AP2621" s="7"/>
      <c r="AQ2621" s="7"/>
      <c r="AV2621" s="7"/>
      <c r="BA2621" s="7"/>
    </row>
    <row r="2622" spans="1:53" x14ac:dyDescent="0.25">
      <c r="A2622" s="7"/>
      <c r="B2622" s="274"/>
      <c r="C2622" s="7"/>
      <c r="D2622" s="105"/>
      <c r="E2622" s="1545"/>
      <c r="F2622" s="7"/>
      <c r="G2622" s="7"/>
      <c r="H2622" s="7"/>
      <c r="I2622" s="7"/>
      <c r="J2622" s="7"/>
      <c r="S2622" s="7"/>
      <c r="V2622" s="7"/>
      <c r="AK2622" s="7"/>
      <c r="AM2622" s="7"/>
      <c r="AN2622" s="7"/>
      <c r="AO2622" s="7"/>
      <c r="AP2622" s="7"/>
      <c r="AQ2622" s="7"/>
      <c r="AV2622" s="7"/>
      <c r="BA2622" s="7"/>
    </row>
    <row r="2623" spans="1:53" x14ac:dyDescent="0.25">
      <c r="A2623" s="7"/>
      <c r="B2623" s="274"/>
      <c r="C2623" s="7"/>
      <c r="D2623" s="105"/>
      <c r="E2623" s="1545"/>
      <c r="F2623" s="7"/>
      <c r="G2623" s="7"/>
      <c r="H2623" s="7"/>
      <c r="I2623" s="7"/>
      <c r="J2623" s="7"/>
      <c r="S2623" s="7"/>
      <c r="V2623" s="7"/>
      <c r="AK2623" s="7"/>
      <c r="AM2623" s="7"/>
      <c r="AN2623" s="7"/>
      <c r="AO2623" s="7"/>
      <c r="AP2623" s="7"/>
      <c r="AQ2623" s="7"/>
      <c r="AV2623" s="7"/>
      <c r="BA2623" s="7"/>
    </row>
    <row r="2624" spans="1:53" x14ac:dyDescent="0.25">
      <c r="A2624" s="7"/>
      <c r="B2624" s="274"/>
      <c r="C2624" s="7"/>
      <c r="D2624" s="105"/>
      <c r="E2624" s="1545"/>
      <c r="F2624" s="7"/>
      <c r="G2624" s="7"/>
      <c r="H2624" s="7"/>
      <c r="I2624" s="7"/>
      <c r="J2624" s="7"/>
      <c r="S2624" s="7"/>
      <c r="V2624" s="7"/>
      <c r="AK2624" s="7"/>
      <c r="AM2624" s="7"/>
      <c r="AN2624" s="7"/>
      <c r="AO2624" s="7"/>
      <c r="AP2624" s="7"/>
      <c r="AQ2624" s="7"/>
      <c r="AV2624" s="7"/>
      <c r="BA2624" s="7"/>
    </row>
    <row r="2625" spans="1:53" x14ac:dyDescent="0.25">
      <c r="A2625" s="7"/>
      <c r="B2625" s="274"/>
      <c r="C2625" s="7"/>
      <c r="D2625" s="105"/>
      <c r="E2625" s="1545"/>
      <c r="F2625" s="7"/>
      <c r="G2625" s="7"/>
      <c r="H2625" s="7"/>
      <c r="I2625" s="7"/>
      <c r="J2625" s="7"/>
      <c r="S2625" s="7"/>
      <c r="V2625" s="7"/>
      <c r="AK2625" s="7"/>
      <c r="AM2625" s="7"/>
      <c r="AN2625" s="7"/>
      <c r="AO2625" s="7"/>
      <c r="AP2625" s="7"/>
      <c r="AQ2625" s="7"/>
      <c r="AV2625" s="7"/>
      <c r="BA2625" s="7"/>
    </row>
  </sheetData>
  <autoFilter ref="A7:I2590"/>
  <sortState ref="E899:E908">
    <sortCondition ref="E899"/>
  </sortState>
  <mergeCells count="6">
    <mergeCell ref="A2588:I2588"/>
    <mergeCell ref="B5:I5"/>
    <mergeCell ref="BB7:BD7"/>
    <mergeCell ref="A6:I6"/>
    <mergeCell ref="H2590:I2590"/>
    <mergeCell ref="A2589:I2589"/>
  </mergeCells>
  <pageMargins left="0.511811024" right="0.511811024" top="0.78740157499999996" bottom="0.78740157499999996" header="0.31496062000000002" footer="0.31496062000000002"/>
  <pageSetup orientation="landscape" r:id="rId1"/>
  <ignoredErrors>
    <ignoredError sqref="A1476:B1476 A1481:B1481 A2299:B2299"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zoomScaleNormal="100" workbookViewId="0">
      <selection activeCell="A51" sqref="A51:O51"/>
    </sheetView>
  </sheetViews>
  <sheetFormatPr defaultRowHeight="15.75" x14ac:dyDescent="0.25"/>
  <cols>
    <col min="1" max="16384" width="9.140625" style="1"/>
  </cols>
  <sheetData>
    <row r="1" spans="1:15" x14ac:dyDescent="0.25">
      <c r="A1"/>
      <c r="B1"/>
      <c r="C1"/>
      <c r="D1"/>
      <c r="E1"/>
      <c r="F1"/>
      <c r="G1"/>
      <c r="H1"/>
      <c r="I1"/>
      <c r="J1"/>
      <c r="K1"/>
      <c r="L1"/>
      <c r="M1"/>
      <c r="N1"/>
      <c r="O1"/>
    </row>
    <row r="2" spans="1:15" x14ac:dyDescent="0.25">
      <c r="A2"/>
      <c r="B2"/>
      <c r="C2"/>
      <c r="D2"/>
      <c r="E2"/>
      <c r="F2"/>
      <c r="G2"/>
      <c r="H2"/>
      <c r="I2"/>
      <c r="J2"/>
      <c r="K2"/>
      <c r="L2"/>
      <c r="M2"/>
      <c r="N2"/>
      <c r="O2"/>
    </row>
    <row r="3" spans="1:15" x14ac:dyDescent="0.25">
      <c r="A3"/>
      <c r="B3"/>
      <c r="C3"/>
      <c r="D3"/>
      <c r="E3"/>
      <c r="F3"/>
      <c r="G3"/>
      <c r="H3"/>
      <c r="I3"/>
      <c r="J3"/>
      <c r="K3"/>
      <c r="L3"/>
      <c r="M3"/>
      <c r="N3"/>
      <c r="O3"/>
    </row>
    <row r="4" spans="1:15" x14ac:dyDescent="0.25">
      <c r="A4"/>
      <c r="B4"/>
      <c r="C4"/>
      <c r="D4"/>
      <c r="E4"/>
      <c r="F4"/>
      <c r="G4"/>
      <c r="H4"/>
      <c r="I4"/>
      <c r="J4"/>
      <c r="K4"/>
      <c r="L4"/>
      <c r="M4"/>
      <c r="N4"/>
      <c r="O4"/>
    </row>
    <row r="5" spans="1:15" ht="18.75" x14ac:dyDescent="0.25">
      <c r="A5" s="1735" t="s">
        <v>0</v>
      </c>
      <c r="B5" s="1735"/>
      <c r="C5" s="1735"/>
      <c r="D5" s="1735"/>
      <c r="E5" s="1735"/>
      <c r="F5" s="1735"/>
      <c r="G5" s="1735"/>
      <c r="H5" s="1735"/>
      <c r="I5" s="1735"/>
      <c r="J5" s="1735"/>
      <c r="K5" s="1735"/>
      <c r="L5" s="1735"/>
      <c r="M5" s="1735"/>
      <c r="N5" s="1735"/>
      <c r="O5" s="1735"/>
    </row>
    <row r="6" spans="1:15" ht="65.25" customHeight="1" x14ac:dyDescent="0.25">
      <c r="A6" s="1753" t="s">
        <v>1173</v>
      </c>
      <c r="B6" s="1753"/>
      <c r="C6" s="1753"/>
      <c r="D6" s="1753"/>
      <c r="E6" s="1753"/>
      <c r="F6" s="1753"/>
      <c r="G6" s="1753"/>
      <c r="H6" s="1753"/>
      <c r="I6" s="1753"/>
      <c r="J6" s="1753"/>
      <c r="K6" s="1753"/>
      <c r="L6" s="1753"/>
      <c r="M6" s="1753"/>
      <c r="N6" s="1753"/>
      <c r="O6" s="1753"/>
    </row>
    <row r="7" spans="1:15" x14ac:dyDescent="0.25">
      <c r="A7" s="1752" t="s">
        <v>1171</v>
      </c>
      <c r="B7" s="1752"/>
      <c r="C7" s="1752"/>
      <c r="D7" s="1752"/>
      <c r="E7" s="1752"/>
      <c r="F7" s="1752"/>
      <c r="G7" s="1752"/>
      <c r="H7" s="1752"/>
      <c r="I7" s="1752" t="s">
        <v>1172</v>
      </c>
      <c r="J7" s="1752"/>
      <c r="K7" s="1752"/>
      <c r="L7" s="1752"/>
      <c r="M7" s="1752"/>
      <c r="N7" s="1752"/>
      <c r="O7" s="1752"/>
    </row>
    <row r="28" spans="1:15" ht="53.25" customHeight="1" x14ac:dyDescent="0.25">
      <c r="A28" s="1740" t="s">
        <v>1174</v>
      </c>
      <c r="B28" s="1740"/>
      <c r="C28" s="1740"/>
      <c r="D28" s="1740"/>
      <c r="E28" s="1740"/>
      <c r="F28" s="1740"/>
      <c r="G28" s="1740"/>
      <c r="H28" s="1740"/>
      <c r="I28" s="1740"/>
      <c r="J28" s="1740"/>
      <c r="K28" s="1740"/>
      <c r="L28" s="1740"/>
      <c r="M28" s="1740"/>
      <c r="N28" s="1740"/>
      <c r="O28" s="1740"/>
    </row>
    <row r="29" spans="1:15" ht="33.75" customHeight="1" x14ac:dyDescent="0.25">
      <c r="A29" s="1752" t="s">
        <v>1075</v>
      </c>
      <c r="B29" s="1752"/>
      <c r="C29" s="1752"/>
      <c r="D29" s="1752"/>
      <c r="E29" s="1752"/>
      <c r="F29" s="1752"/>
      <c r="G29" s="1752"/>
      <c r="H29" s="1752"/>
      <c r="I29" s="1752"/>
      <c r="J29" s="1752"/>
      <c r="K29" s="1752"/>
      <c r="L29" s="1752"/>
      <c r="M29" s="1752"/>
      <c r="N29" s="1752"/>
      <c r="O29" s="1752"/>
    </row>
    <row r="50" spans="1:15" ht="68.25" customHeight="1" x14ac:dyDescent="0.25">
      <c r="A50" s="1740" t="s">
        <v>1175</v>
      </c>
      <c r="B50" s="1740"/>
      <c r="C50" s="1740"/>
      <c r="D50" s="1740"/>
      <c r="E50" s="1740"/>
      <c r="F50" s="1740"/>
      <c r="G50" s="1740"/>
      <c r="H50" s="1740"/>
      <c r="I50" s="1740"/>
      <c r="J50" s="1740"/>
      <c r="K50" s="1740"/>
      <c r="L50" s="1740"/>
      <c r="M50" s="1740"/>
      <c r="N50" s="1740"/>
      <c r="O50" s="1740"/>
    </row>
    <row r="51" spans="1:15" ht="54" customHeight="1" x14ac:dyDescent="0.25">
      <c r="A51" s="1751" t="s">
        <v>1083</v>
      </c>
      <c r="B51" s="1751"/>
      <c r="C51" s="1751"/>
      <c r="D51" s="1751"/>
      <c r="E51" s="1751"/>
      <c r="F51" s="1751"/>
      <c r="G51" s="1751"/>
      <c r="H51" s="1751"/>
      <c r="I51" s="1751"/>
      <c r="J51" s="1751"/>
      <c r="K51" s="1751"/>
      <c r="L51" s="1751"/>
      <c r="M51" s="1751"/>
      <c r="N51" s="1751"/>
      <c r="O51" s="1751"/>
    </row>
  </sheetData>
  <mergeCells count="8">
    <mergeCell ref="A5:O5"/>
    <mergeCell ref="A28:O28"/>
    <mergeCell ref="A51:O51"/>
    <mergeCell ref="A29:O29"/>
    <mergeCell ref="A50:O50"/>
    <mergeCell ref="A6:O6"/>
    <mergeCell ref="A7:H7"/>
    <mergeCell ref="I7:O7"/>
  </mergeCells>
  <printOptions horizontalCentered="1" verticalCentered="1"/>
  <pageMargins left="0.39370078740157483" right="0.39370078740157483" top="0.39370078740157483" bottom="0.39370078740157483" header="0.31496062992125984" footer="0.31496062992125984"/>
  <pageSetup paperSize="9" orientation="landscape" r:id="rId1"/>
  <headerFooter>
    <oddFooter>&amp;C&amp;"Times New Roman,Normal"&amp;10SisMob-BH - Gráficos de 2) Belo Horizonte e RMBH / 2.1) Distribuição modal em pesquisas de opinião - p.&amp;P/&amp;N</oddFooter>
  </headerFooter>
  <rowBreaks count="1" manualBreakCount="1">
    <brk id="28"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89"/>
  <sheetViews>
    <sheetView zoomScaleNormal="100" workbookViewId="0">
      <selection activeCell="N2" sqref="N2"/>
    </sheetView>
  </sheetViews>
  <sheetFormatPr defaultRowHeight="15" x14ac:dyDescent="0.25"/>
  <sheetData>
    <row r="5" spans="1:15" ht="18.75" x14ac:dyDescent="0.25">
      <c r="A5" s="1735" t="s">
        <v>6255</v>
      </c>
      <c r="B5" s="1735"/>
      <c r="C5" s="1735"/>
      <c r="D5" s="1735"/>
      <c r="E5" s="1735"/>
      <c r="F5" s="1735"/>
      <c r="G5" s="1735"/>
      <c r="H5" s="1735"/>
      <c r="I5" s="1735"/>
      <c r="J5" s="1735"/>
      <c r="K5" s="1735"/>
      <c r="L5" s="1735"/>
      <c r="M5" s="1735"/>
      <c r="N5" s="1735"/>
      <c r="O5" s="1735"/>
    </row>
    <row r="6" spans="1:15" ht="15.75" x14ac:dyDescent="0.25">
      <c r="A6" s="1754" t="s">
        <v>3659</v>
      </c>
      <c r="B6" s="1754"/>
      <c r="C6" s="1754"/>
      <c r="D6" s="1754"/>
      <c r="E6" s="1754"/>
      <c r="F6" s="1754"/>
      <c r="G6" s="1754"/>
      <c r="H6" s="1754"/>
      <c r="I6" s="1754"/>
      <c r="J6" s="1754"/>
      <c r="K6" s="1754"/>
      <c r="L6" s="1754"/>
      <c r="M6" s="1754"/>
      <c r="N6" s="1754"/>
      <c r="O6" s="1754"/>
    </row>
    <row r="25" spans="1:15" ht="45" customHeight="1" x14ac:dyDescent="0.25">
      <c r="A25" s="1749" t="s">
        <v>6257</v>
      </c>
      <c r="B25" s="1749"/>
      <c r="C25" s="1749"/>
      <c r="D25" s="1749"/>
      <c r="E25" s="1749"/>
      <c r="F25" s="1749"/>
      <c r="G25" s="1749"/>
      <c r="H25" s="1749"/>
      <c r="I25" s="1749"/>
      <c r="J25" s="1749"/>
      <c r="K25" s="1749"/>
      <c r="L25" s="1749"/>
      <c r="M25" s="1749"/>
      <c r="N25" s="1749"/>
      <c r="O25" s="1749"/>
    </row>
    <row r="26" spans="1:15" ht="15.75" x14ac:dyDescent="0.25">
      <c r="A26" s="1754" t="s">
        <v>3664</v>
      </c>
      <c r="B26" s="1754"/>
      <c r="C26" s="1754"/>
      <c r="D26" s="1754"/>
      <c r="E26" s="1754"/>
      <c r="F26" s="1754"/>
      <c r="G26" s="1754"/>
      <c r="H26" s="1754"/>
      <c r="I26" s="1754"/>
      <c r="J26" s="1754"/>
      <c r="K26" s="1754"/>
      <c r="L26" s="1754"/>
      <c r="M26" s="1754"/>
      <c r="N26" s="1754"/>
      <c r="O26" s="1754"/>
    </row>
    <row r="45" spans="1:15" ht="40.5" customHeight="1" x14ac:dyDescent="0.25">
      <c r="A45" s="1749" t="s">
        <v>6258</v>
      </c>
      <c r="B45" s="1749"/>
      <c r="C45" s="1749"/>
      <c r="D45" s="1749"/>
      <c r="E45" s="1749"/>
      <c r="F45" s="1749"/>
      <c r="G45" s="1749"/>
      <c r="H45" s="1749"/>
      <c r="I45" s="1749"/>
      <c r="J45" s="1749"/>
      <c r="K45" s="1749"/>
      <c r="L45" s="1749"/>
      <c r="M45" s="1749"/>
      <c r="N45" s="1749"/>
      <c r="O45" s="1749"/>
    </row>
    <row r="46" spans="1:15" ht="30" customHeight="1" x14ac:dyDescent="0.25">
      <c r="A46" s="1752" t="s">
        <v>3666</v>
      </c>
      <c r="B46" s="1755"/>
      <c r="C46" s="1755"/>
      <c r="D46" s="1755"/>
      <c r="E46" s="1755"/>
      <c r="F46" s="1755"/>
      <c r="G46" s="1755"/>
      <c r="H46" s="1755"/>
      <c r="I46" s="1755"/>
      <c r="J46" s="1755"/>
      <c r="K46" s="1755"/>
      <c r="L46" s="1755"/>
      <c r="M46" s="1755"/>
      <c r="N46" s="1755"/>
      <c r="O46" s="1755"/>
    </row>
    <row r="66" spans="1:15" ht="47.25" customHeight="1" x14ac:dyDescent="0.25">
      <c r="A66" s="1749" t="s">
        <v>6258</v>
      </c>
      <c r="B66" s="1749"/>
      <c r="C66" s="1749"/>
      <c r="D66" s="1749"/>
      <c r="E66" s="1749"/>
      <c r="F66" s="1749"/>
      <c r="G66" s="1749"/>
      <c r="H66" s="1749"/>
      <c r="I66" s="1749"/>
      <c r="J66" s="1749"/>
      <c r="K66" s="1749"/>
      <c r="L66" s="1749"/>
      <c r="M66" s="1749"/>
      <c r="N66" s="1749"/>
      <c r="O66" s="1749"/>
    </row>
    <row r="67" spans="1:15" ht="15.75" x14ac:dyDescent="0.25">
      <c r="A67" s="1755" t="s">
        <v>3678</v>
      </c>
      <c r="B67" s="1755"/>
      <c r="C67" s="1755"/>
      <c r="D67" s="1755"/>
      <c r="E67" s="1755"/>
      <c r="F67" s="1755"/>
      <c r="G67" s="1755"/>
      <c r="H67" s="1755"/>
      <c r="I67" s="1755"/>
      <c r="J67" s="1755"/>
      <c r="K67" s="1755"/>
      <c r="L67" s="1755"/>
      <c r="M67" s="1755"/>
      <c r="N67" s="1755"/>
      <c r="O67" s="1755"/>
    </row>
    <row r="87" spans="1:15" ht="44.25" customHeight="1" x14ac:dyDescent="0.25">
      <c r="A87" s="1749" t="s">
        <v>6258</v>
      </c>
      <c r="B87" s="1749"/>
      <c r="C87" s="1749"/>
      <c r="D87" s="1749"/>
      <c r="E87" s="1749"/>
      <c r="F87" s="1749"/>
      <c r="G87" s="1749"/>
      <c r="H87" s="1749"/>
      <c r="I87" s="1749"/>
      <c r="J87" s="1749"/>
      <c r="K87" s="1749"/>
      <c r="L87" s="1749"/>
      <c r="M87" s="1749"/>
      <c r="N87" s="1749"/>
      <c r="O87" s="1749"/>
    </row>
    <row r="89" spans="1:15" ht="57.75" customHeight="1" x14ac:dyDescent="0.25">
      <c r="A89" s="1751" t="s">
        <v>6259</v>
      </c>
      <c r="B89" s="1751"/>
      <c r="C89" s="1751"/>
      <c r="D89" s="1751"/>
      <c r="E89" s="1751"/>
      <c r="F89" s="1751"/>
      <c r="G89" s="1751"/>
      <c r="H89" s="1751"/>
      <c r="I89" s="1751"/>
      <c r="J89" s="1751"/>
      <c r="K89" s="1751"/>
      <c r="L89" s="1751"/>
      <c r="M89" s="1751"/>
      <c r="N89" s="1751"/>
      <c r="O89" s="1751"/>
    </row>
  </sheetData>
  <mergeCells count="10">
    <mergeCell ref="A89:O89"/>
    <mergeCell ref="A5:O5"/>
    <mergeCell ref="A6:O6"/>
    <mergeCell ref="A25:O25"/>
    <mergeCell ref="A26:O26"/>
    <mergeCell ref="A45:O45"/>
    <mergeCell ref="A46:O46"/>
    <mergeCell ref="A67:O67"/>
    <mergeCell ref="A66:O66"/>
    <mergeCell ref="A87:O87"/>
  </mergeCells>
  <printOptions horizontalCentered="1" verticalCentered="1"/>
  <pageMargins left="0.39370078740157483" right="0.39370078740157483" top="0.39370078740157483" bottom="0.39370078740157483" header="0.31496062992125984" footer="0.31496062992125984"/>
  <pageSetup paperSize="9" orientation="landscape" verticalDpi="0" r:id="rId1"/>
  <headerFooter>
    <oddFooter>&amp;C&amp;"Times New Roman,Normal"&amp;10SisMob-BH - Gráfico de 2) Belo Horizonte e RMBH / 2.1) Frota e condutores de veículos automotores - p.&amp;P/&amp;N</oddFooter>
  </headerFooter>
  <rowBreaks count="3" manualBreakCount="3">
    <brk id="25" max="16383" man="1"/>
    <brk id="45" max="16383" man="1"/>
    <brk id="6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30"/>
  <sheetViews>
    <sheetView zoomScaleNormal="100" workbookViewId="0">
      <selection activeCell="O15" sqref="O15"/>
    </sheetView>
  </sheetViews>
  <sheetFormatPr defaultRowHeight="15" x14ac:dyDescent="0.25"/>
  <cols>
    <col min="1" max="1" width="10.5703125" customWidth="1"/>
    <col min="4" max="5" width="9.140625" customWidth="1"/>
    <col min="6" max="6" width="5.7109375" customWidth="1"/>
    <col min="13" max="13" width="10.85546875" customWidth="1"/>
  </cols>
  <sheetData>
    <row r="5" spans="1:15" ht="18.75" x14ac:dyDescent="0.25">
      <c r="A5" s="1735" t="s">
        <v>0</v>
      </c>
      <c r="B5" s="1735"/>
      <c r="C5" s="1735"/>
      <c r="D5" s="1735"/>
      <c r="E5" s="1735"/>
      <c r="F5" s="1735"/>
      <c r="G5" s="1735"/>
      <c r="H5" s="1735"/>
      <c r="I5" s="1735"/>
      <c r="J5" s="1735"/>
      <c r="K5" s="1735"/>
      <c r="L5" s="1735"/>
      <c r="M5" s="1735"/>
      <c r="N5" s="1735"/>
      <c r="O5" s="1735"/>
    </row>
    <row r="6" spans="1:15" ht="15.75" x14ac:dyDescent="0.25">
      <c r="A6" s="1736" t="s">
        <v>1036</v>
      </c>
      <c r="B6" s="1736"/>
      <c r="C6" s="1736"/>
      <c r="D6" s="1736"/>
      <c r="E6" s="1736"/>
      <c r="F6" s="1736"/>
      <c r="G6" s="1736"/>
      <c r="H6" s="1736"/>
      <c r="I6" s="1736"/>
      <c r="J6" s="1736"/>
      <c r="K6" s="1736"/>
      <c r="L6" s="1736"/>
      <c r="M6" s="1736"/>
      <c r="N6" s="1736"/>
      <c r="O6" s="1736"/>
    </row>
    <row r="7" spans="1:15" ht="15.75" x14ac:dyDescent="0.25">
      <c r="A7" s="1"/>
      <c r="B7" s="1"/>
      <c r="C7" s="1"/>
      <c r="D7" s="1"/>
      <c r="E7" s="1"/>
      <c r="F7" s="1"/>
      <c r="G7" s="1"/>
      <c r="H7" s="1"/>
    </row>
    <row r="8" spans="1:15" ht="15.75" x14ac:dyDescent="0.25">
      <c r="A8" s="1"/>
      <c r="B8" s="1"/>
      <c r="C8" s="1"/>
      <c r="D8" s="1"/>
      <c r="E8" s="1"/>
      <c r="F8" s="1"/>
      <c r="G8" s="1"/>
      <c r="H8" s="1"/>
    </row>
    <row r="9" spans="1:15" ht="15.75" x14ac:dyDescent="0.25">
      <c r="A9" s="1"/>
      <c r="B9" s="1"/>
      <c r="C9" s="1"/>
      <c r="D9" s="1"/>
      <c r="E9" s="1"/>
      <c r="F9" s="1"/>
      <c r="G9" s="1"/>
      <c r="H9" s="1"/>
    </row>
    <row r="10" spans="1:15" ht="15.75" x14ac:dyDescent="0.25">
      <c r="A10" s="1"/>
      <c r="B10" s="1"/>
      <c r="C10" s="1"/>
      <c r="D10" s="1"/>
      <c r="E10" s="1"/>
      <c r="F10" s="1"/>
      <c r="G10" s="1"/>
      <c r="H10" s="1"/>
    </row>
    <row r="11" spans="1:15" ht="15.75" x14ac:dyDescent="0.25">
      <c r="A11" s="1"/>
      <c r="B11" s="1"/>
      <c r="C11" s="1"/>
      <c r="D11" s="1"/>
      <c r="E11" s="1"/>
      <c r="F11" s="1"/>
      <c r="G11" s="1"/>
      <c r="H11" s="1"/>
    </row>
    <row r="12" spans="1:15" ht="15.75" x14ac:dyDescent="0.25">
      <c r="A12" s="1"/>
      <c r="B12" s="1"/>
      <c r="C12" s="1"/>
      <c r="D12" s="1"/>
      <c r="E12" s="1"/>
      <c r="F12" s="1"/>
      <c r="G12" s="1"/>
      <c r="H12" s="1"/>
    </row>
    <row r="13" spans="1:15" ht="15.75" x14ac:dyDescent="0.25">
      <c r="A13" s="1"/>
      <c r="B13" s="1"/>
      <c r="C13" s="1"/>
      <c r="D13" s="1"/>
      <c r="E13" s="1"/>
      <c r="F13" s="1"/>
      <c r="G13" s="1"/>
      <c r="H13" s="1"/>
    </row>
    <row r="14" spans="1:15" ht="15.75" x14ac:dyDescent="0.25">
      <c r="A14" s="1"/>
      <c r="B14" s="1"/>
      <c r="C14" s="1"/>
      <c r="D14" s="1"/>
      <c r="E14" s="1"/>
      <c r="F14" s="1"/>
      <c r="G14" s="1"/>
      <c r="H14" s="1"/>
    </row>
    <row r="15" spans="1:15" ht="15.75" x14ac:dyDescent="0.25">
      <c r="A15" s="1"/>
      <c r="B15" s="1"/>
      <c r="C15" s="1"/>
      <c r="D15" s="1"/>
      <c r="E15" s="1"/>
      <c r="F15" s="1"/>
      <c r="G15" s="1"/>
      <c r="H15" s="1"/>
    </row>
    <row r="16" spans="1:15" ht="15.75" x14ac:dyDescent="0.25">
      <c r="A16" s="1"/>
      <c r="B16" s="1"/>
      <c r="C16" s="1"/>
      <c r="D16" s="1"/>
      <c r="E16" s="1"/>
      <c r="F16" s="1"/>
      <c r="G16" s="1"/>
      <c r="H16" s="1"/>
    </row>
    <row r="17" spans="1:14" ht="15.75" x14ac:dyDescent="0.25">
      <c r="A17" s="1"/>
      <c r="B17" s="1"/>
      <c r="C17" s="1"/>
      <c r="D17" s="1"/>
      <c r="E17" s="1"/>
      <c r="F17" s="1"/>
      <c r="G17" s="1"/>
      <c r="H17" s="1"/>
    </row>
    <row r="18" spans="1:14" ht="15.75" x14ac:dyDescent="0.25">
      <c r="A18" s="1"/>
      <c r="B18" s="1"/>
      <c r="C18" s="1"/>
      <c r="D18" s="1"/>
      <c r="E18" s="1"/>
      <c r="F18" s="1"/>
      <c r="G18" s="1"/>
      <c r="H18" s="1"/>
    </row>
    <row r="19" spans="1:14" ht="15.75" x14ac:dyDescent="0.25">
      <c r="A19" s="1"/>
      <c r="B19" s="1"/>
      <c r="C19" s="1"/>
      <c r="D19" s="1"/>
      <c r="E19" s="1"/>
      <c r="F19" s="1"/>
      <c r="G19" s="1"/>
      <c r="H19" s="1"/>
    </row>
    <row r="20" spans="1:14" ht="15.75" x14ac:dyDescent="0.25">
      <c r="A20" s="1"/>
      <c r="B20" s="1"/>
      <c r="C20" s="1"/>
      <c r="D20" s="1"/>
      <c r="E20" s="1"/>
      <c r="F20" s="1"/>
      <c r="G20" s="1"/>
      <c r="H20" s="1"/>
    </row>
    <row r="21" spans="1:14" ht="15.75" x14ac:dyDescent="0.25">
      <c r="A21" s="1"/>
      <c r="B21" s="1"/>
      <c r="C21" s="1"/>
      <c r="D21" s="1"/>
      <c r="E21" s="1"/>
      <c r="F21" s="1"/>
      <c r="G21" s="1"/>
      <c r="H21" s="1"/>
    </row>
    <row r="22" spans="1:14" ht="15.75" x14ac:dyDescent="0.25">
      <c r="A22" s="1"/>
      <c r="B22" s="1"/>
      <c r="C22" s="1"/>
      <c r="D22" s="1"/>
      <c r="E22" s="1"/>
      <c r="F22" s="1"/>
      <c r="G22" s="1"/>
      <c r="H22" s="1"/>
    </row>
    <row r="23" spans="1:14" ht="15.75" x14ac:dyDescent="0.25">
      <c r="A23" s="1"/>
      <c r="B23" s="1"/>
      <c r="C23" s="1"/>
      <c r="D23" s="1"/>
      <c r="E23" s="1"/>
      <c r="F23" s="1"/>
      <c r="G23" s="1"/>
      <c r="H23" s="1"/>
    </row>
    <row r="24" spans="1:14" ht="15.75" x14ac:dyDescent="0.25">
      <c r="A24" s="1"/>
      <c r="B24" s="1"/>
      <c r="C24" s="1"/>
      <c r="D24" s="1"/>
      <c r="E24" s="1"/>
      <c r="F24" s="1"/>
      <c r="G24" s="1"/>
      <c r="H24" s="1"/>
    </row>
    <row r="25" spans="1:14" ht="15.75" x14ac:dyDescent="0.25">
      <c r="A25" s="1"/>
      <c r="B25" s="1"/>
      <c r="C25" s="1"/>
      <c r="D25" s="1"/>
      <c r="E25" s="1"/>
      <c r="F25" s="1"/>
      <c r="G25" s="1"/>
      <c r="H25" s="1"/>
    </row>
    <row r="26" spans="1:14" ht="15.75" x14ac:dyDescent="0.25">
      <c r="A26" s="1"/>
      <c r="B26" s="1"/>
      <c r="C26" s="1"/>
      <c r="D26" s="1"/>
      <c r="E26" s="1"/>
      <c r="F26" s="1"/>
      <c r="G26" s="1"/>
      <c r="H26" s="1"/>
    </row>
    <row r="27" spans="1:14" ht="32.25" customHeight="1" x14ac:dyDescent="0.25">
      <c r="A27" s="1740" t="s">
        <v>1176</v>
      </c>
      <c r="B27" s="1740"/>
      <c r="C27" s="1740"/>
      <c r="D27" s="1740"/>
      <c r="E27" s="1740"/>
      <c r="F27" s="1740"/>
      <c r="G27" s="1740"/>
      <c r="H27" s="1740"/>
      <c r="I27" s="1740"/>
      <c r="J27" s="1740"/>
      <c r="K27" s="1740"/>
      <c r="L27" s="1740"/>
      <c r="M27" s="1740"/>
      <c r="N27" s="1740"/>
    </row>
    <row r="28" spans="1:14" x14ac:dyDescent="0.25">
      <c r="A28" s="288"/>
      <c r="B28" s="288"/>
      <c r="C28" s="288"/>
      <c r="D28" s="288"/>
      <c r="E28" s="288"/>
      <c r="F28" s="288"/>
      <c r="G28" s="288"/>
      <c r="H28" s="288"/>
      <c r="I28" s="288"/>
      <c r="J28" s="288"/>
      <c r="K28" s="288"/>
      <c r="L28" s="288"/>
      <c r="M28" s="288"/>
      <c r="N28" s="288"/>
    </row>
    <row r="29" spans="1:14" x14ac:dyDescent="0.25">
      <c r="A29" s="288"/>
      <c r="B29" s="288"/>
      <c r="C29" s="288"/>
      <c r="D29" s="288"/>
      <c r="E29" s="288"/>
      <c r="F29" s="288"/>
      <c r="G29" s="288"/>
      <c r="H29" s="288"/>
      <c r="I29" s="288"/>
      <c r="J29" s="288"/>
      <c r="K29" s="288"/>
      <c r="L29" s="288"/>
      <c r="M29" s="288"/>
      <c r="N29" s="288"/>
    </row>
    <row r="30" spans="1:14" ht="66" customHeight="1" x14ac:dyDescent="0.25">
      <c r="A30" s="1751" t="s">
        <v>3679</v>
      </c>
      <c r="B30" s="1751"/>
      <c r="C30" s="1751"/>
      <c r="D30" s="1751"/>
      <c r="E30" s="1751"/>
      <c r="F30" s="1751"/>
      <c r="G30" s="1751"/>
      <c r="H30" s="1751"/>
      <c r="I30" s="1751"/>
      <c r="J30" s="1751"/>
      <c r="K30" s="1751"/>
      <c r="L30" s="1751"/>
      <c r="M30" s="1751"/>
      <c r="N30" s="1751"/>
    </row>
  </sheetData>
  <mergeCells count="4">
    <mergeCell ref="A5:O5"/>
    <mergeCell ref="A6:O6"/>
    <mergeCell ref="A27:N27"/>
    <mergeCell ref="A30:N30"/>
  </mergeCells>
  <printOptions horizontalCentered="1" verticalCentered="1"/>
  <pageMargins left="0.39370078740157483" right="0.39370078740157483" top="0.39370078740157483" bottom="0.39370078740157483" header="0.31496062992125984" footer="0.31496062992125984"/>
  <pageSetup paperSize="9" orientation="landscape" r:id="rId1"/>
  <headerFooter>
    <oddFooter>&amp;CSisMob-BH - Gráficos de 2) Belo Horizonte e RMBH / 2.3 Rede viária - p.&amp;P/&amp;N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26"/>
  <sheetViews>
    <sheetView zoomScaleNormal="100" workbookViewId="0">
      <selection activeCell="D135" sqref="D135"/>
    </sheetView>
  </sheetViews>
  <sheetFormatPr defaultRowHeight="15" x14ac:dyDescent="0.25"/>
  <cols>
    <col min="1" max="1" width="10.5703125" customWidth="1"/>
    <col min="4" max="5" width="9.140625" customWidth="1"/>
    <col min="6" max="6" width="5.7109375" customWidth="1"/>
    <col min="13" max="13" width="10.85546875" customWidth="1"/>
  </cols>
  <sheetData>
    <row r="5" spans="1:15" ht="18.75" x14ac:dyDescent="0.25">
      <c r="A5" s="1735" t="s">
        <v>0</v>
      </c>
      <c r="B5" s="1735"/>
      <c r="C5" s="1735"/>
      <c r="D5" s="1735"/>
      <c r="E5" s="1735"/>
      <c r="F5" s="1735"/>
      <c r="G5" s="1735"/>
      <c r="H5" s="1735"/>
      <c r="I5" s="1735"/>
      <c r="J5" s="1735"/>
      <c r="K5" s="1735"/>
      <c r="L5" s="1735"/>
      <c r="M5" s="1735"/>
      <c r="N5" s="1735"/>
      <c r="O5" s="1735"/>
    </row>
    <row r="6" spans="1:15" ht="37.5" customHeight="1" x14ac:dyDescent="0.25">
      <c r="A6" s="1736" t="s">
        <v>1164</v>
      </c>
      <c r="B6" s="1736"/>
      <c r="C6" s="1736"/>
      <c r="D6" s="1736"/>
      <c r="E6" s="1736"/>
      <c r="F6" s="1736"/>
      <c r="G6" s="1736"/>
      <c r="H6" s="1736"/>
      <c r="I6" s="1736"/>
      <c r="J6" s="1736"/>
      <c r="K6" s="1736"/>
      <c r="L6" s="1736"/>
      <c r="M6" s="1736"/>
      <c r="N6" s="1736"/>
      <c r="O6" s="1736"/>
    </row>
    <row r="7" spans="1:15" ht="15.75" customHeight="1" x14ac:dyDescent="0.25">
      <c r="A7" s="1757" t="s">
        <v>1163</v>
      </c>
      <c r="B7" s="1757"/>
      <c r="C7" s="1757"/>
      <c r="D7" s="1757"/>
      <c r="E7" s="1757"/>
      <c r="F7" s="1757"/>
      <c r="G7" s="1757"/>
      <c r="I7" s="1757" t="s">
        <v>1082</v>
      </c>
      <c r="J7" s="1757"/>
      <c r="K7" s="1757"/>
      <c r="L7" s="1757"/>
      <c r="M7" s="1757"/>
      <c r="N7" s="1757"/>
      <c r="O7" s="1757"/>
    </row>
    <row r="8" spans="1:15" ht="15.75" customHeight="1" x14ac:dyDescent="0.25">
      <c r="A8" s="1757"/>
      <c r="B8" s="1757"/>
      <c r="C8" s="1757"/>
      <c r="D8" s="1757"/>
      <c r="E8" s="1757"/>
      <c r="F8" s="1757"/>
      <c r="G8" s="1757"/>
      <c r="H8" s="315"/>
      <c r="I8" s="1757"/>
      <c r="J8" s="1757"/>
      <c r="K8" s="1757"/>
      <c r="L8" s="1757"/>
      <c r="M8" s="1757"/>
      <c r="N8" s="1757"/>
      <c r="O8" s="1757"/>
    </row>
    <row r="9" spans="1:15" ht="15.75" customHeight="1" x14ac:dyDescent="0.25">
      <c r="A9" s="1"/>
      <c r="B9" s="1"/>
      <c r="C9" s="1"/>
      <c r="D9" s="1"/>
      <c r="E9" s="1"/>
      <c r="F9" s="1"/>
      <c r="G9" s="1"/>
      <c r="H9" s="315"/>
      <c r="I9" s="1757"/>
      <c r="J9" s="1757"/>
      <c r="K9" s="1757"/>
      <c r="L9" s="1757"/>
      <c r="M9" s="1757"/>
      <c r="N9" s="1757"/>
      <c r="O9" s="1757"/>
    </row>
    <row r="10" spans="1:15" ht="15.75" x14ac:dyDescent="0.25">
      <c r="A10" s="1"/>
      <c r="B10" s="1"/>
      <c r="C10" s="1"/>
      <c r="D10" s="1"/>
      <c r="E10" s="1"/>
      <c r="F10" s="1"/>
      <c r="G10" s="1"/>
      <c r="H10" s="1"/>
    </row>
    <row r="11" spans="1:15" ht="15.75" x14ac:dyDescent="0.25">
      <c r="A11" s="1"/>
      <c r="B11" s="1"/>
      <c r="C11" s="1"/>
      <c r="D11" s="1"/>
      <c r="E11" s="1"/>
      <c r="F11" s="1"/>
      <c r="G11" s="1"/>
      <c r="H11" s="1"/>
    </row>
    <row r="12" spans="1:15" ht="15.75" x14ac:dyDescent="0.25">
      <c r="A12" s="1"/>
      <c r="B12" s="1"/>
      <c r="C12" s="1"/>
      <c r="D12" s="1"/>
      <c r="E12" s="1"/>
      <c r="F12" s="1"/>
      <c r="G12" s="1"/>
      <c r="H12" s="1"/>
    </row>
    <row r="13" spans="1:15" ht="15.75" x14ac:dyDescent="0.25">
      <c r="A13" s="1"/>
      <c r="B13" s="1"/>
      <c r="C13" s="1"/>
      <c r="D13" s="1"/>
      <c r="E13" s="1"/>
      <c r="F13" s="1"/>
      <c r="G13" s="1"/>
      <c r="H13" s="1"/>
    </row>
    <row r="14" spans="1:15" ht="15.75" x14ac:dyDescent="0.25">
      <c r="A14" s="1"/>
      <c r="B14" s="1"/>
      <c r="C14" s="1"/>
      <c r="D14" s="1"/>
      <c r="E14" s="1"/>
      <c r="F14" s="1"/>
      <c r="G14" s="1"/>
      <c r="H14" s="1"/>
    </row>
    <row r="15" spans="1:15" ht="15.75" x14ac:dyDescent="0.25">
      <c r="A15" s="1"/>
      <c r="B15" s="1"/>
      <c r="C15" s="1"/>
      <c r="D15" s="1"/>
      <c r="E15" s="1"/>
      <c r="F15" s="1"/>
      <c r="G15" s="1"/>
      <c r="H15" s="1"/>
    </row>
    <row r="16" spans="1:15" ht="15.75" x14ac:dyDescent="0.25">
      <c r="A16" s="1"/>
      <c r="B16" s="1"/>
      <c r="C16" s="1"/>
      <c r="D16" s="1"/>
      <c r="E16" s="1"/>
      <c r="F16" s="1"/>
      <c r="G16" s="1"/>
      <c r="H16" s="1"/>
    </row>
    <row r="17" spans="1:15" ht="15.75" x14ac:dyDescent="0.25">
      <c r="A17" s="1"/>
      <c r="B17" s="1"/>
      <c r="C17" s="1"/>
      <c r="D17" s="1"/>
      <c r="E17" s="1"/>
      <c r="F17" s="1"/>
      <c r="G17" s="1"/>
      <c r="H17" s="1"/>
    </row>
    <row r="18" spans="1:15" ht="15.75" x14ac:dyDescent="0.25">
      <c r="A18" s="1"/>
      <c r="B18" s="1"/>
      <c r="C18" s="1"/>
      <c r="D18" s="1"/>
      <c r="E18" s="1"/>
      <c r="F18" s="1"/>
      <c r="G18" s="1"/>
      <c r="H18" s="1"/>
    </row>
    <row r="19" spans="1:15" ht="15.75" x14ac:dyDescent="0.25">
      <c r="A19" s="1"/>
      <c r="B19" s="1"/>
      <c r="C19" s="1"/>
      <c r="D19" s="1"/>
      <c r="E19" s="1"/>
      <c r="F19" s="1"/>
      <c r="G19" s="1"/>
      <c r="H19" s="1"/>
    </row>
    <row r="20" spans="1:15" ht="15.75" x14ac:dyDescent="0.25">
      <c r="A20" s="1"/>
      <c r="B20" s="1"/>
      <c r="C20" s="1"/>
      <c r="D20" s="1"/>
      <c r="E20" s="1"/>
      <c r="F20" s="1"/>
      <c r="G20" s="1"/>
      <c r="H20" s="1"/>
    </row>
    <row r="21" spans="1:15" ht="15.75" x14ac:dyDescent="0.25">
      <c r="A21" s="1"/>
      <c r="B21" s="1"/>
      <c r="C21" s="1"/>
      <c r="D21" s="1"/>
      <c r="E21" s="1"/>
      <c r="F21" s="1"/>
      <c r="G21" s="1"/>
      <c r="H21" s="1"/>
    </row>
    <row r="22" spans="1:15" ht="15.75" x14ac:dyDescent="0.25">
      <c r="A22" s="1"/>
      <c r="B22" s="1"/>
      <c r="C22" s="1"/>
      <c r="D22" s="1"/>
      <c r="E22" s="1"/>
      <c r="F22" s="1"/>
      <c r="G22" s="1"/>
      <c r="H22" s="1"/>
    </row>
    <row r="23" spans="1:15" ht="15.75" customHeight="1" x14ac:dyDescent="0.25">
      <c r="A23" s="1"/>
      <c r="B23" s="1"/>
      <c r="C23" s="1"/>
      <c r="D23" s="1"/>
      <c r="E23" s="1"/>
      <c r="F23" s="1"/>
      <c r="G23" s="1"/>
      <c r="H23" s="1"/>
      <c r="I23" s="1756" t="s">
        <v>1178</v>
      </c>
      <c r="J23" s="1756"/>
      <c r="K23" s="1756"/>
      <c r="L23" s="1756"/>
      <c r="M23" s="1756"/>
      <c r="N23" s="1756"/>
      <c r="O23" s="1756"/>
    </row>
    <row r="24" spans="1:15" ht="15.75" x14ac:dyDescent="0.25">
      <c r="A24" s="1"/>
      <c r="B24" s="1"/>
      <c r="C24" s="1"/>
      <c r="D24" s="1"/>
      <c r="E24" s="1"/>
      <c r="F24" s="1"/>
      <c r="G24" s="1"/>
      <c r="H24" s="1"/>
      <c r="I24" s="1756"/>
      <c r="J24" s="1756"/>
      <c r="K24" s="1756"/>
      <c r="L24" s="1756"/>
      <c r="M24" s="1756"/>
      <c r="N24" s="1756"/>
      <c r="O24" s="1756"/>
    </row>
    <row r="25" spans="1:15" ht="15.75" x14ac:dyDescent="0.25">
      <c r="A25" s="1"/>
      <c r="B25" s="1"/>
      <c r="C25" s="1"/>
      <c r="D25" s="1"/>
      <c r="E25" s="1"/>
      <c r="F25" s="1"/>
      <c r="G25" s="1"/>
      <c r="H25" s="1"/>
      <c r="I25" s="1756"/>
      <c r="J25" s="1756"/>
      <c r="K25" s="1756"/>
      <c r="L25" s="1756"/>
      <c r="M25" s="1756"/>
      <c r="N25" s="1756"/>
      <c r="O25" s="1756"/>
    </row>
    <row r="26" spans="1:15" ht="125.25" customHeight="1" x14ac:dyDescent="0.25">
      <c r="A26" s="1758" t="s">
        <v>1177</v>
      </c>
      <c r="B26" s="1758"/>
      <c r="C26" s="1758"/>
      <c r="D26" s="1758"/>
      <c r="E26" s="1758"/>
      <c r="F26" s="1758"/>
      <c r="G26" s="1758"/>
      <c r="H26" s="1758"/>
      <c r="I26" s="1756"/>
      <c r="J26" s="1756"/>
      <c r="K26" s="1756"/>
      <c r="L26" s="1756"/>
      <c r="M26" s="1756"/>
      <c r="N26" s="1756"/>
      <c r="O26" s="1756"/>
    </row>
    <row r="27" spans="1:15" ht="24.75" customHeight="1" x14ac:dyDescent="0.25">
      <c r="A27" s="1752" t="s">
        <v>1092</v>
      </c>
      <c r="B27" s="1752"/>
      <c r="C27" s="1752"/>
      <c r="D27" s="1752"/>
      <c r="E27" s="1752"/>
      <c r="F27" s="1752"/>
      <c r="G27" s="1752"/>
      <c r="H27" s="1752"/>
      <c r="I27" s="1752"/>
      <c r="J27" s="1752"/>
      <c r="K27" s="1752"/>
      <c r="L27" s="1752"/>
      <c r="M27" s="1752"/>
      <c r="N27" s="1752"/>
      <c r="O27" s="1752"/>
    </row>
    <row r="28" spans="1:15" ht="15.75" x14ac:dyDescent="0.25">
      <c r="A28" s="1"/>
      <c r="B28" s="1"/>
      <c r="C28" s="1"/>
      <c r="D28" s="1"/>
      <c r="E28" s="1"/>
      <c r="F28" s="1"/>
      <c r="G28" s="1"/>
      <c r="H28" s="1"/>
      <c r="I28" s="1"/>
      <c r="J28" s="1"/>
      <c r="K28" s="1"/>
      <c r="L28" s="1"/>
      <c r="M28" s="1"/>
      <c r="N28" s="1"/>
      <c r="O28" s="1"/>
    </row>
    <row r="29" spans="1:15" ht="15.75" x14ac:dyDescent="0.25">
      <c r="A29" s="1754" t="s">
        <v>1179</v>
      </c>
      <c r="B29" s="1754"/>
      <c r="C29" s="1754"/>
      <c r="D29" s="1754"/>
      <c r="E29" s="1754"/>
      <c r="F29" s="1754"/>
      <c r="G29" s="1754"/>
      <c r="H29" s="1754"/>
      <c r="I29" s="1754" t="s">
        <v>1180</v>
      </c>
      <c r="J29" s="1754"/>
      <c r="K29" s="1754"/>
      <c r="L29" s="1754"/>
      <c r="M29" s="1754"/>
      <c r="N29" s="1754"/>
      <c r="O29" s="1754"/>
    </row>
    <row r="45" spans="1:15" ht="33.75" customHeight="1" x14ac:dyDescent="0.25">
      <c r="A45" s="1740" t="s">
        <v>4363</v>
      </c>
      <c r="B45" s="1740"/>
      <c r="C45" s="1740"/>
      <c r="D45" s="1740"/>
      <c r="E45" s="1740"/>
      <c r="F45" s="1740"/>
      <c r="G45" s="1740"/>
      <c r="H45" s="1740"/>
      <c r="I45" s="1740"/>
      <c r="J45" s="1740"/>
      <c r="K45" s="1740"/>
      <c r="L45" s="1740"/>
      <c r="M45" s="1740"/>
      <c r="N45" s="1740"/>
      <c r="O45" s="1740"/>
    </row>
    <row r="46" spans="1:15" ht="27" customHeight="1" x14ac:dyDescent="0.25">
      <c r="A46" s="1752" t="s">
        <v>3590</v>
      </c>
      <c r="B46" s="1752"/>
      <c r="C46" s="1752"/>
      <c r="D46" s="1752"/>
      <c r="E46" s="1752"/>
      <c r="F46" s="1752"/>
      <c r="G46" s="1752"/>
      <c r="H46" s="1752"/>
      <c r="I46" s="1752"/>
      <c r="J46" s="1752"/>
      <c r="K46" s="1752"/>
      <c r="L46" s="1752"/>
      <c r="M46" s="1752"/>
      <c r="N46" s="1752"/>
      <c r="O46" s="1752"/>
    </row>
    <row r="66" spans="1:15" ht="32.25" customHeight="1" x14ac:dyDescent="0.25">
      <c r="A66" s="1740" t="s">
        <v>4364</v>
      </c>
      <c r="B66" s="1740"/>
      <c r="C66" s="1740"/>
      <c r="D66" s="1740"/>
      <c r="E66" s="1740"/>
      <c r="F66" s="1740"/>
      <c r="G66" s="1740"/>
      <c r="H66" s="1740"/>
      <c r="I66" s="1740"/>
      <c r="J66" s="1740"/>
      <c r="K66" s="1740"/>
      <c r="L66" s="1740"/>
      <c r="M66" s="1740"/>
      <c r="N66" s="1740"/>
      <c r="O66" s="1740"/>
    </row>
    <row r="67" spans="1:15" ht="32.25" customHeight="1" x14ac:dyDescent="0.25">
      <c r="A67" s="1752" t="s">
        <v>3593</v>
      </c>
      <c r="B67" s="1752"/>
      <c r="C67" s="1752"/>
      <c r="D67" s="1752"/>
      <c r="E67" s="1752"/>
      <c r="F67" s="1752"/>
      <c r="G67" s="1752"/>
      <c r="H67" s="1752"/>
      <c r="I67" s="1752"/>
      <c r="J67" s="1752"/>
      <c r="K67" s="1752"/>
      <c r="L67" s="1752"/>
      <c r="M67" s="1752"/>
      <c r="N67" s="1752"/>
      <c r="O67" s="1752"/>
    </row>
    <row r="84" spans="1:15" ht="57" customHeight="1" x14ac:dyDescent="0.25">
      <c r="A84" s="1740" t="s">
        <v>4365</v>
      </c>
      <c r="B84" s="1740"/>
      <c r="C84" s="1740"/>
      <c r="D84" s="1740"/>
      <c r="E84" s="1740"/>
      <c r="F84" s="1740"/>
      <c r="G84" s="1740"/>
      <c r="H84" s="1740"/>
      <c r="I84" s="1740"/>
      <c r="J84" s="1740"/>
      <c r="K84" s="1740"/>
      <c r="L84" s="1740"/>
      <c r="M84" s="1740"/>
      <c r="N84" s="1740"/>
      <c r="O84" s="1740"/>
    </row>
    <row r="85" spans="1:15" ht="37.5" customHeight="1" x14ac:dyDescent="0.25">
      <c r="A85" s="1752" t="s">
        <v>3595</v>
      </c>
      <c r="B85" s="1752"/>
      <c r="C85" s="1752"/>
      <c r="D85" s="1752"/>
      <c r="E85" s="1752"/>
      <c r="F85" s="1752"/>
      <c r="G85" s="1752"/>
      <c r="H85" s="1752"/>
      <c r="I85" s="1752"/>
      <c r="J85" s="1752"/>
      <c r="K85" s="1752"/>
      <c r="L85" s="1752"/>
      <c r="M85" s="1752"/>
      <c r="N85" s="1752"/>
      <c r="O85" s="1752"/>
    </row>
    <row r="104" spans="1:15" ht="33" customHeight="1" x14ac:dyDescent="0.25">
      <c r="A104" s="1740" t="s">
        <v>4366</v>
      </c>
      <c r="B104" s="1740"/>
      <c r="C104" s="1740"/>
      <c r="D104" s="1740"/>
      <c r="E104" s="1740"/>
      <c r="F104" s="1740"/>
      <c r="G104" s="1740"/>
      <c r="H104" s="1740"/>
      <c r="I104" s="1740"/>
      <c r="J104" s="1740"/>
      <c r="K104" s="1740"/>
      <c r="L104" s="1740"/>
      <c r="M104" s="1740"/>
      <c r="N104" s="1740"/>
      <c r="O104" s="1740"/>
    </row>
    <row r="105" spans="1:15" ht="29.25" customHeight="1" x14ac:dyDescent="0.25">
      <c r="A105" s="1759" t="s">
        <v>4007</v>
      </c>
      <c r="B105" s="1759"/>
      <c r="C105" s="1759"/>
      <c r="D105" s="1759"/>
      <c r="E105" s="1759"/>
      <c r="F105" s="1759"/>
      <c r="G105" s="1759"/>
      <c r="H105" s="1759"/>
      <c r="I105" s="1759"/>
      <c r="J105" s="1759"/>
      <c r="K105" s="1759"/>
      <c r="L105" s="1759"/>
      <c r="M105" s="1759"/>
      <c r="N105" s="1759"/>
      <c r="O105" s="1759"/>
    </row>
    <row r="106" spans="1:15" ht="48" customHeight="1" x14ac:dyDescent="0.25">
      <c r="A106" s="1752" t="s">
        <v>3603</v>
      </c>
      <c r="B106" s="1752"/>
      <c r="C106" s="1752"/>
      <c r="D106" s="1752"/>
      <c r="E106" s="1752"/>
      <c r="F106" s="1752"/>
      <c r="G106" s="1752"/>
      <c r="H106" s="1752"/>
      <c r="I106" s="1752"/>
      <c r="J106" s="1752"/>
      <c r="K106" s="1752"/>
      <c r="L106" s="1752"/>
      <c r="M106" s="1752"/>
      <c r="N106" s="1752"/>
      <c r="O106" s="1752"/>
    </row>
    <row r="124" spans="1:15" ht="66" customHeight="1" x14ac:dyDescent="0.25">
      <c r="A124" s="1740" t="s">
        <v>4367</v>
      </c>
      <c r="B124" s="1740"/>
      <c r="C124" s="1740"/>
      <c r="D124" s="1740"/>
      <c r="E124" s="1740"/>
      <c r="F124" s="1740"/>
      <c r="G124" s="1740"/>
      <c r="H124" s="1740"/>
      <c r="I124" s="1740"/>
      <c r="J124" s="1740"/>
      <c r="K124" s="1740"/>
      <c r="L124" s="1740"/>
      <c r="M124" s="1740"/>
      <c r="N124" s="1740"/>
      <c r="O124" s="1740"/>
    </row>
    <row r="125" spans="1:15" ht="19.5" customHeight="1" x14ac:dyDescent="0.25">
      <c r="A125" s="1206"/>
      <c r="B125" s="1206"/>
      <c r="C125" s="1206"/>
      <c r="D125" s="1206"/>
      <c r="E125" s="1206"/>
      <c r="F125" s="1206"/>
      <c r="G125" s="1206"/>
      <c r="H125" s="1206"/>
      <c r="I125" s="1206"/>
      <c r="J125" s="1206"/>
      <c r="K125" s="1206"/>
      <c r="L125" s="1206"/>
      <c r="M125" s="1206"/>
      <c r="N125" s="1206"/>
      <c r="O125" s="1206"/>
    </row>
    <row r="126" spans="1:15" ht="54" customHeight="1" x14ac:dyDescent="0.25">
      <c r="A126" s="1751" t="s">
        <v>1093</v>
      </c>
      <c r="B126" s="1751"/>
      <c r="C126" s="1751"/>
      <c r="D126" s="1751"/>
      <c r="E126" s="1751"/>
      <c r="F126" s="1751"/>
      <c r="G126" s="1751"/>
      <c r="H126" s="1751"/>
      <c r="I126" s="1751"/>
      <c r="J126" s="1751"/>
      <c r="K126" s="1751"/>
      <c r="L126" s="1751"/>
      <c r="M126" s="1751"/>
      <c r="N126" s="1751"/>
      <c r="O126" s="1751"/>
    </row>
  </sheetData>
  <mergeCells count="20">
    <mergeCell ref="A126:O126"/>
    <mergeCell ref="A85:O85"/>
    <mergeCell ref="A104:O104"/>
    <mergeCell ref="A105:O105"/>
    <mergeCell ref="A106:O106"/>
    <mergeCell ref="A124:O124"/>
    <mergeCell ref="A46:O46"/>
    <mergeCell ref="A67:O67"/>
    <mergeCell ref="A66:O66"/>
    <mergeCell ref="A84:O84"/>
    <mergeCell ref="A5:O5"/>
    <mergeCell ref="A6:O6"/>
    <mergeCell ref="I23:O26"/>
    <mergeCell ref="A7:G8"/>
    <mergeCell ref="I7:O9"/>
    <mergeCell ref="A27:O27"/>
    <mergeCell ref="A45:O45"/>
    <mergeCell ref="A26:H26"/>
    <mergeCell ref="A29:H29"/>
    <mergeCell ref="I29:O29"/>
  </mergeCells>
  <printOptions horizontalCentered="1" verticalCentered="1"/>
  <pageMargins left="0.39370078740157483" right="0.39370078740157483" top="0.39370078740157483" bottom="0.39370078740157483" header="0.31496062992125984" footer="0.11811023622047245"/>
  <pageSetup paperSize="9" orientation="landscape" r:id="rId1"/>
  <headerFooter>
    <oddFooter>&amp;C&amp;"Times New Roman,Normal"&amp;10SisMob-BH - Gráficos de 2) Belo Horizonte e RMBH / 2.4) População - p.&amp;P/&amp;N</oddFooter>
  </headerFooter>
  <rowBreaks count="5" manualBreakCount="5">
    <brk id="26" max="16383" man="1"/>
    <brk id="45" max="16383" man="1"/>
    <brk id="66" max="16383" man="1"/>
    <brk id="84" max="16383" man="1"/>
    <brk id="10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8"/>
  <sheetViews>
    <sheetView topLeftCell="B1" zoomScaleNormal="100" workbookViewId="0">
      <selection activeCell="B5" sqref="B5:O5"/>
    </sheetView>
  </sheetViews>
  <sheetFormatPr defaultRowHeight="15" x14ac:dyDescent="0.25"/>
  <cols>
    <col min="1" max="1" width="3.5703125" customWidth="1"/>
  </cols>
  <sheetData>
    <row r="2" spans="2:16" ht="15.75" x14ac:dyDescent="0.25">
      <c r="B2" s="1762" t="s">
        <v>1073</v>
      </c>
      <c r="C2" s="1762"/>
      <c r="D2" s="1762"/>
      <c r="E2" s="1762"/>
      <c r="F2" s="1762"/>
      <c r="G2" s="1762"/>
      <c r="H2" s="1762"/>
      <c r="I2" s="1762"/>
      <c r="J2" s="1762"/>
      <c r="K2" s="1762"/>
      <c r="L2" s="1762"/>
      <c r="M2" s="1762"/>
      <c r="N2" s="1762"/>
      <c r="O2" s="1762"/>
    </row>
    <row r="4" spans="2:16" ht="98.25" customHeight="1" x14ac:dyDescent="0.25">
      <c r="B4" s="1761" t="s">
        <v>1407</v>
      </c>
      <c r="C4" s="1761"/>
      <c r="D4" s="1761"/>
      <c r="E4" s="1761"/>
      <c r="F4" s="1761"/>
      <c r="G4" s="1761"/>
      <c r="H4" s="1761"/>
      <c r="I4" s="1761"/>
      <c r="J4" s="1761"/>
      <c r="K4" s="1761"/>
      <c r="L4" s="1761"/>
      <c r="M4" s="1761"/>
      <c r="N4" s="1761"/>
      <c r="O4" s="1761"/>
    </row>
    <row r="5" spans="2:16" ht="30" customHeight="1" x14ac:dyDescent="0.25">
      <c r="B5" s="1760" t="s">
        <v>6357</v>
      </c>
      <c r="C5" s="1760"/>
      <c r="D5" s="1760"/>
      <c r="E5" s="1760"/>
      <c r="F5" s="1760"/>
      <c r="G5" s="1760"/>
      <c r="H5" s="1760"/>
      <c r="I5" s="1760"/>
      <c r="J5" s="1760"/>
      <c r="K5" s="1760"/>
      <c r="L5" s="1760"/>
      <c r="M5" s="1760"/>
      <c r="N5" s="1760"/>
      <c r="O5" s="1760"/>
      <c r="P5" s="321"/>
    </row>
    <row r="6" spans="2:16" x14ac:dyDescent="0.25">
      <c r="B6" s="320"/>
      <c r="C6" s="320"/>
      <c r="D6" s="320"/>
      <c r="E6" s="320"/>
      <c r="F6" s="320"/>
      <c r="G6" s="320"/>
      <c r="H6" s="320"/>
      <c r="I6" s="320"/>
      <c r="J6" s="320"/>
      <c r="K6" s="320"/>
      <c r="L6" s="320"/>
      <c r="M6" s="320"/>
      <c r="N6" s="320"/>
      <c r="O6" s="320"/>
    </row>
    <row r="8" spans="2:16" ht="57" customHeight="1" x14ac:dyDescent="0.25">
      <c r="B8" s="1751" t="s">
        <v>6264</v>
      </c>
      <c r="C8" s="1751"/>
      <c r="D8" s="1751"/>
      <c r="E8" s="1751"/>
      <c r="F8" s="1751"/>
      <c r="G8" s="1751"/>
      <c r="H8" s="1751"/>
      <c r="I8" s="1751"/>
      <c r="J8" s="1751"/>
      <c r="K8" s="1751"/>
      <c r="L8" s="1751"/>
      <c r="M8" s="1751"/>
      <c r="N8" s="1751"/>
      <c r="O8" s="1751"/>
    </row>
  </sheetData>
  <mergeCells count="4">
    <mergeCell ref="B5:O5"/>
    <mergeCell ref="B4:O4"/>
    <mergeCell ref="B8:O8"/>
    <mergeCell ref="B2:O2"/>
  </mergeCells>
  <printOptions horizontalCentered="1" verticalCentered="1"/>
  <pageMargins left="0.39370078740157483"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29"/>
  <sheetViews>
    <sheetView zoomScaleNormal="100" workbookViewId="0">
      <selection activeCell="M3" sqref="M3"/>
    </sheetView>
  </sheetViews>
  <sheetFormatPr defaultRowHeight="15" x14ac:dyDescent="0.25"/>
  <sheetData>
    <row r="5" spans="1:15" ht="18.75" x14ac:dyDescent="0.25">
      <c r="A5" s="1764" t="s">
        <v>6255</v>
      </c>
      <c r="B5" s="1764"/>
      <c r="C5" s="1764"/>
      <c r="D5" s="1764"/>
      <c r="E5" s="1764"/>
      <c r="F5" s="1764"/>
      <c r="G5" s="1764"/>
      <c r="H5" s="1764"/>
      <c r="I5" s="1764"/>
      <c r="J5" s="1764"/>
      <c r="K5" s="1764"/>
      <c r="L5" s="1764"/>
      <c r="M5" s="1764"/>
      <c r="N5" s="1764"/>
      <c r="O5" s="1764"/>
    </row>
    <row r="6" spans="1:15" ht="31.5" customHeight="1" x14ac:dyDescent="0.25">
      <c r="A6" s="1736"/>
      <c r="B6" s="1736"/>
      <c r="C6" s="1736"/>
      <c r="D6" s="1736"/>
      <c r="E6" s="1736"/>
      <c r="F6" s="1736"/>
      <c r="G6" s="1736"/>
      <c r="H6" s="1736"/>
      <c r="I6" s="1736"/>
      <c r="J6" s="1736"/>
      <c r="K6" s="1736"/>
      <c r="L6" s="1736"/>
      <c r="M6" s="1736"/>
      <c r="N6" s="1736"/>
      <c r="O6" s="1736"/>
    </row>
    <row r="25" spans="1:15" ht="32.25" customHeight="1" x14ac:dyDescent="0.25">
      <c r="A25" s="1740"/>
      <c r="B25" s="1740"/>
      <c r="C25" s="1740"/>
      <c r="D25" s="1740"/>
      <c r="E25" s="1740"/>
      <c r="F25" s="1740"/>
      <c r="G25" s="1740"/>
      <c r="H25" s="1740"/>
      <c r="I25" s="1740"/>
      <c r="J25" s="1740"/>
      <c r="K25" s="1740"/>
      <c r="L25" s="1740"/>
      <c r="M25" s="1740"/>
      <c r="N25" s="1740"/>
      <c r="O25" s="1740"/>
    </row>
    <row r="26" spans="1:15" ht="41.25" customHeight="1" x14ac:dyDescent="0.25">
      <c r="A26" s="1759"/>
      <c r="B26" s="1759"/>
      <c r="C26" s="1759"/>
      <c r="D26" s="1759"/>
      <c r="E26" s="1759"/>
      <c r="F26" s="1759"/>
      <c r="G26" s="1759"/>
      <c r="H26" s="1759"/>
      <c r="I26" s="1759"/>
      <c r="J26" s="1759"/>
      <c r="K26" s="1759"/>
      <c r="L26" s="1759"/>
      <c r="M26" s="1759"/>
      <c r="N26" s="1759"/>
      <c r="O26" s="1759"/>
    </row>
    <row r="27" spans="1:15" ht="41.25" customHeight="1" x14ac:dyDescent="0.25">
      <c r="A27" s="1740" t="s">
        <v>6256</v>
      </c>
      <c r="B27" s="1740"/>
      <c r="C27" s="1740"/>
      <c r="D27" s="1740"/>
      <c r="E27" s="1740"/>
      <c r="F27" s="1740"/>
      <c r="G27" s="1740"/>
      <c r="H27" s="1740"/>
      <c r="I27" s="1740"/>
      <c r="J27" s="1740"/>
      <c r="K27" s="1740"/>
      <c r="L27" s="1740"/>
      <c r="M27" s="1740"/>
      <c r="N27" s="1740"/>
      <c r="O27" s="1740"/>
    </row>
    <row r="28" spans="1:15" ht="33" customHeight="1" x14ac:dyDescent="0.25">
      <c r="A28" s="1763" t="s">
        <v>6254</v>
      </c>
      <c r="B28" s="1763"/>
      <c r="C28" s="1763"/>
      <c r="D28" s="1763"/>
      <c r="E28" s="1763"/>
      <c r="F28" s="1763"/>
      <c r="G28" s="1763"/>
      <c r="H28" s="1763"/>
      <c r="I28" s="1763"/>
      <c r="J28" s="1763"/>
      <c r="K28" s="1763"/>
      <c r="L28" s="1763"/>
      <c r="M28" s="1763"/>
      <c r="N28" s="1763"/>
      <c r="O28" s="1763"/>
    </row>
    <row r="29" spans="1:15" x14ac:dyDescent="0.25">
      <c r="B29" s="549"/>
    </row>
  </sheetData>
  <mergeCells count="6">
    <mergeCell ref="A28:O28"/>
    <mergeCell ref="A27:O27"/>
    <mergeCell ref="A26:O26"/>
    <mergeCell ref="A5:O5"/>
    <mergeCell ref="A6:O6"/>
    <mergeCell ref="A25:O25"/>
  </mergeCells>
  <printOptions horizontalCentered="1" verticalCentered="1"/>
  <pageMargins left="0.39370078740157483" right="0.39370078740157483" top="0.39370078740157483" bottom="0.39370078740157483" header="0.31496062992125984" footer="0.31496062992125984"/>
  <pageSetup paperSize="9" orientation="landscape" verticalDpi="0" r:id="rId1"/>
  <headerFooter>
    <oddFooter>&amp;C&amp;"Times New Roman,Normal"&amp;10SisMob-BH - Assunto 2) Belo Horizonte e outras cidades/regiões / 2.6) RMBH - p.&amp;P/&amp;N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145"/>
  <sheetViews>
    <sheetView zoomScaleNormal="100" workbookViewId="0">
      <selection activeCell="K152" sqref="K152"/>
    </sheetView>
  </sheetViews>
  <sheetFormatPr defaultRowHeight="15" x14ac:dyDescent="0.25"/>
  <cols>
    <col min="1" max="1" width="10.5703125" customWidth="1"/>
    <col min="4" max="5" width="9.140625" customWidth="1"/>
    <col min="6" max="6" width="5.7109375" customWidth="1"/>
    <col min="13" max="13" width="10.85546875" customWidth="1"/>
  </cols>
  <sheetData>
    <row r="5" spans="1:14" ht="18.75" x14ac:dyDescent="0.25">
      <c r="A5" s="1735" t="s">
        <v>0</v>
      </c>
      <c r="B5" s="1735"/>
      <c r="C5" s="1735"/>
      <c r="D5" s="1735"/>
      <c r="E5" s="1735"/>
      <c r="F5" s="1735"/>
      <c r="G5" s="1735"/>
      <c r="H5" s="1735"/>
      <c r="I5" s="1735"/>
      <c r="J5" s="1735"/>
      <c r="K5" s="1735"/>
      <c r="L5" s="1735"/>
      <c r="M5" s="1735"/>
      <c r="N5" s="1735"/>
    </row>
    <row r="6" spans="1:14" ht="15.75" customHeight="1" x14ac:dyDescent="0.25">
      <c r="A6" s="1736" t="s">
        <v>1183</v>
      </c>
      <c r="B6" s="1736"/>
      <c r="C6" s="1736"/>
      <c r="D6" s="1736"/>
      <c r="E6" s="1736"/>
      <c r="F6" s="1736"/>
      <c r="G6" s="1736"/>
      <c r="H6" s="1736"/>
      <c r="I6" s="1736"/>
      <c r="J6" s="1736"/>
      <c r="K6" s="1736"/>
      <c r="L6" s="1736"/>
      <c r="M6" s="1736"/>
      <c r="N6" s="1736"/>
    </row>
    <row r="7" spans="1:14" ht="15.75" x14ac:dyDescent="0.25">
      <c r="A7" s="1"/>
      <c r="B7" s="1"/>
      <c r="C7" s="1"/>
      <c r="D7" s="1"/>
      <c r="E7" s="1"/>
      <c r="F7" s="1"/>
      <c r="G7" s="1"/>
      <c r="H7" s="1"/>
    </row>
    <row r="8" spans="1:14" ht="15.75" x14ac:dyDescent="0.25">
      <c r="A8" s="1"/>
      <c r="B8" s="1"/>
      <c r="C8" s="1"/>
      <c r="D8" s="1"/>
      <c r="E8" s="1"/>
      <c r="F8" s="1"/>
      <c r="G8" s="1"/>
      <c r="H8" s="1"/>
    </row>
    <row r="9" spans="1:14" ht="15.75" x14ac:dyDescent="0.25">
      <c r="A9" s="1"/>
      <c r="B9" s="1"/>
      <c r="C9" s="1"/>
      <c r="D9" s="1"/>
      <c r="E9" s="1"/>
      <c r="F9" s="1"/>
      <c r="G9" s="1"/>
      <c r="H9" s="1"/>
    </row>
    <row r="10" spans="1:14" ht="15.75" x14ac:dyDescent="0.25">
      <c r="A10" s="1"/>
      <c r="B10" s="1"/>
      <c r="C10" s="1"/>
      <c r="D10" s="1"/>
      <c r="E10" s="1"/>
      <c r="F10" s="1"/>
      <c r="G10" s="1"/>
      <c r="H10" s="1"/>
    </row>
    <row r="11" spans="1:14" ht="15.75" x14ac:dyDescent="0.25">
      <c r="A11" s="1"/>
      <c r="B11" s="1"/>
      <c r="C11" s="1"/>
      <c r="D11" s="1"/>
      <c r="E11" s="1"/>
      <c r="F11" s="1"/>
      <c r="G11" s="1"/>
      <c r="H11" s="1"/>
    </row>
    <row r="12" spans="1:14" ht="15.75" x14ac:dyDescent="0.25">
      <c r="A12" s="1"/>
      <c r="B12" s="1"/>
      <c r="C12" s="1"/>
      <c r="D12" s="1"/>
      <c r="E12" s="1"/>
      <c r="F12" s="1"/>
      <c r="G12" s="1"/>
      <c r="H12" s="1"/>
    </row>
    <row r="13" spans="1:14" ht="15.75" x14ac:dyDescent="0.25">
      <c r="A13" s="1"/>
      <c r="B13" s="1"/>
      <c r="C13" s="1"/>
      <c r="D13" s="1"/>
      <c r="E13" s="1"/>
      <c r="F13" s="1"/>
      <c r="G13" s="1"/>
      <c r="H13" s="1"/>
    </row>
    <row r="14" spans="1:14" ht="15.75" x14ac:dyDescent="0.25">
      <c r="A14" s="1"/>
      <c r="B14" s="1"/>
      <c r="C14" s="1"/>
      <c r="D14" s="1"/>
      <c r="E14" s="1"/>
      <c r="F14" s="1"/>
      <c r="G14" s="1"/>
      <c r="H14" s="1"/>
    </row>
    <row r="15" spans="1:14" ht="15.75" x14ac:dyDescent="0.25">
      <c r="A15" s="1"/>
      <c r="B15" s="1"/>
      <c r="C15" s="1"/>
      <c r="D15" s="1"/>
      <c r="E15" s="1"/>
      <c r="F15" s="1"/>
      <c r="G15" s="1"/>
      <c r="H15" s="1"/>
    </row>
    <row r="16" spans="1:14" ht="15.75" x14ac:dyDescent="0.25">
      <c r="A16" s="1"/>
      <c r="B16" s="1"/>
      <c r="C16" s="1"/>
      <c r="D16" s="1"/>
      <c r="E16" s="1"/>
      <c r="F16" s="1"/>
      <c r="G16" s="1"/>
      <c r="H16" s="1"/>
    </row>
    <row r="17" spans="1:14" ht="15.75" x14ac:dyDescent="0.25">
      <c r="A17" s="1"/>
      <c r="B17" s="1"/>
      <c r="C17" s="1"/>
      <c r="D17" s="1"/>
      <c r="E17" s="1"/>
      <c r="F17" s="1"/>
      <c r="G17" s="1"/>
      <c r="H17" s="1"/>
    </row>
    <row r="18" spans="1:14" ht="15.75" x14ac:dyDescent="0.25">
      <c r="A18" s="1"/>
      <c r="B18" s="1"/>
      <c r="C18" s="1"/>
      <c r="D18" s="1"/>
      <c r="E18" s="1"/>
      <c r="F18" s="1"/>
      <c r="G18" s="1"/>
      <c r="H18" s="1"/>
    </row>
    <row r="19" spans="1:14" ht="15.75" x14ac:dyDescent="0.25">
      <c r="A19" s="1"/>
      <c r="B19" s="1"/>
      <c r="C19" s="1"/>
      <c r="D19" s="1"/>
      <c r="E19" s="1"/>
      <c r="F19" s="1"/>
      <c r="G19" s="1"/>
      <c r="H19" s="1"/>
    </row>
    <row r="20" spans="1:14" ht="15.75" x14ac:dyDescent="0.25">
      <c r="A20" s="1"/>
      <c r="B20" s="1"/>
      <c r="C20" s="1"/>
      <c r="D20" s="1"/>
      <c r="E20" s="1"/>
      <c r="F20" s="1"/>
      <c r="G20" s="1"/>
      <c r="H20" s="1"/>
    </row>
    <row r="21" spans="1:14" ht="15.75" x14ac:dyDescent="0.25">
      <c r="A21" s="1"/>
      <c r="B21" s="1"/>
      <c r="C21" s="1"/>
      <c r="D21" s="1"/>
      <c r="E21" s="1"/>
      <c r="F21" s="1"/>
      <c r="G21" s="1"/>
      <c r="H21" s="1"/>
    </row>
    <row r="22" spans="1:14" ht="15.75" x14ac:dyDescent="0.25">
      <c r="A22" s="1"/>
      <c r="B22" s="1"/>
      <c r="C22" s="1"/>
      <c r="D22" s="1"/>
      <c r="E22" s="1"/>
      <c r="F22" s="1"/>
      <c r="G22" s="1"/>
      <c r="H22" s="1"/>
    </row>
    <row r="23" spans="1:14" ht="15.75" x14ac:dyDescent="0.25">
      <c r="A23" s="1"/>
      <c r="B23" s="1"/>
      <c r="C23" s="1"/>
      <c r="D23" s="1"/>
      <c r="E23" s="1"/>
      <c r="F23" s="1"/>
      <c r="G23" s="1"/>
      <c r="H23" s="1"/>
    </row>
    <row r="24" spans="1:14" ht="15.75" x14ac:dyDescent="0.25">
      <c r="A24" s="1"/>
      <c r="B24" s="1"/>
      <c r="C24" s="1"/>
      <c r="D24" s="1"/>
      <c r="E24" s="1"/>
      <c r="F24" s="1"/>
      <c r="G24" s="1"/>
      <c r="H24" s="1"/>
    </row>
    <row r="25" spans="1:14" ht="15.75" x14ac:dyDescent="0.25">
      <c r="A25" s="1"/>
      <c r="B25" s="1"/>
      <c r="C25" s="1"/>
      <c r="D25" s="1"/>
      <c r="E25" s="1"/>
      <c r="F25" s="1"/>
      <c r="G25" s="1"/>
      <c r="H25" s="1"/>
    </row>
    <row r="26" spans="1:14" ht="15.75" x14ac:dyDescent="0.25">
      <c r="A26" s="1"/>
      <c r="B26" s="1"/>
      <c r="C26" s="1"/>
      <c r="D26" s="1"/>
      <c r="E26" s="1"/>
      <c r="F26" s="1"/>
      <c r="G26" s="1"/>
      <c r="H26" s="1"/>
    </row>
    <row r="27" spans="1:14" ht="75.75" customHeight="1" x14ac:dyDescent="0.25">
      <c r="A27" s="1740" t="s">
        <v>3126</v>
      </c>
      <c r="B27" s="1740"/>
      <c r="C27" s="1740"/>
      <c r="D27" s="1740"/>
      <c r="E27" s="1740"/>
      <c r="F27" s="1740"/>
      <c r="G27" s="1740"/>
      <c r="H27" s="1740"/>
      <c r="I27" s="1740"/>
      <c r="J27" s="1740"/>
      <c r="K27" s="1740"/>
      <c r="L27" s="1740"/>
      <c r="M27" s="1740"/>
      <c r="N27" s="1740"/>
    </row>
    <row r="28" spans="1:14" ht="31.5" customHeight="1" x14ac:dyDescent="0.25">
      <c r="A28" s="1736" t="s">
        <v>2964</v>
      </c>
      <c r="B28" s="1736"/>
      <c r="C28" s="1736"/>
      <c r="D28" s="1736"/>
      <c r="E28" s="1736"/>
      <c r="F28" s="1736"/>
      <c r="G28" s="1736"/>
      <c r="H28" s="1736"/>
      <c r="I28" s="1736"/>
      <c r="J28" s="1736"/>
      <c r="K28" s="1736"/>
      <c r="L28" s="1736"/>
      <c r="M28" s="1736"/>
      <c r="N28" s="1736"/>
    </row>
    <row r="44" spans="1:14" ht="32.25" customHeight="1" x14ac:dyDescent="0.25"/>
    <row r="45" spans="1:14" ht="43.5" customHeight="1" x14ac:dyDescent="0.25"/>
    <row r="47" spans="1:14" ht="52.5" customHeight="1" x14ac:dyDescent="0.25">
      <c r="A47" s="1740" t="s">
        <v>2959</v>
      </c>
      <c r="B47" s="1740"/>
      <c r="C47" s="1740"/>
      <c r="D47" s="1740"/>
      <c r="E47" s="1740"/>
      <c r="F47" s="1740"/>
      <c r="G47" s="1740"/>
      <c r="H47" s="1740"/>
      <c r="I47" s="1740"/>
      <c r="J47" s="1740"/>
      <c r="K47" s="1740"/>
      <c r="L47" s="1740"/>
      <c r="M47" s="1740"/>
      <c r="N47" s="1740"/>
    </row>
    <row r="48" spans="1:14" ht="31.5" customHeight="1" x14ac:dyDescent="0.25">
      <c r="A48" s="1736" t="s">
        <v>1644</v>
      </c>
      <c r="B48" s="1736"/>
      <c r="C48" s="1736"/>
      <c r="D48" s="1736"/>
      <c r="E48" s="1736"/>
      <c r="F48" s="1736"/>
      <c r="G48" s="1736"/>
      <c r="H48" s="1736"/>
      <c r="I48" s="1736"/>
      <c r="J48" s="1736"/>
      <c r="K48" s="1736"/>
      <c r="L48" s="1736"/>
      <c r="M48" s="1736"/>
      <c r="N48" s="1736"/>
    </row>
    <row r="72" spans="1:14" ht="44.25" customHeight="1" x14ac:dyDescent="0.25">
      <c r="A72" s="1740" t="s">
        <v>2960</v>
      </c>
      <c r="B72" s="1740"/>
      <c r="C72" s="1740"/>
      <c r="D72" s="1740"/>
      <c r="E72" s="1740"/>
      <c r="F72" s="1740"/>
      <c r="G72" s="1740"/>
      <c r="H72" s="1740"/>
      <c r="I72" s="1740"/>
      <c r="J72" s="1740"/>
      <c r="K72" s="1740"/>
      <c r="L72" s="1740"/>
      <c r="M72" s="1740"/>
      <c r="N72" s="1740"/>
    </row>
    <row r="73" spans="1:14" ht="15.75" x14ac:dyDescent="0.25">
      <c r="A73" s="1736" t="s">
        <v>1645</v>
      </c>
      <c r="B73" s="1736"/>
      <c r="C73" s="1736"/>
      <c r="D73" s="1736"/>
      <c r="E73" s="1736"/>
      <c r="F73" s="1736"/>
      <c r="G73" s="1736"/>
      <c r="H73" s="1736"/>
      <c r="I73" s="1736"/>
      <c r="J73" s="1736"/>
      <c r="K73" s="1736"/>
      <c r="L73" s="1736"/>
      <c r="M73" s="1736"/>
      <c r="N73" s="1736"/>
    </row>
    <row r="98" spans="1:14" ht="51.75" customHeight="1" x14ac:dyDescent="0.25">
      <c r="A98" s="1740" t="s">
        <v>2961</v>
      </c>
      <c r="B98" s="1740"/>
      <c r="C98" s="1740"/>
      <c r="D98" s="1740"/>
      <c r="E98" s="1740"/>
      <c r="F98" s="1740"/>
      <c r="G98" s="1740"/>
      <c r="H98" s="1740"/>
      <c r="I98" s="1740"/>
      <c r="J98" s="1740"/>
      <c r="K98" s="1740"/>
      <c r="L98" s="1740"/>
      <c r="M98" s="1740"/>
      <c r="N98" s="1740"/>
    </row>
    <row r="99" spans="1:14" ht="15.75" x14ac:dyDescent="0.25">
      <c r="A99" s="1736" t="s">
        <v>1646</v>
      </c>
      <c r="B99" s="1736"/>
      <c r="C99" s="1736"/>
      <c r="D99" s="1736"/>
      <c r="E99" s="1736"/>
      <c r="F99" s="1736"/>
      <c r="G99" s="1736"/>
      <c r="H99" s="1736"/>
      <c r="I99" s="1736"/>
      <c r="J99" s="1736"/>
      <c r="K99" s="1736"/>
      <c r="L99" s="1736"/>
      <c r="M99" s="1736"/>
      <c r="N99" s="1736"/>
    </row>
    <row r="120" spans="1:14" ht="71.25" customHeight="1" x14ac:dyDescent="0.25">
      <c r="A120" s="1740" t="s">
        <v>2962</v>
      </c>
      <c r="B120" s="1740"/>
      <c r="C120" s="1740"/>
      <c r="D120" s="1740"/>
      <c r="E120" s="1740"/>
      <c r="F120" s="1740"/>
      <c r="G120" s="1740"/>
      <c r="H120" s="1740"/>
      <c r="I120" s="1740"/>
      <c r="J120" s="1740"/>
      <c r="K120" s="1740"/>
      <c r="L120" s="1740"/>
      <c r="M120" s="1740"/>
      <c r="N120" s="1740"/>
    </row>
    <row r="121" spans="1:14" ht="30" customHeight="1" x14ac:dyDescent="0.25">
      <c r="A121" s="1736" t="s">
        <v>2963</v>
      </c>
      <c r="B121" s="1736"/>
      <c r="C121" s="1736"/>
      <c r="D121" s="1736"/>
      <c r="E121" s="1736"/>
      <c r="F121" s="1736"/>
      <c r="G121" s="1736"/>
      <c r="H121" s="1736"/>
      <c r="I121" s="1736"/>
      <c r="J121" s="1736"/>
      <c r="K121" s="1736"/>
      <c r="L121" s="1736"/>
      <c r="M121" s="1736"/>
      <c r="N121" s="1736"/>
    </row>
    <row r="144" spans="1:14" ht="78" customHeight="1" x14ac:dyDescent="0.25">
      <c r="A144" s="1740" t="s">
        <v>3125</v>
      </c>
      <c r="B144" s="1740"/>
      <c r="C144" s="1740"/>
      <c r="D144" s="1740"/>
      <c r="E144" s="1740"/>
      <c r="F144" s="1740"/>
      <c r="G144" s="1740"/>
      <c r="H144" s="1740"/>
      <c r="I144" s="1740"/>
      <c r="J144" s="1740"/>
      <c r="K144" s="1740"/>
      <c r="L144" s="1740"/>
      <c r="M144" s="1740"/>
      <c r="N144" s="1740"/>
    </row>
    <row r="145" spans="1:14" ht="52.5" customHeight="1" x14ac:dyDescent="0.25">
      <c r="A145" s="1751" t="s">
        <v>1087</v>
      </c>
      <c r="B145" s="1751"/>
      <c r="C145" s="1751"/>
      <c r="D145" s="1751"/>
      <c r="E145" s="1751"/>
      <c r="F145" s="1751"/>
      <c r="G145" s="1751"/>
      <c r="H145" s="1751"/>
      <c r="I145" s="1751"/>
      <c r="J145" s="1751"/>
      <c r="K145" s="1751"/>
      <c r="L145" s="1751"/>
      <c r="M145" s="1751"/>
      <c r="N145" s="1751"/>
    </row>
  </sheetData>
  <mergeCells count="14">
    <mergeCell ref="A120:N120"/>
    <mergeCell ref="A121:N121"/>
    <mergeCell ref="A144:N144"/>
    <mergeCell ref="A145:N145"/>
    <mergeCell ref="A5:N5"/>
    <mergeCell ref="A6:N6"/>
    <mergeCell ref="A28:N28"/>
    <mergeCell ref="A48:N48"/>
    <mergeCell ref="A99:N99"/>
    <mergeCell ref="A72:N72"/>
    <mergeCell ref="A73:N73"/>
    <mergeCell ref="A98:N98"/>
    <mergeCell ref="A47:N47"/>
    <mergeCell ref="A27:N27"/>
  </mergeCells>
  <printOptions horizontalCentered="1" verticalCentered="1"/>
  <pageMargins left="0.11811023622047245" right="0.11811023622047245" top="3.937007874015748E-2" bottom="3.937007874015748E-2" header="3.937007874015748E-2" footer="3.937007874015748E-2"/>
  <pageSetup orientation="landscape" r:id="rId1"/>
  <headerFooter>
    <oddFooter>&amp;CSisMob-BH - Gráficos de 3) BHTrans / 3.2) Pesquisas externas / 3.2.1) Avaliações em pesquisas externas de opinião - p.&amp;P/&amp;N</oddFooter>
  </headerFooter>
  <rowBreaks count="5" manualBreakCount="5">
    <brk id="27" max="16383" man="1"/>
    <brk id="47" max="16383" man="1"/>
    <brk id="72" max="16383" man="1"/>
    <brk id="98" max="16383" man="1"/>
    <brk id="12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49"/>
  <sheetViews>
    <sheetView zoomScaleNormal="100" workbookViewId="0">
      <selection activeCell="A48" sqref="A48:O48"/>
    </sheetView>
  </sheetViews>
  <sheetFormatPr defaultRowHeight="15" x14ac:dyDescent="0.25"/>
  <cols>
    <col min="1" max="1" width="10.5703125" customWidth="1"/>
    <col min="4" max="5" width="9.140625" customWidth="1"/>
    <col min="6" max="6" width="5.7109375" customWidth="1"/>
    <col min="13" max="13" width="10.85546875" customWidth="1"/>
  </cols>
  <sheetData>
    <row r="5" spans="1:15" ht="18.75" x14ac:dyDescent="0.25">
      <c r="A5" s="1735" t="s">
        <v>0</v>
      </c>
      <c r="B5" s="1735"/>
      <c r="C5" s="1735"/>
      <c r="D5" s="1735"/>
      <c r="E5" s="1735"/>
      <c r="F5" s="1735"/>
      <c r="G5" s="1735"/>
      <c r="H5" s="1735"/>
      <c r="I5" s="1735"/>
      <c r="J5" s="1735"/>
      <c r="K5" s="1735"/>
      <c r="L5" s="1735"/>
      <c r="M5" s="1735"/>
      <c r="N5" s="1735"/>
      <c r="O5" s="1735"/>
    </row>
    <row r="6" spans="1:15" ht="31.5" customHeight="1" x14ac:dyDescent="0.25">
      <c r="A6" s="1736" t="s">
        <v>1161</v>
      </c>
      <c r="B6" s="1736"/>
      <c r="C6" s="1736"/>
      <c r="D6" s="1736"/>
      <c r="E6" s="1736"/>
      <c r="F6" s="1736"/>
      <c r="G6" s="1736"/>
      <c r="H6" s="1736"/>
      <c r="I6" s="1736"/>
      <c r="J6" s="1736"/>
      <c r="K6" s="1736"/>
      <c r="L6" s="1736"/>
      <c r="M6" s="1736"/>
      <c r="N6" s="1736"/>
      <c r="O6" s="1736"/>
    </row>
    <row r="27" spans="1:15" ht="55.5" customHeight="1" x14ac:dyDescent="0.25">
      <c r="A27" s="1740" t="s">
        <v>2966</v>
      </c>
      <c r="B27" s="1740"/>
      <c r="C27" s="1740"/>
      <c r="D27" s="1740"/>
      <c r="E27" s="1740"/>
      <c r="F27" s="1740"/>
      <c r="G27" s="1740"/>
      <c r="H27" s="1740"/>
      <c r="I27" s="1740"/>
      <c r="J27" s="1740"/>
      <c r="K27" s="1740"/>
      <c r="L27" s="1740"/>
      <c r="M27" s="1740"/>
      <c r="N27" s="1740"/>
      <c r="O27" s="1740"/>
    </row>
    <row r="28" spans="1:15" ht="33.75" customHeight="1" x14ac:dyDescent="0.25">
      <c r="A28" s="1736" t="s">
        <v>1819</v>
      </c>
      <c r="B28" s="1736"/>
      <c r="C28" s="1736"/>
      <c r="D28" s="1736"/>
      <c r="E28" s="1736"/>
      <c r="F28" s="1736"/>
      <c r="G28" s="1736"/>
      <c r="H28" s="1736"/>
      <c r="I28" s="1736"/>
      <c r="J28" s="1736"/>
      <c r="K28" s="1736"/>
      <c r="L28" s="1736"/>
      <c r="M28" s="1736"/>
      <c r="N28" s="1736"/>
      <c r="O28" s="1736"/>
    </row>
    <row r="47" spans="1:15" ht="44.25" customHeight="1" x14ac:dyDescent="0.25">
      <c r="A47" s="1740" t="s">
        <v>2965</v>
      </c>
      <c r="B47" s="1740"/>
      <c r="C47" s="1740"/>
      <c r="D47" s="1740"/>
      <c r="E47" s="1740"/>
      <c r="F47" s="1740"/>
      <c r="G47" s="1740"/>
      <c r="H47" s="1740"/>
      <c r="I47" s="1740"/>
      <c r="J47" s="1740"/>
      <c r="K47" s="1740"/>
      <c r="L47" s="1740"/>
      <c r="M47" s="1740"/>
      <c r="N47" s="1740"/>
      <c r="O47" s="1740"/>
    </row>
    <row r="48" spans="1:15" ht="94.5" customHeight="1" x14ac:dyDescent="0.25">
      <c r="A48" s="1749" t="s">
        <v>3150</v>
      </c>
      <c r="B48" s="1749"/>
      <c r="C48" s="1749"/>
      <c r="D48" s="1749"/>
      <c r="E48" s="1749"/>
      <c r="F48" s="1749"/>
      <c r="G48" s="1749"/>
      <c r="H48" s="1749"/>
      <c r="I48" s="1749"/>
      <c r="J48" s="1749"/>
      <c r="K48" s="1749"/>
      <c r="L48" s="1749"/>
      <c r="M48" s="1749"/>
      <c r="N48" s="1749"/>
      <c r="O48" s="1749"/>
    </row>
    <row r="49" spans="1:15" ht="51.75" customHeight="1" x14ac:dyDescent="0.25">
      <c r="A49" s="1737" t="s">
        <v>1088</v>
      </c>
      <c r="B49" s="1738"/>
      <c r="C49" s="1738"/>
      <c r="D49" s="1738"/>
      <c r="E49" s="1738"/>
      <c r="F49" s="1738"/>
      <c r="G49" s="1738"/>
      <c r="H49" s="1738"/>
      <c r="I49" s="1738"/>
      <c r="J49" s="1738"/>
      <c r="K49" s="1738"/>
      <c r="L49" s="1738"/>
      <c r="M49" s="1738"/>
      <c r="N49" s="1738"/>
      <c r="O49" s="1739"/>
    </row>
  </sheetData>
  <mergeCells count="7">
    <mergeCell ref="A49:O49"/>
    <mergeCell ref="A28:O28"/>
    <mergeCell ref="A48:O48"/>
    <mergeCell ref="A47:O47"/>
    <mergeCell ref="A5:O5"/>
    <mergeCell ref="A6:O6"/>
    <mergeCell ref="A27:O27"/>
  </mergeCells>
  <printOptions horizontalCentered="1" verticalCentered="1"/>
  <pageMargins left="0.39370078740157483" right="0.39370078740157483" top="0.19685039370078741" bottom="0.19685039370078741" header="0.31496062992125984" footer="3.937007874015748E-2"/>
  <pageSetup paperSize="9" orientation="landscape" r:id="rId1"/>
  <headerFooter>
    <oddFooter>&amp;C&amp;10SisMob-BH - Gráficos de 3) BHTrans / 3.2.2) Outras questões em pesquisas externas de opinião - p.&amp;P/&amp;N</oddFooter>
  </headerFooter>
  <rowBreaks count="1" manualBreakCount="1">
    <brk id="2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N8"/>
  <sheetViews>
    <sheetView workbookViewId="0">
      <selection activeCell="A6" sqref="A6:N8"/>
    </sheetView>
  </sheetViews>
  <sheetFormatPr defaultRowHeight="15" x14ac:dyDescent="0.25"/>
  <sheetData>
    <row r="6" spans="1:14" ht="26.25" customHeight="1" x14ac:dyDescent="0.25">
      <c r="A6" s="1768" t="s">
        <v>1192</v>
      </c>
      <c r="B6" s="1769"/>
      <c r="C6" s="1769"/>
      <c r="D6" s="1769"/>
      <c r="E6" s="1769"/>
      <c r="F6" s="1769"/>
      <c r="G6" s="1769"/>
      <c r="H6" s="1769"/>
      <c r="I6" s="1769"/>
      <c r="J6" s="1769"/>
      <c r="K6" s="1769"/>
      <c r="L6" s="1769"/>
      <c r="M6" s="1769"/>
      <c r="N6" s="1770"/>
    </row>
    <row r="7" spans="1:14" ht="82.5" customHeight="1" x14ac:dyDescent="0.25">
      <c r="A7" s="1765" t="s">
        <v>1193</v>
      </c>
      <c r="B7" s="1766"/>
      <c r="C7" s="1766"/>
      <c r="D7" s="1766"/>
      <c r="E7" s="1766"/>
      <c r="F7" s="1766"/>
      <c r="G7" s="1766"/>
      <c r="H7" s="1766"/>
      <c r="I7" s="1766"/>
      <c r="J7" s="1766"/>
      <c r="K7" s="1766"/>
      <c r="L7" s="1766"/>
      <c r="M7" s="1766"/>
      <c r="N7" s="1767"/>
    </row>
    <row r="8" spans="1:14" ht="23.25" customHeight="1" x14ac:dyDescent="0.25">
      <c r="A8" s="1744" t="s">
        <v>1198</v>
      </c>
      <c r="B8" s="1745"/>
      <c r="C8" s="1745"/>
      <c r="D8" s="1745"/>
      <c r="E8" s="1745"/>
      <c r="F8" s="1745"/>
      <c r="G8" s="1745"/>
      <c r="H8" s="1745"/>
      <c r="I8" s="1745"/>
      <c r="J8" s="1745"/>
      <c r="K8" s="1745"/>
      <c r="L8" s="1745"/>
      <c r="M8" s="1745"/>
      <c r="N8" s="1746"/>
    </row>
  </sheetData>
  <mergeCells count="3">
    <mergeCell ref="A7:N7"/>
    <mergeCell ref="A8:N8"/>
    <mergeCell ref="A6:N6"/>
  </mergeCells>
  <pageMargins left="0.39370078740157483" right="0.39370078740157483" top="0.39370078740157483" bottom="0.39370078740157483" header="0.31496062992125984" footer="0.31496062992125984"/>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95"/>
  <sheetViews>
    <sheetView zoomScaleNormal="100" workbookViewId="0">
      <selection activeCell="H101" sqref="H101"/>
    </sheetView>
  </sheetViews>
  <sheetFormatPr defaultRowHeight="15" x14ac:dyDescent="0.25"/>
  <cols>
    <col min="1" max="1" width="10.5703125" customWidth="1"/>
    <col min="4" max="5" width="9.140625" customWidth="1"/>
    <col min="6" max="6" width="5.7109375" customWidth="1"/>
    <col min="13" max="13" width="10.85546875" customWidth="1"/>
  </cols>
  <sheetData>
    <row r="5" spans="1:14" ht="18.75" x14ac:dyDescent="0.25">
      <c r="A5" s="1735" t="s">
        <v>6255</v>
      </c>
      <c r="B5" s="1735"/>
      <c r="C5" s="1735"/>
      <c r="D5" s="1735"/>
      <c r="E5" s="1735"/>
      <c r="F5" s="1735"/>
      <c r="G5" s="1735"/>
      <c r="H5" s="1735"/>
      <c r="I5" s="1735"/>
      <c r="J5" s="1735"/>
      <c r="K5" s="1735"/>
      <c r="L5" s="1735"/>
      <c r="M5" s="1735"/>
      <c r="N5" s="1735"/>
    </row>
    <row r="6" spans="1:14" ht="15.75" customHeight="1" x14ac:dyDescent="0.25">
      <c r="A6" s="1736" t="s">
        <v>3211</v>
      </c>
      <c r="B6" s="1736"/>
      <c r="C6" s="1736"/>
      <c r="D6" s="1736"/>
      <c r="E6" s="1736"/>
      <c r="F6" s="1736"/>
      <c r="G6" s="1736"/>
      <c r="H6" s="1736"/>
      <c r="I6" s="1736"/>
      <c r="J6" s="1736"/>
      <c r="K6" s="1736"/>
      <c r="L6" s="1736"/>
      <c r="M6" s="1736"/>
      <c r="N6" s="1736"/>
    </row>
    <row r="7" spans="1:14" ht="15.75" x14ac:dyDescent="0.25">
      <c r="A7" s="1"/>
      <c r="B7" s="1"/>
      <c r="C7" s="1"/>
      <c r="D7" s="1"/>
      <c r="E7" s="1"/>
      <c r="F7" s="1"/>
      <c r="G7" s="1"/>
      <c r="H7" s="1"/>
    </row>
    <row r="8" spans="1:14" ht="15.75" x14ac:dyDescent="0.25">
      <c r="A8" s="1"/>
      <c r="B8" s="1"/>
      <c r="C8" s="1"/>
      <c r="D8" s="1"/>
      <c r="E8" s="1"/>
      <c r="F8" s="1"/>
      <c r="G8" s="1"/>
      <c r="H8" s="1"/>
    </row>
    <row r="9" spans="1:14" ht="15.75" x14ac:dyDescent="0.25">
      <c r="A9" s="1"/>
      <c r="B9" s="1"/>
      <c r="C9" s="1"/>
      <c r="D9" s="1"/>
      <c r="E9" s="1"/>
      <c r="F9" s="1"/>
      <c r="G9" s="1"/>
      <c r="H9" s="1"/>
    </row>
    <row r="10" spans="1:14" ht="15.75" x14ac:dyDescent="0.25">
      <c r="A10" s="1"/>
      <c r="B10" s="1"/>
      <c r="C10" s="1"/>
      <c r="D10" s="1"/>
      <c r="E10" s="1"/>
      <c r="F10" s="1"/>
      <c r="G10" s="1"/>
      <c r="H10" s="1"/>
    </row>
    <row r="11" spans="1:14" ht="15.75" x14ac:dyDescent="0.25">
      <c r="A11" s="1"/>
      <c r="B11" s="1"/>
      <c r="C11" s="1"/>
      <c r="D11" s="1"/>
      <c r="E11" s="1"/>
      <c r="F11" s="1"/>
      <c r="G11" s="1"/>
      <c r="H11" s="1"/>
    </row>
    <row r="12" spans="1:14" ht="15.75" x14ac:dyDescent="0.25">
      <c r="A12" s="1"/>
      <c r="B12" s="1"/>
      <c r="C12" s="1"/>
      <c r="D12" s="1"/>
      <c r="E12" s="1"/>
      <c r="F12" s="1"/>
      <c r="G12" s="1"/>
      <c r="H12" s="1"/>
    </row>
    <row r="13" spans="1:14" ht="15.75" x14ac:dyDescent="0.25">
      <c r="A13" s="1"/>
      <c r="B13" s="1"/>
      <c r="C13" s="1"/>
      <c r="D13" s="1"/>
      <c r="E13" s="1"/>
      <c r="F13" s="1"/>
      <c r="G13" s="1"/>
      <c r="H13" s="1"/>
    </row>
    <row r="14" spans="1:14" ht="15.75" x14ac:dyDescent="0.25">
      <c r="A14" s="1"/>
      <c r="B14" s="1"/>
      <c r="C14" s="1"/>
      <c r="D14" s="1"/>
      <c r="E14" s="1"/>
      <c r="F14" s="1"/>
      <c r="G14" s="1"/>
      <c r="H14" s="1"/>
    </row>
    <row r="15" spans="1:14" ht="15.75" x14ac:dyDescent="0.25">
      <c r="A15" s="1"/>
      <c r="B15" s="1"/>
      <c r="C15" s="1"/>
      <c r="D15" s="1"/>
      <c r="E15" s="1"/>
      <c r="F15" s="1"/>
      <c r="G15" s="1"/>
      <c r="H15" s="1"/>
    </row>
    <row r="16" spans="1:14" ht="15.75" x14ac:dyDescent="0.25">
      <c r="A16" s="1"/>
      <c r="B16" s="1"/>
      <c r="C16" s="1"/>
      <c r="D16" s="1"/>
      <c r="E16" s="1"/>
      <c r="F16" s="1"/>
      <c r="G16" s="1"/>
      <c r="H16" s="1"/>
    </row>
    <row r="17" spans="1:14" ht="15.75" x14ac:dyDescent="0.25">
      <c r="A17" s="1"/>
      <c r="B17" s="1"/>
      <c r="C17" s="1"/>
      <c r="D17" s="1"/>
      <c r="E17" s="1"/>
      <c r="F17" s="1"/>
      <c r="G17" s="1"/>
      <c r="H17" s="1"/>
    </row>
    <row r="18" spans="1:14" ht="15.75" x14ac:dyDescent="0.25">
      <c r="A18" s="1"/>
      <c r="B18" s="1"/>
      <c r="C18" s="1"/>
      <c r="D18" s="1"/>
      <c r="E18" s="1"/>
      <c r="F18" s="1"/>
      <c r="G18" s="1"/>
      <c r="H18" s="1"/>
    </row>
    <row r="19" spans="1:14" ht="15.75" x14ac:dyDescent="0.25">
      <c r="A19" s="1"/>
      <c r="B19" s="1"/>
      <c r="C19" s="1"/>
      <c r="D19" s="1"/>
      <c r="E19" s="1"/>
      <c r="F19" s="1"/>
      <c r="G19" s="1"/>
      <c r="H19" s="1"/>
    </row>
    <row r="20" spans="1:14" ht="15.75" x14ac:dyDescent="0.25">
      <c r="A20" s="1"/>
      <c r="B20" s="1"/>
      <c r="C20" s="1"/>
      <c r="D20" s="1"/>
      <c r="E20" s="1"/>
      <c r="F20" s="1"/>
      <c r="G20" s="1"/>
      <c r="H20" s="1"/>
    </row>
    <row r="21" spans="1:14" ht="15.75" x14ac:dyDescent="0.25">
      <c r="A21" s="1"/>
      <c r="B21" s="1"/>
      <c r="C21" s="1"/>
      <c r="D21" s="1"/>
      <c r="E21" s="1"/>
      <c r="F21" s="1"/>
      <c r="G21" s="1"/>
      <c r="H21" s="1"/>
    </row>
    <row r="22" spans="1:14" ht="15.75" x14ac:dyDescent="0.25">
      <c r="A22" s="1"/>
      <c r="B22" s="1"/>
      <c r="C22" s="1"/>
      <c r="D22" s="1"/>
      <c r="E22" s="1"/>
      <c r="F22" s="1"/>
      <c r="G22" s="1"/>
      <c r="H22" s="1"/>
    </row>
    <row r="23" spans="1:14" ht="15.75" x14ac:dyDescent="0.25">
      <c r="A23" s="1"/>
      <c r="B23" s="1"/>
      <c r="C23" s="1"/>
      <c r="D23" s="1"/>
      <c r="E23" s="1"/>
      <c r="F23" s="1"/>
      <c r="G23" s="1"/>
      <c r="H23" s="1"/>
    </row>
    <row r="24" spans="1:14" ht="15.75" x14ac:dyDescent="0.25">
      <c r="A24" s="1"/>
      <c r="B24" s="1"/>
      <c r="C24" s="1"/>
      <c r="D24" s="1"/>
      <c r="E24" s="1"/>
      <c r="F24" s="1"/>
      <c r="G24" s="1"/>
      <c r="H24" s="1"/>
    </row>
    <row r="25" spans="1:14" ht="15.75" x14ac:dyDescent="0.25">
      <c r="A25" s="1"/>
      <c r="B25" s="1"/>
      <c r="C25" s="1"/>
      <c r="D25" s="1"/>
      <c r="E25" s="1"/>
      <c r="F25" s="1"/>
      <c r="G25" s="1"/>
      <c r="H25" s="1"/>
    </row>
    <row r="26" spans="1:14" ht="15.75" x14ac:dyDescent="0.25">
      <c r="A26" s="1"/>
      <c r="B26" s="1"/>
      <c r="C26" s="1"/>
      <c r="D26" s="1"/>
      <c r="E26" s="1"/>
      <c r="F26" s="1"/>
      <c r="G26" s="1"/>
      <c r="H26" s="1"/>
    </row>
    <row r="27" spans="1:14" ht="60" customHeight="1" x14ac:dyDescent="0.25">
      <c r="A27" s="1740" t="s">
        <v>6260</v>
      </c>
      <c r="B27" s="1740"/>
      <c r="C27" s="1740"/>
      <c r="D27" s="1740"/>
      <c r="E27" s="1740"/>
      <c r="F27" s="1740"/>
      <c r="G27" s="1740"/>
      <c r="H27" s="1740"/>
      <c r="I27" s="1740"/>
      <c r="J27" s="1740"/>
      <c r="K27" s="1740"/>
      <c r="L27" s="1740"/>
      <c r="M27" s="1740"/>
      <c r="N27" s="1740"/>
    </row>
    <row r="28" spans="1:14" ht="30.75" customHeight="1" x14ac:dyDescent="0.25">
      <c r="A28" s="1736" t="s">
        <v>1191</v>
      </c>
      <c r="B28" s="1736"/>
      <c r="C28" s="1736"/>
      <c r="D28" s="1736"/>
      <c r="E28" s="1736"/>
      <c r="F28" s="1736"/>
      <c r="G28" s="1736"/>
      <c r="H28" s="1736"/>
      <c r="I28" s="1736"/>
      <c r="J28" s="1736"/>
      <c r="K28" s="1736"/>
      <c r="L28" s="1736"/>
      <c r="M28" s="1736"/>
      <c r="N28" s="1736"/>
    </row>
    <row r="51" spans="1:14" ht="57" customHeight="1" x14ac:dyDescent="0.25">
      <c r="A51" s="1740" t="s">
        <v>6261</v>
      </c>
      <c r="B51" s="1740"/>
      <c r="C51" s="1740"/>
      <c r="D51" s="1740"/>
      <c r="E51" s="1740"/>
      <c r="F51" s="1740"/>
      <c r="G51" s="1740"/>
      <c r="H51" s="1740"/>
      <c r="I51" s="1740"/>
      <c r="J51" s="1740"/>
      <c r="K51" s="1740"/>
      <c r="L51" s="1740"/>
      <c r="M51" s="1740"/>
      <c r="N51" s="1740"/>
    </row>
    <row r="52" spans="1:14" ht="37.5" customHeight="1" x14ac:dyDescent="0.25">
      <c r="A52" s="1736" t="s">
        <v>3765</v>
      </c>
      <c r="B52" s="1736"/>
      <c r="C52" s="1736"/>
      <c r="D52" s="1736"/>
      <c r="E52" s="1736"/>
      <c r="F52" s="1736"/>
      <c r="G52" s="1736"/>
      <c r="H52" s="1736"/>
      <c r="I52" s="1736"/>
      <c r="J52" s="1736"/>
      <c r="K52" s="1736"/>
      <c r="L52" s="1736"/>
      <c r="M52" s="1736"/>
      <c r="N52" s="1736"/>
    </row>
    <row r="71" spans="1:14" ht="42" customHeight="1" x14ac:dyDescent="0.25">
      <c r="A71" s="1740" t="s">
        <v>6262</v>
      </c>
      <c r="B71" s="1740"/>
      <c r="C71" s="1740"/>
      <c r="D71" s="1740"/>
      <c r="E71" s="1740"/>
      <c r="F71" s="1740"/>
      <c r="G71" s="1740"/>
      <c r="H71" s="1740"/>
      <c r="I71" s="1740"/>
      <c r="J71" s="1740"/>
      <c r="K71" s="1740"/>
      <c r="L71" s="1740"/>
      <c r="M71" s="1740"/>
      <c r="N71" s="1740"/>
    </row>
    <row r="72" spans="1:14" ht="46.5" customHeight="1" x14ac:dyDescent="0.25">
      <c r="A72" s="1759" t="s">
        <v>5174</v>
      </c>
      <c r="B72" s="1759"/>
      <c r="C72" s="1759"/>
      <c r="D72" s="1759"/>
      <c r="E72" s="1759"/>
      <c r="F72" s="1759"/>
      <c r="G72" s="1759"/>
      <c r="H72" s="1759"/>
      <c r="I72" s="1759"/>
      <c r="J72" s="1759"/>
      <c r="K72" s="1759"/>
      <c r="L72" s="1759"/>
      <c r="M72" s="1759"/>
      <c r="N72" s="1759"/>
    </row>
    <row r="73" spans="1:14" ht="38.25" customHeight="1" x14ac:dyDescent="0.25">
      <c r="A73" s="1736" t="s">
        <v>4613</v>
      </c>
      <c r="B73" s="1736"/>
      <c r="C73" s="1736"/>
      <c r="D73" s="1736"/>
      <c r="E73" s="1736"/>
      <c r="F73" s="1736"/>
      <c r="G73" s="1736"/>
      <c r="H73" s="1736" t="s">
        <v>4614</v>
      </c>
      <c r="I73" s="1736"/>
      <c r="J73" s="1736"/>
      <c r="K73" s="1736"/>
      <c r="L73" s="1736"/>
      <c r="M73" s="1736"/>
      <c r="N73" s="1736"/>
    </row>
    <row r="93" spans="1:14" ht="48" customHeight="1" x14ac:dyDescent="0.25">
      <c r="A93" s="1740" t="s">
        <v>6263</v>
      </c>
      <c r="B93" s="1740"/>
      <c r="C93" s="1740"/>
      <c r="D93" s="1740"/>
      <c r="E93" s="1740"/>
      <c r="F93" s="1740"/>
      <c r="G93" s="1740"/>
      <c r="H93" s="1740"/>
      <c r="I93" s="1740"/>
      <c r="J93" s="1740"/>
      <c r="K93" s="1740"/>
      <c r="L93" s="1740"/>
      <c r="M93" s="1740"/>
      <c r="N93" s="1740"/>
    </row>
    <row r="95" spans="1:14" ht="56.25" customHeight="1" x14ac:dyDescent="0.25">
      <c r="A95" s="1751" t="s">
        <v>6265</v>
      </c>
      <c r="B95" s="1751"/>
      <c r="C95" s="1751"/>
      <c r="D95" s="1751"/>
      <c r="E95" s="1751"/>
      <c r="F95" s="1751"/>
      <c r="G95" s="1751"/>
      <c r="H95" s="1751"/>
      <c r="I95" s="1751"/>
      <c r="J95" s="1751"/>
      <c r="K95" s="1751"/>
      <c r="L95" s="1751"/>
      <c r="M95" s="1751"/>
      <c r="N95" s="1751"/>
    </row>
  </sheetData>
  <mergeCells count="12">
    <mergeCell ref="A5:N5"/>
    <mergeCell ref="A6:N6"/>
    <mergeCell ref="A27:N27"/>
    <mergeCell ref="A95:N95"/>
    <mergeCell ref="A28:N28"/>
    <mergeCell ref="A72:N72"/>
    <mergeCell ref="A52:N52"/>
    <mergeCell ref="A71:N71"/>
    <mergeCell ref="A51:N51"/>
    <mergeCell ref="A93:N93"/>
    <mergeCell ref="A73:G73"/>
    <mergeCell ref="H73:N73"/>
  </mergeCells>
  <printOptions horizontalCentered="1" verticalCentered="1"/>
  <pageMargins left="0.39370078740157483" right="0.39370078740157483" top="1.1811023622047245" bottom="0.39370078740157483" header="0.31496062992125984" footer="0.31496062992125984"/>
  <pageSetup scale="95" orientation="landscape" r:id="rId1"/>
  <headerFooter>
    <oddFooter>&amp;C&amp;"Times New Roman,Normal"&amp;10SisMob-BH - Gráficos de 3) BHTrans / 3.5) Recursos humanos - p.&amp;P/&amp;N</oddFooter>
  </headerFooter>
  <rowBreaks count="3" manualBreakCount="3">
    <brk id="27" max="16383" man="1"/>
    <brk id="51" max="16383" man="1"/>
    <brk id="7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75"/>
  <sheetViews>
    <sheetView zoomScale="110" zoomScaleNormal="110" workbookViewId="0">
      <selection activeCell="B74" sqref="B74:K74"/>
    </sheetView>
  </sheetViews>
  <sheetFormatPr defaultRowHeight="15.75" x14ac:dyDescent="0.25"/>
  <cols>
    <col min="1" max="1" width="0.5703125" style="1" customWidth="1"/>
    <col min="2" max="2" width="5.5703125" style="1" bestFit="1" customWidth="1"/>
    <col min="3" max="3" width="48.85546875" style="1" customWidth="1"/>
    <col min="4" max="4" width="8.85546875" style="63" customWidth="1"/>
    <col min="5" max="5" width="11.28515625" style="1" customWidth="1"/>
    <col min="6" max="6" width="12.7109375" style="1" customWidth="1"/>
    <col min="7" max="7" width="0.5703125" style="1" customWidth="1"/>
    <col min="8" max="8" width="9.140625" style="1" customWidth="1"/>
    <col min="9" max="9" width="8" style="1" customWidth="1"/>
    <col min="10" max="10" width="11.85546875" style="105" customWidth="1"/>
    <col min="11" max="11" width="7.140625" style="1" customWidth="1"/>
    <col min="12" max="16384" width="9.140625" style="1"/>
  </cols>
  <sheetData>
    <row r="1" spans="2:11" x14ac:dyDescent="0.25">
      <c r="B1" s="966"/>
      <c r="C1" s="966"/>
      <c r="D1" s="46"/>
      <c r="E1" s="290"/>
      <c r="F1" s="290"/>
      <c r="G1" s="290"/>
      <c r="H1" s="290"/>
      <c r="I1" s="290"/>
    </row>
    <row r="2" spans="2:11" x14ac:dyDescent="0.25">
      <c r="B2" s="966"/>
      <c r="C2" s="966"/>
      <c r="D2" s="46"/>
      <c r="E2" s="290"/>
      <c r="F2" s="290"/>
      <c r="G2" s="290"/>
      <c r="H2" s="290"/>
      <c r="I2" s="290"/>
    </row>
    <row r="3" spans="2:11" x14ac:dyDescent="0.25">
      <c r="B3" s="289"/>
      <c r="C3" s="289"/>
      <c r="D3" s="46"/>
      <c r="E3" s="290"/>
      <c r="F3" s="290"/>
      <c r="G3" s="290"/>
      <c r="H3" s="290"/>
      <c r="I3" s="290"/>
    </row>
    <row r="4" spans="2:11" x14ac:dyDescent="0.25">
      <c r="B4" s="289"/>
      <c r="C4" s="289"/>
      <c r="D4" s="46"/>
      <c r="E4" s="290"/>
      <c r="F4" s="290"/>
      <c r="G4" s="290"/>
      <c r="H4" s="290"/>
      <c r="I4" s="290"/>
    </row>
    <row r="5" spans="2:11" ht="18.75" customHeight="1" x14ac:dyDescent="0.25">
      <c r="B5" s="1602" t="s">
        <v>6255</v>
      </c>
      <c r="C5" s="1602"/>
      <c r="D5" s="1602"/>
      <c r="E5" s="1602"/>
      <c r="F5" s="1602"/>
      <c r="G5" s="1602"/>
      <c r="H5" s="1602"/>
      <c r="I5" s="1602"/>
    </row>
    <row r="6" spans="2:11" ht="16.5" thickBot="1" x14ac:dyDescent="0.3">
      <c r="B6" s="1606" t="s">
        <v>1879</v>
      </c>
      <c r="C6" s="1606"/>
      <c r="D6" s="1606"/>
      <c r="E6" s="1606"/>
      <c r="F6" s="1606"/>
      <c r="G6" s="1606"/>
      <c r="H6" s="1606"/>
      <c r="I6" s="1606"/>
    </row>
    <row r="7" spans="2:11" ht="27.75" customHeight="1" x14ac:dyDescent="0.25">
      <c r="B7" s="1626" t="s">
        <v>576</v>
      </c>
      <c r="C7" s="1627"/>
      <c r="D7" s="1617" t="s">
        <v>5397</v>
      </c>
      <c r="E7" s="1617"/>
      <c r="F7" s="1618"/>
      <c r="G7" s="200"/>
      <c r="H7" s="1611" t="s">
        <v>764</v>
      </c>
      <c r="I7" s="1630" t="s">
        <v>3628</v>
      </c>
      <c r="J7" s="1632" t="s">
        <v>5396</v>
      </c>
      <c r="K7" s="1619" t="s">
        <v>2134</v>
      </c>
    </row>
    <row r="8" spans="2:11" ht="29.25" customHeight="1" x14ac:dyDescent="0.25">
      <c r="B8" s="1628"/>
      <c r="C8" s="1629"/>
      <c r="D8" s="1562" t="s">
        <v>2134</v>
      </c>
      <c r="E8" s="1563" t="s">
        <v>2410</v>
      </c>
      <c r="F8" s="1564" t="s">
        <v>2411</v>
      </c>
      <c r="G8" s="200"/>
      <c r="H8" s="1612"/>
      <c r="I8" s="1631"/>
      <c r="J8" s="1633"/>
      <c r="K8" s="1620"/>
    </row>
    <row r="9" spans="2:11" s="3" customFormat="1" x14ac:dyDescent="0.25">
      <c r="B9" s="1613" t="s">
        <v>1039</v>
      </c>
      <c r="C9" s="1614"/>
      <c r="D9" s="129">
        <f>SUM(D10:D14)</f>
        <v>94</v>
      </c>
      <c r="E9" s="196">
        <f>SUM(E10:E14)</f>
        <v>29</v>
      </c>
      <c r="F9" s="206">
        <f>SUM(F10:F14)</f>
        <v>0</v>
      </c>
      <c r="G9" s="209"/>
      <c r="H9" s="202">
        <f>SUM(H10:H14)</f>
        <v>0</v>
      </c>
      <c r="I9" s="196">
        <f>SUM(I10:I14)</f>
        <v>0</v>
      </c>
      <c r="J9" s="196">
        <f>SUM(J10:J14)</f>
        <v>18</v>
      </c>
      <c r="K9" s="1588">
        <f>D9+H9+I9+J9</f>
        <v>112</v>
      </c>
    </row>
    <row r="10" spans="2:11" x14ac:dyDescent="0.25">
      <c r="B10" s="258" t="s">
        <v>581</v>
      </c>
      <c r="C10" s="259" t="s">
        <v>825</v>
      </c>
      <c r="D10" s="365">
        <f>SUMIF('Q100a-geral'!B8:B2587,C10,'Q100a-geral'!I8:I2587)</f>
        <v>7</v>
      </c>
      <c r="E10" s="197">
        <f>SUMIF('Q100a-geral'!BB8:BB2587,"Ações educativasacessibilidade",'Q100a-geral'!I1:I2581)</f>
        <v>0</v>
      </c>
      <c r="F10" s="204">
        <f>COUNTIF('Q100a-geral'!BB6:BB2586,"Ações educativasCMMCE")</f>
        <v>0</v>
      </c>
      <c r="G10" s="201"/>
      <c r="H10" s="203">
        <f>COUNTIF('Q100a-geral'!BD6:BD2586,"Ações educativasmeta/RPI")</f>
        <v>0</v>
      </c>
      <c r="I10" s="197">
        <f>COUNTIF('Q100a-geral'!BD6:BD2586,"Ações educativasbenchmarking")</f>
        <v>0</v>
      </c>
      <c r="J10" s="197">
        <f>COUNTIF('Q100a-geral'!BD8:BD2586,"Ações educativassigla/verbete")</f>
        <v>0</v>
      </c>
      <c r="K10" s="1589">
        <f t="shared" ref="K10:K70" si="0">D10+H10+I10+J10</f>
        <v>7</v>
      </c>
    </row>
    <row r="11" spans="2:11" x14ac:dyDescent="0.25">
      <c r="B11" s="258" t="s">
        <v>582</v>
      </c>
      <c r="C11" s="259" t="s">
        <v>720</v>
      </c>
      <c r="D11" s="365">
        <f>SUMIF('Q100a-geral'!B8:B2587,C11,'Q100a-geral'!I8:I2587)</f>
        <v>18</v>
      </c>
      <c r="E11" s="197">
        <f>SUMIF('Q100a-geral'!BB8:BB2587,"Atendimento ao usuário em geralacessibilidade",'Q100a-geral'!I1:I2581)</f>
        <v>0</v>
      </c>
      <c r="F11" s="204">
        <f>COUNTIF('Q100a-geral'!BB6:BB2586,"Atendimento ao usuário em geralCMMCE")</f>
        <v>0</v>
      </c>
      <c r="G11" s="201"/>
      <c r="H11" s="203">
        <f>COUNTIF('Q100a-geral'!BD6:BD2586,"Atendimento ao usuário em geralmeta/RPI")</f>
        <v>0</v>
      </c>
      <c r="I11" s="197">
        <f>COUNTIF('Q100a-geral'!BD6:BD2586,"Atendimento ao usuário em geral")</f>
        <v>0</v>
      </c>
      <c r="J11" s="197">
        <f>COUNTIF('Q100a-geral'!BD8:BD2586,"Atendimento ao usuário em geralsigla/verbete")</f>
        <v>2</v>
      </c>
      <c r="K11" s="1589">
        <f t="shared" si="0"/>
        <v>20</v>
      </c>
    </row>
    <row r="12" spans="2:11" s="3" customFormat="1" x14ac:dyDescent="0.25">
      <c r="B12" s="305" t="s">
        <v>583</v>
      </c>
      <c r="C12" s="259" t="s">
        <v>826</v>
      </c>
      <c r="D12" s="365">
        <f>SUMIF('Q100a-geral'!B8:B2587,C12,'Q100a-geral'!I8:I2587)</f>
        <v>41</v>
      </c>
      <c r="E12" s="295">
        <f>SUMIF('Q100a-geral'!BB8:BB2587,"Gratuidades e descontosacessibilidade",'Q100a-geral'!I1:I2581)</f>
        <v>28</v>
      </c>
      <c r="F12" s="296">
        <f>COUNTIF('Q100a-geral'!BB6:BB2586,"Gratuidades e descontosCMMCE")</f>
        <v>0</v>
      </c>
      <c r="G12" s="297"/>
      <c r="H12" s="298">
        <f>COUNTIF('Q100a-geral'!BD6:BD2588,"Gratuidades e descontosmeta/RPI")</f>
        <v>0</v>
      </c>
      <c r="I12" s="295">
        <f>COUNTIF('Q100a-geral'!BD7:BD2587,"Atendimento ao usuário em geral")</f>
        <v>0</v>
      </c>
      <c r="J12" s="197">
        <f>COUNTIF('Q100a-geral'!BD8:BD2586,"Gratuidades e descontossigla/verbete")</f>
        <v>2</v>
      </c>
      <c r="K12" s="1589">
        <f t="shared" si="0"/>
        <v>43</v>
      </c>
    </row>
    <row r="13" spans="2:11" x14ac:dyDescent="0.25">
      <c r="B13" s="258" t="s">
        <v>584</v>
      </c>
      <c r="C13" s="259" t="s">
        <v>923</v>
      </c>
      <c r="D13" s="365">
        <f>SUMIF('Q100a-geral'!B8:B2587,C13,'Q100a-geral'!I8:I2587)</f>
        <v>2</v>
      </c>
      <c r="E13" s="197">
        <f>SUMIF('Q100a-geral'!BB8:BB2587,"Relacionamento com a sociedade organizadaacessibilidade",'Q100a-geral'!I1:I2581)</f>
        <v>1</v>
      </c>
      <c r="F13" s="204">
        <f>COUNTIF('Q100a-geral'!BB6:BB2586,"Relacionamento com a sociedade organizadaCMMCE")</f>
        <v>0</v>
      </c>
      <c r="G13" s="201"/>
      <c r="H13" s="203">
        <f>COUNTIF('Q100a-geral'!BD6:BD2588,"Relacionamento com a sociedade organizadameta/RPI")</f>
        <v>0</v>
      </c>
      <c r="I13" s="197">
        <f>COUNTIF('Q100a-geral'!BD7:BD2587,"Relacionamento com a sociedade organizada")</f>
        <v>0</v>
      </c>
      <c r="J13" s="197">
        <f>COUNTIF('Q100a-geral'!BD8:BD2586,"Relacionamento com a sociedade organizadasigla/verbete")</f>
        <v>9</v>
      </c>
      <c r="K13" s="1589">
        <f t="shared" si="0"/>
        <v>11</v>
      </c>
    </row>
    <row r="14" spans="2:11" x14ac:dyDescent="0.25">
      <c r="B14" s="258" t="s">
        <v>585</v>
      </c>
      <c r="C14" s="259" t="s">
        <v>642</v>
      </c>
      <c r="D14" s="365">
        <f>SUMIF('Q100a-geral'!B8:B2587,C14,'Q100a-geral'!I8:I2587)</f>
        <v>26</v>
      </c>
      <c r="E14" s="197">
        <f>SUMIF('Q100a-geral'!BB8:BB2587,"Solicitações urbanísticasacessibilidade",'Q100a-geral'!I1:I2581)</f>
        <v>0</v>
      </c>
      <c r="F14" s="204">
        <f>COUNTIF('Q100a-geral'!BB6:BB2586,"Solicitações urbanísticasCMMCE")</f>
        <v>0</v>
      </c>
      <c r="G14" s="201"/>
      <c r="H14" s="203">
        <f>COUNTIF('Q100a-geral'!BD6:BD2588,"Solicitações urbanísticasmeta/RPI")</f>
        <v>0</v>
      </c>
      <c r="I14" s="197">
        <f>COUNTIF('Q100a-geral'!BD7:BD2587,"Solicitações urbanísticas")</f>
        <v>0</v>
      </c>
      <c r="J14" s="197">
        <f>COUNTIF('Q100a-geral'!BD8:BD2586,"Solicitações urbanísticassigla/verbete")</f>
        <v>5</v>
      </c>
      <c r="K14" s="1589">
        <f t="shared" si="0"/>
        <v>31</v>
      </c>
    </row>
    <row r="15" spans="2:11" ht="15.75" customHeight="1" x14ac:dyDescent="0.25">
      <c r="B15" s="1615" t="s">
        <v>6241</v>
      </c>
      <c r="C15" s="1616"/>
      <c r="D15" s="73">
        <f>SUM(D16:D21)</f>
        <v>702</v>
      </c>
      <c r="E15" s="73">
        <f>SUM(E16:E21)</f>
        <v>2</v>
      </c>
      <c r="F15" s="73">
        <f>SUM(F16:F21)</f>
        <v>1</v>
      </c>
      <c r="G15" s="209"/>
      <c r="H15" s="1158">
        <f>SUM(H16:H21)</f>
        <v>5</v>
      </c>
      <c r="I15" s="73">
        <f>SUM(I16:I21)</f>
        <v>87</v>
      </c>
      <c r="J15" s="1565">
        <f>SUM(J16:J21)</f>
        <v>60</v>
      </c>
      <c r="K15" s="1590">
        <f t="shared" si="0"/>
        <v>854</v>
      </c>
    </row>
    <row r="16" spans="2:11" x14ac:dyDescent="0.25">
      <c r="B16" s="258" t="s">
        <v>586</v>
      </c>
      <c r="C16" s="259" t="s">
        <v>827</v>
      </c>
      <c r="D16" s="365">
        <f>SUMIF('Q100a-geral'!B8:B2587,C16,'Q100a-geral'!I8:I2587)</f>
        <v>14</v>
      </c>
      <c r="E16" s="197">
        <f>SUMIF('Q100a-geral'!BB8:BB2587,"Distribuição modal em pesquisas de opiniãoacessibilidade",'Q100a-geral'!I1:I2581)</f>
        <v>0</v>
      </c>
      <c r="F16" s="204">
        <f>COUNTIF('Q100a-geral'!BB6:BB2586,"Distribuição modal em pesquisas de opiniãoCMMCE")</f>
        <v>0</v>
      </c>
      <c r="G16" s="201"/>
      <c r="H16" s="203">
        <f>COUNTIF('Q100a-geral'!BD6:BD2586,"Distribuição modal em pesquisas de opiniãometa/RPI")</f>
        <v>0</v>
      </c>
      <c r="I16" s="197">
        <f>COUNTIF('Q100a-geral'!BD6:BD2586,"Distribuição modal em pesquisas de opiniãobenchmarking")</f>
        <v>11</v>
      </c>
      <c r="J16" s="197">
        <f>COUNTIF('Q100a-geral'!BD8:BD2586,"Distribuição modal em pesquisas de opiniãosigla/verbete")</f>
        <v>2</v>
      </c>
      <c r="K16" s="1589">
        <f t="shared" si="0"/>
        <v>27</v>
      </c>
    </row>
    <row r="17" spans="2:11" x14ac:dyDescent="0.25">
      <c r="B17" s="258" t="s">
        <v>587</v>
      </c>
      <c r="C17" s="259" t="s">
        <v>625</v>
      </c>
      <c r="D17" s="365">
        <f>SUMIF('Q100a-geral'!B8:B2587,C17,'Q100a-geral'!I8:I2587)</f>
        <v>50</v>
      </c>
      <c r="E17" s="197">
        <f>SUMIF('Q100a-geral'!BB8:BB2587,"Frota e condutores de veículos automotoresacessibilidade",'Q100a-geral'!I1:I2581)</f>
        <v>0</v>
      </c>
      <c r="F17" s="204">
        <f>COUNTIF('Q100a-geral'!BB6:BB2586,"Frota e condutores de veículos automotoresCMMCE")</f>
        <v>1</v>
      </c>
      <c r="G17" s="201"/>
      <c r="H17" s="203">
        <f>COUNTIF('Q100a-geral'!BD6:BD2586,"Frota e condutores de veículos automotoresmeta/RPI")</f>
        <v>0</v>
      </c>
      <c r="I17" s="197">
        <f>COUNTIF('Q100a-geral'!BD6:BD2586,"Frota e condutores de veículos automotoresbenchmarking")</f>
        <v>1</v>
      </c>
      <c r="J17" s="197">
        <f>COUNTIF('Q100a-geral'!BD8:BD2586,"Frota e condutores de veículos automotoressigla/verbete")</f>
        <v>6</v>
      </c>
      <c r="K17" s="1589">
        <f t="shared" si="0"/>
        <v>57</v>
      </c>
    </row>
    <row r="18" spans="2:11" x14ac:dyDescent="0.25">
      <c r="B18" s="258" t="s">
        <v>588</v>
      </c>
      <c r="C18" s="259" t="s">
        <v>677</v>
      </c>
      <c r="D18" s="365">
        <f>SUMIF('Q100a-geral'!B8:B2587,C18,'Q100a-geral'!I8:I2587)</f>
        <v>23</v>
      </c>
      <c r="E18" s="197">
        <f>SUMIF('Q100a-geral'!BB8:BB2587,"Rede viáriaacessibilidade",'Q100a-geral'!I1:I2581)</f>
        <v>2</v>
      </c>
      <c r="F18" s="204">
        <f>COUNTIF('Q100a-geral'!BB6:BB2586,"Rede viáriaCMMCE")</f>
        <v>0</v>
      </c>
      <c r="G18" s="201"/>
      <c r="H18" s="203">
        <f>COUNTIF('Q100a-geral'!BD6:BD2586,"Rede viáriameta/RPI")</f>
        <v>0</v>
      </c>
      <c r="I18" s="197">
        <f>COUNTIF('Q100a-geral'!BD6:BD2586,"Rede viáriabenchmarking")</f>
        <v>1</v>
      </c>
      <c r="J18" s="197">
        <f>COUNTIF('Q100a-geral'!BD8:BD2586,"Rede viáriasigla/verbete")</f>
        <v>4</v>
      </c>
      <c r="K18" s="1589">
        <f t="shared" si="0"/>
        <v>28</v>
      </c>
    </row>
    <row r="19" spans="2:11" x14ac:dyDescent="0.25">
      <c r="B19" s="258" t="s">
        <v>589</v>
      </c>
      <c r="C19" s="259" t="s">
        <v>624</v>
      </c>
      <c r="D19" s="365">
        <f>SUMIF('Q100a-geral'!B8:B2587,C19,'Q100a-geral'!I8:I2587)</f>
        <v>80</v>
      </c>
      <c r="E19" s="197">
        <f>SUMIF('Q100a-geral'!BB8:BB2587,"Populaçãoacessibilidade",'Q100a-geral'!I1:I2581)</f>
        <v>0</v>
      </c>
      <c r="F19" s="204">
        <f>COUNTIF('Q100a-geral'!BB6:BB2586,"PopulaçãoCMMCE")</f>
        <v>0</v>
      </c>
      <c r="G19" s="201"/>
      <c r="H19" s="203">
        <f>COUNTIF('Q100a-geral'!BD6:BD2586,"Populaçãometa/RPI")</f>
        <v>0</v>
      </c>
      <c r="I19" s="197">
        <f>COUNTIF('Q100a-geral'!BD6:BD2586,"Populaçãobenchmarking")</f>
        <v>74</v>
      </c>
      <c r="J19" s="197">
        <f>COUNTIF('Q100a-geral'!BD8:BD2586,"Populaçãosigla/verbete")</f>
        <v>2</v>
      </c>
      <c r="K19" s="1589">
        <f t="shared" si="0"/>
        <v>156</v>
      </c>
    </row>
    <row r="20" spans="2:11" ht="31.5" customHeight="1" x14ac:dyDescent="0.25">
      <c r="B20" s="695" t="s">
        <v>864</v>
      </c>
      <c r="C20" s="294" t="s">
        <v>863</v>
      </c>
      <c r="D20" s="406">
        <f>SUMIF('Q100a-geral'!B8:B2587,C20,'Q100a-geral'!I8:I2587)</f>
        <v>535</v>
      </c>
      <c r="E20" s="295">
        <f>SUMIF('Q100a-geral'!BB8:BB2587,"Distribuição modal em pesquisas origem/destinoacessibilidade",'Q100a-geral'!I1:I2581)</f>
        <v>0</v>
      </c>
      <c r="F20" s="296">
        <f>COUNTIF('Q100a-geral'!BB6:BB2586,"Distribuição modal em pesquisas origem/destinoCMMCE")</f>
        <v>0</v>
      </c>
      <c r="G20" s="297"/>
      <c r="H20" s="298">
        <f>COUNTIF('Q100a-geral'!BD6:BD2586,"Distribuição modal em pesquisas origem/destinometa/RPI")</f>
        <v>5</v>
      </c>
      <c r="I20" s="295">
        <f>COUNTIF('Q100a-geral'!BD6:BD2586,"Distribuição modal em pesquisas origem/destinobenchmarking")</f>
        <v>0</v>
      </c>
      <c r="J20" s="295">
        <f>COUNTIF('Q100a-geral'!BD8:BD2586,"Distribuição modal em pesquisas origem/destinosigla/verbete")</f>
        <v>13</v>
      </c>
      <c r="K20" s="1589">
        <f t="shared" si="0"/>
        <v>553</v>
      </c>
    </row>
    <row r="21" spans="2:11" x14ac:dyDescent="0.25">
      <c r="B21" s="258" t="s">
        <v>2872</v>
      </c>
      <c r="C21" s="261" t="s">
        <v>6253</v>
      </c>
      <c r="D21" s="365">
        <f>SUMIF('Q100a-geral'!B8:B2587,C21,'Q100a-geral'!I8:I2587)</f>
        <v>0</v>
      </c>
      <c r="E21" s="197">
        <f>SUMIF('Q100a-geral'!BB8:BB2587,"Cidades da RMBHacessibilidade",'Q100a-geral'!I3:I2587)</f>
        <v>0</v>
      </c>
      <c r="F21" s="204">
        <f>COUNTIF('Q100a-geral'!BB8:BB2587,"Cidades da RMBHCMMCE")</f>
        <v>0</v>
      </c>
      <c r="G21" s="201"/>
      <c r="H21" s="203">
        <f>COUNTIF('Q100a-geral'!BD8:BD2587,"Cidades da RMBHmeta/RPI")</f>
        <v>0</v>
      </c>
      <c r="I21" s="197">
        <f>COUNTIF('Q100a-geral'!BD8:BD2587,"Cidades da RMBHbenchmarking")</f>
        <v>0</v>
      </c>
      <c r="J21" s="197">
        <f>COUNTIF('Q100a-geral'!BD8:BD2587,"Cidades da RMBHsigla/verbete")</f>
        <v>33</v>
      </c>
      <c r="K21" s="1589">
        <f t="shared" si="0"/>
        <v>33</v>
      </c>
    </row>
    <row r="22" spans="2:11" x14ac:dyDescent="0.25">
      <c r="B22" s="258" t="s">
        <v>6052</v>
      </c>
      <c r="C22" s="261" t="s">
        <v>6053</v>
      </c>
      <c r="D22" s="365">
        <f>SUMIF('Q100a-geral'!B8:B2587,C22,'Q100a-geral'!I8:I2587)</f>
        <v>0</v>
      </c>
      <c r="E22" s="197">
        <f>SUMIF('Q100a-geral'!BB8:BB2587,"Outras cidades/regiõesacessibilidade",'Q100a-geral'!I8:I2587)</f>
        <v>0</v>
      </c>
      <c r="F22" s="204">
        <f>COUNTIF('Q100a-geral'!BB8:BB2587,"Outras cidades/regiõesCMMCE")</f>
        <v>0</v>
      </c>
      <c r="G22" s="201"/>
      <c r="H22" s="203">
        <f>COUNTIF('Q100a-geral'!BD8:BD2587,"Outras cidades/regiõesmeta/RPI")</f>
        <v>0</v>
      </c>
      <c r="I22" s="197">
        <f>COUNTIF('Q100a-geral'!BD8:BD2587,"Outras cidades/regiõesbenchmarking")</f>
        <v>0</v>
      </c>
      <c r="J22" s="197">
        <f>COUNTIF('Q100a-geral'!BD8:BD2587,"Outras cidades/regiõessigla/verbete")</f>
        <v>56</v>
      </c>
      <c r="K22" s="1589">
        <f t="shared" si="0"/>
        <v>56</v>
      </c>
    </row>
    <row r="23" spans="2:11" ht="15.75" customHeight="1" x14ac:dyDescent="0.25">
      <c r="B23" s="1615" t="s">
        <v>6238</v>
      </c>
      <c r="C23" s="1616"/>
      <c r="D23" s="73">
        <f>SUM(D24:D32)</f>
        <v>85</v>
      </c>
      <c r="E23" s="198">
        <f>SUM(E24:E32)</f>
        <v>7</v>
      </c>
      <c r="F23" s="206">
        <f>SUM(F24:F32)</f>
        <v>0</v>
      </c>
      <c r="G23" s="209"/>
      <c r="H23" s="205">
        <f>SUM(H24:H32)</f>
        <v>7</v>
      </c>
      <c r="I23" s="198">
        <f>SUM(I24:I32)</f>
        <v>18</v>
      </c>
      <c r="J23" s="198">
        <f>SUM(J24:J32)</f>
        <v>41</v>
      </c>
      <c r="K23" s="1590">
        <f t="shared" si="0"/>
        <v>151</v>
      </c>
    </row>
    <row r="24" spans="2:11" x14ac:dyDescent="0.25">
      <c r="B24" s="258" t="s">
        <v>590</v>
      </c>
      <c r="C24" s="259" t="s">
        <v>50</v>
      </c>
      <c r="D24" s="365">
        <f>SUMIF('Q100a-geral'!B8:B2587,C24,'Q100a-geral'!I8:I2587)</f>
        <v>3</v>
      </c>
      <c r="E24" s="197">
        <f>SUMIF('Q100a-geral'!BB8:BB2587,"Normas produzidasacessibilidade",'Q100a-geral'!I1:I2581)</f>
        <v>0</v>
      </c>
      <c r="F24" s="204">
        <f>COUNTIF('Q100a-geral'!BB6:BB2586,"Normas produzidasCMMCE")</f>
        <v>0</v>
      </c>
      <c r="G24" s="201"/>
      <c r="H24" s="203">
        <f>COUNTIF('Q100a-geral'!BD6:BD2588,"Normas produzidasmeta/RPI")</f>
        <v>0</v>
      </c>
      <c r="I24" s="197">
        <f>COUNTIF('Q100a-geral'!BD7:BD2587,"Normas produzidas")</f>
        <v>0</v>
      </c>
      <c r="J24" s="197">
        <f>COUNTIF('Q100a-geral'!BD8:BD2586,"Normas produzidassigla/verbete")</f>
        <v>37</v>
      </c>
      <c r="K24" s="1589">
        <f t="shared" si="0"/>
        <v>40</v>
      </c>
    </row>
    <row r="25" spans="2:11" x14ac:dyDescent="0.25">
      <c r="B25" s="211" t="s">
        <v>591</v>
      </c>
      <c r="C25" s="130" t="s">
        <v>752</v>
      </c>
      <c r="D25" s="75" t="s">
        <v>2</v>
      </c>
      <c r="E25" s="199" t="s">
        <v>2</v>
      </c>
      <c r="F25" s="208" t="s">
        <v>2</v>
      </c>
      <c r="G25" s="201"/>
      <c r="H25" s="207" t="s">
        <v>2</v>
      </c>
      <c r="I25" s="199" t="s">
        <v>2</v>
      </c>
      <c r="J25" s="199" t="s">
        <v>2</v>
      </c>
      <c r="K25" s="1590" t="s">
        <v>2</v>
      </c>
    </row>
    <row r="26" spans="2:11" x14ac:dyDescent="0.25">
      <c r="B26" s="258" t="s">
        <v>651</v>
      </c>
      <c r="C26" s="259" t="s">
        <v>750</v>
      </c>
      <c r="D26" s="406">
        <f>SUMIF('Q100a-geral'!B8:B2587,C26,'Q100a-geral'!I8:I2587)</f>
        <v>46</v>
      </c>
      <c r="E26" s="197">
        <f>SUMIF('Q100a-geral'!BB8:BB2587,"Avaliações em pesquisas externas de opiniãoacessibilidade",'Q100a-geral'!I1:I2581)</f>
        <v>0</v>
      </c>
      <c r="F26" s="204">
        <f>COUNTIF('Q100a-geral'!BB6:BB2586,"Avaliações em pesquisas externas de opiniãoCMMCE")</f>
        <v>0</v>
      </c>
      <c r="G26" s="201"/>
      <c r="H26" s="203">
        <f>COUNTIF('Q100a-geral'!BD6:BD2586,"Avaliações em pesquisas externas de opiniãometa/RPI")</f>
        <v>4</v>
      </c>
      <c r="I26" s="197">
        <f>COUNTIF('Q100a-geral'!BD6:BD2586,"Avaliações em pesquisas externas de opiniãobenchmarking")</f>
        <v>2</v>
      </c>
      <c r="J26" s="197">
        <f>COUNTIF('Q100a-geral'!BD8:BD2586,"Avaliações em pesquisas externas de opiniãosigla/verbete")</f>
        <v>2</v>
      </c>
      <c r="K26" s="1589">
        <f t="shared" si="0"/>
        <v>54</v>
      </c>
    </row>
    <row r="27" spans="2:11" s="3" customFormat="1" ht="30.75" customHeight="1" x14ac:dyDescent="0.25">
      <c r="B27" s="291" t="s">
        <v>652</v>
      </c>
      <c r="C27" s="294" t="s">
        <v>751</v>
      </c>
      <c r="D27" s="406">
        <f>SUMIF('Q100a-geral'!B8:B2587,C27,'Q100a-geral'!I8:I2587)</f>
        <v>4</v>
      </c>
      <c r="E27" s="295">
        <f>SUMIF('Q100a-geral'!BB8:BB2587,"Outras questões em pesquisas externas de opiniãoacessibilidade",'Q100a-geral'!I1:I2581)</f>
        <v>0</v>
      </c>
      <c r="F27" s="296">
        <f>COUNTIF('Q100a-geral'!BB6:BB2586,"Outras questões em pesquisas externas de opiniãoCMMCE")</f>
        <v>0</v>
      </c>
      <c r="G27" s="297"/>
      <c r="H27" s="298">
        <f>COUNTIF('Q100a-geral'!BD6:BD2586,"Outras questões em pesquisas externas de opiniãometa/RPI")</f>
        <v>1</v>
      </c>
      <c r="I27" s="295">
        <f>COUNTIF('Q100a-geral'!BD6:BD2586,"Outras questões em pesquisas externas de opiniãobenchmarking")</f>
        <v>10</v>
      </c>
      <c r="J27" s="295">
        <f>COUNTIF('Q100a-geral'!BD8:BD2586,"Outras questões em pesquisas externas de opiniãosigla/verbete")</f>
        <v>0</v>
      </c>
      <c r="K27" s="1589">
        <f t="shared" si="0"/>
        <v>15</v>
      </c>
    </row>
    <row r="28" spans="2:11" x14ac:dyDescent="0.25">
      <c r="B28" s="258" t="s">
        <v>592</v>
      </c>
      <c r="C28" s="259" t="s">
        <v>715</v>
      </c>
      <c r="D28" s="406">
        <f>SUMIF('Q100a-geral'!B8:B2587,C28,'Q100a-geral'!I8:I2587)</f>
        <v>0</v>
      </c>
      <c r="E28" s="197">
        <f>SUMIF('Q100a-geral'!BB8:BB2587,"Pesquisas internasacessibilidade",'Q100a-geral'!I1:I2581)</f>
        <v>0</v>
      </c>
      <c r="F28" s="204">
        <f>COUNTIF('Q100a-geral'!BB6:BB2586,"Pesquisas internasCMMCE")</f>
        <v>0</v>
      </c>
      <c r="G28" s="201"/>
      <c r="H28" s="203">
        <f>COUNTIF('Q100a-geral'!BD6:BD2586,"Pesquisas internasmeta/RPI")</f>
        <v>0</v>
      </c>
      <c r="I28" s="197">
        <f>COUNTIF('Q100a-geral'!BD6:BD2586,"Pesquisas internasbenchmarking")</f>
        <v>0</v>
      </c>
      <c r="J28" s="197">
        <f>COUNTIF('Q100a-geral'!BD8:BD2586,"Pesquisas internassigla/verbete")</f>
        <v>1</v>
      </c>
      <c r="K28" s="1589">
        <f t="shared" si="0"/>
        <v>1</v>
      </c>
    </row>
    <row r="29" spans="2:11" x14ac:dyDescent="0.25">
      <c r="B29" s="258" t="s">
        <v>593</v>
      </c>
      <c r="C29" s="259" t="s">
        <v>921</v>
      </c>
      <c r="D29" s="406">
        <f>SUMIF('Q100a-geral'!B8:B2587,C29,'Q100a-geral'!I8:I2587)</f>
        <v>1</v>
      </c>
      <c r="E29" s="197">
        <f>SUMIF('Q100a-geral'!BB8:BB2587,"Qualidade da informaçãoacessibilidade",'Q100a-geral'!I1:I2581)</f>
        <v>0</v>
      </c>
      <c r="F29" s="204">
        <f>COUNTIF('Q100a-geral'!BB6:BB2586,"Qualidade da informaçãoCMMCE")</f>
        <v>0</v>
      </c>
      <c r="G29" s="201"/>
      <c r="H29" s="203">
        <f>COUNTIF('Q100a-geral'!BD6:BD2586,"Qualidade da informaçãometa/RPI")</f>
        <v>0</v>
      </c>
      <c r="I29" s="197">
        <f>COUNTIF('Q100a-geral'!BD6:BD2586,"Qualidade da informaçãobenchmarking")</f>
        <v>0</v>
      </c>
      <c r="J29" s="197">
        <f>COUNTIF('Q100a-geral'!BD8:BD2586,"Qualidade da informaçãosigla/verbete")</f>
        <v>0</v>
      </c>
      <c r="K29" s="1589">
        <f t="shared" si="0"/>
        <v>1</v>
      </c>
    </row>
    <row r="30" spans="2:11" x14ac:dyDescent="0.25">
      <c r="B30" s="258" t="s">
        <v>594</v>
      </c>
      <c r="C30" s="259" t="s">
        <v>683</v>
      </c>
      <c r="D30" s="406">
        <f>SUMIF('Q100a-geral'!B8:B2587,C30,'Q100a-geral'!I8:I2587)</f>
        <v>31</v>
      </c>
      <c r="E30" s="197">
        <f>SUMIF('Q100a-geral'!BB8:BB2587,"Recursos humanosacessibilidade",'Q100a-geral'!I1:I2581)</f>
        <v>7</v>
      </c>
      <c r="F30" s="204">
        <f>COUNTIF('Q100a-geral'!BB6:BB2586,"Recursos humanosCMMCE")</f>
        <v>0</v>
      </c>
      <c r="G30" s="201"/>
      <c r="H30" s="203">
        <f>COUNTIF('Q100a-geral'!BD6:BD2586,"Recursos humanosmeta/RPI")</f>
        <v>2</v>
      </c>
      <c r="I30" s="197">
        <f>COUNTIF('Q100a-geral'!BD6:BD2586,"Recursos humanosbenchmarking")</f>
        <v>6</v>
      </c>
      <c r="J30" s="197">
        <f>COUNTIF('Q100a-geral'!BD8:BD2586,"Recursos humanossigla/verbete")</f>
        <v>1</v>
      </c>
      <c r="K30" s="1589">
        <f t="shared" si="0"/>
        <v>40</v>
      </c>
    </row>
    <row r="31" spans="2:11" x14ac:dyDescent="0.25">
      <c r="B31" s="258" t="s">
        <v>595</v>
      </c>
      <c r="C31" s="259" t="s">
        <v>914</v>
      </c>
      <c r="D31" s="406">
        <f>SUMIF('Q100a-geral'!B8:B2587,C31,'Q100a-geral'!I8:I2587)</f>
        <v>0</v>
      </c>
      <c r="E31" s="197">
        <f>SUMIF('Q100a-geral'!BB8:BB2587,"Resultados econômico-financeirosacessibilidade",'Q100a-geral'!I1:I2581)</f>
        <v>0</v>
      </c>
      <c r="F31" s="204">
        <f>COUNTIF('Q100a-geral'!BB6:BB2586,"Resultados econômico-financeirosCMMCE")</f>
        <v>0</v>
      </c>
      <c r="G31" s="201"/>
      <c r="H31" s="203">
        <f>COUNTIF('Q100a-geral'!BD6:BD2586,"Resultados econômico-financeirosmeta/RPI")</f>
        <v>0</v>
      </c>
      <c r="I31" s="197">
        <f>COUNTIF('Q100a-geral'!BD6:BD2586,"Resultados econômico-financeirosbenchmarking")</f>
        <v>0</v>
      </c>
      <c r="J31" s="197">
        <f>COUNTIF('Q100a-geral'!BD8:BD2586,"Resultados econômico-financeirossigla/verbete")</f>
        <v>0</v>
      </c>
      <c r="K31" s="1589">
        <f t="shared" si="0"/>
        <v>0</v>
      </c>
    </row>
    <row r="32" spans="2:11" x14ac:dyDescent="0.25">
      <c r="B32" s="258" t="s">
        <v>596</v>
      </c>
      <c r="C32" s="259" t="s">
        <v>197</v>
      </c>
      <c r="D32" s="406">
        <f>SUMIF('Q100a-geral'!B8:B2587,C32,'Q100a-geral'!I8:I2587)</f>
        <v>0</v>
      </c>
      <c r="E32" s="197">
        <f>SUMIF('Q100a-geral'!BB8:BB2587,"Resultados administrativosacessibilidade",'Q100a-geral'!I1:I2581)</f>
        <v>0</v>
      </c>
      <c r="F32" s="204">
        <f>COUNTIF('Q100a-geral'!BB6:BB2586,"Resultados administrativosCMMCE")</f>
        <v>0</v>
      </c>
      <c r="G32" s="201"/>
      <c r="H32" s="203">
        <f>COUNTIF('Q100a-geral'!BD6:BD2586,"Resultados administrativosmeta/RPI")</f>
        <v>0</v>
      </c>
      <c r="I32" s="197">
        <f>COUNTIF('Q100a-geral'!BD6:BD2586,"Resultados administrativosbenchmarking")</f>
        <v>0</v>
      </c>
      <c r="J32" s="197">
        <f>COUNTIF('Q100a-geral'!BD8:BD2586,"Resultados administrativossigla/verbete")</f>
        <v>0</v>
      </c>
      <c r="K32" s="1589">
        <f t="shared" si="0"/>
        <v>0</v>
      </c>
    </row>
    <row r="33" spans="2:11" x14ac:dyDescent="0.25">
      <c r="B33" s="258" t="s">
        <v>6236</v>
      </c>
      <c r="C33" s="259" t="s">
        <v>6051</v>
      </c>
      <c r="D33" s="406">
        <f>SUMIF('Q100a-geral'!B8:B2587,C33,'Q100a-geral'!I8:I2587)</f>
        <v>0</v>
      </c>
      <c r="E33" s="197">
        <f>SUMIF('Q100a-geral'!BB8:BB2587,"Relatórios e outros documentosacessibilidade",'Q100a-geral'!I8:I2587)</f>
        <v>0</v>
      </c>
      <c r="F33" s="204">
        <f>COUNTIF('Q100a-geral'!BB8:BB2587,"Relatórios e outros documentosCMMCE")</f>
        <v>0</v>
      </c>
      <c r="G33" s="201"/>
      <c r="H33" s="203">
        <f>COUNTIF('Q100a-geral'!BD8:BD2587,"Relatórios e outros documentosmeta/RPI")</f>
        <v>0</v>
      </c>
      <c r="I33" s="197">
        <f>COUNTIF('Q100a-geral'!BD8:BD2587,"Relatórios e outros documentosbenchmarking")</f>
        <v>0</v>
      </c>
      <c r="J33" s="197">
        <f>COUNTIF('Q100a-geral'!BD8:BD2587,"Relatórios e outros documentossigla/verbete")</f>
        <v>17</v>
      </c>
      <c r="K33" s="1589">
        <f t="shared" si="0"/>
        <v>17</v>
      </c>
    </row>
    <row r="34" spans="2:11" x14ac:dyDescent="0.25">
      <c r="B34" s="258" t="s">
        <v>6050</v>
      </c>
      <c r="C34" s="261" t="s">
        <v>6237</v>
      </c>
      <c r="D34" s="406">
        <f>SUMIF('Q100a-geral'!B8:B2587,C34,'Q100a-geral'!I8:I2587)</f>
        <v>0</v>
      </c>
      <c r="E34" s="197">
        <f ca="1">SUMIF('Q100a-geral'!BB8:BB2587,"Verbetes geraisacessibilidade",'Q100a-geral'!I9:I2587)</f>
        <v>0</v>
      </c>
      <c r="F34" s="204">
        <f>COUNTIF('Q100a-geral'!BB8:BB2587,"Verbetes geraisCMMCE")</f>
        <v>0</v>
      </c>
      <c r="G34" s="201"/>
      <c r="H34" s="203">
        <f>COUNTIF('Q100a-geral'!BD8:BD2587,"Verbetes geraismeta/RPI")</f>
        <v>1</v>
      </c>
      <c r="I34" s="197">
        <f>COUNTIF('Q100a-geral'!BD8:BD2587,"Verbetes geraisbenchmarking")</f>
        <v>0</v>
      </c>
      <c r="J34" s="197">
        <f>COUNTIF('Q100a-geral'!BD8:BD2587,"Verbetes geraissigla/verbete")</f>
        <v>6</v>
      </c>
      <c r="K34" s="1589">
        <f t="shared" ref="K34" si="1">D34+H34+I34+J34</f>
        <v>7</v>
      </c>
    </row>
    <row r="35" spans="2:11" s="3" customFormat="1" x14ac:dyDescent="0.25">
      <c r="B35" s="1641" t="s">
        <v>1040</v>
      </c>
      <c r="C35" s="1605"/>
      <c r="D35" s="73">
        <f>SUM(D36:D41)</f>
        <v>38</v>
      </c>
      <c r="E35" s="198">
        <f>SUM(E36:E41)</f>
        <v>8</v>
      </c>
      <c r="F35" s="206">
        <f>SUM(F36:F41)</f>
        <v>1</v>
      </c>
      <c r="G35" s="209"/>
      <c r="H35" s="205">
        <f>SUM(H36:H41)</f>
        <v>0</v>
      </c>
      <c r="I35" s="198">
        <f>SUM(I36:I41)</f>
        <v>5</v>
      </c>
      <c r="J35" s="198">
        <f>SUM(J36:J41)</f>
        <v>2</v>
      </c>
      <c r="K35" s="1590">
        <f t="shared" si="0"/>
        <v>45</v>
      </c>
    </row>
    <row r="36" spans="2:11" x14ac:dyDescent="0.25">
      <c r="B36" s="258" t="s">
        <v>597</v>
      </c>
      <c r="C36" s="259" t="s">
        <v>924</v>
      </c>
      <c r="D36" s="406">
        <f>SUMIF('Q100a-geral'!B8:B2587,C36,'Q100a-geral'!I8:I2587)</f>
        <v>0</v>
      </c>
      <c r="E36" s="197">
        <f>SUMIF('Q100a-geral'!BB8:BB2587,"Resultados administrativosacessibilidade",'Q100a-geral'!I1:I2581)</f>
        <v>0</v>
      </c>
      <c r="F36" s="204">
        <f>COUNTIF('Q100a-geral'!BB6:BB2586,"Controle operacionalCMMCE")</f>
        <v>0</v>
      </c>
      <c r="G36" s="201"/>
      <c r="H36" s="203">
        <f>COUNTIF('Q100a-geral'!BD6:BD2588,"Controle operacionalmeta/RPI")</f>
        <v>0</v>
      </c>
      <c r="I36" s="197">
        <f>COUNTIF('Q100a-geral'!BD7:BD2587,"Controle operacionalbenchmarking")</f>
        <v>0</v>
      </c>
      <c r="J36" s="197">
        <f>COUNTIF('Q100a-geral'!BD8:BD2586,"Controle operacionalsigla/verbete")</f>
        <v>0</v>
      </c>
      <c r="K36" s="1589">
        <f t="shared" si="0"/>
        <v>0</v>
      </c>
    </row>
    <row r="37" spans="2:11" x14ac:dyDescent="0.25">
      <c r="B37" s="258" t="s">
        <v>598</v>
      </c>
      <c r="C37" s="259" t="s">
        <v>925</v>
      </c>
      <c r="D37" s="406">
        <f>SUMIF('Q100a-geral'!B8:B2587,C37,'Q100a-geral'!I8:I2587)</f>
        <v>0</v>
      </c>
      <c r="E37" s="197">
        <f>SUMIF('Q100a-geral'!BB8:BB2587,"Defesas e recursos de autuaçõesacessibilidade",'Q100a-geral'!I1:I2581)</f>
        <v>0</v>
      </c>
      <c r="F37" s="204">
        <f>COUNTIF('Q100a-geral'!BB6:BB2586,"Defesas e recursos de autuaçõesCMMCE")</f>
        <v>0</v>
      </c>
      <c r="G37" s="201"/>
      <c r="H37" s="203">
        <f>COUNTIF('Q100a-geral'!BD6:BD2588,"Defesas e recursos de autuaçõesmeta/RPI")</f>
        <v>0</v>
      </c>
      <c r="I37" s="197">
        <f>COUNTIF('Q100a-geral'!BD7:BD2587,"Defesas e recursos de autuaçõesbenchmarking")</f>
        <v>0</v>
      </c>
      <c r="J37" s="197">
        <f>COUNTIF('Q100a-geral'!BD8:BD2586,"Defesas e recursos de autuaçõessigla/verbete")</f>
        <v>0</v>
      </c>
      <c r="K37" s="1589">
        <f t="shared" si="0"/>
        <v>0</v>
      </c>
    </row>
    <row r="38" spans="2:11" x14ac:dyDescent="0.25">
      <c r="B38" s="258" t="s">
        <v>599</v>
      </c>
      <c r="C38" s="259" t="s">
        <v>878</v>
      </c>
      <c r="D38" s="406">
        <f>SUMIF('Q100a-geral'!B8:B2587,C38,'Q100a-geral'!I8:I2587)</f>
        <v>24</v>
      </c>
      <c r="E38" s="197">
        <f>SUMIF('Q100a-geral'!BB8:BB2586,"Fiscalização urbanística integradaacessibilidade",'Q100a-geral'!I8:I2586)</f>
        <v>8</v>
      </c>
      <c r="F38" s="204">
        <f>COUNTIF('Q100a-geral'!BB6:BB2586,"Fiscalização urbanística integradaCMMCE")</f>
        <v>1</v>
      </c>
      <c r="G38" s="201"/>
      <c r="H38" s="203">
        <f>COUNTIF('Q100a-geral'!BD6:BD2586,"Fiscalização urbanística integradameta/RPI")</f>
        <v>0</v>
      </c>
      <c r="I38" s="197">
        <f>COUNTIF('Q100a-geral'!BD6:BD2586,"Fiscalização urbanística integradabenchmarking")</f>
        <v>0</v>
      </c>
      <c r="J38" s="197">
        <f>COUNTIF('Q100a-geral'!BD8:BD2586,"Fiscalização urbanística integradasigla/verbete")</f>
        <v>0</v>
      </c>
      <c r="K38" s="1589">
        <f t="shared" si="0"/>
        <v>24</v>
      </c>
    </row>
    <row r="39" spans="2:11" x14ac:dyDescent="0.25">
      <c r="B39" s="258" t="s">
        <v>600</v>
      </c>
      <c r="C39" s="259" t="s">
        <v>919</v>
      </c>
      <c r="D39" s="406">
        <f>SUMIF('Q100a-geral'!B8:B2587,C39,'Q100a-geral'!I8:I2587)</f>
        <v>14</v>
      </c>
      <c r="E39" s="197">
        <f>SUMIF('Q100a-geral'!BB9:BB2587,"Infrações de trânsitoacessibilidade",'Q100a-geral'!I9:I2587)</f>
        <v>0</v>
      </c>
      <c r="F39" s="204">
        <f>COUNTIF('Q100a-geral'!BB6:BB2586,"Infrações de trânsitoCMMCE")</f>
        <v>0</v>
      </c>
      <c r="G39" s="201"/>
      <c r="H39" s="203">
        <f>COUNTIF('Q100a-geral'!BD6:BD2586,"Infrações de trânsitometa/RPI")</f>
        <v>0</v>
      </c>
      <c r="I39" s="197">
        <f>COUNTIF('Q100a-geral'!BD6:BD2586,"Infrações de trânsitobenchmarking")</f>
        <v>5</v>
      </c>
      <c r="J39" s="197">
        <f>COUNTIF('Q100a-geral'!BD8:BD2586,"Infrações de trânsitosigla/verbete")</f>
        <v>2</v>
      </c>
      <c r="K39" s="1589">
        <f t="shared" si="0"/>
        <v>21</v>
      </c>
    </row>
    <row r="40" spans="2:11" x14ac:dyDescent="0.25">
      <c r="B40" s="258" t="s">
        <v>601</v>
      </c>
      <c r="C40" s="259" t="s">
        <v>926</v>
      </c>
      <c r="D40" s="406">
        <f>SUMIF('Q100a-geral'!B8:B2587,C40,'Q100a-geral'!I8:I2587)</f>
        <v>0</v>
      </c>
      <c r="E40" s="197">
        <f>SUMIF('Q100a-geral'!BB10:BB2588,"Infrações de transporteacessibilidade",'Q100a-geral'!I10:I2588)</f>
        <v>0</v>
      </c>
      <c r="F40" s="204">
        <f>COUNTIF('Q100a-geral'!BB6:BB2586,"Infrações de transporteCMMCE")</f>
        <v>0</v>
      </c>
      <c r="G40" s="201"/>
      <c r="H40" s="203">
        <f>COUNTIF('Q100a-geral'!BD6:BD2588,"Infrações de transportemeta/RPI")</f>
        <v>0</v>
      </c>
      <c r="I40" s="197">
        <f>COUNTIF('Q100a-geral'!BD7:BD2587,"Infrações de transportebenchmarking")</f>
        <v>0</v>
      </c>
      <c r="J40" s="197">
        <f>COUNTIF('Q100a-geral'!BD8:BD2586,"Infrações de transportesigla/verbete")</f>
        <v>0</v>
      </c>
      <c r="K40" s="1589">
        <f t="shared" si="0"/>
        <v>0</v>
      </c>
    </row>
    <row r="41" spans="2:11" x14ac:dyDescent="0.25">
      <c r="B41" s="258" t="s">
        <v>602</v>
      </c>
      <c r="C41" s="259" t="s">
        <v>915</v>
      </c>
      <c r="D41" s="406">
        <f>SUMIF('Q100a-geral'!B8:B2587,C41,'Q100a-geral'!I8:I2587)</f>
        <v>0</v>
      </c>
      <c r="E41" s="197">
        <f>SUMIF('Q100a-geral'!BB11:BB2590,"Operação/fiscalização em geralacessibilidade",'Q100a-geral'!I11:I2590)</f>
        <v>0</v>
      </c>
      <c r="F41" s="204">
        <f>COUNTIF('Q100a-geral'!BB6:BB2586,"Operação/fiscalização em geralCMMCE")</f>
        <v>0</v>
      </c>
      <c r="G41" s="201"/>
      <c r="H41" s="203">
        <f>COUNTIF('Q100a-geral'!BD6:BD2588,"Operação/fiscalização em geralmeta/RPI")</f>
        <v>0</v>
      </c>
      <c r="I41" s="197">
        <f>COUNTIF('Q100a-geral'!BD7:BD2587,"Operação/fiscalização em geralbenchmarking")</f>
        <v>0</v>
      </c>
      <c r="J41" s="197">
        <f>COUNTIF('Q100a-geral'!BD8:BD2586,"Operação/fiscalização em geralsigla/verbete")</f>
        <v>0</v>
      </c>
      <c r="K41" s="1589">
        <f t="shared" si="0"/>
        <v>0</v>
      </c>
    </row>
    <row r="42" spans="2:11" x14ac:dyDescent="0.25">
      <c r="B42" s="1636" t="s">
        <v>577</v>
      </c>
      <c r="C42" s="1637"/>
      <c r="D42" s="73">
        <f>SUM(D43:D46)</f>
        <v>65</v>
      </c>
      <c r="E42" s="198">
        <f>SUM(E43:E46)</f>
        <v>0</v>
      </c>
      <c r="F42" s="206">
        <f>SUM(F43:F46)</f>
        <v>32</v>
      </c>
      <c r="G42" s="209"/>
      <c r="H42" s="205">
        <f>SUM(H43:H46)</f>
        <v>14</v>
      </c>
      <c r="I42" s="198">
        <f>SUM(I43:I46)</f>
        <v>85</v>
      </c>
      <c r="J42" s="198">
        <f>SUM(J43:J46)</f>
        <v>15</v>
      </c>
      <c r="K42" s="1590">
        <f t="shared" si="0"/>
        <v>179</v>
      </c>
    </row>
    <row r="43" spans="2:11" x14ac:dyDescent="0.25">
      <c r="B43" s="258" t="s">
        <v>603</v>
      </c>
      <c r="C43" s="259" t="s">
        <v>643</v>
      </c>
      <c r="D43" s="406">
        <f>SUMIF('Q100a-geral'!B8:B2587,C43,'Q100a-geral'!I8:I2587)</f>
        <v>24</v>
      </c>
      <c r="E43" s="197">
        <f>SUMIF('Q100a-geral'!BB15:BB2592,"Gases de efeito estufaacessibilidade",'Q100a-geral'!I15:I2592)</f>
        <v>0</v>
      </c>
      <c r="F43" s="204">
        <f>COUNTIF('Q100a-geral'!BB6:BB2586,"Gases de efeito estufaCMMCE")</f>
        <v>29</v>
      </c>
      <c r="G43" s="201"/>
      <c r="H43" s="203">
        <f>COUNTIF('Q100a-geral'!BD6:BD2586,"Gases de efeito estufameta/RPI")</f>
        <v>3</v>
      </c>
      <c r="I43" s="197">
        <f>COUNTIF('Q100a-geral'!BD6:BD2586,"Gases de efeito estufabenchmarking")</f>
        <v>6</v>
      </c>
      <c r="J43" s="197">
        <f>COUNTIF('Q100a-geral'!BD8:BD2586,"Gases de efeito estufasigla/verbete")</f>
        <v>2</v>
      </c>
      <c r="K43" s="1589">
        <f t="shared" si="0"/>
        <v>35</v>
      </c>
    </row>
    <row r="44" spans="2:11" x14ac:dyDescent="0.25">
      <c r="B44" s="258" t="s">
        <v>604</v>
      </c>
      <c r="C44" s="260" t="s">
        <v>736</v>
      </c>
      <c r="D44" s="406">
        <f>SUMIF('Q100a-geral'!B8:B2587,C44,'Q100a-geral'!I8:I2587)</f>
        <v>41</v>
      </c>
      <c r="E44" s="197">
        <f>SUMIF('Q100a-geral'!BB16:BB2593,"Poluição do aracessibilidade",'Q100a-geral'!I16:I2593)</f>
        <v>0</v>
      </c>
      <c r="F44" s="204">
        <f>COUNTIF('Q100a-geral'!BB6:BB2586,"Poluição do arCMMCE")</f>
        <v>3</v>
      </c>
      <c r="G44" s="201"/>
      <c r="H44" s="203">
        <f>COUNTIF('Q100a-geral'!BD6:BD2586,"Poluição do armeta/RPI")</f>
        <v>11</v>
      </c>
      <c r="I44" s="197">
        <f>COUNTIF('Q100a-geral'!BD6:BD2586,"Poluição do arbenchmarking")</f>
        <v>79</v>
      </c>
      <c r="J44" s="197">
        <f>COUNTIF('Q100a-geral'!BD8:BD2586,"Poluição do arsigla/verbete")</f>
        <v>12</v>
      </c>
      <c r="K44" s="1589">
        <f t="shared" si="0"/>
        <v>143</v>
      </c>
    </row>
    <row r="45" spans="2:11" x14ac:dyDescent="0.25">
      <c r="B45" s="258" t="s">
        <v>605</v>
      </c>
      <c r="C45" s="259" t="s">
        <v>737</v>
      </c>
      <c r="D45" s="406">
        <f>SUMIF('Q100a-geral'!B8:B2587,C45,'Q100a-geral'!I8:I2587)</f>
        <v>0</v>
      </c>
      <c r="E45" s="197">
        <f>SUMIF('Q100a-geral'!BB17:BB2594,"Poluição sonoraacessibilidade",'Q100a-geral'!I17:I2594)</f>
        <v>0</v>
      </c>
      <c r="F45" s="204">
        <f>COUNTIF('Q100a-geral'!BB6:BB2586,"Poluição sonoraCMMCE")</f>
        <v>0</v>
      </c>
      <c r="G45" s="201"/>
      <c r="H45" s="203">
        <f>COUNTIF('Q100a-geral'!BD6:BD2586,"Poluição sonorameta/RPI")</f>
        <v>0</v>
      </c>
      <c r="I45" s="197">
        <f>COUNTIF('Q100a-geral'!BD6:BD2586,"Poluição sonorabenchmarking")</f>
        <v>0</v>
      </c>
      <c r="J45" s="197">
        <f>COUNTIF('Q100a-geral'!BD8:BD2586,"Poluição sonorasigla/verbete")</f>
        <v>0</v>
      </c>
      <c r="K45" s="1589">
        <f t="shared" si="0"/>
        <v>0</v>
      </c>
    </row>
    <row r="46" spans="2:11" x14ac:dyDescent="0.25">
      <c r="B46" s="258" t="s">
        <v>606</v>
      </c>
      <c r="C46" s="259" t="s">
        <v>738</v>
      </c>
      <c r="D46" s="406">
        <f>SUMIF('Q100a-geral'!B8:B2587,C46,'Q100a-geral'!I8:I2587)</f>
        <v>0</v>
      </c>
      <c r="E46" s="197">
        <f>SUMIF('Q100a-geral'!BB18:BB2595,"Resíduos e efluentesacessibilidade",'Q100a-geral'!I18:I2595)</f>
        <v>0</v>
      </c>
      <c r="F46" s="204">
        <f>COUNTIF('Q100a-geral'!BB6:BB2586,"Resíduos e efluentesCMMCE")</f>
        <v>0</v>
      </c>
      <c r="G46" s="201"/>
      <c r="H46" s="203">
        <f>COUNTIF('Q100a-geral'!BD6:BD2586,"Poluição sonorameta/RPI")</f>
        <v>0</v>
      </c>
      <c r="I46" s="197">
        <f>COUNTIF('Q100a-geral'!BD6:BD2586,"Poluição sonorabenchmarking")</f>
        <v>0</v>
      </c>
      <c r="J46" s="197">
        <f>COUNTIF('Q100a-geral'!BD8:BD2586,"Resíduos e efluentessigla/verbete")</f>
        <v>1</v>
      </c>
      <c r="K46" s="1589">
        <f t="shared" si="0"/>
        <v>1</v>
      </c>
    </row>
    <row r="47" spans="2:11" x14ac:dyDescent="0.25">
      <c r="B47" s="258" t="s">
        <v>5588</v>
      </c>
      <c r="C47" s="259" t="s">
        <v>5593</v>
      </c>
      <c r="D47" s="406">
        <f>SUMIF('Q100a-geral'!B9:B2588,C47,'Q100a-geral'!I9:I2588)</f>
        <v>0</v>
      </c>
      <c r="E47" s="197">
        <f>SUMIF('Q100a-geral'!BB19:BB2596,"Outros meio ambienteacessibilidade",'Q100a-geral'!I19:I2596)</f>
        <v>0</v>
      </c>
      <c r="F47" s="204">
        <f>COUNTIF('Q100a-geral'!BB7:BB2587,"Outros meio ambienteCMMCE")</f>
        <v>0</v>
      </c>
      <c r="G47" s="201"/>
      <c r="H47" s="203">
        <f>COUNTIF('Q100a-geral'!BD7:BD2587,"Outros meio ambientemeta/RPI")</f>
        <v>0</v>
      </c>
      <c r="I47" s="197">
        <f>COUNTIF('Q100a-geral'!BD7:BD2587,"Outros meio ambientebenchmarking")</f>
        <v>0</v>
      </c>
      <c r="J47" s="197">
        <f>COUNTIF('Q100a-geral'!BD9:BD2587,"Outros meio ambientesigla/verbete")</f>
        <v>7</v>
      </c>
      <c r="K47" s="1589">
        <f t="shared" si="0"/>
        <v>7</v>
      </c>
    </row>
    <row r="48" spans="2:11" x14ac:dyDescent="0.25">
      <c r="B48" s="1636" t="s">
        <v>3251</v>
      </c>
      <c r="C48" s="1637"/>
      <c r="D48" s="73">
        <f>SUM(D49:D50)</f>
        <v>48</v>
      </c>
      <c r="E48" s="198">
        <f>SUM(E49:E50)</f>
        <v>34</v>
      </c>
      <c r="F48" s="206">
        <f>SUM(F49:F50)</f>
        <v>3</v>
      </c>
      <c r="G48" s="209"/>
      <c r="H48" s="205">
        <f>SUM(H49:H50)</f>
        <v>7</v>
      </c>
      <c r="I48" s="198">
        <f>SUM(I49:I50)</f>
        <v>22</v>
      </c>
      <c r="J48" s="198">
        <f>SUM(J49:J50)</f>
        <v>36</v>
      </c>
      <c r="K48" s="1590">
        <f t="shared" si="0"/>
        <v>113</v>
      </c>
    </row>
    <row r="49" spans="2:11" x14ac:dyDescent="0.25">
      <c r="B49" s="258" t="s">
        <v>607</v>
      </c>
      <c r="C49" s="259" t="s">
        <v>990</v>
      </c>
      <c r="D49" s="406">
        <f>SUMIF('Q100a-geral'!B8:B2587,C49,'Q100a-geral'!I8:I2587)</f>
        <v>34</v>
      </c>
      <c r="E49" s="197">
        <f>SUMIF('Q100a-geral'!BB20:BB2597,"Calçadas e passarelasacessibilidade",'Q100a-geral'!I20:I2597)</f>
        <v>34</v>
      </c>
      <c r="F49" s="204">
        <f>COUNTIF('Q100a-geral'!BB6:BB2586,"Calçadas e passarelasCMMCE")</f>
        <v>0</v>
      </c>
      <c r="G49" s="201"/>
      <c r="H49" s="203">
        <f>COUNTIF('Q100a-geral'!BD6:BD2588,"Calçadas e passarelasmeta/RPI")</f>
        <v>1</v>
      </c>
      <c r="I49" s="197">
        <f>COUNTIF('Q100a-geral'!BD7:BD2587,"Calçadas e passarelasbenchmarking")</f>
        <v>15</v>
      </c>
      <c r="J49" s="197">
        <f>COUNTIF('Q100a-geral'!BD8:BD2586,"Calçadas e passarelassigla/verbete")</f>
        <v>20</v>
      </c>
      <c r="K49" s="1589">
        <f t="shared" si="0"/>
        <v>70</v>
      </c>
    </row>
    <row r="50" spans="2:11" s="3" customFormat="1" x14ac:dyDescent="0.25">
      <c r="B50" s="319" t="s">
        <v>608</v>
      </c>
      <c r="C50" s="259" t="s">
        <v>997</v>
      </c>
      <c r="D50" s="406">
        <f>SUMIF('Q100a-geral'!B8:B2587,C50,'Q100a-geral'!I8:I2587)</f>
        <v>14</v>
      </c>
      <c r="E50" s="197">
        <f>SUMIF('Q100a-geral'!BB21:BB2598,"Sistema de bicicletaacessibilidade",'Q100a-geral'!I21:I2598)</f>
        <v>0</v>
      </c>
      <c r="F50" s="296">
        <f>COUNTIF('Q100a-geral'!BB6:BB2586,"Sistema de bicicletaCMMCE")</f>
        <v>3</v>
      </c>
      <c r="G50" s="297"/>
      <c r="H50" s="298">
        <f>COUNTIF('Q100a-geral'!BD6:BD2586,"Sistema de bicicletameta/RPI")</f>
        <v>6</v>
      </c>
      <c r="I50" s="295">
        <f>COUNTIF('Q100a-geral'!BD7:BD2587,"Sistema de bicicletabenchmarking")</f>
        <v>7</v>
      </c>
      <c r="J50" s="197">
        <f>COUNTIF('Q100a-geral'!BD8:BD2586,"Sistema de bicicletasigla/verbete")</f>
        <v>16</v>
      </c>
      <c r="K50" s="1589">
        <f t="shared" si="0"/>
        <v>43</v>
      </c>
    </row>
    <row r="51" spans="2:11" x14ac:dyDescent="0.25">
      <c r="B51" s="1636" t="s">
        <v>578</v>
      </c>
      <c r="C51" s="1637"/>
      <c r="D51" s="74">
        <v>0</v>
      </c>
      <c r="E51" s="199">
        <v>0</v>
      </c>
      <c r="F51" s="208">
        <v>0</v>
      </c>
      <c r="G51" s="201"/>
      <c r="H51" s="207">
        <v>0</v>
      </c>
      <c r="I51" s="199">
        <v>0</v>
      </c>
      <c r="J51" s="199">
        <v>0</v>
      </c>
      <c r="K51" s="1590">
        <f t="shared" si="0"/>
        <v>0</v>
      </c>
    </row>
    <row r="52" spans="2:11" x14ac:dyDescent="0.25">
      <c r="B52" s="1636" t="s">
        <v>579</v>
      </c>
      <c r="C52" s="1637"/>
      <c r="D52" s="73">
        <f ca="1">SUM(D53:D62)</f>
        <v>289</v>
      </c>
      <c r="E52" s="73">
        <f>SUM(E53:E62)</f>
        <v>151</v>
      </c>
      <c r="F52" s="206">
        <f>SUM(F53:F62)</f>
        <v>6</v>
      </c>
      <c r="G52" s="209"/>
      <c r="H52" s="205">
        <f>SUM(H53:H62)</f>
        <v>21</v>
      </c>
      <c r="I52" s="198">
        <f>SUM(I53:I62)</f>
        <v>128</v>
      </c>
      <c r="J52" s="198">
        <f>SUM(J53:J62)</f>
        <v>220</v>
      </c>
      <c r="K52" s="1590">
        <f t="shared" ca="1" si="0"/>
        <v>658</v>
      </c>
    </row>
    <row r="53" spans="2:11" x14ac:dyDescent="0.25">
      <c r="B53" s="258" t="s">
        <v>609</v>
      </c>
      <c r="C53" s="259" t="s">
        <v>927</v>
      </c>
      <c r="D53" s="406">
        <f>SUMIF('Q100a-geral'!B8:B2587,C53,'Q100a-geral'!I8:I2587)</f>
        <v>0</v>
      </c>
      <c r="E53" s="197">
        <f>SUMIF('Q100a-geral'!BB8:BB2587,"Bilhetagem eletrônicaacessibilidade",'Q100a-geral'!I1:I2581)</f>
        <v>0</v>
      </c>
      <c r="F53" s="204">
        <f>COUNTIF('Q100a-geral'!BB6:BB2586,"Bilhetagem eletrônicaCMMCE")</f>
        <v>0</v>
      </c>
      <c r="G53" s="201"/>
      <c r="H53" s="203">
        <f>COUNTIF('Q100a-geral'!BD6:BD2588,"Bilhetagem eletrônicameta/RPI")</f>
        <v>0</v>
      </c>
      <c r="I53" s="197">
        <f>COUNTIF('Q100a-geral'!BD7:BD2587,"Bilhetagem eletrônicabenchmarking")</f>
        <v>0</v>
      </c>
      <c r="J53" s="197">
        <f>COUNTIF('Q100a-geral'!BD8:BD2586,"Bilhetagem eletrônicasigla/verbete")</f>
        <v>0</v>
      </c>
      <c r="K53" s="1589">
        <f t="shared" si="0"/>
        <v>0</v>
      </c>
    </row>
    <row r="54" spans="2:11" x14ac:dyDescent="0.25">
      <c r="B54" s="258" t="s">
        <v>610</v>
      </c>
      <c r="C54" s="259" t="s">
        <v>928</v>
      </c>
      <c r="D54" s="406">
        <f>SUMIF('Q100a-geral'!B8:B2587,C54,'Q100a-geral'!I8:I2587)</f>
        <v>110</v>
      </c>
      <c r="E54" s="197">
        <f>SUMIF('Q100a-geral'!BB8:BB2587,"BRTacessibilidade",'Q100a-geral'!I1:I2581)</f>
        <v>86</v>
      </c>
      <c r="F54" s="204">
        <f>COUNTIF('Q100a-geral'!BB6:BB2586,"BRTCMMCE")</f>
        <v>0</v>
      </c>
      <c r="G54" s="201"/>
      <c r="H54" s="203">
        <f>COUNTIF('Q100a-geral'!BD6:BD2588,"BRTmeta/RPI")</f>
        <v>0</v>
      </c>
      <c r="I54" s="197">
        <f>COUNTIF('Q100a-geral'!BD7:BD2587,"BRTbenchmarking")</f>
        <v>6</v>
      </c>
      <c r="J54" s="197">
        <f>COUNTIF('Q100a-geral'!BD8:BD2586,"BRTsigla/verbete")</f>
        <v>65</v>
      </c>
      <c r="K54" s="1589">
        <f t="shared" si="0"/>
        <v>181</v>
      </c>
    </row>
    <row r="55" spans="2:11" x14ac:dyDescent="0.25">
      <c r="B55" s="258" t="s">
        <v>611</v>
      </c>
      <c r="C55" s="259" t="s">
        <v>929</v>
      </c>
      <c r="D55" s="406">
        <f>SUMIF('Q100a-geral'!B8:B2587,C55,'Q100a-geral'!I8:I2587)</f>
        <v>0</v>
      </c>
      <c r="E55" s="197">
        <f>SUMIF('Q100a-geral'!BB8:BB2587,"Estações BHBUSacessibilidade",'Q100a-geral'!I1:I2581)</f>
        <v>0</v>
      </c>
      <c r="F55" s="204">
        <f>COUNTIF('Q100a-geral'!BB6:BB2586,"Estações BHBUSCMMCE")</f>
        <v>0</v>
      </c>
      <c r="G55" s="201"/>
      <c r="H55" s="203">
        <f>COUNTIF('Q100a-geral'!BD6:BD2588,"Estações BHBUSmeta/RPI")</f>
        <v>0</v>
      </c>
      <c r="I55" s="197">
        <f>COUNTIF('Q100a-geral'!BD7:BD2587,"Estações BHBUSbenchmarking")</f>
        <v>0</v>
      </c>
      <c r="J55" s="197">
        <f>COUNTIF('Q100a-geral'!BD8:BD2586,"Estações BHBUSsigla/verbete")</f>
        <v>1</v>
      </c>
      <c r="K55" s="1589">
        <f t="shared" si="0"/>
        <v>1</v>
      </c>
    </row>
    <row r="56" spans="2:11" x14ac:dyDescent="0.25">
      <c r="B56" s="258" t="s">
        <v>612</v>
      </c>
      <c r="C56" s="259" t="s">
        <v>641</v>
      </c>
      <c r="D56" s="406">
        <f>SUMIF('Q100a-geral'!B8:B2587,C56,'Q100a-geral'!I8:I2587)</f>
        <v>33</v>
      </c>
      <c r="E56" s="197">
        <f>SUMIF('Q100a-geral'!BB8:BB2587,"Táxiacessibilidade",'Q100a-geral'!I1:I2581)</f>
        <v>10</v>
      </c>
      <c r="F56" s="204">
        <f>COUNTIF('Q100a-geral'!BB6:BB2586,"TáxiCMMCE")</f>
        <v>0</v>
      </c>
      <c r="G56" s="201"/>
      <c r="H56" s="203">
        <f>COUNTIF('Q100a-geral'!BD6:BD2588,"Táximeta/RPI")</f>
        <v>1</v>
      </c>
      <c r="I56" s="197">
        <f>COUNTIF('Q100a-geral'!BD7:BD2587,"Táxibenchmarking")</f>
        <v>6</v>
      </c>
      <c r="J56" s="197">
        <f>COUNTIF('Q100a-geral'!BD8:BD2586,"Táxisigla/verbete")</f>
        <v>18</v>
      </c>
      <c r="K56" s="1589">
        <f t="shared" si="0"/>
        <v>58</v>
      </c>
    </row>
    <row r="57" spans="2:11" x14ac:dyDescent="0.25">
      <c r="B57" s="258" t="s">
        <v>613</v>
      </c>
      <c r="C57" s="259" t="s">
        <v>932</v>
      </c>
      <c r="D57" s="406">
        <f>SUMIF('Q100a-geral'!B8:B2587,C57,'Q100a-geral'!I8:I2587)</f>
        <v>57</v>
      </c>
      <c r="E57" s="197">
        <f>SUMIF('Q100a-geral'!BB8:BB2587,"Transporte convencionalacessibilidade",'Q100a-geral'!I3:I2582)</f>
        <v>5</v>
      </c>
      <c r="F57" s="204">
        <f>COUNTIF('Q100a-geral'!BB6:BB2586,"Transporte convencionalCMMCE")</f>
        <v>1</v>
      </c>
      <c r="G57" s="201"/>
      <c r="H57" s="203">
        <f>COUNTIF('Q100a-geral'!BD6:BD2588,"Transporte convencionalmeta/RPI")</f>
        <v>0</v>
      </c>
      <c r="I57" s="197">
        <f>COUNTIF('Q100a-geral'!BD7:BD2587,"Transporte convencionalbenchmarking")</f>
        <v>0</v>
      </c>
      <c r="J57" s="197">
        <f>COUNTIF('Q100a-geral'!BD8:BD2586,"Transporte convencionalsigla/verbete")</f>
        <v>16</v>
      </c>
      <c r="K57" s="1589">
        <f t="shared" si="0"/>
        <v>73</v>
      </c>
    </row>
    <row r="58" spans="2:11" x14ac:dyDescent="0.25">
      <c r="B58" s="258" t="s">
        <v>614</v>
      </c>
      <c r="C58" s="259" t="s">
        <v>691</v>
      </c>
      <c r="D58" s="406">
        <f ca="1">SUMIF('Q100a-geral'!B8:B2587,C58,'Q100a-geral'!I79:I2587)</f>
        <v>7</v>
      </c>
      <c r="E58" s="197">
        <f>SUMIF('Q100a-geral'!BB8:BB2587,"Transporte escolaracessibilidade",'Q100a-geral'!I4:I2583)</f>
        <v>2</v>
      </c>
      <c r="F58" s="204">
        <f>COUNTIF('Q100a-geral'!BB6:BB2586,"Transporte escolarCMMCE")</f>
        <v>0</v>
      </c>
      <c r="G58" s="201"/>
      <c r="H58" s="203">
        <f>COUNTIF('Q100a-geral'!BD6:BD2588,"Transporte escolarmeta/RPI")</f>
        <v>0</v>
      </c>
      <c r="I58" s="197">
        <f>COUNTIF('Q100a-geral'!BD7:BD2587,"Transporte escolarbenchmarking")</f>
        <v>0</v>
      </c>
      <c r="J58" s="197">
        <f>COUNTIF('Q100a-geral'!BD8:BD2586,"Transporte escolarsigla/verbete")</f>
        <v>1</v>
      </c>
      <c r="K58" s="1589">
        <f t="shared" ca="1" si="0"/>
        <v>8</v>
      </c>
    </row>
    <row r="59" spans="2:11" x14ac:dyDescent="0.25">
      <c r="B59" s="258" t="s">
        <v>615</v>
      </c>
      <c r="C59" s="259" t="s">
        <v>3686</v>
      </c>
      <c r="D59" s="406">
        <f>SUMIF('Q100a-geral'!B8:B2587,C59,'Q100a-geral'!I8:I2587)</f>
        <v>17</v>
      </c>
      <c r="E59" s="197">
        <f>SUMIF('Q100a-geral'!BB8:BB2587,"Transporte de baixa capacidadeacessibilidade",'Q100a-geral'!I5:I2584)</f>
        <v>9</v>
      </c>
      <c r="F59" s="204">
        <f>COUNTIF('Q100a-geral'!BB6:BB2586,"Transporte de baixa capacidadeCMMCE")</f>
        <v>0</v>
      </c>
      <c r="G59" s="201"/>
      <c r="H59" s="203">
        <f>COUNTIF('Q100a-geral'!BD6:BD2588,"Transporte de baixa capacidademeta/RPI")</f>
        <v>0</v>
      </c>
      <c r="I59" s="197">
        <f>COUNTIF('Q100a-geral'!BD7:BD2587,"Transporte de baixa capacidadebenchmarking")</f>
        <v>0</v>
      </c>
      <c r="J59" s="197">
        <f>COUNTIF('Q100a-geral'!BD8:BD2586,"Transporte de baixa capacidadesigla/verbete")</f>
        <v>6</v>
      </c>
      <c r="K59" s="1589">
        <f t="shared" si="0"/>
        <v>23</v>
      </c>
    </row>
    <row r="60" spans="2:11" x14ac:dyDescent="0.25">
      <c r="B60" s="258" t="s">
        <v>616</v>
      </c>
      <c r="C60" s="259" t="s">
        <v>930</v>
      </c>
      <c r="D60" s="406">
        <f>SUMIF('Q100a-geral'!B8:B2587,C60,'Q100a-geral'!I8:I2587)</f>
        <v>3</v>
      </c>
      <c r="E60" s="197">
        <f>SUMIF('Q100a-geral'!BB8:BB2587,"Transporte em vilas e favelasacessibilidade",'Q100a-geral'!I6:I2585)</f>
        <v>3</v>
      </c>
      <c r="F60" s="204">
        <f>COUNTIF('Q100a-geral'!BB6:BB2586,"Transporte em vilas e favelasCMMCE")</f>
        <v>0</v>
      </c>
      <c r="G60" s="201"/>
      <c r="H60" s="203">
        <f>COUNTIF('Q100a-geral'!BD6:BD2588,"Transporte em vilas e favelasmeta/RPI")</f>
        <v>0</v>
      </c>
      <c r="I60" s="197">
        <f>COUNTIF('Q100a-geral'!BD7:BD2587,"Transporte em vilas e favelasbenchmarking")</f>
        <v>0</v>
      </c>
      <c r="J60" s="197">
        <f>COUNTIF('Q100a-geral'!BD8:BD2586,"Transporte em vilas e favelassigla/verbete")</f>
        <v>0</v>
      </c>
      <c r="K60" s="1589">
        <f t="shared" si="0"/>
        <v>3</v>
      </c>
    </row>
    <row r="61" spans="2:11" x14ac:dyDescent="0.25">
      <c r="B61" s="258" t="s">
        <v>617</v>
      </c>
      <c r="C61" s="259" t="s">
        <v>988</v>
      </c>
      <c r="D61" s="406">
        <f>SUMIF('Q100a-geral'!B8:B2587,C61,'Q100a-geral'!I8:I2587)</f>
        <v>1</v>
      </c>
      <c r="E61" s="197">
        <f>SUMIF('Q100a-geral'!BB8:BB2587,"Metrôacessibilidade",'Q100a-geral'!I7:I2586)</f>
        <v>0</v>
      </c>
      <c r="F61" s="204">
        <f>COUNTIF('Q100a-geral'!BB6:BB2586,"MetrôCMMCE")</f>
        <v>0</v>
      </c>
      <c r="G61" s="201"/>
      <c r="H61" s="203">
        <f>COUNTIF('Q100a-geral'!BD6:BD2588,"Metrômeta/RPI")</f>
        <v>0</v>
      </c>
      <c r="I61" s="197">
        <f>COUNTIF('Q100a-geral'!BD7:BD2587,"Metrôbenchmarkingbenchmarking")</f>
        <v>0</v>
      </c>
      <c r="J61" s="197">
        <f>COUNTIF('Q100a-geral'!BD8:BD2586,"Metrôsigla/verbete")</f>
        <v>8</v>
      </c>
      <c r="K61" s="1589">
        <f t="shared" si="0"/>
        <v>9</v>
      </c>
    </row>
    <row r="62" spans="2:11" x14ac:dyDescent="0.25">
      <c r="B62" s="258" t="s">
        <v>982</v>
      </c>
      <c r="C62" s="261" t="s">
        <v>983</v>
      </c>
      <c r="D62" s="406">
        <f>SUMIF('Q100a-geral'!B8:B2587,C62,'Q100a-geral'!I8:I2587)</f>
        <v>61</v>
      </c>
      <c r="E62" s="197">
        <f>SUMIF('Q100a-geral'!BB8:BB2587,"Sistema de transporte coletivo com um todoacessibilidade",'Q100a-geral'!I8:I2587)</f>
        <v>36</v>
      </c>
      <c r="F62" s="204">
        <f>COUNTIF('Q100a-geral'!BB6:BB2586,"Sistema de transporte coletivo com um todoCMMCE")</f>
        <v>5</v>
      </c>
      <c r="G62" s="201"/>
      <c r="H62" s="203">
        <f>COUNTIF('Q100a-geral'!BD6:BD2588,"Sistema de transporte coletivo com um todometa/RPI")</f>
        <v>20</v>
      </c>
      <c r="I62" s="197">
        <f>COUNTIF('Q100a-geral'!BD7:BD2587,"Sistema de transporte coletivo com um todobenchmarking")</f>
        <v>116</v>
      </c>
      <c r="J62" s="197">
        <f>COUNTIF('Q100a-geral'!BD8:BD2586,"Sistema de transporte coletivo com um todosigla/verbete")</f>
        <v>105</v>
      </c>
      <c r="K62" s="1589">
        <f t="shared" si="0"/>
        <v>302</v>
      </c>
    </row>
    <row r="63" spans="2:11" x14ac:dyDescent="0.25">
      <c r="B63" s="1636" t="s">
        <v>580</v>
      </c>
      <c r="C63" s="1637"/>
      <c r="D63" s="73">
        <f>SUM(D64:D70)</f>
        <v>164</v>
      </c>
      <c r="E63" s="73">
        <f ca="1">SUM(E64:E70)</f>
        <v>12</v>
      </c>
      <c r="F63" s="73">
        <f>SUM(F64:F70)</f>
        <v>6</v>
      </c>
      <c r="G63" s="209"/>
      <c r="H63" s="1158">
        <f>SUM(H64:H70)</f>
        <v>6</v>
      </c>
      <c r="I63" s="73">
        <f>SUM(I64:I70)</f>
        <v>62</v>
      </c>
      <c r="J63" s="1565">
        <f>SUM(J64:J70)</f>
        <v>39</v>
      </c>
      <c r="K63" s="1590">
        <f t="shared" si="0"/>
        <v>271</v>
      </c>
    </row>
    <row r="64" spans="2:11" x14ac:dyDescent="0.25">
      <c r="B64" s="258" t="s">
        <v>618</v>
      </c>
      <c r="C64" s="259" t="s">
        <v>769</v>
      </c>
      <c r="D64" s="406">
        <f>SUMIF('Q100a-geral'!B8:B2587,C64,'Q100a-geral'!I8:I2587)</f>
        <v>43</v>
      </c>
      <c r="E64" s="197">
        <f>SUMIF('Q100a-geral'!BB8:BB2587,"Acidentes de trânsitoacessibilidade",'Q100a-geral'!I10:I2590)</f>
        <v>0</v>
      </c>
      <c r="F64" s="204">
        <f>COUNTIF('Q100a-geral'!BB6:BB2586,"Acidentes de trânsitoCMMCE")</f>
        <v>4</v>
      </c>
      <c r="G64" s="201"/>
      <c r="H64" s="203">
        <f>COUNTIF('Q100a-geral'!BD6:BD2586,"Acidentes de trânsitometa/RPI")</f>
        <v>3</v>
      </c>
      <c r="I64" s="197">
        <f>COUNTIF('Q100a-geral'!BD5:BD2533,"Acidentes de trânsitobenchmarking")</f>
        <v>12</v>
      </c>
      <c r="J64" s="197">
        <f>COUNTIF('Q100a-geral'!BD8:BD2586,"Acidentes de trânsitosigla/verbete")</f>
        <v>8</v>
      </c>
      <c r="K64" s="1589">
        <f>D64+H64+I64+J64</f>
        <v>66</v>
      </c>
    </row>
    <row r="65" spans="2:11" x14ac:dyDescent="0.25">
      <c r="B65" s="258" t="s">
        <v>619</v>
      </c>
      <c r="C65" s="259" t="s">
        <v>626</v>
      </c>
      <c r="D65" s="406">
        <f>SUMIF('Q100a-geral'!B8:B2587,C65,'Q100a-geral'!I8:I2587)</f>
        <v>32</v>
      </c>
      <c r="E65" s="197">
        <f>SUMIF('Q100a-geral'!BB8:BB2587,"Estacionamentoacessibilidade",'Q100a-geral'!I11:I2591)</f>
        <v>7</v>
      </c>
      <c r="F65" s="204">
        <f>COUNTIF('Q100a-geral'!BB6:BB2586,"EstacionamentoCMMCE")</f>
        <v>2</v>
      </c>
      <c r="G65" s="201"/>
      <c r="H65" s="203">
        <f>COUNTIF('Q100a-geral'!BD6:BD2586,"Estacionamentometa/RPI")</f>
        <v>2</v>
      </c>
      <c r="I65" s="197">
        <f>COUNTIF('Q100a-geral'!BD6:BD2586,"Estacionamentobenchmarking")</f>
        <v>1</v>
      </c>
      <c r="J65" s="197">
        <f>COUNTIF('Q100a-geral'!BD8:BD2586,"Estacionamentosigla/verbete")</f>
        <v>13</v>
      </c>
      <c r="K65" s="1589">
        <f t="shared" si="0"/>
        <v>48</v>
      </c>
    </row>
    <row r="66" spans="2:11" x14ac:dyDescent="0.25">
      <c r="B66" s="258" t="s">
        <v>620</v>
      </c>
      <c r="C66" s="259" t="s">
        <v>991</v>
      </c>
      <c r="D66" s="406">
        <f>SUMIF('Q100a-geral'!B8:B2587,C66,'Q100a-geral'!I8:I2587)</f>
        <v>0</v>
      </c>
      <c r="E66" s="197">
        <f ca="1">SUMIF('Q100a-geral'!BB8:BB2587,"Implantação de projetosacessibilidade",'Q100a-geral'!I14:I2592)</f>
        <v>0</v>
      </c>
      <c r="F66" s="204">
        <f>COUNTIF('Q100a-geral'!BB6:BB2586,"Implantação de projetosCMMCE")</f>
        <v>0</v>
      </c>
      <c r="G66" s="201"/>
      <c r="H66" s="203">
        <f>COUNTIF('Q100a-geral'!BD6:BD2588,"Implantação de projetosmeta/RPI")</f>
        <v>0</v>
      </c>
      <c r="I66" s="197">
        <f>COUNTIF('Q100a-geral'!BD7:BD2587,"Implantação de projetosbenchmarking")</f>
        <v>0</v>
      </c>
      <c r="J66" s="197">
        <f>COUNTIF('Q100a-geral'!BD8:BD2586,"Implantação de projetossigla/verbete")</f>
        <v>0</v>
      </c>
      <c r="K66" s="1589">
        <f t="shared" si="0"/>
        <v>0</v>
      </c>
    </row>
    <row r="67" spans="2:11" x14ac:dyDescent="0.25">
      <c r="B67" s="258" t="s">
        <v>621</v>
      </c>
      <c r="C67" s="259" t="s">
        <v>931</v>
      </c>
      <c r="D67" s="406">
        <f>SUMIF('Q100a-geral'!B8:B2587,C67,'Q100a-geral'!I8:I2587)</f>
        <v>0</v>
      </c>
      <c r="E67" s="197">
        <f ca="1">SUMIF('Q100a-geral'!BB8:BB2587,"Sinalização estatigráficaacessibilidade",'Q100a-geral'!I15:I2593)</f>
        <v>0</v>
      </c>
      <c r="F67" s="204">
        <f>COUNTIF('Q100a-geral'!BB6:BB2586,"Sinalização estatigráficaCMMCE")</f>
        <v>0</v>
      </c>
      <c r="G67" s="201"/>
      <c r="H67" s="203">
        <f>COUNTIF('Q100a-geral'!BD6:BD2588,"Sinalização estatigráficameta/RPI")</f>
        <v>0</v>
      </c>
      <c r="I67" s="197">
        <f>COUNTIF('Q100a-geral'!BD7:BD2587,"Sinalização estatigráficabenchmarking")</f>
        <v>0</v>
      </c>
      <c r="J67" s="197">
        <f>COUNTIF('Q100a-geral'!BD8:BD2586,"Sinalização estatigráficasigla/verbete")</f>
        <v>3</v>
      </c>
      <c r="K67" s="1589">
        <f t="shared" si="0"/>
        <v>3</v>
      </c>
    </row>
    <row r="68" spans="2:11" x14ac:dyDescent="0.25">
      <c r="B68" s="258" t="s">
        <v>622</v>
      </c>
      <c r="C68" s="259" t="s">
        <v>627</v>
      </c>
      <c r="D68" s="406">
        <f>SUMIF('Q100a-geral'!B8:B2587,C68,'Q100a-geral'!I8:I2587)</f>
        <v>55</v>
      </c>
      <c r="E68" s="197">
        <f ca="1">SUMIF('Q100a-geral'!BB8:BB2587,"Sinalização semafóricaacessibilidade",'Q100a-geral'!I16:I2594)</f>
        <v>5</v>
      </c>
      <c r="F68" s="204">
        <f>COUNTIF('Q100a-geral'!BB6:BB2586,"Sinalização semafóricaCMMCE")</f>
        <v>0</v>
      </c>
      <c r="G68" s="201"/>
      <c r="H68" s="203">
        <f>COUNTIF('Q100a-geral'!BD6:BD2586,"Sinalização semafóricameta/RPI")</f>
        <v>1</v>
      </c>
      <c r="I68" s="197">
        <f>COUNTIF('Q100a-geral'!BD6:BD2586,"Sinalização semafóricabenchmarking")</f>
        <v>34</v>
      </c>
      <c r="J68" s="197">
        <f>COUNTIF('Q100a-geral'!BD8:BD2586,"Sinalização semafóricasigla/verbete")</f>
        <v>13</v>
      </c>
      <c r="K68" s="1589">
        <f t="shared" si="0"/>
        <v>103</v>
      </c>
    </row>
    <row r="69" spans="2:11" x14ac:dyDescent="0.25">
      <c r="B69" s="258" t="s">
        <v>623</v>
      </c>
      <c r="C69" s="259" t="s">
        <v>3540</v>
      </c>
      <c r="D69" s="406">
        <f>SUMIF('Q100a-geral'!B8:B2587,C69,'Q100a-geral'!I8:I2587)</f>
        <v>34</v>
      </c>
      <c r="E69" s="197">
        <f ca="1">SUMIF('Q100a-geral'!BB8:BB2587,"Velocidades, tempos e volumesacessibilidade",'Q100a-geral'!I17:I2595)</f>
        <v>0</v>
      </c>
      <c r="F69" s="204">
        <f>COUNTIF('Q100a-geral'!BB6:BB2586,"Velocidades, tempos e volumesCMMCE")</f>
        <v>0</v>
      </c>
      <c r="G69" s="201"/>
      <c r="H69" s="203">
        <f>COUNTIF('Q100a-geral'!BD6:BD2586,"Velocidades, tempos e volumesmeta/RPI")</f>
        <v>0</v>
      </c>
      <c r="I69" s="197">
        <f>COUNTIF('Q100a-geral'!BD6:BD2586,"Velocidades, tempos e volumesbenchmarking")</f>
        <v>15</v>
      </c>
      <c r="J69" s="197">
        <f>COUNTIF('Q100a-geral'!BD8:BD2586,"Velocidades, tempos e volumessigla/verbete")</f>
        <v>1</v>
      </c>
      <c r="K69" s="1589">
        <f t="shared" si="0"/>
        <v>50</v>
      </c>
    </row>
    <row r="70" spans="2:11" x14ac:dyDescent="0.25">
      <c r="B70" s="258" t="s">
        <v>5443</v>
      </c>
      <c r="C70" s="259" t="s">
        <v>5444</v>
      </c>
      <c r="D70" s="1424">
        <f>SUMIF('Q100a-geral'!B8:B2587,C70,'Q100a-geral'!I8:I2587)</f>
        <v>0</v>
      </c>
      <c r="E70" s="197">
        <f ca="1">SUMIF('Q100a-geral'!BB8:BB2587,"Outras questões sobre trânsitoacessibilidade",'Q100a-geral'!I17:I2595)</f>
        <v>0</v>
      </c>
      <c r="F70" s="204">
        <f>COUNTIF('Q100a-geral'!BB6:BB2586,"Outras questões sobre trânsitoCMMCE")</f>
        <v>0</v>
      </c>
      <c r="G70" s="201"/>
      <c r="H70" s="1425">
        <f>COUNTIF('Q100a-geral'!BD6:BD2586,"Outras questões sobre trânsitometa/RPI")</f>
        <v>0</v>
      </c>
      <c r="I70" s="1426">
        <f>COUNTIF('Q100a-geral'!BD6:BD2586,"Outras questões sobre trânsitobenchmarking")</f>
        <v>0</v>
      </c>
      <c r="J70" s="197">
        <f>COUNTIF('Q100a-geral'!BD8:BD2586,"Outras questões sobre trânsitosigla/verbete")</f>
        <v>1</v>
      </c>
      <c r="K70" s="1589">
        <f t="shared" si="0"/>
        <v>1</v>
      </c>
    </row>
    <row r="71" spans="2:11" x14ac:dyDescent="0.25">
      <c r="B71" s="1634" t="s">
        <v>742</v>
      </c>
      <c r="C71" s="1635"/>
      <c r="D71" s="769" t="s">
        <v>2</v>
      </c>
      <c r="E71" s="199" t="s">
        <v>2</v>
      </c>
      <c r="F71" s="208" t="s">
        <v>2</v>
      </c>
      <c r="G71" s="770"/>
      <c r="H71" s="771" t="s">
        <v>2</v>
      </c>
      <c r="I71" s="772" t="s">
        <v>2</v>
      </c>
      <c r="J71" s="199">
        <f>COUNTIF('Q100a-geral'!BD8:BD2586,"geralsigla/verbete")</f>
        <v>274</v>
      </c>
      <c r="K71" s="1593">
        <f>J71</f>
        <v>274</v>
      </c>
    </row>
    <row r="72" spans="2:11" ht="16.5" thickBot="1" x14ac:dyDescent="0.3">
      <c r="B72" s="1621" t="s">
        <v>418</v>
      </c>
      <c r="C72" s="1622"/>
      <c r="D72" s="1566">
        <f ca="1">D9+D15+D23+D35+D42+D48+D51+D52+D63</f>
        <v>1485</v>
      </c>
      <c r="E72" s="1567">
        <f ca="1">E9+E15+E23+E35+E42+E48+E51+E52+E63</f>
        <v>243</v>
      </c>
      <c r="F72" s="1568">
        <f>F9+F15+F23+F35+F42+F48+F51+F63</f>
        <v>43</v>
      </c>
      <c r="G72" s="210"/>
      <c r="H72" s="1575">
        <f>H9+H15+H23+H35+H42+H48+H51+H52+H63</f>
        <v>60</v>
      </c>
      <c r="I72" s="1591">
        <f>I9+I15+I23+I35+I42+I48+I51+I52+I63</f>
        <v>407</v>
      </c>
      <c r="J72" s="1576">
        <f>J9+J15+J23+J35+J42+J48+J51+J52+J63+J71</f>
        <v>705</v>
      </c>
      <c r="K72" s="1594">
        <f ca="1">K9+K15+K23+K35+K42+K48+K51+K52+K63+K71</f>
        <v>2657</v>
      </c>
    </row>
    <row r="73" spans="2:11" ht="48" customHeight="1" thickBot="1" x14ac:dyDescent="0.3">
      <c r="B73" s="1639" t="s">
        <v>6351</v>
      </c>
      <c r="C73" s="1640"/>
      <c r="D73" s="1638">
        <f ca="1">D72+H72+I72+J72</f>
        <v>2657</v>
      </c>
      <c r="E73" s="1638"/>
      <c r="F73" s="1638"/>
      <c r="G73" s="1638"/>
      <c r="H73" s="1638"/>
      <c r="I73" s="1638"/>
      <c r="J73" s="1638"/>
      <c r="K73" s="1592"/>
    </row>
    <row r="74" spans="2:11" ht="45.75" customHeight="1" thickBot="1" x14ac:dyDescent="0.3">
      <c r="B74" s="1623" t="s">
        <v>3004</v>
      </c>
      <c r="C74" s="1624"/>
      <c r="D74" s="1624"/>
      <c r="E74" s="1624"/>
      <c r="F74" s="1624"/>
      <c r="G74" s="1624"/>
      <c r="H74" s="1624"/>
      <c r="I74" s="1624"/>
      <c r="J74" s="1624"/>
      <c r="K74" s="1625"/>
    </row>
    <row r="75" spans="2:11" x14ac:dyDescent="0.25">
      <c r="B75" s="944"/>
      <c r="C75" s="944"/>
      <c r="D75" s="944"/>
      <c r="E75" s="944"/>
      <c r="F75" s="944"/>
      <c r="G75" s="944"/>
      <c r="H75" s="944"/>
      <c r="I75" s="944"/>
      <c r="J75" s="944"/>
    </row>
  </sheetData>
  <mergeCells count="22">
    <mergeCell ref="K7:K8"/>
    <mergeCell ref="B72:C72"/>
    <mergeCell ref="B74:K74"/>
    <mergeCell ref="B7:C8"/>
    <mergeCell ref="I7:I8"/>
    <mergeCell ref="J7:J8"/>
    <mergeCell ref="B71:C71"/>
    <mergeCell ref="B51:C51"/>
    <mergeCell ref="B52:C52"/>
    <mergeCell ref="D73:J73"/>
    <mergeCell ref="B73:C73"/>
    <mergeCell ref="B23:C23"/>
    <mergeCell ref="B63:C63"/>
    <mergeCell ref="B35:C35"/>
    <mergeCell ref="B42:C42"/>
    <mergeCell ref="B48:C48"/>
    <mergeCell ref="B6:I6"/>
    <mergeCell ref="B5:I5"/>
    <mergeCell ref="H7:H8"/>
    <mergeCell ref="B9:C9"/>
    <mergeCell ref="B15:C15"/>
    <mergeCell ref="D7:F7"/>
  </mergeCells>
  <printOptions horizontalCentered="1" verticalCentered="1"/>
  <pageMargins left="0.39370078740157483" right="0.39370078740157483" top="3.937007874015748E-2" bottom="3.937007874015748E-2" header="0.31496062992125984" footer="0.31496062992125984"/>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7"/>
  <sheetViews>
    <sheetView zoomScaleNormal="100" workbookViewId="0">
      <selection activeCell="A5" sqref="A5:O5"/>
    </sheetView>
  </sheetViews>
  <sheetFormatPr defaultRowHeight="15" x14ac:dyDescent="0.25"/>
  <sheetData>
    <row r="2" spans="1:15" ht="15.75" x14ac:dyDescent="0.25">
      <c r="A2" s="1771" t="s">
        <v>1074</v>
      </c>
      <c r="B2" s="1772"/>
      <c r="C2" s="1772"/>
      <c r="D2" s="1772"/>
      <c r="E2" s="1772"/>
      <c r="F2" s="1772"/>
      <c r="G2" s="1772"/>
      <c r="H2" s="1772"/>
      <c r="I2" s="1772"/>
      <c r="J2" s="1772"/>
      <c r="K2" s="1772"/>
      <c r="L2" s="1772"/>
      <c r="M2" s="1772"/>
      <c r="N2" s="1772"/>
      <c r="O2" s="1773"/>
    </row>
    <row r="4" spans="1:15" ht="95.25" customHeight="1" x14ac:dyDescent="0.25">
      <c r="A4" s="1774" t="s">
        <v>1408</v>
      </c>
      <c r="B4" s="1775"/>
      <c r="C4" s="1775"/>
      <c r="D4" s="1775"/>
      <c r="E4" s="1775"/>
      <c r="F4" s="1775"/>
      <c r="G4" s="1775"/>
      <c r="H4" s="1775"/>
      <c r="I4" s="1775"/>
      <c r="J4" s="1775"/>
      <c r="K4" s="1775"/>
      <c r="L4" s="1775"/>
      <c r="M4" s="1775"/>
      <c r="N4" s="1775"/>
      <c r="O4" s="1776"/>
    </row>
    <row r="5" spans="1:15" ht="30.75" customHeight="1" x14ac:dyDescent="0.25">
      <c r="A5" s="1760" t="s">
        <v>6242</v>
      </c>
      <c r="B5" s="1760"/>
      <c r="C5" s="1760"/>
      <c r="D5" s="1760"/>
      <c r="E5" s="1760"/>
      <c r="F5" s="1760"/>
      <c r="G5" s="1760"/>
      <c r="H5" s="1760"/>
      <c r="I5" s="1760"/>
      <c r="J5" s="1760"/>
      <c r="K5" s="1760"/>
      <c r="L5" s="1760"/>
      <c r="M5" s="1760"/>
      <c r="N5" s="1760"/>
      <c r="O5" s="1760"/>
    </row>
    <row r="7" spans="1:15" ht="58.5" customHeight="1" x14ac:dyDescent="0.25">
      <c r="A7" s="1737" t="s">
        <v>6243</v>
      </c>
      <c r="B7" s="1738"/>
      <c r="C7" s="1738"/>
      <c r="D7" s="1738"/>
      <c r="E7" s="1738"/>
      <c r="F7" s="1738"/>
      <c r="G7" s="1738"/>
      <c r="H7" s="1738"/>
      <c r="I7" s="1738"/>
      <c r="J7" s="1738"/>
      <c r="K7" s="1738"/>
      <c r="L7" s="1738"/>
      <c r="M7" s="1738"/>
      <c r="N7" s="1738"/>
      <c r="O7" s="1739"/>
    </row>
  </sheetData>
  <mergeCells count="4">
    <mergeCell ref="A2:O2"/>
    <mergeCell ref="A4:O4"/>
    <mergeCell ref="A5:O5"/>
    <mergeCell ref="A7:O7"/>
  </mergeCells>
  <printOptions horizontalCentered="1" verticalCentered="1"/>
  <pageMargins left="0.39370078740157483" right="0.39370078740157483" top="0.39370078740157483" bottom="0.3937007874015748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28"/>
  <sheetViews>
    <sheetView zoomScaleNormal="100" workbookViewId="0">
      <selection activeCell="M2" sqref="M2"/>
    </sheetView>
  </sheetViews>
  <sheetFormatPr defaultRowHeight="15" x14ac:dyDescent="0.25"/>
  <sheetData>
    <row r="5" spans="1:15" ht="18.75" x14ac:dyDescent="0.25">
      <c r="A5" s="1735" t="s">
        <v>0</v>
      </c>
      <c r="B5" s="1735"/>
      <c r="C5" s="1735"/>
      <c r="D5" s="1735"/>
      <c r="E5" s="1735"/>
      <c r="F5" s="1735"/>
      <c r="G5" s="1735"/>
      <c r="H5" s="1735"/>
      <c r="I5" s="1735"/>
      <c r="J5" s="1735"/>
      <c r="K5" s="1735"/>
      <c r="L5" s="1735"/>
      <c r="M5" s="1735"/>
      <c r="N5" s="1735"/>
      <c r="O5" s="1735"/>
    </row>
    <row r="6" spans="1:15" ht="30.75" customHeight="1" x14ac:dyDescent="0.25">
      <c r="A6" s="1777" t="s">
        <v>1878</v>
      </c>
      <c r="B6" s="1777"/>
      <c r="C6" s="1777"/>
      <c r="D6" s="1777"/>
      <c r="E6" s="1777"/>
      <c r="F6" s="1777"/>
      <c r="G6" s="1777"/>
      <c r="H6" s="1777"/>
      <c r="I6" s="1777"/>
      <c r="J6" s="1777"/>
      <c r="K6" s="1777"/>
      <c r="L6" s="1777"/>
      <c r="M6" s="1777"/>
      <c r="N6" s="1777"/>
      <c r="O6" s="1777"/>
    </row>
    <row r="26" spans="1:15" ht="41.25" customHeight="1" x14ac:dyDescent="0.25">
      <c r="A26" s="1740" t="s">
        <v>2968</v>
      </c>
      <c r="B26" s="1740"/>
      <c r="C26" s="1740"/>
      <c r="D26" s="1740"/>
      <c r="E26" s="1740"/>
      <c r="F26" s="1740"/>
      <c r="G26" s="1740"/>
      <c r="H26" s="1740"/>
      <c r="I26" s="1740"/>
      <c r="J26" s="1740"/>
      <c r="K26" s="1740"/>
      <c r="L26" s="1740"/>
      <c r="M26" s="1740"/>
      <c r="N26" s="1740"/>
      <c r="O26" s="1740"/>
    </row>
    <row r="28" spans="1:15" ht="45" customHeight="1" x14ac:dyDescent="0.25">
      <c r="A28" s="1737" t="s">
        <v>2969</v>
      </c>
      <c r="B28" s="1738"/>
      <c r="C28" s="1738"/>
      <c r="D28" s="1738"/>
      <c r="E28" s="1738"/>
      <c r="F28" s="1738"/>
      <c r="G28" s="1738"/>
      <c r="H28" s="1738"/>
      <c r="I28" s="1738"/>
      <c r="J28" s="1738"/>
      <c r="K28" s="1738"/>
      <c r="L28" s="1738"/>
      <c r="M28" s="1738"/>
      <c r="N28" s="1738"/>
      <c r="O28" s="1739"/>
    </row>
  </sheetData>
  <mergeCells count="4">
    <mergeCell ref="A5:O5"/>
    <mergeCell ref="A28:O28"/>
    <mergeCell ref="A6:O6"/>
    <mergeCell ref="A26:O26"/>
  </mergeCells>
  <pageMargins left="0.39370078740157483" right="0.39370078740157483" top="0.39370078740157483" bottom="0.39370078740157483" header="0.31496062992125984" footer="0.31496062992125984"/>
  <pageSetup paperSize="9" orientation="landscape" verticalDpi="0" r:id="rId1"/>
  <headerFooter>
    <oddFooter>&amp;CSisMob-BH - Gráficos de 4) Fiscalização e operação do sistema de mobilidade / 4.4) Infrações de trânsito - p.&amp;P/&amp;N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33"/>
  <sheetViews>
    <sheetView zoomScaleNormal="100" workbookViewId="0">
      <selection activeCell="O15" sqref="O15"/>
    </sheetView>
  </sheetViews>
  <sheetFormatPr defaultRowHeight="15" x14ac:dyDescent="0.25"/>
  <cols>
    <col min="1" max="1" width="9.140625" customWidth="1"/>
    <col min="4" max="5" width="9.140625" customWidth="1"/>
    <col min="6" max="6" width="9" customWidth="1"/>
    <col min="13" max="13" width="10.85546875" customWidth="1"/>
  </cols>
  <sheetData>
    <row r="5" spans="1:15" ht="27.75" customHeight="1" x14ac:dyDescent="0.25">
      <c r="A5" s="1764" t="s">
        <v>0</v>
      </c>
      <c r="B5" s="1764"/>
      <c r="C5" s="1764"/>
      <c r="D5" s="1764"/>
      <c r="E5" s="1764"/>
      <c r="F5" s="1764"/>
      <c r="G5" s="1764"/>
      <c r="H5" s="1764"/>
      <c r="I5" s="1764"/>
      <c r="J5" s="1764"/>
      <c r="K5" s="1764"/>
      <c r="L5" s="1764"/>
      <c r="M5" s="1764"/>
      <c r="N5" s="1764"/>
      <c r="O5" s="1764"/>
    </row>
    <row r="6" spans="1:15" ht="34.5" customHeight="1" x14ac:dyDescent="0.25">
      <c r="A6" s="1736" t="s">
        <v>2882</v>
      </c>
      <c r="B6" s="1736"/>
      <c r="C6" s="1736"/>
      <c r="D6" s="1736"/>
      <c r="E6" s="1736"/>
      <c r="F6" s="1736"/>
      <c r="G6" s="1736"/>
      <c r="H6" s="1736"/>
      <c r="I6" s="1736"/>
      <c r="J6" s="1736"/>
      <c r="K6" s="1736"/>
      <c r="L6" s="1736"/>
      <c r="M6" s="1736"/>
      <c r="N6" s="1736"/>
      <c r="O6" s="1736"/>
    </row>
    <row r="7" spans="1:15" ht="15.75" x14ac:dyDescent="0.25">
      <c r="A7" s="1"/>
      <c r="B7" s="1"/>
      <c r="C7" s="1"/>
      <c r="D7" s="1"/>
      <c r="E7" s="1"/>
      <c r="F7" s="1"/>
      <c r="G7" s="1"/>
      <c r="H7" s="1"/>
    </row>
    <row r="8" spans="1:15" ht="15.75" x14ac:dyDescent="0.25">
      <c r="A8" s="1"/>
      <c r="B8" s="1"/>
      <c r="C8" s="1"/>
      <c r="D8" s="1"/>
      <c r="E8" s="1"/>
      <c r="F8" s="1"/>
      <c r="G8" s="1"/>
      <c r="H8" s="1"/>
    </row>
    <row r="9" spans="1:15" ht="15.75" x14ac:dyDescent="0.25">
      <c r="A9" s="1"/>
      <c r="B9" s="1"/>
      <c r="C9" s="1"/>
      <c r="D9" s="1"/>
      <c r="E9" s="1"/>
      <c r="F9" s="1"/>
      <c r="G9" s="1"/>
      <c r="H9" s="1"/>
    </row>
    <row r="10" spans="1:15" ht="15.75" x14ac:dyDescent="0.25">
      <c r="A10" s="1"/>
      <c r="B10" s="1"/>
      <c r="C10" s="1"/>
      <c r="D10" s="1"/>
      <c r="E10" s="1"/>
      <c r="F10" s="1"/>
      <c r="G10" s="1"/>
      <c r="H10" s="1"/>
    </row>
    <row r="11" spans="1:15" ht="15.75" x14ac:dyDescent="0.25">
      <c r="A11" s="1"/>
      <c r="B11" s="1"/>
      <c r="C11" s="1"/>
      <c r="D11" s="1"/>
      <c r="E11" s="1"/>
      <c r="F11" s="1"/>
      <c r="G11" s="1"/>
      <c r="H11" s="1"/>
    </row>
    <row r="12" spans="1:15" ht="15.75" x14ac:dyDescent="0.25">
      <c r="A12" s="1"/>
      <c r="B12" s="1"/>
      <c r="C12" s="1"/>
      <c r="D12" s="1"/>
      <c r="E12" s="1"/>
      <c r="F12" s="1"/>
      <c r="G12" s="1"/>
      <c r="H12" s="1"/>
    </row>
    <row r="13" spans="1:15" ht="15.75" x14ac:dyDescent="0.25">
      <c r="A13" s="1"/>
      <c r="B13" s="1"/>
      <c r="C13" s="1"/>
      <c r="D13" s="1"/>
      <c r="E13" s="1"/>
      <c r="F13" s="1"/>
      <c r="G13" s="1"/>
      <c r="H13" s="1"/>
    </row>
    <row r="14" spans="1:15" ht="15.75" x14ac:dyDescent="0.25">
      <c r="A14" s="1"/>
      <c r="B14" s="1"/>
      <c r="C14" s="1"/>
      <c r="D14" s="1"/>
      <c r="E14" s="1"/>
      <c r="F14" s="1"/>
      <c r="G14" s="1"/>
      <c r="H14" s="1"/>
    </row>
    <row r="15" spans="1:15" ht="15.75" x14ac:dyDescent="0.25">
      <c r="A15" s="1"/>
      <c r="B15" s="1"/>
      <c r="C15" s="1"/>
      <c r="D15" s="1"/>
      <c r="E15" s="1"/>
      <c r="F15" s="1"/>
      <c r="G15" s="1"/>
      <c r="H15" s="1"/>
    </row>
    <row r="16" spans="1:15" ht="15.75" x14ac:dyDescent="0.25">
      <c r="A16" s="1"/>
      <c r="B16" s="1"/>
      <c r="C16" s="1"/>
      <c r="D16" s="1"/>
      <c r="E16" s="1"/>
      <c r="F16" s="1"/>
      <c r="G16" s="1"/>
      <c r="H16" s="1"/>
    </row>
    <row r="17" spans="1:15" ht="15.75" x14ac:dyDescent="0.25">
      <c r="A17" s="1"/>
      <c r="B17" s="1"/>
      <c r="C17" s="1"/>
      <c r="D17" s="1"/>
      <c r="E17" s="1"/>
      <c r="F17" s="1"/>
      <c r="G17" s="1"/>
      <c r="H17" s="1"/>
    </row>
    <row r="18" spans="1:15" ht="15.75" x14ac:dyDescent="0.25">
      <c r="A18" s="1"/>
      <c r="B18" s="1"/>
      <c r="C18" s="1"/>
      <c r="D18" s="1"/>
      <c r="E18" s="1"/>
      <c r="F18" s="1"/>
      <c r="G18" s="1"/>
      <c r="H18" s="1"/>
    </row>
    <row r="19" spans="1:15" ht="15.75" x14ac:dyDescent="0.25">
      <c r="A19" s="1"/>
      <c r="B19" s="1"/>
      <c r="C19" s="1"/>
      <c r="D19" s="1"/>
      <c r="E19" s="1"/>
      <c r="F19" s="1"/>
      <c r="G19" s="1"/>
      <c r="H19" s="1"/>
    </row>
    <row r="20" spans="1:15" ht="15.75" x14ac:dyDescent="0.25">
      <c r="A20" s="1"/>
      <c r="B20" s="1"/>
      <c r="C20" s="1"/>
      <c r="D20" s="1"/>
      <c r="E20" s="1"/>
      <c r="F20" s="1"/>
      <c r="G20" s="1"/>
      <c r="H20" s="1"/>
    </row>
    <row r="21" spans="1:15" ht="15.75" x14ac:dyDescent="0.25">
      <c r="A21" s="1"/>
      <c r="B21" s="1"/>
      <c r="C21" s="1"/>
      <c r="D21" s="1"/>
      <c r="E21" s="1"/>
      <c r="F21" s="1"/>
      <c r="G21" s="1"/>
      <c r="H21" s="1"/>
    </row>
    <row r="22" spans="1:15" ht="15.75" x14ac:dyDescent="0.25">
      <c r="A22" s="1"/>
      <c r="B22" s="1"/>
      <c r="C22" s="1"/>
      <c r="D22" s="1"/>
      <c r="E22" s="1"/>
      <c r="F22" s="1"/>
      <c r="G22" s="1"/>
      <c r="H22" s="1"/>
    </row>
    <row r="23" spans="1:15" ht="15.75" x14ac:dyDescent="0.25">
      <c r="A23" s="1"/>
      <c r="B23" s="1"/>
      <c r="C23" s="1"/>
      <c r="D23" s="1"/>
      <c r="E23" s="1"/>
      <c r="F23" s="1"/>
      <c r="G23" s="1"/>
      <c r="H23" s="1"/>
    </row>
    <row r="24" spans="1:15" ht="15.75" x14ac:dyDescent="0.25">
      <c r="A24" s="1"/>
      <c r="B24" s="1"/>
      <c r="C24" s="1"/>
      <c r="D24" s="1"/>
      <c r="E24" s="1"/>
      <c r="F24" s="1"/>
      <c r="G24" s="1"/>
      <c r="H24" s="1"/>
    </row>
    <row r="25" spans="1:15" ht="15.75" x14ac:dyDescent="0.25">
      <c r="A25" s="1"/>
      <c r="B25" s="1"/>
      <c r="C25" s="1"/>
      <c r="D25" s="1"/>
      <c r="E25" s="1"/>
      <c r="F25" s="1"/>
      <c r="G25" s="1"/>
      <c r="H25" s="1"/>
    </row>
    <row r="26" spans="1:15" ht="15.75" x14ac:dyDescent="0.25">
      <c r="A26" s="1"/>
      <c r="B26" s="1"/>
      <c r="C26" s="1"/>
      <c r="D26" s="1"/>
      <c r="E26" s="1"/>
      <c r="F26" s="1"/>
      <c r="G26" s="1"/>
      <c r="H26" s="1"/>
    </row>
    <row r="27" spans="1:15" ht="56.25" customHeight="1" x14ac:dyDescent="0.25">
      <c r="A27" s="1778" t="s">
        <v>2970</v>
      </c>
      <c r="B27" s="1778"/>
      <c r="C27" s="1778"/>
      <c r="D27" s="1778"/>
      <c r="E27" s="1778"/>
      <c r="F27" s="1778"/>
      <c r="G27" s="1778"/>
      <c r="H27" s="1778"/>
      <c r="I27" s="1778"/>
      <c r="J27" s="1778"/>
      <c r="K27" s="1778"/>
      <c r="L27" s="1778"/>
      <c r="M27" s="1778"/>
      <c r="N27" s="1778"/>
      <c r="O27" s="1778"/>
    </row>
    <row r="28" spans="1:15" ht="39" customHeight="1" x14ac:dyDescent="0.25">
      <c r="A28" s="1736" t="s">
        <v>2888</v>
      </c>
      <c r="B28" s="1736"/>
      <c r="C28" s="1736"/>
      <c r="D28" s="1736"/>
      <c r="E28" s="1736"/>
      <c r="F28" s="1736"/>
      <c r="G28" s="1736"/>
      <c r="H28" s="1736"/>
      <c r="I28" s="1736"/>
      <c r="J28" s="1736"/>
      <c r="K28" s="1736"/>
      <c r="L28" s="1736"/>
      <c r="M28" s="1736"/>
      <c r="N28" s="1736"/>
      <c r="O28" s="1736"/>
    </row>
    <row r="50" spans="1:15" ht="75.75" customHeight="1" x14ac:dyDescent="0.25">
      <c r="A50" s="1778" t="s">
        <v>2971</v>
      </c>
      <c r="B50" s="1778"/>
      <c r="C50" s="1778"/>
      <c r="D50" s="1778"/>
      <c r="E50" s="1778"/>
      <c r="F50" s="1778"/>
      <c r="G50" s="1778"/>
      <c r="H50" s="1778"/>
      <c r="I50" s="1778"/>
      <c r="J50" s="1778"/>
      <c r="K50" s="1778"/>
      <c r="L50" s="1778"/>
      <c r="M50" s="1778"/>
      <c r="N50" s="1778"/>
      <c r="O50" s="1778"/>
    </row>
    <row r="51" spans="1:15" ht="50.25" customHeight="1" x14ac:dyDescent="0.25">
      <c r="A51" s="1736" t="s">
        <v>2881</v>
      </c>
      <c r="B51" s="1736"/>
      <c r="C51" s="1736"/>
      <c r="D51" s="1736"/>
      <c r="E51" s="1736"/>
      <c r="F51" s="1736"/>
      <c r="G51" s="1736"/>
      <c r="H51" s="315"/>
      <c r="I51" s="1736" t="s">
        <v>2972</v>
      </c>
      <c r="J51" s="1736"/>
      <c r="K51" s="1736"/>
      <c r="L51" s="1736"/>
      <c r="M51" s="1736"/>
      <c r="N51" s="1736"/>
      <c r="O51" s="1736"/>
    </row>
    <row r="69" spans="1:15" ht="39.75" customHeight="1" x14ac:dyDescent="0.25">
      <c r="A69" s="1778" t="s">
        <v>2973</v>
      </c>
      <c r="B69" s="1778"/>
      <c r="C69" s="1778"/>
      <c r="D69" s="1778"/>
      <c r="E69" s="1778"/>
      <c r="F69" s="1778"/>
      <c r="G69" s="1778"/>
      <c r="H69" s="1778"/>
      <c r="I69" s="1778"/>
      <c r="J69" s="1778"/>
      <c r="K69" s="1778"/>
      <c r="L69" s="1778"/>
      <c r="M69" s="1778"/>
      <c r="N69" s="1778"/>
      <c r="O69" s="1778"/>
    </row>
    <row r="70" spans="1:15" ht="30.75" customHeight="1" x14ac:dyDescent="0.25">
      <c r="A70" s="1736" t="s">
        <v>2864</v>
      </c>
      <c r="B70" s="1736"/>
      <c r="C70" s="1736"/>
      <c r="D70" s="1736"/>
      <c r="E70" s="1736"/>
      <c r="F70" s="1736"/>
      <c r="G70" s="1736"/>
      <c r="H70" s="1736"/>
      <c r="I70" s="1736"/>
      <c r="J70" s="1736"/>
      <c r="K70" s="1736"/>
      <c r="L70" s="1736"/>
      <c r="M70" s="1736"/>
      <c r="N70" s="1736"/>
      <c r="O70" s="1736"/>
    </row>
    <row r="75" spans="1:15" x14ac:dyDescent="0.25">
      <c r="M75" s="308"/>
      <c r="N75" s="308"/>
      <c r="O75" s="309"/>
    </row>
    <row r="76" spans="1:15" x14ac:dyDescent="0.25">
      <c r="M76" s="309"/>
      <c r="N76" s="309"/>
      <c r="O76" s="309"/>
    </row>
    <row r="77" spans="1:15" x14ac:dyDescent="0.25">
      <c r="M77" s="309"/>
      <c r="N77" s="309"/>
      <c r="O77" s="309"/>
    </row>
    <row r="78" spans="1:15" x14ac:dyDescent="0.25">
      <c r="M78" s="310"/>
      <c r="N78" s="310"/>
      <c r="O78" s="310"/>
    </row>
    <row r="79" spans="1:15" x14ac:dyDescent="0.25">
      <c r="M79" s="311"/>
      <c r="N79" s="311"/>
      <c r="O79" s="311"/>
    </row>
    <row r="80" spans="1:15" x14ac:dyDescent="0.25">
      <c r="M80" s="311"/>
      <c r="N80" s="311"/>
      <c r="O80" s="311"/>
    </row>
    <row r="81" spans="1:15" x14ac:dyDescent="0.25">
      <c r="M81" s="309"/>
      <c r="N81" s="309"/>
      <c r="O81" s="309"/>
    </row>
    <row r="82" spans="1:15" x14ac:dyDescent="0.25">
      <c r="M82" s="310"/>
      <c r="N82" s="310"/>
      <c r="O82" s="310"/>
    </row>
    <row r="83" spans="1:15" x14ac:dyDescent="0.25">
      <c r="M83" s="311"/>
      <c r="N83" s="311"/>
      <c r="O83" s="311"/>
    </row>
    <row r="84" spans="1:15" x14ac:dyDescent="0.25">
      <c r="M84" s="309"/>
      <c r="N84" s="309"/>
      <c r="O84" s="309"/>
    </row>
    <row r="85" spans="1:15" x14ac:dyDescent="0.25">
      <c r="M85" s="310"/>
      <c r="N85" s="310"/>
      <c r="O85" s="310"/>
    </row>
    <row r="86" spans="1:15" x14ac:dyDescent="0.25">
      <c r="M86" s="311"/>
      <c r="N86" s="311"/>
      <c r="O86" s="311"/>
    </row>
    <row r="87" spans="1:15" x14ac:dyDescent="0.25">
      <c r="M87" s="309"/>
      <c r="N87" s="309"/>
      <c r="O87" s="309"/>
    </row>
    <row r="88" spans="1:15" x14ac:dyDescent="0.25">
      <c r="M88" s="310"/>
      <c r="N88" s="310"/>
      <c r="O88" s="310"/>
    </row>
    <row r="89" spans="1:15" x14ac:dyDescent="0.25">
      <c r="M89" s="309"/>
      <c r="N89" s="309"/>
      <c r="O89" s="309"/>
    </row>
    <row r="90" spans="1:15" x14ac:dyDescent="0.25">
      <c r="M90" s="310"/>
      <c r="N90" s="310"/>
      <c r="O90" s="310"/>
    </row>
    <row r="96" spans="1:15" ht="39.75" customHeight="1" x14ac:dyDescent="0.25">
      <c r="A96" s="1778" t="s">
        <v>2974</v>
      </c>
      <c r="B96" s="1778"/>
      <c r="C96" s="1778"/>
      <c r="D96" s="1778"/>
      <c r="E96" s="1778"/>
      <c r="F96" s="1778"/>
      <c r="G96" s="1778"/>
      <c r="H96" s="1778"/>
      <c r="I96" s="1778"/>
      <c r="J96" s="1778"/>
      <c r="K96" s="1778"/>
      <c r="L96" s="1778"/>
      <c r="M96" s="1778"/>
      <c r="N96" s="1778"/>
      <c r="O96" s="1778"/>
    </row>
    <row r="97" spans="1:15" ht="32.25" customHeight="1" x14ac:dyDescent="0.25">
      <c r="A97" s="1736" t="s">
        <v>2865</v>
      </c>
      <c r="B97" s="1736"/>
      <c r="C97" s="1736"/>
      <c r="D97" s="1736"/>
      <c r="E97" s="1736"/>
      <c r="F97" s="1736"/>
      <c r="G97" s="1736"/>
      <c r="H97" s="1736"/>
      <c r="I97" s="1736"/>
      <c r="J97" s="1736"/>
      <c r="K97" s="1736"/>
      <c r="L97" s="1736"/>
      <c r="M97" s="1736"/>
      <c r="N97" s="1736"/>
      <c r="O97" s="1736"/>
    </row>
    <row r="113" spans="1:15" ht="29.25" customHeight="1" x14ac:dyDescent="0.25">
      <c r="A113" s="1778" t="s">
        <v>2975</v>
      </c>
      <c r="B113" s="1778"/>
      <c r="C113" s="1778"/>
      <c r="D113" s="1778"/>
      <c r="E113" s="1778"/>
      <c r="F113" s="1778"/>
      <c r="G113" s="1778"/>
      <c r="H113" s="1778"/>
      <c r="I113" s="1778"/>
      <c r="J113" s="1778"/>
      <c r="K113" s="1778"/>
      <c r="L113" s="1778"/>
      <c r="M113" s="1778"/>
      <c r="N113" s="1778"/>
      <c r="O113" s="1778"/>
    </row>
    <row r="114" spans="1:15" ht="30.75" customHeight="1" x14ac:dyDescent="0.25">
      <c r="A114" s="1736" t="s">
        <v>2866</v>
      </c>
      <c r="B114" s="1736"/>
      <c r="C114" s="1736"/>
      <c r="D114" s="1736"/>
      <c r="E114" s="1736"/>
      <c r="F114" s="1736"/>
      <c r="G114" s="1736"/>
      <c r="H114" s="1736"/>
      <c r="I114" s="1736"/>
      <c r="J114" s="1736"/>
      <c r="K114" s="1736"/>
      <c r="L114" s="1736"/>
      <c r="M114" s="1736"/>
      <c r="N114" s="1736"/>
      <c r="O114" s="1736"/>
    </row>
    <row r="131" spans="1:15" ht="30" customHeight="1" x14ac:dyDescent="0.25">
      <c r="A131" s="1778" t="s">
        <v>2975</v>
      </c>
      <c r="B131" s="1778"/>
      <c r="C131" s="1778"/>
      <c r="D131" s="1778"/>
      <c r="E131" s="1778"/>
      <c r="F131" s="1778"/>
      <c r="G131" s="1778"/>
      <c r="H131" s="1778"/>
      <c r="I131" s="1778"/>
      <c r="J131" s="1778"/>
      <c r="K131" s="1778"/>
      <c r="L131" s="1778"/>
      <c r="M131" s="1778"/>
      <c r="N131" s="1778"/>
      <c r="O131" s="1778"/>
    </row>
    <row r="132" spans="1:15" x14ac:dyDescent="0.25">
      <c r="A132" s="372"/>
      <c r="B132" s="372"/>
      <c r="C132" s="372"/>
      <c r="D132" s="372"/>
      <c r="E132" s="372"/>
      <c r="F132" s="372"/>
      <c r="G132" s="372"/>
      <c r="H132" s="372"/>
      <c r="I132" s="372"/>
      <c r="J132" s="372"/>
      <c r="K132" s="372"/>
      <c r="L132" s="372"/>
      <c r="M132" s="372"/>
      <c r="N132" s="372"/>
      <c r="O132" s="372"/>
    </row>
    <row r="133" spans="1:15" ht="55.5" customHeight="1" x14ac:dyDescent="0.25">
      <c r="A133" s="1737" t="s">
        <v>1158</v>
      </c>
      <c r="B133" s="1738"/>
      <c r="C133" s="1738"/>
      <c r="D133" s="1738"/>
      <c r="E133" s="1738"/>
      <c r="F133" s="1738"/>
      <c r="G133" s="1738"/>
      <c r="H133" s="1738"/>
      <c r="I133" s="1738"/>
      <c r="J133" s="1738"/>
      <c r="K133" s="1738"/>
      <c r="L133" s="1738"/>
      <c r="M133" s="1738"/>
      <c r="N133" s="1738"/>
      <c r="O133" s="1739"/>
    </row>
  </sheetData>
  <mergeCells count="15">
    <mergeCell ref="A133:O133"/>
    <mergeCell ref="A27:O27"/>
    <mergeCell ref="A114:O114"/>
    <mergeCell ref="A97:O97"/>
    <mergeCell ref="A113:O113"/>
    <mergeCell ref="I51:O51"/>
    <mergeCell ref="A131:O131"/>
    <mergeCell ref="A96:O96"/>
    <mergeCell ref="A51:G51"/>
    <mergeCell ref="A5:O5"/>
    <mergeCell ref="A6:O6"/>
    <mergeCell ref="A70:O70"/>
    <mergeCell ref="A28:O28"/>
    <mergeCell ref="A50:O50"/>
    <mergeCell ref="A69:O69"/>
  </mergeCells>
  <printOptions horizontalCentered="1" verticalCentered="1"/>
  <pageMargins left="0.39370078740157483" right="0.39370078740157483" top="0.39370078740157483" bottom="0.39370078740157483" header="0.31496062992125984" footer="0.31496062992125984"/>
  <pageSetup paperSize="9" orientation="landscape" r:id="rId1"/>
  <headerFooter>
    <oddFooter>&amp;C&amp;10SisMob-BH - Gráficos de 5) Meio ambiente / 5.1) Gases de efeito estufa - p.&amp;P/&amp;N</oddFooter>
  </headerFooter>
  <rowBreaks count="5" manualBreakCount="5">
    <brk id="27" max="16383" man="1"/>
    <brk id="50" max="16383" man="1"/>
    <brk id="69" max="16383" man="1"/>
    <brk id="96" max="16383" man="1"/>
    <brk id="113"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25"/>
  <sheetViews>
    <sheetView zoomScaleNormal="100" workbookViewId="0">
      <selection activeCell="B17" sqref="B17"/>
    </sheetView>
  </sheetViews>
  <sheetFormatPr defaultRowHeight="15" x14ac:dyDescent="0.25"/>
  <cols>
    <col min="1" max="1" width="9.140625" customWidth="1"/>
    <col min="4" max="5" width="9.140625" customWidth="1"/>
    <col min="6" max="6" width="5.7109375" customWidth="1"/>
    <col min="13" max="13" width="10.85546875" customWidth="1"/>
  </cols>
  <sheetData>
    <row r="5" spans="1:15" ht="24.75" customHeight="1" x14ac:dyDescent="0.25">
      <c r="A5" s="1764" t="s">
        <v>0</v>
      </c>
      <c r="B5" s="1764"/>
      <c r="C5" s="1764"/>
      <c r="D5" s="1764"/>
      <c r="E5" s="1764"/>
      <c r="F5" s="1764"/>
      <c r="G5" s="1764"/>
      <c r="H5" s="1764"/>
      <c r="I5" s="1764"/>
      <c r="J5" s="1764"/>
      <c r="K5" s="1764"/>
      <c r="L5" s="1764"/>
      <c r="M5" s="1764"/>
      <c r="N5" s="1764"/>
      <c r="O5" s="1764"/>
    </row>
    <row r="6" spans="1:15" ht="48.75" customHeight="1" x14ac:dyDescent="0.25">
      <c r="A6" s="1736" t="s">
        <v>1256</v>
      </c>
      <c r="B6" s="1736"/>
      <c r="C6" s="1736"/>
      <c r="D6" s="1736"/>
      <c r="E6" s="1736"/>
      <c r="F6" s="1736"/>
      <c r="G6" s="1736"/>
      <c r="H6" s="1736"/>
      <c r="I6" s="1736"/>
      <c r="J6" s="1736"/>
      <c r="K6" s="1736"/>
      <c r="L6" s="1736"/>
      <c r="M6" s="1736"/>
      <c r="N6" s="1736"/>
      <c r="O6" s="1736"/>
    </row>
    <row r="7" spans="1:15" ht="15.75" x14ac:dyDescent="0.25">
      <c r="A7" s="1"/>
      <c r="B7" s="1"/>
      <c r="C7" s="1"/>
      <c r="D7" s="1"/>
      <c r="E7" s="1"/>
      <c r="F7" s="1"/>
      <c r="G7" s="1"/>
      <c r="H7" s="1"/>
    </row>
    <row r="8" spans="1:15" ht="15.75" x14ac:dyDescent="0.25">
      <c r="A8" s="1"/>
      <c r="B8" s="1"/>
      <c r="C8" s="1"/>
      <c r="D8" s="1"/>
      <c r="E8" s="1"/>
      <c r="F8" s="1"/>
      <c r="G8" s="1"/>
      <c r="H8" s="1"/>
    </row>
    <row r="9" spans="1:15" ht="15.75" x14ac:dyDescent="0.25">
      <c r="A9" s="1"/>
      <c r="B9" s="1"/>
      <c r="C9" s="1"/>
      <c r="D9" s="1"/>
      <c r="E9" s="1"/>
      <c r="F9" s="1"/>
      <c r="G9" s="1"/>
      <c r="H9" s="1"/>
    </row>
    <row r="10" spans="1:15" ht="15.75" x14ac:dyDescent="0.25">
      <c r="A10" s="1"/>
      <c r="B10" s="1"/>
      <c r="C10" s="1"/>
      <c r="D10" s="1"/>
      <c r="E10" s="1"/>
      <c r="F10" s="1"/>
      <c r="G10" s="1"/>
      <c r="H10" s="1"/>
    </row>
    <row r="11" spans="1:15" ht="15.75" x14ac:dyDescent="0.25">
      <c r="A11" s="1"/>
      <c r="B11" s="1"/>
      <c r="C11" s="1"/>
      <c r="D11" s="1"/>
      <c r="E11" s="1"/>
      <c r="F11" s="1"/>
      <c r="G11" s="1"/>
      <c r="H11" s="1"/>
    </row>
    <row r="12" spans="1:15" ht="15.75" x14ac:dyDescent="0.25">
      <c r="A12" s="1"/>
      <c r="B12" s="1"/>
      <c r="C12" s="1"/>
      <c r="D12" s="1"/>
      <c r="E12" s="1"/>
      <c r="F12" s="1"/>
      <c r="G12" s="1"/>
      <c r="H12" s="1"/>
    </row>
    <row r="13" spans="1:15" ht="15.75" x14ac:dyDescent="0.25">
      <c r="A13" s="1"/>
      <c r="B13" s="1"/>
      <c r="C13" s="1"/>
      <c r="D13" s="1"/>
      <c r="E13" s="1"/>
      <c r="F13" s="1"/>
      <c r="G13" s="1"/>
      <c r="H13" s="1"/>
    </row>
    <row r="14" spans="1:15" ht="15.75" x14ac:dyDescent="0.25">
      <c r="A14" s="1"/>
      <c r="B14" s="1"/>
      <c r="C14" s="1"/>
      <c r="D14" s="1"/>
      <c r="E14" s="1"/>
      <c r="F14" s="1"/>
      <c r="G14" s="1"/>
      <c r="H14" s="1"/>
    </row>
    <row r="15" spans="1:15" ht="15.75" x14ac:dyDescent="0.25">
      <c r="A15" s="1"/>
      <c r="B15" s="1"/>
      <c r="C15" s="1"/>
      <c r="D15" s="1"/>
      <c r="E15" s="1"/>
      <c r="F15" s="1"/>
      <c r="G15" s="1"/>
      <c r="H15" s="1"/>
    </row>
    <row r="16" spans="1:15" ht="15.75" x14ac:dyDescent="0.25">
      <c r="A16" s="1"/>
      <c r="B16" s="1"/>
      <c r="C16" s="1"/>
      <c r="D16" s="1"/>
      <c r="E16" s="1"/>
      <c r="F16" s="1"/>
      <c r="G16" s="1"/>
      <c r="H16" s="1"/>
    </row>
    <row r="17" spans="1:15" ht="15.75" x14ac:dyDescent="0.25">
      <c r="A17" s="1"/>
      <c r="B17" s="1"/>
      <c r="C17" s="1"/>
      <c r="D17" s="1"/>
      <c r="E17" s="1"/>
      <c r="F17" s="1"/>
      <c r="G17" s="1"/>
      <c r="H17" s="1"/>
    </row>
    <row r="18" spans="1:15" ht="15.75" x14ac:dyDescent="0.25">
      <c r="A18" s="1"/>
      <c r="B18" s="1"/>
      <c r="C18" s="1"/>
      <c r="D18" s="1"/>
      <c r="E18" s="1"/>
      <c r="F18" s="1"/>
      <c r="G18" s="1"/>
      <c r="H18" s="1"/>
    </row>
    <row r="19" spans="1:15" ht="15.75" x14ac:dyDescent="0.25">
      <c r="A19" s="1"/>
      <c r="B19" s="1"/>
      <c r="C19" s="1"/>
      <c r="D19" s="1"/>
      <c r="E19" s="1"/>
      <c r="F19" s="1"/>
      <c r="G19" s="1"/>
      <c r="H19" s="1"/>
    </row>
    <row r="20" spans="1:15" ht="15.75" x14ac:dyDescent="0.25">
      <c r="A20" s="1"/>
      <c r="B20" s="1"/>
      <c r="C20" s="1"/>
      <c r="D20" s="1"/>
      <c r="E20" s="1"/>
      <c r="F20" s="1"/>
      <c r="G20" s="1"/>
      <c r="H20" s="1"/>
    </row>
    <row r="21" spans="1:15" ht="15.75" x14ac:dyDescent="0.25">
      <c r="A21" s="1"/>
      <c r="B21" s="1"/>
      <c r="C21" s="1"/>
      <c r="D21" s="1"/>
      <c r="E21" s="1"/>
      <c r="F21" s="1"/>
      <c r="G21" s="1"/>
      <c r="H21" s="1"/>
    </row>
    <row r="22" spans="1:15" ht="15.75" x14ac:dyDescent="0.25">
      <c r="A22" s="1"/>
      <c r="B22" s="1"/>
      <c r="C22" s="1"/>
      <c r="D22" s="1"/>
      <c r="E22" s="1"/>
      <c r="F22" s="1"/>
      <c r="G22" s="1"/>
      <c r="H22" s="1"/>
    </row>
    <row r="23" spans="1:15" ht="15.75" x14ac:dyDescent="0.25">
      <c r="A23" s="1"/>
      <c r="B23" s="1"/>
      <c r="C23" s="1"/>
      <c r="D23" s="1"/>
      <c r="E23" s="1"/>
      <c r="F23" s="1"/>
      <c r="G23" s="1"/>
      <c r="H23" s="1"/>
    </row>
    <row r="24" spans="1:15" ht="15.75" x14ac:dyDescent="0.25">
      <c r="A24" s="1"/>
      <c r="B24" s="1"/>
      <c r="C24" s="1"/>
      <c r="D24" s="1"/>
      <c r="E24" s="1"/>
      <c r="F24" s="1"/>
      <c r="G24" s="1"/>
      <c r="H24" s="1"/>
    </row>
    <row r="25" spans="1:15" ht="15.75" x14ac:dyDescent="0.25">
      <c r="A25" s="1"/>
      <c r="B25" s="1"/>
      <c r="C25" s="1"/>
      <c r="D25" s="1"/>
      <c r="E25" s="1"/>
      <c r="F25" s="1"/>
      <c r="G25" s="1"/>
      <c r="H25" s="1"/>
    </row>
    <row r="26" spans="1:15" ht="68.25" customHeight="1" x14ac:dyDescent="0.25">
      <c r="A26" s="1779" t="s">
        <v>5175</v>
      </c>
      <c r="B26" s="1779"/>
      <c r="C26" s="1779"/>
      <c r="D26" s="1779"/>
      <c r="E26" s="1779"/>
      <c r="F26" s="1779"/>
      <c r="G26" s="1779"/>
      <c r="H26" s="1779"/>
      <c r="I26" s="1779"/>
      <c r="J26" s="1779"/>
      <c r="K26" s="1779"/>
      <c r="L26" s="1779"/>
      <c r="M26" s="1779"/>
      <c r="N26" s="1779"/>
      <c r="O26" s="1779"/>
    </row>
    <row r="27" spans="1:15" ht="35.25" customHeight="1" x14ac:dyDescent="0.25">
      <c r="A27" s="1780" t="s">
        <v>3788</v>
      </c>
      <c r="B27" s="1780"/>
      <c r="C27" s="1780"/>
      <c r="D27" s="1780"/>
      <c r="E27" s="1780"/>
      <c r="F27" s="1780"/>
      <c r="G27" s="1780"/>
      <c r="H27" s="1780"/>
      <c r="I27" s="1780"/>
      <c r="J27" s="1780"/>
      <c r="K27" s="1780"/>
      <c r="L27" s="1780"/>
      <c r="M27" s="1780"/>
      <c r="N27" s="1780"/>
      <c r="O27" s="1780"/>
    </row>
    <row r="45" spans="1:15" ht="45" customHeight="1" x14ac:dyDescent="0.25">
      <c r="A45" s="1779" t="s">
        <v>5176</v>
      </c>
      <c r="B45" s="1779"/>
      <c r="C45" s="1779"/>
      <c r="D45" s="1779"/>
      <c r="E45" s="1779"/>
      <c r="F45" s="1779"/>
      <c r="G45" s="1779"/>
      <c r="H45" s="1779"/>
      <c r="I45" s="1779"/>
      <c r="J45" s="1779"/>
      <c r="K45" s="1779"/>
      <c r="L45" s="1779"/>
      <c r="M45" s="1779"/>
      <c r="N45" s="1779"/>
      <c r="O45" s="1779"/>
    </row>
    <row r="46" spans="1:15" ht="130.5" customHeight="1" x14ac:dyDescent="0.25">
      <c r="A46" s="1779" t="s">
        <v>3786</v>
      </c>
      <c r="B46" s="1779"/>
      <c r="C46" s="1779"/>
      <c r="D46" s="1779"/>
      <c r="E46" s="1779"/>
      <c r="F46" s="1779"/>
      <c r="G46" s="1779"/>
      <c r="H46" s="1779"/>
      <c r="I46" s="1779"/>
      <c r="J46" s="1779"/>
      <c r="K46" s="1779"/>
      <c r="L46" s="1779"/>
      <c r="M46" s="1779"/>
      <c r="N46" s="1779"/>
      <c r="O46" s="1779"/>
    </row>
    <row r="47" spans="1:15" ht="54.75" customHeight="1" x14ac:dyDescent="0.25">
      <c r="A47" s="1752" t="s">
        <v>5180</v>
      </c>
      <c r="B47" s="1752"/>
      <c r="C47" s="1752"/>
      <c r="D47" s="1752"/>
      <c r="E47" s="1752"/>
      <c r="F47" s="1752"/>
      <c r="G47" s="1752"/>
      <c r="H47" s="1752"/>
      <c r="I47" s="1752"/>
      <c r="J47" s="1752"/>
      <c r="K47" s="1752"/>
      <c r="L47" s="1752"/>
      <c r="M47" s="1752"/>
      <c r="N47" s="1752"/>
      <c r="O47" s="1752"/>
    </row>
    <row r="65" spans="1:15" ht="37.5" customHeight="1" x14ac:dyDescent="0.25">
      <c r="A65" s="1779" t="s">
        <v>5177</v>
      </c>
      <c r="B65" s="1779"/>
      <c r="C65" s="1779"/>
      <c r="D65" s="1779"/>
      <c r="E65" s="1779"/>
      <c r="F65" s="1779"/>
      <c r="G65" s="1779"/>
      <c r="H65" s="1779"/>
      <c r="I65" s="1779"/>
      <c r="J65" s="1779"/>
      <c r="K65" s="1779"/>
      <c r="L65" s="1779"/>
      <c r="M65" s="1779"/>
      <c r="N65" s="1779"/>
      <c r="O65" s="1779"/>
    </row>
    <row r="66" spans="1:15" ht="56.25" customHeight="1" x14ac:dyDescent="0.25">
      <c r="A66" s="1752" t="s">
        <v>4909</v>
      </c>
      <c r="B66" s="1752"/>
      <c r="C66" s="1752"/>
      <c r="D66" s="1752"/>
      <c r="E66" s="1752"/>
      <c r="F66" s="1752"/>
      <c r="G66" s="1752"/>
      <c r="H66" s="1752"/>
      <c r="I66" s="1752"/>
      <c r="J66" s="1752"/>
      <c r="K66" s="1752"/>
      <c r="L66" s="1752"/>
      <c r="M66" s="1752"/>
      <c r="N66" s="1752"/>
      <c r="O66" s="1752"/>
    </row>
    <row r="67" spans="1:15" x14ac:dyDescent="0.25">
      <c r="A67" s="1373"/>
      <c r="B67" s="1373"/>
      <c r="C67" s="1373"/>
      <c r="D67" s="1373"/>
      <c r="E67" s="1373"/>
      <c r="F67" s="1373"/>
      <c r="G67" s="1373"/>
      <c r="H67" s="1373"/>
      <c r="I67" s="1373"/>
      <c r="J67" s="1373"/>
      <c r="K67" s="1373"/>
      <c r="L67" s="1373"/>
      <c r="M67" s="1373"/>
      <c r="N67" s="1373"/>
      <c r="O67" s="1373"/>
    </row>
    <row r="68" spans="1:15" x14ac:dyDescent="0.25">
      <c r="A68" s="1373"/>
      <c r="B68" s="1373"/>
      <c r="C68" s="1373"/>
      <c r="D68" s="1373"/>
      <c r="E68" s="1373"/>
      <c r="F68" s="1373"/>
      <c r="G68" s="1373"/>
      <c r="H68" s="1373"/>
      <c r="I68" s="1373"/>
      <c r="J68" s="1373"/>
      <c r="K68" s="1373"/>
      <c r="L68" s="1373"/>
      <c r="M68" s="1373"/>
      <c r="N68" s="1373"/>
      <c r="O68" s="1373"/>
    </row>
    <row r="69" spans="1:15" x14ac:dyDescent="0.25">
      <c r="A69" s="1373"/>
      <c r="B69" s="1373"/>
      <c r="C69" s="1373"/>
      <c r="D69" s="1373"/>
      <c r="E69" s="1373"/>
      <c r="F69" s="1373"/>
      <c r="G69" s="1373"/>
      <c r="H69" s="1373"/>
      <c r="I69" s="1373"/>
      <c r="J69" s="1373"/>
      <c r="K69" s="1373"/>
      <c r="L69" s="1373"/>
      <c r="M69" s="1373"/>
      <c r="N69" s="1373"/>
      <c r="O69" s="1373"/>
    </row>
    <row r="70" spans="1:15" x14ac:dyDescent="0.25">
      <c r="A70" s="1373"/>
      <c r="B70" s="1373"/>
      <c r="C70" s="1373"/>
      <c r="D70" s="1373"/>
      <c r="E70" s="1373"/>
      <c r="F70" s="1373"/>
      <c r="G70" s="1373"/>
      <c r="H70" s="1373"/>
      <c r="I70" s="1373"/>
      <c r="J70" s="1373"/>
      <c r="K70" s="1373"/>
      <c r="L70" s="1373"/>
      <c r="M70" s="1373"/>
      <c r="N70" s="1373"/>
      <c r="O70" s="1373"/>
    </row>
    <row r="71" spans="1:15" x14ac:dyDescent="0.25">
      <c r="A71" s="1373"/>
      <c r="B71" s="1373"/>
      <c r="C71" s="1373"/>
      <c r="D71" s="1373"/>
      <c r="E71" s="1373"/>
      <c r="F71" s="1373"/>
      <c r="G71" s="1373"/>
      <c r="H71" s="1373"/>
      <c r="I71" s="1373"/>
      <c r="J71" s="1373"/>
      <c r="K71" s="1373"/>
      <c r="L71" s="1373"/>
      <c r="M71" s="1373"/>
      <c r="N71" s="1373"/>
      <c r="O71" s="1373"/>
    </row>
    <row r="72" spans="1:15" x14ac:dyDescent="0.25">
      <c r="A72" s="1373"/>
      <c r="B72" s="1373"/>
      <c r="C72" s="1373"/>
      <c r="D72" s="1373"/>
      <c r="E72" s="1373"/>
      <c r="F72" s="1373"/>
      <c r="G72" s="1373"/>
      <c r="H72" s="1373"/>
      <c r="I72" s="1373"/>
      <c r="J72" s="1373"/>
      <c r="K72" s="1373"/>
      <c r="L72" s="1373"/>
      <c r="M72" s="1373"/>
      <c r="N72" s="1373"/>
      <c r="O72" s="1373"/>
    </row>
    <row r="73" spans="1:15" x14ac:dyDescent="0.25">
      <c r="A73" s="1373"/>
      <c r="B73" s="1373"/>
      <c r="C73" s="1373"/>
      <c r="D73" s="1373"/>
      <c r="E73" s="1373"/>
      <c r="F73" s="1373"/>
      <c r="G73" s="1373"/>
      <c r="H73" s="1373"/>
      <c r="I73" s="1373"/>
      <c r="J73" s="1373"/>
      <c r="K73" s="1373"/>
      <c r="L73" s="1373"/>
      <c r="M73" s="1373"/>
      <c r="N73" s="1373"/>
      <c r="O73" s="1373"/>
    </row>
    <row r="74" spans="1:15" x14ac:dyDescent="0.25">
      <c r="A74" s="1373"/>
      <c r="B74" s="1373"/>
      <c r="C74" s="1373"/>
      <c r="D74" s="1373"/>
      <c r="E74" s="1373"/>
      <c r="F74" s="1373"/>
      <c r="G74" s="1373"/>
      <c r="H74" s="1373"/>
      <c r="I74" s="1373"/>
      <c r="J74" s="1373"/>
      <c r="K74" s="1373"/>
      <c r="L74" s="1373"/>
      <c r="M74" s="1373"/>
      <c r="N74" s="1373"/>
      <c r="O74" s="1373"/>
    </row>
    <row r="75" spans="1:15" x14ac:dyDescent="0.25">
      <c r="A75" s="1373"/>
      <c r="B75" s="1373"/>
      <c r="C75" s="1373"/>
      <c r="D75" s="1373"/>
      <c r="E75" s="1373"/>
      <c r="F75" s="1373"/>
      <c r="G75" s="1373"/>
      <c r="H75" s="1373"/>
      <c r="I75" s="1373"/>
      <c r="J75" s="1373"/>
      <c r="K75" s="1373"/>
      <c r="L75" s="1373"/>
      <c r="M75" s="1373"/>
      <c r="N75" s="1373"/>
      <c r="O75" s="1373"/>
    </row>
    <row r="76" spans="1:15" x14ac:dyDescent="0.25">
      <c r="A76" s="1373"/>
      <c r="B76" s="1373"/>
      <c r="C76" s="1373"/>
      <c r="D76" s="1373"/>
      <c r="E76" s="1373"/>
      <c r="F76" s="1373"/>
      <c r="G76" s="1373"/>
      <c r="H76" s="1373"/>
      <c r="I76" s="1373"/>
      <c r="J76" s="1373"/>
      <c r="K76" s="1373"/>
      <c r="L76" s="1373"/>
      <c r="M76" s="1373"/>
      <c r="N76" s="1373"/>
      <c r="O76" s="1373"/>
    </row>
    <row r="77" spans="1:15" x14ac:dyDescent="0.25">
      <c r="A77" s="1373"/>
      <c r="B77" s="1373"/>
      <c r="C77" s="1373"/>
      <c r="D77" s="1373"/>
      <c r="E77" s="1373"/>
      <c r="F77" s="1373"/>
      <c r="G77" s="1373"/>
      <c r="H77" s="1373"/>
      <c r="I77" s="1373"/>
      <c r="J77" s="1373"/>
      <c r="K77" s="1373"/>
      <c r="L77" s="1373"/>
      <c r="M77" s="1373"/>
      <c r="N77" s="1373"/>
      <c r="O77" s="1373"/>
    </row>
    <row r="78" spans="1:15" x14ac:dyDescent="0.25">
      <c r="A78" s="1373"/>
      <c r="B78" s="1373"/>
      <c r="C78" s="1373"/>
      <c r="D78" s="1373"/>
      <c r="E78" s="1373"/>
      <c r="F78" s="1373"/>
      <c r="G78" s="1373"/>
      <c r="H78" s="1373"/>
      <c r="I78" s="1373"/>
      <c r="J78" s="1373"/>
      <c r="K78" s="1373"/>
      <c r="L78" s="1373"/>
      <c r="M78" s="1373"/>
      <c r="N78" s="1373"/>
      <c r="O78" s="1373"/>
    </row>
    <row r="79" spans="1:15" x14ac:dyDescent="0.25">
      <c r="A79" s="1373"/>
      <c r="B79" s="1373"/>
      <c r="C79" s="1373"/>
      <c r="D79" s="1373"/>
      <c r="E79" s="1373"/>
      <c r="F79" s="1373"/>
      <c r="G79" s="1373"/>
      <c r="H79" s="1373"/>
      <c r="I79" s="1373"/>
      <c r="J79" s="1373"/>
      <c r="K79" s="1373"/>
      <c r="L79" s="1373"/>
      <c r="M79" s="1373"/>
      <c r="N79" s="1373"/>
      <c r="O79" s="1373"/>
    </row>
    <row r="80" spans="1:15" x14ac:dyDescent="0.25">
      <c r="A80" s="1373"/>
      <c r="B80" s="1373"/>
      <c r="C80" s="1373"/>
      <c r="D80" s="1373"/>
      <c r="E80" s="1373"/>
      <c r="F80" s="1373"/>
      <c r="G80" s="1373"/>
      <c r="H80" s="1373"/>
      <c r="I80" s="1373"/>
      <c r="J80" s="1373"/>
      <c r="K80" s="1373"/>
      <c r="L80" s="1373"/>
      <c r="M80" s="1373"/>
      <c r="N80" s="1373"/>
      <c r="O80" s="1373"/>
    </row>
    <row r="81" spans="1:15" x14ac:dyDescent="0.25">
      <c r="A81" s="1373"/>
      <c r="B81" s="1373"/>
      <c r="C81" s="1373"/>
      <c r="D81" s="1373"/>
      <c r="E81" s="1373"/>
      <c r="F81" s="1373"/>
      <c r="G81" s="1373"/>
      <c r="H81" s="1373"/>
      <c r="I81" s="1373"/>
      <c r="J81" s="1373"/>
      <c r="K81" s="1373"/>
      <c r="L81" s="1373"/>
      <c r="M81" s="1373"/>
      <c r="N81" s="1373"/>
      <c r="O81" s="1373"/>
    </row>
    <row r="82" spans="1:15" x14ac:dyDescent="0.25">
      <c r="A82" s="1373"/>
      <c r="B82" s="1373"/>
      <c r="C82" s="1373"/>
      <c r="D82" s="1373"/>
      <c r="E82" s="1373"/>
      <c r="F82" s="1373"/>
      <c r="G82" s="1373"/>
      <c r="H82" s="1373"/>
      <c r="I82" s="1373"/>
      <c r="J82" s="1373"/>
      <c r="K82" s="1373"/>
      <c r="L82" s="1373"/>
      <c r="M82" s="1373"/>
      <c r="N82" s="1373"/>
      <c r="O82" s="1373"/>
    </row>
    <row r="83" spans="1:15" x14ac:dyDescent="0.25">
      <c r="A83" s="1373"/>
      <c r="B83" s="1373"/>
      <c r="C83" s="1373"/>
      <c r="D83" s="1373"/>
      <c r="E83" s="1373"/>
      <c r="F83" s="1373"/>
      <c r="G83" s="1373"/>
      <c r="H83" s="1373"/>
      <c r="I83" s="1373"/>
      <c r="J83" s="1373"/>
      <c r="K83" s="1373"/>
      <c r="L83" s="1373"/>
      <c r="M83" s="1373"/>
      <c r="N83" s="1373"/>
      <c r="O83" s="1373"/>
    </row>
    <row r="84" spans="1:15" ht="33" customHeight="1" x14ac:dyDescent="0.25">
      <c r="A84" s="1779" t="s">
        <v>5178</v>
      </c>
      <c r="B84" s="1779"/>
      <c r="C84" s="1779"/>
      <c r="D84" s="1779"/>
      <c r="E84" s="1779"/>
      <c r="F84" s="1779"/>
      <c r="G84" s="1779"/>
      <c r="H84" s="1779"/>
      <c r="I84" s="1779"/>
      <c r="J84" s="1779"/>
      <c r="K84" s="1779"/>
      <c r="L84" s="1779"/>
      <c r="M84" s="1779"/>
      <c r="N84" s="1779"/>
      <c r="O84" s="1779"/>
    </row>
    <row r="85" spans="1:15" ht="37.5" customHeight="1" x14ac:dyDescent="0.25">
      <c r="A85" s="1781" t="s">
        <v>4910</v>
      </c>
      <c r="B85" s="1781"/>
      <c r="C85" s="1781"/>
      <c r="D85" s="1781"/>
      <c r="E85" s="1781"/>
      <c r="F85" s="1781"/>
      <c r="G85" s="1781"/>
      <c r="H85" s="1781"/>
      <c r="I85" s="1781"/>
      <c r="J85" s="1781"/>
      <c r="K85" s="1781"/>
      <c r="L85" s="1781"/>
      <c r="M85" s="1781"/>
      <c r="N85" s="1781"/>
      <c r="O85" s="1781"/>
    </row>
    <row r="106" spans="1:15" ht="53.25" customHeight="1" x14ac:dyDescent="0.25">
      <c r="A106" s="1779" t="s">
        <v>5179</v>
      </c>
      <c r="B106" s="1779"/>
      <c r="C106" s="1779"/>
      <c r="D106" s="1779"/>
      <c r="E106" s="1779"/>
      <c r="F106" s="1779"/>
      <c r="G106" s="1779"/>
      <c r="H106" s="1779"/>
      <c r="I106" s="1779"/>
      <c r="J106" s="1779"/>
      <c r="K106" s="1779"/>
      <c r="L106" s="1779"/>
      <c r="M106" s="1779"/>
      <c r="N106" s="1779"/>
      <c r="O106" s="1779"/>
    </row>
    <row r="107" spans="1:15" ht="44.25" customHeight="1" x14ac:dyDescent="0.25">
      <c r="A107" s="1753" t="s">
        <v>4911</v>
      </c>
      <c r="B107" s="1753"/>
      <c r="C107" s="1753"/>
      <c r="D107" s="1753"/>
      <c r="E107" s="1753"/>
      <c r="F107" s="1753"/>
      <c r="G107" s="1753"/>
      <c r="H107" s="1753"/>
      <c r="I107" s="1753"/>
      <c r="J107" s="1753"/>
      <c r="K107" s="1753"/>
      <c r="L107" s="1753"/>
      <c r="M107" s="1753"/>
      <c r="N107" s="1753"/>
      <c r="O107" s="1753"/>
    </row>
    <row r="123" spans="1:15" ht="38.25" customHeight="1" x14ac:dyDescent="0.25">
      <c r="A123" s="1779" t="s">
        <v>5177</v>
      </c>
      <c r="B123" s="1779"/>
      <c r="C123" s="1779"/>
      <c r="D123" s="1779"/>
      <c r="E123" s="1779"/>
      <c r="F123" s="1779"/>
      <c r="G123" s="1779"/>
      <c r="H123" s="1779"/>
      <c r="I123" s="1779"/>
      <c r="J123" s="1779"/>
      <c r="K123" s="1779"/>
      <c r="L123" s="1779"/>
      <c r="M123" s="1779"/>
      <c r="N123" s="1779"/>
      <c r="O123" s="1779"/>
    </row>
    <row r="125" spans="1:15" ht="56.25" customHeight="1" x14ac:dyDescent="0.25">
      <c r="A125" s="1737" t="s">
        <v>1255</v>
      </c>
      <c r="B125" s="1738"/>
      <c r="C125" s="1738"/>
      <c r="D125" s="1738"/>
      <c r="E125" s="1738"/>
      <c r="F125" s="1738"/>
      <c r="G125" s="1738"/>
      <c r="H125" s="1738"/>
      <c r="I125" s="1738"/>
      <c r="J125" s="1738"/>
      <c r="K125" s="1738"/>
      <c r="L125" s="1738"/>
      <c r="M125" s="1738"/>
      <c r="N125" s="1738"/>
      <c r="O125" s="1739"/>
    </row>
  </sheetData>
  <mergeCells count="15">
    <mergeCell ref="A5:O5"/>
    <mergeCell ref="A6:O6"/>
    <mergeCell ref="A125:O125"/>
    <mergeCell ref="A26:O26"/>
    <mergeCell ref="A27:O27"/>
    <mergeCell ref="A45:O45"/>
    <mergeCell ref="A46:O46"/>
    <mergeCell ref="A65:O65"/>
    <mergeCell ref="A107:O107"/>
    <mergeCell ref="A123:O123"/>
    <mergeCell ref="A47:O47"/>
    <mergeCell ref="A106:O106"/>
    <mergeCell ref="A85:O85"/>
    <mergeCell ref="A66:O66"/>
    <mergeCell ref="A84:O84"/>
  </mergeCells>
  <printOptions horizontalCentered="1" verticalCentered="1"/>
  <pageMargins left="0.39370078740157483" right="0.39370078740157483" top="0.39370078740157483" bottom="0.39370078740157483" header="3.937007874015748E-2" footer="3.937007874015748E-2"/>
  <pageSetup paperSize="9" orientation="landscape" verticalDpi="0" r:id="rId1"/>
  <headerFooter>
    <oddFooter>&amp;C&amp;"Times New Roman,Normal"&amp;10SisMob-BH - Gráficos de 5) Meio ambiente / 5.2) Poluição do ar - p.&amp;P/&amp;N</oddFooter>
  </headerFooter>
  <rowBreaks count="4" manualBreakCount="4">
    <brk id="26" max="16383" man="1"/>
    <brk id="65" max="16383" man="1"/>
    <brk id="84" max="16383" man="1"/>
    <brk id="10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46"/>
  <sheetViews>
    <sheetView zoomScaleNormal="100" workbookViewId="0">
      <selection activeCell="A44" sqref="A44:O44"/>
    </sheetView>
  </sheetViews>
  <sheetFormatPr defaultRowHeight="15" x14ac:dyDescent="0.25"/>
  <sheetData>
    <row r="5" spans="1:15" ht="18.75" x14ac:dyDescent="0.25">
      <c r="A5" s="1764" t="s">
        <v>0</v>
      </c>
      <c r="B5" s="1764"/>
      <c r="C5" s="1764"/>
      <c r="D5" s="1764"/>
      <c r="E5" s="1764"/>
      <c r="F5" s="1764"/>
      <c r="G5" s="1764"/>
      <c r="H5" s="1764"/>
      <c r="I5" s="1764"/>
      <c r="J5" s="1764"/>
      <c r="K5" s="1764"/>
      <c r="L5" s="1764"/>
      <c r="M5" s="1764"/>
      <c r="N5" s="1764"/>
      <c r="O5" s="1764"/>
    </row>
    <row r="6" spans="1:15" ht="31.5" customHeight="1" x14ac:dyDescent="0.25">
      <c r="A6" s="1736" t="s">
        <v>3804</v>
      </c>
      <c r="B6" s="1736"/>
      <c r="C6" s="1736"/>
      <c r="D6" s="1736"/>
      <c r="E6" s="1736"/>
      <c r="F6" s="1736"/>
      <c r="G6" s="1736"/>
      <c r="H6" s="1736"/>
      <c r="I6" s="1736"/>
      <c r="J6" s="1736"/>
      <c r="K6" s="1736"/>
      <c r="L6" s="1736"/>
      <c r="M6" s="1736"/>
      <c r="N6" s="1736"/>
      <c r="O6" s="1736"/>
    </row>
    <row r="25" spans="1:15" ht="32.25" customHeight="1" x14ac:dyDescent="0.25">
      <c r="A25" s="1740" t="s">
        <v>4373</v>
      </c>
      <c r="B25" s="1740"/>
      <c r="C25" s="1740"/>
      <c r="D25" s="1740"/>
      <c r="E25" s="1740"/>
      <c r="F25" s="1740"/>
      <c r="G25" s="1740"/>
      <c r="H25" s="1740"/>
      <c r="I25" s="1740"/>
      <c r="J25" s="1740"/>
      <c r="K25" s="1740"/>
      <c r="L25" s="1740"/>
      <c r="M25" s="1740"/>
      <c r="N25" s="1740"/>
      <c r="O25" s="1740"/>
    </row>
    <row r="26" spans="1:15" ht="64.5" customHeight="1" x14ac:dyDescent="0.25">
      <c r="A26" s="1759" t="s">
        <v>3810</v>
      </c>
      <c r="B26" s="1759"/>
      <c r="C26" s="1759"/>
      <c r="D26" s="1759"/>
      <c r="E26" s="1759"/>
      <c r="F26" s="1759"/>
      <c r="G26" s="1759"/>
      <c r="H26" s="1759"/>
      <c r="I26" s="1759"/>
      <c r="J26" s="1759"/>
      <c r="K26" s="1759"/>
      <c r="L26" s="1759"/>
      <c r="M26" s="1759"/>
      <c r="N26" s="1759"/>
      <c r="O26" s="1759"/>
    </row>
    <row r="27" spans="1:15" ht="36" customHeight="1" x14ac:dyDescent="0.25">
      <c r="A27" s="1736" t="s">
        <v>3812</v>
      </c>
      <c r="B27" s="1736"/>
      <c r="C27" s="1736"/>
      <c r="D27" s="1736"/>
      <c r="E27" s="1736"/>
      <c r="F27" s="1736"/>
      <c r="G27" s="1736"/>
      <c r="H27" s="1736"/>
      <c r="I27" s="1736"/>
      <c r="J27" s="1736"/>
      <c r="K27" s="1736"/>
      <c r="L27" s="1736"/>
      <c r="M27" s="1736"/>
      <c r="N27" s="1736"/>
      <c r="O27" s="1736"/>
    </row>
    <row r="43" spans="1:15" ht="33" customHeight="1" x14ac:dyDescent="0.25">
      <c r="A43" s="1740" t="s">
        <v>4373</v>
      </c>
      <c r="B43" s="1740"/>
      <c r="C43" s="1740"/>
      <c r="D43" s="1740"/>
      <c r="E43" s="1740"/>
      <c r="F43" s="1740"/>
      <c r="G43" s="1740"/>
      <c r="H43" s="1740"/>
      <c r="I43" s="1740"/>
      <c r="J43" s="1740"/>
      <c r="K43" s="1740"/>
      <c r="L43" s="1740"/>
      <c r="M43" s="1740"/>
      <c r="N43" s="1740"/>
      <c r="O43" s="1740"/>
    </row>
    <row r="44" spans="1:15" x14ac:dyDescent="0.25">
      <c r="A44" s="1782" t="s">
        <v>3807</v>
      </c>
      <c r="B44" s="1782"/>
      <c r="C44" s="1782"/>
      <c r="D44" s="1782"/>
      <c r="E44" s="1782"/>
      <c r="F44" s="1782"/>
      <c r="G44" s="1782"/>
      <c r="H44" s="1782"/>
      <c r="I44" s="1782"/>
      <c r="J44" s="1782"/>
      <c r="K44" s="1782"/>
      <c r="L44" s="1782"/>
      <c r="M44" s="1782"/>
      <c r="N44" s="1782"/>
      <c r="O44" s="1782"/>
    </row>
    <row r="45" spans="1:15" ht="33" customHeight="1" x14ac:dyDescent="0.25"/>
    <row r="46" spans="1:15" ht="45" customHeight="1" x14ac:dyDescent="0.25">
      <c r="A46" s="1751" t="s">
        <v>4374</v>
      </c>
      <c r="B46" s="1751"/>
      <c r="C46" s="1751"/>
      <c r="D46" s="1751"/>
      <c r="E46" s="1751"/>
      <c r="F46" s="1751"/>
      <c r="G46" s="1751"/>
      <c r="H46" s="1751"/>
      <c r="I46" s="1751"/>
      <c r="J46" s="1751"/>
      <c r="K46" s="1751"/>
      <c r="L46" s="1751"/>
      <c r="M46" s="1751"/>
      <c r="N46" s="1751"/>
      <c r="O46" s="1751"/>
    </row>
  </sheetData>
  <mergeCells count="8">
    <mergeCell ref="A44:O44"/>
    <mergeCell ref="A46:O46"/>
    <mergeCell ref="A5:O5"/>
    <mergeCell ref="A6:O6"/>
    <mergeCell ref="A25:O25"/>
    <mergeCell ref="A26:O26"/>
    <mergeCell ref="A27:O27"/>
    <mergeCell ref="A43:O43"/>
  </mergeCells>
  <printOptions horizontalCentered="1" verticalCentered="1"/>
  <pageMargins left="0.39370078740157483" right="0.39370078740157483" top="0.39370078740157483" bottom="0.39370078740157483" header="0.31496062992125984" footer="0.31496062992125984"/>
  <pageSetup paperSize="9" orientation="landscape" verticalDpi="0" r:id="rId1"/>
  <headerFooter>
    <oddFooter>&amp;C&amp;"Times New Roman,Normal"&amp;10SisMob-BH - Gráficos de 6) Sistema de transportes ativos (não motorizados) / 6.1) Calçadas e passarelas - p.&amp;P/&amp;N</oddFooter>
  </headerFooter>
  <rowBreaks count="1" manualBreakCount="1">
    <brk id="2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67"/>
  <sheetViews>
    <sheetView zoomScaleNormal="100" workbookViewId="0">
      <selection activeCell="B3" sqref="B3"/>
    </sheetView>
  </sheetViews>
  <sheetFormatPr defaultRowHeight="15" x14ac:dyDescent="0.25"/>
  <sheetData>
    <row r="5" spans="1:15" ht="18.75" x14ac:dyDescent="0.25">
      <c r="A5" s="1735" t="s">
        <v>6255</v>
      </c>
      <c r="B5" s="1735"/>
      <c r="C5" s="1735"/>
      <c r="D5" s="1735"/>
      <c r="E5" s="1735"/>
      <c r="F5" s="1735"/>
      <c r="G5" s="1735"/>
      <c r="H5" s="1735"/>
      <c r="I5" s="1735"/>
      <c r="J5" s="1735"/>
      <c r="K5" s="1735"/>
      <c r="L5" s="1735"/>
      <c r="M5" s="1735"/>
      <c r="N5" s="1735"/>
      <c r="O5" s="1735"/>
    </row>
    <row r="6" spans="1:15" ht="18.75" x14ac:dyDescent="0.25">
      <c r="A6" s="1419"/>
      <c r="B6" s="1419"/>
      <c r="C6" s="1419"/>
      <c r="D6" s="1419"/>
      <c r="E6" s="1419"/>
      <c r="F6" s="1419"/>
      <c r="G6" s="1419"/>
      <c r="H6" s="1419"/>
      <c r="I6" s="1419"/>
      <c r="J6" s="1419"/>
      <c r="K6" s="1419"/>
      <c r="L6" s="1419"/>
      <c r="M6" s="1419"/>
      <c r="N6" s="1419"/>
      <c r="O6" s="1419"/>
    </row>
    <row r="7" spans="1:15" ht="48" customHeight="1" x14ac:dyDescent="0.25">
      <c r="A7" s="1783" t="s">
        <v>5408</v>
      </c>
      <c r="B7" s="1784"/>
      <c r="C7" s="1784"/>
      <c r="D7" s="1784"/>
      <c r="E7" s="1784"/>
      <c r="F7" s="1784"/>
      <c r="G7" s="1784"/>
      <c r="H7" s="315"/>
      <c r="I7" s="1783" t="s">
        <v>5409</v>
      </c>
      <c r="J7" s="1784"/>
      <c r="K7" s="1784"/>
      <c r="L7" s="1784"/>
      <c r="M7" s="1784"/>
      <c r="N7" s="1784"/>
      <c r="O7" s="1784"/>
    </row>
    <row r="24" spans="1:15" ht="33" customHeight="1" x14ac:dyDescent="0.25"/>
    <row r="27" spans="1:15" ht="77.25" customHeight="1" x14ac:dyDescent="0.25">
      <c r="A27" s="1758" t="s">
        <v>6266</v>
      </c>
      <c r="B27" s="1758"/>
      <c r="C27" s="1758"/>
      <c r="D27" s="1758"/>
      <c r="E27" s="1758"/>
      <c r="F27" s="1758"/>
      <c r="G27" s="1758"/>
      <c r="H27" s="1421"/>
      <c r="I27" s="1758" t="s">
        <v>6267</v>
      </c>
      <c r="J27" s="1758"/>
      <c r="K27" s="1758"/>
      <c r="L27" s="1758"/>
      <c r="M27" s="1758"/>
      <c r="N27" s="1758"/>
      <c r="O27" s="1758"/>
    </row>
    <row r="28" spans="1:15" ht="21" customHeight="1" x14ac:dyDescent="0.25">
      <c r="A28" s="1736" t="s">
        <v>5410</v>
      </c>
      <c r="B28" s="1736"/>
      <c r="C28" s="1736"/>
      <c r="D28" s="1736"/>
      <c r="E28" s="1736"/>
      <c r="F28" s="1736"/>
      <c r="G28" s="1736"/>
      <c r="H28" s="1736"/>
      <c r="I28" s="1736"/>
      <c r="J28" s="1736"/>
      <c r="K28" s="1736"/>
      <c r="L28" s="1736"/>
      <c r="M28" s="1736"/>
      <c r="N28" s="1736"/>
      <c r="O28" s="1736"/>
    </row>
    <row r="48" spans="1:15" ht="78.75" customHeight="1" x14ac:dyDescent="0.25">
      <c r="A48" s="1740" t="s">
        <v>6268</v>
      </c>
      <c r="B48" s="1740"/>
      <c r="C48" s="1740"/>
      <c r="D48" s="1740"/>
      <c r="E48" s="1740"/>
      <c r="F48" s="1740"/>
      <c r="G48" s="1740"/>
      <c r="H48" s="1740"/>
      <c r="I48" s="1740"/>
      <c r="J48" s="1740"/>
      <c r="K48" s="1740"/>
      <c r="L48" s="1740"/>
      <c r="M48" s="1740"/>
      <c r="N48" s="1740"/>
      <c r="O48" s="1740"/>
    </row>
    <row r="49" spans="1:15" ht="31.5" customHeight="1" x14ac:dyDescent="0.25">
      <c r="A49" s="1736" t="s">
        <v>5411</v>
      </c>
      <c r="B49" s="1736"/>
      <c r="C49" s="1736"/>
      <c r="D49" s="1736"/>
      <c r="E49" s="1736"/>
      <c r="F49" s="1736"/>
      <c r="G49" s="1736"/>
      <c r="H49" s="1736"/>
      <c r="I49" s="1736"/>
      <c r="J49" s="1736"/>
      <c r="K49" s="1736"/>
      <c r="L49" s="1736"/>
      <c r="M49" s="1736"/>
      <c r="N49" s="1736"/>
      <c r="O49" s="1736"/>
    </row>
    <row r="65" spans="1:15" ht="84.75" customHeight="1" x14ac:dyDescent="0.25">
      <c r="A65" s="1740" t="s">
        <v>6269</v>
      </c>
      <c r="B65" s="1740"/>
      <c r="C65" s="1740"/>
      <c r="D65" s="1740"/>
      <c r="E65" s="1740"/>
      <c r="F65" s="1740"/>
      <c r="G65" s="1740"/>
      <c r="H65" s="1740"/>
      <c r="I65" s="1740"/>
      <c r="J65" s="1740"/>
      <c r="K65" s="1740"/>
      <c r="L65" s="1740"/>
      <c r="M65" s="1740"/>
      <c r="N65" s="1740"/>
      <c r="O65" s="1740"/>
    </row>
    <row r="67" spans="1:15" ht="59.25" customHeight="1" x14ac:dyDescent="0.25">
      <c r="A67" s="1737" t="s">
        <v>3252</v>
      </c>
      <c r="B67" s="1738"/>
      <c r="C67" s="1738"/>
      <c r="D67" s="1738"/>
      <c r="E67" s="1738"/>
      <c r="F67" s="1738"/>
      <c r="G67" s="1738"/>
      <c r="H67" s="1738"/>
      <c r="I67" s="1738"/>
      <c r="J67" s="1738"/>
      <c r="K67" s="1738"/>
      <c r="L67" s="1738"/>
      <c r="M67" s="1738"/>
      <c r="N67" s="1738"/>
      <c r="O67" s="1739"/>
    </row>
  </sheetData>
  <mergeCells count="10">
    <mergeCell ref="A67:O67"/>
    <mergeCell ref="A5:O5"/>
    <mergeCell ref="A49:O49"/>
    <mergeCell ref="A65:O65"/>
    <mergeCell ref="A28:O28"/>
    <mergeCell ref="A48:O48"/>
    <mergeCell ref="I7:O7"/>
    <mergeCell ref="A7:G7"/>
    <mergeCell ref="A27:G27"/>
    <mergeCell ref="I27:O27"/>
  </mergeCells>
  <printOptions horizontalCentered="1" verticalCentered="1"/>
  <pageMargins left="0.39370078740157483" right="0.39370078740157483" top="0.39370078740157483" bottom="0.39370078740157483" header="0.31496062992125984" footer="0.31496062992125984"/>
  <pageSetup paperSize="9" orientation="landscape" verticalDpi="0" r:id="rId1"/>
  <headerFooter>
    <oddFooter>&amp;C&amp;"Times New Roman,Normal"&amp;10SisMob-BH - Gráficos de 6) Sistema de transportes ativos (não motorizados) / 6.2) Sistema de bicicleta - p.&amp;P/&amp;N</oddFooter>
  </headerFooter>
  <rowBreaks count="2" manualBreakCount="2">
    <brk id="27" max="16383" man="1"/>
    <brk id="48"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61"/>
  <sheetViews>
    <sheetView zoomScaleNormal="100" workbookViewId="0">
      <selection activeCell="B46" sqref="B46"/>
    </sheetView>
  </sheetViews>
  <sheetFormatPr defaultRowHeight="15" x14ac:dyDescent="0.25"/>
  <cols>
    <col min="1" max="1" width="10.5703125" customWidth="1"/>
    <col min="4" max="5" width="9.140625" customWidth="1"/>
    <col min="6" max="6" width="5.7109375" customWidth="1"/>
    <col min="13" max="13" width="10.85546875" customWidth="1"/>
  </cols>
  <sheetData>
    <row r="5" spans="1:15" ht="18.75" x14ac:dyDescent="0.25">
      <c r="A5" s="1735" t="s">
        <v>6255</v>
      </c>
      <c r="B5" s="1735"/>
      <c r="C5" s="1735"/>
      <c r="D5" s="1735"/>
      <c r="E5" s="1735"/>
      <c r="F5" s="1735"/>
      <c r="G5" s="1735"/>
      <c r="H5" s="1735"/>
      <c r="I5" s="1735"/>
      <c r="J5" s="1735"/>
      <c r="K5" s="1735"/>
      <c r="L5" s="1735"/>
      <c r="M5" s="1735"/>
      <c r="N5" s="1735"/>
      <c r="O5" s="1735"/>
    </row>
    <row r="6" spans="1:15" ht="31.5" customHeight="1" x14ac:dyDescent="0.25">
      <c r="A6" s="1736" t="s">
        <v>5656</v>
      </c>
      <c r="B6" s="1736"/>
      <c r="C6" s="1736"/>
      <c r="D6" s="1736"/>
      <c r="E6" s="1736"/>
      <c r="F6" s="1736"/>
      <c r="G6" s="1736"/>
      <c r="H6" s="1736"/>
      <c r="I6" s="1736"/>
      <c r="J6" s="1736"/>
      <c r="K6" s="1736"/>
      <c r="L6" s="1736"/>
      <c r="M6" s="1736"/>
      <c r="N6" s="1736"/>
      <c r="O6" s="1736"/>
    </row>
    <row r="7" spans="1:15" ht="15.75" x14ac:dyDescent="0.25">
      <c r="A7" s="1"/>
      <c r="B7" s="1"/>
      <c r="C7" s="1"/>
      <c r="D7" s="1"/>
      <c r="E7" s="1"/>
      <c r="F7" s="1"/>
      <c r="G7" s="1"/>
      <c r="H7" s="1"/>
    </row>
    <row r="8" spans="1:15" ht="15.75" x14ac:dyDescent="0.25">
      <c r="A8" s="1"/>
      <c r="B8" s="1"/>
      <c r="C8" s="1"/>
      <c r="D8" s="1"/>
      <c r="E8" s="1"/>
      <c r="F8" s="1"/>
      <c r="G8" s="1"/>
      <c r="H8" s="1"/>
    </row>
    <row r="9" spans="1:15" ht="15.75" x14ac:dyDescent="0.25">
      <c r="A9" s="1"/>
      <c r="B9" s="1"/>
      <c r="C9" s="1"/>
      <c r="D9" s="1"/>
      <c r="E9" s="1"/>
      <c r="F9" s="1"/>
      <c r="G9" s="1"/>
      <c r="H9" s="1"/>
    </row>
    <row r="10" spans="1:15" ht="15.75" x14ac:dyDescent="0.25">
      <c r="A10" s="1"/>
      <c r="B10" s="1"/>
      <c r="C10" s="1"/>
      <c r="D10" s="1"/>
      <c r="E10" s="1"/>
      <c r="F10" s="1"/>
      <c r="G10" s="1"/>
      <c r="H10" s="1"/>
    </row>
    <row r="11" spans="1:15" ht="15.75" x14ac:dyDescent="0.25">
      <c r="A11" s="1"/>
      <c r="B11" s="1"/>
      <c r="C11" s="1"/>
      <c r="D11" s="1"/>
      <c r="E11" s="1"/>
      <c r="F11" s="1"/>
      <c r="G11" s="1"/>
      <c r="H11" s="1"/>
    </row>
    <row r="12" spans="1:15" ht="15.75" x14ac:dyDescent="0.25">
      <c r="A12" s="1"/>
      <c r="B12" s="1"/>
      <c r="C12" s="1"/>
      <c r="D12" s="1"/>
      <c r="E12" s="1"/>
      <c r="F12" s="1"/>
      <c r="G12" s="1"/>
      <c r="H12" s="1"/>
    </row>
    <row r="13" spans="1:15" ht="15.75" x14ac:dyDescent="0.25">
      <c r="A13" s="1"/>
      <c r="B13" s="1"/>
      <c r="C13" s="1"/>
      <c r="D13" s="1"/>
      <c r="E13" s="1"/>
      <c r="F13" s="1"/>
      <c r="G13" s="1"/>
      <c r="H13" s="1"/>
    </row>
    <row r="14" spans="1:15" ht="15.75" x14ac:dyDescent="0.25">
      <c r="A14" s="1"/>
      <c r="B14" s="1"/>
      <c r="C14" s="1"/>
      <c r="D14" s="1"/>
      <c r="E14" s="1"/>
      <c r="F14" s="1"/>
      <c r="G14" s="1"/>
      <c r="H14" s="1"/>
    </row>
    <row r="15" spans="1:15" ht="15.75" x14ac:dyDescent="0.25">
      <c r="A15" s="1"/>
      <c r="B15" s="1"/>
      <c r="C15" s="1"/>
      <c r="D15" s="1"/>
      <c r="E15" s="1"/>
      <c r="F15" s="1"/>
      <c r="G15" s="1"/>
      <c r="H15" s="1"/>
    </row>
    <row r="16" spans="1:15" ht="15.75" x14ac:dyDescent="0.25">
      <c r="A16" s="1"/>
      <c r="B16" s="1"/>
      <c r="C16" s="1"/>
      <c r="D16" s="1"/>
      <c r="E16" s="1"/>
      <c r="F16" s="1"/>
      <c r="G16" s="1"/>
      <c r="H16" s="1"/>
    </row>
    <row r="17" spans="1:15" ht="15.75" x14ac:dyDescent="0.25">
      <c r="A17" s="1"/>
      <c r="B17" s="1"/>
      <c r="C17" s="1"/>
      <c r="D17" s="1"/>
      <c r="E17" s="1"/>
      <c r="F17" s="1"/>
      <c r="G17" s="1"/>
      <c r="H17" s="1"/>
    </row>
    <row r="18" spans="1:15" ht="15.75" x14ac:dyDescent="0.25">
      <c r="A18" s="1"/>
      <c r="B18" s="1"/>
      <c r="C18" s="1"/>
      <c r="D18" s="1"/>
      <c r="E18" s="1"/>
      <c r="F18" s="1"/>
      <c r="G18" s="1"/>
      <c r="H18" s="1"/>
    </row>
    <row r="19" spans="1:15" ht="15.75" x14ac:dyDescent="0.25">
      <c r="A19" s="1"/>
      <c r="B19" s="1"/>
      <c r="C19" s="1"/>
      <c r="D19" s="1"/>
      <c r="E19" s="1"/>
      <c r="F19" s="1"/>
      <c r="G19" s="1"/>
      <c r="H19" s="1"/>
    </row>
    <row r="20" spans="1:15" ht="15.75" x14ac:dyDescent="0.25">
      <c r="A20" s="1"/>
      <c r="B20" s="1"/>
      <c r="C20" s="1"/>
      <c r="D20" s="1"/>
      <c r="E20" s="1"/>
      <c r="F20" s="1"/>
      <c r="G20" s="1"/>
      <c r="H20" s="1"/>
    </row>
    <row r="21" spans="1:15" ht="41.25" customHeight="1" x14ac:dyDescent="0.25">
      <c r="A21" s="1740" t="s">
        <v>6270</v>
      </c>
      <c r="B21" s="1740"/>
      <c r="C21" s="1740"/>
      <c r="D21" s="1740"/>
      <c r="E21" s="1740"/>
      <c r="F21" s="1740"/>
      <c r="G21" s="1740"/>
      <c r="H21" s="1740"/>
      <c r="I21" s="1740"/>
      <c r="J21" s="1740"/>
      <c r="K21" s="1740"/>
      <c r="L21" s="1740"/>
      <c r="M21" s="1740"/>
      <c r="N21" s="1740"/>
      <c r="O21" s="1740"/>
    </row>
    <row r="22" spans="1:15" ht="31.5" customHeight="1" x14ac:dyDescent="0.25">
      <c r="A22" s="1736" t="s">
        <v>5657</v>
      </c>
      <c r="B22" s="1736"/>
      <c r="C22" s="1736"/>
      <c r="D22" s="1736"/>
      <c r="E22" s="1736"/>
      <c r="F22" s="1736"/>
      <c r="G22" s="1736"/>
      <c r="H22" s="1736"/>
      <c r="I22" s="1736"/>
      <c r="J22" s="1736"/>
      <c r="K22" s="1736"/>
      <c r="L22" s="1736"/>
      <c r="M22" s="1736"/>
      <c r="N22" s="1736"/>
      <c r="O22" s="1736"/>
    </row>
    <row r="38" spans="1:15" ht="30" customHeight="1" x14ac:dyDescent="0.25">
      <c r="A38" s="1740" t="s">
        <v>6270</v>
      </c>
      <c r="B38" s="1740"/>
      <c r="C38" s="1740"/>
      <c r="D38" s="1740"/>
      <c r="E38" s="1740"/>
      <c r="F38" s="1740"/>
      <c r="G38" s="1740"/>
      <c r="H38" s="1740"/>
      <c r="I38" s="1740"/>
      <c r="J38" s="1740"/>
      <c r="K38" s="1740"/>
      <c r="L38" s="1740"/>
      <c r="M38" s="1740"/>
      <c r="N38" s="1740"/>
      <c r="O38" s="1740"/>
    </row>
    <row r="39" spans="1:15" ht="32.25" customHeight="1" x14ac:dyDescent="0.25">
      <c r="A39" s="1736" t="s">
        <v>5658</v>
      </c>
      <c r="B39" s="1736"/>
      <c r="C39" s="1736"/>
      <c r="D39" s="1736"/>
      <c r="E39" s="1736"/>
      <c r="F39" s="1736"/>
      <c r="G39" s="1736"/>
      <c r="H39" s="1736"/>
      <c r="I39" s="1736"/>
      <c r="J39" s="1736"/>
      <c r="K39" s="1736"/>
      <c r="L39" s="1736"/>
      <c r="M39" s="1736"/>
      <c r="N39" s="1736"/>
      <c r="O39" s="1736"/>
    </row>
    <row r="60" spans="1:15" ht="34.5" customHeight="1" x14ac:dyDescent="0.25">
      <c r="A60" s="1740" t="s">
        <v>6270</v>
      </c>
      <c r="B60" s="1740"/>
      <c r="C60" s="1740"/>
      <c r="D60" s="1740"/>
      <c r="E60" s="1740"/>
      <c r="F60" s="1740"/>
      <c r="G60" s="1740"/>
      <c r="H60" s="1740"/>
      <c r="I60" s="1740"/>
      <c r="J60" s="1740"/>
      <c r="K60" s="1740"/>
      <c r="L60" s="1740"/>
      <c r="M60" s="1740"/>
      <c r="N60" s="1740"/>
      <c r="O60" s="1740"/>
    </row>
    <row r="61" spans="1:15" ht="55.5" customHeight="1" x14ac:dyDescent="0.25">
      <c r="A61" s="1785" t="s">
        <v>6298</v>
      </c>
      <c r="B61" s="1786"/>
      <c r="C61" s="1786"/>
      <c r="D61" s="1786"/>
      <c r="E61" s="1786"/>
      <c r="F61" s="1786"/>
      <c r="G61" s="1786"/>
      <c r="H61" s="1786"/>
      <c r="I61" s="1786"/>
      <c r="J61" s="1786"/>
      <c r="K61" s="1786"/>
      <c r="L61" s="1786"/>
      <c r="M61" s="1786"/>
      <c r="N61" s="1786"/>
      <c r="O61" s="1787"/>
    </row>
  </sheetData>
  <mergeCells count="8">
    <mergeCell ref="A60:O60"/>
    <mergeCell ref="A61:O61"/>
    <mergeCell ref="A5:O5"/>
    <mergeCell ref="A6:O6"/>
    <mergeCell ref="A21:O21"/>
    <mergeCell ref="A22:O22"/>
    <mergeCell ref="A38:O38"/>
    <mergeCell ref="A39:O39"/>
  </mergeCells>
  <printOptions horizontalCentered="1" verticalCentered="1"/>
  <pageMargins left="0.39370078740157483" right="0.39370078740157483" top="1.1811023622047245" bottom="0.78740157480314965" header="0.31496062992125984" footer="0.31496062992125984"/>
  <pageSetup paperSize="9" orientation="landscape" verticalDpi="0" r:id="rId1"/>
  <headerFooter>
    <oddFooter>&amp;C&amp;"Times New Roman,Normal"&amp;10SisMob-BH - Gráficos de 8) Sistema de transportes coletivos / 8.2) BRT - p.&amp;P/&amp;N</oddFooter>
  </headerFooter>
  <rowBreaks count="2" manualBreakCount="2">
    <brk id="21" max="16383" man="1"/>
    <brk id="38"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71"/>
  <sheetViews>
    <sheetView topLeftCell="B1" zoomScaleNormal="100" workbookViewId="0">
      <selection activeCell="L2" sqref="L2"/>
    </sheetView>
  </sheetViews>
  <sheetFormatPr defaultRowHeight="15" x14ac:dyDescent="0.25"/>
  <cols>
    <col min="1" max="1" width="10.5703125" customWidth="1"/>
    <col min="4" max="6" width="9.140625" customWidth="1"/>
    <col min="13" max="13" width="10.85546875" customWidth="1"/>
  </cols>
  <sheetData>
    <row r="5" spans="1:14" ht="33" customHeight="1" x14ac:dyDescent="0.25">
      <c r="A5" s="1764" t="s">
        <v>0</v>
      </c>
      <c r="B5" s="1764"/>
      <c r="C5" s="1764"/>
      <c r="D5" s="1764"/>
      <c r="E5" s="1764"/>
      <c r="F5" s="1764"/>
      <c r="G5" s="1764"/>
      <c r="H5" s="1764"/>
      <c r="I5" s="1764"/>
      <c r="J5" s="1764"/>
      <c r="K5" s="1764"/>
      <c r="L5" s="1764"/>
      <c r="M5" s="1764"/>
      <c r="N5" s="1764"/>
    </row>
    <row r="6" spans="1:14" ht="15.75" customHeight="1" x14ac:dyDescent="0.25">
      <c r="A6" s="1736" t="s">
        <v>2915</v>
      </c>
      <c r="B6" s="1736"/>
      <c r="C6" s="1736"/>
      <c r="D6" s="1736"/>
      <c r="E6" s="1736"/>
      <c r="F6" s="1736"/>
      <c r="G6" s="1736"/>
      <c r="H6" s="1736"/>
      <c r="I6" s="1736"/>
      <c r="J6" s="1736"/>
      <c r="K6" s="1736"/>
      <c r="L6" s="1736"/>
      <c r="M6" s="1736"/>
      <c r="N6" s="1736"/>
    </row>
    <row r="7" spans="1:14" ht="15.75" customHeight="1" x14ac:dyDescent="0.25"/>
    <row r="8" spans="1:14" ht="15.75" customHeight="1" x14ac:dyDescent="0.25"/>
    <row r="9" spans="1:14" ht="15.75" customHeight="1" x14ac:dyDescent="0.25"/>
    <row r="10" spans="1:14" ht="15.75" customHeight="1" x14ac:dyDescent="0.25"/>
    <row r="11" spans="1:14" ht="15.75" customHeight="1" x14ac:dyDescent="0.25"/>
    <row r="12" spans="1:14" ht="15.75" customHeight="1" x14ac:dyDescent="0.25"/>
    <row r="13" spans="1:14" ht="15.75" customHeight="1" x14ac:dyDescent="0.25"/>
    <row r="14" spans="1:14" ht="15.75" customHeight="1" x14ac:dyDescent="0.25"/>
    <row r="15" spans="1:14" ht="15.75" customHeight="1" x14ac:dyDescent="0.25"/>
    <row r="16" spans="1:14" ht="15.75" customHeight="1" x14ac:dyDescent="0.25"/>
    <row r="17" spans="1:14" ht="15.75" customHeight="1" x14ac:dyDescent="0.25"/>
    <row r="18" spans="1:14" ht="15.75" customHeight="1" x14ac:dyDescent="0.25"/>
    <row r="19" spans="1:14" ht="15.75" customHeight="1" x14ac:dyDescent="0.25"/>
    <row r="20" spans="1:14" ht="15.75" customHeight="1" x14ac:dyDescent="0.25"/>
    <row r="21" spans="1:14" ht="15.75" customHeight="1" x14ac:dyDescent="0.25"/>
    <row r="22" spans="1:14" ht="15.75" customHeight="1" x14ac:dyDescent="0.25"/>
    <row r="23" spans="1:14" ht="15.75" customHeight="1" x14ac:dyDescent="0.25"/>
    <row r="24" spans="1:14" ht="15.75" customHeight="1" x14ac:dyDescent="0.25"/>
    <row r="25" spans="1:14" ht="15.75" customHeight="1" x14ac:dyDescent="0.25"/>
    <row r="26" spans="1:14" ht="15.75" customHeight="1" x14ac:dyDescent="0.25"/>
    <row r="27" spans="1:14" ht="15.75" customHeight="1" x14ac:dyDescent="0.25"/>
    <row r="28" spans="1:14" ht="15.75" customHeight="1" x14ac:dyDescent="0.25"/>
    <row r="29" spans="1:14" ht="44.25" customHeight="1" x14ac:dyDescent="0.25">
      <c r="A29" s="1789" t="s">
        <v>2977</v>
      </c>
      <c r="B29" s="1789"/>
      <c r="C29" s="1789"/>
      <c r="D29" s="1789"/>
      <c r="E29" s="1789"/>
      <c r="F29" s="1789"/>
      <c r="G29" s="1789"/>
      <c r="H29" s="1789"/>
      <c r="I29" s="1789"/>
      <c r="J29" s="1789"/>
      <c r="K29" s="1789"/>
      <c r="L29" s="1789"/>
      <c r="M29" s="1789"/>
      <c r="N29" s="1789"/>
    </row>
    <row r="30" spans="1:14" ht="30.75" customHeight="1" x14ac:dyDescent="0.25">
      <c r="A30" s="1783" t="s">
        <v>2914</v>
      </c>
      <c r="B30" s="1783"/>
      <c r="C30" s="1783"/>
      <c r="D30" s="1783"/>
      <c r="E30" s="1783"/>
      <c r="F30" s="1783"/>
      <c r="G30" s="1783"/>
      <c r="H30" s="1783"/>
      <c r="I30" s="1783"/>
      <c r="J30" s="1783"/>
      <c r="K30" s="1783"/>
      <c r="L30" s="1783"/>
      <c r="M30" s="1783"/>
      <c r="N30" s="1783"/>
    </row>
    <row r="51" spans="1:14" ht="33" customHeight="1" x14ac:dyDescent="0.25">
      <c r="A51" s="1789" t="s">
        <v>2978</v>
      </c>
      <c r="B51" s="1789"/>
      <c r="C51" s="1789"/>
      <c r="D51" s="1789"/>
      <c r="E51" s="1789"/>
      <c r="F51" s="1789"/>
      <c r="G51" s="1789"/>
      <c r="H51" s="1789"/>
      <c r="I51" s="1789"/>
      <c r="J51" s="1789"/>
      <c r="K51" s="1789"/>
      <c r="L51" s="1789"/>
      <c r="M51" s="1789"/>
      <c r="N51" s="1789"/>
    </row>
    <row r="52" spans="1:14" ht="33" customHeight="1" x14ac:dyDescent="0.25">
      <c r="A52" s="1788" t="s">
        <v>2927</v>
      </c>
      <c r="B52" s="1788"/>
      <c r="C52" s="1788"/>
      <c r="D52" s="1788"/>
      <c r="E52" s="1788"/>
      <c r="F52" s="1788"/>
      <c r="G52" s="1788"/>
      <c r="H52" s="1788"/>
      <c r="I52" s="1788"/>
      <c r="J52" s="1788"/>
      <c r="K52" s="1788"/>
      <c r="L52" s="1788"/>
      <c r="M52" s="1788"/>
      <c r="N52" s="1788"/>
    </row>
    <row r="69" spans="1:14" ht="87" customHeight="1" x14ac:dyDescent="0.25">
      <c r="A69" s="1789" t="s">
        <v>2979</v>
      </c>
      <c r="B69" s="1789"/>
      <c r="C69" s="1789"/>
      <c r="D69" s="1789"/>
      <c r="E69" s="1789"/>
      <c r="F69" s="1789"/>
      <c r="G69" s="1789"/>
      <c r="H69" s="1789"/>
      <c r="I69" s="1789"/>
      <c r="J69" s="1789"/>
      <c r="K69" s="1789"/>
      <c r="L69" s="1789"/>
      <c r="M69" s="1789"/>
      <c r="N69" s="1789"/>
    </row>
    <row r="71" spans="1:14" ht="59.25" customHeight="1" x14ac:dyDescent="0.25">
      <c r="A71" s="1751" t="s">
        <v>2906</v>
      </c>
      <c r="B71" s="1751"/>
      <c r="C71" s="1751"/>
      <c r="D71" s="1751"/>
      <c r="E71" s="1751"/>
      <c r="F71" s="1751"/>
      <c r="G71" s="1751"/>
      <c r="H71" s="1751"/>
      <c r="I71" s="1751"/>
      <c r="J71" s="1751"/>
      <c r="K71" s="1751"/>
      <c r="L71" s="1751"/>
      <c r="M71" s="1751"/>
      <c r="N71" s="1751"/>
    </row>
  </sheetData>
  <mergeCells count="8">
    <mergeCell ref="A52:N52"/>
    <mergeCell ref="A69:N69"/>
    <mergeCell ref="A71:N71"/>
    <mergeCell ref="A29:N29"/>
    <mergeCell ref="A5:N5"/>
    <mergeCell ref="A6:N6"/>
    <mergeCell ref="A30:N30"/>
    <mergeCell ref="A51:N51"/>
  </mergeCells>
  <printOptions horizontalCentered="1" verticalCentered="1"/>
  <pageMargins left="0.39370078740157483" right="0.39370078740157483" top="0.39370078740157483" bottom="0.39370078740157483" header="0.31496062992125984" footer="0.31496062992125984"/>
  <pageSetup paperSize="9" orientation="landscape" r:id="rId1"/>
  <headerFooter>
    <oddFooter>&amp;CSisMob-BH - Gráficos de 8) Sistema de transporte motorizado público / 8.4) Táxi - pág.&amp;P/&amp;N</oddFooter>
  </headerFooter>
  <rowBreaks count="2" manualBreakCount="2">
    <brk id="29" max="16383" man="1"/>
    <brk id="51"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O8"/>
  <sheetViews>
    <sheetView workbookViewId="0">
      <selection activeCell="A7" sqref="A7:O8"/>
    </sheetView>
  </sheetViews>
  <sheetFormatPr defaultRowHeight="15" x14ac:dyDescent="0.25"/>
  <sheetData>
    <row r="7" spans="1:15" ht="33" customHeight="1" x14ac:dyDescent="0.25">
      <c r="A7" s="1768" t="s">
        <v>1195</v>
      </c>
      <c r="B7" s="1769"/>
      <c r="C7" s="1769"/>
      <c r="D7" s="1769"/>
      <c r="E7" s="1769"/>
      <c r="F7" s="1769"/>
      <c r="G7" s="1769"/>
      <c r="H7" s="1769"/>
      <c r="I7" s="1769"/>
      <c r="J7" s="1769"/>
      <c r="K7" s="1769"/>
      <c r="L7" s="1769"/>
      <c r="M7" s="1769"/>
      <c r="N7" s="1769"/>
      <c r="O7" s="1770"/>
    </row>
    <row r="8" spans="1:15" ht="30.75" customHeight="1" x14ac:dyDescent="0.25">
      <c r="A8" s="1744" t="s">
        <v>1194</v>
      </c>
      <c r="B8" s="1745"/>
      <c r="C8" s="1745"/>
      <c r="D8" s="1745"/>
      <c r="E8" s="1745"/>
      <c r="F8" s="1745"/>
      <c r="G8" s="1745"/>
      <c r="H8" s="1745"/>
      <c r="I8" s="1745"/>
      <c r="J8" s="1745"/>
      <c r="K8" s="1745"/>
      <c r="L8" s="1745"/>
      <c r="M8" s="1745"/>
      <c r="N8" s="1745"/>
      <c r="O8" s="1746"/>
    </row>
  </sheetData>
  <mergeCells count="2">
    <mergeCell ref="A7:O7"/>
    <mergeCell ref="A8:O8"/>
  </mergeCells>
  <pageMargins left="0.39370078740157483" right="0.39370078740157483" top="0.39370078740157483" bottom="0.39370078740157483" header="0.31496062992125984" footer="0.31496062992125984"/>
  <pageSetup paperSize="9"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82"/>
  <sheetViews>
    <sheetView zoomScaleNormal="100" workbookViewId="0">
      <selection activeCell="A5" sqref="A5:O5"/>
    </sheetView>
  </sheetViews>
  <sheetFormatPr defaultRowHeight="15" x14ac:dyDescent="0.25"/>
  <cols>
    <col min="1" max="1" width="10.5703125" customWidth="1"/>
    <col min="4" max="5" width="9.140625" customWidth="1"/>
    <col min="6" max="6" width="5.7109375" customWidth="1"/>
    <col min="13" max="13" width="10.85546875" customWidth="1"/>
  </cols>
  <sheetData>
    <row r="5" spans="1:15" ht="18.75" x14ac:dyDescent="0.25">
      <c r="A5" s="1735" t="s">
        <v>0</v>
      </c>
      <c r="B5" s="1735"/>
      <c r="C5" s="1735"/>
      <c r="D5" s="1735"/>
      <c r="E5" s="1735"/>
      <c r="F5" s="1735"/>
      <c r="G5" s="1735"/>
      <c r="H5" s="1735"/>
      <c r="I5" s="1735"/>
      <c r="J5" s="1735"/>
      <c r="K5" s="1735"/>
      <c r="L5" s="1735"/>
      <c r="M5" s="1735"/>
      <c r="N5" s="1735"/>
      <c r="O5" s="1735"/>
    </row>
    <row r="6" spans="1:15" ht="31.5" customHeight="1" x14ac:dyDescent="0.25">
      <c r="A6" s="1736" t="s">
        <v>2713</v>
      </c>
      <c r="B6" s="1736"/>
      <c r="C6" s="1736"/>
      <c r="D6" s="1736"/>
      <c r="E6" s="1736"/>
      <c r="F6" s="1736"/>
      <c r="G6" s="1736"/>
      <c r="H6" s="1736"/>
      <c r="I6" s="1736"/>
      <c r="J6" s="1736"/>
      <c r="K6" s="1736"/>
      <c r="L6" s="1736"/>
      <c r="M6" s="1736"/>
      <c r="N6" s="1736"/>
      <c r="O6" s="1736"/>
    </row>
    <row r="7" spans="1:15" ht="15.75" x14ac:dyDescent="0.25">
      <c r="A7" s="1"/>
      <c r="B7" s="1"/>
      <c r="C7" s="1"/>
      <c r="D7" s="1"/>
      <c r="E7" s="1"/>
      <c r="F7" s="1"/>
      <c r="G7" s="1"/>
      <c r="H7" s="1"/>
    </row>
    <row r="8" spans="1:15" ht="15.75" x14ac:dyDescent="0.25">
      <c r="A8" s="1"/>
      <c r="B8" s="1"/>
      <c r="C8" s="1"/>
      <c r="D8" s="1"/>
      <c r="E8" s="1"/>
      <c r="F8" s="1"/>
      <c r="G8" s="1"/>
      <c r="H8" s="1"/>
    </row>
    <row r="9" spans="1:15" ht="15.75" x14ac:dyDescent="0.25">
      <c r="A9" s="1"/>
      <c r="B9" s="1"/>
      <c r="C9" s="1"/>
      <c r="D9" s="1"/>
      <c r="E9" s="1"/>
      <c r="F9" s="1"/>
      <c r="G9" s="1"/>
      <c r="H9" s="1"/>
    </row>
    <row r="10" spans="1:15" ht="15.75" x14ac:dyDescent="0.25">
      <c r="A10" s="1"/>
      <c r="B10" s="1"/>
      <c r="C10" s="1"/>
      <c r="D10" s="1"/>
      <c r="E10" s="1"/>
      <c r="F10" s="1"/>
      <c r="G10" s="1"/>
      <c r="H10" s="1"/>
    </row>
    <row r="11" spans="1:15" ht="15.75" x14ac:dyDescent="0.25">
      <c r="A11" s="1"/>
      <c r="B11" s="1"/>
      <c r="C11" s="1"/>
      <c r="D11" s="1"/>
      <c r="E11" s="1"/>
      <c r="F11" s="1"/>
      <c r="G11" s="1"/>
      <c r="H11" s="1"/>
    </row>
    <row r="12" spans="1:15" ht="15.75" x14ac:dyDescent="0.25">
      <c r="A12" s="1"/>
      <c r="B12" s="1"/>
      <c r="C12" s="1"/>
      <c r="D12" s="1"/>
      <c r="E12" s="1"/>
      <c r="F12" s="1"/>
      <c r="G12" s="1"/>
      <c r="H12" s="1"/>
    </row>
    <row r="13" spans="1:15" ht="15.75" x14ac:dyDescent="0.25">
      <c r="A13" s="1"/>
      <c r="B13" s="1"/>
      <c r="C13" s="1"/>
      <c r="D13" s="1"/>
      <c r="E13" s="1"/>
      <c r="F13" s="1"/>
      <c r="G13" s="1"/>
      <c r="H13" s="1"/>
    </row>
    <row r="14" spans="1:15" ht="15.75" x14ac:dyDescent="0.25">
      <c r="A14" s="1"/>
      <c r="B14" s="1"/>
      <c r="C14" s="1"/>
      <c r="D14" s="1"/>
      <c r="E14" s="1"/>
      <c r="F14" s="1"/>
      <c r="G14" s="1"/>
      <c r="H14" s="1"/>
    </row>
    <row r="15" spans="1:15" ht="15.75" x14ac:dyDescent="0.25">
      <c r="A15" s="1"/>
      <c r="B15" s="1"/>
      <c r="C15" s="1"/>
      <c r="D15" s="1"/>
      <c r="E15" s="1"/>
      <c r="F15" s="1"/>
      <c r="G15" s="1"/>
      <c r="H15" s="1"/>
    </row>
    <row r="16" spans="1:15" ht="15.75" x14ac:dyDescent="0.25">
      <c r="A16" s="1"/>
      <c r="B16" s="1"/>
      <c r="C16" s="1"/>
      <c r="D16" s="1"/>
      <c r="E16" s="1"/>
      <c r="F16" s="1"/>
      <c r="G16" s="1"/>
      <c r="H16" s="1"/>
    </row>
    <row r="17" spans="1:15" ht="15.75" x14ac:dyDescent="0.25">
      <c r="A17" s="1"/>
      <c r="B17" s="1"/>
      <c r="C17" s="1"/>
      <c r="D17" s="1"/>
      <c r="E17" s="1"/>
      <c r="F17" s="1"/>
      <c r="G17" s="1"/>
      <c r="H17" s="1"/>
    </row>
    <row r="18" spans="1:15" ht="15.75" x14ac:dyDescent="0.25">
      <c r="A18" s="1"/>
      <c r="B18" s="1"/>
      <c r="C18" s="1"/>
      <c r="D18" s="1"/>
      <c r="E18" s="1"/>
      <c r="F18" s="1"/>
      <c r="G18" s="1"/>
      <c r="H18" s="1"/>
    </row>
    <row r="19" spans="1:15" ht="15.75" x14ac:dyDescent="0.25">
      <c r="A19" s="1"/>
      <c r="B19" s="1"/>
      <c r="C19" s="1"/>
      <c r="D19" s="1"/>
      <c r="E19" s="1"/>
      <c r="F19" s="1"/>
      <c r="G19" s="1"/>
      <c r="H19" s="1"/>
    </row>
    <row r="20" spans="1:15" ht="15.75" x14ac:dyDescent="0.25">
      <c r="A20" s="1"/>
      <c r="B20" s="1"/>
      <c r="C20" s="1"/>
      <c r="D20" s="1"/>
      <c r="E20" s="1"/>
      <c r="F20" s="1"/>
      <c r="G20" s="1"/>
      <c r="H20" s="1"/>
    </row>
    <row r="21" spans="1:15" ht="15.75" x14ac:dyDescent="0.25">
      <c r="A21" s="1"/>
      <c r="B21" s="1"/>
      <c r="C21" s="1"/>
      <c r="D21" s="1"/>
      <c r="E21" s="1"/>
      <c r="F21" s="1"/>
      <c r="G21" s="1"/>
      <c r="H21" s="1"/>
    </row>
    <row r="22" spans="1:15" ht="15.75" x14ac:dyDescent="0.25">
      <c r="A22" s="1"/>
      <c r="B22" s="1"/>
      <c r="C22" s="1"/>
      <c r="D22" s="1"/>
      <c r="E22" s="1"/>
      <c r="F22" s="1"/>
      <c r="G22" s="1"/>
      <c r="H22" s="1"/>
    </row>
    <row r="23" spans="1:15" ht="15.75" x14ac:dyDescent="0.25">
      <c r="A23" s="1"/>
      <c r="B23" s="1"/>
      <c r="C23" s="1"/>
      <c r="D23" s="1"/>
      <c r="E23" s="1"/>
      <c r="F23" s="1"/>
      <c r="G23" s="1"/>
      <c r="H23" s="1"/>
    </row>
    <row r="24" spans="1:15" ht="15.75" x14ac:dyDescent="0.25">
      <c r="A24" s="1"/>
      <c r="B24" s="1"/>
      <c r="C24" s="1"/>
      <c r="D24" s="1"/>
      <c r="E24" s="1"/>
      <c r="F24" s="1"/>
      <c r="G24" s="1"/>
      <c r="H24" s="1"/>
    </row>
    <row r="25" spans="1:15" ht="15.75" x14ac:dyDescent="0.25">
      <c r="A25" s="1"/>
      <c r="B25" s="1"/>
      <c r="C25" s="1"/>
      <c r="D25" s="1"/>
      <c r="E25" s="1"/>
      <c r="F25" s="1"/>
      <c r="G25" s="1"/>
      <c r="H25" s="1"/>
    </row>
    <row r="26" spans="1:15" ht="15.75" x14ac:dyDescent="0.25">
      <c r="A26" s="1"/>
      <c r="B26" s="1"/>
      <c r="C26" s="1"/>
      <c r="D26" s="1"/>
      <c r="E26" s="1"/>
      <c r="F26" s="1"/>
      <c r="G26" s="1"/>
      <c r="H26" s="1"/>
    </row>
    <row r="27" spans="1:15" ht="41.25" customHeight="1" x14ac:dyDescent="0.25">
      <c r="A27" s="1740" t="s">
        <v>2980</v>
      </c>
      <c r="B27" s="1740"/>
      <c r="C27" s="1740"/>
      <c r="D27" s="1740"/>
      <c r="E27" s="1740"/>
      <c r="F27" s="1740"/>
      <c r="G27" s="1740"/>
      <c r="H27" s="1740"/>
      <c r="I27" s="1740"/>
      <c r="J27" s="1740"/>
      <c r="K27" s="1740"/>
      <c r="L27" s="1740"/>
      <c r="M27" s="1740"/>
      <c r="N27" s="1740"/>
      <c r="O27" s="1740"/>
    </row>
    <row r="28" spans="1:15" ht="15.75" x14ac:dyDescent="0.25">
      <c r="A28" s="1736" t="s">
        <v>2712</v>
      </c>
      <c r="B28" s="1736"/>
      <c r="C28" s="1736"/>
      <c r="D28" s="1736"/>
      <c r="E28" s="1736"/>
      <c r="F28" s="1736"/>
      <c r="G28" s="1736"/>
      <c r="H28" s="1736"/>
      <c r="I28" s="1736"/>
      <c r="J28" s="1736"/>
      <c r="K28" s="1736"/>
      <c r="L28" s="1736"/>
      <c r="M28" s="1736"/>
      <c r="N28" s="1736"/>
      <c r="O28" s="1736"/>
    </row>
    <row r="55" spans="1:15" ht="30" customHeight="1" x14ac:dyDescent="0.25">
      <c r="A55" s="1740" t="s">
        <v>2981</v>
      </c>
      <c r="B55" s="1740"/>
      <c r="C55" s="1740"/>
      <c r="D55" s="1740"/>
      <c r="E55" s="1740"/>
      <c r="F55" s="1740"/>
      <c r="G55" s="1740"/>
      <c r="H55" s="1740"/>
      <c r="I55" s="1740"/>
      <c r="J55" s="1740"/>
      <c r="K55" s="1740"/>
      <c r="L55" s="1740"/>
      <c r="M55" s="1740"/>
      <c r="N55" s="1740"/>
      <c r="O55" s="1740"/>
    </row>
    <row r="56" spans="1:15" ht="15.75" x14ac:dyDescent="0.25">
      <c r="A56" s="1736" t="s">
        <v>2719</v>
      </c>
      <c r="B56" s="1736"/>
      <c r="C56" s="1736"/>
      <c r="D56" s="1736"/>
      <c r="E56" s="1736"/>
      <c r="F56" s="1736"/>
      <c r="G56" s="1736"/>
      <c r="H56" s="1736"/>
      <c r="I56" s="1736"/>
      <c r="J56" s="1736"/>
      <c r="K56" s="1736"/>
      <c r="L56" s="1736"/>
      <c r="M56" s="1736"/>
      <c r="N56" s="1736"/>
      <c r="O56" s="1736"/>
    </row>
    <row r="81" spans="1:15" ht="34.5" customHeight="1" x14ac:dyDescent="0.25">
      <c r="A81" s="1740" t="s">
        <v>2981</v>
      </c>
      <c r="B81" s="1740"/>
      <c r="C81" s="1740"/>
      <c r="D81" s="1740"/>
      <c r="E81" s="1740"/>
      <c r="F81" s="1740"/>
      <c r="G81" s="1740"/>
      <c r="H81" s="1740"/>
      <c r="I81" s="1740"/>
      <c r="J81" s="1740"/>
      <c r="K81" s="1740"/>
      <c r="L81" s="1740"/>
      <c r="M81" s="1740"/>
      <c r="N81" s="1740"/>
      <c r="O81" s="1740"/>
    </row>
    <row r="82" spans="1:15" ht="55.5" customHeight="1" x14ac:dyDescent="0.25">
      <c r="A82" s="1737" t="s">
        <v>1089</v>
      </c>
      <c r="B82" s="1738"/>
      <c r="C82" s="1738"/>
      <c r="D82" s="1738"/>
      <c r="E82" s="1738"/>
      <c r="F82" s="1738"/>
      <c r="G82" s="1738"/>
      <c r="H82" s="1738"/>
      <c r="I82" s="1738"/>
      <c r="J82" s="1738"/>
      <c r="K82" s="1738"/>
      <c r="L82" s="1738"/>
      <c r="M82" s="1738"/>
      <c r="N82" s="1738"/>
      <c r="O82" s="1739"/>
    </row>
  </sheetData>
  <mergeCells count="8">
    <mergeCell ref="A5:O5"/>
    <mergeCell ref="A6:O6"/>
    <mergeCell ref="A82:O82"/>
    <mergeCell ref="A27:O27"/>
    <mergeCell ref="A28:O28"/>
    <mergeCell ref="A56:O56"/>
    <mergeCell ref="A55:O55"/>
    <mergeCell ref="A81:O81"/>
  </mergeCells>
  <printOptions horizontalCentered="1" verticalCentered="1"/>
  <pageMargins left="0.39370078740157483" right="0.39370078740157483" top="0.39370078740157483" bottom="0.39370078740157483" header="0.31496062992125984" footer="0.31496062992125984"/>
  <pageSetup paperSize="9" orientation="landscape" r:id="rId1"/>
  <headerFooter>
    <oddFooter>&amp;C&amp;"Times New Roman,Normal"&amp;10SisMob-BH - Gráficos de 8) Sistema de transporte motorizado público / 8.6) Transporte escolar - p.&amp;P/&amp;N</oddFooter>
  </headerFooter>
  <rowBreaks count="2" manualBreakCount="2">
    <brk id="27" max="16383" man="1"/>
    <brk id="5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79"/>
  <sheetViews>
    <sheetView zoomScale="75" zoomScaleNormal="75" workbookViewId="0">
      <selection activeCell="B794" sqref="B794"/>
    </sheetView>
  </sheetViews>
  <sheetFormatPr defaultRowHeight="15" x14ac:dyDescent="0.25"/>
  <cols>
    <col min="1" max="1" width="1" customWidth="1"/>
    <col min="2" max="2" width="184.7109375" style="513" customWidth="1"/>
  </cols>
  <sheetData>
    <row r="1" spans="2:2" x14ac:dyDescent="0.25">
      <c r="B1" s="274"/>
    </row>
    <row r="2" spans="2:2" x14ac:dyDescent="0.25">
      <c r="B2" s="274"/>
    </row>
    <row r="4" spans="2:2" ht="16.5" customHeight="1" x14ac:dyDescent="0.25"/>
    <row r="5" spans="2:2" ht="18.75" customHeight="1" x14ac:dyDescent="0.25">
      <c r="B5" s="437" t="s">
        <v>0</v>
      </c>
    </row>
    <row r="6" spans="2:2" ht="15.75" customHeight="1" x14ac:dyDescent="0.25">
      <c r="B6" s="510" t="s">
        <v>5094</v>
      </c>
    </row>
    <row r="7" spans="2:2" s="191" customFormat="1" ht="15.75" x14ac:dyDescent="0.25">
      <c r="B7" s="424"/>
    </row>
    <row r="8" spans="2:2" s="191" customFormat="1" ht="15.75" x14ac:dyDescent="0.25">
      <c r="B8" s="850" t="s">
        <v>2545</v>
      </c>
    </row>
    <row r="9" spans="2:2" s="191" customFormat="1" ht="15.75" x14ac:dyDescent="0.25">
      <c r="B9" s="848"/>
    </row>
    <row r="10" spans="2:2" s="191" customFormat="1" ht="31.5" x14ac:dyDescent="0.25">
      <c r="B10" s="1435" t="s">
        <v>5565</v>
      </c>
    </row>
    <row r="11" spans="2:2" s="191" customFormat="1" ht="15.75" x14ac:dyDescent="0.25">
      <c r="B11" s="1433"/>
    </row>
    <row r="12" spans="2:2" s="191" customFormat="1" ht="52.5" customHeight="1" x14ac:dyDescent="0.25">
      <c r="B12" s="435" t="s">
        <v>2296</v>
      </c>
    </row>
    <row r="13" spans="2:2" s="191" customFormat="1" ht="38.25" customHeight="1" x14ac:dyDescent="0.25">
      <c r="B13" s="410" t="s">
        <v>4463</v>
      </c>
    </row>
    <row r="14" spans="2:2" s="191" customFormat="1" ht="38.25" customHeight="1" x14ac:dyDescent="0.25">
      <c r="B14" s="438" t="s">
        <v>4468</v>
      </c>
    </row>
    <row r="15" spans="2:2" s="191" customFormat="1" ht="52.5" customHeight="1" x14ac:dyDescent="0.25">
      <c r="B15" s="435" t="s">
        <v>2294</v>
      </c>
    </row>
    <row r="16" spans="2:2" s="191" customFormat="1" ht="47.25" x14ac:dyDescent="0.25">
      <c r="B16" s="438" t="s">
        <v>2299</v>
      </c>
    </row>
    <row r="17" spans="2:2" s="191" customFormat="1" ht="47.25" x14ac:dyDescent="0.25">
      <c r="B17" s="438" t="s">
        <v>4465</v>
      </c>
    </row>
    <row r="18" spans="2:2" s="191" customFormat="1" ht="31.5" x14ac:dyDescent="0.25">
      <c r="B18" s="438" t="s">
        <v>4466</v>
      </c>
    </row>
    <row r="19" spans="2:2" s="191" customFormat="1" ht="54" customHeight="1" x14ac:dyDescent="0.25">
      <c r="B19" s="438" t="s">
        <v>5997</v>
      </c>
    </row>
    <row r="20" spans="2:2" s="191" customFormat="1" ht="47.25" x14ac:dyDescent="0.25">
      <c r="B20" s="435" t="s">
        <v>2295</v>
      </c>
    </row>
    <row r="21" spans="2:2" s="191" customFormat="1" ht="21" customHeight="1" x14ac:dyDescent="0.25">
      <c r="B21" s="410" t="s">
        <v>2931</v>
      </c>
    </row>
    <row r="22" spans="2:2" s="191" customFormat="1" ht="63" x14ac:dyDescent="0.25">
      <c r="B22" s="435" t="s">
        <v>4469</v>
      </c>
    </row>
    <row r="23" spans="2:2" s="191" customFormat="1" ht="78.75" x14ac:dyDescent="0.25">
      <c r="B23" s="438" t="s">
        <v>3203</v>
      </c>
    </row>
    <row r="24" spans="2:2" s="191" customFormat="1" ht="57" customHeight="1" x14ac:dyDescent="0.25">
      <c r="B24" s="435" t="s">
        <v>2306</v>
      </c>
    </row>
    <row r="25" spans="2:2" s="191" customFormat="1" ht="52.5" customHeight="1" x14ac:dyDescent="0.25">
      <c r="B25" s="435" t="s">
        <v>2305</v>
      </c>
    </row>
    <row r="26" spans="2:2" s="191" customFormat="1" ht="47.25" x14ac:dyDescent="0.25">
      <c r="B26" s="438" t="s">
        <v>2298</v>
      </c>
    </row>
    <row r="27" spans="2:2" s="191" customFormat="1" ht="56.25" customHeight="1" x14ac:dyDescent="0.25">
      <c r="B27" s="410" t="s">
        <v>4462</v>
      </c>
    </row>
    <row r="28" spans="2:2" s="191" customFormat="1" ht="51" customHeight="1" x14ac:dyDescent="0.25">
      <c r="B28" s="410" t="s">
        <v>2930</v>
      </c>
    </row>
    <row r="29" spans="2:2" s="191" customFormat="1" ht="47.25" x14ac:dyDescent="0.25">
      <c r="B29" s="438" t="s">
        <v>2297</v>
      </c>
    </row>
    <row r="30" spans="2:2" s="191" customFormat="1" ht="31.5" x14ac:dyDescent="0.25">
      <c r="B30" s="438" t="s">
        <v>2300</v>
      </c>
    </row>
    <row r="31" spans="2:2" s="191" customFormat="1" ht="31.5" x14ac:dyDescent="0.25">
      <c r="B31" s="438" t="s">
        <v>2301</v>
      </c>
    </row>
    <row r="32" spans="2:2" s="191" customFormat="1" ht="31.5" x14ac:dyDescent="0.25">
      <c r="B32" s="438" t="s">
        <v>2302</v>
      </c>
    </row>
    <row r="33" spans="2:2" s="191" customFormat="1" ht="31.5" x14ac:dyDescent="0.25">
      <c r="B33" s="438" t="s">
        <v>2303</v>
      </c>
    </row>
    <row r="34" spans="2:2" s="191" customFormat="1" ht="54" customHeight="1" x14ac:dyDescent="0.25">
      <c r="B34" s="438" t="s">
        <v>5037</v>
      </c>
    </row>
    <row r="35" spans="2:2" s="191" customFormat="1" ht="31.5" x14ac:dyDescent="0.25">
      <c r="B35" s="438" t="s">
        <v>4464</v>
      </c>
    </row>
    <row r="36" spans="2:2" s="191" customFormat="1" ht="15.75" x14ac:dyDescent="0.25">
      <c r="B36" s="410"/>
    </row>
    <row r="37" spans="2:2" s="191" customFormat="1" ht="31.5" x14ac:dyDescent="0.25">
      <c r="B37" s="438" t="s">
        <v>5907</v>
      </c>
    </row>
    <row r="38" spans="2:2" s="191" customFormat="1" ht="31.5" x14ac:dyDescent="0.25">
      <c r="B38" s="438" t="s">
        <v>5908</v>
      </c>
    </row>
    <row r="39" spans="2:2" s="191" customFormat="1" ht="31.5" x14ac:dyDescent="0.25">
      <c r="B39" s="438" t="s">
        <v>5909</v>
      </c>
    </row>
    <row r="40" spans="2:2" s="191" customFormat="1" ht="31.5" x14ac:dyDescent="0.25">
      <c r="B40" s="438" t="s">
        <v>5910</v>
      </c>
    </row>
    <row r="41" spans="2:2" s="191" customFormat="1" ht="31.5" x14ac:dyDescent="0.25">
      <c r="B41" s="438" t="s">
        <v>5911</v>
      </c>
    </row>
    <row r="42" spans="2:2" s="191" customFormat="1" ht="31.5" x14ac:dyDescent="0.25">
      <c r="B42" s="438" t="s">
        <v>5912</v>
      </c>
    </row>
    <row r="43" spans="2:2" s="191" customFormat="1" ht="31.5" x14ac:dyDescent="0.25">
      <c r="B43" s="438" t="s">
        <v>5913</v>
      </c>
    </row>
    <row r="44" spans="2:2" s="191" customFormat="1" ht="31.5" x14ac:dyDescent="0.25">
      <c r="B44" s="438" t="s">
        <v>5914</v>
      </c>
    </row>
    <row r="45" spans="2:2" s="191" customFormat="1" ht="31.5" x14ac:dyDescent="0.25">
      <c r="B45" s="438" t="s">
        <v>5915</v>
      </c>
    </row>
    <row r="46" spans="2:2" s="191" customFormat="1" ht="31.5" x14ac:dyDescent="0.25">
      <c r="B46" s="438" t="s">
        <v>5925</v>
      </c>
    </row>
    <row r="47" spans="2:2" s="191" customFormat="1" ht="15.75" x14ac:dyDescent="0.25">
      <c r="B47" s="410"/>
    </row>
    <row r="48" spans="2:2" s="191" customFormat="1" ht="31.5" x14ac:dyDescent="0.25">
      <c r="B48" s="438" t="s">
        <v>4925</v>
      </c>
    </row>
    <row r="49" spans="2:2" s="191" customFormat="1" ht="31.5" x14ac:dyDescent="0.25">
      <c r="B49" s="438" t="s">
        <v>6204</v>
      </c>
    </row>
    <row r="50" spans="2:2" s="191" customFormat="1" ht="31.5" x14ac:dyDescent="0.25">
      <c r="B50" s="438" t="s">
        <v>3390</v>
      </c>
    </row>
    <row r="51" spans="2:2" s="191" customFormat="1" ht="15.75" x14ac:dyDescent="0.25">
      <c r="B51" s="410"/>
    </row>
    <row r="52" spans="2:2" s="191" customFormat="1" ht="15.75" x14ac:dyDescent="0.25">
      <c r="B52" s="438" t="s">
        <v>2903</v>
      </c>
    </row>
    <row r="53" spans="2:2" s="191" customFormat="1" ht="15.75" x14ac:dyDescent="0.25">
      <c r="B53" s="410"/>
    </row>
    <row r="54" spans="2:2" s="191" customFormat="1" ht="31.5" x14ac:dyDescent="0.25">
      <c r="B54" s="435" t="s">
        <v>1900</v>
      </c>
    </row>
    <row r="55" spans="2:2" s="191" customFormat="1" ht="31.5" x14ac:dyDescent="0.25">
      <c r="B55" s="435" t="s">
        <v>2531</v>
      </c>
    </row>
    <row r="56" spans="2:2" s="191" customFormat="1" ht="31.5" x14ac:dyDescent="0.25">
      <c r="B56" s="435" t="s">
        <v>2530</v>
      </c>
    </row>
    <row r="57" spans="2:2" s="191" customFormat="1" ht="31.5" x14ac:dyDescent="0.25">
      <c r="B57" s="435" t="s">
        <v>2529</v>
      </c>
    </row>
    <row r="58" spans="2:2" s="191" customFormat="1" ht="31.5" x14ac:dyDescent="0.25">
      <c r="B58" s="435" t="s">
        <v>2528</v>
      </c>
    </row>
    <row r="59" spans="2:2" s="191" customFormat="1" ht="31.5" x14ac:dyDescent="0.25">
      <c r="B59" s="435" t="s">
        <v>1881</v>
      </c>
    </row>
    <row r="60" spans="2:2" s="191" customFormat="1" ht="31.5" x14ac:dyDescent="0.25">
      <c r="B60" s="435" t="s">
        <v>1885</v>
      </c>
    </row>
    <row r="61" spans="2:2" s="191" customFormat="1" ht="47.25" x14ac:dyDescent="0.25">
      <c r="B61" s="435" t="s">
        <v>1880</v>
      </c>
    </row>
    <row r="62" spans="2:2" s="191" customFormat="1" ht="31.5" x14ac:dyDescent="0.25">
      <c r="B62" s="435" t="s">
        <v>2527</v>
      </c>
    </row>
    <row r="63" spans="2:2" s="191" customFormat="1" ht="31.5" x14ac:dyDescent="0.25">
      <c r="B63" s="435" t="s">
        <v>2526</v>
      </c>
    </row>
    <row r="64" spans="2:2" s="191" customFormat="1" ht="31.5" x14ac:dyDescent="0.25">
      <c r="B64" s="434" t="s">
        <v>1935</v>
      </c>
    </row>
    <row r="65" spans="2:2" s="191" customFormat="1" ht="31.5" x14ac:dyDescent="0.25">
      <c r="B65" s="434" t="s">
        <v>1677</v>
      </c>
    </row>
    <row r="66" spans="2:2" s="191" customFormat="1" x14ac:dyDescent="0.25"/>
    <row r="67" spans="2:2" s="191" customFormat="1" ht="31.5" x14ac:dyDescent="0.25">
      <c r="B67" s="435" t="s">
        <v>2524</v>
      </c>
    </row>
    <row r="68" spans="2:2" s="191" customFormat="1" ht="31.5" x14ac:dyDescent="0.25">
      <c r="B68" s="435" t="s">
        <v>2525</v>
      </c>
    </row>
    <row r="69" spans="2:2" s="191" customFormat="1" ht="15.75" x14ac:dyDescent="0.25">
      <c r="B69" s="1333"/>
    </row>
    <row r="70" spans="2:2" s="191" customFormat="1" ht="31.5" x14ac:dyDescent="0.25">
      <c r="B70" s="435" t="s">
        <v>5603</v>
      </c>
    </row>
    <row r="71" spans="2:2" s="191" customFormat="1" ht="31.5" x14ac:dyDescent="0.25">
      <c r="B71" s="435" t="s">
        <v>5960</v>
      </c>
    </row>
    <row r="72" spans="2:2" s="191" customFormat="1" ht="15.75" x14ac:dyDescent="0.25">
      <c r="B72" s="1333"/>
    </row>
    <row r="73" spans="2:2" s="191" customFormat="1" ht="31.5" x14ac:dyDescent="0.25">
      <c r="B73" s="434" t="s">
        <v>4323</v>
      </c>
    </row>
    <row r="74" spans="2:2" s="191" customFormat="1" ht="15.75" x14ac:dyDescent="0.25">
      <c r="B74" s="1333"/>
    </row>
    <row r="75" spans="2:2" s="191" customFormat="1" ht="15.75" x14ac:dyDescent="0.25">
      <c r="B75" s="453" t="s">
        <v>5234</v>
      </c>
    </row>
    <row r="76" spans="2:2" s="191" customFormat="1" ht="31.5" x14ac:dyDescent="0.25">
      <c r="B76" s="438" t="s">
        <v>5372</v>
      </c>
    </row>
    <row r="77" spans="2:2" s="191" customFormat="1" ht="15.75" x14ac:dyDescent="0.25">
      <c r="B77" s="453" t="s">
        <v>5238</v>
      </c>
    </row>
    <row r="78" spans="2:2" s="191" customFormat="1" x14ac:dyDescent="0.25"/>
    <row r="79" spans="2:2" s="191" customFormat="1" ht="31.5" x14ac:dyDescent="0.25">
      <c r="B79" s="434" t="s">
        <v>5226</v>
      </c>
    </row>
    <row r="80" spans="2:2" s="191" customFormat="1" ht="31.5" x14ac:dyDescent="0.25">
      <c r="B80" s="434" t="s">
        <v>5289</v>
      </c>
    </row>
    <row r="81" spans="2:2" s="191" customFormat="1" ht="15.75" x14ac:dyDescent="0.25">
      <c r="B81" s="1333"/>
    </row>
    <row r="82" spans="2:2" s="191" customFormat="1" ht="31.5" x14ac:dyDescent="0.25">
      <c r="B82" s="434" t="s">
        <v>4380</v>
      </c>
    </row>
    <row r="83" spans="2:2" s="191" customFormat="1" ht="15.75" x14ac:dyDescent="0.25">
      <c r="B83" s="1333"/>
    </row>
    <row r="84" spans="2:2" s="191" customFormat="1" ht="31.5" x14ac:dyDescent="0.25">
      <c r="B84" s="443" t="s">
        <v>2891</v>
      </c>
    </row>
    <row r="85" spans="2:2" s="191" customFormat="1" x14ac:dyDescent="0.25">
      <c r="B85" s="766"/>
    </row>
    <row r="86" spans="2:2" s="191" customFormat="1" ht="31.5" x14ac:dyDescent="0.25">
      <c r="B86" s="435" t="s">
        <v>2441</v>
      </c>
    </row>
    <row r="87" spans="2:2" s="191" customFormat="1" x14ac:dyDescent="0.25">
      <c r="B87" s="766"/>
    </row>
    <row r="88" spans="2:2" s="191" customFormat="1" ht="47.25" x14ac:dyDescent="0.25">
      <c r="B88" s="435" t="s">
        <v>2440</v>
      </c>
    </row>
    <row r="89" spans="2:2" s="191" customFormat="1" ht="15.75" x14ac:dyDescent="0.25">
      <c r="B89" s="417"/>
    </row>
    <row r="90" spans="2:2" s="191" customFormat="1" ht="31.5" x14ac:dyDescent="0.25">
      <c r="B90" s="435" t="s">
        <v>1951</v>
      </c>
    </row>
    <row r="91" spans="2:2" s="191" customFormat="1" ht="15.75" x14ac:dyDescent="0.25">
      <c r="B91" s="417"/>
    </row>
    <row r="92" spans="2:2" s="191" customFormat="1" ht="15.75" x14ac:dyDescent="0.25">
      <c r="B92" s="438" t="s">
        <v>2574</v>
      </c>
    </row>
    <row r="93" spans="2:2" s="191" customFormat="1" ht="15.75" x14ac:dyDescent="0.25">
      <c r="B93" s="410" t="s">
        <v>2929</v>
      </c>
    </row>
    <row r="94" spans="2:2" s="191" customFormat="1" x14ac:dyDescent="0.25">
      <c r="B94" s="1329"/>
    </row>
    <row r="95" spans="2:2" s="191" customFormat="1" ht="63" x14ac:dyDescent="0.25">
      <c r="B95" s="434" t="s">
        <v>2898</v>
      </c>
    </row>
    <row r="96" spans="2:2" s="191" customFormat="1" ht="63" x14ac:dyDescent="0.25">
      <c r="B96" s="434" t="s">
        <v>2899</v>
      </c>
    </row>
    <row r="97" spans="2:2" s="191" customFormat="1" ht="31.5" x14ac:dyDescent="0.25">
      <c r="B97" s="434" t="s">
        <v>2897</v>
      </c>
    </row>
    <row r="98" spans="2:2" s="191" customFormat="1" ht="36" customHeight="1" x14ac:dyDescent="0.25">
      <c r="B98" s="893" t="s">
        <v>2932</v>
      </c>
    </row>
    <row r="99" spans="2:2" s="191" customFormat="1" ht="15.75" x14ac:dyDescent="0.25">
      <c r="B99" s="666"/>
    </row>
    <row r="100" spans="2:2" s="191" customFormat="1" ht="47.25" x14ac:dyDescent="0.25">
      <c r="B100" s="434" t="s">
        <v>2549</v>
      </c>
    </row>
    <row r="101" spans="2:2" s="191" customFormat="1" ht="59.25" customHeight="1" x14ac:dyDescent="0.25">
      <c r="B101" s="443" t="s">
        <v>2548</v>
      </c>
    </row>
    <row r="102" spans="2:2" s="191" customFormat="1" ht="31.5" x14ac:dyDescent="0.25">
      <c r="B102" s="443" t="s">
        <v>2895</v>
      </c>
    </row>
    <row r="103" spans="2:2" s="191" customFormat="1" ht="15.75" x14ac:dyDescent="0.25">
      <c r="B103" s="417"/>
    </row>
    <row r="104" spans="2:2" s="191" customFormat="1" ht="47.25" x14ac:dyDescent="0.25">
      <c r="B104" s="434" t="s">
        <v>2394</v>
      </c>
    </row>
    <row r="105" spans="2:2" s="191" customFormat="1" ht="31.5" x14ac:dyDescent="0.25">
      <c r="B105" s="438" t="s">
        <v>2896</v>
      </c>
    </row>
    <row r="106" spans="2:2" s="191" customFormat="1" ht="31.5" x14ac:dyDescent="0.25">
      <c r="B106" s="438" t="s">
        <v>3232</v>
      </c>
    </row>
    <row r="107" spans="2:2" s="191" customFormat="1" ht="31.5" x14ac:dyDescent="0.25">
      <c r="B107" s="438" t="s">
        <v>2928</v>
      </c>
    </row>
    <row r="108" spans="2:2" s="191" customFormat="1" ht="15.75" x14ac:dyDescent="0.25">
      <c r="B108" s="407"/>
    </row>
    <row r="109" spans="2:2" s="191" customFormat="1" ht="31.5" x14ac:dyDescent="0.25">
      <c r="B109" s="438" t="s">
        <v>2892</v>
      </c>
    </row>
    <row r="110" spans="2:2" s="191" customFormat="1" ht="15.75" x14ac:dyDescent="0.25">
      <c r="B110" s="438" t="s">
        <v>2893</v>
      </c>
    </row>
    <row r="111" spans="2:2" s="191" customFormat="1" ht="47.25" x14ac:dyDescent="0.25">
      <c r="B111" s="438" t="s">
        <v>2894</v>
      </c>
    </row>
    <row r="112" spans="2:2" s="191" customFormat="1" ht="47.25" x14ac:dyDescent="0.25">
      <c r="B112" s="435" t="s">
        <v>2442</v>
      </c>
    </row>
    <row r="113" spans="2:2" s="191" customFormat="1" ht="31.5" x14ac:dyDescent="0.25">
      <c r="B113" s="438" t="s">
        <v>4166</v>
      </c>
    </row>
    <row r="114" spans="2:2" s="191" customFormat="1" ht="15.75" x14ac:dyDescent="0.25">
      <c r="B114" s="410"/>
    </row>
    <row r="115" spans="2:2" s="191" customFormat="1" ht="47.25" x14ac:dyDescent="0.25">
      <c r="B115" s="856" t="s">
        <v>2593</v>
      </c>
    </row>
    <row r="116" spans="2:2" s="191" customFormat="1" ht="15.75" x14ac:dyDescent="0.25">
      <c r="B116" s="407"/>
    </row>
    <row r="117" spans="2:2" s="191" customFormat="1" ht="31.5" x14ac:dyDescent="0.25">
      <c r="B117" s="435" t="s">
        <v>1567</v>
      </c>
    </row>
    <row r="118" spans="2:2" s="191" customFormat="1" ht="15.75" x14ac:dyDescent="0.25">
      <c r="B118" s="407"/>
    </row>
    <row r="119" spans="2:2" s="191" customFormat="1" ht="47.25" x14ac:dyDescent="0.25">
      <c r="B119" s="435" t="s">
        <v>2443</v>
      </c>
    </row>
    <row r="120" spans="2:2" s="191" customFormat="1" ht="15.75" x14ac:dyDescent="0.25">
      <c r="B120" s="407"/>
    </row>
    <row r="121" spans="2:2" ht="31.5" x14ac:dyDescent="0.25">
      <c r="B121" s="434" t="s">
        <v>5421</v>
      </c>
    </row>
    <row r="122" spans="2:2" ht="78.75" x14ac:dyDescent="0.25">
      <c r="B122" s="434" t="s">
        <v>2076</v>
      </c>
    </row>
    <row r="123" spans="2:2" ht="47.25" x14ac:dyDescent="0.25">
      <c r="B123" s="443" t="s">
        <v>5422</v>
      </c>
    </row>
    <row r="124" spans="2:2" ht="15.75" x14ac:dyDescent="0.25">
      <c r="B124" s="433"/>
    </row>
    <row r="126" spans="2:2" ht="15.75" x14ac:dyDescent="0.25">
      <c r="B126" s="433"/>
    </row>
    <row r="127" spans="2:2" ht="31.5" x14ac:dyDescent="0.25">
      <c r="B127" s="434" t="s">
        <v>1568</v>
      </c>
    </row>
    <row r="128" spans="2:2" ht="47.25" x14ac:dyDescent="0.25">
      <c r="B128" s="434" t="s">
        <v>5149</v>
      </c>
    </row>
    <row r="129" spans="2:2" ht="31.5" x14ac:dyDescent="0.25">
      <c r="B129" s="434" t="s">
        <v>5151</v>
      </c>
    </row>
    <row r="130" spans="2:2" ht="31.5" x14ac:dyDescent="0.25">
      <c r="B130" s="434" t="s">
        <v>1696</v>
      </c>
    </row>
    <row r="131" spans="2:2" ht="31.5" x14ac:dyDescent="0.25">
      <c r="B131" s="443" t="s">
        <v>4812</v>
      </c>
    </row>
    <row r="132" spans="2:2" x14ac:dyDescent="0.25">
      <c r="B132" s="514"/>
    </row>
    <row r="133" spans="2:2" ht="63" x14ac:dyDescent="0.25">
      <c r="B133" s="435" t="s">
        <v>4989</v>
      </c>
    </row>
    <row r="134" spans="2:2" ht="47.25" x14ac:dyDescent="0.25">
      <c r="B134" s="435" t="s">
        <v>4991</v>
      </c>
    </row>
    <row r="135" spans="2:2" ht="53.25" customHeight="1" x14ac:dyDescent="0.25">
      <c r="B135" s="435" t="s">
        <v>4992</v>
      </c>
    </row>
    <row r="136" spans="2:2" ht="46.5" customHeight="1" x14ac:dyDescent="0.25">
      <c r="B136" s="435" t="s">
        <v>4990</v>
      </c>
    </row>
    <row r="137" spans="2:2" ht="63" x14ac:dyDescent="0.25">
      <c r="B137" s="434" t="s">
        <v>4813</v>
      </c>
    </row>
    <row r="138" spans="2:2" ht="54" customHeight="1" x14ac:dyDescent="0.25">
      <c r="B138" s="434" t="s">
        <v>5120</v>
      </c>
    </row>
    <row r="139" spans="2:2" ht="34.5" customHeight="1" x14ac:dyDescent="0.25">
      <c r="B139" s="443" t="s">
        <v>5659</v>
      </c>
    </row>
    <row r="140" spans="2:2" ht="15.75" x14ac:dyDescent="0.25">
      <c r="B140" s="893"/>
    </row>
    <row r="141" spans="2:2" ht="35.25" customHeight="1" x14ac:dyDescent="0.25">
      <c r="B141" s="435" t="s">
        <v>2018</v>
      </c>
    </row>
    <row r="142" spans="2:2" ht="47.25" x14ac:dyDescent="0.25">
      <c r="B142" s="435" t="s">
        <v>4621</v>
      </c>
    </row>
    <row r="143" spans="2:2" ht="15.75" x14ac:dyDescent="0.25">
      <c r="B143" s="417"/>
    </row>
    <row r="144" spans="2:2" ht="36" customHeight="1" x14ac:dyDescent="0.25">
      <c r="B144" s="435" t="s">
        <v>2855</v>
      </c>
    </row>
    <row r="145" spans="2:2" ht="36" customHeight="1" x14ac:dyDescent="0.25">
      <c r="B145" s="435" t="s">
        <v>2856</v>
      </c>
    </row>
    <row r="146" spans="2:2" ht="47.25" x14ac:dyDescent="0.25">
      <c r="B146" s="435" t="s">
        <v>2857</v>
      </c>
    </row>
    <row r="147" spans="2:2" ht="31.5" x14ac:dyDescent="0.25">
      <c r="B147" s="435" t="s">
        <v>2858</v>
      </c>
    </row>
    <row r="148" spans="2:2" ht="31.5" x14ac:dyDescent="0.25">
      <c r="B148" s="435" t="s">
        <v>2859</v>
      </c>
    </row>
    <row r="149" spans="2:2" ht="68.25" customHeight="1" x14ac:dyDescent="0.25">
      <c r="B149" s="434" t="s">
        <v>6108</v>
      </c>
    </row>
    <row r="150" spans="2:2" ht="36.75" customHeight="1" x14ac:dyDescent="0.25">
      <c r="B150" s="433" t="s">
        <v>5193</v>
      </c>
    </row>
    <row r="151" spans="2:2" ht="31.5" x14ac:dyDescent="0.25">
      <c r="B151" s="434" t="s">
        <v>4809</v>
      </c>
    </row>
    <row r="152" spans="2:2" ht="31.5" x14ac:dyDescent="0.25">
      <c r="B152" s="443" t="s">
        <v>4810</v>
      </c>
    </row>
    <row r="153" spans="2:2" ht="47.25" x14ac:dyDescent="0.25">
      <c r="B153" s="434" t="s">
        <v>3399</v>
      </c>
    </row>
    <row r="154" spans="2:2" ht="15.75" x14ac:dyDescent="0.25">
      <c r="B154" s="433"/>
    </row>
    <row r="155" spans="2:2" ht="41.25" customHeight="1" x14ac:dyDescent="0.25">
      <c r="B155" s="443" t="s">
        <v>4811</v>
      </c>
    </row>
    <row r="156" spans="2:2" ht="31.5" x14ac:dyDescent="0.25">
      <c r="B156" s="443" t="s">
        <v>2729</v>
      </c>
    </row>
    <row r="157" spans="2:2" ht="31.5" x14ac:dyDescent="0.25">
      <c r="B157" s="443" t="s">
        <v>2730</v>
      </c>
    </row>
    <row r="158" spans="2:2" ht="46.5" customHeight="1" x14ac:dyDescent="0.25">
      <c r="B158" s="443" t="s">
        <v>3105</v>
      </c>
    </row>
    <row r="159" spans="2:2" ht="15.75" x14ac:dyDescent="0.25">
      <c r="B159" s="443" t="s">
        <v>5137</v>
      </c>
    </row>
    <row r="160" spans="2:2" ht="31.5" x14ac:dyDescent="0.25">
      <c r="B160" s="443" t="s">
        <v>4861</v>
      </c>
    </row>
    <row r="161" spans="2:2" ht="31.5" x14ac:dyDescent="0.25">
      <c r="B161" s="443" t="s">
        <v>2900</v>
      </c>
    </row>
    <row r="162" spans="2:2" ht="47.25" x14ac:dyDescent="0.25">
      <c r="B162" s="443" t="s">
        <v>4030</v>
      </c>
    </row>
    <row r="163" spans="2:2" ht="31.5" x14ac:dyDescent="0.25">
      <c r="B163" s="443" t="s">
        <v>4029</v>
      </c>
    </row>
    <row r="164" spans="2:2" ht="31.5" x14ac:dyDescent="0.25">
      <c r="B164" s="434" t="s">
        <v>3605</v>
      </c>
    </row>
    <row r="165" spans="2:2" ht="69" customHeight="1" x14ac:dyDescent="0.25">
      <c r="B165" s="434" t="s">
        <v>5071</v>
      </c>
    </row>
    <row r="166" spans="2:2" ht="15.75" x14ac:dyDescent="0.25">
      <c r="B166" s="434" t="s">
        <v>4641</v>
      </c>
    </row>
    <row r="167" spans="2:2" ht="41.25" customHeight="1" x14ac:dyDescent="0.25">
      <c r="B167" s="434" t="s">
        <v>4650</v>
      </c>
    </row>
    <row r="168" spans="2:2" ht="41.25" customHeight="1" x14ac:dyDescent="0.25">
      <c r="B168" s="434" t="s">
        <v>4945</v>
      </c>
    </row>
    <row r="169" spans="2:2" ht="41.25" customHeight="1" x14ac:dyDescent="0.25">
      <c r="B169" s="434" t="s">
        <v>5323</v>
      </c>
    </row>
    <row r="170" spans="2:2" ht="57" customHeight="1" x14ac:dyDescent="0.25">
      <c r="B170" s="443" t="s">
        <v>5594</v>
      </c>
    </row>
    <row r="171" spans="2:2" ht="71.25" customHeight="1" x14ac:dyDescent="0.25">
      <c r="B171" s="443" t="s">
        <v>5579</v>
      </c>
    </row>
    <row r="172" spans="2:2" ht="15.75" x14ac:dyDescent="0.25">
      <c r="B172" s="666"/>
    </row>
    <row r="173" spans="2:2" ht="31.5" x14ac:dyDescent="0.25">
      <c r="B173" s="434" t="s">
        <v>4748</v>
      </c>
    </row>
    <row r="174" spans="2:2" ht="31.5" x14ac:dyDescent="0.25">
      <c r="B174" s="434" t="s">
        <v>5435</v>
      </c>
    </row>
    <row r="175" spans="2:2" ht="15.75" x14ac:dyDescent="0.25">
      <c r="B175" s="850" t="s">
        <v>2546</v>
      </c>
    </row>
    <row r="176" spans="2:2" ht="15.75" x14ac:dyDescent="0.25">
      <c r="B176" s="433"/>
    </row>
    <row r="177" spans="2:2" ht="31.5" x14ac:dyDescent="0.25">
      <c r="B177" s="433" t="s">
        <v>2265</v>
      </c>
    </row>
    <row r="178" spans="2:2" ht="15.75" x14ac:dyDescent="0.25">
      <c r="B178" s="433"/>
    </row>
    <row r="179" spans="2:2" ht="31.5" x14ac:dyDescent="0.25">
      <c r="B179" s="433" t="s">
        <v>2010</v>
      </c>
    </row>
    <row r="180" spans="2:2" ht="31.5" x14ac:dyDescent="0.25">
      <c r="B180" s="434" t="s">
        <v>2422</v>
      </c>
    </row>
    <row r="181" spans="2:2" ht="15.75" x14ac:dyDescent="0.25">
      <c r="B181" s="515"/>
    </row>
    <row r="182" spans="2:2" ht="47.25" x14ac:dyDescent="0.25">
      <c r="B182" s="443" t="s">
        <v>2454</v>
      </c>
    </row>
    <row r="183" spans="2:2" ht="15.75" x14ac:dyDescent="0.25">
      <c r="B183" s="515"/>
    </row>
    <row r="184" spans="2:2" ht="31.5" x14ac:dyDescent="0.25">
      <c r="B184" s="434" t="s">
        <v>2447</v>
      </c>
    </row>
    <row r="185" spans="2:2" ht="15.75" x14ac:dyDescent="0.25">
      <c r="B185" s="433" t="s">
        <v>5194</v>
      </c>
    </row>
    <row r="186" spans="2:2" ht="15.75" x14ac:dyDescent="0.25">
      <c r="B186" s="515"/>
    </row>
    <row r="187" spans="2:2" ht="53.25" customHeight="1" x14ac:dyDescent="0.25">
      <c r="B187" s="434" t="s">
        <v>2448</v>
      </c>
    </row>
    <row r="188" spans="2:2" ht="66.75" customHeight="1" x14ac:dyDescent="0.25">
      <c r="B188" s="434" t="s">
        <v>2445</v>
      </c>
    </row>
    <row r="189" spans="2:2" ht="47.25" x14ac:dyDescent="0.25">
      <c r="B189" s="434" t="s">
        <v>2563</v>
      </c>
    </row>
    <row r="190" spans="2:2" ht="47.25" x14ac:dyDescent="0.25">
      <c r="B190" s="434" t="s">
        <v>2564</v>
      </c>
    </row>
    <row r="191" spans="2:2" ht="15.75" x14ac:dyDescent="0.25">
      <c r="B191" s="433"/>
    </row>
    <row r="192" spans="2:2" ht="31.5" x14ac:dyDescent="0.25">
      <c r="B192" s="433" t="s">
        <v>2263</v>
      </c>
    </row>
    <row r="193" spans="2:2" ht="31.5" x14ac:dyDescent="0.25">
      <c r="B193" s="433" t="s">
        <v>2264</v>
      </c>
    </row>
    <row r="194" spans="2:2" ht="31.5" x14ac:dyDescent="0.25">
      <c r="B194" s="434" t="s">
        <v>5340</v>
      </c>
    </row>
    <row r="195" spans="2:2" ht="15.75" x14ac:dyDescent="0.25">
      <c r="B195" s="433"/>
    </row>
    <row r="196" spans="2:2" ht="74.25" customHeight="1" x14ac:dyDescent="0.25">
      <c r="B196" s="435" t="s">
        <v>2446</v>
      </c>
    </row>
    <row r="197" spans="2:2" ht="47.25" x14ac:dyDescent="0.25">
      <c r="B197" s="435" t="s">
        <v>2584</v>
      </c>
    </row>
    <row r="198" spans="2:2" ht="47.25" x14ac:dyDescent="0.25">
      <c r="B198" s="435" t="s">
        <v>2586</v>
      </c>
    </row>
    <row r="199" spans="2:2" ht="15.75" x14ac:dyDescent="0.25">
      <c r="B199" s="433"/>
    </row>
    <row r="200" spans="2:2" ht="63" x14ac:dyDescent="0.25">
      <c r="B200" s="435" t="s">
        <v>2444</v>
      </c>
    </row>
    <row r="201" spans="2:2" ht="31.5" x14ac:dyDescent="0.25">
      <c r="B201" s="435" t="s">
        <v>2587</v>
      </c>
    </row>
    <row r="202" spans="2:2" ht="15.75" x14ac:dyDescent="0.25">
      <c r="B202" s="857"/>
    </row>
    <row r="203" spans="2:2" ht="31.5" x14ac:dyDescent="0.25">
      <c r="B203" s="433" t="s">
        <v>2271</v>
      </c>
    </row>
    <row r="204" spans="2:2" ht="15.75" x14ac:dyDescent="0.25">
      <c r="B204" s="433"/>
    </row>
    <row r="205" spans="2:2" ht="31.5" x14ac:dyDescent="0.25">
      <c r="B205" s="435" t="s">
        <v>2395</v>
      </c>
    </row>
    <row r="206" spans="2:2" ht="15.75" x14ac:dyDescent="0.25">
      <c r="B206" s="433"/>
    </row>
    <row r="207" spans="2:2" ht="47.25" x14ac:dyDescent="0.25">
      <c r="B207" s="435" t="s">
        <v>2468</v>
      </c>
    </row>
    <row r="208" spans="2:2" ht="15.75" x14ac:dyDescent="0.25">
      <c r="B208" s="666"/>
    </row>
    <row r="209" spans="2:2" ht="47.25" x14ac:dyDescent="0.25">
      <c r="B209" s="435" t="s">
        <v>2469</v>
      </c>
    </row>
    <row r="210" spans="2:2" ht="15.75" x14ac:dyDescent="0.25">
      <c r="B210" s="407"/>
    </row>
    <row r="211" spans="2:2" ht="47.25" x14ac:dyDescent="0.25">
      <c r="B211" s="435" t="s">
        <v>2471</v>
      </c>
    </row>
    <row r="212" spans="2:2" ht="15.75" x14ac:dyDescent="0.25">
      <c r="B212" s="407"/>
    </row>
    <row r="213" spans="2:2" ht="31.5" x14ac:dyDescent="0.25">
      <c r="B213" s="407" t="s">
        <v>2270</v>
      </c>
    </row>
    <row r="214" spans="2:2" ht="63" x14ac:dyDescent="0.25">
      <c r="B214" s="435" t="s">
        <v>4472</v>
      </c>
    </row>
    <row r="215" spans="2:2" ht="15.75" x14ac:dyDescent="0.25">
      <c r="B215" s="407"/>
    </row>
    <row r="216" spans="2:2" ht="31.5" x14ac:dyDescent="0.25">
      <c r="B216" s="407" t="s">
        <v>2009</v>
      </c>
    </row>
    <row r="217" spans="2:2" ht="47.25" x14ac:dyDescent="0.25">
      <c r="B217" s="438" t="s">
        <v>5754</v>
      </c>
    </row>
    <row r="218" spans="2:2" ht="15.75" x14ac:dyDescent="0.25">
      <c r="B218" s="410"/>
    </row>
    <row r="219" spans="2:2" ht="31.5" x14ac:dyDescent="0.25">
      <c r="B219" s="435" t="s">
        <v>1480</v>
      </c>
    </row>
    <row r="220" spans="2:2" ht="47.25" x14ac:dyDescent="0.25">
      <c r="B220" s="435" t="s">
        <v>2470</v>
      </c>
    </row>
    <row r="221" spans="2:2" ht="31.5" x14ac:dyDescent="0.25">
      <c r="B221" s="435" t="s">
        <v>1571</v>
      </c>
    </row>
    <row r="222" spans="2:2" ht="31.5" x14ac:dyDescent="0.25">
      <c r="B222" s="435" t="s">
        <v>1962</v>
      </c>
    </row>
    <row r="223" spans="2:2" ht="57" customHeight="1" x14ac:dyDescent="0.25">
      <c r="B223" s="435" t="s">
        <v>5761</v>
      </c>
    </row>
    <row r="224" spans="2:2" ht="57" customHeight="1" x14ac:dyDescent="0.25">
      <c r="B224" s="435" t="s">
        <v>5762</v>
      </c>
    </row>
    <row r="225" spans="2:2" ht="31.5" x14ac:dyDescent="0.25">
      <c r="B225" s="435" t="s">
        <v>1610</v>
      </c>
    </row>
    <row r="226" spans="2:2" ht="63" x14ac:dyDescent="0.25">
      <c r="B226" s="435" t="s">
        <v>4473</v>
      </c>
    </row>
    <row r="227" spans="2:2" ht="15.75" x14ac:dyDescent="0.25">
      <c r="B227" s="407"/>
    </row>
    <row r="228" spans="2:2" ht="15.75" x14ac:dyDescent="0.25">
      <c r="B228" s="434" t="s">
        <v>1301</v>
      </c>
    </row>
    <row r="229" spans="2:2" ht="15.75" x14ac:dyDescent="0.25">
      <c r="B229" s="934" t="s">
        <v>2933</v>
      </c>
    </row>
    <row r="230" spans="2:2" ht="31.5" x14ac:dyDescent="0.25">
      <c r="B230" s="935" t="s">
        <v>2934</v>
      </c>
    </row>
    <row r="231" spans="2:2" ht="31.5" x14ac:dyDescent="0.25">
      <c r="B231" s="435" t="s">
        <v>1835</v>
      </c>
    </row>
    <row r="232" spans="2:2" ht="31.5" x14ac:dyDescent="0.25">
      <c r="B232" s="435" t="s">
        <v>3212</v>
      </c>
    </row>
    <row r="233" spans="2:2" ht="15.75" x14ac:dyDescent="0.25">
      <c r="B233" s="417"/>
    </row>
    <row r="234" spans="2:2" ht="47.25" x14ac:dyDescent="0.25">
      <c r="B234" s="435" t="s">
        <v>1678</v>
      </c>
    </row>
    <row r="235" spans="2:2" ht="47.25" x14ac:dyDescent="0.25">
      <c r="B235" s="434" t="s">
        <v>2003</v>
      </c>
    </row>
    <row r="236" spans="2:2" ht="31.5" x14ac:dyDescent="0.25">
      <c r="B236" s="434" t="s">
        <v>1595</v>
      </c>
    </row>
    <row r="237" spans="2:2" ht="31.5" x14ac:dyDescent="0.25">
      <c r="B237" s="433" t="s">
        <v>2935</v>
      </c>
    </row>
    <row r="238" spans="2:2" ht="31.5" x14ac:dyDescent="0.25">
      <c r="B238" s="434" t="s">
        <v>4593</v>
      </c>
    </row>
    <row r="239" spans="2:2" ht="31.5" x14ac:dyDescent="0.25">
      <c r="B239" s="434" t="s">
        <v>4595</v>
      </c>
    </row>
    <row r="240" spans="2:2" ht="31.5" x14ac:dyDescent="0.25">
      <c r="B240" s="434" t="s">
        <v>5747</v>
      </c>
    </row>
    <row r="241" spans="1:2" ht="31.5" x14ac:dyDescent="0.25">
      <c r="B241" s="434" t="s">
        <v>1650</v>
      </c>
    </row>
    <row r="242" spans="1:2" ht="31.5" x14ac:dyDescent="0.25">
      <c r="B242" s="435" t="s">
        <v>1664</v>
      </c>
    </row>
    <row r="243" spans="1:2" ht="31.5" x14ac:dyDescent="0.25">
      <c r="A243" s="191"/>
      <c r="B243" s="435" t="s">
        <v>1670</v>
      </c>
    </row>
    <row r="244" spans="1:2" ht="31.5" x14ac:dyDescent="0.25">
      <c r="A244" s="191"/>
      <c r="B244" s="435" t="s">
        <v>1672</v>
      </c>
    </row>
    <row r="245" spans="1:2" ht="31.5" x14ac:dyDescent="0.25">
      <c r="A245" s="191"/>
      <c r="B245" s="438" t="s">
        <v>6206</v>
      </c>
    </row>
    <row r="246" spans="1:2" ht="63" x14ac:dyDescent="0.25">
      <c r="A246" s="191"/>
      <c r="B246" s="434" t="s">
        <v>2007</v>
      </c>
    </row>
    <row r="247" spans="1:2" ht="31.5" x14ac:dyDescent="0.25">
      <c r="A247" s="191"/>
      <c r="B247" s="435" t="s">
        <v>2348</v>
      </c>
    </row>
    <row r="248" spans="1:2" ht="47.25" x14ac:dyDescent="0.25">
      <c r="A248" s="191"/>
      <c r="B248" s="433" t="s">
        <v>2936</v>
      </c>
    </row>
    <row r="249" spans="1:2" ht="40.5" customHeight="1" x14ac:dyDescent="0.25">
      <c r="A249" s="191"/>
      <c r="B249" s="433" t="s">
        <v>2937</v>
      </c>
    </row>
    <row r="250" spans="1:2" ht="54" customHeight="1" x14ac:dyDescent="0.25">
      <c r="A250" s="191"/>
      <c r="B250" s="438" t="s">
        <v>2226</v>
      </c>
    </row>
    <row r="251" spans="1:2" ht="35.25" customHeight="1" x14ac:dyDescent="0.25">
      <c r="A251" s="191"/>
      <c r="B251" s="443" t="s">
        <v>4354</v>
      </c>
    </row>
    <row r="252" spans="1:2" ht="50.25" customHeight="1" x14ac:dyDescent="0.25">
      <c r="A252" s="191"/>
      <c r="B252" s="434" t="s">
        <v>4352</v>
      </c>
    </row>
    <row r="253" spans="1:2" ht="31.5" x14ac:dyDescent="0.25">
      <c r="A253" s="191"/>
      <c r="B253" s="435" t="s">
        <v>1665</v>
      </c>
    </row>
    <row r="254" spans="1:2" ht="31.5" x14ac:dyDescent="0.25">
      <c r="A254" s="191"/>
      <c r="B254" s="435" t="s">
        <v>1669</v>
      </c>
    </row>
    <row r="255" spans="1:2" ht="56.25" customHeight="1" x14ac:dyDescent="0.25">
      <c r="A255" s="191"/>
      <c r="B255" s="438" t="s">
        <v>5748</v>
      </c>
    </row>
    <row r="256" spans="1:2" ht="56.25" customHeight="1" x14ac:dyDescent="0.25">
      <c r="A256" s="191"/>
      <c r="B256" s="443" t="s">
        <v>4577</v>
      </c>
    </row>
    <row r="257" spans="1:2" ht="31.5" x14ac:dyDescent="0.25">
      <c r="A257" s="191"/>
      <c r="B257" s="434" t="s">
        <v>4576</v>
      </c>
    </row>
    <row r="258" spans="1:2" ht="31.5" x14ac:dyDescent="0.25">
      <c r="A258" s="191"/>
      <c r="B258" s="443" t="s">
        <v>4575</v>
      </c>
    </row>
    <row r="259" spans="1:2" ht="31.5" x14ac:dyDescent="0.25">
      <c r="A259" s="191"/>
      <c r="B259" s="443" t="s">
        <v>4574</v>
      </c>
    </row>
    <row r="260" spans="1:2" ht="47.25" x14ac:dyDescent="0.25">
      <c r="A260" s="191"/>
      <c r="B260" s="435" t="s">
        <v>5660</v>
      </c>
    </row>
    <row r="261" spans="1:2" ht="52.5" customHeight="1" x14ac:dyDescent="0.25">
      <c r="A261" s="191"/>
      <c r="B261" s="435" t="s">
        <v>5661</v>
      </c>
    </row>
    <row r="262" spans="1:2" ht="31.5" x14ac:dyDescent="0.25">
      <c r="A262" s="191"/>
      <c r="B262" s="435" t="s">
        <v>5741</v>
      </c>
    </row>
    <row r="263" spans="1:2" ht="31.5" x14ac:dyDescent="0.25">
      <c r="A263" s="191"/>
      <c r="B263" s="435" t="s">
        <v>5746</v>
      </c>
    </row>
    <row r="264" spans="1:2" ht="31.5" x14ac:dyDescent="0.25">
      <c r="A264" s="191"/>
      <c r="B264" s="435" t="s">
        <v>5874</v>
      </c>
    </row>
    <row r="265" spans="1:2" ht="15.75" x14ac:dyDescent="0.25">
      <c r="A265" s="191"/>
      <c r="B265" s="417"/>
    </row>
    <row r="266" spans="1:2" ht="31.5" x14ac:dyDescent="0.25">
      <c r="A266" s="191"/>
      <c r="B266" s="435" t="s">
        <v>1668</v>
      </c>
    </row>
    <row r="267" spans="1:2" ht="31.5" x14ac:dyDescent="0.25">
      <c r="A267" s="191"/>
      <c r="B267" s="435" t="s">
        <v>1666</v>
      </c>
    </row>
    <row r="268" spans="1:2" ht="31.5" x14ac:dyDescent="0.25">
      <c r="A268" s="191"/>
      <c r="B268" s="435" t="s">
        <v>2210</v>
      </c>
    </row>
    <row r="269" spans="1:2" ht="31.5" x14ac:dyDescent="0.25">
      <c r="A269" s="191"/>
      <c r="B269" s="435" t="s">
        <v>2391</v>
      </c>
    </row>
    <row r="270" spans="1:2" ht="31.5" x14ac:dyDescent="0.25">
      <c r="A270" s="191"/>
      <c r="B270" s="435" t="s">
        <v>2357</v>
      </c>
    </row>
    <row r="271" spans="1:2" ht="47.25" x14ac:dyDescent="0.25">
      <c r="B271" s="415" t="s">
        <v>2938</v>
      </c>
    </row>
    <row r="272" spans="1:2" ht="63" x14ac:dyDescent="0.25">
      <c r="B272" s="435" t="s">
        <v>2006</v>
      </c>
    </row>
    <row r="273" spans="2:2" ht="31.5" x14ac:dyDescent="0.25">
      <c r="B273" s="417" t="s">
        <v>2939</v>
      </c>
    </row>
    <row r="274" spans="2:2" ht="31.5" x14ac:dyDescent="0.25">
      <c r="B274" s="434" t="s">
        <v>1536</v>
      </c>
    </row>
    <row r="275" spans="2:2" ht="31.5" x14ac:dyDescent="0.25">
      <c r="B275" s="407" t="s">
        <v>2940</v>
      </c>
    </row>
    <row r="276" spans="2:2" ht="31.5" x14ac:dyDescent="0.25">
      <c r="B276" s="433" t="s">
        <v>2941</v>
      </c>
    </row>
    <row r="277" spans="2:2" ht="31.5" x14ac:dyDescent="0.25">
      <c r="B277" s="433" t="s">
        <v>2943</v>
      </c>
    </row>
    <row r="278" spans="2:2" ht="54" customHeight="1" x14ac:dyDescent="0.25">
      <c r="B278" s="434" t="s">
        <v>4353</v>
      </c>
    </row>
    <row r="279" spans="2:2" ht="31.5" x14ac:dyDescent="0.25">
      <c r="B279" s="433" t="s">
        <v>2942</v>
      </c>
    </row>
    <row r="280" spans="2:2" ht="47.25" x14ac:dyDescent="0.25">
      <c r="B280" s="434" t="s">
        <v>5749</v>
      </c>
    </row>
    <row r="281" spans="2:2" ht="31.5" x14ac:dyDescent="0.25">
      <c r="B281" s="666" t="s">
        <v>5750</v>
      </c>
    </row>
    <row r="282" spans="2:2" ht="31.5" x14ac:dyDescent="0.25">
      <c r="B282" s="434" t="s">
        <v>4566</v>
      </c>
    </row>
    <row r="283" spans="2:2" ht="47.25" x14ac:dyDescent="0.25">
      <c r="B283" s="434" t="s">
        <v>4570</v>
      </c>
    </row>
    <row r="284" spans="2:2" ht="47.25" x14ac:dyDescent="0.25">
      <c r="B284" s="434" t="s">
        <v>4567</v>
      </c>
    </row>
    <row r="285" spans="2:2" ht="41.25" customHeight="1" x14ac:dyDescent="0.25">
      <c r="B285" s="434" t="s">
        <v>4568</v>
      </c>
    </row>
    <row r="286" spans="2:2" ht="51" customHeight="1" x14ac:dyDescent="0.25">
      <c r="B286" s="434" t="s">
        <v>4569</v>
      </c>
    </row>
    <row r="287" spans="2:2" ht="47.25" x14ac:dyDescent="0.25">
      <c r="B287" s="434" t="s">
        <v>4571</v>
      </c>
    </row>
    <row r="288" spans="2:2" ht="36" customHeight="1" x14ac:dyDescent="0.25">
      <c r="B288" s="433" t="s">
        <v>2944</v>
      </c>
    </row>
    <row r="289" spans="1:2" ht="31.5" x14ac:dyDescent="0.25">
      <c r="B289" s="434" t="s">
        <v>4130</v>
      </c>
    </row>
    <row r="290" spans="1:2" ht="31.5" x14ac:dyDescent="0.25">
      <c r="B290" s="435" t="s">
        <v>2349</v>
      </c>
    </row>
    <row r="291" spans="1:2" ht="63" x14ac:dyDescent="0.25">
      <c r="B291" s="438" t="s">
        <v>2392</v>
      </c>
    </row>
    <row r="292" spans="1:2" ht="63" x14ac:dyDescent="0.25">
      <c r="B292" s="438" t="s">
        <v>4346</v>
      </c>
    </row>
    <row r="293" spans="1:2" ht="94.5" x14ac:dyDescent="0.25">
      <c r="B293" s="438" t="s">
        <v>4701</v>
      </c>
    </row>
    <row r="294" spans="1:2" ht="63" x14ac:dyDescent="0.25">
      <c r="B294" s="438" t="s">
        <v>5936</v>
      </c>
    </row>
    <row r="295" spans="1:2" ht="63" x14ac:dyDescent="0.25">
      <c r="B295" s="438" t="s">
        <v>2455</v>
      </c>
    </row>
    <row r="296" spans="1:2" ht="63" x14ac:dyDescent="0.25">
      <c r="B296" s="438" t="s">
        <v>4162</v>
      </c>
    </row>
    <row r="297" spans="1:2" ht="56.25" customHeight="1" x14ac:dyDescent="0.25">
      <c r="B297" s="438" t="s">
        <v>6118</v>
      </c>
    </row>
    <row r="298" spans="1:2" ht="31.5" x14ac:dyDescent="0.25">
      <c r="B298" s="438" t="s">
        <v>6201</v>
      </c>
    </row>
    <row r="299" spans="1:2" ht="31.5" x14ac:dyDescent="0.25">
      <c r="B299" s="438" t="s">
        <v>6205</v>
      </c>
    </row>
    <row r="301" spans="1:2" ht="15.75" x14ac:dyDescent="0.25">
      <c r="B301" s="410"/>
    </row>
    <row r="302" spans="1:2" ht="31.5" x14ac:dyDescent="0.25">
      <c r="A302" s="191"/>
      <c r="B302" s="435" t="s">
        <v>2538</v>
      </c>
    </row>
    <row r="303" spans="1:2" ht="31.5" x14ac:dyDescent="0.25">
      <c r="A303" s="191"/>
      <c r="B303" s="435" t="s">
        <v>2206</v>
      </c>
    </row>
    <row r="304" spans="1:2" ht="31.5" x14ac:dyDescent="0.25">
      <c r="A304" s="191"/>
      <c r="B304" s="435" t="s">
        <v>2211</v>
      </c>
    </row>
    <row r="305" spans="1:2" ht="31.5" x14ac:dyDescent="0.25">
      <c r="A305" s="191"/>
      <c r="B305" s="435" t="s">
        <v>2241</v>
      </c>
    </row>
    <row r="306" spans="1:2" ht="31.5" x14ac:dyDescent="0.25">
      <c r="A306" s="191"/>
      <c r="B306" s="435" t="s">
        <v>2286</v>
      </c>
    </row>
    <row r="307" spans="1:2" ht="51" customHeight="1" x14ac:dyDescent="0.25">
      <c r="A307" s="191"/>
      <c r="B307" s="410" t="s">
        <v>2945</v>
      </c>
    </row>
    <row r="308" spans="1:2" ht="71.25" customHeight="1" x14ac:dyDescent="0.25">
      <c r="A308" s="191"/>
      <c r="B308" s="435" t="s">
        <v>2335</v>
      </c>
    </row>
    <row r="309" spans="1:2" ht="31.5" x14ac:dyDescent="0.25">
      <c r="A309" s="191"/>
      <c r="B309" s="435" t="s">
        <v>2412</v>
      </c>
    </row>
    <row r="310" spans="1:2" ht="52.5" customHeight="1" x14ac:dyDescent="0.25">
      <c r="A310" s="191"/>
      <c r="B310" s="435" t="s">
        <v>4942</v>
      </c>
    </row>
    <row r="311" spans="1:2" ht="52.5" customHeight="1" x14ac:dyDescent="0.25">
      <c r="A311" s="191"/>
      <c r="B311" s="435" t="s">
        <v>4943</v>
      </c>
    </row>
    <row r="312" spans="1:2" ht="52.5" customHeight="1" x14ac:dyDescent="0.25">
      <c r="A312" s="191"/>
      <c r="B312" s="435" t="s">
        <v>4944</v>
      </c>
    </row>
    <row r="313" spans="1:2" ht="56.25" customHeight="1" x14ac:dyDescent="0.25">
      <c r="A313" s="191"/>
      <c r="B313" s="438" t="s">
        <v>4967</v>
      </c>
    </row>
    <row r="314" spans="1:2" ht="72.75" customHeight="1" x14ac:dyDescent="0.25">
      <c r="A314" s="191"/>
      <c r="B314" s="438" t="s">
        <v>4968</v>
      </c>
    </row>
    <row r="315" spans="1:2" ht="71.25" customHeight="1" x14ac:dyDescent="0.25">
      <c r="A315" s="191"/>
      <c r="B315" s="435" t="s">
        <v>5875</v>
      </c>
    </row>
    <row r="316" spans="1:2" ht="31.5" x14ac:dyDescent="0.25">
      <c r="B316" s="438" t="s">
        <v>2473</v>
      </c>
    </row>
    <row r="317" spans="1:2" ht="31.5" x14ac:dyDescent="0.25">
      <c r="B317" s="438" t="s">
        <v>2490</v>
      </c>
    </row>
    <row r="318" spans="1:2" ht="31.5" x14ac:dyDescent="0.25">
      <c r="B318" s="438" t="s">
        <v>2539</v>
      </c>
    </row>
    <row r="319" spans="1:2" ht="31.5" x14ac:dyDescent="0.25">
      <c r="B319" s="435" t="s">
        <v>2556</v>
      </c>
    </row>
    <row r="320" spans="1:2" ht="31.5" x14ac:dyDescent="0.25">
      <c r="B320" s="435" t="s">
        <v>2649</v>
      </c>
    </row>
    <row r="321" spans="2:2" ht="31.5" x14ac:dyDescent="0.25">
      <c r="B321" s="435" t="s">
        <v>2663</v>
      </c>
    </row>
    <row r="322" spans="2:2" ht="31.5" x14ac:dyDescent="0.25">
      <c r="B322" s="435" t="s">
        <v>2664</v>
      </c>
    </row>
    <row r="323" spans="2:2" ht="87" customHeight="1" x14ac:dyDescent="0.25">
      <c r="B323" s="410" t="s">
        <v>6057</v>
      </c>
    </row>
    <row r="324" spans="2:2" ht="54.75" customHeight="1" x14ac:dyDescent="0.25">
      <c r="B324" s="435" t="s">
        <v>6158</v>
      </c>
    </row>
    <row r="325" spans="2:2" ht="63" x14ac:dyDescent="0.25">
      <c r="B325" s="434" t="s">
        <v>2848</v>
      </c>
    </row>
    <row r="326" spans="2:2" ht="15.75" x14ac:dyDescent="0.25">
      <c r="B326" s="438" t="s">
        <v>2853</v>
      </c>
    </row>
    <row r="327" spans="2:2" ht="31.5" x14ac:dyDescent="0.25">
      <c r="B327" s="435" t="s">
        <v>4558</v>
      </c>
    </row>
    <row r="328" spans="2:2" ht="47.25" x14ac:dyDescent="0.25">
      <c r="B328" s="435" t="s">
        <v>4404</v>
      </c>
    </row>
    <row r="329" spans="2:2" ht="54.75" customHeight="1" x14ac:dyDescent="0.25">
      <c r="B329" s="435" t="s">
        <v>4559</v>
      </c>
    </row>
    <row r="330" spans="2:2" ht="54.75" customHeight="1" x14ac:dyDescent="0.25">
      <c r="B330" s="435" t="s">
        <v>4565</v>
      </c>
    </row>
    <row r="331" spans="2:2" ht="54.75" customHeight="1" x14ac:dyDescent="0.25">
      <c r="B331" s="435" t="s">
        <v>4579</v>
      </c>
    </row>
    <row r="332" spans="2:2" ht="47.25" x14ac:dyDescent="0.25">
      <c r="B332" s="438" t="s">
        <v>3234</v>
      </c>
    </row>
    <row r="333" spans="2:2" ht="69.75" customHeight="1" x14ac:dyDescent="0.25">
      <c r="B333" s="438" t="s">
        <v>3999</v>
      </c>
    </row>
    <row r="334" spans="2:2" ht="47.25" x14ac:dyDescent="0.25">
      <c r="B334" s="438" t="s">
        <v>4124</v>
      </c>
    </row>
    <row r="335" spans="2:2" ht="47.25" x14ac:dyDescent="0.25">
      <c r="B335" s="438" t="s">
        <v>4129</v>
      </c>
    </row>
    <row r="336" spans="2:2" ht="31.5" x14ac:dyDescent="0.25">
      <c r="B336" s="434" t="s">
        <v>4158</v>
      </c>
    </row>
    <row r="337" spans="2:2" ht="54" customHeight="1" x14ac:dyDescent="0.25">
      <c r="B337" s="434" t="s">
        <v>4714</v>
      </c>
    </row>
    <row r="338" spans="2:2" ht="31.5" x14ac:dyDescent="0.25">
      <c r="B338" s="434" t="s">
        <v>4745</v>
      </c>
    </row>
    <row r="339" spans="2:2" ht="31.5" x14ac:dyDescent="0.25">
      <c r="B339" s="434" t="s">
        <v>4767</v>
      </c>
    </row>
    <row r="340" spans="2:2" ht="31.5" x14ac:dyDescent="0.25">
      <c r="B340" s="434" t="s">
        <v>4938</v>
      </c>
    </row>
    <row r="341" spans="2:2" ht="54" customHeight="1" x14ac:dyDescent="0.25">
      <c r="B341" s="434" t="s">
        <v>4939</v>
      </c>
    </row>
    <row r="342" spans="2:2" ht="15.75" x14ac:dyDescent="0.25">
      <c r="B342" s="435" t="s">
        <v>5398</v>
      </c>
    </row>
    <row r="343" spans="2:2" ht="31.5" x14ac:dyDescent="0.25">
      <c r="B343" s="435" t="s">
        <v>5400</v>
      </c>
    </row>
    <row r="344" spans="2:2" ht="15.75" x14ac:dyDescent="0.25">
      <c r="B344" s="435" t="s">
        <v>5401</v>
      </c>
    </row>
    <row r="345" spans="2:2" ht="15.75" x14ac:dyDescent="0.25">
      <c r="B345" s="435" t="s">
        <v>5402</v>
      </c>
    </row>
    <row r="346" spans="2:2" ht="15.75" x14ac:dyDescent="0.25">
      <c r="B346" s="435" t="s">
        <v>5404</v>
      </c>
    </row>
    <row r="347" spans="2:2" ht="31.5" x14ac:dyDescent="0.25">
      <c r="B347" s="435" t="s">
        <v>5405</v>
      </c>
    </row>
    <row r="348" spans="2:2" ht="31.5" x14ac:dyDescent="0.25">
      <c r="B348" s="435" t="s">
        <v>5406</v>
      </c>
    </row>
    <row r="349" spans="2:2" ht="31.5" x14ac:dyDescent="0.25">
      <c r="B349" s="435" t="s">
        <v>5424</v>
      </c>
    </row>
    <row r="350" spans="2:2" ht="31.5" x14ac:dyDescent="0.25">
      <c r="B350" s="435" t="s">
        <v>5425</v>
      </c>
    </row>
    <row r="351" spans="2:2" ht="31.5" x14ac:dyDescent="0.25">
      <c r="B351" s="435" t="s">
        <v>5432</v>
      </c>
    </row>
    <row r="352" spans="2:2" ht="31.5" x14ac:dyDescent="0.25">
      <c r="B352" s="435" t="s">
        <v>5426</v>
      </c>
    </row>
    <row r="353" spans="2:2" ht="31.5" x14ac:dyDescent="0.25">
      <c r="B353" s="435" t="s">
        <v>5427</v>
      </c>
    </row>
    <row r="354" spans="2:2" ht="31.5" x14ac:dyDescent="0.25">
      <c r="B354" s="435" t="s">
        <v>5428</v>
      </c>
    </row>
    <row r="355" spans="2:2" ht="47.25" x14ac:dyDescent="0.25">
      <c r="B355" s="435" t="s">
        <v>5429</v>
      </c>
    </row>
    <row r="356" spans="2:2" ht="31.5" x14ac:dyDescent="0.25">
      <c r="B356" s="435" t="s">
        <v>5430</v>
      </c>
    </row>
    <row r="357" spans="2:2" ht="31.5" x14ac:dyDescent="0.25">
      <c r="B357" s="435" t="s">
        <v>5431</v>
      </c>
    </row>
    <row r="358" spans="2:2" ht="31.5" x14ac:dyDescent="0.25">
      <c r="B358" s="435" t="s">
        <v>5446</v>
      </c>
    </row>
    <row r="359" spans="2:2" ht="31.5" x14ac:dyDescent="0.25">
      <c r="B359" s="435" t="s">
        <v>5490</v>
      </c>
    </row>
    <row r="360" spans="2:2" ht="31.5" x14ac:dyDescent="0.25">
      <c r="B360" s="435" t="s">
        <v>5492</v>
      </c>
    </row>
    <row r="361" spans="2:2" ht="31.5" x14ac:dyDescent="0.25">
      <c r="B361" s="435" t="s">
        <v>5491</v>
      </c>
    </row>
    <row r="362" spans="2:2" ht="31.5" x14ac:dyDescent="0.25">
      <c r="B362" s="438" t="s">
        <v>5541</v>
      </c>
    </row>
    <row r="363" spans="2:2" ht="47.25" x14ac:dyDescent="0.25">
      <c r="B363" s="438" t="s">
        <v>5767</v>
      </c>
    </row>
    <row r="364" spans="2:2" ht="31.5" x14ac:dyDescent="0.25">
      <c r="B364" s="438" t="s">
        <v>5768</v>
      </c>
    </row>
    <row r="365" spans="2:2" ht="31.5" x14ac:dyDescent="0.25">
      <c r="B365" s="438" t="s">
        <v>5769</v>
      </c>
    </row>
    <row r="366" spans="2:2" ht="31.5" x14ac:dyDescent="0.25">
      <c r="B366" s="438" t="s">
        <v>5778</v>
      </c>
    </row>
    <row r="367" spans="2:2" ht="31.5" x14ac:dyDescent="0.25">
      <c r="B367" s="438" t="s">
        <v>5779</v>
      </c>
    </row>
    <row r="368" spans="2:2" ht="47.25" x14ac:dyDescent="0.25">
      <c r="B368" s="438" t="s">
        <v>5873</v>
      </c>
    </row>
    <row r="369" spans="2:2" ht="47.25" x14ac:dyDescent="0.25">
      <c r="B369" s="438" t="s">
        <v>5872</v>
      </c>
    </row>
    <row r="370" spans="2:2" ht="31.5" x14ac:dyDescent="0.25">
      <c r="B370" s="434" t="s">
        <v>6019</v>
      </c>
    </row>
    <row r="371" spans="2:2" ht="31.5" x14ac:dyDescent="0.25">
      <c r="B371" s="434" t="s">
        <v>6018</v>
      </c>
    </row>
    <row r="372" spans="2:2" ht="31.5" x14ac:dyDescent="0.25">
      <c r="B372" s="434" t="s">
        <v>6016</v>
      </c>
    </row>
    <row r="373" spans="2:2" ht="31.5" x14ac:dyDescent="0.25">
      <c r="B373" s="434" t="s">
        <v>6017</v>
      </c>
    </row>
    <row r="374" spans="2:2" ht="31.5" x14ac:dyDescent="0.25">
      <c r="B374" s="434" t="s">
        <v>6015</v>
      </c>
    </row>
    <row r="375" spans="2:2" ht="15.75" x14ac:dyDescent="0.25">
      <c r="B375" s="417"/>
    </row>
    <row r="376" spans="2:2" ht="15.75" x14ac:dyDescent="0.25">
      <c r="B376" s="435" t="s">
        <v>6048</v>
      </c>
    </row>
    <row r="377" spans="2:2" ht="57" customHeight="1" x14ac:dyDescent="0.25">
      <c r="B377" s="417" t="s">
        <v>6231</v>
      </c>
    </row>
    <row r="378" spans="2:2" ht="88.5" customHeight="1" x14ac:dyDescent="0.25">
      <c r="B378" s="417" t="s">
        <v>6300</v>
      </c>
    </row>
    <row r="379" spans="2:2" ht="47.25" x14ac:dyDescent="0.25">
      <c r="B379" s="438" t="s">
        <v>6341</v>
      </c>
    </row>
    <row r="380" spans="2:2" ht="51" customHeight="1" x14ac:dyDescent="0.25">
      <c r="B380" s="435" t="s">
        <v>6120</v>
      </c>
    </row>
    <row r="381" spans="2:2" ht="15.75" x14ac:dyDescent="0.25">
      <c r="B381" s="417"/>
    </row>
    <row r="382" spans="2:2" ht="31.5" x14ac:dyDescent="0.25">
      <c r="B382" s="434" t="s">
        <v>4769</v>
      </c>
    </row>
    <row r="383" spans="2:2" ht="15.75" x14ac:dyDescent="0.25">
      <c r="B383" s="666"/>
    </row>
    <row r="384" spans="2:2" ht="31.5" x14ac:dyDescent="0.25">
      <c r="B384" s="434" t="s">
        <v>5213</v>
      </c>
    </row>
    <row r="385" spans="2:2" ht="15.75" x14ac:dyDescent="0.25">
      <c r="B385" s="666"/>
    </row>
    <row r="386" spans="2:2" ht="31.5" x14ac:dyDescent="0.25">
      <c r="B386" s="434" t="s">
        <v>2073</v>
      </c>
    </row>
    <row r="387" spans="2:2" ht="15.75" x14ac:dyDescent="0.25">
      <c r="B387" s="433"/>
    </row>
    <row r="388" spans="2:2" ht="31.5" x14ac:dyDescent="0.25">
      <c r="B388" s="936" t="s">
        <v>2946</v>
      </c>
    </row>
    <row r="389" spans="2:2" ht="15.75" x14ac:dyDescent="0.25">
      <c r="B389" s="433"/>
    </row>
    <row r="390" spans="2:2" ht="31.5" x14ac:dyDescent="0.25">
      <c r="B390" s="434" t="s">
        <v>5106</v>
      </c>
    </row>
    <row r="391" spans="2:2" ht="31.5" x14ac:dyDescent="0.25">
      <c r="B391" s="434" t="s">
        <v>5107</v>
      </c>
    </row>
    <row r="393" spans="2:2" ht="31.5" x14ac:dyDescent="0.25">
      <c r="B393" s="434" t="s">
        <v>4822</v>
      </c>
    </row>
    <row r="394" spans="2:2" ht="15.75" x14ac:dyDescent="0.25">
      <c r="B394" s="433"/>
    </row>
    <row r="395" spans="2:2" ht="15.75" x14ac:dyDescent="0.25">
      <c r="B395" s="453" t="s">
        <v>2438</v>
      </c>
    </row>
    <row r="396" spans="2:2" ht="15.75" x14ac:dyDescent="0.25">
      <c r="B396" s="433"/>
    </row>
    <row r="397" spans="2:2" ht="47.25" x14ac:dyDescent="0.25">
      <c r="B397" s="434" t="s">
        <v>4165</v>
      </c>
    </row>
    <row r="398" spans="2:2" ht="15.75" x14ac:dyDescent="0.25">
      <c r="B398" s="433"/>
    </row>
    <row r="399" spans="2:2" ht="31.5" x14ac:dyDescent="0.25">
      <c r="B399" s="434" t="s">
        <v>2070</v>
      </c>
    </row>
    <row r="400" spans="2:2" ht="15.75" x14ac:dyDescent="0.25">
      <c r="B400" s="433"/>
    </row>
    <row r="401" spans="2:2" ht="31.5" x14ac:dyDescent="0.25">
      <c r="B401" s="434" t="s">
        <v>1688</v>
      </c>
    </row>
    <row r="402" spans="2:2" ht="15.75" x14ac:dyDescent="0.25">
      <c r="B402" s="433"/>
    </row>
    <row r="403" spans="2:2" ht="31.5" x14ac:dyDescent="0.25">
      <c r="B403" s="434" t="s">
        <v>4470</v>
      </c>
    </row>
    <row r="404" spans="2:2" x14ac:dyDescent="0.25">
      <c r="B404" s="514"/>
    </row>
    <row r="405" spans="2:2" ht="31.5" x14ac:dyDescent="0.25">
      <c r="B405" s="434" t="s">
        <v>1689</v>
      </c>
    </row>
    <row r="406" spans="2:2" ht="31.5" x14ac:dyDescent="0.25">
      <c r="B406" s="434" t="s">
        <v>2413</v>
      </c>
    </row>
    <row r="407" spans="2:2" ht="15.75" x14ac:dyDescent="0.25">
      <c r="B407" s="433"/>
    </row>
    <row r="408" spans="2:2" ht="37.5" customHeight="1" x14ac:dyDescent="0.25">
      <c r="B408" s="434" t="s">
        <v>5352</v>
      </c>
    </row>
    <row r="409" spans="2:2" ht="15.75" x14ac:dyDescent="0.25">
      <c r="B409" s="433"/>
    </row>
    <row r="410" spans="2:2" ht="31.5" x14ac:dyDescent="0.25">
      <c r="B410" s="434" t="s">
        <v>3487</v>
      </c>
    </row>
    <row r="411" spans="2:2" ht="15.75" x14ac:dyDescent="0.25">
      <c r="B411" s="433"/>
    </row>
    <row r="412" spans="2:2" ht="31.5" x14ac:dyDescent="0.25">
      <c r="B412" s="435" t="s">
        <v>1690</v>
      </c>
    </row>
    <row r="413" spans="2:2" ht="15.75" x14ac:dyDescent="0.25">
      <c r="B413" s="407"/>
    </row>
    <row r="414" spans="2:2" ht="47.25" x14ac:dyDescent="0.25">
      <c r="B414" s="435" t="s">
        <v>5348</v>
      </c>
    </row>
    <row r="415" spans="2:2" ht="15.75" x14ac:dyDescent="0.25">
      <c r="B415" s="407"/>
    </row>
    <row r="416" spans="2:2" ht="31.5" x14ac:dyDescent="0.25">
      <c r="B416" s="438" t="s">
        <v>4474</v>
      </c>
    </row>
    <row r="417" spans="2:2" ht="47.25" x14ac:dyDescent="0.25">
      <c r="B417" s="438" t="s">
        <v>4475</v>
      </c>
    </row>
    <row r="418" spans="2:2" ht="47.25" x14ac:dyDescent="0.25">
      <c r="B418" s="438" t="s">
        <v>5128</v>
      </c>
    </row>
    <row r="419" spans="2:2" ht="15.75" x14ac:dyDescent="0.25">
      <c r="B419" s="410"/>
    </row>
    <row r="420" spans="2:2" ht="72" customHeight="1" x14ac:dyDescent="0.25">
      <c r="B420" s="438" t="s">
        <v>4805</v>
      </c>
    </row>
    <row r="421" spans="2:2" ht="15.75" x14ac:dyDescent="0.25">
      <c r="B421" s="410"/>
    </row>
    <row r="422" spans="2:2" ht="54" customHeight="1" x14ac:dyDescent="0.25">
      <c r="B422" s="438" t="s">
        <v>4802</v>
      </c>
    </row>
    <row r="423" spans="2:2" ht="53.25" customHeight="1" x14ac:dyDescent="0.25">
      <c r="B423" s="434" t="s">
        <v>5282</v>
      </c>
    </row>
    <row r="424" spans="2:2" ht="15.75" x14ac:dyDescent="0.25">
      <c r="B424" s="666"/>
    </row>
    <row r="425" spans="2:2" ht="47.25" x14ac:dyDescent="0.25">
      <c r="B425" s="438" t="s">
        <v>6175</v>
      </c>
    </row>
    <row r="426" spans="2:2" ht="47.25" x14ac:dyDescent="0.25">
      <c r="B426" s="438" t="s">
        <v>4324</v>
      </c>
    </row>
    <row r="427" spans="2:2" ht="15.75" x14ac:dyDescent="0.25">
      <c r="B427" s="407"/>
    </row>
    <row r="428" spans="2:2" ht="47.25" x14ac:dyDescent="0.25">
      <c r="B428" s="438" t="s">
        <v>3563</v>
      </c>
    </row>
    <row r="429" spans="2:2" x14ac:dyDescent="0.25">
      <c r="B429" s="514"/>
    </row>
    <row r="430" spans="2:2" ht="63" x14ac:dyDescent="0.25">
      <c r="B430" s="434" t="s">
        <v>5129</v>
      </c>
    </row>
    <row r="431" spans="2:2" ht="31.5" x14ac:dyDescent="0.25">
      <c r="B431" s="434" t="s">
        <v>6185</v>
      </c>
    </row>
    <row r="432" spans="2:2" ht="38.25" customHeight="1" x14ac:dyDescent="0.25">
      <c r="B432" s="443" t="s">
        <v>6193</v>
      </c>
    </row>
    <row r="433" spans="2:2" x14ac:dyDescent="0.25">
      <c r="B433" s="514"/>
    </row>
    <row r="434" spans="2:2" ht="31.5" x14ac:dyDescent="0.25">
      <c r="B434" s="443" t="s">
        <v>1694</v>
      </c>
    </row>
    <row r="435" spans="2:2" ht="31.5" x14ac:dyDescent="0.25">
      <c r="B435" s="434" t="s">
        <v>2711</v>
      </c>
    </row>
    <row r="436" spans="2:2" ht="31.5" x14ac:dyDescent="0.25">
      <c r="B436" s="435" t="s">
        <v>3623</v>
      </c>
    </row>
    <row r="437" spans="2:2" ht="15.75" x14ac:dyDescent="0.25">
      <c r="B437" s="417"/>
    </row>
    <row r="438" spans="2:2" ht="31.5" x14ac:dyDescent="0.25">
      <c r="B438" s="435" t="s">
        <v>4476</v>
      </c>
    </row>
    <row r="439" spans="2:2" ht="15.75" x14ac:dyDescent="0.25">
      <c r="B439" s="435" t="s">
        <v>4477</v>
      </c>
    </row>
    <row r="440" spans="2:2" ht="31.5" x14ac:dyDescent="0.25">
      <c r="B440" s="435" t="s">
        <v>5294</v>
      </c>
    </row>
    <row r="441" spans="2:2" ht="15.75" x14ac:dyDescent="0.25">
      <c r="B441" s="417"/>
    </row>
    <row r="442" spans="2:2" ht="15.75" x14ac:dyDescent="0.25">
      <c r="B442" s="453" t="s">
        <v>3221</v>
      </c>
    </row>
    <row r="443" spans="2:2" x14ac:dyDescent="0.25">
      <c r="B443" s="514"/>
    </row>
    <row r="444" spans="2:2" ht="15.75" x14ac:dyDescent="0.25">
      <c r="B444" s="435" t="s">
        <v>1593</v>
      </c>
    </row>
    <row r="445" spans="2:2" ht="15.75" x14ac:dyDescent="0.25">
      <c r="B445" s="410" t="s">
        <v>2947</v>
      </c>
    </row>
    <row r="446" spans="2:2" x14ac:dyDescent="0.25">
      <c r="B446" s="514"/>
    </row>
    <row r="447" spans="2:2" ht="47.25" x14ac:dyDescent="0.25">
      <c r="B447" s="443" t="s">
        <v>3462</v>
      </c>
    </row>
    <row r="448" spans="2:2" ht="47.25" x14ac:dyDescent="0.25">
      <c r="B448" s="443" t="s">
        <v>3463</v>
      </c>
    </row>
    <row r="449" spans="2:2" ht="47.25" x14ac:dyDescent="0.25">
      <c r="B449" s="443" t="s">
        <v>3464</v>
      </c>
    </row>
    <row r="450" spans="2:2" x14ac:dyDescent="0.25">
      <c r="B450" s="514"/>
    </row>
    <row r="451" spans="2:2" ht="15.75" x14ac:dyDescent="0.25">
      <c r="B451" s="453" t="s">
        <v>4862</v>
      </c>
    </row>
    <row r="452" spans="2:2" ht="15.75" x14ac:dyDescent="0.25">
      <c r="B452" s="1333"/>
    </row>
    <row r="453" spans="2:2" ht="31.5" x14ac:dyDescent="0.25">
      <c r="B453" s="935" t="s">
        <v>5334</v>
      </c>
    </row>
    <row r="454" spans="2:2" ht="15.75" x14ac:dyDescent="0.25">
      <c r="B454" s="935"/>
    </row>
    <row r="455" spans="2:2" ht="31.5" x14ac:dyDescent="0.25">
      <c r="B455" s="434" t="s">
        <v>2850</v>
      </c>
    </row>
    <row r="456" spans="2:2" x14ac:dyDescent="0.25">
      <c r="B456" s="514"/>
    </row>
    <row r="457" spans="2:2" ht="47.25" x14ac:dyDescent="0.25">
      <c r="B457" s="1128" t="s">
        <v>3552</v>
      </c>
    </row>
    <row r="458" spans="2:2" ht="31.5" x14ac:dyDescent="0.25">
      <c r="B458" s="1128" t="s">
        <v>6146</v>
      </c>
    </row>
    <row r="459" spans="2:2" ht="31.5" x14ac:dyDescent="0.25">
      <c r="B459" s="1128" t="s">
        <v>3838</v>
      </c>
    </row>
    <row r="460" spans="2:2" x14ac:dyDescent="0.25">
      <c r="B460" s="514"/>
    </row>
    <row r="461" spans="2:2" ht="15.75" x14ac:dyDescent="0.25">
      <c r="B461" s="453" t="s">
        <v>2588</v>
      </c>
    </row>
    <row r="462" spans="2:2" x14ac:dyDescent="0.25">
      <c r="B462" s="514"/>
    </row>
    <row r="463" spans="2:2" ht="31.5" x14ac:dyDescent="0.25">
      <c r="B463" s="434" t="s">
        <v>2005</v>
      </c>
    </row>
    <row r="464" spans="2:2" x14ac:dyDescent="0.25">
      <c r="B464" s="514"/>
    </row>
    <row r="465" spans="2:2" ht="31.5" x14ac:dyDescent="0.25">
      <c r="B465" s="434" t="s">
        <v>2488</v>
      </c>
    </row>
    <row r="466" spans="2:2" x14ac:dyDescent="0.25">
      <c r="B466" s="514"/>
    </row>
    <row r="467" spans="2:2" ht="31.5" x14ac:dyDescent="0.25">
      <c r="B467" s="434" t="s">
        <v>4520</v>
      </c>
    </row>
    <row r="468" spans="2:2" ht="15.75" x14ac:dyDescent="0.25">
      <c r="B468" s="515"/>
    </row>
    <row r="469" spans="2:2" ht="15.75" x14ac:dyDescent="0.25">
      <c r="B469" s="453" t="s">
        <v>4637</v>
      </c>
    </row>
    <row r="470" spans="2:2" ht="15.75" x14ac:dyDescent="0.25">
      <c r="B470" s="515"/>
    </row>
    <row r="471" spans="2:2" ht="15.75" x14ac:dyDescent="0.25">
      <c r="B471" s="435" t="s">
        <v>1691</v>
      </c>
    </row>
    <row r="472" spans="2:2" ht="15.75" x14ac:dyDescent="0.25">
      <c r="B472" s="417"/>
    </row>
    <row r="473" spans="2:2" ht="15.75" x14ac:dyDescent="0.25">
      <c r="B473" s="443" t="s">
        <v>1706</v>
      </c>
    </row>
    <row r="474" spans="2:2" ht="15.75" x14ac:dyDescent="0.25">
      <c r="B474" s="893"/>
    </row>
    <row r="475" spans="2:2" ht="31.5" x14ac:dyDescent="0.25">
      <c r="B475" s="443" t="s">
        <v>5564</v>
      </c>
    </row>
    <row r="476" spans="2:2" ht="15.75" x14ac:dyDescent="0.25">
      <c r="B476" s="893"/>
    </row>
    <row r="477" spans="2:2" ht="31.5" x14ac:dyDescent="0.25">
      <c r="B477" s="443" t="s">
        <v>4819</v>
      </c>
    </row>
    <row r="478" spans="2:2" ht="31.5" x14ac:dyDescent="0.25">
      <c r="B478" s="443" t="s">
        <v>4818</v>
      </c>
    </row>
    <row r="479" spans="2:2" ht="15.75" x14ac:dyDescent="0.25">
      <c r="B479" s="893"/>
    </row>
    <row r="480" spans="2:2" ht="31.5" x14ac:dyDescent="0.25">
      <c r="B480" s="435" t="s">
        <v>2191</v>
      </c>
    </row>
    <row r="481" spans="2:2" ht="15.75" x14ac:dyDescent="0.25">
      <c r="B481" s="417"/>
    </row>
    <row r="482" spans="2:2" ht="31.5" x14ac:dyDescent="0.25">
      <c r="B482" s="438" t="s">
        <v>2835</v>
      </c>
    </row>
    <row r="483" spans="2:2" ht="15.75" x14ac:dyDescent="0.25">
      <c r="B483" s="666"/>
    </row>
    <row r="484" spans="2:2" ht="31.5" x14ac:dyDescent="0.25">
      <c r="B484" s="438" t="s">
        <v>2842</v>
      </c>
    </row>
    <row r="485" spans="2:2" ht="15.75" x14ac:dyDescent="0.25">
      <c r="B485" s="417"/>
    </row>
    <row r="486" spans="2:2" ht="31.5" x14ac:dyDescent="0.25">
      <c r="B486" s="434" t="s">
        <v>2849</v>
      </c>
    </row>
    <row r="487" spans="2:2" ht="15.75" x14ac:dyDescent="0.25">
      <c r="B487" s="417"/>
    </row>
    <row r="488" spans="2:2" ht="31.5" x14ac:dyDescent="0.25">
      <c r="B488" s="435" t="s">
        <v>3497</v>
      </c>
    </row>
    <row r="489" spans="2:2" ht="31.5" x14ac:dyDescent="0.25">
      <c r="B489" s="435" t="s">
        <v>3498</v>
      </c>
    </row>
    <row r="490" spans="2:2" ht="31.5" x14ac:dyDescent="0.25">
      <c r="B490" s="435" t="s">
        <v>3501</v>
      </c>
    </row>
    <row r="491" spans="2:2" ht="31.5" x14ac:dyDescent="0.25">
      <c r="B491" s="435" t="s">
        <v>3502</v>
      </c>
    </row>
    <row r="492" spans="2:2" ht="31.5" x14ac:dyDescent="0.25">
      <c r="B492" s="435" t="s">
        <v>3500</v>
      </c>
    </row>
    <row r="493" spans="2:2" ht="15.75" x14ac:dyDescent="0.25">
      <c r="B493" s="417"/>
    </row>
    <row r="494" spans="2:2" ht="31.5" x14ac:dyDescent="0.25">
      <c r="B494" s="417" t="s">
        <v>6202</v>
      </c>
    </row>
    <row r="495" spans="2:2" ht="15.75" x14ac:dyDescent="0.25">
      <c r="B495" s="417"/>
    </row>
    <row r="496" spans="2:2" ht="31.5" x14ac:dyDescent="0.25">
      <c r="B496" s="435" t="s">
        <v>3489</v>
      </c>
    </row>
    <row r="497" spans="2:2" ht="15.75" x14ac:dyDescent="0.25">
      <c r="B497" s="417"/>
    </row>
    <row r="498" spans="2:2" ht="47.25" x14ac:dyDescent="0.25">
      <c r="B498" s="435" t="s">
        <v>2883</v>
      </c>
    </row>
    <row r="499" spans="2:2" ht="15.75" x14ac:dyDescent="0.25">
      <c r="B499" s="417"/>
    </row>
    <row r="500" spans="2:2" ht="15.75" x14ac:dyDescent="0.25">
      <c r="B500" s="438" t="s">
        <v>2590</v>
      </c>
    </row>
    <row r="501" spans="2:2" ht="15.75" x14ac:dyDescent="0.25">
      <c r="B501" s="438" t="s">
        <v>2589</v>
      </c>
    </row>
    <row r="502" spans="2:2" ht="15.75" x14ac:dyDescent="0.25">
      <c r="B502" s="417"/>
    </row>
    <row r="503" spans="2:2" ht="31.5" x14ac:dyDescent="0.25">
      <c r="B503" s="435" t="s">
        <v>1693</v>
      </c>
    </row>
    <row r="504" spans="2:2" ht="15.75" x14ac:dyDescent="0.25">
      <c r="B504" s="453" t="s">
        <v>1692</v>
      </c>
    </row>
    <row r="505" spans="2:2" ht="15.75" x14ac:dyDescent="0.25">
      <c r="B505" s="515"/>
    </row>
    <row r="506" spans="2:2" ht="31.5" x14ac:dyDescent="0.25">
      <c r="B506" s="433" t="s">
        <v>5195</v>
      </c>
    </row>
    <row r="507" spans="2:2" ht="31.5" x14ac:dyDescent="0.25">
      <c r="B507" s="434" t="s">
        <v>2019</v>
      </c>
    </row>
    <row r="508" spans="2:2" ht="15.75" x14ac:dyDescent="0.25">
      <c r="B508" s="666"/>
    </row>
    <row r="509" spans="2:2" ht="31.5" x14ac:dyDescent="0.25">
      <c r="B509" s="434" t="s">
        <v>4151</v>
      </c>
    </row>
    <row r="510" spans="2:2" ht="15.75" x14ac:dyDescent="0.25">
      <c r="B510" s="1315"/>
    </row>
    <row r="511" spans="2:2" ht="31.5" x14ac:dyDescent="0.25">
      <c r="B511" s="1128" t="s">
        <v>3554</v>
      </c>
    </row>
    <row r="512" spans="2:2" ht="15.75" x14ac:dyDescent="0.25">
      <c r="B512" s="433"/>
    </row>
    <row r="513" spans="2:2" ht="53.25" customHeight="1" x14ac:dyDescent="0.25">
      <c r="B513" s="434" t="s">
        <v>5307</v>
      </c>
    </row>
    <row r="514" spans="2:2" ht="56.25" customHeight="1" x14ac:dyDescent="0.25">
      <c r="B514" s="434" t="s">
        <v>5306</v>
      </c>
    </row>
    <row r="515" spans="2:2" ht="36.75" customHeight="1" x14ac:dyDescent="0.25">
      <c r="B515" s="434" t="s">
        <v>3053</v>
      </c>
    </row>
    <row r="516" spans="2:2" ht="35.25" customHeight="1" x14ac:dyDescent="0.25">
      <c r="B516" s="953" t="s">
        <v>3190</v>
      </c>
    </row>
    <row r="517" spans="2:2" ht="34.5" customHeight="1" x14ac:dyDescent="0.25">
      <c r="B517" s="434" t="s">
        <v>3188</v>
      </c>
    </row>
    <row r="518" spans="2:2" ht="31.5" x14ac:dyDescent="0.25">
      <c r="B518" s="953" t="s">
        <v>3011</v>
      </c>
    </row>
    <row r="519" spans="2:2" ht="31.5" x14ac:dyDescent="0.25">
      <c r="B519" s="434" t="s">
        <v>3189</v>
      </c>
    </row>
    <row r="520" spans="2:2" ht="31.5" x14ac:dyDescent="0.25">
      <c r="B520" s="434" t="s">
        <v>3061</v>
      </c>
    </row>
    <row r="521" spans="2:2" ht="15.75" x14ac:dyDescent="0.25">
      <c r="B521" s="434" t="s">
        <v>3484</v>
      </c>
    </row>
    <row r="522" spans="2:2" ht="31.5" x14ac:dyDescent="0.25">
      <c r="B522" s="434" t="s">
        <v>6315</v>
      </c>
    </row>
    <row r="523" spans="2:2" ht="31.5" x14ac:dyDescent="0.25">
      <c r="B523" s="434" t="s">
        <v>6316</v>
      </c>
    </row>
    <row r="524" spans="2:2" ht="15.75" x14ac:dyDescent="0.25">
      <c r="B524" s="434" t="s">
        <v>6317</v>
      </c>
    </row>
    <row r="525" spans="2:2" ht="15.75" x14ac:dyDescent="0.25">
      <c r="B525" s="666"/>
    </row>
    <row r="526" spans="2:2" ht="15.75" x14ac:dyDescent="0.25">
      <c r="B526" s="666"/>
    </row>
    <row r="527" spans="2:2" ht="15.75" x14ac:dyDescent="0.25">
      <c r="B527" s="666"/>
    </row>
    <row r="528" spans="2:2" ht="31.5" x14ac:dyDescent="0.25">
      <c r="B528" s="434" t="s">
        <v>4174</v>
      </c>
    </row>
    <row r="529" spans="2:2" ht="31.5" x14ac:dyDescent="0.25">
      <c r="B529" s="434" t="s">
        <v>4175</v>
      </c>
    </row>
    <row r="530" spans="2:2" ht="15.75" x14ac:dyDescent="0.25">
      <c r="B530" s="666"/>
    </row>
    <row r="531" spans="2:2" ht="31.5" x14ac:dyDescent="0.25">
      <c r="B531" s="952" t="s">
        <v>3060</v>
      </c>
    </row>
    <row r="533" spans="2:2" ht="31.5" x14ac:dyDescent="0.25">
      <c r="B533" s="435" t="s">
        <v>1566</v>
      </c>
    </row>
    <row r="534" spans="2:2" ht="15.75" x14ac:dyDescent="0.25">
      <c r="B534" s="433"/>
    </row>
    <row r="535" spans="2:2" ht="47.25" x14ac:dyDescent="0.25">
      <c r="B535" s="434" t="s">
        <v>6111</v>
      </c>
    </row>
    <row r="536" spans="2:2" ht="31.5" x14ac:dyDescent="0.25">
      <c r="B536" s="434" t="s">
        <v>6113</v>
      </c>
    </row>
    <row r="537" spans="2:2" ht="31.5" x14ac:dyDescent="0.25">
      <c r="B537" s="434" t="s">
        <v>6114</v>
      </c>
    </row>
    <row r="538" spans="2:2" ht="47.25" x14ac:dyDescent="0.25">
      <c r="B538" s="434" t="s">
        <v>6115</v>
      </c>
    </row>
    <row r="539" spans="2:2" ht="47.25" x14ac:dyDescent="0.25">
      <c r="B539" s="434" t="s">
        <v>6116</v>
      </c>
    </row>
    <row r="540" spans="2:2" ht="47.25" x14ac:dyDescent="0.25">
      <c r="B540" s="434" t="s">
        <v>6117</v>
      </c>
    </row>
    <row r="541" spans="2:2" ht="15.75" x14ac:dyDescent="0.25">
      <c r="B541" s="434" t="s">
        <v>6112</v>
      </c>
    </row>
    <row r="542" spans="2:2" ht="15.75" x14ac:dyDescent="0.25">
      <c r="B542" s="433"/>
    </row>
    <row r="543" spans="2:2" ht="15.75" x14ac:dyDescent="0.25">
      <c r="B543" s="434" t="s">
        <v>4448</v>
      </c>
    </row>
    <row r="544" spans="2:2" ht="15.75" x14ac:dyDescent="0.25">
      <c r="B544" s="433"/>
    </row>
    <row r="545" spans="2:2" ht="31.5" x14ac:dyDescent="0.25">
      <c r="B545" s="434" t="s">
        <v>4176</v>
      </c>
    </row>
    <row r="546" spans="2:2" ht="31.5" x14ac:dyDescent="0.25">
      <c r="B546" s="434" t="s">
        <v>4177</v>
      </c>
    </row>
    <row r="547" spans="2:2" ht="15.75" x14ac:dyDescent="0.25">
      <c r="B547" s="433"/>
    </row>
    <row r="548" spans="2:2" ht="31.5" x14ac:dyDescent="0.25">
      <c r="B548" s="434" t="s">
        <v>4268</v>
      </c>
    </row>
    <row r="549" spans="2:2" ht="15.75" x14ac:dyDescent="0.25">
      <c r="B549" s="433"/>
    </row>
    <row r="550" spans="2:2" ht="31.5" x14ac:dyDescent="0.25">
      <c r="B550" s="434" t="s">
        <v>5134</v>
      </c>
    </row>
    <row r="551" spans="2:2" ht="15.75" x14ac:dyDescent="0.25">
      <c r="B551" s="434" t="s">
        <v>5133</v>
      </c>
    </row>
    <row r="552" spans="2:2" ht="15.75" x14ac:dyDescent="0.25">
      <c r="B552" s="434" t="s">
        <v>5281</v>
      </c>
    </row>
    <row r="553" spans="2:2" ht="15.75" x14ac:dyDescent="0.25">
      <c r="B553" s="666"/>
    </row>
    <row r="554" spans="2:2" ht="15.75" x14ac:dyDescent="0.25">
      <c r="B554" s="434" t="s">
        <v>5288</v>
      </c>
    </row>
    <row r="555" spans="2:2" ht="15.75" x14ac:dyDescent="0.25">
      <c r="B555" s="666"/>
    </row>
    <row r="556" spans="2:2" ht="31.5" x14ac:dyDescent="0.25">
      <c r="B556" s="438" t="s">
        <v>5602</v>
      </c>
    </row>
    <row r="557" spans="2:2" ht="15.75" x14ac:dyDescent="0.25">
      <c r="B557" s="666"/>
    </row>
    <row r="558" spans="2:2" ht="54" customHeight="1" x14ac:dyDescent="0.25">
      <c r="B558" s="434" t="s">
        <v>1964</v>
      </c>
    </row>
    <row r="559" spans="2:2" ht="53.25" customHeight="1" x14ac:dyDescent="0.25">
      <c r="B559" s="434" t="s">
        <v>1965</v>
      </c>
    </row>
    <row r="560" spans="2:2" ht="47.25" x14ac:dyDescent="0.25">
      <c r="B560" s="434" t="s">
        <v>1966</v>
      </c>
    </row>
    <row r="561" spans="2:2" ht="47.25" x14ac:dyDescent="0.25">
      <c r="B561" s="434" t="s">
        <v>1967</v>
      </c>
    </row>
    <row r="562" spans="2:2" ht="47.25" x14ac:dyDescent="0.25">
      <c r="B562" s="434" t="s">
        <v>1968</v>
      </c>
    </row>
    <row r="563" spans="2:2" ht="47.25" x14ac:dyDescent="0.25">
      <c r="B563" s="434" t="s">
        <v>1969</v>
      </c>
    </row>
    <row r="564" spans="2:2" ht="47.25" x14ac:dyDescent="0.25">
      <c r="B564" s="434" t="s">
        <v>1970</v>
      </c>
    </row>
    <row r="565" spans="2:2" ht="47.25" x14ac:dyDescent="0.25">
      <c r="B565" s="434" t="s">
        <v>1971</v>
      </c>
    </row>
    <row r="566" spans="2:2" ht="47.25" x14ac:dyDescent="0.25">
      <c r="B566" s="434" t="s">
        <v>1972</v>
      </c>
    </row>
    <row r="567" spans="2:2" ht="47.25" x14ac:dyDescent="0.25">
      <c r="B567" s="434" t="s">
        <v>1963</v>
      </c>
    </row>
    <row r="568" spans="2:2" ht="47.25" x14ac:dyDescent="0.25">
      <c r="B568" s="434" t="s">
        <v>3107</v>
      </c>
    </row>
    <row r="569" spans="2:2" ht="15.75" x14ac:dyDescent="0.25">
      <c r="B569" s="433"/>
    </row>
    <row r="570" spans="2:2" ht="31.5" x14ac:dyDescent="0.25">
      <c r="B570" s="434" t="s">
        <v>4711</v>
      </c>
    </row>
    <row r="571" spans="2:2" ht="15.75" x14ac:dyDescent="0.25">
      <c r="B571" s="433"/>
    </row>
    <row r="572" spans="2:2" ht="31.5" x14ac:dyDescent="0.25">
      <c r="B572" s="434" t="s">
        <v>3385</v>
      </c>
    </row>
    <row r="573" spans="2:2" ht="15.75" x14ac:dyDescent="0.25">
      <c r="B573" s="433"/>
    </row>
    <row r="574" spans="2:2" ht="31.5" x14ac:dyDescent="0.25">
      <c r="B574" s="434" t="s">
        <v>2219</v>
      </c>
    </row>
    <row r="575" spans="2:2" ht="15.75" x14ac:dyDescent="0.25">
      <c r="B575" s="666"/>
    </row>
    <row r="576" spans="2:2" ht="31.5" x14ac:dyDescent="0.25">
      <c r="B576" s="443" t="s">
        <v>4820</v>
      </c>
    </row>
    <row r="577" spans="2:2" ht="15.75" x14ac:dyDescent="0.25">
      <c r="B577" s="893"/>
    </row>
    <row r="578" spans="2:2" ht="63" x14ac:dyDescent="0.25">
      <c r="B578" s="434" t="s">
        <v>3242</v>
      </c>
    </row>
    <row r="579" spans="2:2" ht="15.75" x14ac:dyDescent="0.25">
      <c r="B579" s="433"/>
    </row>
    <row r="580" spans="2:2" ht="50.25" customHeight="1" x14ac:dyDescent="0.25">
      <c r="B580" s="434" t="s">
        <v>3233</v>
      </c>
    </row>
    <row r="582" spans="2:2" ht="38.25" customHeight="1" x14ac:dyDescent="0.25">
      <c r="B582" s="434" t="s">
        <v>5235</v>
      </c>
    </row>
    <row r="583" spans="2:2" ht="31.5" x14ac:dyDescent="0.25">
      <c r="B583" s="434" t="s">
        <v>5222</v>
      </c>
    </row>
    <row r="584" spans="2:2" ht="31.5" x14ac:dyDescent="0.25">
      <c r="B584" s="443" t="s">
        <v>5223</v>
      </c>
    </row>
    <row r="585" spans="2:2" ht="15.75" x14ac:dyDescent="0.25">
      <c r="B585" s="434" t="s">
        <v>2105</v>
      </c>
    </row>
    <row r="586" spans="2:2" ht="15.75" x14ac:dyDescent="0.25">
      <c r="B586" s="433"/>
    </row>
    <row r="587" spans="2:2" ht="31.5" x14ac:dyDescent="0.25">
      <c r="B587" s="443" t="s">
        <v>3551</v>
      </c>
    </row>
    <row r="588" spans="2:2" ht="31.5" x14ac:dyDescent="0.25">
      <c r="B588" s="434" t="s">
        <v>5219</v>
      </c>
    </row>
    <row r="589" spans="2:2" ht="31.5" x14ac:dyDescent="0.25">
      <c r="B589" s="434" t="s">
        <v>5220</v>
      </c>
    </row>
    <row r="590" spans="2:2" ht="15.75" x14ac:dyDescent="0.25">
      <c r="B590" s="433"/>
    </row>
    <row r="591" spans="2:2" ht="31.5" x14ac:dyDescent="0.25">
      <c r="B591" s="434" t="s">
        <v>5366</v>
      </c>
    </row>
    <row r="592" spans="2:2" ht="15.75" x14ac:dyDescent="0.25">
      <c r="B592" s="433"/>
    </row>
    <row r="593" spans="2:2" ht="31.5" x14ac:dyDescent="0.25">
      <c r="B593" s="434" t="s">
        <v>6105</v>
      </c>
    </row>
    <row r="594" spans="2:2" ht="31.5" x14ac:dyDescent="0.25">
      <c r="B594" s="434" t="s">
        <v>6106</v>
      </c>
    </row>
    <row r="595" spans="2:2" ht="31.5" x14ac:dyDescent="0.25">
      <c r="B595" s="434" t="s">
        <v>6107</v>
      </c>
    </row>
    <row r="596" spans="2:2" ht="15.75" x14ac:dyDescent="0.25">
      <c r="B596" s="433"/>
    </row>
    <row r="597" spans="2:2" ht="31.5" x14ac:dyDescent="0.25">
      <c r="B597" s="434" t="s">
        <v>5233</v>
      </c>
    </row>
    <row r="598" spans="2:2" ht="15.75" x14ac:dyDescent="0.25">
      <c r="B598" s="433"/>
    </row>
    <row r="599" spans="2:2" ht="31.5" x14ac:dyDescent="0.25">
      <c r="B599" s="434" t="s">
        <v>3244</v>
      </c>
    </row>
    <row r="600" spans="2:2" ht="31.5" x14ac:dyDescent="0.25">
      <c r="B600" s="433" t="s">
        <v>3243</v>
      </c>
    </row>
    <row r="601" spans="2:2" ht="15.75" x14ac:dyDescent="0.25">
      <c r="B601" s="433"/>
    </row>
    <row r="602" spans="2:2" ht="52.5" customHeight="1" x14ac:dyDescent="0.25">
      <c r="B602" s="434" t="s">
        <v>5280</v>
      </c>
    </row>
    <row r="603" spans="2:2" ht="15.75" x14ac:dyDescent="0.25">
      <c r="B603" s="433"/>
    </row>
    <row r="604" spans="2:2" ht="47.25" x14ac:dyDescent="0.25">
      <c r="B604" s="434" t="s">
        <v>6207</v>
      </c>
    </row>
    <row r="605" spans="2:2" ht="15.75" x14ac:dyDescent="0.25">
      <c r="B605" s="433"/>
    </row>
    <row r="606" spans="2:2" ht="15.75" x14ac:dyDescent="0.25">
      <c r="B606" s="434" t="s">
        <v>4271</v>
      </c>
    </row>
    <row r="607" spans="2:2" ht="31.5" x14ac:dyDescent="0.25">
      <c r="B607" s="434" t="s">
        <v>2565</v>
      </c>
    </row>
    <row r="608" spans="2:2" ht="15.75" x14ac:dyDescent="0.25">
      <c r="B608" s="433"/>
    </row>
    <row r="609" spans="2:2" ht="15.75" x14ac:dyDescent="0.25">
      <c r="B609" s="434" t="s">
        <v>2396</v>
      </c>
    </row>
    <row r="610" spans="2:2" ht="15.75" x14ac:dyDescent="0.25">
      <c r="B610" s="433"/>
    </row>
    <row r="611" spans="2:2" ht="31.5" x14ac:dyDescent="0.25">
      <c r="B611" s="434" t="s">
        <v>3396</v>
      </c>
    </row>
    <row r="612" spans="2:2" ht="31.5" x14ac:dyDescent="0.25">
      <c r="B612" s="434" t="s">
        <v>3395</v>
      </c>
    </row>
    <row r="613" spans="2:2" ht="15.75" x14ac:dyDescent="0.25">
      <c r="B613" s="433"/>
    </row>
    <row r="614" spans="2:2" ht="31.5" x14ac:dyDescent="0.25">
      <c r="B614" s="434" t="s">
        <v>5574</v>
      </c>
    </row>
    <row r="615" spans="2:2" ht="31.5" x14ac:dyDescent="0.25">
      <c r="B615" s="666" t="s">
        <v>5441</v>
      </c>
    </row>
    <row r="616" spans="2:2" ht="31.5" x14ac:dyDescent="0.25">
      <c r="B616" s="434" t="s">
        <v>5575</v>
      </c>
    </row>
    <row r="617" spans="2:2" ht="15.75" x14ac:dyDescent="0.25">
      <c r="B617" s="433"/>
    </row>
    <row r="618" spans="2:2" ht="31.5" x14ac:dyDescent="0.25">
      <c r="B618" s="434" t="s">
        <v>6149</v>
      </c>
    </row>
    <row r="619" spans="2:2" ht="15.75" x14ac:dyDescent="0.25">
      <c r="B619" s="433"/>
    </row>
    <row r="620" spans="2:2" ht="31.5" x14ac:dyDescent="0.25">
      <c r="B620" s="454" t="s">
        <v>1695</v>
      </c>
    </row>
    <row r="621" spans="2:2" ht="31.5" x14ac:dyDescent="0.25">
      <c r="B621" s="454" t="s">
        <v>6036</v>
      </c>
    </row>
    <row r="622" spans="2:2" ht="31.5" x14ac:dyDescent="0.25">
      <c r="B622" s="454" t="s">
        <v>6037</v>
      </c>
    </row>
    <row r="623" spans="2:2" ht="31.5" x14ac:dyDescent="0.25">
      <c r="B623" s="454" t="s">
        <v>6038</v>
      </c>
    </row>
    <row r="624" spans="2:2" ht="31.5" x14ac:dyDescent="0.25">
      <c r="B624" s="454" t="s">
        <v>6039</v>
      </c>
    </row>
    <row r="625" spans="2:2" ht="31.5" x14ac:dyDescent="0.25">
      <c r="B625" s="454" t="s">
        <v>6040</v>
      </c>
    </row>
    <row r="626" spans="2:2" ht="31.5" x14ac:dyDescent="0.25">
      <c r="B626" s="454" t="s">
        <v>6035</v>
      </c>
    </row>
    <row r="627" spans="2:2" ht="47.25" x14ac:dyDescent="0.25">
      <c r="B627" s="434" t="s">
        <v>3466</v>
      </c>
    </row>
    <row r="628" spans="2:2" ht="31.5" x14ac:dyDescent="0.25">
      <c r="B628" s="454" t="s">
        <v>6042</v>
      </c>
    </row>
    <row r="629" spans="2:2" ht="31.5" x14ac:dyDescent="0.25">
      <c r="B629" s="454" t="s">
        <v>6041</v>
      </c>
    </row>
    <row r="630" spans="2:2" ht="15.75" x14ac:dyDescent="0.25">
      <c r="B630" s="433"/>
    </row>
    <row r="631" spans="2:2" ht="31.5" x14ac:dyDescent="0.25">
      <c r="B631" s="434" t="s">
        <v>3241</v>
      </c>
    </row>
    <row r="632" spans="2:2" ht="31.5" x14ac:dyDescent="0.25">
      <c r="B632" s="434" t="s">
        <v>2890</v>
      </c>
    </row>
    <row r="633" spans="2:2" ht="31.5" x14ac:dyDescent="0.25">
      <c r="B633" s="434" t="s">
        <v>1299</v>
      </c>
    </row>
    <row r="634" spans="2:2" ht="31.5" x14ac:dyDescent="0.25">
      <c r="B634" s="434" t="s">
        <v>2889</v>
      </c>
    </row>
    <row r="635" spans="2:2" ht="31.5" x14ac:dyDescent="0.25">
      <c r="B635" s="434" t="s">
        <v>3508</v>
      </c>
    </row>
    <row r="636" spans="2:2" x14ac:dyDescent="0.25">
      <c r="B636" s="514"/>
    </row>
    <row r="637" spans="2:2" ht="31.5" x14ac:dyDescent="0.25">
      <c r="B637" s="435" t="s">
        <v>5125</v>
      </c>
    </row>
    <row r="638" spans="2:2" ht="21.75" customHeight="1" x14ac:dyDescent="0.25">
      <c r="B638" s="435" t="s">
        <v>1786</v>
      </c>
    </row>
    <row r="639" spans="2:2" ht="15.75" x14ac:dyDescent="0.25">
      <c r="B639" s="417" t="s">
        <v>3269</v>
      </c>
    </row>
    <row r="640" spans="2:2" ht="31.5" x14ac:dyDescent="0.25">
      <c r="B640" s="435" t="s">
        <v>1787</v>
      </c>
    </row>
    <row r="641" spans="2:2" x14ac:dyDescent="0.25">
      <c r="B641" s="514"/>
    </row>
    <row r="642" spans="2:2" ht="31.5" x14ac:dyDescent="0.25">
      <c r="B642" s="435" t="s">
        <v>3516</v>
      </c>
    </row>
    <row r="643" spans="2:2" ht="31.5" x14ac:dyDescent="0.25">
      <c r="B643" s="435" t="s">
        <v>3517</v>
      </c>
    </row>
    <row r="644" spans="2:2" ht="31.5" x14ac:dyDescent="0.25">
      <c r="B644" s="435" t="s">
        <v>3519</v>
      </c>
    </row>
    <row r="645" spans="2:2" ht="31.5" x14ac:dyDescent="0.25">
      <c r="B645" s="435" t="s">
        <v>3514</v>
      </c>
    </row>
    <row r="646" spans="2:2" ht="31.5" x14ac:dyDescent="0.25">
      <c r="B646" s="435" t="s">
        <v>3518</v>
      </c>
    </row>
    <row r="647" spans="2:2" ht="31.5" x14ac:dyDescent="0.25">
      <c r="B647" s="435" t="s">
        <v>3512</v>
      </c>
    </row>
    <row r="648" spans="2:2" ht="15.75" x14ac:dyDescent="0.25">
      <c r="B648" s="417"/>
    </row>
    <row r="649" spans="2:2" ht="31.5" x14ac:dyDescent="0.25">
      <c r="B649" s="435" t="s">
        <v>2091</v>
      </c>
    </row>
    <row r="650" spans="2:2" ht="15.75" x14ac:dyDescent="0.25">
      <c r="B650" s="417"/>
    </row>
    <row r="651" spans="2:2" ht="31.5" x14ac:dyDescent="0.25">
      <c r="B651" s="435" t="s">
        <v>4615</v>
      </c>
    </row>
    <row r="652" spans="2:2" ht="31.5" x14ac:dyDescent="0.25">
      <c r="B652" s="435" t="s">
        <v>4616</v>
      </c>
    </row>
    <row r="653" spans="2:2" ht="15.75" x14ac:dyDescent="0.25">
      <c r="B653" s="417"/>
    </row>
    <row r="654" spans="2:2" ht="47.25" x14ac:dyDescent="0.25">
      <c r="B654" s="435" t="s">
        <v>3064</v>
      </c>
    </row>
    <row r="655" spans="2:2" ht="51" customHeight="1" x14ac:dyDescent="0.25">
      <c r="B655" s="435" t="s">
        <v>1996</v>
      </c>
    </row>
    <row r="656" spans="2:2" ht="51" customHeight="1" x14ac:dyDescent="0.25">
      <c r="B656" s="954" t="s">
        <v>3065</v>
      </c>
    </row>
    <row r="657" spans="2:2" ht="31.5" x14ac:dyDescent="0.25">
      <c r="B657" s="435" t="s">
        <v>5466</v>
      </c>
    </row>
    <row r="658" spans="2:2" ht="31.5" x14ac:dyDescent="0.25">
      <c r="B658" s="435" t="s">
        <v>4969</v>
      </c>
    </row>
    <row r="659" spans="2:2" ht="47.25" x14ac:dyDescent="0.25">
      <c r="B659" s="954" t="s">
        <v>3066</v>
      </c>
    </row>
    <row r="660" spans="2:2" ht="31.5" x14ac:dyDescent="0.25">
      <c r="B660" s="954" t="s">
        <v>4498</v>
      </c>
    </row>
    <row r="661" spans="2:2" ht="31.5" x14ac:dyDescent="0.25">
      <c r="B661" s="954" t="s">
        <v>4970</v>
      </c>
    </row>
    <row r="662" spans="2:2" ht="15.75" x14ac:dyDescent="0.25">
      <c r="B662" s="417"/>
    </row>
    <row r="663" spans="2:2" ht="31.5" x14ac:dyDescent="0.25">
      <c r="B663" s="435" t="s">
        <v>2358</v>
      </c>
    </row>
    <row r="664" spans="2:2" ht="15.75" x14ac:dyDescent="0.25">
      <c r="B664" s="417"/>
    </row>
    <row r="665" spans="2:2" ht="47.25" x14ac:dyDescent="0.25">
      <c r="B665" s="438" t="s">
        <v>2094</v>
      </c>
    </row>
    <row r="666" spans="2:2" ht="31.5" x14ac:dyDescent="0.25">
      <c r="B666" s="438" t="s">
        <v>5450</v>
      </c>
    </row>
    <row r="667" spans="2:2" ht="31.5" x14ac:dyDescent="0.25">
      <c r="B667" s="438" t="s">
        <v>5449</v>
      </c>
    </row>
    <row r="668" spans="2:2" ht="31.5" x14ac:dyDescent="0.25">
      <c r="B668" s="438" t="s">
        <v>5448</v>
      </c>
    </row>
    <row r="669" spans="2:2" x14ac:dyDescent="0.25">
      <c r="B669" s="514"/>
    </row>
    <row r="670" spans="2:2" ht="63" x14ac:dyDescent="0.25">
      <c r="B670" s="434" t="s">
        <v>4710</v>
      </c>
    </row>
    <row r="671" spans="2:2" x14ac:dyDescent="0.25">
      <c r="B671" s="514"/>
    </row>
    <row r="672" spans="2:2" ht="31.5" x14ac:dyDescent="0.25">
      <c r="B672" s="434" t="s">
        <v>3398</v>
      </c>
    </row>
    <row r="673" spans="2:2" x14ac:dyDescent="0.25">
      <c r="B673" s="514"/>
    </row>
    <row r="674" spans="2:2" ht="31.5" x14ac:dyDescent="0.25">
      <c r="B674" s="434" t="s">
        <v>4494</v>
      </c>
    </row>
    <row r="675" spans="2:2" x14ac:dyDescent="0.25">
      <c r="B675" s="514"/>
    </row>
    <row r="676" spans="2:2" ht="15.75" x14ac:dyDescent="0.25">
      <c r="B676" s="435" t="s">
        <v>1780</v>
      </c>
    </row>
    <row r="677" spans="2:2" ht="31.5" x14ac:dyDescent="0.25">
      <c r="B677" s="435" t="s">
        <v>4173</v>
      </c>
    </row>
    <row r="678" spans="2:2" ht="31.5" x14ac:dyDescent="0.25">
      <c r="B678" s="438" t="s">
        <v>2456</v>
      </c>
    </row>
    <row r="679" spans="2:2" x14ac:dyDescent="0.25">
      <c r="B679" s="514"/>
    </row>
    <row r="680" spans="2:2" ht="15.75" x14ac:dyDescent="0.25">
      <c r="B680" s="434" t="s">
        <v>3384</v>
      </c>
    </row>
    <row r="681" spans="2:2" x14ac:dyDescent="0.25">
      <c r="B681" s="514"/>
    </row>
    <row r="682" spans="2:2" ht="31.5" x14ac:dyDescent="0.25">
      <c r="B682" s="434" t="s">
        <v>3059</v>
      </c>
    </row>
    <row r="683" spans="2:2" ht="15.75" x14ac:dyDescent="0.25">
      <c r="B683" s="434" t="s">
        <v>5959</v>
      </c>
    </row>
    <row r="684" spans="2:2" ht="31.5" x14ac:dyDescent="0.25">
      <c r="B684" s="434" t="s">
        <v>5322</v>
      </c>
    </row>
    <row r="685" spans="2:2" x14ac:dyDescent="0.25">
      <c r="B685" s="514"/>
    </row>
    <row r="686" spans="2:2" ht="15.75" x14ac:dyDescent="0.25">
      <c r="B686" s="453" t="s">
        <v>5216</v>
      </c>
    </row>
    <row r="687" spans="2:2" x14ac:dyDescent="0.25">
      <c r="B687" s="514"/>
    </row>
    <row r="688" spans="2:2" ht="31.5" x14ac:dyDescent="0.25">
      <c r="B688" s="434" t="s">
        <v>2060</v>
      </c>
    </row>
    <row r="689" spans="2:2" x14ac:dyDescent="0.25">
      <c r="B689" s="514"/>
    </row>
    <row r="690" spans="2:2" ht="31.5" x14ac:dyDescent="0.25">
      <c r="B690" s="434" t="s">
        <v>5950</v>
      </c>
    </row>
    <row r="691" spans="2:2" ht="31.5" x14ac:dyDescent="0.25">
      <c r="B691" s="434" t="s">
        <v>5953</v>
      </c>
    </row>
    <row r="692" spans="2:2" x14ac:dyDescent="0.25">
      <c r="B692" s="514"/>
    </row>
    <row r="693" spans="2:2" ht="35.25" customHeight="1" x14ac:dyDescent="0.25">
      <c r="B693" s="434" t="s">
        <v>5227</v>
      </c>
    </row>
    <row r="694" spans="2:2" ht="35.25" customHeight="1" x14ac:dyDescent="0.25">
      <c r="B694" s="434" t="s">
        <v>5228</v>
      </c>
    </row>
    <row r="695" spans="2:2" x14ac:dyDescent="0.25">
      <c r="B695" s="514"/>
    </row>
    <row r="696" spans="2:2" ht="47.25" x14ac:dyDescent="0.25">
      <c r="B696" s="434" t="s">
        <v>5369</v>
      </c>
    </row>
    <row r="697" spans="2:2" ht="31.5" x14ac:dyDescent="0.25">
      <c r="B697" s="434" t="s">
        <v>6252</v>
      </c>
    </row>
    <row r="698" spans="2:2" ht="15.75" x14ac:dyDescent="0.25">
      <c r="B698" s="434"/>
    </row>
    <row r="699" spans="2:2" ht="31.5" x14ac:dyDescent="0.25">
      <c r="B699" s="434" t="s">
        <v>5571</v>
      </c>
    </row>
    <row r="700" spans="2:2" ht="15.75" x14ac:dyDescent="0.25">
      <c r="B700" s="434" t="s">
        <v>6008</v>
      </c>
    </row>
    <row r="701" spans="2:2" x14ac:dyDescent="0.25">
      <c r="B701" s="514"/>
    </row>
    <row r="702" spans="2:2" ht="31.5" x14ac:dyDescent="0.25">
      <c r="B702" s="443" t="s">
        <v>2854</v>
      </c>
    </row>
    <row r="703" spans="2:2" x14ac:dyDescent="0.25">
      <c r="B703" s="514"/>
    </row>
    <row r="704" spans="2:2" ht="31.5" x14ac:dyDescent="0.25">
      <c r="B704" s="435" t="s">
        <v>2578</v>
      </c>
    </row>
    <row r="705" spans="2:2" ht="31.5" x14ac:dyDescent="0.25">
      <c r="B705" s="435" t="s">
        <v>2594</v>
      </c>
    </row>
    <row r="706" spans="2:2" ht="15.75" x14ac:dyDescent="0.25">
      <c r="B706" s="417"/>
    </row>
    <row r="707" spans="2:2" ht="31.5" x14ac:dyDescent="0.25">
      <c r="B707" s="435" t="s">
        <v>2579</v>
      </c>
    </row>
    <row r="708" spans="2:2" ht="31.5" x14ac:dyDescent="0.25">
      <c r="B708" s="435" t="s">
        <v>2580</v>
      </c>
    </row>
    <row r="709" spans="2:2" ht="15.75" x14ac:dyDescent="0.25">
      <c r="B709" s="417"/>
    </row>
    <row r="710" spans="2:2" ht="31.5" x14ac:dyDescent="0.25">
      <c r="B710" s="438" t="s">
        <v>4459</v>
      </c>
    </row>
    <row r="711" spans="2:2" ht="15.75" x14ac:dyDescent="0.25">
      <c r="B711" s="417"/>
    </row>
    <row r="712" spans="2:2" ht="31.5" x14ac:dyDescent="0.25">
      <c r="B712" s="435" t="s">
        <v>3803</v>
      </c>
    </row>
    <row r="713" spans="2:2" ht="15.75" x14ac:dyDescent="0.25">
      <c r="B713" s="417"/>
    </row>
    <row r="714" spans="2:2" ht="31.5" x14ac:dyDescent="0.25">
      <c r="B714" s="435" t="s">
        <v>2002</v>
      </c>
    </row>
    <row r="715" spans="2:2" ht="31.5" x14ac:dyDescent="0.25">
      <c r="B715" s="438" t="s">
        <v>2577</v>
      </c>
    </row>
    <row r="716" spans="2:2" ht="47.25" x14ac:dyDescent="0.25">
      <c r="B716" s="435" t="s">
        <v>2001</v>
      </c>
    </row>
    <row r="717" spans="2:2" ht="31.5" x14ac:dyDescent="0.25">
      <c r="B717" s="435" t="s">
        <v>3630</v>
      </c>
    </row>
    <row r="718" spans="2:2" ht="31.5" x14ac:dyDescent="0.25">
      <c r="B718" s="435" t="s">
        <v>5338</v>
      </c>
    </row>
    <row r="719" spans="2:2" ht="15.75" x14ac:dyDescent="0.25">
      <c r="B719" s="417"/>
    </row>
    <row r="720" spans="2:2" ht="31.5" x14ac:dyDescent="0.25">
      <c r="B720" s="438" t="s">
        <v>5337</v>
      </c>
    </row>
    <row r="721" spans="2:2" ht="47.25" x14ac:dyDescent="0.25">
      <c r="B721" s="438" t="s">
        <v>2871</v>
      </c>
    </row>
    <row r="722" spans="2:2" ht="47.25" x14ac:dyDescent="0.25">
      <c r="B722" s="435" t="s">
        <v>2870</v>
      </c>
    </row>
    <row r="723" spans="2:2" ht="31.5" x14ac:dyDescent="0.25">
      <c r="B723" s="434" t="s">
        <v>3227</v>
      </c>
    </row>
    <row r="724" spans="2:2" x14ac:dyDescent="0.25">
      <c r="B724" s="514"/>
    </row>
    <row r="725" spans="2:2" ht="15.75" x14ac:dyDescent="0.25">
      <c r="B725" s="438" t="s">
        <v>3261</v>
      </c>
    </row>
    <row r="726" spans="2:2" ht="31.5" x14ac:dyDescent="0.25">
      <c r="B726" s="435" t="s">
        <v>3265</v>
      </c>
    </row>
    <row r="727" spans="2:2" ht="15.75" x14ac:dyDescent="0.25">
      <c r="B727" s="435" t="s">
        <v>3268</v>
      </c>
    </row>
    <row r="728" spans="2:2" ht="31.5" x14ac:dyDescent="0.25">
      <c r="B728" s="435" t="s">
        <v>3267</v>
      </c>
    </row>
    <row r="729" spans="2:2" ht="15.75" x14ac:dyDescent="0.25">
      <c r="B729" s="417"/>
    </row>
    <row r="730" spans="2:2" ht="31.5" x14ac:dyDescent="0.25">
      <c r="B730" s="435" t="s">
        <v>5283</v>
      </c>
    </row>
    <row r="731" spans="2:2" ht="31.5" x14ac:dyDescent="0.25">
      <c r="B731" s="435" t="s">
        <v>5284</v>
      </c>
    </row>
    <row r="732" spans="2:2" ht="31.5" x14ac:dyDescent="0.25">
      <c r="B732" s="435" t="s">
        <v>5285</v>
      </c>
    </row>
    <row r="733" spans="2:2" ht="31.5" x14ac:dyDescent="0.25">
      <c r="B733" s="435" t="s">
        <v>5286</v>
      </c>
    </row>
    <row r="734" spans="2:2" ht="31.5" x14ac:dyDescent="0.25">
      <c r="B734" s="435" t="s">
        <v>5287</v>
      </c>
    </row>
    <row r="735" spans="2:2" ht="15.75" x14ac:dyDescent="0.25">
      <c r="B735" s="417"/>
    </row>
    <row r="736" spans="2:2" ht="31.5" x14ac:dyDescent="0.25">
      <c r="B736" s="434" t="s">
        <v>3397</v>
      </c>
    </row>
    <row r="737" spans="2:2" ht="15.75" x14ac:dyDescent="0.25">
      <c r="B737" s="417"/>
    </row>
    <row r="738" spans="2:2" ht="31.5" x14ac:dyDescent="0.25">
      <c r="B738" s="435" t="s">
        <v>5464</v>
      </c>
    </row>
    <row r="739" spans="2:2" x14ac:dyDescent="0.25">
      <c r="B739" s="514"/>
    </row>
    <row r="740" spans="2:2" ht="31.5" x14ac:dyDescent="0.25">
      <c r="B740" s="435" t="s">
        <v>5308</v>
      </c>
    </row>
    <row r="741" spans="2:2" ht="15.75" x14ac:dyDescent="0.25">
      <c r="B741" s="417"/>
    </row>
    <row r="742" spans="2:2" ht="31.5" x14ac:dyDescent="0.25">
      <c r="B742" s="435" t="s">
        <v>2200</v>
      </c>
    </row>
    <row r="743" spans="2:2" ht="15.75" x14ac:dyDescent="0.25">
      <c r="B743" s="417"/>
    </row>
    <row r="744" spans="2:2" ht="15.75" x14ac:dyDescent="0.25">
      <c r="B744" s="435" t="s">
        <v>4513</v>
      </c>
    </row>
    <row r="745" spans="2:2" ht="15.75" x14ac:dyDescent="0.25">
      <c r="B745" s="417"/>
    </row>
    <row r="746" spans="2:2" ht="31.5" x14ac:dyDescent="0.25">
      <c r="B746" s="435" t="s">
        <v>5952</v>
      </c>
    </row>
    <row r="747" spans="2:2" ht="31.5" x14ac:dyDescent="0.25">
      <c r="B747" s="435" t="s">
        <v>5955</v>
      </c>
    </row>
    <row r="748" spans="2:2" ht="31.5" x14ac:dyDescent="0.25">
      <c r="B748" s="435" t="s">
        <v>5954</v>
      </c>
    </row>
    <row r="749" spans="2:2" ht="15.75" x14ac:dyDescent="0.25">
      <c r="B749" s="417"/>
    </row>
    <row r="750" spans="2:2" ht="31.5" x14ac:dyDescent="0.25">
      <c r="B750" s="438" t="s">
        <v>4534</v>
      </c>
    </row>
    <row r="751" spans="2:2" ht="31.5" x14ac:dyDescent="0.25">
      <c r="B751" s="438" t="s">
        <v>4535</v>
      </c>
    </row>
    <row r="752" spans="2:2" ht="15.75" x14ac:dyDescent="0.25">
      <c r="B752" s="438" t="s">
        <v>4536</v>
      </c>
    </row>
    <row r="753" spans="2:2" ht="31.5" x14ac:dyDescent="0.25">
      <c r="B753" s="438" t="s">
        <v>4537</v>
      </c>
    </row>
    <row r="754" spans="2:2" ht="31.5" x14ac:dyDescent="0.25">
      <c r="B754" s="438" t="s">
        <v>4538</v>
      </c>
    </row>
    <row r="755" spans="2:2" ht="15.75" x14ac:dyDescent="0.25">
      <c r="B755" s="438" t="s">
        <v>4539</v>
      </c>
    </row>
    <row r="756" spans="2:2" ht="15.75" x14ac:dyDescent="0.25">
      <c r="B756" s="417"/>
    </row>
    <row r="757" spans="2:2" ht="15.75" x14ac:dyDescent="0.25">
      <c r="B757" s="435" t="s">
        <v>3997</v>
      </c>
    </row>
    <row r="758" spans="2:2" ht="47.25" x14ac:dyDescent="0.25">
      <c r="B758" s="438" t="s">
        <v>4457</v>
      </c>
    </row>
    <row r="759" spans="2:2" ht="15.75" x14ac:dyDescent="0.25">
      <c r="B759" s="417"/>
    </row>
    <row r="760" spans="2:2" ht="31.5" x14ac:dyDescent="0.25">
      <c r="B760" s="434" t="s">
        <v>4272</v>
      </c>
    </row>
    <row r="761" spans="2:2" ht="31.5" x14ac:dyDescent="0.25">
      <c r="B761" s="434" t="s">
        <v>2423</v>
      </c>
    </row>
    <row r="762" spans="2:2" ht="31.5" x14ac:dyDescent="0.25">
      <c r="B762" s="434" t="s">
        <v>2424</v>
      </c>
    </row>
    <row r="763" spans="2:2" ht="15.75" x14ac:dyDescent="0.25">
      <c r="B763" s="443" t="s">
        <v>2575</v>
      </c>
    </row>
    <row r="764" spans="2:2" ht="31.5" x14ac:dyDescent="0.25">
      <c r="B764" s="434" t="s">
        <v>2425</v>
      </c>
    </row>
    <row r="765" spans="2:2" ht="31.5" x14ac:dyDescent="0.25">
      <c r="B765" s="433" t="s">
        <v>2008</v>
      </c>
    </row>
    <row r="766" spans="2:2" ht="31.5" x14ac:dyDescent="0.25">
      <c r="B766" s="434" t="s">
        <v>2591</v>
      </c>
    </row>
    <row r="767" spans="2:2" ht="47.25" x14ac:dyDescent="0.25">
      <c r="B767" s="434" t="s">
        <v>2344</v>
      </c>
    </row>
    <row r="768" spans="2:2" ht="47.25" x14ac:dyDescent="0.25">
      <c r="B768" s="438" t="s">
        <v>6056</v>
      </c>
    </row>
    <row r="769" spans="2:2" ht="31.5" x14ac:dyDescent="0.25">
      <c r="B769" s="438" t="s">
        <v>4122</v>
      </c>
    </row>
    <row r="770" spans="2:2" ht="31.5" x14ac:dyDescent="0.25">
      <c r="B770" s="438" t="s">
        <v>2380</v>
      </c>
    </row>
    <row r="771" spans="2:2" ht="31.5" x14ac:dyDescent="0.25">
      <c r="B771" s="438" t="s">
        <v>4121</v>
      </c>
    </row>
    <row r="772" spans="2:2" ht="31.5" x14ac:dyDescent="0.25">
      <c r="B772" s="438" t="s">
        <v>2449</v>
      </c>
    </row>
    <row r="773" spans="2:2" ht="52.5" customHeight="1" x14ac:dyDescent="0.25">
      <c r="B773" s="438" t="s">
        <v>2457</v>
      </c>
    </row>
    <row r="774" spans="2:2" ht="15.75" x14ac:dyDescent="0.25">
      <c r="B774" s="438" t="s">
        <v>4104</v>
      </c>
    </row>
    <row r="775" spans="2:2" ht="47.25" x14ac:dyDescent="0.25">
      <c r="B775" s="438" t="s">
        <v>4453</v>
      </c>
    </row>
    <row r="777" spans="2:2" ht="31.5" x14ac:dyDescent="0.25">
      <c r="B777" s="438" t="s">
        <v>2228</v>
      </c>
    </row>
    <row r="778" spans="2:2" ht="31.5" x14ac:dyDescent="0.25">
      <c r="B778" s="438" t="s">
        <v>2229</v>
      </c>
    </row>
    <row r="779" spans="2:2" ht="31.5" x14ac:dyDescent="0.25">
      <c r="B779" s="438" t="s">
        <v>2360</v>
      </c>
    </row>
    <row r="780" spans="2:2" ht="31.5" x14ac:dyDescent="0.25">
      <c r="B780" s="438" t="s">
        <v>2359</v>
      </c>
    </row>
    <row r="781" spans="2:2" ht="31.5" x14ac:dyDescent="0.25">
      <c r="B781" s="438" t="s">
        <v>2362</v>
      </c>
    </row>
    <row r="782" spans="2:2" ht="31.5" x14ac:dyDescent="0.25">
      <c r="B782" s="410" t="s">
        <v>2948</v>
      </c>
    </row>
    <row r="783" spans="2:2" ht="33.75" customHeight="1" x14ac:dyDescent="0.25">
      <c r="B783" s="438" t="s">
        <v>4280</v>
      </c>
    </row>
    <row r="784" spans="2:2" ht="33.75" customHeight="1" x14ac:dyDescent="0.25">
      <c r="B784" s="438" t="s">
        <v>4388</v>
      </c>
    </row>
    <row r="785" spans="2:2" ht="33.75" customHeight="1" x14ac:dyDescent="0.25">
      <c r="B785" s="438" t="s">
        <v>4387</v>
      </c>
    </row>
    <row r="786" spans="2:2" ht="52.5" customHeight="1" x14ac:dyDescent="0.25">
      <c r="B786" s="438" t="s">
        <v>4549</v>
      </c>
    </row>
    <row r="787" spans="2:2" ht="63" x14ac:dyDescent="0.25">
      <c r="B787" s="438" t="s">
        <v>5890</v>
      </c>
    </row>
    <row r="788" spans="2:2" ht="63" x14ac:dyDescent="0.25">
      <c r="B788" s="438" t="s">
        <v>5889</v>
      </c>
    </row>
    <row r="789" spans="2:2" ht="31.5" x14ac:dyDescent="0.25">
      <c r="B789" s="438" t="s">
        <v>5876</v>
      </c>
    </row>
    <row r="790" spans="2:2" ht="15.75" x14ac:dyDescent="0.25">
      <c r="B790" s="410"/>
    </row>
    <row r="791" spans="2:2" ht="31.5" x14ac:dyDescent="0.25">
      <c r="B791" s="410" t="s">
        <v>6352</v>
      </c>
    </row>
    <row r="792" spans="2:2" ht="47.25" x14ac:dyDescent="0.25">
      <c r="B792" s="410" t="s">
        <v>6353</v>
      </c>
    </row>
    <row r="793" spans="2:2" ht="47.25" x14ac:dyDescent="0.25">
      <c r="B793" s="410" t="s">
        <v>6026</v>
      </c>
    </row>
    <row r="794" spans="2:2" ht="47.25" x14ac:dyDescent="0.25">
      <c r="B794" s="410" t="s">
        <v>6027</v>
      </c>
    </row>
    <row r="795" spans="2:2" ht="15.75" x14ac:dyDescent="0.25">
      <c r="B795" s="410"/>
    </row>
    <row r="796" spans="2:2" ht="56.25" customHeight="1" x14ac:dyDescent="0.25">
      <c r="B796" s="438" t="s">
        <v>5373</v>
      </c>
    </row>
    <row r="797" spans="2:2" ht="15.75" x14ac:dyDescent="0.25">
      <c r="B797" s="515"/>
    </row>
    <row r="798" spans="2:2" ht="47.25" x14ac:dyDescent="0.25">
      <c r="B798" s="434" t="s">
        <v>4390</v>
      </c>
    </row>
    <row r="799" spans="2:2" ht="15.75" x14ac:dyDescent="0.25">
      <c r="B799" s="515"/>
    </row>
    <row r="800" spans="2:2" ht="31.5" x14ac:dyDescent="0.25">
      <c r="B800" s="438" t="s">
        <v>2225</v>
      </c>
    </row>
    <row r="801" spans="2:2" ht="31.5" x14ac:dyDescent="0.25">
      <c r="B801" s="438" t="s">
        <v>2314</v>
      </c>
    </row>
    <row r="802" spans="2:2" ht="31.5" x14ac:dyDescent="0.25">
      <c r="B802" s="438" t="s">
        <v>2371</v>
      </c>
    </row>
    <row r="803" spans="2:2" ht="15.75" x14ac:dyDescent="0.25">
      <c r="B803" s="515"/>
    </row>
    <row r="804" spans="2:2" ht="31.5" x14ac:dyDescent="0.25">
      <c r="B804" s="434" t="s">
        <v>4552</v>
      </c>
    </row>
    <row r="805" spans="2:2" ht="15.75" x14ac:dyDescent="0.25">
      <c r="B805" s="515"/>
    </row>
    <row r="806" spans="2:2" ht="31.5" x14ac:dyDescent="0.25">
      <c r="B806" s="434" t="s">
        <v>5297</v>
      </c>
    </row>
    <row r="807" spans="2:2" ht="31.5" x14ac:dyDescent="0.25">
      <c r="B807" s="434" t="s">
        <v>5298</v>
      </c>
    </row>
    <row r="808" spans="2:2" ht="15.75" x14ac:dyDescent="0.25">
      <c r="B808" s="666"/>
    </row>
    <row r="809" spans="2:2" ht="31.5" x14ac:dyDescent="0.25">
      <c r="B809" s="434" t="s">
        <v>5990</v>
      </c>
    </row>
    <row r="810" spans="2:2" ht="31.5" x14ac:dyDescent="0.25">
      <c r="B810" s="434" t="s">
        <v>3229</v>
      </c>
    </row>
    <row r="811" spans="2:2" ht="15.75" x14ac:dyDescent="0.25">
      <c r="B811" s="515"/>
    </row>
    <row r="812" spans="2:2" ht="37.5" customHeight="1" x14ac:dyDescent="0.25">
      <c r="B812" s="434" t="s">
        <v>5126</v>
      </c>
    </row>
    <row r="813" spans="2:2" ht="51" customHeight="1" x14ac:dyDescent="0.25">
      <c r="B813" s="434" t="s">
        <v>3383</v>
      </c>
    </row>
    <row r="814" spans="2:2" ht="15.75" x14ac:dyDescent="0.25">
      <c r="B814" s="666"/>
    </row>
    <row r="815" spans="2:2" ht="31.5" x14ac:dyDescent="0.25">
      <c r="B815" s="434" t="s">
        <v>6022</v>
      </c>
    </row>
    <row r="816" spans="2:2" ht="15.75" x14ac:dyDescent="0.25">
      <c r="B816" s="666"/>
    </row>
    <row r="817" spans="2:2" ht="31.5" x14ac:dyDescent="0.25">
      <c r="B817" s="435" t="s">
        <v>4167</v>
      </c>
    </row>
    <row r="818" spans="2:2" ht="31.5" x14ac:dyDescent="0.25">
      <c r="B818" s="435" t="s">
        <v>4882</v>
      </c>
    </row>
    <row r="819" spans="2:2" ht="31.5" x14ac:dyDescent="0.25">
      <c r="B819" s="435" t="s">
        <v>4912</v>
      </c>
    </row>
    <row r="820" spans="2:2" ht="31.5" x14ac:dyDescent="0.25">
      <c r="B820" s="435" t="s">
        <v>4913</v>
      </c>
    </row>
    <row r="821" spans="2:2" ht="47.25" x14ac:dyDescent="0.25">
      <c r="B821" s="435" t="s">
        <v>4914</v>
      </c>
    </row>
    <row r="822" spans="2:2" ht="31.5" x14ac:dyDescent="0.25">
      <c r="B822" s="435" t="s">
        <v>4915</v>
      </c>
    </row>
    <row r="823" spans="2:2" ht="15.75" x14ac:dyDescent="0.25">
      <c r="B823" s="417"/>
    </row>
    <row r="824" spans="2:2" ht="47.25" x14ac:dyDescent="0.25">
      <c r="B824" s="435" t="s">
        <v>4262</v>
      </c>
    </row>
    <row r="825" spans="2:2" ht="15.75" x14ac:dyDescent="0.25">
      <c r="B825" s="417"/>
    </row>
    <row r="827" spans="2:2" ht="15.75" x14ac:dyDescent="0.25">
      <c r="B827" s="515"/>
    </row>
    <row r="828" spans="2:2" ht="47.25" x14ac:dyDescent="0.25">
      <c r="B828" s="434" t="s">
        <v>5439</v>
      </c>
    </row>
    <row r="829" spans="2:2" ht="31.5" x14ac:dyDescent="0.25">
      <c r="B829" s="434" t="s">
        <v>1980</v>
      </c>
    </row>
    <row r="830" spans="2:2" ht="31.5" x14ac:dyDescent="0.25">
      <c r="B830" s="434" t="s">
        <v>1979</v>
      </c>
    </row>
    <row r="831" spans="2:2" ht="47.25" x14ac:dyDescent="0.25">
      <c r="B831" s="434" t="s">
        <v>4347</v>
      </c>
    </row>
    <row r="832" spans="2:2" ht="31.5" x14ac:dyDescent="0.25">
      <c r="B832" s="434" t="s">
        <v>2061</v>
      </c>
    </row>
    <row r="833" spans="2:2" ht="31.5" x14ac:dyDescent="0.25">
      <c r="B833" s="434" t="s">
        <v>2569</v>
      </c>
    </row>
    <row r="834" spans="2:2" ht="31.5" x14ac:dyDescent="0.25">
      <c r="B834" s="434" t="s">
        <v>3693</v>
      </c>
    </row>
    <row r="835" spans="2:2" ht="47.25" x14ac:dyDescent="0.25">
      <c r="B835" s="434" t="s">
        <v>3699</v>
      </c>
    </row>
    <row r="836" spans="2:2" ht="31.5" x14ac:dyDescent="0.25">
      <c r="B836" s="434" t="s">
        <v>5440</v>
      </c>
    </row>
    <row r="838" spans="2:2" ht="31.5" x14ac:dyDescent="0.25">
      <c r="B838" s="434" t="s">
        <v>3708</v>
      </c>
    </row>
    <row r="840" spans="2:2" ht="47.25" x14ac:dyDescent="0.25">
      <c r="B840" s="434" t="s">
        <v>5253</v>
      </c>
    </row>
    <row r="841" spans="2:2" ht="18.75" customHeight="1" x14ac:dyDescent="0.25">
      <c r="B841" s="515" t="s">
        <v>6055</v>
      </c>
    </row>
    <row r="843" spans="2:2" ht="31.5" x14ac:dyDescent="0.25">
      <c r="B843" s="434" t="s">
        <v>3255</v>
      </c>
    </row>
    <row r="845" spans="2:2" ht="31.5" x14ac:dyDescent="0.25">
      <c r="B845" s="952" t="s">
        <v>3494</v>
      </c>
    </row>
    <row r="848" spans="2:2" ht="31.5" x14ac:dyDescent="0.25">
      <c r="B848" s="434" t="s">
        <v>3535</v>
      </c>
    </row>
    <row r="850" spans="2:2" ht="47.25" x14ac:dyDescent="0.25">
      <c r="B850" s="434" t="s">
        <v>5940</v>
      </c>
    </row>
    <row r="851" spans="2:2" ht="31.5" x14ac:dyDescent="0.25">
      <c r="B851" s="434" t="s">
        <v>5941</v>
      </c>
    </row>
    <row r="853" spans="2:2" ht="31.5" x14ac:dyDescent="0.25">
      <c r="B853" s="434" t="s">
        <v>4279</v>
      </c>
    </row>
    <row r="855" spans="2:2" ht="31.5" x14ac:dyDescent="0.25">
      <c r="B855" s="434" t="s">
        <v>1709</v>
      </c>
    </row>
    <row r="856" spans="2:2" x14ac:dyDescent="0.25">
      <c r="B856" s="514"/>
    </row>
    <row r="857" spans="2:2" ht="31.5" x14ac:dyDescent="0.25">
      <c r="B857" s="434" t="s">
        <v>5316</v>
      </c>
    </row>
    <row r="858" spans="2:2" x14ac:dyDescent="0.25">
      <c r="B858" s="514"/>
    </row>
    <row r="859" spans="2:2" ht="31.5" x14ac:dyDescent="0.25">
      <c r="B859" s="434" t="s">
        <v>2285</v>
      </c>
    </row>
    <row r="860" spans="2:2" ht="15.75" x14ac:dyDescent="0.25">
      <c r="B860" s="515"/>
    </row>
    <row r="861" spans="2:2" ht="31.5" x14ac:dyDescent="0.25">
      <c r="B861" s="433" t="s">
        <v>6203</v>
      </c>
    </row>
    <row r="862" spans="2:2" ht="15.75" x14ac:dyDescent="0.25">
      <c r="B862" s="515"/>
    </row>
    <row r="863" spans="2:2" ht="31.5" x14ac:dyDescent="0.25">
      <c r="B863" s="434" t="s">
        <v>3993</v>
      </c>
    </row>
    <row r="864" spans="2:2" ht="31.5" x14ac:dyDescent="0.25">
      <c r="B864" s="434" t="s">
        <v>3992</v>
      </c>
    </row>
    <row r="865" spans="2:2" ht="31.5" x14ac:dyDescent="0.25">
      <c r="B865" s="434" t="s">
        <v>3994</v>
      </c>
    </row>
    <row r="866" spans="2:2" ht="31.5" x14ac:dyDescent="0.25">
      <c r="B866" s="434" t="s">
        <v>3995</v>
      </c>
    </row>
    <row r="867" spans="2:2" ht="31.5" x14ac:dyDescent="0.25">
      <c r="B867" s="434" t="s">
        <v>3996</v>
      </c>
    </row>
    <row r="868" spans="2:2" ht="31.5" x14ac:dyDescent="0.25">
      <c r="B868" s="434" t="s">
        <v>4823</v>
      </c>
    </row>
    <row r="869" spans="2:2" ht="15.75" x14ac:dyDescent="0.25">
      <c r="B869" s="515"/>
    </row>
    <row r="870" spans="2:2" ht="31.5" x14ac:dyDescent="0.25">
      <c r="B870" s="434" t="s">
        <v>5255</v>
      </c>
    </row>
    <row r="871" spans="2:2" ht="31.5" x14ac:dyDescent="0.25">
      <c r="B871" s="434" t="s">
        <v>5376</v>
      </c>
    </row>
    <row r="872" spans="2:2" ht="15.75" x14ac:dyDescent="0.25">
      <c r="B872" s="515"/>
    </row>
    <row r="873" spans="2:2" ht="31.5" x14ac:dyDescent="0.25">
      <c r="B873" s="434" t="s">
        <v>3681</v>
      </c>
    </row>
    <row r="874" spans="2:2" ht="31.5" x14ac:dyDescent="0.25">
      <c r="B874" s="434" t="s">
        <v>3680</v>
      </c>
    </row>
    <row r="875" spans="2:2" ht="15.75" x14ac:dyDescent="0.25">
      <c r="B875" s="515"/>
    </row>
    <row r="876" spans="2:2" ht="31.5" x14ac:dyDescent="0.25">
      <c r="B876" s="434" t="s">
        <v>2421</v>
      </c>
    </row>
    <row r="877" spans="2:2" x14ac:dyDescent="0.25">
      <c r="B877" s="514"/>
    </row>
    <row r="878" spans="2:2" ht="31.5" x14ac:dyDescent="0.25">
      <c r="B878" s="434" t="s">
        <v>3825</v>
      </c>
    </row>
    <row r="879" spans="2:2" x14ac:dyDescent="0.25">
      <c r="B879" s="514"/>
    </row>
    <row r="880" spans="2:2" ht="47.25" x14ac:dyDescent="0.25">
      <c r="B880" s="434" t="s">
        <v>3254</v>
      </c>
    </row>
    <row r="881" spans="2:2" x14ac:dyDescent="0.25">
      <c r="B881" s="514"/>
    </row>
    <row r="882" spans="2:2" ht="50.25" customHeight="1" x14ac:dyDescent="0.25">
      <c r="B882" s="434" t="s">
        <v>5351</v>
      </c>
    </row>
    <row r="883" spans="2:2" ht="37.5" customHeight="1" x14ac:dyDescent="0.25">
      <c r="B883" s="434" t="s">
        <v>4402</v>
      </c>
    </row>
    <row r="884" spans="2:2" x14ac:dyDescent="0.25">
      <c r="B884" s="514"/>
    </row>
    <row r="885" spans="2:2" ht="31.5" x14ac:dyDescent="0.25">
      <c r="B885" s="434" t="s">
        <v>6314</v>
      </c>
    </row>
    <row r="886" spans="2:2" ht="15.75" x14ac:dyDescent="0.25">
      <c r="B886" s="666"/>
    </row>
    <row r="887" spans="2:2" ht="15.75" x14ac:dyDescent="0.25">
      <c r="B887" s="435" t="s">
        <v>5465</v>
      </c>
    </row>
    <row r="888" spans="2:2" ht="15.75" x14ac:dyDescent="0.25">
      <c r="B888" s="417"/>
    </row>
    <row r="889" spans="2:2" ht="31.5" x14ac:dyDescent="0.25">
      <c r="B889" s="434" t="s">
        <v>3256</v>
      </c>
    </row>
    <row r="890" spans="2:2" x14ac:dyDescent="0.25">
      <c r="B890" s="514"/>
    </row>
    <row r="891" spans="2:2" ht="31.5" x14ac:dyDescent="0.25">
      <c r="B891" s="434" t="s">
        <v>2363</v>
      </c>
    </row>
    <row r="892" spans="2:2" x14ac:dyDescent="0.25">
      <c r="B892" s="514"/>
    </row>
    <row r="893" spans="2:2" ht="31.5" x14ac:dyDescent="0.25">
      <c r="B893" s="434" t="s">
        <v>2436</v>
      </c>
    </row>
    <row r="894" spans="2:2" x14ac:dyDescent="0.25">
      <c r="B894" s="514"/>
    </row>
    <row r="895" spans="2:2" ht="47.25" x14ac:dyDescent="0.25">
      <c r="B895" s="443" t="s">
        <v>3689</v>
      </c>
    </row>
    <row r="896" spans="2:2" ht="31.5" x14ac:dyDescent="0.25">
      <c r="B896" s="443" t="s">
        <v>3712</v>
      </c>
    </row>
    <row r="897" spans="2:2" ht="31.5" x14ac:dyDescent="0.25">
      <c r="B897" s="434" t="s">
        <v>3277</v>
      </c>
    </row>
    <row r="898" spans="2:2" ht="15.75" x14ac:dyDescent="0.25">
      <c r="B898" s="666"/>
    </row>
    <row r="899" spans="2:2" ht="31.5" x14ac:dyDescent="0.25">
      <c r="B899" s="434" t="s">
        <v>2065</v>
      </c>
    </row>
    <row r="900" spans="2:2" ht="31.5" x14ac:dyDescent="0.25">
      <c r="B900" s="454" t="s">
        <v>2066</v>
      </c>
    </row>
    <row r="901" spans="2:2" ht="31.5" x14ac:dyDescent="0.25">
      <c r="B901" s="434" t="s">
        <v>2067</v>
      </c>
    </row>
    <row r="902" spans="2:2" ht="31.5" x14ac:dyDescent="0.25">
      <c r="B902" s="434" t="s">
        <v>2068</v>
      </c>
    </row>
    <row r="903" spans="2:2" ht="31.5" x14ac:dyDescent="0.25">
      <c r="B903" s="434" t="s">
        <v>3864</v>
      </c>
    </row>
    <row r="904" spans="2:2" ht="47.25" x14ac:dyDescent="0.25">
      <c r="B904" s="443" t="s">
        <v>3167</v>
      </c>
    </row>
    <row r="905" spans="2:2" ht="31.5" x14ac:dyDescent="0.25">
      <c r="B905" s="434" t="s">
        <v>3691</v>
      </c>
    </row>
    <row r="906" spans="2:2" ht="31.5" x14ac:dyDescent="0.25">
      <c r="B906" s="434" t="s">
        <v>4547</v>
      </c>
    </row>
    <row r="907" spans="2:2" ht="47.25" x14ac:dyDescent="0.25">
      <c r="B907" s="434" t="s">
        <v>1826</v>
      </c>
    </row>
    <row r="908" spans="2:2" ht="47.25" x14ac:dyDescent="0.25">
      <c r="B908" s="434" t="s">
        <v>1825</v>
      </c>
    </row>
    <row r="909" spans="2:2" ht="47.25" x14ac:dyDescent="0.25">
      <c r="B909" s="434" t="s">
        <v>1824</v>
      </c>
    </row>
    <row r="910" spans="2:2" ht="47.25" x14ac:dyDescent="0.25">
      <c r="B910" s="434" t="s">
        <v>1823</v>
      </c>
    </row>
    <row r="911" spans="2:2" ht="31.5" x14ac:dyDescent="0.25">
      <c r="B911" s="443" t="s">
        <v>3168</v>
      </c>
    </row>
    <row r="912" spans="2:2" ht="31.5" x14ac:dyDescent="0.25">
      <c r="B912" s="434" t="s">
        <v>3271</v>
      </c>
    </row>
    <row r="913" spans="2:2" ht="47.25" x14ac:dyDescent="0.25">
      <c r="B913" s="434" t="s">
        <v>3863</v>
      </c>
    </row>
    <row r="914" spans="2:2" ht="37.5" customHeight="1" x14ac:dyDescent="0.25">
      <c r="B914" s="434" t="s">
        <v>3866</v>
      </c>
    </row>
    <row r="915" spans="2:2" ht="15.75" x14ac:dyDescent="0.25">
      <c r="B915" s="515"/>
    </row>
    <row r="916" spans="2:2" ht="31.5" x14ac:dyDescent="0.25">
      <c r="B916" s="434" t="s">
        <v>4634</v>
      </c>
    </row>
    <row r="917" spans="2:2" ht="15.75" x14ac:dyDescent="0.25">
      <c r="B917" s="666"/>
    </row>
    <row r="918" spans="2:2" ht="31.5" x14ac:dyDescent="0.25">
      <c r="B918" s="434" t="s">
        <v>5572</v>
      </c>
    </row>
    <row r="919" spans="2:2" ht="31.5" x14ac:dyDescent="0.25">
      <c r="B919" s="443" t="s">
        <v>5610</v>
      </c>
    </row>
    <row r="920" spans="2:2" ht="31.5" x14ac:dyDescent="0.25">
      <c r="B920" s="434" t="s">
        <v>3506</v>
      </c>
    </row>
    <row r="921" spans="2:2" ht="15.75" x14ac:dyDescent="0.25">
      <c r="B921" s="666"/>
    </row>
    <row r="922" spans="2:2" ht="39" customHeight="1" x14ac:dyDescent="0.25">
      <c r="B922" s="434" t="s">
        <v>4598</v>
      </c>
    </row>
    <row r="923" spans="2:2" ht="15.75" x14ac:dyDescent="0.25">
      <c r="B923" s="515"/>
    </row>
    <row r="924" spans="2:2" ht="31.5" x14ac:dyDescent="0.25">
      <c r="B924" s="434" t="s">
        <v>5167</v>
      </c>
    </row>
    <row r="925" spans="2:2" ht="31.5" x14ac:dyDescent="0.25">
      <c r="B925" s="434" t="s">
        <v>5168</v>
      </c>
    </row>
    <row r="926" spans="2:2" ht="15.75" x14ac:dyDescent="0.25">
      <c r="B926" s="515"/>
    </row>
    <row r="927" spans="2:2" ht="31.5" x14ac:dyDescent="0.25">
      <c r="B927" s="434" t="s">
        <v>3228</v>
      </c>
    </row>
    <row r="928" spans="2:2" ht="15.75" x14ac:dyDescent="0.25">
      <c r="B928" s="515"/>
    </row>
    <row r="929" spans="2:2" ht="15.75" x14ac:dyDescent="0.25">
      <c r="B929" s="453" t="s">
        <v>4458</v>
      </c>
    </row>
    <row r="930" spans="2:2" ht="15.75" x14ac:dyDescent="0.25">
      <c r="B930" s="515"/>
    </row>
    <row r="931" spans="2:2" ht="31.5" x14ac:dyDescent="0.25">
      <c r="B931" s="434" t="s">
        <v>5224</v>
      </c>
    </row>
    <row r="932" spans="2:2" ht="31.5" x14ac:dyDescent="0.25">
      <c r="B932" s="434" t="s">
        <v>5225</v>
      </c>
    </row>
    <row r="933" spans="2:2" ht="15.75" x14ac:dyDescent="0.25">
      <c r="B933" s="515"/>
    </row>
    <row r="934" spans="2:2" ht="31.5" x14ac:dyDescent="0.25">
      <c r="B934" s="434" t="s">
        <v>2087</v>
      </c>
    </row>
    <row r="935" spans="2:2" ht="31.5" x14ac:dyDescent="0.25">
      <c r="B935" s="434" t="s">
        <v>2324</v>
      </c>
    </row>
    <row r="936" spans="2:2" ht="31.5" x14ac:dyDescent="0.25">
      <c r="B936" s="434" t="s">
        <v>2607</v>
      </c>
    </row>
    <row r="937" spans="2:2" ht="31.5" x14ac:dyDescent="0.25">
      <c r="B937" s="434" t="s">
        <v>2086</v>
      </c>
    </row>
    <row r="938" spans="2:2" ht="38.25" customHeight="1" x14ac:dyDescent="0.25">
      <c r="B938" s="434" t="s">
        <v>2218</v>
      </c>
    </row>
    <row r="939" spans="2:2" ht="38.25" customHeight="1" x14ac:dyDescent="0.25">
      <c r="B939" s="434" t="s">
        <v>2132</v>
      </c>
    </row>
    <row r="940" spans="2:2" ht="38.25" customHeight="1" x14ac:dyDescent="0.25">
      <c r="B940" s="434" t="s">
        <v>2193</v>
      </c>
    </row>
    <row r="941" spans="2:2" ht="56.25" customHeight="1" x14ac:dyDescent="0.25">
      <c r="B941" s="434" t="s">
        <v>2609</v>
      </c>
    </row>
    <row r="942" spans="2:2" x14ac:dyDescent="0.25">
      <c r="B942" s="514"/>
    </row>
    <row r="943" spans="2:2" ht="31.5" x14ac:dyDescent="0.25">
      <c r="B943" s="434" t="s">
        <v>3231</v>
      </c>
    </row>
    <row r="944" spans="2:2" x14ac:dyDescent="0.25">
      <c r="B944" s="514"/>
    </row>
    <row r="945" spans="2:2" ht="31.5" x14ac:dyDescent="0.25">
      <c r="B945" s="434" t="s">
        <v>3685</v>
      </c>
    </row>
    <row r="946" spans="2:2" x14ac:dyDescent="0.25">
      <c r="B946" s="514"/>
    </row>
    <row r="947" spans="2:2" ht="15.75" x14ac:dyDescent="0.25">
      <c r="B947" s="434" t="s">
        <v>5576</v>
      </c>
    </row>
    <row r="948" spans="2:2" ht="15.75" x14ac:dyDescent="0.25">
      <c r="B948" s="434" t="s">
        <v>5577</v>
      </c>
    </row>
    <row r="949" spans="2:2" x14ac:dyDescent="0.25">
      <c r="B949" s="514"/>
    </row>
    <row r="950" spans="2:2" ht="15.75" x14ac:dyDescent="0.25">
      <c r="B950" s="453" t="s">
        <v>1361</v>
      </c>
    </row>
    <row r="951" spans="2:2" ht="15.75" x14ac:dyDescent="0.25">
      <c r="B951" s="453" t="s">
        <v>4286</v>
      </c>
    </row>
    <row r="952" spans="2:2" ht="15.75" x14ac:dyDescent="0.25">
      <c r="B952" s="453" t="s">
        <v>4287</v>
      </c>
    </row>
    <row r="953" spans="2:2" ht="15.75" x14ac:dyDescent="0.25">
      <c r="B953" s="453" t="s">
        <v>4288</v>
      </c>
    </row>
    <row r="954" spans="2:2" ht="15.75" x14ac:dyDescent="0.25">
      <c r="B954" s="453" t="s">
        <v>4289</v>
      </c>
    </row>
    <row r="955" spans="2:2" ht="15.75" x14ac:dyDescent="0.25">
      <c r="B955" s="453" t="s">
        <v>4290</v>
      </c>
    </row>
    <row r="956" spans="2:2" ht="15.75" x14ac:dyDescent="0.25">
      <c r="B956" s="453" t="s">
        <v>4291</v>
      </c>
    </row>
    <row r="957" spans="2:2" ht="15.75" x14ac:dyDescent="0.25">
      <c r="B957" s="453" t="s">
        <v>4292</v>
      </c>
    </row>
    <row r="958" spans="2:2" ht="15.75" x14ac:dyDescent="0.25">
      <c r="B958" s="453" t="s">
        <v>4293</v>
      </c>
    </row>
    <row r="959" spans="2:2" ht="15.75" x14ac:dyDescent="0.25">
      <c r="B959" s="453" t="s">
        <v>4294</v>
      </c>
    </row>
    <row r="960" spans="2:2" ht="15.75" x14ac:dyDescent="0.25">
      <c r="B960" s="515"/>
    </row>
    <row r="961" spans="2:2" ht="31.5" x14ac:dyDescent="0.25">
      <c r="B961" s="434" t="s">
        <v>5365</v>
      </c>
    </row>
    <row r="962" spans="2:2" ht="15.75" x14ac:dyDescent="0.25">
      <c r="B962" s="515"/>
    </row>
    <row r="963" spans="2:2" ht="31.5" x14ac:dyDescent="0.25">
      <c r="B963" s="434" t="s">
        <v>3230</v>
      </c>
    </row>
    <row r="964" spans="2:2" ht="15.75" x14ac:dyDescent="0.25">
      <c r="B964" s="515"/>
    </row>
    <row r="965" spans="2:2" ht="54" customHeight="1" x14ac:dyDescent="0.25">
      <c r="B965" s="434" t="s">
        <v>2016</v>
      </c>
    </row>
    <row r="966" spans="2:2" ht="47.25" x14ac:dyDescent="0.25">
      <c r="B966" s="434" t="s">
        <v>1304</v>
      </c>
    </row>
    <row r="967" spans="2:2" ht="31.5" x14ac:dyDescent="0.25">
      <c r="B967" s="434" t="s">
        <v>4391</v>
      </c>
    </row>
    <row r="968" spans="2:2" ht="47.25" x14ac:dyDescent="0.25">
      <c r="B968" s="434" t="s">
        <v>5035</v>
      </c>
    </row>
    <row r="969" spans="2:2" ht="15.75" x14ac:dyDescent="0.25">
      <c r="B969" s="666"/>
    </row>
    <row r="970" spans="2:2" ht="15.75" x14ac:dyDescent="0.25">
      <c r="B970" s="434" t="s">
        <v>5173</v>
      </c>
    </row>
    <row r="971" spans="2:2" ht="31.5" x14ac:dyDescent="0.25">
      <c r="B971" s="434" t="s">
        <v>5236</v>
      </c>
    </row>
    <row r="972" spans="2:2" ht="15.75" x14ac:dyDescent="0.25">
      <c r="B972" s="666"/>
    </row>
    <row r="973" spans="2:2" ht="31.5" x14ac:dyDescent="0.25">
      <c r="B973" s="435" t="s">
        <v>2220</v>
      </c>
    </row>
    <row r="974" spans="2:2" ht="31.5" x14ac:dyDescent="0.25">
      <c r="B974" s="435" t="s">
        <v>2221</v>
      </c>
    </row>
    <row r="975" spans="2:2" ht="31.5" x14ac:dyDescent="0.25">
      <c r="B975" s="435" t="s">
        <v>2222</v>
      </c>
    </row>
    <row r="976" spans="2:2" ht="31.5" x14ac:dyDescent="0.25">
      <c r="B976" s="435" t="s">
        <v>2223</v>
      </c>
    </row>
    <row r="977" spans="2:2" ht="31.5" x14ac:dyDescent="0.25">
      <c r="B977" s="435" t="s">
        <v>2224</v>
      </c>
    </row>
    <row r="978" spans="2:2" ht="15.75" x14ac:dyDescent="0.25">
      <c r="B978" s="417"/>
    </row>
    <row r="979" spans="2:2" ht="31.5" x14ac:dyDescent="0.25">
      <c r="B979" s="435" t="s">
        <v>4821</v>
      </c>
    </row>
    <row r="980" spans="2:2" ht="68.25" customHeight="1" x14ac:dyDescent="0.25">
      <c r="B980" s="438" t="s">
        <v>2949</v>
      </c>
    </row>
    <row r="981" spans="2:2" ht="15.75" x14ac:dyDescent="0.25">
      <c r="B981" s="443" t="s">
        <v>4405</v>
      </c>
    </row>
    <row r="982" spans="2:2" ht="47.25" x14ac:dyDescent="0.25">
      <c r="B982" s="1413" t="s">
        <v>5329</v>
      </c>
    </row>
    <row r="983" spans="2:2" ht="31.5" x14ac:dyDescent="0.25">
      <c r="B983" s="1413" t="s">
        <v>5330</v>
      </c>
    </row>
    <row r="984" spans="2:2" ht="31.5" x14ac:dyDescent="0.25">
      <c r="B984" s="443" t="s">
        <v>2950</v>
      </c>
    </row>
    <row r="985" spans="2:2" ht="31.5" x14ac:dyDescent="0.25">
      <c r="B985" s="434" t="s">
        <v>2851</v>
      </c>
    </row>
    <row r="986" spans="2:2" ht="31.5" x14ac:dyDescent="0.25">
      <c r="B986" s="434" t="s">
        <v>3223</v>
      </c>
    </row>
    <row r="987" spans="2:2" ht="31.5" x14ac:dyDescent="0.25">
      <c r="B987" s="434" t="s">
        <v>3222</v>
      </c>
    </row>
    <row r="988" spans="2:2" ht="47.25" x14ac:dyDescent="0.25">
      <c r="B988" s="434" t="s">
        <v>5032</v>
      </c>
    </row>
    <row r="989" spans="2:2" ht="15.75" x14ac:dyDescent="0.25">
      <c r="B989" s="434" t="s">
        <v>4342</v>
      </c>
    </row>
    <row r="990" spans="2:2" ht="31.5" x14ac:dyDescent="0.25">
      <c r="B990" s="434" t="s">
        <v>5205</v>
      </c>
    </row>
    <row r="991" spans="2:2" ht="31.5" x14ac:dyDescent="0.25">
      <c r="B991" s="774" t="s">
        <v>5208</v>
      </c>
    </row>
    <row r="992" spans="2:2" ht="31.5" x14ac:dyDescent="0.25">
      <c r="B992" s="434" t="s">
        <v>4376</v>
      </c>
    </row>
    <row r="993" spans="2:2" ht="15.75" x14ac:dyDescent="0.25">
      <c r="B993" s="434" t="s">
        <v>4403</v>
      </c>
    </row>
    <row r="994" spans="2:2" ht="15.75" x14ac:dyDescent="0.25">
      <c r="B994" s="434" t="s">
        <v>4445</v>
      </c>
    </row>
    <row r="995" spans="2:2" ht="31.5" x14ac:dyDescent="0.25">
      <c r="B995" s="434" t="s">
        <v>4446</v>
      </c>
    </row>
    <row r="996" spans="2:2" ht="15.75" x14ac:dyDescent="0.25">
      <c r="B996" s="434" t="s">
        <v>5290</v>
      </c>
    </row>
    <row r="997" spans="2:2" ht="15.75" x14ac:dyDescent="0.25">
      <c r="B997" s="434" t="s">
        <v>5291</v>
      </c>
    </row>
    <row r="998" spans="2:2" ht="15.75" x14ac:dyDescent="0.25">
      <c r="B998" s="434" t="s">
        <v>5292</v>
      </c>
    </row>
    <row r="999" spans="2:2" ht="31.5" x14ac:dyDescent="0.25">
      <c r="B999" s="434" t="s">
        <v>5354</v>
      </c>
    </row>
    <row r="1000" spans="2:2" ht="31.5" x14ac:dyDescent="0.25">
      <c r="B1000" s="434" t="s">
        <v>5356</v>
      </c>
    </row>
    <row r="1001" spans="2:2" ht="31.5" x14ac:dyDescent="0.25">
      <c r="B1001" s="434" t="s">
        <v>5353</v>
      </c>
    </row>
    <row r="1002" spans="2:2" ht="31.5" x14ac:dyDescent="0.25">
      <c r="B1002" s="434" t="s">
        <v>5355</v>
      </c>
    </row>
    <row r="1003" spans="2:2" ht="31.5" x14ac:dyDescent="0.25">
      <c r="B1003" s="434" t="s">
        <v>5357</v>
      </c>
    </row>
    <row r="1004" spans="2:2" ht="31.5" x14ac:dyDescent="0.25">
      <c r="B1004" s="434" t="s">
        <v>5358</v>
      </c>
    </row>
    <row r="1005" spans="2:2" ht="31.5" x14ac:dyDescent="0.25">
      <c r="B1005" s="434" t="s">
        <v>5598</v>
      </c>
    </row>
    <row r="1006" spans="2:2" ht="38.25" customHeight="1" x14ac:dyDescent="0.25">
      <c r="B1006" s="434" t="s">
        <v>5599</v>
      </c>
    </row>
    <row r="1007" spans="2:2" ht="54" customHeight="1" x14ac:dyDescent="0.25">
      <c r="B1007" s="434" t="s">
        <v>5600</v>
      </c>
    </row>
    <row r="1008" spans="2:2" ht="37.5" customHeight="1" x14ac:dyDescent="0.25">
      <c r="B1008" s="434" t="s">
        <v>5984</v>
      </c>
    </row>
    <row r="1009" spans="2:2" ht="33.75" customHeight="1" x14ac:dyDescent="0.25">
      <c r="B1009" s="434" t="s">
        <v>5985</v>
      </c>
    </row>
    <row r="1010" spans="2:2" ht="33.75" customHeight="1" x14ac:dyDescent="0.25">
      <c r="B1010" s="434" t="s">
        <v>5986</v>
      </c>
    </row>
    <row r="1011" spans="2:2" ht="33.75" customHeight="1" x14ac:dyDescent="0.25">
      <c r="B1011" s="434" t="s">
        <v>5987</v>
      </c>
    </row>
    <row r="1012" spans="2:2" ht="15.75" x14ac:dyDescent="0.25">
      <c r="B1012" s="434" t="s">
        <v>5988</v>
      </c>
    </row>
    <row r="1013" spans="2:2" ht="15.75" x14ac:dyDescent="0.25">
      <c r="B1013" s="434" t="s">
        <v>5989</v>
      </c>
    </row>
    <row r="1014" spans="2:2" ht="31.5" x14ac:dyDescent="0.25">
      <c r="B1014" s="434" t="s">
        <v>5992</v>
      </c>
    </row>
    <row r="1015" spans="2:2" ht="33.75" customHeight="1" x14ac:dyDescent="0.25">
      <c r="B1015" s="434" t="s">
        <v>5993</v>
      </c>
    </row>
    <row r="1016" spans="2:2" ht="15.75" x14ac:dyDescent="0.25">
      <c r="B1016" s="666"/>
    </row>
    <row r="1017" spans="2:2" ht="31.5" x14ac:dyDescent="0.25">
      <c r="B1017" s="435" t="s">
        <v>2592</v>
      </c>
    </row>
    <row r="1018" spans="2:2" ht="15.75" x14ac:dyDescent="0.25">
      <c r="B1018" s="417" t="s">
        <v>2951</v>
      </c>
    </row>
    <row r="1019" spans="2:2" ht="47.25" x14ac:dyDescent="0.25">
      <c r="B1019" s="434" t="s">
        <v>5949</v>
      </c>
    </row>
    <row r="1020" spans="2:2" ht="64.5" customHeight="1" x14ac:dyDescent="0.25">
      <c r="B1020" s="434" t="s">
        <v>5947</v>
      </c>
    </row>
    <row r="1021" spans="2:2" ht="47.25" x14ac:dyDescent="0.25">
      <c r="B1021" s="434" t="s">
        <v>5948</v>
      </c>
    </row>
    <row r="1022" spans="2:2" x14ac:dyDescent="0.25">
      <c r="B1022" s="514"/>
    </row>
    <row r="1023" spans="2:2" ht="31.5" x14ac:dyDescent="0.25">
      <c r="B1023" s="953" t="s">
        <v>3012</v>
      </c>
    </row>
    <row r="1025" spans="1:2" ht="66" customHeight="1" x14ac:dyDescent="0.25">
      <c r="B1025" s="436" t="s">
        <v>4297</v>
      </c>
    </row>
    <row r="1027" spans="1:2" ht="31.5" customHeight="1" x14ac:dyDescent="0.25">
      <c r="B1027" s="937" t="s">
        <v>5095</v>
      </c>
    </row>
    <row r="1034" spans="1:2" ht="15.75" x14ac:dyDescent="0.25">
      <c r="A1034" s="1"/>
    </row>
    <row r="1035" spans="1:2" ht="15.75" x14ac:dyDescent="0.25">
      <c r="A1035" s="1"/>
    </row>
    <row r="1036" spans="1:2" ht="15.75" x14ac:dyDescent="0.25">
      <c r="A1036" s="1"/>
    </row>
    <row r="1037" spans="1:2" ht="15.75" x14ac:dyDescent="0.25">
      <c r="A1037" s="1"/>
      <c r="B1037"/>
    </row>
    <row r="1038" spans="1:2" ht="15.75" x14ac:dyDescent="0.25">
      <c r="A1038" s="1"/>
      <c r="B1038"/>
    </row>
    <row r="1039" spans="1:2" ht="15.75" x14ac:dyDescent="0.25">
      <c r="A1039" s="1"/>
      <c r="B1039"/>
    </row>
    <row r="1040" spans="1:2" ht="15.75" x14ac:dyDescent="0.25">
      <c r="A1040" s="1"/>
      <c r="B1040"/>
    </row>
    <row r="1041" spans="1:2" ht="15.75" x14ac:dyDescent="0.25">
      <c r="A1041" s="1"/>
      <c r="B1041"/>
    </row>
    <row r="1042" spans="1:2" ht="15.75" x14ac:dyDescent="0.25">
      <c r="A1042" s="1"/>
      <c r="B1042"/>
    </row>
    <row r="1043" spans="1:2" ht="15.75" x14ac:dyDescent="0.25">
      <c r="A1043" s="1"/>
      <c r="B1043"/>
    </row>
    <row r="1044" spans="1:2" ht="15.75" x14ac:dyDescent="0.25">
      <c r="A1044" s="1"/>
      <c r="B1044"/>
    </row>
    <row r="1045" spans="1:2" ht="15.75" x14ac:dyDescent="0.25">
      <c r="A1045" s="1"/>
      <c r="B1045"/>
    </row>
    <row r="1046" spans="1:2" ht="15.75" x14ac:dyDescent="0.25">
      <c r="A1046" s="1"/>
      <c r="B1046"/>
    </row>
    <row r="1047" spans="1:2" ht="15.75" x14ac:dyDescent="0.25">
      <c r="A1047" s="1"/>
      <c r="B1047"/>
    </row>
    <row r="1048" spans="1:2" ht="15.75" x14ac:dyDescent="0.25">
      <c r="A1048" s="1"/>
      <c r="B1048"/>
    </row>
    <row r="1049" spans="1:2" ht="15.75" x14ac:dyDescent="0.25">
      <c r="A1049" s="1"/>
      <c r="B1049"/>
    </row>
    <row r="1050" spans="1:2" ht="15.75" x14ac:dyDescent="0.25">
      <c r="A1050" s="1"/>
      <c r="B1050"/>
    </row>
    <row r="1051" spans="1:2" ht="15.75" x14ac:dyDescent="0.25">
      <c r="A1051" s="1"/>
      <c r="B1051"/>
    </row>
    <row r="1052" spans="1:2" ht="15.75" x14ac:dyDescent="0.25">
      <c r="A1052" s="1"/>
      <c r="B1052"/>
    </row>
    <row r="1053" spans="1:2" ht="15.75" x14ac:dyDescent="0.25">
      <c r="A1053" s="1"/>
      <c r="B1053"/>
    </row>
    <row r="1054" spans="1:2" ht="15.75" x14ac:dyDescent="0.25">
      <c r="A1054" s="1"/>
      <c r="B1054"/>
    </row>
    <row r="1055" spans="1:2" ht="15.75" x14ac:dyDescent="0.25">
      <c r="A1055" s="1"/>
      <c r="B1055"/>
    </row>
    <row r="1056" spans="1:2" ht="15.75" x14ac:dyDescent="0.25">
      <c r="A1056" s="1"/>
      <c r="B1056"/>
    </row>
    <row r="1057" spans="1:2" ht="15.75" x14ac:dyDescent="0.25">
      <c r="A1057" s="1"/>
      <c r="B1057"/>
    </row>
    <row r="1058" spans="1:2" ht="15.75" x14ac:dyDescent="0.25">
      <c r="A1058" s="1"/>
      <c r="B1058"/>
    </row>
    <row r="1059" spans="1:2" ht="15.75" x14ac:dyDescent="0.25">
      <c r="A1059" s="1"/>
      <c r="B1059"/>
    </row>
    <row r="1060" spans="1:2" ht="15.75" x14ac:dyDescent="0.25">
      <c r="A1060" s="1"/>
      <c r="B1060"/>
    </row>
    <row r="1061" spans="1:2" ht="15.75" x14ac:dyDescent="0.25">
      <c r="A1061" s="1"/>
      <c r="B1061"/>
    </row>
    <row r="1069" spans="1:2" ht="15.75" x14ac:dyDescent="0.25">
      <c r="B1069" s="3"/>
    </row>
    <row r="1070" spans="1:2" ht="15.75" x14ac:dyDescent="0.25">
      <c r="B1070" s="3"/>
    </row>
    <row r="1071" spans="1:2" ht="87" customHeight="1" x14ac:dyDescent="0.25"/>
    <row r="1072" spans="1:2" ht="15.75" x14ac:dyDescent="0.25">
      <c r="B1072" s="3"/>
    </row>
    <row r="1073" spans="2:2" ht="15.75" x14ac:dyDescent="0.25">
      <c r="B1073" s="3"/>
    </row>
    <row r="1074" spans="2:2" ht="15.75" x14ac:dyDescent="0.25">
      <c r="B1074" s="3"/>
    </row>
    <row r="1075" spans="2:2" ht="15.75" x14ac:dyDescent="0.25">
      <c r="B1075" s="3"/>
    </row>
    <row r="1077" spans="2:2" x14ac:dyDescent="0.25">
      <c r="B1077" s="1642"/>
    </row>
    <row r="1078" spans="2:2" x14ac:dyDescent="0.25">
      <c r="B1078" s="1642"/>
    </row>
    <row r="1079" spans="2:2" x14ac:dyDescent="0.25">
      <c r="B1079" s="1642"/>
    </row>
  </sheetData>
  <mergeCells count="1">
    <mergeCell ref="B1077:B1079"/>
  </mergeCells>
  <pageMargins left="0.511811024" right="0.511811024" top="0.78740157499999996" bottom="0.78740157499999996" header="0.31496062000000002" footer="0.31496062000000002"/>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O8"/>
  <sheetViews>
    <sheetView workbookViewId="0">
      <selection activeCell="A8" sqref="A8:O8"/>
    </sheetView>
  </sheetViews>
  <sheetFormatPr defaultRowHeight="15" x14ac:dyDescent="0.25"/>
  <sheetData>
    <row r="7" spans="1:15" ht="23.25" customHeight="1" x14ac:dyDescent="0.25">
      <c r="A7" s="1790" t="s">
        <v>4625</v>
      </c>
      <c r="B7" s="1791"/>
      <c r="C7" s="1791"/>
      <c r="D7" s="1791"/>
      <c r="E7" s="1791"/>
      <c r="F7" s="1791"/>
      <c r="G7" s="1791"/>
      <c r="H7" s="1791"/>
      <c r="I7" s="1791"/>
      <c r="J7" s="1791"/>
      <c r="K7" s="1791"/>
      <c r="L7" s="1791"/>
      <c r="M7" s="1791"/>
      <c r="N7" s="1791"/>
      <c r="O7" s="1792"/>
    </row>
    <row r="8" spans="1:15" ht="27" customHeight="1" x14ac:dyDescent="0.25">
      <c r="A8" s="1744" t="s">
        <v>1194</v>
      </c>
      <c r="B8" s="1745"/>
      <c r="C8" s="1745"/>
      <c r="D8" s="1745"/>
      <c r="E8" s="1745"/>
      <c r="F8" s="1745"/>
      <c r="G8" s="1745"/>
      <c r="H8" s="1745"/>
      <c r="I8" s="1745"/>
      <c r="J8" s="1745"/>
      <c r="K8" s="1745"/>
      <c r="L8" s="1745"/>
      <c r="M8" s="1745"/>
      <c r="N8" s="1745"/>
      <c r="O8" s="1746"/>
    </row>
  </sheetData>
  <mergeCells count="2">
    <mergeCell ref="A8:O8"/>
    <mergeCell ref="A7:O7"/>
  </mergeCells>
  <pageMargins left="0.39370078740157483" right="0.39370078740157483" top="0.39370078740157483" bottom="0.39370078740157483" header="0.31496062992125984" footer="0.31496062992125984"/>
  <pageSetup paperSize="9"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O8"/>
  <sheetViews>
    <sheetView workbookViewId="0">
      <selection activeCell="A7" sqref="A7:O8"/>
    </sheetView>
  </sheetViews>
  <sheetFormatPr defaultRowHeight="15" x14ac:dyDescent="0.25"/>
  <sheetData>
    <row r="7" spans="1:15" ht="24" customHeight="1" x14ac:dyDescent="0.25">
      <c r="A7" s="1790" t="s">
        <v>1196</v>
      </c>
      <c r="B7" s="1791"/>
      <c r="C7" s="1791"/>
      <c r="D7" s="1791"/>
      <c r="E7" s="1791"/>
      <c r="F7" s="1791"/>
      <c r="G7" s="1791"/>
      <c r="H7" s="1791"/>
      <c r="I7" s="1791"/>
      <c r="J7" s="1791"/>
      <c r="K7" s="1791"/>
      <c r="L7" s="1791"/>
      <c r="M7" s="1791"/>
      <c r="N7" s="1791"/>
      <c r="O7" s="1792"/>
    </row>
    <row r="8" spans="1:15" ht="25.5" customHeight="1" x14ac:dyDescent="0.25">
      <c r="A8" s="1744" t="s">
        <v>1194</v>
      </c>
      <c r="B8" s="1745"/>
      <c r="C8" s="1745"/>
      <c r="D8" s="1745"/>
      <c r="E8" s="1745"/>
      <c r="F8" s="1745"/>
      <c r="G8" s="1745"/>
      <c r="H8" s="1745"/>
      <c r="I8" s="1745"/>
      <c r="J8" s="1745"/>
      <c r="K8" s="1745"/>
      <c r="L8" s="1745"/>
      <c r="M8" s="1745"/>
      <c r="N8" s="1745"/>
      <c r="O8" s="1746"/>
    </row>
  </sheetData>
  <mergeCells count="2">
    <mergeCell ref="A7:O7"/>
    <mergeCell ref="A8:O8"/>
  </mergeCells>
  <pageMargins left="0.39370078740157483" right="0.39370078740157483" top="0.39370078740157483" bottom="0.39370078740157483" header="0.31496062992125984" footer="0.31496062992125984"/>
  <pageSetup paperSize="9"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O8"/>
  <sheetViews>
    <sheetView workbookViewId="0">
      <selection activeCell="A7" sqref="A7:O8"/>
    </sheetView>
  </sheetViews>
  <sheetFormatPr defaultRowHeight="15" x14ac:dyDescent="0.25"/>
  <sheetData>
    <row r="7" spans="1:15" ht="21.75" customHeight="1" x14ac:dyDescent="0.25">
      <c r="A7" s="1790" t="s">
        <v>1197</v>
      </c>
      <c r="B7" s="1791"/>
      <c r="C7" s="1791"/>
      <c r="D7" s="1791"/>
      <c r="E7" s="1791"/>
      <c r="F7" s="1791"/>
      <c r="G7" s="1791"/>
      <c r="H7" s="1791"/>
      <c r="I7" s="1791"/>
      <c r="J7" s="1791"/>
      <c r="K7" s="1791"/>
      <c r="L7" s="1791"/>
      <c r="M7" s="1791"/>
      <c r="N7" s="1791"/>
      <c r="O7" s="1792"/>
    </row>
    <row r="8" spans="1:15" ht="24" customHeight="1" x14ac:dyDescent="0.25">
      <c r="A8" s="1744" t="s">
        <v>1194</v>
      </c>
      <c r="B8" s="1745"/>
      <c r="C8" s="1745"/>
      <c r="D8" s="1745"/>
      <c r="E8" s="1745"/>
      <c r="F8" s="1745"/>
      <c r="G8" s="1745"/>
      <c r="H8" s="1745"/>
      <c r="I8" s="1745"/>
      <c r="J8" s="1745"/>
      <c r="K8" s="1745"/>
      <c r="L8" s="1745"/>
      <c r="M8" s="1745"/>
      <c r="N8" s="1745"/>
      <c r="O8" s="1746"/>
    </row>
  </sheetData>
  <mergeCells count="2">
    <mergeCell ref="A7:O7"/>
    <mergeCell ref="A8:O8"/>
  </mergeCells>
  <pageMargins left="0.39370078740157483" right="0.39370078740157483" top="0.39370078740157483" bottom="0.39370078740157483" header="0.31496062992125984" footer="0.31496062992125984"/>
  <pageSetup paperSize="9"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357"/>
  <sheetViews>
    <sheetView zoomScale="90" zoomScaleNormal="90" workbookViewId="0">
      <selection activeCell="A121" sqref="A121"/>
    </sheetView>
  </sheetViews>
  <sheetFormatPr defaultRowHeight="15" x14ac:dyDescent="0.25"/>
  <sheetData>
    <row r="5" spans="1:15" ht="34.5" customHeight="1" x14ac:dyDescent="0.25">
      <c r="A5" s="1764" t="s">
        <v>6255</v>
      </c>
      <c r="B5" s="1764"/>
      <c r="C5" s="1764"/>
      <c r="D5" s="1764"/>
      <c r="E5" s="1764"/>
      <c r="F5" s="1764"/>
      <c r="G5" s="1764"/>
      <c r="H5" s="1764"/>
      <c r="I5" s="1764"/>
      <c r="J5" s="1764"/>
      <c r="K5" s="1764"/>
      <c r="L5" s="1764"/>
      <c r="M5" s="1764"/>
      <c r="N5" s="1764"/>
      <c r="O5" s="1764"/>
    </row>
    <row r="6" spans="1:15" ht="32.25" customHeight="1" x14ac:dyDescent="0.25">
      <c r="A6" s="1736" t="s">
        <v>2373</v>
      </c>
      <c r="B6" s="1736"/>
      <c r="C6" s="1736"/>
      <c r="D6" s="1736"/>
      <c r="E6" s="1736"/>
      <c r="F6" s="1736"/>
      <c r="G6" s="1736"/>
      <c r="H6" s="1736"/>
      <c r="I6" s="1736"/>
      <c r="J6" s="1736"/>
      <c r="K6" s="1736"/>
      <c r="L6" s="1736"/>
      <c r="M6" s="1736"/>
      <c r="N6" s="1736"/>
      <c r="O6" s="1736"/>
    </row>
    <row r="26" spans="1:15" ht="77.25" customHeight="1" x14ac:dyDescent="0.25">
      <c r="A26" s="1740" t="s">
        <v>6287</v>
      </c>
      <c r="B26" s="1740"/>
      <c r="C26" s="1740"/>
      <c r="D26" s="1740"/>
      <c r="E26" s="1740"/>
      <c r="F26" s="1740"/>
      <c r="G26" s="1740"/>
      <c r="H26" s="1740"/>
      <c r="I26" s="1740"/>
      <c r="J26" s="1740"/>
      <c r="K26" s="1740"/>
      <c r="L26" s="1740"/>
      <c r="M26" s="1740"/>
      <c r="N26" s="1740"/>
      <c r="O26" s="1740"/>
    </row>
    <row r="27" spans="1:15" ht="15.75" x14ac:dyDescent="0.25">
      <c r="A27" s="1736" t="s">
        <v>5121</v>
      </c>
      <c r="B27" s="1736"/>
      <c r="C27" s="1736"/>
      <c r="D27" s="1736"/>
      <c r="E27" s="1736"/>
      <c r="F27" s="1736"/>
      <c r="G27" s="1736"/>
      <c r="H27" s="1736"/>
      <c r="I27" s="1736"/>
      <c r="J27" s="1736"/>
      <c r="K27" s="1736"/>
      <c r="L27" s="1736"/>
      <c r="M27" s="1736"/>
      <c r="N27" s="1736"/>
      <c r="O27" s="1736"/>
    </row>
    <row r="45" spans="1:15" ht="125.25" customHeight="1" x14ac:dyDescent="0.25">
      <c r="A45" s="1740" t="s">
        <v>6286</v>
      </c>
      <c r="B45" s="1740"/>
      <c r="C45" s="1740"/>
      <c r="D45" s="1740"/>
      <c r="E45" s="1740"/>
      <c r="F45" s="1740"/>
      <c r="G45" s="1740"/>
      <c r="H45" s="1740"/>
      <c r="I45" s="1740"/>
      <c r="J45" s="1740"/>
      <c r="K45" s="1740"/>
      <c r="L45" s="1740"/>
      <c r="M45" s="1740"/>
      <c r="N45" s="1740"/>
      <c r="O45" s="1740"/>
    </row>
    <row r="46" spans="1:15" ht="15.75" customHeight="1" x14ac:dyDescent="0.25">
      <c r="A46" s="1736" t="s">
        <v>5122</v>
      </c>
      <c r="B46" s="1736"/>
      <c r="C46" s="1736"/>
      <c r="D46" s="1736"/>
      <c r="E46" s="1736"/>
      <c r="F46" s="1736"/>
      <c r="G46" s="1736"/>
      <c r="H46" s="1736"/>
      <c r="I46" s="1736"/>
      <c r="J46" s="1736"/>
      <c r="K46" s="1736"/>
      <c r="L46" s="1736"/>
      <c r="M46" s="1736"/>
      <c r="N46" s="1736"/>
      <c r="O46" s="1736"/>
    </row>
    <row r="47" spans="1:15" x14ac:dyDescent="0.25">
      <c r="A47" s="1395"/>
      <c r="B47" s="1395"/>
      <c r="C47" s="1395"/>
      <c r="D47" s="1395"/>
      <c r="E47" s="1395"/>
      <c r="F47" s="1395"/>
      <c r="G47" s="1395"/>
      <c r="H47" s="1395"/>
      <c r="I47" s="1395"/>
      <c r="J47" s="1395"/>
      <c r="K47" s="1395"/>
      <c r="L47" s="1395"/>
      <c r="M47" s="1395"/>
      <c r="N47" s="1395"/>
      <c r="O47" s="1395"/>
    </row>
    <row r="48" spans="1:15" x14ac:dyDescent="0.25">
      <c r="A48" s="1395"/>
      <c r="B48" s="1395"/>
      <c r="C48" s="1395"/>
      <c r="D48" s="1395"/>
      <c r="E48" s="1395"/>
      <c r="F48" s="1395"/>
      <c r="G48" s="1395"/>
      <c r="H48" s="1395"/>
      <c r="I48" s="1395"/>
      <c r="J48" s="1395"/>
      <c r="K48" s="1395"/>
      <c r="L48" s="1395"/>
      <c r="M48" s="1395"/>
      <c r="N48" s="1395"/>
      <c r="O48" s="1395"/>
    </row>
    <row r="49" spans="1:15" x14ac:dyDescent="0.25">
      <c r="A49" s="1395"/>
      <c r="B49" s="1395"/>
      <c r="C49" s="1395"/>
      <c r="D49" s="1395"/>
      <c r="E49" s="1395"/>
      <c r="F49" s="1395"/>
      <c r="G49" s="1395"/>
      <c r="H49" s="1395"/>
      <c r="I49" s="1395"/>
      <c r="J49" s="1395"/>
      <c r="K49" s="1395"/>
      <c r="L49" s="1395"/>
      <c r="M49" s="1395"/>
      <c r="N49" s="1395"/>
      <c r="O49" s="1395"/>
    </row>
    <row r="50" spans="1:15" x14ac:dyDescent="0.25">
      <c r="A50" s="1395"/>
      <c r="B50" s="1395"/>
      <c r="C50" s="1395"/>
      <c r="D50" s="1395"/>
      <c r="E50" s="1395"/>
      <c r="F50" s="1395"/>
      <c r="G50" s="1395"/>
      <c r="H50" s="1395"/>
      <c r="I50" s="1395"/>
      <c r="J50" s="1395"/>
      <c r="K50" s="1395"/>
      <c r="L50" s="1395"/>
      <c r="M50" s="1395"/>
      <c r="N50" s="1395"/>
      <c r="O50" s="1395"/>
    </row>
    <row r="51" spans="1:15" x14ac:dyDescent="0.25">
      <c r="A51" s="1395"/>
      <c r="B51" s="1395"/>
      <c r="C51" s="1395"/>
      <c r="D51" s="1395"/>
      <c r="E51" s="1395"/>
      <c r="F51" s="1395"/>
      <c r="G51" s="1395"/>
      <c r="H51" s="1395"/>
      <c r="I51" s="1395"/>
      <c r="J51" s="1395"/>
      <c r="K51" s="1395"/>
      <c r="L51" s="1395"/>
      <c r="M51" s="1395"/>
      <c r="N51" s="1395"/>
      <c r="O51" s="1395"/>
    </row>
    <row r="52" spans="1:15" x14ac:dyDescent="0.25">
      <c r="A52" s="1395"/>
      <c r="B52" s="1395"/>
      <c r="C52" s="1395"/>
      <c r="D52" s="1395"/>
      <c r="E52" s="1395"/>
      <c r="F52" s="1395"/>
      <c r="G52" s="1395"/>
      <c r="H52" s="1395"/>
      <c r="I52" s="1395"/>
      <c r="J52" s="1395"/>
      <c r="K52" s="1395"/>
      <c r="L52" s="1395"/>
      <c r="M52" s="1395"/>
      <c r="N52" s="1395"/>
      <c r="O52" s="1395"/>
    </row>
    <row r="53" spans="1:15" x14ac:dyDescent="0.25">
      <c r="A53" s="1395"/>
      <c r="B53" s="1395"/>
      <c r="C53" s="1395"/>
      <c r="D53" s="1395"/>
      <c r="E53" s="1395"/>
      <c r="F53" s="1395"/>
      <c r="G53" s="1395"/>
      <c r="H53" s="1395"/>
      <c r="I53" s="1395"/>
      <c r="J53" s="1395"/>
      <c r="K53" s="1395"/>
      <c r="L53" s="1395"/>
      <c r="M53" s="1395"/>
      <c r="N53" s="1395"/>
      <c r="O53" s="1395"/>
    </row>
    <row r="54" spans="1:15" x14ac:dyDescent="0.25">
      <c r="A54" s="1395"/>
      <c r="B54" s="1395"/>
      <c r="C54" s="1395"/>
      <c r="D54" s="1395"/>
      <c r="E54" s="1395"/>
      <c r="F54" s="1395"/>
      <c r="G54" s="1395"/>
      <c r="H54" s="1395"/>
      <c r="I54" s="1395"/>
      <c r="J54" s="1395"/>
      <c r="K54" s="1395"/>
      <c r="L54" s="1395"/>
      <c r="M54" s="1395"/>
      <c r="N54" s="1395"/>
      <c r="O54" s="1395"/>
    </row>
    <row r="55" spans="1:15" x14ac:dyDescent="0.25">
      <c r="A55" s="1395"/>
      <c r="B55" s="1395"/>
      <c r="C55" s="1395"/>
      <c r="D55" s="1395"/>
      <c r="E55" s="1395"/>
      <c r="F55" s="1395"/>
      <c r="G55" s="1395"/>
      <c r="H55" s="1395"/>
      <c r="I55" s="1395"/>
      <c r="J55" s="1395"/>
      <c r="K55" s="1395"/>
      <c r="L55" s="1395"/>
      <c r="M55" s="1395"/>
      <c r="N55" s="1395"/>
      <c r="O55" s="1395"/>
    </row>
    <row r="56" spans="1:15" x14ac:dyDescent="0.25">
      <c r="A56" s="1395"/>
      <c r="B56" s="1395"/>
      <c r="C56" s="1395"/>
      <c r="D56" s="1395"/>
      <c r="E56" s="1395"/>
      <c r="F56" s="1395"/>
      <c r="G56" s="1395"/>
      <c r="H56" s="1395"/>
      <c r="I56" s="1395"/>
      <c r="J56" s="1395"/>
      <c r="K56" s="1395"/>
      <c r="L56" s="1395"/>
      <c r="M56" s="1395"/>
      <c r="N56" s="1395"/>
      <c r="O56" s="1395"/>
    </row>
    <row r="57" spans="1:15" x14ac:dyDescent="0.25">
      <c r="A57" s="1403"/>
      <c r="B57" s="1403"/>
      <c r="C57" s="1403"/>
      <c r="D57" s="1403"/>
      <c r="E57" s="1403"/>
      <c r="F57" s="1403"/>
      <c r="G57" s="1403"/>
      <c r="H57" s="1403"/>
      <c r="I57" s="1403"/>
      <c r="J57" s="1403"/>
      <c r="K57" s="1403"/>
      <c r="L57" s="1403"/>
      <c r="M57" s="1403"/>
      <c r="N57" s="1403"/>
      <c r="O57" s="1403"/>
    </row>
    <row r="58" spans="1:15" x14ac:dyDescent="0.25">
      <c r="A58" s="1403"/>
      <c r="B58" s="1403"/>
      <c r="C58" s="1403"/>
      <c r="D58" s="1403"/>
      <c r="E58" s="1403"/>
      <c r="F58" s="1403"/>
      <c r="G58" s="1403"/>
      <c r="H58" s="1403"/>
      <c r="I58" s="1403"/>
      <c r="J58" s="1403"/>
      <c r="K58" s="1403"/>
      <c r="L58" s="1403"/>
      <c r="M58" s="1403"/>
      <c r="N58" s="1403"/>
      <c r="O58" s="1403"/>
    </row>
    <row r="59" spans="1:15" x14ac:dyDescent="0.25">
      <c r="A59" s="1403"/>
      <c r="B59" s="1403"/>
      <c r="C59" s="1403"/>
      <c r="D59" s="1403"/>
      <c r="E59" s="1403"/>
      <c r="F59" s="1403"/>
      <c r="G59" s="1403"/>
      <c r="H59" s="1403"/>
      <c r="I59" s="1403"/>
      <c r="J59" s="1403"/>
      <c r="K59" s="1403"/>
      <c r="L59" s="1403"/>
      <c r="M59" s="1403"/>
      <c r="N59" s="1403"/>
      <c r="O59" s="1403"/>
    </row>
    <row r="60" spans="1:15" x14ac:dyDescent="0.25">
      <c r="A60" s="1395"/>
      <c r="B60" s="1395"/>
      <c r="C60" s="1395"/>
      <c r="D60" s="1395"/>
      <c r="E60" s="1395"/>
      <c r="F60" s="1395"/>
      <c r="G60" s="1395"/>
      <c r="H60" s="1395"/>
      <c r="I60" s="1395"/>
      <c r="J60" s="1395"/>
      <c r="K60" s="1395"/>
      <c r="L60" s="1395"/>
      <c r="M60" s="1395"/>
      <c r="N60" s="1395"/>
      <c r="O60" s="1395"/>
    </row>
    <row r="61" spans="1:15" x14ac:dyDescent="0.25">
      <c r="A61" s="1395"/>
      <c r="B61" s="1395"/>
      <c r="C61" s="1395"/>
      <c r="D61" s="1395"/>
      <c r="E61" s="1395"/>
      <c r="F61" s="1395"/>
      <c r="G61" s="1395"/>
      <c r="H61" s="1395"/>
      <c r="I61" s="1395"/>
      <c r="J61" s="1395"/>
      <c r="K61" s="1395"/>
      <c r="L61" s="1395"/>
      <c r="M61" s="1395"/>
      <c r="N61" s="1395"/>
      <c r="O61" s="1395"/>
    </row>
    <row r="62" spans="1:15" x14ac:dyDescent="0.25">
      <c r="A62" s="1395"/>
      <c r="B62" s="1395"/>
      <c r="C62" s="1395"/>
      <c r="D62" s="1395"/>
      <c r="E62" s="1395"/>
      <c r="F62" s="1395"/>
      <c r="G62" s="1395"/>
      <c r="H62" s="1395"/>
      <c r="I62" s="1395"/>
      <c r="J62" s="1395"/>
      <c r="K62" s="1395"/>
      <c r="L62" s="1395"/>
      <c r="M62" s="1395"/>
      <c r="N62" s="1395"/>
      <c r="O62" s="1395"/>
    </row>
    <row r="63" spans="1:15" x14ac:dyDescent="0.25">
      <c r="A63" s="1395"/>
      <c r="B63" s="1395"/>
      <c r="C63" s="1395"/>
      <c r="D63" s="1395"/>
      <c r="E63" s="1395"/>
      <c r="F63" s="1395"/>
      <c r="G63" s="1395"/>
      <c r="H63" s="1395"/>
      <c r="I63" s="1395"/>
      <c r="J63" s="1395"/>
      <c r="K63" s="1395"/>
      <c r="L63" s="1395"/>
      <c r="M63" s="1395"/>
      <c r="N63" s="1395"/>
      <c r="O63" s="1395"/>
    </row>
    <row r="64" spans="1:15" x14ac:dyDescent="0.25">
      <c r="A64" s="1395"/>
      <c r="B64" s="1395"/>
      <c r="C64" s="1395"/>
      <c r="D64" s="1395"/>
      <c r="E64" s="1395"/>
      <c r="F64" s="1395"/>
      <c r="G64" s="1395"/>
      <c r="H64" s="1395"/>
      <c r="I64" s="1395"/>
      <c r="J64" s="1395"/>
      <c r="K64" s="1395"/>
      <c r="L64" s="1395"/>
      <c r="M64" s="1395"/>
      <c r="N64" s="1395"/>
      <c r="O64" s="1395"/>
    </row>
    <row r="65" spans="1:15" ht="64.5" customHeight="1" x14ac:dyDescent="0.25">
      <c r="A65" s="1740" t="s">
        <v>6273</v>
      </c>
      <c r="B65" s="1740"/>
      <c r="C65" s="1740"/>
      <c r="D65" s="1740"/>
      <c r="E65" s="1740"/>
      <c r="F65" s="1740"/>
      <c r="G65" s="1740"/>
      <c r="H65" s="1740"/>
      <c r="I65" s="1740"/>
      <c r="J65" s="1740"/>
      <c r="K65" s="1740"/>
      <c r="L65" s="1740"/>
      <c r="M65" s="1740"/>
      <c r="N65" s="1740"/>
      <c r="O65" s="1740"/>
    </row>
    <row r="66" spans="1:15" ht="15.75" x14ac:dyDescent="0.25">
      <c r="A66" s="1736" t="s">
        <v>6032</v>
      </c>
      <c r="B66" s="1736"/>
      <c r="C66" s="1736"/>
      <c r="D66" s="1736"/>
      <c r="E66" s="1736"/>
      <c r="F66" s="1736"/>
      <c r="G66" s="1736"/>
      <c r="H66" s="1736"/>
      <c r="I66" s="1736"/>
      <c r="J66" s="1736"/>
      <c r="K66" s="1736"/>
      <c r="L66" s="1736"/>
      <c r="M66" s="1736"/>
      <c r="N66" s="1736"/>
      <c r="O66" s="1736"/>
    </row>
    <row r="84" spans="1:15" ht="127.5" customHeight="1" x14ac:dyDescent="0.25">
      <c r="A84" s="1740" t="s">
        <v>6274</v>
      </c>
      <c r="B84" s="1740"/>
      <c r="C84" s="1740"/>
      <c r="D84" s="1740"/>
      <c r="E84" s="1740"/>
      <c r="F84" s="1740"/>
      <c r="G84" s="1740"/>
      <c r="H84" s="1740"/>
      <c r="I84" s="1740"/>
      <c r="J84" s="1740"/>
      <c r="K84" s="1740"/>
      <c r="L84" s="1740"/>
      <c r="M84" s="1740"/>
      <c r="N84" s="1740"/>
      <c r="O84" s="1740"/>
    </row>
    <row r="85" spans="1:15" ht="15.75" x14ac:dyDescent="0.25">
      <c r="A85" s="1736" t="s">
        <v>4276</v>
      </c>
      <c r="B85" s="1736"/>
      <c r="C85" s="1736"/>
      <c r="D85" s="1736"/>
      <c r="E85" s="1736"/>
      <c r="F85" s="1736"/>
      <c r="G85" s="1736"/>
      <c r="H85" s="1736"/>
      <c r="I85" s="1736"/>
      <c r="J85" s="1736"/>
      <c r="K85" s="1736"/>
      <c r="L85" s="1736"/>
      <c r="M85" s="1736"/>
      <c r="N85" s="1736"/>
      <c r="O85" s="1736"/>
    </row>
    <row r="106" spans="1:15" ht="80.25" customHeight="1" x14ac:dyDescent="0.25">
      <c r="A106" s="1740" t="s">
        <v>6276</v>
      </c>
      <c r="B106" s="1740"/>
      <c r="C106" s="1740"/>
      <c r="D106" s="1740"/>
      <c r="E106" s="1740"/>
      <c r="F106" s="1740"/>
      <c r="G106" s="1740"/>
      <c r="H106" s="1740"/>
      <c r="I106" s="1740"/>
      <c r="J106" s="1740"/>
      <c r="K106" s="1740"/>
      <c r="L106" s="1740"/>
      <c r="M106" s="1740"/>
      <c r="N106" s="1740"/>
      <c r="O106" s="1740"/>
    </row>
    <row r="107" spans="1:15" ht="39.75" customHeight="1" x14ac:dyDescent="0.25">
      <c r="A107" s="1736" t="s">
        <v>6272</v>
      </c>
      <c r="B107" s="1736"/>
      <c r="C107" s="1736"/>
      <c r="D107" s="1736"/>
      <c r="E107" s="1736"/>
      <c r="F107" s="1736"/>
      <c r="G107" s="1736"/>
      <c r="H107" s="1736"/>
      <c r="I107" s="1736"/>
      <c r="J107" s="1736"/>
      <c r="K107" s="1736"/>
      <c r="L107" s="1736"/>
      <c r="M107" s="1736"/>
      <c r="N107" s="1736"/>
      <c r="O107" s="1736"/>
    </row>
    <row r="108" spans="1:15" ht="39.75" customHeight="1" x14ac:dyDescent="0.25"/>
    <row r="125" spans="1:15" ht="81.75" customHeight="1" x14ac:dyDescent="0.25">
      <c r="A125" s="1740" t="s">
        <v>6271</v>
      </c>
      <c r="B125" s="1740"/>
      <c r="C125" s="1740"/>
      <c r="D125" s="1740"/>
      <c r="E125" s="1740"/>
      <c r="F125" s="1740"/>
      <c r="G125" s="1740"/>
      <c r="H125" s="1740"/>
      <c r="I125" s="1740"/>
      <c r="J125" s="1740"/>
      <c r="K125" s="1740"/>
      <c r="L125" s="1740"/>
      <c r="M125" s="1740"/>
      <c r="N125" s="1740"/>
      <c r="O125" s="1740"/>
    </row>
    <row r="126" spans="1:15" ht="34.5" customHeight="1" x14ac:dyDescent="0.25">
      <c r="A126" s="1736" t="s">
        <v>6283</v>
      </c>
      <c r="B126" s="1736"/>
      <c r="C126" s="1736"/>
      <c r="D126" s="1736"/>
      <c r="E126" s="1736"/>
      <c r="F126" s="1736"/>
      <c r="G126" s="1736"/>
      <c r="H126" s="1736"/>
      <c r="I126" s="1736"/>
      <c r="J126" s="1736"/>
      <c r="K126" s="1736"/>
      <c r="L126" s="1736"/>
      <c r="M126" s="1736"/>
      <c r="N126" s="1736"/>
      <c r="O126" s="1736"/>
    </row>
    <row r="147" spans="1:15" ht="64.5" customHeight="1" x14ac:dyDescent="0.25">
      <c r="A147" s="1740" t="s">
        <v>6284</v>
      </c>
      <c r="B147" s="1740"/>
      <c r="C147" s="1740"/>
      <c r="D147" s="1740"/>
      <c r="E147" s="1740"/>
      <c r="F147" s="1740"/>
      <c r="G147" s="1740"/>
      <c r="H147" s="1740"/>
      <c r="I147" s="1740"/>
      <c r="J147" s="1740"/>
      <c r="K147" s="1740"/>
      <c r="L147" s="1740"/>
      <c r="M147" s="1740"/>
      <c r="N147" s="1740"/>
      <c r="O147" s="1740"/>
    </row>
    <row r="148" spans="1:15" ht="31.5" customHeight="1" x14ac:dyDescent="0.25">
      <c r="A148" s="1736" t="s">
        <v>6282</v>
      </c>
      <c r="B148" s="1736"/>
      <c r="C148" s="1736"/>
      <c r="D148" s="1736"/>
      <c r="E148" s="1736"/>
      <c r="F148" s="1736"/>
      <c r="G148" s="1736"/>
      <c r="H148" s="1736"/>
      <c r="I148" s="1736"/>
      <c r="J148" s="1736"/>
      <c r="K148" s="1736"/>
      <c r="L148" s="1736"/>
      <c r="M148" s="1736"/>
      <c r="N148" s="1736"/>
      <c r="O148" s="1736"/>
    </row>
    <row r="168" spans="1:15" ht="85.5" customHeight="1" x14ac:dyDescent="0.25">
      <c r="A168" s="1740" t="s">
        <v>6285</v>
      </c>
      <c r="B168" s="1740"/>
      <c r="C168" s="1740"/>
      <c r="D168" s="1740"/>
      <c r="E168" s="1740"/>
      <c r="F168" s="1740"/>
      <c r="G168" s="1740"/>
      <c r="H168" s="1740"/>
      <c r="I168" s="1740"/>
      <c r="J168" s="1740"/>
      <c r="K168" s="1740"/>
      <c r="L168" s="1740"/>
      <c r="M168" s="1740"/>
      <c r="N168" s="1740"/>
      <c r="O168" s="1740"/>
    </row>
    <row r="169" spans="1:15" ht="37.5" customHeight="1" x14ac:dyDescent="0.25">
      <c r="A169" s="1736" t="s">
        <v>4064</v>
      </c>
      <c r="B169" s="1736"/>
      <c r="C169" s="1736"/>
      <c r="D169" s="1736"/>
      <c r="E169" s="1736"/>
      <c r="F169" s="1736"/>
      <c r="G169" s="1736"/>
      <c r="H169" s="1736"/>
      <c r="I169" s="1736"/>
      <c r="J169" s="1736"/>
      <c r="K169" s="1736"/>
      <c r="L169" s="1736"/>
      <c r="M169" s="1736"/>
      <c r="N169" s="1736"/>
      <c r="O169" s="1736"/>
    </row>
    <row r="188" spans="1:15" ht="45.75" customHeight="1" x14ac:dyDescent="0.25">
      <c r="A188" s="1740" t="s">
        <v>6277</v>
      </c>
      <c r="B188" s="1740"/>
      <c r="C188" s="1740"/>
      <c r="D188" s="1740"/>
      <c r="E188" s="1740"/>
      <c r="F188" s="1740"/>
      <c r="G188" s="1740"/>
      <c r="H188" s="1740"/>
      <c r="I188" s="1740"/>
      <c r="J188" s="1740"/>
      <c r="K188" s="1740"/>
      <c r="L188" s="1740"/>
      <c r="M188" s="1740"/>
      <c r="N188" s="1740"/>
      <c r="O188" s="1740"/>
    </row>
    <row r="189" spans="1:15" ht="35.25" customHeight="1" x14ac:dyDescent="0.25">
      <c r="A189" s="1736" t="s">
        <v>4082</v>
      </c>
      <c r="B189" s="1736"/>
      <c r="C189" s="1736"/>
      <c r="D189" s="1736"/>
      <c r="E189" s="1736"/>
      <c r="F189" s="1736"/>
      <c r="G189" s="1736"/>
      <c r="H189" s="1736"/>
      <c r="I189" s="1736"/>
      <c r="J189" s="1736"/>
      <c r="K189" s="1736"/>
      <c r="L189" s="1736"/>
      <c r="M189" s="1736"/>
      <c r="N189" s="1736"/>
      <c r="O189" s="1736"/>
    </row>
    <row r="209" spans="1:15" ht="42" customHeight="1" x14ac:dyDescent="0.25">
      <c r="A209" s="1740" t="s">
        <v>6278</v>
      </c>
      <c r="B209" s="1740"/>
      <c r="C209" s="1740"/>
      <c r="D209" s="1740"/>
      <c r="E209" s="1740"/>
      <c r="F209" s="1740"/>
      <c r="G209" s="1740"/>
      <c r="H209" s="1740"/>
      <c r="I209" s="1740"/>
      <c r="J209" s="1740"/>
      <c r="K209" s="1740"/>
      <c r="L209" s="1740"/>
      <c r="M209" s="1740"/>
      <c r="N209" s="1740"/>
      <c r="O209" s="1740"/>
    </row>
    <row r="210" spans="1:15" ht="36.75" customHeight="1" x14ac:dyDescent="0.25">
      <c r="A210" s="1736" t="s">
        <v>3441</v>
      </c>
      <c r="B210" s="1736"/>
      <c r="C210" s="1736"/>
      <c r="D210" s="1736"/>
      <c r="E210" s="1736"/>
      <c r="F210" s="1736"/>
      <c r="G210" s="1736"/>
      <c r="H210" s="1736"/>
      <c r="I210" s="1736"/>
      <c r="J210" s="1736"/>
      <c r="K210" s="1736"/>
      <c r="L210" s="1736"/>
      <c r="M210" s="1736"/>
      <c r="N210" s="1736"/>
      <c r="O210" s="1736"/>
    </row>
    <row r="230" spans="1:15" ht="54" customHeight="1" x14ac:dyDescent="0.25">
      <c r="A230" s="1740" t="s">
        <v>6279</v>
      </c>
      <c r="B230" s="1740"/>
      <c r="C230" s="1740"/>
      <c r="D230" s="1740"/>
      <c r="E230" s="1740"/>
      <c r="F230" s="1740"/>
      <c r="G230" s="1740"/>
      <c r="H230" s="1740"/>
      <c r="I230" s="1740"/>
      <c r="J230" s="1740"/>
      <c r="K230" s="1740"/>
      <c r="L230" s="1740"/>
      <c r="M230" s="1740"/>
      <c r="N230" s="1740"/>
      <c r="O230" s="1740"/>
    </row>
    <row r="231" spans="1:15" ht="41.25" customHeight="1" x14ac:dyDescent="0.25">
      <c r="A231" s="1736" t="s">
        <v>5982</v>
      </c>
      <c r="B231" s="1736"/>
      <c r="C231" s="1736"/>
      <c r="D231" s="1736"/>
      <c r="E231" s="1736"/>
      <c r="F231" s="1736"/>
      <c r="G231" s="1736"/>
      <c r="H231" s="1736"/>
      <c r="I231" s="1736"/>
      <c r="J231" s="1736"/>
      <c r="K231" s="1736"/>
      <c r="L231" s="1736"/>
      <c r="M231" s="1736"/>
      <c r="N231" s="1736"/>
      <c r="O231" s="1736"/>
    </row>
    <row r="232" spans="1:15" x14ac:dyDescent="0.25">
      <c r="A232" s="1262"/>
      <c r="B232" s="1262"/>
      <c r="C232" s="1262"/>
      <c r="D232" s="1262"/>
      <c r="E232" s="1262"/>
      <c r="F232" s="1262"/>
      <c r="G232" s="1262"/>
      <c r="H232" s="1262"/>
      <c r="I232" s="1262"/>
      <c r="J232" s="1262"/>
      <c r="K232" s="1262"/>
      <c r="L232" s="1262"/>
      <c r="M232" s="1262"/>
      <c r="N232" s="1262"/>
      <c r="O232" s="1262"/>
    </row>
    <row r="233" spans="1:15" x14ac:dyDescent="0.25">
      <c r="A233" s="1262"/>
      <c r="B233" s="1262"/>
      <c r="C233" s="1262"/>
      <c r="D233" s="1262"/>
      <c r="E233" s="1262"/>
      <c r="F233" s="1262"/>
      <c r="G233" s="1262"/>
      <c r="H233" s="1262"/>
      <c r="I233" s="1262"/>
      <c r="J233" s="1262"/>
      <c r="K233" s="1262"/>
      <c r="L233" s="1262"/>
      <c r="M233" s="1262"/>
      <c r="N233" s="1262"/>
      <c r="O233" s="1262"/>
    </row>
    <row r="234" spans="1:15" x14ac:dyDescent="0.25">
      <c r="A234" s="1262"/>
      <c r="B234" s="1262"/>
      <c r="C234" s="1262"/>
      <c r="D234" s="1262"/>
      <c r="E234" s="1262"/>
      <c r="F234" s="1262"/>
      <c r="G234" s="1262"/>
      <c r="H234" s="1262"/>
      <c r="I234" s="1262"/>
      <c r="J234" s="1262"/>
      <c r="K234" s="1262"/>
      <c r="L234" s="1262"/>
      <c r="M234" s="1262"/>
      <c r="N234" s="1262"/>
      <c r="O234" s="1262"/>
    </row>
    <row r="235" spans="1:15" x14ac:dyDescent="0.25">
      <c r="A235" s="1262"/>
      <c r="B235" s="1262"/>
      <c r="C235" s="1262"/>
      <c r="D235" s="1262"/>
      <c r="E235" s="1262"/>
      <c r="F235" s="1262"/>
      <c r="G235" s="1262"/>
      <c r="H235" s="1262"/>
      <c r="I235" s="1262"/>
      <c r="J235" s="1262"/>
      <c r="K235" s="1262"/>
      <c r="L235" s="1262"/>
      <c r="M235" s="1262"/>
      <c r="N235" s="1262"/>
      <c r="O235" s="1262"/>
    </row>
    <row r="236" spans="1:15" x14ac:dyDescent="0.25">
      <c r="A236" s="1262"/>
      <c r="B236" s="1262"/>
      <c r="C236" s="1262"/>
      <c r="D236" s="1262"/>
      <c r="E236" s="1262"/>
      <c r="F236" s="1262"/>
      <c r="G236" s="1262"/>
      <c r="H236" s="1262"/>
      <c r="I236" s="1262"/>
      <c r="J236" s="1262"/>
      <c r="K236" s="1262"/>
      <c r="L236" s="1262"/>
      <c r="M236" s="1262"/>
      <c r="N236" s="1262"/>
      <c r="O236" s="1262"/>
    </row>
    <row r="237" spans="1:15" x14ac:dyDescent="0.25">
      <c r="A237" s="1262"/>
      <c r="B237" s="1262"/>
      <c r="C237" s="1262"/>
      <c r="D237" s="1262"/>
      <c r="E237" s="1262"/>
      <c r="F237" s="1262"/>
      <c r="G237" s="1262"/>
      <c r="H237" s="1262"/>
      <c r="I237" s="1262"/>
      <c r="J237" s="1262"/>
      <c r="K237" s="1262"/>
      <c r="L237" s="1262"/>
      <c r="M237" s="1262"/>
      <c r="N237" s="1262"/>
      <c r="O237" s="1262"/>
    </row>
    <row r="238" spans="1:15" x14ac:dyDescent="0.25">
      <c r="A238" s="1262"/>
      <c r="B238" s="1262"/>
      <c r="C238" s="1262"/>
      <c r="D238" s="1262"/>
      <c r="E238" s="1262"/>
      <c r="F238" s="1262"/>
      <c r="G238" s="1262"/>
      <c r="H238" s="1262"/>
      <c r="I238" s="1262"/>
      <c r="J238" s="1262"/>
      <c r="K238" s="1262"/>
      <c r="L238" s="1262"/>
      <c r="M238" s="1262"/>
      <c r="N238" s="1262"/>
      <c r="O238" s="1262"/>
    </row>
    <row r="239" spans="1:15" x14ac:dyDescent="0.25">
      <c r="A239" s="1262"/>
      <c r="B239" s="1262"/>
      <c r="C239" s="1262"/>
      <c r="D239" s="1262"/>
      <c r="E239" s="1262"/>
      <c r="F239" s="1262"/>
      <c r="G239" s="1262"/>
      <c r="H239" s="1262"/>
      <c r="I239" s="1262"/>
      <c r="J239" s="1262"/>
      <c r="K239" s="1262"/>
      <c r="L239" s="1262"/>
      <c r="M239" s="1262"/>
      <c r="N239" s="1262"/>
      <c r="O239" s="1262"/>
    </row>
    <row r="240" spans="1:15" x14ac:dyDescent="0.25">
      <c r="A240" s="1262"/>
      <c r="B240" s="1262"/>
      <c r="C240" s="1262"/>
      <c r="D240" s="1262"/>
      <c r="E240" s="1262"/>
      <c r="F240" s="1262"/>
      <c r="G240" s="1262"/>
      <c r="H240" s="1262"/>
      <c r="I240" s="1262"/>
      <c r="J240" s="1262"/>
      <c r="K240" s="1262"/>
      <c r="L240" s="1262"/>
      <c r="M240" s="1262"/>
      <c r="N240" s="1262"/>
      <c r="O240" s="1262"/>
    </row>
    <row r="241" spans="1:15" x14ac:dyDescent="0.25">
      <c r="A241" s="1262"/>
      <c r="B241" s="1262"/>
      <c r="C241" s="1262"/>
      <c r="D241" s="1262"/>
      <c r="E241" s="1262"/>
      <c r="F241" s="1262"/>
      <c r="G241" s="1262"/>
      <c r="H241" s="1262"/>
      <c r="I241" s="1262"/>
      <c r="J241" s="1262"/>
      <c r="K241" s="1262"/>
      <c r="L241" s="1262"/>
      <c r="M241" s="1262"/>
      <c r="N241" s="1262"/>
      <c r="O241" s="1262"/>
    </row>
    <row r="242" spans="1:15" x14ac:dyDescent="0.25">
      <c r="A242" s="1262"/>
      <c r="B242" s="1262"/>
      <c r="C242" s="1262"/>
      <c r="D242" s="1262"/>
      <c r="E242" s="1262"/>
      <c r="F242" s="1262"/>
      <c r="G242" s="1262"/>
      <c r="H242" s="1262"/>
      <c r="I242" s="1262"/>
      <c r="J242" s="1262"/>
      <c r="K242" s="1262"/>
      <c r="L242" s="1262"/>
      <c r="M242" s="1262"/>
      <c r="N242" s="1262"/>
      <c r="O242" s="1262"/>
    </row>
    <row r="243" spans="1:15" x14ac:dyDescent="0.25">
      <c r="A243" s="1262"/>
      <c r="B243" s="1262"/>
      <c r="C243" s="1262"/>
      <c r="D243" s="1262"/>
      <c r="E243" s="1262"/>
      <c r="F243" s="1262"/>
      <c r="G243" s="1262"/>
      <c r="H243" s="1262"/>
      <c r="I243" s="1262"/>
      <c r="J243" s="1262"/>
      <c r="K243" s="1262"/>
      <c r="L243" s="1262"/>
      <c r="M243" s="1262"/>
      <c r="N243" s="1262"/>
      <c r="O243" s="1262"/>
    </row>
    <row r="244" spans="1:15" x14ac:dyDescent="0.25">
      <c r="A244" s="1262"/>
      <c r="B244" s="1262"/>
      <c r="C244" s="1262"/>
      <c r="D244" s="1262"/>
      <c r="E244" s="1262"/>
      <c r="F244" s="1262"/>
      <c r="G244" s="1262"/>
      <c r="H244" s="1262"/>
      <c r="I244" s="1262"/>
      <c r="J244" s="1262"/>
      <c r="K244" s="1262"/>
      <c r="L244" s="1262"/>
      <c r="M244" s="1262"/>
      <c r="N244" s="1262"/>
      <c r="O244" s="1262"/>
    </row>
    <row r="245" spans="1:15" x14ac:dyDescent="0.25">
      <c r="A245" s="1262"/>
      <c r="B245" s="1262"/>
      <c r="C245" s="1262"/>
      <c r="D245" s="1262"/>
      <c r="E245" s="1262"/>
      <c r="F245" s="1262"/>
      <c r="G245" s="1262"/>
      <c r="H245" s="1262"/>
      <c r="I245" s="1262"/>
      <c r="J245" s="1262"/>
      <c r="K245" s="1262"/>
      <c r="L245" s="1262"/>
      <c r="M245" s="1262"/>
      <c r="N245" s="1262"/>
      <c r="O245" s="1262"/>
    </row>
    <row r="246" spans="1:15" x14ac:dyDescent="0.25">
      <c r="A246" s="1262"/>
      <c r="B246" s="1262"/>
      <c r="C246" s="1262"/>
      <c r="D246" s="1262"/>
      <c r="E246" s="1262"/>
      <c r="F246" s="1262"/>
      <c r="G246" s="1262"/>
      <c r="H246" s="1262"/>
      <c r="I246" s="1262"/>
      <c r="J246" s="1262"/>
      <c r="K246" s="1262"/>
      <c r="L246" s="1262"/>
      <c r="M246" s="1262"/>
      <c r="N246" s="1262"/>
      <c r="O246" s="1262"/>
    </row>
    <row r="247" spans="1:15" x14ac:dyDescent="0.25">
      <c r="A247" s="1262"/>
      <c r="B247" s="1262"/>
      <c r="C247" s="1262"/>
      <c r="D247" s="1262"/>
      <c r="E247" s="1262"/>
      <c r="F247" s="1262"/>
      <c r="G247" s="1262"/>
      <c r="H247" s="1262"/>
      <c r="I247" s="1262"/>
      <c r="J247" s="1262"/>
      <c r="K247" s="1262"/>
      <c r="L247" s="1262"/>
      <c r="M247" s="1262"/>
      <c r="N247" s="1262"/>
      <c r="O247" s="1262"/>
    </row>
    <row r="248" spans="1:15" x14ac:dyDescent="0.25">
      <c r="A248" s="1262"/>
      <c r="B248" s="1262"/>
      <c r="C248" s="1262"/>
      <c r="D248" s="1262"/>
      <c r="E248" s="1262"/>
      <c r="F248" s="1262"/>
      <c r="G248" s="1262"/>
      <c r="H248" s="1262"/>
      <c r="I248" s="1262"/>
      <c r="J248" s="1262"/>
      <c r="K248" s="1262"/>
      <c r="L248" s="1262"/>
      <c r="M248" s="1262"/>
      <c r="N248" s="1262"/>
      <c r="O248" s="1262"/>
    </row>
    <row r="249" spans="1:15" x14ac:dyDescent="0.25">
      <c r="A249" s="1262"/>
      <c r="B249" s="1262"/>
      <c r="C249" s="1262"/>
      <c r="D249" s="1262"/>
      <c r="E249" s="1262"/>
      <c r="F249" s="1262"/>
      <c r="G249" s="1262"/>
      <c r="H249" s="1262"/>
      <c r="I249" s="1262"/>
      <c r="J249" s="1262"/>
      <c r="K249" s="1262"/>
      <c r="L249" s="1262"/>
      <c r="M249" s="1262"/>
      <c r="N249" s="1262"/>
      <c r="O249" s="1262"/>
    </row>
    <row r="250" spans="1:15" x14ac:dyDescent="0.25">
      <c r="A250" s="1262"/>
      <c r="B250" s="1262"/>
      <c r="C250" s="1262"/>
      <c r="D250" s="1262"/>
      <c r="E250" s="1262"/>
      <c r="F250" s="1262"/>
      <c r="G250" s="1262"/>
      <c r="H250" s="1262"/>
      <c r="I250" s="1262"/>
      <c r="J250" s="1262"/>
      <c r="K250" s="1262"/>
      <c r="L250" s="1262"/>
      <c r="M250" s="1262"/>
      <c r="N250" s="1262"/>
      <c r="O250" s="1262"/>
    </row>
    <row r="251" spans="1:15" ht="51.75" customHeight="1" x14ac:dyDescent="0.25">
      <c r="A251" s="1740" t="s">
        <v>6290</v>
      </c>
      <c r="B251" s="1740"/>
      <c r="C251" s="1740"/>
      <c r="D251" s="1740"/>
      <c r="E251" s="1740"/>
      <c r="F251" s="1740"/>
      <c r="G251" s="1740"/>
      <c r="H251" s="1740"/>
      <c r="I251" s="1740"/>
      <c r="J251" s="1740"/>
      <c r="K251" s="1740"/>
      <c r="L251" s="1740"/>
      <c r="M251" s="1740"/>
      <c r="N251" s="1740"/>
      <c r="O251" s="1740"/>
    </row>
    <row r="252" spans="1:15" ht="33" customHeight="1" x14ac:dyDescent="0.25">
      <c r="A252" s="1736" t="s">
        <v>6280</v>
      </c>
      <c r="B252" s="1736"/>
      <c r="C252" s="1736"/>
      <c r="D252" s="1736"/>
      <c r="E252" s="1736"/>
      <c r="F252" s="1736"/>
      <c r="G252" s="1736"/>
      <c r="H252" s="1736"/>
      <c r="I252" s="1736"/>
      <c r="J252" s="1736"/>
      <c r="K252" s="1736"/>
      <c r="L252" s="1736"/>
      <c r="M252" s="1736"/>
      <c r="N252" s="1736"/>
      <c r="O252" s="1736"/>
    </row>
    <row r="271" spans="1:15" ht="46.5" customHeight="1" x14ac:dyDescent="0.25">
      <c r="A271" s="1740" t="s">
        <v>6281</v>
      </c>
      <c r="B271" s="1740"/>
      <c r="C271" s="1740"/>
      <c r="D271" s="1740"/>
      <c r="E271" s="1740"/>
      <c r="F271" s="1740"/>
      <c r="G271" s="1740"/>
      <c r="H271" s="1740"/>
      <c r="I271" s="1740"/>
      <c r="J271" s="1740"/>
      <c r="K271" s="1740"/>
      <c r="L271" s="1740"/>
      <c r="M271" s="1740"/>
      <c r="N271" s="1740"/>
      <c r="O271" s="1740"/>
    </row>
    <row r="272" spans="1:15" ht="33.75" customHeight="1" x14ac:dyDescent="0.25">
      <c r="A272" s="1736" t="s">
        <v>4277</v>
      </c>
      <c r="B272" s="1736"/>
      <c r="C272" s="1736"/>
      <c r="D272" s="1736"/>
      <c r="E272" s="1736"/>
      <c r="F272" s="1736"/>
      <c r="G272" s="1736"/>
      <c r="H272" s="1736"/>
      <c r="I272" s="1736"/>
      <c r="J272" s="1736"/>
      <c r="K272" s="1736"/>
      <c r="L272" s="1736"/>
      <c r="M272" s="1736"/>
      <c r="N272" s="1736"/>
      <c r="O272" s="1736"/>
    </row>
    <row r="292" spans="1:15" ht="54" customHeight="1" x14ac:dyDescent="0.25">
      <c r="A292" s="1740" t="s">
        <v>6292</v>
      </c>
      <c r="B292" s="1740"/>
      <c r="C292" s="1740"/>
      <c r="D292" s="1740"/>
      <c r="E292" s="1740"/>
      <c r="F292" s="1740"/>
      <c r="G292" s="1740"/>
      <c r="H292" s="1740"/>
      <c r="I292" s="1740"/>
      <c r="J292" s="1740"/>
      <c r="K292" s="1740"/>
      <c r="L292" s="1740"/>
      <c r="M292" s="1740"/>
      <c r="N292" s="1740"/>
      <c r="O292" s="1740"/>
    </row>
    <row r="293" spans="1:15" ht="36" customHeight="1" x14ac:dyDescent="0.25">
      <c r="A293" s="1736" t="s">
        <v>4278</v>
      </c>
      <c r="B293" s="1736"/>
      <c r="C293" s="1736"/>
      <c r="D293" s="1736"/>
      <c r="E293" s="1736"/>
      <c r="F293" s="1736"/>
      <c r="G293" s="1736"/>
      <c r="H293" s="1736"/>
      <c r="I293" s="1736"/>
      <c r="J293" s="1736"/>
      <c r="K293" s="1736"/>
      <c r="L293" s="1736"/>
      <c r="M293" s="1736"/>
      <c r="N293" s="1736"/>
      <c r="O293" s="1736"/>
    </row>
    <row r="297" spans="1:15" ht="106.5" customHeight="1" x14ac:dyDescent="0.25"/>
    <row r="303" spans="1:15" ht="38.25" customHeight="1" x14ac:dyDescent="0.25">
      <c r="A303" s="1740" t="s">
        <v>6293</v>
      </c>
      <c r="B303" s="1740"/>
      <c r="C303" s="1740"/>
      <c r="D303" s="1740"/>
      <c r="E303" s="1740"/>
      <c r="F303" s="1740"/>
      <c r="G303" s="1740"/>
      <c r="H303" s="1740"/>
      <c r="I303" s="1740"/>
      <c r="J303" s="1740"/>
      <c r="K303" s="1740"/>
      <c r="L303" s="1740"/>
      <c r="M303" s="1740"/>
      <c r="N303" s="1740"/>
      <c r="O303" s="1740"/>
    </row>
    <row r="304" spans="1:15" ht="39.75" customHeight="1" x14ac:dyDescent="0.25">
      <c r="A304" s="1752" t="s">
        <v>4986</v>
      </c>
      <c r="B304" s="1752"/>
      <c r="C304" s="1752"/>
      <c r="D304" s="1752"/>
      <c r="E304" s="1752"/>
      <c r="F304" s="1752"/>
      <c r="G304" s="1752"/>
      <c r="H304" s="1752"/>
      <c r="I304" s="1752"/>
      <c r="J304" s="1752"/>
      <c r="K304" s="1752"/>
      <c r="L304" s="1752"/>
      <c r="M304" s="1752"/>
      <c r="N304" s="1752"/>
      <c r="O304" s="1752"/>
    </row>
    <row r="309" ht="38.25" customHeight="1" x14ac:dyDescent="0.25"/>
    <row r="322" spans="1:15" ht="49.5" customHeight="1" x14ac:dyDescent="0.25">
      <c r="A322" s="1740" t="s">
        <v>6294</v>
      </c>
      <c r="B322" s="1740"/>
      <c r="C322" s="1740"/>
      <c r="D322" s="1740"/>
      <c r="E322" s="1740"/>
      <c r="F322" s="1740"/>
      <c r="G322" s="1740"/>
      <c r="H322" s="1740"/>
      <c r="I322" s="1740"/>
      <c r="J322" s="1740"/>
      <c r="K322" s="1740"/>
      <c r="L322" s="1740"/>
      <c r="M322" s="1740"/>
      <c r="N322" s="1740"/>
      <c r="O322" s="1740"/>
    </row>
    <row r="323" spans="1:15" ht="37.5" customHeight="1" x14ac:dyDescent="0.25">
      <c r="A323" s="1752" t="s">
        <v>5031</v>
      </c>
      <c r="B323" s="1752"/>
      <c r="C323" s="1752"/>
      <c r="D323" s="1752"/>
      <c r="E323" s="1752"/>
      <c r="F323" s="1752"/>
      <c r="G323" s="1752"/>
      <c r="H323" s="1752"/>
      <c r="I323" s="1752"/>
      <c r="J323" s="1752"/>
      <c r="K323" s="1752"/>
      <c r="L323" s="1752"/>
      <c r="M323" s="1752"/>
      <c r="N323" s="1752"/>
      <c r="O323" s="1752"/>
    </row>
    <row r="337" spans="1:15" ht="66.75" customHeight="1" x14ac:dyDescent="0.25">
      <c r="A337" s="1740" t="s">
        <v>6295</v>
      </c>
      <c r="B337" s="1740"/>
      <c r="C337" s="1740"/>
      <c r="D337" s="1740"/>
      <c r="E337" s="1740"/>
      <c r="F337" s="1740"/>
      <c r="G337" s="1740"/>
      <c r="H337" s="1740"/>
      <c r="I337" s="1740"/>
      <c r="J337" s="1740"/>
      <c r="K337" s="1740"/>
      <c r="L337" s="1740"/>
      <c r="M337" s="1740"/>
      <c r="N337" s="1740"/>
      <c r="O337" s="1740"/>
    </row>
    <row r="338" spans="1:15" ht="31.5" customHeight="1" x14ac:dyDescent="0.25">
      <c r="A338" s="1736" t="s">
        <v>5962</v>
      </c>
      <c r="B338" s="1736"/>
      <c r="C338" s="1736"/>
      <c r="D338" s="1736"/>
      <c r="E338" s="1736"/>
      <c r="F338" s="1736"/>
      <c r="G338" s="1736"/>
      <c r="H338" s="1736"/>
      <c r="I338" s="1736"/>
      <c r="J338" s="1736"/>
      <c r="K338" s="1736"/>
      <c r="L338" s="1736"/>
      <c r="M338" s="1736"/>
      <c r="N338" s="1736"/>
      <c r="O338" s="1736"/>
    </row>
    <row r="356" spans="1:15" ht="51.75" customHeight="1" x14ac:dyDescent="0.25">
      <c r="A356" s="1740" t="s">
        <v>6296</v>
      </c>
      <c r="B356" s="1740"/>
      <c r="C356" s="1740"/>
      <c r="D356" s="1740"/>
      <c r="E356" s="1740"/>
      <c r="F356" s="1740"/>
      <c r="G356" s="1740"/>
      <c r="H356" s="1740"/>
      <c r="I356" s="1740"/>
      <c r="J356" s="1740"/>
      <c r="K356" s="1740"/>
      <c r="L356" s="1740"/>
      <c r="M356" s="1740"/>
      <c r="N356" s="1740"/>
      <c r="O356" s="1740"/>
    </row>
    <row r="357" spans="1:15" ht="62.25" customHeight="1" x14ac:dyDescent="0.25">
      <c r="A357" s="1763" t="s">
        <v>6297</v>
      </c>
      <c r="B357" s="1763"/>
      <c r="C357" s="1763"/>
      <c r="D357" s="1763"/>
      <c r="E357" s="1763"/>
      <c r="F357" s="1763"/>
      <c r="G357" s="1763"/>
      <c r="H357" s="1763"/>
      <c r="I357" s="1763"/>
      <c r="J357" s="1763"/>
      <c r="K357" s="1763"/>
      <c r="L357" s="1763"/>
      <c r="M357" s="1763"/>
      <c r="N357" s="1763"/>
      <c r="O357" s="1763"/>
    </row>
  </sheetData>
  <mergeCells count="38">
    <mergeCell ref="A46:O46"/>
    <mergeCell ref="A65:O65"/>
    <mergeCell ref="A357:O357"/>
    <mergeCell ref="A5:O5"/>
    <mergeCell ref="A107:O107"/>
    <mergeCell ref="A27:O27"/>
    <mergeCell ref="A126:O126"/>
    <mergeCell ref="A147:O147"/>
    <mergeCell ref="A45:O45"/>
    <mergeCell ref="A125:O125"/>
    <mergeCell ref="A26:O26"/>
    <mergeCell ref="A106:O106"/>
    <mergeCell ref="A6:O6"/>
    <mergeCell ref="A85:O85"/>
    <mergeCell ref="A66:O66"/>
    <mergeCell ref="A84:O84"/>
    <mergeCell ref="A209:O209"/>
    <mergeCell ref="A230:O230"/>
    <mergeCell ref="A169:O169"/>
    <mergeCell ref="A148:O148"/>
    <mergeCell ref="A168:O168"/>
    <mergeCell ref="A188:O188"/>
    <mergeCell ref="A189:O189"/>
    <mergeCell ref="A210:O210"/>
    <mergeCell ref="A272:O272"/>
    <mergeCell ref="A304:O304"/>
    <mergeCell ref="A322:O322"/>
    <mergeCell ref="A231:O231"/>
    <mergeCell ref="A251:O251"/>
    <mergeCell ref="A292:O292"/>
    <mergeCell ref="A271:O271"/>
    <mergeCell ref="A252:O252"/>
    <mergeCell ref="A338:O338"/>
    <mergeCell ref="A356:O356"/>
    <mergeCell ref="A323:O323"/>
    <mergeCell ref="A337:O337"/>
    <mergeCell ref="A293:O293"/>
    <mergeCell ref="A303:O303"/>
  </mergeCells>
  <printOptions horizontalCentered="1" verticalCentered="1"/>
  <pageMargins left="0.39370078740157483" right="0.39370078740157483" top="1.1811023622047245" bottom="0.39370078740157483" header="0.31496062992125984" footer="3.937007874015748E-2"/>
  <pageSetup paperSize="9" orientation="landscape" r:id="rId1"/>
  <headerFooter>
    <oddFooter>&amp;C&amp;"Times New Roman,Normal"&amp;10SisMob-BH - Gráficos de 8) Sistema de transporte motorizado público / 8.10) Sistema de transporte coletivo como um todo - p.&amp;P/&amp;N</oddFooter>
  </headerFooter>
  <rowBreaks count="15" manualBreakCount="15">
    <brk id="26" max="16383" man="1"/>
    <brk id="45" max="16383" man="1"/>
    <brk id="65" max="16383" man="1"/>
    <brk id="84" max="16383" man="1"/>
    <brk id="106" max="16383" man="1"/>
    <brk id="125" max="16383" man="1"/>
    <brk id="147" max="16383" man="1"/>
    <brk id="188" max="16383" man="1"/>
    <brk id="209" max="16383" man="1"/>
    <brk id="230" max="16383" man="1"/>
    <brk id="251" max="16383" man="1"/>
    <brk id="271" max="16383" man="1"/>
    <brk id="292" max="16383" man="1"/>
    <brk id="303" max="16383" man="1"/>
    <brk id="337"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186"/>
  <sheetViews>
    <sheetView zoomScaleNormal="100" workbookViewId="0"/>
  </sheetViews>
  <sheetFormatPr defaultRowHeight="15" x14ac:dyDescent="0.25"/>
  <cols>
    <col min="1" max="1" width="10.5703125" customWidth="1"/>
    <col min="4" max="5" width="9.140625" customWidth="1"/>
    <col min="6" max="6" width="5.7109375" customWidth="1"/>
    <col min="13" max="13" width="10.85546875" customWidth="1"/>
  </cols>
  <sheetData>
    <row r="5" spans="1:14" ht="18.75" x14ac:dyDescent="0.25">
      <c r="A5" s="1735" t="s">
        <v>0</v>
      </c>
      <c r="B5" s="1735"/>
      <c r="C5" s="1735"/>
      <c r="D5" s="1735"/>
      <c r="E5" s="1735"/>
      <c r="F5" s="1735"/>
      <c r="G5" s="1735"/>
      <c r="H5" s="1735"/>
      <c r="I5" s="1735"/>
      <c r="J5" s="1735"/>
      <c r="K5" s="1735"/>
      <c r="L5" s="1735"/>
      <c r="M5" s="1735"/>
      <c r="N5" s="1735"/>
    </row>
    <row r="6" spans="1:14" ht="21" customHeight="1" x14ac:dyDescent="0.25">
      <c r="A6" s="1736" t="s">
        <v>1728</v>
      </c>
      <c r="B6" s="1736"/>
      <c r="C6" s="1736"/>
      <c r="D6" s="1736"/>
      <c r="E6" s="1736"/>
      <c r="F6" s="1736"/>
      <c r="G6" s="1736"/>
      <c r="H6" s="1736"/>
      <c r="I6" s="1736"/>
      <c r="J6" s="1736"/>
      <c r="K6" s="1736"/>
      <c r="L6" s="1736"/>
      <c r="M6" s="1736"/>
      <c r="N6" s="1736"/>
    </row>
    <row r="7" spans="1:14" ht="15.75" x14ac:dyDescent="0.25">
      <c r="A7" s="1"/>
      <c r="B7" s="1"/>
      <c r="C7" s="1"/>
      <c r="D7" s="1"/>
      <c r="E7" s="1"/>
      <c r="F7" s="1"/>
      <c r="G7" s="1"/>
      <c r="H7" s="1"/>
    </row>
    <row r="8" spans="1:14" ht="15.75" x14ac:dyDescent="0.25">
      <c r="A8" s="1"/>
      <c r="B8" s="1"/>
      <c r="C8" s="1"/>
      <c r="D8" s="1"/>
      <c r="E8" s="1"/>
      <c r="F8" s="1"/>
      <c r="G8" s="1"/>
      <c r="H8" s="1"/>
    </row>
    <row r="9" spans="1:14" ht="15.75" x14ac:dyDescent="0.25">
      <c r="A9" s="1"/>
      <c r="B9" s="1"/>
      <c r="C9" s="1"/>
      <c r="D9" s="1"/>
      <c r="E9" s="1"/>
      <c r="F9" s="1"/>
      <c r="G9" s="1"/>
      <c r="H9" s="1"/>
    </row>
    <row r="10" spans="1:14" ht="15.75" x14ac:dyDescent="0.25">
      <c r="A10" s="1"/>
      <c r="B10" s="1"/>
      <c r="C10" s="1"/>
      <c r="D10" s="1"/>
      <c r="E10" s="1"/>
      <c r="F10" s="1"/>
      <c r="G10" s="1"/>
      <c r="H10" s="1"/>
    </row>
    <row r="11" spans="1:14" ht="15.75" x14ac:dyDescent="0.25">
      <c r="A11" s="1"/>
      <c r="B11" s="1"/>
      <c r="C11" s="1"/>
      <c r="D11" s="1"/>
      <c r="E11" s="1"/>
      <c r="F11" s="1"/>
      <c r="G11" s="1"/>
      <c r="H11" s="1"/>
    </row>
    <row r="12" spans="1:14" ht="15.75" x14ac:dyDescent="0.25">
      <c r="A12" s="1"/>
      <c r="B12" s="1"/>
      <c r="C12" s="1"/>
      <c r="D12" s="1"/>
      <c r="E12" s="1"/>
      <c r="F12" s="1"/>
      <c r="G12" s="1"/>
      <c r="H12" s="1"/>
    </row>
    <row r="13" spans="1:14" ht="15.75" x14ac:dyDescent="0.25">
      <c r="A13" s="1"/>
      <c r="B13" s="1"/>
      <c r="C13" s="1"/>
      <c r="D13" s="1"/>
      <c r="E13" s="1"/>
      <c r="F13" s="1"/>
      <c r="G13" s="1"/>
      <c r="H13" s="1"/>
    </row>
    <row r="14" spans="1:14" ht="15.75" x14ac:dyDescent="0.25">
      <c r="A14" s="1"/>
      <c r="B14" s="1"/>
      <c r="C14" s="1"/>
      <c r="D14" s="1"/>
      <c r="E14" s="1"/>
      <c r="F14" s="1"/>
      <c r="G14" s="1"/>
      <c r="H14" s="1"/>
    </row>
    <row r="15" spans="1:14" ht="15.75" x14ac:dyDescent="0.25">
      <c r="A15" s="1"/>
      <c r="B15" s="1"/>
      <c r="C15" s="1"/>
      <c r="D15" s="1"/>
      <c r="E15" s="1"/>
      <c r="F15" s="1"/>
      <c r="G15" s="1"/>
      <c r="H15" s="1"/>
    </row>
    <row r="16" spans="1:14" ht="15.75" x14ac:dyDescent="0.25">
      <c r="A16" s="1"/>
      <c r="B16" s="1"/>
      <c r="C16" s="1"/>
      <c r="D16" s="1"/>
      <c r="E16" s="1"/>
      <c r="F16" s="1"/>
      <c r="G16" s="1"/>
      <c r="H16" s="1"/>
    </row>
    <row r="17" spans="1:14" ht="15.75" x14ac:dyDescent="0.25">
      <c r="A17" s="1"/>
      <c r="B17" s="1"/>
      <c r="C17" s="1"/>
      <c r="D17" s="1"/>
      <c r="E17" s="1"/>
      <c r="F17" s="1"/>
      <c r="G17" s="1"/>
      <c r="H17" s="1"/>
    </row>
    <row r="18" spans="1:14" ht="15.75" x14ac:dyDescent="0.25">
      <c r="A18" s="1"/>
      <c r="B18" s="1"/>
      <c r="C18" s="1"/>
      <c r="D18" s="1"/>
      <c r="E18" s="1"/>
      <c r="F18" s="1"/>
      <c r="G18" s="1"/>
      <c r="H18" s="1"/>
    </row>
    <row r="19" spans="1:14" ht="15.75" x14ac:dyDescent="0.25">
      <c r="A19" s="1"/>
      <c r="B19" s="1"/>
      <c r="C19" s="1"/>
      <c r="D19" s="1"/>
      <c r="E19" s="1"/>
      <c r="F19" s="1"/>
      <c r="G19" s="1"/>
      <c r="H19" s="1"/>
    </row>
    <row r="20" spans="1:14" ht="15.75" x14ac:dyDescent="0.25">
      <c r="A20" s="1"/>
      <c r="B20" s="1"/>
      <c r="C20" s="1"/>
      <c r="D20" s="1"/>
      <c r="E20" s="1"/>
      <c r="F20" s="1"/>
      <c r="G20" s="1"/>
      <c r="H20" s="1"/>
    </row>
    <row r="21" spans="1:14" ht="15.75" x14ac:dyDescent="0.25">
      <c r="A21" s="1"/>
      <c r="B21" s="1"/>
      <c r="C21" s="1"/>
      <c r="D21" s="1"/>
      <c r="E21" s="1"/>
      <c r="F21" s="1"/>
      <c r="G21" s="1"/>
      <c r="H21" s="1"/>
    </row>
    <row r="22" spans="1:14" ht="15.75" x14ac:dyDescent="0.25">
      <c r="A22" s="1"/>
      <c r="B22" s="1"/>
      <c r="C22" s="1"/>
      <c r="D22" s="1"/>
      <c r="E22" s="1"/>
      <c r="F22" s="1"/>
      <c r="G22" s="1"/>
      <c r="H22" s="1"/>
    </row>
    <row r="23" spans="1:14" ht="15.75" x14ac:dyDescent="0.25">
      <c r="A23" s="1"/>
      <c r="B23" s="1"/>
      <c r="C23" s="1"/>
      <c r="D23" s="1"/>
      <c r="E23" s="1"/>
      <c r="F23" s="1"/>
      <c r="G23" s="1"/>
      <c r="H23" s="1"/>
    </row>
    <row r="24" spans="1:14" ht="15.75" x14ac:dyDescent="0.25">
      <c r="A24" s="1"/>
      <c r="B24" s="1"/>
      <c r="C24" s="1"/>
      <c r="D24" s="1"/>
      <c r="E24" s="1"/>
      <c r="F24" s="1"/>
      <c r="G24" s="1"/>
      <c r="H24" s="1"/>
    </row>
    <row r="25" spans="1:14" ht="15.75" x14ac:dyDescent="0.25">
      <c r="A25" s="1"/>
      <c r="B25" s="1"/>
      <c r="C25" s="1"/>
      <c r="D25" s="1"/>
      <c r="E25" s="1"/>
      <c r="F25" s="1"/>
      <c r="G25" s="1"/>
      <c r="H25" s="1"/>
    </row>
    <row r="26" spans="1:14" ht="15.75" x14ac:dyDescent="0.25">
      <c r="A26" s="1"/>
      <c r="B26" s="1"/>
      <c r="C26" s="1"/>
      <c r="D26" s="1"/>
      <c r="E26" s="1"/>
      <c r="F26" s="1"/>
      <c r="G26" s="1"/>
      <c r="H26" s="1"/>
    </row>
    <row r="27" spans="1:14" ht="161.25" customHeight="1" x14ac:dyDescent="0.25">
      <c r="A27" s="1740" t="s">
        <v>2982</v>
      </c>
      <c r="B27" s="1740"/>
      <c r="C27" s="1740"/>
      <c r="D27" s="1740"/>
      <c r="E27" s="1740"/>
      <c r="F27" s="1740"/>
      <c r="G27" s="1740"/>
      <c r="H27" s="1740"/>
      <c r="I27" s="1740"/>
      <c r="J27" s="1740"/>
      <c r="K27" s="1740"/>
      <c r="L27" s="1740"/>
      <c r="M27" s="1740"/>
      <c r="N27" s="1740"/>
    </row>
    <row r="28" spans="1:14" ht="30.75" customHeight="1" x14ac:dyDescent="0.25">
      <c r="A28" s="1736" t="s">
        <v>1296</v>
      </c>
      <c r="B28" s="1736"/>
      <c r="C28" s="1736"/>
      <c r="D28" s="1736"/>
      <c r="E28" s="1736"/>
      <c r="F28" s="1736"/>
      <c r="G28" s="1736"/>
      <c r="H28" s="1736"/>
      <c r="I28" s="1736"/>
      <c r="J28" s="1736"/>
      <c r="K28" s="1736"/>
      <c r="L28" s="1736"/>
      <c r="M28" s="1736"/>
      <c r="N28" s="1736"/>
    </row>
    <row r="44" ht="32.25" customHeight="1" x14ac:dyDescent="0.25"/>
    <row r="45" ht="43.5" customHeight="1" x14ac:dyDescent="0.25"/>
    <row r="50" spans="1:14" ht="96.75" customHeight="1" x14ac:dyDescent="0.25">
      <c r="A50" s="1740" t="s">
        <v>2983</v>
      </c>
      <c r="B50" s="1740"/>
      <c r="C50" s="1740"/>
      <c r="D50" s="1740"/>
      <c r="E50" s="1740"/>
      <c r="F50" s="1740"/>
      <c r="G50" s="1740"/>
      <c r="H50" s="1740"/>
      <c r="I50" s="1740"/>
      <c r="J50" s="1740"/>
      <c r="K50" s="1740"/>
      <c r="L50" s="1740"/>
      <c r="M50" s="1740"/>
      <c r="N50" s="1740"/>
    </row>
    <row r="51" spans="1:14" ht="33.75" customHeight="1" x14ac:dyDescent="0.25">
      <c r="A51" s="1752" t="s">
        <v>1297</v>
      </c>
      <c r="B51" s="1752"/>
      <c r="C51" s="1752"/>
      <c r="D51" s="1752"/>
      <c r="E51" s="1752"/>
      <c r="F51" s="1752"/>
      <c r="G51" s="1752"/>
      <c r="H51" s="1752"/>
      <c r="I51" s="1752"/>
      <c r="J51" s="1752"/>
      <c r="K51" s="1752"/>
      <c r="L51" s="1752"/>
      <c r="M51" s="1752"/>
      <c r="N51" s="1752"/>
    </row>
    <row r="52" spans="1:14" ht="15.75" x14ac:dyDescent="0.25">
      <c r="A52" s="1755" t="s">
        <v>1013</v>
      </c>
      <c r="B52" s="1755"/>
      <c r="C52" s="1755"/>
      <c r="D52" s="1755"/>
      <c r="E52" s="1755"/>
      <c r="F52" s="1755" t="s">
        <v>1014</v>
      </c>
      <c r="G52" s="1755"/>
      <c r="H52" s="1755"/>
      <c r="I52" s="1755"/>
      <c r="J52" s="278"/>
      <c r="K52" s="1755" t="s">
        <v>1014</v>
      </c>
      <c r="L52" s="1755"/>
      <c r="M52" s="1755"/>
      <c r="N52" s="278"/>
    </row>
    <row r="76" spans="1:14" ht="39.75" customHeight="1" x14ac:dyDescent="0.25">
      <c r="A76" s="1740" t="s">
        <v>1409</v>
      </c>
      <c r="B76" s="1740"/>
      <c r="C76" s="1740"/>
      <c r="D76" s="1740"/>
      <c r="E76" s="1740"/>
      <c r="F76" s="1740"/>
      <c r="G76" s="1740"/>
      <c r="H76" s="1740"/>
      <c r="I76" s="1740"/>
      <c r="J76" s="1740"/>
      <c r="K76" s="1740"/>
      <c r="L76" s="1740"/>
      <c r="M76" s="1740"/>
      <c r="N76" s="1740"/>
    </row>
    <row r="78" spans="1:14" ht="31.5" customHeight="1" x14ac:dyDescent="0.25">
      <c r="A78" s="1752" t="s">
        <v>1207</v>
      </c>
      <c r="B78" s="1752"/>
      <c r="C78" s="1752"/>
      <c r="D78" s="1752"/>
      <c r="E78" s="1752"/>
      <c r="F78" s="1752"/>
      <c r="G78" s="1752"/>
      <c r="H78" s="1752"/>
      <c r="I78" s="1752"/>
      <c r="J78" s="1752"/>
      <c r="K78" s="1752"/>
      <c r="L78" s="1752"/>
      <c r="M78" s="1752"/>
      <c r="N78" s="1752"/>
    </row>
    <row r="103" spans="1:14" ht="72" customHeight="1" x14ac:dyDescent="0.25">
      <c r="A103" s="1740" t="s">
        <v>1410</v>
      </c>
      <c r="B103" s="1740"/>
      <c r="C103" s="1740"/>
      <c r="D103" s="1740"/>
      <c r="E103" s="1740"/>
      <c r="F103" s="1740"/>
      <c r="G103" s="1740"/>
      <c r="H103" s="1740"/>
      <c r="I103" s="1740"/>
      <c r="J103" s="1740"/>
      <c r="K103" s="1740"/>
      <c r="L103" s="1740"/>
      <c r="M103" s="1740"/>
      <c r="N103" s="1740"/>
    </row>
    <row r="104" spans="1:14" ht="30.75" customHeight="1" x14ac:dyDescent="0.25">
      <c r="A104" s="1780" t="s">
        <v>1206</v>
      </c>
      <c r="B104" s="1780"/>
      <c r="C104" s="1780"/>
      <c r="D104" s="1780"/>
      <c r="E104" s="1780"/>
      <c r="F104" s="1780"/>
      <c r="G104" s="1780"/>
      <c r="H104" s="1780"/>
      <c r="I104" s="1780"/>
      <c r="J104" s="1780"/>
      <c r="K104" s="1780"/>
      <c r="L104" s="1780"/>
      <c r="M104" s="1780"/>
      <c r="N104" s="1780"/>
    </row>
    <row r="128" spans="1:14" ht="62.25" customHeight="1" x14ac:dyDescent="0.25">
      <c r="A128" s="1740" t="s">
        <v>1411</v>
      </c>
      <c r="B128" s="1740"/>
      <c r="C128" s="1740"/>
      <c r="D128" s="1740"/>
      <c r="E128" s="1740"/>
      <c r="F128" s="1740"/>
      <c r="G128" s="1740"/>
      <c r="H128" s="1740"/>
      <c r="I128" s="1740"/>
      <c r="J128" s="1740"/>
      <c r="K128" s="1740"/>
      <c r="L128" s="1740"/>
      <c r="M128" s="1740"/>
      <c r="N128" s="1740"/>
    </row>
    <row r="129" spans="1:14" ht="30.75" customHeight="1" x14ac:dyDescent="0.25">
      <c r="A129" s="1794" t="s">
        <v>1699</v>
      </c>
      <c r="B129" s="1794"/>
      <c r="C129" s="1794"/>
      <c r="D129" s="1794"/>
      <c r="E129" s="1794"/>
      <c r="F129" s="1794"/>
      <c r="G129" s="1794"/>
      <c r="H129" s="1794"/>
      <c r="I129" s="1794"/>
      <c r="J129" s="1794"/>
      <c r="K129" s="1794"/>
      <c r="L129" s="1794"/>
      <c r="M129" s="1794"/>
      <c r="N129" s="1794"/>
    </row>
    <row r="130" spans="1:14" ht="19.5" customHeight="1" x14ac:dyDescent="0.25">
      <c r="A130" s="1754" t="s">
        <v>1015</v>
      </c>
      <c r="B130" s="1754"/>
      <c r="C130" s="1754"/>
      <c r="D130" s="1754"/>
      <c r="E130" s="1754"/>
      <c r="F130" s="1754"/>
      <c r="G130" s="1754"/>
      <c r="H130" s="1754" t="s">
        <v>1016</v>
      </c>
      <c r="I130" s="1754"/>
      <c r="J130" s="1754"/>
      <c r="K130" s="1754"/>
      <c r="L130" s="1754"/>
      <c r="M130" s="1754"/>
      <c r="N130" s="1754"/>
    </row>
    <row r="147" spans="1:14" ht="43.5" customHeight="1" x14ac:dyDescent="0.25">
      <c r="A147" s="1740" t="s">
        <v>1412</v>
      </c>
      <c r="B147" s="1740"/>
      <c r="C147" s="1740"/>
      <c r="D147" s="1740"/>
      <c r="E147" s="1740"/>
      <c r="F147" s="1740"/>
      <c r="G147" s="1740"/>
      <c r="H147" s="1740"/>
      <c r="I147" s="1740"/>
      <c r="J147" s="1740"/>
      <c r="K147" s="1740"/>
      <c r="L147" s="1740"/>
      <c r="M147" s="1740"/>
      <c r="N147" s="1740"/>
    </row>
    <row r="148" spans="1:14" ht="86.25" customHeight="1" x14ac:dyDescent="0.25">
      <c r="A148" s="1793" t="s">
        <v>1000</v>
      </c>
      <c r="B148" s="1793"/>
      <c r="C148" s="1793"/>
      <c r="D148" s="1793"/>
      <c r="E148" s="1793"/>
      <c r="F148" s="1793"/>
      <c r="G148" s="1793"/>
      <c r="H148" s="1793"/>
      <c r="I148" s="1793"/>
      <c r="J148" s="1793"/>
      <c r="K148" s="1793"/>
      <c r="L148" s="1793"/>
      <c r="M148" s="1793"/>
      <c r="N148" s="1793"/>
    </row>
    <row r="149" spans="1:14" ht="39.75" customHeight="1" x14ac:dyDescent="0.25">
      <c r="A149" s="1795" t="s">
        <v>1730</v>
      </c>
      <c r="B149" s="1795"/>
      <c r="C149" s="1795"/>
      <c r="D149" s="1795"/>
      <c r="E149" s="1795"/>
      <c r="F149" s="1795"/>
      <c r="G149" s="1795"/>
      <c r="H149" s="1795"/>
      <c r="I149" s="1795"/>
      <c r="J149" s="1795"/>
      <c r="K149" s="1795"/>
      <c r="L149" s="1795"/>
      <c r="M149" s="1795"/>
      <c r="N149" s="1795"/>
    </row>
    <row r="165" spans="1:14" ht="63.75" customHeight="1" x14ac:dyDescent="0.25">
      <c r="A165" s="1740" t="s">
        <v>2984</v>
      </c>
      <c r="B165" s="1740"/>
      <c r="C165" s="1740"/>
      <c r="D165" s="1740"/>
      <c r="E165" s="1740"/>
      <c r="F165" s="1740"/>
      <c r="G165" s="1740"/>
      <c r="H165" s="1740"/>
      <c r="I165" s="1740"/>
      <c r="J165" s="1740"/>
      <c r="K165" s="1740"/>
      <c r="L165" s="1740"/>
      <c r="M165" s="1740"/>
      <c r="N165" s="1740"/>
    </row>
    <row r="166" spans="1:14" ht="37.5" customHeight="1" x14ac:dyDescent="0.25">
      <c r="A166" s="1795" t="s">
        <v>1729</v>
      </c>
      <c r="B166" s="1795"/>
      <c r="C166" s="1795"/>
      <c r="D166" s="1795"/>
      <c r="E166" s="1795"/>
      <c r="F166" s="1795"/>
      <c r="G166" s="1795"/>
      <c r="H166" s="1795"/>
      <c r="I166" s="1795"/>
      <c r="J166" s="1795"/>
      <c r="K166" s="1795"/>
      <c r="L166" s="1795"/>
      <c r="M166" s="1795"/>
      <c r="N166" s="1795"/>
    </row>
    <row r="183" spans="1:14" ht="27.75" customHeight="1" x14ac:dyDescent="0.25">
      <c r="A183" s="1740" t="s">
        <v>2981</v>
      </c>
      <c r="B183" s="1740"/>
      <c r="C183" s="1740"/>
      <c r="D183" s="1740"/>
      <c r="E183" s="1740"/>
      <c r="F183" s="1740"/>
      <c r="G183" s="1740"/>
      <c r="H183" s="1740"/>
      <c r="I183" s="1740"/>
      <c r="J183" s="1740"/>
      <c r="K183" s="1740"/>
      <c r="L183" s="1740"/>
      <c r="M183" s="1740"/>
      <c r="N183" s="1740"/>
    </row>
    <row r="184" spans="1:14" ht="117" customHeight="1" x14ac:dyDescent="0.25">
      <c r="A184" s="1796" t="s">
        <v>1731</v>
      </c>
      <c r="B184" s="1796"/>
      <c r="C184" s="1796"/>
      <c r="D184" s="1796"/>
      <c r="E184" s="1796"/>
      <c r="F184" s="1796"/>
      <c r="G184" s="1796"/>
      <c r="H184" s="1796"/>
      <c r="I184" s="1796"/>
      <c r="J184" s="1796"/>
      <c r="K184" s="1796"/>
      <c r="L184" s="1796"/>
      <c r="M184" s="1796"/>
      <c r="N184" s="1796"/>
    </row>
    <row r="185" spans="1:14" ht="10.5" customHeight="1" x14ac:dyDescent="0.25">
      <c r="A185" s="460"/>
      <c r="B185" s="460"/>
      <c r="C185" s="460"/>
      <c r="D185" s="460"/>
      <c r="E185" s="460"/>
      <c r="F185" s="460"/>
      <c r="G185" s="460"/>
      <c r="H185" s="460"/>
      <c r="I185" s="460"/>
      <c r="J185" s="460"/>
      <c r="K185" s="460"/>
      <c r="L185" s="460"/>
      <c r="M185" s="460"/>
      <c r="N185" s="460"/>
    </row>
    <row r="186" spans="1:14" ht="51.75" customHeight="1" x14ac:dyDescent="0.25">
      <c r="A186" s="1751" t="s">
        <v>1090</v>
      </c>
      <c r="B186" s="1751"/>
      <c r="C186" s="1751"/>
      <c r="D186" s="1751"/>
      <c r="E186" s="1751"/>
      <c r="F186" s="1751"/>
      <c r="G186" s="1751"/>
      <c r="H186" s="1751"/>
      <c r="I186" s="1751"/>
      <c r="J186" s="1751"/>
      <c r="K186" s="1751"/>
      <c r="L186" s="1751"/>
      <c r="M186" s="1751"/>
      <c r="N186" s="1751"/>
    </row>
  </sheetData>
  <mergeCells count="25">
    <mergeCell ref="A186:N186"/>
    <mergeCell ref="A103:N103"/>
    <mergeCell ref="A78:N78"/>
    <mergeCell ref="A128:N128"/>
    <mergeCell ref="A147:N147"/>
    <mergeCell ref="A148:N148"/>
    <mergeCell ref="A129:N129"/>
    <mergeCell ref="A130:G130"/>
    <mergeCell ref="H130:N130"/>
    <mergeCell ref="A104:N104"/>
    <mergeCell ref="A149:N149"/>
    <mergeCell ref="A165:N165"/>
    <mergeCell ref="A166:N166"/>
    <mergeCell ref="A183:N183"/>
    <mergeCell ref="A184:N184"/>
    <mergeCell ref="A5:N5"/>
    <mergeCell ref="A6:N6"/>
    <mergeCell ref="A27:N27"/>
    <mergeCell ref="A28:N28"/>
    <mergeCell ref="A50:N50"/>
    <mergeCell ref="A51:N51"/>
    <mergeCell ref="A76:N76"/>
    <mergeCell ref="A52:E52"/>
    <mergeCell ref="F52:I52"/>
    <mergeCell ref="K52:M52"/>
  </mergeCells>
  <printOptions horizontalCentered="1" verticalCentered="1"/>
  <pageMargins left="0.11811023622047245" right="0.11811023622047245" top="0.11811023622047245" bottom="0.19685039370078741" header="0.31496062992125984" footer="3.937007874015748E-2"/>
  <pageSetup orientation="landscape" r:id="rId1"/>
  <headerFooter>
    <oddFooter>&amp;C&amp;"Times New Roman,Normal"&amp;10SisMob-BH - Gráficos de 8)  9) Trânsito e sistema viário / 9.1) Acidentes de trânsito - p.&amp;P/&amp;N</oddFooter>
  </headerFooter>
  <rowBreaks count="7" manualBreakCount="7">
    <brk id="27" max="16383" man="1"/>
    <brk id="50" max="16383" man="1"/>
    <brk id="77" max="16383" man="1"/>
    <brk id="103" max="16383" man="1"/>
    <brk id="128" max="16383" man="1"/>
    <brk id="148" max="16383" man="1"/>
    <brk id="165"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147"/>
  <sheetViews>
    <sheetView zoomScaleNormal="100" workbookViewId="0">
      <selection activeCell="E151" sqref="E151"/>
    </sheetView>
  </sheetViews>
  <sheetFormatPr defaultRowHeight="15" x14ac:dyDescent="0.25"/>
  <cols>
    <col min="1" max="1" width="10.5703125" customWidth="1"/>
    <col min="4" max="5" width="9.140625" customWidth="1"/>
    <col min="6" max="6" width="5.7109375" customWidth="1"/>
    <col min="13" max="13" width="10.85546875" customWidth="1"/>
  </cols>
  <sheetData>
    <row r="5" spans="1:14" ht="18.75" x14ac:dyDescent="0.25">
      <c r="A5" s="1735" t="s">
        <v>0</v>
      </c>
      <c r="B5" s="1735"/>
      <c r="C5" s="1735"/>
      <c r="D5" s="1735"/>
      <c r="E5" s="1735"/>
      <c r="F5" s="1735"/>
      <c r="G5" s="1735"/>
      <c r="H5" s="1735"/>
      <c r="I5" s="1735"/>
      <c r="J5" s="1735"/>
      <c r="K5" s="1735"/>
      <c r="L5" s="1735"/>
      <c r="M5" s="1735"/>
      <c r="N5" s="1735"/>
    </row>
    <row r="6" spans="1:14" ht="15.75" customHeight="1" x14ac:dyDescent="0.25">
      <c r="A6" s="1736" t="s">
        <v>1017</v>
      </c>
      <c r="B6" s="1736"/>
      <c r="C6" s="1736"/>
      <c r="D6" s="1736"/>
      <c r="E6" s="1736"/>
      <c r="F6" s="1736"/>
      <c r="G6" s="1736"/>
      <c r="H6" s="1736"/>
      <c r="I6" s="1736"/>
      <c r="J6" s="1736"/>
      <c r="K6" s="1736"/>
      <c r="L6" s="1736"/>
      <c r="M6" s="1736"/>
      <c r="N6" s="1736"/>
    </row>
    <row r="7" spans="1:14" ht="15.75" x14ac:dyDescent="0.25">
      <c r="A7" s="1"/>
      <c r="B7" s="1"/>
      <c r="C7" s="1"/>
      <c r="D7" s="1"/>
      <c r="E7" s="1"/>
      <c r="F7" s="1"/>
      <c r="G7" s="1"/>
      <c r="H7" s="1"/>
    </row>
    <row r="8" spans="1:14" ht="15.75" x14ac:dyDescent="0.25">
      <c r="A8" s="1"/>
      <c r="B8" s="1"/>
      <c r="C8" s="1"/>
      <c r="D8" s="1"/>
      <c r="E8" s="1"/>
      <c r="F8" s="1"/>
      <c r="G8" s="1"/>
      <c r="H8" s="1"/>
    </row>
    <row r="9" spans="1:14" ht="15.75" x14ac:dyDescent="0.25">
      <c r="A9" s="1"/>
      <c r="B9" s="1"/>
      <c r="C9" s="1"/>
      <c r="D9" s="1"/>
      <c r="E9" s="1"/>
      <c r="F9" s="1"/>
      <c r="G9" s="1"/>
      <c r="H9" s="1"/>
    </row>
    <row r="10" spans="1:14" ht="15.75" x14ac:dyDescent="0.25">
      <c r="A10" s="1"/>
      <c r="B10" s="1"/>
      <c r="C10" s="1"/>
      <c r="D10" s="1"/>
      <c r="E10" s="1"/>
      <c r="F10" s="1"/>
      <c r="G10" s="1"/>
      <c r="H10" s="1"/>
    </row>
    <row r="11" spans="1:14" ht="15.75" x14ac:dyDescent="0.25">
      <c r="A11" s="1"/>
      <c r="B11" s="1"/>
      <c r="C11" s="1"/>
      <c r="D11" s="1"/>
      <c r="E11" s="1"/>
      <c r="F11" s="1"/>
      <c r="G11" s="1"/>
      <c r="H11" s="1"/>
    </row>
    <row r="12" spans="1:14" ht="15.75" x14ac:dyDescent="0.25">
      <c r="A12" s="1"/>
      <c r="B12" s="1"/>
      <c r="C12" s="1"/>
      <c r="D12" s="1"/>
      <c r="E12" s="1"/>
      <c r="F12" s="1"/>
      <c r="G12" s="1"/>
      <c r="H12" s="1"/>
    </row>
    <row r="13" spans="1:14" ht="15.75" x14ac:dyDescent="0.25">
      <c r="A13" s="1"/>
      <c r="B13" s="1"/>
      <c r="C13" s="1"/>
      <c r="D13" s="1"/>
      <c r="E13" s="1"/>
      <c r="F13" s="1"/>
      <c r="G13" s="1"/>
      <c r="H13" s="1"/>
    </row>
    <row r="14" spans="1:14" ht="15.75" x14ac:dyDescent="0.25">
      <c r="A14" s="1"/>
      <c r="B14" s="1"/>
      <c r="C14" s="1"/>
      <c r="D14" s="1"/>
      <c r="E14" s="1"/>
      <c r="F14" s="1"/>
      <c r="G14" s="1"/>
      <c r="H14" s="1"/>
    </row>
    <row r="15" spans="1:14" ht="15.75" x14ac:dyDescent="0.25">
      <c r="A15" s="1"/>
      <c r="B15" s="1"/>
      <c r="C15" s="1"/>
      <c r="D15" s="1"/>
      <c r="E15" s="1"/>
      <c r="F15" s="1"/>
      <c r="G15" s="1"/>
      <c r="H15" s="1"/>
    </row>
    <row r="16" spans="1:14" ht="15.75" x14ac:dyDescent="0.25">
      <c r="A16" s="1"/>
      <c r="B16" s="1"/>
      <c r="C16" s="1"/>
      <c r="D16" s="1"/>
      <c r="E16" s="1"/>
      <c r="F16" s="1"/>
      <c r="G16" s="1"/>
      <c r="H16" s="1"/>
    </row>
    <row r="17" spans="1:16" ht="15.75" x14ac:dyDescent="0.25">
      <c r="A17" s="1"/>
      <c r="B17" s="1"/>
      <c r="C17" s="1"/>
      <c r="D17" s="1"/>
      <c r="E17" s="1"/>
      <c r="F17" s="1"/>
      <c r="G17" s="1"/>
      <c r="H17" s="1"/>
    </row>
    <row r="18" spans="1:16" ht="15.75" x14ac:dyDescent="0.25">
      <c r="A18" s="1"/>
      <c r="B18" s="1"/>
      <c r="C18" s="1"/>
      <c r="D18" s="1"/>
      <c r="E18" s="1"/>
      <c r="F18" s="1"/>
      <c r="G18" s="1"/>
      <c r="H18" s="1"/>
    </row>
    <row r="19" spans="1:16" ht="15.75" x14ac:dyDescent="0.25">
      <c r="A19" s="1"/>
      <c r="B19" s="1"/>
      <c r="C19" s="1"/>
      <c r="D19" s="1"/>
      <c r="E19" s="1"/>
      <c r="F19" s="1"/>
      <c r="G19" s="1"/>
      <c r="H19" s="1"/>
    </row>
    <row r="20" spans="1:16" ht="15.75" x14ac:dyDescent="0.25">
      <c r="A20" s="1"/>
      <c r="B20" s="1"/>
      <c r="C20" s="1"/>
      <c r="D20" s="1"/>
      <c r="E20" s="1"/>
      <c r="F20" s="1"/>
      <c r="G20" s="1"/>
      <c r="H20" s="1"/>
    </row>
    <row r="21" spans="1:16" ht="195" customHeight="1" x14ac:dyDescent="0.25">
      <c r="A21" s="1749" t="s">
        <v>5181</v>
      </c>
      <c r="B21" s="1749"/>
      <c r="C21" s="1749"/>
      <c r="D21" s="1749"/>
      <c r="E21" s="1749"/>
      <c r="F21" s="1749"/>
      <c r="G21" s="1749"/>
      <c r="H21" s="1749"/>
      <c r="I21" s="1749"/>
      <c r="J21" s="1749"/>
      <c r="K21" s="1749"/>
      <c r="L21" s="1749"/>
      <c r="M21" s="1749"/>
      <c r="N21" s="1749"/>
    </row>
    <row r="22" spans="1:16" ht="15.75" x14ac:dyDescent="0.25">
      <c r="A22" s="1736" t="s">
        <v>1018</v>
      </c>
      <c r="B22" s="1736"/>
      <c r="C22" s="1736"/>
      <c r="D22" s="1736"/>
      <c r="E22" s="1736"/>
      <c r="F22" s="1736"/>
      <c r="G22" s="1736"/>
      <c r="H22" s="1736"/>
      <c r="I22" s="1736"/>
      <c r="J22" s="1736"/>
      <c r="K22" s="1736"/>
      <c r="L22" s="1736"/>
      <c r="M22" s="1736"/>
      <c r="N22" s="1736"/>
    </row>
    <row r="24" spans="1:16" ht="69.75" customHeight="1" x14ac:dyDescent="0.25">
      <c r="O24" s="148"/>
      <c r="P24" s="148"/>
    </row>
    <row r="38" spans="1:14" ht="117.75" customHeight="1" x14ac:dyDescent="0.25">
      <c r="A38" s="1749" t="s">
        <v>5182</v>
      </c>
      <c r="B38" s="1750"/>
      <c r="C38" s="1750"/>
      <c r="D38" s="1750"/>
      <c r="E38" s="1750"/>
      <c r="F38" s="1750"/>
      <c r="G38" s="1750"/>
      <c r="H38" s="1750"/>
      <c r="I38" s="1750"/>
      <c r="J38" s="1750"/>
      <c r="K38" s="1750"/>
      <c r="L38" s="1750"/>
      <c r="M38" s="1750"/>
      <c r="N38" s="1750"/>
    </row>
    <row r="39" spans="1:14" ht="32.25" customHeight="1" x14ac:dyDescent="0.25">
      <c r="A39" s="1780" t="s">
        <v>1019</v>
      </c>
      <c r="B39" s="1780"/>
      <c r="C39" s="1780"/>
      <c r="D39" s="1780"/>
      <c r="E39" s="1780"/>
      <c r="F39" s="1780"/>
      <c r="G39" s="1780"/>
      <c r="H39" s="1780"/>
      <c r="I39" s="1780"/>
      <c r="J39" s="1780"/>
      <c r="K39" s="1780"/>
      <c r="L39" s="1780"/>
      <c r="M39" s="1780"/>
      <c r="N39" s="1780"/>
    </row>
    <row r="57" spans="1:14" ht="43.5" customHeight="1" x14ac:dyDescent="0.25">
      <c r="A57" s="1749" t="s">
        <v>5183</v>
      </c>
      <c r="B57" s="1750"/>
      <c r="C57" s="1750"/>
      <c r="D57" s="1750"/>
      <c r="E57" s="1750"/>
      <c r="F57" s="1750"/>
      <c r="G57" s="1750"/>
      <c r="H57" s="1750"/>
      <c r="I57" s="1750"/>
      <c r="J57" s="1750"/>
      <c r="K57" s="1750"/>
      <c r="L57" s="1750"/>
      <c r="M57" s="1750"/>
      <c r="N57" s="1750"/>
    </row>
    <row r="58" spans="1:14" ht="103.5" customHeight="1" x14ac:dyDescent="0.25">
      <c r="A58" s="1793" t="s">
        <v>4358</v>
      </c>
      <c r="B58" s="1793"/>
      <c r="C58" s="1793"/>
      <c r="D58" s="1793"/>
      <c r="E58" s="1793"/>
      <c r="F58" s="1793"/>
      <c r="G58" s="1793"/>
      <c r="H58" s="1793"/>
      <c r="I58" s="1793"/>
      <c r="J58" s="1793"/>
      <c r="K58" s="1793"/>
      <c r="L58" s="1793"/>
      <c r="M58" s="1793"/>
      <c r="N58" s="1793"/>
    </row>
    <row r="59" spans="1:14" ht="32.25" customHeight="1" x14ac:dyDescent="0.25">
      <c r="A59" s="1752" t="s">
        <v>1020</v>
      </c>
      <c r="B59" s="1752"/>
      <c r="C59" s="1752"/>
      <c r="D59" s="1752"/>
      <c r="E59" s="1752"/>
      <c r="F59" s="1752"/>
      <c r="G59" s="1752"/>
      <c r="H59" s="1752"/>
      <c r="I59" s="1752"/>
      <c r="J59" s="1752"/>
      <c r="K59" s="1752"/>
      <c r="L59" s="1752"/>
      <c r="M59" s="1752"/>
      <c r="N59" s="1752"/>
    </row>
    <row r="82" spans="1:14" ht="69.75" customHeight="1" x14ac:dyDescent="0.25">
      <c r="A82" s="1749" t="s">
        <v>5184</v>
      </c>
      <c r="B82" s="1750"/>
      <c r="C82" s="1750"/>
      <c r="D82" s="1750"/>
      <c r="E82" s="1750"/>
      <c r="F82" s="1750"/>
      <c r="G82" s="1750"/>
      <c r="H82" s="1750"/>
      <c r="I82" s="1750"/>
      <c r="J82" s="1750"/>
      <c r="K82" s="1750"/>
      <c r="L82" s="1750"/>
      <c r="M82" s="1750"/>
      <c r="N82" s="1750"/>
    </row>
    <row r="83" spans="1:14" ht="56.25" customHeight="1" x14ac:dyDescent="0.25">
      <c r="A83" s="1780" t="s">
        <v>1021</v>
      </c>
      <c r="B83" s="1780"/>
      <c r="C83" s="1780"/>
      <c r="D83" s="1780"/>
      <c r="E83" s="1780"/>
      <c r="F83" s="1780"/>
      <c r="G83" s="1780"/>
      <c r="H83" s="149"/>
      <c r="I83" s="1780" t="s">
        <v>1022</v>
      </c>
      <c r="J83" s="1780"/>
      <c r="K83" s="1780"/>
      <c r="L83" s="1780"/>
      <c r="M83" s="1780"/>
      <c r="N83" s="1780"/>
    </row>
    <row r="103" spans="1:14" ht="40.5" customHeight="1" x14ac:dyDescent="0.25">
      <c r="A103" s="1749" t="s">
        <v>5185</v>
      </c>
      <c r="B103" s="1750"/>
      <c r="C103" s="1750"/>
      <c r="D103" s="1750"/>
      <c r="E103" s="1750"/>
      <c r="F103" s="1750"/>
      <c r="G103" s="1750"/>
      <c r="H103" s="1750"/>
      <c r="I103" s="1750"/>
      <c r="J103" s="1750"/>
      <c r="K103" s="1750"/>
      <c r="L103" s="1750"/>
      <c r="M103" s="1750"/>
      <c r="N103" s="1750"/>
    </row>
    <row r="104" spans="1:14" ht="37.5" customHeight="1" x14ac:dyDescent="0.25">
      <c r="A104" s="1752" t="s">
        <v>1023</v>
      </c>
      <c r="B104" s="1752"/>
      <c r="C104" s="1752"/>
      <c r="D104" s="1752"/>
      <c r="E104" s="1752"/>
      <c r="F104" s="1752"/>
      <c r="G104" s="1752"/>
      <c r="H104" s="1752"/>
      <c r="I104" s="1752"/>
      <c r="J104" s="1752"/>
      <c r="K104" s="1752"/>
      <c r="L104" s="1752"/>
      <c r="M104" s="1752"/>
      <c r="N104" s="1752"/>
    </row>
    <row r="126" spans="1:14" ht="41.25" customHeight="1" x14ac:dyDescent="0.25">
      <c r="A126" s="1749" t="s">
        <v>5185</v>
      </c>
      <c r="B126" s="1750"/>
      <c r="C126" s="1750"/>
      <c r="D126" s="1750"/>
      <c r="E126" s="1750"/>
      <c r="F126" s="1750"/>
      <c r="G126" s="1750"/>
      <c r="H126" s="1750"/>
      <c r="I126" s="1750"/>
      <c r="J126" s="1750"/>
      <c r="K126" s="1750"/>
      <c r="L126" s="1750"/>
      <c r="M126" s="1750"/>
      <c r="N126" s="1750"/>
    </row>
    <row r="127" spans="1:14" ht="41.25" customHeight="1" x14ac:dyDescent="0.25">
      <c r="A127" s="1752" t="s">
        <v>1024</v>
      </c>
      <c r="B127" s="1752"/>
      <c r="C127" s="1752"/>
      <c r="D127" s="1752"/>
      <c r="E127" s="1752"/>
      <c r="F127" s="1752"/>
      <c r="G127" s="1752"/>
      <c r="H127" s="1752"/>
      <c r="I127" s="1752"/>
      <c r="J127" s="1752"/>
      <c r="K127" s="1752"/>
      <c r="L127" s="1752"/>
      <c r="M127" s="1752"/>
      <c r="N127" s="1752"/>
    </row>
    <row r="145" spans="1:14" ht="51.75" customHeight="1" x14ac:dyDescent="0.25">
      <c r="A145" s="1749" t="s">
        <v>5186</v>
      </c>
      <c r="B145" s="1750"/>
      <c r="C145" s="1750"/>
      <c r="D145" s="1750"/>
      <c r="E145" s="1750"/>
      <c r="F145" s="1750"/>
      <c r="G145" s="1750"/>
      <c r="H145" s="1750"/>
      <c r="I145" s="1750"/>
      <c r="J145" s="1750"/>
      <c r="K145" s="1750"/>
      <c r="L145" s="1750"/>
      <c r="M145" s="1750"/>
      <c r="N145" s="1750"/>
    </row>
    <row r="146" spans="1:14" x14ac:dyDescent="0.25">
      <c r="A146" s="144"/>
      <c r="B146" s="145"/>
      <c r="C146" s="145"/>
      <c r="D146" s="145"/>
      <c r="E146" s="145"/>
      <c r="F146" s="145"/>
      <c r="G146" s="145"/>
      <c r="H146" s="145"/>
      <c r="I146" s="145"/>
      <c r="J146" s="145"/>
      <c r="K146" s="145"/>
      <c r="L146" s="145"/>
      <c r="M146" s="145"/>
      <c r="N146" s="145"/>
    </row>
    <row r="147" spans="1:14" ht="66" customHeight="1" x14ac:dyDescent="0.25">
      <c r="A147" s="1751" t="s">
        <v>5187</v>
      </c>
      <c r="B147" s="1751"/>
      <c r="C147" s="1751"/>
      <c r="D147" s="1751"/>
      <c r="E147" s="1751"/>
      <c r="F147" s="1751"/>
      <c r="G147" s="1751"/>
      <c r="H147" s="1751"/>
      <c r="I147" s="1751"/>
      <c r="J147" s="1751"/>
      <c r="K147" s="1751"/>
      <c r="L147" s="1751"/>
      <c r="M147" s="1751"/>
      <c r="N147" s="1751"/>
    </row>
  </sheetData>
  <mergeCells count="18">
    <mergeCell ref="A104:N104"/>
    <mergeCell ref="A126:N126"/>
    <mergeCell ref="A127:N127"/>
    <mergeCell ref="A145:N145"/>
    <mergeCell ref="A147:N147"/>
    <mergeCell ref="A5:N5"/>
    <mergeCell ref="A6:N6"/>
    <mergeCell ref="A22:N22"/>
    <mergeCell ref="A58:N58"/>
    <mergeCell ref="A39:N39"/>
    <mergeCell ref="A57:N57"/>
    <mergeCell ref="A21:N21"/>
    <mergeCell ref="A38:N38"/>
    <mergeCell ref="A83:G83"/>
    <mergeCell ref="I83:N83"/>
    <mergeCell ref="A59:N59"/>
    <mergeCell ref="A82:N82"/>
    <mergeCell ref="A103:N103"/>
  </mergeCells>
  <printOptions horizontalCentered="1" verticalCentered="1"/>
  <pageMargins left="0.19685039370078741" right="0.19685039370078741" top="1.1811023622047245" bottom="0.39370078740157483" header="0.31496062992125984" footer="0.11811023622047245"/>
  <pageSetup orientation="landscape" r:id="rId1"/>
  <headerFooter>
    <oddFooter>&amp;C&amp;"Times New Roman,Normal"&amp;10SisMob-BH - Gráficos de 9) Trãnsito e sistema viário / 9.2) Estacionamento - p.&amp;P/&amp;N</oddFooter>
  </headerFooter>
  <rowBreaks count="6" manualBreakCount="6">
    <brk id="21" max="16383" man="1"/>
    <brk id="38" max="16383" man="1"/>
    <brk id="58" max="16383" man="1"/>
    <brk id="82" max="16383" man="1"/>
    <brk id="103" max="16383" man="1"/>
    <brk id="126"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60"/>
  <sheetViews>
    <sheetView zoomScaleNormal="100" workbookViewId="0">
      <selection activeCell="A60" sqref="A60:N60"/>
    </sheetView>
  </sheetViews>
  <sheetFormatPr defaultRowHeight="15" x14ac:dyDescent="0.25"/>
  <cols>
    <col min="1" max="1" width="10.5703125" customWidth="1"/>
    <col min="4" max="5" width="9.140625" customWidth="1"/>
    <col min="6" max="6" width="5.7109375" customWidth="1"/>
    <col min="13" max="13" width="10.85546875" customWidth="1"/>
    <col min="14" max="14" width="11.5703125" customWidth="1"/>
  </cols>
  <sheetData>
    <row r="5" spans="1:14" ht="26.25" customHeight="1" x14ac:dyDescent="0.25">
      <c r="A5" s="1764" t="s">
        <v>0</v>
      </c>
      <c r="B5" s="1764"/>
      <c r="C5" s="1764"/>
      <c r="D5" s="1764"/>
      <c r="E5" s="1764"/>
      <c r="F5" s="1764"/>
      <c r="G5" s="1764"/>
      <c r="H5" s="1764"/>
      <c r="I5" s="1764"/>
      <c r="J5" s="1764"/>
      <c r="K5" s="1764"/>
      <c r="L5" s="1764"/>
      <c r="M5" s="1764"/>
      <c r="N5" s="1764"/>
    </row>
    <row r="6" spans="1:14" ht="15.75" customHeight="1" x14ac:dyDescent="0.25">
      <c r="A6" s="1736" t="s">
        <v>1025</v>
      </c>
      <c r="B6" s="1736"/>
      <c r="C6" s="1736"/>
      <c r="D6" s="1736"/>
      <c r="E6" s="1736"/>
      <c r="F6" s="1736"/>
      <c r="G6" s="1736"/>
      <c r="H6" s="1736"/>
      <c r="I6" s="1736"/>
      <c r="J6" s="1736"/>
      <c r="K6" s="1736"/>
      <c r="L6" s="1736"/>
      <c r="M6" s="1736"/>
      <c r="N6" s="1736"/>
    </row>
    <row r="7" spans="1:14" ht="15.75" x14ac:dyDescent="0.25">
      <c r="A7" s="1"/>
      <c r="B7" s="1"/>
      <c r="C7" s="1"/>
      <c r="D7" s="1"/>
      <c r="E7" s="1"/>
      <c r="F7" s="1"/>
      <c r="G7" s="1"/>
      <c r="H7" s="1"/>
    </row>
    <row r="8" spans="1:14" ht="15.75" x14ac:dyDescent="0.25">
      <c r="A8" s="1"/>
      <c r="B8" s="1"/>
      <c r="C8" s="1"/>
      <c r="D8" s="1"/>
      <c r="E8" s="1"/>
      <c r="F8" s="1"/>
      <c r="G8" s="1"/>
      <c r="H8" s="1"/>
    </row>
    <row r="9" spans="1:14" ht="15.75" x14ac:dyDescent="0.25">
      <c r="A9" s="1"/>
      <c r="B9" s="1"/>
      <c r="C9" s="1"/>
      <c r="D9" s="1"/>
      <c r="E9" s="1"/>
      <c r="F9" s="1"/>
      <c r="G9" s="1"/>
      <c r="H9" s="1"/>
    </row>
    <row r="10" spans="1:14" ht="15.75" x14ac:dyDescent="0.25">
      <c r="A10" s="1"/>
      <c r="B10" s="1"/>
      <c r="C10" s="1"/>
      <c r="D10" s="1"/>
      <c r="E10" s="1"/>
      <c r="F10" s="1"/>
      <c r="G10" s="1"/>
      <c r="H10" s="1"/>
    </row>
    <row r="11" spans="1:14" ht="15.75" x14ac:dyDescent="0.25">
      <c r="A11" s="1"/>
      <c r="B11" s="1"/>
      <c r="C11" s="1"/>
      <c r="D11" s="1"/>
      <c r="E11" s="1"/>
      <c r="F11" s="1"/>
      <c r="G11" s="1"/>
      <c r="H11" s="1"/>
    </row>
    <row r="12" spans="1:14" ht="15.75" x14ac:dyDescent="0.25">
      <c r="A12" s="1"/>
      <c r="B12" s="1"/>
      <c r="C12" s="1"/>
      <c r="D12" s="1"/>
      <c r="E12" s="1"/>
      <c r="F12" s="1"/>
      <c r="G12" s="1"/>
      <c r="H12" s="1"/>
    </row>
    <row r="13" spans="1:14" ht="15.75" x14ac:dyDescent="0.25">
      <c r="A13" s="1"/>
      <c r="B13" s="1"/>
      <c r="C13" s="1"/>
      <c r="D13" s="1"/>
      <c r="E13" s="1"/>
      <c r="F13" s="1"/>
      <c r="G13" s="1"/>
      <c r="H13" s="1"/>
    </row>
    <row r="14" spans="1:14" ht="15.75" x14ac:dyDescent="0.25">
      <c r="A14" s="1"/>
      <c r="B14" s="1"/>
      <c r="C14" s="1"/>
      <c r="D14" s="1"/>
      <c r="E14" s="1"/>
      <c r="F14" s="1"/>
      <c r="G14" s="1"/>
      <c r="H14" s="1"/>
    </row>
    <row r="15" spans="1:14" ht="15.75" x14ac:dyDescent="0.25">
      <c r="A15" s="1"/>
      <c r="B15" s="1"/>
      <c r="C15" s="1"/>
      <c r="D15" s="1"/>
      <c r="E15" s="1"/>
      <c r="F15" s="1"/>
      <c r="G15" s="1"/>
      <c r="H15" s="1"/>
    </row>
    <row r="16" spans="1:14" ht="15.75" x14ac:dyDescent="0.25">
      <c r="A16" s="1"/>
      <c r="B16" s="1"/>
      <c r="C16" s="1"/>
      <c r="D16" s="1"/>
      <c r="E16" s="1"/>
      <c r="F16" s="1"/>
      <c r="G16" s="1"/>
      <c r="H16" s="1"/>
    </row>
    <row r="17" spans="1:14" ht="15.75" x14ac:dyDescent="0.25">
      <c r="A17" s="1"/>
      <c r="B17" s="1"/>
      <c r="C17" s="1"/>
      <c r="D17" s="1"/>
      <c r="E17" s="1"/>
      <c r="F17" s="1"/>
      <c r="G17" s="1"/>
      <c r="H17" s="1"/>
    </row>
    <row r="18" spans="1:14" ht="15.75" x14ac:dyDescent="0.25">
      <c r="A18" s="1"/>
      <c r="B18" s="1"/>
      <c r="C18" s="1"/>
      <c r="D18" s="1"/>
      <c r="E18" s="1"/>
      <c r="F18" s="1"/>
      <c r="G18" s="1"/>
      <c r="H18" s="1"/>
    </row>
    <row r="19" spans="1:14" ht="15.75" x14ac:dyDescent="0.25">
      <c r="A19" s="1"/>
      <c r="B19" s="1"/>
      <c r="C19" s="1"/>
      <c r="D19" s="1"/>
      <c r="E19" s="1"/>
      <c r="F19" s="1"/>
      <c r="G19" s="1"/>
      <c r="H19" s="1"/>
    </row>
    <row r="20" spans="1:14" ht="15.75" x14ac:dyDescent="0.25">
      <c r="A20" s="1"/>
      <c r="B20" s="1"/>
      <c r="C20" s="1"/>
      <c r="D20" s="1"/>
      <c r="E20" s="1"/>
      <c r="F20" s="1"/>
      <c r="G20" s="1"/>
      <c r="H20" s="1"/>
    </row>
    <row r="21" spans="1:14" ht="15.75" x14ac:dyDescent="0.25">
      <c r="A21" s="1"/>
      <c r="B21" s="1"/>
      <c r="C21" s="1"/>
      <c r="D21" s="1"/>
      <c r="E21" s="1"/>
      <c r="F21" s="1"/>
      <c r="G21" s="1"/>
      <c r="H21" s="1"/>
    </row>
    <row r="22" spans="1:14" ht="15.75" x14ac:dyDescent="0.25">
      <c r="A22" s="1"/>
      <c r="B22" s="1"/>
      <c r="C22" s="1"/>
      <c r="D22" s="1"/>
      <c r="E22" s="1"/>
      <c r="F22" s="1"/>
      <c r="G22" s="1"/>
      <c r="H22" s="1"/>
    </row>
    <row r="23" spans="1:14" ht="15.75" x14ac:dyDescent="0.25">
      <c r="A23" s="1"/>
      <c r="B23" s="1"/>
      <c r="C23" s="1"/>
      <c r="D23" s="1"/>
      <c r="E23" s="1"/>
      <c r="F23" s="1"/>
      <c r="G23" s="1"/>
      <c r="H23" s="1"/>
    </row>
    <row r="24" spans="1:14" ht="15.75" x14ac:dyDescent="0.25">
      <c r="A24" s="1"/>
      <c r="B24" s="1"/>
      <c r="C24" s="1"/>
      <c r="D24" s="1"/>
      <c r="E24" s="1"/>
      <c r="F24" s="1"/>
      <c r="G24" s="1"/>
      <c r="H24" s="1"/>
    </row>
    <row r="25" spans="1:14" ht="123" customHeight="1" x14ac:dyDescent="0.25">
      <c r="A25" s="1749" t="s">
        <v>2985</v>
      </c>
      <c r="B25" s="1750"/>
      <c r="C25" s="1750"/>
      <c r="D25" s="1750"/>
      <c r="E25" s="1750"/>
      <c r="F25" s="1750"/>
      <c r="G25" s="1750"/>
      <c r="H25" s="1750"/>
      <c r="I25" s="1750"/>
      <c r="J25" s="1750"/>
      <c r="K25" s="1750"/>
      <c r="L25" s="1750"/>
      <c r="M25" s="1750"/>
      <c r="N25" s="1750"/>
    </row>
    <row r="26" spans="1:14" ht="15.75" x14ac:dyDescent="0.25">
      <c r="A26" s="1754" t="s">
        <v>1026</v>
      </c>
      <c r="B26" s="1754"/>
      <c r="C26" s="1754"/>
      <c r="D26" s="1754"/>
      <c r="E26" s="1754"/>
      <c r="F26" s="1754"/>
      <c r="G26" s="1754"/>
      <c r="H26" s="1754"/>
      <c r="I26" s="1754"/>
      <c r="J26" s="1754"/>
      <c r="K26" s="1754"/>
      <c r="L26" s="1754"/>
      <c r="M26" s="1754"/>
      <c r="N26" s="1754"/>
    </row>
    <row r="45" spans="1:14" ht="107.25" customHeight="1" x14ac:dyDescent="0.25">
      <c r="A45" s="1749" t="s">
        <v>2986</v>
      </c>
      <c r="B45" s="1750"/>
      <c r="C45" s="1750"/>
      <c r="D45" s="1750"/>
      <c r="E45" s="1750"/>
      <c r="F45" s="1750"/>
      <c r="G45" s="1750"/>
      <c r="H45" s="1750"/>
      <c r="I45" s="1750"/>
      <c r="J45" s="1750"/>
      <c r="K45" s="1750"/>
      <c r="L45" s="1750"/>
      <c r="M45" s="1750"/>
      <c r="N45" s="1750"/>
    </row>
    <row r="46" spans="1:14" ht="30" customHeight="1" x14ac:dyDescent="0.25">
      <c r="A46" s="1752" t="s">
        <v>2834</v>
      </c>
      <c r="B46" s="1752"/>
      <c r="C46" s="1752"/>
      <c r="D46" s="1752"/>
      <c r="E46" s="1752"/>
      <c r="F46" s="1752"/>
      <c r="G46" s="1752"/>
      <c r="H46" s="1752"/>
      <c r="I46" s="1752"/>
      <c r="J46" s="1752"/>
      <c r="K46" s="1752"/>
      <c r="L46" s="1752"/>
      <c r="M46" s="1752"/>
      <c r="N46" s="1752"/>
    </row>
    <row r="59" spans="1:14" ht="228" customHeight="1" x14ac:dyDescent="0.25">
      <c r="A59" s="1779" t="s">
        <v>2987</v>
      </c>
      <c r="B59" s="1797"/>
      <c r="C59" s="1797"/>
      <c r="D59" s="1797"/>
      <c r="E59" s="1797"/>
      <c r="F59" s="1797"/>
      <c r="G59" s="1797"/>
      <c r="H59" s="1797"/>
      <c r="I59" s="1797"/>
      <c r="J59" s="1797"/>
      <c r="K59" s="1797"/>
      <c r="L59" s="1797"/>
      <c r="M59" s="1797"/>
      <c r="N59" s="1797"/>
    </row>
    <row r="60" spans="1:14" ht="51" customHeight="1" x14ac:dyDescent="0.25">
      <c r="A60" s="1751" t="s">
        <v>1091</v>
      </c>
      <c r="B60" s="1751"/>
      <c r="C60" s="1751"/>
      <c r="D60" s="1751"/>
      <c r="E60" s="1751"/>
      <c r="F60" s="1751"/>
      <c r="G60" s="1751"/>
      <c r="H60" s="1751"/>
      <c r="I60" s="1751"/>
      <c r="J60" s="1751"/>
      <c r="K60" s="1751"/>
      <c r="L60" s="1751"/>
      <c r="M60" s="1751"/>
      <c r="N60" s="1751"/>
    </row>
  </sheetData>
  <mergeCells count="8">
    <mergeCell ref="A46:N46"/>
    <mergeCell ref="A59:N59"/>
    <mergeCell ref="A60:N60"/>
    <mergeCell ref="A5:N5"/>
    <mergeCell ref="A6:N6"/>
    <mergeCell ref="A25:N25"/>
    <mergeCell ref="A45:N45"/>
    <mergeCell ref="A26:N26"/>
  </mergeCells>
  <printOptions horizontalCentered="1" verticalCentered="1"/>
  <pageMargins left="0.39370078740157483" right="0.39370078740157483" top="0.11811023622047245" bottom="3.937007874015748E-2" header="0.31496062992125984" footer="3.937007874015748E-2"/>
  <pageSetup orientation="landscape" r:id="rId1"/>
  <headerFooter>
    <oddFooter>&amp;C&amp;"Times New Roman,Normal"SisMob-BH - Gráficos de 9) Trânsito e sistema viário / 9.5) Sinalização semafórica - p.&amp;P/&amp;N</oddFooter>
  </headerFooter>
  <rowBreaks count="2" manualBreakCount="2">
    <brk id="25" max="16383" man="1"/>
    <brk id="45"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46"/>
  <sheetViews>
    <sheetView zoomScaleNormal="100" workbookViewId="0">
      <selection activeCell="A26" sqref="A26:O26"/>
    </sheetView>
  </sheetViews>
  <sheetFormatPr defaultRowHeight="15" x14ac:dyDescent="0.25"/>
  <sheetData>
    <row r="5" spans="1:15" ht="18.75" x14ac:dyDescent="0.25">
      <c r="A5" s="1764" t="s">
        <v>0</v>
      </c>
      <c r="B5" s="1764"/>
      <c r="C5" s="1764"/>
      <c r="D5" s="1764"/>
      <c r="E5" s="1764"/>
      <c r="F5" s="1764"/>
      <c r="G5" s="1764"/>
      <c r="H5" s="1764"/>
      <c r="I5" s="1764"/>
      <c r="J5" s="1764"/>
      <c r="K5" s="1764"/>
      <c r="L5" s="1764"/>
      <c r="M5" s="1764"/>
      <c r="N5" s="1764"/>
      <c r="O5" s="1764"/>
    </row>
    <row r="6" spans="1:15" ht="31.5" customHeight="1" x14ac:dyDescent="0.25">
      <c r="A6" s="1736" t="s">
        <v>3806</v>
      </c>
      <c r="B6" s="1736"/>
      <c r="C6" s="1736"/>
      <c r="D6" s="1736"/>
      <c r="E6" s="1736"/>
      <c r="F6" s="1736"/>
      <c r="G6" s="1736"/>
      <c r="H6" s="1736"/>
      <c r="I6" s="1736"/>
      <c r="J6" s="1736"/>
      <c r="K6" s="1736"/>
      <c r="L6" s="1736"/>
      <c r="M6" s="1736"/>
      <c r="N6" s="1736"/>
      <c r="O6" s="1736"/>
    </row>
    <row r="25" spans="1:15" ht="32.25" customHeight="1" x14ac:dyDescent="0.25">
      <c r="A25" s="1740" t="s">
        <v>4373</v>
      </c>
      <c r="B25" s="1740"/>
      <c r="C25" s="1740"/>
      <c r="D25" s="1740"/>
      <c r="E25" s="1740"/>
      <c r="F25" s="1740"/>
      <c r="G25" s="1740"/>
      <c r="H25" s="1740"/>
      <c r="I25" s="1740"/>
      <c r="J25" s="1740"/>
      <c r="K25" s="1740"/>
      <c r="L25" s="1740"/>
      <c r="M25" s="1740"/>
      <c r="N25" s="1740"/>
      <c r="O25" s="1740"/>
    </row>
    <row r="26" spans="1:15" ht="55.5" customHeight="1" x14ac:dyDescent="0.25">
      <c r="A26" s="1759" t="s">
        <v>3811</v>
      </c>
      <c r="B26" s="1759"/>
      <c r="C26" s="1759"/>
      <c r="D26" s="1759"/>
      <c r="E26" s="1759"/>
      <c r="F26" s="1759"/>
      <c r="G26" s="1759"/>
      <c r="H26" s="1759"/>
      <c r="I26" s="1759"/>
      <c r="J26" s="1759"/>
      <c r="K26" s="1759"/>
      <c r="L26" s="1759"/>
      <c r="M26" s="1759"/>
      <c r="N26" s="1759"/>
      <c r="O26" s="1759"/>
    </row>
    <row r="27" spans="1:15" ht="36" customHeight="1" x14ac:dyDescent="0.25">
      <c r="A27" s="1736" t="s">
        <v>3805</v>
      </c>
      <c r="B27" s="1736"/>
      <c r="C27" s="1736"/>
      <c r="D27" s="1736"/>
      <c r="E27" s="1736"/>
      <c r="F27" s="1736"/>
      <c r="G27" s="1736"/>
      <c r="H27" s="1736"/>
      <c r="I27" s="1736"/>
      <c r="J27" s="1736"/>
      <c r="K27" s="1736"/>
      <c r="L27" s="1736"/>
      <c r="M27" s="1736"/>
      <c r="N27" s="1736"/>
      <c r="O27" s="1736"/>
    </row>
    <row r="43" spans="1:15" ht="33" customHeight="1" x14ac:dyDescent="0.25">
      <c r="A43" s="1740" t="s">
        <v>4373</v>
      </c>
      <c r="B43" s="1740"/>
      <c r="C43" s="1740"/>
      <c r="D43" s="1740"/>
      <c r="E43" s="1740"/>
      <c r="F43" s="1740"/>
      <c r="G43" s="1740"/>
      <c r="H43" s="1740"/>
      <c r="I43" s="1740"/>
      <c r="J43" s="1740"/>
      <c r="K43" s="1740"/>
      <c r="L43" s="1740"/>
      <c r="M43" s="1740"/>
      <c r="N43" s="1740"/>
      <c r="O43" s="1740"/>
    </row>
    <row r="44" spans="1:15" x14ac:dyDescent="0.25">
      <c r="A44" s="1782" t="s">
        <v>3807</v>
      </c>
      <c r="B44" s="1782"/>
      <c r="C44" s="1782"/>
      <c r="D44" s="1782"/>
      <c r="E44" s="1782"/>
      <c r="F44" s="1782"/>
      <c r="G44" s="1782"/>
      <c r="H44" s="1782"/>
      <c r="I44" s="1782"/>
      <c r="J44" s="1782"/>
      <c r="K44" s="1782"/>
      <c r="L44" s="1782"/>
      <c r="M44" s="1782"/>
      <c r="N44" s="1782"/>
      <c r="O44" s="1782"/>
    </row>
    <row r="46" spans="1:15" ht="45" customHeight="1" x14ac:dyDescent="0.25">
      <c r="A46" s="1763" t="s">
        <v>4375</v>
      </c>
      <c r="B46" s="1763"/>
      <c r="C46" s="1763"/>
      <c r="D46" s="1763"/>
      <c r="E46" s="1763"/>
      <c r="F46" s="1763"/>
      <c r="G46" s="1763"/>
      <c r="H46" s="1763"/>
      <c r="I46" s="1763"/>
      <c r="J46" s="1763"/>
      <c r="K46" s="1763"/>
      <c r="L46" s="1763"/>
      <c r="M46" s="1763"/>
      <c r="N46" s="1763"/>
      <c r="O46" s="1763"/>
    </row>
  </sheetData>
  <mergeCells count="8">
    <mergeCell ref="A44:O44"/>
    <mergeCell ref="A46:O46"/>
    <mergeCell ref="A26:O26"/>
    <mergeCell ref="A5:O5"/>
    <mergeCell ref="A6:O6"/>
    <mergeCell ref="A25:O25"/>
    <mergeCell ref="A27:O27"/>
    <mergeCell ref="A43:O43"/>
  </mergeCells>
  <printOptions horizontalCentered="1" verticalCentered="1"/>
  <pageMargins left="0.39370078740157483" right="0.39370078740157483" top="0.39370078740157483" bottom="0.39370078740157483" header="0.31496062992125984" footer="0.31496062992125984"/>
  <pageSetup paperSize="9" orientation="landscape" verticalDpi="0" r:id="rId1"/>
  <headerFooter>
    <oddFooter>&amp;C&amp;"Times New Roman,Normal"&amp;10SisMob-BH - Gráficos do assunto 9) Trânsitoe  sistema viário / 9.6) Velocidades, tempos e volumes - p.&amp;P/&amp;N</oddFooter>
  </headerFooter>
  <rowBreaks count="1" manualBreakCount="1">
    <brk id="26"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U898"/>
  <sheetViews>
    <sheetView topLeftCell="A3" zoomScale="75" zoomScaleNormal="75" workbookViewId="0">
      <pane xSplit="5" ySplit="1" topLeftCell="F4" activePane="bottomRight" state="frozen"/>
      <selection activeCell="A3" sqref="A3"/>
      <selection pane="topRight" activeCell="F3" sqref="F3"/>
      <selection pane="bottomLeft" activeCell="A4" sqref="A4"/>
      <selection pane="bottomRight" activeCell="A5" sqref="A5"/>
    </sheetView>
  </sheetViews>
  <sheetFormatPr defaultRowHeight="15.75" x14ac:dyDescent="0.25"/>
  <cols>
    <col min="1" max="1" width="9.140625" style="105"/>
    <col min="2" max="2" width="13.42578125" style="265" customWidth="1"/>
    <col min="3" max="3" width="9.7109375" style="52" customWidth="1"/>
    <col min="4" max="4" width="19.85546875" style="32" customWidth="1"/>
    <col min="5" max="5" width="15.7109375" style="459" customWidth="1"/>
    <col min="6" max="6" width="82.7109375" style="479" customWidth="1"/>
    <col min="7" max="7" width="19.28515625" style="273" customWidth="1"/>
    <col min="8" max="8" width="10.28515625" style="273" customWidth="1"/>
    <col min="9" max="9" width="5.140625" style="2" customWidth="1"/>
    <col min="10" max="10" width="11.7109375" style="2" customWidth="1"/>
    <col min="11" max="11" width="11.5703125" style="105" bestFit="1" customWidth="1"/>
    <col min="12" max="15" width="9.140625" style="105"/>
    <col min="16" max="17" width="10.5703125" style="105" bestFit="1" customWidth="1"/>
    <col min="18" max="18" width="15.42578125" style="105" bestFit="1" customWidth="1"/>
    <col min="19" max="19" width="10.5703125" style="1159" bestFit="1" customWidth="1"/>
    <col min="20" max="20" width="10.5703125" style="105" bestFit="1" customWidth="1"/>
    <col min="21" max="21" width="15.42578125" style="105" customWidth="1"/>
    <col min="22" max="22" width="13.42578125" style="1159" customWidth="1"/>
    <col min="23" max="23" width="10.28515625" style="105" bestFit="1" customWidth="1"/>
    <col min="24" max="24" width="10.5703125" style="105" bestFit="1" customWidth="1"/>
    <col min="25" max="25" width="10.42578125" style="105" bestFit="1" customWidth="1"/>
    <col min="26" max="26" width="10.85546875" style="105" bestFit="1" customWidth="1"/>
    <col min="27" max="27" width="9.85546875" style="105" bestFit="1" customWidth="1"/>
    <col min="28" max="29" width="10.28515625" style="105" bestFit="1" customWidth="1"/>
    <col min="30" max="30" width="10.85546875" style="105" bestFit="1" customWidth="1"/>
    <col min="31" max="31" width="10.28515625" style="105" bestFit="1" customWidth="1"/>
    <col min="32" max="33" width="10.5703125" style="105" bestFit="1" customWidth="1"/>
    <col min="34" max="35" width="10.28515625" style="105" bestFit="1" customWidth="1"/>
    <col min="36" max="36" width="13.140625" style="105" bestFit="1" customWidth="1"/>
    <col min="37" max="37" width="12.140625" style="105" customWidth="1"/>
    <col min="38" max="53" width="14.140625" style="105" customWidth="1"/>
    <col min="54" max="54" width="9.85546875" style="105" customWidth="1"/>
    <col min="55" max="55" width="12.140625" style="105" customWidth="1"/>
    <col min="56" max="56" width="9.140625" style="105"/>
    <col min="57" max="57" width="18.42578125" style="105" customWidth="1"/>
    <col min="58" max="58" width="14.5703125" style="105" customWidth="1"/>
    <col min="59" max="59" width="14.85546875" style="105" customWidth="1"/>
    <col min="60" max="16384" width="9.140625" style="105"/>
  </cols>
  <sheetData>
    <row r="1" spans="1:56" ht="18.75" customHeight="1" x14ac:dyDescent="0.25">
      <c r="A1" s="1800" t="s">
        <v>0</v>
      </c>
      <c r="B1" s="1801"/>
      <c r="C1" s="1801"/>
      <c r="D1" s="1801"/>
      <c r="E1" s="1801"/>
      <c r="F1" s="1801"/>
      <c r="G1" s="1801"/>
      <c r="H1" s="1801"/>
      <c r="I1" s="1802"/>
      <c r="J1" s="269"/>
    </row>
    <row r="2" spans="1:56" ht="16.5" customHeight="1" x14ac:dyDescent="0.25">
      <c r="A2" s="1803" t="s">
        <v>999</v>
      </c>
      <c r="B2" s="1804"/>
      <c r="C2" s="1804"/>
      <c r="D2" s="1804"/>
      <c r="E2" s="1804"/>
      <c r="F2" s="1804"/>
      <c r="G2" s="1804"/>
      <c r="H2" s="1804"/>
      <c r="I2" s="1805"/>
      <c r="J2" s="271"/>
      <c r="R2" s="280" t="s">
        <v>1002</v>
      </c>
      <c r="S2" s="280" t="s">
        <v>1003</v>
      </c>
      <c r="U2" s="280" t="s">
        <v>1004</v>
      </c>
      <c r="V2" s="280" t="s">
        <v>1001</v>
      </c>
    </row>
    <row r="3" spans="1:56" s="8" customFormat="1" ht="85.5" customHeight="1" x14ac:dyDescent="0.25">
      <c r="A3" s="240" t="str">
        <f>'Q100a-geral'!A7</f>
        <v>item</v>
      </c>
      <c r="B3" s="240" t="str">
        <f>'Q100a-geral'!B7</f>
        <v>assunto</v>
      </c>
      <c r="C3" s="228" t="str">
        <f>'Q100a-geral'!C7</f>
        <v>marcador 1</v>
      </c>
      <c r="D3" s="166" t="str">
        <f>'Q100a-geral'!D7</f>
        <v>sigla ou nome do registro</v>
      </c>
      <c r="E3" s="166" t="str">
        <f>'Q100a-geral'!E7</f>
        <v>cidade/região</v>
      </c>
      <c r="F3" s="228" t="str">
        <f>'Q100a-geral'!F7</f>
        <v>descrição</v>
      </c>
      <c r="G3" s="170" t="str">
        <f>'Q100a-geral'!G7</f>
        <v>forma de cálculo ou observação</v>
      </c>
      <c r="H3" s="228" t="str">
        <f>'Q100a-geral'!H7</f>
        <v>marcador 2</v>
      </c>
      <c r="I3" s="166" t="str">
        <f>'Q100a-geral'!I7</f>
        <v>contador de indicador</v>
      </c>
      <c r="J3" s="237">
        <f>'Q100a-geral'!J7</f>
        <v>1990</v>
      </c>
      <c r="K3" s="270">
        <f>'Q100a-geral'!K7</f>
        <v>1991</v>
      </c>
      <c r="L3" s="270">
        <f>'Q100a-geral'!L7</f>
        <v>1992</v>
      </c>
      <c r="M3" s="270">
        <f>'Q100a-geral'!M7</f>
        <v>1993</v>
      </c>
      <c r="N3" s="270">
        <f>'Q100a-geral'!N7</f>
        <v>1994</v>
      </c>
      <c r="O3" s="270">
        <f>'Q100a-geral'!O7</f>
        <v>1995</v>
      </c>
      <c r="P3" s="270">
        <f>'Q100a-geral'!P7</f>
        <v>1996</v>
      </c>
      <c r="Q3" s="270">
        <f>'Q100a-geral'!Q7</f>
        <v>1997</v>
      </c>
      <c r="R3" s="277">
        <v>1998</v>
      </c>
      <c r="S3" s="155">
        <v>1998</v>
      </c>
      <c r="T3" s="270">
        <f>'Q100a-geral'!T7</f>
        <v>1999</v>
      </c>
      <c r="U3" s="277">
        <v>2000</v>
      </c>
      <c r="V3" s="155">
        <v>2000</v>
      </c>
      <c r="W3" s="270">
        <f>'Q100a-geral'!W7</f>
        <v>2001</v>
      </c>
      <c r="X3" s="270">
        <f>'Q100a-geral'!X7</f>
        <v>2002</v>
      </c>
      <c r="Y3" s="270">
        <f>'Q100a-geral'!Y7</f>
        <v>2003</v>
      </c>
      <c r="Z3" s="270">
        <f>'Q100a-geral'!Z7</f>
        <v>2004</v>
      </c>
      <c r="AA3" s="270">
        <f>'Q100a-geral'!AA7</f>
        <v>2005</v>
      </c>
      <c r="AB3" s="270">
        <f>'Q100a-geral'!AB7</f>
        <v>2006</v>
      </c>
      <c r="AC3" s="270">
        <f>'Q100a-geral'!AC7</f>
        <v>2007</v>
      </c>
      <c r="AD3" s="270">
        <f>'Q100a-geral'!AD7</f>
        <v>2008</v>
      </c>
      <c r="AE3" s="270">
        <f>'Q100a-geral'!AE7</f>
        <v>2009</v>
      </c>
      <c r="AF3" s="270">
        <f>'Q100a-geral'!AF7</f>
        <v>2010</v>
      </c>
      <c r="AG3" s="270">
        <f>'Q100a-geral'!AG7</f>
        <v>2011</v>
      </c>
      <c r="AH3" s="270">
        <f>'Q100a-geral'!AH7</f>
        <v>2012</v>
      </c>
      <c r="AI3" s="270">
        <f>'Q100a-geral'!AI7</f>
        <v>2013</v>
      </c>
      <c r="AJ3" s="270">
        <f>'Q100a-geral'!AJ7</f>
        <v>2014</v>
      </c>
      <c r="AK3" s="270">
        <f>'Q100a-geral'!AK7</f>
        <v>2015</v>
      </c>
      <c r="AL3" s="166" t="str">
        <f>'Q100a-geral'!AL7</f>
        <v>x</v>
      </c>
      <c r="AM3" s="270">
        <f>'Q100a-geral'!AM7</f>
        <v>2016</v>
      </c>
      <c r="AN3" s="270">
        <f>'Q100a-geral'!AN7</f>
        <v>2017</v>
      </c>
      <c r="AO3" s="270">
        <f>'Q100a-geral'!AO7</f>
        <v>2018</v>
      </c>
      <c r="AP3" s="270">
        <f>'Q100a-geral'!AP7</f>
        <v>2019</v>
      </c>
      <c r="AQ3" s="270">
        <f>'Q100a-geral'!AQ7</f>
        <v>2020</v>
      </c>
      <c r="AR3" s="907">
        <v>2021</v>
      </c>
      <c r="AS3" s="907">
        <f>'Q100a-geral'!AS7</f>
        <v>2022</v>
      </c>
      <c r="AT3" s="907">
        <f>'Q100a-geral'!AT7</f>
        <v>2023</v>
      </c>
      <c r="AU3" s="907">
        <v>2024</v>
      </c>
      <c r="AV3" s="270">
        <f>'Q100a-geral'!AV7</f>
        <v>2025</v>
      </c>
      <c r="AW3" s="907">
        <v>2026</v>
      </c>
      <c r="AX3" s="907">
        <v>2027</v>
      </c>
      <c r="AY3" s="907">
        <v>2028</v>
      </c>
      <c r="AZ3" s="907">
        <v>2029</v>
      </c>
      <c r="BA3" s="270">
        <f>'Q100a-geral'!BA7</f>
        <v>2030</v>
      </c>
      <c r="BB3" s="1603" t="str">
        <f>'Q100a-geral'!BB7</f>
        <v>contadores para totalizações do Quadro 101</v>
      </c>
      <c r="BC3" s="1604"/>
      <c r="BD3" s="1605"/>
    </row>
    <row r="4" spans="1:56" s="3" customFormat="1" ht="312.75" customHeight="1" x14ac:dyDescent="0.25">
      <c r="A4" s="262" t="str">
        <f>'Q100a-geral'!A10</f>
        <v>3.2.1</v>
      </c>
      <c r="B4" s="53" t="str">
        <f>'Q100a-geral'!B10</f>
        <v>Avaliações em pesquisas externas de opinião</v>
      </c>
      <c r="C4" s="167" t="str">
        <f>'Q100a-geral'!C10</f>
        <v>x</v>
      </c>
      <c r="D4" s="322" t="str">
        <f>'Q100a-geral'!D10</f>
        <v>A</v>
      </c>
      <c r="E4" s="11" t="str">
        <f>'Q100a-geral'!E10</f>
        <v>x</v>
      </c>
      <c r="F4" s="446" t="str">
        <f>'Q100a-geral'!F10</f>
        <v>avaliação
obs.1: por vezes conceituadas como "percepções" ou "declarações", as avaliações são captadas em pesquisas, sejam internas à BHTrans ou externas
obs.2:  nas pesquisas denominadas "de opinião" a população de Belo Horizonte vem sendo consultada periodicamente desde 1995 para, entre outras questões, quantificar as avaliações dos sistemas de trânsito e de transporte coletivo de Belo Horizonte, bem como da gestão desses serviços por parte da BHTrans (as questões de trãnsito se iniciam em 1996 e em alguns anos não foi realizada pesquisa: 1997, 1999, 2009, 2012, 2014)
obs.3: "Com relação ao transporte coletivo e ao trânsito, as questões formuladas utilizam expressões muito similares ao longo da série histórica: a) “de maneira geral, como você avalia...”; b) “no geral, qual a sua avaliação...”; c) “como você avalia...”. Com relação à atuação da BHTrans, tanto em relação aos serviços gerenciados como em relação ao trabalho geral da empresa, as expressões usadas são também similares ao longo da série: a) “você acha que a BHTrans está realizando um trabalho...”; b) “como você avalia a atuação da BHTrans...”; c) “como você avalia o trabalho desenvolvido pela BHTrans...”; d) “na sua opinião o trabalho realizado pela BHTrans...”; e) “depois que você avaliou as duas áreas em que a BHTrans atua, qual a sua avaliação geral...”. (OLIVEIRA, 2014, p.321); no caso do transporte coletivo, em algumas pesquisas ao longo da série histórica há questões separadas para "transporte convencional" e "transporte suplementar", mas quando não há questões separadas as respostas são tomadas como sendo relativas ao transporte convencional, pois esse é o subssistema majoritário de transporte coletivo de Belo Horizonte (as respostas relativas ao transporte suplementar podem e devem ser estudadas e cotejadas com Atc)
obs.4: análises dos resultados das evoluções dos indicadores "AB", "Atc" e "Ats" entre 1995 e 2011 são encontrados em OLIVEIRA (2014)</v>
      </c>
      <c r="G4" s="252" t="str">
        <f>'Q100a-geral'!G10</f>
        <v>consulte:
AB, Atc, Ats</v>
      </c>
      <c r="H4" s="173" t="str">
        <f>'Q100a-geral'!H10</f>
        <v>sigla/verbete</v>
      </c>
      <c r="I4" s="57" t="str">
        <f>'Q100a-geral'!I10</f>
        <v>x</v>
      </c>
      <c r="J4" s="107" t="str">
        <f>'Q100a-geral'!J10</f>
        <v>x</v>
      </c>
      <c r="K4" s="107" t="str">
        <f>'Q100a-geral'!K10</f>
        <v>x</v>
      </c>
      <c r="L4" s="107" t="str">
        <f>'Q100a-geral'!L10</f>
        <v>x</v>
      </c>
      <c r="M4" s="107" t="str">
        <f>'Q100a-geral'!M10</f>
        <v>x</v>
      </c>
      <c r="N4" s="107" t="str">
        <f>'Q100a-geral'!N10</f>
        <v>x</v>
      </c>
      <c r="O4" s="107" t="str">
        <f>'Q100a-geral'!O10</f>
        <v>x</v>
      </c>
      <c r="P4" s="107" t="str">
        <f>'Q100a-geral'!P10</f>
        <v>x</v>
      </c>
      <c r="Q4" s="107" t="str">
        <f>'Q100a-geral'!Q10</f>
        <v>x</v>
      </c>
      <c r="R4" s="107" t="str">
        <f>'Q100a-geral'!R10</f>
        <v>x</v>
      </c>
      <c r="S4" s="109" t="str">
        <f>'Q100a-geral'!S10</f>
        <v>só para pesquisa</v>
      </c>
      <c r="T4" s="107" t="str">
        <f>'Q100a-geral'!T10</f>
        <v>x</v>
      </c>
      <c r="U4" s="107" t="str">
        <f>'Q100a-geral'!U10</f>
        <v>x</v>
      </c>
      <c r="V4" s="107" t="str">
        <f>'Q100a-geral'!V10</f>
        <v>só para pesquisa</v>
      </c>
      <c r="W4" s="107" t="str">
        <f>'Q100a-geral'!W10</f>
        <v>x</v>
      </c>
      <c r="X4" s="107" t="str">
        <f>'Q100a-geral'!X10</f>
        <v>x</v>
      </c>
      <c r="Y4" s="107" t="str">
        <f>'Q100a-geral'!Y10</f>
        <v>x</v>
      </c>
      <c r="Z4" s="107" t="str">
        <f>'Q100a-geral'!Z10</f>
        <v>x</v>
      </c>
      <c r="AA4" s="107" t="str">
        <f>'Q100a-geral'!AA10</f>
        <v>x</v>
      </c>
      <c r="AB4" s="107" t="str">
        <f>'Q100a-geral'!AB10</f>
        <v>x</v>
      </c>
      <c r="AC4" s="107" t="str">
        <f>'Q100a-geral'!AC10</f>
        <v>x</v>
      </c>
      <c r="AD4" s="107" t="str">
        <f>'Q100a-geral'!AD10</f>
        <v>x</v>
      </c>
      <c r="AE4" s="107" t="str">
        <f>'Q100a-geral'!AE10</f>
        <v>não realizada pesquisa em BH</v>
      </c>
      <c r="AF4" s="107" t="str">
        <f>'Q100a-geral'!AF10</f>
        <v>x</v>
      </c>
      <c r="AG4" s="107" t="str">
        <f>'Q100a-geral'!AG10</f>
        <v>x</v>
      </c>
      <c r="AH4" s="107" t="str">
        <f>'Q100a-geral'!AH10</f>
        <v>não realizada pesquisa em BH</v>
      </c>
      <c r="AI4" s="107" t="str">
        <f>'Q100a-geral'!AI10</f>
        <v>x</v>
      </c>
      <c r="AJ4" s="107" t="str">
        <f>'Q100a-geral'!AJ10</f>
        <v>não realizada pesquisa em BH</v>
      </c>
      <c r="AK4" s="137" t="str">
        <f>'Q100a-geral'!AK10</f>
        <v>x</v>
      </c>
      <c r="AL4" s="173" t="str">
        <f>'Q100a-geral'!AL10</f>
        <v>x</v>
      </c>
      <c r="AM4" s="137" t="str">
        <f>'Q100a-geral'!AM10</f>
        <v>x</v>
      </c>
      <c r="AN4" s="137" t="str">
        <f>'Q100a-geral'!AN10</f>
        <v>x</v>
      </c>
      <c r="AO4" s="137" t="str">
        <f>'Q100a-geral'!AO10</f>
        <v>x</v>
      </c>
      <c r="AP4" s="137" t="str">
        <f>'Q100a-geral'!AP10</f>
        <v>x</v>
      </c>
      <c r="AQ4" s="137" t="str">
        <f>'Q100a-geral'!AQ10</f>
        <v>x</v>
      </c>
      <c r="AR4" s="137"/>
      <c r="AS4" s="137"/>
      <c r="AT4" s="137"/>
      <c r="AU4" s="137"/>
      <c r="AV4" s="137" t="str">
        <f>'Q100a-geral'!AV10</f>
        <v>x</v>
      </c>
      <c r="AW4" s="137"/>
      <c r="AX4" s="137"/>
      <c r="AY4" s="137"/>
      <c r="AZ4" s="137"/>
      <c r="BA4" s="137" t="str">
        <f>'Q100a-geral'!BA10</f>
        <v>x</v>
      </c>
      <c r="BB4" s="239" t="str">
        <f>'Q100a-geral'!BB10</f>
        <v>Avaliações em pesquisas externas de opiniãox</v>
      </c>
      <c r="BC4" s="239" t="str">
        <f>'Q100a-geral'!BC10</f>
        <v>Avaliações em pesquisas externas de opiniãoxsigla/verbete</v>
      </c>
      <c r="BD4" s="239" t="str">
        <f>'Q100a-geral'!BD10</f>
        <v>Avaliações em pesquisas externas de opiniãosigla/verbete</v>
      </c>
    </row>
    <row r="5" spans="1:56" s="3" customFormat="1" ht="45" x14ac:dyDescent="0.25">
      <c r="A5" s="275" t="str">
        <f>'Q100a-geral'!A11</f>
        <v>3.3</v>
      </c>
      <c r="B5" s="53" t="str">
        <f>'Q100a-geral'!B11</f>
        <v>Pesquisas internas</v>
      </c>
      <c r="C5" s="229" t="str">
        <f>'Q100a-geral'!C11</f>
        <v>x</v>
      </c>
      <c r="D5" s="33" t="str">
        <f>'Q100a-geral'!D11</f>
        <v>A</v>
      </c>
      <c r="E5" s="59" t="str">
        <f>'Q100a-geral'!E11</f>
        <v>x</v>
      </c>
      <c r="F5" s="629" t="str">
        <f>'Q100a-geral'!F11</f>
        <v>avaliação
obs.1: por vezes conceituadas como "percepções" ou "declarações", as avaliações são captadas em pesquisas, sejam internas à BHTrans ou externas;
obs.2: nas pesquisas internas são consultados os próprios empregados da BHTrans</v>
      </c>
      <c r="G5" s="11" t="str">
        <f>'Q100a-geral'!G11</f>
        <v>ainda não incorporado ao SisMob-BH</v>
      </c>
      <c r="H5" s="169" t="str">
        <f>'Q100a-geral'!H11</f>
        <v>sigla/verbete</v>
      </c>
      <c r="I5" s="169" t="str">
        <f>'Q100a-geral'!I11</f>
        <v>x</v>
      </c>
      <c r="J5" s="156" t="str">
        <f>'Q100a-geral'!J11</f>
        <v>x</v>
      </c>
      <c r="K5" s="156" t="str">
        <f>'Q100a-geral'!K11</f>
        <v>x</v>
      </c>
      <c r="L5" s="156" t="str">
        <f>'Q100a-geral'!L11</f>
        <v>x</v>
      </c>
      <c r="M5" s="156" t="str">
        <f>'Q100a-geral'!M11</f>
        <v>x</v>
      </c>
      <c r="N5" s="156" t="str">
        <f>'Q100a-geral'!N11</f>
        <v>x</v>
      </c>
      <c r="O5" s="156" t="str">
        <f>'Q100a-geral'!O11</f>
        <v>x</v>
      </c>
      <c r="P5" s="156" t="str">
        <f>'Q100a-geral'!P11</f>
        <v>x</v>
      </c>
      <c r="Q5" s="156" t="str">
        <f>'Q100a-geral'!Q11</f>
        <v>x</v>
      </c>
      <c r="R5" s="156" t="str">
        <f>'Q100a-geral'!R11</f>
        <v>x</v>
      </c>
      <c r="S5" s="153" t="str">
        <f>'Q100a-geral'!S11</f>
        <v>só para pesquisa</v>
      </c>
      <c r="T5" s="156" t="str">
        <f>'Q100a-geral'!T11</f>
        <v>x</v>
      </c>
      <c r="U5" s="156" t="str">
        <f>'Q100a-geral'!U11</f>
        <v>x</v>
      </c>
      <c r="V5" s="156" t="str">
        <f>'Q100a-geral'!V11</f>
        <v>só para pesquisa</v>
      </c>
      <c r="W5" s="156" t="str">
        <f>'Q100a-geral'!W11</f>
        <v>x</v>
      </c>
      <c r="X5" s="156" t="str">
        <f>'Q100a-geral'!X11</f>
        <v>x</v>
      </c>
      <c r="Y5" s="156" t="str">
        <f>'Q100a-geral'!Y11</f>
        <v>x</v>
      </c>
      <c r="Z5" s="156" t="str">
        <f>'Q100a-geral'!Z11</f>
        <v>x</v>
      </c>
      <c r="AA5" s="156" t="str">
        <f>'Q100a-geral'!AA11</f>
        <v>x</v>
      </c>
      <c r="AB5" s="156" t="str">
        <f>'Q100a-geral'!AB11</f>
        <v>x</v>
      </c>
      <c r="AC5" s="156" t="str">
        <f>'Q100a-geral'!AC11</f>
        <v>x</v>
      </c>
      <c r="AD5" s="156" t="str">
        <f>'Q100a-geral'!AD11</f>
        <v>x</v>
      </c>
      <c r="AE5" s="156" t="str">
        <f>'Q100a-geral'!AE11</f>
        <v>x</v>
      </c>
      <c r="AF5" s="156" t="str">
        <f>'Q100a-geral'!AF11</f>
        <v>x</v>
      </c>
      <c r="AG5" s="156" t="str">
        <f>'Q100a-geral'!AG11</f>
        <v>x</v>
      </c>
      <c r="AH5" s="156" t="str">
        <f>'Q100a-geral'!AH11</f>
        <v>x</v>
      </c>
      <c r="AI5" s="156" t="str">
        <f>'Q100a-geral'!AI11</f>
        <v>x</v>
      </c>
      <c r="AJ5" s="156" t="str">
        <f>'Q100a-geral'!AJ11</f>
        <v>x</v>
      </c>
      <c r="AK5" s="137" t="str">
        <f>'Q100a-geral'!AK11</f>
        <v>x</v>
      </c>
      <c r="AL5" s="169" t="str">
        <f>'Q100a-geral'!AL11</f>
        <v>x</v>
      </c>
      <c r="AM5" s="137" t="str">
        <f>'Q100a-geral'!AM11</f>
        <v>x</v>
      </c>
      <c r="AN5" s="137" t="str">
        <f>'Q100a-geral'!AN11</f>
        <v>x</v>
      </c>
      <c r="AO5" s="137" t="str">
        <f>'Q100a-geral'!AO11</f>
        <v>x</v>
      </c>
      <c r="AP5" s="137" t="str">
        <f>'Q100a-geral'!AP11</f>
        <v>x</v>
      </c>
      <c r="AQ5" s="137" t="str">
        <f>'Q100a-geral'!AQ11</f>
        <v>x</v>
      </c>
      <c r="AR5" s="137"/>
      <c r="AS5" s="137"/>
      <c r="AT5" s="137"/>
      <c r="AU5" s="137"/>
      <c r="AV5" s="137" t="str">
        <f>'Q100a-geral'!AV11</f>
        <v>x</v>
      </c>
      <c r="AW5" s="137"/>
      <c r="AX5" s="137"/>
      <c r="AY5" s="137"/>
      <c r="AZ5" s="137"/>
      <c r="BA5" s="137" t="str">
        <f>'Q100a-geral'!BA11</f>
        <v>x</v>
      </c>
      <c r="BB5" s="239" t="str">
        <f>'Q100a-geral'!BB11</f>
        <v>Pesquisas internasx</v>
      </c>
      <c r="BC5" s="239" t="str">
        <f>'Q100a-geral'!BC11</f>
        <v>Pesquisas internasxsigla/verbete</v>
      </c>
      <c r="BD5" s="239" t="str">
        <f>'Q100a-geral'!BD11</f>
        <v>Pesquisas internassigla/verbete</v>
      </c>
    </row>
    <row r="6" spans="1:56" s="3" customFormat="1" ht="63.75" customHeight="1" x14ac:dyDescent="0.25">
      <c r="A6" s="275" t="str">
        <f>'Q100a-geral'!A15</f>
        <v>3.2.1</v>
      </c>
      <c r="B6" s="252" t="str">
        <f>'Q100a-geral'!B15</f>
        <v>Avaliações em pesquisas externas de opinião</v>
      </c>
      <c r="C6" s="229" t="str">
        <f>'Q100a-geral'!C15</f>
        <v>x</v>
      </c>
      <c r="D6" s="287" t="str">
        <f>'Q100a-geral'!D15</f>
        <v>AB</v>
      </c>
      <c r="E6" s="930" t="str">
        <f>'Q100a-geral'!E15</f>
        <v>Belo Horizonte</v>
      </c>
      <c r="F6" s="445" t="str">
        <f>'Q100a-geral'!F15</f>
        <v>avaliação geral da BHTrans
obs.1: consulte "A" para bem entender este indicador
obs.2: análises dos resultados das evoluções dos indicadores "AB" entre 1995 e 2011 são encontrados em OLIVEIRA (2014)
obs.3: na pesquisa de 2015 a pergunta que vinha sendo feita desde 1995 no início do questionário (junto às avaliações da gestão da empresa no transporte e no trânsito) muda para o final como parte de bloco que avalia a imagem e o atendimento de várias instituições, o que compromete a comparabilidade</v>
      </c>
      <c r="G6" s="252" t="str">
        <f>'Q100a-geral'!G15</f>
        <v>AB = ((AB[o]x5)+(AB[b]x4)+ (AB[rg]x3)+(AB[r]x2)+ (AB[p]x1))/(100-AB[NS.NR])</v>
      </c>
      <c r="H6" s="173" t="str">
        <f>'Q100a-geral'!H15</f>
        <v>x</v>
      </c>
      <c r="I6" s="167">
        <f>'Q100a-geral'!I15</f>
        <v>1</v>
      </c>
      <c r="J6" s="107" t="str">
        <f>'Q100a-geral'!J15</f>
        <v>x</v>
      </c>
      <c r="K6" s="107" t="str">
        <f>'Q100a-geral'!K15</f>
        <v>x</v>
      </c>
      <c r="L6" s="107" t="str">
        <f>'Q100a-geral'!L15</f>
        <v>x</v>
      </c>
      <c r="M6" s="107" t="str">
        <f>'Q100a-geral'!M15</f>
        <v>x</v>
      </c>
      <c r="N6" s="107" t="str">
        <f>'Q100a-geral'!N15</f>
        <v>x</v>
      </c>
      <c r="O6" s="64">
        <f>'Q100a-geral'!O15</f>
        <v>3.5862068965517242</v>
      </c>
      <c r="P6" s="64">
        <f>'Q100a-geral'!P15</f>
        <v>3.4565217391304346</v>
      </c>
      <c r="Q6" s="421"/>
      <c r="R6" s="64">
        <f>'Q100a-geral'!R15</f>
        <v>3.5765306122448979</v>
      </c>
      <c r="S6" s="894"/>
      <c r="T6" s="421"/>
      <c r="U6" s="64">
        <f>'Q100a-geral'!U15</f>
        <v>3.1855670103092781</v>
      </c>
      <c r="V6" s="894"/>
      <c r="W6" s="64">
        <f>'Q100a-geral'!W15</f>
        <v>3.0871564320016351</v>
      </c>
      <c r="X6" s="64">
        <f>'Q100a-geral'!X15</f>
        <v>3.2245663860432092</v>
      </c>
      <c r="Y6" s="64">
        <f>'Q100a-geral'!Y15</f>
        <v>2.9459571814591561</v>
      </c>
      <c r="Z6" s="64">
        <f>'Q100a-geral'!Z15</f>
        <v>3.1962922573609598</v>
      </c>
      <c r="AA6" s="64">
        <f>'Q100a-geral'!AA15</f>
        <v>3.1458333333333335</v>
      </c>
      <c r="AB6" s="64">
        <f>'Q100a-geral'!AB15</f>
        <v>3.129278350515464</v>
      </c>
      <c r="AC6" s="64">
        <f>'Q100a-geral'!AC15</f>
        <v>3.2613008795254652</v>
      </c>
      <c r="AD6" s="64">
        <f>'Q100a-geral'!AD15</f>
        <v>2.9373916590190681</v>
      </c>
      <c r="AE6" s="421"/>
      <c r="AF6" s="64">
        <f>'Q100a-geral'!AF15</f>
        <v>2.7759522812892423</v>
      </c>
      <c r="AG6" s="421"/>
      <c r="AH6" s="421"/>
      <c r="AI6" s="81">
        <f>'Q100a-geral'!AI15</f>
        <v>2.6428571428571428</v>
      </c>
      <c r="AJ6" s="421"/>
      <c r="AK6" s="421"/>
      <c r="AL6" s="212" t="str">
        <f>'Q100a-geral'!AL15</f>
        <v>x</v>
      </c>
      <c r="AM6" s="137" t="str">
        <f>'Q100a-geral'!AM15</f>
        <v>x</v>
      </c>
      <c r="AN6" s="137" t="str">
        <f>'Q100a-geral'!AN15</f>
        <v>x</v>
      </c>
      <c r="AO6" s="137" t="str">
        <f>'Q100a-geral'!AO15</f>
        <v>x</v>
      </c>
      <c r="AP6" s="137" t="str">
        <f>'Q100a-geral'!AP15</f>
        <v>x</v>
      </c>
      <c r="AQ6" s="137" t="str">
        <f>'Q100a-geral'!AQ15</f>
        <v>x</v>
      </c>
      <c r="AR6" s="137"/>
      <c r="AS6" s="137"/>
      <c r="AT6" s="137"/>
      <c r="AU6" s="137"/>
      <c r="AV6" s="137" t="str">
        <f>'Q100a-geral'!AV15</f>
        <v>x</v>
      </c>
      <c r="AW6" s="137"/>
      <c r="AX6" s="137"/>
      <c r="AY6" s="137"/>
      <c r="AZ6" s="137"/>
      <c r="BA6" s="137" t="str">
        <f>'Q100a-geral'!BA15</f>
        <v>x</v>
      </c>
      <c r="BB6" s="239" t="str">
        <f>'Q100a-geral'!BB15</f>
        <v>Avaliações em pesquisas externas de opiniãox</v>
      </c>
      <c r="BC6" s="239" t="str">
        <f>'Q100a-geral'!BC15</f>
        <v>Avaliações em pesquisas externas de opiniãoxx</v>
      </c>
      <c r="BD6" s="239" t="str">
        <f>'Q100a-geral'!BD15</f>
        <v>Avaliações em pesquisas externas de opiniãox</v>
      </c>
    </row>
    <row r="7" spans="1:56" s="3" customFormat="1" ht="51" customHeight="1" x14ac:dyDescent="0.25">
      <c r="A7" s="275" t="str">
        <f>'Q100a-geral'!A16</f>
        <v>3.2.1</v>
      </c>
      <c r="B7" s="252" t="str">
        <f>'Q100a-geral'!B16</f>
        <v>Avaliações em pesquisas externas de opinião</v>
      </c>
      <c r="C7" s="229" t="str">
        <f>'Q100a-geral'!C16</f>
        <v>x</v>
      </c>
      <c r="D7" s="36" t="str">
        <f>'Q100a-geral'!D16</f>
        <v>AB[b]</v>
      </c>
      <c r="E7" s="464" t="str">
        <f>'Q100a-geral'!E16</f>
        <v>Belo Horizonte</v>
      </c>
      <c r="F7" s="445" t="str">
        <f>'Q100a-geral'!F16</f>
        <v>percentual de respostas "bom" ou "nota 4" na avaliação geral da BHTrans (resultados de 1995 a 2012: OLIVEIRA, 2014, Tabela 4.35 a 4.51 - Apêndice D; 2013: DOXA, 2013;  2014: não foi realizada pesquisa; 2015: DOXA, 2015)</v>
      </c>
      <c r="G7" s="252" t="str">
        <f>'Q100a-geral'!G16</f>
        <v>(∑ respostas "bom" / n.º de respondentes) x 100</v>
      </c>
      <c r="H7" s="173" t="str">
        <f>'Q100a-geral'!H16</f>
        <v>x</v>
      </c>
      <c r="I7" s="167">
        <f>'Q100a-geral'!I16</f>
        <v>1</v>
      </c>
      <c r="J7" s="107" t="str">
        <f>'Q100a-geral'!J16</f>
        <v>x</v>
      </c>
      <c r="K7" s="107" t="str">
        <f>'Q100a-geral'!K16</f>
        <v>x</v>
      </c>
      <c r="L7" s="107" t="str">
        <f>'Q100a-geral'!L16</f>
        <v>x</v>
      </c>
      <c r="M7" s="107" t="str">
        <f>'Q100a-geral'!M16</f>
        <v>x</v>
      </c>
      <c r="N7" s="107" t="str">
        <f>'Q100a-geral'!N16</f>
        <v>x</v>
      </c>
      <c r="O7" s="83">
        <f>'Q100a-geral'!O16</f>
        <v>44</v>
      </c>
      <c r="P7" s="83">
        <f>'Q100a-geral'!P16</f>
        <v>43</v>
      </c>
      <c r="Q7" s="137" t="str">
        <f>'Q100a-geral'!Q16</f>
        <v>x</v>
      </c>
      <c r="R7" s="83">
        <f>'Q100a-geral'!R16</f>
        <v>48</v>
      </c>
      <c r="S7" s="85" t="str">
        <f>'Q100a-geral'!S16</f>
        <v>só para pesquisa</v>
      </c>
      <c r="T7" s="107" t="str">
        <f>'Q100a-geral'!T16</f>
        <v>x</v>
      </c>
      <c r="U7" s="83">
        <f>'Q100a-geral'!U16</f>
        <v>31</v>
      </c>
      <c r="V7" s="85" t="str">
        <f>'Q100a-geral'!V16</f>
        <v>só para pesquisa</v>
      </c>
      <c r="W7" s="83">
        <f>'Q100a-geral'!W16</f>
        <v>28.95</v>
      </c>
      <c r="X7" s="83">
        <f>'Q100a-geral'!X16</f>
        <v>32.96</v>
      </c>
      <c r="Y7" s="83">
        <f>'Q100a-geral'!Y16</f>
        <v>28.22</v>
      </c>
      <c r="Z7" s="83">
        <f>'Q100a-geral'!Z16</f>
        <v>33.4</v>
      </c>
      <c r="AA7" s="83">
        <f>'Q100a-geral'!AA16</f>
        <v>31</v>
      </c>
      <c r="AB7" s="83">
        <f>'Q100a-geral'!AB16</f>
        <v>29.96</v>
      </c>
      <c r="AC7" s="83">
        <f>'Q100a-geral'!AC16</f>
        <v>39.33</v>
      </c>
      <c r="AD7" s="83">
        <f>'Q100a-geral'!AD16</f>
        <v>22.74</v>
      </c>
      <c r="AE7" s="268" t="str">
        <f>'Q100a-geral'!AE16</f>
        <v>não realizada pesquisa em BH</v>
      </c>
      <c r="AF7" s="83">
        <f>'Q100a-geral'!AF16</f>
        <v>17.04</v>
      </c>
      <c r="AG7" s="83" t="str">
        <f>'Q100a-geral'!AG16</f>
        <v>x</v>
      </c>
      <c r="AH7" s="268" t="str">
        <f>'Q100a-geral'!AH16</f>
        <v>não realizada pesquisa em BH</v>
      </c>
      <c r="AI7" s="83">
        <f>'Q100a-geral'!AI16</f>
        <v>16</v>
      </c>
      <c r="AJ7" s="268" t="str">
        <f>'Q100a-geral'!AJ16</f>
        <v>não realizada pesquisa em BH</v>
      </c>
      <c r="AK7" s="107" t="str">
        <f>'Q100a-geral'!AK16</f>
        <v>resultado não comparável</v>
      </c>
      <c r="AL7" s="212" t="str">
        <f>'Q100a-geral'!AL16</f>
        <v>x</v>
      </c>
      <c r="AM7" s="137" t="str">
        <f>'Q100a-geral'!AM16</f>
        <v>x</v>
      </c>
      <c r="AN7" s="137" t="str">
        <f>'Q100a-geral'!AN16</f>
        <v>x</v>
      </c>
      <c r="AO7" s="137" t="str">
        <f>'Q100a-geral'!AO16</f>
        <v>x</v>
      </c>
      <c r="AP7" s="137" t="str">
        <f>'Q100a-geral'!AP16</f>
        <v>x</v>
      </c>
      <c r="AQ7" s="137" t="str">
        <f>'Q100a-geral'!AQ16</f>
        <v>x</v>
      </c>
      <c r="AR7" s="137"/>
      <c r="AS7" s="137"/>
      <c r="AT7" s="137"/>
      <c r="AU7" s="137"/>
      <c r="AV7" s="137" t="str">
        <f>'Q100a-geral'!AV16</f>
        <v>x</v>
      </c>
      <c r="AW7" s="137"/>
      <c r="AX7" s="137"/>
      <c r="AY7" s="137"/>
      <c r="AZ7" s="137"/>
      <c r="BA7" s="137" t="str">
        <f>'Q100a-geral'!BA16</f>
        <v>x</v>
      </c>
      <c r="BB7" s="239" t="str">
        <f>'Q100a-geral'!BB16</f>
        <v>Avaliações em pesquisas externas de opiniãox</v>
      </c>
      <c r="BC7" s="239" t="str">
        <f>'Q100a-geral'!BC16</f>
        <v>Avaliações em pesquisas externas de opiniãoxx</v>
      </c>
      <c r="BD7" s="239" t="str">
        <f>'Q100a-geral'!BD16</f>
        <v>Avaliações em pesquisas externas de opiniãox</v>
      </c>
    </row>
    <row r="8" spans="1:56" s="3" customFormat="1" ht="51" customHeight="1" x14ac:dyDescent="0.25">
      <c r="A8" s="275" t="str">
        <f>'Q100a-geral'!A17</f>
        <v>3.2.1</v>
      </c>
      <c r="B8" s="252" t="str">
        <f>'Q100a-geral'!B17</f>
        <v>Avaliações em pesquisas externas de opinião</v>
      </c>
      <c r="C8" s="229" t="str">
        <f>'Q100a-geral'!C17</f>
        <v>x</v>
      </c>
      <c r="D8" s="36" t="str">
        <f>'Q100a-geral'!D17</f>
        <v>AB[NS.NR]</v>
      </c>
      <c r="E8" s="464" t="str">
        <f>'Q100a-geral'!E17</f>
        <v>Belo Horizonte</v>
      </c>
      <c r="F8" s="445" t="str">
        <f>'Q100a-geral'!F17</f>
        <v>percentual de respostas "não sabe" e "não respondeu" (NS.NR) na avaliação geral da BHTrans (resultados de 1995 a 2012: OLIVEIRA, 2014, Tabela 4.35 a 4.51 - Apêndice D; 2013: DOXA, 2013;  2014: não foi realizada pesquisa; 2015: DOXA, 2015)</v>
      </c>
      <c r="G8" s="252" t="str">
        <f>'Q100a-geral'!G17</f>
        <v>(∑ respostas "NS.NR" / n.º de respondentes) x 100</v>
      </c>
      <c r="H8" s="173" t="str">
        <f>'Q100a-geral'!H17</f>
        <v>x</v>
      </c>
      <c r="I8" s="167">
        <f>'Q100a-geral'!I17</f>
        <v>1</v>
      </c>
      <c r="J8" s="107" t="str">
        <f>'Q100a-geral'!J17</f>
        <v>x</v>
      </c>
      <c r="K8" s="107" t="str">
        <f>'Q100a-geral'!K17</f>
        <v>x</v>
      </c>
      <c r="L8" s="107" t="str">
        <f>'Q100a-geral'!L17</f>
        <v>x</v>
      </c>
      <c r="M8" s="107" t="str">
        <f>'Q100a-geral'!M17</f>
        <v>x</v>
      </c>
      <c r="N8" s="107" t="str">
        <f>'Q100a-geral'!N17</f>
        <v>x</v>
      </c>
      <c r="O8" s="83">
        <f>'Q100a-geral'!O17</f>
        <v>13</v>
      </c>
      <c r="P8" s="83">
        <f>'Q100a-geral'!P17</f>
        <v>8</v>
      </c>
      <c r="Q8" s="137" t="str">
        <f>'Q100a-geral'!Q17</f>
        <v>x</v>
      </c>
      <c r="R8" s="83">
        <f>'Q100a-geral'!R17</f>
        <v>2</v>
      </c>
      <c r="S8" s="85" t="str">
        <f>'Q100a-geral'!S17</f>
        <v>só para pesquisa</v>
      </c>
      <c r="T8" s="107" t="str">
        <f>'Q100a-geral'!T17</f>
        <v>x</v>
      </c>
      <c r="U8" s="83">
        <f>'Q100a-geral'!U17</f>
        <v>3</v>
      </c>
      <c r="V8" s="85" t="str">
        <f>'Q100a-geral'!V17</f>
        <v>só para pesquisa</v>
      </c>
      <c r="W8" s="83">
        <f>'Q100a-geral'!W17</f>
        <v>2.13</v>
      </c>
      <c r="X8" s="83">
        <f>'Q100a-geral'!X17</f>
        <v>1.41</v>
      </c>
      <c r="Y8" s="83">
        <f>'Q100a-geral'!Y17</f>
        <v>3.78</v>
      </c>
      <c r="Z8" s="83">
        <f>'Q100a-geral'!Z17</f>
        <v>8.3000000000000007</v>
      </c>
      <c r="AA8" s="83">
        <f>'Q100a-geral'!AA17</f>
        <v>4</v>
      </c>
      <c r="AB8" s="83">
        <f>'Q100a-geral'!AB17</f>
        <v>3</v>
      </c>
      <c r="AC8" s="83">
        <f>'Q100a-geral'!AC17</f>
        <v>2.2200000000000002</v>
      </c>
      <c r="AD8" s="83">
        <f>'Q100a-geral'!AD17</f>
        <v>1.93</v>
      </c>
      <c r="AE8" s="268" t="str">
        <f>'Q100a-geral'!AE17</f>
        <v>não realizada pesquisa em BH</v>
      </c>
      <c r="AF8" s="83">
        <f>'Q100a-geral'!AF17</f>
        <v>4.4400000000000004</v>
      </c>
      <c r="AG8" s="83" t="str">
        <f>'Q100a-geral'!AG17</f>
        <v>x</v>
      </c>
      <c r="AH8" s="268" t="str">
        <f>'Q100a-geral'!AH17</f>
        <v>não realizada pesquisa em BH</v>
      </c>
      <c r="AI8" s="83">
        <f>'Q100a-geral'!AI17</f>
        <v>2</v>
      </c>
      <c r="AJ8" s="268" t="str">
        <f>'Q100a-geral'!AJ17</f>
        <v>não realizada pesquisa em BH</v>
      </c>
      <c r="AK8" s="107" t="str">
        <f>'Q100a-geral'!AK17</f>
        <v>resultado não comparável</v>
      </c>
      <c r="AL8" s="212" t="str">
        <f>'Q100a-geral'!AL17</f>
        <v>x</v>
      </c>
      <c r="AM8" s="137" t="str">
        <f>'Q100a-geral'!AM17</f>
        <v>x</v>
      </c>
      <c r="AN8" s="137" t="str">
        <f>'Q100a-geral'!AN17</f>
        <v>x</v>
      </c>
      <c r="AO8" s="137" t="str">
        <f>'Q100a-geral'!AO17</f>
        <v>x</v>
      </c>
      <c r="AP8" s="137" t="str">
        <f>'Q100a-geral'!AP17</f>
        <v>x</v>
      </c>
      <c r="AQ8" s="137" t="str">
        <f>'Q100a-geral'!AQ17</f>
        <v>x</v>
      </c>
      <c r="AR8" s="137"/>
      <c r="AS8" s="137"/>
      <c r="AT8" s="137"/>
      <c r="AU8" s="137"/>
      <c r="AV8" s="137" t="str">
        <f>'Q100a-geral'!AV17</f>
        <v>x</v>
      </c>
      <c r="AW8" s="137"/>
      <c r="AX8" s="137"/>
      <c r="AY8" s="137"/>
      <c r="AZ8" s="137"/>
      <c r="BA8" s="137" t="str">
        <f>'Q100a-geral'!BA17</f>
        <v>x</v>
      </c>
      <c r="BB8" s="239" t="str">
        <f>'Q100a-geral'!BB17</f>
        <v>Avaliações em pesquisas externas de opiniãox</v>
      </c>
      <c r="BC8" s="239" t="str">
        <f>'Q100a-geral'!BC17</f>
        <v>Avaliações em pesquisas externas de opiniãoxx</v>
      </c>
      <c r="BD8" s="239" t="str">
        <f>'Q100a-geral'!BD17</f>
        <v>Avaliações em pesquisas externas de opiniãox</v>
      </c>
    </row>
    <row r="9" spans="1:56" s="3" customFormat="1" ht="51" customHeight="1" x14ac:dyDescent="0.25">
      <c r="A9" s="275" t="str">
        <f>'Q100a-geral'!A18</f>
        <v>3.2.1</v>
      </c>
      <c r="B9" s="252" t="str">
        <f>'Q100a-geral'!B18</f>
        <v>Avaliações em pesquisas externas de opinião</v>
      </c>
      <c r="C9" s="229" t="str">
        <f>'Q100a-geral'!C18</f>
        <v>x</v>
      </c>
      <c r="D9" s="326" t="str">
        <f>'Q100a-geral'!D18</f>
        <v>AB[o/b]</v>
      </c>
      <c r="E9" s="465" t="str">
        <f>'Q100a-geral'!E18</f>
        <v>Belo Horizonte</v>
      </c>
      <c r="F9" s="488" t="str">
        <f>'Q100a-geral'!F18</f>
        <v>percentual de avaliação positiva (ótimo + bom] da avaliação geral da BHTrans
obs.1: este indicador é obtido pela soma dos percentuais de "ótimo" e "bom" ou de "nota 5" e "nota 4" na avaliação geral da BHTrans, ou, quando não há os resultados das parcelas, é obtido diretamente na fonte
obs.2: na pesquisa de 2015 a pergunta que vinha sendo feita desde 1995 no início do questionário (junto às avaliações da gestão da empresa no transporte e no trânsito) muda para o final como parte de bloco que avalia a imagem e o atendimento de várias instituições, o que compromete a comparabilidade</v>
      </c>
      <c r="G9" s="252" t="str">
        <f>'Q100a-geral'!G18</f>
        <v>registro na fonte
ou
AB[o] + AB[b]</v>
      </c>
      <c r="H9" s="173" t="str">
        <f>'Q100a-geral'!H18</f>
        <v>x</v>
      </c>
      <c r="I9" s="167">
        <f>'Q100a-geral'!I18</f>
        <v>1</v>
      </c>
      <c r="J9" s="107" t="str">
        <f>'Q100a-geral'!J18</f>
        <v>x</v>
      </c>
      <c r="K9" s="107" t="str">
        <f>'Q100a-geral'!K18</f>
        <v>x</v>
      </c>
      <c r="L9" s="107" t="str">
        <f>'Q100a-geral'!L18</f>
        <v>x</v>
      </c>
      <c r="M9" s="107" t="str">
        <f>'Q100a-geral'!M18</f>
        <v>x</v>
      </c>
      <c r="N9" s="107" t="str">
        <f>'Q100a-geral'!N18</f>
        <v>x</v>
      </c>
      <c r="O9" s="72">
        <f>'Q100a-geral'!O18</f>
        <v>52</v>
      </c>
      <c r="P9" s="72">
        <f>'Q100a-geral'!P18</f>
        <v>48</v>
      </c>
      <c r="Q9" s="421"/>
      <c r="R9" s="72">
        <f>'Q100a-geral'!R18</f>
        <v>56</v>
      </c>
      <c r="S9" s="371"/>
      <c r="T9" s="421"/>
      <c r="U9" s="72">
        <f>'Q100a-geral'!U18</f>
        <v>34</v>
      </c>
      <c r="V9" s="371"/>
      <c r="W9" s="72">
        <f>'Q100a-geral'!W18</f>
        <v>32.42</v>
      </c>
      <c r="X9" s="72">
        <f>'Q100a-geral'!X18</f>
        <v>37.33</v>
      </c>
      <c r="Y9" s="72">
        <f>'Q100a-geral'!Y18</f>
        <v>31.63</v>
      </c>
      <c r="Z9" s="72">
        <f>'Q100a-geral'!Z18</f>
        <v>38.4</v>
      </c>
      <c r="AA9" s="72">
        <f>'Q100a-geral'!AA18</f>
        <v>36</v>
      </c>
      <c r="AB9" s="72">
        <f>'Q100a-geral'!AB18</f>
        <v>32.53</v>
      </c>
      <c r="AC9" s="72">
        <f>'Q100a-geral'!AC18</f>
        <v>42.37</v>
      </c>
      <c r="AD9" s="72">
        <f>'Q100a-geral'!AD18</f>
        <v>25.259999999999998</v>
      </c>
      <c r="AE9" s="421"/>
      <c r="AF9" s="72">
        <f>'Q100a-geral'!AF18</f>
        <v>18.89</v>
      </c>
      <c r="AG9" s="421"/>
      <c r="AH9" s="421"/>
      <c r="AI9" s="72">
        <f>'Q100a-geral'!AI18</f>
        <v>17</v>
      </c>
      <c r="AJ9" s="419"/>
      <c r="AK9" s="371"/>
      <c r="AL9" s="212" t="str">
        <f>'Q100a-geral'!AL18</f>
        <v>x</v>
      </c>
      <c r="AM9" s="420"/>
      <c r="AN9" s="420"/>
      <c r="AO9" s="420"/>
      <c r="AP9" s="420"/>
      <c r="AQ9" s="420"/>
      <c r="AR9" s="420"/>
      <c r="AS9" s="420"/>
      <c r="AT9" s="420"/>
      <c r="AU9" s="420"/>
      <c r="AV9" s="137" t="str">
        <f>'Q100a-geral'!AV18</f>
        <v>x</v>
      </c>
      <c r="AW9" s="137"/>
      <c r="AX9" s="137"/>
      <c r="AY9" s="137"/>
      <c r="AZ9" s="137"/>
      <c r="BA9" s="137" t="str">
        <f>'Q100a-geral'!BA18</f>
        <v>x</v>
      </c>
      <c r="BB9" s="239" t="str">
        <f>'Q100a-geral'!BB18</f>
        <v>Avaliações em pesquisas externas de opiniãox</v>
      </c>
      <c r="BC9" s="239" t="str">
        <f>'Q100a-geral'!BC18</f>
        <v>Avaliações em pesquisas externas de opiniãoxx</v>
      </c>
      <c r="BD9" s="239" t="str">
        <f>'Q100a-geral'!BD18</f>
        <v>Avaliações em pesquisas externas de opiniãox</v>
      </c>
    </row>
    <row r="10" spans="1:56" s="3" customFormat="1" ht="51" customHeight="1" x14ac:dyDescent="0.25">
      <c r="A10" s="275" t="str">
        <f>'Q100a-geral'!A19</f>
        <v>3.2.1</v>
      </c>
      <c r="B10" s="252" t="str">
        <f>'Q100a-geral'!B19</f>
        <v>Avaliações em pesquisas externas de opinião</v>
      </c>
      <c r="C10" s="229" t="str">
        <f>'Q100a-geral'!C19</f>
        <v>x</v>
      </c>
      <c r="D10" s="36" t="str">
        <f>'Q100a-geral'!D19</f>
        <v>a definir sigla</v>
      </c>
      <c r="E10" s="464" t="str">
        <f>'Q100a-geral'!E19</f>
        <v>Belo Horizonte</v>
      </c>
      <c r="F10" s="445" t="str">
        <f>'Q100a-geral'!F19</f>
        <v>percentual de avaliação positiva da imagem da BHTrans pela população
obs.1: não confundir com AB[o/b]
obs.2: indicador estratégico da BHTrans (BHTRANS, 2015d)
obs.3: indicador criado na revisão 2013 do Planejamento Estratégico da BHTrans com o nome "Índice de avaliação da imagem da BHTrans (% ótimo/bom)" com resultados de 2008 e 2010 conforme BHTRANS(2013a, p.20); de 2011/2013/2015 conforme DOXA(2015, p.157)
obs.4: o resultado de 2011 é tomado em BHTRANS(2013a, p.20) incorretamente como se fosse de 2012</v>
      </c>
      <c r="G10" s="110" t="str">
        <f>'Q100a-geral'!G19</f>
        <v>registro na fonte</v>
      </c>
      <c r="H10" s="173" t="str">
        <f>'Q100a-geral'!H19</f>
        <v>x</v>
      </c>
      <c r="I10" s="167">
        <f>'Q100a-geral'!I19</f>
        <v>1</v>
      </c>
      <c r="J10" s="109" t="str">
        <f>'Q100a-geral'!J19</f>
        <v>x</v>
      </c>
      <c r="K10" s="109" t="str">
        <f>'Q100a-geral'!K19</f>
        <v>x</v>
      </c>
      <c r="L10" s="109" t="str">
        <f>'Q100a-geral'!L19</f>
        <v>x</v>
      </c>
      <c r="M10" s="109" t="str">
        <f>'Q100a-geral'!M19</f>
        <v>x</v>
      </c>
      <c r="N10" s="109" t="str">
        <f>'Q100a-geral'!N19</f>
        <v>x</v>
      </c>
      <c r="O10" s="109" t="str">
        <f>'Q100a-geral'!O19</f>
        <v>x</v>
      </c>
      <c r="P10" s="109" t="str">
        <f>'Q100a-geral'!P19</f>
        <v>x</v>
      </c>
      <c r="Q10" s="109" t="str">
        <f>'Q100a-geral'!Q19</f>
        <v>x</v>
      </c>
      <c r="R10" s="109" t="str">
        <f>'Q100a-geral'!R19</f>
        <v>x</v>
      </c>
      <c r="S10" s="109" t="str">
        <f>'Q100a-geral'!S19</f>
        <v>só para pesquisa</v>
      </c>
      <c r="T10" s="109" t="str">
        <f>'Q100a-geral'!T19</f>
        <v>x</v>
      </c>
      <c r="U10" s="109" t="str">
        <f>'Q100a-geral'!U19</f>
        <v>x</v>
      </c>
      <c r="V10" s="109" t="str">
        <f>'Q100a-geral'!V19</f>
        <v>só para pesquisa</v>
      </c>
      <c r="W10" s="109" t="str">
        <f>'Q100a-geral'!W19</f>
        <v>x</v>
      </c>
      <c r="X10" s="109" t="str">
        <f>'Q100a-geral'!X19</f>
        <v>x</v>
      </c>
      <c r="Y10" s="109" t="str">
        <f>'Q100a-geral'!Y19</f>
        <v>x</v>
      </c>
      <c r="Z10" s="109" t="str">
        <f>'Q100a-geral'!Z19</f>
        <v>x</v>
      </c>
      <c r="AA10" s="109" t="str">
        <f>'Q100a-geral'!AA19</f>
        <v>x</v>
      </c>
      <c r="AB10" s="109" t="str">
        <f>'Q100a-geral'!AB19</f>
        <v>x</v>
      </c>
      <c r="AC10" s="109" t="str">
        <f>'Q100a-geral'!AC19</f>
        <v>x</v>
      </c>
      <c r="AD10" s="301" t="str">
        <f>'Q100a-geral'!AD19</f>
        <v>26%</v>
      </c>
      <c r="AE10" s="268" t="str">
        <f>'Q100a-geral'!AE19</f>
        <v>não realizada pesquisa em BH</v>
      </c>
      <c r="AF10" s="301" t="str">
        <f>'Q100a-geral'!AF19</f>
        <v>34%</v>
      </c>
      <c r="AG10" s="301" t="str">
        <f>'Q100a-geral'!AG19</f>
        <v>42%</v>
      </c>
      <c r="AH10" s="301" t="str">
        <f>'Q100a-geral'!AH19</f>
        <v>não realizada pesquisa em BH</v>
      </c>
      <c r="AI10" s="301" t="str">
        <f>'Q100a-geral'!AI19</f>
        <v>32%</v>
      </c>
      <c r="AJ10" s="268" t="str">
        <f>'Q100a-geral'!AJ19</f>
        <v>não realizada pesquisa em BH</v>
      </c>
      <c r="AK10" s="301" t="str">
        <f>'Q100a-geral'!AK19</f>
        <v>32%</v>
      </c>
      <c r="AL10" s="212" t="str">
        <f>'Q100a-geral'!AL19</f>
        <v>x</v>
      </c>
      <c r="AM10" s="137" t="str">
        <f>'Q100a-geral'!AM19</f>
        <v>x</v>
      </c>
      <c r="AN10" s="137" t="str">
        <f>'Q100a-geral'!AN19</f>
        <v>x</v>
      </c>
      <c r="AO10" s="137" t="str">
        <f>'Q100a-geral'!AO19</f>
        <v>x</v>
      </c>
      <c r="AP10" s="137" t="str">
        <f>'Q100a-geral'!AP19</f>
        <v>x</v>
      </c>
      <c r="AQ10" s="137" t="str">
        <f>'Q100a-geral'!AQ19</f>
        <v>x</v>
      </c>
      <c r="AR10" s="137"/>
      <c r="AS10" s="137"/>
      <c r="AT10" s="137"/>
      <c r="AU10" s="137"/>
      <c r="AV10" s="137" t="str">
        <f>'Q100a-geral'!AV19</f>
        <v>x</v>
      </c>
      <c r="AW10" s="137"/>
      <c r="AX10" s="137"/>
      <c r="AY10" s="137"/>
      <c r="AZ10" s="137"/>
      <c r="BA10" s="137" t="str">
        <f>'Q100a-geral'!BA19</f>
        <v>x</v>
      </c>
      <c r="BB10" s="239" t="str">
        <f>'Q100a-geral'!BB19</f>
        <v>Avaliações em pesquisas externas de opiniãox</v>
      </c>
      <c r="BC10" s="239" t="str">
        <f>'Q100a-geral'!BC19</f>
        <v>Avaliações em pesquisas externas de opiniãoxx</v>
      </c>
      <c r="BD10" s="239" t="str">
        <f>'Q100a-geral'!BD19</f>
        <v>Avaliações em pesquisas externas de opiniãox</v>
      </c>
    </row>
    <row r="11" spans="1:56" s="3" customFormat="1" ht="51" customHeight="1" x14ac:dyDescent="0.25">
      <c r="A11" s="275" t="str">
        <f>'Q100a-geral'!A20</f>
        <v>3.2.1</v>
      </c>
      <c r="B11" s="252" t="str">
        <f>'Q100a-geral'!B20</f>
        <v>Avaliações em pesquisas externas de opinião</v>
      </c>
      <c r="C11" s="229" t="str">
        <f>'Q100a-geral'!C20</f>
        <v>x</v>
      </c>
      <c r="D11" s="36" t="str">
        <f>'Q100a-geral'!D20</f>
        <v>a definir sigla
(meta)</v>
      </c>
      <c r="E11" s="464" t="str">
        <f>'Q100a-geral'!E20</f>
        <v>Belo Horizonte</v>
      </c>
      <c r="F11" s="445" t="str">
        <f>'Q100a-geral'!F20</f>
        <v>em 2013: "Aumentar o índice de avaliação positiva da imagem da BHTrans, por meio de pesquisa de opinião com a população de Belo Horizonte, de 26% de ótimo/bom em 2008 para 45% em 2016 e 50% em 2020" (BHTRANS, 2013a, p.25)</v>
      </c>
      <c r="G11" s="110" t="str">
        <f>'Q100a-geral'!G20</f>
        <v>meta BHTrans</v>
      </c>
      <c r="H11" s="173" t="str">
        <f>'Q100a-geral'!H20</f>
        <v>meta/RPI</v>
      </c>
      <c r="I11" s="167" t="str">
        <f>'Q100a-geral'!I20</f>
        <v>x</v>
      </c>
      <c r="J11" s="109" t="str">
        <f>'Q100a-geral'!J20</f>
        <v>x</v>
      </c>
      <c r="K11" s="109" t="str">
        <f>'Q100a-geral'!K20</f>
        <v>x</v>
      </c>
      <c r="L11" s="109" t="str">
        <f>'Q100a-geral'!L20</f>
        <v>x</v>
      </c>
      <c r="M11" s="109" t="str">
        <f>'Q100a-geral'!M20</f>
        <v>x</v>
      </c>
      <c r="N11" s="109" t="str">
        <f>'Q100a-geral'!N20</f>
        <v>x</v>
      </c>
      <c r="O11" s="109" t="str">
        <f>'Q100a-geral'!O20</f>
        <v>x</v>
      </c>
      <c r="P11" s="109" t="str">
        <f>'Q100a-geral'!P20</f>
        <v>x</v>
      </c>
      <c r="Q11" s="109" t="str">
        <f>'Q100a-geral'!Q20</f>
        <v>x</v>
      </c>
      <c r="R11" s="109" t="str">
        <f>'Q100a-geral'!R20</f>
        <v>x</v>
      </c>
      <c r="S11" s="109" t="str">
        <f>'Q100a-geral'!S20</f>
        <v>só para pesquisa</v>
      </c>
      <c r="T11" s="109" t="str">
        <f>'Q100a-geral'!T20</f>
        <v>x</v>
      </c>
      <c r="U11" s="109" t="str">
        <f>'Q100a-geral'!U20</f>
        <v>x</v>
      </c>
      <c r="V11" s="109" t="str">
        <f>'Q100a-geral'!V20</f>
        <v>só para pesquisa</v>
      </c>
      <c r="W11" s="109" t="str">
        <f>'Q100a-geral'!W20</f>
        <v>x</v>
      </c>
      <c r="X11" s="109" t="str">
        <f>'Q100a-geral'!X20</f>
        <v>x</v>
      </c>
      <c r="Y11" s="109" t="str">
        <f>'Q100a-geral'!Y20</f>
        <v>x</v>
      </c>
      <c r="Z11" s="109" t="str">
        <f>'Q100a-geral'!Z20</f>
        <v>x</v>
      </c>
      <c r="AA11" s="109" t="str">
        <f>'Q100a-geral'!AA20</f>
        <v>x</v>
      </c>
      <c r="AB11" s="109" t="str">
        <f>'Q100a-geral'!AB20</f>
        <v>x</v>
      </c>
      <c r="AC11" s="109" t="str">
        <f>'Q100a-geral'!AC20</f>
        <v>x</v>
      </c>
      <c r="AD11" s="109" t="str">
        <f>'Q100a-geral'!AD20</f>
        <v>x</v>
      </c>
      <c r="AE11" s="109" t="str">
        <f>'Q100a-geral'!AE20</f>
        <v>não realizada pesquisa em BH</v>
      </c>
      <c r="AF11" s="109" t="str">
        <f>'Q100a-geral'!AF20</f>
        <v>x</v>
      </c>
      <c r="AG11" s="109" t="str">
        <f>'Q100a-geral'!AG20</f>
        <v>x</v>
      </c>
      <c r="AH11" s="109" t="str">
        <f>'Q100a-geral'!AH20</f>
        <v>não realizada pesquisa em BH</v>
      </c>
      <c r="AI11" s="109" t="str">
        <f>'Q100a-geral'!AI20</f>
        <v>x</v>
      </c>
      <c r="AJ11" s="109" t="str">
        <f>'Q100a-geral'!AJ20</f>
        <v>não realizada pesquisa em BH</v>
      </c>
      <c r="AK11" s="109" t="str">
        <f>'Q100a-geral'!AK20</f>
        <v>x</v>
      </c>
      <c r="AL11" s="212" t="str">
        <f>'Q100a-geral'!AL20</f>
        <v>x</v>
      </c>
      <c r="AM11" s="95">
        <f>'Q100a-geral'!AM20</f>
        <v>0.45</v>
      </c>
      <c r="AN11" s="137" t="str">
        <f>'Q100a-geral'!AN20</f>
        <v>x</v>
      </c>
      <c r="AO11" s="137" t="str">
        <f>'Q100a-geral'!AO20</f>
        <v>x</v>
      </c>
      <c r="AP11" s="137" t="str">
        <f>'Q100a-geral'!AP20</f>
        <v>x</v>
      </c>
      <c r="AQ11" s="95">
        <f>'Q100a-geral'!AQ20</f>
        <v>0.5</v>
      </c>
      <c r="AR11" s="137" t="str">
        <f>'Q100a-geral'!AR20</f>
        <v>x</v>
      </c>
      <c r="AS11" s="137" t="str">
        <f>'Q100a-geral'!AS20</f>
        <v>x</v>
      </c>
      <c r="AT11" s="137" t="str">
        <f>'Q100a-geral'!AT20</f>
        <v>x</v>
      </c>
      <c r="AU11" s="137" t="str">
        <f>'Q100a-geral'!AU20</f>
        <v>x</v>
      </c>
      <c r="AV11" s="137" t="str">
        <f>'Q100a-geral'!AV20</f>
        <v>x</v>
      </c>
      <c r="AW11" s="137"/>
      <c r="AX11" s="137"/>
      <c r="AY11" s="137"/>
      <c r="AZ11" s="137"/>
      <c r="BA11" s="137" t="str">
        <f>'Q100a-geral'!BA20</f>
        <v>x</v>
      </c>
      <c r="BB11" s="239" t="str">
        <f>'Q100a-geral'!BB20</f>
        <v>Avaliações em pesquisas externas de opiniãox</v>
      </c>
      <c r="BC11" s="239" t="str">
        <f>'Q100a-geral'!BC20</f>
        <v>Avaliações em pesquisas externas de opiniãoxmeta/RPI</v>
      </c>
      <c r="BD11" s="239" t="str">
        <f>'Q100a-geral'!BD20</f>
        <v>Avaliações em pesquisas externas de opiniãometa/RPI</v>
      </c>
    </row>
    <row r="12" spans="1:56" s="3" customFormat="1" ht="51" customHeight="1" x14ac:dyDescent="0.25">
      <c r="A12" s="275" t="str">
        <f>'Q100a-geral'!A21</f>
        <v>3.2.1</v>
      </c>
      <c r="B12" s="252" t="str">
        <f>'Q100a-geral'!B21</f>
        <v>Avaliações em pesquisas externas de opinião</v>
      </c>
      <c r="C12" s="229" t="str">
        <f>'Q100a-geral'!C21</f>
        <v>x</v>
      </c>
      <c r="D12" s="36" t="str">
        <f>'Q100a-geral'!D21</f>
        <v>AB[o]</v>
      </c>
      <c r="E12" s="464" t="str">
        <f>'Q100a-geral'!E21</f>
        <v>Belo Horizonte</v>
      </c>
      <c r="F12" s="445" t="str">
        <f>'Q100a-geral'!F21</f>
        <v>percentual de respostas "ótimo" ou "nota 4" na avaliação geral da BHTrans (resultados de 1995 a 2012: OLIVEIRA, 2014, Tabela 4.35 a 4.51 - Apêndice D; 2013: DOXA, 2013;  2014: não foi realizada pesquisa; 2015: DOXA, 2015)</v>
      </c>
      <c r="G12" s="252" t="str">
        <f>'Q100a-geral'!G21</f>
        <v>(∑ respostas "ótimo" / n.º de respondentes) x 100</v>
      </c>
      <c r="H12" s="173" t="str">
        <f>'Q100a-geral'!H21</f>
        <v>x</v>
      </c>
      <c r="I12" s="167">
        <f>'Q100a-geral'!I21</f>
        <v>1</v>
      </c>
      <c r="J12" s="107" t="str">
        <f>'Q100a-geral'!J21</f>
        <v>x</v>
      </c>
      <c r="K12" s="107" t="str">
        <f>'Q100a-geral'!K21</f>
        <v>x</v>
      </c>
      <c r="L12" s="107" t="str">
        <f>'Q100a-geral'!L21</f>
        <v>x</v>
      </c>
      <c r="M12" s="107" t="str">
        <f>'Q100a-geral'!M21</f>
        <v>x</v>
      </c>
      <c r="N12" s="107" t="str">
        <f>'Q100a-geral'!N21</f>
        <v>x</v>
      </c>
      <c r="O12" s="83">
        <f>'Q100a-geral'!O21</f>
        <v>8</v>
      </c>
      <c r="P12" s="83">
        <f>'Q100a-geral'!P21</f>
        <v>5</v>
      </c>
      <c r="Q12" s="137" t="str">
        <f>'Q100a-geral'!Q21</f>
        <v>x</v>
      </c>
      <c r="R12" s="83">
        <f>'Q100a-geral'!R21</f>
        <v>8</v>
      </c>
      <c r="S12" s="85" t="str">
        <f>'Q100a-geral'!S21</f>
        <v>só para pesquisa</v>
      </c>
      <c r="T12" s="107" t="str">
        <f>'Q100a-geral'!T21</f>
        <v>x</v>
      </c>
      <c r="U12" s="83">
        <f>'Q100a-geral'!U21</f>
        <v>3</v>
      </c>
      <c r="V12" s="85" t="str">
        <f>'Q100a-geral'!V21</f>
        <v>só para pesquisa</v>
      </c>
      <c r="W12" s="83">
        <f>'Q100a-geral'!W21</f>
        <v>3.47</v>
      </c>
      <c r="X12" s="83">
        <f>'Q100a-geral'!X21</f>
        <v>4.37</v>
      </c>
      <c r="Y12" s="83">
        <f>'Q100a-geral'!Y21</f>
        <v>3.41</v>
      </c>
      <c r="Z12" s="83">
        <f>'Q100a-geral'!Z21</f>
        <v>5</v>
      </c>
      <c r="AA12" s="83">
        <f>'Q100a-geral'!AA21</f>
        <v>5</v>
      </c>
      <c r="AB12" s="83">
        <f>'Q100a-geral'!AB21</f>
        <v>2.57</v>
      </c>
      <c r="AC12" s="83">
        <f>'Q100a-geral'!AC21</f>
        <v>3.04</v>
      </c>
      <c r="AD12" s="83">
        <f>'Q100a-geral'!AD21</f>
        <v>2.52</v>
      </c>
      <c r="AE12" s="855" t="str">
        <f>'Q100a-geral'!AE21</f>
        <v>não realizada pesquisa em BH</v>
      </c>
      <c r="AF12" s="83">
        <f>'Q100a-geral'!AF21</f>
        <v>1.85</v>
      </c>
      <c r="AG12" s="83" t="str">
        <f>'Q100a-geral'!AG21</f>
        <v>x</v>
      </c>
      <c r="AH12" s="855" t="str">
        <f>'Q100a-geral'!AH21</f>
        <v>não realizada pesquisa em BH</v>
      </c>
      <c r="AI12" s="83">
        <f>'Q100a-geral'!AI21</f>
        <v>1</v>
      </c>
      <c r="AJ12" s="855" t="str">
        <f>'Q100a-geral'!AJ21</f>
        <v>não realizada pesquisa em BH</v>
      </c>
      <c r="AK12" s="107" t="str">
        <f>'Q100a-geral'!AK21</f>
        <v>resultado não comparável</v>
      </c>
      <c r="AL12" s="212" t="str">
        <f>'Q100a-geral'!AL21</f>
        <v>x</v>
      </c>
      <c r="AM12" s="137" t="str">
        <f>'Q100a-geral'!AM21</f>
        <v>x</v>
      </c>
      <c r="AN12" s="137" t="str">
        <f>'Q100a-geral'!AN21</f>
        <v>x</v>
      </c>
      <c r="AO12" s="137" t="str">
        <f>'Q100a-geral'!AO21</f>
        <v>x</v>
      </c>
      <c r="AP12" s="137" t="str">
        <f>'Q100a-geral'!AP21</f>
        <v>x</v>
      </c>
      <c r="AQ12" s="137" t="str">
        <f>'Q100a-geral'!AQ21</f>
        <v>x</v>
      </c>
      <c r="AR12" s="137"/>
      <c r="AS12" s="137"/>
      <c r="AT12" s="137"/>
      <c r="AU12" s="137"/>
      <c r="AV12" s="137" t="str">
        <f>'Q100a-geral'!AV21</f>
        <v>x</v>
      </c>
      <c r="AW12" s="137"/>
      <c r="AX12" s="137"/>
      <c r="AY12" s="137"/>
      <c r="AZ12" s="137"/>
      <c r="BA12" s="137" t="str">
        <f>'Q100a-geral'!BA21</f>
        <v>x</v>
      </c>
      <c r="BB12" s="239" t="str">
        <f>'Q100a-geral'!BB21</f>
        <v>Avaliações em pesquisas externas de opiniãox</v>
      </c>
      <c r="BC12" s="239" t="str">
        <f>'Q100a-geral'!BC21</f>
        <v>Avaliações em pesquisas externas de opiniãoxx</v>
      </c>
      <c r="BD12" s="239" t="str">
        <f>'Q100a-geral'!BD21</f>
        <v>Avaliações em pesquisas externas de opiniãox</v>
      </c>
    </row>
    <row r="13" spans="1:56" s="3" customFormat="1" ht="51" customHeight="1" x14ac:dyDescent="0.25">
      <c r="A13" s="275" t="str">
        <f>'Q100a-geral'!A22</f>
        <v>3.2.1</v>
      </c>
      <c r="B13" s="252" t="str">
        <f>'Q100a-geral'!B22</f>
        <v>Avaliações em pesquisas externas de opinião</v>
      </c>
      <c r="C13" s="229" t="str">
        <f>'Q100a-geral'!C22</f>
        <v>x</v>
      </c>
      <c r="D13" s="36" t="str">
        <f>'Q100a-geral'!D22</f>
        <v>AB[p]</v>
      </c>
      <c r="E13" s="464" t="str">
        <f>'Q100a-geral'!E22</f>
        <v>Belo Horizonte</v>
      </c>
      <c r="F13" s="445" t="str">
        <f>'Q100a-geral'!F22</f>
        <v>percentual de respostas "péssimo" ou de "nota 1" na avaliação geral da BHTrans (resultados de 1995 a 2012: OLIVEIRA, 2014, Tabela 4.35 a 4.51 - Apêndice D; 2013: DOXA, 2013;  2014: não foi realizada pesquisa; 2015: DOXA, 2015)</v>
      </c>
      <c r="G13" s="252" t="str">
        <f>'Q100a-geral'!G22</f>
        <v>(∑ respostas péssimo")/ n.º de respondentes) x 100</v>
      </c>
      <c r="H13" s="173" t="str">
        <f>'Q100a-geral'!H22</f>
        <v>x</v>
      </c>
      <c r="I13" s="167">
        <f>'Q100a-geral'!I22</f>
        <v>1</v>
      </c>
      <c r="J13" s="107" t="str">
        <f>'Q100a-geral'!J22</f>
        <v>x</v>
      </c>
      <c r="K13" s="107" t="str">
        <f>'Q100a-geral'!K22</f>
        <v>x</v>
      </c>
      <c r="L13" s="107" t="str">
        <f>'Q100a-geral'!L22</f>
        <v>x</v>
      </c>
      <c r="M13" s="107" t="str">
        <f>'Q100a-geral'!M22</f>
        <v>x</v>
      </c>
      <c r="N13" s="107" t="str">
        <f>'Q100a-geral'!N22</f>
        <v>x</v>
      </c>
      <c r="O13" s="83">
        <f>'Q100a-geral'!O22</f>
        <v>3</v>
      </c>
      <c r="P13" s="83">
        <f>'Q100a-geral'!P22</f>
        <v>3</v>
      </c>
      <c r="Q13" s="137" t="str">
        <f>'Q100a-geral'!Q22</f>
        <v>x</v>
      </c>
      <c r="R13" s="83">
        <f>'Q100a-geral'!R22</f>
        <v>2.5</v>
      </c>
      <c r="S13" s="85" t="str">
        <f>'Q100a-geral'!S22</f>
        <v>só para pesquisa</v>
      </c>
      <c r="T13" s="107" t="str">
        <f>'Q100a-geral'!T22</f>
        <v>x</v>
      </c>
      <c r="U13" s="83">
        <f>'Q100a-geral'!U22</f>
        <v>6</v>
      </c>
      <c r="V13" s="85" t="str">
        <f>'Q100a-geral'!V22</f>
        <v>só para pesquisa</v>
      </c>
      <c r="W13" s="83">
        <f>'Q100a-geral'!W22</f>
        <v>9.48</v>
      </c>
      <c r="X13" s="83">
        <f>'Q100a-geral'!X22</f>
        <v>6.3</v>
      </c>
      <c r="Y13" s="83">
        <f>'Q100a-geral'!Y22</f>
        <v>14.07</v>
      </c>
      <c r="Z13" s="83">
        <f>'Q100a-geral'!Z22</f>
        <v>8.3000000000000007</v>
      </c>
      <c r="AA13" s="83">
        <f>'Q100a-geral'!AA22</f>
        <v>9</v>
      </c>
      <c r="AB13" s="83">
        <f>'Q100a-geral'!AB22</f>
        <v>6.85</v>
      </c>
      <c r="AC13" s="83">
        <f>'Q100a-geral'!AC22</f>
        <v>5.19</v>
      </c>
      <c r="AD13" s="83">
        <f>'Q100a-geral'!AD22</f>
        <v>9.48</v>
      </c>
      <c r="AE13" s="855" t="str">
        <f>'Q100a-geral'!AE22</f>
        <v>não realizada pesquisa em BH</v>
      </c>
      <c r="AF13" s="83">
        <f>'Q100a-geral'!AF22</f>
        <v>10</v>
      </c>
      <c r="AG13" s="83" t="str">
        <f>'Q100a-geral'!AG22</f>
        <v>x</v>
      </c>
      <c r="AH13" s="855" t="str">
        <f>'Q100a-geral'!AH22</f>
        <v>não realizada pesquisa em BH</v>
      </c>
      <c r="AI13" s="83">
        <f>'Q100a-geral'!AI22</f>
        <v>17</v>
      </c>
      <c r="AJ13" s="855" t="str">
        <f>'Q100a-geral'!AJ22</f>
        <v>não realizada pesquisa em BH</v>
      </c>
      <c r="AK13" s="107" t="str">
        <f>'Q100a-geral'!AK22</f>
        <v>resultado não comparável</v>
      </c>
      <c r="AL13" s="212" t="str">
        <f>'Q100a-geral'!AL22</f>
        <v>x</v>
      </c>
      <c r="AM13" s="137" t="str">
        <f>'Q100a-geral'!AM22</f>
        <v>x</v>
      </c>
      <c r="AN13" s="137" t="str">
        <f>'Q100a-geral'!AN22</f>
        <v>x</v>
      </c>
      <c r="AO13" s="137" t="str">
        <f>'Q100a-geral'!AO22</f>
        <v>x</v>
      </c>
      <c r="AP13" s="137" t="str">
        <f>'Q100a-geral'!AP22</f>
        <v>x</v>
      </c>
      <c r="AQ13" s="137" t="str">
        <f>'Q100a-geral'!AQ22</f>
        <v>x</v>
      </c>
      <c r="AR13" s="137"/>
      <c r="AS13" s="137"/>
      <c r="AT13" s="137"/>
      <c r="AU13" s="137"/>
      <c r="AV13" s="137" t="str">
        <f>'Q100a-geral'!AV22</f>
        <v>x</v>
      </c>
      <c r="AW13" s="137"/>
      <c r="AX13" s="137"/>
      <c r="AY13" s="137"/>
      <c r="AZ13" s="137"/>
      <c r="BA13" s="137" t="str">
        <f>'Q100a-geral'!BA22</f>
        <v>x</v>
      </c>
      <c r="BB13" s="239" t="str">
        <f>'Q100a-geral'!BB22</f>
        <v>Avaliações em pesquisas externas de opiniãox</v>
      </c>
      <c r="BC13" s="239" t="str">
        <f>'Q100a-geral'!BC22</f>
        <v>Avaliações em pesquisas externas de opiniãoxx</v>
      </c>
      <c r="BD13" s="239" t="str">
        <f>'Q100a-geral'!BD22</f>
        <v>Avaliações em pesquisas externas de opiniãox</v>
      </c>
    </row>
    <row r="14" spans="1:56" s="3" customFormat="1" ht="51" customHeight="1" x14ac:dyDescent="0.25">
      <c r="A14" s="275" t="str">
        <f>'Q100a-geral'!A23</f>
        <v>3.2.1</v>
      </c>
      <c r="B14" s="252" t="str">
        <f>'Q100a-geral'!B23</f>
        <v>Avaliações em pesquisas externas de opinião</v>
      </c>
      <c r="C14" s="229" t="str">
        <f>'Q100a-geral'!C23</f>
        <v>x</v>
      </c>
      <c r="D14" s="326" t="str">
        <f>'Q100a-geral'!D23</f>
        <v>AB[r/p]</v>
      </c>
      <c r="E14" s="465" t="str">
        <f>'Q100a-geral'!E23</f>
        <v>Belo Horizonte</v>
      </c>
      <c r="F14" s="488" t="str">
        <f>'Q100a-geral'!F23</f>
        <v>soma dos percentuais de "ruim" e "péssimo" na avaliação geral da BHTrans</v>
      </c>
      <c r="G14" s="252" t="str">
        <f>'Q100a-geral'!G23</f>
        <v>AB[r] + AB[p]</v>
      </c>
      <c r="H14" s="173" t="str">
        <f>'Q100a-geral'!H23</f>
        <v>x</v>
      </c>
      <c r="I14" s="167">
        <f>'Q100a-geral'!I23</f>
        <v>1</v>
      </c>
      <c r="J14" s="107" t="str">
        <f>'Q100a-geral'!J23</f>
        <v>x</v>
      </c>
      <c r="K14" s="107" t="str">
        <f>'Q100a-geral'!K23</f>
        <v>x</v>
      </c>
      <c r="L14" s="107" t="str">
        <f>'Q100a-geral'!L23</f>
        <v>x</v>
      </c>
      <c r="M14" s="107" t="str">
        <f>'Q100a-geral'!M23</f>
        <v>x</v>
      </c>
      <c r="N14" s="107" t="str">
        <f>'Q100a-geral'!N23</f>
        <v>x</v>
      </c>
      <c r="O14" s="64">
        <f>'Q100a-geral'!O23</f>
        <v>6</v>
      </c>
      <c r="P14" s="64">
        <f>'Q100a-geral'!P23</f>
        <v>8</v>
      </c>
      <c r="Q14" s="420"/>
      <c r="R14" s="64">
        <f>'Q100a-geral'!R23</f>
        <v>5</v>
      </c>
      <c r="S14" s="371"/>
      <c r="T14" s="371"/>
      <c r="U14" s="64">
        <f>'Q100a-geral'!U23</f>
        <v>13</v>
      </c>
      <c r="V14" s="371"/>
      <c r="W14" s="64">
        <f>'Q100a-geral'!W23</f>
        <v>17.850000000000001</v>
      </c>
      <c r="X14" s="64">
        <f>'Q100a-geral'!X23</f>
        <v>13.26</v>
      </c>
      <c r="Y14" s="64">
        <f>'Q100a-geral'!Y23</f>
        <v>26.14</v>
      </c>
      <c r="Z14" s="64">
        <f>'Q100a-geral'!Z23</f>
        <v>17.100000000000001</v>
      </c>
      <c r="AA14" s="64">
        <f>'Q100a-geral'!AA23</f>
        <v>18</v>
      </c>
      <c r="AB14" s="83">
        <f>'Q100a-geral'!AB23</f>
        <v>15.76</v>
      </c>
      <c r="AC14" s="64">
        <f>'Q100a-geral'!AC23</f>
        <v>14.670000000000002</v>
      </c>
      <c r="AD14" s="64">
        <f>'Q100a-geral'!AD23</f>
        <v>24.44</v>
      </c>
      <c r="AE14" s="419"/>
      <c r="AF14" s="64">
        <f>'Q100a-geral'!AF23</f>
        <v>32.15</v>
      </c>
      <c r="AG14" s="419"/>
      <c r="AH14" s="419"/>
      <c r="AI14" s="64">
        <f>'Q100a-geral'!AI23</f>
        <v>36</v>
      </c>
      <c r="AJ14" s="419"/>
      <c r="AK14" s="371"/>
      <c r="AL14" s="212" t="str">
        <f>'Q100a-geral'!AL23</f>
        <v>x</v>
      </c>
      <c r="AM14" s="137" t="str">
        <f>'Q100a-geral'!AM23</f>
        <v>x</v>
      </c>
      <c r="AN14" s="137" t="str">
        <f>'Q100a-geral'!AN23</f>
        <v>x</v>
      </c>
      <c r="AO14" s="137" t="str">
        <f>'Q100a-geral'!AO23</f>
        <v>x</v>
      </c>
      <c r="AP14" s="137" t="str">
        <f>'Q100a-geral'!AP23</f>
        <v>x</v>
      </c>
      <c r="AQ14" s="137" t="str">
        <f>'Q100a-geral'!AQ23</f>
        <v>x</v>
      </c>
      <c r="AR14" s="137"/>
      <c r="AS14" s="137"/>
      <c r="AT14" s="137"/>
      <c r="AU14" s="137"/>
      <c r="AV14" s="137" t="str">
        <f>'Q100a-geral'!AV23</f>
        <v>x</v>
      </c>
      <c r="AW14" s="137"/>
      <c r="AX14" s="137"/>
      <c r="AY14" s="137"/>
      <c r="AZ14" s="137"/>
      <c r="BA14" s="137" t="str">
        <f>'Q100a-geral'!BA23</f>
        <v>x</v>
      </c>
      <c r="BB14" s="239" t="str">
        <f>'Q100a-geral'!BB23</f>
        <v>Avaliações em pesquisas externas de opiniãox</v>
      </c>
      <c r="BC14" s="239" t="str">
        <f>'Q100a-geral'!BC23</f>
        <v>Avaliações em pesquisas externas de opiniãoxx</v>
      </c>
      <c r="BD14" s="239" t="str">
        <f>'Q100a-geral'!BD23</f>
        <v>Avaliações em pesquisas externas de opiniãox</v>
      </c>
    </row>
    <row r="15" spans="1:56" s="3" customFormat="1" ht="51" customHeight="1" x14ac:dyDescent="0.25">
      <c r="A15" s="275" t="str">
        <f>'Q100a-geral'!A24</f>
        <v>3.2.1</v>
      </c>
      <c r="B15" s="252" t="str">
        <f>'Q100a-geral'!B24</f>
        <v>Avaliações em pesquisas externas de opinião</v>
      </c>
      <c r="C15" s="229" t="str">
        <f>'Q100a-geral'!C24</f>
        <v>x</v>
      </c>
      <c r="D15" s="36" t="str">
        <f>'Q100a-geral'!D24</f>
        <v>AB[r]</v>
      </c>
      <c r="E15" s="464" t="str">
        <f>'Q100a-geral'!E24</f>
        <v>Belo Horizonte</v>
      </c>
      <c r="F15" s="445" t="str">
        <f>'Q100a-geral'!F24</f>
        <v>percentual de respostas "ruim" ou "nota 2" na avaliação geral da BHTrans (resultados de 1995 a 2012: OLIVEIRA, 2014, Tabela 4.35 a 4.51 - Apêndice D; 2013: DOXA, 2013;  2014: não foi realizada pesquisa; 2015: DOXA, 2015)</v>
      </c>
      <c r="G15" s="252" t="str">
        <f>'Q100a-geral'!G24</f>
        <v>(∑ respostas ruim")/ n.º de respondentes) x 100</v>
      </c>
      <c r="H15" s="173" t="str">
        <f>'Q100a-geral'!H24</f>
        <v>x</v>
      </c>
      <c r="I15" s="167">
        <f>'Q100a-geral'!I24</f>
        <v>1</v>
      </c>
      <c r="J15" s="107" t="str">
        <f>'Q100a-geral'!J24</f>
        <v>x</v>
      </c>
      <c r="K15" s="107" t="str">
        <f>'Q100a-geral'!K24</f>
        <v>x</v>
      </c>
      <c r="L15" s="107" t="str">
        <f>'Q100a-geral'!L24</f>
        <v>x</v>
      </c>
      <c r="M15" s="107" t="str">
        <f>'Q100a-geral'!M24</f>
        <v>x</v>
      </c>
      <c r="N15" s="107" t="str">
        <f>'Q100a-geral'!N24</f>
        <v>x</v>
      </c>
      <c r="O15" s="83">
        <f>'Q100a-geral'!O24</f>
        <v>3</v>
      </c>
      <c r="P15" s="83">
        <f>'Q100a-geral'!P24</f>
        <v>5</v>
      </c>
      <c r="Q15" s="137" t="str">
        <f>'Q100a-geral'!Q24</f>
        <v>x</v>
      </c>
      <c r="R15" s="83">
        <f>'Q100a-geral'!R24</f>
        <v>2.5</v>
      </c>
      <c r="S15" s="85" t="str">
        <f>'Q100a-geral'!S24</f>
        <v>só para pesquisa</v>
      </c>
      <c r="T15" s="107" t="str">
        <f>'Q100a-geral'!T24</f>
        <v>x</v>
      </c>
      <c r="U15" s="83">
        <f>'Q100a-geral'!U24</f>
        <v>7</v>
      </c>
      <c r="V15" s="85" t="str">
        <f>'Q100a-geral'!V24</f>
        <v>só para pesquisa</v>
      </c>
      <c r="W15" s="83">
        <f>'Q100a-geral'!W24</f>
        <v>8.3699999999999992</v>
      </c>
      <c r="X15" s="83">
        <f>'Q100a-geral'!X24</f>
        <v>6.96</v>
      </c>
      <c r="Y15" s="83">
        <f>'Q100a-geral'!Y24</f>
        <v>12.07</v>
      </c>
      <c r="Z15" s="83">
        <f>'Q100a-geral'!Z24</f>
        <v>8.8000000000000007</v>
      </c>
      <c r="AA15" s="83">
        <f>'Q100a-geral'!AA24</f>
        <v>9</v>
      </c>
      <c r="AB15" s="83">
        <f>'Q100a-geral'!AB24</f>
        <v>8.92</v>
      </c>
      <c r="AC15" s="83">
        <f>'Q100a-geral'!AC24</f>
        <v>9.48</v>
      </c>
      <c r="AD15" s="83">
        <f>'Q100a-geral'!AD24</f>
        <v>14.96</v>
      </c>
      <c r="AE15" s="268" t="str">
        <f>'Q100a-geral'!AE24</f>
        <v>não realizada pesquisa em BH</v>
      </c>
      <c r="AF15" s="83">
        <f>'Q100a-geral'!AF24</f>
        <v>22.15</v>
      </c>
      <c r="AG15" s="83" t="str">
        <f>'Q100a-geral'!AG24</f>
        <v>x</v>
      </c>
      <c r="AH15" s="268" t="str">
        <f>'Q100a-geral'!AH24</f>
        <v>não realizada pesquisa em BH</v>
      </c>
      <c r="AI15" s="83">
        <f>'Q100a-geral'!AI24</f>
        <v>19</v>
      </c>
      <c r="AJ15" s="268" t="str">
        <f>'Q100a-geral'!AJ24</f>
        <v>não realizada pesquisa em BH</v>
      </c>
      <c r="AK15" s="107" t="str">
        <f>'Q100a-geral'!AK24</f>
        <v>resultado não comparável</v>
      </c>
      <c r="AL15" s="212" t="str">
        <f>'Q100a-geral'!AL24</f>
        <v>x</v>
      </c>
      <c r="AM15" s="137" t="str">
        <f>'Q100a-geral'!AM24</f>
        <v>x</v>
      </c>
      <c r="AN15" s="137" t="str">
        <f>'Q100a-geral'!AN24</f>
        <v>x</v>
      </c>
      <c r="AO15" s="137" t="str">
        <f>'Q100a-geral'!AO24</f>
        <v>x</v>
      </c>
      <c r="AP15" s="137" t="str">
        <f>'Q100a-geral'!AP24</f>
        <v>x</v>
      </c>
      <c r="AQ15" s="137" t="str">
        <f>'Q100a-geral'!AQ24</f>
        <v>x</v>
      </c>
      <c r="AR15" s="137"/>
      <c r="AS15" s="137"/>
      <c r="AT15" s="137"/>
      <c r="AU15" s="137"/>
      <c r="AV15" s="137" t="str">
        <f>'Q100a-geral'!AV24</f>
        <v>x</v>
      </c>
      <c r="AW15" s="137"/>
      <c r="AX15" s="137"/>
      <c r="AY15" s="137"/>
      <c r="AZ15" s="137"/>
      <c r="BA15" s="137" t="str">
        <f>'Q100a-geral'!BA24</f>
        <v>x</v>
      </c>
      <c r="BB15" s="239" t="str">
        <f>'Q100a-geral'!BB24</f>
        <v>Avaliações em pesquisas externas de opiniãox</v>
      </c>
      <c r="BC15" s="239" t="str">
        <f>'Q100a-geral'!BC24</f>
        <v>Avaliações em pesquisas externas de opiniãoxx</v>
      </c>
      <c r="BD15" s="239" t="str">
        <f>'Q100a-geral'!BD24</f>
        <v>Avaliações em pesquisas externas de opiniãox</v>
      </c>
    </row>
    <row r="16" spans="1:56" s="3" customFormat="1" ht="38.25" customHeight="1" x14ac:dyDescent="0.25">
      <c r="A16" s="275" t="str">
        <f>'Q100a-geral'!A25</f>
        <v>3.2.1</v>
      </c>
      <c r="B16" s="252" t="str">
        <f>'Q100a-geral'!B25</f>
        <v>Avaliações em pesquisas externas de opinião</v>
      </c>
      <c r="C16" s="229" t="str">
        <f>'Q100a-geral'!C25</f>
        <v>x</v>
      </c>
      <c r="D16" s="326" t="str">
        <f>'Q100a-geral'!D25</f>
        <v>AB[rg]</v>
      </c>
      <c r="E16" s="465" t="str">
        <f>'Q100a-geral'!E25</f>
        <v>Belo Horizonte</v>
      </c>
      <c r="F16" s="488" t="str">
        <f>'Q100a-geral'!F25</f>
        <v>percentual de "regular"(respostas "regular" ou "nota 3") na avaliação geral da BHTrans (resultados de 1995 a 2012: OLIVEIRA, 2014, Tabela 4.35 a 4.51 - Apêndice D; 2013: DOXA, 2013;  2014: não foi realizada pesquisa; 2015: DOXA, 2015)</v>
      </c>
      <c r="G16" s="252" t="str">
        <f>'Q100a-geral'!G25</f>
        <v>(∑ respostas "regular")/ n.º de respondentes) x 100</v>
      </c>
      <c r="H16" s="173" t="str">
        <f>'Q100a-geral'!H25</f>
        <v>x</v>
      </c>
      <c r="I16" s="167">
        <f>'Q100a-geral'!I25</f>
        <v>1</v>
      </c>
      <c r="J16" s="107" t="str">
        <f>'Q100a-geral'!J25</f>
        <v>x</v>
      </c>
      <c r="K16" s="107" t="str">
        <f>'Q100a-geral'!K25</f>
        <v>x</v>
      </c>
      <c r="L16" s="107" t="str">
        <f>'Q100a-geral'!L25</f>
        <v>x</v>
      </c>
      <c r="M16" s="107" t="str">
        <f>'Q100a-geral'!M25</f>
        <v>x</v>
      </c>
      <c r="N16" s="107" t="str">
        <f>'Q100a-geral'!N25</f>
        <v>x</v>
      </c>
      <c r="O16" s="83">
        <f>'Q100a-geral'!O25</f>
        <v>29</v>
      </c>
      <c r="P16" s="83">
        <f>'Q100a-geral'!P25</f>
        <v>36</v>
      </c>
      <c r="Q16" s="420"/>
      <c r="R16" s="83">
        <f>'Q100a-geral'!R25</f>
        <v>37</v>
      </c>
      <c r="S16" s="371"/>
      <c r="T16" s="371"/>
      <c r="U16" s="83">
        <f>'Q100a-geral'!U25</f>
        <v>50</v>
      </c>
      <c r="V16" s="371"/>
      <c r="W16" s="84">
        <f>'Q100a-geral'!W25</f>
        <v>47.59</v>
      </c>
      <c r="X16" s="83">
        <f>'Q100a-geral'!X25</f>
        <v>48</v>
      </c>
      <c r="Y16" s="83">
        <f>'Q100a-geral'!Y25</f>
        <v>38.44</v>
      </c>
      <c r="Z16" s="83">
        <f>'Q100a-geral'!Z25</f>
        <v>36.200000000000003</v>
      </c>
      <c r="AA16" s="83">
        <f>'Q100a-geral'!AA25</f>
        <v>42</v>
      </c>
      <c r="AB16" s="83">
        <f>'Q100a-geral'!AB25</f>
        <v>48.72</v>
      </c>
      <c r="AC16" s="83">
        <f>'Q100a-geral'!AC25</f>
        <v>40.74</v>
      </c>
      <c r="AD16" s="83">
        <f>'Q100a-geral'!AD25</f>
        <v>48.37</v>
      </c>
      <c r="AE16" s="419"/>
      <c r="AF16" s="83">
        <f>'Q100a-geral'!AF25</f>
        <v>44.52</v>
      </c>
      <c r="AG16" s="419"/>
      <c r="AH16" s="419"/>
      <c r="AI16" s="83">
        <f>'Q100a-geral'!AI25</f>
        <v>45</v>
      </c>
      <c r="AJ16" s="419"/>
      <c r="AK16" s="371"/>
      <c r="AL16" s="212" t="str">
        <f>'Q100a-geral'!AL25</f>
        <v>x</v>
      </c>
      <c r="AM16" s="137" t="str">
        <f>'Q100a-geral'!AM25</f>
        <v>x</v>
      </c>
      <c r="AN16" s="137" t="str">
        <f>'Q100a-geral'!AN25</f>
        <v>x</v>
      </c>
      <c r="AO16" s="137" t="str">
        <f>'Q100a-geral'!AO25</f>
        <v>x</v>
      </c>
      <c r="AP16" s="137" t="str">
        <f>'Q100a-geral'!AP25</f>
        <v>x</v>
      </c>
      <c r="AQ16" s="137" t="str">
        <f>'Q100a-geral'!AQ25</f>
        <v>x</v>
      </c>
      <c r="AR16" s="137"/>
      <c r="AS16" s="137"/>
      <c r="AT16" s="137"/>
      <c r="AU16" s="137"/>
      <c r="AV16" s="137" t="str">
        <f>'Q100a-geral'!AV25</f>
        <v>x</v>
      </c>
      <c r="AW16" s="137"/>
      <c r="AX16" s="137"/>
      <c r="AY16" s="137"/>
      <c r="AZ16" s="137"/>
      <c r="BA16" s="137" t="str">
        <f>'Q100a-geral'!BA25</f>
        <v>x</v>
      </c>
      <c r="BB16" s="239" t="str">
        <f>'Q100a-geral'!BB25</f>
        <v>Avaliações em pesquisas externas de opiniãox</v>
      </c>
      <c r="BC16" s="239" t="str">
        <f>'Q100a-geral'!BC25</f>
        <v>Avaliações em pesquisas externas de opiniãoxx</v>
      </c>
      <c r="BD16" s="239" t="str">
        <f>'Q100a-geral'!BD25</f>
        <v>Avaliações em pesquisas externas de opiniãox</v>
      </c>
    </row>
    <row r="17" spans="1:56" s="3" customFormat="1" ht="63.75" customHeight="1" x14ac:dyDescent="0.25">
      <c r="A17" s="275" t="str">
        <f>'Q100a-geral'!A29</f>
        <v>3.2.1</v>
      </c>
      <c r="B17" s="252" t="str">
        <f>'Q100a-geral'!B29</f>
        <v>Avaliações em pesquisas externas de opinião</v>
      </c>
      <c r="C17" s="229" t="str">
        <f>'Q100a-geral'!C29</f>
        <v>x</v>
      </c>
      <c r="D17" s="322" t="str">
        <f>'Q100a-geral'!D29</f>
        <v>ABtc</v>
      </c>
      <c r="E17" s="11" t="str">
        <f>'Q100a-geral'!E29</f>
        <v>Belo Horizonte</v>
      </c>
      <c r="F17" s="445" t="str">
        <f>'Q100a-geral'!F29</f>
        <v>avaliação geral da BHTrans na administração do transporte coletivo</v>
      </c>
      <c r="G17" s="252" t="str">
        <f>'Q100a-geral'!G29</f>
        <v>AB[tc] = ((ABtc[o]x5)+ (ABtc[b]x4) + (ABtc[rg]x3) + (ABtc[r]x2)+(ABtc[p]x1))/(100-AB[NS.NR])</v>
      </c>
      <c r="H17" s="173" t="str">
        <f>'Q100a-geral'!H29</f>
        <v>x</v>
      </c>
      <c r="I17" s="167">
        <f>'Q100a-geral'!I29</f>
        <v>1</v>
      </c>
      <c r="J17" s="107" t="str">
        <f>'Q100a-geral'!J29</f>
        <v>x</v>
      </c>
      <c r="K17" s="107" t="str">
        <f>'Q100a-geral'!K29</f>
        <v>x</v>
      </c>
      <c r="L17" s="107" t="str">
        <f>'Q100a-geral'!L29</f>
        <v>x</v>
      </c>
      <c r="M17" s="107" t="str">
        <f>'Q100a-geral'!M29</f>
        <v>x</v>
      </c>
      <c r="N17" s="107" t="str">
        <f>'Q100a-geral'!N29</f>
        <v>x</v>
      </c>
      <c r="O17" s="107" t="str">
        <f>'Q100a-geral'!O29</f>
        <v>x</v>
      </c>
      <c r="P17" s="64">
        <f>'Q100a-geral'!P29</f>
        <v>3.3829787234042552</v>
      </c>
      <c r="Q17" s="371"/>
      <c r="R17" s="64">
        <f>'Q100a-geral'!R29</f>
        <v>3.5670103092783507</v>
      </c>
      <c r="S17" s="44" t="str">
        <f>'Q100a-geral'!S29</f>
        <v>só para pesquisa</v>
      </c>
      <c r="T17" s="371"/>
      <c r="U17" s="64">
        <f>'Q100a-geral'!U29</f>
        <v>3.1770833333333335</v>
      </c>
      <c r="V17" s="44" t="str">
        <f>'Q100a-geral'!V29</f>
        <v>só para pesquisa</v>
      </c>
      <c r="W17" s="64">
        <f>'Q100a-geral'!W29</f>
        <v>3.0865907458705237</v>
      </c>
      <c r="X17" s="64">
        <f>'Q100a-geral'!X29</f>
        <v>3.2048241613459001</v>
      </c>
      <c r="Y17" s="64">
        <f>'Q100a-geral'!Y29</f>
        <v>2.7954758678202856</v>
      </c>
      <c r="Z17" s="64">
        <f>'Q100a-geral'!Z29</f>
        <v>3.0465142344765748</v>
      </c>
      <c r="AA17" s="64">
        <f>'Q100a-geral'!AA29</f>
        <v>3.125</v>
      </c>
      <c r="AB17" s="64">
        <f>'Q100a-geral'!AB29</f>
        <v>3.1435257410296411</v>
      </c>
      <c r="AC17" s="64">
        <f>'Q100a-geral'!AC29</f>
        <v>3.1813520301381337</v>
      </c>
      <c r="AD17" s="64">
        <f>'Q100a-geral'!AD29</f>
        <v>2.8640605557859806</v>
      </c>
      <c r="AE17" s="371"/>
      <c r="AF17" s="64">
        <f>'Q100a-geral'!AF29</f>
        <v>2.782460489618841</v>
      </c>
      <c r="AG17" s="64">
        <f>'Q100a-geral'!AG29</f>
        <v>3.1062186978297164</v>
      </c>
      <c r="AH17" s="371"/>
      <c r="AI17" s="81">
        <f>'Q100a-geral'!AI29</f>
        <v>2.268041237113402</v>
      </c>
      <c r="AJ17" s="371"/>
      <c r="AK17" s="371"/>
      <c r="AL17" s="212" t="str">
        <f>'Q100a-geral'!AL29</f>
        <v>x</v>
      </c>
      <c r="AM17" s="137" t="str">
        <f>'Q100a-geral'!AM29</f>
        <v>x</v>
      </c>
      <c r="AN17" s="137" t="str">
        <f>'Q100a-geral'!AN29</f>
        <v>x</v>
      </c>
      <c r="AO17" s="137" t="str">
        <f>'Q100a-geral'!AO29</f>
        <v>x</v>
      </c>
      <c r="AP17" s="137" t="str">
        <f>'Q100a-geral'!AP29</f>
        <v>x</v>
      </c>
      <c r="AQ17" s="137" t="str">
        <f>'Q100a-geral'!AQ29</f>
        <v>x</v>
      </c>
      <c r="AR17" s="137"/>
      <c r="AS17" s="137"/>
      <c r="AT17" s="137"/>
      <c r="AU17" s="137"/>
      <c r="AV17" s="137" t="str">
        <f>'Q100a-geral'!AV29</f>
        <v>x</v>
      </c>
      <c r="AW17" s="137"/>
      <c r="AX17" s="137"/>
      <c r="AY17" s="137"/>
      <c r="AZ17" s="137"/>
      <c r="BA17" s="137" t="str">
        <f>'Q100a-geral'!BA29</f>
        <v>x</v>
      </c>
      <c r="BB17" s="239" t="str">
        <f>'Q100a-geral'!BB29</f>
        <v>Avaliações em pesquisas externas de opiniãox</v>
      </c>
      <c r="BC17" s="239" t="str">
        <f>'Q100a-geral'!BC29</f>
        <v>Avaliações em pesquisas externas de opiniãoxx</v>
      </c>
      <c r="BD17" s="239" t="str">
        <f>'Q100a-geral'!BD29</f>
        <v>Avaliações em pesquisas externas de opiniãox</v>
      </c>
    </row>
    <row r="18" spans="1:56" s="3" customFormat="1" ht="51" customHeight="1" x14ac:dyDescent="0.25">
      <c r="A18" s="275" t="str">
        <f>'Q100a-geral'!A30</f>
        <v>3.2.1</v>
      </c>
      <c r="B18" s="252" t="str">
        <f>'Q100a-geral'!B30</f>
        <v>Avaliações em pesquisas externas de opinião</v>
      </c>
      <c r="C18" s="229" t="str">
        <f>'Q100a-geral'!C30</f>
        <v>x</v>
      </c>
      <c r="D18" s="36" t="str">
        <f>'Q100a-geral'!D30</f>
        <v>ABtc[b]</v>
      </c>
      <c r="E18" s="464" t="str">
        <f>'Q100a-geral'!E30</f>
        <v>Belo Horizonte</v>
      </c>
      <c r="F18" s="445" t="str">
        <f>'Q100a-geral'!F30</f>
        <v>percentual de respostas "bom" na avaliação geral da BHTrans na administração do transporte coletivo (resultados de 1995 a 2012: OLIVEIRA, 2014, Tabela 4.35 a 4.51 - Apêndice D; 2013: DOXA, 2013;  2014: não foi realizada pesquisa; 2015: DOXA, 2015)</v>
      </c>
      <c r="G18" s="252" t="str">
        <f>'Q100a-geral'!G30</f>
        <v>(∑ respostas "bom" / n.º de respondentes) x 100</v>
      </c>
      <c r="H18" s="173" t="str">
        <f>'Q100a-geral'!H30</f>
        <v>x</v>
      </c>
      <c r="I18" s="167">
        <f>'Q100a-geral'!I30</f>
        <v>1</v>
      </c>
      <c r="J18" s="107" t="str">
        <f>'Q100a-geral'!J30</f>
        <v>x</v>
      </c>
      <c r="K18" s="107" t="str">
        <f>'Q100a-geral'!K30</f>
        <v>x</v>
      </c>
      <c r="L18" s="107" t="str">
        <f>'Q100a-geral'!L30</f>
        <v>x</v>
      </c>
      <c r="M18" s="107" t="str">
        <f>'Q100a-geral'!M30</f>
        <v>x</v>
      </c>
      <c r="N18" s="107" t="str">
        <f>'Q100a-geral'!N30</f>
        <v>x</v>
      </c>
      <c r="O18" s="107" t="str">
        <f>'Q100a-geral'!O30</f>
        <v>x</v>
      </c>
      <c r="P18" s="83">
        <f>'Q100a-geral'!P30</f>
        <v>45</v>
      </c>
      <c r="Q18" s="107" t="str">
        <f>'Q100a-geral'!Q30</f>
        <v>x</v>
      </c>
      <c r="R18" s="83">
        <f>'Q100a-geral'!R30</f>
        <v>49</v>
      </c>
      <c r="S18" s="85" t="str">
        <f>'Q100a-geral'!S30</f>
        <v>só para pesquisa</v>
      </c>
      <c r="T18" s="107" t="str">
        <f>'Q100a-geral'!T30</f>
        <v>x</v>
      </c>
      <c r="U18" s="83">
        <f>'Q100a-geral'!U30</f>
        <v>32</v>
      </c>
      <c r="V18" s="85" t="str">
        <f>'Q100a-geral'!V30</f>
        <v>só para pesquisa</v>
      </c>
      <c r="W18" s="83">
        <f>'Q100a-geral'!W30</f>
        <v>30.44</v>
      </c>
      <c r="X18" s="83">
        <f>'Q100a-geral'!X30</f>
        <v>32</v>
      </c>
      <c r="Y18" s="83">
        <f>'Q100a-geral'!Y30</f>
        <v>25.56</v>
      </c>
      <c r="Z18" s="83">
        <f>'Q100a-geral'!Z30</f>
        <v>30.51</v>
      </c>
      <c r="AA18" s="83">
        <f>'Q100a-geral'!AA30</f>
        <v>33</v>
      </c>
      <c r="AB18" s="83">
        <f>'Q100a-geral'!AB30</f>
        <v>31.31</v>
      </c>
      <c r="AC18" s="83">
        <f>'Q100a-geral'!AC30</f>
        <v>33.630000000000003</v>
      </c>
      <c r="AD18" s="83">
        <f>'Q100a-geral'!AD30</f>
        <v>21.04</v>
      </c>
      <c r="AE18" s="268" t="str">
        <f>'Q100a-geral'!AE30</f>
        <v>não realizada pesquisa em BH</v>
      </c>
      <c r="AF18" s="83">
        <f>'Q100a-geral'!AF30</f>
        <v>18.37</v>
      </c>
      <c r="AG18" s="83">
        <f>'Q100a-geral'!AG30</f>
        <v>23.11</v>
      </c>
      <c r="AH18" s="268" t="str">
        <f>'Q100a-geral'!AH30</f>
        <v>não realizada pesquisa em BH</v>
      </c>
      <c r="AI18" s="83">
        <f>'Q100a-geral'!AI30</f>
        <v>12</v>
      </c>
      <c r="AJ18" s="268" t="str">
        <f>'Q100a-geral'!AJ30</f>
        <v>não realizada pesquisa em BH</v>
      </c>
      <c r="AK18" s="107" t="str">
        <f>'Q100a-geral'!AK30</f>
        <v>lançar</v>
      </c>
      <c r="AL18" s="212" t="str">
        <f>'Q100a-geral'!AL30</f>
        <v>x</v>
      </c>
      <c r="AM18" s="137" t="str">
        <f>'Q100a-geral'!AM30</f>
        <v>x</v>
      </c>
      <c r="AN18" s="137" t="str">
        <f>'Q100a-geral'!AN30</f>
        <v>x</v>
      </c>
      <c r="AO18" s="137" t="str">
        <f>'Q100a-geral'!AO30</f>
        <v>x</v>
      </c>
      <c r="AP18" s="137" t="str">
        <f>'Q100a-geral'!AP30</f>
        <v>x</v>
      </c>
      <c r="AQ18" s="137" t="str">
        <f>'Q100a-geral'!AQ30</f>
        <v>x</v>
      </c>
      <c r="AR18" s="137"/>
      <c r="AS18" s="137"/>
      <c r="AT18" s="137"/>
      <c r="AU18" s="137"/>
      <c r="AV18" s="137" t="str">
        <f>'Q100a-geral'!AV30</f>
        <v>x</v>
      </c>
      <c r="AW18" s="137"/>
      <c r="AX18" s="137"/>
      <c r="AY18" s="137"/>
      <c r="AZ18" s="137"/>
      <c r="BA18" s="137" t="str">
        <f>'Q100a-geral'!BA30</f>
        <v>x</v>
      </c>
      <c r="BB18" s="239" t="str">
        <f>'Q100a-geral'!BB30</f>
        <v>Avaliações em pesquisas externas de opiniãox</v>
      </c>
      <c r="BC18" s="239" t="str">
        <f>'Q100a-geral'!BC30</f>
        <v>Avaliações em pesquisas externas de opiniãoxx</v>
      </c>
      <c r="BD18" s="239" t="str">
        <f>'Q100a-geral'!BD30</f>
        <v>Avaliações em pesquisas externas de opiniãox</v>
      </c>
    </row>
    <row r="19" spans="1:56" s="3" customFormat="1" ht="51" x14ac:dyDescent="0.25">
      <c r="A19" s="275" t="str">
        <f>'Q100a-geral'!A31</f>
        <v>3.2.1</v>
      </c>
      <c r="B19" s="252" t="str">
        <f>'Q100a-geral'!B31</f>
        <v>Avaliações em pesquisas externas de opinião</v>
      </c>
      <c r="C19" s="229" t="str">
        <f>'Q100a-geral'!C31</f>
        <v>x</v>
      </c>
      <c r="D19" s="36" t="str">
        <f>'Q100a-geral'!D31</f>
        <v>ABtc[NS.NR]</v>
      </c>
      <c r="E19" s="464" t="str">
        <f>'Q100a-geral'!E31</f>
        <v>Belo Horizonte</v>
      </c>
      <c r="F19" s="445" t="str">
        <f>'Q100a-geral'!F31</f>
        <v>percentual de respostas "não sabe" e "não respondeu" (NS.NR) na avaliação geral da BHTrans na administração do transporte coletivo (resultados de 1995 a 2012: OLIVEIRA, 2014, Tabela 4.35 a 4.51 - Apêndice D; 2013: DOXA, 2013;  2014: não foi realizada pesquisa; 2015: DOXA, 2015)</v>
      </c>
      <c r="G19" s="252" t="str">
        <f>'Q100a-geral'!G31</f>
        <v>(∑ respostas "NS.NR" / n.º de respondentes) x 100</v>
      </c>
      <c r="H19" s="173" t="str">
        <f>'Q100a-geral'!H31</f>
        <v>x</v>
      </c>
      <c r="I19" s="167">
        <f>'Q100a-geral'!I31</f>
        <v>1</v>
      </c>
      <c r="J19" s="107" t="str">
        <f>'Q100a-geral'!J31</f>
        <v>x</v>
      </c>
      <c r="K19" s="107" t="str">
        <f>'Q100a-geral'!K31</f>
        <v>x</v>
      </c>
      <c r="L19" s="107" t="str">
        <f>'Q100a-geral'!L31</f>
        <v>x</v>
      </c>
      <c r="M19" s="107" t="str">
        <f>'Q100a-geral'!M31</f>
        <v>x</v>
      </c>
      <c r="N19" s="107" t="str">
        <f>'Q100a-geral'!N31</f>
        <v>x</v>
      </c>
      <c r="O19" s="107" t="str">
        <f>'Q100a-geral'!O31</f>
        <v>x</v>
      </c>
      <c r="P19" s="83">
        <f>'Q100a-geral'!P31</f>
        <v>6</v>
      </c>
      <c r="Q19" s="107" t="str">
        <f>'Q100a-geral'!Q31</f>
        <v>x</v>
      </c>
      <c r="R19" s="83">
        <f>'Q100a-geral'!R31</f>
        <v>3</v>
      </c>
      <c r="S19" s="85" t="str">
        <f>'Q100a-geral'!S31</f>
        <v>só para pesquisa</v>
      </c>
      <c r="T19" s="107" t="str">
        <f>'Q100a-geral'!T31</f>
        <v>x</v>
      </c>
      <c r="U19" s="83">
        <f>'Q100a-geral'!U31</f>
        <v>4</v>
      </c>
      <c r="V19" s="85" t="str">
        <f>'Q100a-geral'!V31</f>
        <v>só para pesquisa</v>
      </c>
      <c r="W19" s="83">
        <f>'Q100a-geral'!W31</f>
        <v>2.5299999999999998</v>
      </c>
      <c r="X19" s="83">
        <f>'Q100a-geral'!X31</f>
        <v>1.33</v>
      </c>
      <c r="Y19" s="83">
        <f>'Q100a-geral'!Y31</f>
        <v>4.07</v>
      </c>
      <c r="Z19" s="83">
        <f>'Q100a-geral'!Z31</f>
        <v>10.78</v>
      </c>
      <c r="AA19" s="83">
        <f>'Q100a-geral'!AA31</f>
        <v>4</v>
      </c>
      <c r="AB19" s="83">
        <f>'Q100a-geral'!AB31</f>
        <v>3.85</v>
      </c>
      <c r="AC19" s="83">
        <f>'Q100a-geral'!AC31</f>
        <v>4.4400000000000004</v>
      </c>
      <c r="AD19" s="83">
        <f>'Q100a-geral'!AD31</f>
        <v>3.56</v>
      </c>
      <c r="AE19" s="268" t="str">
        <f>'Q100a-geral'!AE31</f>
        <v>não realizada pesquisa em BH</v>
      </c>
      <c r="AF19" s="83">
        <f>'Q100a-geral'!AF31</f>
        <v>3.19</v>
      </c>
      <c r="AG19" s="83">
        <f>'Q100a-geral'!AG31</f>
        <v>4.16</v>
      </c>
      <c r="AH19" s="268" t="str">
        <f>'Q100a-geral'!AH31</f>
        <v>não realizada pesquisa em BH</v>
      </c>
      <c r="AI19" s="83">
        <f>'Q100a-geral'!AI31</f>
        <v>3</v>
      </c>
      <c r="AJ19" s="268" t="str">
        <f>'Q100a-geral'!AJ31</f>
        <v>não realizada pesquisa em BH</v>
      </c>
      <c r="AK19" s="107" t="str">
        <f>'Q100a-geral'!AK31</f>
        <v>lançar</v>
      </c>
      <c r="AL19" s="212" t="str">
        <f>'Q100a-geral'!AL31</f>
        <v>x</v>
      </c>
      <c r="AM19" s="137" t="str">
        <f>'Q100a-geral'!AM31</f>
        <v>x</v>
      </c>
      <c r="AN19" s="137" t="str">
        <f>'Q100a-geral'!AN31</f>
        <v>x</v>
      </c>
      <c r="AO19" s="137" t="str">
        <f>'Q100a-geral'!AO31</f>
        <v>x</v>
      </c>
      <c r="AP19" s="137" t="str">
        <f>'Q100a-geral'!AP31</f>
        <v>x</v>
      </c>
      <c r="AQ19" s="137" t="str">
        <f>'Q100a-geral'!AQ31</f>
        <v>x</v>
      </c>
      <c r="AR19" s="137"/>
      <c r="AS19" s="137"/>
      <c r="AT19" s="137"/>
      <c r="AU19" s="137"/>
      <c r="AV19" s="137" t="str">
        <f>'Q100a-geral'!AV31</f>
        <v>x</v>
      </c>
      <c r="AW19" s="137"/>
      <c r="AX19" s="137"/>
      <c r="AY19" s="137"/>
      <c r="AZ19" s="137"/>
      <c r="BA19" s="137" t="str">
        <f>'Q100a-geral'!BA31</f>
        <v>x</v>
      </c>
      <c r="BB19" s="239" t="str">
        <f>'Q100a-geral'!BB31</f>
        <v>Avaliações em pesquisas externas de opiniãox</v>
      </c>
      <c r="BC19" s="239" t="str">
        <f>'Q100a-geral'!BC31</f>
        <v>Avaliações em pesquisas externas de opiniãoxx</v>
      </c>
      <c r="BD19" s="239" t="str">
        <f>'Q100a-geral'!BD31</f>
        <v>Avaliações em pesquisas externas de opiniãox</v>
      </c>
    </row>
    <row r="20" spans="1:56" s="3" customFormat="1" ht="51" customHeight="1" x14ac:dyDescent="0.25">
      <c r="A20" s="275" t="str">
        <f>'Q100a-geral'!A32</f>
        <v>3.2.1</v>
      </c>
      <c r="B20" s="252" t="str">
        <f>'Q100a-geral'!B32</f>
        <v>Avaliações em pesquisas externas de opinião</v>
      </c>
      <c r="C20" s="229" t="str">
        <f>'Q100a-geral'!C32</f>
        <v>x</v>
      </c>
      <c r="D20" s="36" t="str">
        <f>'Q100a-geral'!D32</f>
        <v>ABtc[o/b]</v>
      </c>
      <c r="E20" s="464" t="str">
        <f>'Q100a-geral'!E32</f>
        <v>Belo Horizonte</v>
      </c>
      <c r="F20" s="445" t="str">
        <f>'Q100a-geral'!F32</f>
        <v>soma dos percentuais de "ótimo" e "bom" na avaliação geral da BHTrans na administração do transporte coletivo</v>
      </c>
      <c r="G20" s="252" t="str">
        <f>'Q100a-geral'!G32</f>
        <v>ABtc[o] + ABtc[b]</v>
      </c>
      <c r="H20" s="173" t="str">
        <f>'Q100a-geral'!H32</f>
        <v>x</v>
      </c>
      <c r="I20" s="167">
        <f>'Q100a-geral'!I32</f>
        <v>1</v>
      </c>
      <c r="J20" s="107" t="str">
        <f>'Q100a-geral'!J32</f>
        <v>x</v>
      </c>
      <c r="K20" s="107" t="str">
        <f>'Q100a-geral'!K32</f>
        <v>x</v>
      </c>
      <c r="L20" s="107" t="str">
        <f>'Q100a-geral'!L32</f>
        <v>x</v>
      </c>
      <c r="M20" s="107" t="str">
        <f>'Q100a-geral'!M32</f>
        <v>x</v>
      </c>
      <c r="N20" s="107" t="str">
        <f>'Q100a-geral'!N32</f>
        <v>x</v>
      </c>
      <c r="O20" s="107" t="str">
        <f>'Q100a-geral'!O32</f>
        <v>x</v>
      </c>
      <c r="P20" s="64">
        <f>'Q100a-geral'!P32</f>
        <v>49</v>
      </c>
      <c r="Q20" s="107" t="str">
        <f>'Q100a-geral'!Q32</f>
        <v>x</v>
      </c>
      <c r="R20" s="64">
        <f>'Q100a-geral'!R32</f>
        <v>57</v>
      </c>
      <c r="S20" s="44" t="str">
        <f>'Q100a-geral'!S32</f>
        <v>só para pesquisa</v>
      </c>
      <c r="T20" s="107" t="str">
        <f>'Q100a-geral'!T32</f>
        <v>x</v>
      </c>
      <c r="U20" s="64">
        <f>'Q100a-geral'!U32</f>
        <v>36</v>
      </c>
      <c r="V20" s="85" t="str">
        <f>'Q100a-geral'!V32</f>
        <v>só para pesquisa</v>
      </c>
      <c r="W20" s="64">
        <f>'Q100a-geral'!W32</f>
        <v>33.450000000000003</v>
      </c>
      <c r="X20" s="64">
        <f>'Q100a-geral'!X32</f>
        <v>36.519999999999996</v>
      </c>
      <c r="Y20" s="64">
        <f>'Q100a-geral'!Y32</f>
        <v>27.709999999999997</v>
      </c>
      <c r="Z20" s="64">
        <f>'Q100a-geral'!Z32</f>
        <v>33.5</v>
      </c>
      <c r="AA20" s="64">
        <f>'Q100a-geral'!AA32</f>
        <v>37</v>
      </c>
      <c r="AB20" s="64">
        <f>'Q100a-geral'!AB32</f>
        <v>34.159999999999997</v>
      </c>
      <c r="AC20" s="64">
        <f>'Q100a-geral'!AC32</f>
        <v>37.260000000000005</v>
      </c>
      <c r="AD20" s="64">
        <f>'Q100a-geral'!AD32</f>
        <v>22.89</v>
      </c>
      <c r="AE20" s="268" t="str">
        <f>'Q100a-geral'!AE32</f>
        <v>não realizada pesquisa em BH</v>
      </c>
      <c r="AF20" s="64">
        <f>'Q100a-geral'!AF32</f>
        <v>19.700000000000003</v>
      </c>
      <c r="AG20" s="64">
        <f>'Q100a-geral'!AG32</f>
        <v>31.42</v>
      </c>
      <c r="AH20" s="268" t="str">
        <f>'Q100a-geral'!AH32</f>
        <v>não realizada pesquisa em BH</v>
      </c>
      <c r="AI20" s="64">
        <f>'Q100a-geral'!AI32</f>
        <v>13</v>
      </c>
      <c r="AJ20" s="268" t="str">
        <f>'Q100a-geral'!AJ32</f>
        <v>não realizada pesquisa em BH</v>
      </c>
      <c r="AK20" s="107" t="str">
        <f>'Q100a-geral'!AK32</f>
        <v>lançar</v>
      </c>
      <c r="AL20" s="212" t="str">
        <f>'Q100a-geral'!AL32</f>
        <v>x</v>
      </c>
      <c r="AM20" s="137" t="str">
        <f>'Q100a-geral'!AM32</f>
        <v>x</v>
      </c>
      <c r="AN20" s="137" t="str">
        <f>'Q100a-geral'!AN32</f>
        <v>x</v>
      </c>
      <c r="AO20" s="137" t="str">
        <f>'Q100a-geral'!AO32</f>
        <v>x</v>
      </c>
      <c r="AP20" s="137" t="str">
        <f>'Q100a-geral'!AP32</f>
        <v>x</v>
      </c>
      <c r="AQ20" s="137" t="str">
        <f>'Q100a-geral'!AQ32</f>
        <v>x</v>
      </c>
      <c r="AR20" s="137"/>
      <c r="AS20" s="137"/>
      <c r="AT20" s="137"/>
      <c r="AU20" s="137"/>
      <c r="AV20" s="137" t="str">
        <f>'Q100a-geral'!AV32</f>
        <v>x</v>
      </c>
      <c r="AW20" s="137"/>
      <c r="AX20" s="137"/>
      <c r="AY20" s="137"/>
      <c r="AZ20" s="137"/>
      <c r="BA20" s="137" t="str">
        <f>'Q100a-geral'!BA32</f>
        <v>x</v>
      </c>
      <c r="BB20" s="239" t="str">
        <f>'Q100a-geral'!BB32</f>
        <v>Avaliações em pesquisas externas de opiniãox</v>
      </c>
      <c r="BC20" s="239" t="str">
        <f>'Q100a-geral'!BC32</f>
        <v>Avaliações em pesquisas externas de opiniãoxx</v>
      </c>
      <c r="BD20" s="239" t="str">
        <f>'Q100a-geral'!BD32</f>
        <v>Avaliações em pesquisas externas de opiniãox</v>
      </c>
    </row>
    <row r="21" spans="1:56" s="3" customFormat="1" ht="51" customHeight="1" x14ac:dyDescent="0.25">
      <c r="A21" s="275" t="str">
        <f>'Q100a-geral'!A33</f>
        <v>3.2.1</v>
      </c>
      <c r="B21" s="252" t="str">
        <f>'Q100a-geral'!B33</f>
        <v>Avaliações em pesquisas externas de opinião</v>
      </c>
      <c r="C21" s="229" t="str">
        <f>'Q100a-geral'!C33</f>
        <v>x</v>
      </c>
      <c r="D21" s="36" t="str">
        <f>'Q100a-geral'!D33</f>
        <v>ABtc[o]</v>
      </c>
      <c r="E21" s="464" t="str">
        <f>'Q100a-geral'!E33</f>
        <v>Belo Horizonte</v>
      </c>
      <c r="F21" s="445" t="str">
        <f>'Q100a-geral'!F33</f>
        <v>percentual de respostas "ótimo" na avaliação geral da BHTrans na administração do transporte coletivo (resultados de 1995 a 2012: OLIVEIRA, 2014, Tabela 4.35 a 4.51 - Apêndice D; 2013: DOXA, 2013;  2014: não foi realizada pesquisa; 2015: DOXA, 2015)</v>
      </c>
      <c r="G21" s="252" t="str">
        <f>'Q100a-geral'!G33</f>
        <v>(∑ respostas "ótimo" / n.º de respondentes) x 100</v>
      </c>
      <c r="H21" s="173" t="str">
        <f>'Q100a-geral'!H33</f>
        <v>x</v>
      </c>
      <c r="I21" s="167">
        <f>'Q100a-geral'!I33</f>
        <v>1</v>
      </c>
      <c r="J21" s="107" t="str">
        <f>'Q100a-geral'!J33</f>
        <v>x</v>
      </c>
      <c r="K21" s="107" t="str">
        <f>'Q100a-geral'!K33</f>
        <v>x</v>
      </c>
      <c r="L21" s="107" t="str">
        <f>'Q100a-geral'!L33</f>
        <v>x</v>
      </c>
      <c r="M21" s="107" t="str">
        <f>'Q100a-geral'!M33</f>
        <v>x</v>
      </c>
      <c r="N21" s="107" t="str">
        <f>'Q100a-geral'!N33</f>
        <v>x</v>
      </c>
      <c r="O21" s="107" t="str">
        <f>'Q100a-geral'!O33</f>
        <v>x</v>
      </c>
      <c r="P21" s="83">
        <f>'Q100a-geral'!P33</f>
        <v>4</v>
      </c>
      <c r="Q21" s="107" t="str">
        <f>'Q100a-geral'!Q33</f>
        <v>x</v>
      </c>
      <c r="R21" s="83">
        <f>'Q100a-geral'!R33</f>
        <v>8</v>
      </c>
      <c r="S21" s="85" t="str">
        <f>'Q100a-geral'!S33</f>
        <v>só para pesquisa</v>
      </c>
      <c r="T21" s="107" t="str">
        <f>'Q100a-geral'!T33</f>
        <v>x</v>
      </c>
      <c r="U21" s="83">
        <f>'Q100a-geral'!U33</f>
        <v>4</v>
      </c>
      <c r="V21" s="85" t="str">
        <f>'Q100a-geral'!V33</f>
        <v>só para pesquisa</v>
      </c>
      <c r="W21" s="83">
        <f>'Q100a-geral'!W33</f>
        <v>3.01</v>
      </c>
      <c r="X21" s="83">
        <f>'Q100a-geral'!X33</f>
        <v>4.5199999999999996</v>
      </c>
      <c r="Y21" s="83">
        <f>'Q100a-geral'!Y33</f>
        <v>2.15</v>
      </c>
      <c r="Z21" s="83">
        <f>'Q100a-geral'!Z33</f>
        <v>2.99</v>
      </c>
      <c r="AA21" s="83">
        <f>'Q100a-geral'!AA33</f>
        <v>4</v>
      </c>
      <c r="AB21" s="83">
        <f>'Q100a-geral'!AB33</f>
        <v>2.85</v>
      </c>
      <c r="AC21" s="83">
        <f>'Q100a-geral'!AC33</f>
        <v>3.63</v>
      </c>
      <c r="AD21" s="83">
        <f>'Q100a-geral'!AD33</f>
        <v>1.85</v>
      </c>
      <c r="AE21" s="268" t="str">
        <f>'Q100a-geral'!AE33</f>
        <v>não realizada pesquisa em BH</v>
      </c>
      <c r="AF21" s="83">
        <f>'Q100a-geral'!AF33</f>
        <v>1.33</v>
      </c>
      <c r="AG21" s="83">
        <f>'Q100a-geral'!AG33</f>
        <v>8.31</v>
      </c>
      <c r="AH21" s="268" t="str">
        <f>'Q100a-geral'!AH33</f>
        <v>não realizada pesquisa em BH</v>
      </c>
      <c r="AI21" s="83">
        <f>'Q100a-geral'!AI33</f>
        <v>1</v>
      </c>
      <c r="AJ21" s="268" t="str">
        <f>'Q100a-geral'!AJ33</f>
        <v>não realizada pesquisa em BH</v>
      </c>
      <c r="AK21" s="107" t="str">
        <f>'Q100a-geral'!AK33</f>
        <v>lançar</v>
      </c>
      <c r="AL21" s="212" t="str">
        <f>'Q100a-geral'!AL33</f>
        <v>x</v>
      </c>
      <c r="AM21" s="137" t="str">
        <f>'Q100a-geral'!AM33</f>
        <v>x</v>
      </c>
      <c r="AN21" s="137" t="str">
        <f>'Q100a-geral'!AN33</f>
        <v>x</v>
      </c>
      <c r="AO21" s="137" t="str">
        <f>'Q100a-geral'!AO33</f>
        <v>x</v>
      </c>
      <c r="AP21" s="137" t="str">
        <f>'Q100a-geral'!AP33</f>
        <v>x</v>
      </c>
      <c r="AQ21" s="137" t="str">
        <f>'Q100a-geral'!AQ33</f>
        <v>x</v>
      </c>
      <c r="AR21" s="137"/>
      <c r="AS21" s="137"/>
      <c r="AT21" s="137"/>
      <c r="AU21" s="137"/>
      <c r="AV21" s="137" t="str">
        <f>'Q100a-geral'!AV33</f>
        <v>x</v>
      </c>
      <c r="AW21" s="137"/>
      <c r="AX21" s="137"/>
      <c r="AY21" s="137"/>
      <c r="AZ21" s="137"/>
      <c r="BA21" s="137" t="str">
        <f>'Q100a-geral'!BA33</f>
        <v>x</v>
      </c>
      <c r="BB21" s="239" t="str">
        <f>'Q100a-geral'!BB33</f>
        <v>Avaliações em pesquisas externas de opiniãox</v>
      </c>
      <c r="BC21" s="239" t="str">
        <f>'Q100a-geral'!BC33</f>
        <v>Avaliações em pesquisas externas de opiniãoxx</v>
      </c>
      <c r="BD21" s="239" t="str">
        <f>'Q100a-geral'!BD33</f>
        <v>Avaliações em pesquisas externas de opiniãox</v>
      </c>
    </row>
    <row r="22" spans="1:56" s="3" customFormat="1" ht="47.25" customHeight="1" x14ac:dyDescent="0.25">
      <c r="A22" s="275" t="str">
        <f>'Q100a-geral'!A34</f>
        <v>3.2.1</v>
      </c>
      <c r="B22" s="252" t="str">
        <f>'Q100a-geral'!B34</f>
        <v>Avaliações em pesquisas externas de opinião</v>
      </c>
      <c r="C22" s="229" t="str">
        <f>'Q100a-geral'!C34</f>
        <v>x</v>
      </c>
      <c r="D22" s="36" t="str">
        <f>'Q100a-geral'!D34</f>
        <v>ABtc[p]</v>
      </c>
      <c r="E22" s="464" t="str">
        <f>'Q100a-geral'!E34</f>
        <v>Belo Horizonte</v>
      </c>
      <c r="F22" s="445" t="str">
        <f>'Q100a-geral'!F34</f>
        <v>percentual de respostas "péssimo" na avaliação geral da BHTrans na administração do transporte coletivo (resultados de 1995 a 2012: OLIVEIRA, 2014, Tabela 4.35 a 4.51 - Apêndice D; 2013: DOXA, 2013;  2014: não foi realizada pesquisa; 2015: DOXA, 2015)</v>
      </c>
      <c r="G22" s="252" t="str">
        <f>'Q100a-geral'!G34</f>
        <v>(∑ respostas péssimo")/ n.º de respondentes) x 100</v>
      </c>
      <c r="H22" s="173" t="str">
        <f>'Q100a-geral'!H34</f>
        <v>x</v>
      </c>
      <c r="I22" s="167">
        <f>'Q100a-geral'!I34</f>
        <v>1</v>
      </c>
      <c r="J22" s="107" t="str">
        <f>'Q100a-geral'!J34</f>
        <v>x</v>
      </c>
      <c r="K22" s="107" t="str">
        <f>'Q100a-geral'!K34</f>
        <v>x</v>
      </c>
      <c r="L22" s="107" t="str">
        <f>'Q100a-geral'!L34</f>
        <v>x</v>
      </c>
      <c r="M22" s="107" t="str">
        <f>'Q100a-geral'!M34</f>
        <v>x</v>
      </c>
      <c r="N22" s="107" t="str">
        <f>'Q100a-geral'!N34</f>
        <v>x</v>
      </c>
      <c r="O22" s="107" t="str">
        <f>'Q100a-geral'!O34</f>
        <v>x</v>
      </c>
      <c r="P22" s="83">
        <f>'Q100a-geral'!P34</f>
        <v>6</v>
      </c>
      <c r="Q22" s="107" t="str">
        <f>'Q100a-geral'!Q34</f>
        <v>x</v>
      </c>
      <c r="R22" s="83">
        <f>'Q100a-geral'!R34</f>
        <v>3</v>
      </c>
      <c r="S22" s="85" t="str">
        <f>'Q100a-geral'!S34</f>
        <v>só para pesquisa</v>
      </c>
      <c r="T22" s="107" t="str">
        <f>'Q100a-geral'!T34</f>
        <v>x</v>
      </c>
      <c r="U22" s="83">
        <f>'Q100a-geral'!U34</f>
        <v>7</v>
      </c>
      <c r="V22" s="85" t="str">
        <f>'Q100a-geral'!V34</f>
        <v>só para pesquisa</v>
      </c>
      <c r="W22" s="83">
        <f>'Q100a-geral'!W34</f>
        <v>9.49</v>
      </c>
      <c r="X22" s="83">
        <f>'Q100a-geral'!X34</f>
        <v>7.41</v>
      </c>
      <c r="Y22" s="83">
        <f>'Q100a-geral'!Y34</f>
        <v>16.96</v>
      </c>
      <c r="Z22" s="83">
        <f>'Q100a-geral'!Z34</f>
        <v>9.2899999999999991</v>
      </c>
      <c r="AA22" s="83">
        <f>'Q100a-geral'!AA34</f>
        <v>9</v>
      </c>
      <c r="AB22" s="83">
        <f>'Q100a-geral'!AB34</f>
        <v>6.99</v>
      </c>
      <c r="AC22" s="83">
        <f>'Q100a-geral'!AC34</f>
        <v>6.3</v>
      </c>
      <c r="AD22" s="83">
        <f>'Q100a-geral'!AD34</f>
        <v>11.63</v>
      </c>
      <c r="AE22" s="268" t="str">
        <f>'Q100a-geral'!AE34</f>
        <v>não realizada pesquisa em BH</v>
      </c>
      <c r="AF22" s="83">
        <f>'Q100a-geral'!AF34</f>
        <v>10.81</v>
      </c>
      <c r="AG22" s="83">
        <f>'Q100a-geral'!AG34</f>
        <v>8.7899999999999991</v>
      </c>
      <c r="AH22" s="268" t="str">
        <f>'Q100a-geral'!AH34</f>
        <v>não realizada pesquisa em BH</v>
      </c>
      <c r="AI22" s="83">
        <f>'Q100a-geral'!AI34</f>
        <v>31</v>
      </c>
      <c r="AJ22" s="268" t="str">
        <f>'Q100a-geral'!AJ34</f>
        <v>não realizada pesquisa em BH</v>
      </c>
      <c r="AK22" s="107" t="str">
        <f>'Q100a-geral'!AK34</f>
        <v>lançar</v>
      </c>
      <c r="AL22" s="212" t="str">
        <f>'Q100a-geral'!AL34</f>
        <v>x</v>
      </c>
      <c r="AM22" s="137" t="str">
        <f>'Q100a-geral'!AM34</f>
        <v>x</v>
      </c>
      <c r="AN22" s="137" t="str">
        <f>'Q100a-geral'!AN34</f>
        <v>x</v>
      </c>
      <c r="AO22" s="137" t="str">
        <f>'Q100a-geral'!AO34</f>
        <v>x</v>
      </c>
      <c r="AP22" s="137" t="str">
        <f>'Q100a-geral'!AP34</f>
        <v>x</v>
      </c>
      <c r="AQ22" s="137" t="str">
        <f>'Q100a-geral'!AQ34</f>
        <v>x</v>
      </c>
      <c r="AR22" s="137"/>
      <c r="AS22" s="137"/>
      <c r="AT22" s="137"/>
      <c r="AU22" s="137"/>
      <c r="AV22" s="137" t="str">
        <f>'Q100a-geral'!AV34</f>
        <v>x</v>
      </c>
      <c r="AW22" s="137"/>
      <c r="AX22" s="137"/>
      <c r="AY22" s="137"/>
      <c r="AZ22" s="137"/>
      <c r="BA22" s="137" t="str">
        <f>'Q100a-geral'!BA34</f>
        <v>x</v>
      </c>
      <c r="BB22" s="239" t="str">
        <f>'Q100a-geral'!BB34</f>
        <v>Avaliações em pesquisas externas de opiniãox</v>
      </c>
      <c r="BC22" s="239" t="str">
        <f>'Q100a-geral'!BC34</f>
        <v>Avaliações em pesquisas externas de opiniãoxx</v>
      </c>
      <c r="BD22" s="239" t="str">
        <f>'Q100a-geral'!BD34</f>
        <v>Avaliações em pesquisas externas de opiniãox</v>
      </c>
    </row>
    <row r="23" spans="1:56" s="3" customFormat="1" ht="47.25" customHeight="1" x14ac:dyDescent="0.25">
      <c r="A23" s="275" t="str">
        <f>'Q100a-geral'!A35</f>
        <v>3.2.1</v>
      </c>
      <c r="B23" s="252" t="str">
        <f>'Q100a-geral'!B35</f>
        <v>Avaliações em pesquisas externas de opinião</v>
      </c>
      <c r="C23" s="229" t="str">
        <f>'Q100a-geral'!C35</f>
        <v>x</v>
      </c>
      <c r="D23" s="36" t="str">
        <f>'Q100a-geral'!D35</f>
        <v>ABtc[r/p]</v>
      </c>
      <c r="E23" s="464" t="str">
        <f>'Q100a-geral'!E35</f>
        <v>Belo Horizonte</v>
      </c>
      <c r="F23" s="445" t="str">
        <f>'Q100a-geral'!F35</f>
        <v>soma dos percentuais de "ruim" e "péssimo" na avaliação geral da BHTrans na administração do transporte coletivo</v>
      </c>
      <c r="G23" s="252" t="str">
        <f>'Q100a-geral'!G35</f>
        <v>ABtc[r] + ABtc[p]</v>
      </c>
      <c r="H23" s="173" t="str">
        <f>'Q100a-geral'!H35</f>
        <v>x</v>
      </c>
      <c r="I23" s="167">
        <f>'Q100a-geral'!I35</f>
        <v>1</v>
      </c>
      <c r="J23" s="107" t="str">
        <f>'Q100a-geral'!J35</f>
        <v>x</v>
      </c>
      <c r="K23" s="107" t="str">
        <f>'Q100a-geral'!K35</f>
        <v>x</v>
      </c>
      <c r="L23" s="107" t="str">
        <f>'Q100a-geral'!L35</f>
        <v>x</v>
      </c>
      <c r="M23" s="107" t="str">
        <f>'Q100a-geral'!M35</f>
        <v>x</v>
      </c>
      <c r="N23" s="107" t="str">
        <f>'Q100a-geral'!N35</f>
        <v>x</v>
      </c>
      <c r="O23" s="107" t="str">
        <f>'Q100a-geral'!O35</f>
        <v>x</v>
      </c>
      <c r="P23" s="64">
        <f>'Q100a-geral'!P35</f>
        <v>11</v>
      </c>
      <c r="Q23" s="107" t="str">
        <f>'Q100a-geral'!Q35</f>
        <v>x</v>
      </c>
      <c r="R23" s="64">
        <f>'Q100a-geral'!R35</f>
        <v>7</v>
      </c>
      <c r="S23" s="44" t="str">
        <f>'Q100a-geral'!S35</f>
        <v>só para pesquisa</v>
      </c>
      <c r="T23" s="107" t="str">
        <f>'Q100a-geral'!T35</f>
        <v>x</v>
      </c>
      <c r="U23" s="64">
        <f>'Q100a-geral'!U35</f>
        <v>16</v>
      </c>
      <c r="V23" s="85" t="str">
        <f>'Q100a-geral'!V35</f>
        <v>só para pesquisa</v>
      </c>
      <c r="W23" s="64">
        <f>'Q100a-geral'!W35</f>
        <v>18.53</v>
      </c>
      <c r="X23" s="64">
        <f>'Q100a-geral'!X35</f>
        <v>16.3</v>
      </c>
      <c r="Y23" s="64">
        <f>'Q100a-geral'!Y35</f>
        <v>32.520000000000003</v>
      </c>
      <c r="Z23" s="64">
        <f>'Q100a-geral'!Z35</f>
        <v>23.049999999999997</v>
      </c>
      <c r="AA23" s="64">
        <f>'Q100a-geral'!AA35</f>
        <v>20</v>
      </c>
      <c r="AB23" s="64">
        <f>'Q100a-geral'!AB35</f>
        <v>16.189999999999998</v>
      </c>
      <c r="AC23" s="64">
        <f>'Q100a-geral'!AC35</f>
        <v>17.260000000000002</v>
      </c>
      <c r="AD23" s="64">
        <f>'Q100a-geral'!AD35</f>
        <v>26.22</v>
      </c>
      <c r="AE23" s="268" t="str">
        <f>'Q100a-geral'!AE35</f>
        <v>não realizada pesquisa em BH</v>
      </c>
      <c r="AF23" s="64">
        <f>'Q100a-geral'!AF35</f>
        <v>31.25</v>
      </c>
      <c r="AG23" s="64">
        <f>'Q100a-geral'!AG35</f>
        <v>20.759999999999998</v>
      </c>
      <c r="AH23" s="268" t="str">
        <f>'Q100a-geral'!AH35</f>
        <v>não realizada pesquisa em BH</v>
      </c>
      <c r="AI23" s="64">
        <f>'Q100a-geral'!AI35</f>
        <v>54</v>
      </c>
      <c r="AJ23" s="268" t="str">
        <f>'Q100a-geral'!AJ35</f>
        <v>não realizada pesquisa em BH</v>
      </c>
      <c r="AK23" s="107" t="str">
        <f>'Q100a-geral'!AK35</f>
        <v>lançar</v>
      </c>
      <c r="AL23" s="212" t="str">
        <f>'Q100a-geral'!AL35</f>
        <v>x</v>
      </c>
      <c r="AM23" s="137" t="str">
        <f>'Q100a-geral'!AM35</f>
        <v>x</v>
      </c>
      <c r="AN23" s="137" t="str">
        <f>'Q100a-geral'!AN35</f>
        <v>x</v>
      </c>
      <c r="AO23" s="137" t="str">
        <f>'Q100a-geral'!AO35</f>
        <v>x</v>
      </c>
      <c r="AP23" s="137" t="str">
        <f>'Q100a-geral'!AP35</f>
        <v>x</v>
      </c>
      <c r="AQ23" s="137" t="str">
        <f>'Q100a-geral'!AQ35</f>
        <v>x</v>
      </c>
      <c r="AR23" s="137"/>
      <c r="AS23" s="137"/>
      <c r="AT23" s="137"/>
      <c r="AU23" s="137"/>
      <c r="AV23" s="137" t="str">
        <f>'Q100a-geral'!AV35</f>
        <v>x</v>
      </c>
      <c r="AW23" s="137"/>
      <c r="AX23" s="137"/>
      <c r="AY23" s="137"/>
      <c r="AZ23" s="137"/>
      <c r="BA23" s="137" t="str">
        <f>'Q100a-geral'!BA35</f>
        <v>x</v>
      </c>
      <c r="BB23" s="239" t="str">
        <f>'Q100a-geral'!BB35</f>
        <v>Avaliações em pesquisas externas de opiniãox</v>
      </c>
      <c r="BC23" s="239" t="str">
        <f>'Q100a-geral'!BC35</f>
        <v>Avaliações em pesquisas externas de opiniãoxx</v>
      </c>
      <c r="BD23" s="239" t="str">
        <f>'Q100a-geral'!BD35</f>
        <v>Avaliações em pesquisas externas de opiniãox</v>
      </c>
    </row>
    <row r="24" spans="1:56" s="3" customFormat="1" ht="47.25" customHeight="1" x14ac:dyDescent="0.25">
      <c r="A24" s="275" t="str">
        <f>'Q100a-geral'!A36</f>
        <v>3.2.1</v>
      </c>
      <c r="B24" s="252" t="str">
        <f>'Q100a-geral'!B36</f>
        <v>Avaliações em pesquisas externas de opinião</v>
      </c>
      <c r="C24" s="229" t="str">
        <f>'Q100a-geral'!C36</f>
        <v>x</v>
      </c>
      <c r="D24" s="36" t="str">
        <f>'Q100a-geral'!D36</f>
        <v>ABtc[r]</v>
      </c>
      <c r="E24" s="464" t="str">
        <f>'Q100a-geral'!E36</f>
        <v>Belo Horizonte</v>
      </c>
      <c r="F24" s="445" t="str">
        <f>'Q100a-geral'!F36</f>
        <v>percentual de respostas "ruim" na avaliação geral da BHTrans na administração do transporte coletivo (resultados de 1995 a 2012: OLIVEIRA, 2014, Tabela 4.35 a 4.51 - Apêndice D; 2013: DOXA, 2013;  2014: não foi realizada pesquisa; 2015: DOXA, 2015)</v>
      </c>
      <c r="G24" s="252" t="str">
        <f>'Q100a-geral'!G36</f>
        <v>(∑ respostas ruim")/ n.º de respondentes) x 100</v>
      </c>
      <c r="H24" s="173" t="str">
        <f>'Q100a-geral'!H36</f>
        <v>x</v>
      </c>
      <c r="I24" s="167">
        <f>'Q100a-geral'!I36</f>
        <v>1</v>
      </c>
      <c r="J24" s="107" t="str">
        <f>'Q100a-geral'!J36</f>
        <v>x</v>
      </c>
      <c r="K24" s="107" t="str">
        <f>'Q100a-geral'!K36</f>
        <v>x</v>
      </c>
      <c r="L24" s="107" t="str">
        <f>'Q100a-geral'!L36</f>
        <v>x</v>
      </c>
      <c r="M24" s="107" t="str">
        <f>'Q100a-geral'!M36</f>
        <v>x</v>
      </c>
      <c r="N24" s="107" t="str">
        <f>'Q100a-geral'!N36</f>
        <v>x</v>
      </c>
      <c r="O24" s="107" t="str">
        <f>'Q100a-geral'!O36</f>
        <v>x</v>
      </c>
      <c r="P24" s="83">
        <f>'Q100a-geral'!P36</f>
        <v>5</v>
      </c>
      <c r="Q24" s="107" t="str">
        <f>'Q100a-geral'!Q36</f>
        <v>x</v>
      </c>
      <c r="R24" s="83">
        <f>'Q100a-geral'!R36</f>
        <v>4</v>
      </c>
      <c r="S24" s="85" t="str">
        <f>'Q100a-geral'!S36</f>
        <v>só para pesquisa</v>
      </c>
      <c r="T24" s="107" t="str">
        <f>'Q100a-geral'!T36</f>
        <v>x</v>
      </c>
      <c r="U24" s="83">
        <f>'Q100a-geral'!U36</f>
        <v>9</v>
      </c>
      <c r="V24" s="85" t="str">
        <f>'Q100a-geral'!V36</f>
        <v>só para pesquisa</v>
      </c>
      <c r="W24" s="83">
        <f>'Q100a-geral'!W36</f>
        <v>9.0399999999999991</v>
      </c>
      <c r="X24" s="83">
        <f>'Q100a-geral'!X36</f>
        <v>8.89</v>
      </c>
      <c r="Y24" s="83">
        <f>'Q100a-geral'!Y36</f>
        <v>15.56</v>
      </c>
      <c r="Z24" s="83">
        <f>'Q100a-geral'!Z36</f>
        <v>13.76</v>
      </c>
      <c r="AA24" s="83">
        <f>'Q100a-geral'!AA36</f>
        <v>11</v>
      </c>
      <c r="AB24" s="83">
        <f>'Q100a-geral'!AB36</f>
        <v>9.1999999999999993</v>
      </c>
      <c r="AC24" s="83">
        <f>'Q100a-geral'!AC36</f>
        <v>10.96</v>
      </c>
      <c r="AD24" s="83">
        <f>'Q100a-geral'!AD36</f>
        <v>14.59</v>
      </c>
      <c r="AE24" s="268" t="str">
        <f>'Q100a-geral'!AE36</f>
        <v>não realizada pesquisa em BH</v>
      </c>
      <c r="AF24" s="83">
        <f>'Q100a-geral'!AF36</f>
        <v>20.440000000000001</v>
      </c>
      <c r="AG24" s="83">
        <f>'Q100a-geral'!AG36</f>
        <v>11.97</v>
      </c>
      <c r="AH24" s="268" t="str">
        <f>'Q100a-geral'!AH36</f>
        <v>não realizada pesquisa em BH</v>
      </c>
      <c r="AI24" s="83">
        <f>'Q100a-geral'!AI36</f>
        <v>23</v>
      </c>
      <c r="AJ24" s="268" t="str">
        <f>'Q100a-geral'!AJ36</f>
        <v>não realizada pesquisa em BH</v>
      </c>
      <c r="AK24" s="107" t="str">
        <f>'Q100a-geral'!AK36</f>
        <v>lançar</v>
      </c>
      <c r="AL24" s="212" t="str">
        <f>'Q100a-geral'!AL36</f>
        <v>x</v>
      </c>
      <c r="AM24" s="137" t="str">
        <f>'Q100a-geral'!AM36</f>
        <v>x</v>
      </c>
      <c r="AN24" s="137" t="str">
        <f>'Q100a-geral'!AN36</f>
        <v>x</v>
      </c>
      <c r="AO24" s="137" t="str">
        <f>'Q100a-geral'!AO36</f>
        <v>x</v>
      </c>
      <c r="AP24" s="137" t="str">
        <f>'Q100a-geral'!AP36</f>
        <v>x</v>
      </c>
      <c r="AQ24" s="137" t="str">
        <f>'Q100a-geral'!AQ36</f>
        <v>x</v>
      </c>
      <c r="AR24" s="137"/>
      <c r="AS24" s="137"/>
      <c r="AT24" s="137"/>
      <c r="AU24" s="137"/>
      <c r="AV24" s="137" t="str">
        <f>'Q100a-geral'!AV36</f>
        <v>x</v>
      </c>
      <c r="AW24" s="137"/>
      <c r="AX24" s="137"/>
      <c r="AY24" s="137"/>
      <c r="AZ24" s="137"/>
      <c r="BA24" s="137" t="str">
        <f>'Q100a-geral'!BA36</f>
        <v>x</v>
      </c>
      <c r="BB24" s="239" t="str">
        <f>'Q100a-geral'!BB36</f>
        <v>Avaliações em pesquisas externas de opiniãox</v>
      </c>
      <c r="BC24" s="239" t="str">
        <f>'Q100a-geral'!BC36</f>
        <v>Avaliações em pesquisas externas de opiniãoxx</v>
      </c>
      <c r="BD24" s="239" t="str">
        <f>'Q100a-geral'!BD36</f>
        <v>Avaliações em pesquisas externas de opiniãox</v>
      </c>
    </row>
    <row r="25" spans="1:56" s="3" customFormat="1" ht="47.25" customHeight="1" x14ac:dyDescent="0.25">
      <c r="A25" s="275" t="str">
        <f>'Q100a-geral'!A37</f>
        <v>3.2.1</v>
      </c>
      <c r="B25" s="252" t="str">
        <f>'Q100a-geral'!B37</f>
        <v>Avaliações em pesquisas externas de opinião</v>
      </c>
      <c r="C25" s="229" t="str">
        <f>'Q100a-geral'!C37</f>
        <v>x</v>
      </c>
      <c r="D25" s="36" t="str">
        <f>'Q100a-geral'!D37</f>
        <v>ABtc[rg]</v>
      </c>
      <c r="E25" s="464" t="str">
        <f>'Q100a-geral'!E37</f>
        <v>Belo Horizonte</v>
      </c>
      <c r="F25" s="445" t="str">
        <f>'Q100a-geral'!F37</f>
        <v>percentual de "regular" (respostas "regular" ou nota "3") na avaliação geral da BHTrans na administração do transporte coletivo (resultados de 1995 a 2012: OLIVEIRA, 2014, Tabela 4.35 a 4.51 - Apêndice D; 2013: DOXA, 2013;  2014: não foi realizada pesquisa; 2015: DOXA, 2015)</v>
      </c>
      <c r="G25" s="252" t="str">
        <f>'Q100a-geral'!G37</f>
        <v>(∑ respostas "regular")/ n.º de respondentes) x 100</v>
      </c>
      <c r="H25" s="173" t="str">
        <f>'Q100a-geral'!H37</f>
        <v>x</v>
      </c>
      <c r="I25" s="167">
        <f>'Q100a-geral'!I37</f>
        <v>1</v>
      </c>
      <c r="J25" s="107" t="str">
        <f>'Q100a-geral'!J37</f>
        <v>x</v>
      </c>
      <c r="K25" s="107" t="str">
        <f>'Q100a-geral'!K37</f>
        <v>x</v>
      </c>
      <c r="L25" s="107" t="str">
        <f>'Q100a-geral'!L37</f>
        <v>x</v>
      </c>
      <c r="M25" s="107" t="str">
        <f>'Q100a-geral'!M37</f>
        <v>x</v>
      </c>
      <c r="N25" s="107" t="str">
        <f>'Q100a-geral'!N37</f>
        <v>x</v>
      </c>
      <c r="O25" s="107" t="str">
        <f>'Q100a-geral'!O37</f>
        <v>x</v>
      </c>
      <c r="P25" s="83">
        <f>'Q100a-geral'!P37</f>
        <v>34</v>
      </c>
      <c r="Q25" s="107" t="str">
        <f>'Q100a-geral'!Q37</f>
        <v>x</v>
      </c>
      <c r="R25" s="83">
        <f>'Q100a-geral'!R37</f>
        <v>33</v>
      </c>
      <c r="S25" s="85" t="str">
        <f>'Q100a-geral'!S37</f>
        <v>só para pesquisa</v>
      </c>
      <c r="T25" s="107" t="str">
        <f>'Q100a-geral'!T37</f>
        <v>x</v>
      </c>
      <c r="U25" s="83">
        <f>'Q100a-geral'!U37</f>
        <v>44</v>
      </c>
      <c r="V25" s="85" t="str">
        <f>'Q100a-geral'!V37</f>
        <v>só para pesquisa</v>
      </c>
      <c r="W25" s="83">
        <f>'Q100a-geral'!W37</f>
        <v>45.49</v>
      </c>
      <c r="X25" s="83">
        <f>'Q100a-geral'!X37</f>
        <v>46.81</v>
      </c>
      <c r="Y25" s="83">
        <f>'Q100a-geral'!Y37</f>
        <v>35.700000000000003</v>
      </c>
      <c r="Z25" s="83">
        <f>'Q100a-geral'!Z37</f>
        <v>32.67</v>
      </c>
      <c r="AA25" s="83">
        <f>'Q100a-geral'!AA37</f>
        <v>39</v>
      </c>
      <c r="AB25" s="83">
        <f>'Q100a-geral'!AB37</f>
        <v>45.79</v>
      </c>
      <c r="AC25" s="83">
        <f>'Q100a-geral'!AC37</f>
        <v>41.04</v>
      </c>
      <c r="AD25" s="83">
        <f>'Q100a-geral'!AD37</f>
        <v>47.33</v>
      </c>
      <c r="AE25" s="268" t="str">
        <f>'Q100a-geral'!AE37</f>
        <v>não realizada pesquisa em BH</v>
      </c>
      <c r="AF25" s="83">
        <f>'Q100a-geral'!AF37</f>
        <v>45.85</v>
      </c>
      <c r="AG25" s="83">
        <f>'Q100a-geral'!AG37</f>
        <v>43.66</v>
      </c>
      <c r="AH25" s="268" t="str">
        <f>'Q100a-geral'!AH37</f>
        <v>não realizada pesquisa em BH</v>
      </c>
      <c r="AI25" s="83">
        <f>'Q100a-geral'!AI37</f>
        <v>30</v>
      </c>
      <c r="AJ25" s="268" t="str">
        <f>'Q100a-geral'!AJ37</f>
        <v>não realizada pesquisa em BH</v>
      </c>
      <c r="AK25" s="107" t="str">
        <f>'Q100a-geral'!AK37</f>
        <v>lançar</v>
      </c>
      <c r="AL25" s="212" t="str">
        <f>'Q100a-geral'!AL37</f>
        <v>x</v>
      </c>
      <c r="AM25" s="137" t="str">
        <f>'Q100a-geral'!AM37</f>
        <v>x</v>
      </c>
      <c r="AN25" s="137" t="str">
        <f>'Q100a-geral'!AN37</f>
        <v>x</v>
      </c>
      <c r="AO25" s="137" t="str">
        <f>'Q100a-geral'!AO37</f>
        <v>x</v>
      </c>
      <c r="AP25" s="137" t="str">
        <f>'Q100a-geral'!AP37</f>
        <v>x</v>
      </c>
      <c r="AQ25" s="137" t="str">
        <f>'Q100a-geral'!AQ37</f>
        <v>x</v>
      </c>
      <c r="AR25" s="137"/>
      <c r="AS25" s="137"/>
      <c r="AT25" s="137"/>
      <c r="AU25" s="137"/>
      <c r="AV25" s="137" t="str">
        <f>'Q100a-geral'!AV37</f>
        <v>x</v>
      </c>
      <c r="AW25" s="137"/>
      <c r="AX25" s="137"/>
      <c r="AY25" s="137"/>
      <c r="AZ25" s="137"/>
      <c r="BA25" s="137" t="str">
        <f>'Q100a-geral'!BA37</f>
        <v>x</v>
      </c>
      <c r="BB25" s="239" t="str">
        <f>'Q100a-geral'!BB37</f>
        <v>Avaliações em pesquisas externas de opiniãox</v>
      </c>
      <c r="BC25" s="239" t="str">
        <f>'Q100a-geral'!BC37</f>
        <v>Avaliações em pesquisas externas de opiniãoxx</v>
      </c>
      <c r="BD25" s="239" t="str">
        <f>'Q100a-geral'!BD37</f>
        <v>Avaliações em pesquisas externas de opiniãox</v>
      </c>
    </row>
    <row r="26" spans="1:56" s="3" customFormat="1" ht="76.5" customHeight="1" x14ac:dyDescent="0.25">
      <c r="A26" s="275" t="str">
        <f>'Q100a-geral'!A38</f>
        <v>3.2.1</v>
      </c>
      <c r="B26" s="252" t="str">
        <f>'Q100a-geral'!B38</f>
        <v>Avaliações em pesquisas externas de opinião</v>
      </c>
      <c r="C26" s="229" t="str">
        <f>'Q100a-geral'!C38</f>
        <v>x</v>
      </c>
      <c r="D26" s="322" t="str">
        <f>'Q100a-geral'!D38</f>
        <v>ABts</v>
      </c>
      <c r="E26" s="11" t="str">
        <f>'Q100a-geral'!E38</f>
        <v>Belo Horizonte</v>
      </c>
      <c r="F26" s="445" t="str">
        <f>'Q100a-geral'!F38</f>
        <v>avaliação geral da BHTrans na administração do trânsito</v>
      </c>
      <c r="G26" s="252" t="str">
        <f>'Q100a-geral'!G38</f>
        <v>AB[ts] = ((ABts[o]x5)+ (ABts[b]x4) + (ABts[rg]x3) + (ABts[r]x2) + (ABts[p]x1)) / (100-AB[NS.NR])</v>
      </c>
      <c r="H26" s="173" t="str">
        <f>'Q100a-geral'!H38</f>
        <v>x</v>
      </c>
      <c r="I26" s="167">
        <f>'Q100a-geral'!I38</f>
        <v>1</v>
      </c>
      <c r="J26" s="107" t="str">
        <f>'Q100a-geral'!J38</f>
        <v>x</v>
      </c>
      <c r="K26" s="107" t="str">
        <f>'Q100a-geral'!K38</f>
        <v>x</v>
      </c>
      <c r="L26" s="107" t="str">
        <f>'Q100a-geral'!L38</f>
        <v>x</v>
      </c>
      <c r="M26" s="107" t="str">
        <f>'Q100a-geral'!M38</f>
        <v>x</v>
      </c>
      <c r="N26" s="107" t="str">
        <f>'Q100a-geral'!N38</f>
        <v>x</v>
      </c>
      <c r="O26" s="107" t="str">
        <f>'Q100a-geral'!O38</f>
        <v>x</v>
      </c>
      <c r="P26" s="64">
        <f>'Q100a-geral'!P38</f>
        <v>3.375</v>
      </c>
      <c r="Q26" s="419"/>
      <c r="R26" s="64">
        <f>'Q100a-geral'!R38</f>
        <v>3.5257731958762886</v>
      </c>
      <c r="S26" s="44" t="str">
        <f>'Q100a-geral'!S38</f>
        <v>só para pesquisa</v>
      </c>
      <c r="T26" s="419"/>
      <c r="U26" s="64">
        <f>'Q100a-geral'!U38</f>
        <v>3.2021276595744679</v>
      </c>
      <c r="V26" s="758"/>
      <c r="W26" s="81">
        <f>'Q100a-geral'!W38</f>
        <v>3.0669817135812623</v>
      </c>
      <c r="X26" s="81">
        <f>'Q100a-geral'!X38</f>
        <v>3.1875950136819706</v>
      </c>
      <c r="Y26" s="81">
        <f>'Q100a-geral'!Y38</f>
        <v>2.92084542063821</v>
      </c>
      <c r="Z26" s="81">
        <f>'Q100a-geral'!Z38</f>
        <v>2.9329852972512254</v>
      </c>
      <c r="AA26" s="81">
        <f>'Q100a-geral'!AA38</f>
        <v>3.0306122448979593</v>
      </c>
      <c r="AB26" s="81">
        <f>'Q100a-geral'!AB38</f>
        <v>3.0159337816864977</v>
      </c>
      <c r="AC26" s="81">
        <f>'Q100a-geral'!AC38</f>
        <v>3.1224552745218999</v>
      </c>
      <c r="AD26" s="81">
        <f>'Q100a-geral'!AD38</f>
        <v>2.8060204081632656</v>
      </c>
      <c r="AE26" s="419"/>
      <c r="AF26" s="81">
        <f>'Q100a-geral'!AF38</f>
        <v>2.7120774938169827</v>
      </c>
      <c r="AG26" s="81">
        <f>'Q100a-geral'!AG38</f>
        <v>2.9903416761865196</v>
      </c>
      <c r="AH26" s="419"/>
      <c r="AI26" s="81">
        <f>'Q100a-geral'!AI38</f>
        <v>2.0909090909090908</v>
      </c>
      <c r="AJ26" s="419"/>
      <c r="AK26" s="419"/>
      <c r="AL26" s="212" t="str">
        <f>'Q100a-geral'!AL38</f>
        <v>x</v>
      </c>
      <c r="AM26" s="137" t="str">
        <f>'Q100a-geral'!AM38</f>
        <v>x</v>
      </c>
      <c r="AN26" s="137" t="str">
        <f>'Q100a-geral'!AN38</f>
        <v>x</v>
      </c>
      <c r="AO26" s="137" t="str">
        <f>'Q100a-geral'!AO38</f>
        <v>x</v>
      </c>
      <c r="AP26" s="137" t="str">
        <f>'Q100a-geral'!AP38</f>
        <v>x</v>
      </c>
      <c r="AQ26" s="137" t="str">
        <f>'Q100a-geral'!AQ38</f>
        <v>x</v>
      </c>
      <c r="AR26" s="137"/>
      <c r="AS26" s="137"/>
      <c r="AT26" s="137"/>
      <c r="AU26" s="137"/>
      <c r="AV26" s="137" t="str">
        <f>'Q100a-geral'!AV38</f>
        <v>x</v>
      </c>
      <c r="AW26" s="137"/>
      <c r="AX26" s="137"/>
      <c r="AY26" s="137"/>
      <c r="AZ26" s="137"/>
      <c r="BA26" s="137" t="str">
        <f>'Q100a-geral'!BA38</f>
        <v>x</v>
      </c>
      <c r="BB26" s="239" t="str">
        <f>'Q100a-geral'!BB38</f>
        <v>Avaliações em pesquisas externas de opiniãox</v>
      </c>
      <c r="BC26" s="239" t="str">
        <f>'Q100a-geral'!BC38</f>
        <v>Avaliações em pesquisas externas de opiniãoxx</v>
      </c>
      <c r="BD26" s="239" t="str">
        <f>'Q100a-geral'!BD38</f>
        <v>Avaliações em pesquisas externas de opiniãox</v>
      </c>
    </row>
    <row r="27" spans="1:56" s="3" customFormat="1" ht="47.25" customHeight="1" x14ac:dyDescent="0.25">
      <c r="A27" s="275" t="str">
        <f>'Q100a-geral'!A39</f>
        <v>3.2.1</v>
      </c>
      <c r="B27" s="252" t="str">
        <f>'Q100a-geral'!B39</f>
        <v>Avaliações em pesquisas externas de opinião</v>
      </c>
      <c r="C27" s="229" t="str">
        <f>'Q100a-geral'!C39</f>
        <v>x</v>
      </c>
      <c r="D27" s="36" t="str">
        <f>'Q100a-geral'!D39</f>
        <v>ABts[b]</v>
      </c>
      <c r="E27" s="464" t="str">
        <f>'Q100a-geral'!E39</f>
        <v>Belo Horizonte</v>
      </c>
      <c r="F27" s="445" t="str">
        <f>'Q100a-geral'!F39</f>
        <v>percentual de respostas "bom" na avaliação geral da BHTrans na administração do trânsito (resultados de 1995 a 2012: OLIVEIRA, 2014, Tabela 4.35 a 4.51 - Apêndice D; 2013: DOXA, 2013;  2014: não foi realizada pesquisa; 2015: DOXA, 2015)</v>
      </c>
      <c r="G27" s="252" t="str">
        <f>'Q100a-geral'!G39</f>
        <v>(∑ respostas "bom" / n.º de respondentes) x 100</v>
      </c>
      <c r="H27" s="173" t="str">
        <f>'Q100a-geral'!H39</f>
        <v>x</v>
      </c>
      <c r="I27" s="167">
        <f>'Q100a-geral'!I39</f>
        <v>1</v>
      </c>
      <c r="J27" s="107" t="str">
        <f>'Q100a-geral'!J39</f>
        <v>x</v>
      </c>
      <c r="K27" s="107" t="str">
        <f>'Q100a-geral'!K39</f>
        <v>x</v>
      </c>
      <c r="L27" s="107" t="str">
        <f>'Q100a-geral'!L39</f>
        <v>x</v>
      </c>
      <c r="M27" s="107" t="str">
        <f>'Q100a-geral'!M39</f>
        <v>x</v>
      </c>
      <c r="N27" s="107" t="str">
        <f>'Q100a-geral'!N39</f>
        <v>x</v>
      </c>
      <c r="O27" s="107" t="str">
        <f>'Q100a-geral'!O39</f>
        <v>x</v>
      </c>
      <c r="P27" s="83">
        <f>'Q100a-geral'!P39</f>
        <v>44</v>
      </c>
      <c r="Q27" s="107" t="str">
        <f>'Q100a-geral'!Q39</f>
        <v>x</v>
      </c>
      <c r="R27" s="83">
        <f>'Q100a-geral'!R39</f>
        <v>45</v>
      </c>
      <c r="S27" s="85" t="str">
        <f>'Q100a-geral'!S39</f>
        <v>só para pesquisa</v>
      </c>
      <c r="T27" s="107" t="str">
        <f>'Q100a-geral'!T39</f>
        <v>x</v>
      </c>
      <c r="U27" s="83">
        <f>'Q100a-geral'!U39</f>
        <v>32</v>
      </c>
      <c r="V27" s="85" t="str">
        <f>'Q100a-geral'!V39</f>
        <v>só para pesquisa</v>
      </c>
      <c r="W27" s="83">
        <f>'Q100a-geral'!W39</f>
        <v>28.55</v>
      </c>
      <c r="X27" s="83">
        <f>'Q100a-geral'!X39</f>
        <v>32.299999999999997</v>
      </c>
      <c r="Y27" s="83">
        <f>'Q100a-geral'!Y39</f>
        <v>28.37</v>
      </c>
      <c r="Z27" s="83">
        <f>'Q100a-geral'!Z39</f>
        <v>27.53</v>
      </c>
      <c r="AA27" s="83">
        <f>'Q100a-geral'!AA39</f>
        <v>30</v>
      </c>
      <c r="AB27" s="83">
        <f>'Q100a-geral'!AB39</f>
        <v>26.46</v>
      </c>
      <c r="AC27" s="83">
        <f>'Q100a-geral'!AC39</f>
        <v>33.409999999999997</v>
      </c>
      <c r="AD27" s="83">
        <f>'Q100a-geral'!AD39</f>
        <v>19.260000000000002</v>
      </c>
      <c r="AE27" s="268" t="str">
        <f>'Q100a-geral'!AE39</f>
        <v>não realizada pesquisa em BH</v>
      </c>
      <c r="AF27" s="83">
        <f>'Q100a-geral'!AF39</f>
        <v>16.22</v>
      </c>
      <c r="AG27" s="83">
        <f>'Q100a-geral'!AG39</f>
        <v>22.11</v>
      </c>
      <c r="AH27" s="268" t="str">
        <f>'Q100a-geral'!AH39</f>
        <v>não realizada pesquisa em BH</v>
      </c>
      <c r="AI27" s="83">
        <f>'Q100a-geral'!AI39</f>
        <v>9</v>
      </c>
      <c r="AJ27" s="268" t="str">
        <f>'Q100a-geral'!AJ39</f>
        <v>não realizada pesquisa em BH</v>
      </c>
      <c r="AK27" s="107" t="str">
        <f>'Q100a-geral'!AK39</f>
        <v>lançar</v>
      </c>
      <c r="AL27" s="212" t="str">
        <f>'Q100a-geral'!AL39</f>
        <v>x</v>
      </c>
      <c r="AM27" s="137" t="str">
        <f>'Q100a-geral'!AM39</f>
        <v>x</v>
      </c>
      <c r="AN27" s="137" t="str">
        <f>'Q100a-geral'!AN39</f>
        <v>x</v>
      </c>
      <c r="AO27" s="137" t="str">
        <f>'Q100a-geral'!AO39</f>
        <v>x</v>
      </c>
      <c r="AP27" s="137" t="str">
        <f>'Q100a-geral'!AP39</f>
        <v>x</v>
      </c>
      <c r="AQ27" s="137" t="str">
        <f>'Q100a-geral'!AQ39</f>
        <v>x</v>
      </c>
      <c r="AR27" s="137"/>
      <c r="AS27" s="137"/>
      <c r="AT27" s="137"/>
      <c r="AU27" s="137"/>
      <c r="AV27" s="137" t="str">
        <f>'Q100a-geral'!AV39</f>
        <v>x</v>
      </c>
      <c r="AW27" s="137"/>
      <c r="AX27" s="137"/>
      <c r="AY27" s="137"/>
      <c r="AZ27" s="137"/>
      <c r="BA27" s="137" t="str">
        <f>'Q100a-geral'!BA39</f>
        <v>x</v>
      </c>
      <c r="BB27" s="239" t="str">
        <f>'Q100a-geral'!BB39</f>
        <v>Avaliações em pesquisas externas de opiniãox</v>
      </c>
      <c r="BC27" s="239" t="str">
        <f>'Q100a-geral'!BC39</f>
        <v>Avaliações em pesquisas externas de opiniãoxx</v>
      </c>
      <c r="BD27" s="239" t="str">
        <f>'Q100a-geral'!BD39</f>
        <v>Avaliações em pesquisas externas de opiniãox</v>
      </c>
    </row>
    <row r="28" spans="1:56" s="3" customFormat="1" ht="47.25" customHeight="1" x14ac:dyDescent="0.25">
      <c r="A28" s="275" t="str">
        <f>'Q100a-geral'!A40</f>
        <v>3.2.1</v>
      </c>
      <c r="B28" s="252" t="str">
        <f>'Q100a-geral'!B40</f>
        <v>Avaliações em pesquisas externas de opinião</v>
      </c>
      <c r="C28" s="229" t="str">
        <f>'Q100a-geral'!C40</f>
        <v>x</v>
      </c>
      <c r="D28" s="36" t="str">
        <f>'Q100a-geral'!D40</f>
        <v>ABts[NS.NR]</v>
      </c>
      <c r="E28" s="464" t="str">
        <f>'Q100a-geral'!E40</f>
        <v>Belo Horizonte</v>
      </c>
      <c r="F28" s="445" t="str">
        <f>'Q100a-geral'!F40</f>
        <v>percentual de respostas "não sabe" e "não respondeu" (NS.NR) na avaliação geral da BHTrans na administração do trânsito (resultados de 1995 a 2012: OLIVEIRA, 2014, Tabela 4.35 a 4.51 - Apêndice D; 2013: DOXA, 2013;  2014: não foi realizada pesquisa; 2015: DOXA, 2015)</v>
      </c>
      <c r="G28" s="252" t="str">
        <f>'Q100a-geral'!G40</f>
        <v>(∑ respostas "NS.NR" / n.º de respondentes) x 100</v>
      </c>
      <c r="H28" s="173" t="str">
        <f>'Q100a-geral'!H40</f>
        <v>x</v>
      </c>
      <c r="I28" s="167">
        <f>'Q100a-geral'!I40</f>
        <v>1</v>
      </c>
      <c r="J28" s="107" t="str">
        <f>'Q100a-geral'!J40</f>
        <v>x</v>
      </c>
      <c r="K28" s="107" t="str">
        <f>'Q100a-geral'!K40</f>
        <v>x</v>
      </c>
      <c r="L28" s="107" t="str">
        <f>'Q100a-geral'!L40</f>
        <v>x</v>
      </c>
      <c r="M28" s="107" t="str">
        <f>'Q100a-geral'!M40</f>
        <v>x</v>
      </c>
      <c r="N28" s="107" t="str">
        <f>'Q100a-geral'!N40</f>
        <v>x</v>
      </c>
      <c r="O28" s="107" t="str">
        <f>'Q100a-geral'!O40</f>
        <v>x</v>
      </c>
      <c r="P28" s="83">
        <f>'Q100a-geral'!P40</f>
        <v>4</v>
      </c>
      <c r="Q28" s="107" t="str">
        <f>'Q100a-geral'!Q40</f>
        <v>x</v>
      </c>
      <c r="R28" s="83">
        <f>'Q100a-geral'!R40</f>
        <v>3</v>
      </c>
      <c r="S28" s="85" t="str">
        <f>'Q100a-geral'!S40</f>
        <v>só para pesquisa</v>
      </c>
      <c r="T28" s="107" t="str">
        <f>'Q100a-geral'!T40</f>
        <v>x</v>
      </c>
      <c r="U28" s="83">
        <f>'Q100a-geral'!U40</f>
        <v>6</v>
      </c>
      <c r="V28" s="85" t="str">
        <f>'Q100a-geral'!V40</f>
        <v>só para pesquisa</v>
      </c>
      <c r="W28" s="83">
        <f>'Q100a-geral'!W40</f>
        <v>2.66</v>
      </c>
      <c r="X28" s="83">
        <f>'Q100a-geral'!X40</f>
        <v>1.33</v>
      </c>
      <c r="Y28" s="83">
        <f>'Q100a-geral'!Y40</f>
        <v>3.48</v>
      </c>
      <c r="Z28" s="83">
        <f>'Q100a-geral'!Z40</f>
        <v>6.14</v>
      </c>
      <c r="AA28" s="83">
        <f>'Q100a-geral'!AA40</f>
        <v>2</v>
      </c>
      <c r="AB28" s="83">
        <f>'Q100a-geral'!AB40</f>
        <v>3.35</v>
      </c>
      <c r="AC28" s="83">
        <f>'Q100a-geral'!AC40</f>
        <v>2.74</v>
      </c>
      <c r="AD28" s="83">
        <f>'Q100a-geral'!AD40</f>
        <v>2</v>
      </c>
      <c r="AE28" s="268" t="str">
        <f>'Q100a-geral'!AE40</f>
        <v>não realizada pesquisa em BH</v>
      </c>
      <c r="AF28" s="83">
        <f>'Q100a-geral'!AF40</f>
        <v>2.96</v>
      </c>
      <c r="AG28" s="83">
        <f>'Q100a-geral'!AG40</f>
        <v>3.71</v>
      </c>
      <c r="AH28" s="268" t="str">
        <f>'Q100a-geral'!AH40</f>
        <v>não realizada pesquisa em BH</v>
      </c>
      <c r="AI28" s="83">
        <f>'Q100a-geral'!AI40</f>
        <v>1</v>
      </c>
      <c r="AJ28" s="268" t="str">
        <f>'Q100a-geral'!AJ40</f>
        <v>não realizada pesquisa em BH</v>
      </c>
      <c r="AK28" s="107" t="str">
        <f>'Q100a-geral'!AK40</f>
        <v>lançar</v>
      </c>
      <c r="AL28" s="212" t="str">
        <f>'Q100a-geral'!AL40</f>
        <v>x</v>
      </c>
      <c r="AM28" s="137" t="str">
        <f>'Q100a-geral'!AM40</f>
        <v>x</v>
      </c>
      <c r="AN28" s="137" t="str">
        <f>'Q100a-geral'!AN40</f>
        <v>x</v>
      </c>
      <c r="AO28" s="137" t="str">
        <f>'Q100a-geral'!AO40</f>
        <v>x</v>
      </c>
      <c r="AP28" s="137" t="str">
        <f>'Q100a-geral'!AP40</f>
        <v>x</v>
      </c>
      <c r="AQ28" s="137" t="str">
        <f>'Q100a-geral'!AQ40</f>
        <v>x</v>
      </c>
      <c r="AR28" s="137"/>
      <c r="AS28" s="137"/>
      <c r="AT28" s="137"/>
      <c r="AU28" s="137"/>
      <c r="AV28" s="137" t="str">
        <f>'Q100a-geral'!AV40</f>
        <v>x</v>
      </c>
      <c r="AW28" s="137"/>
      <c r="AX28" s="137"/>
      <c r="AY28" s="137"/>
      <c r="AZ28" s="137"/>
      <c r="BA28" s="137" t="str">
        <f>'Q100a-geral'!BA40</f>
        <v>x</v>
      </c>
      <c r="BB28" s="239" t="str">
        <f>'Q100a-geral'!BB40</f>
        <v>Avaliações em pesquisas externas de opiniãox</v>
      </c>
      <c r="BC28" s="239" t="str">
        <f>'Q100a-geral'!BC40</f>
        <v>Avaliações em pesquisas externas de opiniãoxx</v>
      </c>
      <c r="BD28" s="239" t="str">
        <f>'Q100a-geral'!BD40</f>
        <v>Avaliações em pesquisas externas de opiniãox</v>
      </c>
    </row>
    <row r="29" spans="1:56" s="3" customFormat="1" ht="47.25" customHeight="1" x14ac:dyDescent="0.25">
      <c r="A29" s="275" t="str">
        <f>'Q100a-geral'!A41</f>
        <v>3.2.1</v>
      </c>
      <c r="B29" s="252" t="str">
        <f>'Q100a-geral'!B41</f>
        <v>Avaliações em pesquisas externas de opinião</v>
      </c>
      <c r="C29" s="229" t="str">
        <f>'Q100a-geral'!C41</f>
        <v>x</v>
      </c>
      <c r="D29" s="36" t="str">
        <f>'Q100a-geral'!D41</f>
        <v>ABts[o/b]</v>
      </c>
      <c r="E29" s="464" t="str">
        <f>'Q100a-geral'!E41</f>
        <v>Belo Horizonte</v>
      </c>
      <c r="F29" s="445" t="str">
        <f>'Q100a-geral'!F41</f>
        <v>soma dos percentuais de "ótimo" e "bom" na avaliação geral da BHTrans na administração do trânsito</v>
      </c>
      <c r="G29" s="252" t="str">
        <f>'Q100a-geral'!G41</f>
        <v>ABts[o] + ABts[b]</v>
      </c>
      <c r="H29" s="173" t="str">
        <f>'Q100a-geral'!H41</f>
        <v>x</v>
      </c>
      <c r="I29" s="167">
        <f>'Q100a-geral'!I41</f>
        <v>1</v>
      </c>
      <c r="J29" s="107" t="str">
        <f>'Q100a-geral'!J41</f>
        <v>x</v>
      </c>
      <c r="K29" s="107" t="str">
        <f>'Q100a-geral'!K41</f>
        <v>x</v>
      </c>
      <c r="L29" s="107" t="str">
        <f>'Q100a-geral'!L41</f>
        <v>x</v>
      </c>
      <c r="M29" s="107" t="str">
        <f>'Q100a-geral'!M41</f>
        <v>x</v>
      </c>
      <c r="N29" s="107" t="str">
        <f>'Q100a-geral'!N41</f>
        <v>x</v>
      </c>
      <c r="O29" s="107" t="str">
        <f>'Q100a-geral'!O41</f>
        <v>x</v>
      </c>
      <c r="P29" s="64">
        <f>'Q100a-geral'!P41</f>
        <v>47</v>
      </c>
      <c r="Q29" s="107" t="str">
        <f>'Q100a-geral'!Q41</f>
        <v>x</v>
      </c>
      <c r="R29" s="64">
        <f>'Q100a-geral'!R41</f>
        <v>53</v>
      </c>
      <c r="S29" s="44" t="str">
        <f>'Q100a-geral'!S41</f>
        <v>só para pesquisa</v>
      </c>
      <c r="T29" s="107" t="str">
        <f>'Q100a-geral'!T41</f>
        <v>x</v>
      </c>
      <c r="U29" s="64">
        <f>'Q100a-geral'!U41</f>
        <v>35</v>
      </c>
      <c r="V29" s="85" t="str">
        <f>'Q100a-geral'!V41</f>
        <v>só para pesquisa</v>
      </c>
      <c r="W29" s="64">
        <f>'Q100a-geral'!W41</f>
        <v>32.79</v>
      </c>
      <c r="X29" s="64">
        <f>'Q100a-geral'!X41</f>
        <v>37.26</v>
      </c>
      <c r="Y29" s="64">
        <f>'Q100a-geral'!Y41</f>
        <v>32</v>
      </c>
      <c r="Z29" s="64">
        <f>'Q100a-geral'!Z41</f>
        <v>31.18</v>
      </c>
      <c r="AA29" s="64">
        <f>'Q100a-geral'!AA41</f>
        <v>33</v>
      </c>
      <c r="AB29" s="64">
        <f>'Q100a-geral'!AB41</f>
        <v>28.1</v>
      </c>
      <c r="AC29" s="64">
        <f>'Q100a-geral'!AC41</f>
        <v>35.849999999999994</v>
      </c>
      <c r="AD29" s="64">
        <f>'Q100a-geral'!AD41</f>
        <v>20.67</v>
      </c>
      <c r="AE29" s="268" t="str">
        <f>'Q100a-geral'!AE41</f>
        <v>não realizada pesquisa em BH</v>
      </c>
      <c r="AF29" s="64">
        <f>'Q100a-geral'!AF41</f>
        <v>17.41</v>
      </c>
      <c r="AG29" s="64">
        <f>'Q100a-geral'!AG41</f>
        <v>29.31</v>
      </c>
      <c r="AH29" s="268" t="str">
        <f>'Q100a-geral'!AH41</f>
        <v>não realizada pesquisa em BH</v>
      </c>
      <c r="AI29" s="83">
        <f>'Q100a-geral'!AI41</f>
        <v>10</v>
      </c>
      <c r="AJ29" s="268" t="str">
        <f>'Q100a-geral'!AJ41</f>
        <v>não realizada pesquisa em BH</v>
      </c>
      <c r="AK29" s="107" t="str">
        <f>'Q100a-geral'!AK41</f>
        <v>lançar</v>
      </c>
      <c r="AL29" s="212" t="str">
        <f>'Q100a-geral'!AL41</f>
        <v>x</v>
      </c>
      <c r="AM29" s="137" t="str">
        <f>'Q100a-geral'!AM41</f>
        <v>x</v>
      </c>
      <c r="AN29" s="137" t="str">
        <f>'Q100a-geral'!AN41</f>
        <v>x</v>
      </c>
      <c r="AO29" s="137" t="str">
        <f>'Q100a-geral'!AO41</f>
        <v>x</v>
      </c>
      <c r="AP29" s="137" t="str">
        <f>'Q100a-geral'!AP41</f>
        <v>x</v>
      </c>
      <c r="AQ29" s="137" t="str">
        <f>'Q100a-geral'!AQ41</f>
        <v>x</v>
      </c>
      <c r="AR29" s="137"/>
      <c r="AS29" s="137"/>
      <c r="AT29" s="137"/>
      <c r="AU29" s="137"/>
      <c r="AV29" s="137" t="str">
        <f>'Q100a-geral'!AV41</f>
        <v>x</v>
      </c>
      <c r="AW29" s="137"/>
      <c r="AX29" s="137"/>
      <c r="AY29" s="137"/>
      <c r="AZ29" s="137"/>
      <c r="BA29" s="137" t="str">
        <f>'Q100a-geral'!BA41</f>
        <v>x</v>
      </c>
      <c r="BB29" s="239" t="str">
        <f>'Q100a-geral'!BB41</f>
        <v>Avaliações em pesquisas externas de opiniãox</v>
      </c>
      <c r="BC29" s="239" t="str">
        <f>'Q100a-geral'!BC41</f>
        <v>Avaliações em pesquisas externas de opiniãoxx</v>
      </c>
      <c r="BD29" s="239" t="str">
        <f>'Q100a-geral'!BD41</f>
        <v>Avaliações em pesquisas externas de opiniãox</v>
      </c>
    </row>
    <row r="30" spans="1:56" s="3" customFormat="1" ht="47.25" customHeight="1" x14ac:dyDescent="0.25">
      <c r="A30" s="275" t="str">
        <f>'Q100a-geral'!A42</f>
        <v>3.2.1</v>
      </c>
      <c r="B30" s="252" t="str">
        <f>'Q100a-geral'!B42</f>
        <v>Avaliações em pesquisas externas de opinião</v>
      </c>
      <c r="C30" s="229" t="str">
        <f>'Q100a-geral'!C42</f>
        <v>x</v>
      </c>
      <c r="D30" s="36" t="str">
        <f>'Q100a-geral'!D42</f>
        <v>ABts[o]</v>
      </c>
      <c r="E30" s="464" t="str">
        <f>'Q100a-geral'!E42</f>
        <v>Belo Horizonte</v>
      </c>
      <c r="F30" s="445" t="str">
        <f>'Q100a-geral'!F42</f>
        <v>percentual de respostas "ótimo" na avaliação geral da BHTrans na administração do trânsito (resultados de 1995 a 2012: OLIVEIRA, 2014, Tabela 4.35 a 4.51 - Apêndice D; 2013: DOXA, 2013;  2014: não foi realizada pesquisa; 2015: DOXA, 2015)</v>
      </c>
      <c r="G30" s="252" t="str">
        <f>'Q100a-geral'!G42</f>
        <v>(∑ respostas "ótimo" / n.º de respondentes) x 100</v>
      </c>
      <c r="H30" s="173" t="str">
        <f>'Q100a-geral'!H42</f>
        <v>x</v>
      </c>
      <c r="I30" s="167">
        <f>'Q100a-geral'!I42</f>
        <v>1</v>
      </c>
      <c r="J30" s="107" t="str">
        <f>'Q100a-geral'!J42</f>
        <v>x</v>
      </c>
      <c r="K30" s="107" t="str">
        <f>'Q100a-geral'!K42</f>
        <v>x</v>
      </c>
      <c r="L30" s="107" t="str">
        <f>'Q100a-geral'!L42</f>
        <v>x</v>
      </c>
      <c r="M30" s="107" t="str">
        <f>'Q100a-geral'!M42</f>
        <v>x</v>
      </c>
      <c r="N30" s="107" t="str">
        <f>'Q100a-geral'!N42</f>
        <v>x</v>
      </c>
      <c r="O30" s="107" t="str">
        <f>'Q100a-geral'!O42</f>
        <v>x</v>
      </c>
      <c r="P30" s="83">
        <f>'Q100a-geral'!P42</f>
        <v>3</v>
      </c>
      <c r="Q30" s="107" t="str">
        <f>'Q100a-geral'!Q42</f>
        <v>x</v>
      </c>
      <c r="R30" s="83">
        <f>'Q100a-geral'!R42</f>
        <v>8</v>
      </c>
      <c r="S30" s="85" t="str">
        <f>'Q100a-geral'!S42</f>
        <v>só para pesquisa</v>
      </c>
      <c r="T30" s="107" t="str">
        <f>'Q100a-geral'!T42</f>
        <v>x</v>
      </c>
      <c r="U30" s="83">
        <f>'Q100a-geral'!U42</f>
        <v>3</v>
      </c>
      <c r="V30" s="85" t="str">
        <f>'Q100a-geral'!V42</f>
        <v>só para pesquisa</v>
      </c>
      <c r="W30" s="83">
        <f>'Q100a-geral'!W42</f>
        <v>4.24</v>
      </c>
      <c r="X30" s="83">
        <f>'Q100a-geral'!X42</f>
        <v>4.96</v>
      </c>
      <c r="Y30" s="83">
        <f>'Q100a-geral'!Y42</f>
        <v>3.63</v>
      </c>
      <c r="Z30" s="83">
        <f>'Q100a-geral'!Z42</f>
        <v>3.65</v>
      </c>
      <c r="AA30" s="83">
        <f>'Q100a-geral'!AA42</f>
        <v>3</v>
      </c>
      <c r="AB30" s="83">
        <f>'Q100a-geral'!AB42</f>
        <v>1.64</v>
      </c>
      <c r="AC30" s="83">
        <f>'Q100a-geral'!AC42</f>
        <v>2.44</v>
      </c>
      <c r="AD30" s="83">
        <f>'Q100a-geral'!AD42</f>
        <v>1.41</v>
      </c>
      <c r="AE30" s="268" t="str">
        <f>'Q100a-geral'!AE42</f>
        <v>não realizada pesquisa em BH</v>
      </c>
      <c r="AF30" s="83">
        <f>'Q100a-geral'!AF42</f>
        <v>1.19</v>
      </c>
      <c r="AG30" s="83">
        <f>'Q100a-geral'!AG42</f>
        <v>7.2</v>
      </c>
      <c r="AH30" s="268" t="str">
        <f>'Q100a-geral'!AH42</f>
        <v>não realizada pesquisa em BH</v>
      </c>
      <c r="AI30" s="83">
        <f>'Q100a-geral'!AI42</f>
        <v>1</v>
      </c>
      <c r="AJ30" s="268" t="str">
        <f>'Q100a-geral'!AJ42</f>
        <v>não realizada pesquisa em BH</v>
      </c>
      <c r="AK30" s="107" t="str">
        <f>'Q100a-geral'!AK42</f>
        <v>lançar</v>
      </c>
      <c r="AL30" s="212" t="str">
        <f>'Q100a-geral'!AL42</f>
        <v>x</v>
      </c>
      <c r="AM30" s="137" t="str">
        <f>'Q100a-geral'!AM42</f>
        <v>x</v>
      </c>
      <c r="AN30" s="137" t="str">
        <f>'Q100a-geral'!AN42</f>
        <v>x</v>
      </c>
      <c r="AO30" s="137" t="str">
        <f>'Q100a-geral'!AO42</f>
        <v>x</v>
      </c>
      <c r="AP30" s="137" t="str">
        <f>'Q100a-geral'!AP42</f>
        <v>x</v>
      </c>
      <c r="AQ30" s="137" t="str">
        <f>'Q100a-geral'!AQ42</f>
        <v>x</v>
      </c>
      <c r="AR30" s="137"/>
      <c r="AS30" s="137"/>
      <c r="AT30" s="137"/>
      <c r="AU30" s="137"/>
      <c r="AV30" s="137" t="str">
        <f>'Q100a-geral'!AV42</f>
        <v>x</v>
      </c>
      <c r="AW30" s="137"/>
      <c r="AX30" s="137"/>
      <c r="AY30" s="137"/>
      <c r="AZ30" s="137"/>
      <c r="BA30" s="137" t="str">
        <f>'Q100a-geral'!BA42</f>
        <v>x</v>
      </c>
      <c r="BB30" s="239" t="str">
        <f>'Q100a-geral'!BB42</f>
        <v>Avaliações em pesquisas externas de opiniãox</v>
      </c>
      <c r="BC30" s="239" t="str">
        <f>'Q100a-geral'!BC42</f>
        <v>Avaliações em pesquisas externas de opiniãoxx</v>
      </c>
      <c r="BD30" s="239" t="str">
        <f>'Q100a-geral'!BD42</f>
        <v>Avaliações em pesquisas externas de opiniãox</v>
      </c>
    </row>
    <row r="31" spans="1:56" s="3" customFormat="1" ht="47.25" customHeight="1" x14ac:dyDescent="0.25">
      <c r="A31" s="275" t="str">
        <f>'Q100a-geral'!A43</f>
        <v>3.2.1</v>
      </c>
      <c r="B31" s="252" t="str">
        <f>'Q100a-geral'!B43</f>
        <v>Avaliações em pesquisas externas de opinião</v>
      </c>
      <c r="C31" s="229" t="str">
        <f>'Q100a-geral'!C43</f>
        <v>x</v>
      </c>
      <c r="D31" s="36" t="str">
        <f>'Q100a-geral'!D43</f>
        <v>ABts[p]</v>
      </c>
      <c r="E31" s="464" t="str">
        <f>'Q100a-geral'!E43</f>
        <v>Belo Horizonte</v>
      </c>
      <c r="F31" s="445" t="str">
        <f>'Q100a-geral'!F43</f>
        <v>percentual de respostas "péssimo" na avaliação geral da BHTrans na administração do trânsito (resultados de 1995 a 2012: OLIVEIRA, 2014, Tabela 4.35 a 4.51 - Apêndice D; 2013: DOXA, 2013;  2014: não foi realizada pesquisa; 2015: DOXA, 2015)</v>
      </c>
      <c r="G31" s="252" t="str">
        <f>'Q100a-geral'!G43</f>
        <v>(∑ respostas péssimo")/ n.º de respondentes) x 100</v>
      </c>
      <c r="H31" s="173" t="str">
        <f>'Q100a-geral'!H43</f>
        <v>x</v>
      </c>
      <c r="I31" s="167">
        <f>'Q100a-geral'!I43</f>
        <v>1</v>
      </c>
      <c r="J31" s="107" t="str">
        <f>'Q100a-geral'!J43</f>
        <v>x</v>
      </c>
      <c r="K31" s="107" t="str">
        <f>'Q100a-geral'!K43</f>
        <v>x</v>
      </c>
      <c r="L31" s="107" t="str">
        <f>'Q100a-geral'!L43</f>
        <v>x</v>
      </c>
      <c r="M31" s="107" t="str">
        <f>'Q100a-geral'!M43</f>
        <v>x</v>
      </c>
      <c r="N31" s="107" t="str">
        <f>'Q100a-geral'!N43</f>
        <v>x</v>
      </c>
      <c r="O31" s="107" t="str">
        <f>'Q100a-geral'!O43</f>
        <v>x</v>
      </c>
      <c r="P31" s="83">
        <f>'Q100a-geral'!P43</f>
        <v>4</v>
      </c>
      <c r="Q31" s="107" t="str">
        <f>'Q100a-geral'!Q43</f>
        <v>x</v>
      </c>
      <c r="R31" s="83">
        <f>'Q100a-geral'!R43</f>
        <v>3</v>
      </c>
      <c r="S31" s="85" t="str">
        <f>'Q100a-geral'!S43</f>
        <v>só para pesquisa</v>
      </c>
      <c r="T31" s="107" t="str">
        <f>'Q100a-geral'!T43</f>
        <v>x</v>
      </c>
      <c r="U31" s="83">
        <f>'Q100a-geral'!U43</f>
        <v>6</v>
      </c>
      <c r="V31" s="85" t="str">
        <f>'Q100a-geral'!V43</f>
        <v>só para pesquisa</v>
      </c>
      <c r="W31" s="83">
        <f>'Q100a-geral'!W43</f>
        <v>11.1</v>
      </c>
      <c r="X31" s="83">
        <f>'Q100a-geral'!X43</f>
        <v>7.41</v>
      </c>
      <c r="Y31" s="83">
        <f>'Q100a-geral'!Y43</f>
        <v>15.56</v>
      </c>
      <c r="Z31" s="83">
        <f>'Q100a-geral'!Z43</f>
        <v>13.43</v>
      </c>
      <c r="AA31" s="83">
        <f>'Q100a-geral'!AA43</f>
        <v>10</v>
      </c>
      <c r="AB31" s="83">
        <f>'Q100a-geral'!AB43</f>
        <v>8.6999999999999993</v>
      </c>
      <c r="AC31" s="83">
        <f>'Q100a-geral'!AC43</f>
        <v>7.93</v>
      </c>
      <c r="AD31" s="83">
        <f>'Q100a-geral'!AD43</f>
        <v>12.3</v>
      </c>
      <c r="AE31" s="268" t="str">
        <f>'Q100a-geral'!AE43</f>
        <v>não realizada pesquisa em BH</v>
      </c>
      <c r="AF31" s="83">
        <f>'Q100a-geral'!AF43</f>
        <v>12.59</v>
      </c>
      <c r="AG31" s="83">
        <f>'Q100a-geral'!AG43</f>
        <v>11.44</v>
      </c>
      <c r="AH31" s="268" t="str">
        <f>'Q100a-geral'!AH43</f>
        <v>não realizada pesquisa em BH</v>
      </c>
      <c r="AI31" s="83">
        <f>'Q100a-geral'!AI43</f>
        <v>38</v>
      </c>
      <c r="AJ31" s="268" t="str">
        <f>'Q100a-geral'!AJ43</f>
        <v>não realizada pesquisa em BH</v>
      </c>
      <c r="AK31" s="107" t="str">
        <f>'Q100a-geral'!AK43</f>
        <v>lançar</v>
      </c>
      <c r="AL31" s="212" t="str">
        <f>'Q100a-geral'!AL43</f>
        <v>x</v>
      </c>
      <c r="AM31" s="137" t="str">
        <f>'Q100a-geral'!AM43</f>
        <v>x</v>
      </c>
      <c r="AN31" s="137" t="str">
        <f>'Q100a-geral'!AN43</f>
        <v>x</v>
      </c>
      <c r="AO31" s="137" t="str">
        <f>'Q100a-geral'!AO43</f>
        <v>x</v>
      </c>
      <c r="AP31" s="137" t="str">
        <f>'Q100a-geral'!AP43</f>
        <v>x</v>
      </c>
      <c r="AQ31" s="137" t="str">
        <f>'Q100a-geral'!AQ43</f>
        <v>x</v>
      </c>
      <c r="AR31" s="137"/>
      <c r="AS31" s="137"/>
      <c r="AT31" s="137"/>
      <c r="AU31" s="137"/>
      <c r="AV31" s="137" t="str">
        <f>'Q100a-geral'!AV43</f>
        <v>x</v>
      </c>
      <c r="AW31" s="137"/>
      <c r="AX31" s="137"/>
      <c r="AY31" s="137"/>
      <c r="AZ31" s="137"/>
      <c r="BA31" s="137" t="str">
        <f>'Q100a-geral'!BA43</f>
        <v>x</v>
      </c>
      <c r="BB31" s="239" t="str">
        <f>'Q100a-geral'!BB43</f>
        <v>Avaliações em pesquisas externas de opiniãox</v>
      </c>
      <c r="BC31" s="239" t="str">
        <f>'Q100a-geral'!BC43</f>
        <v>Avaliações em pesquisas externas de opiniãoxx</v>
      </c>
      <c r="BD31" s="239" t="str">
        <f>'Q100a-geral'!BD43</f>
        <v>Avaliações em pesquisas externas de opiniãox</v>
      </c>
    </row>
    <row r="32" spans="1:56" s="3" customFormat="1" ht="47.25" customHeight="1" x14ac:dyDescent="0.25">
      <c r="A32" s="275" t="str">
        <f>'Q100a-geral'!A44</f>
        <v>3.2.1</v>
      </c>
      <c r="B32" s="252" t="str">
        <f>'Q100a-geral'!B44</f>
        <v>Avaliações em pesquisas externas de opinião</v>
      </c>
      <c r="C32" s="229" t="str">
        <f>'Q100a-geral'!C44</f>
        <v>x</v>
      </c>
      <c r="D32" s="36" t="str">
        <f>'Q100a-geral'!D44</f>
        <v>ABts[r/p]</v>
      </c>
      <c r="E32" s="464" t="str">
        <f>'Q100a-geral'!E44</f>
        <v>Belo Horizonte</v>
      </c>
      <c r="F32" s="445" t="str">
        <f>'Q100a-geral'!F44</f>
        <v>soma dos percentuais de "ruim" e "péssimo" na avaliação geral da BHTrans na administração do trânsito</v>
      </c>
      <c r="G32" s="252" t="str">
        <f>'Q100a-geral'!G44</f>
        <v>ABts[r] + ABts[p]</v>
      </c>
      <c r="H32" s="173" t="str">
        <f>'Q100a-geral'!H44</f>
        <v>x</v>
      </c>
      <c r="I32" s="167">
        <f>'Q100a-geral'!I44</f>
        <v>1</v>
      </c>
      <c r="J32" s="107" t="str">
        <f>'Q100a-geral'!J44</f>
        <v>x</v>
      </c>
      <c r="K32" s="107" t="str">
        <f>'Q100a-geral'!K44</f>
        <v>x</v>
      </c>
      <c r="L32" s="107" t="str">
        <f>'Q100a-geral'!L44</f>
        <v>x</v>
      </c>
      <c r="M32" s="107" t="str">
        <f>'Q100a-geral'!M44</f>
        <v>x</v>
      </c>
      <c r="N32" s="107" t="str">
        <f>'Q100a-geral'!N44</f>
        <v>x</v>
      </c>
      <c r="O32" s="107" t="str">
        <f>'Q100a-geral'!O44</f>
        <v>x</v>
      </c>
      <c r="P32" s="64">
        <f>'Q100a-geral'!P44</f>
        <v>10</v>
      </c>
      <c r="Q32" s="107" t="str">
        <f>'Q100a-geral'!Q44</f>
        <v>x</v>
      </c>
      <c r="R32" s="64">
        <f>'Q100a-geral'!R44</f>
        <v>7</v>
      </c>
      <c r="S32" s="44" t="str">
        <f>'Q100a-geral'!S44</f>
        <v>só para pesquisa</v>
      </c>
      <c r="T32" s="107" t="str">
        <f>'Q100a-geral'!T44</f>
        <v>x</v>
      </c>
      <c r="U32" s="64">
        <f>'Q100a-geral'!U44</f>
        <v>13</v>
      </c>
      <c r="V32" s="85" t="str">
        <f>'Q100a-geral'!V44</f>
        <v>só para pesquisa</v>
      </c>
      <c r="W32" s="64">
        <f>'Q100a-geral'!W44</f>
        <v>19.41</v>
      </c>
      <c r="X32" s="64">
        <f>'Q100a-geral'!X44</f>
        <v>16.3</v>
      </c>
      <c r="Y32" s="64">
        <f>'Q100a-geral'!Y44</f>
        <v>27.71</v>
      </c>
      <c r="Z32" s="64">
        <f>'Q100a-geral'!Z44</f>
        <v>27.689999999999998</v>
      </c>
      <c r="AA32" s="64">
        <f>'Q100a-geral'!AA44</f>
        <v>23</v>
      </c>
      <c r="AB32" s="64">
        <f>'Q100a-geral'!AB44</f>
        <v>19.47</v>
      </c>
      <c r="AC32" s="64">
        <f>'Q100a-geral'!AC44</f>
        <v>18.45</v>
      </c>
      <c r="AD32" s="64">
        <f>'Q100a-geral'!AD44</f>
        <v>28.82</v>
      </c>
      <c r="AE32" s="268" t="str">
        <f>'Q100a-geral'!AE44</f>
        <v>não realizada pesquisa em BH</v>
      </c>
      <c r="AF32" s="64">
        <f>'Q100a-geral'!AF44</f>
        <v>33.92</v>
      </c>
      <c r="AG32" s="64">
        <f>'Q100a-geral'!AG44</f>
        <v>26</v>
      </c>
      <c r="AH32" s="268" t="str">
        <f>'Q100a-geral'!AH44</f>
        <v>não realizada pesquisa em BH</v>
      </c>
      <c r="AI32" s="83">
        <f>'Q100a-geral'!AI44</f>
        <v>63</v>
      </c>
      <c r="AJ32" s="268" t="str">
        <f>'Q100a-geral'!AJ44</f>
        <v>não realizada pesquisa em BH</v>
      </c>
      <c r="AK32" s="107" t="str">
        <f>'Q100a-geral'!AK44</f>
        <v>lançar</v>
      </c>
      <c r="AL32" s="212" t="str">
        <f>'Q100a-geral'!AL44</f>
        <v>x</v>
      </c>
      <c r="AM32" s="137" t="str">
        <f>'Q100a-geral'!AM44</f>
        <v>x</v>
      </c>
      <c r="AN32" s="137" t="str">
        <f>'Q100a-geral'!AN44</f>
        <v>x</v>
      </c>
      <c r="AO32" s="137" t="str">
        <f>'Q100a-geral'!AO44</f>
        <v>x</v>
      </c>
      <c r="AP32" s="137" t="str">
        <f>'Q100a-geral'!AP44</f>
        <v>x</v>
      </c>
      <c r="AQ32" s="137" t="str">
        <f>'Q100a-geral'!AQ44</f>
        <v>x</v>
      </c>
      <c r="AR32" s="137"/>
      <c r="AS32" s="137"/>
      <c r="AT32" s="137"/>
      <c r="AU32" s="137"/>
      <c r="AV32" s="137" t="str">
        <f>'Q100a-geral'!AV44</f>
        <v>x</v>
      </c>
      <c r="AW32" s="137"/>
      <c r="AX32" s="137"/>
      <c r="AY32" s="137"/>
      <c r="AZ32" s="137"/>
      <c r="BA32" s="137" t="str">
        <f>'Q100a-geral'!BA44</f>
        <v>x</v>
      </c>
      <c r="BB32" s="239" t="str">
        <f>'Q100a-geral'!BB44</f>
        <v>Avaliações em pesquisas externas de opiniãox</v>
      </c>
      <c r="BC32" s="239" t="str">
        <f>'Q100a-geral'!BC44</f>
        <v>Avaliações em pesquisas externas de opiniãoxx</v>
      </c>
      <c r="BD32" s="239" t="str">
        <f>'Q100a-geral'!BD44</f>
        <v>Avaliações em pesquisas externas de opiniãox</v>
      </c>
    </row>
    <row r="33" spans="1:56" s="3" customFormat="1" ht="47.25" customHeight="1" x14ac:dyDescent="0.25">
      <c r="A33" s="275" t="str">
        <f>'Q100a-geral'!A45</f>
        <v>3.2.1</v>
      </c>
      <c r="B33" s="252" t="str">
        <f>'Q100a-geral'!B45</f>
        <v>Avaliações em pesquisas externas de opinião</v>
      </c>
      <c r="C33" s="229" t="str">
        <f>'Q100a-geral'!C45</f>
        <v>x</v>
      </c>
      <c r="D33" s="36" t="str">
        <f>'Q100a-geral'!D45</f>
        <v>ABts[r]</v>
      </c>
      <c r="E33" s="464" t="str">
        <f>'Q100a-geral'!E45</f>
        <v>Belo Horizonte</v>
      </c>
      <c r="F33" s="445" t="str">
        <f>'Q100a-geral'!F45</f>
        <v>percentual de respostas "ruim" na avaliação geral da BHTrans na administração do trânsito (resultados de 1995 a 2012: OLIVEIRA, 2014, Tabela 4.35 a 4.51 - Apêndice D; 2013: DOXA, 2013;  2014: não foi realizada pesquisa; 2015: DOXA, 2015)</v>
      </c>
      <c r="G33" s="252" t="str">
        <f>'Q100a-geral'!G45</f>
        <v>(∑ respostas ruim")/ n.º de respondentes) x 100</v>
      </c>
      <c r="H33" s="173" t="str">
        <f>'Q100a-geral'!H45</f>
        <v>x</v>
      </c>
      <c r="I33" s="167">
        <f>'Q100a-geral'!I45</f>
        <v>1</v>
      </c>
      <c r="J33" s="107" t="str">
        <f>'Q100a-geral'!J45</f>
        <v>x</v>
      </c>
      <c r="K33" s="107" t="str">
        <f>'Q100a-geral'!K45</f>
        <v>x</v>
      </c>
      <c r="L33" s="107" t="str">
        <f>'Q100a-geral'!L45</f>
        <v>x</v>
      </c>
      <c r="M33" s="107" t="str">
        <f>'Q100a-geral'!M45</f>
        <v>x</v>
      </c>
      <c r="N33" s="107" t="str">
        <f>'Q100a-geral'!N45</f>
        <v>x</v>
      </c>
      <c r="O33" s="107" t="str">
        <f>'Q100a-geral'!O45</f>
        <v>x</v>
      </c>
      <c r="P33" s="83">
        <f>'Q100a-geral'!P45</f>
        <v>6</v>
      </c>
      <c r="Q33" s="107" t="str">
        <f>'Q100a-geral'!Q45</f>
        <v>x</v>
      </c>
      <c r="R33" s="83">
        <f>'Q100a-geral'!R45</f>
        <v>4</v>
      </c>
      <c r="S33" s="85" t="str">
        <f>'Q100a-geral'!S45</f>
        <v>só para pesquisa</v>
      </c>
      <c r="T33" s="107" t="str">
        <f>'Q100a-geral'!T45</f>
        <v>x</v>
      </c>
      <c r="U33" s="83">
        <f>'Q100a-geral'!U45</f>
        <v>7</v>
      </c>
      <c r="V33" s="85" t="str">
        <f>'Q100a-geral'!V45</f>
        <v>só para pesquisa</v>
      </c>
      <c r="W33" s="83">
        <f>'Q100a-geral'!W45</f>
        <v>8.31</v>
      </c>
      <c r="X33" s="83">
        <f>'Q100a-geral'!X45</f>
        <v>8.89</v>
      </c>
      <c r="Y33" s="83">
        <f>'Q100a-geral'!Y45</f>
        <v>12.15</v>
      </c>
      <c r="Z33" s="83">
        <f>'Q100a-geral'!Z45</f>
        <v>14.26</v>
      </c>
      <c r="AA33" s="83">
        <f>'Q100a-geral'!AA45</f>
        <v>13</v>
      </c>
      <c r="AB33" s="83">
        <f>'Q100a-geral'!AB45</f>
        <v>10.77</v>
      </c>
      <c r="AC33" s="83">
        <f>'Q100a-geral'!AC45</f>
        <v>10.52</v>
      </c>
      <c r="AD33" s="83">
        <f>'Q100a-geral'!AD45</f>
        <v>16.52</v>
      </c>
      <c r="AE33" s="268" t="str">
        <f>'Q100a-geral'!AE45</f>
        <v>não realizada pesquisa em BH</v>
      </c>
      <c r="AF33" s="83">
        <f>'Q100a-geral'!AF45</f>
        <v>21.33</v>
      </c>
      <c r="AG33" s="83">
        <f>'Q100a-geral'!AG45</f>
        <v>14.56</v>
      </c>
      <c r="AH33" s="268" t="str">
        <f>'Q100a-geral'!AH45</f>
        <v>não realizada pesquisa em BH</v>
      </c>
      <c r="AI33" s="83">
        <f>'Q100a-geral'!AI45</f>
        <v>25</v>
      </c>
      <c r="AJ33" s="268" t="str">
        <f>'Q100a-geral'!AJ45</f>
        <v>não realizada pesquisa em BH</v>
      </c>
      <c r="AK33" s="107" t="str">
        <f>'Q100a-geral'!AK45</f>
        <v>lançar</v>
      </c>
      <c r="AL33" s="212" t="str">
        <f>'Q100a-geral'!AL45</f>
        <v>x</v>
      </c>
      <c r="AM33" s="137" t="str">
        <f>'Q100a-geral'!AM45</f>
        <v>x</v>
      </c>
      <c r="AN33" s="137" t="str">
        <f>'Q100a-geral'!AN45</f>
        <v>x</v>
      </c>
      <c r="AO33" s="137" t="str">
        <f>'Q100a-geral'!AO45</f>
        <v>x</v>
      </c>
      <c r="AP33" s="137" t="str">
        <f>'Q100a-geral'!AP45</f>
        <v>x</v>
      </c>
      <c r="AQ33" s="137" t="str">
        <f>'Q100a-geral'!AQ45</f>
        <v>x</v>
      </c>
      <c r="AR33" s="137"/>
      <c r="AS33" s="137"/>
      <c r="AT33" s="137"/>
      <c r="AU33" s="137"/>
      <c r="AV33" s="137" t="str">
        <f>'Q100a-geral'!AV45</f>
        <v>x</v>
      </c>
      <c r="AW33" s="137"/>
      <c r="AX33" s="137"/>
      <c r="AY33" s="137"/>
      <c r="AZ33" s="137"/>
      <c r="BA33" s="137" t="str">
        <f>'Q100a-geral'!BA45</f>
        <v>x</v>
      </c>
      <c r="BB33" s="239" t="str">
        <f>'Q100a-geral'!BB45</f>
        <v>Avaliações em pesquisas externas de opiniãox</v>
      </c>
      <c r="BC33" s="239" t="str">
        <f>'Q100a-geral'!BC45</f>
        <v>Avaliações em pesquisas externas de opiniãoxx</v>
      </c>
      <c r="BD33" s="239" t="str">
        <f>'Q100a-geral'!BD45</f>
        <v>Avaliações em pesquisas externas de opiniãox</v>
      </c>
    </row>
    <row r="34" spans="1:56" s="3" customFormat="1" ht="51" customHeight="1" x14ac:dyDescent="0.25">
      <c r="A34" s="275" t="str">
        <f>'Q100a-geral'!A46</f>
        <v>3.2.1</v>
      </c>
      <c r="B34" s="252" t="str">
        <f>'Q100a-geral'!B46</f>
        <v>Avaliações em pesquisas externas de opinião</v>
      </c>
      <c r="C34" s="229" t="str">
        <f>'Q100a-geral'!C46</f>
        <v>x</v>
      </c>
      <c r="D34" s="36" t="str">
        <f>'Q100a-geral'!D46</f>
        <v>ABts[rg]</v>
      </c>
      <c r="E34" s="464" t="str">
        <f>'Q100a-geral'!E46</f>
        <v>Belo Horizonte</v>
      </c>
      <c r="F34" s="445" t="str">
        <f>'Q100a-geral'!F46</f>
        <v>percentual de"regular" (respostas "regular" ou nota "3") na avaliação geral da BHTrans na administração do trânsito (resultados de 1995 a 2012: OLIVEIRA, 2014, Tabela 4.35 a 4.51 - Apêndice D; 2013: DOXA, 2013;  2014: não foi realizada pesquisa; 2015: DOXA, 2015)</v>
      </c>
      <c r="G34" s="252" t="str">
        <f>'Q100a-geral'!G46</f>
        <v>(∑ respostas "regular")/ n.º de respondentes) x 100</v>
      </c>
      <c r="H34" s="173" t="str">
        <f>'Q100a-geral'!H46</f>
        <v>x</v>
      </c>
      <c r="I34" s="167">
        <f>'Q100a-geral'!I46</f>
        <v>1</v>
      </c>
      <c r="J34" s="107" t="str">
        <f>'Q100a-geral'!J46</f>
        <v>x</v>
      </c>
      <c r="K34" s="107" t="str">
        <f>'Q100a-geral'!K46</f>
        <v>x</v>
      </c>
      <c r="L34" s="107" t="str">
        <f>'Q100a-geral'!L46</f>
        <v>x</v>
      </c>
      <c r="M34" s="107" t="str">
        <f>'Q100a-geral'!M46</f>
        <v>x</v>
      </c>
      <c r="N34" s="107" t="str">
        <f>'Q100a-geral'!N46</f>
        <v>x</v>
      </c>
      <c r="O34" s="107" t="str">
        <f>'Q100a-geral'!O46</f>
        <v>x</v>
      </c>
      <c r="P34" s="83">
        <f>'Q100a-geral'!P46</f>
        <v>39</v>
      </c>
      <c r="Q34" s="107" t="str">
        <f>'Q100a-geral'!Q46</f>
        <v>x</v>
      </c>
      <c r="R34" s="83">
        <f>'Q100a-geral'!R46</f>
        <v>37</v>
      </c>
      <c r="S34" s="85" t="str">
        <f>'Q100a-geral'!S46</f>
        <v>só para pesquisa</v>
      </c>
      <c r="T34" s="107" t="str">
        <f>'Q100a-geral'!T46</f>
        <v>x</v>
      </c>
      <c r="U34" s="85">
        <f>'Q100a-geral'!U46</f>
        <v>46</v>
      </c>
      <c r="V34" s="85" t="str">
        <f>'Q100a-geral'!V46</f>
        <v>só para pesquisa</v>
      </c>
      <c r="W34" s="83">
        <f>'Q100a-geral'!W46</f>
        <v>45.14</v>
      </c>
      <c r="X34" s="83">
        <f>'Q100a-geral'!X46</f>
        <v>45.11</v>
      </c>
      <c r="Y34" s="83">
        <f>'Q100a-geral'!Y46</f>
        <v>36.81</v>
      </c>
      <c r="Z34" s="83">
        <f>'Q100a-geral'!Z46</f>
        <v>34.99</v>
      </c>
      <c r="AA34" s="83">
        <f>'Q100a-geral'!AA46</f>
        <v>42</v>
      </c>
      <c r="AB34" s="83">
        <f>'Q100a-geral'!AB46</f>
        <v>49.07</v>
      </c>
      <c r="AC34" s="83">
        <f>'Q100a-geral'!AC46</f>
        <v>42.96</v>
      </c>
      <c r="AD34" s="83">
        <f>'Q100a-geral'!AD46</f>
        <v>48.52</v>
      </c>
      <c r="AE34" s="855" t="str">
        <f>'Q100a-geral'!AE46</f>
        <v>não realizada pesquisa em BH</v>
      </c>
      <c r="AF34" s="85">
        <f>'Q100a-geral'!AF46</f>
        <v>45.7</v>
      </c>
      <c r="AG34" s="85">
        <f>'Q100a-geral'!AG46</f>
        <v>40.98</v>
      </c>
      <c r="AH34" s="855" t="str">
        <f>'Q100a-geral'!AH46</f>
        <v>não realizada pesquisa em BH</v>
      </c>
      <c r="AI34" s="85">
        <f>'Q100a-geral'!AI46</f>
        <v>26</v>
      </c>
      <c r="AJ34" s="855" t="str">
        <f>'Q100a-geral'!AJ46</f>
        <v>não realizada pesquisa em BH</v>
      </c>
      <c r="AK34" s="107" t="str">
        <f>'Q100a-geral'!AK46</f>
        <v>lançar</v>
      </c>
      <c r="AL34" s="212" t="str">
        <f>'Q100a-geral'!AL46</f>
        <v>x</v>
      </c>
      <c r="AM34" s="137" t="str">
        <f>'Q100a-geral'!AM46</f>
        <v>x</v>
      </c>
      <c r="AN34" s="137" t="str">
        <f>'Q100a-geral'!AN46</f>
        <v>x</v>
      </c>
      <c r="AO34" s="137" t="str">
        <f>'Q100a-geral'!AO46</f>
        <v>x</v>
      </c>
      <c r="AP34" s="137" t="str">
        <f>'Q100a-geral'!AP46</f>
        <v>x</v>
      </c>
      <c r="AQ34" s="137" t="str">
        <f>'Q100a-geral'!AQ46</f>
        <v>x</v>
      </c>
      <c r="AR34" s="137"/>
      <c r="AS34" s="137"/>
      <c r="AT34" s="137"/>
      <c r="AU34" s="137"/>
      <c r="AV34" s="137" t="str">
        <f>'Q100a-geral'!AV46</f>
        <v>x</v>
      </c>
      <c r="AW34" s="137"/>
      <c r="AX34" s="137"/>
      <c r="AY34" s="137"/>
      <c r="AZ34" s="137"/>
      <c r="BA34" s="137" t="str">
        <f>'Q100a-geral'!BA46</f>
        <v>x</v>
      </c>
      <c r="BB34" s="239" t="str">
        <f>'Q100a-geral'!BB46</f>
        <v>Avaliações em pesquisas externas de opiniãox</v>
      </c>
      <c r="BC34" s="239" t="str">
        <f>'Q100a-geral'!BC46</f>
        <v>Avaliações em pesquisas externas de opiniãoxx</v>
      </c>
      <c r="BD34" s="239" t="str">
        <f>'Q100a-geral'!BD46</f>
        <v>Avaliações em pesquisas externas de opiniãox</v>
      </c>
    </row>
    <row r="35" spans="1:56" ht="127.5" x14ac:dyDescent="0.25">
      <c r="A35" s="262" t="str">
        <f>'Q100a-geral'!A79</f>
        <v>8.10</v>
      </c>
      <c r="B35" s="252" t="str">
        <f>'Q100a-geral'!B79</f>
        <v>Sistema de transporte coletivo com um todo</v>
      </c>
      <c r="C35" s="229" t="str">
        <f>'Q100a-geral'!C79</f>
        <v>acessibilidade</v>
      </c>
      <c r="D35" s="35" t="str">
        <f>'Q100a-geral'!D79</f>
        <v>acessibilidade em ônibus urbano (escala)</v>
      </c>
      <c r="E35" s="484" t="str">
        <f>'Q100a-geral'!E79</f>
        <v>x</v>
      </c>
      <c r="F35" s="53" t="str">
        <f>'Q100a-geral'!F79</f>
        <v>escala (de 1 a 10) desenvolvida pelo SisMob-BH em 02/12/2015 para quantificar a acessibilidade física da frota de ônibus urbanos de uma cidade/região, especificamente para as pessoas com dificuldade motora, para embarcar/desembarcar de ônibus urbanos, permitindo comparar quantitativamente sistemas diferentes
obs.1: esta escala busca seguir os princípios da "escala de qualidade do design inclusivo" conforme GUIMARÃES, 1999, p.125)
obs.2: acesse "acessibilidade em ônibus urbano (peso 1 a 10 da escala")
obs.3: acesse informações quantitativas relativas ao indicador "IAED" e informações qualitativas/quantitativas relativas ao indicador "Ftc" das cidades/regiões já incorporadas ao SisMob-BH</v>
      </c>
      <c r="G35" s="230" t="str">
        <f>'Q100a-geral'!G79</f>
        <v>verbete
MFO</v>
      </c>
      <c r="H35" s="167" t="str">
        <f>'Q100a-geral'!H79</f>
        <v>sigla/verbete</v>
      </c>
      <c r="I35" s="167" t="str">
        <f>'Q100a-geral'!I79</f>
        <v>x</v>
      </c>
      <c r="J35" s="109" t="str">
        <f>'Q100a-geral'!J79</f>
        <v>x</v>
      </c>
      <c r="K35" s="109" t="str">
        <f>'Q100a-geral'!K79</f>
        <v>x</v>
      </c>
      <c r="L35" s="109" t="str">
        <f>'Q100a-geral'!L79</f>
        <v>x</v>
      </c>
      <c r="M35" s="109" t="str">
        <f>'Q100a-geral'!M79</f>
        <v>x</v>
      </c>
      <c r="N35" s="109" t="str">
        <f>'Q100a-geral'!N79</f>
        <v>x</v>
      </c>
      <c r="O35" s="109" t="str">
        <f>'Q100a-geral'!O79</f>
        <v>x</v>
      </c>
      <c r="P35" s="109" t="str">
        <f>'Q100a-geral'!P79</f>
        <v>x</v>
      </c>
      <c r="Q35" s="109" t="str">
        <f>'Q100a-geral'!Q79</f>
        <v>x</v>
      </c>
      <c r="R35" s="109" t="str">
        <f>'Q100a-geral'!R79</f>
        <v>x</v>
      </c>
      <c r="S35" s="109" t="str">
        <f>'Q100a-geral'!S79</f>
        <v>só para pesquisa</v>
      </c>
      <c r="T35" s="109" t="str">
        <f>'Q100a-geral'!T79</f>
        <v>x</v>
      </c>
      <c r="U35" s="109" t="str">
        <f>'Q100a-geral'!U79</f>
        <v>x</v>
      </c>
      <c r="V35" s="109" t="str">
        <f>'Q100a-geral'!V79</f>
        <v>só para pesquisa</v>
      </c>
      <c r="W35" s="109" t="str">
        <f>'Q100a-geral'!W79</f>
        <v>x</v>
      </c>
      <c r="X35" s="109" t="str">
        <f>'Q100a-geral'!X79</f>
        <v>x</v>
      </c>
      <c r="Y35" s="109" t="str">
        <f>'Q100a-geral'!Y79</f>
        <v>x</v>
      </c>
      <c r="Z35" s="109" t="str">
        <f>'Q100a-geral'!Z79</f>
        <v>x</v>
      </c>
      <c r="AA35" s="109" t="str">
        <f>'Q100a-geral'!AA79</f>
        <v>x</v>
      </c>
      <c r="AB35" s="109" t="str">
        <f>'Q100a-geral'!AB79</f>
        <v>x</v>
      </c>
      <c r="AC35" s="109" t="str">
        <f>'Q100a-geral'!AC79</f>
        <v>x</v>
      </c>
      <c r="AD35" s="109" t="str">
        <f>'Q100a-geral'!AD79</f>
        <v>x</v>
      </c>
      <c r="AE35" s="109" t="str">
        <f>'Q100a-geral'!AE79</f>
        <v>x</v>
      </c>
      <c r="AF35" s="109" t="str">
        <f>'Q100a-geral'!AF79</f>
        <v>x</v>
      </c>
      <c r="AG35" s="109" t="str">
        <f>'Q100a-geral'!AG79</f>
        <v>x</v>
      </c>
      <c r="AH35" s="109" t="str">
        <f>'Q100a-geral'!AH79</f>
        <v>x</v>
      </c>
      <c r="AI35" s="109" t="str">
        <f>'Q100a-geral'!AI79</f>
        <v>x</v>
      </c>
      <c r="AJ35" s="109" t="str">
        <f>'Q100a-geral'!AJ79</f>
        <v>x</v>
      </c>
      <c r="AK35" s="109" t="str">
        <f>'Q100a-geral'!AK79</f>
        <v>x</v>
      </c>
      <c r="AL35" s="601" t="str">
        <f>'Q100a-geral'!AL79</f>
        <v>x</v>
      </c>
      <c r="AM35" s="137" t="str">
        <f>'Q100a-geral'!AM79</f>
        <v>x</v>
      </c>
      <c r="AN35" s="137" t="str">
        <f>'Q100a-geral'!AN79</f>
        <v>x</v>
      </c>
      <c r="AO35" s="137" t="str">
        <f>'Q100a-geral'!AO79</f>
        <v>x</v>
      </c>
      <c r="AP35" s="137" t="str">
        <f>'Q100a-geral'!AP79</f>
        <v>x</v>
      </c>
      <c r="AQ35" s="137" t="str">
        <f>'Q100a-geral'!AQ79</f>
        <v>x</v>
      </c>
      <c r="AR35" s="137"/>
      <c r="AS35" s="137"/>
      <c r="AT35" s="137"/>
      <c r="AU35" s="137"/>
      <c r="AV35" s="137" t="str">
        <f>'Q100a-geral'!AV79</f>
        <v>x</v>
      </c>
      <c r="AW35" s="137"/>
      <c r="AX35" s="137"/>
      <c r="AY35" s="137"/>
      <c r="AZ35" s="137"/>
      <c r="BA35" s="137" t="str">
        <f>'Q100a-geral'!BA79</f>
        <v>x</v>
      </c>
      <c r="BB35" s="239" t="str">
        <f>'Q100a-geral'!BB79</f>
        <v>Sistema de transporte coletivo com um todoacessibilidade</v>
      </c>
      <c r="BC35" s="239" t="str">
        <f>'Q100a-geral'!BC79</f>
        <v>Sistema de transporte coletivo com um todoacessibilidadesigla/verbete</v>
      </c>
      <c r="BD35" s="239" t="str">
        <f>'Q100a-geral'!BD79</f>
        <v>Sistema de transporte coletivo com um todosigla/verbete</v>
      </c>
    </row>
    <row r="36" spans="1:56" ht="89.25" x14ac:dyDescent="0.25">
      <c r="A36" s="262" t="str">
        <f>'Q100a-geral'!A80</f>
        <v>8.10</v>
      </c>
      <c r="B36" s="528" t="str">
        <f>'Q100a-geral'!B80</f>
        <v>Sistema de transporte coletivo com um todo</v>
      </c>
      <c r="C36" s="229" t="str">
        <f>'Q100a-geral'!C80</f>
        <v>acessibilidade</v>
      </c>
      <c r="D36" s="35" t="str">
        <f>'Q100a-geral'!D80</f>
        <v>acessibilidade em ônibus urbano (peso 1 da escala)</v>
      </c>
      <c r="E36" s="53" t="str">
        <f>'Q100a-geral'!E80</f>
        <v>x</v>
      </c>
      <c r="F36" s="53" t="str">
        <f>'Q100a-geral'!F80</f>
        <v>veículos considerados pelo SisMob-BH como "não acessíveis", pois não fornecem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 para informações e resultados de municípios/regiões já incorporados ao SisMob-BH acesse "F tc nac" (Belo Horizonte, Contagem, Joinville, RMBH metropolitano, São Paulo)</v>
      </c>
      <c r="G36" s="230" t="str">
        <f>'Q100a-geral'!G80</f>
        <v>verbete
MFO</v>
      </c>
      <c r="H36" s="167" t="str">
        <f>'Q100a-geral'!H80</f>
        <v>sigla/verbete</v>
      </c>
      <c r="I36" s="167" t="str">
        <f>'Q100a-geral'!I80</f>
        <v>x</v>
      </c>
      <c r="J36" s="109" t="str">
        <f>'Q100a-geral'!J80</f>
        <v>x</v>
      </c>
      <c r="K36" s="109" t="str">
        <f>'Q100a-geral'!K80</f>
        <v>x</v>
      </c>
      <c r="L36" s="109" t="str">
        <f>'Q100a-geral'!L80</f>
        <v>x</v>
      </c>
      <c r="M36" s="478">
        <v>1</v>
      </c>
      <c r="N36" s="478">
        <v>1</v>
      </c>
      <c r="O36" s="478">
        <v>1</v>
      </c>
      <c r="P36" s="478">
        <v>1</v>
      </c>
      <c r="Q36" s="478">
        <v>1</v>
      </c>
      <c r="R36" s="478">
        <v>1</v>
      </c>
      <c r="S36" s="109" t="str">
        <f>'Q100a-geral'!S80</f>
        <v>só para pesquisa</v>
      </c>
      <c r="T36" s="478">
        <v>1</v>
      </c>
      <c r="U36" s="478">
        <v>1</v>
      </c>
      <c r="V36" s="109" t="str">
        <f>'Q100a-geral'!V80</f>
        <v>só para pesquisa</v>
      </c>
      <c r="W36" s="478">
        <v>1</v>
      </c>
      <c r="X36" s="478">
        <v>1</v>
      </c>
      <c r="Y36" s="478">
        <v>1</v>
      </c>
      <c r="Z36" s="478">
        <v>1</v>
      </c>
      <c r="AA36" s="478">
        <v>1</v>
      </c>
      <c r="AB36" s="478">
        <v>1</v>
      </c>
      <c r="AC36" s="478">
        <v>1</v>
      </c>
      <c r="AD36" s="478">
        <v>1</v>
      </c>
      <c r="AE36" s="478">
        <v>1</v>
      </c>
      <c r="AF36" s="478">
        <v>1</v>
      </c>
      <c r="AG36" s="478">
        <v>1</v>
      </c>
      <c r="AH36" s="478">
        <v>1</v>
      </c>
      <c r="AI36" s="478">
        <v>1</v>
      </c>
      <c r="AJ36" s="478">
        <v>1</v>
      </c>
      <c r="AK36" s="478">
        <v>1</v>
      </c>
      <c r="AL36" s="601" t="str">
        <f>'Q100a-geral'!AL80</f>
        <v>x</v>
      </c>
      <c r="AM36" s="137" t="str">
        <f>'Q100a-geral'!AM80</f>
        <v>x</v>
      </c>
      <c r="AN36" s="137" t="str">
        <f>'Q100a-geral'!AN80</f>
        <v>x</v>
      </c>
      <c r="AO36" s="137" t="str">
        <f>'Q100a-geral'!AO80</f>
        <v>x</v>
      </c>
      <c r="AP36" s="137" t="str">
        <f>'Q100a-geral'!AP80</f>
        <v>x</v>
      </c>
      <c r="AQ36" s="137" t="str">
        <f>'Q100a-geral'!AQ80</f>
        <v>x</v>
      </c>
      <c r="AR36" s="137"/>
      <c r="AS36" s="137"/>
      <c r="AT36" s="137"/>
      <c r="AU36" s="137"/>
      <c r="AV36" s="137" t="str">
        <f>'Q100a-geral'!AV80</f>
        <v>x</v>
      </c>
      <c r="AW36" s="137"/>
      <c r="AX36" s="137"/>
      <c r="AY36" s="137"/>
      <c r="AZ36" s="137"/>
      <c r="BA36" s="137" t="str">
        <f>'Q100a-geral'!BA80</f>
        <v>x</v>
      </c>
      <c r="BB36" s="239" t="str">
        <f>'Q100a-geral'!BB80</f>
        <v>Sistema de transporte coletivo com um todoacessibilidade</v>
      </c>
      <c r="BC36" s="239" t="str">
        <f>'Q100a-geral'!BC80</f>
        <v>Sistema de transporte coletivo com um todoacessibilidadesigla/verbete</v>
      </c>
      <c r="BD36" s="239" t="str">
        <f>'Q100a-geral'!BD80</f>
        <v>Sistema de transporte coletivo com um todosigla/verbete</v>
      </c>
    </row>
    <row r="37" spans="1:56" ht="102" x14ac:dyDescent="0.25">
      <c r="A37" s="262" t="str">
        <f>'Q100a-geral'!A81</f>
        <v>8.10</v>
      </c>
      <c r="B37" s="528" t="str">
        <f>'Q100a-geral'!B81</f>
        <v>Sistema de transporte coletivo com um todo</v>
      </c>
      <c r="C37" s="229" t="str">
        <f>'Q100a-geral'!C81</f>
        <v>acessibilidade</v>
      </c>
      <c r="D37" s="35" t="str">
        <f>'Q100a-geral'!D81</f>
        <v>acessibilidade em ônibus urbano (peso 2 da escala)</v>
      </c>
      <c r="E37" s="53" t="str">
        <f>'Q100a-geral'!E81</f>
        <v>x</v>
      </c>
      <c r="F37" s="53" t="str">
        <f>'Q100a-geral'!F81</f>
        <v>veículos equipados com elevador hidráulico acionado exclusivamente para embarque/desembarque de pessoas em cadeira de rodas e que não operam em plataforma elevada (o embarque/desembarque nunca acontece em nível)
obs.1: esta categoria é também utilizada quando os resultados de frota disponíveis para determinado município/região não detalharem as quantidades de veículos nas quais o elevador hidráulido é de uso exclusivo para cadeirantes
obs.2: para resultados de municípios/regiões já incorporados ao SisMob-BH acesse "F tc eh ec"  (Belo Horizonte, Contagem, Joinville, RMBH metropolitano, São Paulo)</v>
      </c>
      <c r="G37" s="230" t="str">
        <f>'Q100a-geral'!G81</f>
        <v>verbete
MFO</v>
      </c>
      <c r="H37" s="167" t="str">
        <f>'Q100a-geral'!H81</f>
        <v>sigla/verbete</v>
      </c>
      <c r="I37" s="167" t="str">
        <f>'Q100a-geral'!I81</f>
        <v>x</v>
      </c>
      <c r="J37" s="109" t="str">
        <f>'Q100a-geral'!J81</f>
        <v>x</v>
      </c>
      <c r="K37" s="109" t="str">
        <f>'Q100a-geral'!K81</f>
        <v>x</v>
      </c>
      <c r="L37" s="109" t="str">
        <f>'Q100a-geral'!L81</f>
        <v>x</v>
      </c>
      <c r="M37" s="478">
        <v>2</v>
      </c>
      <c r="N37" s="478">
        <v>2</v>
      </c>
      <c r="O37" s="478">
        <v>2</v>
      </c>
      <c r="P37" s="478">
        <v>2</v>
      </c>
      <c r="Q37" s="478">
        <v>2</v>
      </c>
      <c r="R37" s="478">
        <v>2</v>
      </c>
      <c r="S37" s="109" t="str">
        <f>'Q100a-geral'!S81</f>
        <v>só para pesquisa</v>
      </c>
      <c r="T37" s="478">
        <v>2</v>
      </c>
      <c r="U37" s="478">
        <v>2</v>
      </c>
      <c r="V37" s="109" t="str">
        <f>'Q100a-geral'!V81</f>
        <v>só para pesquisa</v>
      </c>
      <c r="W37" s="478">
        <v>2</v>
      </c>
      <c r="X37" s="478">
        <v>2</v>
      </c>
      <c r="Y37" s="478">
        <v>2</v>
      </c>
      <c r="Z37" s="478">
        <v>2</v>
      </c>
      <c r="AA37" s="478">
        <v>2</v>
      </c>
      <c r="AB37" s="478">
        <v>2</v>
      </c>
      <c r="AC37" s="478">
        <v>2</v>
      </c>
      <c r="AD37" s="478">
        <v>2</v>
      </c>
      <c r="AE37" s="478">
        <v>2</v>
      </c>
      <c r="AF37" s="478">
        <v>2</v>
      </c>
      <c r="AG37" s="478">
        <v>2</v>
      </c>
      <c r="AH37" s="478">
        <v>2</v>
      </c>
      <c r="AI37" s="478">
        <v>2</v>
      </c>
      <c r="AJ37" s="478">
        <v>2</v>
      </c>
      <c r="AK37" s="478">
        <v>2</v>
      </c>
      <c r="AL37" s="601" t="str">
        <f>'Q100a-geral'!AL81</f>
        <v>x</v>
      </c>
      <c r="AM37" s="137" t="str">
        <f>'Q100a-geral'!AM81</f>
        <v>x</v>
      </c>
      <c r="AN37" s="137" t="str">
        <f>'Q100a-geral'!AN81</f>
        <v>x</v>
      </c>
      <c r="AO37" s="137" t="str">
        <f>'Q100a-geral'!AO81</f>
        <v>x</v>
      </c>
      <c r="AP37" s="137" t="str">
        <f>'Q100a-geral'!AP81</f>
        <v>x</v>
      </c>
      <c r="AQ37" s="137" t="str">
        <f>'Q100a-geral'!AQ81</f>
        <v>x</v>
      </c>
      <c r="AR37" s="137"/>
      <c r="AS37" s="137"/>
      <c r="AT37" s="137"/>
      <c r="AU37" s="137"/>
      <c r="AV37" s="137" t="str">
        <f>'Q100a-geral'!AV81</f>
        <v>x</v>
      </c>
      <c r="AW37" s="137"/>
      <c r="AX37" s="137"/>
      <c r="AY37" s="137"/>
      <c r="AZ37" s="137"/>
      <c r="BA37" s="137" t="str">
        <f>'Q100a-geral'!BA81</f>
        <v>x</v>
      </c>
      <c r="BB37" s="239" t="str">
        <f>'Q100a-geral'!BB81</f>
        <v>Sistema de transporte coletivo com um todoacessibilidade</v>
      </c>
      <c r="BC37" s="239" t="str">
        <f>'Q100a-geral'!BC81</f>
        <v>Sistema de transporte coletivo com um todoacessibilidadesigla/verbete</v>
      </c>
      <c r="BD37" s="239" t="str">
        <f>'Q100a-geral'!BD81</f>
        <v>Sistema de transporte coletivo com um todosigla/verbete</v>
      </c>
    </row>
    <row r="38" spans="1:56" ht="89.25" x14ac:dyDescent="0.25">
      <c r="A38" s="262" t="str">
        <f>'Q100a-geral'!A82</f>
        <v>8.10</v>
      </c>
      <c r="B38" s="252" t="str">
        <f>'Q100a-geral'!B82</f>
        <v>Sistema de transporte coletivo com um todo</v>
      </c>
      <c r="C38" s="229" t="str">
        <f>'Q100a-geral'!C82</f>
        <v>acessibilidade</v>
      </c>
      <c r="D38" s="35" t="str">
        <f>'Q100a-geral'!D82</f>
        <v>acessibilidade em ônibus urbano (peso 3 da escala)</v>
      </c>
      <c r="E38" s="53" t="str">
        <f>'Q100a-geral'!E82</f>
        <v>x</v>
      </c>
      <c r="F38" s="53" t="str">
        <f>'Q100a-geral'!F82</f>
        <v>veículos equipados com elevador hidráulico que permitem embarque/desembarque não exclusivo de usuários cadeirantes (pessoas em pé podem utuilizar o equipamento caso se sintam seguras  e o operador permita) e que não operam em plataforma elevada
obs.1: esta categoria só é utilizada quando o gestor local informa, claramente, que o uso sem restrições é permitido e informado aos usuários
obs.2: acesse informações quantitativas relativas ao indicador "IAED" das cidades/regiões já incorporadas ao SisMob-BH</v>
      </c>
      <c r="G38" s="230" t="str">
        <f>'Q100a-geral'!G82</f>
        <v>verbete
MFO</v>
      </c>
      <c r="H38" s="167" t="str">
        <f>'Q100a-geral'!H82</f>
        <v>sigla/verbete</v>
      </c>
      <c r="I38" s="167" t="str">
        <f>'Q100a-geral'!I82</f>
        <v>x</v>
      </c>
      <c r="J38" s="109" t="str">
        <f>'Q100a-geral'!J82</f>
        <v>x</v>
      </c>
      <c r="K38" s="109" t="str">
        <f>'Q100a-geral'!K82</f>
        <v>x</v>
      </c>
      <c r="L38" s="109" t="str">
        <f>'Q100a-geral'!L82</f>
        <v>x</v>
      </c>
      <c r="M38" s="478">
        <v>3</v>
      </c>
      <c r="N38" s="478">
        <v>3</v>
      </c>
      <c r="O38" s="478">
        <v>3</v>
      </c>
      <c r="P38" s="478">
        <v>3</v>
      </c>
      <c r="Q38" s="478">
        <v>3</v>
      </c>
      <c r="R38" s="478">
        <v>3</v>
      </c>
      <c r="S38" s="109" t="str">
        <f>'Q100a-geral'!S82</f>
        <v>só para pesquisa</v>
      </c>
      <c r="T38" s="478">
        <v>3</v>
      </c>
      <c r="U38" s="478">
        <v>3</v>
      </c>
      <c r="V38" s="109" t="str">
        <f>'Q100a-geral'!V82</f>
        <v>só para pesquisa</v>
      </c>
      <c r="W38" s="478">
        <v>3</v>
      </c>
      <c r="X38" s="478">
        <v>3</v>
      </c>
      <c r="Y38" s="478">
        <v>3</v>
      </c>
      <c r="Z38" s="478">
        <v>3</v>
      </c>
      <c r="AA38" s="478">
        <v>3</v>
      </c>
      <c r="AB38" s="478">
        <v>3</v>
      </c>
      <c r="AC38" s="478">
        <v>3</v>
      </c>
      <c r="AD38" s="478">
        <v>3</v>
      </c>
      <c r="AE38" s="478">
        <v>3</v>
      </c>
      <c r="AF38" s="478">
        <v>3</v>
      </c>
      <c r="AG38" s="478">
        <v>3</v>
      </c>
      <c r="AH38" s="478">
        <v>3</v>
      </c>
      <c r="AI38" s="478">
        <v>3</v>
      </c>
      <c r="AJ38" s="478">
        <v>3</v>
      </c>
      <c r="AK38" s="478">
        <v>3</v>
      </c>
      <c r="AL38" s="601" t="str">
        <f>'Q100a-geral'!AL82</f>
        <v>x</v>
      </c>
      <c r="AM38" s="137" t="str">
        <f>'Q100a-geral'!AM82</f>
        <v>x</v>
      </c>
      <c r="AN38" s="137" t="str">
        <f>'Q100a-geral'!AN82</f>
        <v>x</v>
      </c>
      <c r="AO38" s="137" t="str">
        <f>'Q100a-geral'!AO82</f>
        <v>x</v>
      </c>
      <c r="AP38" s="137" t="str">
        <f>'Q100a-geral'!AP82</f>
        <v>x</v>
      </c>
      <c r="AQ38" s="137" t="str">
        <f>'Q100a-geral'!AQ82</f>
        <v>x</v>
      </c>
      <c r="AR38" s="137"/>
      <c r="AS38" s="137"/>
      <c r="AT38" s="137"/>
      <c r="AU38" s="137"/>
      <c r="AV38" s="137" t="str">
        <f>'Q100a-geral'!AV82</f>
        <v>x</v>
      </c>
      <c r="AW38" s="137"/>
      <c r="AX38" s="137"/>
      <c r="AY38" s="137"/>
      <c r="AZ38" s="137"/>
      <c r="BA38" s="137" t="str">
        <f>'Q100a-geral'!BA82</f>
        <v>x</v>
      </c>
      <c r="BB38" s="239" t="str">
        <f>'Q100a-geral'!BB82</f>
        <v>Sistema de transporte coletivo com um todoacessibilidade</v>
      </c>
      <c r="BC38" s="239" t="str">
        <f>'Q100a-geral'!BC82</f>
        <v>Sistema de transporte coletivo com um todoacessibilidadesigla/verbete</v>
      </c>
      <c r="BD38" s="239" t="str">
        <f>'Q100a-geral'!BD82</f>
        <v>Sistema de transporte coletivo com um todosigla/verbete</v>
      </c>
    </row>
    <row r="39" spans="1:56" ht="114.75" x14ac:dyDescent="0.25">
      <c r="A39" s="262" t="str">
        <f>'Q100a-geral'!A83</f>
        <v>8.10</v>
      </c>
      <c r="B39" s="252" t="str">
        <f>'Q100a-geral'!B83</f>
        <v>Sistema de transporte coletivo com um todo</v>
      </c>
      <c r="C39" s="229" t="str">
        <f>'Q100a-geral'!C83</f>
        <v>acessibilidade</v>
      </c>
      <c r="D39" s="35" t="str">
        <f>'Q100a-geral'!D83</f>
        <v>acessibilidade em ônibus urbano (peso 4 da escala)</v>
      </c>
      <c r="E39" s="53" t="str">
        <f>'Q100a-geral'!E83</f>
        <v>x</v>
      </c>
      <c r="F39" s="53" t="str">
        <f>'Q100a-geral'!F83</f>
        <v>veículos com operação diferente em cada um dos lados: do lado esquerdo operação em corredor de BRT com plataforma elevada e embarque/desembarque em nível com o apoio ou não de plataforma manual em uma das portas; do lado direito operação em vias comuns fora do corredor de BRT, equipados com elevador hidráulico em uma das portas que permite embarque/desembarque exclusivo de cadeirante [esta categoria de BRT misto também recebe veículos de piso alto que, em determinadas viagens, operam fora de estações com plataforma elevada com, para permitir o desembarque com a utilização de escadas implantadas na calçada] 
obs.1: para informações e resultados de municípios/regiões já incorporados ao SisMob-BH acesse "F tc BRTmisto eh ec" (Bogotá e Quito)</v>
      </c>
      <c r="G39" s="230" t="str">
        <f>'Q100a-geral'!G83</f>
        <v>verbete
MFO</v>
      </c>
      <c r="H39" s="167" t="str">
        <f>'Q100a-geral'!H83</f>
        <v>sigla/verbete</v>
      </c>
      <c r="I39" s="167" t="str">
        <f>'Q100a-geral'!I83</f>
        <v>x</v>
      </c>
      <c r="J39" s="109" t="str">
        <f>'Q100a-geral'!J83</f>
        <v>x</v>
      </c>
      <c r="K39" s="109" t="str">
        <f>'Q100a-geral'!K83</f>
        <v>x</v>
      </c>
      <c r="L39" s="109" t="str">
        <f>'Q100a-geral'!L83</f>
        <v>x</v>
      </c>
      <c r="M39" s="478">
        <v>4</v>
      </c>
      <c r="N39" s="478">
        <v>4</v>
      </c>
      <c r="O39" s="478">
        <v>4</v>
      </c>
      <c r="P39" s="478">
        <v>4</v>
      </c>
      <c r="Q39" s="478">
        <v>4</v>
      </c>
      <c r="R39" s="478">
        <v>4</v>
      </c>
      <c r="S39" s="109" t="str">
        <f>'Q100a-geral'!S83</f>
        <v>só para pesquisa</v>
      </c>
      <c r="T39" s="478">
        <v>4</v>
      </c>
      <c r="U39" s="478">
        <v>4</v>
      </c>
      <c r="V39" s="109" t="str">
        <f>'Q100a-geral'!V83</f>
        <v>só para pesquisa</v>
      </c>
      <c r="W39" s="478">
        <v>4</v>
      </c>
      <c r="X39" s="478">
        <v>4</v>
      </c>
      <c r="Y39" s="478">
        <v>4</v>
      </c>
      <c r="Z39" s="478">
        <v>4</v>
      </c>
      <c r="AA39" s="478">
        <v>4</v>
      </c>
      <c r="AB39" s="478">
        <v>4</v>
      </c>
      <c r="AC39" s="478">
        <v>4</v>
      </c>
      <c r="AD39" s="478">
        <v>4</v>
      </c>
      <c r="AE39" s="478">
        <v>4</v>
      </c>
      <c r="AF39" s="478">
        <v>4</v>
      </c>
      <c r="AG39" s="478">
        <v>4</v>
      </c>
      <c r="AH39" s="478">
        <v>4</v>
      </c>
      <c r="AI39" s="478">
        <v>4</v>
      </c>
      <c r="AJ39" s="478">
        <v>4</v>
      </c>
      <c r="AK39" s="478">
        <v>4</v>
      </c>
      <c r="AL39" s="601" t="str">
        <f>'Q100a-geral'!AL83</f>
        <v>x</v>
      </c>
      <c r="AM39" s="137" t="str">
        <f>'Q100a-geral'!AM83</f>
        <v>x</v>
      </c>
      <c r="AN39" s="137" t="str">
        <f>'Q100a-geral'!AN83</f>
        <v>x</v>
      </c>
      <c r="AO39" s="137" t="str">
        <f>'Q100a-geral'!AO83</f>
        <v>x</v>
      </c>
      <c r="AP39" s="137" t="str">
        <f>'Q100a-geral'!AP83</f>
        <v>x</v>
      </c>
      <c r="AQ39" s="137" t="str">
        <f>'Q100a-geral'!AQ83</f>
        <v>x</v>
      </c>
      <c r="AR39" s="137"/>
      <c r="AS39" s="137"/>
      <c r="AT39" s="137"/>
      <c r="AU39" s="137"/>
      <c r="AV39" s="137" t="str">
        <f>'Q100a-geral'!AV83</f>
        <v>x</v>
      </c>
      <c r="AW39" s="137"/>
      <c r="AX39" s="137"/>
      <c r="AY39" s="137"/>
      <c r="AZ39" s="137"/>
      <c r="BA39" s="137" t="str">
        <f>'Q100a-geral'!BA83</f>
        <v>x</v>
      </c>
      <c r="BB39" s="239" t="str">
        <f>'Q100a-geral'!BB83</f>
        <v>Sistema de transporte coletivo com um todoacessibilidade</v>
      </c>
      <c r="BC39" s="239" t="str">
        <f>'Q100a-geral'!BC83</f>
        <v>Sistema de transporte coletivo com um todoacessibilidadesigla/verbete</v>
      </c>
      <c r="BD39" s="239" t="str">
        <f>'Q100a-geral'!BD83</f>
        <v>Sistema de transporte coletivo com um todosigla/verbete</v>
      </c>
    </row>
    <row r="40" spans="1:56" ht="89.25" x14ac:dyDescent="0.25">
      <c r="A40" s="262" t="str">
        <f>'Q100a-geral'!A84</f>
        <v>8.10</v>
      </c>
      <c r="B40" s="252" t="str">
        <f>'Q100a-geral'!B84</f>
        <v>Sistema de transporte coletivo com um todo</v>
      </c>
      <c r="C40" s="229" t="str">
        <f>'Q100a-geral'!C84</f>
        <v>acessibilidade</v>
      </c>
      <c r="D40" s="35" t="str">
        <f>'Q100a-geral'!D84</f>
        <v>acessibilidade em ônibus urbano (peso 5 da escala)</v>
      </c>
      <c r="E40" s="53" t="str">
        <f>'Q100a-geral'!E84</f>
        <v>x</v>
      </c>
      <c r="F40" s="53" t="str">
        <f>'Q100a-geral'!F84</f>
        <v>veículos com operação diferente em cada um dos lados: do lado esquerdo operação em corredor de BRT com plataforma elevada e embarque/desembarque em nível com o apoio de plataforma manual em uma das portas; do lado direito operação em vias comuns fora do corredor de BRT, equipados com elevador hidráulico em uma das portas que permite embarque/desembarque não exclusivo de usuários cadeirantes (pessoas em pé podem utilizar o equipamento caso se sintam seguras e o operador permita)
obs.: para informações e resultados de municípios/regiões já incorporados ao SisMob-BH acesse "F tc BRTmisto eh ecp" (Belo Horizonte)</v>
      </c>
      <c r="G40" s="230" t="str">
        <f>'Q100a-geral'!G84</f>
        <v>verbete
MFO</v>
      </c>
      <c r="H40" s="167" t="str">
        <f>'Q100a-geral'!H84</f>
        <v>sigla/verbete</v>
      </c>
      <c r="I40" s="167" t="str">
        <f>'Q100a-geral'!I84</f>
        <v>x</v>
      </c>
      <c r="J40" s="109" t="str">
        <f>'Q100a-geral'!J84</f>
        <v>x</v>
      </c>
      <c r="K40" s="109" t="str">
        <f>'Q100a-geral'!K84</f>
        <v>x</v>
      </c>
      <c r="L40" s="109" t="str">
        <f>'Q100a-geral'!L84</f>
        <v>x</v>
      </c>
      <c r="M40" s="478">
        <v>5</v>
      </c>
      <c r="N40" s="478">
        <v>5</v>
      </c>
      <c r="O40" s="478">
        <v>5</v>
      </c>
      <c r="P40" s="478">
        <v>5</v>
      </c>
      <c r="Q40" s="478">
        <v>5</v>
      </c>
      <c r="R40" s="478">
        <v>5</v>
      </c>
      <c r="S40" s="109" t="str">
        <f>'Q100a-geral'!S84</f>
        <v>só para pesquisa</v>
      </c>
      <c r="T40" s="478">
        <v>5</v>
      </c>
      <c r="U40" s="478">
        <v>5</v>
      </c>
      <c r="V40" s="109" t="str">
        <f>'Q100a-geral'!V84</f>
        <v>só para pesquisa</v>
      </c>
      <c r="W40" s="478">
        <v>5</v>
      </c>
      <c r="X40" s="478">
        <v>5</v>
      </c>
      <c r="Y40" s="478">
        <v>5</v>
      </c>
      <c r="Z40" s="478">
        <v>5</v>
      </c>
      <c r="AA40" s="478">
        <v>5</v>
      </c>
      <c r="AB40" s="478">
        <v>5</v>
      </c>
      <c r="AC40" s="478">
        <v>5</v>
      </c>
      <c r="AD40" s="478">
        <v>5</v>
      </c>
      <c r="AE40" s="478">
        <v>5</v>
      </c>
      <c r="AF40" s="478">
        <v>5</v>
      </c>
      <c r="AG40" s="478">
        <v>5</v>
      </c>
      <c r="AH40" s="478">
        <v>5</v>
      </c>
      <c r="AI40" s="478">
        <v>5</v>
      </c>
      <c r="AJ40" s="478">
        <v>5</v>
      </c>
      <c r="AK40" s="478">
        <v>5</v>
      </c>
      <c r="AL40" s="601" t="str">
        <f>'Q100a-geral'!AL84</f>
        <v>x</v>
      </c>
      <c r="AM40" s="137" t="str">
        <f>'Q100a-geral'!AM84</f>
        <v>x</v>
      </c>
      <c r="AN40" s="137" t="str">
        <f>'Q100a-geral'!AN84</f>
        <v>x</v>
      </c>
      <c r="AO40" s="137" t="str">
        <f>'Q100a-geral'!AO84</f>
        <v>x</v>
      </c>
      <c r="AP40" s="137" t="str">
        <f>'Q100a-geral'!AP84</f>
        <v>x</v>
      </c>
      <c r="AQ40" s="137" t="str">
        <f>'Q100a-geral'!AQ84</f>
        <v>x</v>
      </c>
      <c r="AR40" s="137"/>
      <c r="AS40" s="137"/>
      <c r="AT40" s="137"/>
      <c r="AU40" s="137"/>
      <c r="AV40" s="137" t="str">
        <f>'Q100a-geral'!AV84</f>
        <v>x</v>
      </c>
      <c r="AW40" s="137"/>
      <c r="AX40" s="137"/>
      <c r="AY40" s="137"/>
      <c r="AZ40" s="137"/>
      <c r="BA40" s="137" t="str">
        <f>'Q100a-geral'!BA84</f>
        <v>x</v>
      </c>
      <c r="BB40" s="239" t="str">
        <f>'Q100a-geral'!BB84</f>
        <v>Sistema de transporte coletivo com um todoacessibilidade</v>
      </c>
      <c r="BC40" s="239" t="str">
        <f>'Q100a-geral'!BC84</f>
        <v>Sistema de transporte coletivo com um todoacessibilidadesigla/verbete</v>
      </c>
      <c r="BD40" s="239" t="str">
        <f>'Q100a-geral'!BD84</f>
        <v>Sistema de transporte coletivo com um todosigla/verbete</v>
      </c>
    </row>
    <row r="41" spans="1:56" ht="89.25" x14ac:dyDescent="0.25">
      <c r="A41" s="262" t="str">
        <f>'Q100a-geral'!A85</f>
        <v>8.10</v>
      </c>
      <c r="B41" s="252" t="str">
        <f>'Q100a-geral'!B85</f>
        <v>Sistema de transporte coletivo com um todo</v>
      </c>
      <c r="C41" s="229" t="str">
        <f>'Q100a-geral'!C85</f>
        <v>acessibilidade</v>
      </c>
      <c r="D41" s="35" t="str">
        <f>'Q100a-geral'!D85</f>
        <v>acessibilidade em ônibus urbano (peso 6 da escala)</v>
      </c>
      <c r="E41" s="53" t="str">
        <f>'Q100a-geral'!E85</f>
        <v>x</v>
      </c>
      <c r="F41" s="53" t="str">
        <f>'Q100a-geral'!F85</f>
        <v>veículos de piso alto operando com embarque/desembarque apenas em plataformas elevadas (BRT, por exemplo) ou veículos de piso baixo dianteiro, traseiro ou central, em ambos os caso sem rampa veicular (com embarque/desembarque podendo acontecer em nível em todas as portas ou em parte das portas, embora sem o apoio de uma rampa e dependente no motorista estacionar rente à plataforma ou rente à plataforma, sempre sem garantia de fronteira máxima conforme normas brasileiras vigentes
obs.: para informações e resultados de municípios/regiões já incorporados ao SisMob-BH acesse "F tc en s/rampa" (Belo Horizonte) e para informações não quantitativas acesse Cidade da Guatemala)</v>
      </c>
      <c r="G41" s="230" t="str">
        <f>'Q100a-geral'!G85</f>
        <v>verbete
MFO</v>
      </c>
      <c r="H41" s="167" t="str">
        <f>'Q100a-geral'!H85</f>
        <v>sigla/verbete</v>
      </c>
      <c r="I41" s="167" t="str">
        <f>'Q100a-geral'!I85</f>
        <v>x</v>
      </c>
      <c r="J41" s="109" t="str">
        <f>'Q100a-geral'!J85</f>
        <v>x</v>
      </c>
      <c r="K41" s="109" t="str">
        <f>'Q100a-geral'!K85</f>
        <v>x</v>
      </c>
      <c r="L41" s="109" t="str">
        <f>'Q100a-geral'!L85</f>
        <v>x</v>
      </c>
      <c r="M41" s="478">
        <v>6</v>
      </c>
      <c r="N41" s="478">
        <v>6</v>
      </c>
      <c r="O41" s="478">
        <v>6</v>
      </c>
      <c r="P41" s="478">
        <v>6</v>
      </c>
      <c r="Q41" s="478">
        <v>6</v>
      </c>
      <c r="R41" s="478">
        <v>6</v>
      </c>
      <c r="S41" s="109" t="str">
        <f>'Q100a-geral'!S85</f>
        <v>só para pesquisa</v>
      </c>
      <c r="T41" s="478">
        <v>6</v>
      </c>
      <c r="U41" s="478">
        <v>6</v>
      </c>
      <c r="V41" s="109" t="str">
        <f>'Q100a-geral'!V85</f>
        <v>só para pesquisa</v>
      </c>
      <c r="W41" s="478">
        <v>6</v>
      </c>
      <c r="X41" s="478">
        <v>6</v>
      </c>
      <c r="Y41" s="478">
        <v>6</v>
      </c>
      <c r="Z41" s="478">
        <v>6</v>
      </c>
      <c r="AA41" s="478">
        <v>6</v>
      </c>
      <c r="AB41" s="478">
        <v>6</v>
      </c>
      <c r="AC41" s="478">
        <v>6</v>
      </c>
      <c r="AD41" s="478">
        <v>6</v>
      </c>
      <c r="AE41" s="478">
        <v>6</v>
      </c>
      <c r="AF41" s="478">
        <v>6</v>
      </c>
      <c r="AG41" s="478">
        <v>6</v>
      </c>
      <c r="AH41" s="478">
        <v>6</v>
      </c>
      <c r="AI41" s="478">
        <v>6</v>
      </c>
      <c r="AJ41" s="478">
        <v>6</v>
      </c>
      <c r="AK41" s="478">
        <v>6</v>
      </c>
      <c r="AL41" s="601" t="str">
        <f>'Q100a-geral'!AL85</f>
        <v>x</v>
      </c>
      <c r="AM41" s="478">
        <v>6</v>
      </c>
      <c r="AN41" s="137" t="str">
        <f>'Q100a-geral'!AN85</f>
        <v>x</v>
      </c>
      <c r="AO41" s="137" t="str">
        <f>'Q100a-geral'!AO85</f>
        <v>x</v>
      </c>
      <c r="AP41" s="137" t="str">
        <f>'Q100a-geral'!AP85</f>
        <v>x</v>
      </c>
      <c r="AQ41" s="137" t="str">
        <f>'Q100a-geral'!AQ85</f>
        <v>x</v>
      </c>
      <c r="AR41" s="137"/>
      <c r="AS41" s="137"/>
      <c r="AT41" s="137"/>
      <c r="AU41" s="137"/>
      <c r="AV41" s="137" t="str">
        <f>'Q100a-geral'!AV85</f>
        <v>x</v>
      </c>
      <c r="AW41" s="137"/>
      <c r="AX41" s="137"/>
      <c r="AY41" s="137"/>
      <c r="AZ41" s="137"/>
      <c r="BA41" s="137" t="str">
        <f>'Q100a-geral'!BA85</f>
        <v>x</v>
      </c>
      <c r="BB41" s="239" t="str">
        <f>'Q100a-geral'!BB85</f>
        <v>Sistema de transporte coletivo com um todoacessibilidade</v>
      </c>
      <c r="BC41" s="239" t="str">
        <f>'Q100a-geral'!BC85</f>
        <v>Sistema de transporte coletivo com um todoacessibilidadesigla/verbete</v>
      </c>
      <c r="BD41" s="239" t="str">
        <f>'Q100a-geral'!BD85</f>
        <v>Sistema de transporte coletivo com um todosigla/verbete</v>
      </c>
    </row>
    <row r="42" spans="1:56" ht="63.75" x14ac:dyDescent="0.25">
      <c r="A42" s="262" t="str">
        <f>'Q100a-geral'!A86</f>
        <v>8.10</v>
      </c>
      <c r="B42" s="252" t="str">
        <f>'Q100a-geral'!B86</f>
        <v>Sistema de transporte coletivo com um todo</v>
      </c>
      <c r="C42" s="229" t="str">
        <f>'Q100a-geral'!C86</f>
        <v>acessibilidade</v>
      </c>
      <c r="D42" s="35" t="str">
        <f>'Q100a-geral'!D86</f>
        <v>acessibilidade em ônibus urbano (peso 7 da escala)</v>
      </c>
      <c r="E42" s="53" t="str">
        <f>'Q100a-geral'!E86</f>
        <v>x</v>
      </c>
      <c r="F42" s="53" t="str">
        <f>'Q100a-geral'!F86</f>
        <v>veículos de piso baixo total sem rampa veicular (com embarque/desembarque podendo acontecer sempre em nível e em qualquer porta, mas sem o apoio de uma rampa e dependente no motorista estacionar rente ao meio fio)
obs.: o SisMob-BH informou (errado) em 2016 que ônibus de Barcelona, Parma e Metz faziam parte desta categoria</v>
      </c>
      <c r="G42" s="230" t="str">
        <f>'Q100a-geral'!G86</f>
        <v>verbete
MFO</v>
      </c>
      <c r="H42" s="167" t="str">
        <f>'Q100a-geral'!H86</f>
        <v>sigla/verbete</v>
      </c>
      <c r="I42" s="167" t="str">
        <f>'Q100a-geral'!I86</f>
        <v>x</v>
      </c>
      <c r="J42" s="109" t="str">
        <f>'Q100a-geral'!J86</f>
        <v>x</v>
      </c>
      <c r="K42" s="109" t="str">
        <f>'Q100a-geral'!K86</f>
        <v>x</v>
      </c>
      <c r="L42" s="109" t="str">
        <f>'Q100a-geral'!L86</f>
        <v>x</v>
      </c>
      <c r="M42" s="478">
        <v>7</v>
      </c>
      <c r="N42" s="478">
        <v>7</v>
      </c>
      <c r="O42" s="478">
        <v>7</v>
      </c>
      <c r="P42" s="478">
        <v>7</v>
      </c>
      <c r="Q42" s="478">
        <v>7</v>
      </c>
      <c r="R42" s="478">
        <v>7</v>
      </c>
      <c r="S42" s="109" t="str">
        <f>'Q100a-geral'!S86</f>
        <v>só para pesquisa</v>
      </c>
      <c r="T42" s="478">
        <v>7</v>
      </c>
      <c r="U42" s="478">
        <v>7</v>
      </c>
      <c r="V42" s="109" t="str">
        <f>'Q100a-geral'!V86</f>
        <v>só para pesquisa</v>
      </c>
      <c r="W42" s="478">
        <v>7</v>
      </c>
      <c r="X42" s="478">
        <v>7</v>
      </c>
      <c r="Y42" s="478">
        <v>7</v>
      </c>
      <c r="Z42" s="478">
        <v>7</v>
      </c>
      <c r="AA42" s="478">
        <v>7</v>
      </c>
      <c r="AB42" s="478">
        <v>7</v>
      </c>
      <c r="AC42" s="478">
        <v>7</v>
      </c>
      <c r="AD42" s="478">
        <v>7</v>
      </c>
      <c r="AE42" s="478">
        <v>7</v>
      </c>
      <c r="AF42" s="478">
        <v>7</v>
      </c>
      <c r="AG42" s="478">
        <v>7</v>
      </c>
      <c r="AH42" s="478">
        <v>7</v>
      </c>
      <c r="AI42" s="478">
        <v>7</v>
      </c>
      <c r="AJ42" s="478">
        <v>7</v>
      </c>
      <c r="AK42" s="478">
        <v>7</v>
      </c>
      <c r="AL42" s="601" t="str">
        <f>'Q100a-geral'!AL86</f>
        <v>x</v>
      </c>
      <c r="AM42" s="137" t="str">
        <f>'Q100a-geral'!AM86</f>
        <v>x</v>
      </c>
      <c r="AN42" s="137" t="str">
        <f>'Q100a-geral'!AN86</f>
        <v>x</v>
      </c>
      <c r="AO42" s="137" t="str">
        <f>'Q100a-geral'!AO86</f>
        <v>x</v>
      </c>
      <c r="AP42" s="137" t="str">
        <f>'Q100a-geral'!AP86</f>
        <v>x</v>
      </c>
      <c r="AQ42" s="137" t="str">
        <f>'Q100a-geral'!AQ86</f>
        <v>x</v>
      </c>
      <c r="AR42" s="137"/>
      <c r="AS42" s="137"/>
      <c r="AT42" s="137"/>
      <c r="AU42" s="137"/>
      <c r="AV42" s="137" t="str">
        <f>'Q100a-geral'!AV86</f>
        <v>x</v>
      </c>
      <c r="AW42" s="137"/>
      <c r="AX42" s="137"/>
      <c r="AY42" s="137"/>
      <c r="AZ42" s="137"/>
      <c r="BA42" s="137" t="str">
        <f>'Q100a-geral'!BA86</f>
        <v>x</v>
      </c>
      <c r="BB42" s="239" t="str">
        <f>'Q100a-geral'!BB86</f>
        <v>Sistema de transporte coletivo com um todoacessibilidade</v>
      </c>
      <c r="BC42" s="239" t="str">
        <f>'Q100a-geral'!BC86</f>
        <v>Sistema de transporte coletivo com um todoacessibilidadesigla/verbete</v>
      </c>
      <c r="BD42" s="239" t="str">
        <f>'Q100a-geral'!BD86</f>
        <v>Sistema de transporte coletivo com um todosigla/verbete</v>
      </c>
    </row>
    <row r="43" spans="1:56" ht="76.5" x14ac:dyDescent="0.25">
      <c r="A43" s="262" t="str">
        <f>'Q100a-geral'!A87</f>
        <v>8.10</v>
      </c>
      <c r="B43" s="252" t="str">
        <f>'Q100a-geral'!B87</f>
        <v>Sistema de transporte coletivo com um todo</v>
      </c>
      <c r="C43" s="229" t="str">
        <f>'Q100a-geral'!C87</f>
        <v>acessibilidade</v>
      </c>
      <c r="D43" s="35" t="str">
        <f>'Q100a-geral'!D87</f>
        <v>acessibilidade em ônibus urbano (peso 8 da escala)</v>
      </c>
      <c r="E43" s="53" t="str">
        <f>'Q100a-geral'!E87</f>
        <v>x</v>
      </c>
      <c r="F43" s="53" t="str">
        <f>'Q100a-geral'!F87</f>
        <v>veículos de piso baixo (dianteiro, traseiro, central ou total) ou piso alto com rampa veicular não automática em pelo menos uma das portas (com embarque/desembarque sempre em nível, mas dependente da abertura manual da rampa)
obs.: para informações e resultados de municípios/regiões já incorporados ao SisMob-BH acesse "F tc en c/rampa manual" (Belo Horizonte, Curitiba, Joinville, RMBH metropolitano, São Paulo) e para informações não quantitativas acesse RM Curitiba e Salzburgo</v>
      </c>
      <c r="G43" s="230" t="str">
        <f>'Q100a-geral'!G87</f>
        <v>verbete
MFO</v>
      </c>
      <c r="H43" s="167" t="str">
        <f>'Q100a-geral'!H87</f>
        <v>sigla/verbete</v>
      </c>
      <c r="I43" s="167" t="str">
        <f>'Q100a-geral'!I87</f>
        <v>x</v>
      </c>
      <c r="J43" s="109" t="str">
        <f>'Q100a-geral'!J87</f>
        <v>x</v>
      </c>
      <c r="K43" s="109" t="str">
        <f>'Q100a-geral'!K87</f>
        <v>x</v>
      </c>
      <c r="L43" s="109" t="str">
        <f>'Q100a-geral'!L87</f>
        <v>x</v>
      </c>
      <c r="M43" s="478">
        <v>8</v>
      </c>
      <c r="N43" s="478">
        <v>8</v>
      </c>
      <c r="O43" s="478">
        <v>8</v>
      </c>
      <c r="P43" s="478">
        <v>8</v>
      </c>
      <c r="Q43" s="478">
        <v>8</v>
      </c>
      <c r="R43" s="478">
        <v>8</v>
      </c>
      <c r="S43" s="109" t="str">
        <f>'Q100a-geral'!S87</f>
        <v>só para pesquisa</v>
      </c>
      <c r="T43" s="478">
        <v>8</v>
      </c>
      <c r="U43" s="478">
        <v>8</v>
      </c>
      <c r="V43" s="109" t="str">
        <f>'Q100a-geral'!V87</f>
        <v>só para pesquisa</v>
      </c>
      <c r="W43" s="478">
        <v>8</v>
      </c>
      <c r="X43" s="478">
        <v>8</v>
      </c>
      <c r="Y43" s="478">
        <v>8</v>
      </c>
      <c r="Z43" s="478">
        <v>8</v>
      </c>
      <c r="AA43" s="478">
        <v>8</v>
      </c>
      <c r="AB43" s="478">
        <v>8</v>
      </c>
      <c r="AC43" s="478">
        <v>8</v>
      </c>
      <c r="AD43" s="478">
        <v>8</v>
      </c>
      <c r="AE43" s="478">
        <v>8</v>
      </c>
      <c r="AF43" s="478">
        <v>8</v>
      </c>
      <c r="AG43" s="478">
        <v>8</v>
      </c>
      <c r="AH43" s="478">
        <v>8</v>
      </c>
      <c r="AI43" s="478">
        <v>8</v>
      </c>
      <c r="AJ43" s="478">
        <v>8</v>
      </c>
      <c r="AK43" s="478">
        <v>8</v>
      </c>
      <c r="AL43" s="601" t="str">
        <f>'Q100a-geral'!AL87</f>
        <v>x</v>
      </c>
      <c r="AM43" s="137" t="str">
        <f>'Q100a-geral'!AM87</f>
        <v>x</v>
      </c>
      <c r="AN43" s="137" t="str">
        <f>'Q100a-geral'!AN87</f>
        <v>x</v>
      </c>
      <c r="AO43" s="137" t="str">
        <f>'Q100a-geral'!AO87</f>
        <v>x</v>
      </c>
      <c r="AP43" s="137" t="str">
        <f>'Q100a-geral'!AP87</f>
        <v>x</v>
      </c>
      <c r="AQ43" s="137" t="str">
        <f>'Q100a-geral'!AQ87</f>
        <v>x</v>
      </c>
      <c r="AR43" s="137"/>
      <c r="AS43" s="137"/>
      <c r="AT43" s="137"/>
      <c r="AU43" s="137"/>
      <c r="AV43" s="137" t="str">
        <f>'Q100a-geral'!AV87</f>
        <v>x</v>
      </c>
      <c r="AW43" s="137"/>
      <c r="AX43" s="137"/>
      <c r="AY43" s="137"/>
      <c r="AZ43" s="137"/>
      <c r="BA43" s="137" t="str">
        <f>'Q100a-geral'!BA87</f>
        <v>x</v>
      </c>
      <c r="BB43" s="239" t="str">
        <f>'Q100a-geral'!BB87</f>
        <v>Sistema de transporte coletivo com um todoacessibilidade</v>
      </c>
      <c r="BC43" s="239" t="str">
        <f>'Q100a-geral'!BC87</f>
        <v>Sistema de transporte coletivo com um todoacessibilidadesigla/verbete</v>
      </c>
      <c r="BD43" s="239" t="str">
        <f>'Q100a-geral'!BD87</f>
        <v>Sistema de transporte coletivo com um todosigla/verbete</v>
      </c>
    </row>
    <row r="44" spans="1:56" ht="89.25" x14ac:dyDescent="0.25">
      <c r="A44" s="262" t="str">
        <f>'Q100a-geral'!A88</f>
        <v>8.10</v>
      </c>
      <c r="B44" s="252" t="str">
        <f>'Q100a-geral'!B88</f>
        <v>Sistema de transporte coletivo com um todo</v>
      </c>
      <c r="C44" s="229" t="str">
        <f>'Q100a-geral'!C88</f>
        <v>acessibilidade</v>
      </c>
      <c r="D44" s="35" t="str">
        <f>'Q100a-geral'!D88</f>
        <v>acessibilidade em ônibus urbano (peso 9 da escala)</v>
      </c>
      <c r="E44" s="53" t="str">
        <f>'Q100a-geral'!E88</f>
        <v>x</v>
      </c>
      <c r="F44" s="53" t="str">
        <f>'Q100a-geral'!F88</f>
        <v>veículos de piso baixo (dianteiro, traseiro, central ou total) ou piso alto com rampa veicular automática em parte das portas (com embarque/desembarque sempre em nível e autonomia garantida desde que se utilize a porta certa)
obs.1: para informações não quantitativas de municípios/regiões já incorporados ao SisMob-BH acesse "F tc en c/uma rampa aut." (Nova York, Winnipeg)
obs.2: para informações não quantitativas de municípios/regiões já incorporados ao SisMob-BH acesse "F tc en c/uma rampa aut." (Barcelona, Parma, Metz)</v>
      </c>
      <c r="G44" s="230" t="str">
        <f>'Q100a-geral'!G88</f>
        <v>verbete
MFO</v>
      </c>
      <c r="H44" s="167" t="str">
        <f>'Q100a-geral'!H88</f>
        <v>sigla/verbete</v>
      </c>
      <c r="I44" s="167" t="str">
        <f>'Q100a-geral'!I88</f>
        <v>x</v>
      </c>
      <c r="J44" s="109" t="str">
        <f>'Q100a-geral'!J88</f>
        <v>x</v>
      </c>
      <c r="K44" s="109" t="str">
        <f>'Q100a-geral'!K88</f>
        <v>x</v>
      </c>
      <c r="L44" s="109" t="str">
        <f>'Q100a-geral'!L88</f>
        <v>x</v>
      </c>
      <c r="M44" s="478">
        <v>9</v>
      </c>
      <c r="N44" s="478">
        <v>9</v>
      </c>
      <c r="O44" s="478">
        <v>9</v>
      </c>
      <c r="P44" s="478">
        <v>9</v>
      </c>
      <c r="Q44" s="478">
        <v>9</v>
      </c>
      <c r="R44" s="478">
        <v>9</v>
      </c>
      <c r="S44" s="109" t="str">
        <f>'Q100a-geral'!S88</f>
        <v>só para pesquisa</v>
      </c>
      <c r="T44" s="478">
        <v>9</v>
      </c>
      <c r="U44" s="478">
        <v>9</v>
      </c>
      <c r="V44" s="109" t="str">
        <f>'Q100a-geral'!V88</f>
        <v>só para pesquisa</v>
      </c>
      <c r="W44" s="478">
        <v>9</v>
      </c>
      <c r="X44" s="478">
        <v>9</v>
      </c>
      <c r="Y44" s="478">
        <v>9</v>
      </c>
      <c r="Z44" s="478">
        <v>9</v>
      </c>
      <c r="AA44" s="478">
        <v>9</v>
      </c>
      <c r="AB44" s="478">
        <v>9</v>
      </c>
      <c r="AC44" s="478">
        <v>9</v>
      </c>
      <c r="AD44" s="478">
        <v>9</v>
      </c>
      <c r="AE44" s="478">
        <v>9</v>
      </c>
      <c r="AF44" s="478">
        <v>9</v>
      </c>
      <c r="AG44" s="478">
        <v>9</v>
      </c>
      <c r="AH44" s="478">
        <v>9</v>
      </c>
      <c r="AI44" s="478">
        <v>9</v>
      </c>
      <c r="AJ44" s="478">
        <v>9</v>
      </c>
      <c r="AK44" s="478">
        <v>9</v>
      </c>
      <c r="AL44" s="601" t="str">
        <f>'Q100a-geral'!AL88</f>
        <v>x</v>
      </c>
      <c r="AM44" s="137" t="str">
        <f>'Q100a-geral'!AM88</f>
        <v>x</v>
      </c>
      <c r="AN44" s="137" t="str">
        <f>'Q100a-geral'!AN88</f>
        <v>x</v>
      </c>
      <c r="AO44" s="137" t="str">
        <f>'Q100a-geral'!AO88</f>
        <v>x</v>
      </c>
      <c r="AP44" s="137" t="str">
        <f>'Q100a-geral'!AP88</f>
        <v>x</v>
      </c>
      <c r="AQ44" s="137" t="str">
        <f>'Q100a-geral'!AQ88</f>
        <v>x</v>
      </c>
      <c r="AR44" s="137"/>
      <c r="AS44" s="137"/>
      <c r="AT44" s="137"/>
      <c r="AU44" s="137"/>
      <c r="AV44" s="137" t="str">
        <f>'Q100a-geral'!AV88</f>
        <v>x</v>
      </c>
      <c r="AW44" s="137"/>
      <c r="AX44" s="137"/>
      <c r="AY44" s="137"/>
      <c r="AZ44" s="137"/>
      <c r="BA44" s="137" t="str">
        <f>'Q100a-geral'!BA88</f>
        <v>x</v>
      </c>
      <c r="BB44" s="239" t="str">
        <f>'Q100a-geral'!BB88</f>
        <v>Sistema de transporte coletivo com um todoacessibilidade</v>
      </c>
      <c r="BC44" s="239" t="str">
        <f>'Q100a-geral'!BC88</f>
        <v>Sistema de transporte coletivo com um todoacessibilidadesigla/verbete</v>
      </c>
      <c r="BD44" s="239" t="str">
        <f>'Q100a-geral'!BD88</f>
        <v>Sistema de transporte coletivo com um todosigla/verbete</v>
      </c>
    </row>
    <row r="45" spans="1:56" ht="102" x14ac:dyDescent="0.25">
      <c r="A45" s="262" t="str">
        <f>'Q100a-geral'!A89</f>
        <v>8.10</v>
      </c>
      <c r="B45" s="252" t="str">
        <f>'Q100a-geral'!B89</f>
        <v>Sistema de transporte coletivo com um todo</v>
      </c>
      <c r="C45" s="229" t="str">
        <f>'Q100a-geral'!C89</f>
        <v>acessibilidade</v>
      </c>
      <c r="D45" s="35" t="str">
        <f>'Q100a-geral'!D89</f>
        <v>acessibilidade em ônibus urbano (peso 10 da escala)</v>
      </c>
      <c r="E45" s="53" t="str">
        <f>'Q100a-geral'!E89</f>
        <v>x</v>
      </c>
      <c r="F45" s="53" t="str">
        <f>'Q100a-geral'!F89</f>
        <v>veículos com desenho universal no embarque/desembarque, ou seja, veículos de piso baixo ou piso alto com embarque exclusivo em nível com fronteira máxima conforme normas brasileiras vigentes ou com rampa veicular automática em todas as portas, ou seja, com embarque/desembarque sempre em nível e autonomia garantida em todas as portas proporcionando acessibilidade universal
obs.1: para informações e resultados de municípios/regiões já incorporados ao SisMob-BH acesse "F tc enu" (Curitiba e Quito)
obs.2: é preciso confirmar se Guayaquil também está nesta categoria como parece pela fotografia em WRIGHT(2008,p.281)</v>
      </c>
      <c r="G45" s="230" t="str">
        <f>'Q100a-geral'!G89</f>
        <v>verbete
MFO</v>
      </c>
      <c r="H45" s="167" t="str">
        <f>'Q100a-geral'!H89</f>
        <v>sigla/verbete</v>
      </c>
      <c r="I45" s="167" t="str">
        <f>'Q100a-geral'!I89</f>
        <v>x</v>
      </c>
      <c r="J45" s="109" t="str">
        <f>'Q100a-geral'!J89</f>
        <v>x</v>
      </c>
      <c r="K45" s="109" t="str">
        <f>'Q100a-geral'!K89</f>
        <v>x</v>
      </c>
      <c r="L45" s="109" t="str">
        <f>'Q100a-geral'!L89</f>
        <v>x</v>
      </c>
      <c r="M45" s="478">
        <v>10</v>
      </c>
      <c r="N45" s="478">
        <v>10</v>
      </c>
      <c r="O45" s="478">
        <v>10</v>
      </c>
      <c r="P45" s="478">
        <v>10</v>
      </c>
      <c r="Q45" s="478">
        <v>10</v>
      </c>
      <c r="R45" s="478">
        <v>10</v>
      </c>
      <c r="S45" s="109" t="str">
        <f>'Q100a-geral'!S89</f>
        <v>só para pesquisa</v>
      </c>
      <c r="T45" s="478">
        <v>10</v>
      </c>
      <c r="U45" s="478">
        <v>10</v>
      </c>
      <c r="V45" s="109" t="str">
        <f>'Q100a-geral'!V89</f>
        <v>só para pesquisa</v>
      </c>
      <c r="W45" s="478">
        <v>10</v>
      </c>
      <c r="X45" s="478">
        <v>10</v>
      </c>
      <c r="Y45" s="478">
        <v>10</v>
      </c>
      <c r="Z45" s="478">
        <v>10</v>
      </c>
      <c r="AA45" s="478">
        <v>10</v>
      </c>
      <c r="AB45" s="478">
        <v>10</v>
      </c>
      <c r="AC45" s="478">
        <v>10</v>
      </c>
      <c r="AD45" s="478">
        <v>10</v>
      </c>
      <c r="AE45" s="478">
        <v>10</v>
      </c>
      <c r="AF45" s="478">
        <v>10</v>
      </c>
      <c r="AG45" s="478">
        <v>10</v>
      </c>
      <c r="AH45" s="478">
        <v>10</v>
      </c>
      <c r="AI45" s="478">
        <v>10</v>
      </c>
      <c r="AJ45" s="478">
        <v>10</v>
      </c>
      <c r="AK45" s="478">
        <v>10</v>
      </c>
      <c r="AL45" s="601" t="str">
        <f>'Q100a-geral'!AL89</f>
        <v>x</v>
      </c>
      <c r="AM45" s="478">
        <v>10</v>
      </c>
      <c r="AN45" s="137" t="str">
        <f>'Q100a-geral'!AN89</f>
        <v>x</v>
      </c>
      <c r="AO45" s="137" t="str">
        <f>'Q100a-geral'!AO89</f>
        <v>x</v>
      </c>
      <c r="AP45" s="137" t="str">
        <f>'Q100a-geral'!AP89</f>
        <v>x</v>
      </c>
      <c r="AQ45" s="137" t="str">
        <f>'Q100a-geral'!AQ89</f>
        <v>x</v>
      </c>
      <c r="AR45" s="137"/>
      <c r="AS45" s="137"/>
      <c r="AT45" s="137"/>
      <c r="AU45" s="137"/>
      <c r="AV45" s="137" t="str">
        <f>'Q100a-geral'!AV89</f>
        <v>x</v>
      </c>
      <c r="AW45" s="137"/>
      <c r="AX45" s="137"/>
      <c r="AY45" s="137"/>
      <c r="AZ45" s="137"/>
      <c r="BA45" s="137" t="str">
        <f>'Q100a-geral'!BA89</f>
        <v>x</v>
      </c>
      <c r="BB45" s="239" t="str">
        <f>'Q100a-geral'!BB89</f>
        <v>Sistema de transporte coletivo com um todoacessibilidade</v>
      </c>
      <c r="BC45" s="239" t="str">
        <f>'Q100a-geral'!BC89</f>
        <v>Sistema de transporte coletivo com um todoacessibilidadesigla/verbete</v>
      </c>
      <c r="BD45" s="239" t="str">
        <f>'Q100a-geral'!BD89</f>
        <v>Sistema de transporte coletivo com um todosigla/verbete</v>
      </c>
    </row>
    <row r="46" spans="1:56" s="3" customFormat="1" ht="38.25" customHeight="1" x14ac:dyDescent="0.25">
      <c r="A46" s="275" t="str">
        <f>'Q100a-geral'!A12</f>
        <v>2.4</v>
      </c>
      <c r="B46" s="54" t="str">
        <f>'Q100a-geral'!B12</f>
        <v>População</v>
      </c>
      <c r="C46" s="229" t="str">
        <f>'Q100a-geral'!C12</f>
        <v>x</v>
      </c>
      <c r="D46" s="760" t="str">
        <f>'Q100a-geral'!D12</f>
        <v>A EMP</v>
      </c>
      <c r="E46" s="11" t="str">
        <f>'Q100a-geral'!E12</f>
        <v>Belo Horizonte</v>
      </c>
      <c r="F46" s="445" t="str">
        <f>'Q100a-geral'!F12</f>
        <v>n.º de empregos nas zonas lindeiras a cada um dos corredores de transporte público (BHTRANS, 2011a, p.26)</v>
      </c>
      <c r="G46" s="54" t="str">
        <f>'Q100a-geral'!G12</f>
        <v>sem resultados na fonte</v>
      </c>
      <c r="H46" s="169" t="str">
        <f>'Q100a-geral'!H12</f>
        <v>ainda não incorporado ao SisMob-BH</v>
      </c>
      <c r="I46" s="167">
        <f>'Q100a-geral'!I12</f>
        <v>1</v>
      </c>
      <c r="J46" s="107" t="str">
        <f>'Q100a-geral'!J12</f>
        <v>x</v>
      </c>
      <c r="K46" s="107" t="str">
        <f>'Q100a-geral'!K12</f>
        <v>x</v>
      </c>
      <c r="L46" s="107" t="str">
        <f>'Q100a-geral'!L12</f>
        <v>x</v>
      </c>
      <c r="M46" s="107" t="str">
        <f>'Q100a-geral'!M12</f>
        <v>x</v>
      </c>
      <c r="N46" s="107" t="str">
        <f>'Q100a-geral'!N12</f>
        <v>x</v>
      </c>
      <c r="O46" s="107" t="str">
        <f>'Q100a-geral'!O12</f>
        <v>x</v>
      </c>
      <c r="P46" s="107" t="str">
        <f>'Q100a-geral'!P12</f>
        <v>x</v>
      </c>
      <c r="Q46" s="107" t="str">
        <f>'Q100a-geral'!Q12</f>
        <v>x</v>
      </c>
      <c r="R46" s="107" t="str">
        <f>'Q100a-geral'!R12</f>
        <v>x</v>
      </c>
      <c r="S46" s="107" t="str">
        <f>'Q100a-geral'!S12</f>
        <v>só para pesquisa</v>
      </c>
      <c r="T46" s="107" t="str">
        <f>'Q100a-geral'!T12</f>
        <v>x</v>
      </c>
      <c r="U46" s="107" t="str">
        <f>'Q100a-geral'!U12</f>
        <v>x</v>
      </c>
      <c r="V46" s="107" t="str">
        <f>'Q100a-geral'!V12</f>
        <v>só para pesquisa</v>
      </c>
      <c r="W46" s="107" t="str">
        <f>'Q100a-geral'!W12</f>
        <v>x</v>
      </c>
      <c r="X46" s="107" t="str">
        <f>'Q100a-geral'!X12</f>
        <v>x</v>
      </c>
      <c r="Y46" s="107" t="str">
        <f>'Q100a-geral'!Y12</f>
        <v>x</v>
      </c>
      <c r="Z46" s="107" t="str">
        <f>'Q100a-geral'!Z12</f>
        <v>x</v>
      </c>
      <c r="AA46" s="107" t="str">
        <f>'Q100a-geral'!AA12</f>
        <v>x</v>
      </c>
      <c r="AB46" s="107" t="str">
        <f>'Q100a-geral'!AB12</f>
        <v>x</v>
      </c>
      <c r="AC46" s="107" t="str">
        <f>'Q100a-geral'!AC12</f>
        <v>x</v>
      </c>
      <c r="AD46" s="107" t="str">
        <f>'Q100a-geral'!AD12</f>
        <v>x</v>
      </c>
      <c r="AE46" s="107" t="str">
        <f>'Q100a-geral'!AE12</f>
        <v>x</v>
      </c>
      <c r="AF46" s="107" t="str">
        <f>'Q100a-geral'!AF12</f>
        <v>x</v>
      </c>
      <c r="AG46" s="107" t="str">
        <f>'Q100a-geral'!AG12</f>
        <v>x</v>
      </c>
      <c r="AH46" s="107" t="str">
        <f>'Q100a-geral'!AH12</f>
        <v>x</v>
      </c>
      <c r="AI46" s="107" t="str">
        <f>'Q100a-geral'!AI12</f>
        <v>x</v>
      </c>
      <c r="AJ46" s="107" t="str">
        <f>'Q100a-geral'!AJ12</f>
        <v>x</v>
      </c>
      <c r="AK46" s="137" t="str">
        <f>'Q100a-geral'!AK12</f>
        <v>x</v>
      </c>
      <c r="AL46" s="173" t="str">
        <f>'Q100a-geral'!AL12</f>
        <v>x</v>
      </c>
      <c r="AM46" s="137" t="str">
        <f>'Q100a-geral'!AM12</f>
        <v>x</v>
      </c>
      <c r="AN46" s="137" t="str">
        <f>'Q100a-geral'!AN12</f>
        <v>x</v>
      </c>
      <c r="AO46" s="137" t="str">
        <f>'Q100a-geral'!AO12</f>
        <v>x</v>
      </c>
      <c r="AP46" s="137" t="str">
        <f>'Q100a-geral'!AP12</f>
        <v>x</v>
      </c>
      <c r="AQ46" s="137" t="str">
        <f>'Q100a-geral'!AQ12</f>
        <v>x</v>
      </c>
      <c r="AR46" s="137"/>
      <c r="AS46" s="137"/>
      <c r="AT46" s="137"/>
      <c r="AU46" s="137"/>
      <c r="AV46" s="137" t="str">
        <f>'Q100a-geral'!AV12</f>
        <v>x</v>
      </c>
      <c r="AW46" s="137"/>
      <c r="AX46" s="137"/>
      <c r="AY46" s="137"/>
      <c r="AZ46" s="137"/>
      <c r="BA46" s="137" t="str">
        <f>'Q100a-geral'!BA12</f>
        <v>x</v>
      </c>
      <c r="BB46" s="239" t="str">
        <f>'Q100a-geral'!BB12</f>
        <v>Populaçãox</v>
      </c>
      <c r="BC46" s="239" t="str">
        <f>'Q100a-geral'!BC12</f>
        <v>Populaçãoxainda não incorporado ao SisMob-BH</v>
      </c>
      <c r="BD46" s="239" t="str">
        <f>'Q100a-geral'!BD12</f>
        <v>Populaçãoainda não incorporado ao SisMob-BH</v>
      </c>
    </row>
    <row r="47" spans="1:56" s="3" customFormat="1" ht="63.75" customHeight="1" x14ac:dyDescent="0.25">
      <c r="A47" s="275" t="str">
        <f>'Q100a-geral'!A134</f>
        <v>1.1</v>
      </c>
      <c r="B47" s="252" t="str">
        <f>'Q100a-geral'!B134</f>
        <v>Ações educativas</v>
      </c>
      <c r="C47" s="229" t="str">
        <f>'Q100a-geral'!C134</f>
        <v>x</v>
      </c>
      <c r="D47" s="336" t="str">
        <f>'Q100a-geral'!D134</f>
        <v>AL</v>
      </c>
      <c r="E47" s="355" t="str">
        <f>'Q100a-geral'!E134</f>
        <v>Belo Horizonte</v>
      </c>
      <c r="F47" s="486" t="str">
        <f>'Q100a-geral'!F134</f>
        <v>número total de alunos atendidos em todos os programas de ações educativas de mobilidade urbana da BHTrans obs.: resultados de 2005-2013 conforme BHTRANS(2015h); de 2014-2015 conforme BHTRANS(2016y)</v>
      </c>
      <c r="G47" s="252" t="str">
        <f>'Q100a-geral'!G134</f>
        <v>∑ alunos atendidos em todos os programas de janeiro a dezembro de cada ano
registro da fonte</v>
      </c>
      <c r="H47" s="167" t="str">
        <f>'Q100a-geral'!H134</f>
        <v>x</v>
      </c>
      <c r="I47" s="167">
        <f>'Q100a-geral'!I134</f>
        <v>1</v>
      </c>
      <c r="J47" s="107" t="str">
        <f>'Q100a-geral'!J134</f>
        <v>x</v>
      </c>
      <c r="K47" s="93" t="str">
        <f>'Q100a-geral'!K134</f>
        <v>x</v>
      </c>
      <c r="L47" s="93" t="str">
        <f>'Q100a-geral'!L134</f>
        <v>x</v>
      </c>
      <c r="M47" s="93" t="str">
        <f>'Q100a-geral'!M134</f>
        <v>x</v>
      </c>
      <c r="N47" s="93" t="str">
        <f>'Q100a-geral'!N134</f>
        <v>x</v>
      </c>
      <c r="O47" s="93" t="str">
        <f>'Q100a-geral'!O134</f>
        <v>x</v>
      </c>
      <c r="P47" s="93" t="str">
        <f>'Q100a-geral'!P134</f>
        <v>x</v>
      </c>
      <c r="Q47" s="93" t="str">
        <f>'Q100a-geral'!Q134</f>
        <v>x</v>
      </c>
      <c r="R47" s="93" t="str">
        <f>'Q100a-geral'!R134</f>
        <v>x</v>
      </c>
      <c r="S47" s="107" t="str">
        <f>'Q100a-geral'!S134</f>
        <v>só para pesquisa</v>
      </c>
      <c r="T47" s="93" t="str">
        <f>'Q100a-geral'!T134</f>
        <v>x</v>
      </c>
      <c r="U47" s="93" t="str">
        <f>'Q100a-geral'!U134</f>
        <v>x</v>
      </c>
      <c r="V47" s="107" t="str">
        <f>'Q100a-geral'!V134</f>
        <v>só para pesquisa</v>
      </c>
      <c r="W47" s="93" t="str">
        <f>'Q100a-geral'!W134</f>
        <v>x</v>
      </c>
      <c r="X47" s="93" t="str">
        <f>'Q100a-geral'!X134</f>
        <v>x</v>
      </c>
      <c r="Y47" s="93" t="str">
        <f>'Q100a-geral'!Y134</f>
        <v>x</v>
      </c>
      <c r="Z47" s="93" t="str">
        <f>'Q100a-geral'!Z134</f>
        <v>x</v>
      </c>
      <c r="AA47" s="87">
        <f>'Q100a-geral'!AA134</f>
        <v>34158</v>
      </c>
      <c r="AB47" s="87">
        <f>'Q100a-geral'!AB134</f>
        <v>43961</v>
      </c>
      <c r="AC47" s="87">
        <f>'Q100a-geral'!AC134</f>
        <v>52009</v>
      </c>
      <c r="AD47" s="87">
        <f>'Q100a-geral'!AD134</f>
        <v>58035</v>
      </c>
      <c r="AE47" s="87">
        <f>'Q100a-geral'!AE134</f>
        <v>61717</v>
      </c>
      <c r="AF47" s="87">
        <f>'Q100a-geral'!AF134</f>
        <v>46634</v>
      </c>
      <c r="AG47" s="87">
        <f>'Q100a-geral'!AG134</f>
        <v>49478</v>
      </c>
      <c r="AH47" s="87">
        <f>'Q100a-geral'!AH134</f>
        <v>55910</v>
      </c>
      <c r="AI47" s="87">
        <f>'Q100a-geral'!AI134</f>
        <v>76460</v>
      </c>
      <c r="AJ47" s="86">
        <f>'Q100a-geral'!AJ134</f>
        <v>58621</v>
      </c>
      <c r="AK47" s="137">
        <f>'Q100a-geral'!AK134</f>
        <v>45888</v>
      </c>
      <c r="AL47" s="212" t="str">
        <f>'Q100a-geral'!AL134</f>
        <v>x</v>
      </c>
      <c r="AM47" s="137" t="str">
        <f>'Q100a-geral'!AM134</f>
        <v>x</v>
      </c>
      <c r="AN47" s="137" t="str">
        <f>'Q100a-geral'!AN134</f>
        <v>x</v>
      </c>
      <c r="AO47" s="137" t="str">
        <f>'Q100a-geral'!AO134</f>
        <v>x</v>
      </c>
      <c r="AP47" s="137" t="str">
        <f>'Q100a-geral'!AP134</f>
        <v>x</v>
      </c>
      <c r="AQ47" s="137" t="str">
        <f>'Q100a-geral'!AQ134</f>
        <v>x</v>
      </c>
      <c r="AR47" s="137"/>
      <c r="AS47" s="137"/>
      <c r="AT47" s="137"/>
      <c r="AU47" s="137"/>
      <c r="AV47" s="137" t="str">
        <f>'Q100a-geral'!AV134</f>
        <v>x</v>
      </c>
      <c r="AW47" s="137"/>
      <c r="AX47" s="137"/>
      <c r="AY47" s="137"/>
      <c r="AZ47" s="137"/>
      <c r="BA47" s="137" t="str">
        <f>'Q100a-geral'!BA134</f>
        <v>x</v>
      </c>
      <c r="BB47" s="239" t="str">
        <f>'Q100a-geral'!BB134</f>
        <v>Ações educativasx</v>
      </c>
      <c r="BC47" s="239" t="str">
        <f>'Q100a-geral'!BC134</f>
        <v>Ações educativasxx</v>
      </c>
      <c r="BD47" s="239" t="str">
        <f>'Q100a-geral'!BD134</f>
        <v>Ações educativasx</v>
      </c>
    </row>
    <row r="48" spans="1:56" s="3" customFormat="1" ht="78.75" customHeight="1" x14ac:dyDescent="0.25">
      <c r="A48" s="275" t="str">
        <f>'Q100a-geral'!A138</f>
        <v>1.1</v>
      </c>
      <c r="B48" s="252" t="str">
        <f>'Q100a-geral'!B138</f>
        <v>Ações educativas</v>
      </c>
      <c r="C48" s="229" t="str">
        <f>'Q100a-geral'!C138</f>
        <v>x</v>
      </c>
      <c r="D48" s="240" t="str">
        <f>'Q100a-geral'!D138</f>
        <v>ALjm</v>
      </c>
      <c r="E48" s="252" t="str">
        <f>'Q100a-geral'!E138</f>
        <v>Belo Horizonte</v>
      </c>
      <c r="F48" s="449" t="str">
        <f>'Q100a-geral'!F138</f>
        <v>número total de alunos atendidos no programa "O jovem e a mobilidade" (BHTRANS, 2015h)
obs.: resultados de 2010-2013 conforme BHTRANS(2015h); de 2014-2015 conforme BHTRANS(2016y)</v>
      </c>
      <c r="G48" s="252" t="str">
        <f>'Q100a-geral'!G138</f>
        <v>registro na fonte</v>
      </c>
      <c r="H48" s="167" t="str">
        <f>'Q100a-geral'!H138</f>
        <v>x</v>
      </c>
      <c r="I48" s="167">
        <f>'Q100a-geral'!I138</f>
        <v>1</v>
      </c>
      <c r="J48" s="107" t="str">
        <f>'Q100a-geral'!J138</f>
        <v>x</v>
      </c>
      <c r="K48" s="93" t="str">
        <f>'Q100a-geral'!K138</f>
        <v>x</v>
      </c>
      <c r="L48" s="93" t="str">
        <f>'Q100a-geral'!L138</f>
        <v>x</v>
      </c>
      <c r="M48" s="93" t="str">
        <f>'Q100a-geral'!M138</f>
        <v>x</v>
      </c>
      <c r="N48" s="93" t="str">
        <f>'Q100a-geral'!N138</f>
        <v>x</v>
      </c>
      <c r="O48" s="93" t="str">
        <f>'Q100a-geral'!O138</f>
        <v>x</v>
      </c>
      <c r="P48" s="93" t="str">
        <f>'Q100a-geral'!P138</f>
        <v>x</v>
      </c>
      <c r="Q48" s="93" t="str">
        <f>'Q100a-geral'!Q138</f>
        <v>x</v>
      </c>
      <c r="R48" s="93" t="str">
        <f>'Q100a-geral'!R138</f>
        <v>x</v>
      </c>
      <c r="S48" s="107" t="str">
        <f>'Q100a-geral'!S138</f>
        <v>só para pesquisa</v>
      </c>
      <c r="T48" s="93" t="str">
        <f>'Q100a-geral'!T138</f>
        <v>x</v>
      </c>
      <c r="U48" s="93" t="str">
        <f>'Q100a-geral'!U138</f>
        <v>x</v>
      </c>
      <c r="V48" s="107" t="str">
        <f>'Q100a-geral'!V138</f>
        <v>só para pesquisa</v>
      </c>
      <c r="W48" s="93" t="str">
        <f>'Q100a-geral'!W138</f>
        <v>x</v>
      </c>
      <c r="X48" s="93" t="str">
        <f>'Q100a-geral'!X138</f>
        <v>x</v>
      </c>
      <c r="Y48" s="93" t="str">
        <f>'Q100a-geral'!Y138</f>
        <v>x</v>
      </c>
      <c r="Z48" s="93" t="str">
        <f>'Q100a-geral'!Z138</f>
        <v>x</v>
      </c>
      <c r="AA48" s="84" t="str">
        <f>'Q100a-geral'!AA138</f>
        <v>x</v>
      </c>
      <c r="AB48" s="84" t="str">
        <f>'Q100a-geral'!AB138</f>
        <v>x</v>
      </c>
      <c r="AC48" s="84" t="str">
        <f>'Q100a-geral'!AC138</f>
        <v>x</v>
      </c>
      <c r="AD48" s="84" t="str">
        <f>'Q100a-geral'!AD138</f>
        <v>x</v>
      </c>
      <c r="AE48" s="84" t="str">
        <f>'Q100a-geral'!AE138</f>
        <v>x</v>
      </c>
      <c r="AF48" s="84">
        <f>'Q100a-geral'!AF138</f>
        <v>810</v>
      </c>
      <c r="AG48" s="84">
        <f>'Q100a-geral'!AG138</f>
        <v>5496</v>
      </c>
      <c r="AH48" s="84">
        <f>'Q100a-geral'!AH138</f>
        <v>7666</v>
      </c>
      <c r="AI48" s="84">
        <f>'Q100a-geral'!AI138</f>
        <v>21264</v>
      </c>
      <c r="AJ48" s="93">
        <f>'Q100a-geral'!AJ138</f>
        <v>18582</v>
      </c>
      <c r="AK48" s="137">
        <f>'Q100a-geral'!AK138</f>
        <v>21539</v>
      </c>
      <c r="AL48" s="212" t="str">
        <f>'Q100a-geral'!AL138</f>
        <v>x</v>
      </c>
      <c r="AM48" s="137" t="str">
        <f>'Q100a-geral'!AM138</f>
        <v>x</v>
      </c>
      <c r="AN48" s="137" t="str">
        <f>'Q100a-geral'!AN138</f>
        <v>x</v>
      </c>
      <c r="AO48" s="137" t="str">
        <f>'Q100a-geral'!AO138</f>
        <v>x</v>
      </c>
      <c r="AP48" s="137" t="str">
        <f>'Q100a-geral'!AP138</f>
        <v>x</v>
      </c>
      <c r="AQ48" s="137" t="str">
        <f>'Q100a-geral'!AQ138</f>
        <v>x</v>
      </c>
      <c r="AR48" s="137"/>
      <c r="AS48" s="137"/>
      <c r="AT48" s="137"/>
      <c r="AU48" s="137"/>
      <c r="AV48" s="137" t="str">
        <f>'Q100a-geral'!AV138</f>
        <v>x</v>
      </c>
      <c r="AW48" s="137"/>
      <c r="AX48" s="137"/>
      <c r="AY48" s="137"/>
      <c r="AZ48" s="137"/>
      <c r="BA48" s="137" t="str">
        <f>'Q100a-geral'!BA138</f>
        <v>x</v>
      </c>
      <c r="BB48" s="239" t="str">
        <f>'Q100a-geral'!BB138</f>
        <v>Ações educativasx</v>
      </c>
      <c r="BC48" s="239" t="str">
        <f>'Q100a-geral'!BC138</f>
        <v>Ações educativasxx</v>
      </c>
      <c r="BD48" s="239" t="str">
        <f>'Q100a-geral'!BD138</f>
        <v>Ações educativasx</v>
      </c>
    </row>
    <row r="49" spans="1:56" s="3" customFormat="1" ht="78.75" customHeight="1" x14ac:dyDescent="0.25">
      <c r="A49" s="275" t="str">
        <f>'Q100a-geral'!A139</f>
        <v>9.5</v>
      </c>
      <c r="B49" s="252" t="str">
        <f>'Q100a-geral'!B139</f>
        <v>Sinalização semafórica</v>
      </c>
      <c r="C49" s="229" t="str">
        <f>'Q100a-geral'!C139</f>
        <v>x</v>
      </c>
      <c r="D49" s="240" t="str">
        <f>'Q100a-geral'!D139</f>
        <v>AM</v>
      </c>
      <c r="E49" s="252" t="str">
        <f>'Q100a-geral'!E139</f>
        <v>x</v>
      </c>
      <c r="F49" s="449" t="str">
        <f>'Q100a-geral'!F139</f>
        <v>área metropolitana, região definida por CAF para organização /análise de resultados da América Latina
obs.: acesse "CAF".</v>
      </c>
      <c r="G49" s="14" t="str">
        <f>'Q100a-geral'!G139</f>
        <v>sigla</v>
      </c>
      <c r="H49" s="168" t="str">
        <f>'Q100a-geral'!H139</f>
        <v>sigla/verbete</v>
      </c>
      <c r="I49" s="167" t="str">
        <f>'Q100a-geral'!I139</f>
        <v>x</v>
      </c>
      <c r="J49" s="109" t="str">
        <f>'Q100a-geral'!J139</f>
        <v>x</v>
      </c>
      <c r="K49" s="109" t="str">
        <f>'Q100a-geral'!K139</f>
        <v>x</v>
      </c>
      <c r="L49" s="109" t="str">
        <f>'Q100a-geral'!L139</f>
        <v>x</v>
      </c>
      <c r="M49" s="109" t="str">
        <f>'Q100a-geral'!M139</f>
        <v>x</v>
      </c>
      <c r="N49" s="109" t="str">
        <f>'Q100a-geral'!N139</f>
        <v>x</v>
      </c>
      <c r="O49" s="109" t="str">
        <f>'Q100a-geral'!O139</f>
        <v>x</v>
      </c>
      <c r="P49" s="109" t="str">
        <f>'Q100a-geral'!P139</f>
        <v>x</v>
      </c>
      <c r="Q49" s="109" t="str">
        <f>'Q100a-geral'!Q139</f>
        <v>x</v>
      </c>
      <c r="R49" s="109" t="str">
        <f>'Q100a-geral'!R139</f>
        <v>x</v>
      </c>
      <c r="S49" s="109" t="str">
        <f>'Q100a-geral'!S139</f>
        <v>só para pesquisa</v>
      </c>
      <c r="T49" s="109" t="str">
        <f>'Q100a-geral'!T139</f>
        <v>x</v>
      </c>
      <c r="U49" s="109" t="str">
        <f>'Q100a-geral'!U139</f>
        <v>x</v>
      </c>
      <c r="V49" s="109" t="str">
        <f>'Q100a-geral'!V139</f>
        <v>só para pesquisa</v>
      </c>
      <c r="W49" s="109" t="str">
        <f>'Q100a-geral'!W139</f>
        <v>x</v>
      </c>
      <c r="X49" s="109" t="str">
        <f>'Q100a-geral'!X139</f>
        <v>x</v>
      </c>
      <c r="Y49" s="109" t="str">
        <f>'Q100a-geral'!Y139</f>
        <v>x</v>
      </c>
      <c r="Z49" s="109" t="str">
        <f>'Q100a-geral'!Z139</f>
        <v>x</v>
      </c>
      <c r="AA49" s="109" t="str">
        <f>'Q100a-geral'!AA139</f>
        <v>x</v>
      </c>
      <c r="AB49" s="109" t="str">
        <f>'Q100a-geral'!AB139</f>
        <v>x</v>
      </c>
      <c r="AC49" s="109" t="str">
        <f>'Q100a-geral'!AC139</f>
        <v>x</v>
      </c>
      <c r="AD49" s="109" t="str">
        <f>'Q100a-geral'!AD139</f>
        <v>x</v>
      </c>
      <c r="AE49" s="109" t="str">
        <f>'Q100a-geral'!AE139</f>
        <v>x</v>
      </c>
      <c r="AF49" s="109" t="str">
        <f>'Q100a-geral'!AF139</f>
        <v>x</v>
      </c>
      <c r="AG49" s="109" t="str">
        <f>'Q100a-geral'!AG139</f>
        <v>x</v>
      </c>
      <c r="AH49" s="109" t="str">
        <f>'Q100a-geral'!AH139</f>
        <v>x</v>
      </c>
      <c r="AI49" s="109" t="str">
        <f>'Q100a-geral'!AI139</f>
        <v>x</v>
      </c>
      <c r="AJ49" s="109" t="str">
        <f>'Q100a-geral'!AJ139</f>
        <v>x</v>
      </c>
      <c r="AK49" s="137" t="str">
        <f>'Q100a-geral'!AK139</f>
        <v>x</v>
      </c>
      <c r="AL49" s="167" t="str">
        <f>'Q100a-geral'!AL139</f>
        <v>x</v>
      </c>
      <c r="AM49" s="137" t="str">
        <f>'Q100a-geral'!AM139</f>
        <v>x</v>
      </c>
      <c r="AN49" s="137" t="str">
        <f>'Q100a-geral'!AN139</f>
        <v>x</v>
      </c>
      <c r="AO49" s="137" t="str">
        <f>'Q100a-geral'!AO139</f>
        <v>x</v>
      </c>
      <c r="AP49" s="137" t="str">
        <f>'Q100a-geral'!AP139</f>
        <v>x</v>
      </c>
      <c r="AQ49" s="137" t="str">
        <f>'Q100a-geral'!AQ139</f>
        <v>x</v>
      </c>
      <c r="AR49" s="137"/>
      <c r="AS49" s="137"/>
      <c r="AT49" s="137"/>
      <c r="AU49" s="137"/>
      <c r="AV49" s="137" t="str">
        <f>'Q100a-geral'!AV139</f>
        <v>x</v>
      </c>
      <c r="AW49" s="137"/>
      <c r="AX49" s="137"/>
      <c r="AY49" s="137"/>
      <c r="AZ49" s="137"/>
      <c r="BA49" s="137" t="str">
        <f>'Q100a-geral'!BA139</f>
        <v>x</v>
      </c>
      <c r="BB49" s="239" t="str">
        <f>'Q100a-geral'!BB139</f>
        <v>Sinalização semafóricax</v>
      </c>
      <c r="BC49" s="239" t="str">
        <f>'Q100a-geral'!BC139</f>
        <v>Sinalização semafóricaxsigla/verbete</v>
      </c>
      <c r="BD49" s="239" t="str">
        <f>'Q100a-geral'!BD139</f>
        <v>Sinalização semafóricasigla/verbete</v>
      </c>
    </row>
    <row r="50" spans="1:56" s="3" customFormat="1" ht="102" customHeight="1" x14ac:dyDescent="0.25">
      <c r="A50" s="275" t="str">
        <f>'Q100a-geral'!A143</f>
        <v>1.5</v>
      </c>
      <c r="B50" s="252" t="str">
        <f>'Q100a-geral'!B143</f>
        <v>Solicitações urbanísticas</v>
      </c>
      <c r="C50" s="229" t="str">
        <f>'Q100a-geral'!C143</f>
        <v>x</v>
      </c>
      <c r="D50" s="322" t="str">
        <f>'Q100a-geral'!D143</f>
        <v>AN</v>
      </c>
      <c r="E50" s="11" t="str">
        <f>'Q100a-geral'!E143</f>
        <v>x</v>
      </c>
      <c r="F50" s="449" t="str">
        <f>'Q100a-geral'!F143</f>
        <v>análises de solicitações que envolvem a legislação urbanística, que são atualmente divididas em quatro tipos: "ANdv", "ANei", "ANpc" e "ANpv"
obs.1: há resultados apurados mensalmente nos resultados gerenciais da área responsável, com o resultado anual sendo tomado no SisMob-BH como sendo o apurado em dezembro
obs.2: os resultados de ANpv iniciam-se em 2013 e os demais em 2011</v>
      </c>
      <c r="G50" s="14" t="str">
        <f>'Q100a-geral'!G143</f>
        <v>sigla</v>
      </c>
      <c r="H50" s="173" t="str">
        <f>'Q100a-geral'!H143</f>
        <v>sigla/verbete</v>
      </c>
      <c r="I50" s="57" t="str">
        <f>'Q100a-geral'!I143</f>
        <v>x</v>
      </c>
      <c r="J50" s="107" t="str">
        <f>'Q100a-geral'!J143</f>
        <v>x</v>
      </c>
      <c r="K50" s="107" t="str">
        <f>'Q100a-geral'!K143</f>
        <v>x</v>
      </c>
      <c r="L50" s="107" t="str">
        <f>'Q100a-geral'!L143</f>
        <v>x</v>
      </c>
      <c r="M50" s="107" t="str">
        <f>'Q100a-geral'!M143</f>
        <v>x</v>
      </c>
      <c r="N50" s="107" t="str">
        <f>'Q100a-geral'!N143</f>
        <v>x</v>
      </c>
      <c r="O50" s="107" t="str">
        <f>'Q100a-geral'!O143</f>
        <v>x</v>
      </c>
      <c r="P50" s="107" t="str">
        <f>'Q100a-geral'!P143</f>
        <v>x</v>
      </c>
      <c r="Q50" s="107" t="str">
        <f>'Q100a-geral'!Q143</f>
        <v>x</v>
      </c>
      <c r="R50" s="107" t="str">
        <f>'Q100a-geral'!R143</f>
        <v>x</v>
      </c>
      <c r="S50" s="109" t="str">
        <f>'Q100a-geral'!S143</f>
        <v>só para pesquisa</v>
      </c>
      <c r="T50" s="107" t="str">
        <f>'Q100a-geral'!T143</f>
        <v>x</v>
      </c>
      <c r="U50" s="107" t="str">
        <f>'Q100a-geral'!U143</f>
        <v>x</v>
      </c>
      <c r="V50" s="107" t="str">
        <f>'Q100a-geral'!V143</f>
        <v>só para pesquisa</v>
      </c>
      <c r="W50" s="107" t="str">
        <f>'Q100a-geral'!W143</f>
        <v>x</v>
      </c>
      <c r="X50" s="107" t="str">
        <f>'Q100a-geral'!X143</f>
        <v>x</v>
      </c>
      <c r="Y50" s="107" t="str">
        <f>'Q100a-geral'!Y143</f>
        <v>x</v>
      </c>
      <c r="Z50" s="107" t="str">
        <f>'Q100a-geral'!Z143</f>
        <v>x</v>
      </c>
      <c r="AA50" s="107" t="str">
        <f>'Q100a-geral'!AA143</f>
        <v>x</v>
      </c>
      <c r="AB50" s="107" t="str">
        <f>'Q100a-geral'!AB143</f>
        <v>x</v>
      </c>
      <c r="AC50" s="107" t="str">
        <f>'Q100a-geral'!AC143</f>
        <v>x</v>
      </c>
      <c r="AD50" s="107" t="str">
        <f>'Q100a-geral'!AD143</f>
        <v>x</v>
      </c>
      <c r="AE50" s="107" t="str">
        <f>'Q100a-geral'!AE143</f>
        <v>x</v>
      </c>
      <c r="AF50" s="107" t="str">
        <f>'Q100a-geral'!AF143</f>
        <v>x</v>
      </c>
      <c r="AG50" s="107" t="str">
        <f>'Q100a-geral'!AG143</f>
        <v>x</v>
      </c>
      <c r="AH50" s="107" t="str">
        <f>'Q100a-geral'!AH143</f>
        <v>x</v>
      </c>
      <c r="AI50" s="107" t="str">
        <f>'Q100a-geral'!AI143</f>
        <v>x</v>
      </c>
      <c r="AJ50" s="107" t="str">
        <f>'Q100a-geral'!AJ143</f>
        <v>x</v>
      </c>
      <c r="AK50" s="137" t="str">
        <f>'Q100a-geral'!AK143</f>
        <v>x</v>
      </c>
      <c r="AL50" s="173" t="str">
        <f>'Q100a-geral'!AL143</f>
        <v>x</v>
      </c>
      <c r="AM50" s="137" t="str">
        <f>'Q100a-geral'!AM143</f>
        <v>x</v>
      </c>
      <c r="AN50" s="137" t="str">
        <f>'Q100a-geral'!AN143</f>
        <v>x</v>
      </c>
      <c r="AO50" s="137" t="str">
        <f>'Q100a-geral'!AO143</f>
        <v>x</v>
      </c>
      <c r="AP50" s="137" t="str">
        <f>'Q100a-geral'!AP143</f>
        <v>x</v>
      </c>
      <c r="AQ50" s="137" t="str">
        <f>'Q100a-geral'!AQ143</f>
        <v>x</v>
      </c>
      <c r="AR50" s="137"/>
      <c r="AS50" s="137"/>
      <c r="AT50" s="137"/>
      <c r="AU50" s="137"/>
      <c r="AV50" s="137" t="str">
        <f>'Q100a-geral'!AV143</f>
        <v>x</v>
      </c>
      <c r="AW50" s="137"/>
      <c r="AX50" s="137"/>
      <c r="AY50" s="137"/>
      <c r="AZ50" s="137"/>
      <c r="BA50" s="137" t="str">
        <f>'Q100a-geral'!BA143</f>
        <v>x</v>
      </c>
      <c r="BB50" s="239" t="str">
        <f>'Q100a-geral'!BB143</f>
        <v>Solicitações urbanísticasx</v>
      </c>
      <c r="BC50" s="239" t="str">
        <f>'Q100a-geral'!BC143</f>
        <v>Solicitações urbanísticasxsigla/verbete</v>
      </c>
      <c r="BD50" s="239" t="str">
        <f>'Q100a-geral'!BD143</f>
        <v>Solicitações urbanísticassigla/verbete</v>
      </c>
    </row>
    <row r="51" spans="1:56" s="3" customFormat="1" ht="51" customHeight="1" x14ac:dyDescent="0.25">
      <c r="A51" s="275" t="str">
        <f>'Q100a-geral'!A144</f>
        <v>1.5</v>
      </c>
      <c r="B51" s="252" t="str">
        <f>'Q100a-geral'!B144</f>
        <v>Solicitações urbanísticas</v>
      </c>
      <c r="C51" s="229" t="str">
        <f>'Q100a-geral'!C144</f>
        <v>x</v>
      </c>
      <c r="D51" s="287" t="str">
        <f>'Q100a-geral'!D144</f>
        <v>AN(30d)</v>
      </c>
      <c r="E51" s="458" t="str">
        <f>'Q100a-geral'!E144</f>
        <v>Belo Horizonte</v>
      </c>
      <c r="F51" s="486" t="str">
        <f>'Q100a-geral'!F144</f>
        <v>n.º de AN finalizadas do primeiro ao último dia do período e que tenham dado entrada a menos de 30 dias após sua entrada</v>
      </c>
      <c r="G51" s="252" t="str">
        <f>'Q100a-geral'!G144</f>
        <v>ANdv(30d) + ANei(30d) + ANpc(30d) + ANpv(30d)</v>
      </c>
      <c r="H51" s="173" t="str">
        <f>'Q100a-geral'!H144</f>
        <v>x</v>
      </c>
      <c r="I51" s="57">
        <f>'Q100a-geral'!I144</f>
        <v>1</v>
      </c>
      <c r="J51" s="107" t="str">
        <f>'Q100a-geral'!J144</f>
        <v>x</v>
      </c>
      <c r="K51" s="93" t="str">
        <f>'Q100a-geral'!K144</f>
        <v>x</v>
      </c>
      <c r="L51" s="93" t="str">
        <f>'Q100a-geral'!L144</f>
        <v>x</v>
      </c>
      <c r="M51" s="93" t="str">
        <f>'Q100a-geral'!M144</f>
        <v>x</v>
      </c>
      <c r="N51" s="93" t="str">
        <f>'Q100a-geral'!N144</f>
        <v>x</v>
      </c>
      <c r="O51" s="93" t="str">
        <f>'Q100a-geral'!O144</f>
        <v>x</v>
      </c>
      <c r="P51" s="93" t="str">
        <f>'Q100a-geral'!P144</f>
        <v>x</v>
      </c>
      <c r="Q51" s="93" t="str">
        <f>'Q100a-geral'!Q144</f>
        <v>x</v>
      </c>
      <c r="R51" s="93" t="str">
        <f>'Q100a-geral'!R144</f>
        <v>x</v>
      </c>
      <c r="S51" s="109" t="str">
        <f>'Q100a-geral'!S144</f>
        <v>só para pesquisa</v>
      </c>
      <c r="T51" s="93" t="str">
        <f>'Q100a-geral'!T144</f>
        <v>x</v>
      </c>
      <c r="U51" s="93" t="str">
        <f>'Q100a-geral'!U144</f>
        <v>x</v>
      </c>
      <c r="V51" s="107" t="str">
        <f>'Q100a-geral'!V144</f>
        <v>só para pesquisa</v>
      </c>
      <c r="W51" s="93" t="str">
        <f>'Q100a-geral'!W144</f>
        <v>x</v>
      </c>
      <c r="X51" s="93" t="str">
        <f>'Q100a-geral'!X144</f>
        <v>x</v>
      </c>
      <c r="Y51" s="93" t="str">
        <f>'Q100a-geral'!Y144</f>
        <v>x</v>
      </c>
      <c r="Z51" s="93" t="str">
        <f>'Q100a-geral'!Z144</f>
        <v>x</v>
      </c>
      <c r="AA51" s="93" t="str">
        <f>'Q100a-geral'!AA144</f>
        <v>x</v>
      </c>
      <c r="AB51" s="93" t="str">
        <f>'Q100a-geral'!AB144</f>
        <v>x</v>
      </c>
      <c r="AC51" s="93" t="str">
        <f>'Q100a-geral'!AC144</f>
        <v>x</v>
      </c>
      <c r="AD51" s="93" t="str">
        <f>'Q100a-geral'!AD144</f>
        <v>x</v>
      </c>
      <c r="AE51" s="93" t="str">
        <f>'Q100a-geral'!AE144</f>
        <v>x</v>
      </c>
      <c r="AF51" s="93" t="str">
        <f>'Q100a-geral'!AF144</f>
        <v>x</v>
      </c>
      <c r="AG51" s="23">
        <f>'Q100a-geral'!AG144</f>
        <v>44</v>
      </c>
      <c r="AH51" s="23">
        <f>'Q100a-geral'!AH144</f>
        <v>67</v>
      </c>
      <c r="AI51" s="23">
        <f>'Q100a-geral'!AI144</f>
        <v>94</v>
      </c>
      <c r="AJ51" s="23">
        <f>'Q100a-geral'!AJ144</f>
        <v>112</v>
      </c>
      <c r="AK51" s="23">
        <f>'Q100a-geral'!AK144</f>
        <v>141</v>
      </c>
      <c r="AL51" s="212" t="str">
        <f>'Q100a-geral'!AL144</f>
        <v>x</v>
      </c>
      <c r="AM51" s="137" t="str">
        <f>'Q100a-geral'!AM144</f>
        <v>x</v>
      </c>
      <c r="AN51" s="137" t="str">
        <f>'Q100a-geral'!AN144</f>
        <v>x</v>
      </c>
      <c r="AO51" s="137" t="str">
        <f>'Q100a-geral'!AO144</f>
        <v>x</v>
      </c>
      <c r="AP51" s="137" t="str">
        <f>'Q100a-geral'!AP144</f>
        <v>x</v>
      </c>
      <c r="AQ51" s="137" t="str">
        <f>'Q100a-geral'!AQ144</f>
        <v>x</v>
      </c>
      <c r="AR51" s="137"/>
      <c r="AS51" s="137"/>
      <c r="AT51" s="137"/>
      <c r="AU51" s="137"/>
      <c r="AV51" s="137" t="str">
        <f>'Q100a-geral'!AV144</f>
        <v>x</v>
      </c>
      <c r="AW51" s="137"/>
      <c r="AX51" s="137"/>
      <c r="AY51" s="137"/>
      <c r="AZ51" s="137"/>
      <c r="BA51" s="137" t="str">
        <f>'Q100a-geral'!BA144</f>
        <v>x</v>
      </c>
      <c r="BB51" s="239" t="str">
        <f>'Q100a-geral'!BB144</f>
        <v>Solicitações urbanísticasx</v>
      </c>
      <c r="BC51" s="239" t="str">
        <f>'Q100a-geral'!BC144</f>
        <v>Solicitações urbanísticasxx</v>
      </c>
      <c r="BD51" s="239" t="str">
        <f>'Q100a-geral'!BD144</f>
        <v>Solicitações urbanísticasx</v>
      </c>
    </row>
    <row r="52" spans="1:56" s="3" customFormat="1" ht="94.5" customHeight="1" x14ac:dyDescent="0.25">
      <c r="A52" s="275" t="str">
        <f>'Q100a-geral'!A145</f>
        <v>1.5</v>
      </c>
      <c r="B52" s="252" t="str">
        <f>'Q100a-geral'!B145</f>
        <v>Solicitações urbanísticas</v>
      </c>
      <c r="C52" s="229" t="str">
        <f>'Q100a-geral'!C145</f>
        <v>x</v>
      </c>
      <c r="D52" s="287" t="str">
        <f>'Q100a-geral'!D145</f>
        <v>AN(30d) em relação a AN(saída)</v>
      </c>
      <c r="E52" s="458" t="str">
        <f>'Q100a-geral'!E145</f>
        <v>Belo Horizonte</v>
      </c>
      <c r="F52" s="486" t="str">
        <f>'Q100a-geral'!F145</f>
        <v>celeridade na resposta dada a solicitações que envolvem a legislação urbanística, obtida pela relação percentual entre o n.º de AN finalizadas em menos de 30 dias e o n.º total de AN finalizadas no período
obs.: este é o indicador mais significativo deste assunto, tendo sido selecionado como indicador estratégico da BHTrans com a denominação de "Percentual de análises da Gerência de Diretrizes Viárias (GEDIV)" (BHTRANS, 2015d)</v>
      </c>
      <c r="G52" s="78" t="str">
        <f>'Q100a-geral'!G145</f>
        <v>( AN(30d) / AN(saída) ) 
x 100</v>
      </c>
      <c r="H52" s="173" t="str">
        <f>'Q100a-geral'!H145</f>
        <v>x</v>
      </c>
      <c r="I52" s="57">
        <f>'Q100a-geral'!I145</f>
        <v>1</v>
      </c>
      <c r="J52" s="107" t="str">
        <f>'Q100a-geral'!J145</f>
        <v>x</v>
      </c>
      <c r="K52" s="93" t="str">
        <f>'Q100a-geral'!K145</f>
        <v>x</v>
      </c>
      <c r="L52" s="93" t="str">
        <f>'Q100a-geral'!L145</f>
        <v>x</v>
      </c>
      <c r="M52" s="93" t="str">
        <f>'Q100a-geral'!M145</f>
        <v>x</v>
      </c>
      <c r="N52" s="93" t="str">
        <f>'Q100a-geral'!N145</f>
        <v>x</v>
      </c>
      <c r="O52" s="93" t="str">
        <f>'Q100a-geral'!O145</f>
        <v>x</v>
      </c>
      <c r="P52" s="93" t="str">
        <f>'Q100a-geral'!P145</f>
        <v>x</v>
      </c>
      <c r="Q52" s="93" t="str">
        <f>'Q100a-geral'!Q145</f>
        <v>x</v>
      </c>
      <c r="R52" s="93" t="str">
        <f>'Q100a-geral'!R145</f>
        <v>x</v>
      </c>
      <c r="S52" s="109" t="str">
        <f>'Q100a-geral'!S145</f>
        <v>só para pesquisa</v>
      </c>
      <c r="T52" s="93" t="str">
        <f>'Q100a-geral'!T145</f>
        <v>x</v>
      </c>
      <c r="U52" s="93" t="str">
        <f>'Q100a-geral'!U145</f>
        <v>x</v>
      </c>
      <c r="V52" s="107" t="str">
        <f>'Q100a-geral'!V145</f>
        <v>só para pesquisa</v>
      </c>
      <c r="W52" s="93" t="str">
        <f>'Q100a-geral'!W145</f>
        <v>x</v>
      </c>
      <c r="X52" s="93" t="str">
        <f>'Q100a-geral'!X145</f>
        <v>x</v>
      </c>
      <c r="Y52" s="93" t="str">
        <f>'Q100a-geral'!Y145</f>
        <v>x</v>
      </c>
      <c r="Z52" s="93" t="str">
        <f>'Q100a-geral'!Z145</f>
        <v>x</v>
      </c>
      <c r="AA52" s="93" t="str">
        <f>'Q100a-geral'!AA145</f>
        <v>x</v>
      </c>
      <c r="AB52" s="93" t="str">
        <f>'Q100a-geral'!AB145</f>
        <v>x</v>
      </c>
      <c r="AC52" s="93" t="str">
        <f>'Q100a-geral'!AC145</f>
        <v>x</v>
      </c>
      <c r="AD52" s="93" t="str">
        <f>'Q100a-geral'!AD145</f>
        <v>x</v>
      </c>
      <c r="AE52" s="93" t="str">
        <f>'Q100a-geral'!AE145</f>
        <v>x</v>
      </c>
      <c r="AF52" s="93" t="str">
        <f>'Q100a-geral'!AF145</f>
        <v>x</v>
      </c>
      <c r="AG52" s="47">
        <f>'Q100a-geral'!AG145</f>
        <v>0.4943820224719101</v>
      </c>
      <c r="AH52" s="47">
        <f>'Q100a-geral'!AH145</f>
        <v>0.83750000000000002</v>
      </c>
      <c r="AI52" s="47">
        <f>'Q100a-geral'!AI145</f>
        <v>0.81739130434782614</v>
      </c>
      <c r="AJ52" s="47">
        <f>'Q100a-geral'!AJ145</f>
        <v>0.75167785234899331</v>
      </c>
      <c r="AK52" s="47">
        <f>'Q100a-geral'!AK145</f>
        <v>0.87577639751552794</v>
      </c>
      <c r="AL52" s="212" t="str">
        <f>'Q100a-geral'!AL145</f>
        <v>x</v>
      </c>
      <c r="AM52" s="137" t="str">
        <f>'Q100a-geral'!AM145</f>
        <v>x</v>
      </c>
      <c r="AN52" s="137" t="str">
        <f>'Q100a-geral'!AN145</f>
        <v>x</v>
      </c>
      <c r="AO52" s="137" t="str">
        <f>'Q100a-geral'!AO145</f>
        <v>x</v>
      </c>
      <c r="AP52" s="137" t="str">
        <f>'Q100a-geral'!AP145</f>
        <v>x</v>
      </c>
      <c r="AQ52" s="137" t="str">
        <f>'Q100a-geral'!AQ145</f>
        <v>x</v>
      </c>
      <c r="AR52" s="137"/>
      <c r="AS52" s="137"/>
      <c r="AT52" s="137"/>
      <c r="AU52" s="137"/>
      <c r="AV52" s="137" t="str">
        <f>'Q100a-geral'!AV145</f>
        <v>x</v>
      </c>
      <c r="AW52" s="137"/>
      <c r="AX52" s="137"/>
      <c r="AY52" s="137"/>
      <c r="AZ52" s="137"/>
      <c r="BA52" s="137" t="str">
        <f>'Q100a-geral'!BA145</f>
        <v>x</v>
      </c>
      <c r="BB52" s="239" t="str">
        <f>'Q100a-geral'!BB145</f>
        <v>Solicitações urbanísticasx</v>
      </c>
      <c r="BC52" s="239" t="str">
        <f>'Q100a-geral'!BC145</f>
        <v>Solicitações urbanísticasxx</v>
      </c>
      <c r="BD52" s="239" t="str">
        <f>'Q100a-geral'!BD145</f>
        <v>Solicitações urbanísticasx</v>
      </c>
    </row>
    <row r="53" spans="1:56" s="3" customFormat="1" ht="51" customHeight="1" x14ac:dyDescent="0.25">
      <c r="A53" s="275" t="str">
        <f>'Q100a-geral'!A146</f>
        <v>1.5</v>
      </c>
      <c r="B53" s="252" t="str">
        <f>'Q100a-geral'!B146</f>
        <v>Solicitações urbanísticas</v>
      </c>
      <c r="C53" s="229" t="str">
        <f>'Q100a-geral'!C146</f>
        <v>x</v>
      </c>
      <c r="D53" s="287" t="str">
        <f>'Q100a-geral'!D146</f>
        <v>AN(entrada)</v>
      </c>
      <c r="E53" s="458" t="str">
        <f>'Q100a-geral'!E146</f>
        <v>Belo Horizonte</v>
      </c>
      <c r="F53" s="486" t="str">
        <f>'Q100a-geral'!F146</f>
        <v>n.º de AN que deram entrada durante o período de apuração</v>
      </c>
      <c r="G53" s="252" t="str">
        <f>'Q100a-geral'!G146</f>
        <v>ANdv(entrada) +
ANei(entrada) +
ANpc(entrada) +
ANpv(entrada)</v>
      </c>
      <c r="H53" s="173" t="str">
        <f>'Q100a-geral'!H146</f>
        <v>x</v>
      </c>
      <c r="I53" s="57">
        <f>'Q100a-geral'!I146</f>
        <v>1</v>
      </c>
      <c r="J53" s="107" t="str">
        <f>'Q100a-geral'!J146</f>
        <v>x</v>
      </c>
      <c r="K53" s="93" t="str">
        <f>'Q100a-geral'!K146</f>
        <v>x</v>
      </c>
      <c r="L53" s="93" t="str">
        <f>'Q100a-geral'!L146</f>
        <v>x</v>
      </c>
      <c r="M53" s="93" t="str">
        <f>'Q100a-geral'!M146</f>
        <v>x</v>
      </c>
      <c r="N53" s="93" t="str">
        <f>'Q100a-geral'!N146</f>
        <v>x</v>
      </c>
      <c r="O53" s="93" t="str">
        <f>'Q100a-geral'!O146</f>
        <v>x</v>
      </c>
      <c r="P53" s="93" t="str">
        <f>'Q100a-geral'!P146</f>
        <v>x</v>
      </c>
      <c r="Q53" s="93" t="str">
        <f>'Q100a-geral'!Q146</f>
        <v>x</v>
      </c>
      <c r="R53" s="93" t="str">
        <f>'Q100a-geral'!R146</f>
        <v>x</v>
      </c>
      <c r="S53" s="109" t="str">
        <f>'Q100a-geral'!S146</f>
        <v>só para pesquisa</v>
      </c>
      <c r="T53" s="93" t="str">
        <f>'Q100a-geral'!T146</f>
        <v>x</v>
      </c>
      <c r="U53" s="93" t="str">
        <f>'Q100a-geral'!U146</f>
        <v>x</v>
      </c>
      <c r="V53" s="107" t="str">
        <f>'Q100a-geral'!V146</f>
        <v>só para pesquisa</v>
      </c>
      <c r="W53" s="93" t="str">
        <f>'Q100a-geral'!W146</f>
        <v>x</v>
      </c>
      <c r="X53" s="93" t="str">
        <f>'Q100a-geral'!X146</f>
        <v>x</v>
      </c>
      <c r="Y53" s="93" t="str">
        <f>'Q100a-geral'!Y146</f>
        <v>x</v>
      </c>
      <c r="Z53" s="93" t="str">
        <f>'Q100a-geral'!Z146</f>
        <v>x</v>
      </c>
      <c r="AA53" s="93" t="str">
        <f>'Q100a-geral'!AA146</f>
        <v>x</v>
      </c>
      <c r="AB53" s="93" t="str">
        <f>'Q100a-geral'!AB146</f>
        <v>x</v>
      </c>
      <c r="AC53" s="93" t="str">
        <f>'Q100a-geral'!AC146</f>
        <v>x</v>
      </c>
      <c r="AD53" s="93" t="str">
        <f>'Q100a-geral'!AD146</f>
        <v>x</v>
      </c>
      <c r="AE53" s="93" t="str">
        <f>'Q100a-geral'!AE146</f>
        <v>x</v>
      </c>
      <c r="AF53" s="93" t="str">
        <f>'Q100a-geral'!AF146</f>
        <v>x</v>
      </c>
      <c r="AG53" s="23">
        <f>'Q100a-geral'!AG146</f>
        <v>86</v>
      </c>
      <c r="AH53" s="23">
        <f>'Q100a-geral'!AH146</f>
        <v>109</v>
      </c>
      <c r="AI53" s="23">
        <f>'Q100a-geral'!AI146</f>
        <v>114</v>
      </c>
      <c r="AJ53" s="23">
        <f>'Q100a-geral'!AJ146</f>
        <v>99</v>
      </c>
      <c r="AK53" s="23">
        <f>'Q100a-geral'!AK146</f>
        <v>107</v>
      </c>
      <c r="AL53" s="212" t="str">
        <f>'Q100a-geral'!AL146</f>
        <v>x</v>
      </c>
      <c r="AM53" s="137" t="str">
        <f>'Q100a-geral'!AM146</f>
        <v>x</v>
      </c>
      <c r="AN53" s="137" t="str">
        <f>'Q100a-geral'!AN146</f>
        <v>x</v>
      </c>
      <c r="AO53" s="137" t="str">
        <f>'Q100a-geral'!AO146</f>
        <v>x</v>
      </c>
      <c r="AP53" s="137" t="str">
        <f>'Q100a-geral'!AP146</f>
        <v>x</v>
      </c>
      <c r="AQ53" s="137" t="str">
        <f>'Q100a-geral'!AQ146</f>
        <v>x</v>
      </c>
      <c r="AR53" s="137"/>
      <c r="AS53" s="137"/>
      <c r="AT53" s="137"/>
      <c r="AU53" s="137"/>
      <c r="AV53" s="137" t="str">
        <f>'Q100a-geral'!AV146</f>
        <v>x</v>
      </c>
      <c r="AW53" s="137"/>
      <c r="AX53" s="137"/>
      <c r="AY53" s="137"/>
      <c r="AZ53" s="137"/>
      <c r="BA53" s="137" t="str">
        <f>'Q100a-geral'!BA146</f>
        <v>x</v>
      </c>
      <c r="BB53" s="239" t="str">
        <f>'Q100a-geral'!BB146</f>
        <v>Solicitações urbanísticasx</v>
      </c>
      <c r="BC53" s="239" t="str">
        <f>'Q100a-geral'!BC146</f>
        <v>Solicitações urbanísticasxx</v>
      </c>
      <c r="BD53" s="239" t="str">
        <f>'Q100a-geral'!BD146</f>
        <v>Solicitações urbanísticasx</v>
      </c>
    </row>
    <row r="54" spans="1:56" s="3" customFormat="1" ht="51" customHeight="1" x14ac:dyDescent="0.25">
      <c r="A54" s="275" t="str">
        <f>'Q100a-geral'!A147</f>
        <v>1.5</v>
      </c>
      <c r="B54" s="252" t="str">
        <f>'Q100a-geral'!B147</f>
        <v>Solicitações urbanísticas</v>
      </c>
      <c r="C54" s="229" t="str">
        <f>'Q100a-geral'!C147</f>
        <v>x</v>
      </c>
      <c r="D54" s="322" t="str">
        <f>'Q100a-geral'!D147</f>
        <v>AN(estoque)</v>
      </c>
      <c r="E54" s="11" t="str">
        <f>'Q100a-geral'!E147</f>
        <v>Belo Horizonte</v>
      </c>
      <c r="F54" s="449" t="str">
        <f>'Q100a-geral'!F147</f>
        <v>n.º de AN ainda não concluídas no último dia do período de apuração</v>
      </c>
      <c r="G54" s="252" t="str">
        <f>'Q100a-geral'!G147</f>
        <v>ANdv(estoque) +
ANei(estoque) +
ANpc(estoque) +
ANpv(estoque)</v>
      </c>
      <c r="H54" s="173" t="str">
        <f>'Q100a-geral'!H147</f>
        <v>x</v>
      </c>
      <c r="I54" s="57">
        <f>'Q100a-geral'!I147</f>
        <v>1</v>
      </c>
      <c r="J54" s="107" t="str">
        <f>'Q100a-geral'!J147</f>
        <v>x</v>
      </c>
      <c r="K54" s="93" t="str">
        <f>'Q100a-geral'!K147</f>
        <v>x</v>
      </c>
      <c r="L54" s="93" t="str">
        <f>'Q100a-geral'!L147</f>
        <v>x</v>
      </c>
      <c r="M54" s="93" t="str">
        <f>'Q100a-geral'!M147</f>
        <v>x</v>
      </c>
      <c r="N54" s="93" t="str">
        <f>'Q100a-geral'!N147</f>
        <v>x</v>
      </c>
      <c r="O54" s="93" t="str">
        <f>'Q100a-geral'!O147</f>
        <v>x</v>
      </c>
      <c r="P54" s="93" t="str">
        <f>'Q100a-geral'!P147</f>
        <v>x</v>
      </c>
      <c r="Q54" s="93" t="str">
        <f>'Q100a-geral'!Q147</f>
        <v>x</v>
      </c>
      <c r="R54" s="93" t="str">
        <f>'Q100a-geral'!R147</f>
        <v>x</v>
      </c>
      <c r="S54" s="109" t="str">
        <f>'Q100a-geral'!S147</f>
        <v>só para pesquisa</v>
      </c>
      <c r="T54" s="93" t="str">
        <f>'Q100a-geral'!T147</f>
        <v>x</v>
      </c>
      <c r="U54" s="93" t="str">
        <f>'Q100a-geral'!U147</f>
        <v>x</v>
      </c>
      <c r="V54" s="107" t="str">
        <f>'Q100a-geral'!V147</f>
        <v>só para pesquisa</v>
      </c>
      <c r="W54" s="93" t="str">
        <f>'Q100a-geral'!W147</f>
        <v>x</v>
      </c>
      <c r="X54" s="93" t="str">
        <f>'Q100a-geral'!X147</f>
        <v>x</v>
      </c>
      <c r="Y54" s="93" t="str">
        <f>'Q100a-geral'!Y147</f>
        <v>x</v>
      </c>
      <c r="Z54" s="93" t="str">
        <f>'Q100a-geral'!Z147</f>
        <v>x</v>
      </c>
      <c r="AA54" s="93" t="str">
        <f>'Q100a-geral'!AA147</f>
        <v>x</v>
      </c>
      <c r="AB54" s="93" t="str">
        <f>'Q100a-geral'!AB147</f>
        <v>x</v>
      </c>
      <c r="AC54" s="93" t="str">
        <f>'Q100a-geral'!AC147</f>
        <v>x</v>
      </c>
      <c r="AD54" s="93" t="str">
        <f>'Q100a-geral'!AD147</f>
        <v>x</v>
      </c>
      <c r="AE54" s="93" t="str">
        <f>'Q100a-geral'!AE147</f>
        <v>x</v>
      </c>
      <c r="AF54" s="93" t="str">
        <f>'Q100a-geral'!AF147</f>
        <v>x</v>
      </c>
      <c r="AG54" s="23">
        <f>'Q100a-geral'!AG147</f>
        <v>84</v>
      </c>
      <c r="AH54" s="72">
        <f>'Q100a-geral'!AH147</f>
        <v>69</v>
      </c>
      <c r="AI54" s="23">
        <f>'Q100a-geral'!AI147</f>
        <v>63</v>
      </c>
      <c r="AJ54" s="23">
        <f>'Q100a-geral'!AJ147</f>
        <v>100</v>
      </c>
      <c r="AK54" s="23">
        <f>'Q100a-geral'!AK147</f>
        <v>80</v>
      </c>
      <c r="AL54" s="212" t="str">
        <f>'Q100a-geral'!AL147</f>
        <v>x</v>
      </c>
      <c r="AM54" s="137" t="str">
        <f>'Q100a-geral'!AM147</f>
        <v>x</v>
      </c>
      <c r="AN54" s="137" t="str">
        <f>'Q100a-geral'!AN147</f>
        <v>x</v>
      </c>
      <c r="AO54" s="137" t="str">
        <f>'Q100a-geral'!AO147</f>
        <v>x</v>
      </c>
      <c r="AP54" s="137" t="str">
        <f>'Q100a-geral'!AP147</f>
        <v>x</v>
      </c>
      <c r="AQ54" s="137" t="str">
        <f>'Q100a-geral'!AQ147</f>
        <v>x</v>
      </c>
      <c r="AR54" s="137"/>
      <c r="AS54" s="137"/>
      <c r="AT54" s="137"/>
      <c r="AU54" s="137"/>
      <c r="AV54" s="137" t="str">
        <f>'Q100a-geral'!AV147</f>
        <v>x</v>
      </c>
      <c r="AW54" s="137"/>
      <c r="AX54" s="137"/>
      <c r="AY54" s="137"/>
      <c r="AZ54" s="137"/>
      <c r="BA54" s="137" t="str">
        <f>'Q100a-geral'!BA147</f>
        <v>x</v>
      </c>
      <c r="BB54" s="239" t="str">
        <f>'Q100a-geral'!BB147</f>
        <v>Solicitações urbanísticasx</v>
      </c>
      <c r="BC54" s="239" t="str">
        <f>'Q100a-geral'!BC147</f>
        <v>Solicitações urbanísticasxx</v>
      </c>
      <c r="BD54" s="239" t="str">
        <f>'Q100a-geral'!BD147</f>
        <v>Solicitações urbanísticasx</v>
      </c>
    </row>
    <row r="55" spans="1:56" s="3" customFormat="1" ht="51" customHeight="1" x14ac:dyDescent="0.25">
      <c r="A55" s="275" t="str">
        <f>'Q100a-geral'!A148</f>
        <v>1.5</v>
      </c>
      <c r="B55" s="252" t="str">
        <f>'Q100a-geral'!B148</f>
        <v>Solicitações urbanísticas</v>
      </c>
      <c r="C55" s="229" t="str">
        <f>'Q100a-geral'!C148</f>
        <v>x</v>
      </c>
      <c r="D55" s="287" t="str">
        <f>'Q100a-geral'!D148</f>
        <v>AN(saída)</v>
      </c>
      <c r="E55" s="458" t="str">
        <f>'Q100a-geral'!E148</f>
        <v>Belo Horizonte</v>
      </c>
      <c r="F55" s="488" t="str">
        <f>'Q100a-geral'!F148</f>
        <v>n.º de AN finalizadas do primeiro ao último dia do período de apuração</v>
      </c>
      <c r="G55" s="252" t="str">
        <f>'Q100a-geral'!G148</f>
        <v>ANdv(saída) + ANei(saída) + ANpc(saída) +
ANpv(saída)</v>
      </c>
      <c r="H55" s="173" t="str">
        <f>'Q100a-geral'!H148</f>
        <v>x</v>
      </c>
      <c r="I55" s="57">
        <f>'Q100a-geral'!I148</f>
        <v>1</v>
      </c>
      <c r="J55" s="107" t="str">
        <f>'Q100a-geral'!J148</f>
        <v>x</v>
      </c>
      <c r="K55" s="93" t="str">
        <f>'Q100a-geral'!K148</f>
        <v>x</v>
      </c>
      <c r="L55" s="93" t="str">
        <f>'Q100a-geral'!L148</f>
        <v>x</v>
      </c>
      <c r="M55" s="93" t="str">
        <f>'Q100a-geral'!M148</f>
        <v>x</v>
      </c>
      <c r="N55" s="93" t="str">
        <f>'Q100a-geral'!N148</f>
        <v>x</v>
      </c>
      <c r="O55" s="93" t="str">
        <f>'Q100a-geral'!O148</f>
        <v>x</v>
      </c>
      <c r="P55" s="93" t="str">
        <f>'Q100a-geral'!P148</f>
        <v>x</v>
      </c>
      <c r="Q55" s="93" t="str">
        <f>'Q100a-geral'!Q148</f>
        <v>x</v>
      </c>
      <c r="R55" s="93" t="str">
        <f>'Q100a-geral'!R148</f>
        <v>x</v>
      </c>
      <c r="S55" s="109" t="str">
        <f>'Q100a-geral'!S148</f>
        <v>só para pesquisa</v>
      </c>
      <c r="T55" s="93" t="str">
        <f>'Q100a-geral'!T148</f>
        <v>x</v>
      </c>
      <c r="U55" s="93" t="str">
        <f>'Q100a-geral'!U148</f>
        <v>x</v>
      </c>
      <c r="V55" s="107" t="str">
        <f>'Q100a-geral'!V148</f>
        <v>só para pesquisa</v>
      </c>
      <c r="W55" s="93" t="str">
        <f>'Q100a-geral'!W148</f>
        <v>x</v>
      </c>
      <c r="X55" s="93" t="str">
        <f>'Q100a-geral'!X148</f>
        <v>x</v>
      </c>
      <c r="Y55" s="93" t="str">
        <f>'Q100a-geral'!Y148</f>
        <v>x</v>
      </c>
      <c r="Z55" s="93" t="str">
        <f>'Q100a-geral'!Z148</f>
        <v>x</v>
      </c>
      <c r="AA55" s="93" t="str">
        <f>'Q100a-geral'!AA148</f>
        <v>x</v>
      </c>
      <c r="AB55" s="93" t="str">
        <f>'Q100a-geral'!AB148</f>
        <v>x</v>
      </c>
      <c r="AC55" s="93" t="str">
        <f>'Q100a-geral'!AC148</f>
        <v>x</v>
      </c>
      <c r="AD55" s="93" t="str">
        <f>'Q100a-geral'!AD148</f>
        <v>x</v>
      </c>
      <c r="AE55" s="93" t="str">
        <f>'Q100a-geral'!AE148</f>
        <v>x</v>
      </c>
      <c r="AF55" s="93" t="str">
        <f>'Q100a-geral'!AF148</f>
        <v>x</v>
      </c>
      <c r="AG55" s="23">
        <f>'Q100a-geral'!AG148</f>
        <v>89</v>
      </c>
      <c r="AH55" s="23">
        <f>'Q100a-geral'!AH148</f>
        <v>80</v>
      </c>
      <c r="AI55" s="23">
        <f>'Q100a-geral'!AI148</f>
        <v>115</v>
      </c>
      <c r="AJ55" s="23">
        <f>'Q100a-geral'!AJ148</f>
        <v>149</v>
      </c>
      <c r="AK55" s="23">
        <f>'Q100a-geral'!AK148</f>
        <v>161</v>
      </c>
      <c r="AL55" s="212" t="str">
        <f>'Q100a-geral'!AL148</f>
        <v>x</v>
      </c>
      <c r="AM55" s="137" t="str">
        <f>'Q100a-geral'!AM148</f>
        <v>x</v>
      </c>
      <c r="AN55" s="137" t="str">
        <f>'Q100a-geral'!AN148</f>
        <v>x</v>
      </c>
      <c r="AO55" s="137" t="str">
        <f>'Q100a-geral'!AO148</f>
        <v>x</v>
      </c>
      <c r="AP55" s="137" t="str">
        <f>'Q100a-geral'!AP148</f>
        <v>x</v>
      </c>
      <c r="AQ55" s="137" t="str">
        <f>'Q100a-geral'!AQ148</f>
        <v>x</v>
      </c>
      <c r="AR55" s="137"/>
      <c r="AS55" s="137"/>
      <c r="AT55" s="137"/>
      <c r="AU55" s="137"/>
      <c r="AV55" s="137" t="str">
        <f>'Q100a-geral'!AV148</f>
        <v>x</v>
      </c>
      <c r="AW55" s="137"/>
      <c r="AX55" s="137"/>
      <c r="AY55" s="137"/>
      <c r="AZ55" s="137"/>
      <c r="BA55" s="137" t="str">
        <f>'Q100a-geral'!BA148</f>
        <v>x</v>
      </c>
      <c r="BB55" s="239" t="str">
        <f>'Q100a-geral'!BB148</f>
        <v>Solicitações urbanísticasx</v>
      </c>
      <c r="BC55" s="239" t="str">
        <f>'Q100a-geral'!BC148</f>
        <v>Solicitações urbanísticasxx</v>
      </c>
      <c r="BD55" s="239" t="str">
        <f>'Q100a-geral'!BD148</f>
        <v>Solicitações urbanísticasx</v>
      </c>
    </row>
    <row r="56" spans="1:56" s="3" customFormat="1" ht="25.5" customHeight="1" x14ac:dyDescent="0.25">
      <c r="A56" s="275" t="str">
        <f>'Q100a-geral'!A149</f>
        <v>1.5</v>
      </c>
      <c r="B56" s="252" t="str">
        <f>'Q100a-geral'!B149</f>
        <v>Solicitações urbanísticas</v>
      </c>
      <c r="C56" s="229" t="str">
        <f>'Q100a-geral'!C149</f>
        <v>x</v>
      </c>
      <c r="D56" s="322" t="str">
        <f>'Q100a-geral'!D149</f>
        <v>ANdv</v>
      </c>
      <c r="E56" s="11" t="str">
        <f>'Q100a-geral'!E149</f>
        <v>Belo Horizonte</v>
      </c>
      <c r="F56" s="445" t="str">
        <f>'Q100a-geral'!F149</f>
        <v>análises diversas envolvendo a legislação urbanística, incluindo a emissão de diretrizes viárias</v>
      </c>
      <c r="G56" s="14" t="str">
        <f>'Q100a-geral'!G149</f>
        <v>sigla</v>
      </c>
      <c r="H56" s="173" t="str">
        <f>'Q100a-geral'!H149</f>
        <v>sigla/verbete</v>
      </c>
      <c r="I56" s="57" t="str">
        <f>'Q100a-geral'!I149</f>
        <v>x</v>
      </c>
      <c r="J56" s="107" t="str">
        <f>'Q100a-geral'!J149</f>
        <v>x</v>
      </c>
      <c r="K56" s="137" t="str">
        <f>'Q100a-geral'!K149</f>
        <v>x</v>
      </c>
      <c r="L56" s="137" t="str">
        <f>'Q100a-geral'!L149</f>
        <v>x</v>
      </c>
      <c r="M56" s="137" t="str">
        <f>'Q100a-geral'!M149</f>
        <v>x</v>
      </c>
      <c r="N56" s="137" t="str">
        <f>'Q100a-geral'!N149</f>
        <v>x</v>
      </c>
      <c r="O56" s="137" t="str">
        <f>'Q100a-geral'!O149</f>
        <v>x</v>
      </c>
      <c r="P56" s="137" t="str">
        <f>'Q100a-geral'!P149</f>
        <v>x</v>
      </c>
      <c r="Q56" s="137" t="str">
        <f>'Q100a-geral'!Q149</f>
        <v>x</v>
      </c>
      <c r="R56" s="137" t="str">
        <f>'Q100a-geral'!R149</f>
        <v>x</v>
      </c>
      <c r="S56" s="109" t="str">
        <f>'Q100a-geral'!S149</f>
        <v>só para pesquisa</v>
      </c>
      <c r="T56" s="137" t="str">
        <f>'Q100a-geral'!T149</f>
        <v>x</v>
      </c>
      <c r="U56" s="137" t="str">
        <f>'Q100a-geral'!U149</f>
        <v>x</v>
      </c>
      <c r="V56" s="107" t="str">
        <f>'Q100a-geral'!V149</f>
        <v>só para pesquisa</v>
      </c>
      <c r="W56" s="137" t="str">
        <f>'Q100a-geral'!W149</f>
        <v>x</v>
      </c>
      <c r="X56" s="137" t="str">
        <f>'Q100a-geral'!X149</f>
        <v>x</v>
      </c>
      <c r="Y56" s="137" t="str">
        <f>'Q100a-geral'!Y149</f>
        <v>x</v>
      </c>
      <c r="Z56" s="137" t="str">
        <f>'Q100a-geral'!Z149</f>
        <v>x</v>
      </c>
      <c r="AA56" s="137" t="str">
        <f>'Q100a-geral'!AA149</f>
        <v>x</v>
      </c>
      <c r="AB56" s="137" t="str">
        <f>'Q100a-geral'!AB149</f>
        <v>x</v>
      </c>
      <c r="AC56" s="137" t="str">
        <f>'Q100a-geral'!AC149</f>
        <v>x</v>
      </c>
      <c r="AD56" s="137" t="str">
        <f>'Q100a-geral'!AD149</f>
        <v>x</v>
      </c>
      <c r="AE56" s="137" t="str">
        <f>'Q100a-geral'!AE149</f>
        <v>x</v>
      </c>
      <c r="AF56" s="137" t="str">
        <f>'Q100a-geral'!AF149</f>
        <v>x</v>
      </c>
      <c r="AG56" s="137" t="str">
        <f>'Q100a-geral'!AG149</f>
        <v>x</v>
      </c>
      <c r="AH56" s="137" t="str">
        <f>'Q100a-geral'!AH149</f>
        <v>x</v>
      </c>
      <c r="AI56" s="137" t="str">
        <f>'Q100a-geral'!AI149</f>
        <v>x</v>
      </c>
      <c r="AJ56" s="137" t="str">
        <f>'Q100a-geral'!AJ149</f>
        <v>x</v>
      </c>
      <c r="AK56" s="137" t="str">
        <f>'Q100a-geral'!AK149</f>
        <v>x</v>
      </c>
      <c r="AL56" s="213" t="str">
        <f>'Q100a-geral'!AL149</f>
        <v>x</v>
      </c>
      <c r="AM56" s="137" t="str">
        <f>'Q100a-geral'!AM149</f>
        <v>x</v>
      </c>
      <c r="AN56" s="137" t="str">
        <f>'Q100a-geral'!AN149</f>
        <v>x</v>
      </c>
      <c r="AO56" s="137" t="str">
        <f>'Q100a-geral'!AO149</f>
        <v>x</v>
      </c>
      <c r="AP56" s="137" t="str">
        <f>'Q100a-geral'!AP149</f>
        <v>x</v>
      </c>
      <c r="AQ56" s="137" t="str">
        <f>'Q100a-geral'!AQ149</f>
        <v>x</v>
      </c>
      <c r="AR56" s="137"/>
      <c r="AS56" s="137"/>
      <c r="AT56" s="137"/>
      <c r="AU56" s="137"/>
      <c r="AV56" s="137" t="str">
        <f>'Q100a-geral'!AV149</f>
        <v>x</v>
      </c>
      <c r="AW56" s="137"/>
      <c r="AX56" s="137"/>
      <c r="AY56" s="137"/>
      <c r="AZ56" s="137"/>
      <c r="BA56" s="137" t="str">
        <f>'Q100a-geral'!BA149</f>
        <v>x</v>
      </c>
      <c r="BB56" s="239" t="str">
        <f>'Q100a-geral'!BB149</f>
        <v>Solicitações urbanísticasx</v>
      </c>
      <c r="BC56" s="239" t="str">
        <f>'Q100a-geral'!BC149</f>
        <v>Solicitações urbanísticasxsigla/verbete</v>
      </c>
      <c r="BD56" s="239" t="str">
        <f>'Q100a-geral'!BD149</f>
        <v>Solicitações urbanísticassigla/verbete</v>
      </c>
    </row>
    <row r="57" spans="1:56" s="3" customFormat="1" ht="25.5" customHeight="1" x14ac:dyDescent="0.25">
      <c r="A57" s="275" t="str">
        <f>'Q100a-geral'!A150</f>
        <v>1.5</v>
      </c>
      <c r="B57" s="252" t="str">
        <f>'Q100a-geral'!B150</f>
        <v>Solicitações urbanísticas</v>
      </c>
      <c r="C57" s="229" t="str">
        <f>'Q100a-geral'!C150</f>
        <v>x</v>
      </c>
      <c r="D57" s="322" t="str">
        <f>'Q100a-geral'!D150</f>
        <v>ANdv(30d)</v>
      </c>
      <c r="E57" s="11" t="str">
        <f>'Q100a-geral'!E150</f>
        <v>Belo Horizonte</v>
      </c>
      <c r="F57" s="445" t="str">
        <f>'Q100a-geral'!F150</f>
        <v>n.º de ANdv finalizadas do primeiro ao último dia do período e que tenham dado entrada a menos de 30 dias após sua entrada (BHTRANS, 2015f)</v>
      </c>
      <c r="G57" s="252" t="str">
        <f>'Q100a-geral'!G150</f>
        <v>registro na fonte</v>
      </c>
      <c r="H57" s="173" t="str">
        <f>'Q100a-geral'!H150</f>
        <v>x</v>
      </c>
      <c r="I57" s="57">
        <f>'Q100a-geral'!I150</f>
        <v>1</v>
      </c>
      <c r="J57" s="107" t="str">
        <f>'Q100a-geral'!J150</f>
        <v>x</v>
      </c>
      <c r="K57" s="93" t="str">
        <f>'Q100a-geral'!K150</f>
        <v>x</v>
      </c>
      <c r="L57" s="93" t="str">
        <f>'Q100a-geral'!L150</f>
        <v>x</v>
      </c>
      <c r="M57" s="93" t="str">
        <f>'Q100a-geral'!M150</f>
        <v>x</v>
      </c>
      <c r="N57" s="93" t="str">
        <f>'Q100a-geral'!N150</f>
        <v>x</v>
      </c>
      <c r="O57" s="93" t="str">
        <f>'Q100a-geral'!O150</f>
        <v>x</v>
      </c>
      <c r="P57" s="93" t="str">
        <f>'Q100a-geral'!P150</f>
        <v>x</v>
      </c>
      <c r="Q57" s="93" t="str">
        <f>'Q100a-geral'!Q150</f>
        <v>x</v>
      </c>
      <c r="R57" s="93" t="str">
        <f>'Q100a-geral'!R150</f>
        <v>x</v>
      </c>
      <c r="S57" s="109" t="str">
        <f>'Q100a-geral'!S150</f>
        <v>só para pesquisa</v>
      </c>
      <c r="T57" s="93" t="str">
        <f>'Q100a-geral'!T150</f>
        <v>x</v>
      </c>
      <c r="U57" s="93" t="str">
        <f>'Q100a-geral'!U150</f>
        <v>x</v>
      </c>
      <c r="V57" s="107" t="str">
        <f>'Q100a-geral'!V150</f>
        <v>só para pesquisa</v>
      </c>
      <c r="W57" s="93" t="str">
        <f>'Q100a-geral'!W150</f>
        <v>x</v>
      </c>
      <c r="X57" s="93" t="str">
        <f>'Q100a-geral'!X150</f>
        <v>x</v>
      </c>
      <c r="Y57" s="93" t="str">
        <f>'Q100a-geral'!Y150</f>
        <v>x</v>
      </c>
      <c r="Z57" s="93" t="str">
        <f>'Q100a-geral'!Z150</f>
        <v>x</v>
      </c>
      <c r="AA57" s="93" t="str">
        <f>'Q100a-geral'!AA150</f>
        <v>x</v>
      </c>
      <c r="AB57" s="93" t="str">
        <f>'Q100a-geral'!AB150</f>
        <v>x</v>
      </c>
      <c r="AC57" s="93" t="str">
        <f>'Q100a-geral'!AC150</f>
        <v>x</v>
      </c>
      <c r="AD57" s="93" t="str">
        <f>'Q100a-geral'!AD150</f>
        <v>x</v>
      </c>
      <c r="AE57" s="93" t="str">
        <f>'Q100a-geral'!AE150</f>
        <v>x</v>
      </c>
      <c r="AF57" s="93" t="str">
        <f>'Q100a-geral'!AF150</f>
        <v>x</v>
      </c>
      <c r="AG57" s="84">
        <f>'Q100a-geral'!AG150</f>
        <v>26</v>
      </c>
      <c r="AH57" s="84">
        <f>'Q100a-geral'!AH150</f>
        <v>43</v>
      </c>
      <c r="AI57" s="84">
        <f>'Q100a-geral'!AI150</f>
        <v>68</v>
      </c>
      <c r="AJ57" s="84">
        <f>'Q100a-geral'!AJ150</f>
        <v>75</v>
      </c>
      <c r="AK57" s="84">
        <f>'Q100a-geral'!AK150</f>
        <v>98</v>
      </c>
      <c r="AL57" s="212" t="str">
        <f>'Q100a-geral'!AL150</f>
        <v>x</v>
      </c>
      <c r="AM57" s="137" t="str">
        <f>'Q100a-geral'!AM150</f>
        <v>x</v>
      </c>
      <c r="AN57" s="137" t="str">
        <f>'Q100a-geral'!AN150</f>
        <v>x</v>
      </c>
      <c r="AO57" s="137" t="str">
        <f>'Q100a-geral'!AO150</f>
        <v>x</v>
      </c>
      <c r="AP57" s="137" t="str">
        <f>'Q100a-geral'!AP150</f>
        <v>x</v>
      </c>
      <c r="AQ57" s="137" t="str">
        <f>'Q100a-geral'!AQ150</f>
        <v>x</v>
      </c>
      <c r="AR57" s="137"/>
      <c r="AS57" s="137"/>
      <c r="AT57" s="137"/>
      <c r="AU57" s="137"/>
      <c r="AV57" s="137" t="str">
        <f>'Q100a-geral'!AV150</f>
        <v>x</v>
      </c>
      <c r="AW57" s="137"/>
      <c r="AX57" s="137"/>
      <c r="AY57" s="137"/>
      <c r="AZ57" s="137"/>
      <c r="BA57" s="137" t="str">
        <f>'Q100a-geral'!BA150</f>
        <v>x</v>
      </c>
      <c r="BB57" s="239" t="str">
        <f>'Q100a-geral'!BB150</f>
        <v>Solicitações urbanísticasx</v>
      </c>
      <c r="BC57" s="239" t="str">
        <f>'Q100a-geral'!BC150</f>
        <v>Solicitações urbanísticasxx</v>
      </c>
      <c r="BD57" s="239" t="str">
        <f>'Q100a-geral'!BD150</f>
        <v>Solicitações urbanísticasx</v>
      </c>
    </row>
    <row r="58" spans="1:56" s="3" customFormat="1" ht="51" customHeight="1" x14ac:dyDescent="0.25">
      <c r="A58" s="275" t="str">
        <f>'Q100a-geral'!A151</f>
        <v>1.5</v>
      </c>
      <c r="B58" s="252" t="str">
        <f>'Q100a-geral'!B151</f>
        <v>Solicitações urbanísticas</v>
      </c>
      <c r="C58" s="229" t="str">
        <f>'Q100a-geral'!C151</f>
        <v>x</v>
      </c>
      <c r="D58" s="322" t="str">
        <f>'Q100a-geral'!D151</f>
        <v>ANdv(30d) em relação a ANdv(saída)</v>
      </c>
      <c r="E58" s="11" t="str">
        <f>'Q100a-geral'!E151</f>
        <v>Belo Horizonte</v>
      </c>
      <c r="F58" s="445" t="str">
        <f>'Q100a-geral'!F151</f>
        <v>celeridade na resposta dada a solicitações urbanísticas de análises diversas, obtida pela relação entre o n.º de ANdv finalizadas em menos de 30 dias em relação ao total de ANdv finalizadas no período
obs.: este indicador foi selecionado como indicador estratégico da BHTrans com a denominação de "Percentual de diretrizes viárias analisadas no prazo" (BHTRANS, 2015d)</v>
      </c>
      <c r="G58" s="78" t="str">
        <f>'Q100a-geral'!G151</f>
        <v>( ANdv(30d) /
ANdv(saída) ) 
x 100</v>
      </c>
      <c r="H58" s="173" t="str">
        <f>'Q100a-geral'!H151</f>
        <v>x</v>
      </c>
      <c r="I58" s="57">
        <f>'Q100a-geral'!I151</f>
        <v>1</v>
      </c>
      <c r="J58" s="107" t="str">
        <f>'Q100a-geral'!J151</f>
        <v>x</v>
      </c>
      <c r="K58" s="93" t="str">
        <f>'Q100a-geral'!K151</f>
        <v>x</v>
      </c>
      <c r="L58" s="93" t="str">
        <f>'Q100a-geral'!L151</f>
        <v>x</v>
      </c>
      <c r="M58" s="93" t="str">
        <f>'Q100a-geral'!M151</f>
        <v>x</v>
      </c>
      <c r="N58" s="93" t="str">
        <f>'Q100a-geral'!N151</f>
        <v>x</v>
      </c>
      <c r="O58" s="93" t="str">
        <f>'Q100a-geral'!O151</f>
        <v>x</v>
      </c>
      <c r="P58" s="93" t="str">
        <f>'Q100a-geral'!P151</f>
        <v>x</v>
      </c>
      <c r="Q58" s="93" t="str">
        <f>'Q100a-geral'!Q151</f>
        <v>x</v>
      </c>
      <c r="R58" s="93" t="str">
        <f>'Q100a-geral'!R151</f>
        <v>x</v>
      </c>
      <c r="S58" s="109" t="str">
        <f>'Q100a-geral'!S151</f>
        <v>só para pesquisa</v>
      </c>
      <c r="T58" s="93" t="str">
        <f>'Q100a-geral'!T151</f>
        <v>x</v>
      </c>
      <c r="U58" s="93" t="str">
        <f>'Q100a-geral'!U151</f>
        <v>x</v>
      </c>
      <c r="V58" s="107" t="str">
        <f>'Q100a-geral'!V151</f>
        <v>só para pesquisa</v>
      </c>
      <c r="W58" s="93" t="str">
        <f>'Q100a-geral'!W151</f>
        <v>x</v>
      </c>
      <c r="X58" s="93" t="str">
        <f>'Q100a-geral'!X151</f>
        <v>x</v>
      </c>
      <c r="Y58" s="93" t="str">
        <f>'Q100a-geral'!Y151</f>
        <v>x</v>
      </c>
      <c r="Z58" s="93" t="str">
        <f>'Q100a-geral'!Z151</f>
        <v>x</v>
      </c>
      <c r="AA58" s="93" t="str">
        <f>'Q100a-geral'!AA151</f>
        <v>x</v>
      </c>
      <c r="AB58" s="93" t="str">
        <f>'Q100a-geral'!AB151</f>
        <v>x</v>
      </c>
      <c r="AC58" s="93" t="str">
        <f>'Q100a-geral'!AC151</f>
        <v>x</v>
      </c>
      <c r="AD58" s="93" t="str">
        <f>'Q100a-geral'!AD151</f>
        <v>x</v>
      </c>
      <c r="AE58" s="93" t="str">
        <f>'Q100a-geral'!AE151</f>
        <v>x</v>
      </c>
      <c r="AF58" s="93" t="str">
        <f>'Q100a-geral'!AF151</f>
        <v>x</v>
      </c>
      <c r="AG58" s="47">
        <f>'Q100a-geral'!AG151</f>
        <v>0.52</v>
      </c>
      <c r="AH58" s="47">
        <f>'Q100a-geral'!AH151</f>
        <v>0.91489361702127658</v>
      </c>
      <c r="AI58" s="47">
        <f>'Q100a-geral'!AI151</f>
        <v>0.85</v>
      </c>
      <c r="AJ58" s="47">
        <f>'Q100a-geral'!AJ151</f>
        <v>0.78947368421052633</v>
      </c>
      <c r="AK58" s="47">
        <f>'Q100a-geral'!AK151</f>
        <v>1</v>
      </c>
      <c r="AL58" s="212" t="str">
        <f>'Q100a-geral'!AL151</f>
        <v>x</v>
      </c>
      <c r="AM58" s="137" t="str">
        <f>'Q100a-geral'!AM151</f>
        <v>x</v>
      </c>
      <c r="AN58" s="137" t="str">
        <f>'Q100a-geral'!AN151</f>
        <v>x</v>
      </c>
      <c r="AO58" s="137" t="str">
        <f>'Q100a-geral'!AO151</f>
        <v>x</v>
      </c>
      <c r="AP58" s="137" t="str">
        <f>'Q100a-geral'!AP151</f>
        <v>x</v>
      </c>
      <c r="AQ58" s="137" t="str">
        <f>'Q100a-geral'!AQ151</f>
        <v>x</v>
      </c>
      <c r="AR58" s="137"/>
      <c r="AS58" s="137"/>
      <c r="AT58" s="137"/>
      <c r="AU58" s="137"/>
      <c r="AV58" s="137" t="str">
        <f>'Q100a-geral'!AV151</f>
        <v>x</v>
      </c>
      <c r="AW58" s="137"/>
      <c r="AX58" s="137"/>
      <c r="AY58" s="137"/>
      <c r="AZ58" s="137"/>
      <c r="BA58" s="137" t="str">
        <f>'Q100a-geral'!BA151</f>
        <v>x</v>
      </c>
      <c r="BB58" s="239" t="str">
        <f>'Q100a-geral'!BB151</f>
        <v>Solicitações urbanísticasx</v>
      </c>
      <c r="BC58" s="239" t="str">
        <f>'Q100a-geral'!BC151</f>
        <v>Solicitações urbanísticasxx</v>
      </c>
      <c r="BD58" s="239" t="str">
        <f>'Q100a-geral'!BD151</f>
        <v>Solicitações urbanísticasx</v>
      </c>
    </row>
    <row r="59" spans="1:56" s="3" customFormat="1" ht="25.5" customHeight="1" x14ac:dyDescent="0.25">
      <c r="A59" s="275" t="str">
        <f>'Q100a-geral'!A152</f>
        <v>1.5</v>
      </c>
      <c r="B59" s="252" t="str">
        <f>'Q100a-geral'!B152</f>
        <v>Solicitações urbanísticas</v>
      </c>
      <c r="C59" s="229" t="str">
        <f>'Q100a-geral'!C152</f>
        <v>x</v>
      </c>
      <c r="D59" s="322" t="str">
        <f>'Q100a-geral'!D152</f>
        <v>ANdv(entrada)</v>
      </c>
      <c r="E59" s="11" t="str">
        <f>'Q100a-geral'!E152</f>
        <v>Belo Horizonte</v>
      </c>
      <c r="F59" s="445" t="str">
        <f>'Q100a-geral'!F152</f>
        <v>n.º de ANdv que deram entrada durante o período de apuração (BHTRANS, 2015f)</v>
      </c>
      <c r="G59" s="252" t="str">
        <f>'Q100a-geral'!G152</f>
        <v>registro na fonte</v>
      </c>
      <c r="H59" s="173" t="str">
        <f>'Q100a-geral'!H152</f>
        <v>x</v>
      </c>
      <c r="I59" s="57">
        <f>'Q100a-geral'!I152</f>
        <v>1</v>
      </c>
      <c r="J59" s="107" t="str">
        <f>'Q100a-geral'!J152</f>
        <v>x</v>
      </c>
      <c r="K59" s="93" t="str">
        <f>'Q100a-geral'!K152</f>
        <v>x</v>
      </c>
      <c r="L59" s="93" t="str">
        <f>'Q100a-geral'!L152</f>
        <v>x</v>
      </c>
      <c r="M59" s="93" t="str">
        <f>'Q100a-geral'!M152</f>
        <v>x</v>
      </c>
      <c r="N59" s="93" t="str">
        <f>'Q100a-geral'!N152</f>
        <v>x</v>
      </c>
      <c r="O59" s="93" t="str">
        <f>'Q100a-geral'!O152</f>
        <v>x</v>
      </c>
      <c r="P59" s="93" t="str">
        <f>'Q100a-geral'!P152</f>
        <v>x</v>
      </c>
      <c r="Q59" s="93" t="str">
        <f>'Q100a-geral'!Q152</f>
        <v>x</v>
      </c>
      <c r="R59" s="93" t="str">
        <f>'Q100a-geral'!R152</f>
        <v>x</v>
      </c>
      <c r="S59" s="109" t="str">
        <f>'Q100a-geral'!S152</f>
        <v>só para pesquisa</v>
      </c>
      <c r="T59" s="93" t="str">
        <f>'Q100a-geral'!T152</f>
        <v>x</v>
      </c>
      <c r="U59" s="93" t="str">
        <f>'Q100a-geral'!U152</f>
        <v>x</v>
      </c>
      <c r="V59" s="107" t="str">
        <f>'Q100a-geral'!V152</f>
        <v>só para pesquisa</v>
      </c>
      <c r="W59" s="93" t="str">
        <f>'Q100a-geral'!W152</f>
        <v>x</v>
      </c>
      <c r="X59" s="93" t="str">
        <f>'Q100a-geral'!X152</f>
        <v>x</v>
      </c>
      <c r="Y59" s="93" t="str">
        <f>'Q100a-geral'!Y152</f>
        <v>x</v>
      </c>
      <c r="Z59" s="93" t="str">
        <f>'Q100a-geral'!Z152</f>
        <v>x</v>
      </c>
      <c r="AA59" s="93" t="str">
        <f>'Q100a-geral'!AA152</f>
        <v>x</v>
      </c>
      <c r="AB59" s="93" t="str">
        <f>'Q100a-geral'!AB152</f>
        <v>x</v>
      </c>
      <c r="AC59" s="93" t="str">
        <f>'Q100a-geral'!AC152</f>
        <v>x</v>
      </c>
      <c r="AD59" s="93" t="str">
        <f>'Q100a-geral'!AD152</f>
        <v>x</v>
      </c>
      <c r="AE59" s="93" t="str">
        <f>'Q100a-geral'!AE152</f>
        <v>x</v>
      </c>
      <c r="AF59" s="93" t="str">
        <f>'Q100a-geral'!AF152</f>
        <v>x</v>
      </c>
      <c r="AG59" s="84">
        <f>'Q100a-geral'!AG152</f>
        <v>48</v>
      </c>
      <c r="AH59" s="84">
        <f>'Q100a-geral'!AH152</f>
        <v>76</v>
      </c>
      <c r="AI59" s="84">
        <f>'Q100a-geral'!AI152</f>
        <v>75</v>
      </c>
      <c r="AJ59" s="84">
        <f>'Q100a-geral'!AJ152</f>
        <v>58</v>
      </c>
      <c r="AK59" s="84">
        <f>'Q100a-geral'!AK152</f>
        <v>67</v>
      </c>
      <c r="AL59" s="212" t="str">
        <f>'Q100a-geral'!AL152</f>
        <v>x</v>
      </c>
      <c r="AM59" s="137" t="str">
        <f>'Q100a-geral'!AM152</f>
        <v>x</v>
      </c>
      <c r="AN59" s="137" t="str">
        <f>'Q100a-geral'!AN152</f>
        <v>x</v>
      </c>
      <c r="AO59" s="137" t="str">
        <f>'Q100a-geral'!AO152</f>
        <v>x</v>
      </c>
      <c r="AP59" s="137" t="str">
        <f>'Q100a-geral'!AP152</f>
        <v>x</v>
      </c>
      <c r="AQ59" s="137" t="str">
        <f>'Q100a-geral'!AQ152</f>
        <v>x</v>
      </c>
      <c r="AR59" s="137"/>
      <c r="AS59" s="137"/>
      <c r="AT59" s="137"/>
      <c r="AU59" s="137"/>
      <c r="AV59" s="137" t="str">
        <f>'Q100a-geral'!AV152</f>
        <v>x</v>
      </c>
      <c r="AW59" s="137"/>
      <c r="AX59" s="137"/>
      <c r="AY59" s="137"/>
      <c r="AZ59" s="137"/>
      <c r="BA59" s="137" t="str">
        <f>'Q100a-geral'!BA152</f>
        <v>x</v>
      </c>
      <c r="BB59" s="239" t="str">
        <f>'Q100a-geral'!BB152</f>
        <v>Solicitações urbanísticasx</v>
      </c>
      <c r="BC59" s="239" t="str">
        <f>'Q100a-geral'!BC152</f>
        <v>Solicitações urbanísticasxx</v>
      </c>
      <c r="BD59" s="239" t="str">
        <f>'Q100a-geral'!BD152</f>
        <v>Solicitações urbanísticasx</v>
      </c>
    </row>
    <row r="60" spans="1:56" s="3" customFormat="1" ht="38.25" customHeight="1" x14ac:dyDescent="0.25">
      <c r="A60" s="275" t="str">
        <f>'Q100a-geral'!A153</f>
        <v>1.5</v>
      </c>
      <c r="B60" s="252" t="str">
        <f>'Q100a-geral'!B153</f>
        <v>Solicitações urbanísticas</v>
      </c>
      <c r="C60" s="229" t="str">
        <f>'Q100a-geral'!C153</f>
        <v>x</v>
      </c>
      <c r="D60" s="322" t="str">
        <f>'Q100a-geral'!D153</f>
        <v>ANdv(estoque)</v>
      </c>
      <c r="E60" s="11" t="str">
        <f>'Q100a-geral'!E153</f>
        <v>Belo Horizonte</v>
      </c>
      <c r="F60" s="445" t="str">
        <f>'Q100a-geral'!F153</f>
        <v>n.º de ANdv ainda não concluídas no último dia do período de apuração, também denominado como "saldo" em alguns relatórios gerenciais (BHTRANS, 2015f)</v>
      </c>
      <c r="G60" s="252" t="str">
        <f>'Q100a-geral'!G153</f>
        <v>registro na fonte</v>
      </c>
      <c r="H60" s="173" t="str">
        <f>'Q100a-geral'!H153</f>
        <v>x</v>
      </c>
      <c r="I60" s="57">
        <f>'Q100a-geral'!I153</f>
        <v>1</v>
      </c>
      <c r="J60" s="107" t="str">
        <f>'Q100a-geral'!J153</f>
        <v>x</v>
      </c>
      <c r="K60" s="93" t="str">
        <f>'Q100a-geral'!K153</f>
        <v>x</v>
      </c>
      <c r="L60" s="93" t="str">
        <f>'Q100a-geral'!L153</f>
        <v>x</v>
      </c>
      <c r="M60" s="93" t="str">
        <f>'Q100a-geral'!M153</f>
        <v>x</v>
      </c>
      <c r="N60" s="93" t="str">
        <f>'Q100a-geral'!N153</f>
        <v>x</v>
      </c>
      <c r="O60" s="93" t="str">
        <f>'Q100a-geral'!O153</f>
        <v>x</v>
      </c>
      <c r="P60" s="93" t="str">
        <f>'Q100a-geral'!P153</f>
        <v>x</v>
      </c>
      <c r="Q60" s="93" t="str">
        <f>'Q100a-geral'!Q153</f>
        <v>x</v>
      </c>
      <c r="R60" s="93" t="str">
        <f>'Q100a-geral'!R153</f>
        <v>x</v>
      </c>
      <c r="S60" s="109" t="str">
        <f>'Q100a-geral'!S153</f>
        <v>só para pesquisa</v>
      </c>
      <c r="T60" s="93" t="str">
        <f>'Q100a-geral'!T153</f>
        <v>x</v>
      </c>
      <c r="U60" s="93" t="str">
        <f>'Q100a-geral'!U153</f>
        <v>x</v>
      </c>
      <c r="V60" s="107" t="str">
        <f>'Q100a-geral'!V153</f>
        <v>só para pesquisa</v>
      </c>
      <c r="W60" s="93" t="str">
        <f>'Q100a-geral'!W153</f>
        <v>x</v>
      </c>
      <c r="X60" s="93" t="str">
        <f>'Q100a-geral'!X153</f>
        <v>x</v>
      </c>
      <c r="Y60" s="93" t="str">
        <f>'Q100a-geral'!Y153</f>
        <v>x</v>
      </c>
      <c r="Z60" s="93" t="str">
        <f>'Q100a-geral'!Z153</f>
        <v>x</v>
      </c>
      <c r="AA60" s="93" t="str">
        <f>'Q100a-geral'!AA153</f>
        <v>x</v>
      </c>
      <c r="AB60" s="93" t="str">
        <f>'Q100a-geral'!AB153</f>
        <v>x</v>
      </c>
      <c r="AC60" s="93" t="str">
        <f>'Q100a-geral'!AC153</f>
        <v>x</v>
      </c>
      <c r="AD60" s="93" t="str">
        <f>'Q100a-geral'!AD153</f>
        <v>x</v>
      </c>
      <c r="AE60" s="93" t="str">
        <f>'Q100a-geral'!AE153</f>
        <v>x</v>
      </c>
      <c r="AF60" s="93" t="str">
        <f>'Q100a-geral'!AF153</f>
        <v>x</v>
      </c>
      <c r="AG60" s="84">
        <f>'Q100a-geral'!AG153</f>
        <v>47</v>
      </c>
      <c r="AH60" s="88">
        <f>'Q100a-geral'!AH153</f>
        <v>32</v>
      </c>
      <c r="AI60" s="84">
        <f>'Q100a-geral'!AI153</f>
        <v>31</v>
      </c>
      <c r="AJ60" s="84">
        <f>'Q100a-geral'!AJ153</f>
        <v>60</v>
      </c>
      <c r="AK60" s="84">
        <f>'Q100a-geral'!AK153</f>
        <v>35</v>
      </c>
      <c r="AL60" s="212" t="str">
        <f>'Q100a-geral'!AL153</f>
        <v>x</v>
      </c>
      <c r="AM60" s="137" t="str">
        <f>'Q100a-geral'!AM153</f>
        <v>x</v>
      </c>
      <c r="AN60" s="137" t="str">
        <f>'Q100a-geral'!AN153</f>
        <v>x</v>
      </c>
      <c r="AO60" s="137" t="str">
        <f>'Q100a-geral'!AO153</f>
        <v>x</v>
      </c>
      <c r="AP60" s="137" t="str">
        <f>'Q100a-geral'!AP153</f>
        <v>x</v>
      </c>
      <c r="AQ60" s="137" t="str">
        <f>'Q100a-geral'!AQ153</f>
        <v>x</v>
      </c>
      <c r="AR60" s="137"/>
      <c r="AS60" s="137"/>
      <c r="AT60" s="137"/>
      <c r="AU60" s="137"/>
      <c r="AV60" s="137" t="str">
        <f>'Q100a-geral'!AV153</f>
        <v>x</v>
      </c>
      <c r="AW60" s="137"/>
      <c r="AX60" s="137"/>
      <c r="AY60" s="137"/>
      <c r="AZ60" s="137"/>
      <c r="BA60" s="137" t="str">
        <f>'Q100a-geral'!BA153</f>
        <v>x</v>
      </c>
      <c r="BB60" s="239" t="str">
        <f>'Q100a-geral'!BB153</f>
        <v>Solicitações urbanísticasx</v>
      </c>
      <c r="BC60" s="239" t="str">
        <f>'Q100a-geral'!BC153</f>
        <v>Solicitações urbanísticasxx</v>
      </c>
      <c r="BD60" s="239" t="str">
        <f>'Q100a-geral'!BD153</f>
        <v>Solicitações urbanísticasx</v>
      </c>
    </row>
    <row r="61" spans="1:56" s="3" customFormat="1" ht="25.5" customHeight="1" x14ac:dyDescent="0.25">
      <c r="A61" s="275" t="str">
        <f>'Q100a-geral'!A154</f>
        <v>1.5</v>
      </c>
      <c r="B61" s="252" t="str">
        <f>'Q100a-geral'!B154</f>
        <v>Solicitações urbanísticas</v>
      </c>
      <c r="C61" s="229" t="str">
        <f>'Q100a-geral'!C154</f>
        <v>x</v>
      </c>
      <c r="D61" s="322" t="str">
        <f>'Q100a-geral'!D154</f>
        <v>ANdv(saída)</v>
      </c>
      <c r="E61" s="11" t="str">
        <f>'Q100a-geral'!E154</f>
        <v>Belo Horizonte</v>
      </c>
      <c r="F61" s="445" t="str">
        <f>'Q100a-geral'!F154</f>
        <v>n.º de ANdv finalizadas do primeiro ao último dia do período de apuração (BHTRANS, 2015f)</v>
      </c>
      <c r="G61" s="252" t="str">
        <f>'Q100a-geral'!G154</f>
        <v>registro na fonte</v>
      </c>
      <c r="H61" s="173" t="str">
        <f>'Q100a-geral'!H154</f>
        <v>x</v>
      </c>
      <c r="I61" s="57">
        <f>'Q100a-geral'!I154</f>
        <v>1</v>
      </c>
      <c r="J61" s="107" t="str">
        <f>'Q100a-geral'!J154</f>
        <v>x</v>
      </c>
      <c r="K61" s="93" t="str">
        <f>'Q100a-geral'!K154</f>
        <v>x</v>
      </c>
      <c r="L61" s="93" t="str">
        <f>'Q100a-geral'!L154</f>
        <v>x</v>
      </c>
      <c r="M61" s="93" t="str">
        <f>'Q100a-geral'!M154</f>
        <v>x</v>
      </c>
      <c r="N61" s="93" t="str">
        <f>'Q100a-geral'!N154</f>
        <v>x</v>
      </c>
      <c r="O61" s="93" t="str">
        <f>'Q100a-geral'!O154</f>
        <v>x</v>
      </c>
      <c r="P61" s="93" t="str">
        <f>'Q100a-geral'!P154</f>
        <v>x</v>
      </c>
      <c r="Q61" s="93" t="str">
        <f>'Q100a-geral'!Q154</f>
        <v>x</v>
      </c>
      <c r="R61" s="93" t="str">
        <f>'Q100a-geral'!R154</f>
        <v>x</v>
      </c>
      <c r="S61" s="109" t="str">
        <f>'Q100a-geral'!S154</f>
        <v>só para pesquisa</v>
      </c>
      <c r="T61" s="93" t="str">
        <f>'Q100a-geral'!T154</f>
        <v>x</v>
      </c>
      <c r="U61" s="93" t="str">
        <f>'Q100a-geral'!U154</f>
        <v>x</v>
      </c>
      <c r="V61" s="107" t="str">
        <f>'Q100a-geral'!V154</f>
        <v>só para pesquisa</v>
      </c>
      <c r="W61" s="93" t="str">
        <f>'Q100a-geral'!W154</f>
        <v>x</v>
      </c>
      <c r="X61" s="93" t="str">
        <f>'Q100a-geral'!X154</f>
        <v>x</v>
      </c>
      <c r="Y61" s="93" t="str">
        <f>'Q100a-geral'!Y154</f>
        <v>x</v>
      </c>
      <c r="Z61" s="93" t="str">
        <f>'Q100a-geral'!Z154</f>
        <v>x</v>
      </c>
      <c r="AA61" s="93" t="str">
        <f>'Q100a-geral'!AA154</f>
        <v>x</v>
      </c>
      <c r="AB61" s="93" t="str">
        <f>'Q100a-geral'!AB154</f>
        <v>x</v>
      </c>
      <c r="AC61" s="93" t="str">
        <f>'Q100a-geral'!AC154</f>
        <v>x</v>
      </c>
      <c r="AD61" s="93" t="str">
        <f>'Q100a-geral'!AD154</f>
        <v>x</v>
      </c>
      <c r="AE61" s="93" t="str">
        <f>'Q100a-geral'!AE154</f>
        <v>x</v>
      </c>
      <c r="AF61" s="93" t="str">
        <f>'Q100a-geral'!AF154</f>
        <v>x</v>
      </c>
      <c r="AG61" s="84">
        <f>'Q100a-geral'!AG154</f>
        <v>50</v>
      </c>
      <c r="AH61" s="84">
        <f>'Q100a-geral'!AH154</f>
        <v>47</v>
      </c>
      <c r="AI61" s="84">
        <f>'Q100a-geral'!AI154</f>
        <v>80</v>
      </c>
      <c r="AJ61" s="84">
        <f>'Q100a-geral'!AJ154</f>
        <v>95</v>
      </c>
      <c r="AK61" s="84">
        <f>'Q100a-geral'!AK154</f>
        <v>98</v>
      </c>
      <c r="AL61" s="212" t="str">
        <f>'Q100a-geral'!AL154</f>
        <v>x</v>
      </c>
      <c r="AM61" s="137" t="str">
        <f>'Q100a-geral'!AM154</f>
        <v>x</v>
      </c>
      <c r="AN61" s="137" t="str">
        <f>'Q100a-geral'!AN154</f>
        <v>x</v>
      </c>
      <c r="AO61" s="137" t="str">
        <f>'Q100a-geral'!AO154</f>
        <v>x</v>
      </c>
      <c r="AP61" s="137" t="str">
        <f>'Q100a-geral'!AP154</f>
        <v>x</v>
      </c>
      <c r="AQ61" s="137" t="str">
        <f>'Q100a-geral'!AQ154</f>
        <v>x</v>
      </c>
      <c r="AR61" s="137"/>
      <c r="AS61" s="137"/>
      <c r="AT61" s="137"/>
      <c r="AU61" s="137"/>
      <c r="AV61" s="137" t="str">
        <f>'Q100a-geral'!AV154</f>
        <v>x</v>
      </c>
      <c r="AW61" s="137"/>
      <c r="AX61" s="137"/>
      <c r="AY61" s="137"/>
      <c r="AZ61" s="137"/>
      <c r="BA61" s="137" t="str">
        <f>'Q100a-geral'!BA154</f>
        <v>x</v>
      </c>
      <c r="BB61" s="239" t="str">
        <f>'Q100a-geral'!BB154</f>
        <v>Solicitações urbanísticasx</v>
      </c>
      <c r="BC61" s="239" t="str">
        <f>'Q100a-geral'!BC154</f>
        <v>Solicitações urbanísticasxx</v>
      </c>
      <c r="BD61" s="239" t="str">
        <f>'Q100a-geral'!BD154</f>
        <v>Solicitações urbanísticasx</v>
      </c>
    </row>
    <row r="62" spans="1:56" s="3" customFormat="1" ht="25.5" customHeight="1" x14ac:dyDescent="0.25">
      <c r="A62" s="275" t="str">
        <f>'Q100a-geral'!A155</f>
        <v>1.5</v>
      </c>
      <c r="B62" s="252" t="str">
        <f>'Q100a-geral'!B155</f>
        <v>Solicitações urbanísticas</v>
      </c>
      <c r="C62" s="229" t="str">
        <f>'Q100a-geral'!C155</f>
        <v>x</v>
      </c>
      <c r="D62" s="322" t="str">
        <f>'Q100a-geral'!D155</f>
        <v>ANei</v>
      </c>
      <c r="E62" s="11" t="str">
        <f>'Q100a-geral'!E155</f>
        <v>Belo Horizonte</v>
      </c>
      <c r="F62" s="445" t="str">
        <f>'Q100a-geral'!F155</f>
        <v>análises de empreendimentos de impacto para licenciamento ambiental e urbanístico</v>
      </c>
      <c r="G62" s="14" t="str">
        <f>'Q100a-geral'!G155</f>
        <v>sigla</v>
      </c>
      <c r="H62" s="173" t="str">
        <f>'Q100a-geral'!H155</f>
        <v>sigla/verbete</v>
      </c>
      <c r="I62" s="57" t="str">
        <f>'Q100a-geral'!I155</f>
        <v>x</v>
      </c>
      <c r="J62" s="109" t="str">
        <f>'Q100a-geral'!J155</f>
        <v>x</v>
      </c>
      <c r="K62" s="109" t="str">
        <f>'Q100a-geral'!K155</f>
        <v>x</v>
      </c>
      <c r="L62" s="109" t="str">
        <f>'Q100a-geral'!L155</f>
        <v>x</v>
      </c>
      <c r="M62" s="109" t="str">
        <f>'Q100a-geral'!M155</f>
        <v>x</v>
      </c>
      <c r="N62" s="109" t="str">
        <f>'Q100a-geral'!N155</f>
        <v>x</v>
      </c>
      <c r="O62" s="109" t="str">
        <f>'Q100a-geral'!O155</f>
        <v>x</v>
      </c>
      <c r="P62" s="109" t="str">
        <f>'Q100a-geral'!P155</f>
        <v>x</v>
      </c>
      <c r="Q62" s="109" t="str">
        <f>'Q100a-geral'!Q155</f>
        <v>x</v>
      </c>
      <c r="R62" s="109" t="str">
        <f>'Q100a-geral'!R155</f>
        <v>x</v>
      </c>
      <c r="S62" s="109" t="str">
        <f>'Q100a-geral'!S155</f>
        <v>só para pesquisa</v>
      </c>
      <c r="T62" s="109" t="str">
        <f>'Q100a-geral'!T155</f>
        <v>x</v>
      </c>
      <c r="U62" s="109" t="str">
        <f>'Q100a-geral'!U155</f>
        <v>x</v>
      </c>
      <c r="V62" s="109" t="str">
        <f>'Q100a-geral'!V155</f>
        <v>só para pesquisa</v>
      </c>
      <c r="W62" s="109" t="str">
        <f>'Q100a-geral'!W155</f>
        <v>x</v>
      </c>
      <c r="X62" s="109" t="str">
        <f>'Q100a-geral'!X155</f>
        <v>x</v>
      </c>
      <c r="Y62" s="109" t="str">
        <f>'Q100a-geral'!Y155</f>
        <v>x</v>
      </c>
      <c r="Z62" s="109" t="str">
        <f>'Q100a-geral'!Z155</f>
        <v>x</v>
      </c>
      <c r="AA62" s="109" t="str">
        <f>'Q100a-geral'!AA155</f>
        <v>x</v>
      </c>
      <c r="AB62" s="109" t="str">
        <f>'Q100a-geral'!AB155</f>
        <v>x</v>
      </c>
      <c r="AC62" s="109" t="str">
        <f>'Q100a-geral'!AC155</f>
        <v>x</v>
      </c>
      <c r="AD62" s="109" t="str">
        <f>'Q100a-geral'!AD155</f>
        <v>x</v>
      </c>
      <c r="AE62" s="109" t="str">
        <f>'Q100a-geral'!AE155</f>
        <v>x</v>
      </c>
      <c r="AF62" s="109" t="str">
        <f>'Q100a-geral'!AF155</f>
        <v>x</v>
      </c>
      <c r="AG62" s="109" t="str">
        <f>'Q100a-geral'!AG155</f>
        <v>x</v>
      </c>
      <c r="AH62" s="109" t="str">
        <f>'Q100a-geral'!AH155</f>
        <v>x</v>
      </c>
      <c r="AI62" s="109" t="str">
        <f>'Q100a-geral'!AI155</f>
        <v>x</v>
      </c>
      <c r="AJ62" s="109" t="str">
        <f>'Q100a-geral'!AJ155</f>
        <v>x</v>
      </c>
      <c r="AK62" s="137" t="str">
        <f>'Q100a-geral'!AK155</f>
        <v>x</v>
      </c>
      <c r="AL62" s="213" t="str">
        <f>'Q100a-geral'!AL155</f>
        <v>x</v>
      </c>
      <c r="AM62" s="137" t="str">
        <f>'Q100a-geral'!AM155</f>
        <v>x</v>
      </c>
      <c r="AN62" s="137" t="str">
        <f>'Q100a-geral'!AN155</f>
        <v>x</v>
      </c>
      <c r="AO62" s="137" t="str">
        <f>'Q100a-geral'!AO155</f>
        <v>x</v>
      </c>
      <c r="AP62" s="137" t="str">
        <f>'Q100a-geral'!AP155</f>
        <v>x</v>
      </c>
      <c r="AQ62" s="137" t="str">
        <f>'Q100a-geral'!AQ155</f>
        <v>x</v>
      </c>
      <c r="AR62" s="137"/>
      <c r="AS62" s="137"/>
      <c r="AT62" s="137"/>
      <c r="AU62" s="137"/>
      <c r="AV62" s="137" t="str">
        <f>'Q100a-geral'!AV155</f>
        <v>x</v>
      </c>
      <c r="AW62" s="137"/>
      <c r="AX62" s="137"/>
      <c r="AY62" s="137"/>
      <c r="AZ62" s="137"/>
      <c r="BA62" s="137" t="str">
        <f>'Q100a-geral'!BA155</f>
        <v>x</v>
      </c>
      <c r="BB62" s="239" t="str">
        <f>'Q100a-geral'!BB155</f>
        <v>Solicitações urbanísticasx</v>
      </c>
      <c r="BC62" s="239" t="str">
        <f>'Q100a-geral'!BC155</f>
        <v>Solicitações urbanísticasxsigla/verbete</v>
      </c>
      <c r="BD62" s="239" t="str">
        <f>'Q100a-geral'!BD155</f>
        <v>Solicitações urbanísticassigla/verbete</v>
      </c>
    </row>
    <row r="63" spans="1:56" s="3" customFormat="1" ht="25.5" customHeight="1" x14ac:dyDescent="0.25">
      <c r="A63" s="275" t="str">
        <f>'Q100a-geral'!A156</f>
        <v>1.5</v>
      </c>
      <c r="B63" s="252" t="str">
        <f>'Q100a-geral'!B156</f>
        <v>Solicitações urbanísticas</v>
      </c>
      <c r="C63" s="229" t="str">
        <f>'Q100a-geral'!C156</f>
        <v>x</v>
      </c>
      <c r="D63" s="322" t="str">
        <f>'Q100a-geral'!D156</f>
        <v>ANei(30d)</v>
      </c>
      <c r="E63" s="11" t="str">
        <f>'Q100a-geral'!E156</f>
        <v>Belo Horizonte</v>
      </c>
      <c r="F63" s="445" t="str">
        <f>'Q100a-geral'!F156</f>
        <v>n.º de ANei finalizadas do primeiro ao último dia do período e que tenham dado entrada a menos de 30 dias após sua entrada (BHTRANS, 2015f)</v>
      </c>
      <c r="G63" s="252" t="str">
        <f>'Q100a-geral'!G156</f>
        <v>registro na fonte</v>
      </c>
      <c r="H63" s="173" t="str">
        <f>'Q100a-geral'!H156</f>
        <v>x</v>
      </c>
      <c r="I63" s="57">
        <f>'Q100a-geral'!I156</f>
        <v>1</v>
      </c>
      <c r="J63" s="107" t="str">
        <f>'Q100a-geral'!J156</f>
        <v>x</v>
      </c>
      <c r="K63" s="93" t="str">
        <f>'Q100a-geral'!K156</f>
        <v>x</v>
      </c>
      <c r="L63" s="93" t="str">
        <f>'Q100a-geral'!L156</f>
        <v>x</v>
      </c>
      <c r="M63" s="93" t="str">
        <f>'Q100a-geral'!M156</f>
        <v>x</v>
      </c>
      <c r="N63" s="93" t="str">
        <f>'Q100a-geral'!N156</f>
        <v>x</v>
      </c>
      <c r="O63" s="93" t="str">
        <f>'Q100a-geral'!O156</f>
        <v>x</v>
      </c>
      <c r="P63" s="93" t="str">
        <f>'Q100a-geral'!P156</f>
        <v>x</v>
      </c>
      <c r="Q63" s="93" t="str">
        <f>'Q100a-geral'!Q156</f>
        <v>x</v>
      </c>
      <c r="R63" s="93" t="str">
        <f>'Q100a-geral'!R156</f>
        <v>x</v>
      </c>
      <c r="S63" s="109" t="str">
        <f>'Q100a-geral'!S156</f>
        <v>só para pesquisa</v>
      </c>
      <c r="T63" s="93" t="str">
        <f>'Q100a-geral'!T156</f>
        <v>x</v>
      </c>
      <c r="U63" s="93" t="str">
        <f>'Q100a-geral'!U156</f>
        <v>x</v>
      </c>
      <c r="V63" s="107" t="str">
        <f>'Q100a-geral'!V156</f>
        <v>só para pesquisa</v>
      </c>
      <c r="W63" s="93" t="str">
        <f>'Q100a-geral'!W156</f>
        <v>x</v>
      </c>
      <c r="X63" s="93" t="str">
        <f>'Q100a-geral'!X156</f>
        <v>x</v>
      </c>
      <c r="Y63" s="93" t="str">
        <f>'Q100a-geral'!Y156</f>
        <v>x</v>
      </c>
      <c r="Z63" s="93" t="str">
        <f>'Q100a-geral'!Z156</f>
        <v>x</v>
      </c>
      <c r="AA63" s="93" t="str">
        <f>'Q100a-geral'!AA156</f>
        <v>x</v>
      </c>
      <c r="AB63" s="93" t="str">
        <f>'Q100a-geral'!AB156</f>
        <v>x</v>
      </c>
      <c r="AC63" s="93" t="str">
        <f>'Q100a-geral'!AC156</f>
        <v>x</v>
      </c>
      <c r="AD63" s="93" t="str">
        <f>'Q100a-geral'!AD156</f>
        <v>x</v>
      </c>
      <c r="AE63" s="93" t="str">
        <f>'Q100a-geral'!AE156</f>
        <v>x</v>
      </c>
      <c r="AF63" s="93" t="str">
        <f>'Q100a-geral'!AF156</f>
        <v>x</v>
      </c>
      <c r="AG63" s="84">
        <f>'Q100a-geral'!AG156</f>
        <v>15</v>
      </c>
      <c r="AH63" s="84">
        <f>'Q100a-geral'!AH156</f>
        <v>15</v>
      </c>
      <c r="AI63" s="84">
        <f>'Q100a-geral'!AI156</f>
        <v>21</v>
      </c>
      <c r="AJ63" s="84">
        <f>'Q100a-geral'!AJ156</f>
        <v>25</v>
      </c>
      <c r="AK63" s="84">
        <f>'Q100a-geral'!AK156</f>
        <v>33</v>
      </c>
      <c r="AL63" s="212" t="str">
        <f>'Q100a-geral'!AL156</f>
        <v>x</v>
      </c>
      <c r="AM63" s="137" t="str">
        <f>'Q100a-geral'!AM156</f>
        <v>x</v>
      </c>
      <c r="AN63" s="137" t="str">
        <f>'Q100a-geral'!AN156</f>
        <v>x</v>
      </c>
      <c r="AO63" s="137" t="str">
        <f>'Q100a-geral'!AO156</f>
        <v>x</v>
      </c>
      <c r="AP63" s="137" t="str">
        <f>'Q100a-geral'!AP156</f>
        <v>x</v>
      </c>
      <c r="AQ63" s="137" t="str">
        <f>'Q100a-geral'!AQ156</f>
        <v>x</v>
      </c>
      <c r="AR63" s="137"/>
      <c r="AS63" s="137"/>
      <c r="AT63" s="137"/>
      <c r="AU63" s="137"/>
      <c r="AV63" s="137" t="str">
        <f>'Q100a-geral'!AV156</f>
        <v>x</v>
      </c>
      <c r="AW63" s="137"/>
      <c r="AX63" s="137"/>
      <c r="AY63" s="137"/>
      <c r="AZ63" s="137"/>
      <c r="BA63" s="137" t="str">
        <f>'Q100a-geral'!BA156</f>
        <v>x</v>
      </c>
      <c r="BB63" s="239" t="str">
        <f>'Q100a-geral'!BB156</f>
        <v>Solicitações urbanísticasx</v>
      </c>
      <c r="BC63" s="239" t="str">
        <f>'Q100a-geral'!BC156</f>
        <v>Solicitações urbanísticasxx</v>
      </c>
      <c r="BD63" s="239" t="str">
        <f>'Q100a-geral'!BD156</f>
        <v>Solicitações urbanísticasx</v>
      </c>
    </row>
    <row r="64" spans="1:56" s="3" customFormat="1" ht="51" customHeight="1" x14ac:dyDescent="0.25">
      <c r="A64" s="275" t="str">
        <f>'Q100a-geral'!A157</f>
        <v>1.5</v>
      </c>
      <c r="B64" s="252" t="str">
        <f>'Q100a-geral'!B157</f>
        <v>Solicitações urbanísticas</v>
      </c>
      <c r="C64" s="229" t="str">
        <f>'Q100a-geral'!C157</f>
        <v>x</v>
      </c>
      <c r="D64" s="322" t="str">
        <f>'Q100a-geral'!D157</f>
        <v>ANei(30d) em relação a ANei(saída)</v>
      </c>
      <c r="E64" s="11" t="str">
        <f>'Q100a-geral'!E157</f>
        <v>Belo Horizonte</v>
      </c>
      <c r="F64" s="445" t="str">
        <f>'Q100a-geral'!F157</f>
        <v>celeridade na resposta dada a solicitações de análise de empreendimentos de impacto, obtida pela relação entre o n.º de ANei finalizadas em menos de 30 dias e o n.º total de ANei finalizadas no período
obs.: este indicador foi selecionado como indicador estratégico da BHTrans com a denominação de "Percentual de empreendimentos de impacto analisados no prazo" (BHTRANS, 2015d)</v>
      </c>
      <c r="G64" s="78" t="str">
        <f>'Q100a-geral'!G157</f>
        <v>( ANei(30d) /
ANei(saída) )
x 100</v>
      </c>
      <c r="H64" s="173" t="str">
        <f>'Q100a-geral'!H157</f>
        <v>x</v>
      </c>
      <c r="I64" s="57">
        <f>'Q100a-geral'!I157</f>
        <v>1</v>
      </c>
      <c r="J64" s="107" t="str">
        <f>'Q100a-geral'!J157</f>
        <v>x</v>
      </c>
      <c r="K64" s="93" t="str">
        <f>'Q100a-geral'!K157</f>
        <v>x</v>
      </c>
      <c r="L64" s="93" t="str">
        <f>'Q100a-geral'!L157</f>
        <v>x</v>
      </c>
      <c r="M64" s="93" t="str">
        <f>'Q100a-geral'!M157</f>
        <v>x</v>
      </c>
      <c r="N64" s="93" t="str">
        <f>'Q100a-geral'!N157</f>
        <v>x</v>
      </c>
      <c r="O64" s="93" t="str">
        <f>'Q100a-geral'!O157</f>
        <v>x</v>
      </c>
      <c r="P64" s="93" t="str">
        <f>'Q100a-geral'!P157</f>
        <v>x</v>
      </c>
      <c r="Q64" s="93" t="str">
        <f>'Q100a-geral'!Q157</f>
        <v>x</v>
      </c>
      <c r="R64" s="93" t="str">
        <f>'Q100a-geral'!R157</f>
        <v>x</v>
      </c>
      <c r="S64" s="109" t="str">
        <f>'Q100a-geral'!S157</f>
        <v>só para pesquisa</v>
      </c>
      <c r="T64" s="93" t="str">
        <f>'Q100a-geral'!T157</f>
        <v>x</v>
      </c>
      <c r="U64" s="93" t="str">
        <f>'Q100a-geral'!U157</f>
        <v>x</v>
      </c>
      <c r="V64" s="107" t="str">
        <f>'Q100a-geral'!V157</f>
        <v>só para pesquisa</v>
      </c>
      <c r="W64" s="93" t="str">
        <f>'Q100a-geral'!W157</f>
        <v>x</v>
      </c>
      <c r="X64" s="93" t="str">
        <f>'Q100a-geral'!X157</f>
        <v>x</v>
      </c>
      <c r="Y64" s="93" t="str">
        <f>'Q100a-geral'!Y157</f>
        <v>x</v>
      </c>
      <c r="Z64" s="93" t="str">
        <f>'Q100a-geral'!Z157</f>
        <v>x</v>
      </c>
      <c r="AA64" s="93" t="str">
        <f>'Q100a-geral'!AA157</f>
        <v>x</v>
      </c>
      <c r="AB64" s="93" t="str">
        <f>'Q100a-geral'!AB157</f>
        <v>x</v>
      </c>
      <c r="AC64" s="93" t="str">
        <f>'Q100a-geral'!AC157</f>
        <v>x</v>
      </c>
      <c r="AD64" s="93" t="str">
        <f>'Q100a-geral'!AD157</f>
        <v>x</v>
      </c>
      <c r="AE64" s="93" t="str">
        <f>'Q100a-geral'!AE157</f>
        <v>x</v>
      </c>
      <c r="AF64" s="93" t="str">
        <f>'Q100a-geral'!AF157</f>
        <v>x</v>
      </c>
      <c r="AG64" s="47">
        <f>'Q100a-geral'!AG157</f>
        <v>0.4838709677419355</v>
      </c>
      <c r="AH64" s="47">
        <f>'Q100a-geral'!AH157</f>
        <v>0.65217391304347827</v>
      </c>
      <c r="AI64" s="47">
        <f>'Q100a-geral'!AI157</f>
        <v>0.80769230769230771</v>
      </c>
      <c r="AJ64" s="47">
        <f>'Q100a-geral'!AJ157</f>
        <v>0.75757575757575757</v>
      </c>
      <c r="AK64" s="47">
        <f>'Q100a-geral'!AK157</f>
        <v>0.73333333333333328</v>
      </c>
      <c r="AL64" s="212" t="str">
        <f>'Q100a-geral'!AL157</f>
        <v>x</v>
      </c>
      <c r="AM64" s="137" t="str">
        <f>'Q100a-geral'!AM157</f>
        <v>x</v>
      </c>
      <c r="AN64" s="137" t="str">
        <f>'Q100a-geral'!AN157</f>
        <v>x</v>
      </c>
      <c r="AO64" s="137" t="str">
        <f>'Q100a-geral'!AO157</f>
        <v>x</v>
      </c>
      <c r="AP64" s="137" t="str">
        <f>'Q100a-geral'!AP157</f>
        <v>x</v>
      </c>
      <c r="AQ64" s="137" t="str">
        <f>'Q100a-geral'!AQ157</f>
        <v>x</v>
      </c>
      <c r="AR64" s="137"/>
      <c r="AS64" s="137"/>
      <c r="AT64" s="137"/>
      <c r="AU64" s="137"/>
      <c r="AV64" s="137" t="str">
        <f>'Q100a-geral'!AV157</f>
        <v>x</v>
      </c>
      <c r="AW64" s="137"/>
      <c r="AX64" s="137"/>
      <c r="AY64" s="137"/>
      <c r="AZ64" s="137"/>
      <c r="BA64" s="137" t="str">
        <f>'Q100a-geral'!BA157</f>
        <v>x</v>
      </c>
      <c r="BB64" s="239" t="str">
        <f>'Q100a-geral'!BB157</f>
        <v>Solicitações urbanísticasx</v>
      </c>
      <c r="BC64" s="239" t="str">
        <f>'Q100a-geral'!BC157</f>
        <v>Solicitações urbanísticasxx</v>
      </c>
      <c r="BD64" s="239" t="str">
        <f>'Q100a-geral'!BD157</f>
        <v>Solicitações urbanísticasx</v>
      </c>
    </row>
    <row r="65" spans="1:56" s="3" customFormat="1" ht="25.5" customHeight="1" x14ac:dyDescent="0.25">
      <c r="A65" s="275" t="str">
        <f>'Q100a-geral'!A158</f>
        <v>1.5</v>
      </c>
      <c r="B65" s="252" t="str">
        <f>'Q100a-geral'!B158</f>
        <v>Solicitações urbanísticas</v>
      </c>
      <c r="C65" s="229" t="str">
        <f>'Q100a-geral'!C158</f>
        <v>x</v>
      </c>
      <c r="D65" s="322" t="str">
        <f>'Q100a-geral'!D158</f>
        <v>ANei(entrada)</v>
      </c>
      <c r="E65" s="11" t="str">
        <f>'Q100a-geral'!E158</f>
        <v>Belo Horizonte</v>
      </c>
      <c r="F65" s="445" t="str">
        <f>'Q100a-geral'!F158</f>
        <v>n.º de ANei que deram entrada durante o período de apuração (BHTRANS, 2015f)</v>
      </c>
      <c r="G65" s="252" t="str">
        <f>'Q100a-geral'!G158</f>
        <v>registro na fonte</v>
      </c>
      <c r="H65" s="173" t="str">
        <f>'Q100a-geral'!H158</f>
        <v>x</v>
      </c>
      <c r="I65" s="57">
        <f>'Q100a-geral'!I158</f>
        <v>1</v>
      </c>
      <c r="J65" s="107" t="str">
        <f>'Q100a-geral'!J158</f>
        <v>x</v>
      </c>
      <c r="K65" s="93" t="str">
        <f>'Q100a-geral'!K158</f>
        <v>x</v>
      </c>
      <c r="L65" s="93" t="str">
        <f>'Q100a-geral'!L158</f>
        <v>x</v>
      </c>
      <c r="M65" s="93" t="str">
        <f>'Q100a-geral'!M158</f>
        <v>x</v>
      </c>
      <c r="N65" s="93" t="str">
        <f>'Q100a-geral'!N158</f>
        <v>x</v>
      </c>
      <c r="O65" s="93" t="str">
        <f>'Q100a-geral'!O158</f>
        <v>x</v>
      </c>
      <c r="P65" s="93" t="str">
        <f>'Q100a-geral'!P158</f>
        <v>x</v>
      </c>
      <c r="Q65" s="93" t="str">
        <f>'Q100a-geral'!Q158</f>
        <v>x</v>
      </c>
      <c r="R65" s="93" t="str">
        <f>'Q100a-geral'!R158</f>
        <v>x</v>
      </c>
      <c r="S65" s="109" t="str">
        <f>'Q100a-geral'!S158</f>
        <v>só para pesquisa</v>
      </c>
      <c r="T65" s="93" t="str">
        <f>'Q100a-geral'!T158</f>
        <v>x</v>
      </c>
      <c r="U65" s="93" t="str">
        <f>'Q100a-geral'!U158</f>
        <v>x</v>
      </c>
      <c r="V65" s="107" t="str">
        <f>'Q100a-geral'!V158</f>
        <v>só para pesquisa</v>
      </c>
      <c r="W65" s="93" t="str">
        <f>'Q100a-geral'!W158</f>
        <v>x</v>
      </c>
      <c r="X65" s="93" t="str">
        <f>'Q100a-geral'!X158</f>
        <v>x</v>
      </c>
      <c r="Y65" s="93" t="str">
        <f>'Q100a-geral'!Y158</f>
        <v>x</v>
      </c>
      <c r="Z65" s="93" t="str">
        <f>'Q100a-geral'!Z158</f>
        <v>x</v>
      </c>
      <c r="AA65" s="93" t="str">
        <f>'Q100a-geral'!AA158</f>
        <v>x</v>
      </c>
      <c r="AB65" s="93" t="str">
        <f>'Q100a-geral'!AB158</f>
        <v>x</v>
      </c>
      <c r="AC65" s="93" t="str">
        <f>'Q100a-geral'!AC158</f>
        <v>x</v>
      </c>
      <c r="AD65" s="93" t="str">
        <f>'Q100a-geral'!AD158</f>
        <v>x</v>
      </c>
      <c r="AE65" s="93" t="str">
        <f>'Q100a-geral'!AE158</f>
        <v>x</v>
      </c>
      <c r="AF65" s="93" t="str">
        <f>'Q100a-geral'!AF158</f>
        <v>x</v>
      </c>
      <c r="AG65" s="84">
        <f>'Q100a-geral'!AG158</f>
        <v>35</v>
      </c>
      <c r="AH65" s="84">
        <f>'Q100a-geral'!AH158</f>
        <v>27</v>
      </c>
      <c r="AI65" s="84">
        <f>'Q100a-geral'!AI158</f>
        <v>29</v>
      </c>
      <c r="AJ65" s="84">
        <f>'Q100a-geral'!AJ158</f>
        <v>26</v>
      </c>
      <c r="AK65" s="84">
        <f>'Q100a-geral'!AK158</f>
        <v>29</v>
      </c>
      <c r="AL65" s="212" t="str">
        <f>'Q100a-geral'!AL158</f>
        <v>x</v>
      </c>
      <c r="AM65" s="137" t="str">
        <f>'Q100a-geral'!AM158</f>
        <v>x</v>
      </c>
      <c r="AN65" s="137" t="str">
        <f>'Q100a-geral'!AN158</f>
        <v>x</v>
      </c>
      <c r="AO65" s="137" t="str">
        <f>'Q100a-geral'!AO158</f>
        <v>x</v>
      </c>
      <c r="AP65" s="137" t="str">
        <f>'Q100a-geral'!AP158</f>
        <v>x</v>
      </c>
      <c r="AQ65" s="137" t="str">
        <f>'Q100a-geral'!AQ158</f>
        <v>x</v>
      </c>
      <c r="AR65" s="137"/>
      <c r="AS65" s="137"/>
      <c r="AT65" s="137"/>
      <c r="AU65" s="137"/>
      <c r="AV65" s="137" t="str">
        <f>'Q100a-geral'!AV158</f>
        <v>x</v>
      </c>
      <c r="AW65" s="137"/>
      <c r="AX65" s="137"/>
      <c r="AY65" s="137"/>
      <c r="AZ65" s="137"/>
      <c r="BA65" s="137" t="str">
        <f>'Q100a-geral'!BA158</f>
        <v>x</v>
      </c>
      <c r="BB65" s="239" t="str">
        <f>'Q100a-geral'!BB158</f>
        <v>Solicitações urbanísticasx</v>
      </c>
      <c r="BC65" s="239" t="str">
        <f>'Q100a-geral'!BC158</f>
        <v>Solicitações urbanísticasxx</v>
      </c>
      <c r="BD65" s="239" t="str">
        <f>'Q100a-geral'!BD158</f>
        <v>Solicitações urbanísticasx</v>
      </c>
    </row>
    <row r="66" spans="1:56" s="3" customFormat="1" ht="38.25" customHeight="1" x14ac:dyDescent="0.25">
      <c r="A66" s="275" t="str">
        <f>'Q100a-geral'!A159</f>
        <v>1.5</v>
      </c>
      <c r="B66" s="252" t="str">
        <f>'Q100a-geral'!B159</f>
        <v>Solicitações urbanísticas</v>
      </c>
      <c r="C66" s="229" t="str">
        <f>'Q100a-geral'!C159</f>
        <v>x</v>
      </c>
      <c r="D66" s="322" t="str">
        <f>'Q100a-geral'!D159</f>
        <v>ANei(estoque)</v>
      </c>
      <c r="E66" s="11" t="str">
        <f>'Q100a-geral'!E159</f>
        <v>Belo Horizonte</v>
      </c>
      <c r="F66" s="445" t="str">
        <f>'Q100a-geral'!F159</f>
        <v>n.º de ANei ainda não concluídas no último dia do período de apuração, também denominado como "saldo" em alguns relatórios gerenciais (BHTRANS, 2015f)</v>
      </c>
      <c r="G66" s="252" t="str">
        <f>'Q100a-geral'!G159</f>
        <v>registro na fonte</v>
      </c>
      <c r="H66" s="173" t="str">
        <f>'Q100a-geral'!H159</f>
        <v>x</v>
      </c>
      <c r="I66" s="57">
        <f>'Q100a-geral'!I159</f>
        <v>1</v>
      </c>
      <c r="J66" s="107" t="str">
        <f>'Q100a-geral'!J159</f>
        <v>x</v>
      </c>
      <c r="K66" s="93" t="str">
        <f>'Q100a-geral'!K159</f>
        <v>x</v>
      </c>
      <c r="L66" s="93" t="str">
        <f>'Q100a-geral'!L159</f>
        <v>x</v>
      </c>
      <c r="M66" s="93" t="str">
        <f>'Q100a-geral'!M159</f>
        <v>x</v>
      </c>
      <c r="N66" s="93" t="str">
        <f>'Q100a-geral'!N159</f>
        <v>x</v>
      </c>
      <c r="O66" s="93" t="str">
        <f>'Q100a-geral'!O159</f>
        <v>x</v>
      </c>
      <c r="P66" s="93" t="str">
        <f>'Q100a-geral'!P159</f>
        <v>x</v>
      </c>
      <c r="Q66" s="93" t="str">
        <f>'Q100a-geral'!Q159</f>
        <v>x</v>
      </c>
      <c r="R66" s="93" t="str">
        <f>'Q100a-geral'!R159</f>
        <v>x</v>
      </c>
      <c r="S66" s="109" t="str">
        <f>'Q100a-geral'!S159</f>
        <v>só para pesquisa</v>
      </c>
      <c r="T66" s="93" t="str">
        <f>'Q100a-geral'!T159</f>
        <v>x</v>
      </c>
      <c r="U66" s="93" t="str">
        <f>'Q100a-geral'!U159</f>
        <v>x</v>
      </c>
      <c r="V66" s="107" t="str">
        <f>'Q100a-geral'!V159</f>
        <v>só para pesquisa</v>
      </c>
      <c r="W66" s="93" t="str">
        <f>'Q100a-geral'!W159</f>
        <v>x</v>
      </c>
      <c r="X66" s="93" t="str">
        <f>'Q100a-geral'!X159</f>
        <v>x</v>
      </c>
      <c r="Y66" s="93" t="str">
        <f>'Q100a-geral'!Y159</f>
        <v>x</v>
      </c>
      <c r="Z66" s="93" t="str">
        <f>'Q100a-geral'!Z159</f>
        <v>x</v>
      </c>
      <c r="AA66" s="93" t="str">
        <f>'Q100a-geral'!AA159</f>
        <v>x</v>
      </c>
      <c r="AB66" s="93" t="str">
        <f>'Q100a-geral'!AB159</f>
        <v>x</v>
      </c>
      <c r="AC66" s="93" t="str">
        <f>'Q100a-geral'!AC159</f>
        <v>x</v>
      </c>
      <c r="AD66" s="93" t="str">
        <f>'Q100a-geral'!AD159</f>
        <v>x</v>
      </c>
      <c r="AE66" s="93" t="str">
        <f>'Q100a-geral'!AE159</f>
        <v>x</v>
      </c>
      <c r="AF66" s="93" t="str">
        <f>'Q100a-geral'!AF159</f>
        <v>x</v>
      </c>
      <c r="AG66" s="84">
        <f>'Q100a-geral'!AG159</f>
        <v>32</v>
      </c>
      <c r="AH66" s="84">
        <f>'Q100a-geral'!AH159</f>
        <v>30</v>
      </c>
      <c r="AI66" s="84">
        <f>'Q100a-geral'!AI159</f>
        <v>17</v>
      </c>
      <c r="AJ66" s="84">
        <f>'Q100a-geral'!AJ159</f>
        <v>19</v>
      </c>
      <c r="AK66" s="84">
        <f>'Q100a-geral'!AK159</f>
        <v>28</v>
      </c>
      <c r="AL66" s="212" t="str">
        <f>'Q100a-geral'!AL159</f>
        <v>x</v>
      </c>
      <c r="AM66" s="137" t="str">
        <f>'Q100a-geral'!AM159</f>
        <v>x</v>
      </c>
      <c r="AN66" s="137" t="str">
        <f>'Q100a-geral'!AN159</f>
        <v>x</v>
      </c>
      <c r="AO66" s="137" t="str">
        <f>'Q100a-geral'!AO159</f>
        <v>x</v>
      </c>
      <c r="AP66" s="137" t="str">
        <f>'Q100a-geral'!AP159</f>
        <v>x</v>
      </c>
      <c r="AQ66" s="137" t="str">
        <f>'Q100a-geral'!AQ159</f>
        <v>x</v>
      </c>
      <c r="AR66" s="137"/>
      <c r="AS66" s="137"/>
      <c r="AT66" s="137"/>
      <c r="AU66" s="137"/>
      <c r="AV66" s="137" t="str">
        <f>'Q100a-geral'!AV159</f>
        <v>x</v>
      </c>
      <c r="AW66" s="137"/>
      <c r="AX66" s="137"/>
      <c r="AY66" s="137"/>
      <c r="AZ66" s="137"/>
      <c r="BA66" s="137" t="str">
        <f>'Q100a-geral'!BA159</f>
        <v>x</v>
      </c>
      <c r="BB66" s="239" t="str">
        <f>'Q100a-geral'!BB159</f>
        <v>Solicitações urbanísticasx</v>
      </c>
      <c r="BC66" s="239" t="str">
        <f>'Q100a-geral'!BC159</f>
        <v>Solicitações urbanísticasxx</v>
      </c>
      <c r="BD66" s="239" t="str">
        <f>'Q100a-geral'!BD159</f>
        <v>Solicitações urbanísticasx</v>
      </c>
    </row>
    <row r="67" spans="1:56" s="3" customFormat="1" ht="25.5" customHeight="1" x14ac:dyDescent="0.25">
      <c r="A67" s="275" t="str">
        <f>'Q100a-geral'!A160</f>
        <v>1.5</v>
      </c>
      <c r="B67" s="252" t="str">
        <f>'Q100a-geral'!B160</f>
        <v>Solicitações urbanísticas</v>
      </c>
      <c r="C67" s="229" t="str">
        <f>'Q100a-geral'!C160</f>
        <v>x</v>
      </c>
      <c r="D67" s="322" t="str">
        <f>'Q100a-geral'!D160</f>
        <v>ANei(saída)</v>
      </c>
      <c r="E67" s="11" t="str">
        <f>'Q100a-geral'!E160</f>
        <v>Belo Horizonte</v>
      </c>
      <c r="F67" s="445" t="str">
        <f>'Q100a-geral'!F160</f>
        <v>n.º de ANei finalizadas do primeiro ao último dia do período de apuração (BHTRANS, 2015f)</v>
      </c>
      <c r="G67" s="252" t="str">
        <f>'Q100a-geral'!G160</f>
        <v>registro na fonte</v>
      </c>
      <c r="H67" s="173" t="str">
        <f>'Q100a-geral'!H160</f>
        <v>x</v>
      </c>
      <c r="I67" s="57">
        <f>'Q100a-geral'!I160</f>
        <v>1</v>
      </c>
      <c r="J67" s="107" t="str">
        <f>'Q100a-geral'!J160</f>
        <v>x</v>
      </c>
      <c r="K67" s="93" t="str">
        <f>'Q100a-geral'!K160</f>
        <v>x</v>
      </c>
      <c r="L67" s="93" t="str">
        <f>'Q100a-geral'!L160</f>
        <v>x</v>
      </c>
      <c r="M67" s="93" t="str">
        <f>'Q100a-geral'!M160</f>
        <v>x</v>
      </c>
      <c r="N67" s="93" t="str">
        <f>'Q100a-geral'!N160</f>
        <v>x</v>
      </c>
      <c r="O67" s="93" t="str">
        <f>'Q100a-geral'!O160</f>
        <v>x</v>
      </c>
      <c r="P67" s="93" t="str">
        <f>'Q100a-geral'!P160</f>
        <v>x</v>
      </c>
      <c r="Q67" s="93" t="str">
        <f>'Q100a-geral'!Q160</f>
        <v>x</v>
      </c>
      <c r="R67" s="93" t="str">
        <f>'Q100a-geral'!R160</f>
        <v>x</v>
      </c>
      <c r="S67" s="109" t="str">
        <f>'Q100a-geral'!S160</f>
        <v>só para pesquisa</v>
      </c>
      <c r="T67" s="93" t="str">
        <f>'Q100a-geral'!T160</f>
        <v>x</v>
      </c>
      <c r="U67" s="93" t="str">
        <f>'Q100a-geral'!U160</f>
        <v>x</v>
      </c>
      <c r="V67" s="107" t="str">
        <f>'Q100a-geral'!V160</f>
        <v>só para pesquisa</v>
      </c>
      <c r="W67" s="93" t="str">
        <f>'Q100a-geral'!W160</f>
        <v>x</v>
      </c>
      <c r="X67" s="93" t="str">
        <f>'Q100a-geral'!X160</f>
        <v>x</v>
      </c>
      <c r="Y67" s="93" t="str">
        <f>'Q100a-geral'!Y160</f>
        <v>x</v>
      </c>
      <c r="Z67" s="93" t="str">
        <f>'Q100a-geral'!Z160</f>
        <v>x</v>
      </c>
      <c r="AA67" s="93" t="str">
        <f>'Q100a-geral'!AA160</f>
        <v>x</v>
      </c>
      <c r="AB67" s="93" t="str">
        <f>'Q100a-geral'!AB160</f>
        <v>x</v>
      </c>
      <c r="AC67" s="93" t="str">
        <f>'Q100a-geral'!AC160</f>
        <v>x</v>
      </c>
      <c r="AD67" s="93" t="str">
        <f>'Q100a-geral'!AD160</f>
        <v>x</v>
      </c>
      <c r="AE67" s="93" t="str">
        <f>'Q100a-geral'!AE160</f>
        <v>x</v>
      </c>
      <c r="AF67" s="93" t="str">
        <f>'Q100a-geral'!AF160</f>
        <v>x</v>
      </c>
      <c r="AG67" s="84">
        <f>'Q100a-geral'!AG160</f>
        <v>31</v>
      </c>
      <c r="AH67" s="84">
        <f>'Q100a-geral'!AH160</f>
        <v>23</v>
      </c>
      <c r="AI67" s="84">
        <f>'Q100a-geral'!AI160</f>
        <v>26</v>
      </c>
      <c r="AJ67" s="84">
        <f>'Q100a-geral'!AJ160</f>
        <v>33</v>
      </c>
      <c r="AK67" s="84">
        <f>'Q100a-geral'!AK160</f>
        <v>45</v>
      </c>
      <c r="AL67" s="212" t="str">
        <f>'Q100a-geral'!AL160</f>
        <v>x</v>
      </c>
      <c r="AM67" s="137" t="str">
        <f>'Q100a-geral'!AM160</f>
        <v>x</v>
      </c>
      <c r="AN67" s="137" t="str">
        <f>'Q100a-geral'!AN160</f>
        <v>x</v>
      </c>
      <c r="AO67" s="137" t="str">
        <f>'Q100a-geral'!AO160</f>
        <v>x</v>
      </c>
      <c r="AP67" s="137" t="str">
        <f>'Q100a-geral'!AP160</f>
        <v>x</v>
      </c>
      <c r="AQ67" s="137" t="str">
        <f>'Q100a-geral'!AQ160</f>
        <v>x</v>
      </c>
      <c r="AR67" s="137"/>
      <c r="AS67" s="137"/>
      <c r="AT67" s="137"/>
      <c r="AU67" s="137"/>
      <c r="AV67" s="137" t="str">
        <f>'Q100a-geral'!AV160</f>
        <v>x</v>
      </c>
      <c r="AW67" s="137"/>
      <c r="AX67" s="137"/>
      <c r="AY67" s="137"/>
      <c r="AZ67" s="137"/>
      <c r="BA67" s="137" t="str">
        <f>'Q100a-geral'!BA160</f>
        <v>x</v>
      </c>
      <c r="BB67" s="239" t="str">
        <f>'Q100a-geral'!BB160</f>
        <v>Solicitações urbanísticasx</v>
      </c>
      <c r="BC67" s="239" t="str">
        <f>'Q100a-geral'!BC160</f>
        <v>Solicitações urbanísticasxx</v>
      </c>
      <c r="BD67" s="239" t="str">
        <f>'Q100a-geral'!BD160</f>
        <v>Solicitações urbanísticasx</v>
      </c>
    </row>
    <row r="68" spans="1:56" s="3" customFormat="1" ht="25.5" customHeight="1" x14ac:dyDescent="0.25">
      <c r="A68" s="275" t="str">
        <f>'Q100a-geral'!A161</f>
        <v>1.5</v>
      </c>
      <c r="B68" s="252" t="str">
        <f>'Q100a-geral'!B161</f>
        <v>Solicitações urbanísticas</v>
      </c>
      <c r="C68" s="229" t="str">
        <f>'Q100a-geral'!C161</f>
        <v>x</v>
      </c>
      <c r="D68" s="322" t="str">
        <f>'Q100a-geral'!D161</f>
        <v>ANpc</v>
      </c>
      <c r="E68" s="11" t="str">
        <f>'Q100a-geral'!E161</f>
        <v>Belo Horizonte</v>
      </c>
      <c r="F68" s="445" t="str">
        <f>'Q100a-geral'!F161</f>
        <v>análises de projetos de postos de abastecimento de combustíveis para licenciamento ambiental e urbanístico</v>
      </c>
      <c r="G68" s="14" t="str">
        <f>'Q100a-geral'!G161</f>
        <v>sigla</v>
      </c>
      <c r="H68" s="173" t="str">
        <f>'Q100a-geral'!H161</f>
        <v>sigla/verbete</v>
      </c>
      <c r="I68" s="57" t="str">
        <f>'Q100a-geral'!I161</f>
        <v>x</v>
      </c>
      <c r="J68" s="107" t="str">
        <f>'Q100a-geral'!J161</f>
        <v>x</v>
      </c>
      <c r="K68" s="107" t="str">
        <f>'Q100a-geral'!K161</f>
        <v>x</v>
      </c>
      <c r="L68" s="107" t="str">
        <f>'Q100a-geral'!L161</f>
        <v>x</v>
      </c>
      <c r="M68" s="107" t="str">
        <f>'Q100a-geral'!M161</f>
        <v>x</v>
      </c>
      <c r="N68" s="107" t="str">
        <f>'Q100a-geral'!N161</f>
        <v>x</v>
      </c>
      <c r="O68" s="107" t="str">
        <f>'Q100a-geral'!O161</f>
        <v>x</v>
      </c>
      <c r="P68" s="107" t="str">
        <f>'Q100a-geral'!P161</f>
        <v>x</v>
      </c>
      <c r="Q68" s="107" t="str">
        <f>'Q100a-geral'!Q161</f>
        <v>x</v>
      </c>
      <c r="R68" s="107" t="str">
        <f>'Q100a-geral'!R161</f>
        <v>x</v>
      </c>
      <c r="S68" s="109" t="str">
        <f>'Q100a-geral'!S161</f>
        <v>só para pesquisa</v>
      </c>
      <c r="T68" s="107" t="str">
        <f>'Q100a-geral'!T161</f>
        <v>x</v>
      </c>
      <c r="U68" s="107" t="str">
        <f>'Q100a-geral'!U161</f>
        <v>x</v>
      </c>
      <c r="V68" s="107" t="str">
        <f>'Q100a-geral'!V161</f>
        <v>só para pesquisa</v>
      </c>
      <c r="W68" s="107" t="str">
        <f>'Q100a-geral'!W161</f>
        <v>x</v>
      </c>
      <c r="X68" s="107" t="str">
        <f>'Q100a-geral'!X161</f>
        <v>x</v>
      </c>
      <c r="Y68" s="107" t="str">
        <f>'Q100a-geral'!Y161</f>
        <v>x</v>
      </c>
      <c r="Z68" s="107" t="str">
        <f>'Q100a-geral'!Z161</f>
        <v>x</v>
      </c>
      <c r="AA68" s="107" t="str">
        <f>'Q100a-geral'!AA161</f>
        <v>x</v>
      </c>
      <c r="AB68" s="107" t="str">
        <f>'Q100a-geral'!AB161</f>
        <v>x</v>
      </c>
      <c r="AC68" s="107" t="str">
        <f>'Q100a-geral'!AC161</f>
        <v>x</v>
      </c>
      <c r="AD68" s="107" t="str">
        <f>'Q100a-geral'!AD161</f>
        <v>x</v>
      </c>
      <c r="AE68" s="107" t="str">
        <f>'Q100a-geral'!AE161</f>
        <v>x</v>
      </c>
      <c r="AF68" s="107" t="str">
        <f>'Q100a-geral'!AF161</f>
        <v>x</v>
      </c>
      <c r="AG68" s="107" t="str">
        <f>'Q100a-geral'!AG161</f>
        <v>x</v>
      </c>
      <c r="AH68" s="107" t="str">
        <f>'Q100a-geral'!AH161</f>
        <v>x</v>
      </c>
      <c r="AI68" s="107" t="str">
        <f>'Q100a-geral'!AI161</f>
        <v>x</v>
      </c>
      <c r="AJ68" s="107" t="str">
        <f>'Q100a-geral'!AJ161</f>
        <v>x</v>
      </c>
      <c r="AK68" s="137" t="str">
        <f>'Q100a-geral'!AK161</f>
        <v>x</v>
      </c>
      <c r="AL68" s="173" t="str">
        <f>'Q100a-geral'!AL161</f>
        <v>x</v>
      </c>
      <c r="AM68" s="137" t="str">
        <f>'Q100a-geral'!AM161</f>
        <v>x</v>
      </c>
      <c r="AN68" s="137" t="str">
        <f>'Q100a-geral'!AN161</f>
        <v>x</v>
      </c>
      <c r="AO68" s="137" t="str">
        <f>'Q100a-geral'!AO161</f>
        <v>x</v>
      </c>
      <c r="AP68" s="137" t="str">
        <f>'Q100a-geral'!AP161</f>
        <v>x</v>
      </c>
      <c r="AQ68" s="137" t="str">
        <f>'Q100a-geral'!AQ161</f>
        <v>x</v>
      </c>
      <c r="AR68" s="137"/>
      <c r="AS68" s="137"/>
      <c r="AT68" s="137"/>
      <c r="AU68" s="137"/>
      <c r="AV68" s="137" t="str">
        <f>'Q100a-geral'!AV161</f>
        <v>x</v>
      </c>
      <c r="AW68" s="137"/>
      <c r="AX68" s="137"/>
      <c r="AY68" s="137"/>
      <c r="AZ68" s="137"/>
      <c r="BA68" s="137" t="str">
        <f>'Q100a-geral'!BA161</f>
        <v>x</v>
      </c>
      <c r="BB68" s="239" t="str">
        <f>'Q100a-geral'!BB161</f>
        <v>Solicitações urbanísticasx</v>
      </c>
      <c r="BC68" s="239" t="str">
        <f>'Q100a-geral'!BC161</f>
        <v>Solicitações urbanísticasxsigla/verbete</v>
      </c>
      <c r="BD68" s="239" t="str">
        <f>'Q100a-geral'!BD161</f>
        <v>Solicitações urbanísticassigla/verbete</v>
      </c>
    </row>
    <row r="69" spans="1:56" s="3" customFormat="1" ht="25.5" customHeight="1" x14ac:dyDescent="0.25">
      <c r="A69" s="275" t="str">
        <f>'Q100a-geral'!A162</f>
        <v>1.5</v>
      </c>
      <c r="B69" s="252" t="str">
        <f>'Q100a-geral'!B162</f>
        <v>Solicitações urbanísticas</v>
      </c>
      <c r="C69" s="229" t="str">
        <f>'Q100a-geral'!C162</f>
        <v>x</v>
      </c>
      <c r="D69" s="322" t="str">
        <f>'Q100a-geral'!D162</f>
        <v>ANpc(30d)</v>
      </c>
      <c r="E69" s="11" t="str">
        <f>'Q100a-geral'!E162</f>
        <v>Belo Horizonte</v>
      </c>
      <c r="F69" s="445" t="str">
        <f>'Q100a-geral'!F162</f>
        <v>n.º de ANpc finalizadas do primeiro ao último dia do período e que tenham dado entrada a menos de 30 dias após sua entrada (BHTRANS, 2015f)</v>
      </c>
      <c r="G69" s="252" t="str">
        <f>'Q100a-geral'!G162</f>
        <v>registro na fonte</v>
      </c>
      <c r="H69" s="173" t="str">
        <f>'Q100a-geral'!H162</f>
        <v>x</v>
      </c>
      <c r="I69" s="57">
        <f>'Q100a-geral'!I162</f>
        <v>1</v>
      </c>
      <c r="J69" s="107" t="str">
        <f>'Q100a-geral'!J162</f>
        <v>x</v>
      </c>
      <c r="K69" s="93" t="str">
        <f>'Q100a-geral'!K162</f>
        <v>x</v>
      </c>
      <c r="L69" s="93" t="str">
        <f>'Q100a-geral'!L162</f>
        <v>x</v>
      </c>
      <c r="M69" s="93" t="str">
        <f>'Q100a-geral'!M162</f>
        <v>x</v>
      </c>
      <c r="N69" s="93" t="str">
        <f>'Q100a-geral'!N162</f>
        <v>x</v>
      </c>
      <c r="O69" s="93" t="str">
        <f>'Q100a-geral'!O162</f>
        <v>x</v>
      </c>
      <c r="P69" s="93" t="str">
        <f>'Q100a-geral'!P162</f>
        <v>x</v>
      </c>
      <c r="Q69" s="93" t="str">
        <f>'Q100a-geral'!Q162</f>
        <v>x</v>
      </c>
      <c r="R69" s="93" t="str">
        <f>'Q100a-geral'!R162</f>
        <v>x</v>
      </c>
      <c r="S69" s="109" t="str">
        <f>'Q100a-geral'!S162</f>
        <v>só para pesquisa</v>
      </c>
      <c r="T69" s="93" t="str">
        <f>'Q100a-geral'!T162</f>
        <v>x</v>
      </c>
      <c r="U69" s="93" t="str">
        <f>'Q100a-geral'!U162</f>
        <v>x</v>
      </c>
      <c r="V69" s="107" t="str">
        <f>'Q100a-geral'!V162</f>
        <v>só para pesquisa</v>
      </c>
      <c r="W69" s="93" t="str">
        <f>'Q100a-geral'!W162</f>
        <v>x</v>
      </c>
      <c r="X69" s="93" t="str">
        <f>'Q100a-geral'!X162</f>
        <v>x</v>
      </c>
      <c r="Y69" s="93" t="str">
        <f>'Q100a-geral'!Y162</f>
        <v>x</v>
      </c>
      <c r="Z69" s="93" t="str">
        <f>'Q100a-geral'!Z162</f>
        <v>x</v>
      </c>
      <c r="AA69" s="93" t="str">
        <f>'Q100a-geral'!AA162</f>
        <v>x</v>
      </c>
      <c r="AB69" s="93" t="str">
        <f>'Q100a-geral'!AB162</f>
        <v>x</v>
      </c>
      <c r="AC69" s="93" t="str">
        <f>'Q100a-geral'!AC162</f>
        <v>x</v>
      </c>
      <c r="AD69" s="93" t="str">
        <f>'Q100a-geral'!AD162</f>
        <v>x</v>
      </c>
      <c r="AE69" s="93" t="str">
        <f>'Q100a-geral'!AE162</f>
        <v>x</v>
      </c>
      <c r="AF69" s="93" t="str">
        <f>'Q100a-geral'!AF162</f>
        <v>x</v>
      </c>
      <c r="AG69" s="84">
        <f>'Q100a-geral'!AG162</f>
        <v>3</v>
      </c>
      <c r="AH69" s="84">
        <f>'Q100a-geral'!AH162</f>
        <v>9</v>
      </c>
      <c r="AI69" s="84">
        <f>'Q100a-geral'!AI162</f>
        <v>4</v>
      </c>
      <c r="AJ69" s="84">
        <f>'Q100a-geral'!AJ162</f>
        <v>10</v>
      </c>
      <c r="AK69" s="84">
        <f>'Q100a-geral'!AK162</f>
        <v>5</v>
      </c>
      <c r="AL69" s="212" t="str">
        <f>'Q100a-geral'!AL162</f>
        <v>x</v>
      </c>
      <c r="AM69" s="137" t="str">
        <f>'Q100a-geral'!AM162</f>
        <v>x</v>
      </c>
      <c r="AN69" s="137" t="str">
        <f>'Q100a-geral'!AN162</f>
        <v>x</v>
      </c>
      <c r="AO69" s="137" t="str">
        <f>'Q100a-geral'!AO162</f>
        <v>x</v>
      </c>
      <c r="AP69" s="137" t="str">
        <f>'Q100a-geral'!AP162</f>
        <v>x</v>
      </c>
      <c r="AQ69" s="137" t="str">
        <f>'Q100a-geral'!AQ162</f>
        <v>x</v>
      </c>
      <c r="AR69" s="137"/>
      <c r="AS69" s="137"/>
      <c r="AT69" s="137"/>
      <c r="AU69" s="137"/>
      <c r="AV69" s="137" t="str">
        <f>'Q100a-geral'!AV162</f>
        <v>x</v>
      </c>
      <c r="AW69" s="137"/>
      <c r="AX69" s="137"/>
      <c r="AY69" s="137"/>
      <c r="AZ69" s="137"/>
      <c r="BA69" s="137" t="str">
        <f>'Q100a-geral'!BA162</f>
        <v>x</v>
      </c>
      <c r="BB69" s="239" t="str">
        <f>'Q100a-geral'!BB162</f>
        <v>Solicitações urbanísticasx</v>
      </c>
      <c r="BC69" s="239" t="str">
        <f>'Q100a-geral'!BC162</f>
        <v>Solicitações urbanísticasxx</v>
      </c>
      <c r="BD69" s="239" t="str">
        <f>'Q100a-geral'!BD162</f>
        <v>Solicitações urbanísticasx</v>
      </c>
    </row>
    <row r="70" spans="1:56" s="3" customFormat="1" ht="51" customHeight="1" x14ac:dyDescent="0.25">
      <c r="A70" s="275" t="str">
        <f>'Q100a-geral'!A163</f>
        <v>1.5</v>
      </c>
      <c r="B70" s="252" t="str">
        <f>'Q100a-geral'!B163</f>
        <v>Solicitações urbanísticas</v>
      </c>
      <c r="C70" s="229" t="str">
        <f>'Q100a-geral'!C163</f>
        <v>x</v>
      </c>
      <c r="D70" s="322" t="str">
        <f>'Q100a-geral'!D163</f>
        <v>ANpc(30d) em relação a ANpc(saída)</v>
      </c>
      <c r="E70" s="11" t="str">
        <f>'Q100a-geral'!E163</f>
        <v>Belo Horizonte</v>
      </c>
      <c r="F70" s="445" t="str">
        <f>'Q100a-geral'!F163</f>
        <v>celeridade na resposta dada a solicitações de análise de processos e projetos de postos de abastecimento de combustíveis, obtida pela relação entre o n.º de ANpc finalizadas em menos de 30 dias e o n.º total de ANpc finalizadas no período
obs.: este indicador foi selecionado como indicador estratégico da BHTrans com a denominação de "Percentual de análises de postos de combustíveis realizados (sic) no prazo" (BHTRANS, 2015d)</v>
      </c>
      <c r="G70" s="78" t="str">
        <f>'Q100a-geral'!G163</f>
        <v>( ANpc(30d) /
ANpc(saída) )
x 100</v>
      </c>
      <c r="H70" s="173" t="str">
        <f>'Q100a-geral'!H163</f>
        <v>x</v>
      </c>
      <c r="I70" s="57">
        <f>'Q100a-geral'!I163</f>
        <v>1</v>
      </c>
      <c r="J70" s="107" t="str">
        <f>'Q100a-geral'!J163</f>
        <v>x</v>
      </c>
      <c r="K70" s="93" t="str">
        <f>'Q100a-geral'!K163</f>
        <v>x</v>
      </c>
      <c r="L70" s="93" t="str">
        <f>'Q100a-geral'!L163</f>
        <v>x</v>
      </c>
      <c r="M70" s="93" t="str">
        <f>'Q100a-geral'!M163</f>
        <v>x</v>
      </c>
      <c r="N70" s="93" t="str">
        <f>'Q100a-geral'!N163</f>
        <v>x</v>
      </c>
      <c r="O70" s="93" t="str">
        <f>'Q100a-geral'!O163</f>
        <v>x</v>
      </c>
      <c r="P70" s="93" t="str">
        <f>'Q100a-geral'!P163</f>
        <v>x</v>
      </c>
      <c r="Q70" s="93" t="str">
        <f>'Q100a-geral'!Q163</f>
        <v>x</v>
      </c>
      <c r="R70" s="93" t="str">
        <f>'Q100a-geral'!R163</f>
        <v>x</v>
      </c>
      <c r="S70" s="109" t="str">
        <f>'Q100a-geral'!S163</f>
        <v>só para pesquisa</v>
      </c>
      <c r="T70" s="93" t="str">
        <f>'Q100a-geral'!T163</f>
        <v>x</v>
      </c>
      <c r="U70" s="93" t="str">
        <f>'Q100a-geral'!U163</f>
        <v>x</v>
      </c>
      <c r="V70" s="107" t="str">
        <f>'Q100a-geral'!V163</f>
        <v>só para pesquisa</v>
      </c>
      <c r="W70" s="93" t="str">
        <f>'Q100a-geral'!W163</f>
        <v>x</v>
      </c>
      <c r="X70" s="93" t="str">
        <f>'Q100a-geral'!X163</f>
        <v>x</v>
      </c>
      <c r="Y70" s="93" t="str">
        <f>'Q100a-geral'!Y163</f>
        <v>x</v>
      </c>
      <c r="Z70" s="93" t="str">
        <f>'Q100a-geral'!Z163</f>
        <v>x</v>
      </c>
      <c r="AA70" s="93" t="str">
        <f>'Q100a-geral'!AA163</f>
        <v>x</v>
      </c>
      <c r="AB70" s="93" t="str">
        <f>'Q100a-geral'!AB163</f>
        <v>x</v>
      </c>
      <c r="AC70" s="93" t="str">
        <f>'Q100a-geral'!AC163</f>
        <v>x</v>
      </c>
      <c r="AD70" s="93" t="str">
        <f>'Q100a-geral'!AD163</f>
        <v>x</v>
      </c>
      <c r="AE70" s="93" t="str">
        <f>'Q100a-geral'!AE163</f>
        <v>x</v>
      </c>
      <c r="AF70" s="93" t="str">
        <f>'Q100a-geral'!AF163</f>
        <v>x</v>
      </c>
      <c r="AG70" s="47">
        <f>'Q100a-geral'!AG163</f>
        <v>0.375</v>
      </c>
      <c r="AH70" s="47">
        <f>'Q100a-geral'!AH163</f>
        <v>0.9</v>
      </c>
      <c r="AI70" s="47">
        <f>'Q100a-geral'!AI163</f>
        <v>1</v>
      </c>
      <c r="AJ70" s="47">
        <f>'Q100a-geral'!AJ163</f>
        <v>1</v>
      </c>
      <c r="AK70" s="47">
        <f>'Q100a-geral'!AK163</f>
        <v>0.83333333333333337</v>
      </c>
      <c r="AL70" s="212" t="str">
        <f>'Q100a-geral'!AL163</f>
        <v>x</v>
      </c>
      <c r="AM70" s="137" t="str">
        <f>'Q100a-geral'!AM163</f>
        <v>x</v>
      </c>
      <c r="AN70" s="137" t="str">
        <f>'Q100a-geral'!AN163</f>
        <v>x</v>
      </c>
      <c r="AO70" s="137" t="str">
        <f>'Q100a-geral'!AO163</f>
        <v>x</v>
      </c>
      <c r="AP70" s="137" t="str">
        <f>'Q100a-geral'!AP163</f>
        <v>x</v>
      </c>
      <c r="AQ70" s="137" t="str">
        <f>'Q100a-geral'!AQ163</f>
        <v>x</v>
      </c>
      <c r="AR70" s="137"/>
      <c r="AS70" s="137"/>
      <c r="AT70" s="137"/>
      <c r="AU70" s="137"/>
      <c r="AV70" s="137" t="str">
        <f>'Q100a-geral'!AV163</f>
        <v>x</v>
      </c>
      <c r="AW70" s="137"/>
      <c r="AX70" s="137"/>
      <c r="AY70" s="137"/>
      <c r="AZ70" s="137"/>
      <c r="BA70" s="137" t="str">
        <f>'Q100a-geral'!BA163</f>
        <v>x</v>
      </c>
      <c r="BB70" s="239" t="str">
        <f>'Q100a-geral'!BB163</f>
        <v>Solicitações urbanísticasx</v>
      </c>
      <c r="BC70" s="239" t="str">
        <f>'Q100a-geral'!BC163</f>
        <v>Solicitações urbanísticasxx</v>
      </c>
      <c r="BD70" s="239" t="str">
        <f>'Q100a-geral'!BD163</f>
        <v>Solicitações urbanísticasx</v>
      </c>
    </row>
    <row r="71" spans="1:56" s="3" customFormat="1" ht="25.5" customHeight="1" x14ac:dyDescent="0.25">
      <c r="A71" s="275" t="str">
        <f>'Q100a-geral'!A164</f>
        <v>1.5</v>
      </c>
      <c r="B71" s="252" t="str">
        <f>'Q100a-geral'!B164</f>
        <v>Solicitações urbanísticas</v>
      </c>
      <c r="C71" s="229" t="str">
        <f>'Q100a-geral'!C164</f>
        <v>x</v>
      </c>
      <c r="D71" s="322" t="str">
        <f>'Q100a-geral'!D164</f>
        <v>ANpc(entrada)</v>
      </c>
      <c r="E71" s="11" t="str">
        <f>'Q100a-geral'!E164</f>
        <v>Belo Horizonte</v>
      </c>
      <c r="F71" s="445" t="str">
        <f>'Q100a-geral'!F164</f>
        <v>n.º de ANpc que deram entrada durante o período de apuração (BHTRANS, 2015f)</v>
      </c>
      <c r="G71" s="252" t="str">
        <f>'Q100a-geral'!G164</f>
        <v>registro na fonte</v>
      </c>
      <c r="H71" s="173" t="str">
        <f>'Q100a-geral'!H164</f>
        <v>x</v>
      </c>
      <c r="I71" s="57">
        <f>'Q100a-geral'!I164</f>
        <v>1</v>
      </c>
      <c r="J71" s="107" t="str">
        <f>'Q100a-geral'!J164</f>
        <v>x</v>
      </c>
      <c r="K71" s="93" t="str">
        <f>'Q100a-geral'!K164</f>
        <v>x</v>
      </c>
      <c r="L71" s="93" t="str">
        <f>'Q100a-geral'!L164</f>
        <v>x</v>
      </c>
      <c r="M71" s="93" t="str">
        <f>'Q100a-geral'!M164</f>
        <v>x</v>
      </c>
      <c r="N71" s="93" t="str">
        <f>'Q100a-geral'!N164</f>
        <v>x</v>
      </c>
      <c r="O71" s="93" t="str">
        <f>'Q100a-geral'!O164</f>
        <v>x</v>
      </c>
      <c r="P71" s="93" t="str">
        <f>'Q100a-geral'!P164</f>
        <v>x</v>
      </c>
      <c r="Q71" s="93" t="str">
        <f>'Q100a-geral'!Q164</f>
        <v>x</v>
      </c>
      <c r="R71" s="93" t="str">
        <f>'Q100a-geral'!R164</f>
        <v>x</v>
      </c>
      <c r="S71" s="109" t="str">
        <f>'Q100a-geral'!S164</f>
        <v>só para pesquisa</v>
      </c>
      <c r="T71" s="93" t="str">
        <f>'Q100a-geral'!T164</f>
        <v>x</v>
      </c>
      <c r="U71" s="93" t="str">
        <f>'Q100a-geral'!U164</f>
        <v>x</v>
      </c>
      <c r="V71" s="107" t="str">
        <f>'Q100a-geral'!V164</f>
        <v>só para pesquisa</v>
      </c>
      <c r="W71" s="93" t="str">
        <f>'Q100a-geral'!W164</f>
        <v>x</v>
      </c>
      <c r="X71" s="93" t="str">
        <f>'Q100a-geral'!X164</f>
        <v>x</v>
      </c>
      <c r="Y71" s="93" t="str">
        <f>'Q100a-geral'!Y164</f>
        <v>x</v>
      </c>
      <c r="Z71" s="93" t="str">
        <f>'Q100a-geral'!Z164</f>
        <v>x</v>
      </c>
      <c r="AA71" s="93" t="str">
        <f>'Q100a-geral'!AA164</f>
        <v>x</v>
      </c>
      <c r="AB71" s="93" t="str">
        <f>'Q100a-geral'!AB164</f>
        <v>x</v>
      </c>
      <c r="AC71" s="93" t="str">
        <f>'Q100a-geral'!AC164</f>
        <v>x</v>
      </c>
      <c r="AD71" s="93" t="str">
        <f>'Q100a-geral'!AD164</f>
        <v>x</v>
      </c>
      <c r="AE71" s="93" t="str">
        <f>'Q100a-geral'!AE164</f>
        <v>x</v>
      </c>
      <c r="AF71" s="93" t="str">
        <f>'Q100a-geral'!AF164</f>
        <v>x</v>
      </c>
      <c r="AG71" s="84">
        <f>'Q100a-geral'!AG164</f>
        <v>3</v>
      </c>
      <c r="AH71" s="84">
        <f>'Q100a-geral'!AH164</f>
        <v>6</v>
      </c>
      <c r="AI71" s="84">
        <f>'Q100a-geral'!AI164</f>
        <v>4</v>
      </c>
      <c r="AJ71" s="84">
        <f>'Q100a-geral'!AJ164</f>
        <v>9</v>
      </c>
      <c r="AK71" s="84">
        <f>'Q100a-geral'!AK164</f>
        <v>3</v>
      </c>
      <c r="AL71" s="212" t="str">
        <f>'Q100a-geral'!AL164</f>
        <v>x</v>
      </c>
      <c r="AM71" s="137" t="str">
        <f>'Q100a-geral'!AM164</f>
        <v>x</v>
      </c>
      <c r="AN71" s="137" t="str">
        <f>'Q100a-geral'!AN164</f>
        <v>x</v>
      </c>
      <c r="AO71" s="137" t="str">
        <f>'Q100a-geral'!AO164</f>
        <v>x</v>
      </c>
      <c r="AP71" s="137" t="str">
        <f>'Q100a-geral'!AP164</f>
        <v>x</v>
      </c>
      <c r="AQ71" s="137" t="str">
        <f>'Q100a-geral'!AQ164</f>
        <v>x</v>
      </c>
      <c r="AR71" s="137"/>
      <c r="AS71" s="137"/>
      <c r="AT71" s="137"/>
      <c r="AU71" s="137"/>
      <c r="AV71" s="137" t="str">
        <f>'Q100a-geral'!AV164</f>
        <v>x</v>
      </c>
      <c r="AW71" s="137"/>
      <c r="AX71" s="137"/>
      <c r="AY71" s="137"/>
      <c r="AZ71" s="137"/>
      <c r="BA71" s="137" t="str">
        <f>'Q100a-geral'!BA164</f>
        <v>x</v>
      </c>
      <c r="BB71" s="239" t="str">
        <f>'Q100a-geral'!BB164</f>
        <v>Solicitações urbanísticasx</v>
      </c>
      <c r="BC71" s="239" t="str">
        <f>'Q100a-geral'!BC164</f>
        <v>Solicitações urbanísticasxx</v>
      </c>
      <c r="BD71" s="239" t="str">
        <f>'Q100a-geral'!BD164</f>
        <v>Solicitações urbanísticasx</v>
      </c>
    </row>
    <row r="72" spans="1:56" s="3" customFormat="1" ht="38.25" customHeight="1" x14ac:dyDescent="0.25">
      <c r="A72" s="275" t="str">
        <f>'Q100a-geral'!A165</f>
        <v>1.5</v>
      </c>
      <c r="B72" s="252" t="str">
        <f>'Q100a-geral'!B165</f>
        <v>Solicitações urbanísticas</v>
      </c>
      <c r="C72" s="229" t="str">
        <f>'Q100a-geral'!C165</f>
        <v>x</v>
      </c>
      <c r="D72" s="322" t="str">
        <f>'Q100a-geral'!D165</f>
        <v>ANpc(estoque)</v>
      </c>
      <c r="E72" s="11" t="str">
        <f>'Q100a-geral'!E165</f>
        <v>Belo Horizonte</v>
      </c>
      <c r="F72" s="445" t="str">
        <f>'Q100a-geral'!F165</f>
        <v>n.º de ANpc ainda não concluídas no último dia do período de apuração, também denominado como "saldo" em alguns relatórios gerenciais (BHTRANS, 2015f)</v>
      </c>
      <c r="G72" s="252" t="str">
        <f>'Q100a-geral'!G165</f>
        <v>registro na fonte</v>
      </c>
      <c r="H72" s="173" t="str">
        <f>'Q100a-geral'!H165</f>
        <v>x</v>
      </c>
      <c r="I72" s="57">
        <f>'Q100a-geral'!I165</f>
        <v>1</v>
      </c>
      <c r="J72" s="107" t="str">
        <f>'Q100a-geral'!J165</f>
        <v>x</v>
      </c>
      <c r="K72" s="93" t="str">
        <f>'Q100a-geral'!K165</f>
        <v>x</v>
      </c>
      <c r="L72" s="93" t="str">
        <f>'Q100a-geral'!L165</f>
        <v>x</v>
      </c>
      <c r="M72" s="93" t="str">
        <f>'Q100a-geral'!M165</f>
        <v>x</v>
      </c>
      <c r="N72" s="93" t="str">
        <f>'Q100a-geral'!N165</f>
        <v>x</v>
      </c>
      <c r="O72" s="93" t="str">
        <f>'Q100a-geral'!O165</f>
        <v>x</v>
      </c>
      <c r="P72" s="93" t="str">
        <f>'Q100a-geral'!P165</f>
        <v>x</v>
      </c>
      <c r="Q72" s="93" t="str">
        <f>'Q100a-geral'!Q165</f>
        <v>x</v>
      </c>
      <c r="R72" s="93" t="str">
        <f>'Q100a-geral'!R165</f>
        <v>x</v>
      </c>
      <c r="S72" s="109" t="str">
        <f>'Q100a-geral'!S165</f>
        <v>só para pesquisa</v>
      </c>
      <c r="T72" s="93" t="str">
        <f>'Q100a-geral'!T165</f>
        <v>x</v>
      </c>
      <c r="U72" s="93" t="str">
        <f>'Q100a-geral'!U165</f>
        <v>x</v>
      </c>
      <c r="V72" s="107" t="str">
        <f>'Q100a-geral'!V165</f>
        <v>só para pesquisa</v>
      </c>
      <c r="W72" s="93" t="str">
        <f>'Q100a-geral'!W165</f>
        <v>x</v>
      </c>
      <c r="X72" s="93" t="str">
        <f>'Q100a-geral'!X165</f>
        <v>x</v>
      </c>
      <c r="Y72" s="93" t="str">
        <f>'Q100a-geral'!Y165</f>
        <v>x</v>
      </c>
      <c r="Z72" s="93" t="str">
        <f>'Q100a-geral'!Z165</f>
        <v>x</v>
      </c>
      <c r="AA72" s="93" t="str">
        <f>'Q100a-geral'!AA165</f>
        <v>x</v>
      </c>
      <c r="AB72" s="93" t="str">
        <f>'Q100a-geral'!AB165</f>
        <v>x</v>
      </c>
      <c r="AC72" s="93" t="str">
        <f>'Q100a-geral'!AC165</f>
        <v>x</v>
      </c>
      <c r="AD72" s="93" t="str">
        <f>'Q100a-geral'!AD165</f>
        <v>x</v>
      </c>
      <c r="AE72" s="93" t="str">
        <f>'Q100a-geral'!AE165</f>
        <v>x</v>
      </c>
      <c r="AF72" s="93" t="str">
        <f>'Q100a-geral'!AF165</f>
        <v>x</v>
      </c>
      <c r="AG72" s="84">
        <f>'Q100a-geral'!AG165</f>
        <v>5</v>
      </c>
      <c r="AH72" s="84">
        <f>'Q100a-geral'!AH165</f>
        <v>7</v>
      </c>
      <c r="AI72" s="84">
        <f>'Q100a-geral'!AI165</f>
        <v>3</v>
      </c>
      <c r="AJ72" s="84">
        <f>'Q100a-geral'!AJ165</f>
        <v>4</v>
      </c>
      <c r="AK72" s="84">
        <f>'Q100a-geral'!AK165</f>
        <v>6</v>
      </c>
      <c r="AL72" s="212" t="str">
        <f>'Q100a-geral'!AL165</f>
        <v>x</v>
      </c>
      <c r="AM72" s="137" t="str">
        <f>'Q100a-geral'!AM165</f>
        <v>x</v>
      </c>
      <c r="AN72" s="137" t="str">
        <f>'Q100a-geral'!AN165</f>
        <v>x</v>
      </c>
      <c r="AO72" s="137" t="str">
        <f>'Q100a-geral'!AO165</f>
        <v>x</v>
      </c>
      <c r="AP72" s="137" t="str">
        <f>'Q100a-geral'!AP165</f>
        <v>x</v>
      </c>
      <c r="AQ72" s="137" t="str">
        <f>'Q100a-geral'!AQ165</f>
        <v>x</v>
      </c>
      <c r="AR72" s="137"/>
      <c r="AS72" s="137"/>
      <c r="AT72" s="137"/>
      <c r="AU72" s="137"/>
      <c r="AV72" s="137" t="str">
        <f>'Q100a-geral'!AV165</f>
        <v>x</v>
      </c>
      <c r="AW72" s="137"/>
      <c r="AX72" s="137"/>
      <c r="AY72" s="137"/>
      <c r="AZ72" s="137"/>
      <c r="BA72" s="137" t="str">
        <f>'Q100a-geral'!BA165</f>
        <v>x</v>
      </c>
      <c r="BB72" s="239" t="str">
        <f>'Q100a-geral'!BB165</f>
        <v>Solicitações urbanísticasx</v>
      </c>
      <c r="BC72" s="239" t="str">
        <f>'Q100a-geral'!BC165</f>
        <v>Solicitações urbanísticasxx</v>
      </c>
      <c r="BD72" s="239" t="str">
        <f>'Q100a-geral'!BD165</f>
        <v>Solicitações urbanísticasx</v>
      </c>
    </row>
    <row r="73" spans="1:56" s="3" customFormat="1" ht="25.5" customHeight="1" x14ac:dyDescent="0.25">
      <c r="A73" s="275" t="str">
        <f>'Q100a-geral'!A166</f>
        <v>1.5</v>
      </c>
      <c r="B73" s="252" t="str">
        <f>'Q100a-geral'!B166</f>
        <v>Solicitações urbanísticas</v>
      </c>
      <c r="C73" s="229" t="str">
        <f>'Q100a-geral'!C166</f>
        <v>x</v>
      </c>
      <c r="D73" s="322" t="str">
        <f>'Q100a-geral'!D166</f>
        <v>ANpc(saída)</v>
      </c>
      <c r="E73" s="11" t="str">
        <f>'Q100a-geral'!E166</f>
        <v>Belo Horizonte</v>
      </c>
      <c r="F73" s="445" t="str">
        <f>'Q100a-geral'!F166</f>
        <v>n.º de ANpc finalizadas do primeiro ao último dia do período de apuração (BHTRANS, 2015f)</v>
      </c>
      <c r="G73" s="252" t="str">
        <f>'Q100a-geral'!G166</f>
        <v>registro na fonte</v>
      </c>
      <c r="H73" s="173" t="str">
        <f>'Q100a-geral'!H166</f>
        <v>x</v>
      </c>
      <c r="I73" s="57">
        <f>'Q100a-geral'!I166</f>
        <v>1</v>
      </c>
      <c r="J73" s="107" t="str">
        <f>'Q100a-geral'!J166</f>
        <v>x</v>
      </c>
      <c r="K73" s="93" t="str">
        <f>'Q100a-geral'!K166</f>
        <v>x</v>
      </c>
      <c r="L73" s="93" t="str">
        <f>'Q100a-geral'!L166</f>
        <v>x</v>
      </c>
      <c r="M73" s="93" t="str">
        <f>'Q100a-geral'!M166</f>
        <v>x</v>
      </c>
      <c r="N73" s="93" t="str">
        <f>'Q100a-geral'!N166</f>
        <v>x</v>
      </c>
      <c r="O73" s="93" t="str">
        <f>'Q100a-geral'!O166</f>
        <v>x</v>
      </c>
      <c r="P73" s="93" t="str">
        <f>'Q100a-geral'!P166</f>
        <v>x</v>
      </c>
      <c r="Q73" s="93" t="str">
        <f>'Q100a-geral'!Q166</f>
        <v>x</v>
      </c>
      <c r="R73" s="93" t="str">
        <f>'Q100a-geral'!R166</f>
        <v>x</v>
      </c>
      <c r="S73" s="109" t="str">
        <f>'Q100a-geral'!S166</f>
        <v>só para pesquisa</v>
      </c>
      <c r="T73" s="93" t="str">
        <f>'Q100a-geral'!T166</f>
        <v>x</v>
      </c>
      <c r="U73" s="93" t="str">
        <f>'Q100a-geral'!U166</f>
        <v>x</v>
      </c>
      <c r="V73" s="107" t="str">
        <f>'Q100a-geral'!V166</f>
        <v>só para pesquisa</v>
      </c>
      <c r="W73" s="93" t="str">
        <f>'Q100a-geral'!W166</f>
        <v>x</v>
      </c>
      <c r="X73" s="93" t="str">
        <f>'Q100a-geral'!X166</f>
        <v>x</v>
      </c>
      <c r="Y73" s="93" t="str">
        <f>'Q100a-geral'!Y166</f>
        <v>x</v>
      </c>
      <c r="Z73" s="93" t="str">
        <f>'Q100a-geral'!Z166</f>
        <v>x</v>
      </c>
      <c r="AA73" s="93" t="str">
        <f>'Q100a-geral'!AA166</f>
        <v>x</v>
      </c>
      <c r="AB73" s="93" t="str">
        <f>'Q100a-geral'!AB166</f>
        <v>x</v>
      </c>
      <c r="AC73" s="93" t="str">
        <f>'Q100a-geral'!AC166</f>
        <v>x</v>
      </c>
      <c r="AD73" s="93" t="str">
        <f>'Q100a-geral'!AD166</f>
        <v>x</v>
      </c>
      <c r="AE73" s="93" t="str">
        <f>'Q100a-geral'!AE166</f>
        <v>x</v>
      </c>
      <c r="AF73" s="93" t="str">
        <f>'Q100a-geral'!AF166</f>
        <v>x</v>
      </c>
      <c r="AG73" s="84">
        <f>'Q100a-geral'!AG166</f>
        <v>8</v>
      </c>
      <c r="AH73" s="84">
        <f>'Q100a-geral'!AH166</f>
        <v>10</v>
      </c>
      <c r="AI73" s="84">
        <f>'Q100a-geral'!AI166</f>
        <v>4</v>
      </c>
      <c r="AJ73" s="84">
        <f>'Q100a-geral'!AJ166</f>
        <v>10</v>
      </c>
      <c r="AK73" s="84">
        <f>'Q100a-geral'!AK166</f>
        <v>6</v>
      </c>
      <c r="AL73" s="212" t="str">
        <f>'Q100a-geral'!AL166</f>
        <v>x</v>
      </c>
      <c r="AM73" s="137" t="str">
        <f>'Q100a-geral'!AM166</f>
        <v>x</v>
      </c>
      <c r="AN73" s="137" t="str">
        <f>'Q100a-geral'!AN166</f>
        <v>x</v>
      </c>
      <c r="AO73" s="137" t="str">
        <f>'Q100a-geral'!AO166</f>
        <v>x</v>
      </c>
      <c r="AP73" s="137" t="str">
        <f>'Q100a-geral'!AP166</f>
        <v>x</v>
      </c>
      <c r="AQ73" s="137" t="str">
        <f>'Q100a-geral'!AQ166</f>
        <v>x</v>
      </c>
      <c r="AR73" s="137"/>
      <c r="AS73" s="137"/>
      <c r="AT73" s="137"/>
      <c r="AU73" s="137"/>
      <c r="AV73" s="137" t="str">
        <f>'Q100a-geral'!AV166</f>
        <v>x</v>
      </c>
      <c r="AW73" s="137"/>
      <c r="AX73" s="137"/>
      <c r="AY73" s="137"/>
      <c r="AZ73" s="137"/>
      <c r="BA73" s="137" t="str">
        <f>'Q100a-geral'!BA166</f>
        <v>x</v>
      </c>
      <c r="BB73" s="239" t="str">
        <f>'Q100a-geral'!BB166</f>
        <v>Solicitações urbanísticasx</v>
      </c>
      <c r="BC73" s="239" t="str">
        <f>'Q100a-geral'!BC166</f>
        <v>Solicitações urbanísticasxx</v>
      </c>
      <c r="BD73" s="239" t="str">
        <f>'Q100a-geral'!BD166</f>
        <v>Solicitações urbanísticasx</v>
      </c>
    </row>
    <row r="74" spans="1:56" s="3" customFormat="1" ht="25.5" customHeight="1" x14ac:dyDescent="0.25">
      <c r="A74" s="275" t="str">
        <f>'Q100a-geral'!A167</f>
        <v>1.5</v>
      </c>
      <c r="B74" s="252" t="str">
        <f>'Q100a-geral'!B167</f>
        <v>Solicitações urbanísticas</v>
      </c>
      <c r="C74" s="229" t="str">
        <f>'Q100a-geral'!C167</f>
        <v>x</v>
      </c>
      <c r="D74" s="322" t="str">
        <f>'Q100a-geral'!D167</f>
        <v>ANpv</v>
      </c>
      <c r="E74" s="11" t="str">
        <f>'Q100a-geral'!E167</f>
        <v>Belo Horizonte</v>
      </c>
      <c r="F74" s="445" t="str">
        <f>'Q100a-geral'!F167</f>
        <v>análises de projetos viários para licenciamento ambiental e urbanístico</v>
      </c>
      <c r="G74" s="14" t="str">
        <f>'Q100a-geral'!G167</f>
        <v>sigla</v>
      </c>
      <c r="H74" s="173" t="str">
        <f>'Q100a-geral'!H167</f>
        <v>sigla/verbete</v>
      </c>
      <c r="I74" s="57" t="str">
        <f>'Q100a-geral'!I167</f>
        <v>x</v>
      </c>
      <c r="J74" s="189" t="str">
        <f>'Q100a-geral'!J167</f>
        <v>x</v>
      </c>
      <c r="K74" s="189" t="str">
        <f>'Q100a-geral'!K167</f>
        <v>x</v>
      </c>
      <c r="L74" s="189" t="str">
        <f>'Q100a-geral'!L167</f>
        <v>x</v>
      </c>
      <c r="M74" s="189" t="str">
        <f>'Q100a-geral'!M167</f>
        <v>x</v>
      </c>
      <c r="N74" s="189" t="str">
        <f>'Q100a-geral'!N167</f>
        <v>x</v>
      </c>
      <c r="O74" s="189" t="str">
        <f>'Q100a-geral'!O167</f>
        <v>x</v>
      </c>
      <c r="P74" s="189" t="str">
        <f>'Q100a-geral'!P167</f>
        <v>x</v>
      </c>
      <c r="Q74" s="189" t="str">
        <f>'Q100a-geral'!Q167</f>
        <v>x</v>
      </c>
      <c r="R74" s="189" t="str">
        <f>'Q100a-geral'!R167</f>
        <v>x</v>
      </c>
      <c r="S74" s="190" t="str">
        <f>'Q100a-geral'!S167</f>
        <v>só para pesquisa</v>
      </c>
      <c r="T74" s="189" t="str">
        <f>'Q100a-geral'!T167</f>
        <v>x</v>
      </c>
      <c r="U74" s="189" t="str">
        <f>'Q100a-geral'!U167</f>
        <v>x</v>
      </c>
      <c r="V74" s="189" t="str">
        <f>'Q100a-geral'!V167</f>
        <v>só para pesquisa</v>
      </c>
      <c r="W74" s="189" t="str">
        <f>'Q100a-geral'!W167</f>
        <v>x</v>
      </c>
      <c r="X74" s="189" t="str">
        <f>'Q100a-geral'!X167</f>
        <v>x</v>
      </c>
      <c r="Y74" s="189" t="str">
        <f>'Q100a-geral'!Y167</f>
        <v>x</v>
      </c>
      <c r="Z74" s="189" t="str">
        <f>'Q100a-geral'!Z167</f>
        <v>x</v>
      </c>
      <c r="AA74" s="189" t="str">
        <f>'Q100a-geral'!AA167</f>
        <v>x</v>
      </c>
      <c r="AB74" s="189" t="str">
        <f>'Q100a-geral'!AB167</f>
        <v>x</v>
      </c>
      <c r="AC74" s="189" t="str">
        <f>'Q100a-geral'!AC167</f>
        <v>x</v>
      </c>
      <c r="AD74" s="189" t="str">
        <f>'Q100a-geral'!AD167</f>
        <v>x</v>
      </c>
      <c r="AE74" s="189" t="str">
        <f>'Q100a-geral'!AE167</f>
        <v>x</v>
      </c>
      <c r="AF74" s="189" t="str">
        <f>'Q100a-geral'!AF167</f>
        <v>x</v>
      </c>
      <c r="AG74" s="189" t="str">
        <f>'Q100a-geral'!AG167</f>
        <v>x</v>
      </c>
      <c r="AH74" s="189" t="str">
        <f>'Q100a-geral'!AH167</f>
        <v>x</v>
      </c>
      <c r="AI74" s="189" t="str">
        <f>'Q100a-geral'!AI167</f>
        <v>x</v>
      </c>
      <c r="AJ74" s="189" t="str">
        <f>'Q100a-geral'!AJ167</f>
        <v>x</v>
      </c>
      <c r="AK74" s="137" t="str">
        <f>'Q100a-geral'!AK167</f>
        <v>x</v>
      </c>
      <c r="AL74" s="173" t="str">
        <f>'Q100a-geral'!AL167</f>
        <v>x</v>
      </c>
      <c r="AM74" s="137" t="str">
        <f>'Q100a-geral'!AM167</f>
        <v>x</v>
      </c>
      <c r="AN74" s="137" t="str">
        <f>'Q100a-geral'!AN167</f>
        <v>x</v>
      </c>
      <c r="AO74" s="137" t="str">
        <f>'Q100a-geral'!AO167</f>
        <v>x</v>
      </c>
      <c r="AP74" s="137" t="str">
        <f>'Q100a-geral'!AP167</f>
        <v>x</v>
      </c>
      <c r="AQ74" s="137" t="str">
        <f>'Q100a-geral'!AQ167</f>
        <v>x</v>
      </c>
      <c r="AR74" s="137"/>
      <c r="AS74" s="137"/>
      <c r="AT74" s="137"/>
      <c r="AU74" s="137"/>
      <c r="AV74" s="137" t="str">
        <f>'Q100a-geral'!AV167</f>
        <v>x</v>
      </c>
      <c r="AW74" s="137"/>
      <c r="AX74" s="137"/>
      <c r="AY74" s="137"/>
      <c r="AZ74" s="137"/>
      <c r="BA74" s="137" t="str">
        <f>'Q100a-geral'!BA167</f>
        <v>x</v>
      </c>
      <c r="BB74" s="239" t="str">
        <f>'Q100a-geral'!BB167</f>
        <v>Solicitações urbanísticasx</v>
      </c>
      <c r="BC74" s="239" t="str">
        <f>'Q100a-geral'!BC167</f>
        <v>Solicitações urbanísticasxsigla/verbete</v>
      </c>
      <c r="BD74" s="239" t="str">
        <f>'Q100a-geral'!BD167</f>
        <v>Solicitações urbanísticassigla/verbete</v>
      </c>
    </row>
    <row r="75" spans="1:56" s="3" customFormat="1" ht="25.5" customHeight="1" x14ac:dyDescent="0.25">
      <c r="A75" s="275" t="str">
        <f>'Q100a-geral'!A168</f>
        <v>1.5</v>
      </c>
      <c r="B75" s="252" t="str">
        <f>'Q100a-geral'!B168</f>
        <v>Solicitações urbanísticas</v>
      </c>
      <c r="C75" s="229" t="str">
        <f>'Q100a-geral'!C168</f>
        <v>x</v>
      </c>
      <c r="D75" s="322" t="str">
        <f>'Q100a-geral'!D168</f>
        <v>ANpv(30d)</v>
      </c>
      <c r="E75" s="11" t="str">
        <f>'Q100a-geral'!E168</f>
        <v>Belo Horizonte</v>
      </c>
      <c r="F75" s="445" t="str">
        <f>'Q100a-geral'!F168</f>
        <v>n.º de ANpv finalizadas do primeiro ao último dia do período e que tenham dado entrada a menos de 30 dias após sua entrada (BHTRANS, 2015f)</v>
      </c>
      <c r="G75" s="252" t="str">
        <f>'Q100a-geral'!G168</f>
        <v>registro na fonte</v>
      </c>
      <c r="H75" s="173" t="str">
        <f>'Q100a-geral'!H168</f>
        <v>x</v>
      </c>
      <c r="I75" s="57">
        <f>'Q100a-geral'!I168</f>
        <v>1</v>
      </c>
      <c r="J75" s="107" t="str">
        <f>'Q100a-geral'!J168</f>
        <v>x</v>
      </c>
      <c r="K75" s="93" t="str">
        <f>'Q100a-geral'!K168</f>
        <v>x</v>
      </c>
      <c r="L75" s="93" t="str">
        <f>'Q100a-geral'!L168</f>
        <v>x</v>
      </c>
      <c r="M75" s="93" t="str">
        <f>'Q100a-geral'!M168</f>
        <v>x</v>
      </c>
      <c r="N75" s="93" t="str">
        <f>'Q100a-geral'!N168</f>
        <v>x</v>
      </c>
      <c r="O75" s="93" t="str">
        <f>'Q100a-geral'!O168</f>
        <v>x</v>
      </c>
      <c r="P75" s="93" t="str">
        <f>'Q100a-geral'!P168</f>
        <v>x</v>
      </c>
      <c r="Q75" s="93" t="str">
        <f>'Q100a-geral'!Q168</f>
        <v>x</v>
      </c>
      <c r="R75" s="93" t="str">
        <f>'Q100a-geral'!R168</f>
        <v>x</v>
      </c>
      <c r="S75" s="109" t="str">
        <f>'Q100a-geral'!S168</f>
        <v>só para pesquisa</v>
      </c>
      <c r="T75" s="93" t="str">
        <f>'Q100a-geral'!T168</f>
        <v>x</v>
      </c>
      <c r="U75" s="93" t="str">
        <f>'Q100a-geral'!U168</f>
        <v>x</v>
      </c>
      <c r="V75" s="107" t="str">
        <f>'Q100a-geral'!V168</f>
        <v>só para pesquisa</v>
      </c>
      <c r="W75" s="93" t="str">
        <f>'Q100a-geral'!W168</f>
        <v>x</v>
      </c>
      <c r="X75" s="93" t="str">
        <f>'Q100a-geral'!X168</f>
        <v>x</v>
      </c>
      <c r="Y75" s="93" t="str">
        <f>'Q100a-geral'!Y168</f>
        <v>x</v>
      </c>
      <c r="Z75" s="93" t="str">
        <f>'Q100a-geral'!Z168</f>
        <v>x</v>
      </c>
      <c r="AA75" s="93" t="str">
        <f>'Q100a-geral'!AA168</f>
        <v>x</v>
      </c>
      <c r="AB75" s="93" t="str">
        <f>'Q100a-geral'!AB168</f>
        <v>x</v>
      </c>
      <c r="AC75" s="93" t="str">
        <f>'Q100a-geral'!AC168</f>
        <v>x</v>
      </c>
      <c r="AD75" s="93" t="str">
        <f>'Q100a-geral'!AD168</f>
        <v>x</v>
      </c>
      <c r="AE75" s="93" t="str">
        <f>'Q100a-geral'!AE168</f>
        <v>x</v>
      </c>
      <c r="AF75" s="93" t="str">
        <f>'Q100a-geral'!AF168</f>
        <v>x</v>
      </c>
      <c r="AG75" s="93" t="str">
        <f>'Q100a-geral'!AG168</f>
        <v>x</v>
      </c>
      <c r="AH75" s="93" t="str">
        <f>'Q100a-geral'!AH168</f>
        <v>x</v>
      </c>
      <c r="AI75" s="84">
        <f>'Q100a-geral'!AI168</f>
        <v>1</v>
      </c>
      <c r="AJ75" s="84">
        <f>'Q100a-geral'!AJ168</f>
        <v>2</v>
      </c>
      <c r="AK75" s="84">
        <f>'Q100a-geral'!AK168</f>
        <v>5</v>
      </c>
      <c r="AL75" s="212" t="str">
        <f>'Q100a-geral'!AL168</f>
        <v>x</v>
      </c>
      <c r="AM75" s="137" t="str">
        <f>'Q100a-geral'!AM168</f>
        <v>x</v>
      </c>
      <c r="AN75" s="137" t="str">
        <f>'Q100a-geral'!AN168</f>
        <v>x</v>
      </c>
      <c r="AO75" s="137" t="str">
        <f>'Q100a-geral'!AO168</f>
        <v>x</v>
      </c>
      <c r="AP75" s="137" t="str">
        <f>'Q100a-geral'!AP168</f>
        <v>x</v>
      </c>
      <c r="AQ75" s="137" t="str">
        <f>'Q100a-geral'!AQ168</f>
        <v>x</v>
      </c>
      <c r="AR75" s="137"/>
      <c r="AS75" s="137"/>
      <c r="AT75" s="137"/>
      <c r="AU75" s="137"/>
      <c r="AV75" s="137" t="str">
        <f>'Q100a-geral'!AV168</f>
        <v>x</v>
      </c>
      <c r="AW75" s="137"/>
      <c r="AX75" s="137"/>
      <c r="AY75" s="137"/>
      <c r="AZ75" s="137"/>
      <c r="BA75" s="137" t="str">
        <f>'Q100a-geral'!BA168</f>
        <v>x</v>
      </c>
      <c r="BB75" s="239" t="str">
        <f>'Q100a-geral'!BB168</f>
        <v>Solicitações urbanísticasx</v>
      </c>
      <c r="BC75" s="239" t="str">
        <f>'Q100a-geral'!BC168</f>
        <v>Solicitações urbanísticasxx</v>
      </c>
      <c r="BD75" s="239" t="str">
        <f>'Q100a-geral'!BD168</f>
        <v>Solicitações urbanísticasx</v>
      </c>
    </row>
    <row r="76" spans="1:56" s="3" customFormat="1" ht="38.25" customHeight="1" x14ac:dyDescent="0.25">
      <c r="A76" s="275" t="str">
        <f>'Q100a-geral'!A169</f>
        <v>1.5</v>
      </c>
      <c r="B76" s="252" t="str">
        <f>'Q100a-geral'!B169</f>
        <v>Solicitações urbanísticas</v>
      </c>
      <c r="C76" s="229" t="str">
        <f>'Q100a-geral'!C169</f>
        <v>x</v>
      </c>
      <c r="D76" s="322" t="str">
        <f>'Q100a-geral'!D169</f>
        <v>ANpv(30d) em relação a ANpv(saída)</v>
      </c>
      <c r="E76" s="11" t="str">
        <f>'Q100a-geral'!E169</f>
        <v>Belo Horizonte</v>
      </c>
      <c r="F76" s="445" t="str">
        <f>'Q100a-geral'!F169</f>
        <v>celeridade na resposta dada a solicitações de análise de projetos viários, obtida pela relação entre o n.º de ANpv finalizadas em menos de 30 dias e o n.º total de ANpv finalizadas no período
obs.: este indicador foi selecionado como indicador estratégico da BHTrans com a denominação de "Percentual de projetos viários analisados no prazo" (BHTRANS, 2015d)</v>
      </c>
      <c r="G76" s="78" t="str">
        <f>'Q100a-geral'!G169</f>
        <v>( ANpv(30d) /
ANpv(saída) )
x 100</v>
      </c>
      <c r="H76" s="173" t="str">
        <f>'Q100a-geral'!H169</f>
        <v>x</v>
      </c>
      <c r="I76" s="57">
        <f>'Q100a-geral'!I169</f>
        <v>1</v>
      </c>
      <c r="J76" s="107" t="str">
        <f>'Q100a-geral'!J169</f>
        <v>x</v>
      </c>
      <c r="K76" s="93" t="str">
        <f>'Q100a-geral'!K169</f>
        <v>x</v>
      </c>
      <c r="L76" s="93" t="str">
        <f>'Q100a-geral'!L169</f>
        <v>x</v>
      </c>
      <c r="M76" s="93" t="str">
        <f>'Q100a-geral'!M169</f>
        <v>x</v>
      </c>
      <c r="N76" s="93" t="str">
        <f>'Q100a-geral'!N169</f>
        <v>x</v>
      </c>
      <c r="O76" s="93" t="str">
        <f>'Q100a-geral'!O169</f>
        <v>x</v>
      </c>
      <c r="P76" s="93" t="str">
        <f>'Q100a-geral'!P169</f>
        <v>x</v>
      </c>
      <c r="Q76" s="93" t="str">
        <f>'Q100a-geral'!Q169</f>
        <v>x</v>
      </c>
      <c r="R76" s="93" t="str">
        <f>'Q100a-geral'!R169</f>
        <v>x</v>
      </c>
      <c r="S76" s="109" t="str">
        <f>'Q100a-geral'!S169</f>
        <v>só para pesquisa</v>
      </c>
      <c r="T76" s="93" t="str">
        <f>'Q100a-geral'!T169</f>
        <v>x</v>
      </c>
      <c r="U76" s="93" t="str">
        <f>'Q100a-geral'!U169</f>
        <v>x</v>
      </c>
      <c r="V76" s="107" t="str">
        <f>'Q100a-geral'!V169</f>
        <v>só para pesquisa</v>
      </c>
      <c r="W76" s="93" t="str">
        <f>'Q100a-geral'!W169</f>
        <v>x</v>
      </c>
      <c r="X76" s="93" t="str">
        <f>'Q100a-geral'!X169</f>
        <v>x</v>
      </c>
      <c r="Y76" s="93" t="str">
        <f>'Q100a-geral'!Y169</f>
        <v>x</v>
      </c>
      <c r="Z76" s="93" t="str">
        <f>'Q100a-geral'!Z169</f>
        <v>x</v>
      </c>
      <c r="AA76" s="93" t="str">
        <f>'Q100a-geral'!AA169</f>
        <v>x</v>
      </c>
      <c r="AB76" s="93" t="str">
        <f>'Q100a-geral'!AB169</f>
        <v>x</v>
      </c>
      <c r="AC76" s="93" t="str">
        <f>'Q100a-geral'!AC169</f>
        <v>x</v>
      </c>
      <c r="AD76" s="93" t="str">
        <f>'Q100a-geral'!AD169</f>
        <v>x</v>
      </c>
      <c r="AE76" s="93" t="str">
        <f>'Q100a-geral'!AE169</f>
        <v>x</v>
      </c>
      <c r="AF76" s="93" t="str">
        <f>'Q100a-geral'!AF169</f>
        <v>x</v>
      </c>
      <c r="AG76" s="371"/>
      <c r="AH76" s="371"/>
      <c r="AI76" s="47">
        <f>'Q100a-geral'!AI169</f>
        <v>0.2</v>
      </c>
      <c r="AJ76" s="47">
        <f>'Q100a-geral'!AJ169</f>
        <v>0.18181818181818182</v>
      </c>
      <c r="AK76" s="47">
        <f>'Q100a-geral'!AK169</f>
        <v>0.41666666666666669</v>
      </c>
      <c r="AL76" s="212" t="str">
        <f>'Q100a-geral'!AL169</f>
        <v>x</v>
      </c>
      <c r="AM76" s="137" t="str">
        <f>'Q100a-geral'!AM169</f>
        <v>x</v>
      </c>
      <c r="AN76" s="137" t="str">
        <f>'Q100a-geral'!AN169</f>
        <v>x</v>
      </c>
      <c r="AO76" s="137" t="str">
        <f>'Q100a-geral'!AO169</f>
        <v>x</v>
      </c>
      <c r="AP76" s="137" t="str">
        <f>'Q100a-geral'!AP169</f>
        <v>x</v>
      </c>
      <c r="AQ76" s="137" t="str">
        <f>'Q100a-geral'!AQ169</f>
        <v>x</v>
      </c>
      <c r="AR76" s="137"/>
      <c r="AS76" s="137"/>
      <c r="AT76" s="137"/>
      <c r="AU76" s="137"/>
      <c r="AV76" s="137" t="str">
        <f>'Q100a-geral'!AV169</f>
        <v>x</v>
      </c>
      <c r="AW76" s="137"/>
      <c r="AX76" s="137"/>
      <c r="AY76" s="137"/>
      <c r="AZ76" s="137"/>
      <c r="BA76" s="137" t="str">
        <f>'Q100a-geral'!BA169</f>
        <v>x</v>
      </c>
      <c r="BB76" s="239" t="str">
        <f>'Q100a-geral'!BB169</f>
        <v>Solicitações urbanísticasx</v>
      </c>
      <c r="BC76" s="239" t="str">
        <f>'Q100a-geral'!BC169</f>
        <v>Solicitações urbanísticasxx</v>
      </c>
      <c r="BD76" s="239" t="str">
        <f>'Q100a-geral'!BD169</f>
        <v>Solicitações urbanísticasx</v>
      </c>
    </row>
    <row r="77" spans="1:56" s="3" customFormat="1" ht="25.5" customHeight="1" x14ac:dyDescent="0.25">
      <c r="A77" s="275" t="str">
        <f>'Q100a-geral'!A170</f>
        <v>1.5</v>
      </c>
      <c r="B77" s="252" t="str">
        <f>'Q100a-geral'!B170</f>
        <v>Solicitações urbanísticas</v>
      </c>
      <c r="C77" s="229" t="str">
        <f>'Q100a-geral'!C170</f>
        <v>x</v>
      </c>
      <c r="D77" s="322" t="str">
        <f>'Q100a-geral'!D170</f>
        <v>ANpv(entrada)</v>
      </c>
      <c r="E77" s="11" t="str">
        <f>'Q100a-geral'!E170</f>
        <v>Belo Horizonte</v>
      </c>
      <c r="F77" s="445" t="str">
        <f>'Q100a-geral'!F170</f>
        <v>n.º de ANpv que deram entrada durante o período de apuração (BHTRANS, 2015f)</v>
      </c>
      <c r="G77" s="252" t="str">
        <f>'Q100a-geral'!G170</f>
        <v>registro na fonte</v>
      </c>
      <c r="H77" s="173" t="str">
        <f>'Q100a-geral'!H170</f>
        <v>x</v>
      </c>
      <c r="I77" s="57">
        <f>'Q100a-geral'!I170</f>
        <v>1</v>
      </c>
      <c r="J77" s="107" t="str">
        <f>'Q100a-geral'!J170</f>
        <v>x</v>
      </c>
      <c r="K77" s="93" t="str">
        <f>'Q100a-geral'!K170</f>
        <v>x</v>
      </c>
      <c r="L77" s="93" t="str">
        <f>'Q100a-geral'!L170</f>
        <v>x</v>
      </c>
      <c r="M77" s="93" t="str">
        <f>'Q100a-geral'!M170</f>
        <v>x</v>
      </c>
      <c r="N77" s="93" t="str">
        <f>'Q100a-geral'!N170</f>
        <v>x</v>
      </c>
      <c r="O77" s="93" t="str">
        <f>'Q100a-geral'!O170</f>
        <v>x</v>
      </c>
      <c r="P77" s="93" t="str">
        <f>'Q100a-geral'!P170</f>
        <v>x</v>
      </c>
      <c r="Q77" s="93" t="str">
        <f>'Q100a-geral'!Q170</f>
        <v>x</v>
      </c>
      <c r="R77" s="93" t="str">
        <f>'Q100a-geral'!R170</f>
        <v>x</v>
      </c>
      <c r="S77" s="109" t="str">
        <f>'Q100a-geral'!S170</f>
        <v>só para pesquisa</v>
      </c>
      <c r="T77" s="93" t="str">
        <f>'Q100a-geral'!T170</f>
        <v>x</v>
      </c>
      <c r="U77" s="93" t="str">
        <f>'Q100a-geral'!U170</f>
        <v>x</v>
      </c>
      <c r="V77" s="107" t="str">
        <f>'Q100a-geral'!V170</f>
        <v>só para pesquisa</v>
      </c>
      <c r="W77" s="93" t="str">
        <f>'Q100a-geral'!W170</f>
        <v>x</v>
      </c>
      <c r="X77" s="93" t="str">
        <f>'Q100a-geral'!X170</f>
        <v>x</v>
      </c>
      <c r="Y77" s="93" t="str">
        <f>'Q100a-geral'!Y170</f>
        <v>x</v>
      </c>
      <c r="Z77" s="93" t="str">
        <f>'Q100a-geral'!Z170</f>
        <v>x</v>
      </c>
      <c r="AA77" s="93" t="str">
        <f>'Q100a-geral'!AA170</f>
        <v>x</v>
      </c>
      <c r="AB77" s="93" t="str">
        <f>'Q100a-geral'!AB170</f>
        <v>x</v>
      </c>
      <c r="AC77" s="93" t="str">
        <f>'Q100a-geral'!AC170</f>
        <v>x</v>
      </c>
      <c r="AD77" s="93" t="str">
        <f>'Q100a-geral'!AD170</f>
        <v>x</v>
      </c>
      <c r="AE77" s="93" t="str">
        <f>'Q100a-geral'!AE170</f>
        <v>x</v>
      </c>
      <c r="AF77" s="93" t="str">
        <f>'Q100a-geral'!AF170</f>
        <v>x</v>
      </c>
      <c r="AG77" s="93" t="str">
        <f>'Q100a-geral'!AG170</f>
        <v>x</v>
      </c>
      <c r="AH77" s="93" t="str">
        <f>'Q100a-geral'!AH170</f>
        <v>x</v>
      </c>
      <c r="AI77" s="84">
        <f>'Q100a-geral'!AI170</f>
        <v>6</v>
      </c>
      <c r="AJ77" s="84">
        <f>'Q100a-geral'!AJ170</f>
        <v>6</v>
      </c>
      <c r="AK77" s="84">
        <f>'Q100a-geral'!AK170</f>
        <v>8</v>
      </c>
      <c r="AL77" s="212" t="str">
        <f>'Q100a-geral'!AL170</f>
        <v>x</v>
      </c>
      <c r="AM77" s="137" t="str">
        <f>'Q100a-geral'!AM170</f>
        <v>x</v>
      </c>
      <c r="AN77" s="137" t="str">
        <f>'Q100a-geral'!AN170</f>
        <v>x</v>
      </c>
      <c r="AO77" s="137" t="str">
        <f>'Q100a-geral'!AO170</f>
        <v>x</v>
      </c>
      <c r="AP77" s="137" t="str">
        <f>'Q100a-geral'!AP170</f>
        <v>x</v>
      </c>
      <c r="AQ77" s="137" t="str">
        <f>'Q100a-geral'!AQ170</f>
        <v>x</v>
      </c>
      <c r="AR77" s="137"/>
      <c r="AS77" s="137"/>
      <c r="AT77" s="137"/>
      <c r="AU77" s="137"/>
      <c r="AV77" s="137" t="str">
        <f>'Q100a-geral'!AV170</f>
        <v>x</v>
      </c>
      <c r="AW77" s="137"/>
      <c r="AX77" s="137"/>
      <c r="AY77" s="137"/>
      <c r="AZ77" s="137"/>
      <c r="BA77" s="137" t="str">
        <f>'Q100a-geral'!BA170</f>
        <v>x</v>
      </c>
      <c r="BB77" s="239" t="str">
        <f>'Q100a-geral'!BB170</f>
        <v>Solicitações urbanísticasx</v>
      </c>
      <c r="BC77" s="239" t="str">
        <f>'Q100a-geral'!BC170</f>
        <v>Solicitações urbanísticasxx</v>
      </c>
      <c r="BD77" s="239" t="str">
        <f>'Q100a-geral'!BD170</f>
        <v>Solicitações urbanísticasx</v>
      </c>
    </row>
    <row r="78" spans="1:56" s="3" customFormat="1" ht="38.25" customHeight="1" x14ac:dyDescent="0.25">
      <c r="A78" s="275" t="str">
        <f>'Q100a-geral'!A171</f>
        <v>1.5</v>
      </c>
      <c r="B78" s="252" t="str">
        <f>'Q100a-geral'!B171</f>
        <v>Solicitações urbanísticas</v>
      </c>
      <c r="C78" s="229" t="str">
        <f>'Q100a-geral'!C171</f>
        <v>x</v>
      </c>
      <c r="D78" s="322" t="str">
        <f>'Q100a-geral'!D171</f>
        <v>ANpv(estoque)</v>
      </c>
      <c r="E78" s="11" t="str">
        <f>'Q100a-geral'!E171</f>
        <v>Belo Horizonte</v>
      </c>
      <c r="F78" s="445" t="str">
        <f>'Q100a-geral'!F171</f>
        <v>n.º de ANpv ainda não concluídas no último dia do período de apuração, também denominado como "saldo" em alguns relatórios gerenciais (BHTRANS, 2015f)</v>
      </c>
      <c r="G78" s="252" t="str">
        <f>'Q100a-geral'!G171</f>
        <v>registro na fonte</v>
      </c>
      <c r="H78" s="173" t="str">
        <f>'Q100a-geral'!H171</f>
        <v>x</v>
      </c>
      <c r="I78" s="57">
        <f>'Q100a-geral'!I171</f>
        <v>1</v>
      </c>
      <c r="J78" s="107" t="str">
        <f>'Q100a-geral'!J171</f>
        <v>x</v>
      </c>
      <c r="K78" s="93" t="str">
        <f>'Q100a-geral'!K171</f>
        <v>x</v>
      </c>
      <c r="L78" s="93" t="str">
        <f>'Q100a-geral'!L171</f>
        <v>x</v>
      </c>
      <c r="M78" s="93" t="str">
        <f>'Q100a-geral'!M171</f>
        <v>x</v>
      </c>
      <c r="N78" s="93" t="str">
        <f>'Q100a-geral'!N171</f>
        <v>x</v>
      </c>
      <c r="O78" s="93" t="str">
        <f>'Q100a-geral'!O171</f>
        <v>x</v>
      </c>
      <c r="P78" s="93" t="str">
        <f>'Q100a-geral'!P171</f>
        <v>x</v>
      </c>
      <c r="Q78" s="93" t="str">
        <f>'Q100a-geral'!Q171</f>
        <v>x</v>
      </c>
      <c r="R78" s="93" t="str">
        <f>'Q100a-geral'!R171</f>
        <v>x</v>
      </c>
      <c r="S78" s="109" t="str">
        <f>'Q100a-geral'!S171</f>
        <v>só para pesquisa</v>
      </c>
      <c r="T78" s="93" t="str">
        <f>'Q100a-geral'!T171</f>
        <v>x</v>
      </c>
      <c r="U78" s="93" t="str">
        <f>'Q100a-geral'!U171</f>
        <v>x</v>
      </c>
      <c r="V78" s="107" t="str">
        <f>'Q100a-geral'!V171</f>
        <v>só para pesquisa</v>
      </c>
      <c r="W78" s="93" t="str">
        <f>'Q100a-geral'!W171</f>
        <v>x</v>
      </c>
      <c r="X78" s="93" t="str">
        <f>'Q100a-geral'!X171</f>
        <v>x</v>
      </c>
      <c r="Y78" s="93" t="str">
        <f>'Q100a-geral'!Y171</f>
        <v>x</v>
      </c>
      <c r="Z78" s="93" t="str">
        <f>'Q100a-geral'!Z171</f>
        <v>x</v>
      </c>
      <c r="AA78" s="93" t="str">
        <f>'Q100a-geral'!AA171</f>
        <v>x</v>
      </c>
      <c r="AB78" s="93" t="str">
        <f>'Q100a-geral'!AB171</f>
        <v>x</v>
      </c>
      <c r="AC78" s="93" t="str">
        <f>'Q100a-geral'!AC171</f>
        <v>x</v>
      </c>
      <c r="AD78" s="93" t="str">
        <f>'Q100a-geral'!AD171</f>
        <v>x</v>
      </c>
      <c r="AE78" s="93" t="str">
        <f>'Q100a-geral'!AE171</f>
        <v>x</v>
      </c>
      <c r="AF78" s="93" t="str">
        <f>'Q100a-geral'!AF171</f>
        <v>x</v>
      </c>
      <c r="AG78" s="93" t="str">
        <f>'Q100a-geral'!AG171</f>
        <v>x</v>
      </c>
      <c r="AH78" s="93" t="str">
        <f>'Q100a-geral'!AH171</f>
        <v>x</v>
      </c>
      <c r="AI78" s="84">
        <f>'Q100a-geral'!AI171</f>
        <v>12</v>
      </c>
      <c r="AJ78" s="84">
        <f>'Q100a-geral'!AJ171</f>
        <v>17</v>
      </c>
      <c r="AK78" s="84">
        <f>'Q100a-geral'!AK171</f>
        <v>11</v>
      </c>
      <c r="AL78" s="212" t="str">
        <f>'Q100a-geral'!AL171</f>
        <v>x</v>
      </c>
      <c r="AM78" s="137" t="str">
        <f>'Q100a-geral'!AM171</f>
        <v>x</v>
      </c>
      <c r="AN78" s="137" t="str">
        <f>'Q100a-geral'!AN171</f>
        <v>x</v>
      </c>
      <c r="AO78" s="137" t="str">
        <f>'Q100a-geral'!AO171</f>
        <v>x</v>
      </c>
      <c r="AP78" s="137" t="str">
        <f>'Q100a-geral'!AP171</f>
        <v>x</v>
      </c>
      <c r="AQ78" s="137" t="str">
        <f>'Q100a-geral'!AQ171</f>
        <v>x</v>
      </c>
      <c r="AR78" s="137"/>
      <c r="AS78" s="137"/>
      <c r="AT78" s="137"/>
      <c r="AU78" s="137"/>
      <c r="AV78" s="137" t="str">
        <f>'Q100a-geral'!AV171</f>
        <v>x</v>
      </c>
      <c r="AW78" s="137"/>
      <c r="AX78" s="137"/>
      <c r="AY78" s="137"/>
      <c r="AZ78" s="137"/>
      <c r="BA78" s="137" t="str">
        <f>'Q100a-geral'!BA171</f>
        <v>x</v>
      </c>
      <c r="BB78" s="239" t="str">
        <f>'Q100a-geral'!BB171</f>
        <v>Solicitações urbanísticasx</v>
      </c>
      <c r="BC78" s="239" t="str">
        <f>'Q100a-geral'!BC171</f>
        <v>Solicitações urbanísticasxx</v>
      </c>
      <c r="BD78" s="239" t="str">
        <f>'Q100a-geral'!BD171</f>
        <v>Solicitações urbanísticasx</v>
      </c>
    </row>
    <row r="79" spans="1:56" s="3" customFormat="1" ht="25.5" customHeight="1" x14ac:dyDescent="0.25">
      <c r="A79" s="275" t="str">
        <f>'Q100a-geral'!A172</f>
        <v>1.5</v>
      </c>
      <c r="B79" s="252" t="str">
        <f>'Q100a-geral'!B172</f>
        <v>Solicitações urbanísticas</v>
      </c>
      <c r="C79" s="229" t="str">
        <f>'Q100a-geral'!C172</f>
        <v>x</v>
      </c>
      <c r="D79" s="322" t="str">
        <f>'Q100a-geral'!D172</f>
        <v>ANpv(saída)</v>
      </c>
      <c r="E79" s="11" t="str">
        <f>'Q100a-geral'!E172</f>
        <v>Belo Horizonte</v>
      </c>
      <c r="F79" s="445" t="str">
        <f>'Q100a-geral'!F172</f>
        <v>n.º de ANpv finalizadas do primeiro ao último dia do período de apuração (BHTRANS, 2015f)</v>
      </c>
      <c r="G79" s="252" t="str">
        <f>'Q100a-geral'!G172</f>
        <v>registro na fonte</v>
      </c>
      <c r="H79" s="173" t="str">
        <f>'Q100a-geral'!H172</f>
        <v>x</v>
      </c>
      <c r="I79" s="57">
        <f>'Q100a-geral'!I172</f>
        <v>1</v>
      </c>
      <c r="J79" s="107" t="str">
        <f>'Q100a-geral'!J172</f>
        <v>x</v>
      </c>
      <c r="K79" s="93" t="str">
        <f>'Q100a-geral'!K172</f>
        <v>x</v>
      </c>
      <c r="L79" s="93" t="str">
        <f>'Q100a-geral'!L172</f>
        <v>x</v>
      </c>
      <c r="M79" s="93" t="str">
        <f>'Q100a-geral'!M172</f>
        <v>x</v>
      </c>
      <c r="N79" s="93" t="str">
        <f>'Q100a-geral'!N172</f>
        <v>x</v>
      </c>
      <c r="O79" s="93" t="str">
        <f>'Q100a-geral'!O172</f>
        <v>x</v>
      </c>
      <c r="P79" s="93" t="str">
        <f>'Q100a-geral'!P172</f>
        <v>x</v>
      </c>
      <c r="Q79" s="93" t="str">
        <f>'Q100a-geral'!Q172</f>
        <v>x</v>
      </c>
      <c r="R79" s="93" t="str">
        <f>'Q100a-geral'!R172</f>
        <v>x</v>
      </c>
      <c r="S79" s="109" t="str">
        <f>'Q100a-geral'!S172</f>
        <v>só para pesquisa</v>
      </c>
      <c r="T79" s="93" t="str">
        <f>'Q100a-geral'!T172</f>
        <v>x</v>
      </c>
      <c r="U79" s="93" t="str">
        <f>'Q100a-geral'!U172</f>
        <v>x</v>
      </c>
      <c r="V79" s="107" t="str">
        <f>'Q100a-geral'!V172</f>
        <v>só para pesquisa</v>
      </c>
      <c r="W79" s="93" t="str">
        <f>'Q100a-geral'!W172</f>
        <v>x</v>
      </c>
      <c r="X79" s="93" t="str">
        <f>'Q100a-geral'!X172</f>
        <v>x</v>
      </c>
      <c r="Y79" s="93" t="str">
        <f>'Q100a-geral'!Y172</f>
        <v>x</v>
      </c>
      <c r="Z79" s="93" t="str">
        <f>'Q100a-geral'!Z172</f>
        <v>x</v>
      </c>
      <c r="AA79" s="93" t="str">
        <f>'Q100a-geral'!AA172</f>
        <v>x</v>
      </c>
      <c r="AB79" s="93" t="str">
        <f>'Q100a-geral'!AB172</f>
        <v>x</v>
      </c>
      <c r="AC79" s="93" t="str">
        <f>'Q100a-geral'!AC172</f>
        <v>x</v>
      </c>
      <c r="AD79" s="93" t="str">
        <f>'Q100a-geral'!AD172</f>
        <v>x</v>
      </c>
      <c r="AE79" s="93" t="str">
        <f>'Q100a-geral'!AE172</f>
        <v>x</v>
      </c>
      <c r="AF79" s="93" t="str">
        <f>'Q100a-geral'!AF172</f>
        <v>x</v>
      </c>
      <c r="AG79" s="93" t="str">
        <f>'Q100a-geral'!AG172</f>
        <v>x</v>
      </c>
      <c r="AH79" s="93" t="str">
        <f>'Q100a-geral'!AH172</f>
        <v>x</v>
      </c>
      <c r="AI79" s="84">
        <f>'Q100a-geral'!AI172</f>
        <v>5</v>
      </c>
      <c r="AJ79" s="84">
        <f>'Q100a-geral'!AJ172</f>
        <v>11</v>
      </c>
      <c r="AK79" s="84">
        <f>'Q100a-geral'!AK172</f>
        <v>12</v>
      </c>
      <c r="AL79" s="212" t="str">
        <f>'Q100a-geral'!AL172</f>
        <v>x</v>
      </c>
      <c r="AM79" s="137" t="str">
        <f>'Q100a-geral'!AM172</f>
        <v>x</v>
      </c>
      <c r="AN79" s="137" t="str">
        <f>'Q100a-geral'!AN172</f>
        <v>x</v>
      </c>
      <c r="AO79" s="137" t="str">
        <f>'Q100a-geral'!AO172</f>
        <v>x</v>
      </c>
      <c r="AP79" s="137" t="str">
        <f>'Q100a-geral'!AP172</f>
        <v>x</v>
      </c>
      <c r="AQ79" s="137" t="str">
        <f>'Q100a-geral'!AQ172</f>
        <v>x</v>
      </c>
      <c r="AR79" s="137"/>
      <c r="AS79" s="137"/>
      <c r="AT79" s="137"/>
      <c r="AU79" s="137"/>
      <c r="AV79" s="137" t="str">
        <f>'Q100a-geral'!AV172</f>
        <v>x</v>
      </c>
      <c r="AW79" s="137"/>
      <c r="AX79" s="137"/>
      <c r="AY79" s="137"/>
      <c r="AZ79" s="137"/>
      <c r="BA79" s="137" t="str">
        <f>'Q100a-geral'!BA172</f>
        <v>x</v>
      </c>
      <c r="BB79" s="239" t="str">
        <f>'Q100a-geral'!BB172</f>
        <v>Solicitações urbanísticasx</v>
      </c>
      <c r="BC79" s="239" t="str">
        <f>'Q100a-geral'!BC172</f>
        <v>Solicitações urbanísticasxx</v>
      </c>
      <c r="BD79" s="239" t="str">
        <f>'Q100a-geral'!BD172</f>
        <v>Solicitações urbanísticasx</v>
      </c>
    </row>
    <row r="80" spans="1:56" ht="28.5" customHeight="1" x14ac:dyDescent="0.25">
      <c r="A80" s="275" t="str">
        <f>'Q100a-geral'!A176</f>
        <v>2.4</v>
      </c>
      <c r="B80" s="54" t="str">
        <f>'Q100a-geral'!B176</f>
        <v>População</v>
      </c>
      <c r="C80" s="229" t="str">
        <f>'Q100a-geral'!C176</f>
        <v>x</v>
      </c>
      <c r="D80" s="76" t="str">
        <f>'Q100a-geral'!D176</f>
        <v>área</v>
      </c>
      <c r="E80" s="466" t="str">
        <f>'Q100a-geral'!E176</f>
        <v>Baldim</v>
      </c>
      <c r="F80" s="484" t="str">
        <f>'Q100a-geral'!F176</f>
        <v>área do município (expressa em km2) utilizada para calcular a densidade demográfica
obs.: resultado de 2010 em IBGE (2010)</v>
      </c>
      <c r="G80" s="252" t="str">
        <f>'Q100a-geral'!G176</f>
        <v>registro na fonte</v>
      </c>
      <c r="H80" s="171" t="str">
        <f>'Q100a-geral'!H176</f>
        <v>RMBH</v>
      </c>
      <c r="I80" s="167">
        <f>'Q100a-geral'!I176</f>
        <v>1</v>
      </c>
      <c r="J80" s="93" t="str">
        <f>'Q100a-geral'!J176</f>
        <v>x</v>
      </c>
      <c r="K80" s="84" t="str">
        <f>'Q100a-geral'!K176</f>
        <v>x</v>
      </c>
      <c r="L80" s="84" t="str">
        <f>'Q100a-geral'!L176</f>
        <v>x</v>
      </c>
      <c r="M80" s="84" t="str">
        <f>'Q100a-geral'!M176</f>
        <v>x</v>
      </c>
      <c r="N80" s="84" t="str">
        <f>'Q100a-geral'!N176</f>
        <v>x</v>
      </c>
      <c r="O80" s="84" t="str">
        <f>'Q100a-geral'!O176</f>
        <v>x</v>
      </c>
      <c r="P80" s="84" t="str">
        <f>'Q100a-geral'!P176</f>
        <v>x</v>
      </c>
      <c r="Q80" s="84" t="str">
        <f>'Q100a-geral'!Q176</f>
        <v>x</v>
      </c>
      <c r="R80" s="84" t="str">
        <f>'Q100a-geral'!R176</f>
        <v>x</v>
      </c>
      <c r="S80" s="107" t="str">
        <f>'Q100a-geral'!S176</f>
        <v>só para pesquisa</v>
      </c>
      <c r="T80" s="84" t="str">
        <f>'Q100a-geral'!T176</f>
        <v>x</v>
      </c>
      <c r="U80" s="84" t="str">
        <f>'Q100a-geral'!U176</f>
        <v>x</v>
      </c>
      <c r="V80" s="107" t="str">
        <f>'Q100a-geral'!V176</f>
        <v>só para pesquisa</v>
      </c>
      <c r="W80" s="84" t="str">
        <f>'Q100a-geral'!W176</f>
        <v>x</v>
      </c>
      <c r="X80" s="84" t="str">
        <f>'Q100a-geral'!X176</f>
        <v>x</v>
      </c>
      <c r="Y80" s="84" t="str">
        <f>'Q100a-geral'!Y176</f>
        <v>x</v>
      </c>
      <c r="Z80" s="84" t="str">
        <f>'Q100a-geral'!Z176</f>
        <v>x</v>
      </c>
      <c r="AA80" s="84" t="str">
        <f>'Q100a-geral'!AA176</f>
        <v>x</v>
      </c>
      <c r="AB80" s="84" t="str">
        <f>'Q100a-geral'!AB176</f>
        <v>x</v>
      </c>
      <c r="AC80" s="84" t="str">
        <f>'Q100a-geral'!AC176</f>
        <v>x</v>
      </c>
      <c r="AD80" s="84" t="str">
        <f>'Q100a-geral'!AD176</f>
        <v>x</v>
      </c>
      <c r="AE80" s="84" t="str">
        <f>'Q100a-geral'!AE176</f>
        <v>x</v>
      </c>
      <c r="AF80" s="99">
        <f>'Q100a-geral'!AF176</f>
        <v>556.26599999999996</v>
      </c>
      <c r="AG80" s="84" t="str">
        <f>'Q100a-geral'!AG176</f>
        <v>x</v>
      </c>
      <c r="AH80" s="84" t="str">
        <f>'Q100a-geral'!AH176</f>
        <v>x</v>
      </c>
      <c r="AI80" s="84" t="str">
        <f>'Q100a-geral'!AI176</f>
        <v>x</v>
      </c>
      <c r="AJ80" s="84" t="str">
        <f>'Q100a-geral'!AJ176</f>
        <v>x</v>
      </c>
      <c r="AK80" s="137" t="str">
        <f>'Q100a-geral'!AK176</f>
        <v>x</v>
      </c>
      <c r="AL80" s="213" t="str">
        <f>'Q100a-geral'!AL176</f>
        <v>x</v>
      </c>
      <c r="AM80" s="137" t="str">
        <f>'Q100a-geral'!AM176</f>
        <v>x</v>
      </c>
      <c r="AN80" s="137" t="str">
        <f>'Q100a-geral'!AN176</f>
        <v>x</v>
      </c>
      <c r="AO80" s="137" t="str">
        <f>'Q100a-geral'!AO176</f>
        <v>x</v>
      </c>
      <c r="AP80" s="137" t="str">
        <f>'Q100a-geral'!AP176</f>
        <v>x</v>
      </c>
      <c r="AQ80" s="137" t="str">
        <f>'Q100a-geral'!AQ176</f>
        <v>x</v>
      </c>
      <c r="AR80" s="137"/>
      <c r="AS80" s="137"/>
      <c r="AT80" s="137"/>
      <c r="AU80" s="137"/>
      <c r="AV80" s="137" t="str">
        <f>'Q100a-geral'!AV176</f>
        <v>x</v>
      </c>
      <c r="AW80" s="137"/>
      <c r="AX80" s="137"/>
      <c r="AY80" s="137"/>
      <c r="AZ80" s="137"/>
      <c r="BA80" s="137" t="str">
        <f>'Q100a-geral'!BA176</f>
        <v>x</v>
      </c>
      <c r="BB80" s="239" t="str">
        <f>'Q100a-geral'!BB176</f>
        <v>Populaçãox</v>
      </c>
      <c r="BC80" s="239" t="str">
        <f>'Q100a-geral'!BC176</f>
        <v>PopulaçãoxRMBH</v>
      </c>
      <c r="BD80" s="239" t="str">
        <f>'Q100a-geral'!BD176</f>
        <v>PopulaçãoRMBH</v>
      </c>
    </row>
    <row r="81" spans="1:56" s="3" customFormat="1" ht="28.5" customHeight="1" x14ac:dyDescent="0.25">
      <c r="A81" s="275" t="str">
        <f>'Q100a-geral'!A177</f>
        <v>2.4</v>
      </c>
      <c r="B81" s="54" t="str">
        <f>'Q100a-geral'!B177</f>
        <v>População</v>
      </c>
      <c r="C81" s="229" t="str">
        <f>'Q100a-geral'!C177</f>
        <v>x</v>
      </c>
      <c r="D81" s="50" t="str">
        <f>'Q100a-geral'!D177</f>
        <v>área</v>
      </c>
      <c r="E81" s="467" t="str">
        <f>'Q100a-geral'!E177</f>
        <v>Betim</v>
      </c>
      <c r="F81" s="449" t="str">
        <f>'Q100a-geral'!F177</f>
        <v>área do município (expressa em km2) utilizada para calcular a densidade demográfica
obs.: resultado de 2010 em IBGE (2010)</v>
      </c>
      <c r="G81" s="252" t="str">
        <f>'Q100a-geral'!G177</f>
        <v>registro na fonte</v>
      </c>
      <c r="H81" s="171" t="str">
        <f>'Q100a-geral'!H177</f>
        <v>RMBH</v>
      </c>
      <c r="I81" s="167">
        <f>'Q100a-geral'!I177</f>
        <v>1</v>
      </c>
      <c r="J81" s="93" t="str">
        <f>'Q100a-geral'!J177</f>
        <v>x</v>
      </c>
      <c r="K81" s="84" t="str">
        <f>'Q100a-geral'!K177</f>
        <v>x</v>
      </c>
      <c r="L81" s="84" t="str">
        <f>'Q100a-geral'!L177</f>
        <v>x</v>
      </c>
      <c r="M81" s="84" t="str">
        <f>'Q100a-geral'!M177</f>
        <v>x</v>
      </c>
      <c r="N81" s="84" t="str">
        <f>'Q100a-geral'!N177</f>
        <v>x</v>
      </c>
      <c r="O81" s="84" t="str">
        <f>'Q100a-geral'!O177</f>
        <v>x</v>
      </c>
      <c r="P81" s="84" t="str">
        <f>'Q100a-geral'!P177</f>
        <v>x</v>
      </c>
      <c r="Q81" s="84" t="str">
        <f>'Q100a-geral'!Q177</f>
        <v>x</v>
      </c>
      <c r="R81" s="84" t="str">
        <f>'Q100a-geral'!R177</f>
        <v>x</v>
      </c>
      <c r="S81" s="107" t="str">
        <f>'Q100a-geral'!S177</f>
        <v>só para pesquisa</v>
      </c>
      <c r="T81" s="84" t="str">
        <f>'Q100a-geral'!T177</f>
        <v>x</v>
      </c>
      <c r="U81" s="84" t="str">
        <f>'Q100a-geral'!U177</f>
        <v>x</v>
      </c>
      <c r="V81" s="107" t="str">
        <f>'Q100a-geral'!V177</f>
        <v>só para pesquisa</v>
      </c>
      <c r="W81" s="84" t="str">
        <f>'Q100a-geral'!W177</f>
        <v>x</v>
      </c>
      <c r="X81" s="84" t="str">
        <f>'Q100a-geral'!X177</f>
        <v>x</v>
      </c>
      <c r="Y81" s="84" t="str">
        <f>'Q100a-geral'!Y177</f>
        <v>x</v>
      </c>
      <c r="Z81" s="84" t="str">
        <f>'Q100a-geral'!Z177</f>
        <v>x</v>
      </c>
      <c r="AA81" s="84" t="str">
        <f>'Q100a-geral'!AA177</f>
        <v>x</v>
      </c>
      <c r="AB81" s="84" t="str">
        <f>'Q100a-geral'!AB177</f>
        <v>x</v>
      </c>
      <c r="AC81" s="84" t="str">
        <f>'Q100a-geral'!AC177</f>
        <v>x</v>
      </c>
      <c r="AD81" s="84" t="str">
        <f>'Q100a-geral'!AD177</f>
        <v>x</v>
      </c>
      <c r="AE81" s="84" t="str">
        <f>'Q100a-geral'!AE177</f>
        <v>x</v>
      </c>
      <c r="AF81" s="99">
        <f>'Q100a-geral'!AF177</f>
        <v>342.846</v>
      </c>
      <c r="AG81" s="84" t="str">
        <f>'Q100a-geral'!AG177</f>
        <v>x</v>
      </c>
      <c r="AH81" s="84" t="str">
        <f>'Q100a-geral'!AH177</f>
        <v>x</v>
      </c>
      <c r="AI81" s="84" t="str">
        <f>'Q100a-geral'!AI177</f>
        <v>x</v>
      </c>
      <c r="AJ81" s="84" t="str">
        <f>'Q100a-geral'!AJ177</f>
        <v>x</v>
      </c>
      <c r="AK81" s="137" t="str">
        <f>'Q100a-geral'!AK177</f>
        <v>x</v>
      </c>
      <c r="AL81" s="213" t="str">
        <f>'Q100a-geral'!AL177</f>
        <v>x</v>
      </c>
      <c r="AM81" s="137" t="str">
        <f>'Q100a-geral'!AM177</f>
        <v>x</v>
      </c>
      <c r="AN81" s="137" t="str">
        <f>'Q100a-geral'!AN177</f>
        <v>x</v>
      </c>
      <c r="AO81" s="137" t="str">
        <f>'Q100a-geral'!AO177</f>
        <v>x</v>
      </c>
      <c r="AP81" s="137" t="str">
        <f>'Q100a-geral'!AP177</f>
        <v>x</v>
      </c>
      <c r="AQ81" s="137" t="str">
        <f>'Q100a-geral'!AQ177</f>
        <v>x</v>
      </c>
      <c r="AR81" s="137"/>
      <c r="AS81" s="137"/>
      <c r="AT81" s="137"/>
      <c r="AU81" s="137"/>
      <c r="AV81" s="137" t="str">
        <f>'Q100a-geral'!AV177</f>
        <v>x</v>
      </c>
      <c r="AW81" s="137"/>
      <c r="AX81" s="137"/>
      <c r="AY81" s="137"/>
      <c r="AZ81" s="137"/>
      <c r="BA81" s="137" t="str">
        <f>'Q100a-geral'!BA177</f>
        <v>x</v>
      </c>
      <c r="BB81" s="239" t="str">
        <f>'Q100a-geral'!BB177</f>
        <v>Populaçãox</v>
      </c>
      <c r="BC81" s="239" t="str">
        <f>'Q100a-geral'!BC177</f>
        <v>PopulaçãoxRMBH</v>
      </c>
      <c r="BD81" s="239" t="str">
        <f>'Q100a-geral'!BD177</f>
        <v>PopulaçãoRMBH</v>
      </c>
    </row>
    <row r="82" spans="1:56" s="3" customFormat="1" ht="28.5" customHeight="1" x14ac:dyDescent="0.25">
      <c r="A82" s="275" t="str">
        <f>'Q100a-geral'!A178</f>
        <v>2.4</v>
      </c>
      <c r="B82" s="54" t="str">
        <f>'Q100a-geral'!B178</f>
        <v>População</v>
      </c>
      <c r="C82" s="229" t="str">
        <f>'Q100a-geral'!C178</f>
        <v>x</v>
      </c>
      <c r="D82" s="287" t="str">
        <f>'Q100a-geral'!D178</f>
        <v>área</v>
      </c>
      <c r="E82" s="1103" t="str">
        <f>'Q100a-geral'!E178</f>
        <v>Belo Horizonte</v>
      </c>
      <c r="F82" s="492" t="str">
        <f>'Q100a-geral'!F178</f>
        <v>área do município (expressa em km2) utilizada para calcular a densidade demográfica
obs.: resultado de 2010 conforme IBGE (2010) utilizado para o período desde 1991</v>
      </c>
      <c r="G82" s="252" t="str">
        <f>'Q100a-geral'!G178</f>
        <v>registro na fonte</v>
      </c>
      <c r="H82" s="171" t="str">
        <f>'Q100a-geral'!H178</f>
        <v>x</v>
      </c>
      <c r="I82" s="167">
        <f>'Q100a-geral'!I178</f>
        <v>1</v>
      </c>
      <c r="J82" s="93" t="str">
        <f>'Q100a-geral'!J178</f>
        <v>x</v>
      </c>
      <c r="K82" s="83">
        <f>'Q100a-geral'!K178</f>
        <v>331.4</v>
      </c>
      <c r="L82" s="83">
        <f>'Q100a-geral'!L178</f>
        <v>331.4</v>
      </c>
      <c r="M82" s="83">
        <f>'Q100a-geral'!M178</f>
        <v>331.4</v>
      </c>
      <c r="N82" s="83">
        <f>'Q100a-geral'!N178</f>
        <v>331.4</v>
      </c>
      <c r="O82" s="83">
        <f>'Q100a-geral'!O178</f>
        <v>331.4</v>
      </c>
      <c r="P82" s="83">
        <f>'Q100a-geral'!P178</f>
        <v>331.4</v>
      </c>
      <c r="Q82" s="83">
        <f>'Q100a-geral'!Q178</f>
        <v>331.4</v>
      </c>
      <c r="R82" s="83">
        <f>'Q100a-geral'!R178</f>
        <v>331.4</v>
      </c>
      <c r="S82" s="107" t="str">
        <f>'Q100a-geral'!S178</f>
        <v>só para pesquisa</v>
      </c>
      <c r="T82" s="83">
        <f>'Q100a-geral'!T178</f>
        <v>331.4</v>
      </c>
      <c r="U82" s="83">
        <f>'Q100a-geral'!U178</f>
        <v>331.4</v>
      </c>
      <c r="V82" s="107" t="str">
        <f>'Q100a-geral'!V178</f>
        <v>só para pesquisa</v>
      </c>
      <c r="W82" s="83">
        <f>'Q100a-geral'!W178</f>
        <v>331.4</v>
      </c>
      <c r="X82" s="83">
        <f>'Q100a-geral'!X178</f>
        <v>331.4</v>
      </c>
      <c r="Y82" s="83">
        <f>'Q100a-geral'!Y178</f>
        <v>331.4</v>
      </c>
      <c r="Z82" s="83">
        <f>'Q100a-geral'!Z178</f>
        <v>331.4</v>
      </c>
      <c r="AA82" s="83">
        <f>'Q100a-geral'!AA178</f>
        <v>331.4</v>
      </c>
      <c r="AB82" s="83">
        <f>'Q100a-geral'!AB178</f>
        <v>331.4</v>
      </c>
      <c r="AC82" s="83">
        <f>'Q100a-geral'!AC178</f>
        <v>331.4</v>
      </c>
      <c r="AD82" s="83">
        <f>'Q100a-geral'!AD178</f>
        <v>331.4</v>
      </c>
      <c r="AE82" s="83">
        <f>'Q100a-geral'!AE178</f>
        <v>331.4</v>
      </c>
      <c r="AF82" s="83">
        <f>'Q100a-geral'!AF178</f>
        <v>331.4</v>
      </c>
      <c r="AG82" s="83">
        <f>'Q100a-geral'!AG178</f>
        <v>331.4</v>
      </c>
      <c r="AH82" s="83">
        <f>'Q100a-geral'!AH178</f>
        <v>331.4</v>
      </c>
      <c r="AI82" s="83">
        <f>'Q100a-geral'!AI178</f>
        <v>331.4</v>
      </c>
      <c r="AJ82" s="83">
        <f>'Q100a-geral'!AJ178</f>
        <v>331.4</v>
      </c>
      <c r="AK82" s="137" t="str">
        <f>'Q100a-geral'!AK178</f>
        <v>x</v>
      </c>
      <c r="AL82" s="212" t="str">
        <f>'Q100a-geral'!AL178</f>
        <v>x</v>
      </c>
      <c r="AM82" s="137" t="str">
        <f>'Q100a-geral'!AM178</f>
        <v>x</v>
      </c>
      <c r="AN82" s="137" t="str">
        <f>'Q100a-geral'!AN178</f>
        <v>x</v>
      </c>
      <c r="AO82" s="137" t="str">
        <f>'Q100a-geral'!AO178</f>
        <v>x</v>
      </c>
      <c r="AP82" s="137" t="str">
        <f>'Q100a-geral'!AP178</f>
        <v>x</v>
      </c>
      <c r="AQ82" s="137" t="str">
        <f>'Q100a-geral'!AQ178</f>
        <v>x</v>
      </c>
      <c r="AR82" s="137"/>
      <c r="AS82" s="137"/>
      <c r="AT82" s="137"/>
      <c r="AU82" s="137"/>
      <c r="AV82" s="137" t="str">
        <f>'Q100a-geral'!AV178</f>
        <v>x</v>
      </c>
      <c r="AW82" s="137"/>
      <c r="AX82" s="137"/>
      <c r="AY82" s="137"/>
      <c r="AZ82" s="137"/>
      <c r="BA82" s="137" t="str">
        <f>'Q100a-geral'!BA178</f>
        <v>x</v>
      </c>
      <c r="BB82" s="239" t="str">
        <f>'Q100a-geral'!BB178</f>
        <v>Populaçãox</v>
      </c>
      <c r="BC82" s="239" t="str">
        <f>'Q100a-geral'!BC178</f>
        <v>Populaçãoxx</v>
      </c>
      <c r="BD82" s="239" t="str">
        <f>'Q100a-geral'!BD178</f>
        <v>Populaçãox</v>
      </c>
    </row>
    <row r="83" spans="1:56" s="3" customFormat="1" ht="28.5" customHeight="1" x14ac:dyDescent="0.25">
      <c r="A83" s="275" t="str">
        <f>'Q100a-geral'!A179</f>
        <v>2.4</v>
      </c>
      <c r="B83" s="54" t="str">
        <f>'Q100a-geral'!B179</f>
        <v>População</v>
      </c>
      <c r="C83" s="229" t="str">
        <f>'Q100a-geral'!C179</f>
        <v>x</v>
      </c>
      <c r="D83" s="36" t="str">
        <f>'Q100a-geral'!D179</f>
        <v>área</v>
      </c>
      <c r="E83" s="464" t="str">
        <f>'Q100a-geral'!E179</f>
        <v>Brumadinho</v>
      </c>
      <c r="F83" s="446" t="str">
        <f>'Q100a-geral'!F179</f>
        <v>área do município (expressa em km2) utilizada para calcular a densidade demográfica
obs.: resultado de 2010 em IBGE (2010)</v>
      </c>
      <c r="G83" s="252" t="str">
        <f>'Q100a-geral'!G179</f>
        <v>registro na fonte</v>
      </c>
      <c r="H83" s="171" t="str">
        <f>'Q100a-geral'!H179</f>
        <v>RMBH</v>
      </c>
      <c r="I83" s="167">
        <f>'Q100a-geral'!I179</f>
        <v>1</v>
      </c>
      <c r="J83" s="93" t="str">
        <f>'Q100a-geral'!J179</f>
        <v>x</v>
      </c>
      <c r="K83" s="93" t="str">
        <f>'Q100a-geral'!K179</f>
        <v>x</v>
      </c>
      <c r="L83" s="93" t="str">
        <f>'Q100a-geral'!L179</f>
        <v>x</v>
      </c>
      <c r="M83" s="93" t="str">
        <f>'Q100a-geral'!M179</f>
        <v>x</v>
      </c>
      <c r="N83" s="93" t="str">
        <f>'Q100a-geral'!N179</f>
        <v>x</v>
      </c>
      <c r="O83" s="93" t="str">
        <f>'Q100a-geral'!O179</f>
        <v>x</v>
      </c>
      <c r="P83" s="93" t="str">
        <f>'Q100a-geral'!P179</f>
        <v>x</v>
      </c>
      <c r="Q83" s="93" t="str">
        <f>'Q100a-geral'!Q179</f>
        <v>x</v>
      </c>
      <c r="R83" s="93" t="str">
        <f>'Q100a-geral'!R179</f>
        <v>x</v>
      </c>
      <c r="S83" s="107" t="str">
        <f>'Q100a-geral'!S179</f>
        <v>só para pesquisa</v>
      </c>
      <c r="T83" s="93" t="str">
        <f>'Q100a-geral'!T179</f>
        <v>x</v>
      </c>
      <c r="U83" s="93" t="str">
        <f>'Q100a-geral'!U179</f>
        <v>x</v>
      </c>
      <c r="V83" s="107" t="str">
        <f>'Q100a-geral'!V179</f>
        <v>só para pesquisa</v>
      </c>
      <c r="W83" s="93" t="str">
        <f>'Q100a-geral'!W179</f>
        <v>x</v>
      </c>
      <c r="X83" s="93" t="str">
        <f>'Q100a-geral'!X179</f>
        <v>x</v>
      </c>
      <c r="Y83" s="93" t="str">
        <f>'Q100a-geral'!Y179</f>
        <v>x</v>
      </c>
      <c r="Z83" s="93" t="str">
        <f>'Q100a-geral'!Z179</f>
        <v>x</v>
      </c>
      <c r="AA83" s="93" t="str">
        <f>'Q100a-geral'!AA179</f>
        <v>x</v>
      </c>
      <c r="AB83" s="93" t="str">
        <f>'Q100a-geral'!AB179</f>
        <v>x</v>
      </c>
      <c r="AC83" s="93" t="str">
        <f>'Q100a-geral'!AC179</f>
        <v>x</v>
      </c>
      <c r="AD83" s="93" t="str">
        <f>'Q100a-geral'!AD179</f>
        <v>x</v>
      </c>
      <c r="AE83" s="93" t="str">
        <f>'Q100a-geral'!AE179</f>
        <v>x</v>
      </c>
      <c r="AF83" s="99">
        <f>'Q100a-geral'!AF179</f>
        <v>639.43399999999997</v>
      </c>
      <c r="AG83" s="84" t="str">
        <f>'Q100a-geral'!AG179</f>
        <v>x</v>
      </c>
      <c r="AH83" s="84" t="str">
        <f>'Q100a-geral'!AH179</f>
        <v>x</v>
      </c>
      <c r="AI83" s="84" t="str">
        <f>'Q100a-geral'!AI179</f>
        <v>x</v>
      </c>
      <c r="AJ83" s="84" t="str">
        <f>'Q100a-geral'!AJ179</f>
        <v>x</v>
      </c>
      <c r="AK83" s="137" t="str">
        <f>'Q100a-geral'!AK179</f>
        <v>x</v>
      </c>
      <c r="AL83" s="213" t="str">
        <f>'Q100a-geral'!AL179</f>
        <v>x</v>
      </c>
      <c r="AM83" s="137" t="str">
        <f>'Q100a-geral'!AM179</f>
        <v>x</v>
      </c>
      <c r="AN83" s="137" t="str">
        <f>'Q100a-geral'!AN179</f>
        <v>x</v>
      </c>
      <c r="AO83" s="137" t="str">
        <f>'Q100a-geral'!AO179</f>
        <v>x</v>
      </c>
      <c r="AP83" s="137" t="str">
        <f>'Q100a-geral'!AP179</f>
        <v>x</v>
      </c>
      <c r="AQ83" s="137" t="str">
        <f>'Q100a-geral'!AQ179</f>
        <v>x</v>
      </c>
      <c r="AR83" s="137"/>
      <c r="AS83" s="137"/>
      <c r="AT83" s="137"/>
      <c r="AU83" s="137"/>
      <c r="AV83" s="137" t="str">
        <f>'Q100a-geral'!AV179</f>
        <v>x</v>
      </c>
      <c r="AW83" s="137"/>
      <c r="AX83" s="137"/>
      <c r="AY83" s="137"/>
      <c r="AZ83" s="137"/>
      <c r="BA83" s="137" t="str">
        <f>'Q100a-geral'!BA179</f>
        <v>x</v>
      </c>
      <c r="BB83" s="239" t="str">
        <f>'Q100a-geral'!BB179</f>
        <v>Populaçãox</v>
      </c>
      <c r="BC83" s="239" t="str">
        <f>'Q100a-geral'!BC179</f>
        <v>PopulaçãoxRMBH</v>
      </c>
      <c r="BD83" s="239" t="str">
        <f>'Q100a-geral'!BD179</f>
        <v>PopulaçãoRMBH</v>
      </c>
    </row>
    <row r="84" spans="1:56" s="3" customFormat="1" ht="28.5" customHeight="1" x14ac:dyDescent="0.25">
      <c r="A84" s="275" t="str">
        <f>'Q100a-geral'!A180</f>
        <v>2.4</v>
      </c>
      <c r="B84" s="54" t="str">
        <f>'Q100a-geral'!B180</f>
        <v>População</v>
      </c>
      <c r="C84" s="229" t="str">
        <f>'Q100a-geral'!C180</f>
        <v>x</v>
      </c>
      <c r="D84" s="36" t="str">
        <f>'Q100a-geral'!D180</f>
        <v>área</v>
      </c>
      <c r="E84" s="464" t="str">
        <f>'Q100a-geral'!E180</f>
        <v>Caeté</v>
      </c>
      <c r="F84" s="446" t="str">
        <f>'Q100a-geral'!F180</f>
        <v>área do município (expressa em km2) utilizada para calcular a densidade demográfica
obs.: resultado de 2010 em IBGE (2010)</v>
      </c>
      <c r="G84" s="252" t="str">
        <f>'Q100a-geral'!G180</f>
        <v>registro na fonte</v>
      </c>
      <c r="H84" s="171" t="str">
        <f>'Q100a-geral'!H180</f>
        <v>RMBH</v>
      </c>
      <c r="I84" s="167">
        <f>'Q100a-geral'!I180</f>
        <v>1</v>
      </c>
      <c r="J84" s="93" t="str">
        <f>'Q100a-geral'!J180</f>
        <v>x</v>
      </c>
      <c r="K84" s="93" t="str">
        <f>'Q100a-geral'!K180</f>
        <v>x</v>
      </c>
      <c r="L84" s="93" t="str">
        <f>'Q100a-geral'!L180</f>
        <v>x</v>
      </c>
      <c r="M84" s="93" t="str">
        <f>'Q100a-geral'!M180</f>
        <v>x</v>
      </c>
      <c r="N84" s="93" t="str">
        <f>'Q100a-geral'!N180</f>
        <v>x</v>
      </c>
      <c r="O84" s="93" t="str">
        <f>'Q100a-geral'!O180</f>
        <v>x</v>
      </c>
      <c r="P84" s="93" t="str">
        <f>'Q100a-geral'!P180</f>
        <v>x</v>
      </c>
      <c r="Q84" s="93" t="str">
        <f>'Q100a-geral'!Q180</f>
        <v>x</v>
      </c>
      <c r="R84" s="93" t="str">
        <f>'Q100a-geral'!R180</f>
        <v>x</v>
      </c>
      <c r="S84" s="107" t="str">
        <f>'Q100a-geral'!S180</f>
        <v>só para pesquisa</v>
      </c>
      <c r="T84" s="93" t="str">
        <f>'Q100a-geral'!T180</f>
        <v>x</v>
      </c>
      <c r="U84" s="93" t="str">
        <f>'Q100a-geral'!U180</f>
        <v>x</v>
      </c>
      <c r="V84" s="107" t="str">
        <f>'Q100a-geral'!V180</f>
        <v>só para pesquisa</v>
      </c>
      <c r="W84" s="93" t="str">
        <f>'Q100a-geral'!W180</f>
        <v>x</v>
      </c>
      <c r="X84" s="93" t="str">
        <f>'Q100a-geral'!X180</f>
        <v>x</v>
      </c>
      <c r="Y84" s="93" t="str">
        <f>'Q100a-geral'!Y180</f>
        <v>x</v>
      </c>
      <c r="Z84" s="93" t="str">
        <f>'Q100a-geral'!Z180</f>
        <v>x</v>
      </c>
      <c r="AA84" s="93" t="str">
        <f>'Q100a-geral'!AA180</f>
        <v>x</v>
      </c>
      <c r="AB84" s="93" t="str">
        <f>'Q100a-geral'!AB180</f>
        <v>x</v>
      </c>
      <c r="AC84" s="93" t="str">
        <f>'Q100a-geral'!AC180</f>
        <v>x</v>
      </c>
      <c r="AD84" s="93" t="str">
        <f>'Q100a-geral'!AD180</f>
        <v>x</v>
      </c>
      <c r="AE84" s="93" t="str">
        <f>'Q100a-geral'!AE180</f>
        <v>x</v>
      </c>
      <c r="AF84" s="99">
        <f>'Q100a-geral'!AF180</f>
        <v>542.57100000000003</v>
      </c>
      <c r="AG84" s="84" t="str">
        <f>'Q100a-geral'!AG180</f>
        <v>x</v>
      </c>
      <c r="AH84" s="84" t="str">
        <f>'Q100a-geral'!AH180</f>
        <v>x</v>
      </c>
      <c r="AI84" s="84" t="str">
        <f>'Q100a-geral'!AI180</f>
        <v>x</v>
      </c>
      <c r="AJ84" s="84" t="str">
        <f>'Q100a-geral'!AJ180</f>
        <v>x</v>
      </c>
      <c r="AK84" s="137" t="str">
        <f>'Q100a-geral'!AK180</f>
        <v>x</v>
      </c>
      <c r="AL84" s="213" t="str">
        <f>'Q100a-geral'!AL180</f>
        <v>x</v>
      </c>
      <c r="AM84" s="137" t="str">
        <f>'Q100a-geral'!AM180</f>
        <v>x</v>
      </c>
      <c r="AN84" s="137" t="str">
        <f>'Q100a-geral'!AN180</f>
        <v>x</v>
      </c>
      <c r="AO84" s="137" t="str">
        <f>'Q100a-geral'!AO180</f>
        <v>x</v>
      </c>
      <c r="AP84" s="137" t="str">
        <f>'Q100a-geral'!AP180</f>
        <v>x</v>
      </c>
      <c r="AQ84" s="137" t="str">
        <f>'Q100a-geral'!AQ180</f>
        <v>x</v>
      </c>
      <c r="AR84" s="137"/>
      <c r="AS84" s="137"/>
      <c r="AT84" s="137"/>
      <c r="AU84" s="137"/>
      <c r="AV84" s="137" t="str">
        <f>'Q100a-geral'!AV180</f>
        <v>x</v>
      </c>
      <c r="AW84" s="137"/>
      <c r="AX84" s="137"/>
      <c r="AY84" s="137"/>
      <c r="AZ84" s="137"/>
      <c r="BA84" s="137" t="str">
        <f>'Q100a-geral'!BA180</f>
        <v>x</v>
      </c>
      <c r="BB84" s="239" t="str">
        <f>'Q100a-geral'!BB180</f>
        <v>Populaçãox</v>
      </c>
      <c r="BC84" s="239" t="str">
        <f>'Q100a-geral'!BC180</f>
        <v>PopulaçãoxRMBH</v>
      </c>
      <c r="BD84" s="239" t="str">
        <f>'Q100a-geral'!BD180</f>
        <v>PopulaçãoRMBH</v>
      </c>
    </row>
    <row r="85" spans="1:56" s="3" customFormat="1" ht="28.5" customHeight="1" x14ac:dyDescent="0.25">
      <c r="A85" s="275" t="str">
        <f>'Q100a-geral'!A181</f>
        <v>2.4</v>
      </c>
      <c r="B85" s="54" t="str">
        <f>'Q100a-geral'!B181</f>
        <v>População</v>
      </c>
      <c r="C85" s="229" t="str">
        <f>'Q100a-geral'!C181</f>
        <v>x</v>
      </c>
      <c r="D85" s="36" t="str">
        <f>'Q100a-geral'!D181</f>
        <v>área</v>
      </c>
      <c r="E85" s="464" t="str">
        <f>'Q100a-geral'!E181</f>
        <v>Capim Branco</v>
      </c>
      <c r="F85" s="446" t="str">
        <f>'Q100a-geral'!F181</f>
        <v>área do município (expressa em km2) utilizada para calcular a densidade demográfica
obs.: resultado de 2010 em IBGE (2010)</v>
      </c>
      <c r="G85" s="252" t="str">
        <f>'Q100a-geral'!G181</f>
        <v>registro na fonte</v>
      </c>
      <c r="H85" s="171" t="str">
        <f>'Q100a-geral'!H181</f>
        <v>RMBH</v>
      </c>
      <c r="I85" s="167">
        <f>'Q100a-geral'!I181</f>
        <v>1</v>
      </c>
      <c r="J85" s="93" t="str">
        <f>'Q100a-geral'!J181</f>
        <v>x</v>
      </c>
      <c r="K85" s="93" t="str">
        <f>'Q100a-geral'!K181</f>
        <v>x</v>
      </c>
      <c r="L85" s="93" t="str">
        <f>'Q100a-geral'!L181</f>
        <v>x</v>
      </c>
      <c r="M85" s="93" t="str">
        <f>'Q100a-geral'!M181</f>
        <v>x</v>
      </c>
      <c r="N85" s="93" t="str">
        <f>'Q100a-geral'!N181</f>
        <v>x</v>
      </c>
      <c r="O85" s="93" t="str">
        <f>'Q100a-geral'!O181</f>
        <v>x</v>
      </c>
      <c r="P85" s="93" t="str">
        <f>'Q100a-geral'!P181</f>
        <v>x</v>
      </c>
      <c r="Q85" s="93" t="str">
        <f>'Q100a-geral'!Q181</f>
        <v>x</v>
      </c>
      <c r="R85" s="93" t="str">
        <f>'Q100a-geral'!R181</f>
        <v>x</v>
      </c>
      <c r="S85" s="107" t="str">
        <f>'Q100a-geral'!S181</f>
        <v>só para pesquisa</v>
      </c>
      <c r="T85" s="93" t="str">
        <f>'Q100a-geral'!T181</f>
        <v>x</v>
      </c>
      <c r="U85" s="93" t="str">
        <f>'Q100a-geral'!U181</f>
        <v>x</v>
      </c>
      <c r="V85" s="107" t="str">
        <f>'Q100a-geral'!V181</f>
        <v>só para pesquisa</v>
      </c>
      <c r="W85" s="93" t="str">
        <f>'Q100a-geral'!W181</f>
        <v>x</v>
      </c>
      <c r="X85" s="93" t="str">
        <f>'Q100a-geral'!X181</f>
        <v>x</v>
      </c>
      <c r="Y85" s="93" t="str">
        <f>'Q100a-geral'!Y181</f>
        <v>x</v>
      </c>
      <c r="Z85" s="93" t="str">
        <f>'Q100a-geral'!Z181</f>
        <v>x</v>
      </c>
      <c r="AA85" s="93" t="str">
        <f>'Q100a-geral'!AA181</f>
        <v>x</v>
      </c>
      <c r="AB85" s="93" t="str">
        <f>'Q100a-geral'!AB181</f>
        <v>x</v>
      </c>
      <c r="AC85" s="93" t="str">
        <f>'Q100a-geral'!AC181</f>
        <v>x</v>
      </c>
      <c r="AD85" s="93" t="str">
        <f>'Q100a-geral'!AD181</f>
        <v>x</v>
      </c>
      <c r="AE85" s="93" t="str">
        <f>'Q100a-geral'!AE181</f>
        <v>x</v>
      </c>
      <c r="AF85" s="99">
        <f>'Q100a-geral'!AF181</f>
        <v>95.332999999999998</v>
      </c>
      <c r="AG85" s="84" t="str">
        <f>'Q100a-geral'!AG181</f>
        <v>x</v>
      </c>
      <c r="AH85" s="84" t="str">
        <f>'Q100a-geral'!AH181</f>
        <v>x</v>
      </c>
      <c r="AI85" s="84" t="str">
        <f>'Q100a-geral'!AI181</f>
        <v>x</v>
      </c>
      <c r="AJ85" s="84" t="str">
        <f>'Q100a-geral'!AJ181</f>
        <v>x</v>
      </c>
      <c r="AK85" s="137" t="str">
        <f>'Q100a-geral'!AK181</f>
        <v>x</v>
      </c>
      <c r="AL85" s="213" t="str">
        <f>'Q100a-geral'!AL181</f>
        <v>x</v>
      </c>
      <c r="AM85" s="137" t="str">
        <f>'Q100a-geral'!AM181</f>
        <v>x</v>
      </c>
      <c r="AN85" s="137" t="str">
        <f>'Q100a-geral'!AN181</f>
        <v>x</v>
      </c>
      <c r="AO85" s="137" t="str">
        <f>'Q100a-geral'!AO181</f>
        <v>x</v>
      </c>
      <c r="AP85" s="137" t="str">
        <f>'Q100a-geral'!AP181</f>
        <v>x</v>
      </c>
      <c r="AQ85" s="137" t="str">
        <f>'Q100a-geral'!AQ181</f>
        <v>x</v>
      </c>
      <c r="AR85" s="137"/>
      <c r="AS85" s="137"/>
      <c r="AT85" s="137"/>
      <c r="AU85" s="137"/>
      <c r="AV85" s="137" t="str">
        <f>'Q100a-geral'!AV181</f>
        <v>x</v>
      </c>
      <c r="AW85" s="137"/>
      <c r="AX85" s="137"/>
      <c r="AY85" s="137"/>
      <c r="AZ85" s="137"/>
      <c r="BA85" s="137" t="str">
        <f>'Q100a-geral'!BA181</f>
        <v>x</v>
      </c>
      <c r="BB85" s="239" t="str">
        <f>'Q100a-geral'!BB181</f>
        <v>Populaçãox</v>
      </c>
      <c r="BC85" s="239" t="str">
        <f>'Q100a-geral'!BC181</f>
        <v>PopulaçãoxRMBH</v>
      </c>
      <c r="BD85" s="239" t="str">
        <f>'Q100a-geral'!BD181</f>
        <v>PopulaçãoRMBH</v>
      </c>
    </row>
    <row r="86" spans="1:56" s="3" customFormat="1" ht="28.5" customHeight="1" x14ac:dyDescent="0.25">
      <c r="A86" s="275" t="str">
        <f>'Q100a-geral'!A182</f>
        <v>2.4</v>
      </c>
      <c r="B86" s="54" t="str">
        <f>'Q100a-geral'!B182</f>
        <v>População</v>
      </c>
      <c r="C86" s="229" t="str">
        <f>'Q100a-geral'!C182</f>
        <v>x</v>
      </c>
      <c r="D86" s="36" t="str">
        <f>'Q100a-geral'!D182</f>
        <v>área</v>
      </c>
      <c r="E86" s="464" t="str">
        <f>'Q100a-geral'!E182</f>
        <v>Confins</v>
      </c>
      <c r="F86" s="446" t="str">
        <f>'Q100a-geral'!F182</f>
        <v>área do município (expressa em km2) utilizada para calcular a densidade demográfica
obs.: resultado de 2010 em IBGE (2010)</v>
      </c>
      <c r="G86" s="252" t="str">
        <f>'Q100a-geral'!G182</f>
        <v>registro na fonte</v>
      </c>
      <c r="H86" s="171" t="str">
        <f>'Q100a-geral'!H182</f>
        <v>RMBH</v>
      </c>
      <c r="I86" s="167">
        <f>'Q100a-geral'!I182</f>
        <v>1</v>
      </c>
      <c r="J86" s="93" t="str">
        <f>'Q100a-geral'!J182</f>
        <v>x</v>
      </c>
      <c r="K86" s="93" t="str">
        <f>'Q100a-geral'!K182</f>
        <v>x</v>
      </c>
      <c r="L86" s="93" t="str">
        <f>'Q100a-geral'!L182</f>
        <v>x</v>
      </c>
      <c r="M86" s="93" t="str">
        <f>'Q100a-geral'!M182</f>
        <v>x</v>
      </c>
      <c r="N86" s="93" t="str">
        <f>'Q100a-geral'!N182</f>
        <v>x</v>
      </c>
      <c r="O86" s="93" t="str">
        <f>'Q100a-geral'!O182</f>
        <v>x</v>
      </c>
      <c r="P86" s="93" t="str">
        <f>'Q100a-geral'!P182</f>
        <v>x</v>
      </c>
      <c r="Q86" s="93" t="str">
        <f>'Q100a-geral'!Q182</f>
        <v>x</v>
      </c>
      <c r="R86" s="93" t="str">
        <f>'Q100a-geral'!R182</f>
        <v>x</v>
      </c>
      <c r="S86" s="107" t="str">
        <f>'Q100a-geral'!S182</f>
        <v>só para pesquisa</v>
      </c>
      <c r="T86" s="93" t="str">
        <f>'Q100a-geral'!T182</f>
        <v>x</v>
      </c>
      <c r="U86" s="93" t="str">
        <f>'Q100a-geral'!U182</f>
        <v>x</v>
      </c>
      <c r="V86" s="107" t="str">
        <f>'Q100a-geral'!V182</f>
        <v>só para pesquisa</v>
      </c>
      <c r="W86" s="93" t="str">
        <f>'Q100a-geral'!W182</f>
        <v>x</v>
      </c>
      <c r="X86" s="93" t="str">
        <f>'Q100a-geral'!X182</f>
        <v>x</v>
      </c>
      <c r="Y86" s="93" t="str">
        <f>'Q100a-geral'!Y182</f>
        <v>x</v>
      </c>
      <c r="Z86" s="93" t="str">
        <f>'Q100a-geral'!Z182</f>
        <v>x</v>
      </c>
      <c r="AA86" s="93" t="str">
        <f>'Q100a-geral'!AA182</f>
        <v>x</v>
      </c>
      <c r="AB86" s="93" t="str">
        <f>'Q100a-geral'!AB182</f>
        <v>x</v>
      </c>
      <c r="AC86" s="93" t="str">
        <f>'Q100a-geral'!AC182</f>
        <v>x</v>
      </c>
      <c r="AD86" s="93" t="str">
        <f>'Q100a-geral'!AD182</f>
        <v>x</v>
      </c>
      <c r="AE86" s="93" t="str">
        <f>'Q100a-geral'!AE182</f>
        <v>x</v>
      </c>
      <c r="AF86" s="99">
        <f>'Q100a-geral'!AF182</f>
        <v>42.354999999999997</v>
      </c>
      <c r="AG86" s="84" t="str">
        <f>'Q100a-geral'!AG182</f>
        <v>x</v>
      </c>
      <c r="AH86" s="84" t="str">
        <f>'Q100a-geral'!AH182</f>
        <v>x</v>
      </c>
      <c r="AI86" s="84" t="str">
        <f>'Q100a-geral'!AI182</f>
        <v>x</v>
      </c>
      <c r="AJ86" s="84" t="str">
        <f>'Q100a-geral'!AJ182</f>
        <v>x</v>
      </c>
      <c r="AK86" s="137" t="str">
        <f>'Q100a-geral'!AK182</f>
        <v>x</v>
      </c>
      <c r="AL86" s="213" t="str">
        <f>'Q100a-geral'!AL182</f>
        <v>x</v>
      </c>
      <c r="AM86" s="137" t="str">
        <f>'Q100a-geral'!AM182</f>
        <v>x</v>
      </c>
      <c r="AN86" s="137" t="str">
        <f>'Q100a-geral'!AN182</f>
        <v>x</v>
      </c>
      <c r="AO86" s="137" t="str">
        <f>'Q100a-geral'!AO182</f>
        <v>x</v>
      </c>
      <c r="AP86" s="137" t="str">
        <f>'Q100a-geral'!AP182</f>
        <v>x</v>
      </c>
      <c r="AQ86" s="137" t="str">
        <f>'Q100a-geral'!AQ182</f>
        <v>x</v>
      </c>
      <c r="AR86" s="137"/>
      <c r="AS86" s="137"/>
      <c r="AT86" s="137"/>
      <c r="AU86" s="137"/>
      <c r="AV86" s="137" t="str">
        <f>'Q100a-geral'!AV182</f>
        <v>x</v>
      </c>
      <c r="AW86" s="137"/>
      <c r="AX86" s="137"/>
      <c r="AY86" s="137"/>
      <c r="AZ86" s="137"/>
      <c r="BA86" s="137" t="str">
        <f>'Q100a-geral'!BA182</f>
        <v>x</v>
      </c>
      <c r="BB86" s="239" t="str">
        <f>'Q100a-geral'!BB182</f>
        <v>Populaçãox</v>
      </c>
      <c r="BC86" s="239" t="str">
        <f>'Q100a-geral'!BC182</f>
        <v>PopulaçãoxRMBH</v>
      </c>
      <c r="BD86" s="239" t="str">
        <f>'Q100a-geral'!BD182</f>
        <v>PopulaçãoRMBH</v>
      </c>
    </row>
    <row r="87" spans="1:56" s="3" customFormat="1" ht="28.5" customHeight="1" x14ac:dyDescent="0.25">
      <c r="A87" s="275" t="str">
        <f>'Q100a-geral'!A183</f>
        <v>2.4</v>
      </c>
      <c r="B87" s="54" t="str">
        <f>'Q100a-geral'!B183</f>
        <v>População</v>
      </c>
      <c r="C87" s="229" t="str">
        <f>'Q100a-geral'!C183</f>
        <v>x</v>
      </c>
      <c r="D87" s="36" t="str">
        <f>'Q100a-geral'!D183</f>
        <v>área</v>
      </c>
      <c r="E87" s="464" t="str">
        <f>'Q100a-geral'!E183</f>
        <v>Contagem</v>
      </c>
      <c r="F87" s="446" t="str">
        <f>'Q100a-geral'!F183</f>
        <v>área do município (expressa em km2) utilizada para calcular a densidade demográfica
obs.: resultado de 2010 em IBGE (2010)</v>
      </c>
      <c r="G87" s="252" t="str">
        <f>'Q100a-geral'!G183</f>
        <v>registro na fonte</v>
      </c>
      <c r="H87" s="171" t="str">
        <f>'Q100a-geral'!H183</f>
        <v>RMBH</v>
      </c>
      <c r="I87" s="167">
        <f>'Q100a-geral'!I183</f>
        <v>1</v>
      </c>
      <c r="J87" s="93" t="str">
        <f>'Q100a-geral'!J183</f>
        <v>x</v>
      </c>
      <c r="K87" s="93" t="str">
        <f>'Q100a-geral'!K183</f>
        <v>x</v>
      </c>
      <c r="L87" s="93" t="str">
        <f>'Q100a-geral'!L183</f>
        <v>x</v>
      </c>
      <c r="M87" s="93" t="str">
        <f>'Q100a-geral'!M183</f>
        <v>x</v>
      </c>
      <c r="N87" s="93" t="str">
        <f>'Q100a-geral'!N183</f>
        <v>x</v>
      </c>
      <c r="O87" s="93" t="str">
        <f>'Q100a-geral'!O183</f>
        <v>x</v>
      </c>
      <c r="P87" s="93" t="str">
        <f>'Q100a-geral'!P183</f>
        <v>x</v>
      </c>
      <c r="Q87" s="93" t="str">
        <f>'Q100a-geral'!Q183</f>
        <v>x</v>
      </c>
      <c r="R87" s="93" t="str">
        <f>'Q100a-geral'!R183</f>
        <v>x</v>
      </c>
      <c r="S87" s="107" t="str">
        <f>'Q100a-geral'!S183</f>
        <v>só para pesquisa</v>
      </c>
      <c r="T87" s="93" t="str">
        <f>'Q100a-geral'!T183</f>
        <v>x</v>
      </c>
      <c r="U87" s="93" t="str">
        <f>'Q100a-geral'!U183</f>
        <v>x</v>
      </c>
      <c r="V87" s="107" t="str">
        <f>'Q100a-geral'!V183</f>
        <v>só para pesquisa</v>
      </c>
      <c r="W87" s="93" t="str">
        <f>'Q100a-geral'!W183</f>
        <v>x</v>
      </c>
      <c r="X87" s="93" t="str">
        <f>'Q100a-geral'!X183</f>
        <v>x</v>
      </c>
      <c r="Y87" s="93" t="str">
        <f>'Q100a-geral'!Y183</f>
        <v>x</v>
      </c>
      <c r="Z87" s="93" t="str">
        <f>'Q100a-geral'!Z183</f>
        <v>x</v>
      </c>
      <c r="AA87" s="93" t="str">
        <f>'Q100a-geral'!AA183</f>
        <v>x</v>
      </c>
      <c r="AB87" s="93" t="str">
        <f>'Q100a-geral'!AB183</f>
        <v>x</v>
      </c>
      <c r="AC87" s="93" t="str">
        <f>'Q100a-geral'!AC183</f>
        <v>x</v>
      </c>
      <c r="AD87" s="93" t="str">
        <f>'Q100a-geral'!AD183</f>
        <v>x</v>
      </c>
      <c r="AE87" s="93" t="str">
        <f>'Q100a-geral'!AE183</f>
        <v>x</v>
      </c>
      <c r="AF87" s="99">
        <f>'Q100a-geral'!AF183</f>
        <v>195.268</v>
      </c>
      <c r="AG87" s="84" t="str">
        <f>'Q100a-geral'!AG183</f>
        <v>x</v>
      </c>
      <c r="AH87" s="84" t="str">
        <f>'Q100a-geral'!AH183</f>
        <v>x</v>
      </c>
      <c r="AI87" s="84" t="str">
        <f>'Q100a-geral'!AI183</f>
        <v>x</v>
      </c>
      <c r="AJ87" s="84" t="str">
        <f>'Q100a-geral'!AJ183</f>
        <v>x</v>
      </c>
      <c r="AK87" s="137" t="str">
        <f>'Q100a-geral'!AK183</f>
        <v>x</v>
      </c>
      <c r="AL87" s="213" t="str">
        <f>'Q100a-geral'!AL183</f>
        <v>x</v>
      </c>
      <c r="AM87" s="137" t="str">
        <f>'Q100a-geral'!AM183</f>
        <v>x</v>
      </c>
      <c r="AN87" s="137" t="str">
        <f>'Q100a-geral'!AN183</f>
        <v>x</v>
      </c>
      <c r="AO87" s="137" t="str">
        <f>'Q100a-geral'!AO183</f>
        <v>x</v>
      </c>
      <c r="AP87" s="137" t="str">
        <f>'Q100a-geral'!AP183</f>
        <v>x</v>
      </c>
      <c r="AQ87" s="137" t="str">
        <f>'Q100a-geral'!AQ183</f>
        <v>x</v>
      </c>
      <c r="AR87" s="137"/>
      <c r="AS87" s="137"/>
      <c r="AT87" s="137"/>
      <c r="AU87" s="137"/>
      <c r="AV87" s="137" t="str">
        <f>'Q100a-geral'!AV183</f>
        <v>x</v>
      </c>
      <c r="AW87" s="137"/>
      <c r="AX87" s="137"/>
      <c r="AY87" s="137"/>
      <c r="AZ87" s="137"/>
      <c r="BA87" s="137" t="str">
        <f>'Q100a-geral'!BA183</f>
        <v>x</v>
      </c>
      <c r="BB87" s="239" t="str">
        <f>'Q100a-geral'!BB183</f>
        <v>Populaçãox</v>
      </c>
      <c r="BC87" s="239" t="str">
        <f>'Q100a-geral'!BC183</f>
        <v>PopulaçãoxRMBH</v>
      </c>
      <c r="BD87" s="239" t="str">
        <f>'Q100a-geral'!BD183</f>
        <v>PopulaçãoRMBH</v>
      </c>
    </row>
    <row r="88" spans="1:56" s="3" customFormat="1" ht="28.5" customHeight="1" x14ac:dyDescent="0.25">
      <c r="A88" s="275" t="str">
        <f>'Q100a-geral'!A184</f>
        <v>2.4</v>
      </c>
      <c r="B88" s="54" t="str">
        <f>'Q100a-geral'!B184</f>
        <v>População</v>
      </c>
      <c r="C88" s="229" t="str">
        <f>'Q100a-geral'!C184</f>
        <v>x</v>
      </c>
      <c r="D88" s="36" t="str">
        <f>'Q100a-geral'!D184</f>
        <v>área</v>
      </c>
      <c r="E88" s="464" t="str">
        <f>'Q100a-geral'!E184</f>
        <v>Esmeraldas</v>
      </c>
      <c r="F88" s="446" t="str">
        <f>'Q100a-geral'!F184</f>
        <v>área do município (expressa em km2) utilizada para calcular a densidade demográfica
obs.: resultado de 2010 em IBGE (2010)</v>
      </c>
      <c r="G88" s="252" t="str">
        <f>'Q100a-geral'!G184</f>
        <v>registro na fonte</v>
      </c>
      <c r="H88" s="171" t="str">
        <f>'Q100a-geral'!H184</f>
        <v>RMBH</v>
      </c>
      <c r="I88" s="167">
        <f>'Q100a-geral'!I184</f>
        <v>1</v>
      </c>
      <c r="J88" s="93" t="str">
        <f>'Q100a-geral'!J184</f>
        <v>x</v>
      </c>
      <c r="K88" s="93" t="str">
        <f>'Q100a-geral'!K184</f>
        <v>x</v>
      </c>
      <c r="L88" s="93" t="str">
        <f>'Q100a-geral'!L184</f>
        <v>x</v>
      </c>
      <c r="M88" s="93" t="str">
        <f>'Q100a-geral'!M184</f>
        <v>x</v>
      </c>
      <c r="N88" s="93" t="str">
        <f>'Q100a-geral'!N184</f>
        <v>x</v>
      </c>
      <c r="O88" s="93" t="str">
        <f>'Q100a-geral'!O184</f>
        <v>x</v>
      </c>
      <c r="P88" s="93" t="str">
        <f>'Q100a-geral'!P184</f>
        <v>x</v>
      </c>
      <c r="Q88" s="93" t="str">
        <f>'Q100a-geral'!Q184</f>
        <v>x</v>
      </c>
      <c r="R88" s="93" t="str">
        <f>'Q100a-geral'!R184</f>
        <v>x</v>
      </c>
      <c r="S88" s="107" t="str">
        <f>'Q100a-geral'!S184</f>
        <v>só para pesquisa</v>
      </c>
      <c r="T88" s="93" t="str">
        <f>'Q100a-geral'!T184</f>
        <v>x</v>
      </c>
      <c r="U88" s="93" t="str">
        <f>'Q100a-geral'!U184</f>
        <v>x</v>
      </c>
      <c r="V88" s="107" t="str">
        <f>'Q100a-geral'!V184</f>
        <v>só para pesquisa</v>
      </c>
      <c r="W88" s="93" t="str">
        <f>'Q100a-geral'!W184</f>
        <v>x</v>
      </c>
      <c r="X88" s="93" t="str">
        <f>'Q100a-geral'!X184</f>
        <v>x</v>
      </c>
      <c r="Y88" s="93" t="str">
        <f>'Q100a-geral'!Y184</f>
        <v>x</v>
      </c>
      <c r="Z88" s="93" t="str">
        <f>'Q100a-geral'!Z184</f>
        <v>x</v>
      </c>
      <c r="AA88" s="93" t="str">
        <f>'Q100a-geral'!AA184</f>
        <v>x</v>
      </c>
      <c r="AB88" s="93" t="str">
        <f>'Q100a-geral'!AB184</f>
        <v>x</v>
      </c>
      <c r="AC88" s="93" t="str">
        <f>'Q100a-geral'!AC184</f>
        <v>x</v>
      </c>
      <c r="AD88" s="93" t="str">
        <f>'Q100a-geral'!AD184</f>
        <v>x</v>
      </c>
      <c r="AE88" s="93" t="str">
        <f>'Q100a-geral'!AE184</f>
        <v>x</v>
      </c>
      <c r="AF88" s="99">
        <f>'Q100a-geral'!AF184</f>
        <v>911.41800000000001</v>
      </c>
      <c r="AG88" s="84" t="str">
        <f>'Q100a-geral'!AG184</f>
        <v>x</v>
      </c>
      <c r="AH88" s="84" t="str">
        <f>'Q100a-geral'!AH184</f>
        <v>x</v>
      </c>
      <c r="AI88" s="84" t="str">
        <f>'Q100a-geral'!AI184</f>
        <v>x</v>
      </c>
      <c r="AJ88" s="84" t="str">
        <f>'Q100a-geral'!AJ184</f>
        <v>x</v>
      </c>
      <c r="AK88" s="137" t="str">
        <f>'Q100a-geral'!AK184</f>
        <v>x</v>
      </c>
      <c r="AL88" s="213" t="str">
        <f>'Q100a-geral'!AL184</f>
        <v>x</v>
      </c>
      <c r="AM88" s="137" t="str">
        <f>'Q100a-geral'!AM184</f>
        <v>x</v>
      </c>
      <c r="AN88" s="137" t="str">
        <f>'Q100a-geral'!AN184</f>
        <v>x</v>
      </c>
      <c r="AO88" s="137" t="str">
        <f>'Q100a-geral'!AO184</f>
        <v>x</v>
      </c>
      <c r="AP88" s="137" t="str">
        <f>'Q100a-geral'!AP184</f>
        <v>x</v>
      </c>
      <c r="AQ88" s="137" t="str">
        <f>'Q100a-geral'!AQ184</f>
        <v>x</v>
      </c>
      <c r="AR88" s="137"/>
      <c r="AS88" s="137"/>
      <c r="AT88" s="137"/>
      <c r="AU88" s="137"/>
      <c r="AV88" s="137" t="str">
        <f>'Q100a-geral'!AV184</f>
        <v>x</v>
      </c>
      <c r="AW88" s="137"/>
      <c r="AX88" s="137"/>
      <c r="AY88" s="137"/>
      <c r="AZ88" s="137"/>
      <c r="BA88" s="137" t="str">
        <f>'Q100a-geral'!BA184</f>
        <v>x</v>
      </c>
      <c r="BB88" s="239" t="str">
        <f>'Q100a-geral'!BB184</f>
        <v>Populaçãox</v>
      </c>
      <c r="BC88" s="239" t="str">
        <f>'Q100a-geral'!BC184</f>
        <v>PopulaçãoxRMBH</v>
      </c>
      <c r="BD88" s="239" t="str">
        <f>'Q100a-geral'!BD184</f>
        <v>PopulaçãoRMBH</v>
      </c>
    </row>
    <row r="89" spans="1:56" s="3" customFormat="1" ht="28.5" customHeight="1" x14ac:dyDescent="0.25">
      <c r="A89" s="275" t="str">
        <f>'Q100a-geral'!A185</f>
        <v>2.4</v>
      </c>
      <c r="B89" s="54" t="str">
        <f>'Q100a-geral'!B185</f>
        <v>População</v>
      </c>
      <c r="C89" s="229" t="str">
        <f>'Q100a-geral'!C185</f>
        <v>x</v>
      </c>
      <c r="D89" s="36" t="str">
        <f>'Q100a-geral'!D185</f>
        <v>área</v>
      </c>
      <c r="E89" s="464" t="str">
        <f>'Q100a-geral'!E185</f>
        <v>Florestal</v>
      </c>
      <c r="F89" s="446" t="str">
        <f>'Q100a-geral'!F185</f>
        <v>área do município (expressa em km2) utilizada para calcular a densidade demográfica
obs.: resultado de 2010 em IBGE (2010)</v>
      </c>
      <c r="G89" s="252" t="str">
        <f>'Q100a-geral'!G185</f>
        <v>registro na fonte</v>
      </c>
      <c r="H89" s="171" t="str">
        <f>'Q100a-geral'!H185</f>
        <v>RMBH</v>
      </c>
      <c r="I89" s="167">
        <f>'Q100a-geral'!I185</f>
        <v>1</v>
      </c>
      <c r="J89" s="93" t="str">
        <f>'Q100a-geral'!J185</f>
        <v>x</v>
      </c>
      <c r="K89" s="93" t="str">
        <f>'Q100a-geral'!K185</f>
        <v>x</v>
      </c>
      <c r="L89" s="93" t="str">
        <f>'Q100a-geral'!L185</f>
        <v>x</v>
      </c>
      <c r="M89" s="93" t="str">
        <f>'Q100a-geral'!M185</f>
        <v>x</v>
      </c>
      <c r="N89" s="93" t="str">
        <f>'Q100a-geral'!N185</f>
        <v>x</v>
      </c>
      <c r="O89" s="93" t="str">
        <f>'Q100a-geral'!O185</f>
        <v>x</v>
      </c>
      <c r="P89" s="93" t="str">
        <f>'Q100a-geral'!P185</f>
        <v>x</v>
      </c>
      <c r="Q89" s="93" t="str">
        <f>'Q100a-geral'!Q185</f>
        <v>x</v>
      </c>
      <c r="R89" s="93" t="str">
        <f>'Q100a-geral'!R185</f>
        <v>x</v>
      </c>
      <c r="S89" s="107" t="str">
        <f>'Q100a-geral'!S185</f>
        <v>só para pesquisa</v>
      </c>
      <c r="T89" s="93" t="str">
        <f>'Q100a-geral'!T185</f>
        <v>x</v>
      </c>
      <c r="U89" s="93" t="str">
        <f>'Q100a-geral'!U185</f>
        <v>x</v>
      </c>
      <c r="V89" s="107" t="str">
        <f>'Q100a-geral'!V185</f>
        <v>só para pesquisa</v>
      </c>
      <c r="W89" s="93" t="str">
        <f>'Q100a-geral'!W185</f>
        <v>x</v>
      </c>
      <c r="X89" s="93" t="str">
        <f>'Q100a-geral'!X185</f>
        <v>x</v>
      </c>
      <c r="Y89" s="93" t="str">
        <f>'Q100a-geral'!Y185</f>
        <v>x</v>
      </c>
      <c r="Z89" s="93" t="str">
        <f>'Q100a-geral'!Z185</f>
        <v>x</v>
      </c>
      <c r="AA89" s="93" t="str">
        <f>'Q100a-geral'!AA185</f>
        <v>x</v>
      </c>
      <c r="AB89" s="93" t="str">
        <f>'Q100a-geral'!AB185</f>
        <v>x</v>
      </c>
      <c r="AC89" s="93" t="str">
        <f>'Q100a-geral'!AC185</f>
        <v>x</v>
      </c>
      <c r="AD89" s="93" t="str">
        <f>'Q100a-geral'!AD185</f>
        <v>x</v>
      </c>
      <c r="AE89" s="93" t="str">
        <f>'Q100a-geral'!AE185</f>
        <v>x</v>
      </c>
      <c r="AF89" s="99">
        <f>'Q100a-geral'!AF185</f>
        <v>191.42099999999999</v>
      </c>
      <c r="AG89" s="84" t="str">
        <f>'Q100a-geral'!AG185</f>
        <v>x</v>
      </c>
      <c r="AH89" s="84" t="str">
        <f>'Q100a-geral'!AH185</f>
        <v>x</v>
      </c>
      <c r="AI89" s="84" t="str">
        <f>'Q100a-geral'!AI185</f>
        <v>x</v>
      </c>
      <c r="AJ89" s="84" t="str">
        <f>'Q100a-geral'!AJ185</f>
        <v>x</v>
      </c>
      <c r="AK89" s="137" t="str">
        <f>'Q100a-geral'!AK185</f>
        <v>x</v>
      </c>
      <c r="AL89" s="213" t="str">
        <f>'Q100a-geral'!AL185</f>
        <v>x</v>
      </c>
      <c r="AM89" s="137" t="str">
        <f>'Q100a-geral'!AM185</f>
        <v>x</v>
      </c>
      <c r="AN89" s="137" t="str">
        <f>'Q100a-geral'!AN185</f>
        <v>x</v>
      </c>
      <c r="AO89" s="137" t="str">
        <f>'Q100a-geral'!AO185</f>
        <v>x</v>
      </c>
      <c r="AP89" s="137" t="str">
        <f>'Q100a-geral'!AP185</f>
        <v>x</v>
      </c>
      <c r="AQ89" s="137" t="str">
        <f>'Q100a-geral'!AQ185</f>
        <v>x</v>
      </c>
      <c r="AR89" s="137"/>
      <c r="AS89" s="137"/>
      <c r="AT89" s="137"/>
      <c r="AU89" s="137"/>
      <c r="AV89" s="137" t="str">
        <f>'Q100a-geral'!AV185</f>
        <v>x</v>
      </c>
      <c r="AW89" s="137"/>
      <c r="AX89" s="137"/>
      <c r="AY89" s="137"/>
      <c r="AZ89" s="137"/>
      <c r="BA89" s="137" t="str">
        <f>'Q100a-geral'!BA185</f>
        <v>x</v>
      </c>
      <c r="BB89" s="239" t="str">
        <f>'Q100a-geral'!BB185</f>
        <v>Populaçãox</v>
      </c>
      <c r="BC89" s="239" t="str">
        <f>'Q100a-geral'!BC185</f>
        <v>PopulaçãoxRMBH</v>
      </c>
      <c r="BD89" s="239" t="str">
        <f>'Q100a-geral'!BD185</f>
        <v>PopulaçãoRMBH</v>
      </c>
    </row>
    <row r="90" spans="1:56" s="3" customFormat="1" ht="28.5" customHeight="1" x14ac:dyDescent="0.25">
      <c r="A90" s="275" t="str">
        <f>'Q100a-geral'!A186</f>
        <v>2.4</v>
      </c>
      <c r="B90" s="54" t="str">
        <f>'Q100a-geral'!B186</f>
        <v>População</v>
      </c>
      <c r="C90" s="229" t="str">
        <f>'Q100a-geral'!C186</f>
        <v>x</v>
      </c>
      <c r="D90" s="36" t="str">
        <f>'Q100a-geral'!D186</f>
        <v>área</v>
      </c>
      <c r="E90" s="464" t="str">
        <f>'Q100a-geral'!E186</f>
        <v>Ibirité</v>
      </c>
      <c r="F90" s="446" t="str">
        <f>'Q100a-geral'!F186</f>
        <v>área do município (expressa em km2) utilizada para calcular a densidade demográfica
obs.: resultado de 2010 em IBGE (2010)</v>
      </c>
      <c r="G90" s="252" t="str">
        <f>'Q100a-geral'!G186</f>
        <v>registro na fonte</v>
      </c>
      <c r="H90" s="171" t="str">
        <f>'Q100a-geral'!H186</f>
        <v>RMBH</v>
      </c>
      <c r="I90" s="167">
        <f>'Q100a-geral'!I186</f>
        <v>1</v>
      </c>
      <c r="J90" s="93" t="str">
        <f>'Q100a-geral'!J186</f>
        <v>x</v>
      </c>
      <c r="K90" s="93" t="str">
        <f>'Q100a-geral'!K186</f>
        <v>x</v>
      </c>
      <c r="L90" s="93" t="str">
        <f>'Q100a-geral'!L186</f>
        <v>x</v>
      </c>
      <c r="M90" s="93" t="str">
        <f>'Q100a-geral'!M186</f>
        <v>x</v>
      </c>
      <c r="N90" s="93" t="str">
        <f>'Q100a-geral'!N186</f>
        <v>x</v>
      </c>
      <c r="O90" s="93" t="str">
        <f>'Q100a-geral'!O186</f>
        <v>x</v>
      </c>
      <c r="P90" s="93" t="str">
        <f>'Q100a-geral'!P186</f>
        <v>x</v>
      </c>
      <c r="Q90" s="93" t="str">
        <f>'Q100a-geral'!Q186</f>
        <v>x</v>
      </c>
      <c r="R90" s="93" t="str">
        <f>'Q100a-geral'!R186</f>
        <v>x</v>
      </c>
      <c r="S90" s="107" t="str">
        <f>'Q100a-geral'!S186</f>
        <v>só para pesquisa</v>
      </c>
      <c r="T90" s="93" t="str">
        <f>'Q100a-geral'!T186</f>
        <v>x</v>
      </c>
      <c r="U90" s="93" t="str">
        <f>'Q100a-geral'!U186</f>
        <v>x</v>
      </c>
      <c r="V90" s="107" t="str">
        <f>'Q100a-geral'!V186</f>
        <v>só para pesquisa</v>
      </c>
      <c r="W90" s="93" t="str">
        <f>'Q100a-geral'!W186</f>
        <v>x</v>
      </c>
      <c r="X90" s="93" t="str">
        <f>'Q100a-geral'!X186</f>
        <v>x</v>
      </c>
      <c r="Y90" s="93" t="str">
        <f>'Q100a-geral'!Y186</f>
        <v>x</v>
      </c>
      <c r="Z90" s="93" t="str">
        <f>'Q100a-geral'!Z186</f>
        <v>x</v>
      </c>
      <c r="AA90" s="93" t="str">
        <f>'Q100a-geral'!AA186</f>
        <v>x</v>
      </c>
      <c r="AB90" s="93" t="str">
        <f>'Q100a-geral'!AB186</f>
        <v>x</v>
      </c>
      <c r="AC90" s="93" t="str">
        <f>'Q100a-geral'!AC186</f>
        <v>x</v>
      </c>
      <c r="AD90" s="93" t="str">
        <f>'Q100a-geral'!AD186</f>
        <v>x</v>
      </c>
      <c r="AE90" s="93" t="str">
        <f>'Q100a-geral'!AE186</f>
        <v>x</v>
      </c>
      <c r="AF90" s="99">
        <f>'Q100a-geral'!AF186</f>
        <v>72.572999999999993</v>
      </c>
      <c r="AG90" s="84" t="str">
        <f>'Q100a-geral'!AG186</f>
        <v>x</v>
      </c>
      <c r="AH90" s="84" t="str">
        <f>'Q100a-geral'!AH186</f>
        <v>x</v>
      </c>
      <c r="AI90" s="84" t="str">
        <f>'Q100a-geral'!AI186</f>
        <v>x</v>
      </c>
      <c r="AJ90" s="84" t="str">
        <f>'Q100a-geral'!AJ186</f>
        <v>x</v>
      </c>
      <c r="AK90" s="137" t="str">
        <f>'Q100a-geral'!AK186</f>
        <v>x</v>
      </c>
      <c r="AL90" s="213" t="str">
        <f>'Q100a-geral'!AL186</f>
        <v>x</v>
      </c>
      <c r="AM90" s="137" t="str">
        <f>'Q100a-geral'!AM186</f>
        <v>x</v>
      </c>
      <c r="AN90" s="137" t="str">
        <f>'Q100a-geral'!AN186</f>
        <v>x</v>
      </c>
      <c r="AO90" s="137" t="str">
        <f>'Q100a-geral'!AO186</f>
        <v>x</v>
      </c>
      <c r="AP90" s="137" t="str">
        <f>'Q100a-geral'!AP186</f>
        <v>x</v>
      </c>
      <c r="AQ90" s="137" t="str">
        <f>'Q100a-geral'!AQ186</f>
        <v>x</v>
      </c>
      <c r="AR90" s="137"/>
      <c r="AS90" s="137"/>
      <c r="AT90" s="137"/>
      <c r="AU90" s="137"/>
      <c r="AV90" s="137" t="str">
        <f>'Q100a-geral'!AV186</f>
        <v>x</v>
      </c>
      <c r="AW90" s="137"/>
      <c r="AX90" s="137"/>
      <c r="AY90" s="137"/>
      <c r="AZ90" s="137"/>
      <c r="BA90" s="137" t="str">
        <f>'Q100a-geral'!BA186</f>
        <v>x</v>
      </c>
      <c r="BB90" s="239" t="str">
        <f>'Q100a-geral'!BB186</f>
        <v>Populaçãox</v>
      </c>
      <c r="BC90" s="239" t="str">
        <f>'Q100a-geral'!BC186</f>
        <v>PopulaçãoxRMBH</v>
      </c>
      <c r="BD90" s="239" t="str">
        <f>'Q100a-geral'!BD186</f>
        <v>PopulaçãoRMBH</v>
      </c>
    </row>
    <row r="91" spans="1:56" s="3" customFormat="1" ht="28.5" customHeight="1" x14ac:dyDescent="0.25">
      <c r="A91" s="275" t="str">
        <f>'Q100a-geral'!A187</f>
        <v>2.4</v>
      </c>
      <c r="B91" s="54" t="str">
        <f>'Q100a-geral'!B187</f>
        <v>População</v>
      </c>
      <c r="C91" s="229" t="str">
        <f>'Q100a-geral'!C187</f>
        <v>x</v>
      </c>
      <c r="D91" s="36" t="str">
        <f>'Q100a-geral'!D187</f>
        <v>área</v>
      </c>
      <c r="E91" s="464" t="str">
        <f>'Q100a-geral'!E187</f>
        <v>Igarapé</v>
      </c>
      <c r="F91" s="446" t="str">
        <f>'Q100a-geral'!F187</f>
        <v>área do município (expressa em km2) utilizada para calcular a densidade demográfica
obs.: resultado de 2010 em IBGE (2010)</v>
      </c>
      <c r="G91" s="252" t="str">
        <f>'Q100a-geral'!G187</f>
        <v>registro na fonte</v>
      </c>
      <c r="H91" s="171" t="str">
        <f>'Q100a-geral'!H187</f>
        <v>RMBH</v>
      </c>
      <c r="I91" s="167">
        <f>'Q100a-geral'!I187</f>
        <v>1</v>
      </c>
      <c r="J91" s="93" t="str">
        <f>'Q100a-geral'!J187</f>
        <v>x</v>
      </c>
      <c r="K91" s="93" t="str">
        <f>'Q100a-geral'!K187</f>
        <v>x</v>
      </c>
      <c r="L91" s="93" t="str">
        <f>'Q100a-geral'!L187</f>
        <v>x</v>
      </c>
      <c r="M91" s="93" t="str">
        <f>'Q100a-geral'!M187</f>
        <v>x</v>
      </c>
      <c r="N91" s="93" t="str">
        <f>'Q100a-geral'!N187</f>
        <v>x</v>
      </c>
      <c r="O91" s="93" t="str">
        <f>'Q100a-geral'!O187</f>
        <v>x</v>
      </c>
      <c r="P91" s="93" t="str">
        <f>'Q100a-geral'!P187</f>
        <v>x</v>
      </c>
      <c r="Q91" s="93" t="str">
        <f>'Q100a-geral'!Q187</f>
        <v>x</v>
      </c>
      <c r="R91" s="93" t="str">
        <f>'Q100a-geral'!R187</f>
        <v>x</v>
      </c>
      <c r="S91" s="107" t="str">
        <f>'Q100a-geral'!S187</f>
        <v>só para pesquisa</v>
      </c>
      <c r="T91" s="93" t="str">
        <f>'Q100a-geral'!T187</f>
        <v>x</v>
      </c>
      <c r="U91" s="93" t="str">
        <f>'Q100a-geral'!U187</f>
        <v>x</v>
      </c>
      <c r="V91" s="107" t="str">
        <f>'Q100a-geral'!V187</f>
        <v>só para pesquisa</v>
      </c>
      <c r="W91" s="93" t="str">
        <f>'Q100a-geral'!W187</f>
        <v>x</v>
      </c>
      <c r="X91" s="93" t="str">
        <f>'Q100a-geral'!X187</f>
        <v>x</v>
      </c>
      <c r="Y91" s="93" t="str">
        <f>'Q100a-geral'!Y187</f>
        <v>x</v>
      </c>
      <c r="Z91" s="93" t="str">
        <f>'Q100a-geral'!Z187</f>
        <v>x</v>
      </c>
      <c r="AA91" s="93" t="str">
        <f>'Q100a-geral'!AA187</f>
        <v>x</v>
      </c>
      <c r="AB91" s="93" t="str">
        <f>'Q100a-geral'!AB187</f>
        <v>x</v>
      </c>
      <c r="AC91" s="93" t="str">
        <f>'Q100a-geral'!AC187</f>
        <v>x</v>
      </c>
      <c r="AD91" s="93" t="str">
        <f>'Q100a-geral'!AD187</f>
        <v>x</v>
      </c>
      <c r="AE91" s="93" t="str">
        <f>'Q100a-geral'!AE187</f>
        <v>x</v>
      </c>
      <c r="AF91" s="99">
        <f>'Q100a-geral'!AF187</f>
        <v>110.262</v>
      </c>
      <c r="AG91" s="84" t="str">
        <f>'Q100a-geral'!AG187</f>
        <v>x</v>
      </c>
      <c r="AH91" s="84" t="str">
        <f>'Q100a-geral'!AH187</f>
        <v>x</v>
      </c>
      <c r="AI91" s="84" t="str">
        <f>'Q100a-geral'!AI187</f>
        <v>x</v>
      </c>
      <c r="AJ91" s="84" t="str">
        <f>'Q100a-geral'!AJ187</f>
        <v>x</v>
      </c>
      <c r="AK91" s="137" t="str">
        <f>'Q100a-geral'!AK187</f>
        <v>x</v>
      </c>
      <c r="AL91" s="213" t="str">
        <f>'Q100a-geral'!AL187</f>
        <v>x</v>
      </c>
      <c r="AM91" s="137" t="str">
        <f>'Q100a-geral'!AM187</f>
        <v>x</v>
      </c>
      <c r="AN91" s="137" t="str">
        <f>'Q100a-geral'!AN187</f>
        <v>x</v>
      </c>
      <c r="AO91" s="137" t="str">
        <f>'Q100a-geral'!AO187</f>
        <v>x</v>
      </c>
      <c r="AP91" s="137" t="str">
        <f>'Q100a-geral'!AP187</f>
        <v>x</v>
      </c>
      <c r="AQ91" s="137" t="str">
        <f>'Q100a-geral'!AQ187</f>
        <v>x</v>
      </c>
      <c r="AR91" s="137"/>
      <c r="AS91" s="137"/>
      <c r="AT91" s="137"/>
      <c r="AU91" s="137"/>
      <c r="AV91" s="137" t="str">
        <f>'Q100a-geral'!AV187</f>
        <v>x</v>
      </c>
      <c r="AW91" s="137"/>
      <c r="AX91" s="137"/>
      <c r="AY91" s="137"/>
      <c r="AZ91" s="137"/>
      <c r="BA91" s="137" t="str">
        <f>'Q100a-geral'!BA187</f>
        <v>x</v>
      </c>
      <c r="BB91" s="239" t="str">
        <f>'Q100a-geral'!BB187</f>
        <v>Populaçãox</v>
      </c>
      <c r="BC91" s="239" t="str">
        <f>'Q100a-geral'!BC187</f>
        <v>PopulaçãoxRMBH</v>
      </c>
      <c r="BD91" s="239" t="str">
        <f>'Q100a-geral'!BD187</f>
        <v>PopulaçãoRMBH</v>
      </c>
    </row>
    <row r="92" spans="1:56" s="3" customFormat="1" ht="28.5" customHeight="1" x14ac:dyDescent="0.25">
      <c r="A92" s="275" t="str">
        <f>'Q100a-geral'!A188</f>
        <v>2.4</v>
      </c>
      <c r="B92" s="54" t="str">
        <f>'Q100a-geral'!B188</f>
        <v>População</v>
      </c>
      <c r="C92" s="229" t="str">
        <f>'Q100a-geral'!C188</f>
        <v>x</v>
      </c>
      <c r="D92" s="36" t="str">
        <f>'Q100a-geral'!D188</f>
        <v>área</v>
      </c>
      <c r="E92" s="464" t="str">
        <f>'Q100a-geral'!E188</f>
        <v>Itaguara</v>
      </c>
      <c r="F92" s="446" t="str">
        <f>'Q100a-geral'!F188</f>
        <v>área do município (expressa em km2) utilizada para calcular a densidade demográfica
obs.: resultado de 2010 em IBGE (2010)</v>
      </c>
      <c r="G92" s="252" t="str">
        <f>'Q100a-geral'!G188</f>
        <v>registro na fonte</v>
      </c>
      <c r="H92" s="171" t="str">
        <f>'Q100a-geral'!H188</f>
        <v>RMBH</v>
      </c>
      <c r="I92" s="167">
        <f>'Q100a-geral'!I188</f>
        <v>1</v>
      </c>
      <c r="J92" s="93" t="str">
        <f>'Q100a-geral'!J188</f>
        <v>x</v>
      </c>
      <c r="K92" s="93" t="str">
        <f>'Q100a-geral'!K188</f>
        <v>x</v>
      </c>
      <c r="L92" s="93" t="str">
        <f>'Q100a-geral'!L188</f>
        <v>x</v>
      </c>
      <c r="M92" s="93" t="str">
        <f>'Q100a-geral'!M188</f>
        <v>x</v>
      </c>
      <c r="N92" s="93" t="str">
        <f>'Q100a-geral'!N188</f>
        <v>x</v>
      </c>
      <c r="O92" s="93" t="str">
        <f>'Q100a-geral'!O188</f>
        <v>x</v>
      </c>
      <c r="P92" s="93" t="str">
        <f>'Q100a-geral'!P188</f>
        <v>x</v>
      </c>
      <c r="Q92" s="93" t="str">
        <f>'Q100a-geral'!Q188</f>
        <v>x</v>
      </c>
      <c r="R92" s="93" t="str">
        <f>'Q100a-geral'!R188</f>
        <v>x</v>
      </c>
      <c r="S92" s="107" t="str">
        <f>'Q100a-geral'!S188</f>
        <v>só para pesquisa</v>
      </c>
      <c r="T92" s="93" t="str">
        <f>'Q100a-geral'!T188</f>
        <v>x</v>
      </c>
      <c r="U92" s="93" t="str">
        <f>'Q100a-geral'!U188</f>
        <v>x</v>
      </c>
      <c r="V92" s="107" t="str">
        <f>'Q100a-geral'!V188</f>
        <v>só para pesquisa</v>
      </c>
      <c r="W92" s="93" t="str">
        <f>'Q100a-geral'!W188</f>
        <v>x</v>
      </c>
      <c r="X92" s="93" t="str">
        <f>'Q100a-geral'!X188</f>
        <v>x</v>
      </c>
      <c r="Y92" s="93" t="str">
        <f>'Q100a-geral'!Y188</f>
        <v>x</v>
      </c>
      <c r="Z92" s="93" t="str">
        <f>'Q100a-geral'!Z188</f>
        <v>x</v>
      </c>
      <c r="AA92" s="93" t="str">
        <f>'Q100a-geral'!AA188</f>
        <v>x</v>
      </c>
      <c r="AB92" s="93" t="str">
        <f>'Q100a-geral'!AB188</f>
        <v>x</v>
      </c>
      <c r="AC92" s="93" t="str">
        <f>'Q100a-geral'!AC188</f>
        <v>x</v>
      </c>
      <c r="AD92" s="93" t="str">
        <f>'Q100a-geral'!AD188</f>
        <v>x</v>
      </c>
      <c r="AE92" s="93" t="str">
        <f>'Q100a-geral'!AE188</f>
        <v>x</v>
      </c>
      <c r="AF92" s="99">
        <f>'Q100a-geral'!AF188</f>
        <v>410.46800000000002</v>
      </c>
      <c r="AG92" s="84" t="str">
        <f>'Q100a-geral'!AG188</f>
        <v>x</v>
      </c>
      <c r="AH92" s="84" t="str">
        <f>'Q100a-geral'!AH188</f>
        <v>x</v>
      </c>
      <c r="AI92" s="84" t="str">
        <f>'Q100a-geral'!AI188</f>
        <v>x</v>
      </c>
      <c r="AJ92" s="84" t="str">
        <f>'Q100a-geral'!AJ188</f>
        <v>x</v>
      </c>
      <c r="AK92" s="137" t="str">
        <f>'Q100a-geral'!AK188</f>
        <v>x</v>
      </c>
      <c r="AL92" s="213" t="str">
        <f>'Q100a-geral'!AL188</f>
        <v>x</v>
      </c>
      <c r="AM92" s="137" t="str">
        <f>'Q100a-geral'!AM188</f>
        <v>x</v>
      </c>
      <c r="AN92" s="137" t="str">
        <f>'Q100a-geral'!AN188</f>
        <v>x</v>
      </c>
      <c r="AO92" s="137" t="str">
        <f>'Q100a-geral'!AO188</f>
        <v>x</v>
      </c>
      <c r="AP92" s="137" t="str">
        <f>'Q100a-geral'!AP188</f>
        <v>x</v>
      </c>
      <c r="AQ92" s="137" t="str">
        <f>'Q100a-geral'!AQ188</f>
        <v>x</v>
      </c>
      <c r="AR92" s="137"/>
      <c r="AS92" s="137"/>
      <c r="AT92" s="137"/>
      <c r="AU92" s="137"/>
      <c r="AV92" s="137" t="str">
        <f>'Q100a-geral'!AV188</f>
        <v>x</v>
      </c>
      <c r="AW92" s="137"/>
      <c r="AX92" s="137"/>
      <c r="AY92" s="137"/>
      <c r="AZ92" s="137"/>
      <c r="BA92" s="137" t="str">
        <f>'Q100a-geral'!BA188</f>
        <v>x</v>
      </c>
      <c r="BB92" s="239" t="str">
        <f>'Q100a-geral'!BB188</f>
        <v>Populaçãox</v>
      </c>
      <c r="BC92" s="239" t="str">
        <f>'Q100a-geral'!BC188</f>
        <v>PopulaçãoxRMBH</v>
      </c>
      <c r="BD92" s="239" t="str">
        <f>'Q100a-geral'!BD188</f>
        <v>PopulaçãoRMBH</v>
      </c>
    </row>
    <row r="93" spans="1:56" s="3" customFormat="1" ht="28.5" customHeight="1" x14ac:dyDescent="0.25">
      <c r="A93" s="275" t="str">
        <f>'Q100a-geral'!A189</f>
        <v>2.4</v>
      </c>
      <c r="B93" s="54" t="str">
        <f>'Q100a-geral'!B189</f>
        <v>População</v>
      </c>
      <c r="C93" s="229" t="str">
        <f>'Q100a-geral'!C189</f>
        <v>x</v>
      </c>
      <c r="D93" s="36" t="str">
        <f>'Q100a-geral'!D189</f>
        <v>área</v>
      </c>
      <c r="E93" s="464" t="str">
        <f>'Q100a-geral'!E189</f>
        <v>Itatiaiuçu</v>
      </c>
      <c r="F93" s="446" t="str">
        <f>'Q100a-geral'!F189</f>
        <v>área do município (expressa em km2) utilizada para calcular a densidade demográfica
obs.: resultado de 2010 em IBGE (2010)</v>
      </c>
      <c r="G93" s="252" t="str">
        <f>'Q100a-geral'!G189</f>
        <v>registro na fonte</v>
      </c>
      <c r="H93" s="171" t="str">
        <f>'Q100a-geral'!H189</f>
        <v>RMBH</v>
      </c>
      <c r="I93" s="167">
        <f>'Q100a-geral'!I189</f>
        <v>1</v>
      </c>
      <c r="J93" s="93" t="str">
        <f>'Q100a-geral'!J189</f>
        <v>x</v>
      </c>
      <c r="K93" s="93" t="str">
        <f>'Q100a-geral'!K189</f>
        <v>x</v>
      </c>
      <c r="L93" s="93" t="str">
        <f>'Q100a-geral'!L189</f>
        <v>x</v>
      </c>
      <c r="M93" s="93" t="str">
        <f>'Q100a-geral'!M189</f>
        <v>x</v>
      </c>
      <c r="N93" s="93" t="str">
        <f>'Q100a-geral'!N189</f>
        <v>x</v>
      </c>
      <c r="O93" s="93" t="str">
        <f>'Q100a-geral'!O189</f>
        <v>x</v>
      </c>
      <c r="P93" s="93" t="str">
        <f>'Q100a-geral'!P189</f>
        <v>x</v>
      </c>
      <c r="Q93" s="93" t="str">
        <f>'Q100a-geral'!Q189</f>
        <v>x</v>
      </c>
      <c r="R93" s="93" t="str">
        <f>'Q100a-geral'!R189</f>
        <v>x</v>
      </c>
      <c r="S93" s="107" t="str">
        <f>'Q100a-geral'!S189</f>
        <v>só para pesquisa</v>
      </c>
      <c r="T93" s="93" t="str">
        <f>'Q100a-geral'!T189</f>
        <v>x</v>
      </c>
      <c r="U93" s="93" t="str">
        <f>'Q100a-geral'!U189</f>
        <v>x</v>
      </c>
      <c r="V93" s="107" t="str">
        <f>'Q100a-geral'!V189</f>
        <v>só para pesquisa</v>
      </c>
      <c r="W93" s="93" t="str">
        <f>'Q100a-geral'!W189</f>
        <v>x</v>
      </c>
      <c r="X93" s="93" t="str">
        <f>'Q100a-geral'!X189</f>
        <v>x</v>
      </c>
      <c r="Y93" s="93" t="str">
        <f>'Q100a-geral'!Y189</f>
        <v>x</v>
      </c>
      <c r="Z93" s="93" t="str">
        <f>'Q100a-geral'!Z189</f>
        <v>x</v>
      </c>
      <c r="AA93" s="93" t="str">
        <f>'Q100a-geral'!AA189</f>
        <v>x</v>
      </c>
      <c r="AB93" s="93" t="str">
        <f>'Q100a-geral'!AB189</f>
        <v>x</v>
      </c>
      <c r="AC93" s="93" t="str">
        <f>'Q100a-geral'!AC189</f>
        <v>x</v>
      </c>
      <c r="AD93" s="93" t="str">
        <f>'Q100a-geral'!AD189</f>
        <v>x</v>
      </c>
      <c r="AE93" s="93" t="str">
        <f>'Q100a-geral'!AE189</f>
        <v>x</v>
      </c>
      <c r="AF93" s="99">
        <f>'Q100a-geral'!AF189</f>
        <v>295.14499999999998</v>
      </c>
      <c r="AG93" s="84" t="str">
        <f>'Q100a-geral'!AG189</f>
        <v>x</v>
      </c>
      <c r="AH93" s="84" t="str">
        <f>'Q100a-geral'!AH189</f>
        <v>x</v>
      </c>
      <c r="AI93" s="84" t="str">
        <f>'Q100a-geral'!AI189</f>
        <v>x</v>
      </c>
      <c r="AJ93" s="84" t="str">
        <f>'Q100a-geral'!AJ189</f>
        <v>x</v>
      </c>
      <c r="AK93" s="137" t="str">
        <f>'Q100a-geral'!AK189</f>
        <v>x</v>
      </c>
      <c r="AL93" s="213" t="str">
        <f>'Q100a-geral'!AL189</f>
        <v>x</v>
      </c>
      <c r="AM93" s="137" t="str">
        <f>'Q100a-geral'!AM189</f>
        <v>x</v>
      </c>
      <c r="AN93" s="137" t="str">
        <f>'Q100a-geral'!AN189</f>
        <v>x</v>
      </c>
      <c r="AO93" s="137" t="str">
        <f>'Q100a-geral'!AO189</f>
        <v>x</v>
      </c>
      <c r="AP93" s="137" t="str">
        <f>'Q100a-geral'!AP189</f>
        <v>x</v>
      </c>
      <c r="AQ93" s="137" t="str">
        <f>'Q100a-geral'!AQ189</f>
        <v>x</v>
      </c>
      <c r="AR93" s="137"/>
      <c r="AS93" s="137"/>
      <c r="AT93" s="137"/>
      <c r="AU93" s="137"/>
      <c r="AV93" s="137" t="str">
        <f>'Q100a-geral'!AV189</f>
        <v>x</v>
      </c>
      <c r="AW93" s="137"/>
      <c r="AX93" s="137"/>
      <c r="AY93" s="137"/>
      <c r="AZ93" s="137"/>
      <c r="BA93" s="137" t="str">
        <f>'Q100a-geral'!BA189</f>
        <v>x</v>
      </c>
      <c r="BB93" s="239" t="str">
        <f>'Q100a-geral'!BB189</f>
        <v>Populaçãox</v>
      </c>
      <c r="BC93" s="239" t="str">
        <f>'Q100a-geral'!BC189</f>
        <v>PopulaçãoxRMBH</v>
      </c>
      <c r="BD93" s="239" t="str">
        <f>'Q100a-geral'!BD189</f>
        <v>PopulaçãoRMBH</v>
      </c>
    </row>
    <row r="94" spans="1:56" s="3" customFormat="1" ht="28.5" customHeight="1" x14ac:dyDescent="0.25">
      <c r="A94" s="275" t="str">
        <f>'Q100a-geral'!A190</f>
        <v>2.4</v>
      </c>
      <c r="B94" s="54" t="str">
        <f>'Q100a-geral'!B190</f>
        <v>População</v>
      </c>
      <c r="C94" s="229" t="str">
        <f>'Q100a-geral'!C190</f>
        <v>x</v>
      </c>
      <c r="D94" s="36" t="str">
        <f>'Q100a-geral'!D190</f>
        <v>área</v>
      </c>
      <c r="E94" s="464" t="str">
        <f>'Q100a-geral'!E190</f>
        <v>Jaboticatubas</v>
      </c>
      <c r="F94" s="446" t="str">
        <f>'Q100a-geral'!F190</f>
        <v>área do município (expressa em km2) utilizada para calcular a densidade demográfica
obs.: resultado de 2010 em IBGE (2010)</v>
      </c>
      <c r="G94" s="252" t="str">
        <f>'Q100a-geral'!G190</f>
        <v>registro na fonte</v>
      </c>
      <c r="H94" s="171" t="str">
        <f>'Q100a-geral'!H190</f>
        <v>RMBH</v>
      </c>
      <c r="I94" s="167">
        <f>'Q100a-geral'!I190</f>
        <v>1</v>
      </c>
      <c r="J94" s="93" t="str">
        <f>'Q100a-geral'!J190</f>
        <v>x</v>
      </c>
      <c r="K94" s="93" t="str">
        <f>'Q100a-geral'!K190</f>
        <v>x</v>
      </c>
      <c r="L94" s="93" t="str">
        <f>'Q100a-geral'!L190</f>
        <v>x</v>
      </c>
      <c r="M94" s="93" t="str">
        <f>'Q100a-geral'!M190</f>
        <v>x</v>
      </c>
      <c r="N94" s="93" t="str">
        <f>'Q100a-geral'!N190</f>
        <v>x</v>
      </c>
      <c r="O94" s="93" t="str">
        <f>'Q100a-geral'!O190</f>
        <v>x</v>
      </c>
      <c r="P94" s="93" t="str">
        <f>'Q100a-geral'!P190</f>
        <v>x</v>
      </c>
      <c r="Q94" s="93" t="str">
        <f>'Q100a-geral'!Q190</f>
        <v>x</v>
      </c>
      <c r="R94" s="93" t="str">
        <f>'Q100a-geral'!R190</f>
        <v>x</v>
      </c>
      <c r="S94" s="107" t="str">
        <f>'Q100a-geral'!S190</f>
        <v>só para pesquisa</v>
      </c>
      <c r="T94" s="93" t="str">
        <f>'Q100a-geral'!T190</f>
        <v>x</v>
      </c>
      <c r="U94" s="93" t="str">
        <f>'Q100a-geral'!U190</f>
        <v>x</v>
      </c>
      <c r="V94" s="107" t="str">
        <f>'Q100a-geral'!V190</f>
        <v>só para pesquisa</v>
      </c>
      <c r="W94" s="93" t="str">
        <f>'Q100a-geral'!W190</f>
        <v>x</v>
      </c>
      <c r="X94" s="93" t="str">
        <f>'Q100a-geral'!X190</f>
        <v>x</v>
      </c>
      <c r="Y94" s="93" t="str">
        <f>'Q100a-geral'!Y190</f>
        <v>x</v>
      </c>
      <c r="Z94" s="93" t="str">
        <f>'Q100a-geral'!Z190</f>
        <v>x</v>
      </c>
      <c r="AA94" s="93" t="str">
        <f>'Q100a-geral'!AA190</f>
        <v>x</v>
      </c>
      <c r="AB94" s="93" t="str">
        <f>'Q100a-geral'!AB190</f>
        <v>x</v>
      </c>
      <c r="AC94" s="93" t="str">
        <f>'Q100a-geral'!AC190</f>
        <v>x</v>
      </c>
      <c r="AD94" s="93" t="str">
        <f>'Q100a-geral'!AD190</f>
        <v>x</v>
      </c>
      <c r="AE94" s="93" t="str">
        <f>'Q100a-geral'!AE190</f>
        <v>x</v>
      </c>
      <c r="AF94" s="99">
        <f>'Q100a-geral'!AF190</f>
        <v>1114.155</v>
      </c>
      <c r="AG94" s="84" t="str">
        <f>'Q100a-geral'!AG190</f>
        <v>x</v>
      </c>
      <c r="AH94" s="84" t="str">
        <f>'Q100a-geral'!AH190</f>
        <v>x</v>
      </c>
      <c r="AI94" s="84" t="str">
        <f>'Q100a-geral'!AI190</f>
        <v>x</v>
      </c>
      <c r="AJ94" s="84" t="str">
        <f>'Q100a-geral'!AJ190</f>
        <v>x</v>
      </c>
      <c r="AK94" s="137" t="str">
        <f>'Q100a-geral'!AK190</f>
        <v>x</v>
      </c>
      <c r="AL94" s="213" t="str">
        <f>'Q100a-geral'!AL190</f>
        <v>x</v>
      </c>
      <c r="AM94" s="137" t="str">
        <f>'Q100a-geral'!AM190</f>
        <v>x</v>
      </c>
      <c r="AN94" s="137" t="str">
        <f>'Q100a-geral'!AN190</f>
        <v>x</v>
      </c>
      <c r="AO94" s="137" t="str">
        <f>'Q100a-geral'!AO190</f>
        <v>x</v>
      </c>
      <c r="AP94" s="137" t="str">
        <f>'Q100a-geral'!AP190</f>
        <v>x</v>
      </c>
      <c r="AQ94" s="137" t="str">
        <f>'Q100a-geral'!AQ190</f>
        <v>x</v>
      </c>
      <c r="AR94" s="137"/>
      <c r="AS94" s="137"/>
      <c r="AT94" s="137"/>
      <c r="AU94" s="137"/>
      <c r="AV94" s="137" t="str">
        <f>'Q100a-geral'!AV190</f>
        <v>x</v>
      </c>
      <c r="AW94" s="137"/>
      <c r="AX94" s="137"/>
      <c r="AY94" s="137"/>
      <c r="AZ94" s="137"/>
      <c r="BA94" s="137" t="str">
        <f>'Q100a-geral'!BA190</f>
        <v>x</v>
      </c>
      <c r="BB94" s="239" t="str">
        <f>'Q100a-geral'!BB190</f>
        <v>Populaçãox</v>
      </c>
      <c r="BC94" s="239" t="str">
        <f>'Q100a-geral'!BC190</f>
        <v>PopulaçãoxRMBH</v>
      </c>
      <c r="BD94" s="239" t="str">
        <f>'Q100a-geral'!BD190</f>
        <v>PopulaçãoRMBH</v>
      </c>
    </row>
    <row r="95" spans="1:56" s="3" customFormat="1" ht="28.5" customHeight="1" x14ac:dyDescent="0.25">
      <c r="A95" s="275" t="str">
        <f>'Q100a-geral'!A191</f>
        <v>2.4</v>
      </c>
      <c r="B95" s="54" t="str">
        <f>'Q100a-geral'!B191</f>
        <v>População</v>
      </c>
      <c r="C95" s="229" t="str">
        <f>'Q100a-geral'!C191</f>
        <v>x</v>
      </c>
      <c r="D95" s="36" t="str">
        <f>'Q100a-geral'!D191</f>
        <v>área</v>
      </c>
      <c r="E95" s="464" t="str">
        <f>'Q100a-geral'!E191</f>
        <v>Juatuba</v>
      </c>
      <c r="F95" s="446" t="str">
        <f>'Q100a-geral'!F191</f>
        <v>área do município (expressa em km2) utilizada para calcular a densidade demográfica
obs.: resultado de 2010 em IBGE (2010)</v>
      </c>
      <c r="G95" s="252" t="str">
        <f>'Q100a-geral'!G191</f>
        <v>registro na fonte</v>
      </c>
      <c r="H95" s="171" t="str">
        <f>'Q100a-geral'!H191</f>
        <v>RMBH</v>
      </c>
      <c r="I95" s="167">
        <f>'Q100a-geral'!I191</f>
        <v>1</v>
      </c>
      <c r="J95" s="93" t="str">
        <f>'Q100a-geral'!J191</f>
        <v>x</v>
      </c>
      <c r="K95" s="93" t="str">
        <f>'Q100a-geral'!K191</f>
        <v>x</v>
      </c>
      <c r="L95" s="93" t="str">
        <f>'Q100a-geral'!L191</f>
        <v>x</v>
      </c>
      <c r="M95" s="93" t="str">
        <f>'Q100a-geral'!M191</f>
        <v>x</v>
      </c>
      <c r="N95" s="93" t="str">
        <f>'Q100a-geral'!N191</f>
        <v>x</v>
      </c>
      <c r="O95" s="93" t="str">
        <f>'Q100a-geral'!O191</f>
        <v>x</v>
      </c>
      <c r="P95" s="93" t="str">
        <f>'Q100a-geral'!P191</f>
        <v>x</v>
      </c>
      <c r="Q95" s="93" t="str">
        <f>'Q100a-geral'!Q191</f>
        <v>x</v>
      </c>
      <c r="R95" s="93" t="str">
        <f>'Q100a-geral'!R191</f>
        <v>x</v>
      </c>
      <c r="S95" s="107" t="str">
        <f>'Q100a-geral'!S191</f>
        <v>só para pesquisa</v>
      </c>
      <c r="T95" s="93" t="str">
        <f>'Q100a-geral'!T191</f>
        <v>x</v>
      </c>
      <c r="U95" s="93" t="str">
        <f>'Q100a-geral'!U191</f>
        <v>x</v>
      </c>
      <c r="V95" s="107" t="str">
        <f>'Q100a-geral'!V191</f>
        <v>só para pesquisa</v>
      </c>
      <c r="W95" s="93" t="str">
        <f>'Q100a-geral'!W191</f>
        <v>x</v>
      </c>
      <c r="X95" s="93" t="str">
        <f>'Q100a-geral'!X191</f>
        <v>x</v>
      </c>
      <c r="Y95" s="93" t="str">
        <f>'Q100a-geral'!Y191</f>
        <v>x</v>
      </c>
      <c r="Z95" s="93" t="str">
        <f>'Q100a-geral'!Z191</f>
        <v>x</v>
      </c>
      <c r="AA95" s="93" t="str">
        <f>'Q100a-geral'!AA191</f>
        <v>x</v>
      </c>
      <c r="AB95" s="93" t="str">
        <f>'Q100a-geral'!AB191</f>
        <v>x</v>
      </c>
      <c r="AC95" s="93" t="str">
        <f>'Q100a-geral'!AC191</f>
        <v>x</v>
      </c>
      <c r="AD95" s="93" t="str">
        <f>'Q100a-geral'!AD191</f>
        <v>x</v>
      </c>
      <c r="AE95" s="93" t="str">
        <f>'Q100a-geral'!AE191</f>
        <v>x</v>
      </c>
      <c r="AF95" s="99">
        <f>'Q100a-geral'!AF191</f>
        <v>99.481999999999999</v>
      </c>
      <c r="AG95" s="84" t="str">
        <f>'Q100a-geral'!AG191</f>
        <v>x</v>
      </c>
      <c r="AH95" s="84" t="str">
        <f>'Q100a-geral'!AH191</f>
        <v>x</v>
      </c>
      <c r="AI95" s="84" t="str">
        <f>'Q100a-geral'!AI191</f>
        <v>x</v>
      </c>
      <c r="AJ95" s="84" t="str">
        <f>'Q100a-geral'!AJ191</f>
        <v>x</v>
      </c>
      <c r="AK95" s="137" t="str">
        <f>'Q100a-geral'!AK191</f>
        <v>x</v>
      </c>
      <c r="AL95" s="213" t="str">
        <f>'Q100a-geral'!AL191</f>
        <v>x</v>
      </c>
      <c r="AM95" s="137" t="str">
        <f>'Q100a-geral'!AM191</f>
        <v>x</v>
      </c>
      <c r="AN95" s="137" t="str">
        <f>'Q100a-geral'!AN191</f>
        <v>x</v>
      </c>
      <c r="AO95" s="137" t="str">
        <f>'Q100a-geral'!AO191</f>
        <v>x</v>
      </c>
      <c r="AP95" s="137" t="str">
        <f>'Q100a-geral'!AP191</f>
        <v>x</v>
      </c>
      <c r="AQ95" s="137" t="str">
        <f>'Q100a-geral'!AQ191</f>
        <v>x</v>
      </c>
      <c r="AR95" s="137"/>
      <c r="AS95" s="137"/>
      <c r="AT95" s="137"/>
      <c r="AU95" s="137"/>
      <c r="AV95" s="137" t="str">
        <f>'Q100a-geral'!AV191</f>
        <v>x</v>
      </c>
      <c r="AW95" s="137"/>
      <c r="AX95" s="137"/>
      <c r="AY95" s="137"/>
      <c r="AZ95" s="137"/>
      <c r="BA95" s="137" t="str">
        <f>'Q100a-geral'!BA191</f>
        <v>x</v>
      </c>
      <c r="BB95" s="239" t="str">
        <f>'Q100a-geral'!BB191</f>
        <v>Populaçãox</v>
      </c>
      <c r="BC95" s="239" t="str">
        <f>'Q100a-geral'!BC191</f>
        <v>PopulaçãoxRMBH</v>
      </c>
      <c r="BD95" s="239" t="str">
        <f>'Q100a-geral'!BD191</f>
        <v>PopulaçãoRMBH</v>
      </c>
    </row>
    <row r="96" spans="1:56" s="3" customFormat="1" ht="28.5" customHeight="1" x14ac:dyDescent="0.25">
      <c r="A96" s="275" t="str">
        <f>'Q100a-geral'!A192</f>
        <v>2.4</v>
      </c>
      <c r="B96" s="54" t="str">
        <f>'Q100a-geral'!B192</f>
        <v>População</v>
      </c>
      <c r="C96" s="229" t="str">
        <f>'Q100a-geral'!C192</f>
        <v>x</v>
      </c>
      <c r="D96" s="36" t="str">
        <f>'Q100a-geral'!D192</f>
        <v>área</v>
      </c>
      <c r="E96" s="464" t="str">
        <f>'Q100a-geral'!E192</f>
        <v>Lagoa Santa</v>
      </c>
      <c r="F96" s="446" t="str">
        <f>'Q100a-geral'!F192</f>
        <v>área do município (expressa em km2) utilizada para calcular a densidade demográfica
obs.: resultado de 2010 em IBGE (2010)</v>
      </c>
      <c r="G96" s="252" t="str">
        <f>'Q100a-geral'!G192</f>
        <v>registro na fonte</v>
      </c>
      <c r="H96" s="171" t="str">
        <f>'Q100a-geral'!H192</f>
        <v>RMBH</v>
      </c>
      <c r="I96" s="167">
        <f>'Q100a-geral'!I192</f>
        <v>1</v>
      </c>
      <c r="J96" s="93" t="str">
        <f>'Q100a-geral'!J192</f>
        <v>x</v>
      </c>
      <c r="K96" s="93" t="str">
        <f>'Q100a-geral'!K192</f>
        <v>x</v>
      </c>
      <c r="L96" s="93" t="str">
        <f>'Q100a-geral'!L192</f>
        <v>x</v>
      </c>
      <c r="M96" s="93" t="str">
        <f>'Q100a-geral'!M192</f>
        <v>x</v>
      </c>
      <c r="N96" s="93" t="str">
        <f>'Q100a-geral'!N192</f>
        <v>x</v>
      </c>
      <c r="O96" s="93" t="str">
        <f>'Q100a-geral'!O192</f>
        <v>x</v>
      </c>
      <c r="P96" s="93" t="str">
        <f>'Q100a-geral'!P192</f>
        <v>x</v>
      </c>
      <c r="Q96" s="93" t="str">
        <f>'Q100a-geral'!Q192</f>
        <v>x</v>
      </c>
      <c r="R96" s="93" t="str">
        <f>'Q100a-geral'!R192</f>
        <v>x</v>
      </c>
      <c r="S96" s="107" t="str">
        <f>'Q100a-geral'!S192</f>
        <v>só para pesquisa</v>
      </c>
      <c r="T96" s="93" t="str">
        <f>'Q100a-geral'!T192</f>
        <v>x</v>
      </c>
      <c r="U96" s="93" t="str">
        <f>'Q100a-geral'!U192</f>
        <v>x</v>
      </c>
      <c r="V96" s="107" t="str">
        <f>'Q100a-geral'!V192</f>
        <v>só para pesquisa</v>
      </c>
      <c r="W96" s="93" t="str">
        <f>'Q100a-geral'!W192</f>
        <v>x</v>
      </c>
      <c r="X96" s="93" t="str">
        <f>'Q100a-geral'!X192</f>
        <v>x</v>
      </c>
      <c r="Y96" s="93" t="str">
        <f>'Q100a-geral'!Y192</f>
        <v>x</v>
      </c>
      <c r="Z96" s="93" t="str">
        <f>'Q100a-geral'!Z192</f>
        <v>x</v>
      </c>
      <c r="AA96" s="93" t="str">
        <f>'Q100a-geral'!AA192</f>
        <v>x</v>
      </c>
      <c r="AB96" s="93" t="str">
        <f>'Q100a-geral'!AB192</f>
        <v>x</v>
      </c>
      <c r="AC96" s="93" t="str">
        <f>'Q100a-geral'!AC192</f>
        <v>x</v>
      </c>
      <c r="AD96" s="93" t="str">
        <f>'Q100a-geral'!AD192</f>
        <v>x</v>
      </c>
      <c r="AE96" s="93" t="str">
        <f>'Q100a-geral'!AE192</f>
        <v>x</v>
      </c>
      <c r="AF96" s="99">
        <f>'Q100a-geral'!AF192</f>
        <v>230.08199999999999</v>
      </c>
      <c r="AG96" s="84" t="str">
        <f>'Q100a-geral'!AG192</f>
        <v>x</v>
      </c>
      <c r="AH96" s="84" t="str">
        <f>'Q100a-geral'!AH192</f>
        <v>x</v>
      </c>
      <c r="AI96" s="84" t="str">
        <f>'Q100a-geral'!AI192</f>
        <v>x</v>
      </c>
      <c r="AJ96" s="84" t="str">
        <f>'Q100a-geral'!AJ192</f>
        <v>x</v>
      </c>
      <c r="AK96" s="137" t="str">
        <f>'Q100a-geral'!AK192</f>
        <v>x</v>
      </c>
      <c r="AL96" s="213" t="str">
        <f>'Q100a-geral'!AL192</f>
        <v>x</v>
      </c>
      <c r="AM96" s="137" t="str">
        <f>'Q100a-geral'!AM192</f>
        <v>x</v>
      </c>
      <c r="AN96" s="137" t="str">
        <f>'Q100a-geral'!AN192</f>
        <v>x</v>
      </c>
      <c r="AO96" s="137" t="str">
        <f>'Q100a-geral'!AO192</f>
        <v>x</v>
      </c>
      <c r="AP96" s="137" t="str">
        <f>'Q100a-geral'!AP192</f>
        <v>x</v>
      </c>
      <c r="AQ96" s="137" t="str">
        <f>'Q100a-geral'!AQ192</f>
        <v>x</v>
      </c>
      <c r="AR96" s="137"/>
      <c r="AS96" s="137"/>
      <c r="AT96" s="137"/>
      <c r="AU96" s="137"/>
      <c r="AV96" s="137" t="str">
        <f>'Q100a-geral'!AV192</f>
        <v>x</v>
      </c>
      <c r="AW96" s="137"/>
      <c r="AX96" s="137"/>
      <c r="AY96" s="137"/>
      <c r="AZ96" s="137"/>
      <c r="BA96" s="137" t="str">
        <f>'Q100a-geral'!BA192</f>
        <v>x</v>
      </c>
      <c r="BB96" s="239" t="str">
        <f>'Q100a-geral'!BB192</f>
        <v>Populaçãox</v>
      </c>
      <c r="BC96" s="239" t="str">
        <f>'Q100a-geral'!BC192</f>
        <v>PopulaçãoxRMBH</v>
      </c>
      <c r="BD96" s="239" t="str">
        <f>'Q100a-geral'!BD192</f>
        <v>PopulaçãoRMBH</v>
      </c>
    </row>
    <row r="97" spans="1:56" s="3" customFormat="1" ht="28.5" customHeight="1" x14ac:dyDescent="0.25">
      <c r="A97" s="275" t="str">
        <f>'Q100a-geral'!A193</f>
        <v>2.4</v>
      </c>
      <c r="B97" s="54" t="str">
        <f>'Q100a-geral'!B193</f>
        <v>População</v>
      </c>
      <c r="C97" s="229" t="str">
        <f>'Q100a-geral'!C193</f>
        <v>x</v>
      </c>
      <c r="D97" s="36" t="str">
        <f>'Q100a-geral'!D193</f>
        <v>área</v>
      </c>
      <c r="E97" s="464" t="str">
        <f>'Q100a-geral'!E193</f>
        <v>Mário Campos</v>
      </c>
      <c r="F97" s="446" t="str">
        <f>'Q100a-geral'!F193</f>
        <v>área do município (expressa em km2) utilizada para calcular a densidade demográfica
obs.: resultado de 2010 em IBGE (2010)</v>
      </c>
      <c r="G97" s="252" t="str">
        <f>'Q100a-geral'!G193</f>
        <v>registro na fonte</v>
      </c>
      <c r="H97" s="171" t="str">
        <f>'Q100a-geral'!H193</f>
        <v>RMBH</v>
      </c>
      <c r="I97" s="167">
        <f>'Q100a-geral'!I193</f>
        <v>1</v>
      </c>
      <c r="J97" s="93" t="str">
        <f>'Q100a-geral'!J193</f>
        <v>x</v>
      </c>
      <c r="K97" s="93" t="str">
        <f>'Q100a-geral'!K193</f>
        <v>x</v>
      </c>
      <c r="L97" s="93" t="str">
        <f>'Q100a-geral'!L193</f>
        <v>x</v>
      </c>
      <c r="M97" s="93" t="str">
        <f>'Q100a-geral'!M193</f>
        <v>x</v>
      </c>
      <c r="N97" s="93" t="str">
        <f>'Q100a-geral'!N193</f>
        <v>x</v>
      </c>
      <c r="O97" s="93" t="str">
        <f>'Q100a-geral'!O193</f>
        <v>x</v>
      </c>
      <c r="P97" s="93" t="str">
        <f>'Q100a-geral'!P193</f>
        <v>x</v>
      </c>
      <c r="Q97" s="93" t="str">
        <f>'Q100a-geral'!Q193</f>
        <v>x</v>
      </c>
      <c r="R97" s="93" t="str">
        <f>'Q100a-geral'!R193</f>
        <v>x</v>
      </c>
      <c r="S97" s="107" t="str">
        <f>'Q100a-geral'!S193</f>
        <v>só para pesquisa</v>
      </c>
      <c r="T97" s="93" t="str">
        <f>'Q100a-geral'!T193</f>
        <v>x</v>
      </c>
      <c r="U97" s="93" t="str">
        <f>'Q100a-geral'!U193</f>
        <v>x</v>
      </c>
      <c r="V97" s="107" t="str">
        <f>'Q100a-geral'!V193</f>
        <v>só para pesquisa</v>
      </c>
      <c r="W97" s="93" t="str">
        <f>'Q100a-geral'!W193</f>
        <v>x</v>
      </c>
      <c r="X97" s="93" t="str">
        <f>'Q100a-geral'!X193</f>
        <v>x</v>
      </c>
      <c r="Y97" s="93" t="str">
        <f>'Q100a-geral'!Y193</f>
        <v>x</v>
      </c>
      <c r="Z97" s="93" t="str">
        <f>'Q100a-geral'!Z193</f>
        <v>x</v>
      </c>
      <c r="AA97" s="93" t="str">
        <f>'Q100a-geral'!AA193</f>
        <v>x</v>
      </c>
      <c r="AB97" s="93" t="str">
        <f>'Q100a-geral'!AB193</f>
        <v>x</v>
      </c>
      <c r="AC97" s="93" t="str">
        <f>'Q100a-geral'!AC193</f>
        <v>x</v>
      </c>
      <c r="AD97" s="93" t="str">
        <f>'Q100a-geral'!AD193</f>
        <v>x</v>
      </c>
      <c r="AE97" s="93" t="str">
        <f>'Q100a-geral'!AE193</f>
        <v>x</v>
      </c>
      <c r="AF97" s="99">
        <f>'Q100a-geral'!AF193</f>
        <v>35.195999999999998</v>
      </c>
      <c r="AG97" s="84" t="str">
        <f>'Q100a-geral'!AG193</f>
        <v>x</v>
      </c>
      <c r="AH97" s="84" t="str">
        <f>'Q100a-geral'!AH193</f>
        <v>x</v>
      </c>
      <c r="AI97" s="84" t="str">
        <f>'Q100a-geral'!AI193</f>
        <v>x</v>
      </c>
      <c r="AJ97" s="84" t="str">
        <f>'Q100a-geral'!AJ193</f>
        <v>x</v>
      </c>
      <c r="AK97" s="137" t="str">
        <f>'Q100a-geral'!AK193</f>
        <v>x</v>
      </c>
      <c r="AL97" s="213" t="str">
        <f>'Q100a-geral'!AL193</f>
        <v>x</v>
      </c>
      <c r="AM97" s="137" t="str">
        <f>'Q100a-geral'!AM193</f>
        <v>x</v>
      </c>
      <c r="AN97" s="137" t="str">
        <f>'Q100a-geral'!AN193</f>
        <v>x</v>
      </c>
      <c r="AO97" s="137" t="str">
        <f>'Q100a-geral'!AO193</f>
        <v>x</v>
      </c>
      <c r="AP97" s="137" t="str">
        <f>'Q100a-geral'!AP193</f>
        <v>x</v>
      </c>
      <c r="AQ97" s="137" t="str">
        <f>'Q100a-geral'!AQ193</f>
        <v>x</v>
      </c>
      <c r="AR97" s="137"/>
      <c r="AS97" s="137"/>
      <c r="AT97" s="137"/>
      <c r="AU97" s="137"/>
      <c r="AV97" s="137" t="str">
        <f>'Q100a-geral'!AV193</f>
        <v>x</v>
      </c>
      <c r="AW97" s="137"/>
      <c r="AX97" s="137"/>
      <c r="AY97" s="137"/>
      <c r="AZ97" s="137"/>
      <c r="BA97" s="137" t="str">
        <f>'Q100a-geral'!BA193</f>
        <v>x</v>
      </c>
      <c r="BB97" s="239" t="str">
        <f>'Q100a-geral'!BB193</f>
        <v>Populaçãox</v>
      </c>
      <c r="BC97" s="239" t="str">
        <f>'Q100a-geral'!BC193</f>
        <v>PopulaçãoxRMBH</v>
      </c>
      <c r="BD97" s="239" t="str">
        <f>'Q100a-geral'!BD193</f>
        <v>PopulaçãoRMBH</v>
      </c>
    </row>
    <row r="98" spans="1:56" s="3" customFormat="1" ht="28.5" customHeight="1" x14ac:dyDescent="0.25">
      <c r="A98" s="275" t="str">
        <f>'Q100a-geral'!A194</f>
        <v>2.4</v>
      </c>
      <c r="B98" s="54" t="str">
        <f>'Q100a-geral'!B194</f>
        <v>População</v>
      </c>
      <c r="C98" s="229" t="str">
        <f>'Q100a-geral'!C194</f>
        <v>x</v>
      </c>
      <c r="D98" s="36" t="str">
        <f>'Q100a-geral'!D194</f>
        <v>área</v>
      </c>
      <c r="E98" s="464" t="str">
        <f>'Q100a-geral'!E194</f>
        <v>Mateus Leme</v>
      </c>
      <c r="F98" s="446" t="str">
        <f>'Q100a-geral'!F194</f>
        <v>área do município (expressa em km2) utilizada para calcular a densidade demográfica
obs.: resultado de 2010 em IBGE (2010)</v>
      </c>
      <c r="G98" s="252" t="str">
        <f>'Q100a-geral'!G194</f>
        <v>registro na fonte</v>
      </c>
      <c r="H98" s="171" t="str">
        <f>'Q100a-geral'!H194</f>
        <v>RMBH</v>
      </c>
      <c r="I98" s="167">
        <f>'Q100a-geral'!I194</f>
        <v>1</v>
      </c>
      <c r="J98" s="93" t="str">
        <f>'Q100a-geral'!J194</f>
        <v>x</v>
      </c>
      <c r="K98" s="93" t="str">
        <f>'Q100a-geral'!K194</f>
        <v>x</v>
      </c>
      <c r="L98" s="93" t="str">
        <f>'Q100a-geral'!L194</f>
        <v>x</v>
      </c>
      <c r="M98" s="93" t="str">
        <f>'Q100a-geral'!M194</f>
        <v>x</v>
      </c>
      <c r="N98" s="93" t="str">
        <f>'Q100a-geral'!N194</f>
        <v>x</v>
      </c>
      <c r="O98" s="93" t="str">
        <f>'Q100a-geral'!O194</f>
        <v>x</v>
      </c>
      <c r="P98" s="93" t="str">
        <f>'Q100a-geral'!P194</f>
        <v>x</v>
      </c>
      <c r="Q98" s="93" t="str">
        <f>'Q100a-geral'!Q194</f>
        <v>x</v>
      </c>
      <c r="R98" s="93" t="str">
        <f>'Q100a-geral'!R194</f>
        <v>x</v>
      </c>
      <c r="S98" s="107" t="str">
        <f>'Q100a-geral'!S194</f>
        <v>só para pesquisa</v>
      </c>
      <c r="T98" s="93" t="str">
        <f>'Q100a-geral'!T194</f>
        <v>x</v>
      </c>
      <c r="U98" s="93" t="str">
        <f>'Q100a-geral'!U194</f>
        <v>x</v>
      </c>
      <c r="V98" s="107" t="str">
        <f>'Q100a-geral'!V194</f>
        <v>só para pesquisa</v>
      </c>
      <c r="W98" s="93" t="str">
        <f>'Q100a-geral'!W194</f>
        <v>x</v>
      </c>
      <c r="X98" s="93" t="str">
        <f>'Q100a-geral'!X194</f>
        <v>x</v>
      </c>
      <c r="Y98" s="93" t="str">
        <f>'Q100a-geral'!Y194</f>
        <v>x</v>
      </c>
      <c r="Z98" s="93" t="str">
        <f>'Q100a-geral'!Z194</f>
        <v>x</v>
      </c>
      <c r="AA98" s="93" t="str">
        <f>'Q100a-geral'!AA194</f>
        <v>x</v>
      </c>
      <c r="AB98" s="93" t="str">
        <f>'Q100a-geral'!AB194</f>
        <v>x</v>
      </c>
      <c r="AC98" s="93" t="str">
        <f>'Q100a-geral'!AC194</f>
        <v>x</v>
      </c>
      <c r="AD98" s="93" t="str">
        <f>'Q100a-geral'!AD194</f>
        <v>x</v>
      </c>
      <c r="AE98" s="93" t="str">
        <f>'Q100a-geral'!AE194</f>
        <v>x</v>
      </c>
      <c r="AF98" s="99">
        <f>'Q100a-geral'!AF194</f>
        <v>302.77300000000002</v>
      </c>
      <c r="AG98" s="84" t="str">
        <f>'Q100a-geral'!AG194</f>
        <v>x</v>
      </c>
      <c r="AH98" s="84" t="str">
        <f>'Q100a-geral'!AH194</f>
        <v>x</v>
      </c>
      <c r="AI98" s="84" t="str">
        <f>'Q100a-geral'!AI194</f>
        <v>x</v>
      </c>
      <c r="AJ98" s="84" t="str">
        <f>'Q100a-geral'!AJ194</f>
        <v>x</v>
      </c>
      <c r="AK98" s="137" t="str">
        <f>'Q100a-geral'!AK194</f>
        <v>x</v>
      </c>
      <c r="AL98" s="213" t="str">
        <f>'Q100a-geral'!AL194</f>
        <v>x</v>
      </c>
      <c r="AM98" s="137" t="str">
        <f>'Q100a-geral'!AM194</f>
        <v>x</v>
      </c>
      <c r="AN98" s="137" t="str">
        <f>'Q100a-geral'!AN194</f>
        <v>x</v>
      </c>
      <c r="AO98" s="137" t="str">
        <f>'Q100a-geral'!AO194</f>
        <v>x</v>
      </c>
      <c r="AP98" s="137" t="str">
        <f>'Q100a-geral'!AP194</f>
        <v>x</v>
      </c>
      <c r="AQ98" s="137" t="str">
        <f>'Q100a-geral'!AQ194</f>
        <v>x</v>
      </c>
      <c r="AR98" s="137"/>
      <c r="AS98" s="137"/>
      <c r="AT98" s="137"/>
      <c r="AU98" s="137"/>
      <c r="AV98" s="137" t="str">
        <f>'Q100a-geral'!AV194</f>
        <v>x</v>
      </c>
      <c r="AW98" s="137"/>
      <c r="AX98" s="137"/>
      <c r="AY98" s="137"/>
      <c r="AZ98" s="137"/>
      <c r="BA98" s="137" t="str">
        <f>'Q100a-geral'!BA194</f>
        <v>x</v>
      </c>
      <c r="BB98" s="239" t="str">
        <f>'Q100a-geral'!BB194</f>
        <v>Populaçãox</v>
      </c>
      <c r="BC98" s="239" t="str">
        <f>'Q100a-geral'!BC194</f>
        <v>PopulaçãoxRMBH</v>
      </c>
      <c r="BD98" s="239" t="str">
        <f>'Q100a-geral'!BD194</f>
        <v>PopulaçãoRMBH</v>
      </c>
    </row>
    <row r="99" spans="1:56" s="3" customFormat="1" ht="28.5" customHeight="1" x14ac:dyDescent="0.25">
      <c r="A99" s="275" t="str">
        <f>'Q100a-geral'!A195</f>
        <v>2.4</v>
      </c>
      <c r="B99" s="54" t="str">
        <f>'Q100a-geral'!B195</f>
        <v>População</v>
      </c>
      <c r="C99" s="229" t="str">
        <f>'Q100a-geral'!C195</f>
        <v>x</v>
      </c>
      <c r="D99" s="36" t="str">
        <f>'Q100a-geral'!D195</f>
        <v>área</v>
      </c>
      <c r="E99" s="464" t="str">
        <f>'Q100a-geral'!E195</f>
        <v>Matozinhos</v>
      </c>
      <c r="F99" s="446" t="str">
        <f>'Q100a-geral'!F195</f>
        <v>área do município (expressa em km2) utilizada para calcular a densidade demográfica
obs.: resultado de 2010 em IBGE (2010)</v>
      </c>
      <c r="G99" s="252" t="str">
        <f>'Q100a-geral'!G195</f>
        <v>registro na fonte</v>
      </c>
      <c r="H99" s="171" t="str">
        <f>'Q100a-geral'!H195</f>
        <v>RMBH</v>
      </c>
      <c r="I99" s="167">
        <f>'Q100a-geral'!I195</f>
        <v>1</v>
      </c>
      <c r="J99" s="93" t="str">
        <f>'Q100a-geral'!J195</f>
        <v>x</v>
      </c>
      <c r="K99" s="93" t="str">
        <f>'Q100a-geral'!K195</f>
        <v>x</v>
      </c>
      <c r="L99" s="93" t="str">
        <f>'Q100a-geral'!L195</f>
        <v>x</v>
      </c>
      <c r="M99" s="93" t="str">
        <f>'Q100a-geral'!M195</f>
        <v>x</v>
      </c>
      <c r="N99" s="93" t="str">
        <f>'Q100a-geral'!N195</f>
        <v>x</v>
      </c>
      <c r="O99" s="93" t="str">
        <f>'Q100a-geral'!O195</f>
        <v>x</v>
      </c>
      <c r="P99" s="93" t="str">
        <f>'Q100a-geral'!P195</f>
        <v>x</v>
      </c>
      <c r="Q99" s="93" t="str">
        <f>'Q100a-geral'!Q195</f>
        <v>x</v>
      </c>
      <c r="R99" s="93" t="str">
        <f>'Q100a-geral'!R195</f>
        <v>x</v>
      </c>
      <c r="S99" s="107" t="str">
        <f>'Q100a-geral'!S195</f>
        <v>só para pesquisa</v>
      </c>
      <c r="T99" s="93" t="str">
        <f>'Q100a-geral'!T195</f>
        <v>x</v>
      </c>
      <c r="U99" s="93" t="str">
        <f>'Q100a-geral'!U195</f>
        <v>x</v>
      </c>
      <c r="V99" s="107" t="str">
        <f>'Q100a-geral'!V195</f>
        <v>só para pesquisa</v>
      </c>
      <c r="W99" s="93" t="str">
        <f>'Q100a-geral'!W195</f>
        <v>x</v>
      </c>
      <c r="X99" s="93" t="str">
        <f>'Q100a-geral'!X195</f>
        <v>x</v>
      </c>
      <c r="Y99" s="93" t="str">
        <f>'Q100a-geral'!Y195</f>
        <v>x</v>
      </c>
      <c r="Z99" s="93" t="str">
        <f>'Q100a-geral'!Z195</f>
        <v>x</v>
      </c>
      <c r="AA99" s="93" t="str">
        <f>'Q100a-geral'!AA195</f>
        <v>x</v>
      </c>
      <c r="AB99" s="93" t="str">
        <f>'Q100a-geral'!AB195</f>
        <v>x</v>
      </c>
      <c r="AC99" s="93" t="str">
        <f>'Q100a-geral'!AC195</f>
        <v>x</v>
      </c>
      <c r="AD99" s="93" t="str">
        <f>'Q100a-geral'!AD195</f>
        <v>x</v>
      </c>
      <c r="AE99" s="93" t="str">
        <f>'Q100a-geral'!AE195</f>
        <v>x</v>
      </c>
      <c r="AF99" s="99">
        <f>'Q100a-geral'!AF195</f>
        <v>252.28</v>
      </c>
      <c r="AG99" s="84" t="str">
        <f>'Q100a-geral'!AG195</f>
        <v>x</v>
      </c>
      <c r="AH99" s="84" t="str">
        <f>'Q100a-geral'!AH195</f>
        <v>x</v>
      </c>
      <c r="AI99" s="84" t="str">
        <f>'Q100a-geral'!AI195</f>
        <v>x</v>
      </c>
      <c r="AJ99" s="84" t="str">
        <f>'Q100a-geral'!AJ195</f>
        <v>x</v>
      </c>
      <c r="AK99" s="137" t="str">
        <f>'Q100a-geral'!AK195</f>
        <v>x</v>
      </c>
      <c r="AL99" s="213" t="str">
        <f>'Q100a-geral'!AL195</f>
        <v>x</v>
      </c>
      <c r="AM99" s="137" t="str">
        <f>'Q100a-geral'!AM195</f>
        <v>x</v>
      </c>
      <c r="AN99" s="137" t="str">
        <f>'Q100a-geral'!AN195</f>
        <v>x</v>
      </c>
      <c r="AO99" s="137" t="str">
        <f>'Q100a-geral'!AO195</f>
        <v>x</v>
      </c>
      <c r="AP99" s="137" t="str">
        <f>'Q100a-geral'!AP195</f>
        <v>x</v>
      </c>
      <c r="AQ99" s="137" t="str">
        <f>'Q100a-geral'!AQ195</f>
        <v>x</v>
      </c>
      <c r="AR99" s="137"/>
      <c r="AS99" s="137"/>
      <c r="AT99" s="137"/>
      <c r="AU99" s="137"/>
      <c r="AV99" s="137" t="str">
        <f>'Q100a-geral'!AV195</f>
        <v>x</v>
      </c>
      <c r="AW99" s="137"/>
      <c r="AX99" s="137"/>
      <c r="AY99" s="137"/>
      <c r="AZ99" s="137"/>
      <c r="BA99" s="137" t="str">
        <f>'Q100a-geral'!BA195</f>
        <v>x</v>
      </c>
      <c r="BB99" s="239" t="str">
        <f>'Q100a-geral'!BB195</f>
        <v>Populaçãox</v>
      </c>
      <c r="BC99" s="239" t="str">
        <f>'Q100a-geral'!BC195</f>
        <v>PopulaçãoxRMBH</v>
      </c>
      <c r="BD99" s="239" t="str">
        <f>'Q100a-geral'!BD195</f>
        <v>PopulaçãoRMBH</v>
      </c>
    </row>
    <row r="100" spans="1:56" s="3" customFormat="1" ht="28.5" customHeight="1" x14ac:dyDescent="0.25">
      <c r="A100" s="275" t="str">
        <f>'Q100a-geral'!A196</f>
        <v>2.4</v>
      </c>
      <c r="B100" s="54" t="str">
        <f>'Q100a-geral'!B196</f>
        <v>População</v>
      </c>
      <c r="C100" s="229" t="str">
        <f>'Q100a-geral'!C196</f>
        <v>x</v>
      </c>
      <c r="D100" s="36" t="str">
        <f>'Q100a-geral'!D196</f>
        <v>área</v>
      </c>
      <c r="E100" s="464" t="str">
        <f>'Q100a-geral'!E196</f>
        <v>Nova Lima</v>
      </c>
      <c r="F100" s="446" t="str">
        <f>'Q100a-geral'!F196</f>
        <v>área do município (expressa em km2) utilizada para calcular a densidade demográfica
obs.: resultado de 2010 em IBGE (2010)</v>
      </c>
      <c r="G100" s="252" t="str">
        <f>'Q100a-geral'!G196</f>
        <v>registro na fonte</v>
      </c>
      <c r="H100" s="171" t="str">
        <f>'Q100a-geral'!H196</f>
        <v>RMBH</v>
      </c>
      <c r="I100" s="167">
        <f>'Q100a-geral'!I196</f>
        <v>1</v>
      </c>
      <c r="J100" s="93" t="str">
        <f>'Q100a-geral'!J196</f>
        <v>x</v>
      </c>
      <c r="K100" s="93" t="str">
        <f>'Q100a-geral'!K196</f>
        <v>x</v>
      </c>
      <c r="L100" s="93" t="str">
        <f>'Q100a-geral'!L196</f>
        <v>x</v>
      </c>
      <c r="M100" s="93" t="str">
        <f>'Q100a-geral'!M196</f>
        <v>x</v>
      </c>
      <c r="N100" s="93" t="str">
        <f>'Q100a-geral'!N196</f>
        <v>x</v>
      </c>
      <c r="O100" s="93" t="str">
        <f>'Q100a-geral'!O196</f>
        <v>x</v>
      </c>
      <c r="P100" s="93" t="str">
        <f>'Q100a-geral'!P196</f>
        <v>x</v>
      </c>
      <c r="Q100" s="93" t="str">
        <f>'Q100a-geral'!Q196</f>
        <v>x</v>
      </c>
      <c r="R100" s="93" t="str">
        <f>'Q100a-geral'!R196</f>
        <v>x</v>
      </c>
      <c r="S100" s="107" t="str">
        <f>'Q100a-geral'!S196</f>
        <v>só para pesquisa</v>
      </c>
      <c r="T100" s="93" t="str">
        <f>'Q100a-geral'!T196</f>
        <v>x</v>
      </c>
      <c r="U100" s="93" t="str">
        <f>'Q100a-geral'!U196</f>
        <v>x</v>
      </c>
      <c r="V100" s="107" t="str">
        <f>'Q100a-geral'!V196</f>
        <v>só para pesquisa</v>
      </c>
      <c r="W100" s="93" t="str">
        <f>'Q100a-geral'!W196</f>
        <v>x</v>
      </c>
      <c r="X100" s="93" t="str">
        <f>'Q100a-geral'!X196</f>
        <v>x</v>
      </c>
      <c r="Y100" s="93" t="str">
        <f>'Q100a-geral'!Y196</f>
        <v>x</v>
      </c>
      <c r="Z100" s="93" t="str">
        <f>'Q100a-geral'!Z196</f>
        <v>x</v>
      </c>
      <c r="AA100" s="93" t="str">
        <f>'Q100a-geral'!AA196</f>
        <v>x</v>
      </c>
      <c r="AB100" s="93" t="str">
        <f>'Q100a-geral'!AB196</f>
        <v>x</v>
      </c>
      <c r="AC100" s="93" t="str">
        <f>'Q100a-geral'!AC196</f>
        <v>x</v>
      </c>
      <c r="AD100" s="93" t="str">
        <f>'Q100a-geral'!AD196</f>
        <v>x</v>
      </c>
      <c r="AE100" s="93" t="str">
        <f>'Q100a-geral'!AE196</f>
        <v>x</v>
      </c>
      <c r="AF100" s="99">
        <f>'Q100a-geral'!AF196</f>
        <v>429.06299999999999</v>
      </c>
      <c r="AG100" s="84" t="str">
        <f>'Q100a-geral'!AG196</f>
        <v>x</v>
      </c>
      <c r="AH100" s="84" t="str">
        <f>'Q100a-geral'!AH196</f>
        <v>x</v>
      </c>
      <c r="AI100" s="84" t="str">
        <f>'Q100a-geral'!AI196</f>
        <v>x</v>
      </c>
      <c r="AJ100" s="84" t="str">
        <f>'Q100a-geral'!AJ196</f>
        <v>x</v>
      </c>
      <c r="AK100" s="137" t="str">
        <f>'Q100a-geral'!AK196</f>
        <v>x</v>
      </c>
      <c r="AL100" s="213" t="str">
        <f>'Q100a-geral'!AL196</f>
        <v>x</v>
      </c>
      <c r="AM100" s="137" t="str">
        <f>'Q100a-geral'!AM196</f>
        <v>x</v>
      </c>
      <c r="AN100" s="137" t="str">
        <f>'Q100a-geral'!AN196</f>
        <v>x</v>
      </c>
      <c r="AO100" s="137" t="str">
        <f>'Q100a-geral'!AO196</f>
        <v>x</v>
      </c>
      <c r="AP100" s="137" t="str">
        <f>'Q100a-geral'!AP196</f>
        <v>x</v>
      </c>
      <c r="AQ100" s="137" t="str">
        <f>'Q100a-geral'!AQ196</f>
        <v>x</v>
      </c>
      <c r="AR100" s="137"/>
      <c r="AS100" s="137"/>
      <c r="AT100" s="137"/>
      <c r="AU100" s="137"/>
      <c r="AV100" s="137" t="str">
        <f>'Q100a-geral'!AV196</f>
        <v>x</v>
      </c>
      <c r="AW100" s="137"/>
      <c r="AX100" s="137"/>
      <c r="AY100" s="137"/>
      <c r="AZ100" s="137"/>
      <c r="BA100" s="137" t="str">
        <f>'Q100a-geral'!BA196</f>
        <v>x</v>
      </c>
      <c r="BB100" s="239" t="str">
        <f>'Q100a-geral'!BB196</f>
        <v>Populaçãox</v>
      </c>
      <c r="BC100" s="239" t="str">
        <f>'Q100a-geral'!BC196</f>
        <v>PopulaçãoxRMBH</v>
      </c>
      <c r="BD100" s="239" t="str">
        <f>'Q100a-geral'!BD196</f>
        <v>PopulaçãoRMBH</v>
      </c>
    </row>
    <row r="101" spans="1:56" s="3" customFormat="1" ht="28.5" customHeight="1" x14ac:dyDescent="0.25">
      <c r="A101" s="275" t="str">
        <f>'Q100a-geral'!A197</f>
        <v>2.4</v>
      </c>
      <c r="B101" s="54" t="str">
        <f>'Q100a-geral'!B197</f>
        <v>População</v>
      </c>
      <c r="C101" s="229" t="str">
        <f>'Q100a-geral'!C197</f>
        <v>x</v>
      </c>
      <c r="D101" s="36" t="str">
        <f>'Q100a-geral'!D197</f>
        <v>área</v>
      </c>
      <c r="E101" s="464" t="str">
        <f>'Q100a-geral'!E197</f>
        <v>Nova União</v>
      </c>
      <c r="F101" s="446" t="str">
        <f>'Q100a-geral'!F197</f>
        <v>área do município (expressa em km2) utilizada para calcular a densidade demográfica
obs.: resultado de 2010 em IBGE (2010)</v>
      </c>
      <c r="G101" s="252" t="str">
        <f>'Q100a-geral'!G197</f>
        <v>registro na fonte</v>
      </c>
      <c r="H101" s="171" t="str">
        <f>'Q100a-geral'!H197</f>
        <v>RMBH</v>
      </c>
      <c r="I101" s="167">
        <f>'Q100a-geral'!I197</f>
        <v>1</v>
      </c>
      <c r="J101" s="93" t="str">
        <f>'Q100a-geral'!J197</f>
        <v>x</v>
      </c>
      <c r="K101" s="93" t="str">
        <f>'Q100a-geral'!K197</f>
        <v>x</v>
      </c>
      <c r="L101" s="93" t="str">
        <f>'Q100a-geral'!L197</f>
        <v>x</v>
      </c>
      <c r="M101" s="93" t="str">
        <f>'Q100a-geral'!M197</f>
        <v>x</v>
      </c>
      <c r="N101" s="93" t="str">
        <f>'Q100a-geral'!N197</f>
        <v>x</v>
      </c>
      <c r="O101" s="93" t="str">
        <f>'Q100a-geral'!O197</f>
        <v>x</v>
      </c>
      <c r="P101" s="93" t="str">
        <f>'Q100a-geral'!P197</f>
        <v>x</v>
      </c>
      <c r="Q101" s="93" t="str">
        <f>'Q100a-geral'!Q197</f>
        <v>x</v>
      </c>
      <c r="R101" s="93" t="str">
        <f>'Q100a-geral'!R197</f>
        <v>x</v>
      </c>
      <c r="S101" s="107" t="str">
        <f>'Q100a-geral'!S197</f>
        <v>só para pesquisa</v>
      </c>
      <c r="T101" s="93" t="str">
        <f>'Q100a-geral'!T197</f>
        <v>x</v>
      </c>
      <c r="U101" s="93" t="str">
        <f>'Q100a-geral'!U197</f>
        <v>x</v>
      </c>
      <c r="V101" s="107" t="str">
        <f>'Q100a-geral'!V197</f>
        <v>só para pesquisa</v>
      </c>
      <c r="W101" s="93" t="str">
        <f>'Q100a-geral'!W197</f>
        <v>x</v>
      </c>
      <c r="X101" s="93" t="str">
        <f>'Q100a-geral'!X197</f>
        <v>x</v>
      </c>
      <c r="Y101" s="93" t="str">
        <f>'Q100a-geral'!Y197</f>
        <v>x</v>
      </c>
      <c r="Z101" s="93" t="str">
        <f>'Q100a-geral'!Z197</f>
        <v>x</v>
      </c>
      <c r="AA101" s="93" t="str">
        <f>'Q100a-geral'!AA197</f>
        <v>x</v>
      </c>
      <c r="AB101" s="93" t="str">
        <f>'Q100a-geral'!AB197</f>
        <v>x</v>
      </c>
      <c r="AC101" s="93" t="str">
        <f>'Q100a-geral'!AC197</f>
        <v>x</v>
      </c>
      <c r="AD101" s="93" t="str">
        <f>'Q100a-geral'!AD197</f>
        <v>x</v>
      </c>
      <c r="AE101" s="93" t="str">
        <f>'Q100a-geral'!AE197</f>
        <v>x</v>
      </c>
      <c r="AF101" s="99">
        <f>'Q100a-geral'!AF197</f>
        <v>172.131</v>
      </c>
      <c r="AG101" s="84" t="str">
        <f>'Q100a-geral'!AG197</f>
        <v>x</v>
      </c>
      <c r="AH101" s="84" t="str">
        <f>'Q100a-geral'!AH197</f>
        <v>x</v>
      </c>
      <c r="AI101" s="84" t="str">
        <f>'Q100a-geral'!AI197</f>
        <v>x</v>
      </c>
      <c r="AJ101" s="84" t="str">
        <f>'Q100a-geral'!AJ197</f>
        <v>x</v>
      </c>
      <c r="AK101" s="137" t="str">
        <f>'Q100a-geral'!AK197</f>
        <v>x</v>
      </c>
      <c r="AL101" s="213" t="str">
        <f>'Q100a-geral'!AL197</f>
        <v>x</v>
      </c>
      <c r="AM101" s="137" t="str">
        <f>'Q100a-geral'!AM197</f>
        <v>x</v>
      </c>
      <c r="AN101" s="137" t="str">
        <f>'Q100a-geral'!AN197</f>
        <v>x</v>
      </c>
      <c r="AO101" s="137" t="str">
        <f>'Q100a-geral'!AO197</f>
        <v>x</v>
      </c>
      <c r="AP101" s="137" t="str">
        <f>'Q100a-geral'!AP197</f>
        <v>x</v>
      </c>
      <c r="AQ101" s="137" t="str">
        <f>'Q100a-geral'!AQ197</f>
        <v>x</v>
      </c>
      <c r="AR101" s="137"/>
      <c r="AS101" s="137"/>
      <c r="AT101" s="137"/>
      <c r="AU101" s="137"/>
      <c r="AV101" s="137" t="str">
        <f>'Q100a-geral'!AV197</f>
        <v>x</v>
      </c>
      <c r="AW101" s="137"/>
      <c r="AX101" s="137"/>
      <c r="AY101" s="137"/>
      <c r="AZ101" s="137"/>
      <c r="BA101" s="137" t="str">
        <f>'Q100a-geral'!BA197</f>
        <v>x</v>
      </c>
      <c r="BB101" s="239" t="str">
        <f>'Q100a-geral'!BB197</f>
        <v>Populaçãox</v>
      </c>
      <c r="BC101" s="239" t="str">
        <f>'Q100a-geral'!BC197</f>
        <v>PopulaçãoxRMBH</v>
      </c>
      <c r="BD101" s="239" t="str">
        <f>'Q100a-geral'!BD197</f>
        <v>PopulaçãoRMBH</v>
      </c>
    </row>
    <row r="102" spans="1:56" s="3" customFormat="1" ht="28.5" customHeight="1" x14ac:dyDescent="0.25">
      <c r="A102" s="275" t="str">
        <f>'Q100a-geral'!A198</f>
        <v>2.4</v>
      </c>
      <c r="B102" s="54" t="str">
        <f>'Q100a-geral'!B198</f>
        <v>População</v>
      </c>
      <c r="C102" s="229" t="str">
        <f>'Q100a-geral'!C198</f>
        <v>x</v>
      </c>
      <c r="D102" s="36" t="str">
        <f>'Q100a-geral'!D198</f>
        <v>área</v>
      </c>
      <c r="E102" s="464" t="str">
        <f>'Q100a-geral'!E198</f>
        <v>Pedro Leopoldo</v>
      </c>
      <c r="F102" s="446" t="str">
        <f>'Q100a-geral'!F198</f>
        <v>área do município (expressa em km2) utilizada para calcular a densidade demográfica
obs.: resultado de 2010 em IBGE (2010)</v>
      </c>
      <c r="G102" s="252" t="str">
        <f>'Q100a-geral'!G198</f>
        <v>registro na fonte</v>
      </c>
      <c r="H102" s="171" t="str">
        <f>'Q100a-geral'!H198</f>
        <v>RMBH</v>
      </c>
      <c r="I102" s="167">
        <f>'Q100a-geral'!I198</f>
        <v>1</v>
      </c>
      <c r="J102" s="93" t="str">
        <f>'Q100a-geral'!J198</f>
        <v>x</v>
      </c>
      <c r="K102" s="93" t="str">
        <f>'Q100a-geral'!K198</f>
        <v>x</v>
      </c>
      <c r="L102" s="93" t="str">
        <f>'Q100a-geral'!L198</f>
        <v>x</v>
      </c>
      <c r="M102" s="93" t="str">
        <f>'Q100a-geral'!M198</f>
        <v>x</v>
      </c>
      <c r="N102" s="93" t="str">
        <f>'Q100a-geral'!N198</f>
        <v>x</v>
      </c>
      <c r="O102" s="93" t="str">
        <f>'Q100a-geral'!O198</f>
        <v>x</v>
      </c>
      <c r="P102" s="93" t="str">
        <f>'Q100a-geral'!P198</f>
        <v>x</v>
      </c>
      <c r="Q102" s="93" t="str">
        <f>'Q100a-geral'!Q198</f>
        <v>x</v>
      </c>
      <c r="R102" s="93" t="str">
        <f>'Q100a-geral'!R198</f>
        <v>x</v>
      </c>
      <c r="S102" s="107" t="str">
        <f>'Q100a-geral'!S198</f>
        <v>só para pesquisa</v>
      </c>
      <c r="T102" s="93" t="str">
        <f>'Q100a-geral'!T198</f>
        <v>x</v>
      </c>
      <c r="U102" s="93" t="str">
        <f>'Q100a-geral'!U198</f>
        <v>x</v>
      </c>
      <c r="V102" s="107" t="str">
        <f>'Q100a-geral'!V198</f>
        <v>só para pesquisa</v>
      </c>
      <c r="W102" s="93" t="str">
        <f>'Q100a-geral'!W198</f>
        <v>x</v>
      </c>
      <c r="X102" s="93" t="str">
        <f>'Q100a-geral'!X198</f>
        <v>x</v>
      </c>
      <c r="Y102" s="93" t="str">
        <f>'Q100a-geral'!Y198</f>
        <v>x</v>
      </c>
      <c r="Z102" s="93" t="str">
        <f>'Q100a-geral'!Z198</f>
        <v>x</v>
      </c>
      <c r="AA102" s="93" t="str">
        <f>'Q100a-geral'!AA198</f>
        <v>x</v>
      </c>
      <c r="AB102" s="93" t="str">
        <f>'Q100a-geral'!AB198</f>
        <v>x</v>
      </c>
      <c r="AC102" s="93" t="str">
        <f>'Q100a-geral'!AC198</f>
        <v>x</v>
      </c>
      <c r="AD102" s="93" t="str">
        <f>'Q100a-geral'!AD198</f>
        <v>x</v>
      </c>
      <c r="AE102" s="93" t="str">
        <f>'Q100a-geral'!AE198</f>
        <v>x</v>
      </c>
      <c r="AF102" s="99">
        <f>'Q100a-geral'!AF198</f>
        <v>292.98899999999998</v>
      </c>
      <c r="AG102" s="84" t="str">
        <f>'Q100a-geral'!AG198</f>
        <v>x</v>
      </c>
      <c r="AH102" s="84" t="str">
        <f>'Q100a-geral'!AH198</f>
        <v>x</v>
      </c>
      <c r="AI102" s="84" t="str">
        <f>'Q100a-geral'!AI198</f>
        <v>x</v>
      </c>
      <c r="AJ102" s="84" t="str">
        <f>'Q100a-geral'!AJ198</f>
        <v>x</v>
      </c>
      <c r="AK102" s="137" t="str">
        <f>'Q100a-geral'!AK198</f>
        <v>x</v>
      </c>
      <c r="AL102" s="213" t="str">
        <f>'Q100a-geral'!AL198</f>
        <v>x</v>
      </c>
      <c r="AM102" s="137" t="str">
        <f>'Q100a-geral'!AM198</f>
        <v>x</v>
      </c>
      <c r="AN102" s="137" t="str">
        <f>'Q100a-geral'!AN198</f>
        <v>x</v>
      </c>
      <c r="AO102" s="137" t="str">
        <f>'Q100a-geral'!AO198</f>
        <v>x</v>
      </c>
      <c r="AP102" s="137" t="str">
        <f>'Q100a-geral'!AP198</f>
        <v>x</v>
      </c>
      <c r="AQ102" s="137" t="str">
        <f>'Q100a-geral'!AQ198</f>
        <v>x</v>
      </c>
      <c r="AR102" s="137"/>
      <c r="AS102" s="137"/>
      <c r="AT102" s="137"/>
      <c r="AU102" s="137"/>
      <c r="AV102" s="137" t="str">
        <f>'Q100a-geral'!AV198</f>
        <v>x</v>
      </c>
      <c r="AW102" s="137"/>
      <c r="AX102" s="137"/>
      <c r="AY102" s="137"/>
      <c r="AZ102" s="137"/>
      <c r="BA102" s="137" t="str">
        <f>'Q100a-geral'!BA198</f>
        <v>x</v>
      </c>
      <c r="BB102" s="239" t="str">
        <f>'Q100a-geral'!BB198</f>
        <v>Populaçãox</v>
      </c>
      <c r="BC102" s="239" t="str">
        <f>'Q100a-geral'!BC198</f>
        <v>PopulaçãoxRMBH</v>
      </c>
      <c r="BD102" s="239" t="str">
        <f>'Q100a-geral'!BD198</f>
        <v>PopulaçãoRMBH</v>
      </c>
    </row>
    <row r="103" spans="1:56" s="3" customFormat="1" ht="28.5" customHeight="1" x14ac:dyDescent="0.25">
      <c r="A103" s="275" t="str">
        <f>'Q100a-geral'!A199</f>
        <v>2.4</v>
      </c>
      <c r="B103" s="54" t="str">
        <f>'Q100a-geral'!B199</f>
        <v>População</v>
      </c>
      <c r="C103" s="229" t="str">
        <f>'Q100a-geral'!C199</f>
        <v>x</v>
      </c>
      <c r="D103" s="36" t="str">
        <f>'Q100a-geral'!D199</f>
        <v>área</v>
      </c>
      <c r="E103" s="464" t="str">
        <f>'Q100a-geral'!E199</f>
        <v>Raposos</v>
      </c>
      <c r="F103" s="446" t="str">
        <f>'Q100a-geral'!F199</f>
        <v>área do município (expressa em km2) utilizada para calcular a densidade demográfica
obs.: resultado de 2010 em IBGE (2010)</v>
      </c>
      <c r="G103" s="252" t="str">
        <f>'Q100a-geral'!G199</f>
        <v>registro na fonte</v>
      </c>
      <c r="H103" s="171" t="str">
        <f>'Q100a-geral'!H199</f>
        <v>RMBH</v>
      </c>
      <c r="I103" s="167">
        <f>'Q100a-geral'!I199</f>
        <v>1</v>
      </c>
      <c r="J103" s="93" t="str">
        <f>'Q100a-geral'!J199</f>
        <v>x</v>
      </c>
      <c r="K103" s="93" t="str">
        <f>'Q100a-geral'!K199</f>
        <v>x</v>
      </c>
      <c r="L103" s="93" t="str">
        <f>'Q100a-geral'!L199</f>
        <v>x</v>
      </c>
      <c r="M103" s="93" t="str">
        <f>'Q100a-geral'!M199</f>
        <v>x</v>
      </c>
      <c r="N103" s="93" t="str">
        <f>'Q100a-geral'!N199</f>
        <v>x</v>
      </c>
      <c r="O103" s="93" t="str">
        <f>'Q100a-geral'!O199</f>
        <v>x</v>
      </c>
      <c r="P103" s="93" t="str">
        <f>'Q100a-geral'!P199</f>
        <v>x</v>
      </c>
      <c r="Q103" s="93" t="str">
        <f>'Q100a-geral'!Q199</f>
        <v>x</v>
      </c>
      <c r="R103" s="93" t="str">
        <f>'Q100a-geral'!R199</f>
        <v>x</v>
      </c>
      <c r="S103" s="107" t="str">
        <f>'Q100a-geral'!S199</f>
        <v>só para pesquisa</v>
      </c>
      <c r="T103" s="93" t="str">
        <f>'Q100a-geral'!T199</f>
        <v>x</v>
      </c>
      <c r="U103" s="93" t="str">
        <f>'Q100a-geral'!U199</f>
        <v>x</v>
      </c>
      <c r="V103" s="107" t="str">
        <f>'Q100a-geral'!V199</f>
        <v>só para pesquisa</v>
      </c>
      <c r="W103" s="93" t="str">
        <f>'Q100a-geral'!W199</f>
        <v>x</v>
      </c>
      <c r="X103" s="93" t="str">
        <f>'Q100a-geral'!X199</f>
        <v>x</v>
      </c>
      <c r="Y103" s="93" t="str">
        <f>'Q100a-geral'!Y199</f>
        <v>x</v>
      </c>
      <c r="Z103" s="93" t="str">
        <f>'Q100a-geral'!Z199</f>
        <v>x</v>
      </c>
      <c r="AA103" s="93" t="str">
        <f>'Q100a-geral'!AA199</f>
        <v>x</v>
      </c>
      <c r="AB103" s="93" t="str">
        <f>'Q100a-geral'!AB199</f>
        <v>x</v>
      </c>
      <c r="AC103" s="93" t="str">
        <f>'Q100a-geral'!AC199</f>
        <v>x</v>
      </c>
      <c r="AD103" s="93" t="str">
        <f>'Q100a-geral'!AD199</f>
        <v>x</v>
      </c>
      <c r="AE103" s="93" t="str">
        <f>'Q100a-geral'!AE199</f>
        <v>x</v>
      </c>
      <c r="AF103" s="99">
        <f>'Q100a-geral'!AF199</f>
        <v>72.168999999999997</v>
      </c>
      <c r="AG103" s="84" t="str">
        <f>'Q100a-geral'!AG199</f>
        <v>x</v>
      </c>
      <c r="AH103" s="84" t="str">
        <f>'Q100a-geral'!AH199</f>
        <v>x</v>
      </c>
      <c r="AI103" s="84" t="str">
        <f>'Q100a-geral'!AI199</f>
        <v>x</v>
      </c>
      <c r="AJ103" s="84" t="str">
        <f>'Q100a-geral'!AJ199</f>
        <v>x</v>
      </c>
      <c r="AK103" s="137" t="str">
        <f>'Q100a-geral'!AK199</f>
        <v>x</v>
      </c>
      <c r="AL103" s="213" t="str">
        <f>'Q100a-geral'!AL199</f>
        <v>x</v>
      </c>
      <c r="AM103" s="137" t="str">
        <f>'Q100a-geral'!AM199</f>
        <v>x</v>
      </c>
      <c r="AN103" s="137" t="str">
        <f>'Q100a-geral'!AN199</f>
        <v>x</v>
      </c>
      <c r="AO103" s="137" t="str">
        <f>'Q100a-geral'!AO199</f>
        <v>x</v>
      </c>
      <c r="AP103" s="137" t="str">
        <f>'Q100a-geral'!AP199</f>
        <v>x</v>
      </c>
      <c r="AQ103" s="137" t="str">
        <f>'Q100a-geral'!AQ199</f>
        <v>x</v>
      </c>
      <c r="AR103" s="137"/>
      <c r="AS103" s="137"/>
      <c r="AT103" s="137"/>
      <c r="AU103" s="137"/>
      <c r="AV103" s="137" t="str">
        <f>'Q100a-geral'!AV199</f>
        <v>x</v>
      </c>
      <c r="AW103" s="137"/>
      <c r="AX103" s="137"/>
      <c r="AY103" s="137"/>
      <c r="AZ103" s="137"/>
      <c r="BA103" s="137" t="str">
        <f>'Q100a-geral'!BA199</f>
        <v>x</v>
      </c>
      <c r="BB103" s="239" t="str">
        <f>'Q100a-geral'!BB199</f>
        <v>Populaçãox</v>
      </c>
      <c r="BC103" s="239" t="str">
        <f>'Q100a-geral'!BC199</f>
        <v>PopulaçãoxRMBH</v>
      </c>
      <c r="BD103" s="239" t="str">
        <f>'Q100a-geral'!BD199</f>
        <v>PopulaçãoRMBH</v>
      </c>
    </row>
    <row r="104" spans="1:56" s="3" customFormat="1" ht="28.5" customHeight="1" x14ac:dyDescent="0.25">
      <c r="A104" s="275" t="str">
        <f>'Q100a-geral'!A200</f>
        <v>2.4</v>
      </c>
      <c r="B104" s="54" t="str">
        <f>'Q100a-geral'!B200</f>
        <v>População</v>
      </c>
      <c r="C104" s="229" t="str">
        <f>'Q100a-geral'!C200</f>
        <v>x</v>
      </c>
      <c r="D104" s="36" t="str">
        <f>'Q100a-geral'!D200</f>
        <v>área</v>
      </c>
      <c r="E104" s="464" t="str">
        <f>'Q100a-geral'!E200</f>
        <v>Ribeirão das Neves</v>
      </c>
      <c r="F104" s="446" t="str">
        <f>'Q100a-geral'!F200</f>
        <v>área do município (expressa em km2) utilizada para calcular a densidade demográfica
obs.: resultado de 2010 em IBGE (2010)</v>
      </c>
      <c r="G104" s="252" t="str">
        <f>'Q100a-geral'!G200</f>
        <v>registro na fonte</v>
      </c>
      <c r="H104" s="171" t="str">
        <f>'Q100a-geral'!H200</f>
        <v>RMBH</v>
      </c>
      <c r="I104" s="167">
        <f>'Q100a-geral'!I200</f>
        <v>1</v>
      </c>
      <c r="J104" s="93" t="str">
        <f>'Q100a-geral'!J200</f>
        <v>x</v>
      </c>
      <c r="K104" s="93" t="str">
        <f>'Q100a-geral'!K200</f>
        <v>x</v>
      </c>
      <c r="L104" s="93" t="str">
        <f>'Q100a-geral'!L200</f>
        <v>x</v>
      </c>
      <c r="M104" s="93" t="str">
        <f>'Q100a-geral'!M200</f>
        <v>x</v>
      </c>
      <c r="N104" s="93" t="str">
        <f>'Q100a-geral'!N200</f>
        <v>x</v>
      </c>
      <c r="O104" s="93" t="str">
        <f>'Q100a-geral'!O200</f>
        <v>x</v>
      </c>
      <c r="P104" s="93" t="str">
        <f>'Q100a-geral'!P200</f>
        <v>x</v>
      </c>
      <c r="Q104" s="93" t="str">
        <f>'Q100a-geral'!Q200</f>
        <v>x</v>
      </c>
      <c r="R104" s="93" t="str">
        <f>'Q100a-geral'!R200</f>
        <v>x</v>
      </c>
      <c r="S104" s="107" t="str">
        <f>'Q100a-geral'!S200</f>
        <v>só para pesquisa</v>
      </c>
      <c r="T104" s="93" t="str">
        <f>'Q100a-geral'!T200</f>
        <v>x</v>
      </c>
      <c r="U104" s="93" t="str">
        <f>'Q100a-geral'!U200</f>
        <v>x</v>
      </c>
      <c r="V104" s="107" t="str">
        <f>'Q100a-geral'!V200</f>
        <v>só para pesquisa</v>
      </c>
      <c r="W104" s="93" t="str">
        <f>'Q100a-geral'!W200</f>
        <v>x</v>
      </c>
      <c r="X104" s="93" t="str">
        <f>'Q100a-geral'!X200</f>
        <v>x</v>
      </c>
      <c r="Y104" s="93" t="str">
        <f>'Q100a-geral'!Y200</f>
        <v>x</v>
      </c>
      <c r="Z104" s="93" t="str">
        <f>'Q100a-geral'!Z200</f>
        <v>x</v>
      </c>
      <c r="AA104" s="93" t="str">
        <f>'Q100a-geral'!AA200</f>
        <v>x</v>
      </c>
      <c r="AB104" s="93" t="str">
        <f>'Q100a-geral'!AB200</f>
        <v>x</v>
      </c>
      <c r="AC104" s="93" t="str">
        <f>'Q100a-geral'!AC200</f>
        <v>x</v>
      </c>
      <c r="AD104" s="93" t="str">
        <f>'Q100a-geral'!AD200</f>
        <v>x</v>
      </c>
      <c r="AE104" s="93" t="str">
        <f>'Q100a-geral'!AE200</f>
        <v>x</v>
      </c>
      <c r="AF104" s="99">
        <f>'Q100a-geral'!AF200</f>
        <v>154.501</v>
      </c>
      <c r="AG104" s="84" t="str">
        <f>'Q100a-geral'!AG200</f>
        <v>x</v>
      </c>
      <c r="AH104" s="84" t="str">
        <f>'Q100a-geral'!AH200</f>
        <v>x</v>
      </c>
      <c r="AI104" s="84" t="str">
        <f>'Q100a-geral'!AI200</f>
        <v>x</v>
      </c>
      <c r="AJ104" s="84" t="str">
        <f>'Q100a-geral'!AJ200</f>
        <v>x</v>
      </c>
      <c r="AK104" s="137" t="str">
        <f>'Q100a-geral'!AK200</f>
        <v>x</v>
      </c>
      <c r="AL104" s="213" t="str">
        <f>'Q100a-geral'!AL200</f>
        <v>x</v>
      </c>
      <c r="AM104" s="137" t="str">
        <f>'Q100a-geral'!AM200</f>
        <v>x</v>
      </c>
      <c r="AN104" s="137" t="str">
        <f>'Q100a-geral'!AN200</f>
        <v>x</v>
      </c>
      <c r="AO104" s="137" t="str">
        <f>'Q100a-geral'!AO200</f>
        <v>x</v>
      </c>
      <c r="AP104" s="137" t="str">
        <f>'Q100a-geral'!AP200</f>
        <v>x</v>
      </c>
      <c r="AQ104" s="137" t="str">
        <f>'Q100a-geral'!AQ200</f>
        <v>x</v>
      </c>
      <c r="AR104" s="137"/>
      <c r="AS104" s="137"/>
      <c r="AT104" s="137"/>
      <c r="AU104" s="137"/>
      <c r="AV104" s="137" t="str">
        <f>'Q100a-geral'!AV200</f>
        <v>x</v>
      </c>
      <c r="AW104" s="137"/>
      <c r="AX104" s="137"/>
      <c r="AY104" s="137"/>
      <c r="AZ104" s="137"/>
      <c r="BA104" s="137" t="str">
        <f>'Q100a-geral'!BA200</f>
        <v>x</v>
      </c>
      <c r="BB104" s="239" t="str">
        <f>'Q100a-geral'!BB200</f>
        <v>Populaçãox</v>
      </c>
      <c r="BC104" s="239" t="str">
        <f>'Q100a-geral'!BC200</f>
        <v>PopulaçãoxRMBH</v>
      </c>
      <c r="BD104" s="239" t="str">
        <f>'Q100a-geral'!BD200</f>
        <v>PopulaçãoRMBH</v>
      </c>
    </row>
    <row r="105" spans="1:56" s="3" customFormat="1" ht="28.5" customHeight="1" x14ac:dyDescent="0.25">
      <c r="A105" s="275" t="str">
        <f>'Q100a-geral'!A201</f>
        <v>2.4</v>
      </c>
      <c r="B105" s="54" t="str">
        <f>'Q100a-geral'!B201</f>
        <v>População</v>
      </c>
      <c r="C105" s="229" t="str">
        <f>'Q100a-geral'!C201</f>
        <v>x</v>
      </c>
      <c r="D105" s="36" t="str">
        <f>'Q100a-geral'!D201</f>
        <v>área</v>
      </c>
      <c r="E105" s="464" t="str">
        <f>'Q100a-geral'!E201</f>
        <v>Rio Acima</v>
      </c>
      <c r="F105" s="446" t="str">
        <f>'Q100a-geral'!F201</f>
        <v>área do município (expressa em km2) utilizada para calcular a densidade demográfica
obs.: resultado de 2010 em IBGE (2010)</v>
      </c>
      <c r="G105" s="252" t="str">
        <f>'Q100a-geral'!G201</f>
        <v>registro na fonte</v>
      </c>
      <c r="H105" s="171" t="str">
        <f>'Q100a-geral'!H201</f>
        <v>RMBH</v>
      </c>
      <c r="I105" s="167">
        <f>'Q100a-geral'!I201</f>
        <v>1</v>
      </c>
      <c r="J105" s="93" t="str">
        <f>'Q100a-geral'!J201</f>
        <v>x</v>
      </c>
      <c r="K105" s="93" t="str">
        <f>'Q100a-geral'!K201</f>
        <v>x</v>
      </c>
      <c r="L105" s="93" t="str">
        <f>'Q100a-geral'!L201</f>
        <v>x</v>
      </c>
      <c r="M105" s="93" t="str">
        <f>'Q100a-geral'!M201</f>
        <v>x</v>
      </c>
      <c r="N105" s="93" t="str">
        <f>'Q100a-geral'!N201</f>
        <v>x</v>
      </c>
      <c r="O105" s="93" t="str">
        <f>'Q100a-geral'!O201</f>
        <v>x</v>
      </c>
      <c r="P105" s="93" t="str">
        <f>'Q100a-geral'!P201</f>
        <v>x</v>
      </c>
      <c r="Q105" s="93" t="str">
        <f>'Q100a-geral'!Q201</f>
        <v>x</v>
      </c>
      <c r="R105" s="93" t="str">
        <f>'Q100a-geral'!R201</f>
        <v>x</v>
      </c>
      <c r="S105" s="107" t="str">
        <f>'Q100a-geral'!S201</f>
        <v>só para pesquisa</v>
      </c>
      <c r="T105" s="93" t="str">
        <f>'Q100a-geral'!T201</f>
        <v>x</v>
      </c>
      <c r="U105" s="93" t="str">
        <f>'Q100a-geral'!U201</f>
        <v>x</v>
      </c>
      <c r="V105" s="107" t="str">
        <f>'Q100a-geral'!V201</f>
        <v>só para pesquisa</v>
      </c>
      <c r="W105" s="93" t="str">
        <f>'Q100a-geral'!W201</f>
        <v>x</v>
      </c>
      <c r="X105" s="93" t="str">
        <f>'Q100a-geral'!X201</f>
        <v>x</v>
      </c>
      <c r="Y105" s="93" t="str">
        <f>'Q100a-geral'!Y201</f>
        <v>x</v>
      </c>
      <c r="Z105" s="93" t="str">
        <f>'Q100a-geral'!Z201</f>
        <v>x</v>
      </c>
      <c r="AA105" s="93" t="str">
        <f>'Q100a-geral'!AA201</f>
        <v>x</v>
      </c>
      <c r="AB105" s="93" t="str">
        <f>'Q100a-geral'!AB201</f>
        <v>x</v>
      </c>
      <c r="AC105" s="93" t="str">
        <f>'Q100a-geral'!AC201</f>
        <v>x</v>
      </c>
      <c r="AD105" s="93" t="str">
        <f>'Q100a-geral'!AD201</f>
        <v>x</v>
      </c>
      <c r="AE105" s="93" t="str">
        <f>'Q100a-geral'!AE201</f>
        <v>x</v>
      </c>
      <c r="AF105" s="99">
        <f>'Q100a-geral'!AF201</f>
        <v>229.81200000000001</v>
      </c>
      <c r="AG105" s="84" t="str">
        <f>'Q100a-geral'!AG201</f>
        <v>x</v>
      </c>
      <c r="AH105" s="84" t="str">
        <f>'Q100a-geral'!AH201</f>
        <v>x</v>
      </c>
      <c r="AI105" s="84" t="str">
        <f>'Q100a-geral'!AI201</f>
        <v>x</v>
      </c>
      <c r="AJ105" s="84" t="str">
        <f>'Q100a-geral'!AJ201</f>
        <v>x</v>
      </c>
      <c r="AK105" s="137" t="str">
        <f>'Q100a-geral'!AK201</f>
        <v>x</v>
      </c>
      <c r="AL105" s="213" t="str">
        <f>'Q100a-geral'!AL201</f>
        <v>x</v>
      </c>
      <c r="AM105" s="137" t="str">
        <f>'Q100a-geral'!AM201</f>
        <v>x</v>
      </c>
      <c r="AN105" s="137" t="str">
        <f>'Q100a-geral'!AN201</f>
        <v>x</v>
      </c>
      <c r="AO105" s="137" t="str">
        <f>'Q100a-geral'!AO201</f>
        <v>x</v>
      </c>
      <c r="AP105" s="137" t="str">
        <f>'Q100a-geral'!AP201</f>
        <v>x</v>
      </c>
      <c r="AQ105" s="137" t="str">
        <f>'Q100a-geral'!AQ201</f>
        <v>x</v>
      </c>
      <c r="AR105" s="137"/>
      <c r="AS105" s="137"/>
      <c r="AT105" s="137"/>
      <c r="AU105" s="137"/>
      <c r="AV105" s="137" t="str">
        <f>'Q100a-geral'!AV201</f>
        <v>x</v>
      </c>
      <c r="AW105" s="137"/>
      <c r="AX105" s="137"/>
      <c r="AY105" s="137"/>
      <c r="AZ105" s="137"/>
      <c r="BA105" s="137" t="str">
        <f>'Q100a-geral'!BA201</f>
        <v>x</v>
      </c>
      <c r="BB105" s="239" t="str">
        <f>'Q100a-geral'!BB201</f>
        <v>Populaçãox</v>
      </c>
      <c r="BC105" s="239" t="str">
        <f>'Q100a-geral'!BC201</f>
        <v>PopulaçãoxRMBH</v>
      </c>
      <c r="BD105" s="239" t="str">
        <f>'Q100a-geral'!BD201</f>
        <v>PopulaçãoRMBH</v>
      </c>
    </row>
    <row r="106" spans="1:56" s="3" customFormat="1" ht="28.5" customHeight="1" x14ac:dyDescent="0.25">
      <c r="A106" s="275" t="str">
        <f>'Q100a-geral'!A202</f>
        <v>2.4</v>
      </c>
      <c r="B106" s="54" t="str">
        <f>'Q100a-geral'!B202</f>
        <v>População</v>
      </c>
      <c r="C106" s="229" t="str">
        <f>'Q100a-geral'!C202</f>
        <v>x</v>
      </c>
      <c r="D106" s="36" t="str">
        <f>'Q100a-geral'!D202</f>
        <v>área</v>
      </c>
      <c r="E106" s="464" t="str">
        <f>'Q100a-geral'!E202</f>
        <v>Rio Manso</v>
      </c>
      <c r="F106" s="446" t="str">
        <f>'Q100a-geral'!F202</f>
        <v>área do município (expressa em km2) utilizada para calcular a densidade demográfica
obs.: resultado de 2010 em IBGE (2010)</v>
      </c>
      <c r="G106" s="252" t="str">
        <f>'Q100a-geral'!G202</f>
        <v>registro na fonte</v>
      </c>
      <c r="H106" s="171" t="str">
        <f>'Q100a-geral'!H202</f>
        <v>RMBH</v>
      </c>
      <c r="I106" s="167">
        <f>'Q100a-geral'!I202</f>
        <v>1</v>
      </c>
      <c r="J106" s="93" t="str">
        <f>'Q100a-geral'!J202</f>
        <v>x</v>
      </c>
      <c r="K106" s="93" t="str">
        <f>'Q100a-geral'!K202</f>
        <v>x</v>
      </c>
      <c r="L106" s="93" t="str">
        <f>'Q100a-geral'!L202</f>
        <v>x</v>
      </c>
      <c r="M106" s="93" t="str">
        <f>'Q100a-geral'!M202</f>
        <v>x</v>
      </c>
      <c r="N106" s="93" t="str">
        <f>'Q100a-geral'!N202</f>
        <v>x</v>
      </c>
      <c r="O106" s="93" t="str">
        <f>'Q100a-geral'!O202</f>
        <v>x</v>
      </c>
      <c r="P106" s="93" t="str">
        <f>'Q100a-geral'!P202</f>
        <v>x</v>
      </c>
      <c r="Q106" s="93" t="str">
        <f>'Q100a-geral'!Q202</f>
        <v>x</v>
      </c>
      <c r="R106" s="93" t="str">
        <f>'Q100a-geral'!R202</f>
        <v>x</v>
      </c>
      <c r="S106" s="107" t="str">
        <f>'Q100a-geral'!S202</f>
        <v>só para pesquisa</v>
      </c>
      <c r="T106" s="93" t="str">
        <f>'Q100a-geral'!T202</f>
        <v>x</v>
      </c>
      <c r="U106" s="93" t="str">
        <f>'Q100a-geral'!U202</f>
        <v>x</v>
      </c>
      <c r="V106" s="107" t="str">
        <f>'Q100a-geral'!V202</f>
        <v>só para pesquisa</v>
      </c>
      <c r="W106" s="93" t="str">
        <f>'Q100a-geral'!W202</f>
        <v>x</v>
      </c>
      <c r="X106" s="93" t="str">
        <f>'Q100a-geral'!X202</f>
        <v>x</v>
      </c>
      <c r="Y106" s="93" t="str">
        <f>'Q100a-geral'!Y202</f>
        <v>x</v>
      </c>
      <c r="Z106" s="93" t="str">
        <f>'Q100a-geral'!Z202</f>
        <v>x</v>
      </c>
      <c r="AA106" s="93" t="str">
        <f>'Q100a-geral'!AA202</f>
        <v>x</v>
      </c>
      <c r="AB106" s="93" t="str">
        <f>'Q100a-geral'!AB202</f>
        <v>x</v>
      </c>
      <c r="AC106" s="93" t="str">
        <f>'Q100a-geral'!AC202</f>
        <v>x</v>
      </c>
      <c r="AD106" s="93" t="str">
        <f>'Q100a-geral'!AD202</f>
        <v>x</v>
      </c>
      <c r="AE106" s="93" t="str">
        <f>'Q100a-geral'!AE202</f>
        <v>x</v>
      </c>
      <c r="AF106" s="99">
        <f>'Q100a-geral'!AF202</f>
        <v>231.54</v>
      </c>
      <c r="AG106" s="84" t="str">
        <f>'Q100a-geral'!AG202</f>
        <v>x</v>
      </c>
      <c r="AH106" s="84" t="str">
        <f>'Q100a-geral'!AH202</f>
        <v>x</v>
      </c>
      <c r="AI106" s="84" t="str">
        <f>'Q100a-geral'!AI202</f>
        <v>x</v>
      </c>
      <c r="AJ106" s="84" t="str">
        <f>'Q100a-geral'!AJ202</f>
        <v>x</v>
      </c>
      <c r="AK106" s="137" t="str">
        <f>'Q100a-geral'!AK202</f>
        <v>x</v>
      </c>
      <c r="AL106" s="213" t="str">
        <f>'Q100a-geral'!AL202</f>
        <v>x</v>
      </c>
      <c r="AM106" s="137" t="str">
        <f>'Q100a-geral'!AM202</f>
        <v>x</v>
      </c>
      <c r="AN106" s="137" t="str">
        <f>'Q100a-geral'!AN202</f>
        <v>x</v>
      </c>
      <c r="AO106" s="137" t="str">
        <f>'Q100a-geral'!AO202</f>
        <v>x</v>
      </c>
      <c r="AP106" s="137" t="str">
        <f>'Q100a-geral'!AP202</f>
        <v>x</v>
      </c>
      <c r="AQ106" s="137" t="str">
        <f>'Q100a-geral'!AQ202</f>
        <v>x</v>
      </c>
      <c r="AR106" s="137"/>
      <c r="AS106" s="137"/>
      <c r="AT106" s="137"/>
      <c r="AU106" s="137"/>
      <c r="AV106" s="137" t="str">
        <f>'Q100a-geral'!AV202</f>
        <v>x</v>
      </c>
      <c r="AW106" s="137"/>
      <c r="AX106" s="137"/>
      <c r="AY106" s="137"/>
      <c r="AZ106" s="137"/>
      <c r="BA106" s="137" t="str">
        <f>'Q100a-geral'!BA202</f>
        <v>x</v>
      </c>
      <c r="BB106" s="239" t="str">
        <f>'Q100a-geral'!BB202</f>
        <v>Populaçãox</v>
      </c>
      <c r="BC106" s="239" t="str">
        <f>'Q100a-geral'!BC202</f>
        <v>PopulaçãoxRMBH</v>
      </c>
      <c r="BD106" s="239" t="str">
        <f>'Q100a-geral'!BD202</f>
        <v>PopulaçãoRMBH</v>
      </c>
    </row>
    <row r="107" spans="1:56" s="3" customFormat="1" ht="28.5" customHeight="1" x14ac:dyDescent="0.25">
      <c r="A107" s="275" t="str">
        <f>'Q100a-geral'!A203</f>
        <v>2.4</v>
      </c>
      <c r="B107" s="54" t="str">
        <f>'Q100a-geral'!B203</f>
        <v>População</v>
      </c>
      <c r="C107" s="229" t="str">
        <f>'Q100a-geral'!C203</f>
        <v>x</v>
      </c>
      <c r="D107" s="36" t="str">
        <f>'Q100a-geral'!D203</f>
        <v>área</v>
      </c>
      <c r="E107" s="464" t="str">
        <f>'Q100a-geral'!E203</f>
        <v>RMBH</v>
      </c>
      <c r="F107" s="446" t="str">
        <f>'Q100a-geral'!F203</f>
        <v>área da RMBH (expressa em km2) utilizada para calcular a densidade demográfica metropolitana</v>
      </c>
      <c r="G107" s="188" t="str">
        <f>'Q100a-geral'!G203</f>
        <v>∑ área dos 34 municípios da RMBH</v>
      </c>
      <c r="H107" s="171" t="str">
        <f>'Q100a-geral'!H203</f>
        <v>RMBH</v>
      </c>
      <c r="I107" s="167">
        <f>'Q100a-geral'!I203</f>
        <v>1</v>
      </c>
      <c r="J107" s="93" t="str">
        <f>'Q100a-geral'!J203</f>
        <v>x</v>
      </c>
      <c r="K107" s="93" t="str">
        <f>'Q100a-geral'!K203</f>
        <v>x</v>
      </c>
      <c r="L107" s="93" t="str">
        <f>'Q100a-geral'!L203</f>
        <v>x</v>
      </c>
      <c r="M107" s="93" t="str">
        <f>'Q100a-geral'!M203</f>
        <v>x</v>
      </c>
      <c r="N107" s="93" t="str">
        <f>'Q100a-geral'!N203</f>
        <v>x</v>
      </c>
      <c r="O107" s="93" t="str">
        <f>'Q100a-geral'!O203</f>
        <v>x</v>
      </c>
      <c r="P107" s="93" t="str">
        <f>'Q100a-geral'!P203</f>
        <v>x</v>
      </c>
      <c r="Q107" s="93" t="str">
        <f>'Q100a-geral'!Q203</f>
        <v>x</v>
      </c>
      <c r="R107" s="93" t="str">
        <f>'Q100a-geral'!R203</f>
        <v>x</v>
      </c>
      <c r="S107" s="107" t="str">
        <f>'Q100a-geral'!S203</f>
        <v>só para pesquisa</v>
      </c>
      <c r="T107" s="58" t="str">
        <f>'Q100a-geral'!T203</f>
        <v>x</v>
      </c>
      <c r="U107" s="58" t="str">
        <f>'Q100a-geral'!U203</f>
        <v>x</v>
      </c>
      <c r="V107" s="107" t="str">
        <f>'Q100a-geral'!V203</f>
        <v>só para pesquisa</v>
      </c>
      <c r="W107" s="58" t="str">
        <f>'Q100a-geral'!W203</f>
        <v>x</v>
      </c>
      <c r="X107" s="58" t="str">
        <f>'Q100a-geral'!X203</f>
        <v>x</v>
      </c>
      <c r="Y107" s="58" t="str">
        <f>'Q100a-geral'!Y203</f>
        <v>x</v>
      </c>
      <c r="Z107" s="58" t="str">
        <f>'Q100a-geral'!Z203</f>
        <v>x</v>
      </c>
      <c r="AA107" s="58" t="str">
        <f>'Q100a-geral'!AA203</f>
        <v>x</v>
      </c>
      <c r="AB107" s="58" t="str">
        <f>'Q100a-geral'!AB203</f>
        <v>x</v>
      </c>
      <c r="AC107" s="58" t="str">
        <f>'Q100a-geral'!AC203</f>
        <v>x</v>
      </c>
      <c r="AD107" s="58" t="str">
        <f>'Q100a-geral'!AD203</f>
        <v>x</v>
      </c>
      <c r="AE107" s="58" t="str">
        <f>'Q100a-geral'!AE203</f>
        <v>x</v>
      </c>
      <c r="AF107" s="43">
        <f>'Q100a-geral'!AF203</f>
        <v>9472.4730000000018</v>
      </c>
      <c r="AG107" s="23" t="str">
        <f>'Q100a-geral'!AG203</f>
        <v>x</v>
      </c>
      <c r="AH107" s="23" t="str">
        <f>'Q100a-geral'!AH203</f>
        <v>x</v>
      </c>
      <c r="AI107" s="23" t="str">
        <f>'Q100a-geral'!AI203</f>
        <v>x</v>
      </c>
      <c r="AJ107" s="23" t="str">
        <f>'Q100a-geral'!AJ203</f>
        <v>x</v>
      </c>
      <c r="AK107" s="137" t="str">
        <f>'Q100a-geral'!AK203</f>
        <v>x</v>
      </c>
      <c r="AL107" s="213" t="str">
        <f>'Q100a-geral'!AL203</f>
        <v>x</v>
      </c>
      <c r="AM107" s="137" t="str">
        <f>'Q100a-geral'!AM203</f>
        <v>x</v>
      </c>
      <c r="AN107" s="137" t="str">
        <f>'Q100a-geral'!AN203</f>
        <v>x</v>
      </c>
      <c r="AO107" s="137" t="str">
        <f>'Q100a-geral'!AO203</f>
        <v>x</v>
      </c>
      <c r="AP107" s="137" t="str">
        <f>'Q100a-geral'!AP203</f>
        <v>x</v>
      </c>
      <c r="AQ107" s="137" t="str">
        <f>'Q100a-geral'!AQ203</f>
        <v>x</v>
      </c>
      <c r="AR107" s="137"/>
      <c r="AS107" s="137"/>
      <c r="AT107" s="137"/>
      <c r="AU107" s="137"/>
      <c r="AV107" s="137" t="str">
        <f>'Q100a-geral'!AV203</f>
        <v>x</v>
      </c>
      <c r="AW107" s="137"/>
      <c r="AX107" s="137"/>
      <c r="AY107" s="137"/>
      <c r="AZ107" s="137"/>
      <c r="BA107" s="137" t="str">
        <f>'Q100a-geral'!BA203</f>
        <v>x</v>
      </c>
      <c r="BB107" s="239" t="str">
        <f>'Q100a-geral'!BB203</f>
        <v>Populaçãox</v>
      </c>
      <c r="BC107" s="239" t="str">
        <f>'Q100a-geral'!BC203</f>
        <v>PopulaçãoxRMBH</v>
      </c>
      <c r="BD107" s="239" t="str">
        <f>'Q100a-geral'!BD203</f>
        <v>PopulaçãoRMBH</v>
      </c>
    </row>
    <row r="108" spans="1:56" s="3" customFormat="1" ht="28.5" customHeight="1" x14ac:dyDescent="0.25">
      <c r="A108" s="275" t="str">
        <f>'Q100a-geral'!A204</f>
        <v>2.4</v>
      </c>
      <c r="B108" s="54" t="str">
        <f>'Q100a-geral'!B204</f>
        <v>População</v>
      </c>
      <c r="C108" s="229" t="str">
        <f>'Q100a-geral'!C204</f>
        <v>x</v>
      </c>
      <c r="D108" s="326" t="str">
        <f>'Q100a-geral'!D204</f>
        <v>área</v>
      </c>
      <c r="E108" s="465" t="str">
        <f>'Q100a-geral'!E204</f>
        <v>restante RMBH</v>
      </c>
      <c r="F108" s="492" t="str">
        <f>'Q100a-geral'!F204</f>
        <v>área da RMBH (expressa em km2) sem Belo Horizonte</v>
      </c>
      <c r="G108" s="188" t="str">
        <f>'Q100a-geral'!G204</f>
        <v>área(RMBH) - área(Belo Horizonte)</v>
      </c>
      <c r="H108" s="171" t="str">
        <f>'Q100a-geral'!H204</f>
        <v>RMBH</v>
      </c>
      <c r="I108" s="167">
        <f>'Q100a-geral'!I204</f>
        <v>1</v>
      </c>
      <c r="J108" s="1101" t="str">
        <f>'Q100a-geral'!J204</f>
        <v>x</v>
      </c>
      <c r="K108" s="1101" t="str">
        <f>'Q100a-geral'!K204</f>
        <v>x</v>
      </c>
      <c r="L108" s="1101" t="str">
        <f>'Q100a-geral'!L204</f>
        <v>x</v>
      </c>
      <c r="M108" s="1101" t="str">
        <f>'Q100a-geral'!M204</f>
        <v>x</v>
      </c>
      <c r="N108" s="1101" t="str">
        <f>'Q100a-geral'!N204</f>
        <v>x</v>
      </c>
      <c r="O108" s="1101" t="str">
        <f>'Q100a-geral'!O204</f>
        <v>x</v>
      </c>
      <c r="P108" s="1101" t="str">
        <f>'Q100a-geral'!P204</f>
        <v>x</v>
      </c>
      <c r="Q108" s="1101" t="str">
        <f>'Q100a-geral'!Q204</f>
        <v>x</v>
      </c>
      <c r="R108" s="1101" t="str">
        <f>'Q100a-geral'!R204</f>
        <v>x</v>
      </c>
      <c r="S108" s="107" t="str">
        <f>'Q100a-geral'!S204</f>
        <v>só para pesquisa</v>
      </c>
      <c r="T108" s="58" t="str">
        <f>'Q100a-geral'!T204</f>
        <v>x</v>
      </c>
      <c r="U108" s="58" t="str">
        <f>'Q100a-geral'!U204</f>
        <v>x</v>
      </c>
      <c r="V108" s="107" t="str">
        <f>'Q100a-geral'!V204</f>
        <v>só para pesquisa</v>
      </c>
      <c r="W108" s="58" t="str">
        <f>'Q100a-geral'!W204</f>
        <v>x</v>
      </c>
      <c r="X108" s="58" t="str">
        <f>'Q100a-geral'!X204</f>
        <v>x</v>
      </c>
      <c r="Y108" s="58" t="str">
        <f>'Q100a-geral'!Y204</f>
        <v>x</v>
      </c>
      <c r="Z108" s="58" t="str">
        <f>'Q100a-geral'!Z204</f>
        <v>x</v>
      </c>
      <c r="AA108" s="58" t="str">
        <f>'Q100a-geral'!AA204</f>
        <v>x</v>
      </c>
      <c r="AB108" s="58" t="str">
        <f>'Q100a-geral'!AB204</f>
        <v>x</v>
      </c>
      <c r="AC108" s="58" t="str">
        <f>'Q100a-geral'!AC204</f>
        <v>x</v>
      </c>
      <c r="AD108" s="58" t="str">
        <f>'Q100a-geral'!AD204</f>
        <v>x</v>
      </c>
      <c r="AE108" s="58" t="str">
        <f>'Q100a-geral'!AE204</f>
        <v>x</v>
      </c>
      <c r="AF108" s="43">
        <f>'Q100a-geral'!AF204</f>
        <v>9141.0730000000021</v>
      </c>
      <c r="AG108" s="23" t="str">
        <f>'Q100a-geral'!AG204</f>
        <v>x</v>
      </c>
      <c r="AH108" s="23" t="str">
        <f>'Q100a-geral'!AH204</f>
        <v>x</v>
      </c>
      <c r="AI108" s="23" t="str">
        <f>'Q100a-geral'!AI204</f>
        <v>x</v>
      </c>
      <c r="AJ108" s="23" t="str">
        <f>'Q100a-geral'!AJ204</f>
        <v>x</v>
      </c>
      <c r="AK108" s="137" t="str">
        <f>'Q100a-geral'!AK204</f>
        <v>x</v>
      </c>
      <c r="AL108" s="213" t="str">
        <f>'Q100a-geral'!AL204</f>
        <v>x</v>
      </c>
      <c r="AM108" s="137" t="str">
        <f>'Q100a-geral'!AM204</f>
        <v>x</v>
      </c>
      <c r="AN108" s="137" t="str">
        <f>'Q100a-geral'!AN204</f>
        <v>x</v>
      </c>
      <c r="AO108" s="137" t="str">
        <f>'Q100a-geral'!AO204</f>
        <v>x</v>
      </c>
      <c r="AP108" s="137" t="str">
        <f>'Q100a-geral'!AP204</f>
        <v>x</v>
      </c>
      <c r="AQ108" s="137" t="str">
        <f>'Q100a-geral'!AQ204</f>
        <v>x</v>
      </c>
      <c r="AR108" s="137"/>
      <c r="AS108" s="137"/>
      <c r="AT108" s="137"/>
      <c r="AU108" s="137"/>
      <c r="AV108" s="137" t="str">
        <f>'Q100a-geral'!AV204</f>
        <v>x</v>
      </c>
      <c r="AW108" s="137"/>
      <c r="AX108" s="137"/>
      <c r="AY108" s="137"/>
      <c r="AZ108" s="137"/>
      <c r="BA108" s="137" t="str">
        <f>'Q100a-geral'!BA204</f>
        <v>x</v>
      </c>
      <c r="BB108" s="239" t="str">
        <f>'Q100a-geral'!BB204</f>
        <v>Populaçãox</v>
      </c>
      <c r="BC108" s="239" t="str">
        <f>'Q100a-geral'!BC204</f>
        <v>PopulaçãoxRMBH</v>
      </c>
      <c r="BD108" s="239" t="str">
        <f>'Q100a-geral'!BD204</f>
        <v>PopulaçãoRMBH</v>
      </c>
    </row>
    <row r="109" spans="1:56" s="3" customFormat="1" ht="28.5" customHeight="1" x14ac:dyDescent="0.25">
      <c r="A109" s="275" t="str">
        <f>'Q100a-geral'!A205</f>
        <v>2.4</v>
      </c>
      <c r="B109" s="54" t="str">
        <f>'Q100a-geral'!B205</f>
        <v>População</v>
      </c>
      <c r="C109" s="229" t="str">
        <f>'Q100a-geral'!C205</f>
        <v>x</v>
      </c>
      <c r="D109" s="36" t="str">
        <f>'Q100a-geral'!D205</f>
        <v>área</v>
      </c>
      <c r="E109" s="464" t="str">
        <f>'Q100a-geral'!E205</f>
        <v>Sabará</v>
      </c>
      <c r="F109" s="446" t="str">
        <f>'Q100a-geral'!F205</f>
        <v>área do município (expressa em km2) utilizada para calcular a densidade demográfica
obs.: resultado de 2010 em IBGE (2010)</v>
      </c>
      <c r="G109" s="252" t="str">
        <f>'Q100a-geral'!G205</f>
        <v>registro na fonte</v>
      </c>
      <c r="H109" s="171" t="str">
        <f>'Q100a-geral'!H205</f>
        <v>RMBH</v>
      </c>
      <c r="I109" s="167">
        <f>'Q100a-geral'!I205</f>
        <v>1</v>
      </c>
      <c r="J109" s="93" t="str">
        <f>'Q100a-geral'!J205</f>
        <v>x</v>
      </c>
      <c r="K109" s="93" t="str">
        <f>'Q100a-geral'!K205</f>
        <v>x</v>
      </c>
      <c r="L109" s="93" t="str">
        <f>'Q100a-geral'!L205</f>
        <v>x</v>
      </c>
      <c r="M109" s="93" t="str">
        <f>'Q100a-geral'!M205</f>
        <v>x</v>
      </c>
      <c r="N109" s="93" t="str">
        <f>'Q100a-geral'!N205</f>
        <v>x</v>
      </c>
      <c r="O109" s="93" t="str">
        <f>'Q100a-geral'!O205</f>
        <v>x</v>
      </c>
      <c r="P109" s="93" t="str">
        <f>'Q100a-geral'!P205</f>
        <v>x</v>
      </c>
      <c r="Q109" s="93" t="str">
        <f>'Q100a-geral'!Q205</f>
        <v>x</v>
      </c>
      <c r="R109" s="93" t="str">
        <f>'Q100a-geral'!R205</f>
        <v>x</v>
      </c>
      <c r="S109" s="107" t="str">
        <f>'Q100a-geral'!S205</f>
        <v>só para pesquisa</v>
      </c>
      <c r="T109" s="84" t="str">
        <f>'Q100a-geral'!T205</f>
        <v>x</v>
      </c>
      <c r="U109" s="84" t="str">
        <f>'Q100a-geral'!U205</f>
        <v>x</v>
      </c>
      <c r="V109" s="107" t="str">
        <f>'Q100a-geral'!V205</f>
        <v>só para pesquisa</v>
      </c>
      <c r="W109" s="84" t="str">
        <f>'Q100a-geral'!W205</f>
        <v>x</v>
      </c>
      <c r="X109" s="84" t="str">
        <f>'Q100a-geral'!X205</f>
        <v>x</v>
      </c>
      <c r="Y109" s="84" t="str">
        <f>'Q100a-geral'!Y205</f>
        <v>x</v>
      </c>
      <c r="Z109" s="84" t="str">
        <f>'Q100a-geral'!Z205</f>
        <v>x</v>
      </c>
      <c r="AA109" s="84" t="str">
        <f>'Q100a-geral'!AA205</f>
        <v>x</v>
      </c>
      <c r="AB109" s="84" t="str">
        <f>'Q100a-geral'!AB205</f>
        <v>x</v>
      </c>
      <c r="AC109" s="84" t="str">
        <f>'Q100a-geral'!AC205</f>
        <v>x</v>
      </c>
      <c r="AD109" s="84" t="str">
        <f>'Q100a-geral'!AD205</f>
        <v>x</v>
      </c>
      <c r="AE109" s="84" t="str">
        <f>'Q100a-geral'!AE205</f>
        <v>x</v>
      </c>
      <c r="AF109" s="99">
        <f>'Q100a-geral'!AF205</f>
        <v>302.173</v>
      </c>
      <c r="AG109" s="84" t="str">
        <f>'Q100a-geral'!AG205</f>
        <v>x</v>
      </c>
      <c r="AH109" s="84" t="str">
        <f>'Q100a-geral'!AH205</f>
        <v>x</v>
      </c>
      <c r="AI109" s="84" t="str">
        <f>'Q100a-geral'!AI205</f>
        <v>x</v>
      </c>
      <c r="AJ109" s="84" t="str">
        <f>'Q100a-geral'!AJ205</f>
        <v>x</v>
      </c>
      <c r="AK109" s="137" t="str">
        <f>'Q100a-geral'!AK205</f>
        <v>x</v>
      </c>
      <c r="AL109" s="213" t="str">
        <f>'Q100a-geral'!AL205</f>
        <v>x</v>
      </c>
      <c r="AM109" s="137" t="str">
        <f>'Q100a-geral'!AM205</f>
        <v>x</v>
      </c>
      <c r="AN109" s="137" t="str">
        <f>'Q100a-geral'!AN205</f>
        <v>x</v>
      </c>
      <c r="AO109" s="137" t="str">
        <f>'Q100a-geral'!AO205</f>
        <v>x</v>
      </c>
      <c r="AP109" s="137" t="str">
        <f>'Q100a-geral'!AP205</f>
        <v>x</v>
      </c>
      <c r="AQ109" s="137" t="str">
        <f>'Q100a-geral'!AQ205</f>
        <v>x</v>
      </c>
      <c r="AR109" s="137"/>
      <c r="AS109" s="137"/>
      <c r="AT109" s="137"/>
      <c r="AU109" s="137"/>
      <c r="AV109" s="137" t="str">
        <f>'Q100a-geral'!AV205</f>
        <v>x</v>
      </c>
      <c r="AW109" s="137"/>
      <c r="AX109" s="137"/>
      <c r="AY109" s="137"/>
      <c r="AZ109" s="137"/>
      <c r="BA109" s="137" t="str">
        <f>'Q100a-geral'!BA205</f>
        <v>x</v>
      </c>
      <c r="BB109" s="239" t="str">
        <f>'Q100a-geral'!BB205</f>
        <v>Populaçãox</v>
      </c>
      <c r="BC109" s="239" t="str">
        <f>'Q100a-geral'!BC205</f>
        <v>PopulaçãoxRMBH</v>
      </c>
      <c r="BD109" s="239" t="str">
        <f>'Q100a-geral'!BD205</f>
        <v>PopulaçãoRMBH</v>
      </c>
    </row>
    <row r="110" spans="1:56" s="3" customFormat="1" ht="28.5" customHeight="1" x14ac:dyDescent="0.25">
      <c r="A110" s="275" t="str">
        <f>'Q100a-geral'!A206</f>
        <v>2.4</v>
      </c>
      <c r="B110" s="54" t="str">
        <f>'Q100a-geral'!B206</f>
        <v>População</v>
      </c>
      <c r="C110" s="229" t="str">
        <f>'Q100a-geral'!C206</f>
        <v>x</v>
      </c>
      <c r="D110" s="36" t="str">
        <f>'Q100a-geral'!D206</f>
        <v>área</v>
      </c>
      <c r="E110" s="464" t="str">
        <f>'Q100a-geral'!E206</f>
        <v>Santa Luzia</v>
      </c>
      <c r="F110" s="446" t="str">
        <f>'Q100a-geral'!F206</f>
        <v>área do município (expressa em km2) utilizada para calcular a densidade demográfica
obs.: resultado de 2010 em IBGE (2010)</v>
      </c>
      <c r="G110" s="252" t="str">
        <f>'Q100a-geral'!G206</f>
        <v>registro na fonte</v>
      </c>
      <c r="H110" s="171" t="str">
        <f>'Q100a-geral'!H206</f>
        <v>RMBH</v>
      </c>
      <c r="I110" s="167">
        <f>'Q100a-geral'!I206</f>
        <v>1</v>
      </c>
      <c r="J110" s="93" t="str">
        <f>'Q100a-geral'!J206</f>
        <v>x</v>
      </c>
      <c r="K110" s="93" t="str">
        <f>'Q100a-geral'!K206</f>
        <v>x</v>
      </c>
      <c r="L110" s="93" t="str">
        <f>'Q100a-geral'!L206</f>
        <v>x</v>
      </c>
      <c r="M110" s="93" t="str">
        <f>'Q100a-geral'!M206</f>
        <v>x</v>
      </c>
      <c r="N110" s="93" t="str">
        <f>'Q100a-geral'!N206</f>
        <v>x</v>
      </c>
      <c r="O110" s="93" t="str">
        <f>'Q100a-geral'!O206</f>
        <v>x</v>
      </c>
      <c r="P110" s="93" t="str">
        <f>'Q100a-geral'!P206</f>
        <v>x</v>
      </c>
      <c r="Q110" s="93" t="str">
        <f>'Q100a-geral'!Q206</f>
        <v>x</v>
      </c>
      <c r="R110" s="93" t="str">
        <f>'Q100a-geral'!R206</f>
        <v>x</v>
      </c>
      <c r="S110" s="107" t="str">
        <f>'Q100a-geral'!S206</f>
        <v>só para pesquisa</v>
      </c>
      <c r="T110" s="84" t="str">
        <f>'Q100a-geral'!T206</f>
        <v>x</v>
      </c>
      <c r="U110" s="84" t="str">
        <f>'Q100a-geral'!U206</f>
        <v>x</v>
      </c>
      <c r="V110" s="107" t="str">
        <f>'Q100a-geral'!V206</f>
        <v>só para pesquisa</v>
      </c>
      <c r="W110" s="84" t="str">
        <f>'Q100a-geral'!W206</f>
        <v>x</v>
      </c>
      <c r="X110" s="84" t="str">
        <f>'Q100a-geral'!X206</f>
        <v>x</v>
      </c>
      <c r="Y110" s="84" t="str">
        <f>'Q100a-geral'!Y206</f>
        <v>x</v>
      </c>
      <c r="Z110" s="84" t="str">
        <f>'Q100a-geral'!Z206</f>
        <v>x</v>
      </c>
      <c r="AA110" s="84" t="str">
        <f>'Q100a-geral'!AA206</f>
        <v>x</v>
      </c>
      <c r="AB110" s="84" t="str">
        <f>'Q100a-geral'!AB206</f>
        <v>x</v>
      </c>
      <c r="AC110" s="84" t="str">
        <f>'Q100a-geral'!AC206</f>
        <v>x</v>
      </c>
      <c r="AD110" s="84" t="str">
        <f>'Q100a-geral'!AD206</f>
        <v>x</v>
      </c>
      <c r="AE110" s="84" t="str">
        <f>'Q100a-geral'!AE206</f>
        <v>x</v>
      </c>
      <c r="AF110" s="99">
        <f>'Q100a-geral'!AF206</f>
        <v>235.327</v>
      </c>
      <c r="AG110" s="84" t="str">
        <f>'Q100a-geral'!AG206</f>
        <v>x</v>
      </c>
      <c r="AH110" s="84" t="str">
        <f>'Q100a-geral'!AH206</f>
        <v>x</v>
      </c>
      <c r="AI110" s="84" t="str">
        <f>'Q100a-geral'!AI206</f>
        <v>x</v>
      </c>
      <c r="AJ110" s="84" t="str">
        <f>'Q100a-geral'!AJ206</f>
        <v>x</v>
      </c>
      <c r="AK110" s="137" t="str">
        <f>'Q100a-geral'!AK206</f>
        <v>x</v>
      </c>
      <c r="AL110" s="213" t="str">
        <f>'Q100a-geral'!AL206</f>
        <v>x</v>
      </c>
      <c r="AM110" s="137" t="str">
        <f>'Q100a-geral'!AM206</f>
        <v>x</v>
      </c>
      <c r="AN110" s="137" t="str">
        <f>'Q100a-geral'!AN206</f>
        <v>x</v>
      </c>
      <c r="AO110" s="137" t="str">
        <f>'Q100a-geral'!AO206</f>
        <v>x</v>
      </c>
      <c r="AP110" s="137" t="str">
        <f>'Q100a-geral'!AP206</f>
        <v>x</v>
      </c>
      <c r="AQ110" s="137" t="str">
        <f>'Q100a-geral'!AQ206</f>
        <v>x</v>
      </c>
      <c r="AR110" s="137"/>
      <c r="AS110" s="137"/>
      <c r="AT110" s="137"/>
      <c r="AU110" s="137"/>
      <c r="AV110" s="137" t="str">
        <f>'Q100a-geral'!AV206</f>
        <v>x</v>
      </c>
      <c r="AW110" s="137"/>
      <c r="AX110" s="137"/>
      <c r="AY110" s="137"/>
      <c r="AZ110" s="137"/>
      <c r="BA110" s="137" t="str">
        <f>'Q100a-geral'!BA206</f>
        <v>x</v>
      </c>
      <c r="BB110" s="239" t="str">
        <f>'Q100a-geral'!BB206</f>
        <v>Populaçãox</v>
      </c>
      <c r="BC110" s="239" t="str">
        <f>'Q100a-geral'!BC206</f>
        <v>PopulaçãoxRMBH</v>
      </c>
      <c r="BD110" s="239" t="str">
        <f>'Q100a-geral'!BD206</f>
        <v>PopulaçãoRMBH</v>
      </c>
    </row>
    <row r="111" spans="1:56" s="3" customFormat="1" ht="46.5" customHeight="1" x14ac:dyDescent="0.25">
      <c r="A111" s="275" t="str">
        <f>'Q100a-geral'!A207</f>
        <v>2.4</v>
      </c>
      <c r="B111" s="54" t="str">
        <f>'Q100a-geral'!B207</f>
        <v>População</v>
      </c>
      <c r="C111" s="229" t="str">
        <f>'Q100a-geral'!C207</f>
        <v>x</v>
      </c>
      <c r="D111" s="36" t="str">
        <f>'Q100a-geral'!D207</f>
        <v>área</v>
      </c>
      <c r="E111" s="464" t="str">
        <f>'Q100a-geral'!E207</f>
        <v>São Joaquim de Bicas</v>
      </c>
      <c r="F111" s="446" t="str">
        <f>'Q100a-geral'!F207</f>
        <v>área do município (expressa em km2) utilizada para calcular a densidade demográfica
obs.: resultado de 2010 em IBGE (2010)</v>
      </c>
      <c r="G111" s="252" t="str">
        <f>'Q100a-geral'!G207</f>
        <v>registro na fonte</v>
      </c>
      <c r="H111" s="171" t="str">
        <f>'Q100a-geral'!H207</f>
        <v>RMBH</v>
      </c>
      <c r="I111" s="167">
        <f>'Q100a-geral'!I207</f>
        <v>1</v>
      </c>
      <c r="J111" s="93" t="str">
        <f>'Q100a-geral'!J207</f>
        <v>x</v>
      </c>
      <c r="K111" s="93" t="str">
        <f>'Q100a-geral'!K207</f>
        <v>x</v>
      </c>
      <c r="L111" s="93" t="str">
        <f>'Q100a-geral'!L207</f>
        <v>x</v>
      </c>
      <c r="M111" s="93" t="str">
        <f>'Q100a-geral'!M207</f>
        <v>x</v>
      </c>
      <c r="N111" s="93" t="str">
        <f>'Q100a-geral'!N207</f>
        <v>x</v>
      </c>
      <c r="O111" s="93" t="str">
        <f>'Q100a-geral'!O207</f>
        <v>x</v>
      </c>
      <c r="P111" s="93" t="str">
        <f>'Q100a-geral'!P207</f>
        <v>x</v>
      </c>
      <c r="Q111" s="93" t="str">
        <f>'Q100a-geral'!Q207</f>
        <v>x</v>
      </c>
      <c r="R111" s="93" t="str">
        <f>'Q100a-geral'!R207</f>
        <v>x</v>
      </c>
      <c r="S111" s="107" t="str">
        <f>'Q100a-geral'!S207</f>
        <v>só para pesquisa</v>
      </c>
      <c r="T111" s="84" t="str">
        <f>'Q100a-geral'!T207</f>
        <v>x</v>
      </c>
      <c r="U111" s="84" t="str">
        <f>'Q100a-geral'!U207</f>
        <v>x</v>
      </c>
      <c r="V111" s="107" t="str">
        <f>'Q100a-geral'!V207</f>
        <v>só para pesquisa</v>
      </c>
      <c r="W111" s="84" t="str">
        <f>'Q100a-geral'!W207</f>
        <v>x</v>
      </c>
      <c r="X111" s="84" t="str">
        <f>'Q100a-geral'!X207</f>
        <v>x</v>
      </c>
      <c r="Y111" s="84" t="str">
        <f>'Q100a-geral'!Y207</f>
        <v>x</v>
      </c>
      <c r="Z111" s="84" t="str">
        <f>'Q100a-geral'!Z207</f>
        <v>x</v>
      </c>
      <c r="AA111" s="84" t="str">
        <f>'Q100a-geral'!AA207</f>
        <v>x</v>
      </c>
      <c r="AB111" s="84" t="str">
        <f>'Q100a-geral'!AB207</f>
        <v>x</v>
      </c>
      <c r="AC111" s="84" t="str">
        <f>'Q100a-geral'!AC207</f>
        <v>x</v>
      </c>
      <c r="AD111" s="84" t="str">
        <f>'Q100a-geral'!AD207</f>
        <v>x</v>
      </c>
      <c r="AE111" s="84" t="str">
        <f>'Q100a-geral'!AE207</f>
        <v>x</v>
      </c>
      <c r="AF111" s="99">
        <f>'Q100a-geral'!AF207</f>
        <v>71.557000000000002</v>
      </c>
      <c r="AG111" s="84" t="str">
        <f>'Q100a-geral'!AG207</f>
        <v>x</v>
      </c>
      <c r="AH111" s="84" t="str">
        <f>'Q100a-geral'!AH207</f>
        <v>x</v>
      </c>
      <c r="AI111" s="84" t="str">
        <f>'Q100a-geral'!AI207</f>
        <v>x</v>
      </c>
      <c r="AJ111" s="84" t="str">
        <f>'Q100a-geral'!AJ207</f>
        <v>x</v>
      </c>
      <c r="AK111" s="137" t="str">
        <f>'Q100a-geral'!AK207</f>
        <v>x</v>
      </c>
      <c r="AL111" s="213" t="str">
        <f>'Q100a-geral'!AL207</f>
        <v>x</v>
      </c>
      <c r="AM111" s="137" t="str">
        <f>'Q100a-geral'!AM207</f>
        <v>x</v>
      </c>
      <c r="AN111" s="137" t="str">
        <f>'Q100a-geral'!AN207</f>
        <v>x</v>
      </c>
      <c r="AO111" s="137" t="str">
        <f>'Q100a-geral'!AO207</f>
        <v>x</v>
      </c>
      <c r="AP111" s="137" t="str">
        <f>'Q100a-geral'!AP207</f>
        <v>x</v>
      </c>
      <c r="AQ111" s="137" t="str">
        <f>'Q100a-geral'!AQ207</f>
        <v>x</v>
      </c>
      <c r="AR111" s="137"/>
      <c r="AS111" s="137"/>
      <c r="AT111" s="137"/>
      <c r="AU111" s="137"/>
      <c r="AV111" s="137" t="str">
        <f>'Q100a-geral'!AV207</f>
        <v>x</v>
      </c>
      <c r="AW111" s="137"/>
      <c r="AX111" s="137"/>
      <c r="AY111" s="137"/>
      <c r="AZ111" s="137"/>
      <c r="BA111" s="137" t="str">
        <f>'Q100a-geral'!BA207</f>
        <v>x</v>
      </c>
      <c r="BB111" s="239" t="str">
        <f>'Q100a-geral'!BB207</f>
        <v>Populaçãox</v>
      </c>
      <c r="BC111" s="239" t="str">
        <f>'Q100a-geral'!BC207</f>
        <v>PopulaçãoxRMBH</v>
      </c>
      <c r="BD111" s="239" t="str">
        <f>'Q100a-geral'!BD207</f>
        <v>PopulaçãoRMBH</v>
      </c>
    </row>
    <row r="112" spans="1:56" s="3" customFormat="1" ht="28.5" customHeight="1" x14ac:dyDescent="0.25">
      <c r="A112" s="275" t="str">
        <f>'Q100a-geral'!A208</f>
        <v>2.4</v>
      </c>
      <c r="B112" s="54" t="str">
        <f>'Q100a-geral'!B208</f>
        <v>População</v>
      </c>
      <c r="C112" s="229" t="str">
        <f>'Q100a-geral'!C208</f>
        <v>x</v>
      </c>
      <c r="D112" s="36" t="str">
        <f>'Q100a-geral'!D208</f>
        <v>área</v>
      </c>
      <c r="E112" s="464" t="str">
        <f>'Q100a-geral'!E208</f>
        <v>São José da Lapa</v>
      </c>
      <c r="F112" s="446" t="str">
        <f>'Q100a-geral'!F208</f>
        <v>área do município (expressa em km2) utilizada para calcular a densidade demográfica
obs.: resultado de 2010 em IBGE (2010)</v>
      </c>
      <c r="G112" s="252" t="str">
        <f>'Q100a-geral'!G208</f>
        <v>registro na fonte</v>
      </c>
      <c r="H112" s="171" t="str">
        <f>'Q100a-geral'!H208</f>
        <v>RMBH</v>
      </c>
      <c r="I112" s="167">
        <f>'Q100a-geral'!I208</f>
        <v>1</v>
      </c>
      <c r="J112" s="93" t="str">
        <f>'Q100a-geral'!J208</f>
        <v>x</v>
      </c>
      <c r="K112" s="93" t="str">
        <f>'Q100a-geral'!K208</f>
        <v>x</v>
      </c>
      <c r="L112" s="93" t="str">
        <f>'Q100a-geral'!L208</f>
        <v>x</v>
      </c>
      <c r="M112" s="93" t="str">
        <f>'Q100a-geral'!M208</f>
        <v>x</v>
      </c>
      <c r="N112" s="93" t="str">
        <f>'Q100a-geral'!N208</f>
        <v>x</v>
      </c>
      <c r="O112" s="93" t="str">
        <f>'Q100a-geral'!O208</f>
        <v>x</v>
      </c>
      <c r="P112" s="93" t="str">
        <f>'Q100a-geral'!P208</f>
        <v>x</v>
      </c>
      <c r="Q112" s="93" t="str">
        <f>'Q100a-geral'!Q208</f>
        <v>x</v>
      </c>
      <c r="R112" s="93" t="str">
        <f>'Q100a-geral'!R208</f>
        <v>x</v>
      </c>
      <c r="S112" s="107" t="str">
        <f>'Q100a-geral'!S208</f>
        <v>só para pesquisa</v>
      </c>
      <c r="T112" s="84" t="str">
        <f>'Q100a-geral'!T208</f>
        <v>x</v>
      </c>
      <c r="U112" s="84" t="str">
        <f>'Q100a-geral'!U208</f>
        <v>x</v>
      </c>
      <c r="V112" s="107" t="str">
        <f>'Q100a-geral'!V208</f>
        <v>só para pesquisa</v>
      </c>
      <c r="W112" s="84" t="str">
        <f>'Q100a-geral'!W208</f>
        <v>x</v>
      </c>
      <c r="X112" s="84" t="str">
        <f>'Q100a-geral'!X208</f>
        <v>x</v>
      </c>
      <c r="Y112" s="84" t="str">
        <f>'Q100a-geral'!Y208</f>
        <v>x</v>
      </c>
      <c r="Z112" s="84" t="str">
        <f>'Q100a-geral'!Z208</f>
        <v>x</v>
      </c>
      <c r="AA112" s="84" t="str">
        <f>'Q100a-geral'!AA208</f>
        <v>x</v>
      </c>
      <c r="AB112" s="84" t="str">
        <f>'Q100a-geral'!AB208</f>
        <v>x</v>
      </c>
      <c r="AC112" s="84" t="str">
        <f>'Q100a-geral'!AC208</f>
        <v>x</v>
      </c>
      <c r="AD112" s="84" t="str">
        <f>'Q100a-geral'!AD208</f>
        <v>x</v>
      </c>
      <c r="AE112" s="84" t="str">
        <f>'Q100a-geral'!AE208</f>
        <v>x</v>
      </c>
      <c r="AF112" s="99">
        <f>'Q100a-geral'!AF208</f>
        <v>47.929000000000002</v>
      </c>
      <c r="AG112" s="84" t="str">
        <f>'Q100a-geral'!AG208</f>
        <v>x</v>
      </c>
      <c r="AH112" s="84" t="str">
        <f>'Q100a-geral'!AH208</f>
        <v>x</v>
      </c>
      <c r="AI112" s="84" t="str">
        <f>'Q100a-geral'!AI208</f>
        <v>x</v>
      </c>
      <c r="AJ112" s="84" t="str">
        <f>'Q100a-geral'!AJ208</f>
        <v>x</v>
      </c>
      <c r="AK112" s="137" t="str">
        <f>'Q100a-geral'!AK208</f>
        <v>x</v>
      </c>
      <c r="AL112" s="213" t="str">
        <f>'Q100a-geral'!AL208</f>
        <v>x</v>
      </c>
      <c r="AM112" s="137" t="str">
        <f>'Q100a-geral'!AM208</f>
        <v>x</v>
      </c>
      <c r="AN112" s="137" t="str">
        <f>'Q100a-geral'!AN208</f>
        <v>x</v>
      </c>
      <c r="AO112" s="137" t="str">
        <f>'Q100a-geral'!AO208</f>
        <v>x</v>
      </c>
      <c r="AP112" s="137" t="str">
        <f>'Q100a-geral'!AP208</f>
        <v>x</v>
      </c>
      <c r="AQ112" s="137" t="str">
        <f>'Q100a-geral'!AQ208</f>
        <v>x</v>
      </c>
      <c r="AR112" s="137"/>
      <c r="AS112" s="137"/>
      <c r="AT112" s="137"/>
      <c r="AU112" s="137"/>
      <c r="AV112" s="137" t="str">
        <f>'Q100a-geral'!AV208</f>
        <v>x</v>
      </c>
      <c r="AW112" s="137"/>
      <c r="AX112" s="137"/>
      <c r="AY112" s="137"/>
      <c r="AZ112" s="137"/>
      <c r="BA112" s="137" t="str">
        <f>'Q100a-geral'!BA208</f>
        <v>x</v>
      </c>
      <c r="BB112" s="239" t="str">
        <f>'Q100a-geral'!BB208</f>
        <v>Populaçãox</v>
      </c>
      <c r="BC112" s="239" t="str">
        <f>'Q100a-geral'!BC208</f>
        <v>PopulaçãoxRMBH</v>
      </c>
      <c r="BD112" s="239" t="str">
        <f>'Q100a-geral'!BD208</f>
        <v>PopulaçãoRMBH</v>
      </c>
    </row>
    <row r="113" spans="1:56" s="3" customFormat="1" ht="28.5" customHeight="1" x14ac:dyDescent="0.25">
      <c r="A113" s="275" t="str">
        <f>'Q100a-geral'!A209</f>
        <v>2.4</v>
      </c>
      <c r="B113" s="54" t="str">
        <f>'Q100a-geral'!B209</f>
        <v>População</v>
      </c>
      <c r="C113" s="229" t="str">
        <f>'Q100a-geral'!C209</f>
        <v>x</v>
      </c>
      <c r="D113" s="36" t="str">
        <f>'Q100a-geral'!D209</f>
        <v>área</v>
      </c>
      <c r="E113" s="464" t="str">
        <f>'Q100a-geral'!E209</f>
        <v>Sarzedo</v>
      </c>
      <c r="F113" s="446" t="str">
        <f>'Q100a-geral'!F209</f>
        <v>área do município (expressa em km2) utilizada para calcular a densidade demográfica
obs.: resultado de 2010 em IBGE (2010)</v>
      </c>
      <c r="G113" s="252" t="str">
        <f>'Q100a-geral'!G209</f>
        <v>registro na fonte</v>
      </c>
      <c r="H113" s="171" t="str">
        <f>'Q100a-geral'!H209</f>
        <v>RMBH</v>
      </c>
      <c r="I113" s="167">
        <f>'Q100a-geral'!I209</f>
        <v>1</v>
      </c>
      <c r="J113" s="93" t="str">
        <f>'Q100a-geral'!J209</f>
        <v>x</v>
      </c>
      <c r="K113" s="93" t="str">
        <f>'Q100a-geral'!K209</f>
        <v>x</v>
      </c>
      <c r="L113" s="93" t="str">
        <f>'Q100a-geral'!L209</f>
        <v>x</v>
      </c>
      <c r="M113" s="93" t="str">
        <f>'Q100a-geral'!M209</f>
        <v>x</v>
      </c>
      <c r="N113" s="93" t="str">
        <f>'Q100a-geral'!N209</f>
        <v>x</v>
      </c>
      <c r="O113" s="93" t="str">
        <f>'Q100a-geral'!O209</f>
        <v>x</v>
      </c>
      <c r="P113" s="93" t="str">
        <f>'Q100a-geral'!P209</f>
        <v>x</v>
      </c>
      <c r="Q113" s="93" t="str">
        <f>'Q100a-geral'!Q209</f>
        <v>x</v>
      </c>
      <c r="R113" s="93" t="str">
        <f>'Q100a-geral'!R209</f>
        <v>x</v>
      </c>
      <c r="S113" s="107" t="str">
        <f>'Q100a-geral'!S209</f>
        <v>só para pesquisa</v>
      </c>
      <c r="T113" s="84" t="str">
        <f>'Q100a-geral'!T209</f>
        <v>x</v>
      </c>
      <c r="U113" s="84" t="str">
        <f>'Q100a-geral'!U209</f>
        <v>x</v>
      </c>
      <c r="V113" s="107" t="str">
        <f>'Q100a-geral'!V209</f>
        <v>só para pesquisa</v>
      </c>
      <c r="W113" s="84" t="str">
        <f>'Q100a-geral'!W209</f>
        <v>x</v>
      </c>
      <c r="X113" s="84" t="str">
        <f>'Q100a-geral'!X209</f>
        <v>x</v>
      </c>
      <c r="Y113" s="84" t="str">
        <f>'Q100a-geral'!Y209</f>
        <v>x</v>
      </c>
      <c r="Z113" s="84" t="str">
        <f>'Q100a-geral'!Z209</f>
        <v>x</v>
      </c>
      <c r="AA113" s="84" t="str">
        <f>'Q100a-geral'!AA209</f>
        <v>x</v>
      </c>
      <c r="AB113" s="84" t="str">
        <f>'Q100a-geral'!AB209</f>
        <v>x</v>
      </c>
      <c r="AC113" s="84" t="str">
        <f>'Q100a-geral'!AC209</f>
        <v>x</v>
      </c>
      <c r="AD113" s="84" t="str">
        <f>'Q100a-geral'!AD209</f>
        <v>x</v>
      </c>
      <c r="AE113" s="84" t="str">
        <f>'Q100a-geral'!AE209</f>
        <v>x</v>
      </c>
      <c r="AF113" s="99">
        <f>'Q100a-geral'!AF209</f>
        <v>62.134</v>
      </c>
      <c r="AG113" s="84" t="str">
        <f>'Q100a-geral'!AG209</f>
        <v>x</v>
      </c>
      <c r="AH113" s="84" t="str">
        <f>'Q100a-geral'!AH209</f>
        <v>x</v>
      </c>
      <c r="AI113" s="84" t="str">
        <f>'Q100a-geral'!AI209</f>
        <v>x</v>
      </c>
      <c r="AJ113" s="84" t="str">
        <f>'Q100a-geral'!AJ209</f>
        <v>x</v>
      </c>
      <c r="AK113" s="137" t="str">
        <f>'Q100a-geral'!AK209</f>
        <v>x</v>
      </c>
      <c r="AL113" s="213" t="str">
        <f>'Q100a-geral'!AL209</f>
        <v>x</v>
      </c>
      <c r="AM113" s="137" t="str">
        <f>'Q100a-geral'!AM209</f>
        <v>x</v>
      </c>
      <c r="AN113" s="137" t="str">
        <f>'Q100a-geral'!AN209</f>
        <v>x</v>
      </c>
      <c r="AO113" s="137" t="str">
        <f>'Q100a-geral'!AO209</f>
        <v>x</v>
      </c>
      <c r="AP113" s="137" t="str">
        <f>'Q100a-geral'!AP209</f>
        <v>x</v>
      </c>
      <c r="AQ113" s="137" t="str">
        <f>'Q100a-geral'!AQ209</f>
        <v>x</v>
      </c>
      <c r="AR113" s="137"/>
      <c r="AS113" s="137"/>
      <c r="AT113" s="137"/>
      <c r="AU113" s="137"/>
      <c r="AV113" s="137" t="str">
        <f>'Q100a-geral'!AV209</f>
        <v>x</v>
      </c>
      <c r="AW113" s="137"/>
      <c r="AX113" s="137"/>
      <c r="AY113" s="137"/>
      <c r="AZ113" s="137"/>
      <c r="BA113" s="137" t="str">
        <f>'Q100a-geral'!BA209</f>
        <v>x</v>
      </c>
      <c r="BB113" s="239" t="str">
        <f>'Q100a-geral'!BB209</f>
        <v>Populaçãox</v>
      </c>
      <c r="BC113" s="239" t="str">
        <f>'Q100a-geral'!BC209</f>
        <v>PopulaçãoxRMBH</v>
      </c>
      <c r="BD113" s="239" t="str">
        <f>'Q100a-geral'!BD209</f>
        <v>PopulaçãoRMBH</v>
      </c>
    </row>
    <row r="114" spans="1:56" s="3" customFormat="1" ht="39.75" customHeight="1" x14ac:dyDescent="0.25">
      <c r="A114" s="275" t="str">
        <f>'Q100a-geral'!A210</f>
        <v>2.4</v>
      </c>
      <c r="B114" s="54" t="str">
        <f>'Q100a-geral'!B210</f>
        <v>População</v>
      </c>
      <c r="C114" s="229" t="str">
        <f>'Q100a-geral'!C210</f>
        <v>x</v>
      </c>
      <c r="D114" s="36" t="str">
        <f>'Q100a-geral'!D210</f>
        <v>área</v>
      </c>
      <c r="E114" s="464" t="str">
        <f>'Q100a-geral'!E210</f>
        <v>Taquaraçu de Minas</v>
      </c>
      <c r="F114" s="446" t="str">
        <f>'Q100a-geral'!F210</f>
        <v>área do município (expressa em km2) utilizada para calcular a densidade demográfica
obs.: resultado de 2010 em IBGE (2010)</v>
      </c>
      <c r="G114" s="252" t="str">
        <f>'Q100a-geral'!G210</f>
        <v>registro na fonte</v>
      </c>
      <c r="H114" s="171" t="str">
        <f>'Q100a-geral'!H210</f>
        <v>RMBH</v>
      </c>
      <c r="I114" s="167">
        <f>'Q100a-geral'!I210</f>
        <v>1</v>
      </c>
      <c r="J114" s="93" t="str">
        <f>'Q100a-geral'!J210</f>
        <v>x</v>
      </c>
      <c r="K114" s="93" t="str">
        <f>'Q100a-geral'!K210</f>
        <v>x</v>
      </c>
      <c r="L114" s="93" t="str">
        <f>'Q100a-geral'!L210</f>
        <v>x</v>
      </c>
      <c r="M114" s="93" t="str">
        <f>'Q100a-geral'!M210</f>
        <v>x</v>
      </c>
      <c r="N114" s="93" t="str">
        <f>'Q100a-geral'!N210</f>
        <v>x</v>
      </c>
      <c r="O114" s="93" t="str">
        <f>'Q100a-geral'!O210</f>
        <v>x</v>
      </c>
      <c r="P114" s="93" t="str">
        <f>'Q100a-geral'!P210</f>
        <v>x</v>
      </c>
      <c r="Q114" s="93" t="str">
        <f>'Q100a-geral'!Q210</f>
        <v>x</v>
      </c>
      <c r="R114" s="93" t="str">
        <f>'Q100a-geral'!R210</f>
        <v>x</v>
      </c>
      <c r="S114" s="107" t="str">
        <f>'Q100a-geral'!S210</f>
        <v>só para pesquisa</v>
      </c>
      <c r="T114" s="84" t="str">
        <f>'Q100a-geral'!T210</f>
        <v>x</v>
      </c>
      <c r="U114" s="84" t="str">
        <f>'Q100a-geral'!U210</f>
        <v>x</v>
      </c>
      <c r="V114" s="107" t="str">
        <f>'Q100a-geral'!V210</f>
        <v>só para pesquisa</v>
      </c>
      <c r="W114" s="84" t="str">
        <f>'Q100a-geral'!W210</f>
        <v>x</v>
      </c>
      <c r="X114" s="84" t="str">
        <f>'Q100a-geral'!X210</f>
        <v>x</v>
      </c>
      <c r="Y114" s="84" t="str">
        <f>'Q100a-geral'!Y210</f>
        <v>x</v>
      </c>
      <c r="Z114" s="84" t="str">
        <f>'Q100a-geral'!Z210</f>
        <v>x</v>
      </c>
      <c r="AA114" s="84" t="str">
        <f>'Q100a-geral'!AA210</f>
        <v>x</v>
      </c>
      <c r="AB114" s="84" t="str">
        <f>'Q100a-geral'!AB210</f>
        <v>x</v>
      </c>
      <c r="AC114" s="84" t="str">
        <f>'Q100a-geral'!AC210</f>
        <v>x</v>
      </c>
      <c r="AD114" s="84" t="str">
        <f>'Q100a-geral'!AD210</f>
        <v>x</v>
      </c>
      <c r="AE114" s="84" t="str">
        <f>'Q100a-geral'!AE210</f>
        <v>x</v>
      </c>
      <c r="AF114" s="99">
        <f>'Q100a-geral'!AF210</f>
        <v>329.24</v>
      </c>
      <c r="AG114" s="84" t="str">
        <f>'Q100a-geral'!AG210</f>
        <v>x</v>
      </c>
      <c r="AH114" s="84" t="str">
        <f>'Q100a-geral'!AH210</f>
        <v>x</v>
      </c>
      <c r="AI114" s="84" t="str">
        <f>'Q100a-geral'!AI210</f>
        <v>x</v>
      </c>
      <c r="AJ114" s="84" t="str">
        <f>'Q100a-geral'!AJ210</f>
        <v>x</v>
      </c>
      <c r="AK114" s="137" t="str">
        <f>'Q100a-geral'!AK210</f>
        <v>x</v>
      </c>
      <c r="AL114" s="213" t="str">
        <f>'Q100a-geral'!AL210</f>
        <v>x</v>
      </c>
      <c r="AM114" s="137" t="str">
        <f>'Q100a-geral'!AM210</f>
        <v>x</v>
      </c>
      <c r="AN114" s="137" t="str">
        <f>'Q100a-geral'!AN210</f>
        <v>x</v>
      </c>
      <c r="AO114" s="137" t="str">
        <f>'Q100a-geral'!AO210</f>
        <v>x</v>
      </c>
      <c r="AP114" s="137" t="str">
        <f>'Q100a-geral'!AP210</f>
        <v>x</v>
      </c>
      <c r="AQ114" s="137" t="str">
        <f>'Q100a-geral'!AQ210</f>
        <v>x</v>
      </c>
      <c r="AR114" s="137"/>
      <c r="AS114" s="137"/>
      <c r="AT114" s="137"/>
      <c r="AU114" s="137"/>
      <c r="AV114" s="137" t="str">
        <f>'Q100a-geral'!AV210</f>
        <v>x</v>
      </c>
      <c r="AW114" s="137"/>
      <c r="AX114" s="137"/>
      <c r="AY114" s="137"/>
      <c r="AZ114" s="137"/>
      <c r="BA114" s="137" t="str">
        <f>'Q100a-geral'!BA210</f>
        <v>x</v>
      </c>
      <c r="BB114" s="239" t="str">
        <f>'Q100a-geral'!BB210</f>
        <v>Populaçãox</v>
      </c>
      <c r="BC114" s="239" t="str">
        <f>'Q100a-geral'!BC210</f>
        <v>PopulaçãoxRMBH</v>
      </c>
      <c r="BD114" s="239" t="str">
        <f>'Q100a-geral'!BD210</f>
        <v>PopulaçãoRMBH</v>
      </c>
    </row>
    <row r="115" spans="1:56" s="3" customFormat="1" ht="28.5" customHeight="1" x14ac:dyDescent="0.25">
      <c r="A115" s="275" t="str">
        <f>'Q100a-geral'!A211</f>
        <v>2.4</v>
      </c>
      <c r="B115" s="54" t="str">
        <f>'Q100a-geral'!B211</f>
        <v>População</v>
      </c>
      <c r="C115" s="229" t="str">
        <f>'Q100a-geral'!C211</f>
        <v>x</v>
      </c>
      <c r="D115" s="36" t="str">
        <f>'Q100a-geral'!D211</f>
        <v>área</v>
      </c>
      <c r="E115" s="464" t="str">
        <f>'Q100a-geral'!E211</f>
        <v>Vespasiano</v>
      </c>
      <c r="F115" s="446" t="str">
        <f>'Q100a-geral'!F211</f>
        <v>área do município (expressa em km2) utilizada para calcular a densidade demográfica
obs.: resultado de 2010 em IBGE (2010)</v>
      </c>
      <c r="G115" s="252" t="str">
        <f>'Q100a-geral'!G211</f>
        <v>registro na fonte</v>
      </c>
      <c r="H115" s="171" t="str">
        <f>'Q100a-geral'!H211</f>
        <v>RMBH</v>
      </c>
      <c r="I115" s="167">
        <f>'Q100a-geral'!I211</f>
        <v>1</v>
      </c>
      <c r="J115" s="93" t="str">
        <f>'Q100a-geral'!J211</f>
        <v>x</v>
      </c>
      <c r="K115" s="93" t="str">
        <f>'Q100a-geral'!K211</f>
        <v>x</v>
      </c>
      <c r="L115" s="93" t="str">
        <f>'Q100a-geral'!L211</f>
        <v>x</v>
      </c>
      <c r="M115" s="93" t="str">
        <f>'Q100a-geral'!M211</f>
        <v>x</v>
      </c>
      <c r="N115" s="93" t="str">
        <f>'Q100a-geral'!N211</f>
        <v>x</v>
      </c>
      <c r="O115" s="93" t="str">
        <f>'Q100a-geral'!O211</f>
        <v>x</v>
      </c>
      <c r="P115" s="93" t="str">
        <f>'Q100a-geral'!P211</f>
        <v>x</v>
      </c>
      <c r="Q115" s="93" t="str">
        <f>'Q100a-geral'!Q211</f>
        <v>x</v>
      </c>
      <c r="R115" s="93" t="str">
        <f>'Q100a-geral'!R211</f>
        <v>x</v>
      </c>
      <c r="S115" s="107" t="str">
        <f>'Q100a-geral'!S211</f>
        <v>só para pesquisa</v>
      </c>
      <c r="T115" s="84" t="str">
        <f>'Q100a-geral'!T211</f>
        <v>x</v>
      </c>
      <c r="U115" s="84" t="str">
        <f>'Q100a-geral'!U211</f>
        <v>x</v>
      </c>
      <c r="V115" s="107" t="str">
        <f>'Q100a-geral'!V211</f>
        <v>só para pesquisa</v>
      </c>
      <c r="W115" s="84" t="str">
        <f>'Q100a-geral'!W211</f>
        <v>x</v>
      </c>
      <c r="X115" s="84" t="str">
        <f>'Q100a-geral'!X211</f>
        <v>x</v>
      </c>
      <c r="Y115" s="84" t="str">
        <f>'Q100a-geral'!Y211</f>
        <v>x</v>
      </c>
      <c r="Z115" s="84" t="str">
        <f>'Q100a-geral'!Z211</f>
        <v>x</v>
      </c>
      <c r="AA115" s="84" t="str">
        <f>'Q100a-geral'!AA211</f>
        <v>x</v>
      </c>
      <c r="AB115" s="84" t="str">
        <f>'Q100a-geral'!AB211</f>
        <v>x</v>
      </c>
      <c r="AC115" s="84" t="str">
        <f>'Q100a-geral'!AC211</f>
        <v>x</v>
      </c>
      <c r="AD115" s="84" t="str">
        <f>'Q100a-geral'!AD211</f>
        <v>x</v>
      </c>
      <c r="AE115" s="84" t="str">
        <f>'Q100a-geral'!AE211</f>
        <v>x</v>
      </c>
      <c r="AF115" s="83">
        <f>'Q100a-geral'!AF211</f>
        <v>71.180000000000007</v>
      </c>
      <c r="AG115" s="84" t="str">
        <f>'Q100a-geral'!AG211</f>
        <v>x</v>
      </c>
      <c r="AH115" s="84" t="str">
        <f>'Q100a-geral'!AH211</f>
        <v>x</v>
      </c>
      <c r="AI115" s="84" t="str">
        <f>'Q100a-geral'!AI211</f>
        <v>x</v>
      </c>
      <c r="AJ115" s="84" t="str">
        <f>'Q100a-geral'!AJ211</f>
        <v>x</v>
      </c>
      <c r="AK115" s="137" t="str">
        <f>'Q100a-geral'!AK211</f>
        <v>x</v>
      </c>
      <c r="AL115" s="213" t="str">
        <f>'Q100a-geral'!AL211</f>
        <v>x</v>
      </c>
      <c r="AM115" s="137" t="str">
        <f>'Q100a-geral'!AM211</f>
        <v>x</v>
      </c>
      <c r="AN115" s="137" t="str">
        <f>'Q100a-geral'!AN211</f>
        <v>x</v>
      </c>
      <c r="AO115" s="137" t="str">
        <f>'Q100a-geral'!AO211</f>
        <v>x</v>
      </c>
      <c r="AP115" s="137" t="str">
        <f>'Q100a-geral'!AP211</f>
        <v>x</v>
      </c>
      <c r="AQ115" s="137" t="str">
        <f>'Q100a-geral'!AQ211</f>
        <v>x</v>
      </c>
      <c r="AR115" s="137"/>
      <c r="AS115" s="137"/>
      <c r="AT115" s="137"/>
      <c r="AU115" s="137"/>
      <c r="AV115" s="137" t="str">
        <f>'Q100a-geral'!AV211</f>
        <v>x</v>
      </c>
      <c r="AW115" s="137"/>
      <c r="AX115" s="137"/>
      <c r="AY115" s="137"/>
      <c r="AZ115" s="137"/>
      <c r="BA115" s="137" t="str">
        <f>'Q100a-geral'!BA211</f>
        <v>x</v>
      </c>
      <c r="BB115" s="239" t="str">
        <f>'Q100a-geral'!BB211</f>
        <v>Populaçãox</v>
      </c>
      <c r="BC115" s="239" t="str">
        <f>'Q100a-geral'!BC211</f>
        <v>PopulaçãoxRMBH</v>
      </c>
      <c r="BD115" s="239" t="str">
        <f>'Q100a-geral'!BD211</f>
        <v>PopulaçãoRMBH</v>
      </c>
    </row>
    <row r="116" spans="1:56" s="3" customFormat="1" ht="103.5" customHeight="1" x14ac:dyDescent="0.25">
      <c r="A116" s="275" t="str">
        <f>'Q100a-geral'!A234</f>
        <v>3.2.1</v>
      </c>
      <c r="B116" s="53" t="str">
        <f>'Q100a-geral'!B234</f>
        <v>Avaliações em pesquisas externas de opinião</v>
      </c>
      <c r="C116" s="229" t="str">
        <f>'Q100a-geral'!C234</f>
        <v>x</v>
      </c>
      <c r="D116" s="287" t="str">
        <f>'Q100a-geral'!D234</f>
        <v>Atc</v>
      </c>
      <c r="E116" s="458" t="str">
        <f>'Q100a-geral'!E234</f>
        <v>Belo Horizonte</v>
      </c>
      <c r="F116" s="490" t="str">
        <f>'Q100a-geral'!F234</f>
        <v>avaliação geral do transporte coletivo
obs.1: consulte "A" para bem entender este indicador
obs.2: análises dos resultados das evoluções dos indicadores "Atc" entre 1995 e 2011 são encontrados em OLIVEIRA (2014)
obs.3: não confundir com AVGE
obs.4: selecionado como indicador de referência da ação "tornar o transporte coletivo mais atrativo frente ao transporte individual" do Plano de Redução de Emissões de Gases de Efeito Estufa - Pregee do Comitê Municipal sobre Mudanças Climáticas e Ecoeficiência - CMMCE (Secretaria Municipal de Meio Ambiente - SMMA da Prefeitura de Belo Horizonte)</v>
      </c>
      <c r="G116" s="252" t="str">
        <f>'Q100a-geral'!G234</f>
        <v>Atc = ((Atc[o]x5)+(Atc[b]x4)+ (Atc[rg]x3)+(Atc[r]x2)+ (Atc[p]x1))/(100-Atc[NS.NR])</v>
      </c>
      <c r="H116" s="173" t="str">
        <f>'Q100a-geral'!H234</f>
        <v>x</v>
      </c>
      <c r="I116" s="167">
        <f>'Q100a-geral'!I234</f>
        <v>1</v>
      </c>
      <c r="J116" s="107" t="str">
        <f>'Q100a-geral'!J234</f>
        <v>x</v>
      </c>
      <c r="K116" s="107" t="str">
        <f>'Q100a-geral'!K234</f>
        <v>x</v>
      </c>
      <c r="L116" s="107" t="str">
        <f>'Q100a-geral'!L234</f>
        <v>x</v>
      </c>
      <c r="M116" s="107" t="str">
        <f>'Q100a-geral'!M234</f>
        <v>x</v>
      </c>
      <c r="N116" s="107" t="str">
        <f>'Q100a-geral'!N234</f>
        <v>x</v>
      </c>
      <c r="O116" s="64">
        <f>'Q100a-geral'!O234</f>
        <v>3</v>
      </c>
      <c r="P116" s="64">
        <f>'Q100a-geral'!P234</f>
        <v>2.8525252525252527</v>
      </c>
      <c r="Q116" s="132"/>
      <c r="R116" s="64">
        <f>'Q100a-geral'!R234</f>
        <v>2.9545454545454546</v>
      </c>
      <c r="S116" s="132"/>
      <c r="T116" s="132"/>
      <c r="U116" s="64">
        <f>'Q100a-geral'!U234</f>
        <v>2.7777777777777777</v>
      </c>
      <c r="V116" s="132"/>
      <c r="W116" s="64">
        <f>'Q100a-geral'!W234</f>
        <v>3.148841444905393</v>
      </c>
      <c r="X116" s="64">
        <f>'Q100a-geral'!X234</f>
        <v>3.3297199638663062</v>
      </c>
      <c r="Y116" s="64">
        <f>'Q100a-geral'!Y234</f>
        <v>3.0383993532740505</v>
      </c>
      <c r="Z116" s="64">
        <f>'Q100a-geral'!Z234</f>
        <v>2.7936424120815291</v>
      </c>
      <c r="AA116" s="64">
        <f>'Q100a-geral'!AA234</f>
        <v>3.1122448979591835</v>
      </c>
      <c r="AB116" s="64">
        <f>'Q100a-geral'!AB234</f>
        <v>2.9773455866638172</v>
      </c>
      <c r="AC116" s="64">
        <f>'Q100a-geral'!AC234</f>
        <v>3.111418614186142</v>
      </c>
      <c r="AD116" s="64">
        <f>'Q100a-geral'!AD234</f>
        <v>2.4774283269148478</v>
      </c>
      <c r="AE116" s="134"/>
      <c r="AF116" s="64">
        <f>'Q100a-geral'!AF234</f>
        <v>2.5290685772773798</v>
      </c>
      <c r="AG116" s="64">
        <f>'Q100a-geral'!AG234</f>
        <v>2.5395942745340334</v>
      </c>
      <c r="AH116" s="134"/>
      <c r="AI116" s="81">
        <f>'Q100a-geral'!AI234</f>
        <v>2.1515151515151514</v>
      </c>
      <c r="AJ116" s="134"/>
      <c r="AK116" s="44">
        <f>'Q100a-geral'!AK234</f>
        <v>2.3958333333333335</v>
      </c>
      <c r="AL116" s="212" t="str">
        <f>'Q100a-geral'!AL234</f>
        <v>x</v>
      </c>
      <c r="AM116" s="137" t="str">
        <f>'Q100a-geral'!AM234</f>
        <v>x</v>
      </c>
      <c r="AN116" s="137" t="str">
        <f>'Q100a-geral'!AN234</f>
        <v>x</v>
      </c>
      <c r="AO116" s="137" t="str">
        <f>'Q100a-geral'!AO234</f>
        <v>x</v>
      </c>
      <c r="AP116" s="137" t="str">
        <f>'Q100a-geral'!AP234</f>
        <v>x</v>
      </c>
      <c r="AQ116" s="137" t="str">
        <f>'Q100a-geral'!AQ234</f>
        <v>x</v>
      </c>
      <c r="AR116" s="137"/>
      <c r="AS116" s="137"/>
      <c r="AT116" s="137"/>
      <c r="AU116" s="137"/>
      <c r="AV116" s="137" t="str">
        <f>'Q100a-geral'!AV234</f>
        <v>x</v>
      </c>
      <c r="AW116" s="137"/>
      <c r="AX116" s="137"/>
      <c r="AY116" s="137"/>
      <c r="AZ116" s="137"/>
      <c r="BA116" s="137" t="str">
        <f>'Q100a-geral'!BA234</f>
        <v>x</v>
      </c>
      <c r="BB116" s="239" t="str">
        <f>'Q100a-geral'!BB234</f>
        <v>Avaliações em pesquisas externas de opiniãox</v>
      </c>
      <c r="BC116" s="239" t="str">
        <f>'Q100a-geral'!BC234</f>
        <v>Avaliações em pesquisas externas de opiniãoxx</v>
      </c>
      <c r="BD116" s="239" t="str">
        <f>'Q100a-geral'!BD234</f>
        <v>Avaliações em pesquisas externas de opiniãox</v>
      </c>
    </row>
    <row r="117" spans="1:56" s="3" customFormat="1" ht="47.25" customHeight="1" x14ac:dyDescent="0.25">
      <c r="A117" s="275" t="str">
        <f>'Q100a-geral'!A235</f>
        <v>3.2.1</v>
      </c>
      <c r="B117" s="53" t="str">
        <f>'Q100a-geral'!B235</f>
        <v>Avaliações em pesquisas externas de opinião</v>
      </c>
      <c r="C117" s="229" t="str">
        <f>'Q100a-geral'!C235</f>
        <v>x</v>
      </c>
      <c r="D117" s="326" t="str">
        <f>'Q100a-geral'!D235</f>
        <v>Atc[rg]</v>
      </c>
      <c r="E117" s="465" t="str">
        <f>'Q100a-geral'!E235</f>
        <v>Belo Horizonte</v>
      </c>
      <c r="F117" s="490" t="str">
        <f>'Q100a-geral'!F235</f>
        <v>percentual de "regular" (respostas "regular" ou nota "3") na avaliação geral do transporte coletivo (resultados de 1995 a 2012: OLIVEIRA, 2014, Tabela 4.35 a 4.51 - Apêndice D; 2013: DOXA, 2013;  2014: não foi realizada pesquisa; 2015: DOXA, 2015)</v>
      </c>
      <c r="G117" s="252" t="str">
        <f>'Q100a-geral'!G235</f>
        <v>registro na fonte
(∑ respostas "regular")/ n.º de respondentes) x 100</v>
      </c>
      <c r="H117" s="173" t="str">
        <f>'Q100a-geral'!H235</f>
        <v>x</v>
      </c>
      <c r="I117" s="167">
        <f>'Q100a-geral'!I235</f>
        <v>1</v>
      </c>
      <c r="J117" s="107" t="str">
        <f>'Q100a-geral'!J235</f>
        <v>x</v>
      </c>
      <c r="K117" s="107" t="str">
        <f>'Q100a-geral'!K235</f>
        <v>x</v>
      </c>
      <c r="L117" s="107" t="str">
        <f>'Q100a-geral'!L235</f>
        <v>x</v>
      </c>
      <c r="M117" s="107" t="str">
        <f>'Q100a-geral'!M235</f>
        <v>x</v>
      </c>
      <c r="N117" s="107" t="str">
        <f>'Q100a-geral'!N235</f>
        <v>x</v>
      </c>
      <c r="O117" s="83">
        <f>'Q100a-geral'!O235</f>
        <v>39</v>
      </c>
      <c r="P117" s="83">
        <f>'Q100a-geral'!P235</f>
        <v>37</v>
      </c>
      <c r="Q117" s="132"/>
      <c r="R117" s="83">
        <f>'Q100a-geral'!R235</f>
        <v>34</v>
      </c>
      <c r="S117" s="132"/>
      <c r="T117" s="132"/>
      <c r="U117" s="83">
        <f>'Q100a-geral'!U235</f>
        <v>35</v>
      </c>
      <c r="V117" s="132"/>
      <c r="W117" s="83">
        <f>'Q100a-geral'!W235</f>
        <v>40.43</v>
      </c>
      <c r="X117" s="83">
        <f>'Q100a-geral'!X235</f>
        <v>39.26</v>
      </c>
      <c r="Y117" s="83">
        <f>'Q100a-geral'!Y235</f>
        <v>41.41</v>
      </c>
      <c r="Z117" s="83">
        <f>'Q100a-geral'!Z235</f>
        <v>34.159999999999997</v>
      </c>
      <c r="AA117" s="83">
        <f>'Q100a-geral'!AA235</f>
        <v>43</v>
      </c>
      <c r="AB117" s="83">
        <f>'Q100a-geral'!AB235</f>
        <v>35.659999999999997</v>
      </c>
      <c r="AC117" s="83">
        <f>'Q100a-geral'!AC235</f>
        <v>41.48</v>
      </c>
      <c r="AD117" s="83">
        <f>'Q100a-geral'!AD235</f>
        <v>39.11</v>
      </c>
      <c r="AE117" s="134"/>
      <c r="AF117" s="83">
        <f>'Q100a-geral'!AF235</f>
        <v>42.74</v>
      </c>
      <c r="AG117" s="83">
        <f>'Q100a-geral'!AG235</f>
        <v>32.25</v>
      </c>
      <c r="AH117" s="134"/>
      <c r="AI117" s="83">
        <f>'Q100a-geral'!AI235</f>
        <v>28</v>
      </c>
      <c r="AJ117" s="134"/>
      <c r="AK117" s="85">
        <f>'Q100a-geral'!AK235</f>
        <v>36</v>
      </c>
      <c r="AL117" s="212" t="str">
        <f>'Q100a-geral'!AL235</f>
        <v>x</v>
      </c>
      <c r="AM117" s="137" t="str">
        <f>'Q100a-geral'!AM235</f>
        <v>x</v>
      </c>
      <c r="AN117" s="137" t="str">
        <f>'Q100a-geral'!AN235</f>
        <v>x</v>
      </c>
      <c r="AO117" s="137" t="str">
        <f>'Q100a-geral'!AO235</f>
        <v>x</v>
      </c>
      <c r="AP117" s="137" t="str">
        <f>'Q100a-geral'!AP235</f>
        <v>x</v>
      </c>
      <c r="AQ117" s="137" t="str">
        <f>'Q100a-geral'!AQ235</f>
        <v>x</v>
      </c>
      <c r="AR117" s="137"/>
      <c r="AS117" s="137"/>
      <c r="AT117" s="137"/>
      <c r="AU117" s="137"/>
      <c r="AV117" s="137" t="str">
        <f>'Q100a-geral'!AV235</f>
        <v>x</v>
      </c>
      <c r="AW117" s="137"/>
      <c r="AX117" s="137"/>
      <c r="AY117" s="137"/>
      <c r="AZ117" s="137"/>
      <c r="BA117" s="137" t="str">
        <f>'Q100a-geral'!BA235</f>
        <v>x</v>
      </c>
      <c r="BB117" s="239" t="str">
        <f>'Q100a-geral'!BB235</f>
        <v>Avaliações em pesquisas externas de opiniãox</v>
      </c>
      <c r="BC117" s="239" t="str">
        <f>'Q100a-geral'!BC235</f>
        <v>Avaliações em pesquisas externas de opiniãoxx</v>
      </c>
      <c r="BD117" s="239" t="str">
        <f>'Q100a-geral'!BD235</f>
        <v>Avaliações em pesquisas externas de opiniãox</v>
      </c>
    </row>
    <row r="118" spans="1:56" s="3" customFormat="1" ht="47.25" customHeight="1" x14ac:dyDescent="0.25">
      <c r="A118" s="275" t="str">
        <f>'Q100a-geral'!A236</f>
        <v>3.2.1</v>
      </c>
      <c r="B118" s="53" t="str">
        <f>'Q100a-geral'!B236</f>
        <v>Avaliações em pesquisas externas de opinião</v>
      </c>
      <c r="C118" s="229" t="str">
        <f>'Q100a-geral'!C236</f>
        <v>x</v>
      </c>
      <c r="D118" s="36" t="str">
        <f>'Q100a-geral'!D236</f>
        <v>Atc[b]</v>
      </c>
      <c r="E118" s="464" t="str">
        <f>'Q100a-geral'!E236</f>
        <v>Belo Horizonte</v>
      </c>
      <c r="F118" s="447" t="str">
        <f>'Q100a-geral'!F236</f>
        <v>percentual de respostas "bom" na avaliação geral do transporte coletivo (resultados de 1995 a 2012: OLIVEIRA, 2014, Tabela 4.35 a 4.51 - Apêndice D; 2013: DOXA, 2013;  2014: não foi realizada pesquisa; 2015: DOXA, 2015)</v>
      </c>
      <c r="G118" s="252" t="str">
        <f>'Q100a-geral'!G236</f>
        <v>registro na fonte
(∑ respostas "bom" / n.º de respondentes) x 100</v>
      </c>
      <c r="H118" s="173" t="str">
        <f>'Q100a-geral'!H236</f>
        <v>x</v>
      </c>
      <c r="I118" s="167">
        <f>'Q100a-geral'!I236</f>
        <v>1</v>
      </c>
      <c r="J118" s="107" t="str">
        <f>'Q100a-geral'!J236</f>
        <v>x</v>
      </c>
      <c r="K118" s="107" t="str">
        <f>'Q100a-geral'!K236</f>
        <v>x</v>
      </c>
      <c r="L118" s="107" t="str">
        <f>'Q100a-geral'!L236</f>
        <v>x</v>
      </c>
      <c r="M118" s="107" t="str">
        <f>'Q100a-geral'!M236</f>
        <v>x</v>
      </c>
      <c r="N118" s="107" t="str">
        <f>'Q100a-geral'!N236</f>
        <v>x</v>
      </c>
      <c r="O118" s="83">
        <f>'Q100a-geral'!O236</f>
        <v>30</v>
      </c>
      <c r="P118" s="84">
        <f>'Q100a-geral'!P236</f>
        <v>28</v>
      </c>
      <c r="Q118" s="132"/>
      <c r="R118" s="83">
        <f>'Q100a-geral'!R236</f>
        <v>32</v>
      </c>
      <c r="S118" s="132"/>
      <c r="T118" s="132"/>
      <c r="U118" s="83">
        <f>'Q100a-geral'!U236</f>
        <v>26</v>
      </c>
      <c r="V118" s="132"/>
      <c r="W118" s="83">
        <f>'Q100a-geral'!W236</f>
        <v>24.82</v>
      </c>
      <c r="X118" s="83">
        <f>'Q100a-geral'!X236</f>
        <v>29.41</v>
      </c>
      <c r="Y118" s="83">
        <f>'Q100a-geral'!Y236</f>
        <v>20.149999999999999</v>
      </c>
      <c r="Z118" s="83">
        <f>'Q100a-geral'!Z236</f>
        <v>24.71</v>
      </c>
      <c r="AA118" s="83">
        <f>'Q100a-geral'!AA236</f>
        <v>32</v>
      </c>
      <c r="AB118" s="83">
        <f>'Q100a-geral'!AB236</f>
        <v>29.89</v>
      </c>
      <c r="AC118" s="83">
        <f>'Q100a-geral'!AC236</f>
        <v>34.74</v>
      </c>
      <c r="AD118" s="83">
        <f>'Q100a-geral'!AD236</f>
        <v>11.19</v>
      </c>
      <c r="AE118" s="134"/>
      <c r="AF118" s="83">
        <f>'Q100a-geral'!AF236</f>
        <v>11.26</v>
      </c>
      <c r="AG118" s="83">
        <f>'Q100a-geral'!AG236</f>
        <v>19.010000000000002</v>
      </c>
      <c r="AH118" s="134"/>
      <c r="AI118" s="83">
        <f>'Q100a-geral'!AI236</f>
        <v>10</v>
      </c>
      <c r="AJ118" s="134"/>
      <c r="AK118" s="85">
        <f>'Q100a-geral'!AK236</f>
        <v>13</v>
      </c>
      <c r="AL118" s="212" t="str">
        <f>'Q100a-geral'!AL236</f>
        <v>x</v>
      </c>
      <c r="AM118" s="137" t="str">
        <f>'Q100a-geral'!AM236</f>
        <v>x</v>
      </c>
      <c r="AN118" s="137" t="str">
        <f>'Q100a-geral'!AN236</f>
        <v>x</v>
      </c>
      <c r="AO118" s="137" t="str">
        <f>'Q100a-geral'!AO236</f>
        <v>x</v>
      </c>
      <c r="AP118" s="137" t="str">
        <f>'Q100a-geral'!AP236</f>
        <v>x</v>
      </c>
      <c r="AQ118" s="137" t="str">
        <f>'Q100a-geral'!AQ236</f>
        <v>x</v>
      </c>
      <c r="AR118" s="137"/>
      <c r="AS118" s="137"/>
      <c r="AT118" s="137"/>
      <c r="AU118" s="137"/>
      <c r="AV118" s="137" t="str">
        <f>'Q100a-geral'!AV236</f>
        <v>x</v>
      </c>
      <c r="AW118" s="137"/>
      <c r="AX118" s="137"/>
      <c r="AY118" s="137"/>
      <c r="AZ118" s="137"/>
      <c r="BA118" s="137" t="str">
        <f>'Q100a-geral'!BA236</f>
        <v>x</v>
      </c>
      <c r="BB118" s="239" t="str">
        <f>'Q100a-geral'!BB236</f>
        <v>Avaliações em pesquisas externas de opiniãox</v>
      </c>
      <c r="BC118" s="239" t="str">
        <f>'Q100a-geral'!BC236</f>
        <v>Avaliações em pesquisas externas de opiniãoxx</v>
      </c>
      <c r="BD118" s="239" t="str">
        <f>'Q100a-geral'!BD236</f>
        <v>Avaliações em pesquisas externas de opiniãox</v>
      </c>
    </row>
    <row r="119" spans="1:56" s="3" customFormat="1" ht="47.25" customHeight="1" x14ac:dyDescent="0.25">
      <c r="A119" s="275" t="str">
        <f>'Q100a-geral'!A237</f>
        <v>3.2.1</v>
      </c>
      <c r="B119" s="53" t="str">
        <f>'Q100a-geral'!B237</f>
        <v>Avaliações em pesquisas externas de opinião</v>
      </c>
      <c r="C119" s="229" t="str">
        <f>'Q100a-geral'!C237</f>
        <v>x</v>
      </c>
      <c r="D119" s="36" t="str">
        <f>'Q100a-geral'!D237</f>
        <v>Atc[NS.NR]</v>
      </c>
      <c r="E119" s="464" t="str">
        <f>'Q100a-geral'!E237</f>
        <v>Belo Horizonte</v>
      </c>
      <c r="F119" s="447" t="str">
        <f>'Q100a-geral'!F237</f>
        <v>percentual de respostas "não sabe" e "não respondeu" (NS.NR) na avaliação geral do transporte coletivo (resultados de 1995 a 2012: OLIVEIRA, 2014, Tabela 4.35 a 4.51 - Apêndice D; 2013: DOXA, 2013;  2014: não foi realizada pesquisa; 2015: DOXA, 2015)</v>
      </c>
      <c r="G119" s="252" t="str">
        <f>'Q100a-geral'!G237</f>
        <v>registro na fonte
(∑ respostas "NS.NR" / n.º de respondentes) x 100</v>
      </c>
      <c r="H119" s="173" t="str">
        <f>'Q100a-geral'!H237</f>
        <v>x</v>
      </c>
      <c r="I119" s="167">
        <f>'Q100a-geral'!I237</f>
        <v>1</v>
      </c>
      <c r="J119" s="107" t="str">
        <f>'Q100a-geral'!J237</f>
        <v>x</v>
      </c>
      <c r="K119" s="107" t="str">
        <f>'Q100a-geral'!K237</f>
        <v>x</v>
      </c>
      <c r="L119" s="107" t="str">
        <f>'Q100a-geral'!L237</f>
        <v>x</v>
      </c>
      <c r="M119" s="107" t="str">
        <f>'Q100a-geral'!M237</f>
        <v>x</v>
      </c>
      <c r="N119" s="107" t="str">
        <f>'Q100a-geral'!N237</f>
        <v>x</v>
      </c>
      <c r="O119" s="83">
        <f>'Q100a-geral'!O237</f>
        <v>1</v>
      </c>
      <c r="P119" s="84">
        <f>'Q100a-geral'!P237</f>
        <v>1</v>
      </c>
      <c r="Q119" s="132"/>
      <c r="R119" s="83">
        <f>'Q100a-geral'!R237</f>
        <v>1</v>
      </c>
      <c r="S119" s="132"/>
      <c r="T119" s="132"/>
      <c r="U119" s="83">
        <f>'Q100a-geral'!U237</f>
        <v>1</v>
      </c>
      <c r="V119" s="132"/>
      <c r="W119" s="83">
        <f>'Q100a-geral'!W237</f>
        <v>1.17</v>
      </c>
      <c r="X119" s="83">
        <f>'Q100a-geral'!X237</f>
        <v>0.37</v>
      </c>
      <c r="Y119" s="83">
        <f>'Q100a-geral'!Y237</f>
        <v>1.04</v>
      </c>
      <c r="Z119" s="83">
        <f>'Q100a-geral'!Z237</f>
        <v>5.31</v>
      </c>
      <c r="AA119" s="83">
        <f>'Q100a-geral'!AA237</f>
        <v>2</v>
      </c>
      <c r="AB119" s="83">
        <f>'Q100a-geral'!AB237</f>
        <v>6.42</v>
      </c>
      <c r="AC119" s="83">
        <f>'Q100a-geral'!AC237</f>
        <v>2.44</v>
      </c>
      <c r="AD119" s="83">
        <f>'Q100a-geral'!AD237</f>
        <v>6.52</v>
      </c>
      <c r="AE119" s="134"/>
      <c r="AF119" s="83">
        <f>'Q100a-geral'!AF237</f>
        <v>2.2999999999999998</v>
      </c>
      <c r="AG119" s="83">
        <f>'Q100a-geral'!AG237</f>
        <v>2.89</v>
      </c>
      <c r="AH119" s="134"/>
      <c r="AI119" s="83">
        <f>'Q100a-geral'!AI237</f>
        <v>1</v>
      </c>
      <c r="AJ119" s="134"/>
      <c r="AK119" s="85">
        <f>'Q100a-geral'!AK237</f>
        <v>4</v>
      </c>
      <c r="AL119" s="212" t="str">
        <f>'Q100a-geral'!AL237</f>
        <v>x</v>
      </c>
      <c r="AM119" s="137" t="str">
        <f>'Q100a-geral'!AM237</f>
        <v>x</v>
      </c>
      <c r="AN119" s="137" t="str">
        <f>'Q100a-geral'!AN237</f>
        <v>x</v>
      </c>
      <c r="AO119" s="137" t="str">
        <f>'Q100a-geral'!AO237</f>
        <v>x</v>
      </c>
      <c r="AP119" s="137" t="str">
        <f>'Q100a-geral'!AP237</f>
        <v>x</v>
      </c>
      <c r="AQ119" s="137" t="str">
        <f>'Q100a-geral'!AQ237</f>
        <v>x</v>
      </c>
      <c r="AR119" s="137"/>
      <c r="AS119" s="137"/>
      <c r="AT119" s="137"/>
      <c r="AU119" s="137"/>
      <c r="AV119" s="137" t="str">
        <f>'Q100a-geral'!AV237</f>
        <v>x</v>
      </c>
      <c r="AW119" s="137"/>
      <c r="AX119" s="137"/>
      <c r="AY119" s="137"/>
      <c r="AZ119" s="137"/>
      <c r="BA119" s="137" t="str">
        <f>'Q100a-geral'!BA237</f>
        <v>x</v>
      </c>
      <c r="BB119" s="239" t="str">
        <f>'Q100a-geral'!BB237</f>
        <v>Avaliações em pesquisas externas de opiniãox</v>
      </c>
      <c r="BC119" s="239" t="str">
        <f>'Q100a-geral'!BC237</f>
        <v>Avaliações em pesquisas externas de opiniãoxx</v>
      </c>
      <c r="BD119" s="239" t="str">
        <f>'Q100a-geral'!BD237</f>
        <v>Avaliações em pesquisas externas de opiniãox</v>
      </c>
    </row>
    <row r="120" spans="1:56" s="3" customFormat="1" ht="127.5" customHeight="1" x14ac:dyDescent="0.25">
      <c r="A120" s="275" t="str">
        <f>'Q100a-geral'!A238</f>
        <v>3.2.1</v>
      </c>
      <c r="B120" s="53" t="str">
        <f>'Q100a-geral'!B238</f>
        <v>Avaliações em pesquisas externas de opinião</v>
      </c>
      <c r="C120" s="229" t="str">
        <f>'Q100a-geral'!C238</f>
        <v>x</v>
      </c>
      <c r="D120" s="326" t="str">
        <f>'Q100a-geral'!D238</f>
        <v>Atc[o/b]</v>
      </c>
      <c r="E120" s="465" t="str">
        <f>'Q100a-geral'!E238</f>
        <v>Belo Horizonte</v>
      </c>
      <c r="F120" s="490" t="str">
        <f>'Q100a-geral'!F238</f>
        <v>percentual de avaliação positiva (ótimo + bom) do transporte coletivo de Belo Horizonte
obs.1: este indicador é obtido pela soma dos percentuais de "ótimo" e "bom" ou de "nota 5" e "nota 4" na avaliação geral do transporte coletivo, ou, quando não há os resultados das parcelas, é obtido diretamente na fonte
obs.2: indicador estratégico em BHTRANS (2015d) 
obs.3: este indicador faz parte dos balanços da mobilidade do Observatório da Mobilidade de Belo Horizonte com o nome "Avaliação geral do transporte coletivo [AVGE] (percentual de ótimo/bom)" - (BHTRANS, 2011a, p.15, 2012a, p.18) ou "Percentual de avaliação positiva do transporte coletivo" em BHTRANS (2015e, p.43)
obs.4: este indicador faz parte do Planejamento Estratégico da BHTrans com o nome "Avaliação geral do transporte coletivo" em BHTRANS(2010a, p.22; 2013a, p.20)</v>
      </c>
      <c r="G120" s="252" t="str">
        <f>'Q100a-geral'!G238</f>
        <v>Atc[o] + Atc[b]</v>
      </c>
      <c r="H120" s="173" t="str">
        <f>'Q100a-geral'!H238</f>
        <v>x</v>
      </c>
      <c r="I120" s="167">
        <f>'Q100a-geral'!I238</f>
        <v>1</v>
      </c>
      <c r="J120" s="107" t="str">
        <f>'Q100a-geral'!J238</f>
        <v>x</v>
      </c>
      <c r="K120" s="107" t="str">
        <f>'Q100a-geral'!K238</f>
        <v>x</v>
      </c>
      <c r="L120" s="107" t="str">
        <f>'Q100a-geral'!L238</f>
        <v>x</v>
      </c>
      <c r="M120" s="107" t="str">
        <f>'Q100a-geral'!M238</f>
        <v>x</v>
      </c>
      <c r="N120" s="107" t="str">
        <f>'Q100a-geral'!N238</f>
        <v>x</v>
      </c>
      <c r="O120" s="72">
        <f>'Q100a-geral'!O238</f>
        <v>35</v>
      </c>
      <c r="P120" s="72">
        <f>'Q100a-geral'!P238</f>
        <v>31</v>
      </c>
      <c r="Q120" s="132"/>
      <c r="R120" s="72">
        <f>'Q100a-geral'!R238</f>
        <v>36</v>
      </c>
      <c r="S120" s="132"/>
      <c r="T120" s="132"/>
      <c r="U120" s="72">
        <f>'Q100a-geral'!U238</f>
        <v>29</v>
      </c>
      <c r="V120" s="132"/>
      <c r="W120" s="72">
        <f>'Q100a-geral'!W238</f>
        <v>35.370000000000005</v>
      </c>
      <c r="X120" s="72">
        <f>'Q100a-geral'!X238</f>
        <v>42.97</v>
      </c>
      <c r="Y120" s="72">
        <f>'Q100a-geral'!Y238</f>
        <v>31.259999999999998</v>
      </c>
      <c r="Z120" s="72">
        <f>'Q100a-geral'!Z238</f>
        <v>28.03</v>
      </c>
      <c r="AA120" s="72">
        <f>'Q100a-geral'!AA238</f>
        <v>36</v>
      </c>
      <c r="AB120" s="72">
        <f>'Q100a-geral'!AB238</f>
        <v>32.39</v>
      </c>
      <c r="AC120" s="72">
        <f>'Q100a-geral'!AC238</f>
        <v>36.520000000000003</v>
      </c>
      <c r="AD120" s="72">
        <f>'Q100a-geral'!AD238</f>
        <v>12.23</v>
      </c>
      <c r="AE120" s="134"/>
      <c r="AF120" s="72">
        <f>'Q100a-geral'!AF238</f>
        <v>12.07</v>
      </c>
      <c r="AG120" s="72">
        <f>'Q100a-geral'!AG238</f>
        <v>20.470000000000002</v>
      </c>
      <c r="AH120" s="134"/>
      <c r="AI120" s="72">
        <f>'Q100a-geral'!AI238</f>
        <v>11</v>
      </c>
      <c r="AJ120" s="134"/>
      <c r="AK120" s="72">
        <f>'Q100a-geral'!AK238</f>
        <v>13</v>
      </c>
      <c r="AL120" s="212" t="str">
        <f>'Q100a-geral'!AL238</f>
        <v>x</v>
      </c>
      <c r="AM120" s="133"/>
      <c r="AN120" s="133"/>
      <c r="AO120" s="133"/>
      <c r="AP120" s="133"/>
      <c r="AQ120" s="133"/>
      <c r="AR120" s="133"/>
      <c r="AS120" s="133"/>
      <c r="AT120" s="133"/>
      <c r="AU120" s="133"/>
      <c r="AV120" s="137" t="str">
        <f>'Q100a-geral'!AV238</f>
        <v>x</v>
      </c>
      <c r="AW120" s="137"/>
      <c r="AX120" s="137"/>
      <c r="AY120" s="137"/>
      <c r="AZ120" s="137"/>
      <c r="BA120" s="137" t="str">
        <f>'Q100a-geral'!BA238</f>
        <v>x</v>
      </c>
      <c r="BB120" s="239" t="str">
        <f>'Q100a-geral'!BB238</f>
        <v>Avaliações em pesquisas externas de opiniãox</v>
      </c>
      <c r="BC120" s="239" t="str">
        <f>'Q100a-geral'!BC238</f>
        <v>Avaliações em pesquisas externas de opiniãoxx</v>
      </c>
      <c r="BD120" s="239" t="str">
        <f>'Q100a-geral'!BD238</f>
        <v>Avaliações em pesquisas externas de opiniãox</v>
      </c>
    </row>
    <row r="121" spans="1:56" s="3" customFormat="1" ht="114.75" customHeight="1" x14ac:dyDescent="0.25">
      <c r="A121" s="275" t="str">
        <f>'Q100a-geral'!A239</f>
        <v>3.2.1</v>
      </c>
      <c r="B121" s="53" t="str">
        <f>'Q100a-geral'!B239</f>
        <v>Avaliações em pesquisas externas de opinião</v>
      </c>
      <c r="C121" s="229" t="str">
        <f>'Q100a-geral'!C239</f>
        <v>x</v>
      </c>
      <c r="D121" s="326" t="str">
        <f>'Q100a-geral'!D239</f>
        <v>Atc[o/b]
meta</v>
      </c>
      <c r="E121" s="465" t="str">
        <f>'Q100a-geral'!E239</f>
        <v>Belo Horizonte</v>
      </c>
      <c r="F121" s="488" t="str">
        <f>'Q100a-geral'!F239</f>
        <v>2010: "ampliar o percentual de usuários satisfeitos com os serviços do transporte coletivo por ônibus de 12%, de ótimo/bom em 2008, para 50% em 2014 e 60% em 2020" em BHTRANS(2010a, p.22)
2013: "ampliar o percentual de usuários satisfeitos com os serviços do transporte coletivo por ônibus de 21% (sic), de ótimo/bom em 2012, para 30% em 2016 e 60% em 2020" em BHTRANS(2013a, p.20)</v>
      </c>
      <c r="G121" s="252" t="str">
        <f>'Q100a-geral'!G239</f>
        <v>meta BHTrans</v>
      </c>
      <c r="H121" s="167" t="str">
        <f>'Q100a-geral'!H239</f>
        <v>meta/RPI</v>
      </c>
      <c r="I121" s="167" t="str">
        <f>'Q100a-geral'!I239</f>
        <v>x</v>
      </c>
      <c r="J121" s="109" t="str">
        <f>'Q100a-geral'!J239</f>
        <v>x</v>
      </c>
      <c r="K121" s="109" t="str">
        <f>'Q100a-geral'!K239</f>
        <v>x</v>
      </c>
      <c r="L121" s="109" t="str">
        <f>'Q100a-geral'!L239</f>
        <v>x</v>
      </c>
      <c r="M121" s="109" t="str">
        <f>'Q100a-geral'!M239</f>
        <v>x</v>
      </c>
      <c r="N121" s="109" t="str">
        <f>'Q100a-geral'!N239</f>
        <v>x</v>
      </c>
      <c r="O121" s="109" t="str">
        <f>'Q100a-geral'!O239</f>
        <v>x</v>
      </c>
      <c r="P121" s="109" t="str">
        <f>'Q100a-geral'!P239</f>
        <v>x</v>
      </c>
      <c r="Q121" s="109" t="str">
        <f>'Q100a-geral'!Q239</f>
        <v>x</v>
      </c>
      <c r="R121" s="109" t="str">
        <f>'Q100a-geral'!R239</f>
        <v>x</v>
      </c>
      <c r="S121" s="109" t="str">
        <f>'Q100a-geral'!S239</f>
        <v>só para pesquisa</v>
      </c>
      <c r="T121" s="109" t="str">
        <f>'Q100a-geral'!T239</f>
        <v>x</v>
      </c>
      <c r="U121" s="109" t="str">
        <f>'Q100a-geral'!U239</f>
        <v>x</v>
      </c>
      <c r="V121" s="109" t="str">
        <f>'Q100a-geral'!V239</f>
        <v>só para pesquisa</v>
      </c>
      <c r="W121" s="109" t="str">
        <f>'Q100a-geral'!W239</f>
        <v>x</v>
      </c>
      <c r="X121" s="109" t="str">
        <f>'Q100a-geral'!X239</f>
        <v>x</v>
      </c>
      <c r="Y121" s="109" t="str">
        <f>'Q100a-geral'!Y239</f>
        <v>x</v>
      </c>
      <c r="Z121" s="109" t="str">
        <f>'Q100a-geral'!Z239</f>
        <v>x</v>
      </c>
      <c r="AA121" s="109" t="str">
        <f>'Q100a-geral'!AA239</f>
        <v>x</v>
      </c>
      <c r="AB121" s="109" t="str">
        <f>'Q100a-geral'!AB239</f>
        <v>x</v>
      </c>
      <c r="AC121" s="109" t="str">
        <f>'Q100a-geral'!AC239</f>
        <v>x</v>
      </c>
      <c r="AD121" s="109" t="str">
        <f>'Q100a-geral'!AD239</f>
        <v>x</v>
      </c>
      <c r="AE121" s="109" t="str">
        <f>'Q100a-geral'!AE239</f>
        <v>x</v>
      </c>
      <c r="AF121" s="109" t="str">
        <f>'Q100a-geral'!AF239</f>
        <v>x</v>
      </c>
      <c r="AG121" s="109" t="str">
        <f>'Q100a-geral'!AG239</f>
        <v>x</v>
      </c>
      <c r="AH121" s="109" t="str">
        <f>'Q100a-geral'!AH239</f>
        <v>x</v>
      </c>
      <c r="AI121" s="109" t="str">
        <f>'Q100a-geral'!AI239</f>
        <v>x</v>
      </c>
      <c r="AJ121" s="174" t="str">
        <f>'Q100a-geral'!AJ239</f>
        <v>em 2010=50%
em 2013=x</v>
      </c>
      <c r="AK121" s="137" t="str">
        <f>'Q100a-geral'!AK239</f>
        <v>x</v>
      </c>
      <c r="AL121" s="214" t="str">
        <f>'Q100a-geral'!AL239</f>
        <v>x</v>
      </c>
      <c r="AM121" s="95" t="str">
        <f>'Q100a-geral'!AM239</f>
        <v>em 2013=30%</v>
      </c>
      <c r="AN121" s="137" t="str">
        <f>'Q100a-geral'!AN239</f>
        <v>x</v>
      </c>
      <c r="AO121" s="137" t="str">
        <f>'Q100a-geral'!AO239</f>
        <v>x</v>
      </c>
      <c r="AP121" s="137" t="str">
        <f>'Q100a-geral'!AP239</f>
        <v>x</v>
      </c>
      <c r="AQ121" s="174" t="str">
        <f>'Q100a-geral'!AQ239</f>
        <v>em 2010 e 2013=60%</v>
      </c>
      <c r="AR121" s="137" t="str">
        <f>'Q100a-geral'!AR239</f>
        <v>x</v>
      </c>
      <c r="AS121" s="137" t="str">
        <f>'Q100a-geral'!AS239</f>
        <v>x</v>
      </c>
      <c r="AT121" s="137" t="str">
        <f>'Q100a-geral'!AT239</f>
        <v>x</v>
      </c>
      <c r="AU121" s="137" t="str">
        <f>'Q100a-geral'!AU239</f>
        <v>x</v>
      </c>
      <c r="AV121" s="137" t="str">
        <f>'Q100a-geral'!AV239</f>
        <v>x</v>
      </c>
      <c r="AW121" s="137"/>
      <c r="AX121" s="137"/>
      <c r="AY121" s="137"/>
      <c r="AZ121" s="137"/>
      <c r="BA121" s="137" t="str">
        <f>'Q100a-geral'!BA239</f>
        <v>x</v>
      </c>
      <c r="BB121" s="239" t="str">
        <f>'Q100a-geral'!BB239</f>
        <v>Avaliações em pesquisas externas de opiniãox</v>
      </c>
      <c r="BC121" s="239" t="str">
        <f>'Q100a-geral'!BC239</f>
        <v>Avaliações em pesquisas externas de opiniãoxmeta/RPI</v>
      </c>
      <c r="BD121" s="239" t="str">
        <f>'Q100a-geral'!BD239</f>
        <v>Avaliações em pesquisas externas de opiniãometa/RPI</v>
      </c>
    </row>
    <row r="122" spans="1:56" s="3" customFormat="1" ht="47.25" customHeight="1" x14ac:dyDescent="0.25">
      <c r="A122" s="275" t="str">
        <f>'Q100a-geral'!A240</f>
        <v>3.2.1</v>
      </c>
      <c r="B122" s="53" t="str">
        <f>'Q100a-geral'!B240</f>
        <v>Avaliações em pesquisas externas de opinião</v>
      </c>
      <c r="C122" s="229" t="str">
        <f>'Q100a-geral'!C240</f>
        <v>x</v>
      </c>
      <c r="D122" s="36" t="str">
        <f>'Q100a-geral'!D240</f>
        <v>Atc[o]</v>
      </c>
      <c r="E122" s="464" t="str">
        <f>'Q100a-geral'!E240</f>
        <v>Belo Horizonte</v>
      </c>
      <c r="F122" s="447" t="str">
        <f>'Q100a-geral'!F240</f>
        <v>percentual de respostas "ótimo" na avaliação geral do transporte coletivo (resultados de 1995 a 2012: OLIVEIRA, 2014, Tabela 4.35 a 4.51 - Apêndice D; 2013: DOXA, 2013;  2014: não foi realizada pesquisa; 2015: DOXA, 2015)</v>
      </c>
      <c r="G122" s="252" t="str">
        <f>'Q100a-geral'!G240</f>
        <v>(∑ respostas "ótimo" / n.º de respondentes) x 100</v>
      </c>
      <c r="H122" s="173" t="str">
        <f>'Q100a-geral'!H240</f>
        <v>x</v>
      </c>
      <c r="I122" s="167">
        <f>'Q100a-geral'!I240</f>
        <v>1</v>
      </c>
      <c r="J122" s="107" t="str">
        <f>'Q100a-geral'!J240</f>
        <v>x</v>
      </c>
      <c r="K122" s="107" t="str">
        <f>'Q100a-geral'!K240</f>
        <v>x</v>
      </c>
      <c r="L122" s="107" t="str">
        <f>'Q100a-geral'!L240</f>
        <v>x</v>
      </c>
      <c r="M122" s="107" t="str">
        <f>'Q100a-geral'!M240</f>
        <v>x</v>
      </c>
      <c r="N122" s="107" t="str">
        <f>'Q100a-geral'!N240</f>
        <v>x</v>
      </c>
      <c r="O122" s="83">
        <f>'Q100a-geral'!O240</f>
        <v>5</v>
      </c>
      <c r="P122" s="84">
        <f>'Q100a-geral'!P240</f>
        <v>3</v>
      </c>
      <c r="Q122" s="107" t="str">
        <f>'Q100a-geral'!Q240</f>
        <v>x</v>
      </c>
      <c r="R122" s="83">
        <f>'Q100a-geral'!R240</f>
        <v>4</v>
      </c>
      <c r="S122" s="85" t="str">
        <f>'Q100a-geral'!S240</f>
        <v>só para pesquisa</v>
      </c>
      <c r="T122" s="107" t="str">
        <f>'Q100a-geral'!T240</f>
        <v>x</v>
      </c>
      <c r="U122" s="83">
        <f>'Q100a-geral'!U240</f>
        <v>3</v>
      </c>
      <c r="V122" s="85" t="str">
        <f>'Q100a-geral'!V240</f>
        <v>só para pesquisa</v>
      </c>
      <c r="W122" s="83">
        <f>'Q100a-geral'!W240</f>
        <v>10.55</v>
      </c>
      <c r="X122" s="83">
        <f>'Q100a-geral'!X240</f>
        <v>13.56</v>
      </c>
      <c r="Y122" s="83">
        <f>'Q100a-geral'!Y240</f>
        <v>11.11</v>
      </c>
      <c r="Z122" s="83">
        <f>'Q100a-geral'!Z240</f>
        <v>3.32</v>
      </c>
      <c r="AA122" s="83">
        <f>'Q100a-geral'!AA240</f>
        <v>4</v>
      </c>
      <c r="AB122" s="83">
        <f>'Q100a-geral'!AB240</f>
        <v>2.5</v>
      </c>
      <c r="AC122" s="83">
        <f>'Q100a-geral'!AC240</f>
        <v>1.78</v>
      </c>
      <c r="AD122" s="83">
        <f>'Q100a-geral'!AD240</f>
        <v>1.04</v>
      </c>
      <c r="AE122" s="268" t="str">
        <f>'Q100a-geral'!AE240</f>
        <v>não realizada pesquisa em BH</v>
      </c>
      <c r="AF122" s="83">
        <f>'Q100a-geral'!AF240</f>
        <v>0.81</v>
      </c>
      <c r="AG122" s="83">
        <f>'Q100a-geral'!AG240</f>
        <v>1.46</v>
      </c>
      <c r="AH122" s="268" t="str">
        <f>'Q100a-geral'!AH240</f>
        <v>não realizada pesquisa em BH</v>
      </c>
      <c r="AI122" s="83">
        <f>'Q100a-geral'!AI240</f>
        <v>1</v>
      </c>
      <c r="AJ122" s="268" t="str">
        <f>'Q100a-geral'!AJ240</f>
        <v>não realizada pesquisa em BH</v>
      </c>
      <c r="AK122" s="85">
        <f>'Q100a-geral'!AK240</f>
        <v>0</v>
      </c>
      <c r="AL122" s="212" t="str">
        <f>'Q100a-geral'!AL240</f>
        <v>x</v>
      </c>
      <c r="AM122" s="137" t="str">
        <f>'Q100a-geral'!AM240</f>
        <v>x</v>
      </c>
      <c r="AN122" s="137" t="str">
        <f>'Q100a-geral'!AN240</f>
        <v>x</v>
      </c>
      <c r="AO122" s="137" t="str">
        <f>'Q100a-geral'!AO240</f>
        <v>x</v>
      </c>
      <c r="AP122" s="137" t="str">
        <f>'Q100a-geral'!AP240</f>
        <v>x</v>
      </c>
      <c r="AQ122" s="137" t="str">
        <f>'Q100a-geral'!AQ240</f>
        <v>x</v>
      </c>
      <c r="AR122" s="137"/>
      <c r="AS122" s="137"/>
      <c r="AT122" s="137"/>
      <c r="AU122" s="137"/>
      <c r="AV122" s="137" t="str">
        <f>'Q100a-geral'!AV240</f>
        <v>x</v>
      </c>
      <c r="AW122" s="137"/>
      <c r="AX122" s="137"/>
      <c r="AY122" s="137"/>
      <c r="AZ122" s="137"/>
      <c r="BA122" s="137" t="str">
        <f>'Q100a-geral'!BA240</f>
        <v>x</v>
      </c>
      <c r="BB122" s="239" t="str">
        <f>'Q100a-geral'!BB240</f>
        <v>Avaliações em pesquisas externas de opiniãox</v>
      </c>
      <c r="BC122" s="239" t="str">
        <f>'Q100a-geral'!BC240</f>
        <v>Avaliações em pesquisas externas de opiniãoxx</v>
      </c>
      <c r="BD122" s="239" t="str">
        <f>'Q100a-geral'!BD240</f>
        <v>Avaliações em pesquisas externas de opiniãox</v>
      </c>
    </row>
    <row r="123" spans="1:56" s="3" customFormat="1" ht="47.25" customHeight="1" x14ac:dyDescent="0.25">
      <c r="A123" s="275" t="str">
        <f>'Q100a-geral'!A241</f>
        <v>3.2.1</v>
      </c>
      <c r="B123" s="53" t="str">
        <f>'Q100a-geral'!B241</f>
        <v>Avaliações em pesquisas externas de opinião</v>
      </c>
      <c r="C123" s="229" t="str">
        <f>'Q100a-geral'!C241</f>
        <v>x</v>
      </c>
      <c r="D123" s="36" t="str">
        <f>'Q100a-geral'!D241</f>
        <v>Atc[p]</v>
      </c>
      <c r="E123" s="464" t="str">
        <f>'Q100a-geral'!E241</f>
        <v>Belo Horizonte</v>
      </c>
      <c r="F123" s="447" t="str">
        <f>'Q100a-geral'!F241</f>
        <v>percentual de respostas "péssimo" na avaliação geral do transporte coletivo (resultados de 1995 a 2012: OLIVEIRA, 2014, Tabela 4.35 a 4.51 - Apêndice D; 2013: DOXA, 2013;  2014: não foi realizada pesquisa; 2015: DOXA, 2015)</v>
      </c>
      <c r="G123" s="252" t="str">
        <f>'Q100a-geral'!G241</f>
        <v>registro na fonte
(∑ respostas péssimo")/ n.º de respondentes) x 100</v>
      </c>
      <c r="H123" s="173" t="str">
        <f>'Q100a-geral'!H241</f>
        <v>x</v>
      </c>
      <c r="I123" s="167">
        <f>'Q100a-geral'!I241</f>
        <v>1</v>
      </c>
      <c r="J123" s="107" t="str">
        <f>'Q100a-geral'!J241</f>
        <v>x</v>
      </c>
      <c r="K123" s="107" t="str">
        <f>'Q100a-geral'!K241</f>
        <v>x</v>
      </c>
      <c r="L123" s="107" t="str">
        <f>'Q100a-geral'!L241</f>
        <v>x</v>
      </c>
      <c r="M123" s="107" t="str">
        <f>'Q100a-geral'!M241</f>
        <v>x</v>
      </c>
      <c r="N123" s="107" t="str">
        <f>'Q100a-geral'!N241</f>
        <v>x</v>
      </c>
      <c r="O123" s="83">
        <f>'Q100a-geral'!O241</f>
        <v>15</v>
      </c>
      <c r="P123" s="84">
        <f>'Q100a-geral'!P241</f>
        <v>17.600000000000001</v>
      </c>
      <c r="Q123" s="107" t="str">
        <f>'Q100a-geral'!Q241</f>
        <v>x</v>
      </c>
      <c r="R123" s="83">
        <f>'Q100a-geral'!R241</f>
        <v>15.5</v>
      </c>
      <c r="S123" s="85" t="str">
        <f>'Q100a-geral'!S241</f>
        <v>só para pesquisa</v>
      </c>
      <c r="T123" s="107" t="str">
        <f>'Q100a-geral'!T241</f>
        <v>x</v>
      </c>
      <c r="U123" s="83">
        <f>'Q100a-geral'!U241</f>
        <v>19</v>
      </c>
      <c r="V123" s="85" t="str">
        <f>'Q100a-geral'!V241</f>
        <v>só para pesquisa</v>
      </c>
      <c r="W123" s="83">
        <f>'Q100a-geral'!W241</f>
        <v>8.1999999999999993</v>
      </c>
      <c r="X123" s="83">
        <f>'Q100a-geral'!X241</f>
        <v>6.3</v>
      </c>
      <c r="Y123" s="83">
        <f>'Q100a-geral'!Y241</f>
        <v>12.3</v>
      </c>
      <c r="Z123" s="83">
        <f>'Q100a-geral'!Z241</f>
        <v>18.41</v>
      </c>
      <c r="AA123" s="83">
        <f>'Q100a-geral'!AA241</f>
        <v>10</v>
      </c>
      <c r="AB123" s="83">
        <f>'Q100a-geral'!AB241</f>
        <v>11.48</v>
      </c>
      <c r="AC123" s="83">
        <f>'Q100a-geral'!AC241</f>
        <v>7.85</v>
      </c>
      <c r="AD123" s="83">
        <f>'Q100a-geral'!AD241</f>
        <v>20</v>
      </c>
      <c r="AE123" s="268" t="str">
        <f>'Q100a-geral'!AE241</f>
        <v>não realizada pesquisa em BH</v>
      </c>
      <c r="AF123" s="83">
        <f>'Q100a-geral'!AF241</f>
        <v>16</v>
      </c>
      <c r="AG123" s="83">
        <f>'Q100a-geral'!AG241</f>
        <v>22.27</v>
      </c>
      <c r="AH123" s="268" t="str">
        <f>'Q100a-geral'!AH241</f>
        <v>não realizada pesquisa em BH</v>
      </c>
      <c r="AI123" s="83">
        <f>'Q100a-geral'!AI241</f>
        <v>36</v>
      </c>
      <c r="AJ123" s="268" t="str">
        <f>'Q100a-geral'!AJ241</f>
        <v>não realizada pesquisa em BH</v>
      </c>
      <c r="AK123" s="85">
        <f>'Q100a-geral'!AK241</f>
        <v>24</v>
      </c>
      <c r="AL123" s="212" t="str">
        <f>'Q100a-geral'!AL241</f>
        <v>x</v>
      </c>
      <c r="AM123" s="137" t="str">
        <f>'Q100a-geral'!AM241</f>
        <v>x</v>
      </c>
      <c r="AN123" s="137" t="str">
        <f>'Q100a-geral'!AN241</f>
        <v>x</v>
      </c>
      <c r="AO123" s="137" t="str">
        <f>'Q100a-geral'!AO241</f>
        <v>x</v>
      </c>
      <c r="AP123" s="137" t="str">
        <f>'Q100a-geral'!AP241</f>
        <v>x</v>
      </c>
      <c r="AQ123" s="137" t="str">
        <f>'Q100a-geral'!AQ241</f>
        <v>x</v>
      </c>
      <c r="AR123" s="137"/>
      <c r="AS123" s="137"/>
      <c r="AT123" s="137"/>
      <c r="AU123" s="137"/>
      <c r="AV123" s="137" t="str">
        <f>'Q100a-geral'!AV241</f>
        <v>x</v>
      </c>
      <c r="AW123" s="137"/>
      <c r="AX123" s="137"/>
      <c r="AY123" s="137"/>
      <c r="AZ123" s="137"/>
      <c r="BA123" s="137" t="str">
        <f>'Q100a-geral'!BA241</f>
        <v>x</v>
      </c>
      <c r="BB123" s="239" t="str">
        <f>'Q100a-geral'!BB241</f>
        <v>Avaliações em pesquisas externas de opiniãox</v>
      </c>
      <c r="BC123" s="239" t="str">
        <f>'Q100a-geral'!BC241</f>
        <v>Avaliações em pesquisas externas de opiniãoxx</v>
      </c>
      <c r="BD123" s="239" t="str">
        <f>'Q100a-geral'!BD241</f>
        <v>Avaliações em pesquisas externas de opiniãox</v>
      </c>
    </row>
    <row r="124" spans="1:56" s="3" customFormat="1" ht="47.25" customHeight="1" x14ac:dyDescent="0.25">
      <c r="A124" s="275" t="str">
        <f>'Q100a-geral'!A242</f>
        <v>3.2.1</v>
      </c>
      <c r="B124" s="53" t="str">
        <f>'Q100a-geral'!B242</f>
        <v>Avaliações em pesquisas externas de opinião</v>
      </c>
      <c r="C124" s="229" t="str">
        <f>'Q100a-geral'!C242</f>
        <v>x</v>
      </c>
      <c r="D124" s="326" t="str">
        <f>'Q100a-geral'!D242</f>
        <v>Atc[r/p]</v>
      </c>
      <c r="E124" s="465" t="str">
        <f>'Q100a-geral'!E242</f>
        <v>Belo Horizonte</v>
      </c>
      <c r="F124" s="490" t="str">
        <f>'Q100a-geral'!F242</f>
        <v>soma dos percentuais de "ruim" e "péssimo" na avaliação geral do transporte coletivo</v>
      </c>
      <c r="G124" s="252" t="str">
        <f>'Q100a-geral'!G242</f>
        <v>Atc[r] + Atc[p]</v>
      </c>
      <c r="H124" s="173" t="str">
        <f>'Q100a-geral'!H242</f>
        <v>x</v>
      </c>
      <c r="I124" s="167">
        <f>'Q100a-geral'!I242</f>
        <v>1</v>
      </c>
      <c r="J124" s="107" t="str">
        <f>'Q100a-geral'!J242</f>
        <v>x</v>
      </c>
      <c r="K124" s="107" t="str">
        <f>'Q100a-geral'!K242</f>
        <v>x</v>
      </c>
      <c r="L124" s="107" t="str">
        <f>'Q100a-geral'!L242</f>
        <v>x</v>
      </c>
      <c r="M124" s="107" t="str">
        <f>'Q100a-geral'!M242</f>
        <v>x</v>
      </c>
      <c r="N124" s="107" t="str">
        <f>'Q100a-geral'!N242</f>
        <v>x</v>
      </c>
      <c r="O124" s="64">
        <f>'Q100a-geral'!O242</f>
        <v>25</v>
      </c>
      <c r="P124" s="64">
        <f>'Q100a-geral'!P242</f>
        <v>31</v>
      </c>
      <c r="Q124" s="132"/>
      <c r="R124" s="64">
        <f>'Q100a-geral'!R242</f>
        <v>29</v>
      </c>
      <c r="S124" s="132"/>
      <c r="T124" s="132"/>
      <c r="U124" s="64">
        <f>'Q100a-geral'!U242</f>
        <v>35</v>
      </c>
      <c r="V124" s="132"/>
      <c r="W124" s="64">
        <f>'Q100a-geral'!W242</f>
        <v>23.04</v>
      </c>
      <c r="X124" s="64">
        <f>'Q100a-geral'!X242</f>
        <v>17.41</v>
      </c>
      <c r="Y124" s="64">
        <f>'Q100a-geral'!Y242</f>
        <v>26.3</v>
      </c>
      <c r="Z124" s="64">
        <f>'Q100a-geral'!Z242</f>
        <v>32.51</v>
      </c>
      <c r="AA124" s="64">
        <f>'Q100a-geral'!AA242</f>
        <v>19</v>
      </c>
      <c r="AB124" s="64">
        <f>'Q100a-geral'!AB242</f>
        <v>25.53</v>
      </c>
      <c r="AC124" s="64">
        <f>'Q100a-geral'!AC242</f>
        <v>19.549999999999997</v>
      </c>
      <c r="AD124" s="64">
        <f>'Q100a-geral'!AD242</f>
        <v>42.15</v>
      </c>
      <c r="AE124" s="132"/>
      <c r="AF124" s="64">
        <f>'Q100a-geral'!AF242</f>
        <v>42.89</v>
      </c>
      <c r="AG124" s="64">
        <f>'Q100a-geral'!AG242</f>
        <v>44.4</v>
      </c>
      <c r="AH124" s="132"/>
      <c r="AI124" s="64">
        <f>'Q100a-geral'!AI242</f>
        <v>60</v>
      </c>
      <c r="AJ124" s="132"/>
      <c r="AK124" s="44">
        <f>'Q100a-geral'!AK242</f>
        <v>47</v>
      </c>
      <c r="AL124" s="212" t="str">
        <f>'Q100a-geral'!AL242</f>
        <v>x</v>
      </c>
      <c r="AM124" s="137" t="str">
        <f>'Q100a-geral'!AM242</f>
        <v>x</v>
      </c>
      <c r="AN124" s="137" t="str">
        <f>'Q100a-geral'!AN242</f>
        <v>x</v>
      </c>
      <c r="AO124" s="137" t="str">
        <f>'Q100a-geral'!AO242</f>
        <v>x</v>
      </c>
      <c r="AP124" s="137" t="str">
        <f>'Q100a-geral'!AP242</f>
        <v>x</v>
      </c>
      <c r="AQ124" s="137" t="str">
        <f>'Q100a-geral'!AQ242</f>
        <v>x</v>
      </c>
      <c r="AR124" s="137"/>
      <c r="AS124" s="137"/>
      <c r="AT124" s="137"/>
      <c r="AU124" s="137"/>
      <c r="AV124" s="137" t="str">
        <f>'Q100a-geral'!AV242</f>
        <v>x</v>
      </c>
      <c r="AW124" s="137"/>
      <c r="AX124" s="137"/>
      <c r="AY124" s="137"/>
      <c r="AZ124" s="137"/>
      <c r="BA124" s="137" t="str">
        <f>'Q100a-geral'!BA242</f>
        <v>x</v>
      </c>
      <c r="BB124" s="239" t="str">
        <f>'Q100a-geral'!BB242</f>
        <v>Avaliações em pesquisas externas de opiniãox</v>
      </c>
      <c r="BC124" s="239" t="str">
        <f>'Q100a-geral'!BC242</f>
        <v>Avaliações em pesquisas externas de opiniãoxx</v>
      </c>
      <c r="BD124" s="239" t="str">
        <f>'Q100a-geral'!BD242</f>
        <v>Avaliações em pesquisas externas de opiniãox</v>
      </c>
    </row>
    <row r="125" spans="1:56" s="3" customFormat="1" ht="47.25" customHeight="1" x14ac:dyDescent="0.25">
      <c r="A125" s="275" t="str">
        <f>'Q100a-geral'!A243</f>
        <v>3.2.1</v>
      </c>
      <c r="B125" s="53" t="str">
        <f>'Q100a-geral'!B243</f>
        <v>Avaliações em pesquisas externas de opinião</v>
      </c>
      <c r="C125" s="229" t="str">
        <f>'Q100a-geral'!C243</f>
        <v>x</v>
      </c>
      <c r="D125" s="36" t="str">
        <f>'Q100a-geral'!D243</f>
        <v>Atc[r]</v>
      </c>
      <c r="E125" s="464" t="str">
        <f>'Q100a-geral'!E243</f>
        <v>Belo Horizonte</v>
      </c>
      <c r="F125" s="447" t="str">
        <f>'Q100a-geral'!F243</f>
        <v>percentual de respostas "ruim" na avaliação geral do transporte coletivo (resultados de 1995 a 2012: OLIVEIRA, 2014, Tabela 4.35 a 4.51 - Apêndice D; 2013: DOXA, 2013;  2014: não foi realizada pesquisa; 2015: DOXA, 2015)</v>
      </c>
      <c r="G125" s="252" t="str">
        <f>'Q100a-geral'!G243</f>
        <v>(∑ respostas ruim")/ n.º de respondentes) x 100</v>
      </c>
      <c r="H125" s="173" t="str">
        <f>'Q100a-geral'!H243</f>
        <v>x</v>
      </c>
      <c r="I125" s="167">
        <f>'Q100a-geral'!I243</f>
        <v>1</v>
      </c>
      <c r="J125" s="107" t="str">
        <f>'Q100a-geral'!J243</f>
        <v>x</v>
      </c>
      <c r="K125" s="107" t="str">
        <f>'Q100a-geral'!K243</f>
        <v>x</v>
      </c>
      <c r="L125" s="107" t="str">
        <f>'Q100a-geral'!L243</f>
        <v>x</v>
      </c>
      <c r="M125" s="107" t="str">
        <f>'Q100a-geral'!M243</f>
        <v>x</v>
      </c>
      <c r="N125" s="107" t="str">
        <f>'Q100a-geral'!N243</f>
        <v>x</v>
      </c>
      <c r="O125" s="83">
        <f>'Q100a-geral'!O243</f>
        <v>10</v>
      </c>
      <c r="P125" s="84">
        <f>'Q100a-geral'!P243</f>
        <v>13.4</v>
      </c>
      <c r="Q125" s="107" t="str">
        <f>'Q100a-geral'!Q243</f>
        <v>x</v>
      </c>
      <c r="R125" s="83">
        <f>'Q100a-geral'!R243</f>
        <v>13.5</v>
      </c>
      <c r="S125" s="85" t="str">
        <f>'Q100a-geral'!S243</f>
        <v>só para pesquisa</v>
      </c>
      <c r="T125" s="107" t="str">
        <f>'Q100a-geral'!T243</f>
        <v>x</v>
      </c>
      <c r="U125" s="83">
        <f>'Q100a-geral'!U243</f>
        <v>16</v>
      </c>
      <c r="V125" s="85" t="str">
        <f>'Q100a-geral'!V243</f>
        <v>só para pesquisa</v>
      </c>
      <c r="W125" s="83">
        <f>'Q100a-geral'!W243</f>
        <v>14.84</v>
      </c>
      <c r="X125" s="83">
        <f>'Q100a-geral'!X243</f>
        <v>11.11</v>
      </c>
      <c r="Y125" s="83">
        <f>'Q100a-geral'!Y243</f>
        <v>14</v>
      </c>
      <c r="Z125" s="83">
        <f>'Q100a-geral'!Z243</f>
        <v>14.1</v>
      </c>
      <c r="AA125" s="83">
        <f>'Q100a-geral'!AA243</f>
        <v>9</v>
      </c>
      <c r="AB125" s="83">
        <f>'Q100a-geral'!AB243</f>
        <v>14.05</v>
      </c>
      <c r="AC125" s="83">
        <f>'Q100a-geral'!AC243</f>
        <v>11.7</v>
      </c>
      <c r="AD125" s="83">
        <f>'Q100a-geral'!AD243</f>
        <v>22.15</v>
      </c>
      <c r="AE125" s="268" t="str">
        <f>'Q100a-geral'!AE243</f>
        <v>não realizada pesquisa em BH</v>
      </c>
      <c r="AF125" s="83">
        <f>'Q100a-geral'!AF243</f>
        <v>26.89</v>
      </c>
      <c r="AG125" s="83">
        <f>'Q100a-geral'!AG243</f>
        <v>22.13</v>
      </c>
      <c r="AH125" s="268" t="str">
        <f>'Q100a-geral'!AH243</f>
        <v>não realizada pesquisa em BH</v>
      </c>
      <c r="AI125" s="83">
        <f>'Q100a-geral'!AI243</f>
        <v>24</v>
      </c>
      <c r="AJ125" s="268" t="str">
        <f>'Q100a-geral'!AJ243</f>
        <v>não realizada pesquisa em BH</v>
      </c>
      <c r="AK125" s="85">
        <f>'Q100a-geral'!AK243</f>
        <v>23</v>
      </c>
      <c r="AL125" s="212" t="str">
        <f>'Q100a-geral'!AL243</f>
        <v>x</v>
      </c>
      <c r="AM125" s="137" t="str">
        <f>'Q100a-geral'!AM243</f>
        <v>x</v>
      </c>
      <c r="AN125" s="137" t="str">
        <f>'Q100a-geral'!AN243</f>
        <v>x</v>
      </c>
      <c r="AO125" s="137" t="str">
        <f>'Q100a-geral'!AO243</f>
        <v>x</v>
      </c>
      <c r="AP125" s="137" t="str">
        <f>'Q100a-geral'!AP243</f>
        <v>x</v>
      </c>
      <c r="AQ125" s="137" t="str">
        <f>'Q100a-geral'!AQ243</f>
        <v>x</v>
      </c>
      <c r="AR125" s="137"/>
      <c r="AS125" s="137"/>
      <c r="AT125" s="137"/>
      <c r="AU125" s="137"/>
      <c r="AV125" s="137" t="str">
        <f>'Q100a-geral'!AV243</f>
        <v>x</v>
      </c>
      <c r="AW125" s="137"/>
      <c r="AX125" s="137"/>
      <c r="AY125" s="137"/>
      <c r="AZ125" s="137"/>
      <c r="BA125" s="137" t="str">
        <f>'Q100a-geral'!BA243</f>
        <v>x</v>
      </c>
      <c r="BB125" s="239" t="str">
        <f>'Q100a-geral'!BB243</f>
        <v>Avaliações em pesquisas externas de opiniãox</v>
      </c>
      <c r="BC125" s="239" t="str">
        <f>'Q100a-geral'!BC243</f>
        <v>Avaliações em pesquisas externas de opiniãoxx</v>
      </c>
      <c r="BD125" s="239" t="str">
        <f>'Q100a-geral'!BD243</f>
        <v>Avaliações em pesquisas externas de opiniãox</v>
      </c>
    </row>
    <row r="126" spans="1:56" s="3" customFormat="1" ht="45.75" customHeight="1" x14ac:dyDescent="0.25">
      <c r="A126" s="275" t="str">
        <f>'Q100a-geral'!A250</f>
        <v>3.2.1</v>
      </c>
      <c r="B126" s="53" t="str">
        <f>'Q100a-geral'!B250</f>
        <v>Avaliações em pesquisas externas de opinião</v>
      </c>
      <c r="C126" s="229" t="str">
        <f>'Q100a-geral'!C250</f>
        <v>x</v>
      </c>
      <c r="D126" s="326" t="str">
        <f>'Q100a-geral'!D250</f>
        <v>Atp[mb/b] 
&gt;100 mil habitantes</v>
      </c>
      <c r="E126" s="465" t="str">
        <f>'Q100a-geral'!E250</f>
        <v>Brasil</v>
      </c>
      <c r="F126" s="490" t="str">
        <f>'Q100a-geral'!F250</f>
        <v>percentual de avaliação muito bom/bom do transporte público em cidades brasileiras com população acima de 100 mil habitantes segundo o Instituto de Pesquisa Econômica Aplicada - Ipea
obs.1: resultados de 2011 em IPEA (2012, p.8/Tabela 6)
obs.2: "A avaliação do transporte público difere um pouco entre a população dos municípios separados por tamanho. Nos municípios menores, a avaliação tende a ser mais positiva do que nos maiores, praticamente invertendo-se a relação de 40% positiva e 30% negativa para 30% positiva e 40% negativa. Muitos municípios abaixo de 20 mil não possuem o tradicional serviço de transporte coletivo urbano conhecido nas cidades maiores, mas podem fazer parte de regiões metropolitanas e possuir acesso a ônibus por linha intermunicipais. Em qualquer análise de percepção é necessário ter em conta que a avaliação depende do nível crítico da população e sua capacidade de comparação com outras cidades" (IPEA, 2012, p.8)</v>
      </c>
      <c r="G126" s="252" t="str">
        <f>'Q100a-geral'!G250</f>
        <v>registro na fonte</v>
      </c>
      <c r="H126" s="173" t="str">
        <f>'Q100a-geral'!H250</f>
        <v>benchmarking</v>
      </c>
      <c r="I126" s="167" t="str">
        <f>'Q100a-geral'!I250</f>
        <v>x</v>
      </c>
      <c r="J126" s="107" t="str">
        <f>'Q100a-geral'!J250</f>
        <v>x</v>
      </c>
      <c r="K126" s="268" t="str">
        <f>'Q100a-geral'!K250</f>
        <v>x</v>
      </c>
      <c r="L126" s="268" t="str">
        <f>'Q100a-geral'!L250</f>
        <v>x</v>
      </c>
      <c r="M126" s="268" t="str">
        <f>'Q100a-geral'!M250</f>
        <v>x</v>
      </c>
      <c r="N126" s="268" t="str">
        <f>'Q100a-geral'!N250</f>
        <v>x</v>
      </c>
      <c r="O126" s="134"/>
      <c r="P126" s="134"/>
      <c r="Q126" s="134"/>
      <c r="R126" s="134"/>
      <c r="S126" s="279"/>
      <c r="T126" s="134"/>
      <c r="U126" s="134"/>
      <c r="V126" s="279"/>
      <c r="W126" s="134"/>
      <c r="X126" s="134"/>
      <c r="Y126" s="134"/>
      <c r="Z126" s="134"/>
      <c r="AA126" s="134"/>
      <c r="AB126" s="134"/>
      <c r="AC126" s="134"/>
      <c r="AD126" s="134"/>
      <c r="AE126" s="134"/>
      <c r="AF126" s="134"/>
      <c r="AG126" s="142">
        <v>30</v>
      </c>
      <c r="AH126" s="134"/>
      <c r="AI126" s="134"/>
      <c r="AJ126" s="134"/>
      <c r="AK126" s="134"/>
      <c r="AL126" s="212" t="str">
        <f>'Q100a-geral'!AL250</f>
        <v>x</v>
      </c>
      <c r="AM126" s="133"/>
      <c r="AN126" s="133"/>
      <c r="AO126" s="133"/>
      <c r="AP126" s="133"/>
      <c r="AQ126" s="133"/>
      <c r="AR126" s="133"/>
      <c r="AS126" s="133"/>
      <c r="AT126" s="133"/>
      <c r="AU126" s="133"/>
      <c r="AV126" s="133"/>
      <c r="AW126" s="133"/>
      <c r="AX126" s="133"/>
      <c r="AY126" s="133"/>
      <c r="AZ126" s="133"/>
      <c r="BA126" s="133"/>
      <c r="BB126" s="239" t="str">
        <f>'Q100a-geral'!BB250</f>
        <v>Avaliações em pesquisas externas de opiniãox</v>
      </c>
      <c r="BC126" s="239" t="str">
        <f>'Q100a-geral'!BC250</f>
        <v>Avaliações em pesquisas externas de opiniãoxbenchmarking</v>
      </c>
      <c r="BD126" s="239" t="str">
        <f>'Q100a-geral'!BD250</f>
        <v>Avaliações em pesquisas externas de opiniãobenchmarking</v>
      </c>
    </row>
    <row r="127" spans="1:56" s="3" customFormat="1" ht="43.5" customHeight="1" x14ac:dyDescent="0.25">
      <c r="A127" s="275" t="str">
        <f>'Q100a-geral'!A251</f>
        <v>3.2.1</v>
      </c>
      <c r="B127" s="53" t="str">
        <f>'Q100a-geral'!B251</f>
        <v>Avaliações em pesquisas externas de opinião</v>
      </c>
      <c r="C127" s="229" t="str">
        <f>'Q100a-geral'!C251</f>
        <v>x</v>
      </c>
      <c r="D127" s="36" t="str">
        <f>'Q100a-geral'!D251</f>
        <v>Atp[r/mr] 
&gt;100 mil habitantes</v>
      </c>
      <c r="E127" s="464" t="str">
        <f>'Q100a-geral'!E251</f>
        <v>Brasil</v>
      </c>
      <c r="F127" s="447" t="str">
        <f>'Q100a-geral'!F251</f>
        <v>percentual de avaliação ruim/muito ruim do transporte público em cidades brasileiras com população acima de 100 mil habitantes segundo o Instituto de Pesquisa Econômica Aplicada - Ipea
obs.1: resultados de 2011 em IPEA (2012, p.8/Tabela 6)
obs.2: "A avaliação do transporte público difere um pouco entre a população dos municípios separados por tamanho. Nos municípios menores, a avaliação tende a ser mais positiva do que nos maiores, praticamente invertendo-se a relação de 40% positiva e 30% negativa para 30% positiva e 40% negativa. Muitos municípios abaixo de 20 mil não possuem o tradicional serviço de transporte coletivo urbano conhecido nas cidades maiores, mas podem fazer parte de regiões metropolitanas e possuir acesso a ônibus por linha intermunicipais. Em qualquer análise de percepção é necessário ter em conta que a avaliação depende do nível crítico da população e sua capacidade de comparação com outras cidades" (IPEA, 2012, p.8)</v>
      </c>
      <c r="G127" s="252" t="str">
        <f>'Q100a-geral'!G251</f>
        <v>registro na fonte</v>
      </c>
      <c r="H127" s="173" t="str">
        <f>'Q100a-geral'!H251</f>
        <v>benchmarking</v>
      </c>
      <c r="I127" s="167" t="str">
        <f>'Q100a-geral'!I251</f>
        <v>x</v>
      </c>
      <c r="J127" s="107" t="str">
        <f>'Q100a-geral'!J251</f>
        <v>x</v>
      </c>
      <c r="K127" s="268" t="str">
        <f>'Q100a-geral'!K251</f>
        <v>x</v>
      </c>
      <c r="L127" s="268" t="str">
        <f>'Q100a-geral'!L251</f>
        <v>x</v>
      </c>
      <c r="M127" s="268" t="str">
        <f>'Q100a-geral'!M251</f>
        <v>x</v>
      </c>
      <c r="N127" s="268" t="str">
        <f>'Q100a-geral'!N251</f>
        <v>x</v>
      </c>
      <c r="O127" s="268" t="str">
        <f>'Q100a-geral'!O251</f>
        <v>x</v>
      </c>
      <c r="P127" s="268" t="str">
        <f>'Q100a-geral'!P251</f>
        <v>x</v>
      </c>
      <c r="Q127" s="268" t="str">
        <f>'Q100a-geral'!Q251</f>
        <v>x</v>
      </c>
      <c r="R127" s="268" t="str">
        <f>'Q100a-geral'!R251</f>
        <v>x</v>
      </c>
      <c r="S127" s="855" t="str">
        <f>'Q100a-geral'!S251</f>
        <v>só para pesquisa</v>
      </c>
      <c r="T127" s="268" t="str">
        <f>'Q100a-geral'!T251</f>
        <v>x</v>
      </c>
      <c r="U127" s="268" t="str">
        <f>'Q100a-geral'!U251</f>
        <v>x</v>
      </c>
      <c r="V127" s="855" t="str">
        <f>'Q100a-geral'!V251</f>
        <v>só para pesquisa</v>
      </c>
      <c r="W127" s="268" t="str">
        <f>'Q100a-geral'!W251</f>
        <v>x</v>
      </c>
      <c r="X127" s="268" t="str">
        <f>'Q100a-geral'!X251</f>
        <v>x</v>
      </c>
      <c r="Y127" s="268" t="str">
        <f>'Q100a-geral'!Y251</f>
        <v>x</v>
      </c>
      <c r="Z127" s="268" t="str">
        <f>'Q100a-geral'!Z251</f>
        <v>x</v>
      </c>
      <c r="AA127" s="268" t="str">
        <f>'Q100a-geral'!AA251</f>
        <v>x</v>
      </c>
      <c r="AB127" s="268" t="str">
        <f>'Q100a-geral'!AB251</f>
        <v>x</v>
      </c>
      <c r="AC127" s="268" t="str">
        <f>'Q100a-geral'!AC251</f>
        <v>x</v>
      </c>
      <c r="AD127" s="268" t="str">
        <f>'Q100a-geral'!AD251</f>
        <v>x</v>
      </c>
      <c r="AE127" s="268" t="str">
        <f>'Q100a-geral'!AE251</f>
        <v>não realizada pesquisa em BH</v>
      </c>
      <c r="AF127" s="268" t="str">
        <f>'Q100a-geral'!AF251</f>
        <v>x</v>
      </c>
      <c r="AG127" s="95">
        <f>'Q100a-geral'!AG251</f>
        <v>0.41</v>
      </c>
      <c r="AH127" s="268" t="str">
        <f>'Q100a-geral'!AH251</f>
        <v>não realizada pesquisa em BH</v>
      </c>
      <c r="AI127" s="268" t="str">
        <f>'Q100a-geral'!AI251</f>
        <v>x</v>
      </c>
      <c r="AJ127" s="268" t="str">
        <f>'Q100a-geral'!AJ251</f>
        <v>não realizada pesquisa em BH</v>
      </c>
      <c r="AK127" s="268" t="str">
        <f>'Q100a-geral'!AK251</f>
        <v>x</v>
      </c>
      <c r="AL127" s="212" t="str">
        <f>'Q100a-geral'!AL251</f>
        <v>x</v>
      </c>
      <c r="AM127" s="137" t="str">
        <f>'Q100a-geral'!AM251</f>
        <v>x</v>
      </c>
      <c r="AN127" s="137" t="str">
        <f>'Q100a-geral'!AN251</f>
        <v>x</v>
      </c>
      <c r="AO127" s="137" t="str">
        <f>'Q100a-geral'!AO251</f>
        <v>x</v>
      </c>
      <c r="AP127" s="137" t="str">
        <f>'Q100a-geral'!AP251</f>
        <v>x</v>
      </c>
      <c r="AQ127" s="137" t="str">
        <f>'Q100a-geral'!AQ251</f>
        <v>x</v>
      </c>
      <c r="AR127" s="137"/>
      <c r="AS127" s="137"/>
      <c r="AT127" s="137"/>
      <c r="AU127" s="137"/>
      <c r="AV127" s="137" t="str">
        <f>'Q100a-geral'!AV251</f>
        <v>x</v>
      </c>
      <c r="AW127" s="137"/>
      <c r="AX127" s="137"/>
      <c r="AY127" s="137"/>
      <c r="AZ127" s="137"/>
      <c r="BA127" s="137" t="str">
        <f>'Q100a-geral'!BA251</f>
        <v>x</v>
      </c>
      <c r="BB127" s="239" t="str">
        <f>'Q100a-geral'!BB251</f>
        <v>Avaliações em pesquisas externas de opiniãox</v>
      </c>
      <c r="BC127" s="239" t="str">
        <f>'Q100a-geral'!BC251</f>
        <v>Avaliações em pesquisas externas de opiniãoxbenchmarking</v>
      </c>
      <c r="BD127" s="239" t="str">
        <f>'Q100a-geral'!BD251</f>
        <v>Avaliações em pesquisas externas de opiniãobenchmarking</v>
      </c>
    </row>
    <row r="128" spans="1:56" s="3" customFormat="1" ht="62.25" customHeight="1" x14ac:dyDescent="0.25">
      <c r="A128" s="275" t="str">
        <f>'Q100a-geral'!A253</f>
        <v>3.2.2</v>
      </c>
      <c r="B128" s="53" t="str">
        <f>'Q100a-geral'!B253</f>
        <v>Outras questões em pesquisas externas de opinião</v>
      </c>
      <c r="C128" s="229" t="str">
        <f>'Q100a-geral'!C253</f>
        <v>x</v>
      </c>
      <c r="D128" s="465" t="str">
        <f>'Q100a-geral'!D253</f>
        <v>Atp/
atendimento
[concorda] 
&lt; 20 mil habitantes</v>
      </c>
      <c r="E128" s="465" t="str">
        <f>'Q100a-geral'!E253</f>
        <v>Brasil</v>
      </c>
      <c r="F128" s="490" t="str">
        <f>'Q100a-geral'!F253</f>
        <v>percentual de "concordo/concordo totalmente" com a afirmação: "Nos serviços públicos de transporte urbano a população consegue ser atendida sempre que precisar" em cidades com população até 20 mil habitantes segundo o Instituto de Pesquisa Econômica Aplicada - Ipea
obs.: resultados de 2011 em IPEA (2012, p.9/Tabela 9)</v>
      </c>
      <c r="G128" s="252" t="str">
        <f>'Q100a-geral'!G253</f>
        <v>registro na fonte</v>
      </c>
      <c r="H128" s="173" t="str">
        <f>'Q100a-geral'!H253</f>
        <v>benchmarking</v>
      </c>
      <c r="I128" s="167" t="str">
        <f>'Q100a-geral'!I253</f>
        <v>x</v>
      </c>
      <c r="J128" s="107" t="str">
        <f>'Q100a-geral'!J253</f>
        <v>x</v>
      </c>
      <c r="K128" s="268" t="str">
        <f>'Q100a-geral'!K253</f>
        <v>x</v>
      </c>
      <c r="L128" s="268" t="str">
        <f>'Q100a-geral'!L253</f>
        <v>x</v>
      </c>
      <c r="M128" s="268" t="str">
        <f>'Q100a-geral'!M253</f>
        <v>x</v>
      </c>
      <c r="N128" s="268" t="str">
        <f>'Q100a-geral'!N253</f>
        <v>x</v>
      </c>
      <c r="O128" s="268" t="str">
        <f>'Q100a-geral'!O253</f>
        <v>x</v>
      </c>
      <c r="P128" s="268" t="str">
        <f>'Q100a-geral'!P253</f>
        <v>x</v>
      </c>
      <c r="Q128" s="268" t="str">
        <f>'Q100a-geral'!Q253</f>
        <v>x</v>
      </c>
      <c r="R128" s="268" t="str">
        <f>'Q100a-geral'!R253</f>
        <v>x</v>
      </c>
      <c r="S128" s="855" t="str">
        <f>'Q100a-geral'!S253</f>
        <v>só para pesquisa</v>
      </c>
      <c r="T128" s="268" t="str">
        <f>'Q100a-geral'!T253</f>
        <v>x</v>
      </c>
      <c r="U128" s="268" t="str">
        <f>'Q100a-geral'!U253</f>
        <v>x</v>
      </c>
      <c r="V128" s="855" t="str">
        <f>'Q100a-geral'!V253</f>
        <v>só para pesquisa</v>
      </c>
      <c r="W128" s="268" t="str">
        <f>'Q100a-geral'!W253</f>
        <v>x</v>
      </c>
      <c r="X128" s="268" t="str">
        <f>'Q100a-geral'!X253</f>
        <v>x</v>
      </c>
      <c r="Y128" s="268" t="str">
        <f>'Q100a-geral'!Y253</f>
        <v>x</v>
      </c>
      <c r="Z128" s="268" t="str">
        <f>'Q100a-geral'!Z253</f>
        <v>x</v>
      </c>
      <c r="AA128" s="268" t="str">
        <f>'Q100a-geral'!AA253</f>
        <v>x</v>
      </c>
      <c r="AB128" s="268" t="str">
        <f>'Q100a-geral'!AB253</f>
        <v>x</v>
      </c>
      <c r="AC128" s="268" t="str">
        <f>'Q100a-geral'!AC253</f>
        <v>x</v>
      </c>
      <c r="AD128" s="268" t="str">
        <f>'Q100a-geral'!AD253</f>
        <v>x</v>
      </c>
      <c r="AE128" s="268" t="str">
        <f>'Q100a-geral'!AE253</f>
        <v>não realizada pesquisa em BH</v>
      </c>
      <c r="AF128" s="268" t="str">
        <f>'Q100a-geral'!AF253</f>
        <v>x</v>
      </c>
      <c r="AG128" s="95">
        <f>'Q100a-geral'!AG253</f>
        <v>0.33</v>
      </c>
      <c r="AH128" s="268" t="str">
        <f>'Q100a-geral'!AH253</f>
        <v>não realizada pesquisa em BH</v>
      </c>
      <c r="AI128" s="268" t="str">
        <f>'Q100a-geral'!AI253</f>
        <v>x</v>
      </c>
      <c r="AJ128" s="268" t="str">
        <f>'Q100a-geral'!AJ253</f>
        <v>não realizada pesquisa em BH</v>
      </c>
      <c r="AK128" s="268" t="str">
        <f>'Q100a-geral'!AK253</f>
        <v>x</v>
      </c>
      <c r="AL128" s="212" t="str">
        <f>'Q100a-geral'!AL253</f>
        <v>x</v>
      </c>
      <c r="AM128" s="137" t="str">
        <f>'Q100a-geral'!AM253</f>
        <v>x</v>
      </c>
      <c r="AN128" s="137" t="str">
        <f>'Q100a-geral'!AN253</f>
        <v>x</v>
      </c>
      <c r="AO128" s="137" t="str">
        <f>'Q100a-geral'!AO253</f>
        <v>x</v>
      </c>
      <c r="AP128" s="137" t="str">
        <f>'Q100a-geral'!AP253</f>
        <v>x</v>
      </c>
      <c r="AQ128" s="137" t="str">
        <f>'Q100a-geral'!AQ253</f>
        <v>x</v>
      </c>
      <c r="AR128" s="137"/>
      <c r="AS128" s="137"/>
      <c r="AT128" s="137"/>
      <c r="AU128" s="137"/>
      <c r="AV128" s="137" t="str">
        <f>'Q100a-geral'!AV253</f>
        <v>x</v>
      </c>
      <c r="AW128" s="137"/>
      <c r="AX128" s="137"/>
      <c r="AY128" s="137"/>
      <c r="AZ128" s="137"/>
      <c r="BA128" s="137" t="str">
        <f>'Q100a-geral'!BA253</f>
        <v>x</v>
      </c>
      <c r="BB128" s="239" t="str">
        <f>'Q100a-geral'!BB253</f>
        <v>Outras questões em pesquisas externas de opiniãox</v>
      </c>
      <c r="BC128" s="239" t="str">
        <f>'Q100a-geral'!BC253</f>
        <v>Outras questões em pesquisas externas de opiniãoxbenchmarking</v>
      </c>
      <c r="BD128" s="239" t="str">
        <f>'Q100a-geral'!BD253</f>
        <v>Outras questões em pesquisas externas de opiniãobenchmarking</v>
      </c>
    </row>
    <row r="129" spans="1:56" s="3" customFormat="1" ht="59.25" customHeight="1" x14ac:dyDescent="0.25">
      <c r="A129" s="275" t="str">
        <f>'Q100a-geral'!A254</f>
        <v>3.2.2</v>
      </c>
      <c r="B129" s="53" t="str">
        <f>'Q100a-geral'!B254</f>
        <v>Outras questões em pesquisas externas de opinião</v>
      </c>
      <c r="C129" s="229" t="str">
        <f>'Q100a-geral'!C254</f>
        <v>x</v>
      </c>
      <c r="D129" s="465" t="str">
        <f>'Q100a-geral'!D254</f>
        <v>Atp/
atendmento
[concorda] 
20 a 100 mil habitantes</v>
      </c>
      <c r="E129" s="465" t="str">
        <f>'Q100a-geral'!E254</f>
        <v>Brasil</v>
      </c>
      <c r="F129" s="490" t="str">
        <f>'Q100a-geral'!F254</f>
        <v>percentual de "concordo/concordo totalmente" com a afirmação: "Nos serviços públicos de transporte urbano a população consegue ser atendida sempre que precisar" em cidades com população entre 20 e 100 mil habitantes segundo o Instituto de Pesquisa Econômica Aplicada - Ipea
obs.: resultados de 2011 em IPEA (2012, p.9/Tabela 9)</v>
      </c>
      <c r="G129" s="252" t="str">
        <f>'Q100a-geral'!G254</f>
        <v>registro na fonte</v>
      </c>
      <c r="H129" s="173" t="str">
        <f>'Q100a-geral'!H254</f>
        <v>benchmarking</v>
      </c>
      <c r="I129" s="167" t="str">
        <f>'Q100a-geral'!I254</f>
        <v>x</v>
      </c>
      <c r="J129" s="107" t="str">
        <f>'Q100a-geral'!J254</f>
        <v>x</v>
      </c>
      <c r="K129" s="268" t="str">
        <f>'Q100a-geral'!K254</f>
        <v>x</v>
      </c>
      <c r="L129" s="268" t="str">
        <f>'Q100a-geral'!L254</f>
        <v>x</v>
      </c>
      <c r="M129" s="268" t="str">
        <f>'Q100a-geral'!M254</f>
        <v>x</v>
      </c>
      <c r="N129" s="268" t="str">
        <f>'Q100a-geral'!N254</f>
        <v>x</v>
      </c>
      <c r="O129" s="268" t="str">
        <f>'Q100a-geral'!O254</f>
        <v>x</v>
      </c>
      <c r="P129" s="268" t="str">
        <f>'Q100a-geral'!P254</f>
        <v>x</v>
      </c>
      <c r="Q129" s="268" t="str">
        <f>'Q100a-geral'!Q254</f>
        <v>x</v>
      </c>
      <c r="R129" s="268" t="str">
        <f>'Q100a-geral'!R254</f>
        <v>x</v>
      </c>
      <c r="S129" s="855" t="str">
        <f>'Q100a-geral'!S254</f>
        <v>só para pesquisa</v>
      </c>
      <c r="T129" s="268" t="str">
        <f>'Q100a-geral'!T254</f>
        <v>x</v>
      </c>
      <c r="U129" s="268" t="str">
        <f>'Q100a-geral'!U254</f>
        <v>x</v>
      </c>
      <c r="V129" s="855" t="str">
        <f>'Q100a-geral'!V254</f>
        <v>só para pesquisa</v>
      </c>
      <c r="W129" s="268" t="str">
        <f>'Q100a-geral'!W254</f>
        <v>x</v>
      </c>
      <c r="X129" s="268" t="str">
        <f>'Q100a-geral'!X254</f>
        <v>x</v>
      </c>
      <c r="Y129" s="268" t="str">
        <f>'Q100a-geral'!Y254</f>
        <v>x</v>
      </c>
      <c r="Z129" s="268" t="str">
        <f>'Q100a-geral'!Z254</f>
        <v>x</v>
      </c>
      <c r="AA129" s="268" t="str">
        <f>'Q100a-geral'!AA254</f>
        <v>x</v>
      </c>
      <c r="AB129" s="268" t="str">
        <f>'Q100a-geral'!AB254</f>
        <v>x</v>
      </c>
      <c r="AC129" s="268" t="str">
        <f>'Q100a-geral'!AC254</f>
        <v>x</v>
      </c>
      <c r="AD129" s="268" t="str">
        <f>'Q100a-geral'!AD254</f>
        <v>x</v>
      </c>
      <c r="AE129" s="268" t="str">
        <f>'Q100a-geral'!AE254</f>
        <v>não realizada pesquisa em BH</v>
      </c>
      <c r="AF129" s="268" t="str">
        <f>'Q100a-geral'!AF254</f>
        <v>x</v>
      </c>
      <c r="AG129" s="95">
        <f>'Q100a-geral'!AG254</f>
        <v>0.28999999999999998</v>
      </c>
      <c r="AH129" s="268" t="str">
        <f>'Q100a-geral'!AH254</f>
        <v>não realizada pesquisa em BH</v>
      </c>
      <c r="AI129" s="268" t="str">
        <f>'Q100a-geral'!AI254</f>
        <v>x</v>
      </c>
      <c r="AJ129" s="268" t="str">
        <f>'Q100a-geral'!AJ254</f>
        <v>não realizada pesquisa em BH</v>
      </c>
      <c r="AK129" s="268" t="str">
        <f>'Q100a-geral'!AK254</f>
        <v>x</v>
      </c>
      <c r="AL129" s="212" t="str">
        <f>'Q100a-geral'!AL254</f>
        <v>x</v>
      </c>
      <c r="AM129" s="137" t="str">
        <f>'Q100a-geral'!AM254</f>
        <v>x</v>
      </c>
      <c r="AN129" s="137" t="str">
        <f>'Q100a-geral'!AN254</f>
        <v>x</v>
      </c>
      <c r="AO129" s="137" t="str">
        <f>'Q100a-geral'!AO254</f>
        <v>x</v>
      </c>
      <c r="AP129" s="137" t="str">
        <f>'Q100a-geral'!AP254</f>
        <v>x</v>
      </c>
      <c r="AQ129" s="137" t="str">
        <f>'Q100a-geral'!AQ254</f>
        <v>x</v>
      </c>
      <c r="AR129" s="137"/>
      <c r="AS129" s="137"/>
      <c r="AT129" s="137"/>
      <c r="AU129" s="137"/>
      <c r="AV129" s="137" t="str">
        <f>'Q100a-geral'!AV254</f>
        <v>x</v>
      </c>
      <c r="AW129" s="137"/>
      <c r="AX129" s="137"/>
      <c r="AY129" s="137"/>
      <c r="AZ129" s="137"/>
      <c r="BA129" s="137" t="str">
        <f>'Q100a-geral'!BA254</f>
        <v>x</v>
      </c>
      <c r="BB129" s="239" t="str">
        <f>'Q100a-geral'!BB254</f>
        <v>Outras questões em pesquisas externas de opiniãox</v>
      </c>
      <c r="BC129" s="239" t="str">
        <f>'Q100a-geral'!BC254</f>
        <v>Outras questões em pesquisas externas de opiniãoxbenchmarking</v>
      </c>
      <c r="BD129" s="239" t="str">
        <f>'Q100a-geral'!BD254</f>
        <v>Outras questões em pesquisas externas de opiniãobenchmarking</v>
      </c>
    </row>
    <row r="130" spans="1:56" s="3" customFormat="1" ht="61.5" customHeight="1" x14ac:dyDescent="0.25">
      <c r="A130" s="275" t="str">
        <f>'Q100a-geral'!A255</f>
        <v>3.2.2</v>
      </c>
      <c r="B130" s="53" t="str">
        <f>'Q100a-geral'!B255</f>
        <v>Outras questões em pesquisas externas de opinião</v>
      </c>
      <c r="C130" s="229" t="str">
        <f>'Q100a-geral'!C255</f>
        <v>x</v>
      </c>
      <c r="D130" s="465" t="str">
        <f>'Q100a-geral'!D255</f>
        <v>Atp/
atendmento
[concorda] 
&gt; 100 mil habitantes</v>
      </c>
      <c r="E130" s="465" t="str">
        <f>'Q100a-geral'!E255</f>
        <v>Brasil</v>
      </c>
      <c r="F130" s="490" t="str">
        <f>'Q100a-geral'!F255</f>
        <v>percentual de "concordo/concordo totalmente" com a afirmação: "Nos serviços públicos de transporte urbano a população consegue ser atendida sempre que precisar" em cidades com população acima de 100 mil habitantes segundo o Instituto de Pesquisa Econômica Aplicada - Ipea
obs.: resultados de 2011 em IPEA (2012, p.9/Tabela 9)</v>
      </c>
      <c r="G130" s="252" t="str">
        <f>'Q100a-geral'!G255</f>
        <v>registro na fonte</v>
      </c>
      <c r="H130" s="173" t="str">
        <f>'Q100a-geral'!H255</f>
        <v>benchmarking</v>
      </c>
      <c r="I130" s="167" t="str">
        <f>'Q100a-geral'!I255</f>
        <v>x</v>
      </c>
      <c r="J130" s="107" t="str">
        <f>'Q100a-geral'!J255</f>
        <v>x</v>
      </c>
      <c r="K130" s="268" t="str">
        <f>'Q100a-geral'!K255</f>
        <v>x</v>
      </c>
      <c r="L130" s="268" t="str">
        <f>'Q100a-geral'!L255</f>
        <v>x</v>
      </c>
      <c r="M130" s="268" t="str">
        <f>'Q100a-geral'!M255</f>
        <v>x</v>
      </c>
      <c r="N130" s="268" t="str">
        <f>'Q100a-geral'!N255</f>
        <v>x</v>
      </c>
      <c r="O130" s="268" t="str">
        <f>'Q100a-geral'!O255</f>
        <v>x</v>
      </c>
      <c r="P130" s="268" t="str">
        <f>'Q100a-geral'!P255</f>
        <v>x</v>
      </c>
      <c r="Q130" s="268" t="str">
        <f>'Q100a-geral'!Q255</f>
        <v>x</v>
      </c>
      <c r="R130" s="268" t="str">
        <f>'Q100a-geral'!R255</f>
        <v>x</v>
      </c>
      <c r="S130" s="855" t="str">
        <f>'Q100a-geral'!S255</f>
        <v>só para pesquisa</v>
      </c>
      <c r="T130" s="268" t="str">
        <f>'Q100a-geral'!T255</f>
        <v>x</v>
      </c>
      <c r="U130" s="268" t="str">
        <f>'Q100a-geral'!U255</f>
        <v>x</v>
      </c>
      <c r="V130" s="855" t="str">
        <f>'Q100a-geral'!V255</f>
        <v>só para pesquisa</v>
      </c>
      <c r="W130" s="268" t="str">
        <f>'Q100a-geral'!W255</f>
        <v>x</v>
      </c>
      <c r="X130" s="268" t="str">
        <f>'Q100a-geral'!X255</f>
        <v>x</v>
      </c>
      <c r="Y130" s="268" t="str">
        <f>'Q100a-geral'!Y255</f>
        <v>x</v>
      </c>
      <c r="Z130" s="268" t="str">
        <f>'Q100a-geral'!Z255</f>
        <v>x</v>
      </c>
      <c r="AA130" s="268" t="str">
        <f>'Q100a-geral'!AA255</f>
        <v>x</v>
      </c>
      <c r="AB130" s="268" t="str">
        <f>'Q100a-geral'!AB255</f>
        <v>x</v>
      </c>
      <c r="AC130" s="268" t="str">
        <f>'Q100a-geral'!AC255</f>
        <v>x</v>
      </c>
      <c r="AD130" s="268" t="str">
        <f>'Q100a-geral'!AD255</f>
        <v>x</v>
      </c>
      <c r="AE130" s="268" t="str">
        <f>'Q100a-geral'!AE255</f>
        <v>não realizada pesquisa em BH</v>
      </c>
      <c r="AF130" s="268" t="str">
        <f>'Q100a-geral'!AF255</f>
        <v>x</v>
      </c>
      <c r="AG130" s="95">
        <f>'Q100a-geral'!AG255</f>
        <v>0.25</v>
      </c>
      <c r="AH130" s="268" t="str">
        <f>'Q100a-geral'!AH255</f>
        <v>não realizada pesquisa em BH</v>
      </c>
      <c r="AI130" s="268" t="str">
        <f>'Q100a-geral'!AI255</f>
        <v>x</v>
      </c>
      <c r="AJ130" s="268" t="str">
        <f>'Q100a-geral'!AJ255</f>
        <v>não realizada pesquisa em BH</v>
      </c>
      <c r="AK130" s="268" t="str">
        <f>'Q100a-geral'!AK255</f>
        <v>x</v>
      </c>
      <c r="AL130" s="212" t="str">
        <f>'Q100a-geral'!AL255</f>
        <v>x</v>
      </c>
      <c r="AM130" s="137" t="str">
        <f>'Q100a-geral'!AM255</f>
        <v>x</v>
      </c>
      <c r="AN130" s="137" t="str">
        <f>'Q100a-geral'!AN255</f>
        <v>x</v>
      </c>
      <c r="AO130" s="137" t="str">
        <f>'Q100a-geral'!AO255</f>
        <v>x</v>
      </c>
      <c r="AP130" s="137" t="str">
        <f>'Q100a-geral'!AP255</f>
        <v>x</v>
      </c>
      <c r="AQ130" s="137" t="str">
        <f>'Q100a-geral'!AQ255</f>
        <v>x</v>
      </c>
      <c r="AR130" s="137"/>
      <c r="AS130" s="137"/>
      <c r="AT130" s="137"/>
      <c r="AU130" s="137"/>
      <c r="AV130" s="137" t="str">
        <f>'Q100a-geral'!AV255</f>
        <v>x</v>
      </c>
      <c r="AW130" s="137"/>
      <c r="AX130" s="137"/>
      <c r="AY130" s="137"/>
      <c r="AZ130" s="137"/>
      <c r="BA130" s="137" t="str">
        <f>'Q100a-geral'!BA255</f>
        <v>x</v>
      </c>
      <c r="BB130" s="239" t="str">
        <f>'Q100a-geral'!BB255</f>
        <v>Outras questões em pesquisas externas de opiniãox</v>
      </c>
      <c r="BC130" s="239" t="str">
        <f>'Q100a-geral'!BC255</f>
        <v>Outras questões em pesquisas externas de opiniãoxbenchmarking</v>
      </c>
      <c r="BD130" s="239" t="str">
        <f>'Q100a-geral'!BD255</f>
        <v>Outras questões em pesquisas externas de opiniãobenchmarking</v>
      </c>
    </row>
    <row r="131" spans="1:56" s="3" customFormat="1" ht="43.5" customHeight="1" x14ac:dyDescent="0.25">
      <c r="A131" s="275" t="str">
        <f>'Q100a-geral'!A256</f>
        <v>3.2.2</v>
      </c>
      <c r="B131" s="53" t="str">
        <f>'Q100a-geral'!B256</f>
        <v>Outras questões em pesquisas externas de opinião</v>
      </c>
      <c r="C131" s="229" t="str">
        <f>'Q100a-geral'!C256</f>
        <v>x</v>
      </c>
      <c r="D131" s="501" t="s">
        <v>1807</v>
      </c>
      <c r="E131" s="465" t="str">
        <f>'Q100a-geral'!E256</f>
        <v>Brasil</v>
      </c>
      <c r="F131" s="490" t="str">
        <f>'Q100a-geral'!F256</f>
        <v>percentual de "concordo/concordo totalmente" com a afirmação: "O transporte público de sua cidade permite que as pessoas se desloquem com facilidade por toda a cidade" em cidades com população até 20 mil habitantes segundo o Instituto de Pesquisa Econômica Aplicada - Ipea
obs.: resultados de 2011 em IPEA (2012, p.9/Tabela 9)</v>
      </c>
      <c r="G131" s="252" t="str">
        <f>'Q100a-geral'!G256</f>
        <v>registro na fonte</v>
      </c>
      <c r="H131" s="173" t="str">
        <f>'Q100a-geral'!H256</f>
        <v>benchmarking</v>
      </c>
      <c r="I131" s="167" t="str">
        <f>'Q100a-geral'!I256</f>
        <v>x</v>
      </c>
      <c r="J131" s="107" t="str">
        <f>'Q100a-geral'!J256</f>
        <v>x</v>
      </c>
      <c r="K131" s="268" t="str">
        <f>'Q100a-geral'!K256</f>
        <v>x</v>
      </c>
      <c r="L131" s="268" t="str">
        <f>'Q100a-geral'!L256</f>
        <v>x</v>
      </c>
      <c r="M131" s="268" t="str">
        <f>'Q100a-geral'!M256</f>
        <v>x</v>
      </c>
      <c r="N131" s="268" t="str">
        <f>'Q100a-geral'!N256</f>
        <v>x</v>
      </c>
      <c r="O131" s="268" t="str">
        <f>'Q100a-geral'!O256</f>
        <v>x</v>
      </c>
      <c r="P131" s="268" t="str">
        <f>'Q100a-geral'!P256</f>
        <v>x</v>
      </c>
      <c r="Q131" s="268" t="str">
        <f>'Q100a-geral'!Q256</f>
        <v>x</v>
      </c>
      <c r="R131" s="268" t="str">
        <f>'Q100a-geral'!R256</f>
        <v>x</v>
      </c>
      <c r="S131" s="855" t="str">
        <f>'Q100a-geral'!S256</f>
        <v>só para pesquisa</v>
      </c>
      <c r="T131" s="268" t="str">
        <f>'Q100a-geral'!T256</f>
        <v>x</v>
      </c>
      <c r="U131" s="268" t="str">
        <f>'Q100a-geral'!U256</f>
        <v>x</v>
      </c>
      <c r="V131" s="855" t="str">
        <f>'Q100a-geral'!V256</f>
        <v>só para pesquisa</v>
      </c>
      <c r="W131" s="268" t="str">
        <f>'Q100a-geral'!W256</f>
        <v>x</v>
      </c>
      <c r="X131" s="268" t="str">
        <f>'Q100a-geral'!X256</f>
        <v>x</v>
      </c>
      <c r="Y131" s="268" t="str">
        <f>'Q100a-geral'!Y256</f>
        <v>x</v>
      </c>
      <c r="Z131" s="268" t="str">
        <f>'Q100a-geral'!Z256</f>
        <v>x</v>
      </c>
      <c r="AA131" s="268" t="str">
        <f>'Q100a-geral'!AA256</f>
        <v>x</v>
      </c>
      <c r="AB131" s="268" t="str">
        <f>'Q100a-geral'!AB256</f>
        <v>x</v>
      </c>
      <c r="AC131" s="268" t="str">
        <f>'Q100a-geral'!AC256</f>
        <v>x</v>
      </c>
      <c r="AD131" s="268" t="str">
        <f>'Q100a-geral'!AD256</f>
        <v>x</v>
      </c>
      <c r="AE131" s="268" t="str">
        <f>'Q100a-geral'!AE256</f>
        <v>não realizada pesquisa em BH</v>
      </c>
      <c r="AF131" s="268" t="str">
        <f>'Q100a-geral'!AF256</f>
        <v>x</v>
      </c>
      <c r="AG131" s="95">
        <f>'Q100a-geral'!AG256</f>
        <v>0.31</v>
      </c>
      <c r="AH131" s="268" t="str">
        <f>'Q100a-geral'!AH256</f>
        <v>não realizada pesquisa em BH</v>
      </c>
      <c r="AI131" s="268" t="str">
        <f>'Q100a-geral'!AI256</f>
        <v>x</v>
      </c>
      <c r="AJ131" s="268" t="str">
        <f>'Q100a-geral'!AJ256</f>
        <v>não realizada pesquisa em BH</v>
      </c>
      <c r="AK131" s="268" t="str">
        <f>'Q100a-geral'!AK256</f>
        <v>x</v>
      </c>
      <c r="AL131" s="212" t="str">
        <f>'Q100a-geral'!AL256</f>
        <v>x</v>
      </c>
      <c r="AM131" s="137" t="str">
        <f>'Q100a-geral'!AM256</f>
        <v>x</v>
      </c>
      <c r="AN131" s="137" t="str">
        <f>'Q100a-geral'!AN256</f>
        <v>x</v>
      </c>
      <c r="AO131" s="137" t="str">
        <f>'Q100a-geral'!AO256</f>
        <v>x</v>
      </c>
      <c r="AP131" s="137" t="str">
        <f>'Q100a-geral'!AP256</f>
        <v>x</v>
      </c>
      <c r="AQ131" s="137" t="str">
        <f>'Q100a-geral'!AQ256</f>
        <v>x</v>
      </c>
      <c r="AR131" s="137"/>
      <c r="AS131" s="137"/>
      <c r="AT131" s="137"/>
      <c r="AU131" s="137"/>
      <c r="AV131" s="137" t="str">
        <f>'Q100a-geral'!AV256</f>
        <v>x</v>
      </c>
      <c r="AW131" s="137"/>
      <c r="AX131" s="137"/>
      <c r="AY131" s="137"/>
      <c r="AZ131" s="137"/>
      <c r="BA131" s="137" t="str">
        <f>'Q100a-geral'!BA256</f>
        <v>x</v>
      </c>
      <c r="BB131" s="239" t="str">
        <f>'Q100a-geral'!BB256</f>
        <v>Outras questões em pesquisas externas de opiniãox</v>
      </c>
      <c r="BC131" s="239" t="str">
        <f>'Q100a-geral'!BC256</f>
        <v>Outras questões em pesquisas externas de opiniãoxbenchmarking</v>
      </c>
      <c r="BD131" s="239" t="str">
        <f>'Q100a-geral'!BD256</f>
        <v>Outras questões em pesquisas externas de opiniãobenchmarking</v>
      </c>
    </row>
    <row r="132" spans="1:56" s="3" customFormat="1" ht="43.5" customHeight="1" x14ac:dyDescent="0.25">
      <c r="A132" s="275" t="str">
        <f>'Q100a-geral'!A257</f>
        <v>3.2.2</v>
      </c>
      <c r="B132" s="53" t="str">
        <f>'Q100a-geral'!B257</f>
        <v>Outras questões em pesquisas externas de opinião</v>
      </c>
      <c r="C132" s="229" t="str">
        <f>'Q100a-geral'!C257</f>
        <v>x</v>
      </c>
      <c r="D132" s="501" t="s">
        <v>1808</v>
      </c>
      <c r="E132" s="465" t="str">
        <f>'Q100a-geral'!E257</f>
        <v>Brasil</v>
      </c>
      <c r="F132" s="490" t="str">
        <f>'Q100a-geral'!F257</f>
        <v>percentual de "concordo/concordo totalmente" com a afirmação: "O transporte público de sua cidade permite que as pessoas se desloquem com facilidade por toda a cidade?"  em cidades com população entre 20 e 100 mil habitantes segundo o Instituto de Pesquisa Econômica Aplicada - Ipea
obs.: resultados de 2011 em IPEA (2012, p.9/Tabela 9)</v>
      </c>
      <c r="G132" s="252" t="str">
        <f>'Q100a-geral'!G257</f>
        <v>registro na fonte</v>
      </c>
      <c r="H132" s="173" t="str">
        <f>'Q100a-geral'!H257</f>
        <v>benchmarking</v>
      </c>
      <c r="I132" s="167" t="str">
        <f>'Q100a-geral'!I257</f>
        <v>x</v>
      </c>
      <c r="J132" s="107" t="str">
        <f>'Q100a-geral'!J257</f>
        <v>x</v>
      </c>
      <c r="K132" s="268" t="str">
        <f>'Q100a-geral'!K257</f>
        <v>x</v>
      </c>
      <c r="L132" s="268" t="str">
        <f>'Q100a-geral'!L257</f>
        <v>x</v>
      </c>
      <c r="M132" s="268" t="str">
        <f>'Q100a-geral'!M257</f>
        <v>x</v>
      </c>
      <c r="N132" s="268" t="str">
        <f>'Q100a-geral'!N257</f>
        <v>x</v>
      </c>
      <c r="O132" s="268" t="str">
        <f>'Q100a-geral'!O257</f>
        <v>x</v>
      </c>
      <c r="P132" s="268" t="str">
        <f>'Q100a-geral'!P257</f>
        <v>x</v>
      </c>
      <c r="Q132" s="268" t="str">
        <f>'Q100a-geral'!Q257</f>
        <v>x</v>
      </c>
      <c r="R132" s="268" t="str">
        <f>'Q100a-geral'!R257</f>
        <v>x</v>
      </c>
      <c r="S132" s="855" t="str">
        <f>'Q100a-geral'!S257</f>
        <v>só para pesquisa</v>
      </c>
      <c r="T132" s="268" t="str">
        <f>'Q100a-geral'!T257</f>
        <v>x</v>
      </c>
      <c r="U132" s="268" t="str">
        <f>'Q100a-geral'!U257</f>
        <v>x</v>
      </c>
      <c r="V132" s="855" t="str">
        <f>'Q100a-geral'!V257</f>
        <v>só para pesquisa</v>
      </c>
      <c r="W132" s="268" t="str">
        <f>'Q100a-geral'!W257</f>
        <v>x</v>
      </c>
      <c r="X132" s="268" t="str">
        <f>'Q100a-geral'!X257</f>
        <v>x</v>
      </c>
      <c r="Y132" s="268" t="str">
        <f>'Q100a-geral'!Y257</f>
        <v>x</v>
      </c>
      <c r="Z132" s="268" t="str">
        <f>'Q100a-geral'!Z257</f>
        <v>x</v>
      </c>
      <c r="AA132" s="268" t="str">
        <f>'Q100a-geral'!AA257</f>
        <v>x</v>
      </c>
      <c r="AB132" s="268" t="str">
        <f>'Q100a-geral'!AB257</f>
        <v>x</v>
      </c>
      <c r="AC132" s="268" t="str">
        <f>'Q100a-geral'!AC257</f>
        <v>x</v>
      </c>
      <c r="AD132" s="268" t="str">
        <f>'Q100a-geral'!AD257</f>
        <v>x</v>
      </c>
      <c r="AE132" s="268" t="str">
        <f>'Q100a-geral'!AE257</f>
        <v>não realizada pesquisa em BH</v>
      </c>
      <c r="AF132" s="268" t="str">
        <f>'Q100a-geral'!AF257</f>
        <v>x</v>
      </c>
      <c r="AG132" s="95">
        <f>'Q100a-geral'!AG257</f>
        <v>0.37</v>
      </c>
      <c r="AH132" s="268" t="str">
        <f>'Q100a-geral'!AH257</f>
        <v>não realizada pesquisa em BH</v>
      </c>
      <c r="AI132" s="268" t="str">
        <f>'Q100a-geral'!AI257</f>
        <v>x</v>
      </c>
      <c r="AJ132" s="268" t="str">
        <f>'Q100a-geral'!AJ257</f>
        <v>não realizada pesquisa em BH</v>
      </c>
      <c r="AK132" s="268" t="str">
        <f>'Q100a-geral'!AK257</f>
        <v>x</v>
      </c>
      <c r="AL132" s="212" t="str">
        <f>'Q100a-geral'!AL257</f>
        <v>x</v>
      </c>
      <c r="AM132" s="137" t="str">
        <f>'Q100a-geral'!AM257</f>
        <v>x</v>
      </c>
      <c r="AN132" s="137" t="str">
        <f>'Q100a-geral'!AN257</f>
        <v>x</v>
      </c>
      <c r="AO132" s="137" t="str">
        <f>'Q100a-geral'!AO257</f>
        <v>x</v>
      </c>
      <c r="AP132" s="137" t="str">
        <f>'Q100a-geral'!AP257</f>
        <v>x</v>
      </c>
      <c r="AQ132" s="137" t="str">
        <f>'Q100a-geral'!AQ257</f>
        <v>x</v>
      </c>
      <c r="AR132" s="137"/>
      <c r="AS132" s="137"/>
      <c r="AT132" s="137"/>
      <c r="AU132" s="137"/>
      <c r="AV132" s="137" t="str">
        <f>'Q100a-geral'!AV257</f>
        <v>x</v>
      </c>
      <c r="AW132" s="137"/>
      <c r="AX132" s="137"/>
      <c r="AY132" s="137"/>
      <c r="AZ132" s="137"/>
      <c r="BA132" s="137" t="str">
        <f>'Q100a-geral'!BA257</f>
        <v>x</v>
      </c>
      <c r="BB132" s="239" t="str">
        <f>'Q100a-geral'!BB257</f>
        <v>Outras questões em pesquisas externas de opiniãox</v>
      </c>
      <c r="BC132" s="239" t="str">
        <f>'Q100a-geral'!BC257</f>
        <v>Outras questões em pesquisas externas de opiniãoxbenchmarking</v>
      </c>
      <c r="BD132" s="239" t="str">
        <f>'Q100a-geral'!BD257</f>
        <v>Outras questões em pesquisas externas de opiniãobenchmarking</v>
      </c>
    </row>
    <row r="133" spans="1:56" s="3" customFormat="1" ht="43.5" customHeight="1" x14ac:dyDescent="0.25">
      <c r="A133" s="275" t="str">
        <f>'Q100a-geral'!A258</f>
        <v>3.2.2</v>
      </c>
      <c r="B133" s="53" t="str">
        <f>'Q100a-geral'!B258</f>
        <v>Outras questões em pesquisas externas de opinião</v>
      </c>
      <c r="C133" s="229" t="str">
        <f>'Q100a-geral'!C258</f>
        <v>x</v>
      </c>
      <c r="D133" s="501" t="s">
        <v>1809</v>
      </c>
      <c r="E133" s="465" t="str">
        <f>'Q100a-geral'!E258</f>
        <v>Brasil</v>
      </c>
      <c r="F133" s="490" t="str">
        <f>'Q100a-geral'!F258</f>
        <v>percentual de "concordo/concordo totalmente" com a afirmação: "O transporte público de sua cidade permite que as pessoas se desloquem com facilidade por toda a cidade?"  em cidades com população acima de 100 mil habitantes segundo o Instituto de Pesquisa Econômica Aplicada - Ipea
obs.: resultados de 2011 em IPEA (2012, p.9/Tabela 9)</v>
      </c>
      <c r="G133" s="252" t="str">
        <f>'Q100a-geral'!G258</f>
        <v>registro na fonte</v>
      </c>
      <c r="H133" s="173" t="str">
        <f>'Q100a-geral'!H258</f>
        <v>benchmarking</v>
      </c>
      <c r="I133" s="167" t="str">
        <f>'Q100a-geral'!I258</f>
        <v>x</v>
      </c>
      <c r="J133" s="107" t="str">
        <f>'Q100a-geral'!J258</f>
        <v>x</v>
      </c>
      <c r="K133" s="268" t="str">
        <f>'Q100a-geral'!K258</f>
        <v>x</v>
      </c>
      <c r="L133" s="268" t="str">
        <f>'Q100a-geral'!L258</f>
        <v>x</v>
      </c>
      <c r="M133" s="268" t="str">
        <f>'Q100a-geral'!M258</f>
        <v>x</v>
      </c>
      <c r="N133" s="268" t="str">
        <f>'Q100a-geral'!N258</f>
        <v>x</v>
      </c>
      <c r="O133" s="268" t="str">
        <f>'Q100a-geral'!O258</f>
        <v>x</v>
      </c>
      <c r="P133" s="268" t="str">
        <f>'Q100a-geral'!P258</f>
        <v>x</v>
      </c>
      <c r="Q133" s="268" t="str">
        <f>'Q100a-geral'!Q258</f>
        <v>x</v>
      </c>
      <c r="R133" s="268" t="str">
        <f>'Q100a-geral'!R258</f>
        <v>x</v>
      </c>
      <c r="S133" s="855" t="str">
        <f>'Q100a-geral'!S258</f>
        <v>só para pesquisa</v>
      </c>
      <c r="T133" s="268" t="str">
        <f>'Q100a-geral'!T258</f>
        <v>x</v>
      </c>
      <c r="U133" s="268" t="str">
        <f>'Q100a-geral'!U258</f>
        <v>x</v>
      </c>
      <c r="V133" s="855" t="str">
        <f>'Q100a-geral'!V258</f>
        <v>só para pesquisa</v>
      </c>
      <c r="W133" s="268" t="str">
        <f>'Q100a-geral'!W258</f>
        <v>x</v>
      </c>
      <c r="X133" s="268" t="str">
        <f>'Q100a-geral'!X258</f>
        <v>x</v>
      </c>
      <c r="Y133" s="268" t="str">
        <f>'Q100a-geral'!Y258</f>
        <v>x</v>
      </c>
      <c r="Z133" s="268" t="str">
        <f>'Q100a-geral'!Z258</f>
        <v>x</v>
      </c>
      <c r="AA133" s="268" t="str">
        <f>'Q100a-geral'!AA258</f>
        <v>x</v>
      </c>
      <c r="AB133" s="268" t="str">
        <f>'Q100a-geral'!AB258</f>
        <v>x</v>
      </c>
      <c r="AC133" s="268" t="str">
        <f>'Q100a-geral'!AC258</f>
        <v>x</v>
      </c>
      <c r="AD133" s="268" t="str">
        <f>'Q100a-geral'!AD258</f>
        <v>x</v>
      </c>
      <c r="AE133" s="268" t="str">
        <f>'Q100a-geral'!AE258</f>
        <v>não realizada pesquisa em BH</v>
      </c>
      <c r="AF133" s="268" t="str">
        <f>'Q100a-geral'!AF258</f>
        <v>x</v>
      </c>
      <c r="AG133" s="95">
        <f>'Q100a-geral'!AG258</f>
        <v>0.38</v>
      </c>
      <c r="AH133" s="268" t="str">
        <f>'Q100a-geral'!AH258</f>
        <v>não realizada pesquisa em BH</v>
      </c>
      <c r="AI133" s="268" t="str">
        <f>'Q100a-geral'!AI258</f>
        <v>x</v>
      </c>
      <c r="AJ133" s="268" t="str">
        <f>'Q100a-geral'!AJ258</f>
        <v>não realizada pesquisa em BH</v>
      </c>
      <c r="AK133" s="268" t="str">
        <f>'Q100a-geral'!AK258</f>
        <v>x</v>
      </c>
      <c r="AL133" s="212" t="str">
        <f>'Q100a-geral'!AL258</f>
        <v>x</v>
      </c>
      <c r="AM133" s="137" t="str">
        <f>'Q100a-geral'!AM258</f>
        <v>x</v>
      </c>
      <c r="AN133" s="137" t="str">
        <f>'Q100a-geral'!AN258</f>
        <v>x</v>
      </c>
      <c r="AO133" s="137" t="str">
        <f>'Q100a-geral'!AO258</f>
        <v>x</v>
      </c>
      <c r="AP133" s="137" t="str">
        <f>'Q100a-geral'!AP258</f>
        <v>x</v>
      </c>
      <c r="AQ133" s="137" t="str">
        <f>'Q100a-geral'!AQ258</f>
        <v>x</v>
      </c>
      <c r="AR133" s="137"/>
      <c r="AS133" s="137"/>
      <c r="AT133" s="137"/>
      <c r="AU133" s="137"/>
      <c r="AV133" s="137" t="str">
        <f>'Q100a-geral'!AV258</f>
        <v>x</v>
      </c>
      <c r="AW133" s="137"/>
      <c r="AX133" s="137"/>
      <c r="AY133" s="137"/>
      <c r="AZ133" s="137"/>
      <c r="BA133" s="137" t="str">
        <f>'Q100a-geral'!BA258</f>
        <v>x</v>
      </c>
      <c r="BB133" s="239" t="str">
        <f>'Q100a-geral'!BB258</f>
        <v>Outras questões em pesquisas externas de opiniãox</v>
      </c>
      <c r="BC133" s="239" t="str">
        <f>'Q100a-geral'!BC258</f>
        <v>Outras questões em pesquisas externas de opiniãoxbenchmarking</v>
      </c>
      <c r="BD133" s="239" t="str">
        <f>'Q100a-geral'!BD258</f>
        <v>Outras questões em pesquisas externas de opiniãobenchmarking</v>
      </c>
    </row>
    <row r="134" spans="1:56" s="3" customFormat="1" ht="43.5" customHeight="1" x14ac:dyDescent="0.25">
      <c r="A134" s="275" t="str">
        <f>'Q100a-geral'!A259</f>
        <v>3.2.2</v>
      </c>
      <c r="B134" s="53" t="str">
        <f>'Q100a-geral'!B259</f>
        <v>Outras questões em pesquisas externas de opinião</v>
      </c>
      <c r="C134" s="229" t="str">
        <f>'Q100a-geral'!C259</f>
        <v>x</v>
      </c>
      <c r="D134" s="326" t="str">
        <f>'Q100a-geral'!D259</f>
        <v>Atp/
tratamento [concorda] 
&lt; 20 mil habitantes</v>
      </c>
      <c r="E134" s="465" t="str">
        <f>'Q100a-geral'!E259</f>
        <v>Brasil</v>
      </c>
      <c r="F134" s="490" t="str">
        <f>'Q100a-geral'!F259</f>
        <v>percentual de "concordo/concordo totalmente" com a afirmação: "O tratamento dado pelo transporte público urbano ao público é igual para todos independente de renda, cor da pele, idade, deficiência ou gênero?" nas cidades com população até 20 mil habitantes segundo o Instituto de Pesquisa Econômica Aplicada - Ipea
obs.: resultados de 2011 em IPEA (2012, p.10/Tabela 11)</v>
      </c>
      <c r="G134" s="252" t="str">
        <f>'Q100a-geral'!G259</f>
        <v>registro na fonte</v>
      </c>
      <c r="H134" s="173" t="str">
        <f>'Q100a-geral'!H259</f>
        <v>benchmarking</v>
      </c>
      <c r="I134" s="167" t="str">
        <f>'Q100a-geral'!I259</f>
        <v>x</v>
      </c>
      <c r="J134" s="107" t="str">
        <f>'Q100a-geral'!J259</f>
        <v>x</v>
      </c>
      <c r="K134" s="268" t="str">
        <f>'Q100a-geral'!K259</f>
        <v>x</v>
      </c>
      <c r="L134" s="268" t="str">
        <f>'Q100a-geral'!L259</f>
        <v>x</v>
      </c>
      <c r="M134" s="268" t="str">
        <f>'Q100a-geral'!M259</f>
        <v>x</v>
      </c>
      <c r="N134" s="268" t="str">
        <f>'Q100a-geral'!N259</f>
        <v>x</v>
      </c>
      <c r="O134" s="268" t="str">
        <f>'Q100a-geral'!O259</f>
        <v>x</v>
      </c>
      <c r="P134" s="268" t="str">
        <f>'Q100a-geral'!P259</f>
        <v>x</v>
      </c>
      <c r="Q134" s="268" t="str">
        <f>'Q100a-geral'!Q259</f>
        <v>x</v>
      </c>
      <c r="R134" s="268" t="str">
        <f>'Q100a-geral'!R259</f>
        <v>x</v>
      </c>
      <c r="S134" s="855" t="str">
        <f>'Q100a-geral'!S259</f>
        <v>só para pesquisa</v>
      </c>
      <c r="T134" s="268" t="str">
        <f>'Q100a-geral'!T259</f>
        <v>x</v>
      </c>
      <c r="U134" s="268" t="str">
        <f>'Q100a-geral'!U259</f>
        <v>x</v>
      </c>
      <c r="V134" s="855" t="str">
        <f>'Q100a-geral'!V259</f>
        <v>só para pesquisa</v>
      </c>
      <c r="W134" s="268" t="str">
        <f>'Q100a-geral'!W259</f>
        <v>x</v>
      </c>
      <c r="X134" s="268" t="str">
        <f>'Q100a-geral'!X259</f>
        <v>x</v>
      </c>
      <c r="Y134" s="268" t="str">
        <f>'Q100a-geral'!Y259</f>
        <v>x</v>
      </c>
      <c r="Z134" s="268" t="str">
        <f>'Q100a-geral'!Z259</f>
        <v>x</v>
      </c>
      <c r="AA134" s="268" t="str">
        <f>'Q100a-geral'!AA259</f>
        <v>x</v>
      </c>
      <c r="AB134" s="268" t="str">
        <f>'Q100a-geral'!AB259</f>
        <v>x</v>
      </c>
      <c r="AC134" s="268" t="str">
        <f>'Q100a-geral'!AC259</f>
        <v>x</v>
      </c>
      <c r="AD134" s="268" t="str">
        <f>'Q100a-geral'!AD259</f>
        <v>x</v>
      </c>
      <c r="AE134" s="268" t="str">
        <f>'Q100a-geral'!AE259</f>
        <v>não realizada pesquisa em BH</v>
      </c>
      <c r="AF134" s="268" t="str">
        <f>'Q100a-geral'!AF259</f>
        <v>x</v>
      </c>
      <c r="AG134" s="95">
        <f>'Q100a-geral'!AG259</f>
        <v>0.47</v>
      </c>
      <c r="AH134" s="268" t="str">
        <f>'Q100a-geral'!AH259</f>
        <v>não realizada pesquisa em BH</v>
      </c>
      <c r="AI134" s="268" t="str">
        <f>'Q100a-geral'!AI259</f>
        <v>x</v>
      </c>
      <c r="AJ134" s="268" t="str">
        <f>'Q100a-geral'!AJ259</f>
        <v>não realizada pesquisa em BH</v>
      </c>
      <c r="AK134" s="268" t="str">
        <f>'Q100a-geral'!AK259</f>
        <v>x</v>
      </c>
      <c r="AL134" s="212" t="str">
        <f>'Q100a-geral'!AL259</f>
        <v>x</v>
      </c>
      <c r="AM134" s="137" t="str">
        <f>'Q100a-geral'!AM259</f>
        <v>x</v>
      </c>
      <c r="AN134" s="137" t="str">
        <f>'Q100a-geral'!AN259</f>
        <v>x</v>
      </c>
      <c r="AO134" s="137" t="str">
        <f>'Q100a-geral'!AO259</f>
        <v>x</v>
      </c>
      <c r="AP134" s="137" t="str">
        <f>'Q100a-geral'!AP259</f>
        <v>x</v>
      </c>
      <c r="AQ134" s="137" t="str">
        <f>'Q100a-geral'!AQ259</f>
        <v>x</v>
      </c>
      <c r="AR134" s="137"/>
      <c r="AS134" s="137"/>
      <c r="AT134" s="137"/>
      <c r="AU134" s="137"/>
      <c r="AV134" s="137" t="str">
        <f>'Q100a-geral'!AV259</f>
        <v>x</v>
      </c>
      <c r="AW134" s="137"/>
      <c r="AX134" s="137"/>
      <c r="AY134" s="137"/>
      <c r="AZ134" s="137"/>
      <c r="BA134" s="137" t="str">
        <f>'Q100a-geral'!BA259</f>
        <v>x</v>
      </c>
      <c r="BB134" s="239" t="str">
        <f>'Q100a-geral'!BB259</f>
        <v>Outras questões em pesquisas externas de opiniãox</v>
      </c>
      <c r="BC134" s="239" t="str">
        <f>'Q100a-geral'!BC259</f>
        <v>Outras questões em pesquisas externas de opiniãoxbenchmarking</v>
      </c>
      <c r="BD134" s="239" t="str">
        <f>'Q100a-geral'!BD259</f>
        <v>Outras questões em pesquisas externas de opiniãobenchmarking</v>
      </c>
    </row>
    <row r="135" spans="1:56" s="3" customFormat="1" ht="43.5" customHeight="1" x14ac:dyDescent="0.25">
      <c r="A135" s="275" t="str">
        <f>'Q100a-geral'!A260</f>
        <v>3.2.2</v>
      </c>
      <c r="B135" s="53" t="str">
        <f>'Q100a-geral'!B260</f>
        <v>Outras questões em pesquisas externas de opinião</v>
      </c>
      <c r="C135" s="229" t="str">
        <f>'Q100a-geral'!C260</f>
        <v>x</v>
      </c>
      <c r="D135" s="326" t="str">
        <f>'Q100a-geral'!D260</f>
        <v>Atp/
tratamento [concorda] 
20 a 100 mil habitantes</v>
      </c>
      <c r="E135" s="465" t="str">
        <f>'Q100a-geral'!E260</f>
        <v>Brasil</v>
      </c>
      <c r="F135" s="490" t="str">
        <f>'Q100a-geral'!F260</f>
        <v>percentual de "concordo/concordo totalmente" com a afirmação: "O tratamento dado pelo transporte público urbano ao público é igual para todos independente de renda, cor da pele, idade, deficiência ou gênero?" nas cidades com população entre 20 e 100 mil habitantes segundo o Instituto de Pesquisa Econômica Aplicada - Ipea
obs.: resultados de 2011 em IPEA (2012, p.10/Tabela 11)</v>
      </c>
      <c r="G135" s="252" t="str">
        <f>'Q100a-geral'!G260</f>
        <v>registro na fonte</v>
      </c>
      <c r="H135" s="173" t="str">
        <f>'Q100a-geral'!H260</f>
        <v>benchmarking</v>
      </c>
      <c r="I135" s="167" t="str">
        <f>'Q100a-geral'!I260</f>
        <v>x</v>
      </c>
      <c r="J135" s="107" t="str">
        <f>'Q100a-geral'!J260</f>
        <v>x</v>
      </c>
      <c r="K135" s="268" t="str">
        <f>'Q100a-geral'!K260</f>
        <v>x</v>
      </c>
      <c r="L135" s="268" t="str">
        <f>'Q100a-geral'!L260</f>
        <v>x</v>
      </c>
      <c r="M135" s="268" t="str">
        <f>'Q100a-geral'!M260</f>
        <v>x</v>
      </c>
      <c r="N135" s="268" t="str">
        <f>'Q100a-geral'!N260</f>
        <v>x</v>
      </c>
      <c r="O135" s="268" t="str">
        <f>'Q100a-geral'!O260</f>
        <v>x</v>
      </c>
      <c r="P135" s="268" t="str">
        <f>'Q100a-geral'!P260</f>
        <v>x</v>
      </c>
      <c r="Q135" s="268" t="str">
        <f>'Q100a-geral'!Q260</f>
        <v>x</v>
      </c>
      <c r="R135" s="268" t="str">
        <f>'Q100a-geral'!R260</f>
        <v>x</v>
      </c>
      <c r="S135" s="855" t="str">
        <f>'Q100a-geral'!S260</f>
        <v>só para pesquisa</v>
      </c>
      <c r="T135" s="268" t="str">
        <f>'Q100a-geral'!T260</f>
        <v>x</v>
      </c>
      <c r="U135" s="268" t="str">
        <f>'Q100a-geral'!U260</f>
        <v>x</v>
      </c>
      <c r="V135" s="855" t="str">
        <f>'Q100a-geral'!V260</f>
        <v>só para pesquisa</v>
      </c>
      <c r="W135" s="268" t="str">
        <f>'Q100a-geral'!W260</f>
        <v>x</v>
      </c>
      <c r="X135" s="268" t="str">
        <f>'Q100a-geral'!X260</f>
        <v>x</v>
      </c>
      <c r="Y135" s="268" t="str">
        <f>'Q100a-geral'!Y260</f>
        <v>x</v>
      </c>
      <c r="Z135" s="268" t="str">
        <f>'Q100a-geral'!Z260</f>
        <v>x</v>
      </c>
      <c r="AA135" s="268" t="str">
        <f>'Q100a-geral'!AA260</f>
        <v>x</v>
      </c>
      <c r="AB135" s="268" t="str">
        <f>'Q100a-geral'!AB260</f>
        <v>x</v>
      </c>
      <c r="AC135" s="268" t="str">
        <f>'Q100a-geral'!AC260</f>
        <v>x</v>
      </c>
      <c r="AD135" s="268" t="str">
        <f>'Q100a-geral'!AD260</f>
        <v>x</v>
      </c>
      <c r="AE135" s="268" t="str">
        <f>'Q100a-geral'!AE260</f>
        <v>não realizada pesquisa em BH</v>
      </c>
      <c r="AF135" s="268" t="str">
        <f>'Q100a-geral'!AF260</f>
        <v>x</v>
      </c>
      <c r="AG135" s="95">
        <f>'Q100a-geral'!AG260</f>
        <v>0.41</v>
      </c>
      <c r="AH135" s="268" t="str">
        <f>'Q100a-geral'!AH260</f>
        <v>não realizada pesquisa em BH</v>
      </c>
      <c r="AI135" s="268" t="str">
        <f>'Q100a-geral'!AI260</f>
        <v>x</v>
      </c>
      <c r="AJ135" s="268" t="str">
        <f>'Q100a-geral'!AJ260</f>
        <v>não realizada pesquisa em BH</v>
      </c>
      <c r="AK135" s="268" t="str">
        <f>'Q100a-geral'!AK260</f>
        <v>x</v>
      </c>
      <c r="AL135" s="212" t="str">
        <f>'Q100a-geral'!AL260</f>
        <v>x</v>
      </c>
      <c r="AM135" s="137" t="str">
        <f>'Q100a-geral'!AM260</f>
        <v>x</v>
      </c>
      <c r="AN135" s="137" t="str">
        <f>'Q100a-geral'!AN260</f>
        <v>x</v>
      </c>
      <c r="AO135" s="137" t="str">
        <f>'Q100a-geral'!AO260</f>
        <v>x</v>
      </c>
      <c r="AP135" s="137" t="str">
        <f>'Q100a-geral'!AP260</f>
        <v>x</v>
      </c>
      <c r="AQ135" s="137" t="str">
        <f>'Q100a-geral'!AQ260</f>
        <v>x</v>
      </c>
      <c r="AR135" s="137"/>
      <c r="AS135" s="137"/>
      <c r="AT135" s="137"/>
      <c r="AU135" s="137"/>
      <c r="AV135" s="137" t="str">
        <f>'Q100a-geral'!AV260</f>
        <v>x</v>
      </c>
      <c r="AW135" s="137"/>
      <c r="AX135" s="137"/>
      <c r="AY135" s="137"/>
      <c r="AZ135" s="137"/>
      <c r="BA135" s="137" t="str">
        <f>'Q100a-geral'!BA260</f>
        <v>x</v>
      </c>
      <c r="BB135" s="239" t="str">
        <f>'Q100a-geral'!BB260</f>
        <v>Outras questões em pesquisas externas de opiniãox</v>
      </c>
      <c r="BC135" s="239" t="str">
        <f>'Q100a-geral'!BC260</f>
        <v>Outras questões em pesquisas externas de opiniãoxbenchmarking</v>
      </c>
      <c r="BD135" s="239" t="str">
        <f>'Q100a-geral'!BD260</f>
        <v>Outras questões em pesquisas externas de opiniãobenchmarking</v>
      </c>
    </row>
    <row r="136" spans="1:56" s="3" customFormat="1" ht="43.5" customHeight="1" x14ac:dyDescent="0.25">
      <c r="A136" s="275" t="str">
        <f>'Q100a-geral'!A261</f>
        <v>3.2.2</v>
      </c>
      <c r="B136" s="53" t="str">
        <f>'Q100a-geral'!B261</f>
        <v>Outras questões em pesquisas externas de opinião</v>
      </c>
      <c r="C136" s="229" t="str">
        <f>'Q100a-geral'!C261</f>
        <v>x</v>
      </c>
      <c r="D136" s="326" t="str">
        <f>'Q100a-geral'!D261</f>
        <v>Atp/
tratamento [concorda] 
&gt;100 mil habitantes</v>
      </c>
      <c r="E136" s="465" t="str">
        <f>'Q100a-geral'!E261</f>
        <v>Brasil</v>
      </c>
      <c r="F136" s="490" t="str">
        <f>'Q100a-geral'!F261</f>
        <v>percentual de "concordo/concordo totalmente" com a afirmação: "O tratamento dado pelo transporte público urbano ao público é igual para todos independente de renda, cor da pele, idade, deficiência ou gênero?"  em cidades com população acima de 100 mil habitantes segundo o Instituto de Pesquisa Econômica Aplicada - Ipea
obs.1: resultados de 2011 em IPEA (2012, p.10/Tabela 11)
obs.2: "Na percepção quanto ao tratamento igualitário do serviço de transporte ao público,
a lógica observada anteriormente [em outra pergunta] volta a apontar as cidades maiores com um posicionamento mais negativo. Nesse caso as cidades entre 20 e 100 mil apontaram tendência
mais positiva aproximando-se das cidades com menos de 20 mil habitantes." (IPEA, 2012, p.10)</v>
      </c>
      <c r="G136" s="252" t="str">
        <f>'Q100a-geral'!G261</f>
        <v>registro na fonte</v>
      </c>
      <c r="H136" s="173" t="str">
        <f>'Q100a-geral'!H261</f>
        <v>benchmarking</v>
      </c>
      <c r="I136" s="167" t="str">
        <f>'Q100a-geral'!I261</f>
        <v>x</v>
      </c>
      <c r="J136" s="107" t="str">
        <f>'Q100a-geral'!J261</f>
        <v>x</v>
      </c>
      <c r="K136" s="268" t="str">
        <f>'Q100a-geral'!K261</f>
        <v>x</v>
      </c>
      <c r="L136" s="268" t="str">
        <f>'Q100a-geral'!L261</f>
        <v>x</v>
      </c>
      <c r="M136" s="268" t="str">
        <f>'Q100a-geral'!M261</f>
        <v>x</v>
      </c>
      <c r="N136" s="268" t="str">
        <f>'Q100a-geral'!N261</f>
        <v>x</v>
      </c>
      <c r="O136" s="268" t="str">
        <f>'Q100a-geral'!O261</f>
        <v>x</v>
      </c>
      <c r="P136" s="268" t="str">
        <f>'Q100a-geral'!P261</f>
        <v>x</v>
      </c>
      <c r="Q136" s="268" t="str">
        <f>'Q100a-geral'!Q261</f>
        <v>x</v>
      </c>
      <c r="R136" s="268" t="str">
        <f>'Q100a-geral'!R261</f>
        <v>x</v>
      </c>
      <c r="S136" s="855" t="str">
        <f>'Q100a-geral'!S261</f>
        <v>só para pesquisa</v>
      </c>
      <c r="T136" s="268" t="str">
        <f>'Q100a-geral'!T261</f>
        <v>x</v>
      </c>
      <c r="U136" s="268" t="str">
        <f>'Q100a-geral'!U261</f>
        <v>x</v>
      </c>
      <c r="V136" s="855" t="str">
        <f>'Q100a-geral'!V261</f>
        <v>só para pesquisa</v>
      </c>
      <c r="W136" s="268" t="str">
        <f>'Q100a-geral'!W261</f>
        <v>x</v>
      </c>
      <c r="X136" s="268" t="str">
        <f>'Q100a-geral'!X261</f>
        <v>x</v>
      </c>
      <c r="Y136" s="268" t="str">
        <f>'Q100a-geral'!Y261</f>
        <v>x</v>
      </c>
      <c r="Z136" s="268" t="str">
        <f>'Q100a-geral'!Z261</f>
        <v>x</v>
      </c>
      <c r="AA136" s="268" t="str">
        <f>'Q100a-geral'!AA261</f>
        <v>x</v>
      </c>
      <c r="AB136" s="268" t="str">
        <f>'Q100a-geral'!AB261</f>
        <v>x</v>
      </c>
      <c r="AC136" s="268" t="str">
        <f>'Q100a-geral'!AC261</f>
        <v>x</v>
      </c>
      <c r="AD136" s="268" t="str">
        <f>'Q100a-geral'!AD261</f>
        <v>x</v>
      </c>
      <c r="AE136" s="268" t="str">
        <f>'Q100a-geral'!AE261</f>
        <v>não realizada pesquisa em BH</v>
      </c>
      <c r="AF136" s="268" t="str">
        <f>'Q100a-geral'!AF261</f>
        <v>x</v>
      </c>
      <c r="AG136" s="95">
        <f>'Q100a-geral'!AG261</f>
        <v>0.39</v>
      </c>
      <c r="AH136" s="268" t="str">
        <f>'Q100a-geral'!AH261</f>
        <v>não realizada pesquisa em BH</v>
      </c>
      <c r="AI136" s="268" t="str">
        <f>'Q100a-geral'!AI261</f>
        <v>x</v>
      </c>
      <c r="AJ136" s="268" t="str">
        <f>'Q100a-geral'!AJ261</f>
        <v>não realizada pesquisa em BH</v>
      </c>
      <c r="AK136" s="268" t="str">
        <f>'Q100a-geral'!AK261</f>
        <v>x</v>
      </c>
      <c r="AL136" s="212" t="str">
        <f>'Q100a-geral'!AL261</f>
        <v>x</v>
      </c>
      <c r="AM136" s="137" t="str">
        <f>'Q100a-geral'!AM261</f>
        <v>x</v>
      </c>
      <c r="AN136" s="137" t="str">
        <f>'Q100a-geral'!AN261</f>
        <v>x</v>
      </c>
      <c r="AO136" s="137" t="str">
        <f>'Q100a-geral'!AO261</f>
        <v>x</v>
      </c>
      <c r="AP136" s="137" t="str">
        <f>'Q100a-geral'!AP261</f>
        <v>x</v>
      </c>
      <c r="AQ136" s="137" t="str">
        <f>'Q100a-geral'!AQ261</f>
        <v>x</v>
      </c>
      <c r="AR136" s="137"/>
      <c r="AS136" s="137"/>
      <c r="AT136" s="137"/>
      <c r="AU136" s="137"/>
      <c r="AV136" s="137" t="str">
        <f>'Q100a-geral'!AV261</f>
        <v>x</v>
      </c>
      <c r="AW136" s="137"/>
      <c r="AX136" s="137"/>
      <c r="AY136" s="137"/>
      <c r="AZ136" s="137"/>
      <c r="BA136" s="137" t="str">
        <f>'Q100a-geral'!BA261</f>
        <v>x</v>
      </c>
      <c r="BB136" s="239" t="str">
        <f>'Q100a-geral'!BB261</f>
        <v>Outras questões em pesquisas externas de opiniãox</v>
      </c>
      <c r="BC136" s="239" t="str">
        <f>'Q100a-geral'!BC261</f>
        <v>Outras questões em pesquisas externas de opiniãoxbenchmarking</v>
      </c>
      <c r="BD136" s="239" t="str">
        <f>'Q100a-geral'!BD261</f>
        <v>Outras questões em pesquisas externas de opiniãobenchmarking</v>
      </c>
    </row>
    <row r="137" spans="1:56" s="3" customFormat="1" ht="25.5" customHeight="1" x14ac:dyDescent="0.25">
      <c r="A137" s="275" t="str">
        <f>'Q100a-geral'!A263</f>
        <v>3.2.1</v>
      </c>
      <c r="B137" s="53" t="str">
        <f>'Q100a-geral'!B263</f>
        <v>Avaliações em pesquisas externas de opinião</v>
      </c>
      <c r="C137" s="229" t="str">
        <f>'Q100a-geral'!C263</f>
        <v>x</v>
      </c>
      <c r="D137" s="287" t="str">
        <f>'Q100a-geral'!D263</f>
        <v>Ats</v>
      </c>
      <c r="E137" s="458" t="str">
        <f>'Q100a-geral'!E263</f>
        <v>Belo Horizonte</v>
      </c>
      <c r="F137" s="490" t="str">
        <f>'Q100a-geral'!F263</f>
        <v>avaliação geral do trânsito
obs.1: consulte "A" para bem entender este indicador
obs.2: análises dos resultados das evoluções dos indicadores "Ats" entre 1995 e 2011 são encontrados em OLIVEIRA (2014)</v>
      </c>
      <c r="G137" s="252" t="str">
        <f>'Q100a-geral'!G263</f>
        <v>Ats = ((Ats[o]x5)+(Ats[b]x4)+ (Ats[rg]x3)+(Ats[r]x2)+ (Ats[p]x1))/(100-Ats[NS.NR])</v>
      </c>
      <c r="H137" s="173" t="str">
        <f>'Q100a-geral'!H263</f>
        <v>x</v>
      </c>
      <c r="I137" s="167">
        <f>'Q100a-geral'!I263</f>
        <v>1</v>
      </c>
      <c r="J137" s="107" t="str">
        <f>'Q100a-geral'!J263</f>
        <v>x</v>
      </c>
      <c r="K137" s="107" t="str">
        <f>'Q100a-geral'!K263</f>
        <v>x</v>
      </c>
      <c r="L137" s="107" t="str">
        <f>'Q100a-geral'!L263</f>
        <v>x</v>
      </c>
      <c r="M137" s="107" t="str">
        <f>'Q100a-geral'!M263</f>
        <v>x</v>
      </c>
      <c r="N137" s="107" t="str">
        <f>'Q100a-geral'!N263</f>
        <v>x</v>
      </c>
      <c r="O137" s="133"/>
      <c r="P137" s="64">
        <f>'Q100a-geral'!P263</f>
        <v>2.193877551020408</v>
      </c>
      <c r="Q137" s="132"/>
      <c r="R137" s="64">
        <f>'Q100a-geral'!R263</f>
        <v>2.5876288659793816</v>
      </c>
      <c r="S137" s="132"/>
      <c r="T137" s="132"/>
      <c r="U137" s="64">
        <f>'Q100a-geral'!U263</f>
        <v>2.5858585858585861</v>
      </c>
      <c r="V137" s="132"/>
      <c r="W137" s="64">
        <f>'Q100a-geral'!W263</f>
        <v>2.5599516762307459</v>
      </c>
      <c r="X137" s="64">
        <f>'Q100a-geral'!X263</f>
        <v>2.6145875660300693</v>
      </c>
      <c r="Y137" s="134"/>
      <c r="Z137" s="64">
        <f>'Q100a-geral'!Z263</f>
        <v>2.624848484848485</v>
      </c>
      <c r="AA137" s="64">
        <f>'Q100a-geral'!AA263</f>
        <v>2.3838383838383836</v>
      </c>
      <c r="AB137" s="64">
        <f>'Q100a-geral'!AB263</f>
        <v>2.3130032206119164</v>
      </c>
      <c r="AC137" s="64">
        <f>'Q100a-geral'!AC263</f>
        <v>2.6905365655746016</v>
      </c>
      <c r="AD137" s="64">
        <f>'Q100a-geral'!AD263</f>
        <v>2.3856122448979593</v>
      </c>
      <c r="AE137" s="134"/>
      <c r="AF137" s="64">
        <f>'Q100a-geral'!AF263</f>
        <v>2.3381953525802235</v>
      </c>
      <c r="AG137" s="64">
        <f>'Q100a-geral'!AG263</f>
        <v>2.1078758467293501</v>
      </c>
      <c r="AH137" s="134"/>
      <c r="AI137" s="81">
        <f>'Q100a-geral'!AI263</f>
        <v>1.86</v>
      </c>
      <c r="AJ137" s="134"/>
      <c r="AK137" s="44">
        <f>'Q100a-geral'!AK263</f>
        <v>2.2222222222222223</v>
      </c>
      <c r="AL137" s="212" t="str">
        <f>'Q100a-geral'!AL263</f>
        <v>x</v>
      </c>
      <c r="AM137" s="137" t="str">
        <f>'Q100a-geral'!AM263</f>
        <v>x</v>
      </c>
      <c r="AN137" s="137" t="str">
        <f>'Q100a-geral'!AN263</f>
        <v>x</v>
      </c>
      <c r="AO137" s="137" t="str">
        <f>'Q100a-geral'!AO263</f>
        <v>x</v>
      </c>
      <c r="AP137" s="137" t="str">
        <f>'Q100a-geral'!AP263</f>
        <v>x</v>
      </c>
      <c r="AQ137" s="137" t="str">
        <f>'Q100a-geral'!AQ263</f>
        <v>x</v>
      </c>
      <c r="AR137" s="137"/>
      <c r="AS137" s="137"/>
      <c r="AT137" s="137"/>
      <c r="AU137" s="137"/>
      <c r="AV137" s="137" t="str">
        <f>'Q100a-geral'!AV263</f>
        <v>x</v>
      </c>
      <c r="AW137" s="137"/>
      <c r="AX137" s="137"/>
      <c r="AY137" s="137"/>
      <c r="AZ137" s="137"/>
      <c r="BA137" s="137" t="str">
        <f>'Q100a-geral'!BA263</f>
        <v>x</v>
      </c>
      <c r="BB137" s="239" t="str">
        <f>'Q100a-geral'!BB263</f>
        <v>Avaliações em pesquisas externas de opiniãox</v>
      </c>
      <c r="BC137" s="239" t="str">
        <f>'Q100a-geral'!BC263</f>
        <v>Avaliações em pesquisas externas de opiniãoxx</v>
      </c>
      <c r="BD137" s="239" t="str">
        <f>'Q100a-geral'!BD263</f>
        <v>Avaliações em pesquisas externas de opiniãox</v>
      </c>
    </row>
    <row r="138" spans="1:56" s="3" customFormat="1" ht="51" customHeight="1" x14ac:dyDescent="0.25">
      <c r="A138" s="275" t="str">
        <f>'Q100a-geral'!A264</f>
        <v>3.2.1</v>
      </c>
      <c r="B138" s="53" t="str">
        <f>'Q100a-geral'!B264</f>
        <v>Avaliações em pesquisas externas de opinião</v>
      </c>
      <c r="C138" s="229" t="str">
        <f>'Q100a-geral'!C264</f>
        <v>x</v>
      </c>
      <c r="D138" s="36" t="str">
        <f>'Q100a-geral'!D264</f>
        <v>Ats[b]</v>
      </c>
      <c r="E138" s="464" t="str">
        <f>'Q100a-geral'!E264</f>
        <v>Belo Horizonte</v>
      </c>
      <c r="F138" s="447" t="str">
        <f>'Q100a-geral'!F264</f>
        <v>percentual de respostas "bom" na avaliação geral do trânsito (resultados de 1995 a 2012: OLIVEIRA, 2014, Tabela 4.35 a 4.51 - Apêndice D; 2013: DOXA, 2013;  2014: não foi realizada pesquisa; 2015: DOXA, 2015)</v>
      </c>
      <c r="G138" s="252" t="str">
        <f>'Q100a-geral'!G264</f>
        <v>registro na fonte
(∑ respostas "bom" / n.º de respondentes) x 100</v>
      </c>
      <c r="H138" s="173" t="str">
        <f>'Q100a-geral'!H264</f>
        <v>x</v>
      </c>
      <c r="I138" s="167">
        <f>'Q100a-geral'!I264</f>
        <v>1</v>
      </c>
      <c r="J138" s="107" t="str">
        <f>'Q100a-geral'!J264</f>
        <v>x</v>
      </c>
      <c r="K138" s="107" t="str">
        <f>'Q100a-geral'!K264</f>
        <v>x</v>
      </c>
      <c r="L138" s="107" t="str">
        <f>'Q100a-geral'!L264</f>
        <v>x</v>
      </c>
      <c r="M138" s="107" t="str">
        <f>'Q100a-geral'!M264</f>
        <v>x</v>
      </c>
      <c r="N138" s="107" t="str">
        <f>'Q100a-geral'!N264</f>
        <v>x</v>
      </c>
      <c r="O138" s="137" t="str">
        <f>'Q100a-geral'!O264</f>
        <v>x</v>
      </c>
      <c r="P138" s="83">
        <f>'Q100a-geral'!P264</f>
        <v>11</v>
      </c>
      <c r="Q138" s="107" t="str">
        <f>'Q100a-geral'!Q264</f>
        <v>x</v>
      </c>
      <c r="R138" s="83">
        <f>'Q100a-geral'!R264</f>
        <v>18</v>
      </c>
      <c r="S138" s="85" t="str">
        <f>'Q100a-geral'!S264</f>
        <v>só para pesquisa</v>
      </c>
      <c r="T138" s="107" t="str">
        <f>'Q100a-geral'!T264</f>
        <v>x</v>
      </c>
      <c r="U138" s="83">
        <f>'Q100a-geral'!U264</f>
        <v>19</v>
      </c>
      <c r="V138" s="85" t="str">
        <f>'Q100a-geral'!V264</f>
        <v>só para pesquisa</v>
      </c>
      <c r="W138" s="83">
        <f>'Q100a-geral'!W264</f>
        <v>19.329999999999998</v>
      </c>
      <c r="X138" s="83">
        <f>'Q100a-geral'!X264</f>
        <v>18.07</v>
      </c>
      <c r="Y138" s="83" t="str">
        <f>'Q100a-geral'!Y264</f>
        <v>x</v>
      </c>
      <c r="Z138" s="83">
        <f>'Q100a-geral'!Z264</f>
        <v>16.75</v>
      </c>
      <c r="AA138" s="83">
        <f>'Q100a-geral'!AA264</f>
        <v>15</v>
      </c>
      <c r="AB138" s="83">
        <f>'Q100a-geral'!AB264</f>
        <v>11.84</v>
      </c>
      <c r="AC138" s="83">
        <f>'Q100a-geral'!AC264</f>
        <v>20.81</v>
      </c>
      <c r="AD138" s="83">
        <f>'Q100a-geral'!AD264</f>
        <v>9.6300000000000008</v>
      </c>
      <c r="AE138" s="268" t="str">
        <f>'Q100a-geral'!AE264</f>
        <v>não realizada pesquisa em BH</v>
      </c>
      <c r="AF138" s="83">
        <f>'Q100a-geral'!AF264</f>
        <v>8.59</v>
      </c>
      <c r="AG138" s="83">
        <f>'Q100a-geral'!AG264</f>
        <v>7.7</v>
      </c>
      <c r="AH138" s="268" t="str">
        <f>'Q100a-geral'!AH264</f>
        <v>não realizada pesquisa em BH</v>
      </c>
      <c r="AI138" s="83">
        <f>'Q100a-geral'!AI264</f>
        <v>6</v>
      </c>
      <c r="AJ138" s="268" t="str">
        <f>'Q100a-geral'!AJ264</f>
        <v>não realizada pesquisa em BH</v>
      </c>
      <c r="AK138" s="85">
        <f>'Q100a-geral'!AK264</f>
        <v>9</v>
      </c>
      <c r="AL138" s="212" t="str">
        <f>'Q100a-geral'!AL264</f>
        <v>x</v>
      </c>
      <c r="AM138" s="137" t="str">
        <f>'Q100a-geral'!AM264</f>
        <v>x</v>
      </c>
      <c r="AN138" s="137" t="str">
        <f>'Q100a-geral'!AN264</f>
        <v>x</v>
      </c>
      <c r="AO138" s="137" t="str">
        <f>'Q100a-geral'!AO264</f>
        <v>x</v>
      </c>
      <c r="AP138" s="137" t="str">
        <f>'Q100a-geral'!AP264</f>
        <v>x</v>
      </c>
      <c r="AQ138" s="137" t="str">
        <f>'Q100a-geral'!AQ264</f>
        <v>x</v>
      </c>
      <c r="AR138" s="137"/>
      <c r="AS138" s="137"/>
      <c r="AT138" s="137"/>
      <c r="AU138" s="137"/>
      <c r="AV138" s="137" t="str">
        <f>'Q100a-geral'!AV264</f>
        <v>x</v>
      </c>
      <c r="AW138" s="137"/>
      <c r="AX138" s="137"/>
      <c r="AY138" s="137"/>
      <c r="AZ138" s="137"/>
      <c r="BA138" s="137" t="str">
        <f>'Q100a-geral'!BA264</f>
        <v>x</v>
      </c>
      <c r="BB138" s="239" t="str">
        <f>'Q100a-geral'!BB264</f>
        <v>Avaliações em pesquisas externas de opiniãox</v>
      </c>
      <c r="BC138" s="239" t="str">
        <f>'Q100a-geral'!BC264</f>
        <v>Avaliações em pesquisas externas de opiniãoxx</v>
      </c>
      <c r="BD138" s="239" t="str">
        <f>'Q100a-geral'!BD264</f>
        <v>Avaliações em pesquisas externas de opiniãox</v>
      </c>
    </row>
    <row r="139" spans="1:56" s="3" customFormat="1" ht="51" customHeight="1" x14ac:dyDescent="0.25">
      <c r="A139" s="275" t="str">
        <f>'Q100a-geral'!A265</f>
        <v>3.2.1</v>
      </c>
      <c r="B139" s="53" t="str">
        <f>'Q100a-geral'!B265</f>
        <v>Avaliações em pesquisas externas de opinião</v>
      </c>
      <c r="C139" s="229" t="str">
        <f>'Q100a-geral'!C265</f>
        <v>x</v>
      </c>
      <c r="D139" s="36" t="str">
        <f>'Q100a-geral'!D265</f>
        <v>Ats[NS.NR]</v>
      </c>
      <c r="E139" s="464" t="str">
        <f>'Q100a-geral'!E265</f>
        <v>Belo Horizonte</v>
      </c>
      <c r="F139" s="447" t="str">
        <f>'Q100a-geral'!F265</f>
        <v>percentual de respostas "não sabe" e "não respondeu" (NS.NR) na avaliação geral do trânsito (resultados de 1995 a 2012: OLIVEIRA, 2014, Tabela 4.35 a 4.51 - Apêndice D; 2013: DOXA, 2013;  2014: não foi realizada pesquisa; 2015: DOXA, 2015)</v>
      </c>
      <c r="G139" s="252" t="str">
        <f>'Q100a-geral'!G265</f>
        <v>registro na fonte
(∑ respostas "NS.NR" / n.º de respondentes) x 100</v>
      </c>
      <c r="H139" s="173" t="str">
        <f>'Q100a-geral'!H265</f>
        <v>x</v>
      </c>
      <c r="I139" s="167">
        <f>'Q100a-geral'!I265</f>
        <v>1</v>
      </c>
      <c r="J139" s="107" t="str">
        <f>'Q100a-geral'!J265</f>
        <v>x</v>
      </c>
      <c r="K139" s="107" t="str">
        <f>'Q100a-geral'!K265</f>
        <v>x</v>
      </c>
      <c r="L139" s="107" t="str">
        <f>'Q100a-geral'!L265</f>
        <v>x</v>
      </c>
      <c r="M139" s="107" t="str">
        <f>'Q100a-geral'!M265</f>
        <v>x</v>
      </c>
      <c r="N139" s="107" t="str">
        <f>'Q100a-geral'!N265</f>
        <v>x</v>
      </c>
      <c r="O139" s="137" t="str">
        <f>'Q100a-geral'!O265</f>
        <v>x</v>
      </c>
      <c r="P139" s="83">
        <f>'Q100a-geral'!P265</f>
        <v>2</v>
      </c>
      <c r="Q139" s="107" t="str">
        <f>'Q100a-geral'!Q265</f>
        <v>x</v>
      </c>
      <c r="R139" s="83">
        <f>'Q100a-geral'!R265</f>
        <v>3</v>
      </c>
      <c r="S139" s="85" t="str">
        <f>'Q100a-geral'!S265</f>
        <v>só para pesquisa</v>
      </c>
      <c r="T139" s="107" t="str">
        <f>'Q100a-geral'!T265</f>
        <v>x</v>
      </c>
      <c r="U139" s="83">
        <f>'Q100a-geral'!U265</f>
        <v>1</v>
      </c>
      <c r="V139" s="85" t="str">
        <f>'Q100a-geral'!V265</f>
        <v>só para pesquisa</v>
      </c>
      <c r="W139" s="83">
        <f>'Q100a-geral'!W265</f>
        <v>0.67</v>
      </c>
      <c r="X139" s="83">
        <f>'Q100a-geral'!X265</f>
        <v>1.56</v>
      </c>
      <c r="Y139" s="83" t="str">
        <f>'Q100a-geral'!Y265</f>
        <v>x</v>
      </c>
      <c r="Z139" s="83">
        <f>'Q100a-geral'!Z265</f>
        <v>1</v>
      </c>
      <c r="AA139" s="83">
        <f>'Q100a-geral'!AA265</f>
        <v>1</v>
      </c>
      <c r="AB139" s="83">
        <f>'Q100a-geral'!AB265</f>
        <v>0.64</v>
      </c>
      <c r="AC139" s="83">
        <f>'Q100a-geral'!AC265</f>
        <v>1.41</v>
      </c>
      <c r="AD139" s="83">
        <f>'Q100a-geral'!AD265</f>
        <v>2</v>
      </c>
      <c r="AE139" s="268" t="str">
        <f>'Q100a-geral'!AE265</f>
        <v>não realizada pesquisa em BH</v>
      </c>
      <c r="AF139" s="83">
        <f>'Q100a-geral'!AF265</f>
        <v>0.59</v>
      </c>
      <c r="AG139" s="83">
        <f>'Q100a-geral'!AG265</f>
        <v>1.0900000000000001</v>
      </c>
      <c r="AH139" s="268" t="str">
        <f>'Q100a-geral'!AH265</f>
        <v>não realizada pesquisa em BH</v>
      </c>
      <c r="AI139" s="83">
        <f>'Q100a-geral'!AI265</f>
        <v>0</v>
      </c>
      <c r="AJ139" s="268" t="str">
        <f>'Q100a-geral'!AJ265</f>
        <v>não realizada pesquisa em BH</v>
      </c>
      <c r="AK139" s="85">
        <f>'Q100a-geral'!AK265</f>
        <v>1</v>
      </c>
      <c r="AL139" s="212" t="str">
        <f>'Q100a-geral'!AL265</f>
        <v>x</v>
      </c>
      <c r="AM139" s="137" t="str">
        <f>'Q100a-geral'!AM265</f>
        <v>x</v>
      </c>
      <c r="AN139" s="137" t="str">
        <f>'Q100a-geral'!AN265</f>
        <v>x</v>
      </c>
      <c r="AO139" s="137" t="str">
        <f>'Q100a-geral'!AO265</f>
        <v>x</v>
      </c>
      <c r="AP139" s="137" t="str">
        <f>'Q100a-geral'!AP265</f>
        <v>x</v>
      </c>
      <c r="AQ139" s="137" t="str">
        <f>'Q100a-geral'!AQ265</f>
        <v>x</v>
      </c>
      <c r="AR139" s="137"/>
      <c r="AS139" s="137"/>
      <c r="AT139" s="137"/>
      <c r="AU139" s="137"/>
      <c r="AV139" s="137" t="str">
        <f>'Q100a-geral'!AV265</f>
        <v>x</v>
      </c>
      <c r="AW139" s="137"/>
      <c r="AX139" s="137"/>
      <c r="AY139" s="137"/>
      <c r="AZ139" s="137"/>
      <c r="BA139" s="137" t="str">
        <f>'Q100a-geral'!BA265</f>
        <v>x</v>
      </c>
      <c r="BB139" s="239" t="str">
        <f>'Q100a-geral'!BB265</f>
        <v>Avaliações em pesquisas externas de opiniãox</v>
      </c>
      <c r="BC139" s="239" t="str">
        <f>'Q100a-geral'!BC265</f>
        <v>Avaliações em pesquisas externas de opiniãoxx</v>
      </c>
      <c r="BD139" s="239" t="str">
        <f>'Q100a-geral'!BD265</f>
        <v>Avaliações em pesquisas externas de opiniãox</v>
      </c>
    </row>
    <row r="140" spans="1:56" s="3" customFormat="1" ht="47.25" customHeight="1" x14ac:dyDescent="0.25">
      <c r="A140" s="275" t="str">
        <f>'Q100a-geral'!A266</f>
        <v>3.2.1</v>
      </c>
      <c r="B140" s="53" t="str">
        <f>'Q100a-geral'!B266</f>
        <v>Avaliações em pesquisas externas de opinião</v>
      </c>
      <c r="C140" s="229" t="str">
        <f>'Q100a-geral'!C266</f>
        <v>x</v>
      </c>
      <c r="D140" s="326" t="str">
        <f>'Q100a-geral'!D266</f>
        <v>Ats[o/b]</v>
      </c>
      <c r="E140" s="465" t="str">
        <f>'Q100a-geral'!E266</f>
        <v>Belo Horizonte</v>
      </c>
      <c r="F140" s="490" t="str">
        <f>'Q100a-geral'!F266</f>
        <v>percentual de avaliação positiva do trânsito
obs.1: este indicador é obtido pela soma dos percentuais de "ótimo" e "bom" ou de "nota 5" e "nota 4" na avaliação do trânsito, ou, quando não há os resultados das parcelas, é obtido diretamente na fonte
obs.2: indicador estratégico da BHTrans (BHTRANS, 2015d)</v>
      </c>
      <c r="G140" s="252" t="str">
        <f>'Q100a-geral'!G266</f>
        <v>registro na fonte
ou
Ats[o] + Ats[b]</v>
      </c>
      <c r="H140" s="173" t="str">
        <f>'Q100a-geral'!H266</f>
        <v>x</v>
      </c>
      <c r="I140" s="167">
        <f>'Q100a-geral'!I266</f>
        <v>1</v>
      </c>
      <c r="J140" s="107" t="str">
        <f>'Q100a-geral'!J266</f>
        <v>x</v>
      </c>
      <c r="K140" s="107" t="str">
        <f>'Q100a-geral'!K266</f>
        <v>x</v>
      </c>
      <c r="L140" s="107" t="str">
        <f>'Q100a-geral'!L266</f>
        <v>x</v>
      </c>
      <c r="M140" s="107" t="str">
        <f>'Q100a-geral'!M266</f>
        <v>x</v>
      </c>
      <c r="N140" s="107" t="str">
        <f>'Q100a-geral'!N266</f>
        <v>x</v>
      </c>
      <c r="O140" s="133"/>
      <c r="P140" s="64">
        <f>'Q100a-geral'!P266</f>
        <v>12</v>
      </c>
      <c r="Q140" s="133"/>
      <c r="R140" s="64">
        <f>'Q100a-geral'!R266</f>
        <v>21</v>
      </c>
      <c r="S140" s="132"/>
      <c r="T140" s="133"/>
      <c r="U140" s="64">
        <f>'Q100a-geral'!U266</f>
        <v>21</v>
      </c>
      <c r="V140" s="132"/>
      <c r="W140" s="64">
        <f>'Q100a-geral'!W266</f>
        <v>20.959999999999997</v>
      </c>
      <c r="X140" s="64">
        <f>'Q100a-geral'!X266</f>
        <v>20.29</v>
      </c>
      <c r="Y140" s="133"/>
      <c r="Z140" s="64">
        <f>'Q100a-geral'!Z266</f>
        <v>18.739999999999998</v>
      </c>
      <c r="AA140" s="64">
        <f>'Q100a-geral'!AA266</f>
        <v>16</v>
      </c>
      <c r="AB140" s="64">
        <f>'Q100a-geral'!AB266</f>
        <v>12.34</v>
      </c>
      <c r="AC140" s="64">
        <f>'Q100a-geral'!AC266</f>
        <v>21.48</v>
      </c>
      <c r="AD140" s="64">
        <f>'Q100a-geral'!AD266</f>
        <v>10.3</v>
      </c>
      <c r="AE140" s="133"/>
      <c r="AF140" s="64">
        <f>'Q100a-geral'!AF266</f>
        <v>9.5500000000000007</v>
      </c>
      <c r="AG140" s="64">
        <f>'Q100a-geral'!AG266</f>
        <v>8.31</v>
      </c>
      <c r="AH140" s="133"/>
      <c r="AI140" s="64">
        <f>'Q100a-geral'!AI266</f>
        <v>6</v>
      </c>
      <c r="AJ140" s="133"/>
      <c r="AK140" s="44">
        <f>'Q100a-geral'!AK266</f>
        <v>9</v>
      </c>
      <c r="AL140" s="212" t="str">
        <f>'Q100a-geral'!AL266</f>
        <v>x</v>
      </c>
      <c r="AM140" s="137" t="str">
        <f>'Q100a-geral'!AM266</f>
        <v>x</v>
      </c>
      <c r="AN140" s="137" t="str">
        <f>'Q100a-geral'!AN266</f>
        <v>x</v>
      </c>
      <c r="AO140" s="137" t="str">
        <f>'Q100a-geral'!AO266</f>
        <v>x</v>
      </c>
      <c r="AP140" s="137" t="str">
        <f>'Q100a-geral'!AP266</f>
        <v>x</v>
      </c>
      <c r="AQ140" s="137" t="str">
        <f>'Q100a-geral'!AQ266</f>
        <v>x</v>
      </c>
      <c r="AR140" s="137"/>
      <c r="AS140" s="137"/>
      <c r="AT140" s="137"/>
      <c r="AU140" s="137"/>
      <c r="AV140" s="137" t="str">
        <f>'Q100a-geral'!AV266</f>
        <v>x</v>
      </c>
      <c r="AW140" s="137"/>
      <c r="AX140" s="137"/>
      <c r="AY140" s="137"/>
      <c r="AZ140" s="137"/>
      <c r="BA140" s="137" t="str">
        <f>'Q100a-geral'!BA266</f>
        <v>x</v>
      </c>
      <c r="BB140" s="239" t="str">
        <f>'Q100a-geral'!BB266</f>
        <v>Avaliações em pesquisas externas de opiniãox</v>
      </c>
      <c r="BC140" s="239" t="str">
        <f>'Q100a-geral'!BC266</f>
        <v>Avaliações em pesquisas externas de opiniãoxx</v>
      </c>
      <c r="BD140" s="239" t="str">
        <f>'Q100a-geral'!BD266</f>
        <v>Avaliações em pesquisas externas de opiniãox</v>
      </c>
    </row>
    <row r="141" spans="1:56" s="3" customFormat="1" ht="47.25" customHeight="1" x14ac:dyDescent="0.25">
      <c r="A141" s="275" t="str">
        <f>'Q100a-geral'!A267</f>
        <v>3.2.1</v>
      </c>
      <c r="B141" s="53" t="str">
        <f>'Q100a-geral'!B267</f>
        <v>Avaliações em pesquisas externas de opinião</v>
      </c>
      <c r="C141" s="229" t="str">
        <f>'Q100a-geral'!C267</f>
        <v>x</v>
      </c>
      <c r="D141" s="36" t="str">
        <f>'Q100a-geral'!D267</f>
        <v>Ats[o]</v>
      </c>
      <c r="E141" s="464" t="str">
        <f>'Q100a-geral'!E267</f>
        <v>Belo Horizonte</v>
      </c>
      <c r="F141" s="447" t="str">
        <f>'Q100a-geral'!F267</f>
        <v>percentual de respostas "ótimo" na avaliação geral do trânsito (resultados de 1995 a 2012: OLIVEIRA, 2014, Tabela 4.35 a 4.51 - Apêndice D; 2013: DOXA, 2013;  2014: não foi realizada pesquisa; 2015: DOXA, 2015)</v>
      </c>
      <c r="G141" s="252" t="str">
        <f>'Q100a-geral'!G267</f>
        <v>registro na fonte
(∑ respostas "ótimo" / n.º de respondentes) x 100</v>
      </c>
      <c r="H141" s="173" t="str">
        <f>'Q100a-geral'!H267</f>
        <v>x</v>
      </c>
      <c r="I141" s="167">
        <f>'Q100a-geral'!I267</f>
        <v>1</v>
      </c>
      <c r="J141" s="107" t="str">
        <f>'Q100a-geral'!J267</f>
        <v>x</v>
      </c>
      <c r="K141" s="107" t="str">
        <f>'Q100a-geral'!K267</f>
        <v>x</v>
      </c>
      <c r="L141" s="107" t="str">
        <f>'Q100a-geral'!L267</f>
        <v>x</v>
      </c>
      <c r="M141" s="107" t="str">
        <f>'Q100a-geral'!M267</f>
        <v>x</v>
      </c>
      <c r="N141" s="107" t="str">
        <f>'Q100a-geral'!N267</f>
        <v>x</v>
      </c>
      <c r="O141" s="137" t="str">
        <f>'Q100a-geral'!O267</f>
        <v>x</v>
      </c>
      <c r="P141" s="83">
        <f>'Q100a-geral'!P267</f>
        <v>1</v>
      </c>
      <c r="Q141" s="137" t="str">
        <f>'Q100a-geral'!Q267</f>
        <v>x</v>
      </c>
      <c r="R141" s="83">
        <f>'Q100a-geral'!R267</f>
        <v>3</v>
      </c>
      <c r="S141" s="85" t="str">
        <f>'Q100a-geral'!S267</f>
        <v>só para pesquisa</v>
      </c>
      <c r="T141" s="137" t="str">
        <f>'Q100a-geral'!T267</f>
        <v>x</v>
      </c>
      <c r="U141" s="83">
        <f>'Q100a-geral'!U267</f>
        <v>2</v>
      </c>
      <c r="V141" s="85" t="str">
        <f>'Q100a-geral'!V267</f>
        <v>só para pesquisa</v>
      </c>
      <c r="W141" s="83">
        <f>'Q100a-geral'!W267</f>
        <v>1.63</v>
      </c>
      <c r="X141" s="83">
        <f>'Q100a-geral'!X267</f>
        <v>2.2200000000000002</v>
      </c>
      <c r="Y141" s="83" t="str">
        <f>'Q100a-geral'!Y267</f>
        <v>x</v>
      </c>
      <c r="Z141" s="83">
        <f>'Q100a-geral'!Z267</f>
        <v>1.99</v>
      </c>
      <c r="AA141" s="83">
        <f>'Q100a-geral'!AA267</f>
        <v>1</v>
      </c>
      <c r="AB141" s="83">
        <f>'Q100a-geral'!AB267</f>
        <v>0.5</v>
      </c>
      <c r="AC141" s="83">
        <f>'Q100a-geral'!AC267</f>
        <v>0.67</v>
      </c>
      <c r="AD141" s="83">
        <f>'Q100a-geral'!AD267</f>
        <v>0.67</v>
      </c>
      <c r="AE141" s="137" t="str">
        <f>'Q100a-geral'!AE267</f>
        <v>não realizada pesquisa em BH</v>
      </c>
      <c r="AF141" s="83">
        <f>'Q100a-geral'!AF267</f>
        <v>0.96</v>
      </c>
      <c r="AG141" s="83">
        <f>'Q100a-geral'!AG267</f>
        <v>0.61</v>
      </c>
      <c r="AH141" s="137" t="str">
        <f>'Q100a-geral'!AH267</f>
        <v>não realizada pesquisa em BH</v>
      </c>
      <c r="AI141" s="83">
        <f>'Q100a-geral'!AI267</f>
        <v>0</v>
      </c>
      <c r="AJ141" s="137" t="str">
        <f>'Q100a-geral'!AJ267</f>
        <v>não realizada pesquisa em BH</v>
      </c>
      <c r="AK141" s="85">
        <f>'Q100a-geral'!AK267</f>
        <v>0</v>
      </c>
      <c r="AL141" s="212" t="str">
        <f>'Q100a-geral'!AL267</f>
        <v>x</v>
      </c>
      <c r="AM141" s="137" t="str">
        <f>'Q100a-geral'!AM267</f>
        <v>x</v>
      </c>
      <c r="AN141" s="137" t="str">
        <f>'Q100a-geral'!AN267</f>
        <v>x</v>
      </c>
      <c r="AO141" s="137" t="str">
        <f>'Q100a-geral'!AO267</f>
        <v>x</v>
      </c>
      <c r="AP141" s="137" t="str">
        <f>'Q100a-geral'!AP267</f>
        <v>x</v>
      </c>
      <c r="AQ141" s="137" t="str">
        <f>'Q100a-geral'!AQ267</f>
        <v>x</v>
      </c>
      <c r="AR141" s="137"/>
      <c r="AS141" s="137"/>
      <c r="AT141" s="137"/>
      <c r="AU141" s="137"/>
      <c r="AV141" s="137" t="str">
        <f>'Q100a-geral'!AV267</f>
        <v>x</v>
      </c>
      <c r="AW141" s="137"/>
      <c r="AX141" s="137"/>
      <c r="AY141" s="137"/>
      <c r="AZ141" s="137"/>
      <c r="BA141" s="137" t="str">
        <f>'Q100a-geral'!BA267</f>
        <v>x</v>
      </c>
      <c r="BB141" s="239" t="str">
        <f>'Q100a-geral'!BB267</f>
        <v>Avaliações em pesquisas externas de opiniãox</v>
      </c>
      <c r="BC141" s="239" t="str">
        <f>'Q100a-geral'!BC267</f>
        <v>Avaliações em pesquisas externas de opiniãoxx</v>
      </c>
      <c r="BD141" s="239" t="str">
        <f>'Q100a-geral'!BD267</f>
        <v>Avaliações em pesquisas externas de opiniãox</v>
      </c>
    </row>
    <row r="142" spans="1:56" s="3" customFormat="1" ht="51" customHeight="1" x14ac:dyDescent="0.25">
      <c r="A142" s="275" t="str">
        <f>'Q100a-geral'!A268</f>
        <v>3.2.1</v>
      </c>
      <c r="B142" s="53" t="str">
        <f>'Q100a-geral'!B268</f>
        <v>Avaliações em pesquisas externas de opinião</v>
      </c>
      <c r="C142" s="229" t="str">
        <f>'Q100a-geral'!C268</f>
        <v>x</v>
      </c>
      <c r="D142" s="36" t="str">
        <f>'Q100a-geral'!D268</f>
        <v>Ats[p]</v>
      </c>
      <c r="E142" s="464" t="str">
        <f>'Q100a-geral'!E268</f>
        <v>Belo Horizonte</v>
      </c>
      <c r="F142" s="447" t="str">
        <f>'Q100a-geral'!F268</f>
        <v>percentual de respostas "péssimo" na avaliação geral do trânsito (resultados de 1995 a 2012: OLIVEIRA, 2014, Tabela 4.35 a 4.51 - Apêndice D; 2013: DOXA, 2013;  2014: não foi realizada pesquisa; 2015: DOXA, 2015)</v>
      </c>
      <c r="G142" s="252" t="str">
        <f>'Q100a-geral'!G268</f>
        <v>registro na fonte
(∑ respostas péssimo")/ n.º de respondentes) x 100</v>
      </c>
      <c r="H142" s="173" t="str">
        <f>'Q100a-geral'!H268</f>
        <v>x</v>
      </c>
      <c r="I142" s="167">
        <f>'Q100a-geral'!I268</f>
        <v>1</v>
      </c>
      <c r="J142" s="107" t="str">
        <f>'Q100a-geral'!J268</f>
        <v>x</v>
      </c>
      <c r="K142" s="107" t="str">
        <f>'Q100a-geral'!K268</f>
        <v>x</v>
      </c>
      <c r="L142" s="107" t="str">
        <f>'Q100a-geral'!L268</f>
        <v>x</v>
      </c>
      <c r="M142" s="107" t="str">
        <f>'Q100a-geral'!M268</f>
        <v>x</v>
      </c>
      <c r="N142" s="107" t="str">
        <f>'Q100a-geral'!N268</f>
        <v>x</v>
      </c>
      <c r="O142" s="137" t="str">
        <f>'Q100a-geral'!O268</f>
        <v>x</v>
      </c>
      <c r="P142" s="83">
        <f>'Q100a-geral'!P268</f>
        <v>33</v>
      </c>
      <c r="Q142" s="137" t="str">
        <f>'Q100a-geral'!Q268</f>
        <v>x</v>
      </c>
      <c r="R142" s="83">
        <f>'Q100a-geral'!R268</f>
        <v>24</v>
      </c>
      <c r="S142" s="85" t="str">
        <f>'Q100a-geral'!S268</f>
        <v>só para pesquisa</v>
      </c>
      <c r="T142" s="137" t="str">
        <f>'Q100a-geral'!T268</f>
        <v>x</v>
      </c>
      <c r="U142" s="83">
        <f>'Q100a-geral'!U268</f>
        <v>21</v>
      </c>
      <c r="V142" s="85" t="str">
        <f>'Q100a-geral'!V268</f>
        <v>só para pesquisa</v>
      </c>
      <c r="W142" s="83">
        <f>'Q100a-geral'!W268</f>
        <v>23.63</v>
      </c>
      <c r="X142" s="83">
        <f>'Q100a-geral'!X268</f>
        <v>20.67</v>
      </c>
      <c r="Y142" s="83" t="str">
        <f>'Q100a-geral'!Y268</f>
        <v>x</v>
      </c>
      <c r="Z142" s="83">
        <f>'Q100a-geral'!Z268</f>
        <v>21.72</v>
      </c>
      <c r="AA142" s="83">
        <f>'Q100a-geral'!AA268</f>
        <v>28</v>
      </c>
      <c r="AB142" s="83">
        <f>'Q100a-geral'!AB268</f>
        <v>27.96</v>
      </c>
      <c r="AC142" s="83">
        <f>'Q100a-geral'!AC268</f>
        <v>17.329999999999998</v>
      </c>
      <c r="AD142" s="83">
        <f>'Q100a-geral'!AD268</f>
        <v>22.07</v>
      </c>
      <c r="AE142" s="137" t="str">
        <f>'Q100a-geral'!AE268</f>
        <v>não realizada pesquisa em BH</v>
      </c>
      <c r="AF142" s="83">
        <f>'Q100a-geral'!AF268</f>
        <v>24</v>
      </c>
      <c r="AG142" s="83">
        <f>'Q100a-geral'!AG268</f>
        <v>34.15</v>
      </c>
      <c r="AH142" s="137" t="str">
        <f>'Q100a-geral'!AH268</f>
        <v>não realizada pesquisa em BH</v>
      </c>
      <c r="AI142" s="83">
        <f>'Q100a-geral'!AI268</f>
        <v>46</v>
      </c>
      <c r="AJ142" s="137" t="str">
        <f>'Q100a-geral'!AJ268</f>
        <v>não realizada pesquisa em BH</v>
      </c>
      <c r="AK142" s="85">
        <f>'Q100a-geral'!AK268</f>
        <v>30</v>
      </c>
      <c r="AL142" s="212" t="str">
        <f>'Q100a-geral'!AL268</f>
        <v>x</v>
      </c>
      <c r="AM142" s="137" t="str">
        <f>'Q100a-geral'!AM268</f>
        <v>x</v>
      </c>
      <c r="AN142" s="137" t="str">
        <f>'Q100a-geral'!AN268</f>
        <v>x</v>
      </c>
      <c r="AO142" s="137" t="str">
        <f>'Q100a-geral'!AO268</f>
        <v>x</v>
      </c>
      <c r="AP142" s="137" t="str">
        <f>'Q100a-geral'!AP268</f>
        <v>x</v>
      </c>
      <c r="AQ142" s="137" t="str">
        <f>'Q100a-geral'!AQ268</f>
        <v>x</v>
      </c>
      <c r="AR142" s="137"/>
      <c r="AS142" s="137"/>
      <c r="AT142" s="137"/>
      <c r="AU142" s="137"/>
      <c r="AV142" s="137" t="str">
        <f>'Q100a-geral'!AV268</f>
        <v>x</v>
      </c>
      <c r="AW142" s="137"/>
      <c r="AX142" s="137"/>
      <c r="AY142" s="137"/>
      <c r="AZ142" s="137"/>
      <c r="BA142" s="137" t="str">
        <f>'Q100a-geral'!BA268</f>
        <v>x</v>
      </c>
      <c r="BB142" s="239" t="str">
        <f>'Q100a-geral'!BB268</f>
        <v>Avaliações em pesquisas externas de opiniãox</v>
      </c>
      <c r="BC142" s="239" t="str">
        <f>'Q100a-geral'!BC268</f>
        <v>Avaliações em pesquisas externas de opiniãoxx</v>
      </c>
      <c r="BD142" s="239" t="str">
        <f>'Q100a-geral'!BD268</f>
        <v>Avaliações em pesquisas externas de opiniãox</v>
      </c>
    </row>
    <row r="143" spans="1:56" s="3" customFormat="1" ht="51" customHeight="1" x14ac:dyDescent="0.25">
      <c r="A143" s="275" t="str">
        <f>'Q100a-geral'!A269</f>
        <v>3.2.1</v>
      </c>
      <c r="B143" s="53" t="str">
        <f>'Q100a-geral'!B269</f>
        <v>Avaliações em pesquisas externas de opinião</v>
      </c>
      <c r="C143" s="229" t="str">
        <f>'Q100a-geral'!C269</f>
        <v>x</v>
      </c>
      <c r="D143" s="326" t="str">
        <f>'Q100a-geral'!D269</f>
        <v>Ats[r/p]</v>
      </c>
      <c r="E143" s="465" t="str">
        <f>'Q100a-geral'!E269</f>
        <v>Belo Horizonte</v>
      </c>
      <c r="F143" s="490" t="str">
        <f>'Q100a-geral'!F269</f>
        <v>soma dos percentuais de "ruim" e "péssimo" na avaliação geral do trânsito</v>
      </c>
      <c r="G143" s="252" t="str">
        <f>'Q100a-geral'!G269</f>
        <v>Ats[r] + Ats[p]</v>
      </c>
      <c r="H143" s="173" t="str">
        <f>'Q100a-geral'!H269</f>
        <v>x</v>
      </c>
      <c r="I143" s="167">
        <f>'Q100a-geral'!I269</f>
        <v>1</v>
      </c>
      <c r="J143" s="107" t="str">
        <f>'Q100a-geral'!J269</f>
        <v>x</v>
      </c>
      <c r="K143" s="107" t="str">
        <f>'Q100a-geral'!K269</f>
        <v>x</v>
      </c>
      <c r="L143" s="107" t="str">
        <f>'Q100a-geral'!L269</f>
        <v>x</v>
      </c>
      <c r="M143" s="107" t="str">
        <f>'Q100a-geral'!M269</f>
        <v>x</v>
      </c>
      <c r="N143" s="107" t="str">
        <f>'Q100a-geral'!N269</f>
        <v>x</v>
      </c>
      <c r="O143" s="133"/>
      <c r="P143" s="64">
        <f>'Q100a-geral'!P269</f>
        <v>59</v>
      </c>
      <c r="Q143" s="133"/>
      <c r="R143" s="64">
        <f>'Q100a-geral'!R269</f>
        <v>40</v>
      </c>
      <c r="S143" s="132"/>
      <c r="T143" s="133"/>
      <c r="U143" s="64">
        <f>'Q100a-geral'!U269</f>
        <v>43</v>
      </c>
      <c r="V143" s="132"/>
      <c r="W143" s="64">
        <f>'Q100a-geral'!W269</f>
        <v>42.67</v>
      </c>
      <c r="X143" s="64">
        <f>'Q100a-geral'!X269</f>
        <v>39.78</v>
      </c>
      <c r="Y143" s="133"/>
      <c r="Z143" s="64">
        <f>'Q100a-geral'!Z269</f>
        <v>36.15</v>
      </c>
      <c r="AA143" s="64">
        <f>'Q100a-geral'!AA269</f>
        <v>50</v>
      </c>
      <c r="AB143" s="64">
        <f>'Q100a-geral'!AB269</f>
        <v>53.14</v>
      </c>
      <c r="AC143" s="64">
        <f>'Q100a-geral'!AC269</f>
        <v>35.33</v>
      </c>
      <c r="AD143" s="64">
        <f>'Q100a-geral'!AD269</f>
        <v>49.11</v>
      </c>
      <c r="AE143" s="133"/>
      <c r="AF143" s="64">
        <f>'Q100a-geral'!AF269</f>
        <v>52.3</v>
      </c>
      <c r="AG143" s="64">
        <f>'Q100a-geral'!AG269</f>
        <v>63.01</v>
      </c>
      <c r="AH143" s="133"/>
      <c r="AI143" s="64">
        <f>'Q100a-geral'!AI269</f>
        <v>74</v>
      </c>
      <c r="AJ143" s="133"/>
      <c r="AK143" s="44">
        <f>'Q100a-geral'!AK269</f>
        <v>56</v>
      </c>
      <c r="AL143" s="212" t="str">
        <f>'Q100a-geral'!AL269</f>
        <v>x</v>
      </c>
      <c r="AM143" s="137" t="str">
        <f>'Q100a-geral'!AM269</f>
        <v>x</v>
      </c>
      <c r="AN143" s="137" t="str">
        <f>'Q100a-geral'!AN269</f>
        <v>x</v>
      </c>
      <c r="AO143" s="137" t="str">
        <f>'Q100a-geral'!AO269</f>
        <v>x</v>
      </c>
      <c r="AP143" s="137" t="str">
        <f>'Q100a-geral'!AP269</f>
        <v>x</v>
      </c>
      <c r="AQ143" s="137" t="str">
        <f>'Q100a-geral'!AQ269</f>
        <v>x</v>
      </c>
      <c r="AR143" s="137"/>
      <c r="AS143" s="137"/>
      <c r="AT143" s="137"/>
      <c r="AU143" s="137"/>
      <c r="AV143" s="137" t="str">
        <f>'Q100a-geral'!AV269</f>
        <v>x</v>
      </c>
      <c r="AW143" s="137"/>
      <c r="AX143" s="137"/>
      <c r="AY143" s="137"/>
      <c r="AZ143" s="137"/>
      <c r="BA143" s="137" t="str">
        <f>'Q100a-geral'!BA269</f>
        <v>x</v>
      </c>
      <c r="BB143" s="239" t="str">
        <f>'Q100a-geral'!BB269</f>
        <v>Avaliações em pesquisas externas de opiniãox</v>
      </c>
      <c r="BC143" s="239" t="str">
        <f>'Q100a-geral'!BC269</f>
        <v>Avaliações em pesquisas externas de opiniãoxx</v>
      </c>
      <c r="BD143" s="239" t="str">
        <f>'Q100a-geral'!BD269</f>
        <v>Avaliações em pesquisas externas de opiniãox</v>
      </c>
    </row>
    <row r="144" spans="1:56" s="3" customFormat="1" ht="47.25" customHeight="1" x14ac:dyDescent="0.25">
      <c r="A144" s="275" t="str">
        <f>'Q100a-geral'!A270</f>
        <v>3.2.1</v>
      </c>
      <c r="B144" s="53" t="str">
        <f>'Q100a-geral'!B270</f>
        <v>Avaliações em pesquisas externas de opinião</v>
      </c>
      <c r="C144" s="229" t="str">
        <f>'Q100a-geral'!C270</f>
        <v>x</v>
      </c>
      <c r="D144" s="36" t="str">
        <f>'Q100a-geral'!D270</f>
        <v>Ats[r]</v>
      </c>
      <c r="E144" s="464" t="str">
        <f>'Q100a-geral'!E270</f>
        <v>Belo Horizonte</v>
      </c>
      <c r="F144" s="447" t="str">
        <f>'Q100a-geral'!F270</f>
        <v>percentual de respostas "ruim" na avaliação geral do trânsito (resultados de 1995 a 2012: OLIVEIRA, 2014, Tabela 4.35 a 4.51 - Apêndice D; 2013: DOXA, 2013;  2014: não foi realizada pesquisa; 2015: DOXA, 2015)</v>
      </c>
      <c r="G144" s="252" t="str">
        <f>'Q100a-geral'!G270</f>
        <v>registro na fonte
(∑ respostas ruim")/ n.º de respondentes) x 100</v>
      </c>
      <c r="H144" s="173" t="str">
        <f>'Q100a-geral'!H270</f>
        <v>x</v>
      </c>
      <c r="I144" s="167">
        <f>'Q100a-geral'!I270</f>
        <v>1</v>
      </c>
      <c r="J144" s="107" t="str">
        <f>'Q100a-geral'!J270</f>
        <v>x</v>
      </c>
      <c r="K144" s="107" t="str">
        <f>'Q100a-geral'!K270</f>
        <v>x</v>
      </c>
      <c r="L144" s="107" t="str">
        <f>'Q100a-geral'!L270</f>
        <v>x</v>
      </c>
      <c r="M144" s="107" t="str">
        <f>'Q100a-geral'!M270</f>
        <v>x</v>
      </c>
      <c r="N144" s="107" t="str">
        <f>'Q100a-geral'!N270</f>
        <v>x</v>
      </c>
      <c r="O144" s="137" t="str">
        <f>'Q100a-geral'!O270</f>
        <v>x</v>
      </c>
      <c r="P144" s="83">
        <f>'Q100a-geral'!P270</f>
        <v>26</v>
      </c>
      <c r="Q144" s="137" t="str">
        <f>'Q100a-geral'!Q270</f>
        <v>x</v>
      </c>
      <c r="R144" s="83">
        <f>'Q100a-geral'!R270</f>
        <v>16</v>
      </c>
      <c r="S144" s="85" t="str">
        <f>'Q100a-geral'!S270</f>
        <v>só para pesquisa</v>
      </c>
      <c r="T144" s="137" t="str">
        <f>'Q100a-geral'!T270</f>
        <v>x</v>
      </c>
      <c r="U144" s="83">
        <f>'Q100a-geral'!U270</f>
        <v>22</v>
      </c>
      <c r="V144" s="85" t="str">
        <f>'Q100a-geral'!V270</f>
        <v>só para pesquisa</v>
      </c>
      <c r="W144" s="83">
        <f>'Q100a-geral'!W270</f>
        <v>19.04</v>
      </c>
      <c r="X144" s="83">
        <f>'Q100a-geral'!X270</f>
        <v>19.11</v>
      </c>
      <c r="Y144" s="83" t="str">
        <f>'Q100a-geral'!Y270</f>
        <v>x</v>
      </c>
      <c r="Z144" s="83">
        <f>'Q100a-geral'!Z270</f>
        <v>14.43</v>
      </c>
      <c r="AA144" s="83">
        <f>'Q100a-geral'!AA270</f>
        <v>22</v>
      </c>
      <c r="AB144" s="83">
        <f>'Q100a-geral'!AB270</f>
        <v>25.18</v>
      </c>
      <c r="AC144" s="83">
        <f>'Q100a-geral'!AC270</f>
        <v>18</v>
      </c>
      <c r="AD144" s="83">
        <f>'Q100a-geral'!AD270</f>
        <v>27.04</v>
      </c>
      <c r="AE144" s="137" t="str">
        <f>'Q100a-geral'!AE270</f>
        <v>não realizada pesquisa em BH</v>
      </c>
      <c r="AF144" s="83">
        <f>'Q100a-geral'!AF270</f>
        <v>28.3</v>
      </c>
      <c r="AG144" s="83">
        <f>'Q100a-geral'!AG270</f>
        <v>28.86</v>
      </c>
      <c r="AH144" s="137" t="str">
        <f>'Q100a-geral'!AH270</f>
        <v>não realizada pesquisa em BH</v>
      </c>
      <c r="AI144" s="83">
        <f>'Q100a-geral'!AI270</f>
        <v>28</v>
      </c>
      <c r="AJ144" s="137" t="str">
        <f>'Q100a-geral'!AJ270</f>
        <v>não realizada pesquisa em BH</v>
      </c>
      <c r="AK144" s="85">
        <f>'Q100a-geral'!AK270</f>
        <v>26</v>
      </c>
      <c r="AL144" s="212" t="str">
        <f>'Q100a-geral'!AL270</f>
        <v>x</v>
      </c>
      <c r="AM144" s="137" t="str">
        <f>'Q100a-geral'!AM270</f>
        <v>x</v>
      </c>
      <c r="AN144" s="137" t="str">
        <f>'Q100a-geral'!AN270</f>
        <v>x</v>
      </c>
      <c r="AO144" s="137" t="str">
        <f>'Q100a-geral'!AO270</f>
        <v>x</v>
      </c>
      <c r="AP144" s="137" t="str">
        <f>'Q100a-geral'!AP270</f>
        <v>x</v>
      </c>
      <c r="AQ144" s="137" t="str">
        <f>'Q100a-geral'!AQ270</f>
        <v>x</v>
      </c>
      <c r="AR144" s="137"/>
      <c r="AS144" s="137"/>
      <c r="AT144" s="137"/>
      <c r="AU144" s="137"/>
      <c r="AV144" s="137" t="str">
        <f>'Q100a-geral'!AV270</f>
        <v>x</v>
      </c>
      <c r="AW144" s="137"/>
      <c r="AX144" s="137"/>
      <c r="AY144" s="137"/>
      <c r="AZ144" s="137"/>
      <c r="BA144" s="137" t="str">
        <f>'Q100a-geral'!BA270</f>
        <v>x</v>
      </c>
      <c r="BB144" s="239" t="str">
        <f>'Q100a-geral'!BB270</f>
        <v>Avaliações em pesquisas externas de opiniãox</v>
      </c>
      <c r="BC144" s="239" t="str">
        <f>'Q100a-geral'!BC270</f>
        <v>Avaliações em pesquisas externas de opiniãoxx</v>
      </c>
      <c r="BD144" s="239" t="str">
        <f>'Q100a-geral'!BD270</f>
        <v>Avaliações em pesquisas externas de opiniãox</v>
      </c>
    </row>
    <row r="145" spans="1:67" s="3" customFormat="1" ht="51" customHeight="1" x14ac:dyDescent="0.25">
      <c r="A145" s="275" t="str">
        <f>'Q100a-geral'!A271</f>
        <v>3.2.1</v>
      </c>
      <c r="B145" s="53" t="str">
        <f>'Q100a-geral'!B271</f>
        <v>Avaliações em pesquisas externas de opinião</v>
      </c>
      <c r="C145" s="229" t="str">
        <f>'Q100a-geral'!C271</f>
        <v>x</v>
      </c>
      <c r="D145" s="326" t="str">
        <f>'Q100a-geral'!D271</f>
        <v>Ats[rg]</v>
      </c>
      <c r="E145" s="465" t="str">
        <f>'Q100a-geral'!E271</f>
        <v>Belo Horizonte</v>
      </c>
      <c r="F145" s="490" t="str">
        <f>'Q100a-geral'!F271</f>
        <v>percentual de "regular" (respostas "regular" ou nota "3") na avaliação geral do trânsito</v>
      </c>
      <c r="G145" s="252" t="str">
        <f>'Q100a-geral'!G271</f>
        <v>registro na fonte
(∑ respostas "regular")/ n.º de respondentes) x 100</v>
      </c>
      <c r="H145" s="173" t="str">
        <f>'Q100a-geral'!H271</f>
        <v>x</v>
      </c>
      <c r="I145" s="167">
        <f>'Q100a-geral'!I271</f>
        <v>1</v>
      </c>
      <c r="J145" s="107" t="str">
        <f>'Q100a-geral'!J271</f>
        <v>x</v>
      </c>
      <c r="K145" s="107" t="str">
        <f>'Q100a-geral'!K271</f>
        <v>x</v>
      </c>
      <c r="L145" s="107" t="str">
        <f>'Q100a-geral'!L271</f>
        <v>x</v>
      </c>
      <c r="M145" s="107" t="str">
        <f>'Q100a-geral'!M271</f>
        <v>x</v>
      </c>
      <c r="N145" s="107" t="str">
        <f>'Q100a-geral'!N271</f>
        <v>x</v>
      </c>
      <c r="O145" s="133"/>
      <c r="P145" s="83">
        <f>'Q100a-geral'!P271</f>
        <v>27</v>
      </c>
      <c r="Q145" s="133"/>
      <c r="R145" s="83">
        <f>'Q100a-geral'!R271</f>
        <v>36</v>
      </c>
      <c r="S145" s="132"/>
      <c r="T145" s="133"/>
      <c r="U145" s="85">
        <f>'Q100a-geral'!U271</f>
        <v>35</v>
      </c>
      <c r="V145" s="132"/>
      <c r="W145" s="83">
        <f>'Q100a-geral'!W271</f>
        <v>35.700000000000003</v>
      </c>
      <c r="X145" s="83">
        <f>'Q100a-geral'!X271</f>
        <v>38.369999999999997</v>
      </c>
      <c r="Y145" s="133"/>
      <c r="Z145" s="83">
        <f>'Q100a-geral'!Z271</f>
        <v>44.11</v>
      </c>
      <c r="AA145" s="85">
        <f>'Q100a-geral'!AA271</f>
        <v>33</v>
      </c>
      <c r="AB145" s="83">
        <f>'Q100a-geral'!AB271</f>
        <v>33.880000000000003</v>
      </c>
      <c r="AC145" s="83">
        <f>'Q100a-geral'!AC271</f>
        <v>41.78</v>
      </c>
      <c r="AD145" s="83">
        <f>'Q100a-geral'!AD271</f>
        <v>38.590000000000003</v>
      </c>
      <c r="AE145" s="133"/>
      <c r="AF145" s="83">
        <f>'Q100a-geral'!AF271</f>
        <v>37.56</v>
      </c>
      <c r="AG145" s="85">
        <f>'Q100a-geral'!AG271</f>
        <v>27.59</v>
      </c>
      <c r="AH145" s="133"/>
      <c r="AI145" s="83">
        <f>'Q100a-geral'!AI271</f>
        <v>20</v>
      </c>
      <c r="AJ145" s="133"/>
      <c r="AK145" s="85">
        <f>'Q100a-geral'!AK271</f>
        <v>34</v>
      </c>
      <c r="AL145" s="212" t="str">
        <f>'Q100a-geral'!AL271</f>
        <v>x</v>
      </c>
      <c r="AM145" s="137" t="str">
        <f>'Q100a-geral'!AM271</f>
        <v>x</v>
      </c>
      <c r="AN145" s="137" t="str">
        <f>'Q100a-geral'!AN271</f>
        <v>x</v>
      </c>
      <c r="AO145" s="137" t="str">
        <f>'Q100a-geral'!AO271</f>
        <v>x</v>
      </c>
      <c r="AP145" s="137" t="str">
        <f>'Q100a-geral'!AP271</f>
        <v>x</v>
      </c>
      <c r="AQ145" s="137" t="str">
        <f>'Q100a-geral'!AQ271</f>
        <v>x</v>
      </c>
      <c r="AR145" s="137"/>
      <c r="AS145" s="137"/>
      <c r="AT145" s="137"/>
      <c r="AU145" s="137"/>
      <c r="AV145" s="137" t="str">
        <f>'Q100a-geral'!AV271</f>
        <v>x</v>
      </c>
      <c r="AW145" s="137"/>
      <c r="AX145" s="137"/>
      <c r="AY145" s="137"/>
      <c r="AZ145" s="137"/>
      <c r="BA145" s="137" t="str">
        <f>'Q100a-geral'!BA271</f>
        <v>x</v>
      </c>
      <c r="BB145" s="239" t="str">
        <f>'Q100a-geral'!BB271</f>
        <v>Avaliações em pesquisas externas de opiniãox</v>
      </c>
      <c r="BC145" s="239" t="str">
        <f>'Q100a-geral'!BC271</f>
        <v>Avaliações em pesquisas externas de opiniãoxx</v>
      </c>
      <c r="BD145" s="239" t="str">
        <f>'Q100a-geral'!BD271</f>
        <v>Avaliações em pesquisas externas de opiniãox</v>
      </c>
    </row>
    <row r="146" spans="1:67" s="3" customFormat="1" ht="76.5" customHeight="1" x14ac:dyDescent="0.25">
      <c r="A146" s="275" t="str">
        <f>'Q100a-geral'!A277</f>
        <v>9.1</v>
      </c>
      <c r="B146" s="11" t="str">
        <f>'Q100a-geral'!B277</f>
        <v>Acidentes de trânsito</v>
      </c>
      <c r="C146" s="57" t="str">
        <f>'Q100a-geral'!C277</f>
        <v>x</v>
      </c>
      <c r="D146" s="322" t="str">
        <f>'Q100a-geral'!D277</f>
        <v>AV</v>
      </c>
      <c r="E146" s="11" t="str">
        <f>'Q100a-geral'!E277</f>
        <v>Belo Horizonte</v>
      </c>
      <c r="F146" s="445" t="str">
        <f>'Q100a-geral'!F277</f>
        <v>n.º de acidentes de trânsito com vítima
obs.1: nos relatórios anuais de acidentes de trânsito da BHTrans este indicador é denominado "total de acidentes" (vale destacar que a BHTrans não controla o n.º de acidentes sem vítima e, por conseguinte, não controla o n.º total real de acidentes, que seria a soma do n.º de acidentes com vítima e sem vítima)
obs.2: é necessário apurar a descrição para melhor informar como a BHTrans apura os resultados desse indicador
obs.3: as fontes dos resultados aqui apresentados são os relatórios da BHTrans (2014d; 2015i) que, por sua vez, têm como fonte o sistema BH10 BHTrans - base de dados do Detran-MG</v>
      </c>
      <c r="G146" s="151" t="str">
        <f>'Q100a-geral'!G277</f>
        <v xml:space="preserve">registro na fonte </v>
      </c>
      <c r="H146" s="173" t="str">
        <f>'Q100a-geral'!H277</f>
        <v>x</v>
      </c>
      <c r="I146" s="57">
        <f>'Q100a-geral'!I277</f>
        <v>1</v>
      </c>
      <c r="J146" s="107" t="str">
        <f>'Q100a-geral'!J277</f>
        <v>x</v>
      </c>
      <c r="K146" s="161">
        <f>'Q100a-geral'!K277</f>
        <v>34045</v>
      </c>
      <c r="L146" s="161">
        <f>'Q100a-geral'!L277</f>
        <v>39394</v>
      </c>
      <c r="M146" s="161">
        <f>'Q100a-geral'!M277</f>
        <v>42995</v>
      </c>
      <c r="N146" s="161">
        <f>'Q100a-geral'!N277</f>
        <v>38183</v>
      </c>
      <c r="O146" s="161">
        <f>'Q100a-geral'!O277</f>
        <v>38547</v>
      </c>
      <c r="P146" s="161">
        <f>'Q100a-geral'!P277</f>
        <v>24981</v>
      </c>
      <c r="Q146" s="161">
        <f>'Q100a-geral'!Q277</f>
        <v>11154</v>
      </c>
      <c r="R146" s="161">
        <f>'Q100a-geral'!R277</f>
        <v>11146</v>
      </c>
      <c r="S146" s="107" t="str">
        <f>'Q100a-geral'!S277</f>
        <v>só para pesquisa</v>
      </c>
      <c r="T146" s="161">
        <f>'Q100a-geral'!T277</f>
        <v>11485</v>
      </c>
      <c r="U146" s="161">
        <f>'Q100a-geral'!U277</f>
        <v>11474</v>
      </c>
      <c r="V146" s="107" t="str">
        <f>'Q100a-geral'!V277</f>
        <v>só para pesquisa</v>
      </c>
      <c r="W146" s="161">
        <f>'Q100a-geral'!W277</f>
        <v>10911</v>
      </c>
      <c r="X146" s="161">
        <f>'Q100a-geral'!X277</f>
        <v>9734</v>
      </c>
      <c r="Y146" s="161">
        <f>'Q100a-geral'!Y277</f>
        <v>11889</v>
      </c>
      <c r="Z146" s="162">
        <f>'Q100a-geral'!Z277</f>
        <v>13073</v>
      </c>
      <c r="AA146" s="162">
        <f>'Q100a-geral'!AA277</f>
        <v>13594</v>
      </c>
      <c r="AB146" s="162">
        <f>'Q100a-geral'!AB277</f>
        <v>13798</v>
      </c>
      <c r="AC146" s="162">
        <f>'Q100a-geral'!AC277</f>
        <v>14991</v>
      </c>
      <c r="AD146" s="162">
        <f>'Q100a-geral'!AD277</f>
        <v>15719</v>
      </c>
      <c r="AE146" s="162">
        <f>'Q100a-geral'!AE277</f>
        <v>16377</v>
      </c>
      <c r="AF146" s="162">
        <f>'Q100a-geral'!AF277</f>
        <v>16822</v>
      </c>
      <c r="AG146" s="162">
        <f>'Q100a-geral'!AG277</f>
        <v>16294</v>
      </c>
      <c r="AH146" s="162">
        <f>'Q100a-geral'!AH277</f>
        <v>15260</v>
      </c>
      <c r="AI146" s="162">
        <f>'Q100a-geral'!AI277</f>
        <v>14145</v>
      </c>
      <c r="AJ146" s="162">
        <f>'Q100a-geral'!AJ277</f>
        <v>14965</v>
      </c>
      <c r="AK146" s="137" t="str">
        <f>'Q100a-geral'!AK277</f>
        <v>x</v>
      </c>
      <c r="AL146" s="215" t="str">
        <f>'Q100a-geral'!AL277</f>
        <v>x</v>
      </c>
      <c r="AM146" s="137" t="str">
        <f>'Q100a-geral'!AM277</f>
        <v>x</v>
      </c>
      <c r="AN146" s="137" t="str">
        <f>'Q100a-geral'!AN277</f>
        <v>x</v>
      </c>
      <c r="AO146" s="137" t="str">
        <f>'Q100a-geral'!AO277</f>
        <v>x</v>
      </c>
      <c r="AP146" s="137" t="str">
        <f>'Q100a-geral'!AP277</f>
        <v>x</v>
      </c>
      <c r="AQ146" s="137" t="str">
        <f>'Q100a-geral'!AQ277</f>
        <v>x</v>
      </c>
      <c r="AR146" s="137"/>
      <c r="AS146" s="137"/>
      <c r="AT146" s="137"/>
      <c r="AU146" s="137"/>
      <c r="AV146" s="137" t="str">
        <f>'Q100a-geral'!AV277</f>
        <v>x</v>
      </c>
      <c r="AW146" s="137"/>
      <c r="AX146" s="137"/>
      <c r="AY146" s="137"/>
      <c r="AZ146" s="137"/>
      <c r="BA146" s="137" t="str">
        <f>'Q100a-geral'!BA277</f>
        <v>x</v>
      </c>
      <c r="BB146" s="239" t="str">
        <f>'Q100a-geral'!BB277</f>
        <v>Acidentes de trânsitox</v>
      </c>
      <c r="BC146" s="239" t="str">
        <f>'Q100a-geral'!BC277</f>
        <v>Acidentes de trânsitoxx</v>
      </c>
      <c r="BD146" s="239" t="str">
        <f>'Q100a-geral'!BD277</f>
        <v>Acidentes de trânsitox</v>
      </c>
    </row>
    <row r="147" spans="1:67" s="3" customFormat="1" ht="25.5" customHeight="1" x14ac:dyDescent="0.25">
      <c r="A147" s="275" t="str">
        <f>'Q100a-geral'!A278</f>
        <v>9.1</v>
      </c>
      <c r="B147" s="11" t="str">
        <f>'Q100a-geral'!B278</f>
        <v>Acidentes de trânsito</v>
      </c>
      <c r="C147" s="57" t="str">
        <f>'Q100a-geral'!C278</f>
        <v>x</v>
      </c>
      <c r="D147" s="36" t="str">
        <f>'Q100a-geral'!D278</f>
        <v>AV por 10 mil veículos</v>
      </c>
      <c r="E147" s="464" t="str">
        <f>'Q100a-geral'!E278</f>
        <v>Belo Horizonte</v>
      </c>
      <c r="F147" s="445" t="str">
        <f>'Q100a-geral'!F278</f>
        <v>n.º de acidentes de trânsito com vítima por 10 mil veículos
obs.: este indicador é denominado pela ANTP como "IAF"</v>
      </c>
      <c r="G147" s="163" t="str">
        <f>'Q100a-geral'!G278</f>
        <v>(AV/F) x 10.000</v>
      </c>
      <c r="H147" s="173" t="str">
        <f>'Q100a-geral'!H278</f>
        <v>x</v>
      </c>
      <c r="I147" s="57">
        <f>'Q100a-geral'!I278</f>
        <v>1</v>
      </c>
      <c r="J147" s="107" t="str">
        <f>'Q100a-geral'!J278</f>
        <v>x</v>
      </c>
      <c r="K147" s="64">
        <f>'Q100a-geral'!K278</f>
        <v>709.55909171434223</v>
      </c>
      <c r="L147" s="64">
        <f>'Q100a-geral'!L278</f>
        <v>803.68527461048984</v>
      </c>
      <c r="M147" s="64">
        <f>'Q100a-geral'!M278</f>
        <v>844.80336388733338</v>
      </c>
      <c r="N147" s="64">
        <f>'Q100a-geral'!N278</f>
        <v>711.20970656057102</v>
      </c>
      <c r="O147" s="64">
        <f>'Q100a-geral'!O278</f>
        <v>677.67676785434878</v>
      </c>
      <c r="P147" s="64">
        <f>'Q100a-geral'!P278</f>
        <v>417.18715555882136</v>
      </c>
      <c r="Q147" s="64">
        <f>'Q100a-geral'!Q278</f>
        <v>182.26741050856432</v>
      </c>
      <c r="R147" s="64">
        <f>'Q100a-geral'!R278</f>
        <v>178.64784768291528</v>
      </c>
      <c r="S147" s="107" t="str">
        <f>'Q100a-geral'!S278</f>
        <v>só para pesquisa</v>
      </c>
      <c r="T147" s="64">
        <f>'Q100a-geral'!T278</f>
        <v>175.28276459913894</v>
      </c>
      <c r="U147" s="64">
        <f>'Q100a-geral'!U278</f>
        <v>168.80306358287959</v>
      </c>
      <c r="V147" s="107" t="str">
        <f>'Q100a-geral'!V278</f>
        <v>só para pesquisa</v>
      </c>
      <c r="W147" s="64">
        <f>'Q100a-geral'!W278</f>
        <v>151.99024899878114</v>
      </c>
      <c r="X147" s="64">
        <f>'Q100a-geral'!X278</f>
        <v>129.53433378445453</v>
      </c>
      <c r="Y147" s="64">
        <f>'Q100a-geral'!Y278</f>
        <v>150.38877947153316</v>
      </c>
      <c r="Z147" s="64">
        <f>'Q100a-geral'!Z278</f>
        <v>159.08673287472027</v>
      </c>
      <c r="AA147" s="64">
        <f>'Q100a-geral'!AA278</f>
        <v>157.53542924754061</v>
      </c>
      <c r="AB147" s="64">
        <f>'Q100a-geral'!AB278</f>
        <v>148.16055630541391</v>
      </c>
      <c r="AC147" s="64">
        <f>'Q100a-geral'!AC278</f>
        <v>146.90361746850701</v>
      </c>
      <c r="AD147" s="64">
        <f>'Q100a-geral'!AD278</f>
        <v>141.96317212142776</v>
      </c>
      <c r="AE147" s="64">
        <f>'Q100a-geral'!AE278</f>
        <v>134.22395246388689</v>
      </c>
      <c r="AF147" s="64">
        <f>'Q100a-geral'!AF278</f>
        <v>126.25517776071558</v>
      </c>
      <c r="AG147" s="64">
        <f>'Q100a-geral'!AG278</f>
        <v>113.95481391599905</v>
      </c>
      <c r="AH147" s="64">
        <f>'Q100a-geral'!AH278</f>
        <v>101.23827815316436</v>
      </c>
      <c r="AI147" s="64">
        <f>'Q100a-geral'!AI278</f>
        <v>89.489916963226577</v>
      </c>
      <c r="AJ147" s="329">
        <f>'Q100a-geral'!AJ278</f>
        <v>91.685225292011168</v>
      </c>
      <c r="AK147" s="137" t="str">
        <f>'Q100a-geral'!AK278</f>
        <v>x</v>
      </c>
      <c r="AL147" s="215" t="str">
        <f>'Q100a-geral'!AL278</f>
        <v>x</v>
      </c>
      <c r="AM147" s="137" t="str">
        <f>'Q100a-geral'!AM278</f>
        <v>x</v>
      </c>
      <c r="AN147" s="137" t="str">
        <f>'Q100a-geral'!AN278</f>
        <v>x</v>
      </c>
      <c r="AO147" s="137" t="str">
        <f>'Q100a-geral'!AO278</f>
        <v>x</v>
      </c>
      <c r="AP147" s="137" t="str">
        <f>'Q100a-geral'!AP278</f>
        <v>x</v>
      </c>
      <c r="AQ147" s="137" t="str">
        <f>'Q100a-geral'!AQ278</f>
        <v>x</v>
      </c>
      <c r="AR147" s="137"/>
      <c r="AS147" s="137"/>
      <c r="AT147" s="137"/>
      <c r="AU147" s="137"/>
      <c r="AV147" s="137" t="str">
        <f>'Q100a-geral'!AV278</f>
        <v>x</v>
      </c>
      <c r="AW147" s="137"/>
      <c r="AX147" s="137"/>
      <c r="AY147" s="137"/>
      <c r="AZ147" s="137"/>
      <c r="BA147" s="137" t="str">
        <f>'Q100a-geral'!BA278</f>
        <v>x</v>
      </c>
      <c r="BB147" s="239" t="str">
        <f>'Q100a-geral'!BB278</f>
        <v>Acidentes de trânsitox</v>
      </c>
      <c r="BC147" s="239" t="str">
        <f>'Q100a-geral'!BC278</f>
        <v>Acidentes de trânsitoxx</v>
      </c>
      <c r="BD147" s="239" t="str">
        <f>'Q100a-geral'!BD278</f>
        <v>Acidentes de trânsitox</v>
      </c>
    </row>
    <row r="148" spans="1:67" s="3" customFormat="1" ht="25.5" customHeight="1" x14ac:dyDescent="0.25">
      <c r="A148" s="275" t="str">
        <f>'Q100a-geral'!A279</f>
        <v>9.1</v>
      </c>
      <c r="B148" s="11" t="str">
        <f>'Q100a-geral'!B279</f>
        <v>Acidentes de trânsito</v>
      </c>
      <c r="C148" s="57" t="str">
        <f>'Q100a-geral'!C279</f>
        <v>x</v>
      </c>
      <c r="D148" s="36" t="str">
        <f>'Q100a-geral'!D279</f>
        <v>AV por 100 mil habitsntes</v>
      </c>
      <c r="E148" s="464" t="str">
        <f>'Q100a-geral'!E279</f>
        <v>Belo Horizonte</v>
      </c>
      <c r="F148" s="445" t="str">
        <f>'Q100a-geral'!F279</f>
        <v>n.º de acidentes de trânsito com vítima por 100 mil habitantes
obs.: este indicador é denominado pela ANTP como "IVP"</v>
      </c>
      <c r="G148" s="163" t="str">
        <f>'Q100a-geral'!G279</f>
        <v>(AV/P) x 100.000</v>
      </c>
      <c r="H148" s="173" t="str">
        <f>'Q100a-geral'!H279</f>
        <v>x</v>
      </c>
      <c r="I148" s="57">
        <f>'Q100a-geral'!I279</f>
        <v>1</v>
      </c>
      <c r="J148" s="107" t="str">
        <f>'Q100a-geral'!J279</f>
        <v>x</v>
      </c>
      <c r="K148" s="20">
        <f>'Q100a-geral'!K279</f>
        <v>1685.2617192392092</v>
      </c>
      <c r="L148" s="20">
        <f>'Q100a-geral'!L279</f>
        <v>1942.2731606977866</v>
      </c>
      <c r="M148" s="20">
        <f>'Q100a-geral'!M279</f>
        <v>2111.370561616221</v>
      </c>
      <c r="N148" s="20">
        <f>'Q100a-geral'!N279</f>
        <v>1867.5959892394226</v>
      </c>
      <c r="O148" s="20">
        <f>'Q100a-geral'!O279</f>
        <v>1877.8883000645988</v>
      </c>
      <c r="P148" s="20">
        <f>'Q100a-geral'!P279</f>
        <v>1194.4356254614027</v>
      </c>
      <c r="Q148" s="20">
        <f>'Q100a-geral'!Q279</f>
        <v>531.18990539162041</v>
      </c>
      <c r="R148" s="20">
        <f>'Q100a-geral'!R279</f>
        <v>528.69420689465437</v>
      </c>
      <c r="S148" s="107" t="str">
        <f>'Q100a-geral'!S279</f>
        <v>só para pesquisa</v>
      </c>
      <c r="T148" s="20">
        <f>'Q100a-geral'!T279</f>
        <v>542.60372305997316</v>
      </c>
      <c r="U148" s="20">
        <f>'Q100a-geral'!U279</f>
        <v>512.56943184935085</v>
      </c>
      <c r="V148" s="107" t="str">
        <f>'Q100a-geral'!V279</f>
        <v>só para pesquisa</v>
      </c>
      <c r="W148" s="20">
        <f>'Q100a-geral'!W279</f>
        <v>483.08109307114461</v>
      </c>
      <c r="X148" s="20">
        <f>'Q100a-geral'!X279</f>
        <v>426.09482820507884</v>
      </c>
      <c r="Y148" s="20">
        <f>'Q100a-geral'!Y279</f>
        <v>515.61011912506319</v>
      </c>
      <c r="Z148" s="20">
        <f>'Q100a-geral'!Z279</f>
        <v>556.16439288613287</v>
      </c>
      <c r="AA148" s="20">
        <f>'Q100a-geral'!AA279</f>
        <v>572.29966880377413</v>
      </c>
      <c r="AB148" s="20">
        <f>'Q100a-geral'!AB279</f>
        <v>574.93583119437312</v>
      </c>
      <c r="AC148" s="20">
        <f>'Q100a-geral'!AC279</f>
        <v>621.27606315457058</v>
      </c>
      <c r="AD148" s="20">
        <f>'Q100a-geral'!AD279</f>
        <v>645.63907137065746</v>
      </c>
      <c r="AE148" s="20">
        <f>'Q100a-geral'!AE279</f>
        <v>667.73572881538382</v>
      </c>
      <c r="AF148" s="20">
        <f>'Q100a-geral'!AF279</f>
        <v>708.24970707125567</v>
      </c>
      <c r="AG148" s="20">
        <f>'Q100a-geral'!AG279</f>
        <v>683.00330309686285</v>
      </c>
      <c r="AH148" s="20">
        <f>'Q100a-geral'!AH279</f>
        <v>636.95198024864499</v>
      </c>
      <c r="AI148" s="20">
        <f>'Q100a-geral'!AI279</f>
        <v>570.5550054151297</v>
      </c>
      <c r="AJ148" s="329">
        <f>'Q100a-geral'!AJ279</f>
        <v>600.73645914329722</v>
      </c>
      <c r="AK148" s="137" t="str">
        <f>'Q100a-geral'!AK279</f>
        <v>x</v>
      </c>
      <c r="AL148" s="212" t="str">
        <f>'Q100a-geral'!AL279</f>
        <v>x</v>
      </c>
      <c r="AM148" s="137" t="str">
        <f>'Q100a-geral'!AM279</f>
        <v>x</v>
      </c>
      <c r="AN148" s="137" t="str">
        <f>'Q100a-geral'!AN279</f>
        <v>x</v>
      </c>
      <c r="AO148" s="137" t="str">
        <f>'Q100a-geral'!AO279</f>
        <v>x</v>
      </c>
      <c r="AP148" s="137" t="str">
        <f>'Q100a-geral'!AP279</f>
        <v>x</v>
      </c>
      <c r="AQ148" s="137" t="str">
        <f>'Q100a-geral'!AQ279</f>
        <v>x</v>
      </c>
      <c r="AR148" s="137"/>
      <c r="AS148" s="137"/>
      <c r="AT148" s="137"/>
      <c r="AU148" s="137"/>
      <c r="AV148" s="137" t="str">
        <f>'Q100a-geral'!AV279</f>
        <v>x</v>
      </c>
      <c r="AW148" s="137"/>
      <c r="AX148" s="137"/>
      <c r="AY148" s="137"/>
      <c r="AZ148" s="137"/>
      <c r="BA148" s="137" t="str">
        <f>'Q100a-geral'!BA279</f>
        <v>x</v>
      </c>
      <c r="BB148" s="239" t="str">
        <f>'Q100a-geral'!BB279</f>
        <v>Acidentes de trânsitox</v>
      </c>
      <c r="BC148" s="239" t="str">
        <f>'Q100a-geral'!BC279</f>
        <v>Acidentes de trânsitoxx</v>
      </c>
      <c r="BD148" s="239" t="str">
        <f>'Q100a-geral'!BD279</f>
        <v>Acidentes de trânsitox</v>
      </c>
    </row>
    <row r="149" spans="1:67" s="3" customFormat="1" ht="38.25" customHeight="1" x14ac:dyDescent="0.25">
      <c r="A149" s="275" t="str">
        <f>'Q100a-geral'!A280</f>
        <v>9.1</v>
      </c>
      <c r="B149" s="11" t="str">
        <f>'Q100a-geral'!B280</f>
        <v>Acidentes de trânsito</v>
      </c>
      <c r="C149" s="57" t="str">
        <f>'Q100a-geral'!C280</f>
        <v>x</v>
      </c>
      <c r="D149" s="322" t="str">
        <f>'Q100a-geral'!D280</f>
        <v>AV b</v>
      </c>
      <c r="E149" s="11" t="str">
        <f>'Q100a-geral'!E280</f>
        <v>Belo Horizonte</v>
      </c>
      <c r="F149" s="445" t="str">
        <f>'Q100a-geral'!F280</f>
        <v>n.º de acidentes de trânsito com bicicleta com vítima (BHTRANS, 2014e; 2015i, p.20,22)
obs.: nos relatórios anuais de acidentes de trânsito da BHTrans este indicador é denominado "total de acidentes com bicicletas"</v>
      </c>
      <c r="G149" s="252" t="str">
        <f>'Q100a-geral'!G280</f>
        <v>registro na fonte</v>
      </c>
      <c r="H149" s="173" t="str">
        <f>'Q100a-geral'!H280</f>
        <v>x</v>
      </c>
      <c r="I149" s="57">
        <f>'Q100a-geral'!I280</f>
        <v>1</v>
      </c>
      <c r="J149" s="107" t="str">
        <f>'Q100a-geral'!J280</f>
        <v>x</v>
      </c>
      <c r="K149" s="84" t="str">
        <f>'Q100a-geral'!K280</f>
        <v>x</v>
      </c>
      <c r="L149" s="84" t="str">
        <f>'Q100a-geral'!L280</f>
        <v>x</v>
      </c>
      <c r="M149" s="84" t="str">
        <f>'Q100a-geral'!M280</f>
        <v>x</v>
      </c>
      <c r="N149" s="84" t="str">
        <f>'Q100a-geral'!N280</f>
        <v>x</v>
      </c>
      <c r="O149" s="84" t="str">
        <f>'Q100a-geral'!O280</f>
        <v>x</v>
      </c>
      <c r="P149" s="84" t="str">
        <f>'Q100a-geral'!P280</f>
        <v>x</v>
      </c>
      <c r="Q149" s="84" t="str">
        <f>'Q100a-geral'!Q280</f>
        <v>x</v>
      </c>
      <c r="R149" s="84" t="str">
        <f>'Q100a-geral'!R280</f>
        <v>x</v>
      </c>
      <c r="S149" s="107" t="str">
        <f>'Q100a-geral'!S280</f>
        <v>só para pesquisa</v>
      </c>
      <c r="T149" s="84" t="str">
        <f>'Q100a-geral'!T280</f>
        <v>x</v>
      </c>
      <c r="U149" s="84" t="str">
        <f>'Q100a-geral'!U280</f>
        <v>x</v>
      </c>
      <c r="V149" s="107" t="str">
        <f>'Q100a-geral'!V280</f>
        <v>só para pesquisa</v>
      </c>
      <c r="W149" s="84" t="str">
        <f>'Q100a-geral'!W280</f>
        <v>x</v>
      </c>
      <c r="X149" s="84" t="str">
        <f>'Q100a-geral'!X280</f>
        <v>x</v>
      </c>
      <c r="Y149" s="84" t="str">
        <f>'Q100a-geral'!Y280</f>
        <v>x</v>
      </c>
      <c r="Z149" s="159">
        <f>'Q100a-geral'!Z280</f>
        <v>967</v>
      </c>
      <c r="AA149" s="159">
        <f>'Q100a-geral'!AA280</f>
        <v>811</v>
      </c>
      <c r="AB149" s="159">
        <f>'Q100a-geral'!AB280</f>
        <v>836</v>
      </c>
      <c r="AC149" s="159">
        <f>'Q100a-geral'!AC280</f>
        <v>811</v>
      </c>
      <c r="AD149" s="159">
        <f>'Q100a-geral'!AD280</f>
        <v>381</v>
      </c>
      <c r="AE149" s="159">
        <f>'Q100a-geral'!AE280</f>
        <v>636</v>
      </c>
      <c r="AF149" s="159">
        <f>'Q100a-geral'!AF280</f>
        <v>524</v>
      </c>
      <c r="AG149" s="159">
        <f>'Q100a-geral'!AG280</f>
        <v>408</v>
      </c>
      <c r="AH149" s="159">
        <f>'Q100a-geral'!AH280</f>
        <v>408</v>
      </c>
      <c r="AI149" s="159">
        <f>'Q100a-geral'!AI280</f>
        <v>376</v>
      </c>
      <c r="AJ149" s="330" t="str">
        <f>'Q100a-geral'!AJ280</f>
        <v>em apuração</v>
      </c>
      <c r="AK149" s="137" t="str">
        <f>'Q100a-geral'!AK280</f>
        <v>x</v>
      </c>
      <c r="AL149" s="212" t="str">
        <f>'Q100a-geral'!AL280</f>
        <v>x</v>
      </c>
      <c r="AM149" s="137" t="str">
        <f>'Q100a-geral'!AM280</f>
        <v>x</v>
      </c>
      <c r="AN149" s="137" t="str">
        <f>'Q100a-geral'!AN280</f>
        <v>x</v>
      </c>
      <c r="AO149" s="137" t="str">
        <f>'Q100a-geral'!AO280</f>
        <v>x</v>
      </c>
      <c r="AP149" s="137" t="str">
        <f>'Q100a-geral'!AP280</f>
        <v>x</v>
      </c>
      <c r="AQ149" s="137" t="str">
        <f>'Q100a-geral'!AQ280</f>
        <v>x</v>
      </c>
      <c r="AR149" s="137"/>
      <c r="AS149" s="137"/>
      <c r="AT149" s="137"/>
      <c r="AU149" s="137"/>
      <c r="AV149" s="137" t="str">
        <f>'Q100a-geral'!AV280</f>
        <v>x</v>
      </c>
      <c r="AW149" s="137"/>
      <c r="AX149" s="137"/>
      <c r="AY149" s="137"/>
      <c r="AZ149" s="137"/>
      <c r="BA149" s="137" t="str">
        <f>'Q100a-geral'!BA280</f>
        <v>x</v>
      </c>
      <c r="BB149" s="239" t="str">
        <f>'Q100a-geral'!BB280</f>
        <v>Acidentes de trânsitox</v>
      </c>
      <c r="BC149" s="239" t="str">
        <f>'Q100a-geral'!BC280</f>
        <v>Acidentes de trânsitoxx</v>
      </c>
      <c r="BD149" s="239" t="str">
        <f>'Q100a-geral'!BD280</f>
        <v>Acidentes de trânsitox</v>
      </c>
    </row>
    <row r="150" spans="1:67" s="3" customFormat="1" ht="63.75" customHeight="1" x14ac:dyDescent="0.25">
      <c r="A150" s="275" t="str">
        <f>'Q100a-geral'!A281</f>
        <v>9.1</v>
      </c>
      <c r="B150" s="11" t="str">
        <f>'Q100a-geral'!B281</f>
        <v>Acidentes de trânsito</v>
      </c>
      <c r="C150" s="57" t="str">
        <f>'Q100a-geral'!C281</f>
        <v>x</v>
      </c>
      <c r="D150" s="36" t="str">
        <f>'Q100a-geral'!D281</f>
        <v>AV b por 10 mil veículos</v>
      </c>
      <c r="E150" s="464" t="str">
        <f>'Q100a-geral'!E281</f>
        <v>Belo Horizonte</v>
      </c>
      <c r="F150" s="445" t="str">
        <f>'Q100a-geral'!F281</f>
        <v>n.º de acidentes de trânsito com bicicleta com vítima por 10 mil veículos 
obs.: nos relatórios anuais de acidentes de trânsito da BHTrans este indicador é denominado "taxa de acidentes com bicicletas por 10.000 veículos"</v>
      </c>
      <c r="G150" s="163" t="str">
        <f>'Q100a-geral'!G281</f>
        <v>(AVb/F) x 10.000</v>
      </c>
      <c r="H150" s="173" t="str">
        <f>'Q100a-geral'!H281</f>
        <v>x</v>
      </c>
      <c r="I150" s="57">
        <f>'Q100a-geral'!I281</f>
        <v>1</v>
      </c>
      <c r="J150" s="107" t="str">
        <f>'Q100a-geral'!J281</f>
        <v>x</v>
      </c>
      <c r="K150" s="84" t="str">
        <f>'Q100a-geral'!K281</f>
        <v>x</v>
      </c>
      <c r="L150" s="84" t="str">
        <f>'Q100a-geral'!L281</f>
        <v>x</v>
      </c>
      <c r="M150" s="84" t="str">
        <f>'Q100a-geral'!M281</f>
        <v>x</v>
      </c>
      <c r="N150" s="84" t="str">
        <f>'Q100a-geral'!N281</f>
        <v>x</v>
      </c>
      <c r="O150" s="84" t="str">
        <f>'Q100a-geral'!O281</f>
        <v>x</v>
      </c>
      <c r="P150" s="84" t="str">
        <f>'Q100a-geral'!P281</f>
        <v>x</v>
      </c>
      <c r="Q150" s="84" t="str">
        <f>'Q100a-geral'!Q281</f>
        <v>x</v>
      </c>
      <c r="R150" s="84" t="str">
        <f>'Q100a-geral'!R281</f>
        <v>x</v>
      </c>
      <c r="S150" s="107" t="str">
        <f>'Q100a-geral'!S281</f>
        <v>só para pesquisa</v>
      </c>
      <c r="T150" s="84" t="str">
        <f>'Q100a-geral'!T281</f>
        <v>x</v>
      </c>
      <c r="U150" s="84" t="str">
        <f>'Q100a-geral'!U281</f>
        <v>x</v>
      </c>
      <c r="V150" s="107" t="str">
        <f>'Q100a-geral'!V281</f>
        <v>só para pesquisa</v>
      </c>
      <c r="W150" s="84" t="str">
        <f>'Q100a-geral'!W281</f>
        <v>x</v>
      </c>
      <c r="X150" s="84" t="str">
        <f>'Q100a-geral'!X281</f>
        <v>x</v>
      </c>
      <c r="Y150" s="84" t="str">
        <f>'Q100a-geral'!Y281</f>
        <v>x</v>
      </c>
      <c r="Z150" s="64">
        <f>'Q100a-geral'!Z281</f>
        <v>11.767526251805592</v>
      </c>
      <c r="AA150" s="64">
        <f>'Q100a-geral'!AA281</f>
        <v>9.3983546505631477</v>
      </c>
      <c r="AB150" s="64">
        <f>'Q100a-geral'!AB281</f>
        <v>8.976824544957676</v>
      </c>
      <c r="AC150" s="64">
        <f>'Q100a-geral'!AC281</f>
        <v>7.9473573321965967</v>
      </c>
      <c r="AD150" s="64">
        <f>'Q100a-geral'!AD281</f>
        <v>3.4409293579912199</v>
      </c>
      <c r="AE150" s="64">
        <f>'Q100a-geral'!AE281</f>
        <v>5.2125806782091999</v>
      </c>
      <c r="AF150" s="64">
        <f>'Q100a-geral'!AF281</f>
        <v>3.9328090088345604</v>
      </c>
      <c r="AG150" s="64">
        <f>'Q100a-geral'!AG281</f>
        <v>2.8534162316022842</v>
      </c>
      <c r="AH150" s="64">
        <f>'Q100a-geral'!AH281</f>
        <v>2.7067639244096369</v>
      </c>
      <c r="AI150" s="64">
        <f>'Q100a-geral'!AI281</f>
        <v>2.3788058521154607</v>
      </c>
      <c r="AJ150" s="330" t="str">
        <f>'Q100a-geral'!AJ281</f>
        <v>em apuração</v>
      </c>
      <c r="AK150" s="137" t="str">
        <f>'Q100a-geral'!AK281</f>
        <v>x</v>
      </c>
      <c r="AL150" s="212" t="str">
        <f>'Q100a-geral'!AL281</f>
        <v>x</v>
      </c>
      <c r="AM150" s="137" t="str">
        <f>'Q100a-geral'!AM281</f>
        <v>x</v>
      </c>
      <c r="AN150" s="137" t="str">
        <f>'Q100a-geral'!AN281</f>
        <v>x</v>
      </c>
      <c r="AO150" s="137" t="str">
        <f>'Q100a-geral'!AO281</f>
        <v>x</v>
      </c>
      <c r="AP150" s="137" t="str">
        <f>'Q100a-geral'!AP281</f>
        <v>x</v>
      </c>
      <c r="AQ150" s="137" t="str">
        <f>'Q100a-geral'!AQ281</f>
        <v>x</v>
      </c>
      <c r="AR150" s="137"/>
      <c r="AS150" s="137"/>
      <c r="AT150" s="137"/>
      <c r="AU150" s="137"/>
      <c r="AV150" s="137" t="str">
        <f>'Q100a-geral'!AV281</f>
        <v>x</v>
      </c>
      <c r="AW150" s="137"/>
      <c r="AX150" s="137"/>
      <c r="AY150" s="137"/>
      <c r="AZ150" s="137"/>
      <c r="BA150" s="137" t="str">
        <f>'Q100a-geral'!BA281</f>
        <v>x</v>
      </c>
      <c r="BB150" s="239" t="str">
        <f>'Q100a-geral'!BB281</f>
        <v>Acidentes de trânsitox</v>
      </c>
      <c r="BC150" s="239" t="str">
        <f>'Q100a-geral'!BC281</f>
        <v>Acidentes de trânsitoxx</v>
      </c>
      <c r="BD150" s="239" t="str">
        <f>'Q100a-geral'!BD281</f>
        <v>Acidentes de trânsitox</v>
      </c>
    </row>
    <row r="151" spans="1:67" s="3" customFormat="1" ht="78.75" customHeight="1" x14ac:dyDescent="0.25">
      <c r="A151" s="275" t="str">
        <f>'Q100a-geral'!A282</f>
        <v>9.1</v>
      </c>
      <c r="B151" s="11" t="str">
        <f>'Q100a-geral'!B282</f>
        <v>Acidentes de trânsito</v>
      </c>
      <c r="C151" s="57" t="str">
        <f>'Q100a-geral'!C282</f>
        <v>x</v>
      </c>
      <c r="D151" s="36" t="str">
        <f>'Q100a-geral'!D282</f>
        <v>AV b por 100 mil habitantes</v>
      </c>
      <c r="E151" s="464" t="str">
        <f>'Q100a-geral'!E282</f>
        <v>Belo Horizonte</v>
      </c>
      <c r="F151" s="445" t="str">
        <f>'Q100a-geral'!F282</f>
        <v>n.º de acidentes de trânsito com bicicleta com vítima por 100 mil habitantes</v>
      </c>
      <c r="G151" s="163" t="str">
        <f>'Q100a-geral'!G282</f>
        <v>(AVb/P) x 100.000</v>
      </c>
      <c r="H151" s="173" t="str">
        <f>'Q100a-geral'!H282</f>
        <v>x</v>
      </c>
      <c r="I151" s="57">
        <f>'Q100a-geral'!I282</f>
        <v>1</v>
      </c>
      <c r="J151" s="109" t="str">
        <f>'Q100a-geral'!J282</f>
        <v>x</v>
      </c>
      <c r="K151" s="109" t="str">
        <f>'Q100a-geral'!K282</f>
        <v>x</v>
      </c>
      <c r="L151" s="109" t="str">
        <f>'Q100a-geral'!L282</f>
        <v>x</v>
      </c>
      <c r="M151" s="109" t="str">
        <f>'Q100a-geral'!M282</f>
        <v>x</v>
      </c>
      <c r="N151" s="109" t="str">
        <f>'Q100a-geral'!N282</f>
        <v>x</v>
      </c>
      <c r="O151" s="109" t="str">
        <f>'Q100a-geral'!O282</f>
        <v>x</v>
      </c>
      <c r="P151" s="109" t="str">
        <f>'Q100a-geral'!P282</f>
        <v>x</v>
      </c>
      <c r="Q151" s="109" t="str">
        <f>'Q100a-geral'!Q282</f>
        <v>x</v>
      </c>
      <c r="R151" s="109" t="str">
        <f>'Q100a-geral'!R282</f>
        <v>x</v>
      </c>
      <c r="S151" s="109" t="str">
        <f>'Q100a-geral'!S282</f>
        <v>só para pesquisa</v>
      </c>
      <c r="T151" s="109" t="str">
        <f>'Q100a-geral'!T282</f>
        <v>x</v>
      </c>
      <c r="U151" s="109" t="str">
        <f>'Q100a-geral'!U282</f>
        <v>x</v>
      </c>
      <c r="V151" s="109" t="str">
        <f>'Q100a-geral'!V282</f>
        <v>só para pesquisa</v>
      </c>
      <c r="W151" s="109" t="str">
        <f>'Q100a-geral'!W282</f>
        <v>x</v>
      </c>
      <c r="X151" s="109" t="str">
        <f>'Q100a-geral'!X282</f>
        <v>x</v>
      </c>
      <c r="Y151" s="109" t="str">
        <f>'Q100a-geral'!Y282</f>
        <v>x</v>
      </c>
      <c r="Z151" s="109" t="str">
        <f>'Q100a-geral'!Z282</f>
        <v>x</v>
      </c>
      <c r="AA151" s="109" t="str">
        <f>'Q100a-geral'!AA282</f>
        <v>x</v>
      </c>
      <c r="AB151" s="109" t="str">
        <f>'Q100a-geral'!AB282</f>
        <v>x</v>
      </c>
      <c r="AC151" s="109" t="str">
        <f>'Q100a-geral'!AC282</f>
        <v>x</v>
      </c>
      <c r="AD151" s="109" t="str">
        <f>'Q100a-geral'!AD282</f>
        <v>x</v>
      </c>
      <c r="AE151" s="109" t="str">
        <f>'Q100a-geral'!AE282</f>
        <v>x</v>
      </c>
      <c r="AF151" s="109" t="str">
        <f>'Q100a-geral'!AF282</f>
        <v>x</v>
      </c>
      <c r="AG151" s="109" t="str">
        <f>'Q100a-geral'!AG282</f>
        <v>x</v>
      </c>
      <c r="AH151" s="109" t="str">
        <f>'Q100a-geral'!AH282</f>
        <v>x</v>
      </c>
      <c r="AI151" s="109" t="str">
        <f>'Q100a-geral'!AI282</f>
        <v>x</v>
      </c>
      <c r="AJ151" s="109" t="str">
        <f>'Q100a-geral'!AJ282</f>
        <v>x</v>
      </c>
      <c r="AK151" s="137" t="str">
        <f>'Q100a-geral'!AK282</f>
        <v>x</v>
      </c>
      <c r="AL151" s="167" t="str">
        <f>'Q100a-geral'!AL282</f>
        <v>x</v>
      </c>
      <c r="AM151" s="137" t="str">
        <f>'Q100a-geral'!AM282</f>
        <v>x</v>
      </c>
      <c r="AN151" s="137" t="str">
        <f>'Q100a-geral'!AN282</f>
        <v>x</v>
      </c>
      <c r="AO151" s="137" t="str">
        <f>'Q100a-geral'!AO282</f>
        <v>x</v>
      </c>
      <c r="AP151" s="137" t="str">
        <f>'Q100a-geral'!AP282</f>
        <v>x</v>
      </c>
      <c r="AQ151" s="137" t="str">
        <f>'Q100a-geral'!AQ282</f>
        <v>x</v>
      </c>
      <c r="AR151" s="137"/>
      <c r="AS151" s="137"/>
      <c r="AT151" s="137"/>
      <c r="AU151" s="137"/>
      <c r="AV151" s="137" t="str">
        <f>'Q100a-geral'!AV282</f>
        <v>x</v>
      </c>
      <c r="AW151" s="137"/>
      <c r="AX151" s="137"/>
      <c r="AY151" s="137"/>
      <c r="AZ151" s="137"/>
      <c r="BA151" s="137" t="str">
        <f>'Q100a-geral'!BA282</f>
        <v>x</v>
      </c>
      <c r="BB151" s="239" t="str">
        <f>'Q100a-geral'!BB282</f>
        <v>Acidentes de trânsitox</v>
      </c>
      <c r="BC151" s="239" t="str">
        <f>'Q100a-geral'!BC282</f>
        <v>Acidentes de trânsitoxx</v>
      </c>
      <c r="BD151" s="239" t="str">
        <f>'Q100a-geral'!BD282</f>
        <v>Acidentes de trânsitox</v>
      </c>
    </row>
    <row r="152" spans="1:67" s="3" customFormat="1" ht="63.75" customHeight="1" x14ac:dyDescent="0.25">
      <c r="A152" s="275" t="str">
        <f>'Q100a-geral'!A290</f>
        <v>3.2.1</v>
      </c>
      <c r="B152" s="53" t="str">
        <f>'Q100a-geral'!B290</f>
        <v>Avaliações em pesquisas externas de opinião</v>
      </c>
      <c r="C152" s="167" t="str">
        <f>'Q100a-geral'!C290</f>
        <v>x</v>
      </c>
      <c r="D152" s="36" t="str">
        <f>'Q100a-geral'!D290</f>
        <v>AVGE</v>
      </c>
      <c r="E152" s="464" t="str">
        <f>'Q100a-geral'!E290</f>
        <v>Belo Horizonte</v>
      </c>
      <c r="F152" s="447" t="str">
        <f>'Q100a-geral'!F290</f>
        <v>avaliação geral do transporte coletivo (percentual de ótimo/bom) - (BHTRANS, 2011a, p.5; 2012a, p.18)
obs.: não confundir com Atc</v>
      </c>
      <c r="G152" s="252" t="str">
        <f>'Q100a-geral'!G290</f>
        <v>consulte:
Atc(o/b)</v>
      </c>
      <c r="H152" s="173" t="str">
        <f>'Q100a-geral'!H290</f>
        <v>sigla/verbete</v>
      </c>
      <c r="I152" s="170" t="str">
        <f>'Q100a-geral'!I290</f>
        <v>-</v>
      </c>
      <c r="J152" s="109" t="str">
        <f>'Q100a-geral'!J290</f>
        <v>x</v>
      </c>
      <c r="K152" s="109" t="str">
        <f>'Q100a-geral'!K290</f>
        <v>x</v>
      </c>
      <c r="L152" s="109" t="str">
        <f>'Q100a-geral'!L290</f>
        <v>x</v>
      </c>
      <c r="M152" s="109" t="str">
        <f>'Q100a-geral'!M290</f>
        <v>x</v>
      </c>
      <c r="N152" s="109" t="str">
        <f>'Q100a-geral'!N290</f>
        <v>x</v>
      </c>
      <c r="O152" s="109" t="str">
        <f>'Q100a-geral'!O290</f>
        <v>x</v>
      </c>
      <c r="P152" s="109" t="str">
        <f>'Q100a-geral'!P290</f>
        <v>x</v>
      </c>
      <c r="Q152" s="109" t="str">
        <f>'Q100a-geral'!Q290</f>
        <v>x</v>
      </c>
      <c r="R152" s="109" t="str">
        <f>'Q100a-geral'!R290</f>
        <v>x</v>
      </c>
      <c r="S152" s="109" t="str">
        <f>'Q100a-geral'!S290</f>
        <v>só para pesquisa</v>
      </c>
      <c r="T152" s="109" t="str">
        <f>'Q100a-geral'!T290</f>
        <v>x</v>
      </c>
      <c r="U152" s="109" t="str">
        <f>'Q100a-geral'!U290</f>
        <v>x</v>
      </c>
      <c r="V152" s="109" t="str">
        <f>'Q100a-geral'!V290</f>
        <v>só para pesquisa</v>
      </c>
      <c r="W152" s="109" t="str">
        <f>'Q100a-geral'!W290</f>
        <v>x</v>
      </c>
      <c r="X152" s="109" t="str">
        <f>'Q100a-geral'!X290</f>
        <v>x</v>
      </c>
      <c r="Y152" s="109" t="str">
        <f>'Q100a-geral'!Y290</f>
        <v>x</v>
      </c>
      <c r="Z152" s="109" t="str">
        <f>'Q100a-geral'!Z290</f>
        <v>x</v>
      </c>
      <c r="AA152" s="109" t="str">
        <f>'Q100a-geral'!AA290</f>
        <v>x</v>
      </c>
      <c r="AB152" s="109" t="str">
        <f>'Q100a-geral'!AB290</f>
        <v>x</v>
      </c>
      <c r="AC152" s="109" t="str">
        <f>'Q100a-geral'!AC290</f>
        <v>x</v>
      </c>
      <c r="AD152" s="109" t="str">
        <f>'Q100a-geral'!AD290</f>
        <v>x</v>
      </c>
      <c r="AE152" s="109" t="str">
        <f>'Q100a-geral'!AE290</f>
        <v>não realizada pesquisa em BH</v>
      </c>
      <c r="AF152" s="109" t="str">
        <f>'Q100a-geral'!AF290</f>
        <v>x</v>
      </c>
      <c r="AG152" s="109" t="str">
        <f>'Q100a-geral'!AG290</f>
        <v>x</v>
      </c>
      <c r="AH152" s="109" t="str">
        <f>'Q100a-geral'!AH290</f>
        <v>não realizada pesquisa em BH</v>
      </c>
      <c r="AI152" s="109" t="str">
        <f>'Q100a-geral'!AI290</f>
        <v>x</v>
      </c>
      <c r="AJ152" s="109" t="str">
        <f>'Q100a-geral'!AJ290</f>
        <v>não realizada pesquisa em BH</v>
      </c>
      <c r="AK152" s="137" t="str">
        <f>'Q100a-geral'!AK290</f>
        <v>x</v>
      </c>
      <c r="AL152" s="167" t="str">
        <f>'Q100a-geral'!AL290</f>
        <v>x</v>
      </c>
      <c r="AM152" s="137" t="str">
        <f>'Q100a-geral'!AM290</f>
        <v>x</v>
      </c>
      <c r="AN152" s="137" t="str">
        <f>'Q100a-geral'!AN290</f>
        <v>x</v>
      </c>
      <c r="AO152" s="137" t="str">
        <f>'Q100a-geral'!AO290</f>
        <v>x</v>
      </c>
      <c r="AP152" s="137" t="str">
        <f>'Q100a-geral'!AP290</f>
        <v>x</v>
      </c>
      <c r="AQ152" s="137" t="str">
        <f>'Q100a-geral'!AQ290</f>
        <v>x</v>
      </c>
      <c r="AR152" s="137"/>
      <c r="AS152" s="137"/>
      <c r="AT152" s="137"/>
      <c r="AU152" s="137"/>
      <c r="AV152" s="137" t="str">
        <f>'Q100a-geral'!AV290</f>
        <v>x</v>
      </c>
      <c r="AW152" s="137"/>
      <c r="AX152" s="137"/>
      <c r="AY152" s="137"/>
      <c r="AZ152" s="137"/>
      <c r="BA152" s="137" t="str">
        <f>'Q100a-geral'!BA290</f>
        <v>x</v>
      </c>
      <c r="BB152" s="239" t="str">
        <f>'Q100a-geral'!BB290</f>
        <v>Avaliações em pesquisas externas de opiniãox</v>
      </c>
      <c r="BC152" s="239" t="str">
        <f>'Q100a-geral'!BC290</f>
        <v>Avaliações em pesquisas externas de opiniãoxsigla/verbete</v>
      </c>
      <c r="BD152" s="239" t="str">
        <f>'Q100a-geral'!BD290</f>
        <v>Avaliações em pesquisas externas de opiniãosigla/verbete</v>
      </c>
    </row>
    <row r="153" spans="1:67" s="1" customFormat="1" ht="48" customHeight="1" x14ac:dyDescent="0.25">
      <c r="A153" s="275" t="str">
        <f>'Q100a-geral'!A1906</f>
        <v>6.2</v>
      </c>
      <c r="B153" s="11" t="str">
        <f>'Q100a-geral'!B1906</f>
        <v>Sistema de bicicleta</v>
      </c>
      <c r="C153" s="167" t="str">
        <f>'Q100a-geral'!C1906</f>
        <v>x</v>
      </c>
      <c r="D153" s="322" t="str">
        <f>'Q100a-geral'!D1906</f>
        <v>paraciclo
(delta)</v>
      </c>
      <c r="E153" s="11" t="str">
        <f>'Q100a-geral'!E1906</f>
        <v>Belo Horizonte</v>
      </c>
      <c r="F153" s="445" t="str">
        <f>'Q100a-geral'!F1906</f>
        <v>acréscimo anual do n.º de paraciclos implantados pela PBH no escopo do programa Pedala BH 
obs.: resultados de 2011-2015 conforme BHTRANS(2016wb); resultados de 2014-2015 confirmados em Demonstrativo de execução das metas físicas da Prefeitura de Belo Horizonte, quais sejam, de 2014 conforme (BH, 2015e, p.270); de 2015 conforme BH(2016k, p.281)</v>
      </c>
      <c r="G153" s="11" t="str">
        <f>'Q100a-geral'!G1906</f>
        <v>registro na fonte</v>
      </c>
      <c r="H153" s="173" t="str">
        <f>'Q100a-geral'!H1906</f>
        <v>x</v>
      </c>
      <c r="I153" s="57">
        <f>'Q100a-geral'!I1906</f>
        <v>1</v>
      </c>
      <c r="J153" s="137" t="str">
        <f>'Q100a-geral'!J1906</f>
        <v>x</v>
      </c>
      <c r="K153" s="137" t="str">
        <f>'Q100a-geral'!K1906</f>
        <v>x</v>
      </c>
      <c r="L153" s="137" t="str">
        <f>'Q100a-geral'!L1906</f>
        <v>x</v>
      </c>
      <c r="M153" s="137" t="str">
        <f>'Q100a-geral'!M1906</f>
        <v>x</v>
      </c>
      <c r="N153" s="137" t="str">
        <f>'Q100a-geral'!N1906</f>
        <v>x</v>
      </c>
      <c r="O153" s="137" t="str">
        <f>'Q100a-geral'!O1906</f>
        <v>x</v>
      </c>
      <c r="P153" s="137" t="str">
        <f>'Q100a-geral'!P1906</f>
        <v>x</v>
      </c>
      <c r="Q153" s="137" t="str">
        <f>'Q100a-geral'!Q1906</f>
        <v>x</v>
      </c>
      <c r="R153" s="137" t="str">
        <f>'Q100a-geral'!R1906</f>
        <v>x</v>
      </c>
      <c r="S153" s="107" t="str">
        <f>'Q100a-geral'!S1906</f>
        <v>só para pesquisa</v>
      </c>
      <c r="T153" s="137" t="str">
        <f>'Q100a-geral'!T1906</f>
        <v>x</v>
      </c>
      <c r="U153" s="137" t="str">
        <f>'Q100a-geral'!U1906</f>
        <v>x</v>
      </c>
      <c r="V153" s="107" t="str">
        <f>'Q100a-geral'!V1906</f>
        <v>só para pesquisa</v>
      </c>
      <c r="W153" s="137" t="str">
        <f>'Q100a-geral'!W1906</f>
        <v>x</v>
      </c>
      <c r="X153" s="137" t="str">
        <f>'Q100a-geral'!X1906</f>
        <v>x</v>
      </c>
      <c r="Y153" s="137" t="str">
        <f>'Q100a-geral'!Y1906</f>
        <v>x</v>
      </c>
      <c r="Z153" s="137" t="str">
        <f>'Q100a-geral'!Z1906</f>
        <v>x</v>
      </c>
      <c r="AA153" s="137" t="str">
        <f>'Q100a-geral'!AA1906</f>
        <v>x</v>
      </c>
      <c r="AB153" s="137" t="str">
        <f>'Q100a-geral'!AB1906</f>
        <v>x</v>
      </c>
      <c r="AC153" s="137" t="str">
        <f>'Q100a-geral'!AC1906</f>
        <v>x</v>
      </c>
      <c r="AD153" s="137" t="str">
        <f>'Q100a-geral'!AD1906</f>
        <v>x</v>
      </c>
      <c r="AE153" s="137" t="str">
        <f>'Q100a-geral'!AE1906</f>
        <v>x</v>
      </c>
      <c r="AF153" s="137" t="str">
        <f>'Q100a-geral'!AF1906</f>
        <v>x</v>
      </c>
      <c r="AG153" s="137" t="e">
        <f>'Q100a-geral'!#REF!</f>
        <v>#REF!</v>
      </c>
      <c r="AH153" s="137" t="e">
        <f>'Q100a-geral'!#REF!</f>
        <v>#REF!</v>
      </c>
      <c r="AI153" s="137" t="e">
        <f>'Q100a-geral'!#REF!</f>
        <v>#REF!</v>
      </c>
      <c r="AJ153" s="88">
        <f>'Q100a-geral'!AJ1906</f>
        <v>69</v>
      </c>
      <c r="AK153" s="137">
        <f>'Q100a-geral'!AK1906</f>
        <v>31</v>
      </c>
      <c r="AL153" s="173" t="str">
        <f>'Q100a-geral'!AL1906</f>
        <v>x</v>
      </c>
      <c r="AM153" s="137" t="str">
        <f>'Q100a-geral'!AM1906</f>
        <v>x</v>
      </c>
      <c r="AN153" s="137" t="str">
        <f>'Q100a-geral'!AN1906</f>
        <v>x</v>
      </c>
      <c r="AO153" s="137" t="str">
        <f>'Q100a-geral'!AO1906</f>
        <v>x</v>
      </c>
      <c r="AP153" s="137" t="str">
        <f>'Q100a-geral'!AP1906</f>
        <v>x</v>
      </c>
      <c r="AQ153" s="137" t="str">
        <f>'Q100a-geral'!AQ1906</f>
        <v>x</v>
      </c>
      <c r="AR153" s="137"/>
      <c r="AS153" s="137"/>
      <c r="AT153" s="137"/>
      <c r="AU153" s="137"/>
      <c r="AV153" s="137" t="str">
        <f>'Q100a-geral'!AV1906</f>
        <v>x</v>
      </c>
      <c r="AW153" s="137"/>
      <c r="AX153" s="137"/>
      <c r="AY153" s="137"/>
      <c r="AZ153" s="137"/>
      <c r="BA153" s="137" t="str">
        <f>'Q100a-geral'!BA1906</f>
        <v>x</v>
      </c>
      <c r="BB153" s="239" t="str">
        <f>'Q100a-geral'!BB1906</f>
        <v>Sistema de bicicletax</v>
      </c>
      <c r="BC153" s="239" t="str">
        <f>'Q100a-geral'!BC1906</f>
        <v>Sistema de bicicletaxx</v>
      </c>
      <c r="BD153" s="239" t="str">
        <f>'Q100a-geral'!BD1906</f>
        <v>Sistema de bicicletax</v>
      </c>
    </row>
    <row r="154" spans="1:67" s="1" customFormat="1" ht="67.5" x14ac:dyDescent="0.25">
      <c r="A154" s="275" t="str">
        <f>'Q100a-geral'!A1907</f>
        <v>6.2</v>
      </c>
      <c r="B154" s="11" t="str">
        <f>'Q100a-geral'!B1907</f>
        <v>Sistema de bicicleta</v>
      </c>
      <c r="C154" s="167" t="str">
        <f>'Q100a-geral'!C1907</f>
        <v>x</v>
      </c>
      <c r="D154" s="322" t="str">
        <f>'Q100a-geral'!D1907</f>
        <v>paraciclo (meta)</v>
      </c>
      <c r="E154" s="11" t="str">
        <f>'Q100a-geral'!E1907</f>
        <v>Belo Horizonte (PBH)</v>
      </c>
      <c r="F154" s="445" t="str">
        <f>'Q100a-geral'!F1907</f>
        <v>meta estabelecida pela PBH para o indicador "paraciclo (delta)"
obs.1: no PPAG 2014-2017, conforme BH(2013a1, p.185), foi prevista a subação "Implantação de bicicletários/paraciclos ", da área de resultado "Cidade com Mobilidade", do programa "Transporte Seguro e Sustentável", da unidade orçamentária "FUNDO MUNICIPAL DE TRANSPORTES URBANOS" (produto: Bicicletário/paraciclo implantado, unidade: unidade, metas anuais de 2014 a 2017)
obs.: meta de 2014 confirmada em BH(2015e, p.270); meta de 2015 confirmada em BH(2016k, p.281)</v>
      </c>
      <c r="G154" s="252" t="str">
        <f>'Q100a-geral'!G1907</f>
        <v>meta PBH</v>
      </c>
      <c r="H154" s="173" t="str">
        <f>'Q100a-geral'!H1907</f>
        <v>meta/RPI</v>
      </c>
      <c r="I154" s="57" t="str">
        <f>'Q100a-geral'!I1907</f>
        <v>x</v>
      </c>
      <c r="J154" s="137" t="str">
        <f>'Q100a-geral'!J1907</f>
        <v>x</v>
      </c>
      <c r="K154" s="137" t="str">
        <f>'Q100a-geral'!K1907</f>
        <v>x</v>
      </c>
      <c r="L154" s="137" t="str">
        <f>'Q100a-geral'!L1907</f>
        <v>x</v>
      </c>
      <c r="M154" s="137" t="str">
        <f>'Q100a-geral'!M1907</f>
        <v>x</v>
      </c>
      <c r="N154" s="137" t="str">
        <f>'Q100a-geral'!N1907</f>
        <v>x</v>
      </c>
      <c r="O154" s="137" t="str">
        <f>'Q100a-geral'!O1907</f>
        <v>x</v>
      </c>
      <c r="P154" s="137" t="str">
        <f>'Q100a-geral'!P1907</f>
        <v>x</v>
      </c>
      <c r="Q154" s="137" t="str">
        <f>'Q100a-geral'!Q1907</f>
        <v>x</v>
      </c>
      <c r="R154" s="137" t="str">
        <f>'Q100a-geral'!R1907</f>
        <v>x</v>
      </c>
      <c r="S154" s="107" t="str">
        <f>'Q100a-geral'!S1907</f>
        <v>só para pesquisa</v>
      </c>
      <c r="T154" s="137" t="str">
        <f>'Q100a-geral'!T1907</f>
        <v>x</v>
      </c>
      <c r="U154" s="137" t="str">
        <f>'Q100a-geral'!U1907</f>
        <v>x</v>
      </c>
      <c r="V154" s="107" t="str">
        <f>'Q100a-geral'!V1907</f>
        <v>só para pesquisa</v>
      </c>
      <c r="W154" s="137" t="str">
        <f>'Q100a-geral'!W1907</f>
        <v>x</v>
      </c>
      <c r="X154" s="137" t="str">
        <f>'Q100a-geral'!X1907</f>
        <v>x</v>
      </c>
      <c r="Y154" s="137" t="str">
        <f>'Q100a-geral'!Y1907</f>
        <v>x</v>
      </c>
      <c r="Z154" s="137" t="str">
        <f>'Q100a-geral'!Z1907</f>
        <v>x</v>
      </c>
      <c r="AA154" s="137" t="str">
        <f>'Q100a-geral'!AA1907</f>
        <v>x</v>
      </c>
      <c r="AB154" s="137" t="str">
        <f>'Q100a-geral'!AB1907</f>
        <v>x</v>
      </c>
      <c r="AC154" s="137" t="str">
        <f>'Q100a-geral'!AC1907</f>
        <v>x</v>
      </c>
      <c r="AD154" s="137" t="str">
        <f>'Q100a-geral'!AD1907</f>
        <v>x</v>
      </c>
      <c r="AE154" s="137" t="str">
        <f>'Q100a-geral'!AE1907</f>
        <v>x</v>
      </c>
      <c r="AF154" s="137" t="str">
        <f>'Q100a-geral'!AF1907</f>
        <v>x</v>
      </c>
      <c r="AG154" s="137" t="str">
        <f>'Q100a-geral'!AG1907</f>
        <v>x</v>
      </c>
      <c r="AH154" s="137" t="str">
        <f>'Q100a-geral'!AH1907</f>
        <v>x</v>
      </c>
      <c r="AI154" s="137" t="str">
        <f>'Q100a-geral'!AI1907</f>
        <v>x</v>
      </c>
      <c r="AJ154" s="88">
        <f>'Q100a-geral'!AJ1907</f>
        <v>25</v>
      </c>
      <c r="AK154" s="88">
        <f>'Q100a-geral'!AK1907</f>
        <v>25</v>
      </c>
      <c r="AL154" s="173" t="str">
        <f>'Q100a-geral'!AL1907</f>
        <v>x</v>
      </c>
      <c r="AM154" s="88">
        <f>'Q100a-geral'!AM1907</f>
        <v>25</v>
      </c>
      <c r="AN154" s="88">
        <f>'Q100a-geral'!AN1907</f>
        <v>25</v>
      </c>
      <c r="AO154" s="137" t="str">
        <f>'Q100a-geral'!AO1907</f>
        <v>x</v>
      </c>
      <c r="AP154" s="137" t="str">
        <f>'Q100a-geral'!AP1907</f>
        <v>x</v>
      </c>
      <c r="AQ154" s="107" t="str">
        <f>'Q100a-geral'!AQ1907</f>
        <v>x</v>
      </c>
      <c r="AR154" s="137" t="str">
        <f>'Q100a-geral'!AR1907</f>
        <v>x</v>
      </c>
      <c r="AS154" s="137" t="str">
        <f>'Q100a-geral'!AS1907</f>
        <v>x</v>
      </c>
      <c r="AT154" s="137" t="str">
        <f>'Q100a-geral'!AT1907</f>
        <v>x</v>
      </c>
      <c r="AU154" s="137" t="str">
        <f>'Q100a-geral'!AU1907</f>
        <v>x</v>
      </c>
      <c r="AV154" s="137" t="str">
        <f>'Q100a-geral'!AV1907</f>
        <v>x</v>
      </c>
      <c r="AW154" s="137"/>
      <c r="AX154" s="137"/>
      <c r="AY154" s="137"/>
      <c r="AZ154" s="137"/>
      <c r="BA154" s="137" t="str">
        <f>'Q100a-geral'!BA1907</f>
        <v>x</v>
      </c>
      <c r="BB154" s="239" t="str">
        <f>'Q100a-geral'!BB1907</f>
        <v>Sistema de bicicletax</v>
      </c>
      <c r="BC154" s="239" t="str">
        <f>'Q100a-geral'!BC1907</f>
        <v>Sistema de bicicletaxmeta/RPI</v>
      </c>
      <c r="BD154" s="239" t="str">
        <f>'Q100a-geral'!BD1907</f>
        <v>Sistema de bicicletameta/RPI</v>
      </c>
    </row>
    <row r="155" spans="1:67" s="1" customFormat="1" ht="48" customHeight="1" x14ac:dyDescent="0.25">
      <c r="A155" s="275" t="str">
        <f>'Q100a-geral'!A1909</f>
        <v>6.2</v>
      </c>
      <c r="B155" s="11" t="str">
        <f>'Q100a-geral'!B1909</f>
        <v>Sistema de bicicleta</v>
      </c>
      <c r="C155" s="167" t="str">
        <f>'Q100a-geral'!C1909</f>
        <v>x</v>
      </c>
      <c r="D155" s="322" t="str">
        <f>'Q100a-geral'!D1909</f>
        <v>paraciclo 
(eficácia)</v>
      </c>
      <c r="E155" s="11" t="str">
        <f>'Q100a-geral'!E1909</f>
        <v>Belo Horizonte (PBH)</v>
      </c>
      <c r="F155" s="445" t="str">
        <f>'Q100a-geral'!F1909</f>
        <v>índice de eficácia do resultado do indicador "paraciclo (delta)" de Belo Horizonte (PBH) em relação à meta estabelecida pela PBH
obs.1: em relatórios da BHTrans e da PBH, pelo menos os consultados pelo SisMob-BH até o ano 2015, os indicadores "paraciclo" têm a denominação de "bicicletário/paraciclo" como se fossem relativos à soma de n.º de bicicletários e n.º de paraciclos mas os resultados devem ser sempre tomados como sendo, apenas, relativos ao n.º de paraciclos
obs.2: resultados da fórmula confirmados em documentos: de 2014 em BH(2015e, p.270); de 2015 em BH(2016k, p.281)
obs.3: observe-se que os resultados foram muito superiores às metas estabebelecidas (+ em 2014 e + em 2015)</v>
      </c>
      <c r="G155" s="11" t="str">
        <f>'Q100a-geral'!G1909</f>
        <v>meta PBH
(Evb acréscimo / EVb meta estabelecida) x 100</v>
      </c>
      <c r="H155" s="173" t="str">
        <f>'Q100a-geral'!H1909</f>
        <v>meta/RPI</v>
      </c>
      <c r="I155" s="57" t="str">
        <f>'Q100a-geral'!I1909</f>
        <v>x</v>
      </c>
      <c r="J155" s="137" t="str">
        <f>'Q100a-geral'!J1909</f>
        <v>x</v>
      </c>
      <c r="K155" s="137" t="str">
        <f>'Q100a-geral'!K1909</f>
        <v>x</v>
      </c>
      <c r="L155" s="137" t="str">
        <f>'Q100a-geral'!L1909</f>
        <v>x</v>
      </c>
      <c r="M155" s="137" t="str">
        <f>'Q100a-geral'!M1909</f>
        <v>x</v>
      </c>
      <c r="N155" s="137" t="str">
        <f>'Q100a-geral'!N1909</f>
        <v>x</v>
      </c>
      <c r="O155" s="137" t="str">
        <f>'Q100a-geral'!O1909</f>
        <v>x</v>
      </c>
      <c r="P155" s="137" t="str">
        <f>'Q100a-geral'!P1909</f>
        <v>x</v>
      </c>
      <c r="Q155" s="137" t="str">
        <f>'Q100a-geral'!Q1909</f>
        <v>x</v>
      </c>
      <c r="R155" s="137" t="str">
        <f>'Q100a-geral'!R1909</f>
        <v>x</v>
      </c>
      <c r="S155" s="107" t="str">
        <f>'Q100a-geral'!S1909</f>
        <v>só para pesquisa</v>
      </c>
      <c r="T155" s="137" t="str">
        <f>'Q100a-geral'!T1909</f>
        <v>x</v>
      </c>
      <c r="U155" s="137" t="str">
        <f>'Q100a-geral'!U1909</f>
        <v>x</v>
      </c>
      <c r="V155" s="107" t="str">
        <f>'Q100a-geral'!V1909</f>
        <v>só para pesquisa</v>
      </c>
      <c r="W155" s="137" t="str">
        <f>'Q100a-geral'!W1909</f>
        <v>x</v>
      </c>
      <c r="X155" s="137" t="str">
        <f>'Q100a-geral'!X1909</f>
        <v>x</v>
      </c>
      <c r="Y155" s="137" t="str">
        <f>'Q100a-geral'!Y1909</f>
        <v>x</v>
      </c>
      <c r="Z155" s="137" t="str">
        <f>'Q100a-geral'!Z1909</f>
        <v>x</v>
      </c>
      <c r="AA155" s="137" t="str">
        <f>'Q100a-geral'!AA1909</f>
        <v>x</v>
      </c>
      <c r="AB155" s="137" t="str">
        <f>'Q100a-geral'!AB1909</f>
        <v>x</v>
      </c>
      <c r="AC155" s="137" t="str">
        <f>'Q100a-geral'!AC1909</f>
        <v>x</v>
      </c>
      <c r="AD155" s="137" t="str">
        <f>'Q100a-geral'!AD1909</f>
        <v>x</v>
      </c>
      <c r="AE155" s="137" t="str">
        <f>'Q100a-geral'!AE1909</f>
        <v>x</v>
      </c>
      <c r="AF155" s="137" t="str">
        <f>'Q100a-geral'!AF1909</f>
        <v>x</v>
      </c>
      <c r="AG155" s="137" t="str">
        <f>'Q100a-geral'!AG1909</f>
        <v>x</v>
      </c>
      <c r="AH155" s="137" t="str">
        <f>'Q100a-geral'!AH1909</f>
        <v>x</v>
      </c>
      <c r="AI155" s="137" t="str">
        <f>'Q100a-geral'!AI1909</f>
        <v>x</v>
      </c>
      <c r="AJ155" s="47">
        <f>'Q100a-geral'!AJ1909</f>
        <v>2.76</v>
      </c>
      <c r="AK155" s="137">
        <f>'Q100a-geral'!AK1909</f>
        <v>1.24</v>
      </c>
      <c r="AL155" s="173" t="str">
        <f>'Q100a-geral'!AL1909</f>
        <v>x</v>
      </c>
      <c r="AM155" s="137" t="str">
        <f>'Q100a-geral'!AM1909</f>
        <v>x</v>
      </c>
      <c r="AN155" s="137" t="str">
        <f>'Q100a-geral'!AN1909</f>
        <v>x</v>
      </c>
      <c r="AO155" s="137" t="str">
        <f>'Q100a-geral'!AO1909</f>
        <v>x</v>
      </c>
      <c r="AP155" s="137" t="str">
        <f>'Q100a-geral'!AP1909</f>
        <v>x</v>
      </c>
      <c r="AQ155" s="107" t="str">
        <f>'Q100a-geral'!AQ1909</f>
        <v>x</v>
      </c>
      <c r="AR155" s="137" t="str">
        <f>'Q100a-geral'!AR277</f>
        <v>x</v>
      </c>
      <c r="AS155" s="137" t="str">
        <f>'Q100a-geral'!AS277</f>
        <v>x</v>
      </c>
      <c r="AT155" s="137" t="str">
        <f>'Q100a-geral'!AT277</f>
        <v>x</v>
      </c>
      <c r="AU155" s="137" t="str">
        <f>'Q100a-geral'!AU277</f>
        <v>x</v>
      </c>
      <c r="AV155" s="137" t="str">
        <f>'Q100a-geral'!AV1909</f>
        <v>x</v>
      </c>
      <c r="AW155" s="137"/>
      <c r="AX155" s="137"/>
      <c r="AY155" s="137"/>
      <c r="AZ155" s="137"/>
      <c r="BA155" s="137" t="str">
        <f>'Q100a-geral'!BA1909</f>
        <v>x</v>
      </c>
      <c r="BB155" s="239" t="str">
        <f>'Q100a-geral'!BB1909</f>
        <v>Sistema de bicicletax</v>
      </c>
      <c r="BC155" s="239" t="str">
        <f>'Q100a-geral'!BC1909</f>
        <v>Sistema de bicicletaxmeta/RPI</v>
      </c>
      <c r="BD155" s="239" t="str">
        <f>'Q100a-geral'!BD1909</f>
        <v>Sistema de bicicletameta/RPI</v>
      </c>
    </row>
    <row r="156" spans="1:67" s="3" customFormat="1" ht="63" customHeight="1" x14ac:dyDescent="0.25">
      <c r="A156" s="275" t="str">
        <f>'Q100a-geral'!A529</f>
        <v>8.4</v>
      </c>
      <c r="B156" s="54" t="str">
        <f>'Q100a-geral'!B529</f>
        <v>Táxi</v>
      </c>
      <c r="C156" s="229" t="str">
        <f>'Q100a-geral'!C529</f>
        <v>x</v>
      </c>
      <c r="D156" s="287" t="str">
        <f>'Q100a-geral'!D529</f>
        <v>condutor auxiliar de táxi</v>
      </c>
      <c r="E156" s="926" t="str">
        <f>'Q100a-geral'!E529</f>
        <v>RMBH</v>
      </c>
      <c r="F156" s="490" t="str">
        <f>'Q100a-geral'!F529</f>
        <v>n.º de motoristas de atividade profissional inscritos no cadastro de condutores auxiliares de táxi organizado e mantido pelo poder público (no caso, a BHTrans) e vinculados ao permissionário de táxi pessoa jurídica ou ao permissionário de táxi pessoa física
obs.: valores de dezembro usados para representar o ano com resultados de 2006-2012 conforme BHTRANS(2013g); de 2013 conforme BHTRANS(2014h) de 2014 conforme BHTRANS(2015a); de 2015 conforme BHTRANS(2016p3)</v>
      </c>
      <c r="G156" s="252" t="str">
        <f>'Q100a-geral'!G529</f>
        <v>registro na fonte</v>
      </c>
      <c r="H156" s="173" t="str">
        <f>'Q100a-geral'!H529</f>
        <v>x</v>
      </c>
      <c r="I156" s="57">
        <f>'Q100a-geral'!I529</f>
        <v>1</v>
      </c>
      <c r="J156" s="93" t="str">
        <f>'Q100a-geral'!J529</f>
        <v>x</v>
      </c>
      <c r="K156" s="84" t="str">
        <f>'Q100a-geral'!K529</f>
        <v>x</v>
      </c>
      <c r="L156" s="84" t="str">
        <f>'Q100a-geral'!L529</f>
        <v>x</v>
      </c>
      <c r="M156" s="84" t="str">
        <f>'Q100a-geral'!M529</f>
        <v>x</v>
      </c>
      <c r="N156" s="84" t="str">
        <f>'Q100a-geral'!N529</f>
        <v>x</v>
      </c>
      <c r="O156" s="84" t="str">
        <f>'Q100a-geral'!O529</f>
        <v>x</v>
      </c>
      <c r="P156" s="84" t="str">
        <f>'Q100a-geral'!P529</f>
        <v>x</v>
      </c>
      <c r="Q156" s="84" t="str">
        <f>'Q100a-geral'!Q529</f>
        <v>x</v>
      </c>
      <c r="R156" s="84" t="str">
        <f>'Q100a-geral'!R529</f>
        <v>x</v>
      </c>
      <c r="S156" s="86" t="str">
        <f>'Q100a-geral'!S529</f>
        <v>só para pesquisa</v>
      </c>
      <c r="T156" s="84" t="str">
        <f>'Q100a-geral'!T529</f>
        <v>x</v>
      </c>
      <c r="U156" s="84" t="str">
        <f>'Q100a-geral'!U529</f>
        <v>x</v>
      </c>
      <c r="V156" s="107" t="str">
        <f>'Q100a-geral'!V529</f>
        <v>só para pesquisa</v>
      </c>
      <c r="W156" s="84" t="str">
        <f>'Q100a-geral'!W529</f>
        <v>x</v>
      </c>
      <c r="X156" s="84" t="str">
        <f>'Q100a-geral'!X529</f>
        <v>x</v>
      </c>
      <c r="Y156" s="84" t="str">
        <f>'Q100a-geral'!Y529</f>
        <v>x</v>
      </c>
      <c r="Z156" s="84" t="str">
        <f>'Q100a-geral'!Z529</f>
        <v>x</v>
      </c>
      <c r="AA156" s="84" t="str">
        <f>'Q100a-geral'!AA529</f>
        <v>x</v>
      </c>
      <c r="AB156" s="86">
        <f>'Q100a-geral'!AB529</f>
        <v>5316</v>
      </c>
      <c r="AC156" s="86">
        <f>'Q100a-geral'!AC529</f>
        <v>5167</v>
      </c>
      <c r="AD156" s="86">
        <f>'Q100a-geral'!AD529</f>
        <v>5106</v>
      </c>
      <c r="AE156" s="86">
        <f>'Q100a-geral'!AE529</f>
        <v>5142</v>
      </c>
      <c r="AF156" s="86">
        <f>'Q100a-geral'!AF529</f>
        <v>5181</v>
      </c>
      <c r="AG156" s="86">
        <f>'Q100a-geral'!AG529</f>
        <v>5279</v>
      </c>
      <c r="AH156" s="86">
        <f>'Q100a-geral'!AH529</f>
        <v>5312</v>
      </c>
      <c r="AI156" s="87">
        <f>'Q100a-geral'!AI529</f>
        <v>5903</v>
      </c>
      <c r="AJ156" s="87">
        <f>'Q100a-geral'!AJ529</f>
        <v>6398</v>
      </c>
      <c r="AK156" s="137">
        <f>'Q100a-geral'!AK529</f>
        <v>6441</v>
      </c>
      <c r="AL156" s="215" t="str">
        <f>'Q100a-geral'!AL529</f>
        <v>x</v>
      </c>
      <c r="AM156" s="137" t="str">
        <f>'Q100a-geral'!AM529</f>
        <v>x</v>
      </c>
      <c r="AN156" s="137" t="str">
        <f>'Q100a-geral'!AN529</f>
        <v>x</v>
      </c>
      <c r="AO156" s="137" t="str">
        <f>'Q100a-geral'!AO529</f>
        <v>x</v>
      </c>
      <c r="AP156" s="137" t="str">
        <f>'Q100a-geral'!AP529</f>
        <v>x</v>
      </c>
      <c r="AQ156" s="137" t="str">
        <f>'Q100a-geral'!AQ529</f>
        <v>x</v>
      </c>
      <c r="AR156" s="137"/>
      <c r="AS156" s="137"/>
      <c r="AT156" s="137"/>
      <c r="AU156" s="137"/>
      <c r="AV156" s="137" t="str">
        <f>'Q100a-geral'!AV529</f>
        <v>x</v>
      </c>
      <c r="AW156" s="137"/>
      <c r="AX156" s="137"/>
      <c r="AY156" s="137"/>
      <c r="AZ156" s="137"/>
      <c r="BA156" s="137" t="str">
        <f>'Q100a-geral'!BA529</f>
        <v>x</v>
      </c>
      <c r="BB156" s="239" t="str">
        <f>'Q100a-geral'!BB529</f>
        <v>Táxix</v>
      </c>
      <c r="BC156" s="239" t="str">
        <f>'Q100a-geral'!BC529</f>
        <v>Táxixx</v>
      </c>
      <c r="BD156" s="239" t="str">
        <f>'Q100a-geral'!BD529</f>
        <v>Táxix</v>
      </c>
      <c r="BM156" s="8"/>
      <c r="BN156" s="8"/>
      <c r="BO156" s="8"/>
    </row>
    <row r="157" spans="1:67" ht="74.25" customHeight="1" x14ac:dyDescent="0.25">
      <c r="A157" s="275" t="str">
        <f>'Q100a-geral'!A536</f>
        <v>9.6</v>
      </c>
      <c r="B157" s="54" t="str">
        <f>'Q100a-geral'!B536</f>
        <v>Velocidades e volumes</v>
      </c>
      <c r="C157" s="229" t="str">
        <f>'Q100a-geral'!C536</f>
        <v>x</v>
      </c>
      <c r="D157" s="322" t="str">
        <f>'Q100a-geral'!D536</f>
        <v>congestiona-mento e saturação
(meta)</v>
      </c>
      <c r="E157" s="11" t="str">
        <f>'Q100a-geral'!E536</f>
        <v>Belo Horizonte</v>
      </c>
      <c r="F157" s="448" t="str">
        <f>'Q100a-geral'!F536</f>
        <v>em 2010: "Reduzir o índice de congestionamentos e saturação nas principais vias de Belo Horizonte, em relação ao cenário tendencial, em 6% em 2014 e em 52% em 2020" (BHTRANS, 2010a, p.25)
em 2013: "Reduzir o índice de congestionamentos e saturação, nas principais vias de Belo Horizonte, em relação ao cenário tendencial, em 28% em 2016 e em 52% em 2020" (BHTRANS, 2013a, p.23)</v>
      </c>
      <c r="G157" s="5" t="str">
        <f>'Q100a-geral'!G536</f>
        <v>meta BHTrans</v>
      </c>
      <c r="H157" s="173" t="str">
        <f>'Q100a-geral'!H536</f>
        <v>meta/RPI</v>
      </c>
      <c r="I157" s="167" t="str">
        <f>'Q100a-geral'!I536</f>
        <v>x</v>
      </c>
      <c r="J157" s="137" t="str">
        <f>'Q100a-geral'!J536</f>
        <v>x</v>
      </c>
      <c r="K157" s="137" t="str">
        <f>'Q100a-geral'!K536</f>
        <v>x</v>
      </c>
      <c r="L157" s="137" t="str">
        <f>'Q100a-geral'!L536</f>
        <v>x</v>
      </c>
      <c r="M157" s="137" t="str">
        <f>'Q100a-geral'!M536</f>
        <v>x</v>
      </c>
      <c r="N157" s="137" t="str">
        <f>'Q100a-geral'!N536</f>
        <v>x</v>
      </c>
      <c r="O157" s="137" t="str">
        <f>'Q100a-geral'!O536</f>
        <v>x</v>
      </c>
      <c r="P157" s="137" t="str">
        <f>'Q100a-geral'!P536</f>
        <v>x</v>
      </c>
      <c r="Q157" s="137" t="str">
        <f>'Q100a-geral'!Q536</f>
        <v>x</v>
      </c>
      <c r="R157" s="137" t="str">
        <f>'Q100a-geral'!R536</f>
        <v>x</v>
      </c>
      <c r="S157" s="107" t="str">
        <f>'Q100a-geral'!S536</f>
        <v>só para pesquisa</v>
      </c>
      <c r="T157" s="137" t="str">
        <f>'Q100a-geral'!T536</f>
        <v>x</v>
      </c>
      <c r="U157" s="137" t="str">
        <f>'Q100a-geral'!U536</f>
        <v>x</v>
      </c>
      <c r="V157" s="107" t="str">
        <f>'Q100a-geral'!V536</f>
        <v>só para pesquisa</v>
      </c>
      <c r="W157" s="137" t="str">
        <f>'Q100a-geral'!W536</f>
        <v>x</v>
      </c>
      <c r="X157" s="137" t="str">
        <f>'Q100a-geral'!X536</f>
        <v>x</v>
      </c>
      <c r="Y157" s="137" t="str">
        <f>'Q100a-geral'!Y536</f>
        <v>x</v>
      </c>
      <c r="Z157" s="137" t="str">
        <f>'Q100a-geral'!Z536</f>
        <v>x</v>
      </c>
      <c r="AA157" s="137" t="str">
        <f>'Q100a-geral'!AA536</f>
        <v>x</v>
      </c>
      <c r="AB157" s="137" t="str">
        <f>'Q100a-geral'!AB536</f>
        <v>x</v>
      </c>
      <c r="AC157" s="137" t="str">
        <f>'Q100a-geral'!AC536</f>
        <v>x</v>
      </c>
      <c r="AD157" s="137" t="str">
        <f>'Q100a-geral'!AD536</f>
        <v>x</v>
      </c>
      <c r="AE157" s="137" t="str">
        <f>'Q100a-geral'!AE536</f>
        <v>x</v>
      </c>
      <c r="AF157" s="137" t="str">
        <f>'Q100a-geral'!AF536</f>
        <v>x</v>
      </c>
      <c r="AG157" s="137" t="str">
        <f>'Q100a-geral'!AG536</f>
        <v>x</v>
      </c>
      <c r="AH157" s="137" t="str">
        <f>'Q100a-geral'!AH536</f>
        <v>x</v>
      </c>
      <c r="AI157" s="137" t="str">
        <f>'Q100a-geral'!AI536</f>
        <v>x</v>
      </c>
      <c r="AJ157" s="137" t="str">
        <f>'Q100a-geral'!AJ536</f>
        <v>em 2010=6%
em 2013=x</v>
      </c>
      <c r="AK157" s="137" t="str">
        <f>'Q100a-geral'!AK536</f>
        <v>x</v>
      </c>
      <c r="AL157" s="157" t="str">
        <f>'Q100a-geral'!AL536</f>
        <v>x</v>
      </c>
      <c r="AM157" s="95" t="str">
        <f>'Q100a-geral'!AM536</f>
        <v>em 2013=28%</v>
      </c>
      <c r="AN157" s="137" t="str">
        <f>'Q100a-geral'!AN536</f>
        <v>x</v>
      </c>
      <c r="AO157" s="137" t="str">
        <f>'Q100a-geral'!AO536</f>
        <v>x</v>
      </c>
      <c r="AP157" s="137" t="str">
        <f>'Q100a-geral'!AP536</f>
        <v>x</v>
      </c>
      <c r="AQ157" s="174" t="str">
        <f>'Q100a-geral'!AQ536</f>
        <v>em 2010 e 2013=52%</v>
      </c>
      <c r="AR157" s="137" t="str">
        <f>'Q100a-geral'!AR280</f>
        <v>x</v>
      </c>
      <c r="AS157" s="137" t="str">
        <f>'Q100a-geral'!AS280</f>
        <v>x</v>
      </c>
      <c r="AT157" s="137" t="str">
        <f>'Q100a-geral'!AT280</f>
        <v>x</v>
      </c>
      <c r="AU157" s="137" t="str">
        <f>'Q100a-geral'!AU280</f>
        <v>x</v>
      </c>
      <c r="AV157" s="137" t="str">
        <f>'Q100a-geral'!AV536</f>
        <v>x</v>
      </c>
      <c r="AW157" s="137"/>
      <c r="AX157" s="137"/>
      <c r="AY157" s="137"/>
      <c r="AZ157" s="137"/>
      <c r="BA157" s="137" t="str">
        <f>'Q100a-geral'!BA536</f>
        <v>x</v>
      </c>
      <c r="BB157" s="239" t="str">
        <f>'Q100a-geral'!BB536</f>
        <v>Velocidades e volumesx</v>
      </c>
      <c r="BC157" s="239" t="str">
        <f>'Q100a-geral'!BC536</f>
        <v>Velocidades e volumesxmeta/RPI</v>
      </c>
      <c r="BD157" s="239" t="str">
        <f>'Q100a-geral'!BD536</f>
        <v>Velocidades e volumesmeta/RPI</v>
      </c>
    </row>
    <row r="158" spans="1:67" ht="25.5" x14ac:dyDescent="0.25">
      <c r="A158" s="275" t="str">
        <f>'Q100a-geral'!A554</f>
        <v>9.2</v>
      </c>
      <c r="B158" s="53" t="str">
        <f>'Q100a-geral'!B554</f>
        <v>Estacionamento</v>
      </c>
      <c r="C158" s="230" t="str">
        <f>'Q100a-geral'!C554</f>
        <v>x</v>
      </c>
      <c r="D158" s="287" t="str">
        <f>'Q100a-geral'!D554</f>
        <v>CREd</v>
      </c>
      <c r="E158" s="1313" t="str">
        <f>'Q100a-geral'!E554</f>
        <v>Belo Horizonte</v>
      </c>
      <c r="F158" s="490" t="str">
        <f>'Q100a-geral'!F554</f>
        <v>n.º de credenciais para utilização de estacionamento reservado por pessoa com deficiência</v>
      </c>
      <c r="G158" s="14" t="str">
        <f>'Q100a-geral'!G554</f>
        <v>CRE df + CRE dv</v>
      </c>
      <c r="H158" s="168" t="str">
        <f>'Q100a-geral'!H554</f>
        <v>x</v>
      </c>
      <c r="I158" s="57">
        <f>'Q100a-geral'!I554</f>
        <v>1</v>
      </c>
      <c r="J158" s="107" t="str">
        <f>'Q100a-geral'!J554</f>
        <v>x</v>
      </c>
      <c r="K158" s="137" t="str">
        <f>'Q100a-geral'!K554</f>
        <v>x</v>
      </c>
      <c r="L158" s="137" t="str">
        <f>'Q100a-geral'!L554</f>
        <v>x</v>
      </c>
      <c r="M158" s="137" t="str">
        <f>'Q100a-geral'!M554</f>
        <v>x</v>
      </c>
      <c r="N158" s="137" t="str">
        <f>'Q100a-geral'!N554</f>
        <v>x</v>
      </c>
      <c r="O158" s="137" t="str">
        <f>'Q100a-geral'!O554</f>
        <v>x</v>
      </c>
      <c r="P158" s="137" t="str">
        <f>'Q100a-geral'!P554</f>
        <v>x</v>
      </c>
      <c r="Q158" s="137" t="str">
        <f>'Q100a-geral'!Q554</f>
        <v>x</v>
      </c>
      <c r="R158" s="137" t="str">
        <f>'Q100a-geral'!R554</f>
        <v>x</v>
      </c>
      <c r="S158" s="649" t="str">
        <f>'Q100a-geral'!S554</f>
        <v>só para pesquisa</v>
      </c>
      <c r="T158" s="108" t="str">
        <f>'Q100a-geral'!T554</f>
        <v>x</v>
      </c>
      <c r="U158" s="108" t="str">
        <f>'Q100a-geral'!U554</f>
        <v>x</v>
      </c>
      <c r="V158" s="107" t="str">
        <f>'Q100a-geral'!V554</f>
        <v>só para pesquisa</v>
      </c>
      <c r="W158" s="20" t="str">
        <f>'Q100a-geral'!W554</f>
        <v>x</v>
      </c>
      <c r="X158" s="143"/>
      <c r="Y158" s="20">
        <f>'Q100a-geral'!Y554</f>
        <v>351</v>
      </c>
      <c r="Z158" s="20">
        <f>'Q100a-geral'!Z554</f>
        <v>723</v>
      </c>
      <c r="AA158" s="20">
        <f>'Q100a-geral'!AA554</f>
        <v>1018</v>
      </c>
      <c r="AB158" s="20">
        <f>'Q100a-geral'!AB554</f>
        <v>1207</v>
      </c>
      <c r="AC158" s="20">
        <f>'Q100a-geral'!AC554</f>
        <v>1437</v>
      </c>
      <c r="AD158" s="20">
        <f>'Q100a-geral'!AD554</f>
        <v>1677</v>
      </c>
      <c r="AE158" s="20">
        <f>'Q100a-geral'!AE554</f>
        <v>1892</v>
      </c>
      <c r="AF158" s="20">
        <f>'Q100a-geral'!AF554</f>
        <v>2304</v>
      </c>
      <c r="AG158" s="20">
        <f>'Q100a-geral'!AG554</f>
        <v>2630</v>
      </c>
      <c r="AH158" s="20">
        <f>'Q100a-geral'!AH554</f>
        <v>2967</v>
      </c>
      <c r="AI158" s="20">
        <f>'Q100a-geral'!AI554</f>
        <v>3382</v>
      </c>
      <c r="AJ158" s="20">
        <f>'Q100a-geral'!AJ554</f>
        <v>3764</v>
      </c>
      <c r="AK158" s="20">
        <f>'Q100a-geral'!AK554</f>
        <v>4216</v>
      </c>
      <c r="AL158" s="212" t="str">
        <f>'Q100a-geral'!AL554</f>
        <v>x</v>
      </c>
      <c r="AM158" s="137" t="str">
        <f>'Q100a-geral'!AM554</f>
        <v>x</v>
      </c>
      <c r="AN158" s="137" t="str">
        <f>'Q100a-geral'!AN554</f>
        <v>x</v>
      </c>
      <c r="AO158" s="137" t="str">
        <f>'Q100a-geral'!AO554</f>
        <v>x</v>
      </c>
      <c r="AP158" s="137" t="str">
        <f>'Q100a-geral'!AP554</f>
        <v>x</v>
      </c>
      <c r="AQ158" s="137" t="str">
        <f>'Q100a-geral'!AQ554</f>
        <v>x</v>
      </c>
      <c r="AR158" s="137"/>
      <c r="AS158" s="137"/>
      <c r="AT158" s="137"/>
      <c r="AU158" s="137"/>
      <c r="AV158" s="137" t="str">
        <f>'Q100a-geral'!AV554</f>
        <v>x</v>
      </c>
      <c r="AW158" s="137"/>
      <c r="AX158" s="137"/>
      <c r="AY158" s="137"/>
      <c r="AZ158" s="137"/>
      <c r="BA158" s="137" t="str">
        <f>'Q100a-geral'!BA554</f>
        <v>x</v>
      </c>
      <c r="BB158" s="239" t="str">
        <f>'Q100a-geral'!BB554</f>
        <v>Estacionamentox</v>
      </c>
      <c r="BC158" s="239" t="str">
        <f>'Q100a-geral'!BC554</f>
        <v>Estacionamentoxx</v>
      </c>
      <c r="BD158" s="239" t="str">
        <f>'Q100a-geral'!BD554</f>
        <v>Estacionamentox</v>
      </c>
    </row>
    <row r="159" spans="1:67" ht="25.5" customHeight="1" x14ac:dyDescent="0.25">
      <c r="A159" s="275" t="str">
        <f>'Q100a-geral'!A555</f>
        <v>9.2</v>
      </c>
      <c r="B159" s="53" t="str">
        <f>'Q100a-geral'!B555</f>
        <v>Estacionamento</v>
      </c>
      <c r="C159" s="230" t="str">
        <f>'Q100a-geral'!C555</f>
        <v>x</v>
      </c>
      <c r="D159" s="287" t="str">
        <f>'Q100a-geral'!D555</f>
        <v>CREd por RLvfd</v>
      </c>
      <c r="E159" s="964" t="str">
        <f>'Q100a-geral'!E555</f>
        <v>Belo Horizonte</v>
      </c>
      <c r="F159" s="490" t="str">
        <f>'Q100a-geral'!F555</f>
        <v xml:space="preserve">n.º de credenciais para pessoa com deficiência para cada vaga física reservada para uso exclusivo de pessoa com deficiência </v>
      </c>
      <c r="G159" s="14" t="str">
        <f>'Q100a-geral'!G555</f>
        <v>CREd / RLvfd</v>
      </c>
      <c r="H159" s="168" t="str">
        <f>'Q100a-geral'!H555</f>
        <v>x</v>
      </c>
      <c r="I159" s="57">
        <f>'Q100a-geral'!I555</f>
        <v>1</v>
      </c>
      <c r="J159" s="107" t="str">
        <f>'Q100a-geral'!J555</f>
        <v>x</v>
      </c>
      <c r="K159" s="137" t="str">
        <f>'Q100a-geral'!K555</f>
        <v>x</v>
      </c>
      <c r="L159" s="137" t="str">
        <f>'Q100a-geral'!L555</f>
        <v>x</v>
      </c>
      <c r="M159" s="137" t="str">
        <f>'Q100a-geral'!M555</f>
        <v>x</v>
      </c>
      <c r="N159" s="137" t="str">
        <f>'Q100a-geral'!N555</f>
        <v>x</v>
      </c>
      <c r="O159" s="137" t="str">
        <f>'Q100a-geral'!O555</f>
        <v>x</v>
      </c>
      <c r="P159" s="137" t="str">
        <f>'Q100a-geral'!P555</f>
        <v>x</v>
      </c>
      <c r="Q159" s="137" t="str">
        <f>'Q100a-geral'!Q555</f>
        <v>x</v>
      </c>
      <c r="R159" s="137" t="str">
        <f>'Q100a-geral'!R555</f>
        <v>x</v>
      </c>
      <c r="S159" s="649" t="str">
        <f>'Q100a-geral'!S555</f>
        <v>só para pesquisa</v>
      </c>
      <c r="T159" s="108" t="str">
        <f>'Q100a-geral'!T555</f>
        <v>x</v>
      </c>
      <c r="U159" s="108" t="str">
        <f>'Q100a-geral'!U555</f>
        <v>x</v>
      </c>
      <c r="V159" s="107" t="str">
        <f>'Q100a-geral'!V555</f>
        <v>só para pesquisa</v>
      </c>
      <c r="W159" s="20" t="str">
        <f>'Q100a-geral'!W555</f>
        <v>x</v>
      </c>
      <c r="X159" s="20" t="str">
        <f>'Q100a-geral'!X555</f>
        <v>x</v>
      </c>
      <c r="Y159" s="22">
        <f>'Q100a-geral'!Y555</f>
        <v>1.0233236151603498</v>
      </c>
      <c r="Z159" s="22">
        <f>'Q100a-geral'!Z555</f>
        <v>1.412109375</v>
      </c>
      <c r="AA159" s="22">
        <f>'Q100a-geral'!AA555</f>
        <v>1.9135338345864661</v>
      </c>
      <c r="AB159" s="22">
        <f>'Q100a-geral'!AB555</f>
        <v>2.2602996254681647</v>
      </c>
      <c r="AC159" s="22">
        <f>'Q100a-geral'!AC555</f>
        <v>2.6318681318681318</v>
      </c>
      <c r="AD159" s="22">
        <f>'Q100a-geral'!AD555</f>
        <v>3.0325497287522603</v>
      </c>
      <c r="AE159" s="22">
        <f>'Q100a-geral'!AE555</f>
        <v>3.2847222222222223</v>
      </c>
      <c r="AF159" s="22">
        <f>'Q100a-geral'!AF555</f>
        <v>3.7832512315270934</v>
      </c>
      <c r="AG159" s="22">
        <f>'Q100a-geral'!AG555</f>
        <v>4.046153846153846</v>
      </c>
      <c r="AH159" s="22">
        <f>'Q100a-geral'!AH555</f>
        <v>4.2204836415362728</v>
      </c>
      <c r="AI159" s="22">
        <f>'Q100a-geral'!AI555</f>
        <v>4.6202185792349724</v>
      </c>
      <c r="AJ159" s="22">
        <f>'Q100a-geral'!AJ555</f>
        <v>4.8630490956072352</v>
      </c>
      <c r="AK159" s="22">
        <f>'Q100a-geral'!AK555</f>
        <v>5.019047619047619</v>
      </c>
      <c r="AL159" s="212" t="str">
        <f>'Q100a-geral'!AL555</f>
        <v>x</v>
      </c>
      <c r="AM159" s="137" t="str">
        <f>'Q100a-geral'!AM555</f>
        <v>x</v>
      </c>
      <c r="AN159" s="137" t="str">
        <f>'Q100a-geral'!AN555</f>
        <v>x</v>
      </c>
      <c r="AO159" s="137" t="str">
        <f>'Q100a-geral'!AO555</f>
        <v>x</v>
      </c>
      <c r="AP159" s="137" t="str">
        <f>'Q100a-geral'!AP555</f>
        <v>x</v>
      </c>
      <c r="AQ159" s="137" t="str">
        <f>'Q100a-geral'!AQ555</f>
        <v>x</v>
      </c>
      <c r="AR159" s="137"/>
      <c r="AS159" s="137"/>
      <c r="AT159" s="137"/>
      <c r="AU159" s="137"/>
      <c r="AV159" s="137" t="str">
        <f>'Q100a-geral'!AV555</f>
        <v>x</v>
      </c>
      <c r="AW159" s="137"/>
      <c r="AX159" s="137"/>
      <c r="AY159" s="137"/>
      <c r="AZ159" s="137"/>
      <c r="BA159" s="137" t="str">
        <f>'Q100a-geral'!BA555</f>
        <v>x</v>
      </c>
      <c r="BB159" s="239" t="str">
        <f>'Q100a-geral'!BB555</f>
        <v>Estacionamentox</v>
      </c>
      <c r="BC159" s="239" t="str">
        <f>'Q100a-geral'!BC555</f>
        <v>Estacionamentoxx</v>
      </c>
      <c r="BD159" s="239" t="str">
        <f>'Q100a-geral'!BD555</f>
        <v>Estacionamentox</v>
      </c>
    </row>
    <row r="160" spans="1:67" ht="25.5" customHeight="1" x14ac:dyDescent="0.25">
      <c r="A160" s="275" t="str">
        <f>'Q100a-geral'!A556</f>
        <v>9.2</v>
      </c>
      <c r="B160" s="53" t="str">
        <f>'Q100a-geral'!B556</f>
        <v>Estacionamento</v>
      </c>
      <c r="C160" s="230" t="str">
        <f>'Q100a-geral'!C556</f>
        <v>x</v>
      </c>
      <c r="D160" s="322" t="str">
        <f>'Q100a-geral'!D556</f>
        <v>CRE df</v>
      </c>
      <c r="E160" s="11" t="str">
        <f>'Q100a-geral'!E556</f>
        <v>Belo Horizonte</v>
      </c>
      <c r="F160" s="447" t="str">
        <f>'Q100a-geral'!F556</f>
        <v>n.º de credenciais para utilização de estacionamento reservado por pessoa com deficiência física
obs.: resultados de 2003-2014 conforme BHTRANS(2015j); de 2015 conforme BHTRANS(2016w, p.45)</v>
      </c>
      <c r="G160" s="252" t="str">
        <f>'Q100a-geral'!G556</f>
        <v>registro na fonte</v>
      </c>
      <c r="H160" s="168" t="str">
        <f>'Q100a-geral'!H556</f>
        <v>x</v>
      </c>
      <c r="I160" s="57">
        <f>'Q100a-geral'!I556</f>
        <v>1</v>
      </c>
      <c r="J160" s="107" t="str">
        <f>'Q100a-geral'!J556</f>
        <v>x</v>
      </c>
      <c r="K160" s="137" t="str">
        <f>'Q100a-geral'!K556</f>
        <v>x</v>
      </c>
      <c r="L160" s="137" t="str">
        <f>'Q100a-geral'!L556</f>
        <v>x</v>
      </c>
      <c r="M160" s="137" t="str">
        <f>'Q100a-geral'!M556</f>
        <v>x</v>
      </c>
      <c r="N160" s="137" t="str">
        <f>'Q100a-geral'!N556</f>
        <v>x</v>
      </c>
      <c r="O160" s="137" t="str">
        <f>'Q100a-geral'!O556</f>
        <v>x</v>
      </c>
      <c r="P160" s="137" t="str">
        <f>'Q100a-geral'!P556</f>
        <v>x</v>
      </c>
      <c r="Q160" s="137" t="str">
        <f>'Q100a-geral'!Q556</f>
        <v>x</v>
      </c>
      <c r="R160" s="137" t="str">
        <f>'Q100a-geral'!R556</f>
        <v>x</v>
      </c>
      <c r="S160" s="649" t="str">
        <f>'Q100a-geral'!S556</f>
        <v>só para pesquisa</v>
      </c>
      <c r="T160" s="108" t="str">
        <f>'Q100a-geral'!T556</f>
        <v>x</v>
      </c>
      <c r="U160" s="108" t="str">
        <f>'Q100a-geral'!U556</f>
        <v>x</v>
      </c>
      <c r="V160" s="107" t="str">
        <f>'Q100a-geral'!V556</f>
        <v>só para pesquisa</v>
      </c>
      <c r="W160" s="87" t="str">
        <f>'Q100a-geral'!W556</f>
        <v>x</v>
      </c>
      <c r="X160" s="87" t="str">
        <f>'Q100a-geral'!X556</f>
        <v>não encontrado</v>
      </c>
      <c r="Y160" s="87">
        <f>'Q100a-geral'!Y556</f>
        <v>351</v>
      </c>
      <c r="Z160" s="87">
        <f>'Q100a-geral'!Z556</f>
        <v>723</v>
      </c>
      <c r="AA160" s="87">
        <f>'Q100a-geral'!AA556</f>
        <v>1018</v>
      </c>
      <c r="AB160" s="87">
        <f>'Q100a-geral'!AB556</f>
        <v>1207</v>
      </c>
      <c r="AC160" s="87">
        <f>'Q100a-geral'!AC556</f>
        <v>1437</v>
      </c>
      <c r="AD160" s="87">
        <f>'Q100a-geral'!AD556</f>
        <v>1677</v>
      </c>
      <c r="AE160" s="87">
        <f>'Q100a-geral'!AE556</f>
        <v>1892</v>
      </c>
      <c r="AF160" s="87">
        <f>'Q100a-geral'!AF556</f>
        <v>2298</v>
      </c>
      <c r="AG160" s="87">
        <f>'Q100a-geral'!AG556</f>
        <v>2619</v>
      </c>
      <c r="AH160" s="87">
        <f>'Q100a-geral'!AH556</f>
        <v>2946</v>
      </c>
      <c r="AI160" s="87">
        <f>'Q100a-geral'!AI556</f>
        <v>3353</v>
      </c>
      <c r="AJ160" s="87">
        <f>'Q100a-geral'!AJ556</f>
        <v>3708</v>
      </c>
      <c r="AK160" s="87">
        <f>'Q100a-geral'!AK556</f>
        <v>4149</v>
      </c>
      <c r="AL160" s="212" t="str">
        <f>'Q100a-geral'!AL556</f>
        <v>x</v>
      </c>
      <c r="AM160" s="137" t="str">
        <f>'Q100a-geral'!AM556</f>
        <v>x</v>
      </c>
      <c r="AN160" s="137" t="str">
        <f>'Q100a-geral'!AN556</f>
        <v>x</v>
      </c>
      <c r="AO160" s="137" t="str">
        <f>'Q100a-geral'!AO556</f>
        <v>x</v>
      </c>
      <c r="AP160" s="137" t="str">
        <f>'Q100a-geral'!AP556</f>
        <v>x</v>
      </c>
      <c r="AQ160" s="137" t="str">
        <f>'Q100a-geral'!AQ556</f>
        <v>x</v>
      </c>
      <c r="AR160" s="137"/>
      <c r="AS160" s="137"/>
      <c r="AT160" s="137"/>
      <c r="AU160" s="137"/>
      <c r="AV160" s="137" t="str">
        <f>'Q100a-geral'!AV556</f>
        <v>x</v>
      </c>
      <c r="AW160" s="137"/>
      <c r="AX160" s="137"/>
      <c r="AY160" s="137"/>
      <c r="AZ160" s="137"/>
      <c r="BA160" s="137" t="str">
        <f>'Q100a-geral'!BA556</f>
        <v>x</v>
      </c>
      <c r="BB160" s="239" t="str">
        <f>'Q100a-geral'!BB556</f>
        <v>Estacionamentox</v>
      </c>
      <c r="BC160" s="239" t="str">
        <f>'Q100a-geral'!BC556</f>
        <v>Estacionamentoxx</v>
      </c>
      <c r="BD160" s="239" t="str">
        <f>'Q100a-geral'!BD556</f>
        <v>Estacionamentox</v>
      </c>
    </row>
    <row r="161" spans="1:58" ht="25.5" customHeight="1" x14ac:dyDescent="0.25">
      <c r="A161" s="275" t="str">
        <f>'Q100a-geral'!A557</f>
        <v>9.2</v>
      </c>
      <c r="B161" s="53" t="str">
        <f>'Q100a-geral'!B557</f>
        <v>Estacionamento</v>
      </c>
      <c r="C161" s="230" t="str">
        <f>'Q100a-geral'!C557</f>
        <v>x</v>
      </c>
      <c r="D161" s="287" t="str">
        <f>'Q100a-geral'!D557</f>
        <v>CREdi</v>
      </c>
      <c r="E161" s="964" t="str">
        <f>'Q100a-geral'!E557</f>
        <v>Belo Horizonte</v>
      </c>
      <c r="F161" s="490" t="str">
        <f>'Q100a-geral'!F557</f>
        <v>n.º de credenciais para utilização de estacionamento reservado por pessoa com deficiência ou por idoso</v>
      </c>
      <c r="G161" s="14" t="str">
        <f>'Q100a-geral'!G557</f>
        <v>CREd + CREi</v>
      </c>
      <c r="H161" s="168" t="str">
        <f>'Q100a-geral'!H557</f>
        <v>x</v>
      </c>
      <c r="I161" s="57">
        <f>'Q100a-geral'!I557</f>
        <v>1</v>
      </c>
      <c r="J161" s="107" t="str">
        <f>'Q100a-geral'!J557</f>
        <v>x</v>
      </c>
      <c r="K161" s="137" t="str">
        <f>'Q100a-geral'!K557</f>
        <v>x</v>
      </c>
      <c r="L161" s="137" t="str">
        <f>'Q100a-geral'!L557</f>
        <v>x</v>
      </c>
      <c r="M161" s="137" t="str">
        <f>'Q100a-geral'!M557</f>
        <v>x</v>
      </c>
      <c r="N161" s="137" t="str">
        <f>'Q100a-geral'!N557</f>
        <v>x</v>
      </c>
      <c r="O161" s="137" t="str">
        <f>'Q100a-geral'!O557</f>
        <v>x</v>
      </c>
      <c r="P161" s="137" t="str">
        <f>'Q100a-geral'!P557</f>
        <v>x</v>
      </c>
      <c r="Q161" s="137" t="str">
        <f>'Q100a-geral'!Q557</f>
        <v>x</v>
      </c>
      <c r="R161" s="137" t="str">
        <f>'Q100a-geral'!R557</f>
        <v>x</v>
      </c>
      <c r="S161" s="649" t="str">
        <f>'Q100a-geral'!S557</f>
        <v>só para pesquisa</v>
      </c>
      <c r="T161" s="108" t="str">
        <f>'Q100a-geral'!T557</f>
        <v>x</v>
      </c>
      <c r="U161" s="108" t="str">
        <f>'Q100a-geral'!U557</f>
        <v>x</v>
      </c>
      <c r="V161" s="107" t="str">
        <f>'Q100a-geral'!V557</f>
        <v>só para pesquisa</v>
      </c>
      <c r="W161" s="20" t="str">
        <f>'Q100a-geral'!W557</f>
        <v>x</v>
      </c>
      <c r="X161" s="143"/>
      <c r="Y161" s="20">
        <f>'Q100a-geral'!Y557</f>
        <v>351</v>
      </c>
      <c r="Z161" s="20">
        <f>'Q100a-geral'!Z557</f>
        <v>723</v>
      </c>
      <c r="AA161" s="20">
        <f>'Q100a-geral'!AA557</f>
        <v>1018</v>
      </c>
      <c r="AB161" s="20">
        <f>'Q100a-geral'!AB557</f>
        <v>1207</v>
      </c>
      <c r="AC161" s="20">
        <f>'Q100a-geral'!AC557</f>
        <v>1437</v>
      </c>
      <c r="AD161" s="20">
        <f>'Q100a-geral'!AD557</f>
        <v>1677</v>
      </c>
      <c r="AE161" s="20">
        <f>'Q100a-geral'!AE557</f>
        <v>1896</v>
      </c>
      <c r="AF161" s="20">
        <f>'Q100a-geral'!AF557</f>
        <v>4353</v>
      </c>
      <c r="AG161" s="20">
        <f>'Q100a-geral'!AG557</f>
        <v>5654</v>
      </c>
      <c r="AH161" s="20">
        <f>'Q100a-geral'!AH557</f>
        <v>8226</v>
      </c>
      <c r="AI161" s="20">
        <f>'Q100a-geral'!AI557</f>
        <v>12050</v>
      </c>
      <c r="AJ161" s="20">
        <f>'Q100a-geral'!AJ557</f>
        <v>16099</v>
      </c>
      <c r="AK161" s="20">
        <f>'Q100a-geral'!AK557</f>
        <v>24180</v>
      </c>
      <c r="AL161" s="212" t="str">
        <f>'Q100a-geral'!AL557</f>
        <v>x</v>
      </c>
      <c r="AM161" s="137" t="str">
        <f>'Q100a-geral'!AM557</f>
        <v>x</v>
      </c>
      <c r="AN161" s="137" t="str">
        <f>'Q100a-geral'!AN557</f>
        <v>x</v>
      </c>
      <c r="AO161" s="137" t="str">
        <f>'Q100a-geral'!AO557</f>
        <v>x</v>
      </c>
      <c r="AP161" s="137" t="str">
        <f>'Q100a-geral'!AP557</f>
        <v>x</v>
      </c>
      <c r="AQ161" s="137" t="str">
        <f>'Q100a-geral'!AQ557</f>
        <v>x</v>
      </c>
      <c r="AR161" s="137"/>
      <c r="AS161" s="137"/>
      <c r="AT161" s="137"/>
      <c r="AU161" s="137"/>
      <c r="AV161" s="137" t="str">
        <f>'Q100a-geral'!AV557</f>
        <v>x</v>
      </c>
      <c r="AW161" s="137"/>
      <c r="AX161" s="137"/>
      <c r="AY161" s="137"/>
      <c r="AZ161" s="137"/>
      <c r="BA161" s="137" t="str">
        <f>'Q100a-geral'!BA557</f>
        <v>x</v>
      </c>
      <c r="BB161" s="239" t="str">
        <f>'Q100a-geral'!BB557</f>
        <v>Estacionamentox</v>
      </c>
      <c r="BC161" s="239" t="str">
        <f>'Q100a-geral'!BC557</f>
        <v>Estacionamentoxx</v>
      </c>
      <c r="BD161" s="239" t="str">
        <f>'Q100a-geral'!BD557</f>
        <v>Estacionamentox</v>
      </c>
    </row>
    <row r="162" spans="1:58" ht="25.5" customHeight="1" x14ac:dyDescent="0.25">
      <c r="A162" s="275" t="str">
        <f>'Q100a-geral'!A558</f>
        <v>9.2</v>
      </c>
      <c r="B162" s="53" t="str">
        <f>'Q100a-geral'!B558</f>
        <v>Estacionamento</v>
      </c>
      <c r="C162" s="230" t="str">
        <f>'Q100a-geral'!C558</f>
        <v>x</v>
      </c>
      <c r="D162" s="322" t="str">
        <f>'Q100a-geral'!D558</f>
        <v>CRE dv</v>
      </c>
      <c r="E162" s="11" t="str">
        <f>'Q100a-geral'!E558</f>
        <v>Belo Horizonte</v>
      </c>
      <c r="F162" s="447" t="str">
        <f>'Q100a-geral'!F558</f>
        <v>n.º de credenciais para utilização de estacionamento reservado por pessoa com deficiência visual
obs.: resultados de 2003-2014 conforme BHTRANS(2015j); de 2015 conforme BHTRANS(2016w, p.45)</v>
      </c>
      <c r="G162" s="252" t="str">
        <f>'Q100a-geral'!G558</f>
        <v>registro na fonte</v>
      </c>
      <c r="H162" s="168" t="str">
        <f>'Q100a-geral'!H558</f>
        <v>x</v>
      </c>
      <c r="I162" s="57">
        <f>'Q100a-geral'!I558</f>
        <v>1</v>
      </c>
      <c r="J162" s="107" t="str">
        <f>'Q100a-geral'!J558</f>
        <v>x</v>
      </c>
      <c r="K162" s="137" t="str">
        <f>'Q100a-geral'!K558</f>
        <v>x</v>
      </c>
      <c r="L162" s="137" t="str">
        <f>'Q100a-geral'!L558</f>
        <v>x</v>
      </c>
      <c r="M162" s="137" t="str">
        <f>'Q100a-geral'!M558</f>
        <v>x</v>
      </c>
      <c r="N162" s="137" t="str">
        <f>'Q100a-geral'!N558</f>
        <v>x</v>
      </c>
      <c r="O162" s="137" t="str">
        <f>'Q100a-geral'!O558</f>
        <v>x</v>
      </c>
      <c r="P162" s="137" t="str">
        <f>'Q100a-geral'!P558</f>
        <v>x</v>
      </c>
      <c r="Q162" s="137" t="str">
        <f>'Q100a-geral'!Q558</f>
        <v>x</v>
      </c>
      <c r="R162" s="137" t="str">
        <f>'Q100a-geral'!R558</f>
        <v>x</v>
      </c>
      <c r="S162" s="649" t="str">
        <f>'Q100a-geral'!S558</f>
        <v>só para pesquisa</v>
      </c>
      <c r="T162" s="108" t="str">
        <f>'Q100a-geral'!T558</f>
        <v>x</v>
      </c>
      <c r="U162" s="108" t="str">
        <f>'Q100a-geral'!U558</f>
        <v>x</v>
      </c>
      <c r="V162" s="107" t="str">
        <f>'Q100a-geral'!V558</f>
        <v>só para pesquisa</v>
      </c>
      <c r="W162" s="87" t="str">
        <f>'Q100a-geral'!W558</f>
        <v>x</v>
      </c>
      <c r="X162" s="87">
        <f>'Q100a-geral'!X558</f>
        <v>0</v>
      </c>
      <c r="Y162" s="87">
        <f>'Q100a-geral'!Y558</f>
        <v>0</v>
      </c>
      <c r="Z162" s="87">
        <f>'Q100a-geral'!Z558</f>
        <v>0</v>
      </c>
      <c r="AA162" s="87">
        <f>'Q100a-geral'!AA558</f>
        <v>0</v>
      </c>
      <c r="AB162" s="87">
        <f>'Q100a-geral'!AB558</f>
        <v>0</v>
      </c>
      <c r="AC162" s="87">
        <f>'Q100a-geral'!AC558</f>
        <v>0</v>
      </c>
      <c r="AD162" s="87">
        <f>'Q100a-geral'!AD558</f>
        <v>0</v>
      </c>
      <c r="AE162" s="87">
        <f>'Q100a-geral'!AE558</f>
        <v>0</v>
      </c>
      <c r="AF162" s="87">
        <f>'Q100a-geral'!AF558</f>
        <v>6</v>
      </c>
      <c r="AG162" s="87">
        <f>'Q100a-geral'!AG558</f>
        <v>11</v>
      </c>
      <c r="AH162" s="87">
        <f>'Q100a-geral'!AH558</f>
        <v>21</v>
      </c>
      <c r="AI162" s="87">
        <f>'Q100a-geral'!AI558</f>
        <v>29</v>
      </c>
      <c r="AJ162" s="87">
        <f>'Q100a-geral'!AJ558</f>
        <v>56</v>
      </c>
      <c r="AK162" s="87">
        <f>'Q100a-geral'!AK558</f>
        <v>67</v>
      </c>
      <c r="AL162" s="212" t="str">
        <f>'Q100a-geral'!AL558</f>
        <v>x</v>
      </c>
      <c r="AM162" s="137" t="str">
        <f>'Q100a-geral'!AM558</f>
        <v>x</v>
      </c>
      <c r="AN162" s="137" t="str">
        <f>'Q100a-geral'!AN558</f>
        <v>x</v>
      </c>
      <c r="AO162" s="137" t="str">
        <f>'Q100a-geral'!AO558</f>
        <v>x</v>
      </c>
      <c r="AP162" s="137" t="str">
        <f>'Q100a-geral'!AP558</f>
        <v>x</v>
      </c>
      <c r="AQ162" s="137" t="str">
        <f>'Q100a-geral'!AQ558</f>
        <v>x</v>
      </c>
      <c r="AR162" s="137"/>
      <c r="AS162" s="137"/>
      <c r="AT162" s="137"/>
      <c r="AU162" s="137"/>
      <c r="AV162" s="137" t="str">
        <f>'Q100a-geral'!AV558</f>
        <v>x</v>
      </c>
      <c r="AW162" s="137"/>
      <c r="AX162" s="137"/>
      <c r="AY162" s="137"/>
      <c r="AZ162" s="137"/>
      <c r="BA162" s="137" t="str">
        <f>'Q100a-geral'!BA558</f>
        <v>x</v>
      </c>
      <c r="BB162" s="239" t="str">
        <f>'Q100a-geral'!BB558</f>
        <v>Estacionamentox</v>
      </c>
      <c r="BC162" s="239" t="str">
        <f>'Q100a-geral'!BC558</f>
        <v>Estacionamentoxx</v>
      </c>
      <c r="BD162" s="239" t="str">
        <f>'Q100a-geral'!BD558</f>
        <v>Estacionamentox</v>
      </c>
    </row>
    <row r="163" spans="1:58" ht="25.5" customHeight="1" x14ac:dyDescent="0.25">
      <c r="A163" s="275" t="str">
        <f>'Q100a-geral'!A559</f>
        <v>9.2</v>
      </c>
      <c r="B163" s="53" t="str">
        <f>'Q100a-geral'!B559</f>
        <v>Estacionamento</v>
      </c>
      <c r="C163" s="230" t="str">
        <f>'Q100a-geral'!C559</f>
        <v>x</v>
      </c>
      <c r="D163" s="287" t="str">
        <f>'Q100a-geral'!D559</f>
        <v>CREi</v>
      </c>
      <c r="E163" s="964" t="str">
        <f>'Q100a-geral'!E559</f>
        <v>Belo Horizonte</v>
      </c>
      <c r="F163" s="490" t="str">
        <f>'Q100a-geral'!F559</f>
        <v>n.º de credenciais para utilização de estacionamento reservado por idoso
obs.: resultados de 2003-2008 e 2009-2014 conforme BHTRANS(2015j); de 2015 conforme BHTRANS(2016w, p.45)</v>
      </c>
      <c r="G163" s="252" t="str">
        <f>'Q100a-geral'!G559</f>
        <v>registro na fonte</v>
      </c>
      <c r="H163" s="168" t="str">
        <f>'Q100a-geral'!H559</f>
        <v>x</v>
      </c>
      <c r="I163" s="57">
        <f>'Q100a-geral'!I559</f>
        <v>1</v>
      </c>
      <c r="J163" s="107" t="str">
        <f>'Q100a-geral'!J559</f>
        <v>x</v>
      </c>
      <c r="K163" s="137" t="str">
        <f>'Q100a-geral'!K559</f>
        <v>x</v>
      </c>
      <c r="L163" s="137" t="str">
        <f>'Q100a-geral'!L559</f>
        <v>x</v>
      </c>
      <c r="M163" s="137" t="str">
        <f>'Q100a-geral'!M559</f>
        <v>x</v>
      </c>
      <c r="N163" s="137" t="str">
        <f>'Q100a-geral'!N559</f>
        <v>x</v>
      </c>
      <c r="O163" s="137" t="str">
        <f>'Q100a-geral'!O559</f>
        <v>x</v>
      </c>
      <c r="P163" s="137" t="str">
        <f>'Q100a-geral'!P559</f>
        <v>x</v>
      </c>
      <c r="Q163" s="137" t="str">
        <f>'Q100a-geral'!Q559</f>
        <v>x</v>
      </c>
      <c r="R163" s="137" t="str">
        <f>'Q100a-geral'!R559</f>
        <v>x</v>
      </c>
      <c r="S163" s="649" t="str">
        <f>'Q100a-geral'!S559</f>
        <v>só para pesquisa</v>
      </c>
      <c r="T163" s="108" t="str">
        <f>'Q100a-geral'!T559</f>
        <v>x</v>
      </c>
      <c r="U163" s="108" t="str">
        <f>'Q100a-geral'!U559</f>
        <v>x</v>
      </c>
      <c r="V163" s="107" t="str">
        <f>'Q100a-geral'!V559</f>
        <v>só para pesquisa</v>
      </c>
      <c r="W163" s="87" t="str">
        <f>'Q100a-geral'!W559</f>
        <v>x</v>
      </c>
      <c r="X163" s="143"/>
      <c r="Y163" s="87">
        <f>'Q100a-geral'!Y559</f>
        <v>0</v>
      </c>
      <c r="Z163" s="87">
        <f>'Q100a-geral'!Z559</f>
        <v>0</v>
      </c>
      <c r="AA163" s="87">
        <f>'Q100a-geral'!AA559</f>
        <v>0</v>
      </c>
      <c r="AB163" s="87">
        <f>'Q100a-geral'!AB559</f>
        <v>0</v>
      </c>
      <c r="AC163" s="87">
        <f>'Q100a-geral'!AC559</f>
        <v>0</v>
      </c>
      <c r="AD163" s="87">
        <f>'Q100a-geral'!AD559</f>
        <v>0</v>
      </c>
      <c r="AE163" s="87">
        <f>'Q100a-geral'!AE559</f>
        <v>4</v>
      </c>
      <c r="AF163" s="87">
        <f>'Q100a-geral'!AF559</f>
        <v>2049</v>
      </c>
      <c r="AG163" s="87">
        <f>'Q100a-geral'!AG559</f>
        <v>3024</v>
      </c>
      <c r="AH163" s="87">
        <f>'Q100a-geral'!AH559</f>
        <v>5259</v>
      </c>
      <c r="AI163" s="87">
        <f>'Q100a-geral'!AI559</f>
        <v>8668</v>
      </c>
      <c r="AJ163" s="87">
        <f>'Q100a-geral'!AJ559</f>
        <v>12335</v>
      </c>
      <c r="AK163" s="87">
        <f>'Q100a-geral'!AK559</f>
        <v>19964</v>
      </c>
      <c r="AL163" s="212" t="str">
        <f>'Q100a-geral'!AL559</f>
        <v>x</v>
      </c>
      <c r="AM163" s="137" t="str">
        <f>'Q100a-geral'!AM559</f>
        <v>x</v>
      </c>
      <c r="AN163" s="137" t="str">
        <f>'Q100a-geral'!AN559</f>
        <v>x</v>
      </c>
      <c r="AO163" s="137" t="str">
        <f>'Q100a-geral'!AO559</f>
        <v>x</v>
      </c>
      <c r="AP163" s="137" t="str">
        <f>'Q100a-geral'!AP559</f>
        <v>x</v>
      </c>
      <c r="AQ163" s="137" t="str">
        <f>'Q100a-geral'!AQ559</f>
        <v>x</v>
      </c>
      <c r="AR163" s="137"/>
      <c r="AS163" s="137"/>
      <c r="AT163" s="137"/>
      <c r="AU163" s="137"/>
      <c r="AV163" s="137" t="str">
        <f>'Q100a-geral'!AV559</f>
        <v>x</v>
      </c>
      <c r="AW163" s="137"/>
      <c r="AX163" s="137"/>
      <c r="AY163" s="137"/>
      <c r="AZ163" s="137"/>
      <c r="BA163" s="137" t="str">
        <f>'Q100a-geral'!BA559</f>
        <v>x</v>
      </c>
      <c r="BB163" s="239" t="str">
        <f>'Q100a-geral'!BB559</f>
        <v>Estacionamentox</v>
      </c>
      <c r="BC163" s="239" t="str">
        <f>'Q100a-geral'!BC559</f>
        <v>Estacionamentoxx</v>
      </c>
      <c r="BD163" s="239" t="str">
        <f>'Q100a-geral'!BD559</f>
        <v>Estacionamentox</v>
      </c>
    </row>
    <row r="164" spans="1:58" ht="25.5" customHeight="1" x14ac:dyDescent="0.25">
      <c r="A164" s="275" t="str">
        <f>'Q100a-geral'!A560</f>
        <v>9.2</v>
      </c>
      <c r="B164" s="53" t="str">
        <f>'Q100a-geral'!B560</f>
        <v>Estacionamento</v>
      </c>
      <c r="C164" s="230" t="str">
        <f>'Q100a-geral'!C560</f>
        <v>x</v>
      </c>
      <c r="D164" s="287" t="str">
        <f>'Q100a-geral'!D560</f>
        <v>CREi por RLvfi</v>
      </c>
      <c r="E164" s="964" t="str">
        <f>'Q100a-geral'!E560</f>
        <v>Belo Horizonte</v>
      </c>
      <c r="F164" s="490" t="str">
        <f>'Q100a-geral'!F560</f>
        <v xml:space="preserve">n.º de credenciais para idoso para cada vaga física reservada para uso exclusivo de idoso </v>
      </c>
      <c r="G164" s="14" t="str">
        <f>'Q100a-geral'!G560</f>
        <v>CREi / RLvfi</v>
      </c>
      <c r="H164" s="168" t="str">
        <f>'Q100a-geral'!H560</f>
        <v>x</v>
      </c>
      <c r="I164" s="57">
        <f>'Q100a-geral'!I560</f>
        <v>1</v>
      </c>
      <c r="J164" s="107" t="str">
        <f>'Q100a-geral'!J560</f>
        <v>x</v>
      </c>
      <c r="K164" s="137" t="str">
        <f>'Q100a-geral'!K560</f>
        <v>x</v>
      </c>
      <c r="L164" s="137" t="str">
        <f>'Q100a-geral'!L560</f>
        <v>x</v>
      </c>
      <c r="M164" s="137" t="str">
        <f>'Q100a-geral'!M560</f>
        <v>x</v>
      </c>
      <c r="N164" s="137" t="str">
        <f>'Q100a-geral'!N560</f>
        <v>x</v>
      </c>
      <c r="O164" s="137" t="str">
        <f>'Q100a-geral'!O560</f>
        <v>x</v>
      </c>
      <c r="P164" s="137" t="str">
        <f>'Q100a-geral'!P560</f>
        <v>x</v>
      </c>
      <c r="Q164" s="137" t="str">
        <f>'Q100a-geral'!Q560</f>
        <v>x</v>
      </c>
      <c r="R164" s="137" t="str">
        <f>'Q100a-geral'!R560</f>
        <v>x</v>
      </c>
      <c r="S164" s="649" t="str">
        <f>'Q100a-geral'!S560</f>
        <v>só para pesquisa</v>
      </c>
      <c r="T164" s="108" t="str">
        <f>'Q100a-geral'!T560</f>
        <v>x</v>
      </c>
      <c r="U164" s="108" t="str">
        <f>'Q100a-geral'!U560</f>
        <v>x</v>
      </c>
      <c r="V164" s="107" t="str">
        <f>'Q100a-geral'!V560</f>
        <v>só para pesquisa</v>
      </c>
      <c r="W164" s="20" t="str">
        <f>'Q100a-geral'!W560</f>
        <v>x</v>
      </c>
      <c r="X164" s="20" t="str">
        <f>'Q100a-geral'!X560</f>
        <v>x</v>
      </c>
      <c r="Y164" s="143"/>
      <c r="Z164" s="143"/>
      <c r="AA164" s="143"/>
      <c r="AB164" s="143"/>
      <c r="AC164" s="143"/>
      <c r="AD164" s="143"/>
      <c r="AE164" s="22">
        <f>'Q100a-geral'!AE560</f>
        <v>7.2727272727272724E-2</v>
      </c>
      <c r="AF164" s="22">
        <f>'Q100a-geral'!AF560</f>
        <v>19.514285714285716</v>
      </c>
      <c r="AG164" s="22">
        <f>'Q100a-geral'!AG560</f>
        <v>22.072992700729927</v>
      </c>
      <c r="AH164" s="22">
        <f>'Q100a-geral'!AH560</f>
        <v>31.491017964071855</v>
      </c>
      <c r="AI164" s="22">
        <f>'Q100a-geral'!AI560</f>
        <v>49.25</v>
      </c>
      <c r="AJ164" s="22">
        <f>'Q100a-geral'!AJ560</f>
        <v>49.939271255060731</v>
      </c>
      <c r="AK164" s="22">
        <f>'Q100a-geral'!AK560</f>
        <v>44.364444444444445</v>
      </c>
      <c r="AL164" s="212" t="str">
        <f>'Q100a-geral'!AL560</f>
        <v>x</v>
      </c>
      <c r="AM164" s="137" t="str">
        <f>'Q100a-geral'!AM560</f>
        <v>x</v>
      </c>
      <c r="AN164" s="137" t="str">
        <f>'Q100a-geral'!AN560</f>
        <v>x</v>
      </c>
      <c r="AO164" s="137" t="str">
        <f>'Q100a-geral'!AO560</f>
        <v>x</v>
      </c>
      <c r="AP164" s="137" t="str">
        <f>'Q100a-geral'!AP560</f>
        <v>x</v>
      </c>
      <c r="AQ164" s="137" t="str">
        <f>'Q100a-geral'!AQ560</f>
        <v>x</v>
      </c>
      <c r="AR164" s="137"/>
      <c r="AS164" s="137"/>
      <c r="AT164" s="137"/>
      <c r="AU164" s="137"/>
      <c r="AV164" s="137" t="str">
        <f>'Q100a-geral'!AV560</f>
        <v>x</v>
      </c>
      <c r="AW164" s="137"/>
      <c r="AX164" s="137"/>
      <c r="AY164" s="137"/>
      <c r="AZ164" s="137"/>
      <c r="BA164" s="137" t="str">
        <f>'Q100a-geral'!BA560</f>
        <v>x</v>
      </c>
      <c r="BB164" s="239" t="str">
        <f>'Q100a-geral'!BB560</f>
        <v>Estacionamentox</v>
      </c>
      <c r="BC164" s="239" t="str">
        <f>'Q100a-geral'!BC560</f>
        <v>Estacionamentoxx</v>
      </c>
      <c r="BD164" s="239" t="str">
        <f>'Q100a-geral'!BD560</f>
        <v>Estacionamentox</v>
      </c>
    </row>
    <row r="165" spans="1:58" s="1" customFormat="1" ht="63" customHeight="1" x14ac:dyDescent="0.25">
      <c r="A165" s="275" t="str">
        <f>'Q100a-geral'!A571</f>
        <v>6.2</v>
      </c>
      <c r="B165" s="54" t="str">
        <f>'Q100a-geral'!B571</f>
        <v>Sistema de bicicleta</v>
      </c>
      <c r="C165" s="230" t="str">
        <f>'Q100a-geral'!C571</f>
        <v>x</v>
      </c>
      <c r="D165" s="326" t="str">
        <f>'Q100a-geral'!D571</f>
        <v>densidade b</v>
      </c>
      <c r="E165" s="465" t="str">
        <f>'Q100a-geral'!E571</f>
        <v>Belo Horizonte</v>
      </c>
      <c r="F165" s="490" t="str">
        <f>'Q100a-geral'!F571</f>
        <v>densidade das estações do sistema de bicicletas compartilhadas (em n.º de estações por km2)
obs.: resultado de 2015 em ITDP(22)</v>
      </c>
      <c r="G165" s="188" t="str">
        <f>'Q100a-geral'!G571</f>
        <v>registro na fonte</v>
      </c>
      <c r="H165" s="173" t="str">
        <f>'Q100a-geral'!H571</f>
        <v>x</v>
      </c>
      <c r="I165" s="167">
        <f>'Q100a-geral'!I571</f>
        <v>1</v>
      </c>
      <c r="J165" s="58" t="str">
        <f>'Q100a-geral'!J571</f>
        <v>x</v>
      </c>
      <c r="K165" s="58" t="str">
        <f>'Q100a-geral'!K571</f>
        <v>x</v>
      </c>
      <c r="L165" s="58" t="str">
        <f>'Q100a-geral'!L571</f>
        <v>x</v>
      </c>
      <c r="M165" s="58" t="str">
        <f>'Q100a-geral'!M571</f>
        <v>x</v>
      </c>
      <c r="N165" s="58" t="str">
        <f>'Q100a-geral'!N571</f>
        <v>x</v>
      </c>
      <c r="O165" s="58" t="str">
        <f>'Q100a-geral'!O571</f>
        <v>x</v>
      </c>
      <c r="P165" s="58" t="str">
        <f>'Q100a-geral'!P571</f>
        <v>x</v>
      </c>
      <c r="Q165" s="58" t="str">
        <f>'Q100a-geral'!Q571</f>
        <v>x</v>
      </c>
      <c r="R165" s="58" t="str">
        <f>'Q100a-geral'!R571</f>
        <v>x</v>
      </c>
      <c r="S165" s="107" t="str">
        <f>'Q100a-geral'!S571</f>
        <v>só para pesquisa</v>
      </c>
      <c r="T165" s="58" t="str">
        <f>'Q100a-geral'!T571</f>
        <v>x</v>
      </c>
      <c r="U165" s="58" t="str">
        <f>'Q100a-geral'!U571</f>
        <v>x</v>
      </c>
      <c r="V165" s="107" t="str">
        <f>'Q100a-geral'!V571</f>
        <v>só para pesquisa</v>
      </c>
      <c r="W165" s="58" t="str">
        <f>'Q100a-geral'!W571</f>
        <v>x</v>
      </c>
      <c r="X165" s="58" t="str">
        <f>'Q100a-geral'!X571</f>
        <v>x</v>
      </c>
      <c r="Y165" s="58" t="str">
        <f>'Q100a-geral'!Y571</f>
        <v>x</v>
      </c>
      <c r="Z165" s="58" t="str">
        <f>'Q100a-geral'!Z571</f>
        <v>x</v>
      </c>
      <c r="AA165" s="58" t="str">
        <f>'Q100a-geral'!AA571</f>
        <v>x</v>
      </c>
      <c r="AB165" s="58" t="str">
        <f>'Q100a-geral'!AB571</f>
        <v>x</v>
      </c>
      <c r="AC165" s="58" t="str">
        <f>'Q100a-geral'!AC571</f>
        <v>x</v>
      </c>
      <c r="AD165" s="58" t="str">
        <f>'Q100a-geral'!AD571</f>
        <v>x</v>
      </c>
      <c r="AE165" s="58" t="str">
        <f>'Q100a-geral'!AE571</f>
        <v>x</v>
      </c>
      <c r="AF165" s="44" t="str">
        <f>'Q100a-geral'!AF571</f>
        <v>x</v>
      </c>
      <c r="AG165" s="58" t="str">
        <f>'Q100a-geral'!AG571</f>
        <v>x</v>
      </c>
      <c r="AH165" s="58" t="str">
        <f>'Q100a-geral'!AH571</f>
        <v>x</v>
      </c>
      <c r="AI165" s="58" t="str">
        <f>'Q100a-geral'!AI571</f>
        <v>x</v>
      </c>
      <c r="AJ165" s="58" t="str">
        <f>'Q100a-geral'!AJ571</f>
        <v>x</v>
      </c>
      <c r="AK165" s="84">
        <f>'Q100a-geral'!AK571</f>
        <v>2.74</v>
      </c>
      <c r="AL165" s="173" t="str">
        <f>'Q100a-geral'!AL571</f>
        <v>x</v>
      </c>
      <c r="AM165" s="137" t="str">
        <f>'Q100a-geral'!AM571</f>
        <v>x</v>
      </c>
      <c r="AN165" s="137" t="str">
        <f>'Q100a-geral'!AN571</f>
        <v>x</v>
      </c>
      <c r="AO165" s="137" t="str">
        <f>'Q100a-geral'!AO571</f>
        <v>x</v>
      </c>
      <c r="AP165" s="137" t="str">
        <f>'Q100a-geral'!AP571</f>
        <v>x</v>
      </c>
      <c r="AQ165" s="137" t="str">
        <f>'Q100a-geral'!AQ571</f>
        <v>x</v>
      </c>
      <c r="AR165" s="137"/>
      <c r="AS165" s="137"/>
      <c r="AT165" s="137"/>
      <c r="AU165" s="137"/>
      <c r="AV165" s="137" t="str">
        <f>'Q100a-geral'!AV571</f>
        <v>x</v>
      </c>
      <c r="AW165" s="137"/>
      <c r="AX165" s="137"/>
      <c r="AY165" s="137"/>
      <c r="AZ165" s="137"/>
      <c r="BA165" s="137" t="str">
        <f>'Q100a-geral'!BA571</f>
        <v>x</v>
      </c>
      <c r="BB165" s="239" t="str">
        <f>'Q100a-geral'!BB571</f>
        <v>Sistema de bicicletax</v>
      </c>
      <c r="BC165" s="239" t="str">
        <f>'Q100a-geral'!BC571</f>
        <v>Sistema de bicicletaxx</v>
      </c>
      <c r="BD165" s="239" t="str">
        <f>'Q100a-geral'!BD571</f>
        <v>Sistema de bicicletax</v>
      </c>
      <c r="BE165" s="845" t="s">
        <v>3151</v>
      </c>
      <c r="BF165" s="2"/>
    </row>
    <row r="166" spans="1:58" s="1" customFormat="1" ht="63" customHeight="1" x14ac:dyDescent="0.25">
      <c r="A166" s="275" t="str">
        <f>'Q100a-geral'!A572</f>
        <v>6.2</v>
      </c>
      <c r="B166" s="54" t="str">
        <f>'Q100a-geral'!B572</f>
        <v>Sistema de bicicleta</v>
      </c>
      <c r="C166" s="230" t="str">
        <f>'Q100a-geral'!C572</f>
        <v>x</v>
      </c>
      <c r="D166" s="326" t="str">
        <f>'Q100a-geral'!D572</f>
        <v>densidade b</v>
      </c>
      <c r="E166" s="465" t="str">
        <f>'Q100a-geral'!E572</f>
        <v>Distrito Federal</v>
      </c>
      <c r="F166" s="490" t="str">
        <f>'Q100a-geral'!F572</f>
        <v>densidade das estações do sistema de bicicletas compartilhadas (em n.º de estações por km2)
obs.: resultado de 2015 em ITDP(22)</v>
      </c>
      <c r="G166" s="188" t="str">
        <f>'Q100a-geral'!G572</f>
        <v>registro na fonte</v>
      </c>
      <c r="H166" s="173" t="str">
        <f>'Q100a-geral'!H572</f>
        <v>x</v>
      </c>
      <c r="I166" s="167">
        <f>'Q100a-geral'!I572</f>
        <v>1</v>
      </c>
      <c r="J166" s="58" t="str">
        <f>'Q100a-geral'!J572</f>
        <v>x</v>
      </c>
      <c r="K166" s="58" t="str">
        <f>'Q100a-geral'!K572</f>
        <v>x</v>
      </c>
      <c r="L166" s="58" t="str">
        <f>'Q100a-geral'!L572</f>
        <v>x</v>
      </c>
      <c r="M166" s="58" t="str">
        <f>'Q100a-geral'!M572</f>
        <v>x</v>
      </c>
      <c r="N166" s="58" t="str">
        <f>'Q100a-geral'!N572</f>
        <v>x</v>
      </c>
      <c r="O166" s="58" t="str">
        <f>'Q100a-geral'!O572</f>
        <v>x</v>
      </c>
      <c r="P166" s="58" t="str">
        <f>'Q100a-geral'!P572</f>
        <v>x</v>
      </c>
      <c r="Q166" s="58" t="str">
        <f>'Q100a-geral'!Q572</f>
        <v>x</v>
      </c>
      <c r="R166" s="58" t="str">
        <f>'Q100a-geral'!R572</f>
        <v>x</v>
      </c>
      <c r="S166" s="107" t="str">
        <f>'Q100a-geral'!S572</f>
        <v>só para pesquisa</v>
      </c>
      <c r="T166" s="58" t="str">
        <f>'Q100a-geral'!T572</f>
        <v>x</v>
      </c>
      <c r="U166" s="58" t="str">
        <f>'Q100a-geral'!U572</f>
        <v>x</v>
      </c>
      <c r="V166" s="107" t="str">
        <f>'Q100a-geral'!V572</f>
        <v>só para pesquisa</v>
      </c>
      <c r="W166" s="58" t="str">
        <f>'Q100a-geral'!W572</f>
        <v>x</v>
      </c>
      <c r="X166" s="58" t="str">
        <f>'Q100a-geral'!X572</f>
        <v>x</v>
      </c>
      <c r="Y166" s="58" t="str">
        <f>'Q100a-geral'!Y572</f>
        <v>x</v>
      </c>
      <c r="Z166" s="58" t="str">
        <f>'Q100a-geral'!Z572</f>
        <v>x</v>
      </c>
      <c r="AA166" s="58" t="str">
        <f>'Q100a-geral'!AA572</f>
        <v>x</v>
      </c>
      <c r="AB166" s="58" t="str">
        <f>'Q100a-geral'!AB572</f>
        <v>x</v>
      </c>
      <c r="AC166" s="58" t="str">
        <f>'Q100a-geral'!AC572</f>
        <v>x</v>
      </c>
      <c r="AD166" s="58" t="str">
        <f>'Q100a-geral'!AD572</f>
        <v>x</v>
      </c>
      <c r="AE166" s="58" t="str">
        <f>'Q100a-geral'!AE572</f>
        <v>x</v>
      </c>
      <c r="AF166" s="44" t="str">
        <f>'Q100a-geral'!AF572</f>
        <v>x</v>
      </c>
      <c r="AG166" s="58" t="str">
        <f>'Q100a-geral'!AG572</f>
        <v>x</v>
      </c>
      <c r="AH166" s="58" t="str">
        <f>'Q100a-geral'!AH572</f>
        <v>x</v>
      </c>
      <c r="AI166" s="58" t="str">
        <f>'Q100a-geral'!AI572</f>
        <v>x</v>
      </c>
      <c r="AJ166" s="58" t="str">
        <f>'Q100a-geral'!AJ572</f>
        <v>x</v>
      </c>
      <c r="AK166" s="84">
        <f>'Q100a-geral'!AK572</f>
        <v>2.72</v>
      </c>
      <c r="AL166" s="173" t="str">
        <f>'Q100a-geral'!AL572</f>
        <v>x</v>
      </c>
      <c r="AM166" s="137" t="str">
        <f>'Q100a-geral'!AM572</f>
        <v>x</v>
      </c>
      <c r="AN166" s="137" t="str">
        <f>'Q100a-geral'!AN572</f>
        <v>x</v>
      </c>
      <c r="AO166" s="137" t="str">
        <f>'Q100a-geral'!AO572</f>
        <v>x</v>
      </c>
      <c r="AP166" s="137" t="str">
        <f>'Q100a-geral'!AP572</f>
        <v>x</v>
      </c>
      <c r="AQ166" s="137" t="str">
        <f>'Q100a-geral'!AQ572</f>
        <v>x</v>
      </c>
      <c r="AR166" s="137"/>
      <c r="AS166" s="137"/>
      <c r="AT166" s="137"/>
      <c r="AU166" s="137"/>
      <c r="AV166" s="137" t="str">
        <f>'Q100a-geral'!AV572</f>
        <v>x</v>
      </c>
      <c r="AW166" s="137"/>
      <c r="AX166" s="137"/>
      <c r="AY166" s="137"/>
      <c r="AZ166" s="137"/>
      <c r="BA166" s="137" t="str">
        <f>'Q100a-geral'!BA572</f>
        <v>x</v>
      </c>
      <c r="BB166" s="239" t="str">
        <f>'Q100a-geral'!BB572</f>
        <v>Sistema de bicicletax</v>
      </c>
      <c r="BC166" s="239" t="str">
        <f>'Q100a-geral'!BC572</f>
        <v>Sistema de bicicletaxx</v>
      </c>
      <c r="BD166" s="239" t="str">
        <f>'Q100a-geral'!BD572</f>
        <v>Sistema de bicicletax</v>
      </c>
      <c r="BE166" s="845" t="s">
        <v>3152</v>
      </c>
      <c r="BF166" s="2"/>
    </row>
    <row r="167" spans="1:58" s="1" customFormat="1" ht="63" customHeight="1" x14ac:dyDescent="0.25">
      <c r="A167" s="275" t="str">
        <f>'Q100a-geral'!A573</f>
        <v>6.2</v>
      </c>
      <c r="B167" s="54" t="str">
        <f>'Q100a-geral'!B573</f>
        <v>Sistema de bicicleta</v>
      </c>
      <c r="C167" s="230" t="str">
        <f>'Q100a-geral'!C573</f>
        <v>x</v>
      </c>
      <c r="D167" s="326" t="str">
        <f>'Q100a-geral'!D573</f>
        <v>densidade b</v>
      </c>
      <c r="E167" s="465" t="str">
        <f>'Q100a-geral'!E573</f>
        <v>Rio de Janeiro</v>
      </c>
      <c r="F167" s="490" t="str">
        <f>'Q100a-geral'!F573</f>
        <v>densidade das estações do sistema de bicicletas compartilhadas (em n.º de estações por km2)
obs.: resultado de 2014 em ITDP(23)</v>
      </c>
      <c r="G167" s="188" t="str">
        <f>'Q100a-geral'!G573</f>
        <v>registro na fonte</v>
      </c>
      <c r="H167" s="173" t="str">
        <f>'Q100a-geral'!H573</f>
        <v>x</v>
      </c>
      <c r="I167" s="167">
        <f>'Q100a-geral'!I573</f>
        <v>1</v>
      </c>
      <c r="J167" s="58" t="str">
        <f>'Q100a-geral'!J573</f>
        <v>x</v>
      </c>
      <c r="K167" s="58" t="str">
        <f>'Q100a-geral'!K573</f>
        <v>x</v>
      </c>
      <c r="L167" s="58" t="str">
        <f>'Q100a-geral'!L573</f>
        <v>x</v>
      </c>
      <c r="M167" s="58" t="str">
        <f>'Q100a-geral'!M573</f>
        <v>x</v>
      </c>
      <c r="N167" s="58" t="str">
        <f>'Q100a-geral'!N573</f>
        <v>x</v>
      </c>
      <c r="O167" s="58" t="str">
        <f>'Q100a-geral'!O573</f>
        <v>x</v>
      </c>
      <c r="P167" s="58" t="str">
        <f>'Q100a-geral'!P573</f>
        <v>x</v>
      </c>
      <c r="Q167" s="58" t="str">
        <f>'Q100a-geral'!Q573</f>
        <v>x</v>
      </c>
      <c r="R167" s="58" t="str">
        <f>'Q100a-geral'!R573</f>
        <v>x</v>
      </c>
      <c r="S167" s="107" t="str">
        <f>'Q100a-geral'!S573</f>
        <v>só para pesquisa</v>
      </c>
      <c r="T167" s="58" t="str">
        <f>'Q100a-geral'!T573</f>
        <v>x</v>
      </c>
      <c r="U167" s="58" t="str">
        <f>'Q100a-geral'!U573</f>
        <v>x</v>
      </c>
      <c r="V167" s="107" t="str">
        <f>'Q100a-geral'!V573</f>
        <v>só para pesquisa</v>
      </c>
      <c r="W167" s="58" t="str">
        <f>'Q100a-geral'!W573</f>
        <v>x</v>
      </c>
      <c r="X167" s="58" t="str">
        <f>'Q100a-geral'!X573</f>
        <v>x</v>
      </c>
      <c r="Y167" s="58" t="str">
        <f>'Q100a-geral'!Y573</f>
        <v>x</v>
      </c>
      <c r="Z167" s="58" t="str">
        <f>'Q100a-geral'!Z573</f>
        <v>x</v>
      </c>
      <c r="AA167" s="58" t="str">
        <f>'Q100a-geral'!AA573</f>
        <v>x</v>
      </c>
      <c r="AB167" s="58" t="str">
        <f>'Q100a-geral'!AB573</f>
        <v>x</v>
      </c>
      <c r="AC167" s="58" t="str">
        <f>'Q100a-geral'!AC573</f>
        <v>x</v>
      </c>
      <c r="AD167" s="58" t="str">
        <f>'Q100a-geral'!AD573</f>
        <v>x</v>
      </c>
      <c r="AE167" s="58" t="str">
        <f>'Q100a-geral'!AE573</f>
        <v>x</v>
      </c>
      <c r="AF167" s="44" t="str">
        <f>'Q100a-geral'!AF573</f>
        <v>x</v>
      </c>
      <c r="AG167" s="58" t="str">
        <f>'Q100a-geral'!AG573</f>
        <v>x</v>
      </c>
      <c r="AH167" s="58" t="str">
        <f>'Q100a-geral'!AH573</f>
        <v>x</v>
      </c>
      <c r="AI167" s="58" t="str">
        <f>'Q100a-geral'!AI573</f>
        <v>x</v>
      </c>
      <c r="AJ167" s="963">
        <f>'Q100a-geral'!AJ573</f>
        <v>3.13</v>
      </c>
      <c r="AK167" s="137" t="str">
        <f>'Q100a-geral'!AK573</f>
        <v>x</v>
      </c>
      <c r="AL167" s="173" t="str">
        <f>'Q100a-geral'!AL573</f>
        <v>x</v>
      </c>
      <c r="AM167" s="137" t="str">
        <f>'Q100a-geral'!AM573</f>
        <v>x</v>
      </c>
      <c r="AN167" s="137" t="str">
        <f>'Q100a-geral'!AN573</f>
        <v>x</v>
      </c>
      <c r="AO167" s="137" t="str">
        <f>'Q100a-geral'!AO573</f>
        <v>x</v>
      </c>
      <c r="AP167" s="137" t="str">
        <f>'Q100a-geral'!AP573</f>
        <v>x</v>
      </c>
      <c r="AQ167" s="137" t="str">
        <f>'Q100a-geral'!AQ573</f>
        <v>x</v>
      </c>
      <c r="AR167" s="137"/>
      <c r="AS167" s="137"/>
      <c r="AT167" s="137"/>
      <c r="AU167" s="137"/>
      <c r="AV167" s="137" t="str">
        <f>'Q100a-geral'!AV573</f>
        <v>x</v>
      </c>
      <c r="AW167" s="137"/>
      <c r="AX167" s="137"/>
      <c r="AY167" s="137"/>
      <c r="AZ167" s="137"/>
      <c r="BA167" s="137" t="str">
        <f>'Q100a-geral'!BA573</f>
        <v>x</v>
      </c>
      <c r="BB167" s="239" t="str">
        <f>'Q100a-geral'!BB573</f>
        <v>Sistema de bicicletax</v>
      </c>
      <c r="BC167" s="239" t="str">
        <f>'Q100a-geral'!BC573</f>
        <v>Sistema de bicicletaxx</v>
      </c>
      <c r="BD167" s="239" t="str">
        <f>'Q100a-geral'!BD573</f>
        <v>Sistema de bicicletax</v>
      </c>
      <c r="BE167" s="845" t="s">
        <v>3153</v>
      </c>
      <c r="BF167" s="2"/>
    </row>
    <row r="168" spans="1:58" s="1" customFormat="1" ht="63" customHeight="1" x14ac:dyDescent="0.25">
      <c r="A168" s="275" t="str">
        <f>'Q100a-geral'!A574</f>
        <v>6.2</v>
      </c>
      <c r="B168" s="54" t="str">
        <f>'Q100a-geral'!B574</f>
        <v>Sistema de bicicleta</v>
      </c>
      <c r="C168" s="230" t="str">
        <f>'Q100a-geral'!C574</f>
        <v>x</v>
      </c>
      <c r="D168" s="326" t="str">
        <f>'Q100a-geral'!D574</f>
        <v>densidade b</v>
      </c>
      <c r="E168" s="465" t="str">
        <f>'Q100a-geral'!E574</f>
        <v>São Paulo</v>
      </c>
      <c r="F168" s="490" t="str">
        <f>'Q100a-geral'!F574</f>
        <v>densidade das estações do sistema de bicicletas compartilhadas (em n.º de estações por km2)
obs.: resultado de 2014 em ITDP(23)</v>
      </c>
      <c r="G168" s="188" t="str">
        <f>'Q100a-geral'!G574</f>
        <v>registro na fonte</v>
      </c>
      <c r="H168" s="173" t="str">
        <f>'Q100a-geral'!H574</f>
        <v>x</v>
      </c>
      <c r="I168" s="167">
        <f>'Q100a-geral'!I574</f>
        <v>1</v>
      </c>
      <c r="J168" s="58" t="str">
        <f>'Q100a-geral'!J574</f>
        <v>x</v>
      </c>
      <c r="K168" s="58" t="str">
        <f>'Q100a-geral'!K574</f>
        <v>x</v>
      </c>
      <c r="L168" s="58" t="str">
        <f>'Q100a-geral'!L574</f>
        <v>x</v>
      </c>
      <c r="M168" s="58" t="str">
        <f>'Q100a-geral'!M574</f>
        <v>x</v>
      </c>
      <c r="N168" s="58" t="str">
        <f>'Q100a-geral'!N574</f>
        <v>x</v>
      </c>
      <c r="O168" s="58" t="str">
        <f>'Q100a-geral'!O574</f>
        <v>x</v>
      </c>
      <c r="P168" s="58" t="str">
        <f>'Q100a-geral'!P574</f>
        <v>x</v>
      </c>
      <c r="Q168" s="58" t="str">
        <f>'Q100a-geral'!Q574</f>
        <v>x</v>
      </c>
      <c r="R168" s="58" t="str">
        <f>'Q100a-geral'!R574</f>
        <v>x</v>
      </c>
      <c r="S168" s="107" t="str">
        <f>'Q100a-geral'!S574</f>
        <v>só para pesquisa</v>
      </c>
      <c r="T168" s="58" t="str">
        <f>'Q100a-geral'!T574</f>
        <v>x</v>
      </c>
      <c r="U168" s="58" t="str">
        <f>'Q100a-geral'!U574</f>
        <v>x</v>
      </c>
      <c r="V168" s="107" t="str">
        <f>'Q100a-geral'!V574</f>
        <v>só para pesquisa</v>
      </c>
      <c r="W168" s="58" t="str">
        <f>'Q100a-geral'!W574</f>
        <v>x</v>
      </c>
      <c r="X168" s="58" t="str">
        <f>'Q100a-geral'!X574</f>
        <v>x</v>
      </c>
      <c r="Y168" s="58" t="str">
        <f>'Q100a-geral'!Y574</f>
        <v>x</v>
      </c>
      <c r="Z168" s="58" t="str">
        <f>'Q100a-geral'!Z574</f>
        <v>x</v>
      </c>
      <c r="AA168" s="58" t="str">
        <f>'Q100a-geral'!AA574</f>
        <v>x</v>
      </c>
      <c r="AB168" s="58" t="str">
        <f>'Q100a-geral'!AB574</f>
        <v>x</v>
      </c>
      <c r="AC168" s="58" t="str">
        <f>'Q100a-geral'!AC574</f>
        <v>x</v>
      </c>
      <c r="AD168" s="58" t="str">
        <f>'Q100a-geral'!AD574</f>
        <v>x</v>
      </c>
      <c r="AE168" s="58" t="str">
        <f>'Q100a-geral'!AE574</f>
        <v>x</v>
      </c>
      <c r="AF168" s="44" t="str">
        <f>'Q100a-geral'!AF574</f>
        <v>x</v>
      </c>
      <c r="AG168" s="58" t="str">
        <f>'Q100a-geral'!AG574</f>
        <v>x</v>
      </c>
      <c r="AH168" s="58" t="str">
        <f>'Q100a-geral'!AH574</f>
        <v>x</v>
      </c>
      <c r="AI168" s="58" t="str">
        <f>'Q100a-geral'!AI574</f>
        <v>x</v>
      </c>
      <c r="AJ168" s="963">
        <f>'Q100a-geral'!AJ574</f>
        <v>2.6</v>
      </c>
      <c r="AK168" s="137" t="str">
        <f>'Q100a-geral'!AK574</f>
        <v>x</v>
      </c>
      <c r="AL168" s="173" t="str">
        <f>'Q100a-geral'!AL574</f>
        <v>x</v>
      </c>
      <c r="AM168" s="137" t="str">
        <f>'Q100a-geral'!AM574</f>
        <v>x</v>
      </c>
      <c r="AN168" s="137" t="str">
        <f>'Q100a-geral'!AN574</f>
        <v>x</v>
      </c>
      <c r="AO168" s="137" t="str">
        <f>'Q100a-geral'!AO574</f>
        <v>x</v>
      </c>
      <c r="AP168" s="137" t="str">
        <f>'Q100a-geral'!AP574</f>
        <v>x</v>
      </c>
      <c r="AQ168" s="137" t="str">
        <f>'Q100a-geral'!AQ574</f>
        <v>x</v>
      </c>
      <c r="AR168" s="137"/>
      <c r="AS168" s="137"/>
      <c r="AT168" s="137"/>
      <c r="AU168" s="137"/>
      <c r="AV168" s="137" t="str">
        <f>'Q100a-geral'!AV574</f>
        <v>x</v>
      </c>
      <c r="AW168" s="137"/>
      <c r="AX168" s="137"/>
      <c r="AY168" s="137"/>
      <c r="AZ168" s="137"/>
      <c r="BA168" s="137" t="str">
        <f>'Q100a-geral'!BA574</f>
        <v>x</v>
      </c>
      <c r="BB168" s="239" t="str">
        <f>'Q100a-geral'!BB574</f>
        <v>Sistema de bicicletax</v>
      </c>
      <c r="BC168" s="239" t="str">
        <f>'Q100a-geral'!BC574</f>
        <v>Sistema de bicicletaxx</v>
      </c>
      <c r="BD168" s="239" t="str">
        <f>'Q100a-geral'!BD574</f>
        <v>Sistema de bicicletax</v>
      </c>
      <c r="BE168" s="845" t="s">
        <v>3154</v>
      </c>
      <c r="BF168" s="2"/>
    </row>
    <row r="169" spans="1:58" s="1" customFormat="1" ht="63" customHeight="1" x14ac:dyDescent="0.25">
      <c r="A169" s="275" t="str">
        <f>'Q100a-geral'!A576</f>
        <v>6.2</v>
      </c>
      <c r="B169" s="54" t="str">
        <f>'Q100a-geral'!B576</f>
        <v>Sistema de bicicleta</v>
      </c>
      <c r="C169" s="230" t="str">
        <f>'Q100a-geral'!C576</f>
        <v>x</v>
      </c>
      <c r="D169" s="326" t="str">
        <f>'Q100a-geral'!D576</f>
        <v>densidade b (padrão)</v>
      </c>
      <c r="E169" s="465" t="str">
        <f>'Q100a-geral'!E576</f>
        <v>x</v>
      </c>
      <c r="F169" s="490" t="str">
        <f>'Q100a-geral'!F576</f>
        <v>densidade mínima recomendada para um sistema de bicicletas compartilhadas
obs.: "A densidade ideal está entre 10 a 16 estações por quilômetro quadrado. 14 estações por quilômetro quadrado é equivalente a: • 1 estação a cada 300 metros • 36 estações por milha quadrada (equivalente a 2,59 km2)" conforme ITDP(2014, p.47)</v>
      </c>
      <c r="G169" s="188" t="str">
        <f>'Q100a-geral'!G576</f>
        <v>verbete
MFO/GLCT</v>
      </c>
      <c r="H169" s="173" t="str">
        <f>'Q100a-geral'!H576</f>
        <v>meta/RPI</v>
      </c>
      <c r="I169" s="167" t="str">
        <f>'Q100a-geral'!I576</f>
        <v>x</v>
      </c>
      <c r="J169" s="58" t="str">
        <f>'Q100a-geral'!J576</f>
        <v>x</v>
      </c>
      <c r="K169" s="58" t="str">
        <f>'Q100a-geral'!K576</f>
        <v>x</v>
      </c>
      <c r="L169" s="58" t="str">
        <f>'Q100a-geral'!L576</f>
        <v>x</v>
      </c>
      <c r="M169" s="58" t="str">
        <f>'Q100a-geral'!M576</f>
        <v>x</v>
      </c>
      <c r="N169" s="58" t="str">
        <f>'Q100a-geral'!N576</f>
        <v>x</v>
      </c>
      <c r="O169" s="58" t="str">
        <f>'Q100a-geral'!O576</f>
        <v>x</v>
      </c>
      <c r="P169" s="58" t="str">
        <f>'Q100a-geral'!P576</f>
        <v>x</v>
      </c>
      <c r="Q169" s="58" t="str">
        <f>'Q100a-geral'!Q576</f>
        <v>x</v>
      </c>
      <c r="R169" s="58" t="str">
        <f>'Q100a-geral'!R576</f>
        <v>x</v>
      </c>
      <c r="S169" s="107" t="str">
        <f>'Q100a-geral'!S576</f>
        <v>só para pesquisa</v>
      </c>
      <c r="T169" s="58" t="str">
        <f>'Q100a-geral'!T576</f>
        <v>x</v>
      </c>
      <c r="U169" s="58" t="str">
        <f>'Q100a-geral'!U576</f>
        <v>x</v>
      </c>
      <c r="V169" s="107" t="str">
        <f>'Q100a-geral'!V576</f>
        <v>só para pesquisa</v>
      </c>
      <c r="W169" s="58" t="str">
        <f>'Q100a-geral'!W576</f>
        <v>x</v>
      </c>
      <c r="X169" s="58" t="str">
        <f>'Q100a-geral'!X576</f>
        <v>x</v>
      </c>
      <c r="Y169" s="58" t="str">
        <f>'Q100a-geral'!Y576</f>
        <v>x</v>
      </c>
      <c r="Z169" s="58" t="str">
        <f>'Q100a-geral'!Z576</f>
        <v>x</v>
      </c>
      <c r="AA169" s="58" t="str">
        <f>'Q100a-geral'!AA576</f>
        <v>x</v>
      </c>
      <c r="AB169" s="58" t="str">
        <f>'Q100a-geral'!AB576</f>
        <v>x</v>
      </c>
      <c r="AC169" s="58" t="str">
        <f>'Q100a-geral'!AC576</f>
        <v>x</v>
      </c>
      <c r="AD169" s="58" t="str">
        <f>'Q100a-geral'!AD576</f>
        <v>x</v>
      </c>
      <c r="AE169" s="58" t="str">
        <f>'Q100a-geral'!AE576</f>
        <v>x</v>
      </c>
      <c r="AF169" s="44" t="str">
        <f>'Q100a-geral'!AF576</f>
        <v>x</v>
      </c>
      <c r="AG169" s="58" t="str">
        <f>'Q100a-geral'!AG576</f>
        <v>x</v>
      </c>
      <c r="AH169" s="58" t="str">
        <f>'Q100a-geral'!AH576</f>
        <v>x</v>
      </c>
      <c r="AI169" s="58" t="str">
        <f>'Q100a-geral'!AI576</f>
        <v>x</v>
      </c>
      <c r="AJ169" s="371">
        <v>10</v>
      </c>
      <c r="AK169" s="137" t="str">
        <f>'Q100a-geral'!AK575</f>
        <v>x</v>
      </c>
      <c r="AL169" s="173" t="str">
        <f>'Q100a-geral'!AL576</f>
        <v>x</v>
      </c>
      <c r="AM169" s="137" t="str">
        <f>'Q100a-geral'!AM576</f>
        <v>x</v>
      </c>
      <c r="AN169" s="137" t="str">
        <f>'Q100a-geral'!AN576</f>
        <v>x</v>
      </c>
      <c r="AO169" s="137" t="str">
        <f>'Q100a-geral'!AO576</f>
        <v>x</v>
      </c>
      <c r="AP169" s="137" t="str">
        <f>'Q100a-geral'!AP576</f>
        <v>x</v>
      </c>
      <c r="AQ169" s="137" t="str">
        <f>'Q100a-geral'!AQ576</f>
        <v>x</v>
      </c>
      <c r="AR169" s="137"/>
      <c r="AS169" s="137"/>
      <c r="AT169" s="137"/>
      <c r="AU169" s="137"/>
      <c r="AV169" s="137" t="str">
        <f>'Q100a-geral'!AV576</f>
        <v>x</v>
      </c>
      <c r="AW169" s="137"/>
      <c r="AX169" s="137"/>
      <c r="AY169" s="137"/>
      <c r="AZ169" s="137"/>
      <c r="BA169" s="137" t="str">
        <f>'Q100a-geral'!BA576</f>
        <v>x</v>
      </c>
      <c r="BB169" s="239" t="str">
        <f>'Q100a-geral'!BB576</f>
        <v>Sistema de bicicletax</v>
      </c>
      <c r="BC169" s="239" t="str">
        <f>'Q100a-geral'!BC576</f>
        <v>Sistema de bicicletaxmeta/RPI</v>
      </c>
      <c r="BD169" s="239" t="str">
        <f>'Q100a-geral'!BD576</f>
        <v>Sistema de bicicletameta/RPI</v>
      </c>
      <c r="BE169" s="845" t="s">
        <v>3155</v>
      </c>
      <c r="BF169" s="2"/>
    </row>
    <row r="170" spans="1:58" s="1" customFormat="1" ht="28.5" customHeight="1" x14ac:dyDescent="0.25">
      <c r="A170" s="275" t="str">
        <f>'Q100a-geral'!A579</f>
        <v>2.4</v>
      </c>
      <c r="B170" s="54" t="str">
        <f>'Q100a-geral'!B579</f>
        <v>População</v>
      </c>
      <c r="C170" s="230" t="str">
        <f>'Q100a-geral'!C579</f>
        <v>x</v>
      </c>
      <c r="D170" s="50" t="str">
        <f>'Q100a-geral'!D579</f>
        <v>densidade populacional</v>
      </c>
      <c r="E170" s="467" t="str">
        <f>'Q100a-geral'!E579</f>
        <v>Baldim</v>
      </c>
      <c r="F170" s="447" t="str">
        <f>'Q100a-geral'!F579</f>
        <v>densidade demográfica, que é a população do município em relação à sua área (expressa em habitantes/km2)</v>
      </c>
      <c r="G170" s="188" t="str">
        <f>'Q100a-geral'!G579</f>
        <v>P/área</v>
      </c>
      <c r="H170" s="173" t="str">
        <f>'Q100a-geral'!H579</f>
        <v>benchmarking</v>
      </c>
      <c r="I170" s="167" t="str">
        <f>'Q100a-geral'!I579</f>
        <v>x</v>
      </c>
      <c r="J170" s="58" t="str">
        <f>'Q100a-geral'!J579</f>
        <v>x</v>
      </c>
      <c r="K170" s="58" t="str">
        <f>'Q100a-geral'!K579</f>
        <v>x</v>
      </c>
      <c r="L170" s="58" t="str">
        <f>'Q100a-geral'!L579</f>
        <v>x</v>
      </c>
      <c r="M170" s="58" t="str">
        <f>'Q100a-geral'!M579</f>
        <v>x</v>
      </c>
      <c r="N170" s="58" t="str">
        <f>'Q100a-geral'!N579</f>
        <v>x</v>
      </c>
      <c r="O170" s="58" t="str">
        <f>'Q100a-geral'!O579</f>
        <v>x</v>
      </c>
      <c r="P170" s="58" t="str">
        <f>'Q100a-geral'!P579</f>
        <v>x</v>
      </c>
      <c r="Q170" s="58" t="str">
        <f>'Q100a-geral'!Q579</f>
        <v>x</v>
      </c>
      <c r="R170" s="58" t="str">
        <f>'Q100a-geral'!R579</f>
        <v>x</v>
      </c>
      <c r="S170" s="107" t="str">
        <f>'Q100a-geral'!S579</f>
        <v>só para pesquisa</v>
      </c>
      <c r="T170" s="58" t="str">
        <f>'Q100a-geral'!T579</f>
        <v>x</v>
      </c>
      <c r="U170" s="58" t="str">
        <f>'Q100a-geral'!U579</f>
        <v>x</v>
      </c>
      <c r="V170" s="107" t="str">
        <f>'Q100a-geral'!V579</f>
        <v>só para pesquisa</v>
      </c>
      <c r="W170" s="58" t="str">
        <f>'Q100a-geral'!W579</f>
        <v>x</v>
      </c>
      <c r="X170" s="58" t="str">
        <f>'Q100a-geral'!X579</f>
        <v>x</v>
      </c>
      <c r="Y170" s="58" t="str">
        <f>'Q100a-geral'!Y579</f>
        <v>x</v>
      </c>
      <c r="Z170" s="58" t="str">
        <f>'Q100a-geral'!Z579</f>
        <v>x</v>
      </c>
      <c r="AA170" s="58" t="str">
        <f>'Q100a-geral'!AA579</f>
        <v>x</v>
      </c>
      <c r="AB170" s="58" t="str">
        <f>'Q100a-geral'!AB579</f>
        <v>x</v>
      </c>
      <c r="AC170" s="58" t="str">
        <f>'Q100a-geral'!AC579</f>
        <v>x</v>
      </c>
      <c r="AD170" s="58" t="str">
        <f>'Q100a-geral'!AD579</f>
        <v>x</v>
      </c>
      <c r="AE170" s="58" t="str">
        <f>'Q100a-geral'!AE579</f>
        <v>x</v>
      </c>
      <c r="AF170" s="44">
        <f>'Q100a-geral'!AF579</f>
        <v>14.225208802982747</v>
      </c>
      <c r="AG170" s="58" t="str">
        <f>'Q100a-geral'!AG579</f>
        <v>x</v>
      </c>
      <c r="AH170" s="58" t="str">
        <f>'Q100a-geral'!AH579</f>
        <v>x</v>
      </c>
      <c r="AI170" s="58" t="str">
        <f>'Q100a-geral'!AI579</f>
        <v>x</v>
      </c>
      <c r="AJ170" s="58" t="str">
        <f>'Q100a-geral'!AJ579</f>
        <v>x</v>
      </c>
      <c r="AK170" s="137" t="str">
        <f>'Q100a-geral'!AK579</f>
        <v>x</v>
      </c>
      <c r="AL170" s="173" t="str">
        <f>'Q100a-geral'!AL579</f>
        <v>x</v>
      </c>
      <c r="AM170" s="137" t="str">
        <f>'Q100a-geral'!AM579</f>
        <v>x</v>
      </c>
      <c r="AN170" s="137" t="str">
        <f>'Q100a-geral'!AN579</f>
        <v>x</v>
      </c>
      <c r="AO170" s="137" t="str">
        <f>'Q100a-geral'!AO579</f>
        <v>x</v>
      </c>
      <c r="AP170" s="137" t="str">
        <f>'Q100a-geral'!AP579</f>
        <v>x</v>
      </c>
      <c r="AQ170" s="137" t="str">
        <f>'Q100a-geral'!AQ579</f>
        <v>x</v>
      </c>
      <c r="AR170" s="137"/>
      <c r="AS170" s="137"/>
      <c r="AT170" s="137"/>
      <c r="AU170" s="137"/>
      <c r="AV170" s="137" t="str">
        <f>'Q100a-geral'!AV579</f>
        <v>x</v>
      </c>
      <c r="AW170" s="137"/>
      <c r="AX170" s="137"/>
      <c r="AY170" s="137"/>
      <c r="AZ170" s="137"/>
      <c r="BA170" s="137" t="str">
        <f>'Q100a-geral'!BA579</f>
        <v>x</v>
      </c>
      <c r="BB170" s="239" t="str">
        <f>'Q100a-geral'!BB579</f>
        <v>Populaçãox</v>
      </c>
      <c r="BC170" s="239" t="str">
        <f>'Q100a-geral'!BC579</f>
        <v>Populaçãoxbenchmarking</v>
      </c>
      <c r="BD170" s="239" t="str">
        <f>'Q100a-geral'!BD579</f>
        <v>Populaçãobenchmarking</v>
      </c>
    </row>
    <row r="171" spans="1:58" s="1" customFormat="1" ht="28.5" customHeight="1" x14ac:dyDescent="0.25">
      <c r="A171" s="275" t="str">
        <f>'Q100a-geral'!A580</f>
        <v>2.4</v>
      </c>
      <c r="B171" s="54" t="str">
        <f>'Q100a-geral'!B580</f>
        <v>População</v>
      </c>
      <c r="C171" s="230" t="str">
        <f>'Q100a-geral'!C580</f>
        <v>x</v>
      </c>
      <c r="D171" s="50" t="str">
        <f>'Q100a-geral'!D580</f>
        <v>densidade populacional</v>
      </c>
      <c r="E171" s="467" t="str">
        <f>'Q100a-geral'!E580</f>
        <v>Betim</v>
      </c>
      <c r="F171" s="447" t="str">
        <f>'Q100a-geral'!F580</f>
        <v>densidade demográfica, que é a população do município em relação à sua área (expressa em habitantes/km2)</v>
      </c>
      <c r="G171" s="188" t="str">
        <f>'Q100a-geral'!G580</f>
        <v>P/área</v>
      </c>
      <c r="H171" s="173" t="str">
        <f>'Q100a-geral'!H580</f>
        <v>benchmarking</v>
      </c>
      <c r="I171" s="167" t="str">
        <f>'Q100a-geral'!I580</f>
        <v>x</v>
      </c>
      <c r="J171" s="58" t="str">
        <f>'Q100a-geral'!J580</f>
        <v>x</v>
      </c>
      <c r="K171" s="58" t="str">
        <f>'Q100a-geral'!K580</f>
        <v>x</v>
      </c>
      <c r="L171" s="58" t="str">
        <f>'Q100a-geral'!L580</f>
        <v>x</v>
      </c>
      <c r="M171" s="58" t="str">
        <f>'Q100a-geral'!M580</f>
        <v>x</v>
      </c>
      <c r="N171" s="58" t="str">
        <f>'Q100a-geral'!N580</f>
        <v>x</v>
      </c>
      <c r="O171" s="58" t="str">
        <f>'Q100a-geral'!O580</f>
        <v>x</v>
      </c>
      <c r="P171" s="58" t="str">
        <f>'Q100a-geral'!P580</f>
        <v>x</v>
      </c>
      <c r="Q171" s="58" t="str">
        <f>'Q100a-geral'!Q580</f>
        <v>x</v>
      </c>
      <c r="R171" s="58" t="str">
        <f>'Q100a-geral'!R580</f>
        <v>x</v>
      </c>
      <c r="S171" s="107" t="str">
        <f>'Q100a-geral'!S580</f>
        <v>só para pesquisa</v>
      </c>
      <c r="T171" s="58" t="str">
        <f>'Q100a-geral'!T580</f>
        <v>x</v>
      </c>
      <c r="U171" s="58" t="str">
        <f>'Q100a-geral'!U580</f>
        <v>x</v>
      </c>
      <c r="V171" s="107" t="str">
        <f>'Q100a-geral'!V580</f>
        <v>só para pesquisa</v>
      </c>
      <c r="W171" s="58" t="str">
        <f>'Q100a-geral'!W580</f>
        <v>x</v>
      </c>
      <c r="X171" s="58" t="str">
        <f>'Q100a-geral'!X580</f>
        <v>x</v>
      </c>
      <c r="Y171" s="58" t="str">
        <f>'Q100a-geral'!Y580</f>
        <v>x</v>
      </c>
      <c r="Z171" s="58" t="str">
        <f>'Q100a-geral'!Z580</f>
        <v>x</v>
      </c>
      <c r="AA171" s="58" t="str">
        <f>'Q100a-geral'!AA580</f>
        <v>x</v>
      </c>
      <c r="AB171" s="58" t="str">
        <f>'Q100a-geral'!AB580</f>
        <v>x</v>
      </c>
      <c r="AC171" s="58" t="str">
        <f>'Q100a-geral'!AC580</f>
        <v>x</v>
      </c>
      <c r="AD171" s="58" t="str">
        <f>'Q100a-geral'!AD580</f>
        <v>x</v>
      </c>
      <c r="AE171" s="58" t="str">
        <f>'Q100a-geral'!AE580</f>
        <v>x</v>
      </c>
      <c r="AF171" s="44">
        <f>'Q100a-geral'!AF580</f>
        <v>1102.7954241846194</v>
      </c>
      <c r="AG171" s="58" t="str">
        <f>'Q100a-geral'!AG580</f>
        <v>x</v>
      </c>
      <c r="AH171" s="58" t="str">
        <f>'Q100a-geral'!AH580</f>
        <v>x</v>
      </c>
      <c r="AI171" s="58" t="str">
        <f>'Q100a-geral'!AI580</f>
        <v>x</v>
      </c>
      <c r="AJ171" s="58" t="str">
        <f>'Q100a-geral'!AJ580</f>
        <v>x</v>
      </c>
      <c r="AK171" s="137" t="str">
        <f>'Q100a-geral'!AK580</f>
        <v>x</v>
      </c>
      <c r="AL171" s="173" t="str">
        <f>'Q100a-geral'!AL580</f>
        <v>x</v>
      </c>
      <c r="AM171" s="137" t="str">
        <f>'Q100a-geral'!AM580</f>
        <v>x</v>
      </c>
      <c r="AN171" s="137" t="str">
        <f>'Q100a-geral'!AN580</f>
        <v>x</v>
      </c>
      <c r="AO171" s="137" t="str">
        <f>'Q100a-geral'!AO580</f>
        <v>x</v>
      </c>
      <c r="AP171" s="137" t="str">
        <f>'Q100a-geral'!AP580</f>
        <v>x</v>
      </c>
      <c r="AQ171" s="137" t="str">
        <f>'Q100a-geral'!AQ580</f>
        <v>x</v>
      </c>
      <c r="AR171" s="137"/>
      <c r="AS171" s="137"/>
      <c r="AT171" s="137"/>
      <c r="AU171" s="137"/>
      <c r="AV171" s="137" t="str">
        <f>'Q100a-geral'!AV580</f>
        <v>x</v>
      </c>
      <c r="AW171" s="137"/>
      <c r="AX171" s="137"/>
      <c r="AY171" s="137"/>
      <c r="AZ171" s="137"/>
      <c r="BA171" s="137" t="str">
        <f>'Q100a-geral'!BA580</f>
        <v>x</v>
      </c>
      <c r="BB171" s="239" t="str">
        <f>'Q100a-geral'!BB580</f>
        <v>Populaçãox</v>
      </c>
      <c r="BC171" s="239" t="str">
        <f>'Q100a-geral'!BC580</f>
        <v>Populaçãoxbenchmarking</v>
      </c>
      <c r="BD171" s="239" t="str">
        <f>'Q100a-geral'!BD580</f>
        <v>Populaçãobenchmarking</v>
      </c>
    </row>
    <row r="172" spans="1:58" s="1" customFormat="1" ht="28.5" customHeight="1" x14ac:dyDescent="0.25">
      <c r="A172" s="275" t="str">
        <f>'Q100a-geral'!A581</f>
        <v>2.4</v>
      </c>
      <c r="B172" s="54" t="str">
        <f>'Q100a-geral'!B581</f>
        <v>População</v>
      </c>
      <c r="C172" s="230" t="str">
        <f>'Q100a-geral'!C581</f>
        <v>x</v>
      </c>
      <c r="D172" s="9" t="str">
        <f>'Q100a-geral'!D581</f>
        <v>densidade populacional</v>
      </c>
      <c r="E172" s="5" t="str">
        <f>'Q100a-geral'!E581</f>
        <v>Belo Horizonte</v>
      </c>
      <c r="F172" s="447" t="str">
        <f>'Q100a-geral'!F581</f>
        <v>densidade demográfica de Belo Horizonte, que é a população do município em relação à sua área (expressa em habitantes/km2)</v>
      </c>
      <c r="G172" s="188" t="str">
        <f>'Q100a-geral'!G581</f>
        <v>P/área</v>
      </c>
      <c r="H172" s="173" t="str">
        <f>'Q100a-geral'!H581</f>
        <v>x</v>
      </c>
      <c r="I172" s="57">
        <f>'Q100a-geral'!I581</f>
        <v>1</v>
      </c>
      <c r="J172" s="58" t="str">
        <f>'Q100a-geral'!J581</f>
        <v>x</v>
      </c>
      <c r="K172" s="48">
        <f>'Q100a-geral'!K581</f>
        <v>6095.8388654194332</v>
      </c>
      <c r="L172" s="48">
        <f>'Q100a-geral'!L581</f>
        <v>6120.2232951116475</v>
      </c>
      <c r="M172" s="48">
        <f>'Q100a-geral'!M581</f>
        <v>6144.7042848521432</v>
      </c>
      <c r="N172" s="48">
        <f>'Q100a-geral'!N581</f>
        <v>6169.2818346409176</v>
      </c>
      <c r="O172" s="48">
        <f>'Q100a-geral'!O581</f>
        <v>6193.9589619794815</v>
      </c>
      <c r="P172" s="48">
        <f>'Q100a-geral'!P581</f>
        <v>6310.9474954737479</v>
      </c>
      <c r="Q172" s="48">
        <f>'Q100a-geral'!Q581</f>
        <v>6336.1919130959568</v>
      </c>
      <c r="R172" s="48">
        <f>'Q100a-geral'!R581</f>
        <v>6361.5359082679543</v>
      </c>
      <c r="S172" s="107" t="str">
        <f>'Q100a-geral'!S581</f>
        <v>só para pesquisa</v>
      </c>
      <c r="T172" s="48">
        <f>'Q100a-geral'!T581</f>
        <v>6386.9824984912493</v>
      </c>
      <c r="U172" s="48">
        <f>'Q100a-geral'!U581</f>
        <v>6754.7555823777921</v>
      </c>
      <c r="V172" s="107" t="str">
        <f>'Q100a-geral'!V581</f>
        <v>só para pesquisa</v>
      </c>
      <c r="W172" s="48">
        <f>'Q100a-geral'!W581</f>
        <v>6815.4103802051904</v>
      </c>
      <c r="X172" s="48">
        <f>'Q100a-geral'!X581</f>
        <v>6893.3856366928185</v>
      </c>
      <c r="Y172" s="48">
        <f>'Q100a-geral'!Y581</f>
        <v>6957.791188895595</v>
      </c>
      <c r="Z172" s="48">
        <f>'Q100a-geral'!Z581</f>
        <v>7092.8304164152087</v>
      </c>
      <c r="AA172" s="48">
        <f>'Q100a-geral'!AA581</f>
        <v>7167.5588412794214</v>
      </c>
      <c r="AB172" s="48">
        <f>'Q100a-geral'!AB581</f>
        <v>7241.7622208811108</v>
      </c>
      <c r="AC172" s="48">
        <f>'Q100a-geral'!AC581</f>
        <v>7281.0410380205194</v>
      </c>
      <c r="AD172" s="48">
        <f>'Q100a-geral'!AD581</f>
        <v>7346.5359082679543</v>
      </c>
      <c r="AE172" s="48">
        <f>'Q100a-geral'!AE581</f>
        <v>7400.7754978877492</v>
      </c>
      <c r="AF172" s="48">
        <f>'Q100a-geral'!AF581</f>
        <v>7167.0217260108639</v>
      </c>
      <c r="AG172" s="48">
        <f>'Q100a-geral'!AG581</f>
        <v>7198.67229933615</v>
      </c>
      <c r="AH172" s="48">
        <f>'Q100a-geral'!AH581</f>
        <v>7229.2848521424266</v>
      </c>
      <c r="AI172" s="48">
        <f>'Q100a-geral'!AI581</f>
        <v>7480.8841279420649</v>
      </c>
      <c r="AJ172" s="48">
        <f>'Q100a-geral'!AJ581</f>
        <v>7516.9251659625834</v>
      </c>
      <c r="AK172" s="137" t="str">
        <f>'Q100a-geral'!AK581</f>
        <v>x</v>
      </c>
      <c r="AL172" s="216" t="str">
        <f>'Q100a-geral'!AL581</f>
        <v>x</v>
      </c>
      <c r="AM172" s="137" t="str">
        <f>'Q100a-geral'!AM581</f>
        <v>x</v>
      </c>
      <c r="AN172" s="137" t="str">
        <f>'Q100a-geral'!AN581</f>
        <v>x</v>
      </c>
      <c r="AO172" s="137" t="str">
        <f>'Q100a-geral'!AO581</f>
        <v>x</v>
      </c>
      <c r="AP172" s="137" t="str">
        <f>'Q100a-geral'!AP581</f>
        <v>x</v>
      </c>
      <c r="AQ172" s="137" t="str">
        <f>'Q100a-geral'!AQ581</f>
        <v>x</v>
      </c>
      <c r="AR172" s="137"/>
      <c r="AS172" s="137"/>
      <c r="AT172" s="137"/>
      <c r="AU172" s="137"/>
      <c r="AV172" s="137" t="str">
        <f>'Q100a-geral'!AV581</f>
        <v>x</v>
      </c>
      <c r="AW172" s="137"/>
      <c r="AX172" s="137"/>
      <c r="AY172" s="137"/>
      <c r="AZ172" s="137"/>
      <c r="BA172" s="137" t="str">
        <f>'Q100a-geral'!BA581</f>
        <v>x</v>
      </c>
      <c r="BB172" s="239" t="str">
        <f>'Q100a-geral'!BB581</f>
        <v>Populaçãox</v>
      </c>
      <c r="BC172" s="239" t="str">
        <f>'Q100a-geral'!BC581</f>
        <v>Populaçãoxx</v>
      </c>
      <c r="BD172" s="239" t="str">
        <f>'Q100a-geral'!BD581</f>
        <v>Populaçãox</v>
      </c>
    </row>
    <row r="173" spans="1:58" s="1" customFormat="1" ht="28.5" customHeight="1" x14ac:dyDescent="0.25">
      <c r="A173" s="275" t="str">
        <f>'Q100a-geral'!A582</f>
        <v>2.4</v>
      </c>
      <c r="B173" s="54" t="str">
        <f>'Q100a-geral'!B582</f>
        <v>População</v>
      </c>
      <c r="C173" s="230" t="str">
        <f>'Q100a-geral'!C582</f>
        <v>x</v>
      </c>
      <c r="D173" s="36" t="str">
        <f>'Q100a-geral'!D582</f>
        <v>densidade populacional</v>
      </c>
      <c r="E173" s="464" t="str">
        <f>'Q100a-geral'!E582</f>
        <v>Brumadinho</v>
      </c>
      <c r="F173" s="447" t="str">
        <f>'Q100a-geral'!F582</f>
        <v>densidade demográfica, que é a população do município em relação à sua área (expressa em habitantes/km2)</v>
      </c>
      <c r="G173" s="188" t="str">
        <f>'Q100a-geral'!G582</f>
        <v>P/área</v>
      </c>
      <c r="H173" s="173" t="str">
        <f>'Q100a-geral'!H582</f>
        <v>benchmarking</v>
      </c>
      <c r="I173" s="167" t="str">
        <f>'Q100a-geral'!I582</f>
        <v>x</v>
      </c>
      <c r="J173" s="58" t="str">
        <f>'Q100a-geral'!J582</f>
        <v>x</v>
      </c>
      <c r="K173" s="58" t="str">
        <f>'Q100a-geral'!K582</f>
        <v>x</v>
      </c>
      <c r="L173" s="58" t="str">
        <f>'Q100a-geral'!L582</f>
        <v>x</v>
      </c>
      <c r="M173" s="58" t="str">
        <f>'Q100a-geral'!M582</f>
        <v>x</v>
      </c>
      <c r="N173" s="58" t="str">
        <f>'Q100a-geral'!N582</f>
        <v>x</v>
      </c>
      <c r="O173" s="58" t="str">
        <f>'Q100a-geral'!O582</f>
        <v>x</v>
      </c>
      <c r="P173" s="58" t="str">
        <f>'Q100a-geral'!P582</f>
        <v>x</v>
      </c>
      <c r="Q173" s="58" t="str">
        <f>'Q100a-geral'!Q582</f>
        <v>x</v>
      </c>
      <c r="R173" s="58" t="str">
        <f>'Q100a-geral'!R582</f>
        <v>x</v>
      </c>
      <c r="S173" s="107" t="str">
        <f>'Q100a-geral'!S582</f>
        <v>só para pesquisa</v>
      </c>
      <c r="T173" s="58" t="str">
        <f>'Q100a-geral'!T582</f>
        <v>x</v>
      </c>
      <c r="U173" s="58" t="str">
        <f>'Q100a-geral'!U582</f>
        <v>x</v>
      </c>
      <c r="V173" s="107" t="str">
        <f>'Q100a-geral'!V582</f>
        <v>só para pesquisa</v>
      </c>
      <c r="W173" s="58" t="str">
        <f>'Q100a-geral'!W582</f>
        <v>x</v>
      </c>
      <c r="X173" s="58" t="str">
        <f>'Q100a-geral'!X582</f>
        <v>x</v>
      </c>
      <c r="Y173" s="58" t="str">
        <f>'Q100a-geral'!Y582</f>
        <v>x</v>
      </c>
      <c r="Z173" s="58" t="str">
        <f>'Q100a-geral'!Z582</f>
        <v>x</v>
      </c>
      <c r="AA173" s="58" t="str">
        <f>'Q100a-geral'!AA582</f>
        <v>x</v>
      </c>
      <c r="AB173" s="58" t="str">
        <f>'Q100a-geral'!AB582</f>
        <v>x</v>
      </c>
      <c r="AC173" s="58" t="str">
        <f>'Q100a-geral'!AC582</f>
        <v>x</v>
      </c>
      <c r="AD173" s="58" t="str">
        <f>'Q100a-geral'!AD582</f>
        <v>x</v>
      </c>
      <c r="AE173" s="58" t="str">
        <f>'Q100a-geral'!AE582</f>
        <v>x</v>
      </c>
      <c r="AF173" s="44">
        <f>'Q100a-geral'!AF582</f>
        <v>53.129799166137552</v>
      </c>
      <c r="AG173" s="58" t="str">
        <f>'Q100a-geral'!AG582</f>
        <v>x</v>
      </c>
      <c r="AH173" s="58" t="str">
        <f>'Q100a-geral'!AH582</f>
        <v>x</v>
      </c>
      <c r="AI173" s="58" t="str">
        <f>'Q100a-geral'!AI582</f>
        <v>x</v>
      </c>
      <c r="AJ173" s="58" t="str">
        <f>'Q100a-geral'!AJ582</f>
        <v>x</v>
      </c>
      <c r="AK173" s="137" t="str">
        <f>'Q100a-geral'!AK582</f>
        <v>x</v>
      </c>
      <c r="AL173" s="173" t="str">
        <f>'Q100a-geral'!AL582</f>
        <v>x</v>
      </c>
      <c r="AM173" s="137" t="str">
        <f>'Q100a-geral'!AM582</f>
        <v>x</v>
      </c>
      <c r="AN173" s="137" t="str">
        <f>'Q100a-geral'!AN582</f>
        <v>x</v>
      </c>
      <c r="AO173" s="137" t="str">
        <f>'Q100a-geral'!AO582</f>
        <v>x</v>
      </c>
      <c r="AP173" s="137" t="str">
        <f>'Q100a-geral'!AP582</f>
        <v>x</v>
      </c>
      <c r="AQ173" s="137" t="str">
        <f>'Q100a-geral'!AQ582</f>
        <v>x</v>
      </c>
      <c r="AR173" s="137"/>
      <c r="AS173" s="137"/>
      <c r="AT173" s="137"/>
      <c r="AU173" s="137"/>
      <c r="AV173" s="137" t="str">
        <f>'Q100a-geral'!AV582</f>
        <v>x</v>
      </c>
      <c r="AW173" s="137"/>
      <c r="AX173" s="137"/>
      <c r="AY173" s="137"/>
      <c r="AZ173" s="137"/>
      <c r="BA173" s="137" t="str">
        <f>'Q100a-geral'!BA582</f>
        <v>x</v>
      </c>
      <c r="BB173" s="239" t="str">
        <f>'Q100a-geral'!BB582</f>
        <v>Populaçãox</v>
      </c>
      <c r="BC173" s="239" t="str">
        <f>'Q100a-geral'!BC582</f>
        <v>Populaçãoxbenchmarking</v>
      </c>
      <c r="BD173" s="239" t="str">
        <f>'Q100a-geral'!BD582</f>
        <v>Populaçãobenchmarking</v>
      </c>
    </row>
    <row r="174" spans="1:58" s="1" customFormat="1" ht="28.5" customHeight="1" x14ac:dyDescent="0.25">
      <c r="A174" s="275" t="str">
        <f>'Q100a-geral'!A583</f>
        <v>2.4</v>
      </c>
      <c r="B174" s="54" t="str">
        <f>'Q100a-geral'!B583</f>
        <v>População</v>
      </c>
      <c r="C174" s="230" t="str">
        <f>'Q100a-geral'!C583</f>
        <v>x</v>
      </c>
      <c r="D174" s="36" t="str">
        <f>'Q100a-geral'!D583</f>
        <v>densidade populacional</v>
      </c>
      <c r="E174" s="464" t="str">
        <f>'Q100a-geral'!E583</f>
        <v>Caeté</v>
      </c>
      <c r="F174" s="447" t="str">
        <f>'Q100a-geral'!F583</f>
        <v>densidade demográfica, que é a população do município em relação à sua área (expressa em habitantes/km2)</v>
      </c>
      <c r="G174" s="188" t="str">
        <f>'Q100a-geral'!G583</f>
        <v>P/área</v>
      </c>
      <c r="H174" s="173" t="str">
        <f>'Q100a-geral'!H583</f>
        <v>benchmarking</v>
      </c>
      <c r="I174" s="167" t="str">
        <f>'Q100a-geral'!I583</f>
        <v>x</v>
      </c>
      <c r="J174" s="58" t="str">
        <f>'Q100a-geral'!J583</f>
        <v>x</v>
      </c>
      <c r="K174" s="58" t="str">
        <f>'Q100a-geral'!K583</f>
        <v>x</v>
      </c>
      <c r="L174" s="58" t="str">
        <f>'Q100a-geral'!L583</f>
        <v>x</v>
      </c>
      <c r="M174" s="58" t="str">
        <f>'Q100a-geral'!M583</f>
        <v>x</v>
      </c>
      <c r="N174" s="58" t="str">
        <f>'Q100a-geral'!N583</f>
        <v>x</v>
      </c>
      <c r="O174" s="58" t="str">
        <f>'Q100a-geral'!O583</f>
        <v>x</v>
      </c>
      <c r="P174" s="58" t="str">
        <f>'Q100a-geral'!P583</f>
        <v>x</v>
      </c>
      <c r="Q174" s="58" t="str">
        <f>'Q100a-geral'!Q583</f>
        <v>x</v>
      </c>
      <c r="R174" s="58" t="str">
        <f>'Q100a-geral'!R583</f>
        <v>x</v>
      </c>
      <c r="S174" s="107" t="str">
        <f>'Q100a-geral'!S583</f>
        <v>só para pesquisa</v>
      </c>
      <c r="T174" s="58" t="str">
        <f>'Q100a-geral'!T583</f>
        <v>x</v>
      </c>
      <c r="U174" s="58" t="str">
        <f>'Q100a-geral'!U583</f>
        <v>x</v>
      </c>
      <c r="V174" s="107" t="str">
        <f>'Q100a-geral'!V583</f>
        <v>só para pesquisa</v>
      </c>
      <c r="W174" s="58" t="str">
        <f>'Q100a-geral'!W583</f>
        <v>x</v>
      </c>
      <c r="X174" s="58" t="str">
        <f>'Q100a-geral'!X583</f>
        <v>x</v>
      </c>
      <c r="Y174" s="58" t="str">
        <f>'Q100a-geral'!Y583</f>
        <v>x</v>
      </c>
      <c r="Z174" s="58" t="str">
        <f>'Q100a-geral'!Z583</f>
        <v>x</v>
      </c>
      <c r="AA174" s="58" t="str">
        <f>'Q100a-geral'!AA583</f>
        <v>x</v>
      </c>
      <c r="AB174" s="58" t="str">
        <f>'Q100a-geral'!AB583</f>
        <v>x</v>
      </c>
      <c r="AC174" s="58" t="str">
        <f>'Q100a-geral'!AC583</f>
        <v>x</v>
      </c>
      <c r="AD174" s="58" t="str">
        <f>'Q100a-geral'!AD583</f>
        <v>x</v>
      </c>
      <c r="AE174" s="58" t="str">
        <f>'Q100a-geral'!AE583</f>
        <v>x</v>
      </c>
      <c r="AF174" s="44">
        <f>'Q100a-geral'!AF583</f>
        <v>75.105377913673962</v>
      </c>
      <c r="AG174" s="58" t="str">
        <f>'Q100a-geral'!AG583</f>
        <v>x</v>
      </c>
      <c r="AH174" s="58" t="str">
        <f>'Q100a-geral'!AH583</f>
        <v>x</v>
      </c>
      <c r="AI174" s="58" t="str">
        <f>'Q100a-geral'!AI583</f>
        <v>x</v>
      </c>
      <c r="AJ174" s="58" t="str">
        <f>'Q100a-geral'!AJ583</f>
        <v>x</v>
      </c>
      <c r="AK174" s="137" t="str">
        <f>'Q100a-geral'!AK583</f>
        <v>x</v>
      </c>
      <c r="AL174" s="173" t="str">
        <f>'Q100a-geral'!AL583</f>
        <v>x</v>
      </c>
      <c r="AM174" s="137" t="str">
        <f>'Q100a-geral'!AM583</f>
        <v>x</v>
      </c>
      <c r="AN174" s="137" t="str">
        <f>'Q100a-geral'!AN583</f>
        <v>x</v>
      </c>
      <c r="AO174" s="137" t="str">
        <f>'Q100a-geral'!AO583</f>
        <v>x</v>
      </c>
      <c r="AP174" s="137" t="str">
        <f>'Q100a-geral'!AP583</f>
        <v>x</v>
      </c>
      <c r="AQ174" s="137" t="str">
        <f>'Q100a-geral'!AQ583</f>
        <v>x</v>
      </c>
      <c r="AR174" s="137"/>
      <c r="AS174" s="137"/>
      <c r="AT174" s="137"/>
      <c r="AU174" s="137"/>
      <c r="AV174" s="137" t="str">
        <f>'Q100a-geral'!AV583</f>
        <v>x</v>
      </c>
      <c r="AW174" s="137"/>
      <c r="AX174" s="137"/>
      <c r="AY174" s="137"/>
      <c r="AZ174" s="137"/>
      <c r="BA174" s="137" t="str">
        <f>'Q100a-geral'!BA583</f>
        <v>x</v>
      </c>
      <c r="BB174" s="239" t="str">
        <f>'Q100a-geral'!BB583</f>
        <v>Populaçãox</v>
      </c>
      <c r="BC174" s="239" t="str">
        <f>'Q100a-geral'!BC583</f>
        <v>Populaçãoxbenchmarking</v>
      </c>
      <c r="BD174" s="239" t="str">
        <f>'Q100a-geral'!BD583</f>
        <v>Populaçãobenchmarking</v>
      </c>
    </row>
    <row r="175" spans="1:58" s="1" customFormat="1" ht="28.5" customHeight="1" x14ac:dyDescent="0.25">
      <c r="A175" s="275" t="str">
        <f>'Q100a-geral'!A584</f>
        <v>2.4</v>
      </c>
      <c r="B175" s="54" t="str">
        <f>'Q100a-geral'!B584</f>
        <v>População</v>
      </c>
      <c r="C175" s="230" t="str">
        <f>'Q100a-geral'!C584</f>
        <v>x</v>
      </c>
      <c r="D175" s="36" t="str">
        <f>'Q100a-geral'!D584</f>
        <v>densidade populacional</v>
      </c>
      <c r="E175" s="464" t="str">
        <f>'Q100a-geral'!E584</f>
        <v>Capim Branco</v>
      </c>
      <c r="F175" s="447" t="str">
        <f>'Q100a-geral'!F584</f>
        <v>densidade demográfica, que é a população do município em relação à sua área (expressa em habitantes/km2)</v>
      </c>
      <c r="G175" s="188" t="str">
        <f>'Q100a-geral'!G584</f>
        <v>P/área</v>
      </c>
      <c r="H175" s="173" t="str">
        <f>'Q100a-geral'!H584</f>
        <v>benchmarking</v>
      </c>
      <c r="I175" s="167" t="str">
        <f>'Q100a-geral'!I584</f>
        <v>x</v>
      </c>
      <c r="J175" s="58" t="str">
        <f>'Q100a-geral'!J584</f>
        <v>x</v>
      </c>
      <c r="K175" s="58" t="str">
        <f>'Q100a-geral'!K584</f>
        <v>x</v>
      </c>
      <c r="L175" s="58" t="str">
        <f>'Q100a-geral'!L584</f>
        <v>x</v>
      </c>
      <c r="M175" s="58" t="str">
        <f>'Q100a-geral'!M584</f>
        <v>x</v>
      </c>
      <c r="N175" s="58" t="str">
        <f>'Q100a-geral'!N584</f>
        <v>x</v>
      </c>
      <c r="O175" s="58" t="str">
        <f>'Q100a-geral'!O584</f>
        <v>x</v>
      </c>
      <c r="P175" s="58" t="str">
        <f>'Q100a-geral'!P584</f>
        <v>x</v>
      </c>
      <c r="Q175" s="58" t="str">
        <f>'Q100a-geral'!Q584</f>
        <v>x</v>
      </c>
      <c r="R175" s="58" t="str">
        <f>'Q100a-geral'!R584</f>
        <v>x</v>
      </c>
      <c r="S175" s="107" t="str">
        <f>'Q100a-geral'!S584</f>
        <v>só para pesquisa</v>
      </c>
      <c r="T175" s="58" t="str">
        <f>'Q100a-geral'!T584</f>
        <v>x</v>
      </c>
      <c r="U175" s="58" t="str">
        <f>'Q100a-geral'!U584</f>
        <v>x</v>
      </c>
      <c r="V175" s="107" t="str">
        <f>'Q100a-geral'!V584</f>
        <v>só para pesquisa</v>
      </c>
      <c r="W175" s="58" t="str">
        <f>'Q100a-geral'!W584</f>
        <v>x</v>
      </c>
      <c r="X175" s="58" t="str">
        <f>'Q100a-geral'!X584</f>
        <v>x</v>
      </c>
      <c r="Y175" s="58" t="str">
        <f>'Q100a-geral'!Y584</f>
        <v>x</v>
      </c>
      <c r="Z175" s="58" t="str">
        <f>'Q100a-geral'!Z584</f>
        <v>x</v>
      </c>
      <c r="AA175" s="58" t="str">
        <f>'Q100a-geral'!AA584</f>
        <v>x</v>
      </c>
      <c r="AB175" s="58" t="str">
        <f>'Q100a-geral'!AB584</f>
        <v>x</v>
      </c>
      <c r="AC175" s="58" t="str">
        <f>'Q100a-geral'!AC584</f>
        <v>x</v>
      </c>
      <c r="AD175" s="58" t="str">
        <f>'Q100a-geral'!AD584</f>
        <v>x</v>
      </c>
      <c r="AE175" s="58" t="str">
        <f>'Q100a-geral'!AE584</f>
        <v>x</v>
      </c>
      <c r="AF175" s="44">
        <f>'Q100a-geral'!AF584</f>
        <v>93.157668383455885</v>
      </c>
      <c r="AG175" s="58" t="str">
        <f>'Q100a-geral'!AG584</f>
        <v>x</v>
      </c>
      <c r="AH175" s="58" t="str">
        <f>'Q100a-geral'!AH584</f>
        <v>x</v>
      </c>
      <c r="AI175" s="58" t="str">
        <f>'Q100a-geral'!AI584</f>
        <v>x</v>
      </c>
      <c r="AJ175" s="58" t="str">
        <f>'Q100a-geral'!AJ584</f>
        <v>x</v>
      </c>
      <c r="AK175" s="137" t="str">
        <f>'Q100a-geral'!AK584</f>
        <v>x</v>
      </c>
      <c r="AL175" s="173" t="str">
        <f>'Q100a-geral'!AL584</f>
        <v>x</v>
      </c>
      <c r="AM175" s="137" t="str">
        <f>'Q100a-geral'!AM584</f>
        <v>x</v>
      </c>
      <c r="AN175" s="137" t="str">
        <f>'Q100a-geral'!AN584</f>
        <v>x</v>
      </c>
      <c r="AO175" s="137" t="str">
        <f>'Q100a-geral'!AO584</f>
        <v>x</v>
      </c>
      <c r="AP175" s="137" t="str">
        <f>'Q100a-geral'!AP584</f>
        <v>x</v>
      </c>
      <c r="AQ175" s="137" t="str">
        <f>'Q100a-geral'!AQ584</f>
        <v>x</v>
      </c>
      <c r="AR175" s="137"/>
      <c r="AS175" s="137"/>
      <c r="AT175" s="137"/>
      <c r="AU175" s="137"/>
      <c r="AV175" s="137" t="str">
        <f>'Q100a-geral'!AV584</f>
        <v>x</v>
      </c>
      <c r="AW175" s="137"/>
      <c r="AX175" s="137"/>
      <c r="AY175" s="137"/>
      <c r="AZ175" s="137"/>
      <c r="BA175" s="137" t="str">
        <f>'Q100a-geral'!BA584</f>
        <v>x</v>
      </c>
      <c r="BB175" s="239" t="str">
        <f>'Q100a-geral'!BB584</f>
        <v>Populaçãox</v>
      </c>
      <c r="BC175" s="239" t="str">
        <f>'Q100a-geral'!BC584</f>
        <v>Populaçãoxbenchmarking</v>
      </c>
      <c r="BD175" s="239" t="str">
        <f>'Q100a-geral'!BD584</f>
        <v>Populaçãobenchmarking</v>
      </c>
    </row>
    <row r="176" spans="1:58" s="1" customFormat="1" ht="28.5" customHeight="1" x14ac:dyDescent="0.25">
      <c r="A176" s="275" t="str">
        <f>'Q100a-geral'!A585</f>
        <v>2.4</v>
      </c>
      <c r="B176" s="54" t="str">
        <f>'Q100a-geral'!B585</f>
        <v>População</v>
      </c>
      <c r="C176" s="230" t="str">
        <f>'Q100a-geral'!C585</f>
        <v>x</v>
      </c>
      <c r="D176" s="36" t="str">
        <f>'Q100a-geral'!D585</f>
        <v>densidade populacional</v>
      </c>
      <c r="E176" s="464" t="str">
        <f>'Q100a-geral'!E585</f>
        <v>Confins</v>
      </c>
      <c r="F176" s="447" t="str">
        <f>'Q100a-geral'!F585</f>
        <v>densidade demográfica, que é a população do município em relação à sua área (expressa em habitantes/km2)</v>
      </c>
      <c r="G176" s="188" t="str">
        <f>'Q100a-geral'!G585</f>
        <v>P/área</v>
      </c>
      <c r="H176" s="173" t="str">
        <f>'Q100a-geral'!H585</f>
        <v>benchmarking</v>
      </c>
      <c r="I176" s="167" t="str">
        <f>'Q100a-geral'!I585</f>
        <v>x</v>
      </c>
      <c r="J176" s="58" t="str">
        <f>'Q100a-geral'!J585</f>
        <v>x</v>
      </c>
      <c r="K176" s="58" t="str">
        <f>'Q100a-geral'!K585</f>
        <v>x</v>
      </c>
      <c r="L176" s="58" t="str">
        <f>'Q100a-geral'!L585</f>
        <v>x</v>
      </c>
      <c r="M176" s="58" t="str">
        <f>'Q100a-geral'!M585</f>
        <v>x</v>
      </c>
      <c r="N176" s="58" t="str">
        <f>'Q100a-geral'!N585</f>
        <v>x</v>
      </c>
      <c r="O176" s="58" t="str">
        <f>'Q100a-geral'!O585</f>
        <v>x</v>
      </c>
      <c r="P176" s="58" t="str">
        <f>'Q100a-geral'!P585</f>
        <v>x</v>
      </c>
      <c r="Q176" s="58" t="str">
        <f>'Q100a-geral'!Q585</f>
        <v>x</v>
      </c>
      <c r="R176" s="58" t="str">
        <f>'Q100a-geral'!R585</f>
        <v>x</v>
      </c>
      <c r="S176" s="107" t="str">
        <f>'Q100a-geral'!S585</f>
        <v>só para pesquisa</v>
      </c>
      <c r="T176" s="58" t="str">
        <f>'Q100a-geral'!T585</f>
        <v>x</v>
      </c>
      <c r="U176" s="58" t="str">
        <f>'Q100a-geral'!U585</f>
        <v>x</v>
      </c>
      <c r="V176" s="107" t="str">
        <f>'Q100a-geral'!V585</f>
        <v>só para pesquisa</v>
      </c>
      <c r="W176" s="58" t="str">
        <f>'Q100a-geral'!W585</f>
        <v>x</v>
      </c>
      <c r="X176" s="58" t="str">
        <f>'Q100a-geral'!X585</f>
        <v>x</v>
      </c>
      <c r="Y176" s="58" t="str">
        <f>'Q100a-geral'!Y585</f>
        <v>x</v>
      </c>
      <c r="Z176" s="58" t="str">
        <f>'Q100a-geral'!Z585</f>
        <v>x</v>
      </c>
      <c r="AA176" s="58" t="str">
        <f>'Q100a-geral'!AA585</f>
        <v>x</v>
      </c>
      <c r="AB176" s="58" t="str">
        <f>'Q100a-geral'!AB585</f>
        <v>x</v>
      </c>
      <c r="AC176" s="58" t="str">
        <f>'Q100a-geral'!AC585</f>
        <v>x</v>
      </c>
      <c r="AD176" s="58" t="str">
        <f>'Q100a-geral'!AD585</f>
        <v>x</v>
      </c>
      <c r="AE176" s="58" t="str">
        <f>'Q100a-geral'!AE585</f>
        <v>x</v>
      </c>
      <c r="AF176" s="44">
        <f>'Q100a-geral'!AF585</f>
        <v>140.14874276944872</v>
      </c>
      <c r="AG176" s="58" t="str">
        <f>'Q100a-geral'!AG585</f>
        <v>x</v>
      </c>
      <c r="AH176" s="58" t="str">
        <f>'Q100a-geral'!AH585</f>
        <v>x</v>
      </c>
      <c r="AI176" s="58" t="str">
        <f>'Q100a-geral'!AI585</f>
        <v>x</v>
      </c>
      <c r="AJ176" s="58" t="str">
        <f>'Q100a-geral'!AJ585</f>
        <v>x</v>
      </c>
      <c r="AK176" s="137" t="str">
        <f>'Q100a-geral'!AK585</f>
        <v>x</v>
      </c>
      <c r="AL176" s="173" t="str">
        <f>'Q100a-geral'!AL585</f>
        <v>x</v>
      </c>
      <c r="AM176" s="137" t="str">
        <f>'Q100a-geral'!AM585</f>
        <v>x</v>
      </c>
      <c r="AN176" s="137" t="str">
        <f>'Q100a-geral'!AN585</f>
        <v>x</v>
      </c>
      <c r="AO176" s="137" t="str">
        <f>'Q100a-geral'!AO585</f>
        <v>x</v>
      </c>
      <c r="AP176" s="137" t="str">
        <f>'Q100a-geral'!AP585</f>
        <v>x</v>
      </c>
      <c r="AQ176" s="137" t="str">
        <f>'Q100a-geral'!AQ585</f>
        <v>x</v>
      </c>
      <c r="AR176" s="137"/>
      <c r="AS176" s="137"/>
      <c r="AT176" s="137"/>
      <c r="AU176" s="137"/>
      <c r="AV176" s="137" t="str">
        <f>'Q100a-geral'!AV585</f>
        <v>x</v>
      </c>
      <c r="AW176" s="137"/>
      <c r="AX176" s="137"/>
      <c r="AY176" s="137"/>
      <c r="AZ176" s="137"/>
      <c r="BA176" s="137" t="str">
        <f>'Q100a-geral'!BA585</f>
        <v>x</v>
      </c>
      <c r="BB176" s="239" t="str">
        <f>'Q100a-geral'!BB585</f>
        <v>Populaçãox</v>
      </c>
      <c r="BC176" s="239" t="str">
        <f>'Q100a-geral'!BC585</f>
        <v>Populaçãoxbenchmarking</v>
      </c>
      <c r="BD176" s="239" t="str">
        <f>'Q100a-geral'!BD585</f>
        <v>Populaçãobenchmarking</v>
      </c>
    </row>
    <row r="177" spans="1:56" s="1" customFormat="1" ht="28.5" customHeight="1" x14ac:dyDescent="0.25">
      <c r="A177" s="275" t="str">
        <f>'Q100a-geral'!A586</f>
        <v>2.4</v>
      </c>
      <c r="B177" s="54" t="str">
        <f>'Q100a-geral'!B586</f>
        <v>População</v>
      </c>
      <c r="C177" s="230" t="str">
        <f>'Q100a-geral'!C586</f>
        <v>x</v>
      </c>
      <c r="D177" s="36" t="str">
        <f>'Q100a-geral'!D586</f>
        <v>densidade populacional</v>
      </c>
      <c r="E177" s="464" t="str">
        <f>'Q100a-geral'!E586</f>
        <v>Contagem</v>
      </c>
      <c r="F177" s="447" t="str">
        <f>'Q100a-geral'!F586</f>
        <v>densidade demográfica, que é a população do município em relação à sua área (expressa em habitantes/km2)</v>
      </c>
      <c r="G177" s="188" t="str">
        <f>'Q100a-geral'!G586</f>
        <v>P/área</v>
      </c>
      <c r="H177" s="173" t="str">
        <f>'Q100a-geral'!H586</f>
        <v>benchmarking</v>
      </c>
      <c r="I177" s="167" t="str">
        <f>'Q100a-geral'!I586</f>
        <v>x</v>
      </c>
      <c r="J177" s="58" t="str">
        <f>'Q100a-geral'!J586</f>
        <v>x</v>
      </c>
      <c r="K177" s="58" t="str">
        <f>'Q100a-geral'!K586</f>
        <v>x</v>
      </c>
      <c r="L177" s="58" t="str">
        <f>'Q100a-geral'!L586</f>
        <v>x</v>
      </c>
      <c r="M177" s="58" t="str">
        <f>'Q100a-geral'!M586</f>
        <v>x</v>
      </c>
      <c r="N177" s="58" t="str">
        <f>'Q100a-geral'!N586</f>
        <v>x</v>
      </c>
      <c r="O177" s="58" t="str">
        <f>'Q100a-geral'!O586</f>
        <v>x</v>
      </c>
      <c r="P177" s="58" t="str">
        <f>'Q100a-geral'!P586</f>
        <v>x</v>
      </c>
      <c r="Q177" s="58" t="str">
        <f>'Q100a-geral'!Q586</f>
        <v>x</v>
      </c>
      <c r="R177" s="58" t="str">
        <f>'Q100a-geral'!R586</f>
        <v>x</v>
      </c>
      <c r="S177" s="107" t="str">
        <f>'Q100a-geral'!S586</f>
        <v>só para pesquisa</v>
      </c>
      <c r="T177" s="58" t="str">
        <f>'Q100a-geral'!T586</f>
        <v>x</v>
      </c>
      <c r="U177" s="58" t="str">
        <f>'Q100a-geral'!U586</f>
        <v>x</v>
      </c>
      <c r="V177" s="107" t="str">
        <f>'Q100a-geral'!V586</f>
        <v>só para pesquisa</v>
      </c>
      <c r="W177" s="58" t="str">
        <f>'Q100a-geral'!W586</f>
        <v>x</v>
      </c>
      <c r="X177" s="58" t="str">
        <f>'Q100a-geral'!X586</f>
        <v>x</v>
      </c>
      <c r="Y177" s="58" t="str">
        <f>'Q100a-geral'!Y586</f>
        <v>x</v>
      </c>
      <c r="Z177" s="58" t="str">
        <f>'Q100a-geral'!Z586</f>
        <v>x</v>
      </c>
      <c r="AA177" s="58" t="str">
        <f>'Q100a-geral'!AA586</f>
        <v>x</v>
      </c>
      <c r="AB177" s="58" t="str">
        <f>'Q100a-geral'!AB586</f>
        <v>x</v>
      </c>
      <c r="AC177" s="58" t="str">
        <f>'Q100a-geral'!AC586</f>
        <v>x</v>
      </c>
      <c r="AD177" s="58" t="str">
        <f>'Q100a-geral'!AD586</f>
        <v>x</v>
      </c>
      <c r="AE177" s="58" t="str">
        <f>'Q100a-geral'!AE586</f>
        <v>x</v>
      </c>
      <c r="AF177" s="44">
        <f>'Q100a-geral'!AF586</f>
        <v>3090.3271401356083</v>
      </c>
      <c r="AG177" s="58" t="str">
        <f>'Q100a-geral'!AG586</f>
        <v>x</v>
      </c>
      <c r="AH177" s="58" t="str">
        <f>'Q100a-geral'!AH586</f>
        <v>x</v>
      </c>
      <c r="AI177" s="58" t="str">
        <f>'Q100a-geral'!AI586</f>
        <v>x</v>
      </c>
      <c r="AJ177" s="58" t="str">
        <f>'Q100a-geral'!AJ586</f>
        <v>x</v>
      </c>
      <c r="AK177" s="137" t="str">
        <f>'Q100a-geral'!AK586</f>
        <v>x</v>
      </c>
      <c r="AL177" s="173" t="str">
        <f>'Q100a-geral'!AL586</f>
        <v>x</v>
      </c>
      <c r="AM177" s="137" t="str">
        <f>'Q100a-geral'!AM586</f>
        <v>x</v>
      </c>
      <c r="AN177" s="137" t="str">
        <f>'Q100a-geral'!AN586</f>
        <v>x</v>
      </c>
      <c r="AO177" s="137" t="str">
        <f>'Q100a-geral'!AO586</f>
        <v>x</v>
      </c>
      <c r="AP177" s="137" t="str">
        <f>'Q100a-geral'!AP586</f>
        <v>x</v>
      </c>
      <c r="AQ177" s="137" t="str">
        <f>'Q100a-geral'!AQ586</f>
        <v>x</v>
      </c>
      <c r="AR177" s="137"/>
      <c r="AS177" s="137"/>
      <c r="AT177" s="137"/>
      <c r="AU177" s="137"/>
      <c r="AV177" s="137" t="str">
        <f>'Q100a-geral'!AV586</f>
        <v>x</v>
      </c>
      <c r="AW177" s="137"/>
      <c r="AX177" s="137"/>
      <c r="AY177" s="137"/>
      <c r="AZ177" s="137"/>
      <c r="BA177" s="137" t="str">
        <f>'Q100a-geral'!BA586</f>
        <v>x</v>
      </c>
      <c r="BB177" s="239" t="str">
        <f>'Q100a-geral'!BB586</f>
        <v>Populaçãox</v>
      </c>
      <c r="BC177" s="239" t="str">
        <f>'Q100a-geral'!BC586</f>
        <v>Populaçãoxbenchmarking</v>
      </c>
      <c r="BD177" s="239" t="str">
        <f>'Q100a-geral'!BD586</f>
        <v>Populaçãobenchmarking</v>
      </c>
    </row>
    <row r="178" spans="1:56" s="1" customFormat="1" ht="28.5" customHeight="1" x14ac:dyDescent="0.25">
      <c r="A178" s="275" t="str">
        <f>'Q100a-geral'!A587</f>
        <v>2.4</v>
      </c>
      <c r="B178" s="54" t="str">
        <f>'Q100a-geral'!B587</f>
        <v>População</v>
      </c>
      <c r="C178" s="230" t="str">
        <f>'Q100a-geral'!C587</f>
        <v>x</v>
      </c>
      <c r="D178" s="36" t="str">
        <f>'Q100a-geral'!D587</f>
        <v>densidade populacional</v>
      </c>
      <c r="E178" s="464" t="str">
        <f>'Q100a-geral'!E587</f>
        <v>Esmeraldas</v>
      </c>
      <c r="F178" s="447" t="str">
        <f>'Q100a-geral'!F587</f>
        <v>densidade demográfica, que é a população do município em relação à sua área (expressa em habitantes/km2)</v>
      </c>
      <c r="G178" s="188" t="str">
        <f>'Q100a-geral'!G587</f>
        <v>P/área</v>
      </c>
      <c r="H178" s="173" t="str">
        <f>'Q100a-geral'!H587</f>
        <v>benchmarking</v>
      </c>
      <c r="I178" s="167" t="str">
        <f>'Q100a-geral'!I587</f>
        <v>x</v>
      </c>
      <c r="J178" s="58" t="str">
        <f>'Q100a-geral'!J587</f>
        <v>x</v>
      </c>
      <c r="K178" s="58" t="str">
        <f>'Q100a-geral'!K587</f>
        <v>x</v>
      </c>
      <c r="L178" s="58" t="str">
        <f>'Q100a-geral'!L587</f>
        <v>x</v>
      </c>
      <c r="M178" s="58" t="str">
        <f>'Q100a-geral'!M587</f>
        <v>x</v>
      </c>
      <c r="N178" s="58" t="str">
        <f>'Q100a-geral'!N587</f>
        <v>x</v>
      </c>
      <c r="O178" s="58" t="str">
        <f>'Q100a-geral'!O587</f>
        <v>x</v>
      </c>
      <c r="P178" s="58" t="str">
        <f>'Q100a-geral'!P587</f>
        <v>x</v>
      </c>
      <c r="Q178" s="58" t="str">
        <f>'Q100a-geral'!Q587</f>
        <v>x</v>
      </c>
      <c r="R178" s="58" t="str">
        <f>'Q100a-geral'!R587</f>
        <v>x</v>
      </c>
      <c r="S178" s="107" t="str">
        <f>'Q100a-geral'!S587</f>
        <v>só para pesquisa</v>
      </c>
      <c r="T178" s="58" t="str">
        <f>'Q100a-geral'!T587</f>
        <v>x</v>
      </c>
      <c r="U178" s="58" t="str">
        <f>'Q100a-geral'!U587</f>
        <v>x</v>
      </c>
      <c r="V178" s="107" t="str">
        <f>'Q100a-geral'!V587</f>
        <v>só para pesquisa</v>
      </c>
      <c r="W178" s="58" t="str">
        <f>'Q100a-geral'!W587</f>
        <v>x</v>
      </c>
      <c r="X178" s="58" t="str">
        <f>'Q100a-geral'!X587</f>
        <v>x</v>
      </c>
      <c r="Y178" s="58" t="str">
        <f>'Q100a-geral'!Y587</f>
        <v>x</v>
      </c>
      <c r="Z178" s="58" t="str">
        <f>'Q100a-geral'!Z587</f>
        <v>x</v>
      </c>
      <c r="AA178" s="58" t="str">
        <f>'Q100a-geral'!AA587</f>
        <v>x</v>
      </c>
      <c r="AB178" s="58" t="str">
        <f>'Q100a-geral'!AB587</f>
        <v>x</v>
      </c>
      <c r="AC178" s="58" t="str">
        <f>'Q100a-geral'!AC587</f>
        <v>x</v>
      </c>
      <c r="AD178" s="58" t="str">
        <f>'Q100a-geral'!AD587</f>
        <v>x</v>
      </c>
      <c r="AE178" s="58" t="str">
        <f>'Q100a-geral'!AE587</f>
        <v>x</v>
      </c>
      <c r="AF178" s="44">
        <f>'Q100a-geral'!AF587</f>
        <v>66.128823437764012</v>
      </c>
      <c r="AG178" s="58" t="str">
        <f>'Q100a-geral'!AG587</f>
        <v>x</v>
      </c>
      <c r="AH178" s="58" t="str">
        <f>'Q100a-geral'!AH587</f>
        <v>x</v>
      </c>
      <c r="AI178" s="58" t="str">
        <f>'Q100a-geral'!AI587</f>
        <v>x</v>
      </c>
      <c r="AJ178" s="58" t="str">
        <f>'Q100a-geral'!AJ587</f>
        <v>x</v>
      </c>
      <c r="AK178" s="137" t="str">
        <f>'Q100a-geral'!AK587</f>
        <v>x</v>
      </c>
      <c r="AL178" s="173" t="str">
        <f>'Q100a-geral'!AL587</f>
        <v>x</v>
      </c>
      <c r="AM178" s="137" t="str">
        <f>'Q100a-geral'!AM587</f>
        <v>x</v>
      </c>
      <c r="AN178" s="137" t="str">
        <f>'Q100a-geral'!AN587</f>
        <v>x</v>
      </c>
      <c r="AO178" s="137" t="str">
        <f>'Q100a-geral'!AO587</f>
        <v>x</v>
      </c>
      <c r="AP178" s="137" t="str">
        <f>'Q100a-geral'!AP587</f>
        <v>x</v>
      </c>
      <c r="AQ178" s="137" t="str">
        <f>'Q100a-geral'!AQ587</f>
        <v>x</v>
      </c>
      <c r="AR178" s="137"/>
      <c r="AS178" s="137"/>
      <c r="AT178" s="137"/>
      <c r="AU178" s="137"/>
      <c r="AV178" s="137" t="str">
        <f>'Q100a-geral'!AV587</f>
        <v>x</v>
      </c>
      <c r="AW178" s="137"/>
      <c r="AX178" s="137"/>
      <c r="AY178" s="137"/>
      <c r="AZ178" s="137"/>
      <c r="BA178" s="137" t="str">
        <f>'Q100a-geral'!BA587</f>
        <v>x</v>
      </c>
      <c r="BB178" s="239" t="str">
        <f>'Q100a-geral'!BB587</f>
        <v>Populaçãox</v>
      </c>
      <c r="BC178" s="239" t="str">
        <f>'Q100a-geral'!BC587</f>
        <v>Populaçãoxbenchmarking</v>
      </c>
      <c r="BD178" s="239" t="str">
        <f>'Q100a-geral'!BD587</f>
        <v>Populaçãobenchmarking</v>
      </c>
    </row>
    <row r="179" spans="1:56" s="1" customFormat="1" ht="28.5" customHeight="1" x14ac:dyDescent="0.25">
      <c r="A179" s="275" t="str">
        <f>'Q100a-geral'!A588</f>
        <v>2.4</v>
      </c>
      <c r="B179" s="54" t="str">
        <f>'Q100a-geral'!B588</f>
        <v>População</v>
      </c>
      <c r="C179" s="230" t="str">
        <f>'Q100a-geral'!C588</f>
        <v>x</v>
      </c>
      <c r="D179" s="36" t="str">
        <f>'Q100a-geral'!D588</f>
        <v>densidade populacional</v>
      </c>
      <c r="E179" s="464" t="str">
        <f>'Q100a-geral'!E588</f>
        <v>Florestal</v>
      </c>
      <c r="F179" s="447" t="str">
        <f>'Q100a-geral'!F588</f>
        <v>densidade demográfica, que é a população do município em relação à sua área (expressa em habitantes/km2)</v>
      </c>
      <c r="G179" s="188" t="str">
        <f>'Q100a-geral'!G588</f>
        <v>P/área</v>
      </c>
      <c r="H179" s="173" t="str">
        <f>'Q100a-geral'!H588</f>
        <v>benchmarking</v>
      </c>
      <c r="I179" s="167" t="str">
        <f>'Q100a-geral'!I588</f>
        <v>x</v>
      </c>
      <c r="J179" s="58" t="str">
        <f>'Q100a-geral'!J588</f>
        <v>x</v>
      </c>
      <c r="K179" s="58" t="str">
        <f>'Q100a-geral'!K588</f>
        <v>x</v>
      </c>
      <c r="L179" s="58" t="str">
        <f>'Q100a-geral'!L588</f>
        <v>x</v>
      </c>
      <c r="M179" s="58" t="str">
        <f>'Q100a-geral'!M588</f>
        <v>x</v>
      </c>
      <c r="N179" s="58" t="str">
        <f>'Q100a-geral'!N588</f>
        <v>x</v>
      </c>
      <c r="O179" s="58" t="str">
        <f>'Q100a-geral'!O588</f>
        <v>x</v>
      </c>
      <c r="P179" s="58" t="str">
        <f>'Q100a-geral'!P588</f>
        <v>x</v>
      </c>
      <c r="Q179" s="58" t="str">
        <f>'Q100a-geral'!Q588</f>
        <v>x</v>
      </c>
      <c r="R179" s="58" t="str">
        <f>'Q100a-geral'!R588</f>
        <v>x</v>
      </c>
      <c r="S179" s="107" t="str">
        <f>'Q100a-geral'!S588</f>
        <v>só para pesquisa</v>
      </c>
      <c r="T179" s="58" t="str">
        <f>'Q100a-geral'!T588</f>
        <v>x</v>
      </c>
      <c r="U179" s="58" t="str">
        <f>'Q100a-geral'!U588</f>
        <v>x</v>
      </c>
      <c r="V179" s="107" t="str">
        <f>'Q100a-geral'!V588</f>
        <v>só para pesquisa</v>
      </c>
      <c r="W179" s="58" t="str">
        <f>'Q100a-geral'!W588</f>
        <v>x</v>
      </c>
      <c r="X179" s="58" t="str">
        <f>'Q100a-geral'!X588</f>
        <v>x</v>
      </c>
      <c r="Y179" s="58" t="str">
        <f>'Q100a-geral'!Y588</f>
        <v>x</v>
      </c>
      <c r="Z179" s="58" t="str">
        <f>'Q100a-geral'!Z588</f>
        <v>x</v>
      </c>
      <c r="AA179" s="58" t="str">
        <f>'Q100a-geral'!AA588</f>
        <v>x</v>
      </c>
      <c r="AB179" s="58" t="str">
        <f>'Q100a-geral'!AB588</f>
        <v>x</v>
      </c>
      <c r="AC179" s="58" t="str">
        <f>'Q100a-geral'!AC588</f>
        <v>x</v>
      </c>
      <c r="AD179" s="58" t="str">
        <f>'Q100a-geral'!AD588</f>
        <v>x</v>
      </c>
      <c r="AE179" s="58" t="str">
        <f>'Q100a-geral'!AE588</f>
        <v>x</v>
      </c>
      <c r="AF179" s="44">
        <f>'Q100a-geral'!AF588</f>
        <v>34.478975660977639</v>
      </c>
      <c r="AG179" s="58" t="str">
        <f>'Q100a-geral'!AG588</f>
        <v>x</v>
      </c>
      <c r="AH179" s="58" t="str">
        <f>'Q100a-geral'!AH588</f>
        <v>x</v>
      </c>
      <c r="AI179" s="58" t="str">
        <f>'Q100a-geral'!AI588</f>
        <v>x</v>
      </c>
      <c r="AJ179" s="58" t="str">
        <f>'Q100a-geral'!AJ588</f>
        <v>x</v>
      </c>
      <c r="AK179" s="137" t="str">
        <f>'Q100a-geral'!AK588</f>
        <v>x</v>
      </c>
      <c r="AL179" s="173" t="str">
        <f>'Q100a-geral'!AL588</f>
        <v>x</v>
      </c>
      <c r="AM179" s="137" t="str">
        <f>'Q100a-geral'!AM588</f>
        <v>x</v>
      </c>
      <c r="AN179" s="137" t="str">
        <f>'Q100a-geral'!AN588</f>
        <v>x</v>
      </c>
      <c r="AO179" s="137" t="str">
        <f>'Q100a-geral'!AO588</f>
        <v>x</v>
      </c>
      <c r="AP179" s="137" t="str">
        <f>'Q100a-geral'!AP588</f>
        <v>x</v>
      </c>
      <c r="AQ179" s="137" t="str">
        <f>'Q100a-geral'!AQ588</f>
        <v>x</v>
      </c>
      <c r="AR179" s="137"/>
      <c r="AS179" s="137"/>
      <c r="AT179" s="137"/>
      <c r="AU179" s="137"/>
      <c r="AV179" s="137" t="str">
        <f>'Q100a-geral'!AV588</f>
        <v>x</v>
      </c>
      <c r="AW179" s="137"/>
      <c r="AX179" s="137"/>
      <c r="AY179" s="137"/>
      <c r="AZ179" s="137"/>
      <c r="BA179" s="137" t="str">
        <f>'Q100a-geral'!BA588</f>
        <v>x</v>
      </c>
      <c r="BB179" s="239" t="str">
        <f>'Q100a-geral'!BB588</f>
        <v>Populaçãox</v>
      </c>
      <c r="BC179" s="239" t="str">
        <f>'Q100a-geral'!BC588</f>
        <v>Populaçãoxbenchmarking</v>
      </c>
      <c r="BD179" s="239" t="str">
        <f>'Q100a-geral'!BD588</f>
        <v>Populaçãobenchmarking</v>
      </c>
    </row>
    <row r="180" spans="1:56" s="1" customFormat="1" ht="28.5" customHeight="1" x14ac:dyDescent="0.25">
      <c r="A180" s="275" t="str">
        <f>'Q100a-geral'!A589</f>
        <v>2.4</v>
      </c>
      <c r="B180" s="54" t="str">
        <f>'Q100a-geral'!B589</f>
        <v>População</v>
      </c>
      <c r="C180" s="230" t="str">
        <f>'Q100a-geral'!C589</f>
        <v>x</v>
      </c>
      <c r="D180" s="36" t="str">
        <f>'Q100a-geral'!D589</f>
        <v>densidade populacional</v>
      </c>
      <c r="E180" s="464" t="str">
        <f>'Q100a-geral'!E589</f>
        <v>Ibirité</v>
      </c>
      <c r="F180" s="447" t="str">
        <f>'Q100a-geral'!F589</f>
        <v>densidade demográfica, que é a população do município em relação à sua área (expressa em habitantes/km2)</v>
      </c>
      <c r="G180" s="188" t="str">
        <f>'Q100a-geral'!G589</f>
        <v>P/área</v>
      </c>
      <c r="H180" s="173" t="str">
        <f>'Q100a-geral'!H589</f>
        <v>benchmarking</v>
      </c>
      <c r="I180" s="167" t="str">
        <f>'Q100a-geral'!I589</f>
        <v>x</v>
      </c>
      <c r="J180" s="58" t="str">
        <f>'Q100a-geral'!J589</f>
        <v>x</v>
      </c>
      <c r="K180" s="58" t="str">
        <f>'Q100a-geral'!K589</f>
        <v>x</v>
      </c>
      <c r="L180" s="58" t="str">
        <f>'Q100a-geral'!L589</f>
        <v>x</v>
      </c>
      <c r="M180" s="58" t="str">
        <f>'Q100a-geral'!M589</f>
        <v>x</v>
      </c>
      <c r="N180" s="58" t="str">
        <f>'Q100a-geral'!N589</f>
        <v>x</v>
      </c>
      <c r="O180" s="58" t="str">
        <f>'Q100a-geral'!O589</f>
        <v>x</v>
      </c>
      <c r="P180" s="58" t="str">
        <f>'Q100a-geral'!P589</f>
        <v>x</v>
      </c>
      <c r="Q180" s="58" t="str">
        <f>'Q100a-geral'!Q589</f>
        <v>x</v>
      </c>
      <c r="R180" s="58" t="str">
        <f>'Q100a-geral'!R589</f>
        <v>x</v>
      </c>
      <c r="S180" s="107" t="str">
        <f>'Q100a-geral'!S589</f>
        <v>só para pesquisa</v>
      </c>
      <c r="T180" s="58" t="str">
        <f>'Q100a-geral'!T589</f>
        <v>x</v>
      </c>
      <c r="U180" s="58" t="str">
        <f>'Q100a-geral'!U589</f>
        <v>x</v>
      </c>
      <c r="V180" s="107" t="str">
        <f>'Q100a-geral'!V589</f>
        <v>só para pesquisa</v>
      </c>
      <c r="W180" s="58" t="str">
        <f>'Q100a-geral'!W589</f>
        <v>x</v>
      </c>
      <c r="X180" s="58" t="str">
        <f>'Q100a-geral'!X589</f>
        <v>x</v>
      </c>
      <c r="Y180" s="58" t="str">
        <f>'Q100a-geral'!Y589</f>
        <v>x</v>
      </c>
      <c r="Z180" s="58" t="str">
        <f>'Q100a-geral'!Z589</f>
        <v>x</v>
      </c>
      <c r="AA180" s="58" t="str">
        <f>'Q100a-geral'!AA589</f>
        <v>x</v>
      </c>
      <c r="AB180" s="58" t="str">
        <f>'Q100a-geral'!AB589</f>
        <v>x</v>
      </c>
      <c r="AC180" s="58" t="str">
        <f>'Q100a-geral'!AC589</f>
        <v>x</v>
      </c>
      <c r="AD180" s="58" t="str">
        <f>'Q100a-geral'!AD589</f>
        <v>x</v>
      </c>
      <c r="AE180" s="58" t="str">
        <f>'Q100a-geral'!AE589</f>
        <v>x</v>
      </c>
      <c r="AF180" s="44">
        <f>'Q100a-geral'!AF589</f>
        <v>2190.2635966544035</v>
      </c>
      <c r="AG180" s="58" t="str">
        <f>'Q100a-geral'!AG589</f>
        <v>x</v>
      </c>
      <c r="AH180" s="58" t="str">
        <f>'Q100a-geral'!AH589</f>
        <v>x</v>
      </c>
      <c r="AI180" s="58" t="str">
        <f>'Q100a-geral'!AI589</f>
        <v>x</v>
      </c>
      <c r="AJ180" s="58" t="str">
        <f>'Q100a-geral'!AJ589</f>
        <v>x</v>
      </c>
      <c r="AK180" s="137" t="str">
        <f>'Q100a-geral'!AK589</f>
        <v>x</v>
      </c>
      <c r="AL180" s="173" t="str">
        <f>'Q100a-geral'!AL589</f>
        <v>x</v>
      </c>
      <c r="AM180" s="137" t="str">
        <f>'Q100a-geral'!AM589</f>
        <v>x</v>
      </c>
      <c r="AN180" s="137" t="str">
        <f>'Q100a-geral'!AN589</f>
        <v>x</v>
      </c>
      <c r="AO180" s="137" t="str">
        <f>'Q100a-geral'!AO589</f>
        <v>x</v>
      </c>
      <c r="AP180" s="137" t="str">
        <f>'Q100a-geral'!AP589</f>
        <v>x</v>
      </c>
      <c r="AQ180" s="137" t="str">
        <f>'Q100a-geral'!AQ589</f>
        <v>x</v>
      </c>
      <c r="AR180" s="137"/>
      <c r="AS180" s="137"/>
      <c r="AT180" s="137"/>
      <c r="AU180" s="137"/>
      <c r="AV180" s="137" t="str">
        <f>'Q100a-geral'!AV589</f>
        <v>x</v>
      </c>
      <c r="AW180" s="137"/>
      <c r="AX180" s="137"/>
      <c r="AY180" s="137"/>
      <c r="AZ180" s="137"/>
      <c r="BA180" s="137" t="str">
        <f>'Q100a-geral'!BA589</f>
        <v>x</v>
      </c>
      <c r="BB180" s="239" t="str">
        <f>'Q100a-geral'!BB589</f>
        <v>Populaçãox</v>
      </c>
      <c r="BC180" s="239" t="str">
        <f>'Q100a-geral'!BC589</f>
        <v>Populaçãoxbenchmarking</v>
      </c>
      <c r="BD180" s="239" t="str">
        <f>'Q100a-geral'!BD589</f>
        <v>Populaçãobenchmarking</v>
      </c>
    </row>
    <row r="181" spans="1:56" s="1" customFormat="1" ht="28.5" customHeight="1" x14ac:dyDescent="0.25">
      <c r="A181" s="275" t="str">
        <f>'Q100a-geral'!A590</f>
        <v>2.4</v>
      </c>
      <c r="B181" s="54" t="str">
        <f>'Q100a-geral'!B590</f>
        <v>População</v>
      </c>
      <c r="C181" s="230" t="str">
        <f>'Q100a-geral'!C590</f>
        <v>x</v>
      </c>
      <c r="D181" s="36" t="str">
        <f>'Q100a-geral'!D590</f>
        <v>densidade populacional</v>
      </c>
      <c r="E181" s="464" t="str">
        <f>'Q100a-geral'!E590</f>
        <v>Ibirité</v>
      </c>
      <c r="F181" s="447" t="str">
        <f>'Q100a-geral'!F590</f>
        <v>densidade demográfica, que é a população do município em relação à sua área (expressa em habitantes/km2)</v>
      </c>
      <c r="G181" s="188" t="str">
        <f>'Q100a-geral'!G590</f>
        <v>P/área</v>
      </c>
      <c r="H181" s="173" t="str">
        <f>'Q100a-geral'!H590</f>
        <v>benchmarking</v>
      </c>
      <c r="I181" s="167" t="str">
        <f>'Q100a-geral'!I590</f>
        <v>x</v>
      </c>
      <c r="J181" s="58" t="str">
        <f>'Q100a-geral'!J590</f>
        <v>x</v>
      </c>
      <c r="K181" s="58" t="str">
        <f>'Q100a-geral'!K590</f>
        <v>x</v>
      </c>
      <c r="L181" s="58" t="str">
        <f>'Q100a-geral'!L590</f>
        <v>x</v>
      </c>
      <c r="M181" s="58" t="str">
        <f>'Q100a-geral'!M590</f>
        <v>x</v>
      </c>
      <c r="N181" s="58" t="str">
        <f>'Q100a-geral'!N590</f>
        <v>x</v>
      </c>
      <c r="O181" s="58" t="str">
        <f>'Q100a-geral'!O590</f>
        <v>x</v>
      </c>
      <c r="P181" s="58" t="str">
        <f>'Q100a-geral'!P590</f>
        <v>x</v>
      </c>
      <c r="Q181" s="58" t="str">
        <f>'Q100a-geral'!Q590</f>
        <v>x</v>
      </c>
      <c r="R181" s="58" t="str">
        <f>'Q100a-geral'!R590</f>
        <v>x</v>
      </c>
      <c r="S181" s="107" t="str">
        <f>'Q100a-geral'!S590</f>
        <v>só para pesquisa</v>
      </c>
      <c r="T181" s="58" t="str">
        <f>'Q100a-geral'!T590</f>
        <v>x</v>
      </c>
      <c r="U181" s="58" t="str">
        <f>'Q100a-geral'!U590</f>
        <v>x</v>
      </c>
      <c r="V181" s="107" t="str">
        <f>'Q100a-geral'!V590</f>
        <v>só para pesquisa</v>
      </c>
      <c r="W181" s="58" t="str">
        <f>'Q100a-geral'!W590</f>
        <v>x</v>
      </c>
      <c r="X181" s="58" t="str">
        <f>'Q100a-geral'!X590</f>
        <v>x</v>
      </c>
      <c r="Y181" s="58" t="str">
        <f>'Q100a-geral'!Y590</f>
        <v>x</v>
      </c>
      <c r="Z181" s="58" t="str">
        <f>'Q100a-geral'!Z590</f>
        <v>x</v>
      </c>
      <c r="AA181" s="58" t="str">
        <f>'Q100a-geral'!AA590</f>
        <v>x</v>
      </c>
      <c r="AB181" s="58" t="str">
        <f>'Q100a-geral'!AB590</f>
        <v>x</v>
      </c>
      <c r="AC181" s="58" t="str">
        <f>'Q100a-geral'!AC590</f>
        <v>x</v>
      </c>
      <c r="AD181" s="58" t="str">
        <f>'Q100a-geral'!AD590</f>
        <v>x</v>
      </c>
      <c r="AE181" s="58" t="str">
        <f>'Q100a-geral'!AE590</f>
        <v>x</v>
      </c>
      <c r="AF181" s="44">
        <f>'Q100a-geral'!AF590</f>
        <v>316.07444087718346</v>
      </c>
      <c r="AG181" s="58" t="str">
        <f>'Q100a-geral'!AG590</f>
        <v>x</v>
      </c>
      <c r="AH181" s="58" t="str">
        <f>'Q100a-geral'!AH590</f>
        <v>x</v>
      </c>
      <c r="AI181" s="58" t="str">
        <f>'Q100a-geral'!AI590</f>
        <v>x</v>
      </c>
      <c r="AJ181" s="58" t="str">
        <f>'Q100a-geral'!AJ590</f>
        <v>x</v>
      </c>
      <c r="AK181" s="137" t="str">
        <f>'Q100a-geral'!AK590</f>
        <v>x</v>
      </c>
      <c r="AL181" s="173" t="str">
        <f>'Q100a-geral'!AL590</f>
        <v>x</v>
      </c>
      <c r="AM181" s="137" t="str">
        <f>'Q100a-geral'!AM590</f>
        <v>x</v>
      </c>
      <c r="AN181" s="137" t="str">
        <f>'Q100a-geral'!AN590</f>
        <v>x</v>
      </c>
      <c r="AO181" s="137" t="str">
        <f>'Q100a-geral'!AO590</f>
        <v>x</v>
      </c>
      <c r="AP181" s="137" t="str">
        <f>'Q100a-geral'!AP590</f>
        <v>x</v>
      </c>
      <c r="AQ181" s="137" t="str">
        <f>'Q100a-geral'!AQ590</f>
        <v>x</v>
      </c>
      <c r="AR181" s="137"/>
      <c r="AS181" s="137"/>
      <c r="AT181" s="137"/>
      <c r="AU181" s="137"/>
      <c r="AV181" s="137" t="str">
        <f>'Q100a-geral'!AV590</f>
        <v>x</v>
      </c>
      <c r="AW181" s="137"/>
      <c r="AX181" s="137"/>
      <c r="AY181" s="137"/>
      <c r="AZ181" s="137"/>
      <c r="BA181" s="137" t="str">
        <f>'Q100a-geral'!BA590</f>
        <v>x</v>
      </c>
      <c r="BB181" s="239" t="str">
        <f>'Q100a-geral'!BB590</f>
        <v>Populaçãox</v>
      </c>
      <c r="BC181" s="239" t="str">
        <f>'Q100a-geral'!BC590</f>
        <v>Populaçãoxbenchmarking</v>
      </c>
      <c r="BD181" s="239" t="str">
        <f>'Q100a-geral'!BD590</f>
        <v>Populaçãobenchmarking</v>
      </c>
    </row>
    <row r="182" spans="1:56" s="1" customFormat="1" ht="28.5" customHeight="1" x14ac:dyDescent="0.25">
      <c r="A182" s="275" t="str">
        <f>'Q100a-geral'!A591</f>
        <v>2.4</v>
      </c>
      <c r="B182" s="54" t="str">
        <f>'Q100a-geral'!B591</f>
        <v>População</v>
      </c>
      <c r="C182" s="230" t="str">
        <f>'Q100a-geral'!C591</f>
        <v>x</v>
      </c>
      <c r="D182" s="36" t="str">
        <f>'Q100a-geral'!D591</f>
        <v>densidade populacional</v>
      </c>
      <c r="E182" s="464" t="str">
        <f>'Q100a-geral'!E591</f>
        <v>Itaguara</v>
      </c>
      <c r="F182" s="447" t="str">
        <f>'Q100a-geral'!F591</f>
        <v>densidade demográfica, que é a população do município em relação à sua área (expressa em habitantes/km2)</v>
      </c>
      <c r="G182" s="188" t="str">
        <f>'Q100a-geral'!G591</f>
        <v>P/área</v>
      </c>
      <c r="H182" s="173" t="str">
        <f>'Q100a-geral'!H591</f>
        <v>benchmarking</v>
      </c>
      <c r="I182" s="167" t="str">
        <f>'Q100a-geral'!I591</f>
        <v>x</v>
      </c>
      <c r="J182" s="58" t="str">
        <f>'Q100a-geral'!J591</f>
        <v>x</v>
      </c>
      <c r="K182" s="58" t="str">
        <f>'Q100a-geral'!K591</f>
        <v>x</v>
      </c>
      <c r="L182" s="58" t="str">
        <f>'Q100a-geral'!L591</f>
        <v>x</v>
      </c>
      <c r="M182" s="58" t="str">
        <f>'Q100a-geral'!M591</f>
        <v>x</v>
      </c>
      <c r="N182" s="58" t="str">
        <f>'Q100a-geral'!N591</f>
        <v>x</v>
      </c>
      <c r="O182" s="58" t="str">
        <f>'Q100a-geral'!O591</f>
        <v>x</v>
      </c>
      <c r="P182" s="58" t="str">
        <f>'Q100a-geral'!P591</f>
        <v>x</v>
      </c>
      <c r="Q182" s="58" t="str">
        <f>'Q100a-geral'!Q591</f>
        <v>x</v>
      </c>
      <c r="R182" s="58" t="str">
        <f>'Q100a-geral'!R591</f>
        <v>x</v>
      </c>
      <c r="S182" s="107" t="str">
        <f>'Q100a-geral'!S591</f>
        <v>só para pesquisa</v>
      </c>
      <c r="T182" s="58" t="str">
        <f>'Q100a-geral'!T591</f>
        <v>x</v>
      </c>
      <c r="U182" s="58" t="str">
        <f>'Q100a-geral'!U591</f>
        <v>x</v>
      </c>
      <c r="V182" s="107" t="str">
        <f>'Q100a-geral'!V591</f>
        <v>só para pesquisa</v>
      </c>
      <c r="W182" s="58" t="str">
        <f>'Q100a-geral'!W591</f>
        <v>x</v>
      </c>
      <c r="X182" s="58" t="str">
        <f>'Q100a-geral'!X591</f>
        <v>x</v>
      </c>
      <c r="Y182" s="58" t="str">
        <f>'Q100a-geral'!Y591</f>
        <v>x</v>
      </c>
      <c r="Z182" s="58" t="str">
        <f>'Q100a-geral'!Z591</f>
        <v>x</v>
      </c>
      <c r="AA182" s="58" t="str">
        <f>'Q100a-geral'!AA591</f>
        <v>x</v>
      </c>
      <c r="AB182" s="58" t="str">
        <f>'Q100a-geral'!AB591</f>
        <v>x</v>
      </c>
      <c r="AC182" s="58" t="str">
        <f>'Q100a-geral'!AC591</f>
        <v>x</v>
      </c>
      <c r="AD182" s="58" t="str">
        <f>'Q100a-geral'!AD591</f>
        <v>x</v>
      </c>
      <c r="AE182" s="58" t="str">
        <f>'Q100a-geral'!AE591</f>
        <v>x</v>
      </c>
      <c r="AF182" s="44">
        <f>'Q100a-geral'!AF591</f>
        <v>30.141204673689543</v>
      </c>
      <c r="AG182" s="58" t="str">
        <f>'Q100a-geral'!AG591</f>
        <v>x</v>
      </c>
      <c r="AH182" s="58" t="str">
        <f>'Q100a-geral'!AH591</f>
        <v>x</v>
      </c>
      <c r="AI182" s="58" t="str">
        <f>'Q100a-geral'!AI591</f>
        <v>x</v>
      </c>
      <c r="AJ182" s="58" t="str">
        <f>'Q100a-geral'!AJ591</f>
        <v>x</v>
      </c>
      <c r="AK182" s="137" t="str">
        <f>'Q100a-geral'!AK591</f>
        <v>x</v>
      </c>
      <c r="AL182" s="173" t="str">
        <f>'Q100a-geral'!AL591</f>
        <v>x</v>
      </c>
      <c r="AM182" s="137" t="str">
        <f>'Q100a-geral'!AM591</f>
        <v>x</v>
      </c>
      <c r="AN182" s="137" t="str">
        <f>'Q100a-geral'!AN591</f>
        <v>x</v>
      </c>
      <c r="AO182" s="137" t="str">
        <f>'Q100a-geral'!AO591</f>
        <v>x</v>
      </c>
      <c r="AP182" s="137" t="str">
        <f>'Q100a-geral'!AP591</f>
        <v>x</v>
      </c>
      <c r="AQ182" s="137" t="str">
        <f>'Q100a-geral'!AQ591</f>
        <v>x</v>
      </c>
      <c r="AR182" s="137"/>
      <c r="AS182" s="137"/>
      <c r="AT182" s="137"/>
      <c r="AU182" s="137"/>
      <c r="AV182" s="137" t="str">
        <f>'Q100a-geral'!AV591</f>
        <v>x</v>
      </c>
      <c r="AW182" s="137"/>
      <c r="AX182" s="137"/>
      <c r="AY182" s="137"/>
      <c r="AZ182" s="137"/>
      <c r="BA182" s="137" t="str">
        <f>'Q100a-geral'!BA591</f>
        <v>x</v>
      </c>
      <c r="BB182" s="239" t="str">
        <f>'Q100a-geral'!BB591</f>
        <v>Populaçãox</v>
      </c>
      <c r="BC182" s="239" t="str">
        <f>'Q100a-geral'!BC591</f>
        <v>Populaçãoxbenchmarking</v>
      </c>
      <c r="BD182" s="239" t="str">
        <f>'Q100a-geral'!BD591</f>
        <v>Populaçãobenchmarking</v>
      </c>
    </row>
    <row r="183" spans="1:56" s="1" customFormat="1" ht="28.5" customHeight="1" x14ac:dyDescent="0.25">
      <c r="A183" s="275" t="str">
        <f>'Q100a-geral'!A592</f>
        <v>2.4</v>
      </c>
      <c r="B183" s="54" t="str">
        <f>'Q100a-geral'!B592</f>
        <v>População</v>
      </c>
      <c r="C183" s="230" t="str">
        <f>'Q100a-geral'!C592</f>
        <v>x</v>
      </c>
      <c r="D183" s="36" t="str">
        <f>'Q100a-geral'!D592</f>
        <v>densidade populacional</v>
      </c>
      <c r="E183" s="464" t="str">
        <f>'Q100a-geral'!E592</f>
        <v>Itatiaiuçu</v>
      </c>
      <c r="F183" s="447" t="str">
        <f>'Q100a-geral'!F592</f>
        <v>densidade demográfica, que é a população do município em relação à sua área (expressa em habitantes/km2)</v>
      </c>
      <c r="G183" s="188" t="str">
        <f>'Q100a-geral'!G592</f>
        <v>P/área</v>
      </c>
      <c r="H183" s="173" t="str">
        <f>'Q100a-geral'!H592</f>
        <v>benchmarking</v>
      </c>
      <c r="I183" s="167" t="str">
        <f>'Q100a-geral'!I592</f>
        <v>x</v>
      </c>
      <c r="J183" s="58" t="str">
        <f>'Q100a-geral'!J592</f>
        <v>x</v>
      </c>
      <c r="K183" s="58" t="str">
        <f>'Q100a-geral'!K592</f>
        <v>x</v>
      </c>
      <c r="L183" s="58" t="str">
        <f>'Q100a-geral'!L592</f>
        <v>x</v>
      </c>
      <c r="M183" s="58" t="str">
        <f>'Q100a-geral'!M592</f>
        <v>x</v>
      </c>
      <c r="N183" s="58" t="str">
        <f>'Q100a-geral'!N592</f>
        <v>x</v>
      </c>
      <c r="O183" s="58" t="str">
        <f>'Q100a-geral'!O592</f>
        <v>x</v>
      </c>
      <c r="P183" s="58" t="str">
        <f>'Q100a-geral'!P592</f>
        <v>x</v>
      </c>
      <c r="Q183" s="58" t="str">
        <f>'Q100a-geral'!Q592</f>
        <v>x</v>
      </c>
      <c r="R183" s="58" t="str">
        <f>'Q100a-geral'!R592</f>
        <v>x</v>
      </c>
      <c r="S183" s="107" t="str">
        <f>'Q100a-geral'!S592</f>
        <v>só para pesquisa</v>
      </c>
      <c r="T183" s="58" t="str">
        <f>'Q100a-geral'!T592</f>
        <v>x</v>
      </c>
      <c r="U183" s="58" t="str">
        <f>'Q100a-geral'!U592</f>
        <v>x</v>
      </c>
      <c r="V183" s="107" t="str">
        <f>'Q100a-geral'!V592</f>
        <v>só para pesquisa</v>
      </c>
      <c r="W183" s="58" t="str">
        <f>'Q100a-geral'!W592</f>
        <v>x</v>
      </c>
      <c r="X183" s="58" t="str">
        <f>'Q100a-geral'!X592</f>
        <v>x</v>
      </c>
      <c r="Y183" s="58" t="str">
        <f>'Q100a-geral'!Y592</f>
        <v>x</v>
      </c>
      <c r="Z183" s="58" t="str">
        <f>'Q100a-geral'!Z592</f>
        <v>x</v>
      </c>
      <c r="AA183" s="58" t="str">
        <f>'Q100a-geral'!AA592</f>
        <v>x</v>
      </c>
      <c r="AB183" s="58" t="str">
        <f>'Q100a-geral'!AB592</f>
        <v>x</v>
      </c>
      <c r="AC183" s="58" t="str">
        <f>'Q100a-geral'!AC592</f>
        <v>x</v>
      </c>
      <c r="AD183" s="58" t="str">
        <f>'Q100a-geral'!AD592</f>
        <v>x</v>
      </c>
      <c r="AE183" s="58" t="str">
        <f>'Q100a-geral'!AE592</f>
        <v>x</v>
      </c>
      <c r="AF183" s="44">
        <f>'Q100a-geral'!AF592</f>
        <v>33.637703501668675</v>
      </c>
      <c r="AG183" s="58" t="str">
        <f>'Q100a-geral'!AG592</f>
        <v>x</v>
      </c>
      <c r="AH183" s="58" t="str">
        <f>'Q100a-geral'!AH592</f>
        <v>x</v>
      </c>
      <c r="AI183" s="58" t="str">
        <f>'Q100a-geral'!AI592</f>
        <v>x</v>
      </c>
      <c r="AJ183" s="58" t="str">
        <f>'Q100a-geral'!AJ592</f>
        <v>x</v>
      </c>
      <c r="AK183" s="137" t="str">
        <f>'Q100a-geral'!AK592</f>
        <v>x</v>
      </c>
      <c r="AL183" s="173" t="str">
        <f>'Q100a-geral'!AL592</f>
        <v>x</v>
      </c>
      <c r="AM183" s="137" t="str">
        <f>'Q100a-geral'!AM592</f>
        <v>x</v>
      </c>
      <c r="AN183" s="137" t="str">
        <f>'Q100a-geral'!AN592</f>
        <v>x</v>
      </c>
      <c r="AO183" s="137" t="str">
        <f>'Q100a-geral'!AO592</f>
        <v>x</v>
      </c>
      <c r="AP183" s="137" t="str">
        <f>'Q100a-geral'!AP592</f>
        <v>x</v>
      </c>
      <c r="AQ183" s="137" t="str">
        <f>'Q100a-geral'!AQ592</f>
        <v>x</v>
      </c>
      <c r="AR183" s="137"/>
      <c r="AS183" s="137"/>
      <c r="AT183" s="137"/>
      <c r="AU183" s="137"/>
      <c r="AV183" s="137" t="str">
        <f>'Q100a-geral'!AV592</f>
        <v>x</v>
      </c>
      <c r="AW183" s="137"/>
      <c r="AX183" s="137"/>
      <c r="AY183" s="137"/>
      <c r="AZ183" s="137"/>
      <c r="BA183" s="137" t="str">
        <f>'Q100a-geral'!BA592</f>
        <v>x</v>
      </c>
      <c r="BB183" s="239" t="str">
        <f>'Q100a-geral'!BB592</f>
        <v>Populaçãox</v>
      </c>
      <c r="BC183" s="239" t="str">
        <f>'Q100a-geral'!BC592</f>
        <v>Populaçãoxbenchmarking</v>
      </c>
      <c r="BD183" s="239" t="str">
        <f>'Q100a-geral'!BD592</f>
        <v>Populaçãobenchmarking</v>
      </c>
    </row>
    <row r="184" spans="1:56" s="1" customFormat="1" ht="28.5" customHeight="1" x14ac:dyDescent="0.25">
      <c r="A184" s="275" t="str">
        <f>'Q100a-geral'!A593</f>
        <v>2.4</v>
      </c>
      <c r="B184" s="54" t="str">
        <f>'Q100a-geral'!B593</f>
        <v>População</v>
      </c>
      <c r="C184" s="230" t="str">
        <f>'Q100a-geral'!C593</f>
        <v>x</v>
      </c>
      <c r="D184" s="36" t="str">
        <f>'Q100a-geral'!D593</f>
        <v>densidade populacional</v>
      </c>
      <c r="E184" s="464" t="str">
        <f>'Q100a-geral'!E593</f>
        <v>Jaboticatubas</v>
      </c>
      <c r="F184" s="447" t="str">
        <f>'Q100a-geral'!F593</f>
        <v>densidade demográfica, que é a população do município em relação à sua área (expressa em habitantes/km2)</v>
      </c>
      <c r="G184" s="188" t="str">
        <f>'Q100a-geral'!G593</f>
        <v>P/área</v>
      </c>
      <c r="H184" s="173" t="str">
        <f>'Q100a-geral'!H593</f>
        <v>benchmarking</v>
      </c>
      <c r="I184" s="167" t="str">
        <f>'Q100a-geral'!I593</f>
        <v>x</v>
      </c>
      <c r="J184" s="58" t="str">
        <f>'Q100a-geral'!J593</f>
        <v>x</v>
      </c>
      <c r="K184" s="58" t="str">
        <f>'Q100a-geral'!K593</f>
        <v>x</v>
      </c>
      <c r="L184" s="58" t="str">
        <f>'Q100a-geral'!L593</f>
        <v>x</v>
      </c>
      <c r="M184" s="58" t="str">
        <f>'Q100a-geral'!M593</f>
        <v>x</v>
      </c>
      <c r="N184" s="58" t="str">
        <f>'Q100a-geral'!N593</f>
        <v>x</v>
      </c>
      <c r="O184" s="58" t="str">
        <f>'Q100a-geral'!O593</f>
        <v>x</v>
      </c>
      <c r="P184" s="58" t="str">
        <f>'Q100a-geral'!P593</f>
        <v>x</v>
      </c>
      <c r="Q184" s="58" t="str">
        <f>'Q100a-geral'!Q593</f>
        <v>x</v>
      </c>
      <c r="R184" s="58" t="str">
        <f>'Q100a-geral'!R593</f>
        <v>x</v>
      </c>
      <c r="S184" s="107" t="str">
        <f>'Q100a-geral'!S593</f>
        <v>só para pesquisa</v>
      </c>
      <c r="T184" s="58" t="str">
        <f>'Q100a-geral'!T593</f>
        <v>x</v>
      </c>
      <c r="U184" s="58" t="str">
        <f>'Q100a-geral'!U593</f>
        <v>x</v>
      </c>
      <c r="V184" s="107" t="str">
        <f>'Q100a-geral'!V593</f>
        <v>só para pesquisa</v>
      </c>
      <c r="W184" s="58" t="str">
        <f>'Q100a-geral'!W593</f>
        <v>x</v>
      </c>
      <c r="X184" s="58" t="str">
        <f>'Q100a-geral'!X593</f>
        <v>x</v>
      </c>
      <c r="Y184" s="58" t="str">
        <f>'Q100a-geral'!Y593</f>
        <v>x</v>
      </c>
      <c r="Z184" s="58" t="str">
        <f>'Q100a-geral'!Z593</f>
        <v>x</v>
      </c>
      <c r="AA184" s="58" t="str">
        <f>'Q100a-geral'!AA593</f>
        <v>x</v>
      </c>
      <c r="AB184" s="58" t="str">
        <f>'Q100a-geral'!AB593</f>
        <v>x</v>
      </c>
      <c r="AC184" s="58" t="str">
        <f>'Q100a-geral'!AC593</f>
        <v>x</v>
      </c>
      <c r="AD184" s="58" t="str">
        <f>'Q100a-geral'!AD593</f>
        <v>x</v>
      </c>
      <c r="AE184" s="58" t="str">
        <f>'Q100a-geral'!AE593</f>
        <v>x</v>
      </c>
      <c r="AF184" s="44">
        <f>'Q100a-geral'!AF593</f>
        <v>15.37847067957331</v>
      </c>
      <c r="AG184" s="58" t="str">
        <f>'Q100a-geral'!AG593</f>
        <v>x</v>
      </c>
      <c r="AH184" s="58" t="str">
        <f>'Q100a-geral'!AH593</f>
        <v>x</v>
      </c>
      <c r="AI184" s="58" t="str">
        <f>'Q100a-geral'!AI593</f>
        <v>x</v>
      </c>
      <c r="AJ184" s="58" t="str">
        <f>'Q100a-geral'!AJ593</f>
        <v>x</v>
      </c>
      <c r="AK184" s="137" t="str">
        <f>'Q100a-geral'!AK593</f>
        <v>x</v>
      </c>
      <c r="AL184" s="173" t="str">
        <f>'Q100a-geral'!AL593</f>
        <v>x</v>
      </c>
      <c r="AM184" s="137" t="str">
        <f>'Q100a-geral'!AM593</f>
        <v>x</v>
      </c>
      <c r="AN184" s="137" t="str">
        <f>'Q100a-geral'!AN593</f>
        <v>x</v>
      </c>
      <c r="AO184" s="137" t="str">
        <f>'Q100a-geral'!AO593</f>
        <v>x</v>
      </c>
      <c r="AP184" s="137" t="str">
        <f>'Q100a-geral'!AP593</f>
        <v>x</v>
      </c>
      <c r="AQ184" s="137" t="str">
        <f>'Q100a-geral'!AQ593</f>
        <v>x</v>
      </c>
      <c r="AR184" s="137"/>
      <c r="AS184" s="137"/>
      <c r="AT184" s="137"/>
      <c r="AU184" s="137"/>
      <c r="AV184" s="137" t="str">
        <f>'Q100a-geral'!AV593</f>
        <v>x</v>
      </c>
      <c r="AW184" s="137"/>
      <c r="AX184" s="137"/>
      <c r="AY184" s="137"/>
      <c r="AZ184" s="137"/>
      <c r="BA184" s="137" t="str">
        <f>'Q100a-geral'!BA593</f>
        <v>x</v>
      </c>
      <c r="BB184" s="239" t="str">
        <f>'Q100a-geral'!BB593</f>
        <v>Populaçãox</v>
      </c>
      <c r="BC184" s="239" t="str">
        <f>'Q100a-geral'!BC593</f>
        <v>Populaçãoxbenchmarking</v>
      </c>
      <c r="BD184" s="239" t="str">
        <f>'Q100a-geral'!BD593</f>
        <v>Populaçãobenchmarking</v>
      </c>
    </row>
    <row r="185" spans="1:56" s="1" customFormat="1" ht="28.5" customHeight="1" x14ac:dyDescent="0.25">
      <c r="A185" s="275" t="str">
        <f>'Q100a-geral'!A594</f>
        <v>2.4</v>
      </c>
      <c r="B185" s="54" t="str">
        <f>'Q100a-geral'!B594</f>
        <v>População</v>
      </c>
      <c r="C185" s="230" t="str">
        <f>'Q100a-geral'!C594</f>
        <v>x</v>
      </c>
      <c r="D185" s="36" t="str">
        <f>'Q100a-geral'!D594</f>
        <v>densidade populacional</v>
      </c>
      <c r="E185" s="464" t="str">
        <f>'Q100a-geral'!E594</f>
        <v>Juatuba</v>
      </c>
      <c r="F185" s="447" t="str">
        <f>'Q100a-geral'!F594</f>
        <v>densidade demográfica, que é a população do município em relação à sua área (expressa em habitantes/km2)</v>
      </c>
      <c r="G185" s="188" t="str">
        <f>'Q100a-geral'!G594</f>
        <v>P/área</v>
      </c>
      <c r="H185" s="173" t="str">
        <f>'Q100a-geral'!H594</f>
        <v>benchmarking</v>
      </c>
      <c r="I185" s="167" t="str">
        <f>'Q100a-geral'!I594</f>
        <v>x</v>
      </c>
      <c r="J185" s="58" t="str">
        <f>'Q100a-geral'!J594</f>
        <v>x</v>
      </c>
      <c r="K185" s="58" t="str">
        <f>'Q100a-geral'!K594</f>
        <v>x</v>
      </c>
      <c r="L185" s="58" t="str">
        <f>'Q100a-geral'!L594</f>
        <v>x</v>
      </c>
      <c r="M185" s="58" t="str">
        <f>'Q100a-geral'!M594</f>
        <v>x</v>
      </c>
      <c r="N185" s="58" t="str">
        <f>'Q100a-geral'!N594</f>
        <v>x</v>
      </c>
      <c r="O185" s="58" t="str">
        <f>'Q100a-geral'!O594</f>
        <v>x</v>
      </c>
      <c r="P185" s="58" t="str">
        <f>'Q100a-geral'!P594</f>
        <v>x</v>
      </c>
      <c r="Q185" s="58" t="str">
        <f>'Q100a-geral'!Q594</f>
        <v>x</v>
      </c>
      <c r="R185" s="58" t="str">
        <f>'Q100a-geral'!R594</f>
        <v>x</v>
      </c>
      <c r="S185" s="107" t="str">
        <f>'Q100a-geral'!S594</f>
        <v>só para pesquisa</v>
      </c>
      <c r="T185" s="58" t="str">
        <f>'Q100a-geral'!T594</f>
        <v>x</v>
      </c>
      <c r="U185" s="58" t="str">
        <f>'Q100a-geral'!U594</f>
        <v>x</v>
      </c>
      <c r="V185" s="107" t="str">
        <f>'Q100a-geral'!V594</f>
        <v>só para pesquisa</v>
      </c>
      <c r="W185" s="58" t="str">
        <f>'Q100a-geral'!W594</f>
        <v>x</v>
      </c>
      <c r="X185" s="58" t="str">
        <f>'Q100a-geral'!X594</f>
        <v>x</v>
      </c>
      <c r="Y185" s="58" t="str">
        <f>'Q100a-geral'!Y594</f>
        <v>x</v>
      </c>
      <c r="Z185" s="58" t="str">
        <f>'Q100a-geral'!Z594</f>
        <v>x</v>
      </c>
      <c r="AA185" s="58" t="str">
        <f>'Q100a-geral'!AA594</f>
        <v>x</v>
      </c>
      <c r="AB185" s="58" t="str">
        <f>'Q100a-geral'!AB594</f>
        <v>x</v>
      </c>
      <c r="AC185" s="58" t="str">
        <f>'Q100a-geral'!AC594</f>
        <v>x</v>
      </c>
      <c r="AD185" s="58" t="str">
        <f>'Q100a-geral'!AD594</f>
        <v>x</v>
      </c>
      <c r="AE185" s="58" t="str">
        <f>'Q100a-geral'!AE594</f>
        <v>x</v>
      </c>
      <c r="AF185" s="44">
        <f>'Q100a-geral'!AF594</f>
        <v>223.17605194909632</v>
      </c>
      <c r="AG185" s="58" t="str">
        <f>'Q100a-geral'!AG594</f>
        <v>x</v>
      </c>
      <c r="AH185" s="58" t="str">
        <f>'Q100a-geral'!AH594</f>
        <v>x</v>
      </c>
      <c r="AI185" s="58" t="str">
        <f>'Q100a-geral'!AI594</f>
        <v>x</v>
      </c>
      <c r="AJ185" s="58" t="str">
        <f>'Q100a-geral'!AJ594</f>
        <v>x</v>
      </c>
      <c r="AK185" s="137" t="str">
        <f>'Q100a-geral'!AK594</f>
        <v>x</v>
      </c>
      <c r="AL185" s="173" t="str">
        <f>'Q100a-geral'!AL594</f>
        <v>x</v>
      </c>
      <c r="AM185" s="137" t="str">
        <f>'Q100a-geral'!AM594</f>
        <v>x</v>
      </c>
      <c r="AN185" s="137" t="str">
        <f>'Q100a-geral'!AN594</f>
        <v>x</v>
      </c>
      <c r="AO185" s="137" t="str">
        <f>'Q100a-geral'!AO594</f>
        <v>x</v>
      </c>
      <c r="AP185" s="137" t="str">
        <f>'Q100a-geral'!AP594</f>
        <v>x</v>
      </c>
      <c r="AQ185" s="137" t="str">
        <f>'Q100a-geral'!AQ594</f>
        <v>x</v>
      </c>
      <c r="AR185" s="137"/>
      <c r="AS185" s="137"/>
      <c r="AT185" s="137"/>
      <c r="AU185" s="137"/>
      <c r="AV185" s="137" t="str">
        <f>'Q100a-geral'!AV594</f>
        <v>x</v>
      </c>
      <c r="AW185" s="137"/>
      <c r="AX185" s="137"/>
      <c r="AY185" s="137"/>
      <c r="AZ185" s="137"/>
      <c r="BA185" s="137" t="str">
        <f>'Q100a-geral'!BA594</f>
        <v>x</v>
      </c>
      <c r="BB185" s="239" t="str">
        <f>'Q100a-geral'!BB594</f>
        <v>Populaçãox</v>
      </c>
      <c r="BC185" s="239" t="str">
        <f>'Q100a-geral'!BC594</f>
        <v>Populaçãoxbenchmarking</v>
      </c>
      <c r="BD185" s="239" t="str">
        <f>'Q100a-geral'!BD594</f>
        <v>Populaçãobenchmarking</v>
      </c>
    </row>
    <row r="186" spans="1:56" s="1" customFormat="1" ht="28.5" customHeight="1" x14ac:dyDescent="0.25">
      <c r="A186" s="275" t="str">
        <f>'Q100a-geral'!A595</f>
        <v>2.4</v>
      </c>
      <c r="B186" s="54" t="str">
        <f>'Q100a-geral'!B595</f>
        <v>População</v>
      </c>
      <c r="C186" s="230" t="str">
        <f>'Q100a-geral'!C595</f>
        <v>x</v>
      </c>
      <c r="D186" s="36" t="str">
        <f>'Q100a-geral'!D595</f>
        <v>densidade populacional</v>
      </c>
      <c r="E186" s="464" t="str">
        <f>'Q100a-geral'!E595</f>
        <v>Lagoa Santa</v>
      </c>
      <c r="F186" s="447" t="str">
        <f>'Q100a-geral'!F595</f>
        <v>densidade demográfica, que é a população do município em relação à sua área (expressa em habitantes/km2)</v>
      </c>
      <c r="G186" s="188" t="str">
        <f>'Q100a-geral'!G595</f>
        <v>P/área</v>
      </c>
      <c r="H186" s="173" t="str">
        <f>'Q100a-geral'!H595</f>
        <v>benchmarking</v>
      </c>
      <c r="I186" s="167" t="str">
        <f>'Q100a-geral'!I595</f>
        <v>x</v>
      </c>
      <c r="J186" s="58" t="str">
        <f>'Q100a-geral'!J595</f>
        <v>x</v>
      </c>
      <c r="K186" s="58" t="str">
        <f>'Q100a-geral'!K595</f>
        <v>x</v>
      </c>
      <c r="L186" s="58" t="str">
        <f>'Q100a-geral'!L595</f>
        <v>x</v>
      </c>
      <c r="M186" s="58" t="str">
        <f>'Q100a-geral'!M595</f>
        <v>x</v>
      </c>
      <c r="N186" s="58" t="str">
        <f>'Q100a-geral'!N595</f>
        <v>x</v>
      </c>
      <c r="O186" s="58" t="str">
        <f>'Q100a-geral'!O595</f>
        <v>x</v>
      </c>
      <c r="P186" s="58" t="str">
        <f>'Q100a-geral'!P595</f>
        <v>x</v>
      </c>
      <c r="Q186" s="58" t="str">
        <f>'Q100a-geral'!Q595</f>
        <v>x</v>
      </c>
      <c r="R186" s="58" t="str">
        <f>'Q100a-geral'!R595</f>
        <v>x</v>
      </c>
      <c r="S186" s="107" t="str">
        <f>'Q100a-geral'!S595</f>
        <v>só para pesquisa</v>
      </c>
      <c r="T186" s="58" t="str">
        <f>'Q100a-geral'!T595</f>
        <v>x</v>
      </c>
      <c r="U186" s="58" t="str">
        <f>'Q100a-geral'!U595</f>
        <v>x</v>
      </c>
      <c r="V186" s="107" t="str">
        <f>'Q100a-geral'!V595</f>
        <v>só para pesquisa</v>
      </c>
      <c r="W186" s="58" t="str">
        <f>'Q100a-geral'!W595</f>
        <v>x</v>
      </c>
      <c r="X186" s="58" t="str">
        <f>'Q100a-geral'!X595</f>
        <v>x</v>
      </c>
      <c r="Y186" s="58" t="str">
        <f>'Q100a-geral'!Y595</f>
        <v>x</v>
      </c>
      <c r="Z186" s="58" t="str">
        <f>'Q100a-geral'!Z595</f>
        <v>x</v>
      </c>
      <c r="AA186" s="58" t="str">
        <f>'Q100a-geral'!AA595</f>
        <v>x</v>
      </c>
      <c r="AB186" s="58" t="str">
        <f>'Q100a-geral'!AB595</f>
        <v>x</v>
      </c>
      <c r="AC186" s="58" t="str">
        <f>'Q100a-geral'!AC595</f>
        <v>x</v>
      </c>
      <c r="AD186" s="58" t="str">
        <f>'Q100a-geral'!AD595</f>
        <v>x</v>
      </c>
      <c r="AE186" s="58" t="str">
        <f>'Q100a-geral'!AE595</f>
        <v>x</v>
      </c>
      <c r="AF186" s="44">
        <f>'Q100a-geral'!AF595</f>
        <v>228.26644413730759</v>
      </c>
      <c r="AG186" s="58" t="str">
        <f>'Q100a-geral'!AG595</f>
        <v>x</v>
      </c>
      <c r="AH186" s="58" t="str">
        <f>'Q100a-geral'!AH595</f>
        <v>x</v>
      </c>
      <c r="AI186" s="58" t="str">
        <f>'Q100a-geral'!AI595</f>
        <v>x</v>
      </c>
      <c r="AJ186" s="58" t="str">
        <f>'Q100a-geral'!AJ595</f>
        <v>x</v>
      </c>
      <c r="AK186" s="137" t="str">
        <f>'Q100a-geral'!AK595</f>
        <v>x</v>
      </c>
      <c r="AL186" s="173" t="str">
        <f>'Q100a-geral'!AL595</f>
        <v>x</v>
      </c>
      <c r="AM186" s="137" t="str">
        <f>'Q100a-geral'!AM595</f>
        <v>x</v>
      </c>
      <c r="AN186" s="137" t="str">
        <f>'Q100a-geral'!AN595</f>
        <v>x</v>
      </c>
      <c r="AO186" s="137" t="str">
        <f>'Q100a-geral'!AO595</f>
        <v>x</v>
      </c>
      <c r="AP186" s="137" t="str">
        <f>'Q100a-geral'!AP595</f>
        <v>x</v>
      </c>
      <c r="AQ186" s="137" t="str">
        <f>'Q100a-geral'!AQ595</f>
        <v>x</v>
      </c>
      <c r="AR186" s="137"/>
      <c r="AS186" s="137"/>
      <c r="AT186" s="137"/>
      <c r="AU186" s="137"/>
      <c r="AV186" s="137" t="str">
        <f>'Q100a-geral'!AV595</f>
        <v>x</v>
      </c>
      <c r="AW186" s="137"/>
      <c r="AX186" s="137"/>
      <c r="AY186" s="137"/>
      <c r="AZ186" s="137"/>
      <c r="BA186" s="137" t="str">
        <f>'Q100a-geral'!BA595</f>
        <v>x</v>
      </c>
      <c r="BB186" s="239" t="str">
        <f>'Q100a-geral'!BB595</f>
        <v>Populaçãox</v>
      </c>
      <c r="BC186" s="239" t="str">
        <f>'Q100a-geral'!BC595</f>
        <v>Populaçãoxbenchmarking</v>
      </c>
      <c r="BD186" s="239" t="str">
        <f>'Q100a-geral'!BD595</f>
        <v>Populaçãobenchmarking</v>
      </c>
    </row>
    <row r="187" spans="1:56" s="1" customFormat="1" ht="28.5" customHeight="1" x14ac:dyDescent="0.25">
      <c r="A187" s="275" t="str">
        <f>'Q100a-geral'!A596</f>
        <v>2.4</v>
      </c>
      <c r="B187" s="54" t="str">
        <f>'Q100a-geral'!B596</f>
        <v>População</v>
      </c>
      <c r="C187" s="230" t="str">
        <f>'Q100a-geral'!C596</f>
        <v>x</v>
      </c>
      <c r="D187" s="36" t="str">
        <f>'Q100a-geral'!D596</f>
        <v>densidade populacional</v>
      </c>
      <c r="E187" s="464" t="str">
        <f>'Q100a-geral'!E596</f>
        <v>Mário Campos</v>
      </c>
      <c r="F187" s="447" t="str">
        <f>'Q100a-geral'!F596</f>
        <v>densidade demográfica, que é a população do município em relação à sua área (expressa em habitantes/km2)</v>
      </c>
      <c r="G187" s="188" t="str">
        <f>'Q100a-geral'!G596</f>
        <v>P/área</v>
      </c>
      <c r="H187" s="173" t="str">
        <f>'Q100a-geral'!H596</f>
        <v>benchmarking</v>
      </c>
      <c r="I187" s="167" t="str">
        <f>'Q100a-geral'!I596</f>
        <v>x</v>
      </c>
      <c r="J187" s="58" t="str">
        <f>'Q100a-geral'!J596</f>
        <v>x</v>
      </c>
      <c r="K187" s="58" t="str">
        <f>'Q100a-geral'!K596</f>
        <v>x</v>
      </c>
      <c r="L187" s="58" t="str">
        <f>'Q100a-geral'!L596</f>
        <v>x</v>
      </c>
      <c r="M187" s="58" t="str">
        <f>'Q100a-geral'!M596</f>
        <v>x</v>
      </c>
      <c r="N187" s="58" t="str">
        <f>'Q100a-geral'!N596</f>
        <v>x</v>
      </c>
      <c r="O187" s="58" t="str">
        <f>'Q100a-geral'!O596</f>
        <v>x</v>
      </c>
      <c r="P187" s="58" t="str">
        <f>'Q100a-geral'!P596</f>
        <v>x</v>
      </c>
      <c r="Q187" s="58" t="str">
        <f>'Q100a-geral'!Q596</f>
        <v>x</v>
      </c>
      <c r="R187" s="58" t="str">
        <f>'Q100a-geral'!R596</f>
        <v>x</v>
      </c>
      <c r="S187" s="107" t="str">
        <f>'Q100a-geral'!S596</f>
        <v>só para pesquisa</v>
      </c>
      <c r="T187" s="58" t="str">
        <f>'Q100a-geral'!T596</f>
        <v>x</v>
      </c>
      <c r="U187" s="58" t="str">
        <f>'Q100a-geral'!U596</f>
        <v>x</v>
      </c>
      <c r="V187" s="107" t="str">
        <f>'Q100a-geral'!V596</f>
        <v>só para pesquisa</v>
      </c>
      <c r="W187" s="58" t="str">
        <f>'Q100a-geral'!W596</f>
        <v>x</v>
      </c>
      <c r="X187" s="58" t="str">
        <f>'Q100a-geral'!X596</f>
        <v>x</v>
      </c>
      <c r="Y187" s="58" t="str">
        <f>'Q100a-geral'!Y596</f>
        <v>x</v>
      </c>
      <c r="Z187" s="58" t="str">
        <f>'Q100a-geral'!Z596</f>
        <v>x</v>
      </c>
      <c r="AA187" s="58" t="str">
        <f>'Q100a-geral'!AA596</f>
        <v>x</v>
      </c>
      <c r="AB187" s="58" t="str">
        <f>'Q100a-geral'!AB596</f>
        <v>x</v>
      </c>
      <c r="AC187" s="58" t="str">
        <f>'Q100a-geral'!AC596</f>
        <v>x</v>
      </c>
      <c r="AD187" s="58" t="str">
        <f>'Q100a-geral'!AD596</f>
        <v>x</v>
      </c>
      <c r="AE187" s="58" t="str">
        <f>'Q100a-geral'!AE596</f>
        <v>x</v>
      </c>
      <c r="AF187" s="44">
        <f>'Q100a-geral'!AF596</f>
        <v>374.81531992271852</v>
      </c>
      <c r="AG187" s="58" t="str">
        <f>'Q100a-geral'!AG596</f>
        <v>x</v>
      </c>
      <c r="AH187" s="58" t="str">
        <f>'Q100a-geral'!AH596</f>
        <v>x</v>
      </c>
      <c r="AI187" s="58" t="str">
        <f>'Q100a-geral'!AI596</f>
        <v>x</v>
      </c>
      <c r="AJ187" s="58" t="str">
        <f>'Q100a-geral'!AJ596</f>
        <v>x</v>
      </c>
      <c r="AK187" s="137" t="str">
        <f>'Q100a-geral'!AK596</f>
        <v>x</v>
      </c>
      <c r="AL187" s="173" t="str">
        <f>'Q100a-geral'!AL596</f>
        <v>x</v>
      </c>
      <c r="AM187" s="137" t="str">
        <f>'Q100a-geral'!AM596</f>
        <v>x</v>
      </c>
      <c r="AN187" s="137" t="str">
        <f>'Q100a-geral'!AN596</f>
        <v>x</v>
      </c>
      <c r="AO187" s="137" t="str">
        <f>'Q100a-geral'!AO596</f>
        <v>x</v>
      </c>
      <c r="AP187" s="137" t="str">
        <f>'Q100a-geral'!AP596</f>
        <v>x</v>
      </c>
      <c r="AQ187" s="137" t="str">
        <f>'Q100a-geral'!AQ596</f>
        <v>x</v>
      </c>
      <c r="AR187" s="137"/>
      <c r="AS187" s="137"/>
      <c r="AT187" s="137"/>
      <c r="AU187" s="137"/>
      <c r="AV187" s="137" t="str">
        <f>'Q100a-geral'!AV596</f>
        <v>x</v>
      </c>
      <c r="AW187" s="137"/>
      <c r="AX187" s="137"/>
      <c r="AY187" s="137"/>
      <c r="AZ187" s="137"/>
      <c r="BA187" s="137" t="str">
        <f>'Q100a-geral'!BA596</f>
        <v>x</v>
      </c>
      <c r="BB187" s="239" t="str">
        <f>'Q100a-geral'!BB596</f>
        <v>Populaçãox</v>
      </c>
      <c r="BC187" s="239" t="str">
        <f>'Q100a-geral'!BC596</f>
        <v>Populaçãoxbenchmarking</v>
      </c>
      <c r="BD187" s="239" t="str">
        <f>'Q100a-geral'!BD596</f>
        <v>Populaçãobenchmarking</v>
      </c>
    </row>
    <row r="188" spans="1:56" s="1" customFormat="1" ht="28.5" customHeight="1" x14ac:dyDescent="0.25">
      <c r="A188" s="275" t="str">
        <f>'Q100a-geral'!A597</f>
        <v>2.4</v>
      </c>
      <c r="B188" s="54" t="str">
        <f>'Q100a-geral'!B597</f>
        <v>População</v>
      </c>
      <c r="C188" s="230" t="str">
        <f>'Q100a-geral'!C597</f>
        <v>x</v>
      </c>
      <c r="D188" s="36" t="str">
        <f>'Q100a-geral'!D597</f>
        <v>densidade populacional</v>
      </c>
      <c r="E188" s="464" t="str">
        <f>'Q100a-geral'!E597</f>
        <v>Mateus Leme</v>
      </c>
      <c r="F188" s="447" t="str">
        <f>'Q100a-geral'!F597</f>
        <v>densidade demográfica, que é a população do município em relação à sua área (expressa em habitantes/km2)</v>
      </c>
      <c r="G188" s="188" t="str">
        <f>'Q100a-geral'!G597</f>
        <v>P/área</v>
      </c>
      <c r="H188" s="173" t="str">
        <f>'Q100a-geral'!H597</f>
        <v>benchmarking</v>
      </c>
      <c r="I188" s="167" t="str">
        <f>'Q100a-geral'!I597</f>
        <v>x</v>
      </c>
      <c r="J188" s="58" t="str">
        <f>'Q100a-geral'!J597</f>
        <v>x</v>
      </c>
      <c r="K188" s="58" t="str">
        <f>'Q100a-geral'!K597</f>
        <v>x</v>
      </c>
      <c r="L188" s="58" t="str">
        <f>'Q100a-geral'!L597</f>
        <v>x</v>
      </c>
      <c r="M188" s="58" t="str">
        <f>'Q100a-geral'!M597</f>
        <v>x</v>
      </c>
      <c r="N188" s="58" t="str">
        <f>'Q100a-geral'!N597</f>
        <v>x</v>
      </c>
      <c r="O188" s="58" t="str">
        <f>'Q100a-geral'!O597</f>
        <v>x</v>
      </c>
      <c r="P188" s="58" t="str">
        <f>'Q100a-geral'!P597</f>
        <v>x</v>
      </c>
      <c r="Q188" s="58" t="str">
        <f>'Q100a-geral'!Q597</f>
        <v>x</v>
      </c>
      <c r="R188" s="58" t="str">
        <f>'Q100a-geral'!R597</f>
        <v>x</v>
      </c>
      <c r="S188" s="107" t="str">
        <f>'Q100a-geral'!S597</f>
        <v>só para pesquisa</v>
      </c>
      <c r="T188" s="58" t="str">
        <f>'Q100a-geral'!T597</f>
        <v>x</v>
      </c>
      <c r="U188" s="58" t="str">
        <f>'Q100a-geral'!U597</f>
        <v>x</v>
      </c>
      <c r="V188" s="107" t="str">
        <f>'Q100a-geral'!V597</f>
        <v>só para pesquisa</v>
      </c>
      <c r="W188" s="58" t="str">
        <f>'Q100a-geral'!W597</f>
        <v>x</v>
      </c>
      <c r="X188" s="58" t="str">
        <f>'Q100a-geral'!X597</f>
        <v>x</v>
      </c>
      <c r="Y188" s="58" t="str">
        <f>'Q100a-geral'!Y597</f>
        <v>x</v>
      </c>
      <c r="Z188" s="58" t="str">
        <f>'Q100a-geral'!Z597</f>
        <v>x</v>
      </c>
      <c r="AA188" s="58" t="str">
        <f>'Q100a-geral'!AA597</f>
        <v>x</v>
      </c>
      <c r="AB188" s="58" t="str">
        <f>'Q100a-geral'!AB597</f>
        <v>x</v>
      </c>
      <c r="AC188" s="58" t="str">
        <f>'Q100a-geral'!AC597</f>
        <v>x</v>
      </c>
      <c r="AD188" s="58" t="str">
        <f>'Q100a-geral'!AD597</f>
        <v>x</v>
      </c>
      <c r="AE188" s="58" t="str">
        <f>'Q100a-geral'!AE597</f>
        <v>x</v>
      </c>
      <c r="AF188" s="44">
        <f>'Q100a-geral'!AF597</f>
        <v>92.00291967909952</v>
      </c>
      <c r="AG188" s="58" t="str">
        <f>'Q100a-geral'!AG597</f>
        <v>x</v>
      </c>
      <c r="AH188" s="58" t="str">
        <f>'Q100a-geral'!AH597</f>
        <v>x</v>
      </c>
      <c r="AI188" s="58" t="str">
        <f>'Q100a-geral'!AI597</f>
        <v>x</v>
      </c>
      <c r="AJ188" s="58" t="str">
        <f>'Q100a-geral'!AJ597</f>
        <v>x</v>
      </c>
      <c r="AK188" s="137" t="str">
        <f>'Q100a-geral'!AK597</f>
        <v>x</v>
      </c>
      <c r="AL188" s="173" t="str">
        <f>'Q100a-geral'!AL597</f>
        <v>x</v>
      </c>
      <c r="AM188" s="137" t="str">
        <f>'Q100a-geral'!AM597</f>
        <v>x</v>
      </c>
      <c r="AN188" s="137" t="str">
        <f>'Q100a-geral'!AN597</f>
        <v>x</v>
      </c>
      <c r="AO188" s="137" t="str">
        <f>'Q100a-geral'!AO597</f>
        <v>x</v>
      </c>
      <c r="AP188" s="137" t="str">
        <f>'Q100a-geral'!AP597</f>
        <v>x</v>
      </c>
      <c r="AQ188" s="137" t="str">
        <f>'Q100a-geral'!AQ597</f>
        <v>x</v>
      </c>
      <c r="AR188" s="137"/>
      <c r="AS188" s="137"/>
      <c r="AT188" s="137"/>
      <c r="AU188" s="137"/>
      <c r="AV188" s="137" t="str">
        <f>'Q100a-geral'!AV597</f>
        <v>x</v>
      </c>
      <c r="AW188" s="137"/>
      <c r="AX188" s="137"/>
      <c r="AY188" s="137"/>
      <c r="AZ188" s="137"/>
      <c r="BA188" s="137" t="str">
        <f>'Q100a-geral'!BA597</f>
        <v>x</v>
      </c>
      <c r="BB188" s="239" t="str">
        <f>'Q100a-geral'!BB597</f>
        <v>Populaçãox</v>
      </c>
      <c r="BC188" s="239" t="str">
        <f>'Q100a-geral'!BC597</f>
        <v>Populaçãoxbenchmarking</v>
      </c>
      <c r="BD188" s="239" t="str">
        <f>'Q100a-geral'!BD597</f>
        <v>Populaçãobenchmarking</v>
      </c>
    </row>
    <row r="189" spans="1:56" s="1" customFormat="1" ht="28.5" customHeight="1" x14ac:dyDescent="0.25">
      <c r="A189" s="275" t="str">
        <f>'Q100a-geral'!A598</f>
        <v>2.4</v>
      </c>
      <c r="B189" s="54" t="str">
        <f>'Q100a-geral'!B598</f>
        <v>População</v>
      </c>
      <c r="C189" s="230" t="str">
        <f>'Q100a-geral'!C598</f>
        <v>x</v>
      </c>
      <c r="D189" s="36" t="str">
        <f>'Q100a-geral'!D598</f>
        <v>densidade populacional</v>
      </c>
      <c r="E189" s="464" t="str">
        <f>'Q100a-geral'!E598</f>
        <v>Matozinhos</v>
      </c>
      <c r="F189" s="447" t="str">
        <f>'Q100a-geral'!F598</f>
        <v>densidade demográfica, que é a população do município em relação à sua área (expressa em habitantes/km2)</v>
      </c>
      <c r="G189" s="188" t="str">
        <f>'Q100a-geral'!G598</f>
        <v>P/área</v>
      </c>
      <c r="H189" s="173" t="str">
        <f>'Q100a-geral'!H598</f>
        <v>benchmarking</v>
      </c>
      <c r="I189" s="167" t="str">
        <f>'Q100a-geral'!I598</f>
        <v>x</v>
      </c>
      <c r="J189" s="58" t="str">
        <f>'Q100a-geral'!J598</f>
        <v>x</v>
      </c>
      <c r="K189" s="58" t="str">
        <f>'Q100a-geral'!K598</f>
        <v>x</v>
      </c>
      <c r="L189" s="58" t="str">
        <f>'Q100a-geral'!L598</f>
        <v>x</v>
      </c>
      <c r="M189" s="58" t="str">
        <f>'Q100a-geral'!M598</f>
        <v>x</v>
      </c>
      <c r="N189" s="58" t="str">
        <f>'Q100a-geral'!N598</f>
        <v>x</v>
      </c>
      <c r="O189" s="58" t="str">
        <f>'Q100a-geral'!O598</f>
        <v>x</v>
      </c>
      <c r="P189" s="58" t="str">
        <f>'Q100a-geral'!P598</f>
        <v>x</v>
      </c>
      <c r="Q189" s="58" t="str">
        <f>'Q100a-geral'!Q598</f>
        <v>x</v>
      </c>
      <c r="R189" s="58" t="str">
        <f>'Q100a-geral'!R598</f>
        <v>x</v>
      </c>
      <c r="S189" s="107" t="str">
        <f>'Q100a-geral'!S598</f>
        <v>só para pesquisa</v>
      </c>
      <c r="T189" s="58" t="str">
        <f>'Q100a-geral'!T598</f>
        <v>x</v>
      </c>
      <c r="U189" s="58" t="str">
        <f>'Q100a-geral'!U598</f>
        <v>x</v>
      </c>
      <c r="V189" s="107" t="str">
        <f>'Q100a-geral'!V598</f>
        <v>só para pesquisa</v>
      </c>
      <c r="W189" s="58" t="str">
        <f>'Q100a-geral'!W598</f>
        <v>x</v>
      </c>
      <c r="X189" s="58" t="str">
        <f>'Q100a-geral'!X598</f>
        <v>x</v>
      </c>
      <c r="Y189" s="58" t="str">
        <f>'Q100a-geral'!Y598</f>
        <v>x</v>
      </c>
      <c r="Z189" s="58" t="str">
        <f>'Q100a-geral'!Z598</f>
        <v>x</v>
      </c>
      <c r="AA189" s="58" t="str">
        <f>'Q100a-geral'!AA598</f>
        <v>x</v>
      </c>
      <c r="AB189" s="58" t="str">
        <f>'Q100a-geral'!AB598</f>
        <v>x</v>
      </c>
      <c r="AC189" s="58" t="str">
        <f>'Q100a-geral'!AC598</f>
        <v>x</v>
      </c>
      <c r="AD189" s="58" t="str">
        <f>'Q100a-geral'!AD598</f>
        <v>x</v>
      </c>
      <c r="AE189" s="58" t="str">
        <f>'Q100a-geral'!AE598</f>
        <v>x</v>
      </c>
      <c r="AF189" s="44">
        <f>'Q100a-geral'!AF598</f>
        <v>134.59251625178374</v>
      </c>
      <c r="AG189" s="58" t="str">
        <f>'Q100a-geral'!AG598</f>
        <v>x</v>
      </c>
      <c r="AH189" s="58" t="str">
        <f>'Q100a-geral'!AH598</f>
        <v>x</v>
      </c>
      <c r="AI189" s="58" t="str">
        <f>'Q100a-geral'!AI598</f>
        <v>x</v>
      </c>
      <c r="AJ189" s="58" t="str">
        <f>'Q100a-geral'!AJ598</f>
        <v>x</v>
      </c>
      <c r="AK189" s="137" t="str">
        <f>'Q100a-geral'!AK598</f>
        <v>x</v>
      </c>
      <c r="AL189" s="173" t="str">
        <f>'Q100a-geral'!AL598</f>
        <v>x</v>
      </c>
      <c r="AM189" s="137" t="str">
        <f>'Q100a-geral'!AM598</f>
        <v>x</v>
      </c>
      <c r="AN189" s="137" t="str">
        <f>'Q100a-geral'!AN598</f>
        <v>x</v>
      </c>
      <c r="AO189" s="137" t="str">
        <f>'Q100a-geral'!AO598</f>
        <v>x</v>
      </c>
      <c r="AP189" s="137" t="str">
        <f>'Q100a-geral'!AP598</f>
        <v>x</v>
      </c>
      <c r="AQ189" s="137" t="str">
        <f>'Q100a-geral'!AQ598</f>
        <v>x</v>
      </c>
      <c r="AR189" s="137"/>
      <c r="AS189" s="137"/>
      <c r="AT189" s="137"/>
      <c r="AU189" s="137"/>
      <c r="AV189" s="137" t="str">
        <f>'Q100a-geral'!AV598</f>
        <v>x</v>
      </c>
      <c r="AW189" s="137"/>
      <c r="AX189" s="137"/>
      <c r="AY189" s="137"/>
      <c r="AZ189" s="137"/>
      <c r="BA189" s="137" t="str">
        <f>'Q100a-geral'!BA598</f>
        <v>x</v>
      </c>
      <c r="BB189" s="239" t="str">
        <f>'Q100a-geral'!BB598</f>
        <v>Populaçãox</v>
      </c>
      <c r="BC189" s="239" t="str">
        <f>'Q100a-geral'!BC598</f>
        <v>Populaçãoxbenchmarking</v>
      </c>
      <c r="BD189" s="239" t="str">
        <f>'Q100a-geral'!BD598</f>
        <v>Populaçãobenchmarking</v>
      </c>
    </row>
    <row r="190" spans="1:56" s="1" customFormat="1" ht="28.5" customHeight="1" x14ac:dyDescent="0.25">
      <c r="A190" s="275" t="str">
        <f>'Q100a-geral'!A599</f>
        <v>2.4</v>
      </c>
      <c r="B190" s="54" t="str">
        <f>'Q100a-geral'!B599</f>
        <v>População</v>
      </c>
      <c r="C190" s="230" t="str">
        <f>'Q100a-geral'!C599</f>
        <v>x</v>
      </c>
      <c r="D190" s="36" t="str">
        <f>'Q100a-geral'!D599</f>
        <v>densidade populacional</v>
      </c>
      <c r="E190" s="464" t="str">
        <f>'Q100a-geral'!E599</f>
        <v>Nova Lima</v>
      </c>
      <c r="F190" s="447" t="str">
        <f>'Q100a-geral'!F599</f>
        <v>densidade demográfica, que é a população do município em relação à sua área (expressa em habitantes/km2)</v>
      </c>
      <c r="G190" s="188" t="str">
        <f>'Q100a-geral'!G599</f>
        <v>P/área</v>
      </c>
      <c r="H190" s="173" t="str">
        <f>'Q100a-geral'!H599</f>
        <v>benchmarking</v>
      </c>
      <c r="I190" s="167" t="str">
        <f>'Q100a-geral'!I599</f>
        <v>x</v>
      </c>
      <c r="J190" s="58" t="str">
        <f>'Q100a-geral'!J599</f>
        <v>x</v>
      </c>
      <c r="K190" s="58" t="str">
        <f>'Q100a-geral'!K599</f>
        <v>x</v>
      </c>
      <c r="L190" s="58" t="str">
        <f>'Q100a-geral'!L599</f>
        <v>x</v>
      </c>
      <c r="M190" s="58" t="str">
        <f>'Q100a-geral'!M599</f>
        <v>x</v>
      </c>
      <c r="N190" s="58" t="str">
        <f>'Q100a-geral'!N599</f>
        <v>x</v>
      </c>
      <c r="O190" s="58" t="str">
        <f>'Q100a-geral'!O599</f>
        <v>x</v>
      </c>
      <c r="P190" s="58" t="str">
        <f>'Q100a-geral'!P599</f>
        <v>x</v>
      </c>
      <c r="Q190" s="58" t="str">
        <f>'Q100a-geral'!Q599</f>
        <v>x</v>
      </c>
      <c r="R190" s="58" t="str">
        <f>'Q100a-geral'!R599</f>
        <v>x</v>
      </c>
      <c r="S190" s="107" t="str">
        <f>'Q100a-geral'!S599</f>
        <v>só para pesquisa</v>
      </c>
      <c r="T190" s="58" t="str">
        <f>'Q100a-geral'!T599</f>
        <v>x</v>
      </c>
      <c r="U190" s="58" t="str">
        <f>'Q100a-geral'!U599</f>
        <v>x</v>
      </c>
      <c r="V190" s="107" t="str">
        <f>'Q100a-geral'!V599</f>
        <v>só para pesquisa</v>
      </c>
      <c r="W190" s="58" t="str">
        <f>'Q100a-geral'!W599</f>
        <v>x</v>
      </c>
      <c r="X190" s="58" t="str">
        <f>'Q100a-geral'!X599</f>
        <v>x</v>
      </c>
      <c r="Y190" s="58" t="str">
        <f>'Q100a-geral'!Y599</f>
        <v>x</v>
      </c>
      <c r="Z190" s="58" t="str">
        <f>'Q100a-geral'!Z599</f>
        <v>x</v>
      </c>
      <c r="AA190" s="58" t="str">
        <f>'Q100a-geral'!AA599</f>
        <v>x</v>
      </c>
      <c r="AB190" s="58" t="str">
        <f>'Q100a-geral'!AB599</f>
        <v>x</v>
      </c>
      <c r="AC190" s="58" t="str">
        <f>'Q100a-geral'!AC599</f>
        <v>x</v>
      </c>
      <c r="AD190" s="58" t="str">
        <f>'Q100a-geral'!AD599</f>
        <v>x</v>
      </c>
      <c r="AE190" s="58" t="str">
        <f>'Q100a-geral'!AE599</f>
        <v>x</v>
      </c>
      <c r="AF190" s="44">
        <f>'Q100a-geral'!AF599</f>
        <v>188.77880404509361</v>
      </c>
      <c r="AG190" s="58" t="str">
        <f>'Q100a-geral'!AG599</f>
        <v>x</v>
      </c>
      <c r="AH190" s="58" t="str">
        <f>'Q100a-geral'!AH599</f>
        <v>x</v>
      </c>
      <c r="AI190" s="58" t="str">
        <f>'Q100a-geral'!AI599</f>
        <v>x</v>
      </c>
      <c r="AJ190" s="58" t="str">
        <f>'Q100a-geral'!AJ599</f>
        <v>x</v>
      </c>
      <c r="AK190" s="137" t="str">
        <f>'Q100a-geral'!AK599</f>
        <v>x</v>
      </c>
      <c r="AL190" s="173" t="str">
        <f>'Q100a-geral'!AL599</f>
        <v>x</v>
      </c>
      <c r="AM190" s="137" t="str">
        <f>'Q100a-geral'!AM599</f>
        <v>x</v>
      </c>
      <c r="AN190" s="137" t="str">
        <f>'Q100a-geral'!AN599</f>
        <v>x</v>
      </c>
      <c r="AO190" s="137" t="str">
        <f>'Q100a-geral'!AO599</f>
        <v>x</v>
      </c>
      <c r="AP190" s="137" t="str">
        <f>'Q100a-geral'!AP599</f>
        <v>x</v>
      </c>
      <c r="AQ190" s="137" t="str">
        <f>'Q100a-geral'!AQ599</f>
        <v>x</v>
      </c>
      <c r="AR190" s="137"/>
      <c r="AS190" s="137"/>
      <c r="AT190" s="137"/>
      <c r="AU190" s="137"/>
      <c r="AV190" s="137" t="str">
        <f>'Q100a-geral'!AV599</f>
        <v>x</v>
      </c>
      <c r="AW190" s="137"/>
      <c r="AX190" s="137"/>
      <c r="AY190" s="137"/>
      <c r="AZ190" s="137"/>
      <c r="BA190" s="137" t="str">
        <f>'Q100a-geral'!BA599</f>
        <v>x</v>
      </c>
      <c r="BB190" s="239" t="str">
        <f>'Q100a-geral'!BB599</f>
        <v>Populaçãox</v>
      </c>
      <c r="BC190" s="239" t="str">
        <f>'Q100a-geral'!BC599</f>
        <v>Populaçãoxbenchmarking</v>
      </c>
      <c r="BD190" s="239" t="str">
        <f>'Q100a-geral'!BD599</f>
        <v>Populaçãobenchmarking</v>
      </c>
    </row>
    <row r="191" spans="1:56" s="1" customFormat="1" ht="28.5" customHeight="1" x14ac:dyDescent="0.25">
      <c r="A191" s="275" t="str">
        <f>'Q100a-geral'!A600</f>
        <v>2.4</v>
      </c>
      <c r="B191" s="54" t="str">
        <f>'Q100a-geral'!B600</f>
        <v>População</v>
      </c>
      <c r="C191" s="230" t="str">
        <f>'Q100a-geral'!C600</f>
        <v>x</v>
      </c>
      <c r="D191" s="36" t="str">
        <f>'Q100a-geral'!D600</f>
        <v>densidade populacional</v>
      </c>
      <c r="E191" s="464" t="str">
        <f>'Q100a-geral'!E600</f>
        <v>Nova União</v>
      </c>
      <c r="F191" s="447" t="str">
        <f>'Q100a-geral'!F600</f>
        <v>densidade demográfica, que é a população do município em relação à sua área (expressa em habitantes/km2)</v>
      </c>
      <c r="G191" s="188" t="str">
        <f>'Q100a-geral'!G600</f>
        <v>P/área</v>
      </c>
      <c r="H191" s="173" t="str">
        <f>'Q100a-geral'!H600</f>
        <v>benchmarking</v>
      </c>
      <c r="I191" s="167" t="str">
        <f>'Q100a-geral'!I600</f>
        <v>x</v>
      </c>
      <c r="J191" s="58" t="str">
        <f>'Q100a-geral'!J600</f>
        <v>x</v>
      </c>
      <c r="K191" s="58" t="str">
        <f>'Q100a-geral'!K600</f>
        <v>x</v>
      </c>
      <c r="L191" s="58" t="str">
        <f>'Q100a-geral'!L600</f>
        <v>x</v>
      </c>
      <c r="M191" s="58" t="str">
        <f>'Q100a-geral'!M600</f>
        <v>x</v>
      </c>
      <c r="N191" s="58" t="str">
        <f>'Q100a-geral'!N600</f>
        <v>x</v>
      </c>
      <c r="O191" s="58" t="str">
        <f>'Q100a-geral'!O600</f>
        <v>x</v>
      </c>
      <c r="P191" s="58" t="str">
        <f>'Q100a-geral'!P600</f>
        <v>x</v>
      </c>
      <c r="Q191" s="58" t="str">
        <f>'Q100a-geral'!Q600</f>
        <v>x</v>
      </c>
      <c r="R191" s="58" t="str">
        <f>'Q100a-geral'!R600</f>
        <v>x</v>
      </c>
      <c r="S191" s="107" t="str">
        <f>'Q100a-geral'!S600</f>
        <v>só para pesquisa</v>
      </c>
      <c r="T191" s="58" t="str">
        <f>'Q100a-geral'!T600</f>
        <v>x</v>
      </c>
      <c r="U191" s="58" t="str">
        <f>'Q100a-geral'!U600</f>
        <v>x</v>
      </c>
      <c r="V191" s="107" t="str">
        <f>'Q100a-geral'!V600</f>
        <v>só para pesquisa</v>
      </c>
      <c r="W191" s="58" t="str">
        <f>'Q100a-geral'!W600</f>
        <v>x</v>
      </c>
      <c r="X191" s="58" t="str">
        <f>'Q100a-geral'!X600</f>
        <v>x</v>
      </c>
      <c r="Y191" s="58" t="str">
        <f>'Q100a-geral'!Y600</f>
        <v>x</v>
      </c>
      <c r="Z191" s="58" t="str">
        <f>'Q100a-geral'!Z600</f>
        <v>x</v>
      </c>
      <c r="AA191" s="58" t="str">
        <f>'Q100a-geral'!AA600</f>
        <v>x</v>
      </c>
      <c r="AB191" s="58" t="str">
        <f>'Q100a-geral'!AB600</f>
        <v>x</v>
      </c>
      <c r="AC191" s="58" t="str">
        <f>'Q100a-geral'!AC600</f>
        <v>x</v>
      </c>
      <c r="AD191" s="58" t="str">
        <f>'Q100a-geral'!AD600</f>
        <v>x</v>
      </c>
      <c r="AE191" s="58" t="str">
        <f>'Q100a-geral'!AE600</f>
        <v>x</v>
      </c>
      <c r="AF191" s="44">
        <f>'Q100a-geral'!AF600</f>
        <v>32.271932423561125</v>
      </c>
      <c r="AG191" s="58" t="str">
        <f>'Q100a-geral'!AG600</f>
        <v>x</v>
      </c>
      <c r="AH191" s="58" t="str">
        <f>'Q100a-geral'!AH600</f>
        <v>x</v>
      </c>
      <c r="AI191" s="58" t="str">
        <f>'Q100a-geral'!AI600</f>
        <v>x</v>
      </c>
      <c r="AJ191" s="58" t="str">
        <f>'Q100a-geral'!AJ600</f>
        <v>x</v>
      </c>
      <c r="AK191" s="137" t="str">
        <f>'Q100a-geral'!AK600</f>
        <v>x</v>
      </c>
      <c r="AL191" s="173" t="str">
        <f>'Q100a-geral'!AL600</f>
        <v>x</v>
      </c>
      <c r="AM191" s="137" t="str">
        <f>'Q100a-geral'!AM600</f>
        <v>x</v>
      </c>
      <c r="AN191" s="137" t="str">
        <f>'Q100a-geral'!AN600</f>
        <v>x</v>
      </c>
      <c r="AO191" s="137" t="str">
        <f>'Q100a-geral'!AO600</f>
        <v>x</v>
      </c>
      <c r="AP191" s="137" t="str">
        <f>'Q100a-geral'!AP600</f>
        <v>x</v>
      </c>
      <c r="AQ191" s="137" t="str">
        <f>'Q100a-geral'!AQ600</f>
        <v>x</v>
      </c>
      <c r="AR191" s="137"/>
      <c r="AS191" s="137"/>
      <c r="AT191" s="137"/>
      <c r="AU191" s="137"/>
      <c r="AV191" s="137" t="str">
        <f>'Q100a-geral'!AV600</f>
        <v>x</v>
      </c>
      <c r="AW191" s="137"/>
      <c r="AX191" s="137"/>
      <c r="AY191" s="137"/>
      <c r="AZ191" s="137"/>
      <c r="BA191" s="137" t="str">
        <f>'Q100a-geral'!BA600</f>
        <v>x</v>
      </c>
      <c r="BB191" s="239" t="str">
        <f>'Q100a-geral'!BB600</f>
        <v>Populaçãox</v>
      </c>
      <c r="BC191" s="239" t="str">
        <f>'Q100a-geral'!BC600</f>
        <v>Populaçãoxbenchmarking</v>
      </c>
      <c r="BD191" s="239" t="str">
        <f>'Q100a-geral'!BD600</f>
        <v>Populaçãobenchmarking</v>
      </c>
    </row>
    <row r="192" spans="1:56" s="1" customFormat="1" ht="28.5" customHeight="1" x14ac:dyDescent="0.25">
      <c r="A192" s="275" t="str">
        <f>'Q100a-geral'!A601</f>
        <v>2.4</v>
      </c>
      <c r="B192" s="54" t="str">
        <f>'Q100a-geral'!B601</f>
        <v>População</v>
      </c>
      <c r="C192" s="230" t="str">
        <f>'Q100a-geral'!C601</f>
        <v>x</v>
      </c>
      <c r="D192" s="36" t="str">
        <f>'Q100a-geral'!D601</f>
        <v>densidade populacional</v>
      </c>
      <c r="E192" s="464" t="str">
        <f>'Q100a-geral'!E601</f>
        <v>Pedro Leopoldo</v>
      </c>
      <c r="F192" s="447" t="str">
        <f>'Q100a-geral'!F601</f>
        <v>densidade demográfica, que é a população do município em relação à sua área (expressa em habitantes/km2)</v>
      </c>
      <c r="G192" s="188" t="str">
        <f>'Q100a-geral'!G601</f>
        <v>P/área</v>
      </c>
      <c r="H192" s="173" t="str">
        <f>'Q100a-geral'!H601</f>
        <v>benchmarking</v>
      </c>
      <c r="I192" s="167" t="str">
        <f>'Q100a-geral'!I601</f>
        <v>x</v>
      </c>
      <c r="J192" s="58" t="str">
        <f>'Q100a-geral'!J601</f>
        <v>x</v>
      </c>
      <c r="K192" s="58" t="str">
        <f>'Q100a-geral'!K601</f>
        <v>x</v>
      </c>
      <c r="L192" s="58" t="str">
        <f>'Q100a-geral'!L601</f>
        <v>x</v>
      </c>
      <c r="M192" s="58" t="str">
        <f>'Q100a-geral'!M601</f>
        <v>x</v>
      </c>
      <c r="N192" s="58" t="str">
        <f>'Q100a-geral'!N601</f>
        <v>x</v>
      </c>
      <c r="O192" s="58" t="str">
        <f>'Q100a-geral'!O601</f>
        <v>x</v>
      </c>
      <c r="P192" s="58" t="str">
        <f>'Q100a-geral'!P601</f>
        <v>x</v>
      </c>
      <c r="Q192" s="58" t="str">
        <f>'Q100a-geral'!Q601</f>
        <v>x</v>
      </c>
      <c r="R192" s="58" t="str">
        <f>'Q100a-geral'!R601</f>
        <v>x</v>
      </c>
      <c r="S192" s="107" t="str">
        <f>'Q100a-geral'!S601</f>
        <v>só para pesquisa</v>
      </c>
      <c r="T192" s="58" t="str">
        <f>'Q100a-geral'!T601</f>
        <v>x</v>
      </c>
      <c r="U192" s="58" t="str">
        <f>'Q100a-geral'!U601</f>
        <v>x</v>
      </c>
      <c r="V192" s="107" t="str">
        <f>'Q100a-geral'!V601</f>
        <v>só para pesquisa</v>
      </c>
      <c r="W192" s="58" t="str">
        <f>'Q100a-geral'!W601</f>
        <v>x</v>
      </c>
      <c r="X192" s="58" t="str">
        <f>'Q100a-geral'!X601</f>
        <v>x</v>
      </c>
      <c r="Y192" s="58" t="str">
        <f>'Q100a-geral'!Y601</f>
        <v>x</v>
      </c>
      <c r="Z192" s="58" t="str">
        <f>'Q100a-geral'!Z601</f>
        <v>x</v>
      </c>
      <c r="AA192" s="58" t="str">
        <f>'Q100a-geral'!AA601</f>
        <v>x</v>
      </c>
      <c r="AB192" s="58" t="str">
        <f>'Q100a-geral'!AB601</f>
        <v>x</v>
      </c>
      <c r="AC192" s="58" t="str">
        <f>'Q100a-geral'!AC601</f>
        <v>x</v>
      </c>
      <c r="AD192" s="58" t="str">
        <f>'Q100a-geral'!AD601</f>
        <v>x</v>
      </c>
      <c r="AE192" s="58" t="str">
        <f>'Q100a-geral'!AE601</f>
        <v>x</v>
      </c>
      <c r="AF192" s="44">
        <f>'Q100a-geral'!AF601</f>
        <v>200.48534245312965</v>
      </c>
      <c r="AG192" s="58" t="str">
        <f>'Q100a-geral'!AG601</f>
        <v>x</v>
      </c>
      <c r="AH192" s="58" t="str">
        <f>'Q100a-geral'!AH601</f>
        <v>x</v>
      </c>
      <c r="AI192" s="58" t="str">
        <f>'Q100a-geral'!AI601</f>
        <v>x</v>
      </c>
      <c r="AJ192" s="58" t="str">
        <f>'Q100a-geral'!AJ601</f>
        <v>x</v>
      </c>
      <c r="AK192" s="137" t="str">
        <f>'Q100a-geral'!AK601</f>
        <v>x</v>
      </c>
      <c r="AL192" s="173" t="str">
        <f>'Q100a-geral'!AL601</f>
        <v>x</v>
      </c>
      <c r="AM192" s="137" t="str">
        <f>'Q100a-geral'!AM601</f>
        <v>x</v>
      </c>
      <c r="AN192" s="137" t="str">
        <f>'Q100a-geral'!AN601</f>
        <v>x</v>
      </c>
      <c r="AO192" s="137" t="str">
        <f>'Q100a-geral'!AO601</f>
        <v>x</v>
      </c>
      <c r="AP192" s="137" t="str">
        <f>'Q100a-geral'!AP601</f>
        <v>x</v>
      </c>
      <c r="AQ192" s="137" t="str">
        <f>'Q100a-geral'!AQ601</f>
        <v>x</v>
      </c>
      <c r="AR192" s="137"/>
      <c r="AS192" s="137"/>
      <c r="AT192" s="137"/>
      <c r="AU192" s="137"/>
      <c r="AV192" s="137" t="str">
        <f>'Q100a-geral'!AV601</f>
        <v>x</v>
      </c>
      <c r="AW192" s="137"/>
      <c r="AX192" s="137"/>
      <c r="AY192" s="137"/>
      <c r="AZ192" s="137"/>
      <c r="BA192" s="137" t="str">
        <f>'Q100a-geral'!BA601</f>
        <v>x</v>
      </c>
      <c r="BB192" s="239" t="str">
        <f>'Q100a-geral'!BB601</f>
        <v>Populaçãox</v>
      </c>
      <c r="BC192" s="239" t="str">
        <f>'Q100a-geral'!BC601</f>
        <v>Populaçãoxbenchmarking</v>
      </c>
      <c r="BD192" s="239" t="str">
        <f>'Q100a-geral'!BD601</f>
        <v>Populaçãobenchmarking</v>
      </c>
    </row>
    <row r="193" spans="1:56" s="1" customFormat="1" ht="28.5" customHeight="1" x14ac:dyDescent="0.25">
      <c r="A193" s="275" t="str">
        <f>'Q100a-geral'!A602</f>
        <v>2.4</v>
      </c>
      <c r="B193" s="54" t="str">
        <f>'Q100a-geral'!B602</f>
        <v>População</v>
      </c>
      <c r="C193" s="230" t="str">
        <f>'Q100a-geral'!C602</f>
        <v>x</v>
      </c>
      <c r="D193" s="36" t="str">
        <f>'Q100a-geral'!D602</f>
        <v>densidade populacional</v>
      </c>
      <c r="E193" s="464" t="str">
        <f>'Q100a-geral'!E602</f>
        <v>Raposos</v>
      </c>
      <c r="F193" s="447" t="str">
        <f>'Q100a-geral'!F602</f>
        <v>densidade demográfica, que é a população do município em relação à sua área (expressa em habitantes/km2)</v>
      </c>
      <c r="G193" s="188" t="str">
        <f>'Q100a-geral'!G602</f>
        <v>P/área</v>
      </c>
      <c r="H193" s="173" t="str">
        <f>'Q100a-geral'!H602</f>
        <v>benchmarking</v>
      </c>
      <c r="I193" s="167" t="str">
        <f>'Q100a-geral'!I602</f>
        <v>x</v>
      </c>
      <c r="J193" s="58" t="str">
        <f>'Q100a-geral'!J602</f>
        <v>x</v>
      </c>
      <c r="K193" s="58" t="str">
        <f>'Q100a-geral'!K602</f>
        <v>x</v>
      </c>
      <c r="L193" s="58" t="str">
        <f>'Q100a-geral'!L602</f>
        <v>x</v>
      </c>
      <c r="M193" s="58" t="str">
        <f>'Q100a-geral'!M602</f>
        <v>x</v>
      </c>
      <c r="N193" s="58" t="str">
        <f>'Q100a-geral'!N602</f>
        <v>x</v>
      </c>
      <c r="O193" s="58" t="str">
        <f>'Q100a-geral'!O602</f>
        <v>x</v>
      </c>
      <c r="P193" s="58" t="str">
        <f>'Q100a-geral'!P602</f>
        <v>x</v>
      </c>
      <c r="Q193" s="58" t="str">
        <f>'Q100a-geral'!Q602</f>
        <v>x</v>
      </c>
      <c r="R193" s="58" t="str">
        <f>'Q100a-geral'!R602</f>
        <v>x</v>
      </c>
      <c r="S193" s="107" t="str">
        <f>'Q100a-geral'!S602</f>
        <v>só para pesquisa</v>
      </c>
      <c r="T193" s="58" t="str">
        <f>'Q100a-geral'!T602</f>
        <v>x</v>
      </c>
      <c r="U193" s="58" t="str">
        <f>'Q100a-geral'!U602</f>
        <v>x</v>
      </c>
      <c r="V193" s="107" t="str">
        <f>'Q100a-geral'!V602</f>
        <v>só para pesquisa</v>
      </c>
      <c r="W193" s="58" t="str">
        <f>'Q100a-geral'!W602</f>
        <v>x</v>
      </c>
      <c r="X193" s="58" t="str">
        <f>'Q100a-geral'!X602</f>
        <v>x</v>
      </c>
      <c r="Y193" s="58" t="str">
        <f>'Q100a-geral'!Y602</f>
        <v>x</v>
      </c>
      <c r="Z193" s="58" t="str">
        <f>'Q100a-geral'!Z602</f>
        <v>x</v>
      </c>
      <c r="AA193" s="58" t="str">
        <f>'Q100a-geral'!AA602</f>
        <v>x</v>
      </c>
      <c r="AB193" s="58" t="str">
        <f>'Q100a-geral'!AB602</f>
        <v>x</v>
      </c>
      <c r="AC193" s="58" t="str">
        <f>'Q100a-geral'!AC602</f>
        <v>x</v>
      </c>
      <c r="AD193" s="58" t="str">
        <f>'Q100a-geral'!AD602</f>
        <v>x</v>
      </c>
      <c r="AE193" s="58" t="str">
        <f>'Q100a-geral'!AE602</f>
        <v>x</v>
      </c>
      <c r="AF193" s="44">
        <f>'Q100a-geral'!AF602</f>
        <v>212.58435062145799</v>
      </c>
      <c r="AG193" s="58" t="str">
        <f>'Q100a-geral'!AG602</f>
        <v>x</v>
      </c>
      <c r="AH193" s="58" t="str">
        <f>'Q100a-geral'!AH602</f>
        <v>x</v>
      </c>
      <c r="AI193" s="58" t="str">
        <f>'Q100a-geral'!AI602</f>
        <v>x</v>
      </c>
      <c r="AJ193" s="58" t="str">
        <f>'Q100a-geral'!AJ602</f>
        <v>x</v>
      </c>
      <c r="AK193" s="137" t="str">
        <f>'Q100a-geral'!AK602</f>
        <v>x</v>
      </c>
      <c r="AL193" s="173" t="str">
        <f>'Q100a-geral'!AL602</f>
        <v>x</v>
      </c>
      <c r="AM193" s="137" t="str">
        <f>'Q100a-geral'!AM602</f>
        <v>x</v>
      </c>
      <c r="AN193" s="137" t="str">
        <f>'Q100a-geral'!AN602</f>
        <v>x</v>
      </c>
      <c r="AO193" s="137" t="str">
        <f>'Q100a-geral'!AO602</f>
        <v>x</v>
      </c>
      <c r="AP193" s="137" t="str">
        <f>'Q100a-geral'!AP602</f>
        <v>x</v>
      </c>
      <c r="AQ193" s="137" t="str">
        <f>'Q100a-geral'!AQ602</f>
        <v>x</v>
      </c>
      <c r="AR193" s="137"/>
      <c r="AS193" s="137"/>
      <c r="AT193" s="137"/>
      <c r="AU193" s="137"/>
      <c r="AV193" s="137" t="str">
        <f>'Q100a-geral'!AV602</f>
        <v>x</v>
      </c>
      <c r="AW193" s="137"/>
      <c r="AX193" s="137"/>
      <c r="AY193" s="137"/>
      <c r="AZ193" s="137"/>
      <c r="BA193" s="137" t="str">
        <f>'Q100a-geral'!BA602</f>
        <v>x</v>
      </c>
      <c r="BB193" s="239" t="str">
        <f>'Q100a-geral'!BB602</f>
        <v>Populaçãox</v>
      </c>
      <c r="BC193" s="239" t="str">
        <f>'Q100a-geral'!BC602</f>
        <v>Populaçãoxbenchmarking</v>
      </c>
      <c r="BD193" s="239" t="str">
        <f>'Q100a-geral'!BD602</f>
        <v>Populaçãobenchmarking</v>
      </c>
    </row>
    <row r="194" spans="1:56" s="1" customFormat="1" ht="38.25" customHeight="1" x14ac:dyDescent="0.25">
      <c r="A194" s="275" t="str">
        <f>'Q100a-geral'!A603</f>
        <v>2.4</v>
      </c>
      <c r="B194" s="54" t="str">
        <f>'Q100a-geral'!B603</f>
        <v>População</v>
      </c>
      <c r="C194" s="230" t="str">
        <f>'Q100a-geral'!C603</f>
        <v>x</v>
      </c>
      <c r="D194" s="36" t="str">
        <f>'Q100a-geral'!D603</f>
        <v>densidade populacional</v>
      </c>
      <c r="E194" s="464" t="str">
        <f>'Q100a-geral'!E603</f>
        <v>Ribeirão das Neves</v>
      </c>
      <c r="F194" s="447" t="str">
        <f>'Q100a-geral'!F603</f>
        <v>densidade demográfica, que é a população do município em relação à sua área (expressa em habitantes/km2)</v>
      </c>
      <c r="G194" s="188" t="str">
        <f>'Q100a-geral'!G603</f>
        <v>P/área</v>
      </c>
      <c r="H194" s="173" t="str">
        <f>'Q100a-geral'!H603</f>
        <v>benchmarking</v>
      </c>
      <c r="I194" s="167" t="str">
        <f>'Q100a-geral'!I603</f>
        <v>x</v>
      </c>
      <c r="J194" s="58" t="str">
        <f>'Q100a-geral'!J603</f>
        <v>x</v>
      </c>
      <c r="K194" s="58" t="str">
        <f>'Q100a-geral'!K603</f>
        <v>x</v>
      </c>
      <c r="L194" s="58" t="str">
        <f>'Q100a-geral'!L603</f>
        <v>x</v>
      </c>
      <c r="M194" s="58" t="str">
        <f>'Q100a-geral'!M603</f>
        <v>x</v>
      </c>
      <c r="N194" s="58" t="str">
        <f>'Q100a-geral'!N603</f>
        <v>x</v>
      </c>
      <c r="O194" s="58" t="str">
        <f>'Q100a-geral'!O603</f>
        <v>x</v>
      </c>
      <c r="P194" s="58" t="str">
        <f>'Q100a-geral'!P603</f>
        <v>x</v>
      </c>
      <c r="Q194" s="58" t="str">
        <f>'Q100a-geral'!Q603</f>
        <v>x</v>
      </c>
      <c r="R194" s="58" t="str">
        <f>'Q100a-geral'!R603</f>
        <v>x</v>
      </c>
      <c r="S194" s="107" t="str">
        <f>'Q100a-geral'!S603</f>
        <v>só para pesquisa</v>
      </c>
      <c r="T194" s="58" t="str">
        <f>'Q100a-geral'!T603</f>
        <v>x</v>
      </c>
      <c r="U194" s="58" t="str">
        <f>'Q100a-geral'!U603</f>
        <v>x</v>
      </c>
      <c r="V194" s="107" t="str">
        <f>'Q100a-geral'!V603</f>
        <v>só para pesquisa</v>
      </c>
      <c r="W194" s="58" t="str">
        <f>'Q100a-geral'!W603</f>
        <v>x</v>
      </c>
      <c r="X194" s="58" t="str">
        <f>'Q100a-geral'!X603</f>
        <v>x</v>
      </c>
      <c r="Y194" s="58" t="str">
        <f>'Q100a-geral'!Y603</f>
        <v>x</v>
      </c>
      <c r="Z194" s="58" t="str">
        <f>'Q100a-geral'!Z603</f>
        <v>x</v>
      </c>
      <c r="AA194" s="58" t="str">
        <f>'Q100a-geral'!AA603</f>
        <v>x</v>
      </c>
      <c r="AB194" s="58" t="str">
        <f>'Q100a-geral'!AB603</f>
        <v>x</v>
      </c>
      <c r="AC194" s="58" t="str">
        <f>'Q100a-geral'!AC603</f>
        <v>x</v>
      </c>
      <c r="AD194" s="58" t="str">
        <f>'Q100a-geral'!AD603</f>
        <v>x</v>
      </c>
      <c r="AE194" s="58" t="str">
        <f>'Q100a-geral'!AE603</f>
        <v>x</v>
      </c>
      <c r="AF194" s="44">
        <f>'Q100a-geral'!AF603</f>
        <v>1917.8969715406372</v>
      </c>
      <c r="AG194" s="58" t="str">
        <f>'Q100a-geral'!AG603</f>
        <v>x</v>
      </c>
      <c r="AH194" s="58" t="str">
        <f>'Q100a-geral'!AH603</f>
        <v>x</v>
      </c>
      <c r="AI194" s="58" t="str">
        <f>'Q100a-geral'!AI603</f>
        <v>x</v>
      </c>
      <c r="AJ194" s="58" t="str">
        <f>'Q100a-geral'!AJ603</f>
        <v>x</v>
      </c>
      <c r="AK194" s="137" t="str">
        <f>'Q100a-geral'!AK603</f>
        <v>x</v>
      </c>
      <c r="AL194" s="173" t="str">
        <f>'Q100a-geral'!AL603</f>
        <v>x</v>
      </c>
      <c r="AM194" s="137" t="str">
        <f>'Q100a-geral'!AM603</f>
        <v>x</v>
      </c>
      <c r="AN194" s="137" t="str">
        <f>'Q100a-geral'!AN603</f>
        <v>x</v>
      </c>
      <c r="AO194" s="137" t="str">
        <f>'Q100a-geral'!AO603</f>
        <v>x</v>
      </c>
      <c r="AP194" s="137" t="str">
        <f>'Q100a-geral'!AP603</f>
        <v>x</v>
      </c>
      <c r="AQ194" s="137" t="str">
        <f>'Q100a-geral'!AQ603</f>
        <v>x</v>
      </c>
      <c r="AR194" s="137"/>
      <c r="AS194" s="137"/>
      <c r="AT194" s="137"/>
      <c r="AU194" s="137"/>
      <c r="AV194" s="137" t="str">
        <f>'Q100a-geral'!AV603</f>
        <v>x</v>
      </c>
      <c r="AW194" s="137"/>
      <c r="AX194" s="137"/>
      <c r="AY194" s="137"/>
      <c r="AZ194" s="137"/>
      <c r="BA194" s="137" t="str">
        <f>'Q100a-geral'!BA603</f>
        <v>x</v>
      </c>
      <c r="BB194" s="239" t="str">
        <f>'Q100a-geral'!BB603</f>
        <v>Populaçãox</v>
      </c>
      <c r="BC194" s="239" t="str">
        <f>'Q100a-geral'!BC603</f>
        <v>Populaçãoxbenchmarking</v>
      </c>
      <c r="BD194" s="239" t="str">
        <f>'Q100a-geral'!BD603</f>
        <v>Populaçãobenchmarking</v>
      </c>
    </row>
    <row r="195" spans="1:56" s="1" customFormat="1" ht="28.5" customHeight="1" x14ac:dyDescent="0.25">
      <c r="A195" s="275" t="str">
        <f>'Q100a-geral'!A604</f>
        <v>2.4</v>
      </c>
      <c r="B195" s="54" t="str">
        <f>'Q100a-geral'!B604</f>
        <v>População</v>
      </c>
      <c r="C195" s="230" t="str">
        <f>'Q100a-geral'!C604</f>
        <v>x</v>
      </c>
      <c r="D195" s="36" t="str">
        <f>'Q100a-geral'!D604</f>
        <v>densidade populacional</v>
      </c>
      <c r="E195" s="464" t="str">
        <f>'Q100a-geral'!E604</f>
        <v>Rio Acima</v>
      </c>
      <c r="F195" s="447" t="str">
        <f>'Q100a-geral'!F604</f>
        <v>densidade demográfica, que é a população do município em relação à sua área (expressa em habitantes/km2)</v>
      </c>
      <c r="G195" s="188" t="str">
        <f>'Q100a-geral'!G604</f>
        <v>P/área</v>
      </c>
      <c r="H195" s="173" t="str">
        <f>'Q100a-geral'!H604</f>
        <v>benchmarking</v>
      </c>
      <c r="I195" s="167" t="str">
        <f>'Q100a-geral'!I604</f>
        <v>x</v>
      </c>
      <c r="J195" s="58" t="str">
        <f>'Q100a-geral'!J604</f>
        <v>x</v>
      </c>
      <c r="K195" s="58" t="str">
        <f>'Q100a-geral'!K604</f>
        <v>x</v>
      </c>
      <c r="L195" s="58" t="str">
        <f>'Q100a-geral'!L604</f>
        <v>x</v>
      </c>
      <c r="M195" s="58" t="str">
        <f>'Q100a-geral'!M604</f>
        <v>x</v>
      </c>
      <c r="N195" s="58" t="str">
        <f>'Q100a-geral'!N604</f>
        <v>x</v>
      </c>
      <c r="O195" s="58" t="str">
        <f>'Q100a-geral'!O604</f>
        <v>x</v>
      </c>
      <c r="P195" s="58" t="str">
        <f>'Q100a-geral'!P604</f>
        <v>x</v>
      </c>
      <c r="Q195" s="58" t="str">
        <f>'Q100a-geral'!Q604</f>
        <v>x</v>
      </c>
      <c r="R195" s="58" t="str">
        <f>'Q100a-geral'!R604</f>
        <v>x</v>
      </c>
      <c r="S195" s="107" t="str">
        <f>'Q100a-geral'!S604</f>
        <v>só para pesquisa</v>
      </c>
      <c r="T195" s="58" t="str">
        <f>'Q100a-geral'!T604</f>
        <v>x</v>
      </c>
      <c r="U195" s="58" t="str">
        <f>'Q100a-geral'!U604</f>
        <v>x</v>
      </c>
      <c r="V195" s="107" t="str">
        <f>'Q100a-geral'!V604</f>
        <v>só para pesquisa</v>
      </c>
      <c r="W195" s="58" t="str">
        <f>'Q100a-geral'!W604</f>
        <v>x</v>
      </c>
      <c r="X195" s="58" t="str">
        <f>'Q100a-geral'!X604</f>
        <v>x</v>
      </c>
      <c r="Y195" s="58" t="str">
        <f>'Q100a-geral'!Y604</f>
        <v>x</v>
      </c>
      <c r="Z195" s="58" t="str">
        <f>'Q100a-geral'!Z604</f>
        <v>x</v>
      </c>
      <c r="AA195" s="58" t="str">
        <f>'Q100a-geral'!AA604</f>
        <v>x</v>
      </c>
      <c r="AB195" s="58" t="str">
        <f>'Q100a-geral'!AB604</f>
        <v>x</v>
      </c>
      <c r="AC195" s="58" t="str">
        <f>'Q100a-geral'!AC604</f>
        <v>x</v>
      </c>
      <c r="AD195" s="58" t="str">
        <f>'Q100a-geral'!AD604</f>
        <v>x</v>
      </c>
      <c r="AE195" s="58" t="str">
        <f>'Q100a-geral'!AE604</f>
        <v>x</v>
      </c>
      <c r="AF195" s="44">
        <f>'Q100a-geral'!AF604</f>
        <v>39.554070283536106</v>
      </c>
      <c r="AG195" s="58" t="str">
        <f>'Q100a-geral'!AG604</f>
        <v>x</v>
      </c>
      <c r="AH195" s="58" t="str">
        <f>'Q100a-geral'!AH604</f>
        <v>x</v>
      </c>
      <c r="AI195" s="58" t="str">
        <f>'Q100a-geral'!AI604</f>
        <v>x</v>
      </c>
      <c r="AJ195" s="58" t="str">
        <f>'Q100a-geral'!AJ604</f>
        <v>x</v>
      </c>
      <c r="AK195" s="137" t="str">
        <f>'Q100a-geral'!AK604</f>
        <v>x</v>
      </c>
      <c r="AL195" s="173" t="str">
        <f>'Q100a-geral'!AL604</f>
        <v>x</v>
      </c>
      <c r="AM195" s="137" t="str">
        <f>'Q100a-geral'!AM604</f>
        <v>x</v>
      </c>
      <c r="AN195" s="137" t="str">
        <f>'Q100a-geral'!AN604</f>
        <v>x</v>
      </c>
      <c r="AO195" s="137" t="str">
        <f>'Q100a-geral'!AO604</f>
        <v>x</v>
      </c>
      <c r="AP195" s="137" t="str">
        <f>'Q100a-geral'!AP604</f>
        <v>x</v>
      </c>
      <c r="AQ195" s="137" t="str">
        <f>'Q100a-geral'!AQ604</f>
        <v>x</v>
      </c>
      <c r="AR195" s="137"/>
      <c r="AS195" s="137"/>
      <c r="AT195" s="137"/>
      <c r="AU195" s="137"/>
      <c r="AV195" s="137" t="str">
        <f>'Q100a-geral'!AV604</f>
        <v>x</v>
      </c>
      <c r="AW195" s="137"/>
      <c r="AX195" s="137"/>
      <c r="AY195" s="137"/>
      <c r="AZ195" s="137"/>
      <c r="BA195" s="137" t="str">
        <f>'Q100a-geral'!BA604</f>
        <v>x</v>
      </c>
      <c r="BB195" s="239" t="str">
        <f>'Q100a-geral'!BB604</f>
        <v>Populaçãox</v>
      </c>
      <c r="BC195" s="239" t="str">
        <f>'Q100a-geral'!BC604</f>
        <v>Populaçãoxbenchmarking</v>
      </c>
      <c r="BD195" s="239" t="str">
        <f>'Q100a-geral'!BD604</f>
        <v>Populaçãobenchmarking</v>
      </c>
    </row>
    <row r="196" spans="1:56" s="1" customFormat="1" ht="28.5" customHeight="1" x14ac:dyDescent="0.25">
      <c r="A196" s="275" t="str">
        <f>'Q100a-geral'!A605</f>
        <v>2.4</v>
      </c>
      <c r="B196" s="54" t="str">
        <f>'Q100a-geral'!B605</f>
        <v>População</v>
      </c>
      <c r="C196" s="230" t="str">
        <f>'Q100a-geral'!C605</f>
        <v>x</v>
      </c>
      <c r="D196" s="36" t="str">
        <f>'Q100a-geral'!D605</f>
        <v>densidade populacional</v>
      </c>
      <c r="E196" s="464" t="str">
        <f>'Q100a-geral'!E605</f>
        <v>Rio Manso</v>
      </c>
      <c r="F196" s="447" t="str">
        <f>'Q100a-geral'!F605</f>
        <v>densidade demográfica, que é a população do município em relação à sua área (expressa em habitantes/km2)</v>
      </c>
      <c r="G196" s="188" t="str">
        <f>'Q100a-geral'!G605</f>
        <v>P/área</v>
      </c>
      <c r="H196" s="173" t="str">
        <f>'Q100a-geral'!H605</f>
        <v>benchmarking</v>
      </c>
      <c r="I196" s="167" t="str">
        <f>'Q100a-geral'!I605</f>
        <v>x</v>
      </c>
      <c r="J196" s="58" t="str">
        <f>'Q100a-geral'!J605</f>
        <v>x</v>
      </c>
      <c r="K196" s="58" t="str">
        <f>'Q100a-geral'!K605</f>
        <v>x</v>
      </c>
      <c r="L196" s="58" t="str">
        <f>'Q100a-geral'!L605</f>
        <v>x</v>
      </c>
      <c r="M196" s="58" t="str">
        <f>'Q100a-geral'!M605</f>
        <v>x</v>
      </c>
      <c r="N196" s="58" t="str">
        <f>'Q100a-geral'!N605</f>
        <v>x</v>
      </c>
      <c r="O196" s="58" t="str">
        <f>'Q100a-geral'!O605</f>
        <v>x</v>
      </c>
      <c r="P196" s="58" t="str">
        <f>'Q100a-geral'!P605</f>
        <v>x</v>
      </c>
      <c r="Q196" s="58" t="str">
        <f>'Q100a-geral'!Q605</f>
        <v>x</v>
      </c>
      <c r="R196" s="58" t="str">
        <f>'Q100a-geral'!R605</f>
        <v>x</v>
      </c>
      <c r="S196" s="107" t="str">
        <f>'Q100a-geral'!S605</f>
        <v>só para pesquisa</v>
      </c>
      <c r="T196" s="58" t="str">
        <f>'Q100a-geral'!T605</f>
        <v>x</v>
      </c>
      <c r="U196" s="58" t="str">
        <f>'Q100a-geral'!U605</f>
        <v>x</v>
      </c>
      <c r="V196" s="107" t="str">
        <f>'Q100a-geral'!V605</f>
        <v>só para pesquisa</v>
      </c>
      <c r="W196" s="58" t="str">
        <f>'Q100a-geral'!W605</f>
        <v>x</v>
      </c>
      <c r="X196" s="58" t="str">
        <f>'Q100a-geral'!X605</f>
        <v>x</v>
      </c>
      <c r="Y196" s="58" t="str">
        <f>'Q100a-geral'!Y605</f>
        <v>x</v>
      </c>
      <c r="Z196" s="58" t="str">
        <f>'Q100a-geral'!Z605</f>
        <v>x</v>
      </c>
      <c r="AA196" s="58" t="str">
        <f>'Q100a-geral'!AA605</f>
        <v>x</v>
      </c>
      <c r="AB196" s="58" t="str">
        <f>'Q100a-geral'!AB605</f>
        <v>x</v>
      </c>
      <c r="AC196" s="58" t="str">
        <f>'Q100a-geral'!AC605</f>
        <v>x</v>
      </c>
      <c r="AD196" s="58" t="str">
        <f>'Q100a-geral'!AD605</f>
        <v>x</v>
      </c>
      <c r="AE196" s="58" t="str">
        <f>'Q100a-geral'!AE605</f>
        <v>x</v>
      </c>
      <c r="AF196" s="44">
        <f>'Q100a-geral'!AF605</f>
        <v>22.786559557743804</v>
      </c>
      <c r="AG196" s="58" t="str">
        <f>'Q100a-geral'!AG605</f>
        <v>x</v>
      </c>
      <c r="AH196" s="58" t="str">
        <f>'Q100a-geral'!AH605</f>
        <v>x</v>
      </c>
      <c r="AI196" s="58" t="str">
        <f>'Q100a-geral'!AI605</f>
        <v>x</v>
      </c>
      <c r="AJ196" s="58" t="str">
        <f>'Q100a-geral'!AJ605</f>
        <v>x</v>
      </c>
      <c r="AK196" s="137" t="str">
        <f>'Q100a-geral'!AK605</f>
        <v>x</v>
      </c>
      <c r="AL196" s="173" t="str">
        <f>'Q100a-geral'!AL605</f>
        <v>x</v>
      </c>
      <c r="AM196" s="137" t="str">
        <f>'Q100a-geral'!AM605</f>
        <v>x</v>
      </c>
      <c r="AN196" s="137" t="str">
        <f>'Q100a-geral'!AN605</f>
        <v>x</v>
      </c>
      <c r="AO196" s="137" t="str">
        <f>'Q100a-geral'!AO605</f>
        <v>x</v>
      </c>
      <c r="AP196" s="137" t="str">
        <f>'Q100a-geral'!AP605</f>
        <v>x</v>
      </c>
      <c r="AQ196" s="137" t="str">
        <f>'Q100a-geral'!AQ605</f>
        <v>x</v>
      </c>
      <c r="AR196" s="137"/>
      <c r="AS196" s="137"/>
      <c r="AT196" s="137"/>
      <c r="AU196" s="137"/>
      <c r="AV196" s="137" t="str">
        <f>'Q100a-geral'!AV605</f>
        <v>x</v>
      </c>
      <c r="AW196" s="137"/>
      <c r="AX196" s="137"/>
      <c r="AY196" s="137"/>
      <c r="AZ196" s="137"/>
      <c r="BA196" s="137" t="str">
        <f>'Q100a-geral'!BA605</f>
        <v>x</v>
      </c>
      <c r="BB196" s="239" t="str">
        <f>'Q100a-geral'!BB605</f>
        <v>Populaçãox</v>
      </c>
      <c r="BC196" s="239" t="str">
        <f>'Q100a-geral'!BC605</f>
        <v>Populaçãoxbenchmarking</v>
      </c>
      <c r="BD196" s="239" t="str">
        <f>'Q100a-geral'!BD605</f>
        <v>Populaçãobenchmarking</v>
      </c>
    </row>
    <row r="197" spans="1:56" s="1" customFormat="1" ht="41.25" customHeight="1" x14ac:dyDescent="0.25">
      <c r="A197" s="275" t="str">
        <f>'Q100a-geral'!A606</f>
        <v>2.4</v>
      </c>
      <c r="B197" s="54" t="str">
        <f>'Q100a-geral'!B606</f>
        <v>População</v>
      </c>
      <c r="C197" s="230" t="str">
        <f>'Q100a-geral'!C606</f>
        <v>x</v>
      </c>
      <c r="D197" s="36" t="str">
        <f>'Q100a-geral'!D606</f>
        <v>densidade populacional</v>
      </c>
      <c r="E197" s="464" t="str">
        <f>'Q100a-geral'!E606</f>
        <v>RMBH</v>
      </c>
      <c r="F197" s="447" t="str">
        <f>'Q100a-geral'!F606</f>
        <v>densidade demográfica da Região Metropolitana de Belo Horizonte (RMBH), que é a população da RMBH em relação à sua área (expressa em habitantes/km2)</v>
      </c>
      <c r="G197" s="188" t="str">
        <f>'Q100a-geral'!G606</f>
        <v>P/área</v>
      </c>
      <c r="H197" s="173" t="str">
        <f>'Q100a-geral'!H606</f>
        <v>x</v>
      </c>
      <c r="I197" s="167">
        <f>'Q100a-geral'!I606</f>
        <v>1</v>
      </c>
      <c r="J197" s="58" t="str">
        <f>'Q100a-geral'!J606</f>
        <v>x</v>
      </c>
      <c r="K197" s="58" t="str">
        <f>'Q100a-geral'!K606</f>
        <v>x</v>
      </c>
      <c r="L197" s="58" t="str">
        <f>'Q100a-geral'!L606</f>
        <v>x</v>
      </c>
      <c r="M197" s="58" t="str">
        <f>'Q100a-geral'!M606</f>
        <v>x</v>
      </c>
      <c r="N197" s="58" t="str">
        <f>'Q100a-geral'!N606</f>
        <v>x</v>
      </c>
      <c r="O197" s="58" t="str">
        <f>'Q100a-geral'!O606</f>
        <v>x</v>
      </c>
      <c r="P197" s="58" t="str">
        <f>'Q100a-geral'!P606</f>
        <v>x</v>
      </c>
      <c r="Q197" s="58" t="str">
        <f>'Q100a-geral'!Q606</f>
        <v>x</v>
      </c>
      <c r="R197" s="58" t="str">
        <f>'Q100a-geral'!R606</f>
        <v>x</v>
      </c>
      <c r="S197" s="107" t="str">
        <f>'Q100a-geral'!S606</f>
        <v>só para pesquisa</v>
      </c>
      <c r="T197" s="58" t="str">
        <f>'Q100a-geral'!T606</f>
        <v>x</v>
      </c>
      <c r="U197" s="58" t="str">
        <f>'Q100a-geral'!U606</f>
        <v>x</v>
      </c>
      <c r="V197" s="107" t="str">
        <f>'Q100a-geral'!V606</f>
        <v>só para pesquisa</v>
      </c>
      <c r="W197" s="58" t="str">
        <f>'Q100a-geral'!W606</f>
        <v>x</v>
      </c>
      <c r="X197" s="58" t="str">
        <f>'Q100a-geral'!X606</f>
        <v>x</v>
      </c>
      <c r="Y197" s="58" t="str">
        <f>'Q100a-geral'!Y606</f>
        <v>x</v>
      </c>
      <c r="Z197" s="58" t="str">
        <f>'Q100a-geral'!Z606</f>
        <v>x</v>
      </c>
      <c r="AA197" s="58" t="str">
        <f>'Q100a-geral'!AA606</f>
        <v>x</v>
      </c>
      <c r="AB197" s="58" t="str">
        <f>'Q100a-geral'!AB606</f>
        <v>x</v>
      </c>
      <c r="AC197" s="58" t="str">
        <f>'Q100a-geral'!AC606</f>
        <v>x</v>
      </c>
      <c r="AD197" s="58" t="str">
        <f>'Q100a-geral'!AD606</f>
        <v>x</v>
      </c>
      <c r="AE197" s="58" t="str">
        <f>'Q100a-geral'!AE606</f>
        <v>x</v>
      </c>
      <c r="AF197" s="44">
        <f>'Q100a-geral'!AF606</f>
        <v>515.59608562621383</v>
      </c>
      <c r="AG197" s="58" t="str">
        <f>'Q100a-geral'!AG606</f>
        <v>x</v>
      </c>
      <c r="AH197" s="58" t="str">
        <f>'Q100a-geral'!AH606</f>
        <v>x</v>
      </c>
      <c r="AI197" s="58" t="str">
        <f>'Q100a-geral'!AI606</f>
        <v>x</v>
      </c>
      <c r="AJ197" s="58" t="str">
        <f>'Q100a-geral'!AJ606</f>
        <v>x</v>
      </c>
      <c r="AK197" s="137" t="str">
        <f>'Q100a-geral'!AK606</f>
        <v>x</v>
      </c>
      <c r="AL197" s="173" t="str">
        <f>'Q100a-geral'!AL606</f>
        <v>x</v>
      </c>
      <c r="AM197" s="137" t="str">
        <f>'Q100a-geral'!AM606</f>
        <v>x</v>
      </c>
      <c r="AN197" s="137" t="str">
        <f>'Q100a-geral'!AN606</f>
        <v>x</v>
      </c>
      <c r="AO197" s="137" t="str">
        <f>'Q100a-geral'!AO606</f>
        <v>x</v>
      </c>
      <c r="AP197" s="137" t="str">
        <f>'Q100a-geral'!AP606</f>
        <v>x</v>
      </c>
      <c r="AQ197" s="137" t="str">
        <f>'Q100a-geral'!AQ606</f>
        <v>x</v>
      </c>
      <c r="AR197" s="137"/>
      <c r="AS197" s="137"/>
      <c r="AT197" s="137"/>
      <c r="AU197" s="137"/>
      <c r="AV197" s="137" t="str">
        <f>'Q100a-geral'!AV606</f>
        <v>x</v>
      </c>
      <c r="AW197" s="137"/>
      <c r="AX197" s="137"/>
      <c r="AY197" s="137"/>
      <c r="AZ197" s="137"/>
      <c r="BA197" s="137" t="str">
        <f>'Q100a-geral'!BA606</f>
        <v>x</v>
      </c>
      <c r="BB197" s="239" t="str">
        <f>'Q100a-geral'!BB606</f>
        <v>Populaçãox</v>
      </c>
      <c r="BC197" s="239" t="str">
        <f>'Q100a-geral'!BC606</f>
        <v>Populaçãoxx</v>
      </c>
      <c r="BD197" s="239" t="str">
        <f>'Q100a-geral'!BD606</f>
        <v>Populaçãox</v>
      </c>
    </row>
    <row r="198" spans="1:56" s="1" customFormat="1" ht="28.5" customHeight="1" x14ac:dyDescent="0.25">
      <c r="A198" s="275" t="str">
        <f>'Q100a-geral'!A607</f>
        <v>2.4</v>
      </c>
      <c r="B198" s="54" t="str">
        <f>'Q100a-geral'!B607</f>
        <v>População</v>
      </c>
      <c r="C198" s="230" t="str">
        <f>'Q100a-geral'!C607</f>
        <v>x</v>
      </c>
      <c r="D198" s="36" t="str">
        <f>'Q100a-geral'!D607</f>
        <v>densidade populacional</v>
      </c>
      <c r="E198" s="464" t="str">
        <f>'Q100a-geral'!E607</f>
        <v>Sabará</v>
      </c>
      <c r="F198" s="447" t="str">
        <f>'Q100a-geral'!F607</f>
        <v>densidade demográfica, que é a população do município em relação à sua área (expressa em habitantes/km2)</v>
      </c>
      <c r="G198" s="188" t="str">
        <f>'Q100a-geral'!G607</f>
        <v>P/área</v>
      </c>
      <c r="H198" s="173" t="str">
        <f>'Q100a-geral'!H607</f>
        <v>benchmarking</v>
      </c>
      <c r="I198" s="167" t="str">
        <f>'Q100a-geral'!I607</f>
        <v>x</v>
      </c>
      <c r="J198" s="58" t="str">
        <f>'Q100a-geral'!J607</f>
        <v>x</v>
      </c>
      <c r="K198" s="58" t="str">
        <f>'Q100a-geral'!K607</f>
        <v>x</v>
      </c>
      <c r="L198" s="58" t="str">
        <f>'Q100a-geral'!L607</f>
        <v>x</v>
      </c>
      <c r="M198" s="58" t="str">
        <f>'Q100a-geral'!M607</f>
        <v>x</v>
      </c>
      <c r="N198" s="58" t="str">
        <f>'Q100a-geral'!N607</f>
        <v>x</v>
      </c>
      <c r="O198" s="58" t="str">
        <f>'Q100a-geral'!O607</f>
        <v>x</v>
      </c>
      <c r="P198" s="58" t="str">
        <f>'Q100a-geral'!P607</f>
        <v>x</v>
      </c>
      <c r="Q198" s="58" t="str">
        <f>'Q100a-geral'!Q607</f>
        <v>x</v>
      </c>
      <c r="R198" s="58" t="str">
        <f>'Q100a-geral'!R607</f>
        <v>x</v>
      </c>
      <c r="S198" s="107" t="str">
        <f>'Q100a-geral'!S607</f>
        <v>só para pesquisa</v>
      </c>
      <c r="T198" s="58" t="str">
        <f>'Q100a-geral'!T607</f>
        <v>x</v>
      </c>
      <c r="U198" s="58" t="str">
        <f>'Q100a-geral'!U607</f>
        <v>x</v>
      </c>
      <c r="V198" s="107" t="str">
        <f>'Q100a-geral'!V607</f>
        <v>só para pesquisa</v>
      </c>
      <c r="W198" s="58" t="str">
        <f>'Q100a-geral'!W607</f>
        <v>x</v>
      </c>
      <c r="X198" s="58" t="str">
        <f>'Q100a-geral'!X607</f>
        <v>x</v>
      </c>
      <c r="Y198" s="58" t="str">
        <f>'Q100a-geral'!Y607</f>
        <v>x</v>
      </c>
      <c r="Z198" s="58" t="str">
        <f>'Q100a-geral'!Z607</f>
        <v>x</v>
      </c>
      <c r="AA198" s="58" t="str">
        <f>'Q100a-geral'!AA607</f>
        <v>x</v>
      </c>
      <c r="AB198" s="58" t="str">
        <f>'Q100a-geral'!AB607</f>
        <v>x</v>
      </c>
      <c r="AC198" s="58" t="str">
        <f>'Q100a-geral'!AC607</f>
        <v>x</v>
      </c>
      <c r="AD198" s="58" t="str">
        <f>'Q100a-geral'!AD607</f>
        <v>x</v>
      </c>
      <c r="AE198" s="58" t="str">
        <f>'Q100a-geral'!AE607</f>
        <v>x</v>
      </c>
      <c r="AF198" s="44">
        <f>'Q100a-geral'!AF607</f>
        <v>417.86989572198706</v>
      </c>
      <c r="AG198" s="58" t="str">
        <f>'Q100a-geral'!AG607</f>
        <v>x</v>
      </c>
      <c r="AH198" s="58" t="str">
        <f>'Q100a-geral'!AH607</f>
        <v>x</v>
      </c>
      <c r="AI198" s="58" t="str">
        <f>'Q100a-geral'!AI607</f>
        <v>x</v>
      </c>
      <c r="AJ198" s="58" t="str">
        <f>'Q100a-geral'!AJ607</f>
        <v>x</v>
      </c>
      <c r="AK198" s="137" t="str">
        <f>'Q100a-geral'!AK607</f>
        <v>x</v>
      </c>
      <c r="AL198" s="173" t="str">
        <f>'Q100a-geral'!AL607</f>
        <v>x</v>
      </c>
      <c r="AM198" s="137" t="str">
        <f>'Q100a-geral'!AM607</f>
        <v>x</v>
      </c>
      <c r="AN198" s="137" t="str">
        <f>'Q100a-geral'!AN607</f>
        <v>x</v>
      </c>
      <c r="AO198" s="137" t="str">
        <f>'Q100a-geral'!AO607</f>
        <v>x</v>
      </c>
      <c r="AP198" s="137" t="str">
        <f>'Q100a-geral'!AP607</f>
        <v>x</v>
      </c>
      <c r="AQ198" s="137" t="str">
        <f>'Q100a-geral'!AQ607</f>
        <v>x</v>
      </c>
      <c r="AR198" s="137"/>
      <c r="AS198" s="137"/>
      <c r="AT198" s="137"/>
      <c r="AU198" s="137"/>
      <c r="AV198" s="137" t="str">
        <f>'Q100a-geral'!AV607</f>
        <v>x</v>
      </c>
      <c r="AW198" s="137"/>
      <c r="AX198" s="137"/>
      <c r="AY198" s="137"/>
      <c r="AZ198" s="137"/>
      <c r="BA198" s="137" t="str">
        <f>'Q100a-geral'!BA607</f>
        <v>x</v>
      </c>
      <c r="BB198" s="239" t="str">
        <f>'Q100a-geral'!BB607</f>
        <v>Populaçãox</v>
      </c>
      <c r="BC198" s="239" t="str">
        <f>'Q100a-geral'!BC607</f>
        <v>Populaçãoxbenchmarking</v>
      </c>
      <c r="BD198" s="239" t="str">
        <f>'Q100a-geral'!BD607</f>
        <v>Populaçãobenchmarking</v>
      </c>
    </row>
    <row r="199" spans="1:56" s="1" customFormat="1" ht="28.5" customHeight="1" x14ac:dyDescent="0.25">
      <c r="A199" s="275" t="str">
        <f>'Q100a-geral'!A608</f>
        <v>2.4</v>
      </c>
      <c r="B199" s="54" t="str">
        <f>'Q100a-geral'!B608</f>
        <v>População</v>
      </c>
      <c r="C199" s="230" t="str">
        <f>'Q100a-geral'!C608</f>
        <v>x</v>
      </c>
      <c r="D199" s="36" t="str">
        <f>'Q100a-geral'!D608</f>
        <v>densidade populacional</v>
      </c>
      <c r="E199" s="464" t="str">
        <f>'Q100a-geral'!E608</f>
        <v>Santa Luzia</v>
      </c>
      <c r="F199" s="447" t="str">
        <f>'Q100a-geral'!F608</f>
        <v>densidade demográfica, que é a população do município em relação à sua área (expressa em habitantes/km2)</v>
      </c>
      <c r="G199" s="188" t="str">
        <f>'Q100a-geral'!G608</f>
        <v>P/área</v>
      </c>
      <c r="H199" s="173" t="str">
        <f>'Q100a-geral'!H608</f>
        <v>benchmarking</v>
      </c>
      <c r="I199" s="167" t="str">
        <f>'Q100a-geral'!I608</f>
        <v>x</v>
      </c>
      <c r="J199" s="58" t="str">
        <f>'Q100a-geral'!J608</f>
        <v>x</v>
      </c>
      <c r="K199" s="58" t="str">
        <f>'Q100a-geral'!K608</f>
        <v>x</v>
      </c>
      <c r="L199" s="58" t="str">
        <f>'Q100a-geral'!L608</f>
        <v>x</v>
      </c>
      <c r="M199" s="58" t="str">
        <f>'Q100a-geral'!M608</f>
        <v>x</v>
      </c>
      <c r="N199" s="58" t="str">
        <f>'Q100a-geral'!N608</f>
        <v>x</v>
      </c>
      <c r="O199" s="58" t="str">
        <f>'Q100a-geral'!O608</f>
        <v>x</v>
      </c>
      <c r="P199" s="58" t="str">
        <f>'Q100a-geral'!P608</f>
        <v>x</v>
      </c>
      <c r="Q199" s="58" t="str">
        <f>'Q100a-geral'!Q608</f>
        <v>x</v>
      </c>
      <c r="R199" s="58" t="str">
        <f>'Q100a-geral'!R608</f>
        <v>x</v>
      </c>
      <c r="S199" s="107" t="str">
        <f>'Q100a-geral'!S608</f>
        <v>só para pesquisa</v>
      </c>
      <c r="T199" s="58" t="str">
        <f>'Q100a-geral'!T608</f>
        <v>x</v>
      </c>
      <c r="U199" s="58" t="str">
        <f>'Q100a-geral'!U608</f>
        <v>x</v>
      </c>
      <c r="V199" s="107" t="str">
        <f>'Q100a-geral'!V608</f>
        <v>só para pesquisa</v>
      </c>
      <c r="W199" s="58" t="str">
        <f>'Q100a-geral'!W608</f>
        <v>x</v>
      </c>
      <c r="X199" s="58" t="str">
        <f>'Q100a-geral'!X608</f>
        <v>x</v>
      </c>
      <c r="Y199" s="58" t="str">
        <f>'Q100a-geral'!Y608</f>
        <v>x</v>
      </c>
      <c r="Z199" s="58" t="str">
        <f>'Q100a-geral'!Z608</f>
        <v>x</v>
      </c>
      <c r="AA199" s="58" t="str">
        <f>'Q100a-geral'!AA608</f>
        <v>x</v>
      </c>
      <c r="AB199" s="58" t="str">
        <f>'Q100a-geral'!AB608</f>
        <v>x</v>
      </c>
      <c r="AC199" s="58" t="str">
        <f>'Q100a-geral'!AC608</f>
        <v>x</v>
      </c>
      <c r="AD199" s="58" t="str">
        <f>'Q100a-geral'!AD608</f>
        <v>x</v>
      </c>
      <c r="AE199" s="58" t="str">
        <f>'Q100a-geral'!AE608</f>
        <v>x</v>
      </c>
      <c r="AF199" s="44">
        <f>'Q100a-geral'!AF608</f>
        <v>862.3829819782685</v>
      </c>
      <c r="AG199" s="58" t="str">
        <f>'Q100a-geral'!AG608</f>
        <v>x</v>
      </c>
      <c r="AH199" s="58" t="str">
        <f>'Q100a-geral'!AH608</f>
        <v>x</v>
      </c>
      <c r="AI199" s="58" t="str">
        <f>'Q100a-geral'!AI608</f>
        <v>x</v>
      </c>
      <c r="AJ199" s="58" t="str">
        <f>'Q100a-geral'!AJ608</f>
        <v>x</v>
      </c>
      <c r="AK199" s="137" t="str">
        <f>'Q100a-geral'!AK608</f>
        <v>x</v>
      </c>
      <c r="AL199" s="173" t="str">
        <f>'Q100a-geral'!AL608</f>
        <v>x</v>
      </c>
      <c r="AM199" s="137" t="str">
        <f>'Q100a-geral'!AM608</f>
        <v>x</v>
      </c>
      <c r="AN199" s="137" t="str">
        <f>'Q100a-geral'!AN608</f>
        <v>x</v>
      </c>
      <c r="AO199" s="137" t="str">
        <f>'Q100a-geral'!AO608</f>
        <v>x</v>
      </c>
      <c r="AP199" s="137" t="str">
        <f>'Q100a-geral'!AP608</f>
        <v>x</v>
      </c>
      <c r="AQ199" s="137" t="str">
        <f>'Q100a-geral'!AQ608</f>
        <v>x</v>
      </c>
      <c r="AR199" s="137"/>
      <c r="AS199" s="137"/>
      <c r="AT199" s="137"/>
      <c r="AU199" s="137"/>
      <c r="AV199" s="137" t="str">
        <f>'Q100a-geral'!AV608</f>
        <v>x</v>
      </c>
      <c r="AW199" s="137"/>
      <c r="AX199" s="137"/>
      <c r="AY199" s="137"/>
      <c r="AZ199" s="137"/>
      <c r="BA199" s="137" t="str">
        <f>'Q100a-geral'!BA608</f>
        <v>x</v>
      </c>
      <c r="BB199" s="239" t="str">
        <f>'Q100a-geral'!BB608</f>
        <v>Populaçãox</v>
      </c>
      <c r="BC199" s="239" t="str">
        <f>'Q100a-geral'!BC608</f>
        <v>Populaçãoxbenchmarking</v>
      </c>
      <c r="BD199" s="239" t="str">
        <f>'Q100a-geral'!BD608</f>
        <v>Populaçãobenchmarking</v>
      </c>
    </row>
    <row r="200" spans="1:56" s="1" customFormat="1" ht="28.5" customHeight="1" x14ac:dyDescent="0.25">
      <c r="A200" s="275" t="str">
        <f>'Q100a-geral'!A609</f>
        <v>2.4</v>
      </c>
      <c r="B200" s="54" t="str">
        <f>'Q100a-geral'!B609</f>
        <v>População</v>
      </c>
      <c r="C200" s="230" t="str">
        <f>'Q100a-geral'!C609</f>
        <v>x</v>
      </c>
      <c r="D200" s="36" t="str">
        <f>'Q100a-geral'!D609</f>
        <v>densidade populacional</v>
      </c>
      <c r="E200" s="464" t="str">
        <f>'Q100a-geral'!E609</f>
        <v>São Joaquim de Bicas</v>
      </c>
      <c r="F200" s="447" t="str">
        <f>'Q100a-geral'!F609</f>
        <v>densidade demográfica, que é a população do município em relação à sua área (expressa em habitantes/km2)</v>
      </c>
      <c r="G200" s="188" t="str">
        <f>'Q100a-geral'!G609</f>
        <v>P/área</v>
      </c>
      <c r="H200" s="173" t="str">
        <f>'Q100a-geral'!H609</f>
        <v>benchmarking</v>
      </c>
      <c r="I200" s="167" t="str">
        <f>'Q100a-geral'!I609</f>
        <v>x</v>
      </c>
      <c r="J200" s="58" t="str">
        <f>'Q100a-geral'!J609</f>
        <v>x</v>
      </c>
      <c r="K200" s="58" t="str">
        <f>'Q100a-geral'!K609</f>
        <v>x</v>
      </c>
      <c r="L200" s="58" t="str">
        <f>'Q100a-geral'!L609</f>
        <v>x</v>
      </c>
      <c r="M200" s="58" t="str">
        <f>'Q100a-geral'!M609</f>
        <v>x</v>
      </c>
      <c r="N200" s="58" t="str">
        <f>'Q100a-geral'!N609</f>
        <v>x</v>
      </c>
      <c r="O200" s="58" t="str">
        <f>'Q100a-geral'!O609</f>
        <v>x</v>
      </c>
      <c r="P200" s="58" t="str">
        <f>'Q100a-geral'!P609</f>
        <v>x</v>
      </c>
      <c r="Q200" s="58" t="str">
        <f>'Q100a-geral'!Q609</f>
        <v>x</v>
      </c>
      <c r="R200" s="58" t="str">
        <f>'Q100a-geral'!R609</f>
        <v>x</v>
      </c>
      <c r="S200" s="107" t="str">
        <f>'Q100a-geral'!S609</f>
        <v>só para pesquisa</v>
      </c>
      <c r="T200" s="58" t="str">
        <f>'Q100a-geral'!T609</f>
        <v>x</v>
      </c>
      <c r="U200" s="58" t="str">
        <f>'Q100a-geral'!U609</f>
        <v>x</v>
      </c>
      <c r="V200" s="107" t="str">
        <f>'Q100a-geral'!V609</f>
        <v>só para pesquisa</v>
      </c>
      <c r="W200" s="58" t="str">
        <f>'Q100a-geral'!W609</f>
        <v>x</v>
      </c>
      <c r="X200" s="58" t="str">
        <f>'Q100a-geral'!X609</f>
        <v>x</v>
      </c>
      <c r="Y200" s="58" t="str">
        <f>'Q100a-geral'!Y609</f>
        <v>x</v>
      </c>
      <c r="Z200" s="58" t="str">
        <f>'Q100a-geral'!Z609</f>
        <v>x</v>
      </c>
      <c r="AA200" s="58" t="str">
        <f>'Q100a-geral'!AA609</f>
        <v>x</v>
      </c>
      <c r="AB200" s="58" t="str">
        <f>'Q100a-geral'!AB609</f>
        <v>x</v>
      </c>
      <c r="AC200" s="58" t="str">
        <f>'Q100a-geral'!AC609</f>
        <v>x</v>
      </c>
      <c r="AD200" s="58" t="str">
        <f>'Q100a-geral'!AD609</f>
        <v>x</v>
      </c>
      <c r="AE200" s="58" t="str">
        <f>'Q100a-geral'!AE609</f>
        <v>x</v>
      </c>
      <c r="AF200" s="44">
        <f>'Q100a-geral'!AF609</f>
        <v>356.87633634724762</v>
      </c>
      <c r="AG200" s="58" t="str">
        <f>'Q100a-geral'!AG609</f>
        <v>x</v>
      </c>
      <c r="AH200" s="58" t="str">
        <f>'Q100a-geral'!AH609</f>
        <v>x</v>
      </c>
      <c r="AI200" s="58" t="str">
        <f>'Q100a-geral'!AI609</f>
        <v>x</v>
      </c>
      <c r="AJ200" s="58" t="str">
        <f>'Q100a-geral'!AJ609</f>
        <v>x</v>
      </c>
      <c r="AK200" s="137" t="str">
        <f>'Q100a-geral'!AK609</f>
        <v>x</v>
      </c>
      <c r="AL200" s="173" t="str">
        <f>'Q100a-geral'!AL609</f>
        <v>x</v>
      </c>
      <c r="AM200" s="137" t="str">
        <f>'Q100a-geral'!AM609</f>
        <v>x</v>
      </c>
      <c r="AN200" s="137" t="str">
        <f>'Q100a-geral'!AN609</f>
        <v>x</v>
      </c>
      <c r="AO200" s="137" t="str">
        <f>'Q100a-geral'!AO609</f>
        <v>x</v>
      </c>
      <c r="AP200" s="137" t="str">
        <f>'Q100a-geral'!AP609</f>
        <v>x</v>
      </c>
      <c r="AQ200" s="137" t="str">
        <f>'Q100a-geral'!AQ609</f>
        <v>x</v>
      </c>
      <c r="AR200" s="137"/>
      <c r="AS200" s="137"/>
      <c r="AT200" s="137"/>
      <c r="AU200" s="137"/>
      <c r="AV200" s="137" t="str">
        <f>'Q100a-geral'!AV609</f>
        <v>x</v>
      </c>
      <c r="AW200" s="137"/>
      <c r="AX200" s="137"/>
      <c r="AY200" s="137"/>
      <c r="AZ200" s="137"/>
      <c r="BA200" s="137" t="str">
        <f>'Q100a-geral'!BA609</f>
        <v>x</v>
      </c>
      <c r="BB200" s="239" t="str">
        <f>'Q100a-geral'!BB609</f>
        <v>Populaçãox</v>
      </c>
      <c r="BC200" s="239" t="str">
        <f>'Q100a-geral'!BC609</f>
        <v>Populaçãoxbenchmarking</v>
      </c>
      <c r="BD200" s="239" t="str">
        <f>'Q100a-geral'!BD609</f>
        <v>Populaçãobenchmarking</v>
      </c>
    </row>
    <row r="201" spans="1:56" s="1" customFormat="1" ht="28.5" customHeight="1" x14ac:dyDescent="0.25">
      <c r="A201" s="275" t="str">
        <f>'Q100a-geral'!A610</f>
        <v>2.4</v>
      </c>
      <c r="B201" s="54" t="str">
        <f>'Q100a-geral'!B610</f>
        <v>População</v>
      </c>
      <c r="C201" s="230" t="str">
        <f>'Q100a-geral'!C610</f>
        <v>x</v>
      </c>
      <c r="D201" s="36" t="str">
        <f>'Q100a-geral'!D610</f>
        <v>densidade populacional</v>
      </c>
      <c r="E201" s="464" t="str">
        <f>'Q100a-geral'!E610</f>
        <v>São José da Lapa</v>
      </c>
      <c r="F201" s="447" t="str">
        <f>'Q100a-geral'!F610</f>
        <v>densidade demográfica, que é a população do município em relação à sua área (expressa em habitantes/km2)</v>
      </c>
      <c r="G201" s="188" t="str">
        <f>'Q100a-geral'!G610</f>
        <v>P/área</v>
      </c>
      <c r="H201" s="173" t="str">
        <f>'Q100a-geral'!H610</f>
        <v>benchmarking</v>
      </c>
      <c r="I201" s="167" t="str">
        <f>'Q100a-geral'!I610</f>
        <v>x</v>
      </c>
      <c r="J201" s="58" t="str">
        <f>'Q100a-geral'!J610</f>
        <v>x</v>
      </c>
      <c r="K201" s="58" t="str">
        <f>'Q100a-geral'!K610</f>
        <v>x</v>
      </c>
      <c r="L201" s="58" t="str">
        <f>'Q100a-geral'!L610</f>
        <v>x</v>
      </c>
      <c r="M201" s="58" t="str">
        <f>'Q100a-geral'!M610</f>
        <v>x</v>
      </c>
      <c r="N201" s="58" t="str">
        <f>'Q100a-geral'!N610</f>
        <v>x</v>
      </c>
      <c r="O201" s="58" t="str">
        <f>'Q100a-geral'!O610</f>
        <v>x</v>
      </c>
      <c r="P201" s="58" t="str">
        <f>'Q100a-geral'!P610</f>
        <v>x</v>
      </c>
      <c r="Q201" s="58" t="str">
        <f>'Q100a-geral'!Q610</f>
        <v>x</v>
      </c>
      <c r="R201" s="58" t="str">
        <f>'Q100a-geral'!R610</f>
        <v>x</v>
      </c>
      <c r="S201" s="107" t="str">
        <f>'Q100a-geral'!S610</f>
        <v>só para pesquisa</v>
      </c>
      <c r="T201" s="58" t="str">
        <f>'Q100a-geral'!T610</f>
        <v>x</v>
      </c>
      <c r="U201" s="58" t="str">
        <f>'Q100a-geral'!U610</f>
        <v>x</v>
      </c>
      <c r="V201" s="107" t="str">
        <f>'Q100a-geral'!V610</f>
        <v>só para pesquisa</v>
      </c>
      <c r="W201" s="58" t="str">
        <f>'Q100a-geral'!W610</f>
        <v>x</v>
      </c>
      <c r="X201" s="58" t="str">
        <f>'Q100a-geral'!X610</f>
        <v>x</v>
      </c>
      <c r="Y201" s="58" t="str">
        <f>'Q100a-geral'!Y610</f>
        <v>x</v>
      </c>
      <c r="Z201" s="58" t="str">
        <f>'Q100a-geral'!Z610</f>
        <v>x</v>
      </c>
      <c r="AA201" s="58" t="str">
        <f>'Q100a-geral'!AA610</f>
        <v>x</v>
      </c>
      <c r="AB201" s="58" t="str">
        <f>'Q100a-geral'!AB610</f>
        <v>x</v>
      </c>
      <c r="AC201" s="58" t="str">
        <f>'Q100a-geral'!AC610</f>
        <v>x</v>
      </c>
      <c r="AD201" s="58" t="str">
        <f>'Q100a-geral'!AD610</f>
        <v>x</v>
      </c>
      <c r="AE201" s="58" t="str">
        <f>'Q100a-geral'!AE610</f>
        <v>x</v>
      </c>
      <c r="AF201" s="44">
        <f>'Q100a-geral'!AF610</f>
        <v>413.09019591479063</v>
      </c>
      <c r="AG201" s="58" t="str">
        <f>'Q100a-geral'!AG610</f>
        <v>x</v>
      </c>
      <c r="AH201" s="58" t="str">
        <f>'Q100a-geral'!AH610</f>
        <v>x</v>
      </c>
      <c r="AI201" s="58" t="str">
        <f>'Q100a-geral'!AI610</f>
        <v>x</v>
      </c>
      <c r="AJ201" s="58" t="str">
        <f>'Q100a-geral'!AJ610</f>
        <v>x</v>
      </c>
      <c r="AK201" s="137" t="str">
        <f>'Q100a-geral'!AK610</f>
        <v>x</v>
      </c>
      <c r="AL201" s="173" t="str">
        <f>'Q100a-geral'!AL610</f>
        <v>x</v>
      </c>
      <c r="AM201" s="137" t="str">
        <f>'Q100a-geral'!AM610</f>
        <v>x</v>
      </c>
      <c r="AN201" s="137" t="str">
        <f>'Q100a-geral'!AN610</f>
        <v>x</v>
      </c>
      <c r="AO201" s="137" t="str">
        <f>'Q100a-geral'!AO610</f>
        <v>x</v>
      </c>
      <c r="AP201" s="137" t="str">
        <f>'Q100a-geral'!AP610</f>
        <v>x</v>
      </c>
      <c r="AQ201" s="137" t="str">
        <f>'Q100a-geral'!AQ610</f>
        <v>x</v>
      </c>
      <c r="AR201" s="137"/>
      <c r="AS201" s="137"/>
      <c r="AT201" s="137"/>
      <c r="AU201" s="137"/>
      <c r="AV201" s="137" t="str">
        <f>'Q100a-geral'!AV610</f>
        <v>x</v>
      </c>
      <c r="AW201" s="137"/>
      <c r="AX201" s="137"/>
      <c r="AY201" s="137"/>
      <c r="AZ201" s="137"/>
      <c r="BA201" s="137" t="str">
        <f>'Q100a-geral'!BA610</f>
        <v>x</v>
      </c>
      <c r="BB201" s="239" t="str">
        <f>'Q100a-geral'!BB610</f>
        <v>Populaçãox</v>
      </c>
      <c r="BC201" s="239" t="str">
        <f>'Q100a-geral'!BC610</f>
        <v>Populaçãoxbenchmarking</v>
      </c>
      <c r="BD201" s="239" t="str">
        <f>'Q100a-geral'!BD610</f>
        <v>Populaçãobenchmarking</v>
      </c>
    </row>
    <row r="202" spans="1:56" s="1" customFormat="1" ht="28.5" customHeight="1" x14ac:dyDescent="0.25">
      <c r="A202" s="275" t="str">
        <f>'Q100a-geral'!A611</f>
        <v>2.4</v>
      </c>
      <c r="B202" s="54" t="str">
        <f>'Q100a-geral'!B611</f>
        <v>População</v>
      </c>
      <c r="C202" s="230" t="str">
        <f>'Q100a-geral'!C611</f>
        <v>x</v>
      </c>
      <c r="D202" s="36" t="str">
        <f>'Q100a-geral'!D611</f>
        <v>densidade populacional</v>
      </c>
      <c r="E202" s="464" t="str">
        <f>'Q100a-geral'!E611</f>
        <v>Sarzedo</v>
      </c>
      <c r="F202" s="447" t="str">
        <f>'Q100a-geral'!F611</f>
        <v>densidade demográfica, que é a população do município em relação à sua área (expressa em habitantes/km2)</v>
      </c>
      <c r="G202" s="188" t="str">
        <f>'Q100a-geral'!G611</f>
        <v>P/área</v>
      </c>
      <c r="H202" s="173" t="str">
        <f>'Q100a-geral'!H611</f>
        <v>benchmarking</v>
      </c>
      <c r="I202" s="167" t="str">
        <f>'Q100a-geral'!I611</f>
        <v>x</v>
      </c>
      <c r="J202" s="58" t="str">
        <f>'Q100a-geral'!J611</f>
        <v>x</v>
      </c>
      <c r="K202" s="58" t="str">
        <f>'Q100a-geral'!K611</f>
        <v>x</v>
      </c>
      <c r="L202" s="58" t="str">
        <f>'Q100a-geral'!L611</f>
        <v>x</v>
      </c>
      <c r="M202" s="58" t="str">
        <f>'Q100a-geral'!M611</f>
        <v>x</v>
      </c>
      <c r="N202" s="58" t="str">
        <f>'Q100a-geral'!N611</f>
        <v>x</v>
      </c>
      <c r="O202" s="58" t="str">
        <f>'Q100a-geral'!O611</f>
        <v>x</v>
      </c>
      <c r="P202" s="58" t="str">
        <f>'Q100a-geral'!P611</f>
        <v>x</v>
      </c>
      <c r="Q202" s="58" t="str">
        <f>'Q100a-geral'!Q611</f>
        <v>x</v>
      </c>
      <c r="R202" s="58" t="str">
        <f>'Q100a-geral'!R611</f>
        <v>x</v>
      </c>
      <c r="S202" s="107" t="str">
        <f>'Q100a-geral'!S611</f>
        <v>só para pesquisa</v>
      </c>
      <c r="T202" s="58" t="str">
        <f>'Q100a-geral'!T611</f>
        <v>x</v>
      </c>
      <c r="U202" s="58" t="str">
        <f>'Q100a-geral'!U611</f>
        <v>x</v>
      </c>
      <c r="V202" s="107" t="str">
        <f>'Q100a-geral'!V611</f>
        <v>só para pesquisa</v>
      </c>
      <c r="W202" s="58" t="str">
        <f>'Q100a-geral'!W611</f>
        <v>x</v>
      </c>
      <c r="X202" s="58" t="str">
        <f>'Q100a-geral'!X611</f>
        <v>x</v>
      </c>
      <c r="Y202" s="58" t="str">
        <f>'Q100a-geral'!Y611</f>
        <v>x</v>
      </c>
      <c r="Z202" s="58" t="str">
        <f>'Q100a-geral'!Z611</f>
        <v>x</v>
      </c>
      <c r="AA202" s="58" t="str">
        <f>'Q100a-geral'!AA611</f>
        <v>x</v>
      </c>
      <c r="AB202" s="58" t="str">
        <f>'Q100a-geral'!AB611</f>
        <v>x</v>
      </c>
      <c r="AC202" s="58" t="str">
        <f>'Q100a-geral'!AC611</f>
        <v>x</v>
      </c>
      <c r="AD202" s="58" t="str">
        <f>'Q100a-geral'!AD611</f>
        <v>x</v>
      </c>
      <c r="AE202" s="58" t="str">
        <f>'Q100a-geral'!AE611</f>
        <v>x</v>
      </c>
      <c r="AF202" s="44">
        <f>'Q100a-geral'!AF611</f>
        <v>415.4569156983294</v>
      </c>
      <c r="AG202" s="58" t="str">
        <f>'Q100a-geral'!AG611</f>
        <v>x</v>
      </c>
      <c r="AH202" s="58" t="str">
        <f>'Q100a-geral'!AH611</f>
        <v>x</v>
      </c>
      <c r="AI202" s="58" t="str">
        <f>'Q100a-geral'!AI611</f>
        <v>x</v>
      </c>
      <c r="AJ202" s="58" t="str">
        <f>'Q100a-geral'!AJ611</f>
        <v>x</v>
      </c>
      <c r="AK202" s="137" t="str">
        <f>'Q100a-geral'!AK611</f>
        <v>x</v>
      </c>
      <c r="AL202" s="173" t="str">
        <f>'Q100a-geral'!AL611</f>
        <v>x</v>
      </c>
      <c r="AM202" s="137" t="str">
        <f>'Q100a-geral'!AM611</f>
        <v>x</v>
      </c>
      <c r="AN202" s="137" t="str">
        <f>'Q100a-geral'!AN611</f>
        <v>x</v>
      </c>
      <c r="AO202" s="137" t="str">
        <f>'Q100a-geral'!AO611</f>
        <v>x</v>
      </c>
      <c r="AP202" s="137" t="str">
        <f>'Q100a-geral'!AP611</f>
        <v>x</v>
      </c>
      <c r="AQ202" s="137" t="str">
        <f>'Q100a-geral'!AQ611</f>
        <v>x</v>
      </c>
      <c r="AR202" s="137"/>
      <c r="AS202" s="137"/>
      <c r="AT202" s="137"/>
      <c r="AU202" s="137"/>
      <c r="AV202" s="137" t="str">
        <f>'Q100a-geral'!AV611</f>
        <v>x</v>
      </c>
      <c r="AW202" s="137"/>
      <c r="AX202" s="137"/>
      <c r="AY202" s="137"/>
      <c r="AZ202" s="137"/>
      <c r="BA202" s="137" t="str">
        <f>'Q100a-geral'!BA611</f>
        <v>x</v>
      </c>
      <c r="BB202" s="239" t="str">
        <f>'Q100a-geral'!BB611</f>
        <v>Populaçãox</v>
      </c>
      <c r="BC202" s="239" t="str">
        <f>'Q100a-geral'!BC611</f>
        <v>Populaçãoxbenchmarking</v>
      </c>
      <c r="BD202" s="239" t="str">
        <f>'Q100a-geral'!BD611</f>
        <v>Populaçãobenchmarking</v>
      </c>
    </row>
    <row r="203" spans="1:56" s="1" customFormat="1" ht="38.25" customHeight="1" x14ac:dyDescent="0.25">
      <c r="A203" s="275" t="str">
        <f>'Q100a-geral'!A612</f>
        <v>2.4</v>
      </c>
      <c r="B203" s="54" t="str">
        <f>'Q100a-geral'!B612</f>
        <v>População</v>
      </c>
      <c r="C203" s="230" t="str">
        <f>'Q100a-geral'!C612</f>
        <v>x</v>
      </c>
      <c r="D203" s="36" t="str">
        <f>'Q100a-geral'!D612</f>
        <v>densidade populacional</v>
      </c>
      <c r="E203" s="464" t="str">
        <f>'Q100a-geral'!E612</f>
        <v>Taquaraçu de Minas</v>
      </c>
      <c r="F203" s="447" t="str">
        <f>'Q100a-geral'!F612</f>
        <v>densidade demográfica, que é a população do município em relação à sua área (expressa em habitantes/km2)</v>
      </c>
      <c r="G203" s="188" t="str">
        <f>'Q100a-geral'!G612</f>
        <v>P/área</v>
      </c>
      <c r="H203" s="173" t="str">
        <f>'Q100a-geral'!H612</f>
        <v>benchmarking</v>
      </c>
      <c r="I203" s="167" t="str">
        <f>'Q100a-geral'!I612</f>
        <v>x</v>
      </c>
      <c r="J203" s="58" t="str">
        <f>'Q100a-geral'!J612</f>
        <v>x</v>
      </c>
      <c r="K203" s="58" t="str">
        <f>'Q100a-geral'!K612</f>
        <v>x</v>
      </c>
      <c r="L203" s="58" t="str">
        <f>'Q100a-geral'!L612</f>
        <v>x</v>
      </c>
      <c r="M203" s="58" t="str">
        <f>'Q100a-geral'!M612</f>
        <v>x</v>
      </c>
      <c r="N203" s="58" t="str">
        <f>'Q100a-geral'!N612</f>
        <v>x</v>
      </c>
      <c r="O203" s="58" t="str">
        <f>'Q100a-geral'!O612</f>
        <v>x</v>
      </c>
      <c r="P203" s="58" t="str">
        <f>'Q100a-geral'!P612</f>
        <v>x</v>
      </c>
      <c r="Q203" s="58" t="str">
        <f>'Q100a-geral'!Q612</f>
        <v>x</v>
      </c>
      <c r="R203" s="58" t="str">
        <f>'Q100a-geral'!R612</f>
        <v>x</v>
      </c>
      <c r="S203" s="107" t="str">
        <f>'Q100a-geral'!S612</f>
        <v>só para pesquisa</v>
      </c>
      <c r="T203" s="58" t="str">
        <f>'Q100a-geral'!T612</f>
        <v>x</v>
      </c>
      <c r="U203" s="58" t="str">
        <f>'Q100a-geral'!U612</f>
        <v>x</v>
      </c>
      <c r="V203" s="107" t="str">
        <f>'Q100a-geral'!V612</f>
        <v>só para pesquisa</v>
      </c>
      <c r="W203" s="58" t="str">
        <f>'Q100a-geral'!W612</f>
        <v>x</v>
      </c>
      <c r="X203" s="58" t="str">
        <f>'Q100a-geral'!X612</f>
        <v>x</v>
      </c>
      <c r="Y203" s="58" t="str">
        <f>'Q100a-geral'!Y612</f>
        <v>x</v>
      </c>
      <c r="Z203" s="58" t="str">
        <f>'Q100a-geral'!Z612</f>
        <v>x</v>
      </c>
      <c r="AA203" s="58" t="str">
        <f>'Q100a-geral'!AA612</f>
        <v>x</v>
      </c>
      <c r="AB203" s="58" t="str">
        <f>'Q100a-geral'!AB612</f>
        <v>x</v>
      </c>
      <c r="AC203" s="58" t="str">
        <f>'Q100a-geral'!AC612</f>
        <v>x</v>
      </c>
      <c r="AD203" s="58" t="str">
        <f>'Q100a-geral'!AD612</f>
        <v>x</v>
      </c>
      <c r="AE203" s="58" t="str">
        <f>'Q100a-geral'!AE612</f>
        <v>x</v>
      </c>
      <c r="AF203" s="44">
        <f>'Q100a-geral'!AF612</f>
        <v>11.523508686672336</v>
      </c>
      <c r="AG203" s="58" t="str">
        <f>'Q100a-geral'!AG612</f>
        <v>x</v>
      </c>
      <c r="AH203" s="58" t="str">
        <f>'Q100a-geral'!AH612</f>
        <v>x</v>
      </c>
      <c r="AI203" s="58" t="str">
        <f>'Q100a-geral'!AI612</f>
        <v>x</v>
      </c>
      <c r="AJ203" s="58" t="str">
        <f>'Q100a-geral'!AJ612</f>
        <v>x</v>
      </c>
      <c r="AK203" s="137" t="str">
        <f>'Q100a-geral'!AK612</f>
        <v>x</v>
      </c>
      <c r="AL203" s="173" t="str">
        <f>'Q100a-geral'!AL612</f>
        <v>x</v>
      </c>
      <c r="AM203" s="137" t="str">
        <f>'Q100a-geral'!AM612</f>
        <v>x</v>
      </c>
      <c r="AN203" s="137" t="str">
        <f>'Q100a-geral'!AN612</f>
        <v>x</v>
      </c>
      <c r="AO203" s="137" t="str">
        <f>'Q100a-geral'!AO612</f>
        <v>x</v>
      </c>
      <c r="AP203" s="137" t="str">
        <f>'Q100a-geral'!AP612</f>
        <v>x</v>
      </c>
      <c r="AQ203" s="137" t="str">
        <f>'Q100a-geral'!AQ612</f>
        <v>x</v>
      </c>
      <c r="AR203" s="137"/>
      <c r="AS203" s="137"/>
      <c r="AT203" s="137"/>
      <c r="AU203" s="137"/>
      <c r="AV203" s="137" t="str">
        <f>'Q100a-geral'!AV612</f>
        <v>x</v>
      </c>
      <c r="AW203" s="137"/>
      <c r="AX203" s="137"/>
      <c r="AY203" s="137"/>
      <c r="AZ203" s="137"/>
      <c r="BA203" s="137" t="str">
        <f>'Q100a-geral'!BA612</f>
        <v>x</v>
      </c>
      <c r="BB203" s="239" t="str">
        <f>'Q100a-geral'!BB612</f>
        <v>Populaçãox</v>
      </c>
      <c r="BC203" s="239" t="str">
        <f>'Q100a-geral'!BC612</f>
        <v>Populaçãoxbenchmarking</v>
      </c>
      <c r="BD203" s="239" t="str">
        <f>'Q100a-geral'!BD612</f>
        <v>Populaçãobenchmarking</v>
      </c>
    </row>
    <row r="204" spans="1:56" s="1" customFormat="1" ht="28.5" customHeight="1" x14ac:dyDescent="0.25">
      <c r="A204" s="275" t="str">
        <f>'Q100a-geral'!A613</f>
        <v>2.4</v>
      </c>
      <c r="B204" s="54" t="str">
        <f>'Q100a-geral'!B613</f>
        <v>População</v>
      </c>
      <c r="C204" s="230" t="str">
        <f>'Q100a-geral'!C613</f>
        <v>x</v>
      </c>
      <c r="D204" s="36" t="str">
        <f>'Q100a-geral'!D613</f>
        <v>densidade populacional</v>
      </c>
      <c r="E204" s="464" t="str">
        <f>'Q100a-geral'!E613</f>
        <v>Vespasiano</v>
      </c>
      <c r="F204" s="447" t="str">
        <f>'Q100a-geral'!F613</f>
        <v>densidade demográfica, que é a população do município em relação à sua área (expressa em habitantes/km2)</v>
      </c>
      <c r="G204" s="188" t="str">
        <f>'Q100a-geral'!G613</f>
        <v>P/área</v>
      </c>
      <c r="H204" s="173" t="str">
        <f>'Q100a-geral'!H613</f>
        <v>benchmarking</v>
      </c>
      <c r="I204" s="167" t="str">
        <f>'Q100a-geral'!I613</f>
        <v>x</v>
      </c>
      <c r="J204" s="58" t="str">
        <f>'Q100a-geral'!J613</f>
        <v>x</v>
      </c>
      <c r="K204" s="58" t="str">
        <f>'Q100a-geral'!K613</f>
        <v>x</v>
      </c>
      <c r="L204" s="58" t="str">
        <f>'Q100a-geral'!L613</f>
        <v>x</v>
      </c>
      <c r="M204" s="58" t="str">
        <f>'Q100a-geral'!M613</f>
        <v>x</v>
      </c>
      <c r="N204" s="58" t="str">
        <f>'Q100a-geral'!N613</f>
        <v>x</v>
      </c>
      <c r="O204" s="58" t="str">
        <f>'Q100a-geral'!O613</f>
        <v>x</v>
      </c>
      <c r="P204" s="58" t="str">
        <f>'Q100a-geral'!P613</f>
        <v>x</v>
      </c>
      <c r="Q204" s="58" t="str">
        <f>'Q100a-geral'!Q613</f>
        <v>x</v>
      </c>
      <c r="R204" s="58" t="str">
        <f>'Q100a-geral'!R613</f>
        <v>x</v>
      </c>
      <c r="S204" s="107" t="str">
        <f>'Q100a-geral'!S613</f>
        <v>só para pesquisa</v>
      </c>
      <c r="T204" s="58" t="str">
        <f>'Q100a-geral'!T613</f>
        <v>x</v>
      </c>
      <c r="U204" s="58" t="str">
        <f>'Q100a-geral'!U613</f>
        <v>x</v>
      </c>
      <c r="V204" s="107" t="str">
        <f>'Q100a-geral'!V613</f>
        <v>só para pesquisa</v>
      </c>
      <c r="W204" s="58" t="str">
        <f>'Q100a-geral'!W613</f>
        <v>x</v>
      </c>
      <c r="X204" s="58" t="str">
        <f>'Q100a-geral'!X613</f>
        <v>x</v>
      </c>
      <c r="Y204" s="58" t="str">
        <f>'Q100a-geral'!Y613</f>
        <v>x</v>
      </c>
      <c r="Z204" s="58" t="str">
        <f>'Q100a-geral'!Z613</f>
        <v>x</v>
      </c>
      <c r="AA204" s="58" t="str">
        <f>'Q100a-geral'!AA613</f>
        <v>x</v>
      </c>
      <c r="AB204" s="58" t="str">
        <f>'Q100a-geral'!AB613</f>
        <v>x</v>
      </c>
      <c r="AC204" s="58" t="str">
        <f>'Q100a-geral'!AC613</f>
        <v>x</v>
      </c>
      <c r="AD204" s="58" t="str">
        <f>'Q100a-geral'!AD613</f>
        <v>x</v>
      </c>
      <c r="AE204" s="58" t="str">
        <f>'Q100a-geral'!AE613</f>
        <v>x</v>
      </c>
      <c r="AF204" s="44">
        <f>'Q100a-geral'!AF613</f>
        <v>1468.4883394211856</v>
      </c>
      <c r="AG204" s="58" t="str">
        <f>'Q100a-geral'!AG613</f>
        <v>x</v>
      </c>
      <c r="AH204" s="58" t="str">
        <f>'Q100a-geral'!AH613</f>
        <v>x</v>
      </c>
      <c r="AI204" s="58" t="str">
        <f>'Q100a-geral'!AI613</f>
        <v>x</v>
      </c>
      <c r="AJ204" s="58" t="str">
        <f>'Q100a-geral'!AJ613</f>
        <v>x</v>
      </c>
      <c r="AK204" s="137" t="str">
        <f>'Q100a-geral'!AK613</f>
        <v>x</v>
      </c>
      <c r="AL204" s="173" t="str">
        <f>'Q100a-geral'!AL613</f>
        <v>x</v>
      </c>
      <c r="AM204" s="137" t="str">
        <f>'Q100a-geral'!AM613</f>
        <v>x</v>
      </c>
      <c r="AN204" s="137" t="str">
        <f>'Q100a-geral'!AN613</f>
        <v>x</v>
      </c>
      <c r="AO204" s="137" t="str">
        <f>'Q100a-geral'!AO613</f>
        <v>x</v>
      </c>
      <c r="AP204" s="137" t="str">
        <f>'Q100a-geral'!AP613</f>
        <v>x</v>
      </c>
      <c r="AQ204" s="137" t="str">
        <f>'Q100a-geral'!AQ613</f>
        <v>x</v>
      </c>
      <c r="AR204" s="137"/>
      <c r="AS204" s="137"/>
      <c r="AT204" s="137"/>
      <c r="AU204" s="137"/>
      <c r="AV204" s="137" t="str">
        <f>'Q100a-geral'!AV613</f>
        <v>x</v>
      </c>
      <c r="AW204" s="137"/>
      <c r="AX204" s="137"/>
      <c r="AY204" s="137"/>
      <c r="AZ204" s="137"/>
      <c r="BA204" s="137" t="str">
        <f>'Q100a-geral'!BA613</f>
        <v>x</v>
      </c>
      <c r="BB204" s="239" t="str">
        <f>'Q100a-geral'!BB613</f>
        <v>Populaçãox</v>
      </c>
      <c r="BC204" s="239" t="str">
        <f>'Q100a-geral'!BC613</f>
        <v>Populaçãoxbenchmarking</v>
      </c>
      <c r="BD204" s="239" t="str">
        <f>'Q100a-geral'!BD613</f>
        <v>Populaçãobenchmarking</v>
      </c>
    </row>
    <row r="205" spans="1:56" s="1" customFormat="1" ht="157.5" customHeight="1" x14ac:dyDescent="0.25">
      <c r="A205" s="275" t="str">
        <f>'Q100a-geral'!A620</f>
        <v>2.5</v>
      </c>
      <c r="B205" s="54" t="str">
        <f>'Q100a-geral'!B620</f>
        <v>Distribuição modal em pesquisas origem/destino</v>
      </c>
      <c r="C205" s="167" t="str">
        <f>'Q100a-geral'!C620</f>
        <v>x</v>
      </c>
      <c r="D205" s="322" t="str">
        <f>'Q100a-geral'!D620</f>
        <v>deslocamento</v>
      </c>
      <c r="E205" s="11" t="str">
        <f>'Q100a-geral'!E620</f>
        <v>x</v>
      </c>
      <c r="F205" s="445" t="str">
        <f>'Q100a-geral'!F620</f>
        <v>cada um dos trechos de uma viagem em uma pesquisa origem/destino (o SisMob-BH buscará, sempre que possível, os resultados relativos a Belo Horizonte e à RMBH)</v>
      </c>
      <c r="G205" s="11" t="str">
        <f>'Q100a-geral'!G620</f>
        <v>verbete
MFO</v>
      </c>
      <c r="H205" s="168" t="str">
        <f>'Q100a-geral'!H620</f>
        <v>sigla/verbete</v>
      </c>
      <c r="I205" s="172" t="str">
        <f>'Q100a-geral'!I620</f>
        <v>x</v>
      </c>
      <c r="J205" s="109" t="str">
        <f>'Q100a-geral'!J620</f>
        <v>x</v>
      </c>
      <c r="K205" s="109" t="str">
        <f>'Q100a-geral'!K620</f>
        <v>x</v>
      </c>
      <c r="L205" s="109" t="str">
        <f>'Q100a-geral'!L620</f>
        <v>x</v>
      </c>
      <c r="M205" s="109" t="str">
        <f>'Q100a-geral'!M620</f>
        <v>x</v>
      </c>
      <c r="N205" s="109" t="str">
        <f>'Q100a-geral'!N620</f>
        <v>x</v>
      </c>
      <c r="O205" s="109" t="str">
        <f>'Q100a-geral'!O620</f>
        <v>x</v>
      </c>
      <c r="P205" s="109" t="str">
        <f>'Q100a-geral'!P620</f>
        <v>x</v>
      </c>
      <c r="Q205" s="109" t="str">
        <f>'Q100a-geral'!Q620</f>
        <v>x</v>
      </c>
      <c r="R205" s="109" t="str">
        <f>'Q100a-geral'!R620</f>
        <v>x</v>
      </c>
      <c r="S205" s="109" t="str">
        <f>'Q100a-geral'!S620</f>
        <v>só para pesquisa</v>
      </c>
      <c r="T205" s="109" t="str">
        <f>'Q100a-geral'!T620</f>
        <v>x</v>
      </c>
      <c r="U205" s="109" t="str">
        <f>'Q100a-geral'!U620</f>
        <v>x</v>
      </c>
      <c r="V205" s="109" t="str">
        <f>'Q100a-geral'!V620</f>
        <v>só para pesquisa</v>
      </c>
      <c r="W205" s="109" t="str">
        <f>'Q100a-geral'!W620</f>
        <v>x</v>
      </c>
      <c r="X205" s="109" t="str">
        <f>'Q100a-geral'!X620</f>
        <v>x</v>
      </c>
      <c r="Y205" s="109" t="str">
        <f>'Q100a-geral'!Y620</f>
        <v>x</v>
      </c>
      <c r="Z205" s="109" t="str">
        <f>'Q100a-geral'!Z620</f>
        <v>x</v>
      </c>
      <c r="AA205" s="109" t="str">
        <f>'Q100a-geral'!AA620</f>
        <v>x</v>
      </c>
      <c r="AB205" s="109" t="str">
        <f>'Q100a-geral'!AB620</f>
        <v>x</v>
      </c>
      <c r="AC205" s="109" t="str">
        <f>'Q100a-geral'!AC620</f>
        <v>x</v>
      </c>
      <c r="AD205" s="109" t="str">
        <f>'Q100a-geral'!AD620</f>
        <v>x</v>
      </c>
      <c r="AE205" s="109" t="str">
        <f>'Q100a-geral'!AE620</f>
        <v>x</v>
      </c>
      <c r="AF205" s="109" t="str">
        <f>'Q100a-geral'!AF620</f>
        <v>x</v>
      </c>
      <c r="AG205" s="109" t="str">
        <f>'Q100a-geral'!AG620</f>
        <v>x</v>
      </c>
      <c r="AH205" s="109" t="str">
        <f>'Q100a-geral'!AH620</f>
        <v>x</v>
      </c>
      <c r="AI205" s="109" t="str">
        <f>'Q100a-geral'!AI620</f>
        <v>x</v>
      </c>
      <c r="AJ205" s="109" t="str">
        <f>'Q100a-geral'!AJ620</f>
        <v>x</v>
      </c>
      <c r="AK205" s="137" t="str">
        <f>'Q100a-geral'!AK620</f>
        <v>x</v>
      </c>
      <c r="AL205" s="167" t="str">
        <f>'Q100a-geral'!AL620</f>
        <v>x</v>
      </c>
      <c r="AM205" s="137" t="str">
        <f>'Q100a-geral'!AM620</f>
        <v>x</v>
      </c>
      <c r="AN205" s="137" t="str">
        <f>'Q100a-geral'!AN620</f>
        <v>x</v>
      </c>
      <c r="AO205" s="137" t="str">
        <f>'Q100a-geral'!AO620</f>
        <v>x</v>
      </c>
      <c r="AP205" s="137" t="str">
        <f>'Q100a-geral'!AP620</f>
        <v>x</v>
      </c>
      <c r="AQ205" s="137" t="str">
        <f>'Q100a-geral'!AQ620</f>
        <v>x</v>
      </c>
      <c r="AR205" s="137"/>
      <c r="AS205" s="137"/>
      <c r="AT205" s="137"/>
      <c r="AU205" s="137"/>
      <c r="AV205" s="137" t="str">
        <f>'Q100a-geral'!AV620</f>
        <v>x</v>
      </c>
      <c r="AW205" s="137"/>
      <c r="AX205" s="137"/>
      <c r="AY205" s="137"/>
      <c r="AZ205" s="137"/>
      <c r="BA205" s="137" t="str">
        <f>'Q100a-geral'!BA620</f>
        <v>x</v>
      </c>
      <c r="BB205" s="239" t="str">
        <f>'Q100a-geral'!BB620</f>
        <v>Distribuição modal em pesquisas origem/destinox</v>
      </c>
      <c r="BC205" s="239" t="str">
        <f>'Q100a-geral'!BC620</f>
        <v>Distribuição modal em pesquisas origem/destinoxsigla/verbete</v>
      </c>
      <c r="BD205" s="239" t="str">
        <f>'Q100a-geral'!BD620</f>
        <v>Distribuição modal em pesquisas origem/destinosigla/verbete</v>
      </c>
    </row>
    <row r="206" spans="1:56" s="1" customFormat="1" ht="250.5" customHeight="1" x14ac:dyDescent="0.25">
      <c r="A206" s="275" t="str">
        <f>'Q100a-geral'!A630</f>
        <v>2.5</v>
      </c>
      <c r="B206" s="54" t="str">
        <f>'Q100a-geral'!B630</f>
        <v>Distribuição modal em pesquisas origem/destino</v>
      </c>
      <c r="C206" s="167" t="str">
        <f>'Q100a-geral'!C630</f>
        <v>x</v>
      </c>
      <c r="D206" s="283" t="str">
        <f>'Q100a-geral'!D630</f>
        <v>DM
(O/D)</v>
      </c>
      <c r="E206" s="474" t="str">
        <f>'Q100a-geral'!E630</f>
        <v>BH e RMBH</v>
      </c>
      <c r="F206" s="628" t="str">
        <f>'Q100a-geral'!F630</f>
        <v>distribuição modal, entendida como sendo a participação percentual do número de viagens diárias ou do número de deslocamentos diários em algum modo de transporte específico (ou em um conjunto de modos, se for o caso) em relação ao número total de viagens (ou de deslocamentos, se for o caso) em um conjunto ainda maior de modos de transporte.
obs.1: esses resultados são acompanhados na BHTrans por meio de pesquisas decenais de Origem/Destino, fornecendo indicadores diferentes dos obtidos em pesquisas de opinião com siglas similares: DM(O/D) e DM(P.Op.)
obs.2: enquanto a BHTrans está reorganizando, em parceria com o Cefet-MG, os resultados das pesquisas O/D realizadas na RMBH desde a década de 1970 para que sejam comparáveis ao longo do tempo, consulte os resultados do ano 2002 publicados em tabelas no SisMob-BH = 87 indicadores de deslocamentos na RMBH (Tabela 2a), 87 indicadores de viagens na RMBH (Tabela 2b), 87 indicadores de viagens de moradores de BH na RMBH (Tabela 2c) e 271 indicadores de viagens dos moradores de BH na RMBH (Tabelas 2d, 2e, 2f, 2g)
obs.3: os indicadores "DM" fazem parte dos "indicadores urbanos globais" do Global City Institute com a  denominação genérica de "divisão do uso dos modos de transporte"</v>
      </c>
      <c r="G206" s="252" t="str">
        <f>'Q100a-geral'!G630</f>
        <v>verbete
MFO</v>
      </c>
      <c r="H206" s="168" t="str">
        <f>'Q100a-geral'!H630</f>
        <v>sigla/verbete</v>
      </c>
      <c r="I206" s="172">
        <f>'Q100a-geral'!I630</f>
        <v>532</v>
      </c>
      <c r="J206" s="109" t="str">
        <f>'Q100a-geral'!J630</f>
        <v>x</v>
      </c>
      <c r="K206" s="109" t="str">
        <f>'Q100a-geral'!K630</f>
        <v>x</v>
      </c>
      <c r="L206" s="109" t="str">
        <f>'Q100a-geral'!L630</f>
        <v>x</v>
      </c>
      <c r="M206" s="109" t="str">
        <f>'Q100a-geral'!M630</f>
        <v>x</v>
      </c>
      <c r="N206" s="109" t="str">
        <f>'Q100a-geral'!N630</f>
        <v>x</v>
      </c>
      <c r="O206" s="109" t="str">
        <f>'Q100a-geral'!O630</f>
        <v>x</v>
      </c>
      <c r="P206" s="109" t="str">
        <f>'Q100a-geral'!P630</f>
        <v>x</v>
      </c>
      <c r="Q206" s="109" t="str">
        <f>'Q100a-geral'!Q630</f>
        <v>x</v>
      </c>
      <c r="R206" s="109" t="str">
        <f>'Q100a-geral'!R630</f>
        <v>x</v>
      </c>
      <c r="S206" s="109" t="str">
        <f>'Q100a-geral'!S630</f>
        <v>só para pesquisa</v>
      </c>
      <c r="T206" s="109" t="str">
        <f>'Q100a-geral'!T630</f>
        <v>x</v>
      </c>
      <c r="U206" s="109" t="str">
        <f>'Q100a-geral'!U630</f>
        <v>x</v>
      </c>
      <c r="V206" s="109" t="str">
        <f>'Q100a-geral'!V630</f>
        <v>só para pesquisa</v>
      </c>
      <c r="W206" s="109" t="str">
        <f>'Q100a-geral'!W630</f>
        <v>x</v>
      </c>
      <c r="X206" s="109" t="str">
        <f>'Q100a-geral'!X630</f>
        <v>x</v>
      </c>
      <c r="Y206" s="109" t="str">
        <f>'Q100a-geral'!Y630</f>
        <v>x</v>
      </c>
      <c r="Z206" s="109" t="str">
        <f>'Q100a-geral'!Z630</f>
        <v>x</v>
      </c>
      <c r="AA206" s="109" t="str">
        <f>'Q100a-geral'!AA630</f>
        <v>x</v>
      </c>
      <c r="AB206" s="109" t="str">
        <f>'Q100a-geral'!AB630</f>
        <v>x</v>
      </c>
      <c r="AC206" s="109" t="str">
        <f>'Q100a-geral'!AC630</f>
        <v>x</v>
      </c>
      <c r="AD206" s="109" t="str">
        <f>'Q100a-geral'!AD630</f>
        <v>x</v>
      </c>
      <c r="AE206" s="109" t="str">
        <f>'Q100a-geral'!AE630</f>
        <v>x</v>
      </c>
      <c r="AF206" s="109" t="str">
        <f>'Q100a-geral'!AF630</f>
        <v>x</v>
      </c>
      <c r="AG206" s="109" t="str">
        <f>'Q100a-geral'!AG630</f>
        <v>x</v>
      </c>
      <c r="AH206" s="109" t="str">
        <f>'Q100a-geral'!AH630</f>
        <v>x</v>
      </c>
      <c r="AI206" s="109" t="str">
        <f>'Q100a-geral'!AI630</f>
        <v>x</v>
      </c>
      <c r="AJ206" s="109" t="str">
        <f>'Q100a-geral'!AJ630</f>
        <v>x</v>
      </c>
      <c r="AK206" s="137" t="str">
        <f>'Q100a-geral'!AK630</f>
        <v>x</v>
      </c>
      <c r="AL206" s="167" t="str">
        <f>'Q100a-geral'!AL630</f>
        <v>x</v>
      </c>
      <c r="AM206" s="137" t="str">
        <f>'Q100a-geral'!AM630</f>
        <v>x</v>
      </c>
      <c r="AN206" s="137" t="str">
        <f>'Q100a-geral'!AN630</f>
        <v>x</v>
      </c>
      <c r="AO206" s="137" t="str">
        <f>'Q100a-geral'!AO630</f>
        <v>x</v>
      </c>
      <c r="AP206" s="137" t="str">
        <f>'Q100a-geral'!AP630</f>
        <v>x</v>
      </c>
      <c r="AQ206" s="137" t="str">
        <f>'Q100a-geral'!AQ630</f>
        <v>x</v>
      </c>
      <c r="AR206" s="137"/>
      <c r="AS206" s="137"/>
      <c r="AT206" s="137"/>
      <c r="AU206" s="137"/>
      <c r="AV206" s="137" t="str">
        <f>'Q100a-geral'!AV630</f>
        <v>x</v>
      </c>
      <c r="AW206" s="137"/>
      <c r="AX206" s="137"/>
      <c r="AY206" s="137"/>
      <c r="AZ206" s="137"/>
      <c r="BA206" s="137" t="str">
        <f>'Q100a-geral'!BA630</f>
        <v>x</v>
      </c>
      <c r="BB206" s="239" t="str">
        <f>'Q100a-geral'!BB630</f>
        <v>Distribuição modal em pesquisas origem/destinox</v>
      </c>
      <c r="BC206" s="239" t="str">
        <f>'Q100a-geral'!BC630</f>
        <v>Distribuição modal em pesquisas origem/destinoxsigla/verbete</v>
      </c>
      <c r="BD206" s="239" t="str">
        <f>'Q100a-geral'!BD630</f>
        <v>Distribuição modal em pesquisas origem/destinosigla/verbete</v>
      </c>
    </row>
    <row r="207" spans="1:56" s="1" customFormat="1" ht="153" customHeight="1" x14ac:dyDescent="0.25">
      <c r="A207" s="275" t="str">
        <f>'Q100a-geral'!A638</f>
        <v>2.1</v>
      </c>
      <c r="B207" s="54" t="str">
        <f>'Q100a-geral'!B638</f>
        <v>Distribuição modal em pesquisas de opinião</v>
      </c>
      <c r="C207" s="167" t="str">
        <f>'Q100a-geral'!C638</f>
        <v>x</v>
      </c>
      <c r="D207" s="36" t="str">
        <f>'Q100a-geral'!D638</f>
        <v>DM
(P.Op.)</v>
      </c>
      <c r="E207" s="464" t="str">
        <f>'Q100a-geral'!E638</f>
        <v>Belo Horizonte</v>
      </c>
      <c r="F207" s="445" t="str">
        <f>'Q100a-geral'!F638</f>
        <v>percepção de distribuição modal, entendida como sendo a participação percentual de modos específicos de transporte mais utilizados pela população
obs.1: esses resultados são acompanhados na BHTrans por meio de pesquisas anuais de opinião, fornecendo indicadores diferentes dos obtidos em pesquisas O/D com siglas similares: DM(O/D) e DM(P.Op.)
obs.2: Para conhecer a declaração da população de Belo Horizonte sobre o assunto (distribuição modal nas pesquisas de opinião), dezesseis questões inqueriram o entrevistado sobre o meio de transporte que ele "mais utiliza" ou "utiliza na maioria das vezes"
obs.3: por se tratar de uma pesquisa de opinião, há que sempre se analisar se a pergunta formulada não distorce os resultados que, por sua vez, devem ser analisados em sua série histórica e relativizados com os resultados do indicador "DMtc (O/D)"
obs.4: as fontes de todos os resultados DM(P.Op.) são = 1995 a 2011: OLIVEIRA (2014, Tabela 4.2/Apêndice); 2012: não houve pesquisa; 2013: DOXA (2013, p.3); 2014: não houve pesquisa; 2015: DOXA (2015, p.7, 16.)
obs.5: os indicadores "DM" fazem parte dos "indicadores urbanos globais" do Global City Institute com a  denominação genérica de "divisão do uso dos modos de transporte"</v>
      </c>
      <c r="G207" s="252" t="str">
        <f>'Q100a-geral'!G638</f>
        <v>consulte:
DM tc(P.Op.); 
DM ti(P.Op.);
DM nm(P.Op.);
DM NS/NR/outros(P.Op.)</v>
      </c>
      <c r="H207" s="168" t="str">
        <f>'Q100a-geral'!H638</f>
        <v>sigla/verbete</v>
      </c>
      <c r="I207" s="172" t="str">
        <f>'Q100a-geral'!I638</f>
        <v>x</v>
      </c>
      <c r="J207" s="109" t="str">
        <f>'Q100a-geral'!J638</f>
        <v>x</v>
      </c>
      <c r="K207" s="109" t="str">
        <f>'Q100a-geral'!K638</f>
        <v>x</v>
      </c>
      <c r="L207" s="109" t="str">
        <f>'Q100a-geral'!L638</f>
        <v>x</v>
      </c>
      <c r="M207" s="109" t="str">
        <f>'Q100a-geral'!M638</f>
        <v>x</v>
      </c>
      <c r="N207" s="109" t="str">
        <f>'Q100a-geral'!N638</f>
        <v>x</v>
      </c>
      <c r="O207" s="109" t="str">
        <f>'Q100a-geral'!O638</f>
        <v>x</v>
      </c>
      <c r="P207" s="109" t="str">
        <f>'Q100a-geral'!P638</f>
        <v>x</v>
      </c>
      <c r="Q207" s="109" t="str">
        <f>'Q100a-geral'!Q638</f>
        <v>x</v>
      </c>
      <c r="R207" s="109" t="str">
        <f>'Q100a-geral'!R638</f>
        <v>x</v>
      </c>
      <c r="S207" s="109" t="str">
        <f>'Q100a-geral'!S638</f>
        <v>só para pesquisa</v>
      </c>
      <c r="T207" s="109" t="str">
        <f>'Q100a-geral'!T638</f>
        <v>x</v>
      </c>
      <c r="U207" s="109" t="str">
        <f>'Q100a-geral'!U638</f>
        <v>x</v>
      </c>
      <c r="V207" s="109" t="str">
        <f>'Q100a-geral'!V638</f>
        <v>só para pesquisa</v>
      </c>
      <c r="W207" s="109" t="str">
        <f>'Q100a-geral'!W638</f>
        <v>x</v>
      </c>
      <c r="X207" s="109" t="str">
        <f>'Q100a-geral'!X638</f>
        <v>x</v>
      </c>
      <c r="Y207" s="109" t="str">
        <f>'Q100a-geral'!Y638</f>
        <v>x</v>
      </c>
      <c r="Z207" s="109" t="str">
        <f>'Q100a-geral'!Z638</f>
        <v>x</v>
      </c>
      <c r="AA207" s="109" t="str">
        <f>'Q100a-geral'!AA638</f>
        <v>x</v>
      </c>
      <c r="AB207" s="109" t="str">
        <f>'Q100a-geral'!AB638</f>
        <v>x</v>
      </c>
      <c r="AC207" s="109" t="str">
        <f>'Q100a-geral'!AC638</f>
        <v>x</v>
      </c>
      <c r="AD207" s="109" t="str">
        <f>'Q100a-geral'!AD638</f>
        <v>x</v>
      </c>
      <c r="AE207" s="109" t="str">
        <f>'Q100a-geral'!AE638</f>
        <v>não realizada pesquisa em BH</v>
      </c>
      <c r="AF207" s="109" t="str">
        <f>'Q100a-geral'!AF638</f>
        <v>x</v>
      </c>
      <c r="AG207" s="109" t="str">
        <f>'Q100a-geral'!AG638</f>
        <v>x</v>
      </c>
      <c r="AH207" s="109" t="str">
        <f>'Q100a-geral'!AH638</f>
        <v>não realizada pesquisa em BH</v>
      </c>
      <c r="AI207" s="109" t="str">
        <f>'Q100a-geral'!AI638</f>
        <v>x</v>
      </c>
      <c r="AJ207" s="109" t="str">
        <f>'Q100a-geral'!AJ638</f>
        <v>não realizada pesquisa em BH</v>
      </c>
      <c r="AK207" s="137" t="str">
        <f>'Q100a-geral'!AK638</f>
        <v>x</v>
      </c>
      <c r="AL207" s="167" t="str">
        <f>'Q100a-geral'!AL638</f>
        <v>x</v>
      </c>
      <c r="AM207" s="137" t="str">
        <f>'Q100a-geral'!AM638</f>
        <v>x</v>
      </c>
      <c r="AN207" s="137" t="str">
        <f>'Q100a-geral'!AN638</f>
        <v>x</v>
      </c>
      <c r="AO207" s="137" t="str">
        <f>'Q100a-geral'!AO638</f>
        <v>x</v>
      </c>
      <c r="AP207" s="137" t="str">
        <f>'Q100a-geral'!AP638</f>
        <v>x</v>
      </c>
      <c r="AQ207" s="137" t="str">
        <f>'Q100a-geral'!AQ638</f>
        <v>x</v>
      </c>
      <c r="AR207" s="137"/>
      <c r="AS207" s="137"/>
      <c r="AT207" s="137"/>
      <c r="AU207" s="137"/>
      <c r="AV207" s="137" t="str">
        <f>'Q100a-geral'!AV638</f>
        <v>x</v>
      </c>
      <c r="AW207" s="137"/>
      <c r="AX207" s="137"/>
      <c r="AY207" s="137"/>
      <c r="AZ207" s="137"/>
      <c r="BA207" s="137" t="str">
        <f>'Q100a-geral'!BA638</f>
        <v>x</v>
      </c>
      <c r="BB207" s="239" t="str">
        <f>'Q100a-geral'!BB638</f>
        <v>Distribuição modal em pesquisas de opiniãox</v>
      </c>
      <c r="BC207" s="239" t="str">
        <f>'Q100a-geral'!BC638</f>
        <v>Distribuição modal em pesquisas de opiniãoxsigla/verbete</v>
      </c>
      <c r="BD207" s="239" t="str">
        <f>'Q100a-geral'!BD638</f>
        <v>Distribuição modal em pesquisas de opiniãosigla/verbete</v>
      </c>
    </row>
    <row r="208" spans="1:56" s="1" customFormat="1" ht="153" customHeight="1" x14ac:dyDescent="0.25">
      <c r="A208" s="275" t="str">
        <f>'Q100a-geral'!A639</f>
        <v>2.1</v>
      </c>
      <c r="B208" s="54" t="str">
        <f>'Q100a-geral'!B639</f>
        <v>Distribuição modal em pesquisas de opinião</v>
      </c>
      <c r="C208" s="167" t="str">
        <f>'Q100a-geral'!C639</f>
        <v>x</v>
      </c>
      <c r="D208" s="36" t="str">
        <f>'Q100a-geral'!D639</f>
        <v>DM a
(P.Op.)</v>
      </c>
      <c r="E208" s="464" t="str">
        <f>'Q100a-geral'!E639</f>
        <v>Belo Horizonte</v>
      </c>
      <c r="F208" s="449" t="str">
        <f>'Q100a-geral'!F639</f>
        <v>participação percentual do modo "automóvel" na distribuição modal, componente de "DMti", com base nas pesquisas de opinião
obs.: as fontes de todos os resultados DM(P.Op.) são = 1995 a 2011: OLIVEIRA (2014, Tabela 4.2/Apêndice); 2012: não houve pesquisa; 2013: DOXA (2013, p.3); 2014: não houve pesquisa; 2015: DOXA (2015, p.7, 16.)</v>
      </c>
      <c r="G208" s="252" t="str">
        <f>'Q100a-geral'!G639</f>
        <v>registro na fonte</v>
      </c>
      <c r="H208" s="233" t="str">
        <f>'Q100a-geral'!H639</f>
        <v>x</v>
      </c>
      <c r="I208" s="172">
        <f>'Q100a-geral'!I639</f>
        <v>1</v>
      </c>
      <c r="J208" s="109" t="str">
        <f>'Q100a-geral'!J639</f>
        <v>x</v>
      </c>
      <c r="K208" s="109" t="str">
        <f>'Q100a-geral'!K639</f>
        <v>x</v>
      </c>
      <c r="L208" s="109" t="str">
        <f>'Q100a-geral'!L639</f>
        <v>x</v>
      </c>
      <c r="M208" s="109" t="str">
        <f>'Q100a-geral'!M639</f>
        <v>x</v>
      </c>
      <c r="N208" s="109" t="str">
        <f>'Q100a-geral'!N639</f>
        <v>x</v>
      </c>
      <c r="O208" s="110" t="str">
        <f>'Q100a-geral'!O639</f>
        <v>x</v>
      </c>
      <c r="P208" s="185">
        <f>'Q100a-geral'!P639</f>
        <v>18</v>
      </c>
      <c r="Q208" s="185" t="str">
        <f>'Q100a-geral'!Q639</f>
        <v>x</v>
      </c>
      <c r="R208" s="185" t="str">
        <f>'Q100a-geral'!R639</f>
        <v>x</v>
      </c>
      <c r="S208" s="185" t="str">
        <f>'Q100a-geral'!S639</f>
        <v>só para pesquisa</v>
      </c>
      <c r="T208" s="185" t="str">
        <f>'Q100a-geral'!T639</f>
        <v>x</v>
      </c>
      <c r="U208" s="185">
        <f>'Q100a-geral'!U639</f>
        <v>15</v>
      </c>
      <c r="V208" s="185" t="str">
        <f>'Q100a-geral'!V639</f>
        <v>só para pesquisa</v>
      </c>
      <c r="W208" s="185">
        <f>'Q100a-geral'!W639</f>
        <v>14.67</v>
      </c>
      <c r="X208" s="185">
        <f>'Q100a-geral'!X639</f>
        <v>14.07</v>
      </c>
      <c r="Y208" s="185">
        <f>'Q100a-geral'!Y639</f>
        <v>14.37</v>
      </c>
      <c r="Z208" s="185">
        <f>'Q100a-geral'!Z639</f>
        <v>19.28</v>
      </c>
      <c r="AA208" s="185">
        <f>'Q100a-geral'!AA639</f>
        <v>13.5</v>
      </c>
      <c r="AB208" s="185">
        <f>'Q100a-geral'!AB639</f>
        <v>21.11</v>
      </c>
      <c r="AC208" s="185">
        <f>'Q100a-geral'!AC639</f>
        <v>17.7</v>
      </c>
      <c r="AD208" s="185">
        <f>'Q100a-geral'!AD639</f>
        <v>19.41</v>
      </c>
      <c r="AE208" s="185" t="str">
        <f>'Q100a-geral'!AE639</f>
        <v>não realizada pesquisa em BH</v>
      </c>
      <c r="AF208" s="185">
        <f>'Q100a-geral'!AF639</f>
        <v>20.440000000000001</v>
      </c>
      <c r="AG208" s="185" t="str">
        <f>'Q100a-geral'!AG639</f>
        <v>x</v>
      </c>
      <c r="AH208" s="185" t="str">
        <f>'Q100a-geral'!AH639</f>
        <v>não realizada pesquisa em BH</v>
      </c>
      <c r="AI208" s="185">
        <f>'Q100a-geral'!AI639</f>
        <v>22.3</v>
      </c>
      <c r="AJ208" s="109" t="str">
        <f>'Q100a-geral'!AJ639</f>
        <v>não realizada pesquisa em BH</v>
      </c>
      <c r="AK208" s="84">
        <f>'Q100a-geral'!AK639</f>
        <v>25.1</v>
      </c>
      <c r="AL208" s="168" t="str">
        <f>'Q100a-geral'!AL639</f>
        <v>x</v>
      </c>
      <c r="AM208" s="137" t="str">
        <f>'Q100a-geral'!AM639</f>
        <v>x</v>
      </c>
      <c r="AN208" s="137" t="str">
        <f>'Q100a-geral'!AN639</f>
        <v>x</v>
      </c>
      <c r="AO208" s="137" t="str">
        <f>'Q100a-geral'!AO639</f>
        <v>x</v>
      </c>
      <c r="AP208" s="137" t="str">
        <f>'Q100a-geral'!AP639</f>
        <v>x</v>
      </c>
      <c r="AQ208" s="137" t="str">
        <f>'Q100a-geral'!AQ639</f>
        <v>x</v>
      </c>
      <c r="AR208" s="137"/>
      <c r="AS208" s="137"/>
      <c r="AT208" s="137"/>
      <c r="AU208" s="137"/>
      <c r="AV208" s="137" t="str">
        <f>'Q100a-geral'!AV639</f>
        <v>x</v>
      </c>
      <c r="AW208" s="137"/>
      <c r="AX208" s="137"/>
      <c r="AY208" s="137"/>
      <c r="AZ208" s="137"/>
      <c r="BA208" s="137" t="str">
        <f>'Q100a-geral'!BA639</f>
        <v>x</v>
      </c>
      <c r="BB208" s="239" t="str">
        <f>'Q100a-geral'!BB639</f>
        <v>Distribuição modal em pesquisas de opiniãox</v>
      </c>
      <c r="BC208" s="239" t="str">
        <f>'Q100a-geral'!BC639</f>
        <v>Distribuição modal em pesquisas de opiniãoxx</v>
      </c>
      <c r="BD208" s="239" t="str">
        <f>'Q100a-geral'!BD639</f>
        <v>Distribuição modal em pesquisas de opiniãox</v>
      </c>
    </row>
    <row r="209" spans="1:56" s="1" customFormat="1" ht="78.75" customHeight="1" x14ac:dyDescent="0.25">
      <c r="A209" s="275" t="str">
        <f>'Q100a-geral'!A640</f>
        <v>2.1</v>
      </c>
      <c r="B209" s="54" t="str">
        <f>'Q100a-geral'!B640</f>
        <v>Distribuição modal em pesquisas de opinião</v>
      </c>
      <c r="C209" s="230" t="str">
        <f>'Q100a-geral'!C640</f>
        <v>x</v>
      </c>
      <c r="D209" s="36" t="str">
        <f>'Q100a-geral'!D640</f>
        <v>DM b
(P.Op.)</v>
      </c>
      <c r="E209" s="464" t="str">
        <f>'Q100a-geral'!E640</f>
        <v>Belo Horizonte</v>
      </c>
      <c r="F209" s="449" t="str">
        <f>'Q100a-geral'!F640</f>
        <v>participação percentual do modo "bicicleta" na distribuição modal, componente de "DMnm", com base nas pesquisas de opinião)
obs.: as fontes de todos os resultados DM(P.Op.) são = 1995 a 2011: OLIVEIRA (2014, Tabela 4.2/Apêndice); 2012: não houve pesquisa; 2013: DOXA (2013, p.3); 2014: não houve pesquisa; 2015: DOXA (2015, p.7, 16.)</v>
      </c>
      <c r="G209" s="252" t="str">
        <f>'Q100a-geral'!G640</f>
        <v>registro na fonte</v>
      </c>
      <c r="H209" s="233" t="str">
        <f>'Q100a-geral'!H640</f>
        <v>x</v>
      </c>
      <c r="I209" s="172">
        <f>'Q100a-geral'!I640</f>
        <v>1</v>
      </c>
      <c r="J209" s="107" t="str">
        <f>'Q100a-geral'!J640</f>
        <v>x</v>
      </c>
      <c r="K209" s="109" t="str">
        <f>'Q100a-geral'!K640</f>
        <v>x</v>
      </c>
      <c r="L209" s="109" t="str">
        <f>'Q100a-geral'!L640</f>
        <v>x</v>
      </c>
      <c r="M209" s="109" t="str">
        <f>'Q100a-geral'!M640</f>
        <v>x</v>
      </c>
      <c r="N209" s="109" t="str">
        <f>'Q100a-geral'!N640</f>
        <v>x</v>
      </c>
      <c r="O209" s="85" t="str">
        <f>'Q100a-geral'!O640</f>
        <v>x</v>
      </c>
      <c r="P209" s="85" t="str">
        <f>'Q100a-geral'!P640</f>
        <v>x</v>
      </c>
      <c r="Q209" s="85" t="str">
        <f>'Q100a-geral'!Q640</f>
        <v>x</v>
      </c>
      <c r="R209" s="85" t="str">
        <f>'Q100a-geral'!R640</f>
        <v>x</v>
      </c>
      <c r="S209" s="85" t="str">
        <f>'Q100a-geral'!S640</f>
        <v>só para pesquisa</v>
      </c>
      <c r="T209" s="85" t="str">
        <f>'Q100a-geral'!T640</f>
        <v>x</v>
      </c>
      <c r="U209" s="85" t="str">
        <f>'Q100a-geral'!U640</f>
        <v>x</v>
      </c>
      <c r="V209" s="85" t="str">
        <f>'Q100a-geral'!V640</f>
        <v>só para pesquisa</v>
      </c>
      <c r="W209" s="85">
        <f>'Q100a-geral'!W640</f>
        <v>0.16</v>
      </c>
      <c r="X209" s="85">
        <f>'Q100a-geral'!X640</f>
        <v>0.67</v>
      </c>
      <c r="Y209" s="85">
        <f>'Q100a-geral'!Y640</f>
        <v>0.74</v>
      </c>
      <c r="Z209" s="85" t="str">
        <f>'Q100a-geral'!Z640</f>
        <v>x</v>
      </c>
      <c r="AA209" s="85">
        <f>'Q100a-geral'!AA640</f>
        <v>0.6</v>
      </c>
      <c r="AB209" s="85">
        <f>'Q100a-geral'!AB640</f>
        <v>0.36</v>
      </c>
      <c r="AC209" s="85">
        <f>'Q100a-geral'!AC640</f>
        <v>0.59</v>
      </c>
      <c r="AD209" s="85">
        <f>'Q100a-geral'!AD640</f>
        <v>0.74</v>
      </c>
      <c r="AE209" s="85" t="str">
        <f>'Q100a-geral'!AE640</f>
        <v>não realizada pesquisa em BH</v>
      </c>
      <c r="AF209" s="85">
        <f>'Q100a-geral'!AF640</f>
        <v>0.52</v>
      </c>
      <c r="AG209" s="85" t="str">
        <f>'Q100a-geral'!AG640</f>
        <v>x</v>
      </c>
      <c r="AH209" s="85" t="str">
        <f>'Q100a-geral'!AH640</f>
        <v>não realizada pesquisa em BH</v>
      </c>
      <c r="AI209" s="85">
        <f>'Q100a-geral'!AI640</f>
        <v>0.52</v>
      </c>
      <c r="AJ209" s="109" t="str">
        <f>'Q100a-geral'!AJ640</f>
        <v>não realizada pesquisa em BH</v>
      </c>
      <c r="AK209" s="84">
        <f>'Q100a-geral'!AK640</f>
        <v>0.6</v>
      </c>
      <c r="AL209" s="217" t="str">
        <f>'Q100a-geral'!AL640</f>
        <v>x</v>
      </c>
      <c r="AM209" s="137" t="str">
        <f>'Q100a-geral'!AM640</f>
        <v>x</v>
      </c>
      <c r="AN209" s="137" t="str">
        <f>'Q100a-geral'!AN640</f>
        <v>x</v>
      </c>
      <c r="AO209" s="137" t="str">
        <f>'Q100a-geral'!AO640</f>
        <v>x</v>
      </c>
      <c r="AP209" s="137" t="str">
        <f>'Q100a-geral'!AP640</f>
        <v>x</v>
      </c>
      <c r="AQ209" s="137" t="str">
        <f>'Q100a-geral'!AQ640</f>
        <v>x</v>
      </c>
      <c r="AR209" s="137"/>
      <c r="AS209" s="137"/>
      <c r="AT209" s="137"/>
      <c r="AU209" s="137"/>
      <c r="AV209" s="137" t="str">
        <f>'Q100a-geral'!AV640</f>
        <v>x</v>
      </c>
      <c r="AW209" s="137"/>
      <c r="AX209" s="137"/>
      <c r="AY209" s="137"/>
      <c r="AZ209" s="137"/>
      <c r="BA209" s="137" t="str">
        <f>'Q100a-geral'!BA640</f>
        <v>x</v>
      </c>
      <c r="BB209" s="239" t="str">
        <f>'Q100a-geral'!BB640</f>
        <v>Distribuição modal em pesquisas de opiniãox</v>
      </c>
      <c r="BC209" s="239" t="str">
        <f>'Q100a-geral'!BC640</f>
        <v>Distribuição modal em pesquisas de opiniãoxx</v>
      </c>
      <c r="BD209" s="239" t="str">
        <f>'Q100a-geral'!BD640</f>
        <v>Distribuição modal em pesquisas de opiniãox</v>
      </c>
    </row>
    <row r="210" spans="1:56" s="1" customFormat="1" ht="110.25" customHeight="1" x14ac:dyDescent="0.25">
      <c r="A210" s="275" t="str">
        <f>'Q100a-geral'!A641</f>
        <v>2.1</v>
      </c>
      <c r="B210" s="54" t="str">
        <f>'Q100a-geral'!B641</f>
        <v>Distribuição modal em pesquisas de opinião</v>
      </c>
      <c r="C210" s="167" t="str">
        <f>'Q100a-geral'!C641</f>
        <v>x</v>
      </c>
      <c r="D210" s="36" t="str">
        <f>'Q100a-geral'!D641</f>
        <v>DM metrô
(P.Op.)</v>
      </c>
      <c r="E210" s="464" t="str">
        <f>'Q100a-geral'!E641</f>
        <v>Belo Horizonte</v>
      </c>
      <c r="F210" s="445" t="str">
        <f>'Q100a-geral'!F641</f>
        <v>participação percentual do modo "metrô" na distribuição modal, componente de DMtc, com base nas pesquisas de opinião
obs.: as fontes de todos os resultados DM(P.Op.) são = 1995 a 2011: OLIVEIRA (2014, Tabela 4.2/Apêndice); 2012: não houve pesquisa; 2013: DOXA (2013, p.3); 2014: não houve pesquisa; 2015: DOXA (2015, p.7, 16.)</v>
      </c>
      <c r="G210" s="252" t="str">
        <f>'Q100a-geral'!G641</f>
        <v>registro na fonte</v>
      </c>
      <c r="H210" s="233" t="str">
        <f>'Q100a-geral'!H641</f>
        <v>x</v>
      </c>
      <c r="I210" s="172">
        <f>'Q100a-geral'!I641</f>
        <v>1</v>
      </c>
      <c r="J210" s="109" t="str">
        <f>'Q100a-geral'!J641</f>
        <v>x</v>
      </c>
      <c r="K210" s="109" t="str">
        <f>'Q100a-geral'!K641</f>
        <v>x</v>
      </c>
      <c r="L210" s="109" t="str">
        <f>'Q100a-geral'!L641</f>
        <v>x</v>
      </c>
      <c r="M210" s="109" t="str">
        <f>'Q100a-geral'!M641</f>
        <v>x</v>
      </c>
      <c r="N210" s="109" t="str">
        <f>'Q100a-geral'!N641</f>
        <v>x</v>
      </c>
      <c r="O210" s="85" t="str">
        <f>'Q100a-geral'!O641</f>
        <v>x</v>
      </c>
      <c r="P210" s="83">
        <f>'Q100a-geral'!P641</f>
        <v>1</v>
      </c>
      <c r="Q210" s="83" t="str">
        <f>'Q100a-geral'!Q641</f>
        <v>x</v>
      </c>
      <c r="R210" s="83" t="str">
        <f>'Q100a-geral'!R641</f>
        <v>x</v>
      </c>
      <c r="S210" s="85" t="str">
        <f>'Q100a-geral'!S641</f>
        <v>só para pesquisa</v>
      </c>
      <c r="T210" s="83" t="str">
        <f>'Q100a-geral'!T641</f>
        <v>x</v>
      </c>
      <c r="U210" s="83">
        <f>'Q100a-geral'!U641</f>
        <v>3</v>
      </c>
      <c r="V210" s="85" t="str">
        <f>'Q100a-geral'!V641</f>
        <v>só para pesquisa</v>
      </c>
      <c r="W210" s="83">
        <f>'Q100a-geral'!W641</f>
        <v>0.7</v>
      </c>
      <c r="X210" s="83">
        <f>'Q100a-geral'!X641</f>
        <v>0.89</v>
      </c>
      <c r="Y210" s="83">
        <f>'Q100a-geral'!Y641</f>
        <v>1.41</v>
      </c>
      <c r="Z210" s="83">
        <f>'Q100a-geral'!Z641</f>
        <v>2.7</v>
      </c>
      <c r="AA210" s="83">
        <f>'Q100a-geral'!AA641</f>
        <v>2.2999999999999998</v>
      </c>
      <c r="AB210" s="83">
        <f>'Q100a-geral'!AB641</f>
        <v>1.78</v>
      </c>
      <c r="AC210" s="83">
        <f>'Q100a-geral'!AC641</f>
        <v>2.67</v>
      </c>
      <c r="AD210" s="83">
        <f>'Q100a-geral'!AD641</f>
        <v>2.96</v>
      </c>
      <c r="AE210" s="83" t="str">
        <f>'Q100a-geral'!AE641</f>
        <v>não realizada pesquisa em BH</v>
      </c>
      <c r="AF210" s="83">
        <f>'Q100a-geral'!AF641</f>
        <v>3.56</v>
      </c>
      <c r="AG210" s="83" t="str">
        <f>'Q100a-geral'!AG641</f>
        <v>x</v>
      </c>
      <c r="AH210" s="83" t="str">
        <f>'Q100a-geral'!AH641</f>
        <v>não realizada pesquisa em BH</v>
      </c>
      <c r="AI210" s="83">
        <f>'Q100a-geral'!AI641</f>
        <v>2.67</v>
      </c>
      <c r="AJ210" s="109" t="str">
        <f>'Q100a-geral'!AJ641</f>
        <v>não realizada pesquisa em BH</v>
      </c>
      <c r="AK210" s="84">
        <f>'Q100a-geral'!AK641</f>
        <v>3.3</v>
      </c>
      <c r="AL210" s="217" t="str">
        <f>'Q100a-geral'!AL641</f>
        <v>x</v>
      </c>
      <c r="AM210" s="137" t="str">
        <f>'Q100a-geral'!AM641</f>
        <v>x</v>
      </c>
      <c r="AN210" s="137" t="str">
        <f>'Q100a-geral'!AN641</f>
        <v>x</v>
      </c>
      <c r="AO210" s="137" t="str">
        <f>'Q100a-geral'!AO641</f>
        <v>x</v>
      </c>
      <c r="AP210" s="137" t="str">
        <f>'Q100a-geral'!AP641</f>
        <v>x</v>
      </c>
      <c r="AQ210" s="137" t="str">
        <f>'Q100a-geral'!AQ641</f>
        <v>x</v>
      </c>
      <c r="AR210" s="137"/>
      <c r="AS210" s="137"/>
      <c r="AT210" s="137"/>
      <c r="AU210" s="137"/>
      <c r="AV210" s="137" t="str">
        <f>'Q100a-geral'!AV641</f>
        <v>x</v>
      </c>
      <c r="AW210" s="137"/>
      <c r="AX210" s="137"/>
      <c r="AY210" s="137"/>
      <c r="AZ210" s="137"/>
      <c r="BA210" s="137" t="str">
        <f>'Q100a-geral'!BA641</f>
        <v>x</v>
      </c>
      <c r="BB210" s="239" t="str">
        <f>'Q100a-geral'!BB641</f>
        <v>Distribuição modal em pesquisas de opiniãox</v>
      </c>
      <c r="BC210" s="239" t="str">
        <f>'Q100a-geral'!BC641</f>
        <v>Distribuição modal em pesquisas de opiniãoxx</v>
      </c>
      <c r="BD210" s="239" t="str">
        <f>'Q100a-geral'!BD641</f>
        <v>Distribuição modal em pesquisas de opiniãox</v>
      </c>
    </row>
    <row r="211" spans="1:56" s="1" customFormat="1" ht="78.75" customHeight="1" x14ac:dyDescent="0.25">
      <c r="A211" s="275" t="str">
        <f>'Q100a-geral'!A642</f>
        <v>2.1</v>
      </c>
      <c r="B211" s="54" t="str">
        <f>'Q100a-geral'!B642</f>
        <v>Distribuição modal em pesquisas de opinião</v>
      </c>
      <c r="C211" s="167" t="str">
        <f>'Q100a-geral'!C642</f>
        <v>x</v>
      </c>
      <c r="D211" s="36" t="str">
        <f>'Q100a-geral'!D642</f>
        <v>DM mm
(P.Op.)</v>
      </c>
      <c r="E211" s="464" t="str">
        <f>'Q100a-geral'!E642</f>
        <v>Belo Horizonte</v>
      </c>
      <c r="F211" s="445" t="str">
        <f>'Q100a-geral'!F642</f>
        <v>participação percentual da motocicleta e da motoneta, juntos, na distribuição modal, componente de DMti, com base nas pesquisas de opinião
obs.: as fontes de todos os resultados DM(P.Op.) são = 1995 a 2011: OLIVEIRA (2014, Tabela 4.2/Apêndice); 2012: não houve pesquisa; 2013: DOXA (2013, p.3); 2014: não houve pesquisa; 2015: DOXA (2015, p.7, 16.)</v>
      </c>
      <c r="G211" s="252" t="str">
        <f>'Q100a-geral'!G642</f>
        <v>registro na fonte</v>
      </c>
      <c r="H211" s="233" t="str">
        <f>'Q100a-geral'!H642</f>
        <v>x</v>
      </c>
      <c r="I211" s="172">
        <f>'Q100a-geral'!I642</f>
        <v>1</v>
      </c>
      <c r="J211" s="109" t="str">
        <f>'Q100a-geral'!J642</f>
        <v>x</v>
      </c>
      <c r="K211" s="109" t="str">
        <f>'Q100a-geral'!K642</f>
        <v>x</v>
      </c>
      <c r="L211" s="109" t="str">
        <f>'Q100a-geral'!L642</f>
        <v>x</v>
      </c>
      <c r="M211" s="109" t="str">
        <f>'Q100a-geral'!M642</f>
        <v>x</v>
      </c>
      <c r="N211" s="109" t="str">
        <f>'Q100a-geral'!N642</f>
        <v>x</v>
      </c>
      <c r="O211" s="85" t="str">
        <f>'Q100a-geral'!O642</f>
        <v>x</v>
      </c>
      <c r="P211" s="83">
        <f>'Q100a-geral'!P642</f>
        <v>1</v>
      </c>
      <c r="Q211" s="83" t="str">
        <f>'Q100a-geral'!Q642</f>
        <v>x</v>
      </c>
      <c r="R211" s="83" t="str">
        <f>'Q100a-geral'!R642</f>
        <v>x</v>
      </c>
      <c r="S211" s="85" t="str">
        <f>'Q100a-geral'!S642</f>
        <v>só para pesquisa</v>
      </c>
      <c r="T211" s="83" t="str">
        <f>'Q100a-geral'!T642</f>
        <v>x</v>
      </c>
      <c r="U211" s="83" t="str">
        <f>'Q100a-geral'!U642</f>
        <v>x</v>
      </c>
      <c r="V211" s="85" t="str">
        <f>'Q100a-geral'!V642</f>
        <v>só para pesquisa</v>
      </c>
      <c r="W211" s="83">
        <f>'Q100a-geral'!W642</f>
        <v>1.03</v>
      </c>
      <c r="X211" s="83">
        <f>'Q100a-geral'!X642</f>
        <v>1.41</v>
      </c>
      <c r="Y211" s="83">
        <f>'Q100a-geral'!Y642</f>
        <v>1.04</v>
      </c>
      <c r="Z211" s="83">
        <f>'Q100a-geral'!Z642</f>
        <v>2.7</v>
      </c>
      <c r="AA211" s="83">
        <f>'Q100a-geral'!AA642</f>
        <v>1.7</v>
      </c>
      <c r="AB211" s="83">
        <f>'Q100a-geral'!AB642</f>
        <v>2.14</v>
      </c>
      <c r="AC211" s="83">
        <f>'Q100a-geral'!AC642</f>
        <v>2.59</v>
      </c>
      <c r="AD211" s="83">
        <f>'Q100a-geral'!AD642</f>
        <v>4.1500000000000004</v>
      </c>
      <c r="AE211" s="83" t="str">
        <f>'Q100a-geral'!AE642</f>
        <v>não realizada pesquisa em BH</v>
      </c>
      <c r="AF211" s="83">
        <f>'Q100a-geral'!AF642</f>
        <v>4.96</v>
      </c>
      <c r="AG211" s="83" t="str">
        <f>'Q100a-geral'!AG642</f>
        <v>x</v>
      </c>
      <c r="AH211" s="83" t="str">
        <f>'Q100a-geral'!AH642</f>
        <v>não realizada pesquisa em BH</v>
      </c>
      <c r="AI211" s="83">
        <f>'Q100a-geral'!AI642</f>
        <v>4.96</v>
      </c>
      <c r="AJ211" s="109" t="str">
        <f>'Q100a-geral'!AJ642</f>
        <v>não realizada pesquisa em BH</v>
      </c>
      <c r="AK211" s="84">
        <f>'Q100a-geral'!AK642</f>
        <v>5.6</v>
      </c>
      <c r="AL211" s="217" t="str">
        <f>'Q100a-geral'!AL642</f>
        <v>x</v>
      </c>
      <c r="AM211" s="137" t="str">
        <f>'Q100a-geral'!AM642</f>
        <v>x</v>
      </c>
      <c r="AN211" s="137" t="str">
        <f>'Q100a-geral'!AN642</f>
        <v>x</v>
      </c>
      <c r="AO211" s="137" t="str">
        <f>'Q100a-geral'!AO642</f>
        <v>x</v>
      </c>
      <c r="AP211" s="137" t="str">
        <f>'Q100a-geral'!AP642</f>
        <v>x</v>
      </c>
      <c r="AQ211" s="137" t="str">
        <f>'Q100a-geral'!AQ642</f>
        <v>x</v>
      </c>
      <c r="AR211" s="137"/>
      <c r="AS211" s="137"/>
      <c r="AT211" s="137"/>
      <c r="AU211" s="137"/>
      <c r="AV211" s="137" t="str">
        <f>'Q100a-geral'!AV642</f>
        <v>x</v>
      </c>
      <c r="AW211" s="137"/>
      <c r="AX211" s="137"/>
      <c r="AY211" s="137"/>
      <c r="AZ211" s="137"/>
      <c r="BA211" s="137" t="str">
        <f>'Q100a-geral'!BA642</f>
        <v>x</v>
      </c>
      <c r="BB211" s="239" t="str">
        <f>'Q100a-geral'!BB642</f>
        <v>Distribuição modal em pesquisas de opiniãox</v>
      </c>
      <c r="BC211" s="239" t="str">
        <f>'Q100a-geral'!BC642</f>
        <v>Distribuição modal em pesquisas de opiniãoxx</v>
      </c>
      <c r="BD211" s="239" t="str">
        <f>'Q100a-geral'!BD642</f>
        <v>Distribuição modal em pesquisas de opiniãox</v>
      </c>
    </row>
    <row r="212" spans="1:56" s="1" customFormat="1" ht="78.75" customHeight="1" x14ac:dyDescent="0.25">
      <c r="A212" s="275" t="str">
        <f>'Q100a-geral'!A643</f>
        <v>2.1</v>
      </c>
      <c r="B212" s="54" t="str">
        <f>'Q100a-geral'!B643</f>
        <v>Distribuição modal em pesquisas de opinião</v>
      </c>
      <c r="C212" s="167" t="str">
        <f>'Q100a-geral'!C643</f>
        <v>x</v>
      </c>
      <c r="D212" s="326" t="str">
        <f>'Q100a-geral'!D643</f>
        <v>DM nm
(P.Op.)</v>
      </c>
      <c r="E212" s="465" t="str">
        <f>'Q100a-geral'!E643</f>
        <v>Belo Horizonte</v>
      </c>
      <c r="F212" s="488" t="str">
        <f>'Q100a-geral'!F643</f>
        <v>participação percentual do transporte não motorizado na distribuição modal com base nas pesquisas de opinião</v>
      </c>
      <c r="G212" s="252" t="str">
        <f>'Q100a-geral'!G643</f>
        <v>DM b + DM pé</v>
      </c>
      <c r="H212" s="233" t="str">
        <f>'Q100a-geral'!H643</f>
        <v>x</v>
      </c>
      <c r="I212" s="172">
        <f>'Q100a-geral'!I643</f>
        <v>1</v>
      </c>
      <c r="J212" s="109" t="str">
        <f>'Q100a-geral'!J643</f>
        <v>x</v>
      </c>
      <c r="K212" s="109" t="str">
        <f>'Q100a-geral'!K643</f>
        <v>x</v>
      </c>
      <c r="L212" s="109" t="str">
        <f>'Q100a-geral'!L643</f>
        <v>x</v>
      </c>
      <c r="M212" s="109" t="str">
        <f>'Q100a-geral'!M643</f>
        <v>x</v>
      </c>
      <c r="N212" s="109" t="str">
        <f>'Q100a-geral'!N643</f>
        <v>x</v>
      </c>
      <c r="O212" s="85" t="str">
        <f>'Q100a-geral'!O643</f>
        <v>x</v>
      </c>
      <c r="P212" s="44">
        <f>'Q100a-geral'!P643</f>
        <v>3</v>
      </c>
      <c r="Q212" s="279"/>
      <c r="R212" s="85" t="str">
        <f>'Q100a-geral'!R643</f>
        <v>x</v>
      </c>
      <c r="S212" s="44" t="str">
        <f>'Q100a-geral'!S643</f>
        <v>só para pesquisa</v>
      </c>
      <c r="T212" s="279"/>
      <c r="U212" s="44">
        <f>'Q100a-geral'!U643</f>
        <v>2</v>
      </c>
      <c r="V212" s="85" t="str">
        <f>'Q100a-geral'!V643</f>
        <v>só para pesquisa</v>
      </c>
      <c r="W212" s="44">
        <f>'Q100a-geral'!W643</f>
        <v>2.93</v>
      </c>
      <c r="X212" s="44">
        <f>'Q100a-geral'!X643</f>
        <v>2.9699999999999998</v>
      </c>
      <c r="Y212" s="44">
        <f>'Q100a-geral'!Y643</f>
        <v>3.7800000000000002</v>
      </c>
      <c r="Z212" s="44">
        <f>'Q100a-geral'!Z643</f>
        <v>1</v>
      </c>
      <c r="AA212" s="44">
        <f>'Q100a-geral'!AA643</f>
        <v>4.2</v>
      </c>
      <c r="AB212" s="44">
        <f>'Q100a-geral'!AB643</f>
        <v>5.92</v>
      </c>
      <c r="AC212" s="44">
        <f>'Q100a-geral'!AC643</f>
        <v>4.1500000000000004</v>
      </c>
      <c r="AD212" s="44">
        <f>'Q100a-geral'!AD643</f>
        <v>5.78</v>
      </c>
      <c r="AE212" s="279"/>
      <c r="AF212" s="44">
        <f>'Q100a-geral'!AF643</f>
        <v>5.26</v>
      </c>
      <c r="AG212" s="279"/>
      <c r="AH212" s="279"/>
      <c r="AI212" s="44">
        <f>'Q100a-geral'!AI643</f>
        <v>4.3</v>
      </c>
      <c r="AJ212" s="279"/>
      <c r="AK212" s="23">
        <f>'Q100a-geral'!AK643</f>
        <v>4.5999999999999996</v>
      </c>
      <c r="AL212" s="217" t="str">
        <f>'Q100a-geral'!AL643</f>
        <v>x</v>
      </c>
      <c r="AM212" s="137" t="str">
        <f>'Q100a-geral'!AM643</f>
        <v>x</v>
      </c>
      <c r="AN212" s="137" t="str">
        <f>'Q100a-geral'!AN643</f>
        <v>x</v>
      </c>
      <c r="AO212" s="137" t="str">
        <f>'Q100a-geral'!AO643</f>
        <v>x</v>
      </c>
      <c r="AP212" s="137" t="str">
        <f>'Q100a-geral'!AP643</f>
        <v>x</v>
      </c>
      <c r="AQ212" s="137" t="str">
        <f>'Q100a-geral'!AQ643</f>
        <v>x</v>
      </c>
      <c r="AR212" s="137"/>
      <c r="AS212" s="137"/>
      <c r="AT212" s="137"/>
      <c r="AU212" s="137"/>
      <c r="AV212" s="137" t="str">
        <f>'Q100a-geral'!AV643</f>
        <v>x</v>
      </c>
      <c r="AW212" s="137"/>
      <c r="AX212" s="137"/>
      <c r="AY212" s="137"/>
      <c r="AZ212" s="137"/>
      <c r="BA212" s="137" t="str">
        <f>'Q100a-geral'!BA643</f>
        <v>x</v>
      </c>
      <c r="BB212" s="239" t="str">
        <f>'Q100a-geral'!BB643</f>
        <v>Distribuição modal em pesquisas de opiniãox</v>
      </c>
      <c r="BC212" s="239" t="str">
        <f>'Q100a-geral'!BC643</f>
        <v>Distribuição modal em pesquisas de opiniãoxx</v>
      </c>
      <c r="BD212" s="239" t="str">
        <f>'Q100a-geral'!BD643</f>
        <v>Distribuição modal em pesquisas de opiniãox</v>
      </c>
    </row>
    <row r="213" spans="1:56" s="1" customFormat="1" ht="78.75" customHeight="1" x14ac:dyDescent="0.25">
      <c r="A213" s="275" t="str">
        <f>'Q100a-geral'!A644</f>
        <v>2.1</v>
      </c>
      <c r="B213" s="54" t="str">
        <f>'Q100a-geral'!B644</f>
        <v>Distribuição modal em pesquisas de opinião</v>
      </c>
      <c r="C213" s="167" t="str">
        <f>'Q100a-geral'!C644</f>
        <v>x</v>
      </c>
      <c r="D213" s="36" t="str">
        <f>'Q100a-geral'!D644</f>
        <v>DM NS/NR/outros
(P.Op.)</v>
      </c>
      <c r="E213" s="464" t="str">
        <f>'Q100a-geral'!E644</f>
        <v>Belo Horizonte</v>
      </c>
      <c r="F213" s="445" t="str">
        <f>'Q100a-geral'!F644</f>
        <v>participação percentual das respostas não sabe/não respondeu/outros na distribuição modal com base nas pesquisas de opinião
obs.: as fontes de todos os resultados DM(P.Op.) são = 1995 a 2011: OLIVEIRA (2014, Tabela 4.2/Apêndice); 2012: não houve pesquisa; 2013: DOXA (2013, p.3); 2014: não houve pesquisa; 2015: DOXA (2015, p.7, 16.)</v>
      </c>
      <c r="G213" s="252" t="str">
        <f>'Q100a-geral'!G644</f>
        <v>registro na fonte</v>
      </c>
      <c r="H213" s="233" t="str">
        <f>'Q100a-geral'!H644</f>
        <v>x</v>
      </c>
      <c r="I213" s="172">
        <f>'Q100a-geral'!I644</f>
        <v>1</v>
      </c>
      <c r="J213" s="109" t="str">
        <f>'Q100a-geral'!J644</f>
        <v>x</v>
      </c>
      <c r="K213" s="109" t="str">
        <f>'Q100a-geral'!K644</f>
        <v>x</v>
      </c>
      <c r="L213" s="109" t="str">
        <f>'Q100a-geral'!L644</f>
        <v>x</v>
      </c>
      <c r="M213" s="109" t="str">
        <f>'Q100a-geral'!M644</f>
        <v>x</v>
      </c>
      <c r="N213" s="109" t="str">
        <f>'Q100a-geral'!N644</f>
        <v>x</v>
      </c>
      <c r="O213" s="85" t="str">
        <f>'Q100a-geral'!O644</f>
        <v>x</v>
      </c>
      <c r="P213" s="83">
        <f>'Q100a-geral'!P644</f>
        <v>1</v>
      </c>
      <c r="Q213" s="83" t="str">
        <f>'Q100a-geral'!Q644</f>
        <v>x</v>
      </c>
      <c r="R213" s="83" t="str">
        <f>'Q100a-geral'!R644</f>
        <v>x</v>
      </c>
      <c r="S213" s="85" t="str">
        <f>'Q100a-geral'!S644</f>
        <v>só para pesquisa</v>
      </c>
      <c r="T213" s="83" t="str">
        <f>'Q100a-geral'!T644</f>
        <v>x</v>
      </c>
      <c r="U213" s="83">
        <f>'Q100a-geral'!U644</f>
        <v>4</v>
      </c>
      <c r="V213" s="85" t="str">
        <f>'Q100a-geral'!V644</f>
        <v>só para pesquisa</v>
      </c>
      <c r="W213" s="83">
        <f>'Q100a-geral'!W644</f>
        <v>0</v>
      </c>
      <c r="X213" s="83">
        <f>'Q100a-geral'!X644</f>
        <v>0</v>
      </c>
      <c r="Y213" s="83">
        <f>'Q100a-geral'!Y644</f>
        <v>7.0000000000000007E-2</v>
      </c>
      <c r="Z213" s="83">
        <f>'Q100a-geral'!Z644</f>
        <v>0</v>
      </c>
      <c r="AA213" s="83">
        <f>'Q100a-geral'!AA644</f>
        <v>0.1</v>
      </c>
      <c r="AB213" s="83">
        <f>'Q100a-geral'!AB644</f>
        <v>0</v>
      </c>
      <c r="AC213" s="83">
        <f>'Q100a-geral'!AC644</f>
        <v>0</v>
      </c>
      <c r="AD213" s="83">
        <f>'Q100a-geral'!AD644</f>
        <v>0</v>
      </c>
      <c r="AE213" s="83" t="str">
        <f>'Q100a-geral'!AE644</f>
        <v>não realizada pesquisa em BH</v>
      </c>
      <c r="AF213" s="83">
        <f>'Q100a-geral'!AF644</f>
        <v>0</v>
      </c>
      <c r="AG213" s="83" t="str">
        <f>'Q100a-geral'!AG644</f>
        <v>x</v>
      </c>
      <c r="AH213" s="83" t="str">
        <f>'Q100a-geral'!AH644</f>
        <v>não realizada pesquisa em BH</v>
      </c>
      <c r="AI213" s="83">
        <f>'Q100a-geral'!AI644</f>
        <v>0</v>
      </c>
      <c r="AJ213" s="268" t="str">
        <f>'Q100a-geral'!AJ644</f>
        <v>não realizada pesquisa em BH</v>
      </c>
      <c r="AK213" s="84" t="str">
        <f>'Q100a-geral'!AK644</f>
        <v>x</v>
      </c>
      <c r="AL213" s="217" t="str">
        <f>'Q100a-geral'!AL644</f>
        <v>x</v>
      </c>
      <c r="AM213" s="137" t="str">
        <f>'Q100a-geral'!AM644</f>
        <v>x</v>
      </c>
      <c r="AN213" s="137" t="str">
        <f>'Q100a-geral'!AN644</f>
        <v>x</v>
      </c>
      <c r="AO213" s="137" t="str">
        <f>'Q100a-geral'!AO644</f>
        <v>x</v>
      </c>
      <c r="AP213" s="137" t="str">
        <f>'Q100a-geral'!AP644</f>
        <v>x</v>
      </c>
      <c r="AQ213" s="137" t="str">
        <f>'Q100a-geral'!AQ644</f>
        <v>x</v>
      </c>
      <c r="AR213" s="137"/>
      <c r="AS213" s="137"/>
      <c r="AT213" s="137"/>
      <c r="AU213" s="137"/>
      <c r="AV213" s="137" t="str">
        <f>'Q100a-geral'!AV644</f>
        <v>x</v>
      </c>
      <c r="AW213" s="137"/>
      <c r="AX213" s="137"/>
      <c r="AY213" s="137"/>
      <c r="AZ213" s="137"/>
      <c r="BA213" s="137" t="str">
        <f>'Q100a-geral'!BA644</f>
        <v>x</v>
      </c>
      <c r="BB213" s="239" t="str">
        <f>'Q100a-geral'!BB644</f>
        <v>Distribuição modal em pesquisas de opiniãox</v>
      </c>
      <c r="BC213" s="239" t="str">
        <f>'Q100a-geral'!BC644</f>
        <v>Distribuição modal em pesquisas de opiniãoxx</v>
      </c>
      <c r="BD213" s="239" t="str">
        <f>'Q100a-geral'!BD644</f>
        <v>Distribuição modal em pesquisas de opiniãox</v>
      </c>
    </row>
    <row r="214" spans="1:56" s="1" customFormat="1" ht="78.75" customHeight="1" x14ac:dyDescent="0.25">
      <c r="A214" s="275" t="str">
        <f>'Q100a-geral'!A645</f>
        <v>2.1</v>
      </c>
      <c r="B214" s="54" t="str">
        <f>'Q100a-geral'!B645</f>
        <v>Distribuição modal em pesquisas de opinião</v>
      </c>
      <c r="C214" s="167" t="str">
        <f>'Q100a-geral'!C645</f>
        <v>x</v>
      </c>
      <c r="D214" s="36" t="str">
        <f>'Q100a-geral'!D645</f>
        <v>DM ônibus
(P.Op.)</v>
      </c>
      <c r="E214" s="464" t="str">
        <f>'Q100a-geral'!E645</f>
        <v>Belo Horizonte</v>
      </c>
      <c r="F214" s="445" t="str">
        <f>'Q100a-geral'!F645</f>
        <v>participação percentual do modo "ônibus" na distribuição modal, componente de DMtc, com base nas pesquisas de opinião
obs.: as fontes de todos os resultados DM(P.Op.) são = 1995 a 2011: OLIVEIRA (2014, Tabela 4.2/Apêndice); 2012: não houve pesquisa; 2013: DOXA (2013, p.3); 2014: não houve pesquisa; 2015: DOXA (2015, p.7, 16.)</v>
      </c>
      <c r="G214" s="252" t="str">
        <f>'Q100a-geral'!G645</f>
        <v>registro na fonte</v>
      </c>
      <c r="H214" s="233" t="str">
        <f>'Q100a-geral'!H645</f>
        <v>x</v>
      </c>
      <c r="I214" s="172">
        <f>'Q100a-geral'!I645</f>
        <v>1</v>
      </c>
      <c r="J214" s="109" t="str">
        <f>'Q100a-geral'!J645</f>
        <v>x</v>
      </c>
      <c r="K214" s="109" t="str">
        <f>'Q100a-geral'!K645</f>
        <v>x</v>
      </c>
      <c r="L214" s="109" t="str">
        <f>'Q100a-geral'!L645</f>
        <v>x</v>
      </c>
      <c r="M214" s="109" t="str">
        <f>'Q100a-geral'!M645</f>
        <v>x</v>
      </c>
      <c r="N214" s="109" t="str">
        <f>'Q100a-geral'!N645</f>
        <v>x</v>
      </c>
      <c r="O214" s="85" t="str">
        <f>'Q100a-geral'!O645</f>
        <v>x</v>
      </c>
      <c r="P214" s="83">
        <f>'Q100a-geral'!P645</f>
        <v>75</v>
      </c>
      <c r="Q214" s="83" t="str">
        <f>'Q100a-geral'!Q645</f>
        <v>x</v>
      </c>
      <c r="R214" s="83" t="str">
        <f>'Q100a-geral'!R645</f>
        <v>x</v>
      </c>
      <c r="S214" s="85" t="str">
        <f>'Q100a-geral'!S645</f>
        <v>só para pesquisa</v>
      </c>
      <c r="T214" s="83" t="str">
        <f>'Q100a-geral'!T645</f>
        <v>x</v>
      </c>
      <c r="U214" s="83">
        <f>'Q100a-geral'!U645</f>
        <v>76</v>
      </c>
      <c r="V214" s="85" t="str">
        <f>'Q100a-geral'!V645</f>
        <v>só para pesquisa</v>
      </c>
      <c r="W214" s="83">
        <f>'Q100a-geral'!W645</f>
        <v>80.09</v>
      </c>
      <c r="X214" s="83">
        <f>'Q100a-geral'!X645</f>
        <v>79.56</v>
      </c>
      <c r="Y214" s="83">
        <f>'Q100a-geral'!Y645</f>
        <v>78.22</v>
      </c>
      <c r="Z214" s="83">
        <f>'Q100a-geral'!Z645</f>
        <v>74.13</v>
      </c>
      <c r="AA214" s="83">
        <f>'Q100a-geral'!AA645</f>
        <v>77.7</v>
      </c>
      <c r="AB214" s="83">
        <f>'Q100a-geral'!AB645</f>
        <v>68.62</v>
      </c>
      <c r="AC214" s="83">
        <f>'Q100a-geral'!AC645</f>
        <v>71.56</v>
      </c>
      <c r="AD214" s="83">
        <f>'Q100a-geral'!AD645</f>
        <v>65.849999999999994</v>
      </c>
      <c r="AE214" s="83" t="str">
        <f>'Q100a-geral'!AE645</f>
        <v>não realizada pesquisa em BH</v>
      </c>
      <c r="AF214" s="83">
        <f>'Q100a-geral'!AF645</f>
        <v>62.59</v>
      </c>
      <c r="AG214" s="83" t="str">
        <f>'Q100a-geral'!AG645</f>
        <v>x</v>
      </c>
      <c r="AH214" s="83" t="str">
        <f>'Q100a-geral'!AH645</f>
        <v>não realizada pesquisa em BH</v>
      </c>
      <c r="AI214" s="83">
        <f>'Q100a-geral'!AI645</f>
        <v>62.52</v>
      </c>
      <c r="AJ214" s="268" t="str">
        <f>'Q100a-geral'!AJ645</f>
        <v>não realizada pesquisa em BH</v>
      </c>
      <c r="AK214" s="84">
        <f>'Q100a-geral'!AK645</f>
        <v>48.9</v>
      </c>
      <c r="AL214" s="217" t="str">
        <f>'Q100a-geral'!AL645</f>
        <v>x</v>
      </c>
      <c r="AM214" s="137" t="str">
        <f>'Q100a-geral'!AM645</f>
        <v>x</v>
      </c>
      <c r="AN214" s="137" t="str">
        <f>'Q100a-geral'!AN645</f>
        <v>x</v>
      </c>
      <c r="AO214" s="137" t="str">
        <f>'Q100a-geral'!AO645</f>
        <v>x</v>
      </c>
      <c r="AP214" s="137" t="str">
        <f>'Q100a-geral'!AP645</f>
        <v>x</v>
      </c>
      <c r="AQ214" s="137" t="str">
        <f>'Q100a-geral'!AQ645</f>
        <v>x</v>
      </c>
      <c r="AR214" s="137"/>
      <c r="AS214" s="137"/>
      <c r="AT214" s="137"/>
      <c r="AU214" s="137"/>
      <c r="AV214" s="137" t="str">
        <f>'Q100a-geral'!AV645</f>
        <v>x</v>
      </c>
      <c r="AW214" s="137"/>
      <c r="AX214" s="137"/>
      <c r="AY214" s="137"/>
      <c r="AZ214" s="137"/>
      <c r="BA214" s="137" t="str">
        <f>'Q100a-geral'!BA645</f>
        <v>x</v>
      </c>
      <c r="BB214" s="239" t="str">
        <f>'Q100a-geral'!BB645</f>
        <v>Distribuição modal em pesquisas de opiniãox</v>
      </c>
      <c r="BC214" s="239" t="str">
        <f>'Q100a-geral'!BC645</f>
        <v>Distribuição modal em pesquisas de opiniãoxx</v>
      </c>
      <c r="BD214" s="239" t="str">
        <f>'Q100a-geral'!BD645</f>
        <v>Distribuição modal em pesquisas de opiniãox</v>
      </c>
    </row>
    <row r="215" spans="1:56" s="1" customFormat="1" ht="78.75" customHeight="1" x14ac:dyDescent="0.25">
      <c r="A215" s="275" t="str">
        <f>'Q100a-geral'!A646</f>
        <v>2.1</v>
      </c>
      <c r="B215" s="54" t="str">
        <f>'Q100a-geral'!B646</f>
        <v>Distribuição modal em pesquisas de opinião</v>
      </c>
      <c r="C215" s="167" t="str">
        <f>'Q100a-geral'!C646</f>
        <v>x</v>
      </c>
      <c r="D215" s="36" t="str">
        <f>'Q100a-geral'!D646</f>
        <v>DM ônibus Move
(P.Op.)</v>
      </c>
      <c r="E215" s="464" t="str">
        <f>'Q100a-geral'!E646</f>
        <v>Belo Horizonte</v>
      </c>
      <c r="F215" s="445" t="str">
        <f>'Q100a-geral'!F646</f>
        <v>participação percentual do modo "ônibus Move" na distribuição modal, componente de DMtc, com base nas pesquisas de opiniãoons
obs.1: essa opção surge na pesquisa realizada em 2015
obs.2: as fontes de todos os resultados DM(P.Op.) são = 1995 a 2011: OLIVEIRA (2014, Tabela 4.2/Apêndice); 2012: não houve pesquisa; 2013: DOXA (2013, p.3); 2014: não houve pesquisa; 2015: DOXA (2015, p.7, 16.)</v>
      </c>
      <c r="G215" s="252" t="str">
        <f>'Q100a-geral'!G646</f>
        <v>registro na fonte</v>
      </c>
      <c r="H215" s="233" t="str">
        <f>'Q100a-geral'!H646</f>
        <v>x</v>
      </c>
      <c r="I215" s="172">
        <f>'Q100a-geral'!I646</f>
        <v>1</v>
      </c>
      <c r="J215" s="109" t="str">
        <f>'Q100a-geral'!J646</f>
        <v>x</v>
      </c>
      <c r="K215" s="109" t="str">
        <f>'Q100a-geral'!K646</f>
        <v>x</v>
      </c>
      <c r="L215" s="109" t="str">
        <f>'Q100a-geral'!L646</f>
        <v>x</v>
      </c>
      <c r="M215" s="109" t="str">
        <f>'Q100a-geral'!M646</f>
        <v>x</v>
      </c>
      <c r="N215" s="109" t="str">
        <f>'Q100a-geral'!N646</f>
        <v>x</v>
      </c>
      <c r="O215" s="85" t="str">
        <f>'Q100a-geral'!O646</f>
        <v>x</v>
      </c>
      <c r="P215" s="83" t="str">
        <f>'Q100a-geral'!P646</f>
        <v>x</v>
      </c>
      <c r="Q215" s="83" t="str">
        <f>'Q100a-geral'!Q646</f>
        <v>x</v>
      </c>
      <c r="R215" s="83" t="str">
        <f>'Q100a-geral'!R646</f>
        <v>x</v>
      </c>
      <c r="S215" s="85" t="str">
        <f>'Q100a-geral'!S646</f>
        <v>só para pesquisa</v>
      </c>
      <c r="T215" s="83" t="str">
        <f>'Q100a-geral'!T646</f>
        <v>x</v>
      </c>
      <c r="U215" s="83" t="str">
        <f>'Q100a-geral'!U646</f>
        <v>x</v>
      </c>
      <c r="V215" s="85" t="str">
        <f>'Q100a-geral'!V646</f>
        <v>só para pesquisa</v>
      </c>
      <c r="W215" s="83" t="str">
        <f>'Q100a-geral'!W646</f>
        <v>x</v>
      </c>
      <c r="X215" s="83" t="str">
        <f>'Q100a-geral'!X646</f>
        <v>x</v>
      </c>
      <c r="Y215" s="83" t="str">
        <f>'Q100a-geral'!Y646</f>
        <v>x</v>
      </c>
      <c r="Z215" s="83" t="str">
        <f>'Q100a-geral'!Z646</f>
        <v>x</v>
      </c>
      <c r="AA215" s="83" t="str">
        <f>'Q100a-geral'!AA646</f>
        <v>x</v>
      </c>
      <c r="AB215" s="83" t="str">
        <f>'Q100a-geral'!AB646</f>
        <v>x</v>
      </c>
      <c r="AC215" s="83" t="str">
        <f>'Q100a-geral'!AC646</f>
        <v>x</v>
      </c>
      <c r="AD215" s="83" t="str">
        <f>'Q100a-geral'!AD646</f>
        <v>x</v>
      </c>
      <c r="AE215" s="83" t="str">
        <f>'Q100a-geral'!AE646</f>
        <v>não realizada pesquisa em BH</v>
      </c>
      <c r="AF215" s="83" t="str">
        <f>'Q100a-geral'!AF646</f>
        <v>x</v>
      </c>
      <c r="AG215" s="83" t="str">
        <f>'Q100a-geral'!AG646</f>
        <v>x</v>
      </c>
      <c r="AH215" s="83" t="str">
        <f>'Q100a-geral'!AH646</f>
        <v>não realizada pesquisa em BH</v>
      </c>
      <c r="AI215" s="83" t="str">
        <f>'Q100a-geral'!AI646</f>
        <v>x</v>
      </c>
      <c r="AJ215" s="268" t="str">
        <f>'Q100a-geral'!AJ646</f>
        <v>não realizada pesquisa em BH</v>
      </c>
      <c r="AK215" s="84">
        <f>'Q100a-geral'!AK646</f>
        <v>8.5</v>
      </c>
      <c r="AL215" s="217" t="str">
        <f>'Q100a-geral'!AL646</f>
        <v>x</v>
      </c>
      <c r="AM215" s="137">
        <f>'Q100a-geral'!AM646</f>
        <v>0</v>
      </c>
      <c r="AN215" s="137">
        <f>'Q100a-geral'!AN646</f>
        <v>0</v>
      </c>
      <c r="AO215" s="137">
        <f>'Q100a-geral'!AO646</f>
        <v>0</v>
      </c>
      <c r="AP215" s="137">
        <f>'Q100a-geral'!AP646</f>
        <v>0</v>
      </c>
      <c r="AQ215" s="137">
        <f>'Q100a-geral'!AQ646</f>
        <v>0</v>
      </c>
      <c r="AR215" s="137"/>
      <c r="AS215" s="137"/>
      <c r="AT215" s="137"/>
      <c r="AU215" s="137"/>
      <c r="AV215" s="137">
        <f>'Q100a-geral'!AV646</f>
        <v>0</v>
      </c>
      <c r="AW215" s="137"/>
      <c r="AX215" s="137"/>
      <c r="AY215" s="137"/>
      <c r="AZ215" s="137"/>
      <c r="BA215" s="137">
        <f>'Q100a-geral'!BA646</f>
        <v>0</v>
      </c>
      <c r="BB215" s="239">
        <f>'Q100a-geral'!BB646</f>
        <v>0</v>
      </c>
      <c r="BC215" s="239">
        <f>'Q100a-geral'!BC646</f>
        <v>0</v>
      </c>
      <c r="BD215" s="239">
        <f>'Q100a-geral'!BD646</f>
        <v>0</v>
      </c>
    </row>
    <row r="216" spans="1:56" s="1" customFormat="1" ht="78.75" customHeight="1" x14ac:dyDescent="0.25">
      <c r="A216" s="275" t="str">
        <f>'Q100a-geral'!A647</f>
        <v>2.1</v>
      </c>
      <c r="B216" s="54" t="str">
        <f>'Q100a-geral'!B647</f>
        <v>Distribuição modal em pesquisas de opinião</v>
      </c>
      <c r="C216" s="167" t="str">
        <f>'Q100a-geral'!C647</f>
        <v>x</v>
      </c>
      <c r="D216" s="36" t="str">
        <f>'Q100a-geral'!D647</f>
        <v>DM pé 
(P.Op.)</v>
      </c>
      <c r="E216" s="464" t="str">
        <f>'Q100a-geral'!E647</f>
        <v>Belo Horizonte</v>
      </c>
      <c r="F216" s="445" t="str">
        <f>'Q100a-geral'!F647</f>
        <v>participação percentual do modo "a pé" na distribuição modal, componente de DMnm, com base nas pesquisas de opinião
obs.: as fontes de todos os resultados DM(P.Op.) são = 1995 a 2011: OLIVEIRA (2014, Tabela 4.2/Apêndice); 2012: não houve pesquisa; 2013: DOXA (2013, p.3); 2014: não houve pesquisa; 2015: DOXA (2015, p.7, 16.)</v>
      </c>
      <c r="G216" s="252" t="str">
        <f>'Q100a-geral'!G647</f>
        <v>registro na fonte</v>
      </c>
      <c r="H216" s="233" t="str">
        <f>'Q100a-geral'!H647</f>
        <v>x</v>
      </c>
      <c r="I216" s="172">
        <f>'Q100a-geral'!I647</f>
        <v>1</v>
      </c>
      <c r="J216" s="109" t="str">
        <f>'Q100a-geral'!J647</f>
        <v>x</v>
      </c>
      <c r="K216" s="109" t="str">
        <f>'Q100a-geral'!K647</f>
        <v>x</v>
      </c>
      <c r="L216" s="109" t="str">
        <f>'Q100a-geral'!L647</f>
        <v>x</v>
      </c>
      <c r="M216" s="109" t="str">
        <f>'Q100a-geral'!M647</f>
        <v>x</v>
      </c>
      <c r="N216" s="109" t="str">
        <f>'Q100a-geral'!N647</f>
        <v>x</v>
      </c>
      <c r="O216" s="85" t="str">
        <f>'Q100a-geral'!O647</f>
        <v>x</v>
      </c>
      <c r="P216" s="83">
        <f>'Q100a-geral'!P647</f>
        <v>3</v>
      </c>
      <c r="Q216" s="83" t="str">
        <f>'Q100a-geral'!Q647</f>
        <v>x</v>
      </c>
      <c r="R216" s="83" t="str">
        <f>'Q100a-geral'!R647</f>
        <v>x</v>
      </c>
      <c r="S216" s="85" t="str">
        <f>'Q100a-geral'!S647</f>
        <v>só para pesquisa</v>
      </c>
      <c r="T216" s="83" t="str">
        <f>'Q100a-geral'!T647</f>
        <v>x</v>
      </c>
      <c r="U216" s="83">
        <f>'Q100a-geral'!U647</f>
        <v>2</v>
      </c>
      <c r="V216" s="85" t="str">
        <f>'Q100a-geral'!V647</f>
        <v>só para pesquisa</v>
      </c>
      <c r="W216" s="83">
        <f>'Q100a-geral'!W647</f>
        <v>2.77</v>
      </c>
      <c r="X216" s="83">
        <f>'Q100a-geral'!X647</f>
        <v>2.2999999999999998</v>
      </c>
      <c r="Y216" s="83">
        <f>'Q100a-geral'!Y647</f>
        <v>3.04</v>
      </c>
      <c r="Z216" s="83">
        <f>'Q100a-geral'!Z647</f>
        <v>1</v>
      </c>
      <c r="AA216" s="83">
        <f>'Q100a-geral'!AA647</f>
        <v>3.6</v>
      </c>
      <c r="AB216" s="83">
        <f>'Q100a-geral'!AB647</f>
        <v>5.56</v>
      </c>
      <c r="AC216" s="83">
        <f>'Q100a-geral'!AC647</f>
        <v>3.56</v>
      </c>
      <c r="AD216" s="83">
        <f>'Q100a-geral'!AD647</f>
        <v>5.04</v>
      </c>
      <c r="AE216" s="83" t="str">
        <f>'Q100a-geral'!AE647</f>
        <v>não realizada pesquisa em BH</v>
      </c>
      <c r="AF216" s="83">
        <f>'Q100a-geral'!AF647</f>
        <v>4.74</v>
      </c>
      <c r="AG216" s="83" t="str">
        <f>'Q100a-geral'!AG647</f>
        <v>x</v>
      </c>
      <c r="AH216" s="83" t="str">
        <f>'Q100a-geral'!AH647</f>
        <v>não realizada pesquisa em BH</v>
      </c>
      <c r="AI216" s="83">
        <f>'Q100a-geral'!AI647</f>
        <v>3.78</v>
      </c>
      <c r="AJ216" s="268" t="str">
        <f>'Q100a-geral'!AJ647</f>
        <v>não realizada pesquisa em BH</v>
      </c>
      <c r="AK216" s="84">
        <f>'Q100a-geral'!AK647</f>
        <v>4</v>
      </c>
      <c r="AL216" s="217" t="str">
        <f>'Q100a-geral'!AL647</f>
        <v>x</v>
      </c>
      <c r="AM216" s="137" t="str">
        <f>'Q100a-geral'!AM647</f>
        <v>x</v>
      </c>
      <c r="AN216" s="137" t="str">
        <f>'Q100a-geral'!AN647</f>
        <v>x</v>
      </c>
      <c r="AO216" s="137" t="str">
        <f>'Q100a-geral'!AO647</f>
        <v>x</v>
      </c>
      <c r="AP216" s="137" t="str">
        <f>'Q100a-geral'!AP647</f>
        <v>x</v>
      </c>
      <c r="AQ216" s="137" t="str">
        <f>'Q100a-geral'!AQ647</f>
        <v>x</v>
      </c>
      <c r="AR216" s="137"/>
      <c r="AS216" s="137"/>
      <c r="AT216" s="137"/>
      <c r="AU216" s="137"/>
      <c r="AV216" s="137" t="str">
        <f>'Q100a-geral'!AV647</f>
        <v>x</v>
      </c>
      <c r="AW216" s="137"/>
      <c r="AX216" s="137"/>
      <c r="AY216" s="137"/>
      <c r="AZ216" s="137"/>
      <c r="BA216" s="137" t="str">
        <f>'Q100a-geral'!BA647</f>
        <v>x</v>
      </c>
      <c r="BB216" s="239" t="str">
        <f>'Q100a-geral'!BB647</f>
        <v>Distribuição modal em pesquisas de opiniãox</v>
      </c>
      <c r="BC216" s="239" t="str">
        <f>'Q100a-geral'!BC647</f>
        <v>Distribuição modal em pesquisas de opiniãoxx</v>
      </c>
      <c r="BD216" s="239" t="str">
        <f>'Q100a-geral'!BD647</f>
        <v>Distribuição modal em pesquisas de opiniãox</v>
      </c>
    </row>
    <row r="217" spans="1:56" s="1" customFormat="1" ht="78.75" customHeight="1" x14ac:dyDescent="0.25">
      <c r="A217" s="275" t="str">
        <f>'Q100a-geral'!A648</f>
        <v>2.1</v>
      </c>
      <c r="B217" s="54" t="str">
        <f>'Q100a-geral'!B648</f>
        <v>Distribuição modal em pesquisas de opinião</v>
      </c>
      <c r="C217" s="167" t="str">
        <f>'Q100a-geral'!C648</f>
        <v>x</v>
      </c>
      <c r="D217" s="36" t="str">
        <f>'Q100a-geral'!D648</f>
        <v>DM
suplementar
(P.Op.)</v>
      </c>
      <c r="E217" s="464" t="str">
        <f>'Q100a-geral'!E648</f>
        <v>Belo Horizonte</v>
      </c>
      <c r="F217" s="445" t="str">
        <f>'Q100a-geral'!F648</f>
        <v>participação percentual do modo "transporte coletivo suplementar" na distribuição modal (por vezes computado junto com o modo "ônibus"), componente de DMtc, com base nas pesquisas de opinião
obs.: as fontes de todos os resultados DM(P.Op.) são = 1995 a 2011: OLIVEIRA (2014, Tabela 4.2/Apêndice); 2012: não houve pesquisa; 2013: DOXA (2013, p.3); 2014: não houve pesquisa; 2015: DOXA (2015, p.7, 16.)</v>
      </c>
      <c r="G217" s="252" t="str">
        <f>'Q100a-geral'!G648</f>
        <v>registro na fonte</v>
      </c>
      <c r="H217" s="233" t="str">
        <f>'Q100a-geral'!H648</f>
        <v>x</v>
      </c>
      <c r="I217" s="172">
        <f>'Q100a-geral'!I648</f>
        <v>1</v>
      </c>
      <c r="J217" s="109" t="str">
        <f>'Q100a-geral'!J648</f>
        <v>x</v>
      </c>
      <c r="K217" s="109" t="str">
        <f>'Q100a-geral'!K648</f>
        <v>x</v>
      </c>
      <c r="L217" s="109" t="str">
        <f>'Q100a-geral'!L648</f>
        <v>x</v>
      </c>
      <c r="M217" s="109" t="str">
        <f>'Q100a-geral'!M648</f>
        <v>x</v>
      </c>
      <c r="N217" s="109" t="str">
        <f>'Q100a-geral'!N648</f>
        <v>x</v>
      </c>
      <c r="O217" s="85" t="str">
        <f>'Q100a-geral'!O648</f>
        <v>x</v>
      </c>
      <c r="P217" s="83" t="str">
        <f>'Q100a-geral'!P648</f>
        <v>x</v>
      </c>
      <c r="Q217" s="83" t="str">
        <f>'Q100a-geral'!Q648</f>
        <v>x</v>
      </c>
      <c r="R217" s="83" t="str">
        <f>'Q100a-geral'!R648</f>
        <v>x</v>
      </c>
      <c r="S217" s="85" t="str">
        <f>'Q100a-geral'!S648</f>
        <v>só para pesquisa</v>
      </c>
      <c r="T217" s="83" t="str">
        <f>'Q100a-geral'!T648</f>
        <v>x</v>
      </c>
      <c r="U217" s="83" t="str">
        <f>'Q100a-geral'!U648</f>
        <v>x</v>
      </c>
      <c r="V217" s="85" t="str">
        <f>'Q100a-geral'!V648</f>
        <v>só para pesquisa</v>
      </c>
      <c r="W217" s="83" t="str">
        <f>'Q100a-geral'!W648</f>
        <v>x</v>
      </c>
      <c r="X217" s="83" t="str">
        <f>'Q100a-geral'!X648</f>
        <v>x</v>
      </c>
      <c r="Y217" s="83" t="str">
        <f>'Q100a-geral'!Y648</f>
        <v>x</v>
      </c>
      <c r="Z217" s="83" t="str">
        <f>'Q100a-geral'!Z648</f>
        <v>x</v>
      </c>
      <c r="AA217" s="83" t="str">
        <f>'Q100a-geral'!AA648</f>
        <v>x</v>
      </c>
      <c r="AB217" s="83">
        <f>'Q100a-geral'!AB648</f>
        <v>0.14000000000000001</v>
      </c>
      <c r="AC217" s="83">
        <f>'Q100a-geral'!AC648</f>
        <v>0.74</v>
      </c>
      <c r="AD217" s="83">
        <f>'Q100a-geral'!AD648</f>
        <v>0.96</v>
      </c>
      <c r="AE217" s="83" t="str">
        <f>'Q100a-geral'!AE648</f>
        <v>não realizada pesquisa em BH</v>
      </c>
      <c r="AF217" s="83">
        <f>'Q100a-geral'!AF648</f>
        <v>1.7</v>
      </c>
      <c r="AG217" s="83" t="str">
        <f>'Q100a-geral'!AG648</f>
        <v>x</v>
      </c>
      <c r="AH217" s="83" t="str">
        <f>'Q100a-geral'!AH648</f>
        <v>não realizada pesquisa em BH</v>
      </c>
      <c r="AI217" s="83">
        <f>'Q100a-geral'!AI648</f>
        <v>2</v>
      </c>
      <c r="AJ217" s="268" t="str">
        <f>'Q100a-geral'!AJ648</f>
        <v>não realizada pesquisa em BH</v>
      </c>
      <c r="AK217" s="84">
        <f>'Q100a-geral'!AK648</f>
        <v>2.7</v>
      </c>
      <c r="AL217" s="217" t="str">
        <f>'Q100a-geral'!AL648</f>
        <v>x</v>
      </c>
      <c r="AM217" s="137" t="str">
        <f>'Q100a-geral'!AM648</f>
        <v>x</v>
      </c>
      <c r="AN217" s="137" t="str">
        <f>'Q100a-geral'!AN648</f>
        <v>x</v>
      </c>
      <c r="AO217" s="137" t="str">
        <f>'Q100a-geral'!AO648</f>
        <v>x</v>
      </c>
      <c r="AP217" s="137" t="str">
        <f>'Q100a-geral'!AP648</f>
        <v>x</v>
      </c>
      <c r="AQ217" s="137" t="str">
        <f>'Q100a-geral'!AQ648</f>
        <v>x</v>
      </c>
      <c r="AR217" s="137"/>
      <c r="AS217" s="137"/>
      <c r="AT217" s="137"/>
      <c r="AU217" s="137"/>
      <c r="AV217" s="137" t="str">
        <f>'Q100a-geral'!AV648</f>
        <v>x</v>
      </c>
      <c r="AW217" s="137"/>
      <c r="AX217" s="137"/>
      <c r="AY217" s="137"/>
      <c r="AZ217" s="137"/>
      <c r="BA217" s="137" t="str">
        <f>'Q100a-geral'!BA648</f>
        <v>x</v>
      </c>
      <c r="BB217" s="239" t="str">
        <f>'Q100a-geral'!BB648</f>
        <v>Distribuição modal em pesquisas de opiniãox</v>
      </c>
      <c r="BC217" s="239" t="str">
        <f>'Q100a-geral'!BC648</f>
        <v>Distribuição modal em pesquisas de opiniãoxx</v>
      </c>
      <c r="BD217" s="239" t="str">
        <f>'Q100a-geral'!BD648</f>
        <v>Distribuição modal em pesquisas de opiniãox</v>
      </c>
    </row>
    <row r="218" spans="1:56" s="1" customFormat="1" ht="94.5" customHeight="1" x14ac:dyDescent="0.25">
      <c r="A218" s="275" t="str">
        <f>'Q100a-geral'!A649</f>
        <v>2.1</v>
      </c>
      <c r="B218" s="54" t="str">
        <f>'Q100a-geral'!B649</f>
        <v>Distribuição modal em pesquisas de opinião</v>
      </c>
      <c r="C218" s="167" t="str">
        <f>'Q100a-geral'!C649</f>
        <v>x</v>
      </c>
      <c r="D218" s="36" t="str">
        <f>'Q100a-geral'!D649</f>
        <v>DM táxi
(P.Op.)</v>
      </c>
      <c r="E218" s="464" t="str">
        <f>'Q100a-geral'!E649</f>
        <v>Belo Horizonte</v>
      </c>
      <c r="F218" s="445" t="str">
        <f>'Q100a-geral'!F649</f>
        <v>participação percentual do modo "táxi" (aí incluindo o "táxi-lotação") na distribuição modal, componente de DMti, com base nas pesquisas de opinião
obs.: as fontes de todos os resultados DM(P.Op.) são = 1995 a 2011: OLIVEIRA (2014, Tabela 4.2/Apêndice); 2012: não houve pesquisa; 2013: DOXA (2013, p.3); 2014: não houve pesquisa; 2015: DOXA (2015, p.7, 16.)</v>
      </c>
      <c r="G218" s="252" t="str">
        <f>'Q100a-geral'!G649</f>
        <v>registro na fonte</v>
      </c>
      <c r="H218" s="233" t="str">
        <f>'Q100a-geral'!H649</f>
        <v>x</v>
      </c>
      <c r="I218" s="172">
        <f>'Q100a-geral'!I649</f>
        <v>1</v>
      </c>
      <c r="J218" s="109" t="str">
        <f>'Q100a-geral'!J649</f>
        <v>x</v>
      </c>
      <c r="K218" s="109" t="str">
        <f>'Q100a-geral'!K649</f>
        <v>x</v>
      </c>
      <c r="L218" s="109" t="str">
        <f>'Q100a-geral'!L649</f>
        <v>x</v>
      </c>
      <c r="M218" s="109" t="str">
        <f>'Q100a-geral'!M649</f>
        <v>x</v>
      </c>
      <c r="N218" s="109" t="str">
        <f>'Q100a-geral'!N649</f>
        <v>x</v>
      </c>
      <c r="O218" s="85" t="str">
        <f>'Q100a-geral'!O649</f>
        <v>x</v>
      </c>
      <c r="P218" s="83">
        <f>'Q100a-geral'!P649</f>
        <v>1</v>
      </c>
      <c r="Q218" s="83" t="str">
        <f>'Q100a-geral'!Q649</f>
        <v>x</v>
      </c>
      <c r="R218" s="83" t="str">
        <f>'Q100a-geral'!R649</f>
        <v>x</v>
      </c>
      <c r="S218" s="85" t="str">
        <f>'Q100a-geral'!S649</f>
        <v>só para pesquisa</v>
      </c>
      <c r="T218" s="83" t="str">
        <f>'Q100a-geral'!T649</f>
        <v>x</v>
      </c>
      <c r="U218" s="83" t="str">
        <f>'Q100a-geral'!U649</f>
        <v>x</v>
      </c>
      <c r="V218" s="85" t="str">
        <f>'Q100a-geral'!V649</f>
        <v>só para pesquisa</v>
      </c>
      <c r="W218" s="83">
        <f>'Q100a-geral'!W649</f>
        <v>0.57999999999999996</v>
      </c>
      <c r="X218" s="83">
        <f>'Q100a-geral'!X649</f>
        <v>1.1100000000000001</v>
      </c>
      <c r="Y218" s="83">
        <f>'Q100a-geral'!Y649</f>
        <v>1.1100000000000001</v>
      </c>
      <c r="Z218" s="83">
        <f>'Q100a-geral'!Z649</f>
        <v>0.2</v>
      </c>
      <c r="AA218" s="83">
        <f>'Q100a-geral'!AA649</f>
        <v>0.5</v>
      </c>
      <c r="AB218" s="83">
        <f>'Q100a-geral'!AB649</f>
        <v>0.28999999999999998</v>
      </c>
      <c r="AC218" s="83">
        <f>'Q100a-geral'!AC649</f>
        <v>0.59</v>
      </c>
      <c r="AD218" s="83">
        <f>'Q100a-geral'!AD649</f>
        <v>0.89</v>
      </c>
      <c r="AE218" s="83" t="str">
        <f>'Q100a-geral'!AE649</f>
        <v>não realizada pesquisa em BH</v>
      </c>
      <c r="AF218" s="83">
        <f>'Q100a-geral'!AF649</f>
        <v>1.48</v>
      </c>
      <c r="AG218" s="83" t="str">
        <f>'Q100a-geral'!AG649</f>
        <v>x</v>
      </c>
      <c r="AH218" s="83" t="str">
        <f>'Q100a-geral'!AH649</f>
        <v>não realizada pesquisa em BH</v>
      </c>
      <c r="AI218" s="83">
        <f>'Q100a-geral'!AI649</f>
        <v>1.26</v>
      </c>
      <c r="AJ218" s="268" t="str">
        <f>'Q100a-geral'!AJ649</f>
        <v>não realizada pesquisa em BH</v>
      </c>
      <c r="AK218" s="84">
        <f>'Q100a-geral'!AK649</f>
        <v>1.4</v>
      </c>
      <c r="AL218" s="217" t="str">
        <f>'Q100a-geral'!AL649</f>
        <v>x</v>
      </c>
      <c r="AM218" s="137" t="str">
        <f>'Q100a-geral'!AM649</f>
        <v>x</v>
      </c>
      <c r="AN218" s="137" t="str">
        <f>'Q100a-geral'!AN649</f>
        <v>x</v>
      </c>
      <c r="AO218" s="137" t="str">
        <f>'Q100a-geral'!AO649</f>
        <v>x</v>
      </c>
      <c r="AP218" s="137" t="str">
        <f>'Q100a-geral'!AP649</f>
        <v>x</v>
      </c>
      <c r="AQ218" s="137" t="str">
        <f>'Q100a-geral'!AQ649</f>
        <v>x</v>
      </c>
      <c r="AR218" s="137"/>
      <c r="AS218" s="137"/>
      <c r="AT218" s="137"/>
      <c r="AU218" s="137"/>
      <c r="AV218" s="137" t="str">
        <f>'Q100a-geral'!AV649</f>
        <v>x</v>
      </c>
      <c r="AW218" s="137"/>
      <c r="AX218" s="137"/>
      <c r="AY218" s="137"/>
      <c r="AZ218" s="137"/>
      <c r="BA218" s="137" t="str">
        <f>'Q100a-geral'!BA649</f>
        <v>x</v>
      </c>
      <c r="BB218" s="239" t="str">
        <f>'Q100a-geral'!BB649</f>
        <v>Distribuição modal em pesquisas de opiniãox</v>
      </c>
      <c r="BC218" s="239" t="str">
        <f>'Q100a-geral'!BC649</f>
        <v>Distribuição modal em pesquisas de opiniãoxx</v>
      </c>
      <c r="BD218" s="239" t="str">
        <f>'Q100a-geral'!BD649</f>
        <v>Distribuição modal em pesquisas de opiniãox</v>
      </c>
    </row>
    <row r="219" spans="1:56" s="1" customFormat="1" ht="110.25" customHeight="1" x14ac:dyDescent="0.25">
      <c r="A219" s="275" t="str">
        <f>'Q100a-geral'!A650</f>
        <v>2.1</v>
      </c>
      <c r="B219" s="54" t="str">
        <f>'Q100a-geral'!B650</f>
        <v>Distribuição modal em pesquisas de opinião</v>
      </c>
      <c r="C219" s="230" t="str">
        <f>'Q100a-geral'!C650</f>
        <v>x</v>
      </c>
      <c r="D219" s="36" t="str">
        <f>'Q100a-geral'!D650</f>
        <v>DM táxi-lotação
(P.Op.)</v>
      </c>
      <c r="E219" s="464" t="str">
        <f>'Q100a-geral'!E650</f>
        <v>Belo Horizonte</v>
      </c>
      <c r="F219" s="445" t="str">
        <f>'Q100a-geral'!F650</f>
        <v>participação percentual do táxi-lotação na distribuição modal com base nas pesquisas de opinião</v>
      </c>
      <c r="G219" s="252" t="str">
        <f>'Q100a-geral'!G650</f>
        <v>este resultado não aparece separado nas pesquisas de opinião: ver "DM táxi"</v>
      </c>
      <c r="H219" s="233" t="str">
        <f>'Q100a-geral'!H650</f>
        <v>x</v>
      </c>
      <c r="I219" s="172">
        <f>'Q100a-geral'!I650</f>
        <v>1</v>
      </c>
      <c r="J219" s="109" t="str">
        <f>'Q100a-geral'!J650</f>
        <v>x</v>
      </c>
      <c r="K219" s="109" t="str">
        <f>'Q100a-geral'!K650</f>
        <v>x</v>
      </c>
      <c r="L219" s="109" t="str">
        <f>'Q100a-geral'!L650</f>
        <v>x</v>
      </c>
      <c r="M219" s="109" t="str">
        <f>'Q100a-geral'!M650</f>
        <v>x</v>
      </c>
      <c r="N219" s="109" t="str">
        <f>'Q100a-geral'!N650</f>
        <v>x</v>
      </c>
      <c r="O219" s="184" t="str">
        <f>'Q100a-geral'!O650</f>
        <v>x</v>
      </c>
      <c r="P219" s="184" t="str">
        <f>'Q100a-geral'!P650</f>
        <v>x</v>
      </c>
      <c r="Q219" s="184" t="str">
        <f>'Q100a-geral'!Q650</f>
        <v>x</v>
      </c>
      <c r="R219" s="184" t="str">
        <f>'Q100a-geral'!R650</f>
        <v>x</v>
      </c>
      <c r="S219" s="184" t="str">
        <f>'Q100a-geral'!S650</f>
        <v>só para pesquisa</v>
      </c>
      <c r="T219" s="184" t="str">
        <f>'Q100a-geral'!T650</f>
        <v>x</v>
      </c>
      <c r="U219" s="184" t="str">
        <f>'Q100a-geral'!U650</f>
        <v>x</v>
      </c>
      <c r="V219" s="184" t="str">
        <f>'Q100a-geral'!V650</f>
        <v>só para pesquisa</v>
      </c>
      <c r="W219" s="184" t="str">
        <f>'Q100a-geral'!W650</f>
        <v>x</v>
      </c>
      <c r="X219" s="184" t="str">
        <f>'Q100a-geral'!X650</f>
        <v>x</v>
      </c>
      <c r="Y219" s="184" t="str">
        <f>'Q100a-geral'!Y650</f>
        <v>x</v>
      </c>
      <c r="Z219" s="184" t="str">
        <f>'Q100a-geral'!Z650</f>
        <v>x</v>
      </c>
      <c r="AA219" s="184" t="str">
        <f>'Q100a-geral'!AA650</f>
        <v>x</v>
      </c>
      <c r="AB219" s="184" t="str">
        <f>'Q100a-geral'!AB650</f>
        <v>x</v>
      </c>
      <c r="AC219" s="184" t="str">
        <f>'Q100a-geral'!AC650</f>
        <v>x</v>
      </c>
      <c r="AD219" s="184" t="str">
        <f>'Q100a-geral'!AD650</f>
        <v>x</v>
      </c>
      <c r="AE219" s="184" t="str">
        <f>'Q100a-geral'!AE650</f>
        <v>não realizada pesquisa em BH</v>
      </c>
      <c r="AF219" s="184" t="str">
        <f>'Q100a-geral'!AF650</f>
        <v>x</v>
      </c>
      <c r="AG219" s="184" t="str">
        <f>'Q100a-geral'!AG650</f>
        <v>x</v>
      </c>
      <c r="AH219" s="184" t="str">
        <f>'Q100a-geral'!AH650</f>
        <v>não realizada pesquisa em BH</v>
      </c>
      <c r="AI219" s="184" t="str">
        <f>'Q100a-geral'!AI650</f>
        <v>x</v>
      </c>
      <c r="AJ219" s="184" t="str">
        <f>'Q100a-geral'!AJ650</f>
        <v>não realizada pesquisa em BH</v>
      </c>
      <c r="AK219" s="137" t="str">
        <f>'Q100a-geral'!AK650</f>
        <v>junto com táxi</v>
      </c>
      <c r="AL219" s="218" t="str">
        <f>'Q100a-geral'!AL650</f>
        <v>x</v>
      </c>
      <c r="AM219" s="137" t="str">
        <f>'Q100a-geral'!AM650</f>
        <v>x</v>
      </c>
      <c r="AN219" s="137" t="str">
        <f>'Q100a-geral'!AN650</f>
        <v>x</v>
      </c>
      <c r="AO219" s="137" t="str">
        <f>'Q100a-geral'!AO650</f>
        <v>x</v>
      </c>
      <c r="AP219" s="137" t="str">
        <f>'Q100a-geral'!AP650</f>
        <v>x</v>
      </c>
      <c r="AQ219" s="137" t="str">
        <f>'Q100a-geral'!AQ650</f>
        <v>x</v>
      </c>
      <c r="AR219" s="137"/>
      <c r="AS219" s="137"/>
      <c r="AT219" s="137"/>
      <c r="AU219" s="137"/>
      <c r="AV219" s="137" t="str">
        <f>'Q100a-geral'!AV650</f>
        <v>x</v>
      </c>
      <c r="AW219" s="137"/>
      <c r="AX219" s="137"/>
      <c r="AY219" s="137"/>
      <c r="AZ219" s="137"/>
      <c r="BA219" s="137" t="str">
        <f>'Q100a-geral'!BA650</f>
        <v>x</v>
      </c>
      <c r="BB219" s="239" t="str">
        <f>'Q100a-geral'!BB650</f>
        <v>Distribuição modal em pesquisas de opiniãox</v>
      </c>
      <c r="BC219" s="239" t="str">
        <f>'Q100a-geral'!BC650</f>
        <v>Distribuição modal em pesquisas de opiniãoxx</v>
      </c>
      <c r="BD219" s="239" t="str">
        <f>'Q100a-geral'!BD650</f>
        <v>Distribuição modal em pesquisas de opiniãox</v>
      </c>
    </row>
    <row r="220" spans="1:56" s="1" customFormat="1" ht="137.25" customHeight="1" x14ac:dyDescent="0.25">
      <c r="A220" s="275" t="str">
        <f>'Q100a-geral'!A651</f>
        <v>2.1</v>
      </c>
      <c r="B220" s="54" t="str">
        <f>'Q100a-geral'!B651</f>
        <v>Distribuição modal em pesquisas de opinião</v>
      </c>
      <c r="C220" s="230" t="str">
        <f>'Q100a-geral'!C651</f>
        <v>x</v>
      </c>
      <c r="D220" s="283" t="str">
        <f>'Q100a-geral'!D651</f>
        <v>DM tc
(P.Op.)</v>
      </c>
      <c r="E220" s="474" t="str">
        <f>'Q100a-geral'!E651</f>
        <v>Belo Horizonte</v>
      </c>
      <c r="F220" s="628" t="str">
        <f>'Q100a-geral'!F651</f>
        <v>participação percentual do transporte coletivo de pessoas na distribuição modal de Belo Horizonte com base em pesquisa de opinião da BHTrans
obs.: indicador estratégico da BHTrans com o nome "percentual de participação do transporte coletivo, conforme declarado na pesuisa de opinião" (BHTRANS, 2015d)</v>
      </c>
      <c r="G220" s="252" t="str">
        <f>'Q100a-geral'!G651</f>
        <v>DMtc = DMônibus + DMmetrô + Dmsuplementar</v>
      </c>
      <c r="H220" s="233" t="str">
        <f>'Q100a-geral'!H651</f>
        <v>x</v>
      </c>
      <c r="I220" s="172">
        <f>'Q100a-geral'!I651</f>
        <v>1</v>
      </c>
      <c r="J220" s="109" t="str">
        <f>'Q100a-geral'!J651</f>
        <v>x</v>
      </c>
      <c r="K220" s="109" t="str">
        <f>'Q100a-geral'!K651</f>
        <v>x</v>
      </c>
      <c r="L220" s="109" t="str">
        <f>'Q100a-geral'!L651</f>
        <v>x</v>
      </c>
      <c r="M220" s="109" t="str">
        <f>'Q100a-geral'!M651</f>
        <v>x</v>
      </c>
      <c r="N220" s="109" t="str">
        <f>'Q100a-geral'!N651</f>
        <v>x</v>
      </c>
      <c r="O220" s="279"/>
      <c r="P220" s="64">
        <f>'Q100a-geral'!P651</f>
        <v>76</v>
      </c>
      <c r="Q220" s="134"/>
      <c r="R220" s="64" t="str">
        <f>'Q100a-geral'!R651</f>
        <v>x</v>
      </c>
      <c r="S220" s="279"/>
      <c r="T220" s="134"/>
      <c r="U220" s="64">
        <f>'Q100a-geral'!U651</f>
        <v>79</v>
      </c>
      <c r="V220" s="279"/>
      <c r="W220" s="64">
        <f>'Q100a-geral'!W651</f>
        <v>80.790000000000006</v>
      </c>
      <c r="X220" s="64">
        <f>'Q100a-geral'!X651</f>
        <v>80.45</v>
      </c>
      <c r="Y220" s="64">
        <f>'Q100a-geral'!Y651</f>
        <v>79.63</v>
      </c>
      <c r="Z220" s="64">
        <f>'Q100a-geral'!Z651</f>
        <v>76.83</v>
      </c>
      <c r="AA220" s="64">
        <f>'Q100a-geral'!AA651</f>
        <v>80</v>
      </c>
      <c r="AB220" s="64">
        <f>'Q100a-geral'!AB651</f>
        <v>70.540000000000006</v>
      </c>
      <c r="AC220" s="64">
        <f>'Q100a-geral'!AC651</f>
        <v>74.97</v>
      </c>
      <c r="AD220" s="64">
        <f>'Q100a-geral'!AD651</f>
        <v>69.769999999999982</v>
      </c>
      <c r="AE220" s="134"/>
      <c r="AF220" s="64">
        <f>'Q100a-geral'!AF651</f>
        <v>67.850000000000009</v>
      </c>
      <c r="AG220" s="134"/>
      <c r="AH220" s="134"/>
      <c r="AI220" s="64">
        <f>'Q100a-geral'!AI651</f>
        <v>67.190000000000012</v>
      </c>
      <c r="AJ220" s="134"/>
      <c r="AK220" s="23">
        <f>'Q100a-geral'!AK651</f>
        <v>63.4</v>
      </c>
      <c r="AL220" s="217" t="str">
        <f>'Q100a-geral'!AL651</f>
        <v>x</v>
      </c>
      <c r="AM220" s="137" t="str">
        <f>'Q100a-geral'!AM651</f>
        <v>x</v>
      </c>
      <c r="AN220" s="137" t="str">
        <f>'Q100a-geral'!AN651</f>
        <v>x</v>
      </c>
      <c r="AO220" s="137" t="str">
        <f>'Q100a-geral'!AO651</f>
        <v>x</v>
      </c>
      <c r="AP220" s="137" t="str">
        <f>'Q100a-geral'!AP651</f>
        <v>x</v>
      </c>
      <c r="AQ220" s="137" t="str">
        <f>'Q100a-geral'!AQ651</f>
        <v>x</v>
      </c>
      <c r="AR220" s="137"/>
      <c r="AS220" s="137"/>
      <c r="AT220" s="137"/>
      <c r="AU220" s="137"/>
      <c r="AV220" s="137" t="str">
        <f>'Q100a-geral'!AV651</f>
        <v>x</v>
      </c>
      <c r="AW220" s="137"/>
      <c r="AX220" s="137"/>
      <c r="AY220" s="137"/>
      <c r="AZ220" s="137"/>
      <c r="BA220" s="137" t="str">
        <f>'Q100a-geral'!BA651</f>
        <v>x</v>
      </c>
      <c r="BB220" s="239" t="str">
        <f>'Q100a-geral'!BB651</f>
        <v>Distribuição modal em pesquisas de opiniãox</v>
      </c>
      <c r="BC220" s="239" t="str">
        <f>'Q100a-geral'!BC651</f>
        <v>Distribuição modal em pesquisas de opiniãoxx</v>
      </c>
      <c r="BD220" s="239" t="str">
        <f>'Q100a-geral'!BD651</f>
        <v>Distribuição modal em pesquisas de opiniãox</v>
      </c>
    </row>
    <row r="221" spans="1:56" s="1" customFormat="1" ht="60.75" customHeight="1" x14ac:dyDescent="0.25">
      <c r="A221" s="275" t="str">
        <f>'Q100a-geral'!A652</f>
        <v>2.1</v>
      </c>
      <c r="B221" s="54" t="str">
        <f>'Q100a-geral'!B652</f>
        <v>Distribuição modal em pesquisas de opinião</v>
      </c>
      <c r="C221" s="230" t="str">
        <f>'Q100a-geral'!C652</f>
        <v>x</v>
      </c>
      <c r="D221" s="36" t="str">
        <f>'Q100a-geral'!D652</f>
        <v>DM tc
(P.Op.)
Brasil</v>
      </c>
      <c r="E221" s="464" t="str">
        <f>'Q100a-geral'!E652</f>
        <v>Brasil</v>
      </c>
      <c r="F221" s="445" t="str">
        <f>'Q100a-geral'!F652</f>
        <v>participação percentual do transporte coletivo de pessoas na distribuição modal do Brasil com base em pesquisa de opinião da Confederação Nacional da Indústria (CNI, 2011, p.12,13)
obs.: a pesquisa de abrangência nacional realizada pela CNI em 2011 foi para conhecer o "principal meio de transporte usado no deslocamento na cidade".</v>
      </c>
      <c r="G221" s="252" t="str">
        <f>'Q100a-geral'!G652</f>
        <v>registro na fonte</v>
      </c>
      <c r="H221" s="233" t="str">
        <f>'Q100a-geral'!H652</f>
        <v>benchmarking</v>
      </c>
      <c r="I221" s="167" t="str">
        <f>'Q100a-geral'!I652</f>
        <v>x</v>
      </c>
      <c r="J221" s="109" t="str">
        <f>'Q100a-geral'!J652</f>
        <v>x</v>
      </c>
      <c r="K221" s="109" t="str">
        <f>'Q100a-geral'!K652</f>
        <v>x</v>
      </c>
      <c r="L221" s="109" t="str">
        <f>'Q100a-geral'!L652</f>
        <v>x</v>
      </c>
      <c r="M221" s="109" t="str">
        <f>'Q100a-geral'!M652</f>
        <v>x</v>
      </c>
      <c r="N221" s="109" t="str">
        <f>'Q100a-geral'!N652</f>
        <v>x</v>
      </c>
      <c r="O221" s="109" t="str">
        <f>'Q100a-geral'!O652</f>
        <v>x</v>
      </c>
      <c r="P221" s="139"/>
      <c r="Q221" s="139"/>
      <c r="R221" s="109" t="str">
        <f>'Q100a-geral'!R652</f>
        <v>x</v>
      </c>
      <c r="S221" s="139"/>
      <c r="T221" s="139"/>
      <c r="U221" s="139"/>
      <c r="V221" s="109" t="str">
        <f>'Q100a-geral'!V652</f>
        <v>só para pesquisa</v>
      </c>
      <c r="W221" s="139"/>
      <c r="X221" s="139"/>
      <c r="Y221" s="139"/>
      <c r="Z221" s="139"/>
      <c r="AA221" s="139"/>
      <c r="AB221" s="139"/>
      <c r="AC221" s="139"/>
      <c r="AD221" s="139"/>
      <c r="AE221" s="139"/>
      <c r="AF221" s="139"/>
      <c r="AG221" s="134">
        <v>42</v>
      </c>
      <c r="AH221" s="139"/>
      <c r="AI221" s="139"/>
      <c r="AJ221" s="139"/>
      <c r="AK221" s="139"/>
      <c r="AL221" s="217" t="str">
        <f>'Q100a-geral'!AL652</f>
        <v>x</v>
      </c>
      <c r="AM221" s="137" t="str">
        <f>'Q100a-geral'!AM652</f>
        <v>x</v>
      </c>
      <c r="AN221" s="137" t="str">
        <f>'Q100a-geral'!AN652</f>
        <v>x</v>
      </c>
      <c r="AO221" s="137" t="str">
        <f>'Q100a-geral'!AO652</f>
        <v>x</v>
      </c>
      <c r="AP221" s="137" t="str">
        <f>'Q100a-geral'!AP652</f>
        <v>x</v>
      </c>
      <c r="AQ221" s="137" t="str">
        <f>'Q100a-geral'!AQ652</f>
        <v>x</v>
      </c>
      <c r="AR221" s="137"/>
      <c r="AS221" s="137"/>
      <c r="AT221" s="137"/>
      <c r="AU221" s="137"/>
      <c r="AV221" s="137" t="str">
        <f>'Q100a-geral'!AV652</f>
        <v>x</v>
      </c>
      <c r="AW221" s="137"/>
      <c r="AX221" s="137"/>
      <c r="AY221" s="137"/>
      <c r="AZ221" s="137"/>
      <c r="BA221" s="137" t="str">
        <f>'Q100a-geral'!BA652</f>
        <v>x</v>
      </c>
      <c r="BB221" s="239" t="str">
        <f>'Q100a-geral'!BB652</f>
        <v>Distribuição modal em pesquisas de opiniãox</v>
      </c>
      <c r="BC221" s="239" t="str">
        <f>'Q100a-geral'!BC652</f>
        <v>Distribuição modal em pesquisas de opiniãoxbenchmarking</v>
      </c>
      <c r="BD221" s="239" t="str">
        <f>'Q100a-geral'!BD652</f>
        <v>Distribuição modal em pesquisas de opiniãobenchmarking</v>
      </c>
    </row>
    <row r="222" spans="1:56" s="1" customFormat="1" ht="71.25" customHeight="1" x14ac:dyDescent="0.25">
      <c r="A222" s="275" t="str">
        <f>'Q100a-geral'!A653</f>
        <v>2.1</v>
      </c>
      <c r="B222" s="54" t="str">
        <f>'Q100a-geral'!B653</f>
        <v>Distribuição modal em pesquisas de opinião</v>
      </c>
      <c r="C222" s="230" t="str">
        <f>'Q100a-geral'!C653</f>
        <v>x</v>
      </c>
      <c r="D222" s="36" t="str">
        <f>'Q100a-geral'!D653</f>
        <v>DM tc
(P.Op.)
Centro-Oeste e Norte do Brasil</v>
      </c>
      <c r="E222" s="464" t="str">
        <f>'Q100a-geral'!E653</f>
        <v>Brasil</v>
      </c>
      <c r="F222" s="445" t="str">
        <f>'Q100a-geral'!F653</f>
        <v>participação percentual do transporte coletivo de pessoas na distribuição modal das regiões Centro-Oeste e Norte do Brasil com base em  pesquisa de opinião da Confederação Nacional da Indústria (CNI, 2011, p.12,13)</v>
      </c>
      <c r="G222" s="252" t="str">
        <f>'Q100a-geral'!G653</f>
        <v>registro na fonte</v>
      </c>
      <c r="H222" s="233" t="str">
        <f>'Q100a-geral'!H653</f>
        <v>benchmarking</v>
      </c>
      <c r="I222" s="167" t="str">
        <f>'Q100a-geral'!I653</f>
        <v>x</v>
      </c>
      <c r="J222" s="109" t="str">
        <f>'Q100a-geral'!J653</f>
        <v>x</v>
      </c>
      <c r="K222" s="109" t="str">
        <f>'Q100a-geral'!K653</f>
        <v>x</v>
      </c>
      <c r="L222" s="109" t="str">
        <f>'Q100a-geral'!L653</f>
        <v>x</v>
      </c>
      <c r="M222" s="109" t="str">
        <f>'Q100a-geral'!M653</f>
        <v>x</v>
      </c>
      <c r="N222" s="109" t="str">
        <f>'Q100a-geral'!N653</f>
        <v>x</v>
      </c>
      <c r="O222" s="109" t="str">
        <f>'Q100a-geral'!O653</f>
        <v>x</v>
      </c>
      <c r="P222" s="109" t="str">
        <f>'Q100a-geral'!P653</f>
        <v>x</v>
      </c>
      <c r="Q222" s="109" t="str">
        <f>'Q100a-geral'!Q653</f>
        <v>x</v>
      </c>
      <c r="R222" s="109" t="str">
        <f>'Q100a-geral'!R653</f>
        <v>x</v>
      </c>
      <c r="S222" s="109" t="str">
        <f>'Q100a-geral'!S653</f>
        <v>só para pesquisa</v>
      </c>
      <c r="T222" s="109" t="str">
        <f>'Q100a-geral'!T653</f>
        <v>x</v>
      </c>
      <c r="U222" s="109" t="str">
        <f>'Q100a-geral'!U653</f>
        <v>x</v>
      </c>
      <c r="V222" s="109" t="str">
        <f>'Q100a-geral'!V653</f>
        <v>só para pesquisa</v>
      </c>
      <c r="W222" s="109" t="str">
        <f>'Q100a-geral'!W653</f>
        <v>x</v>
      </c>
      <c r="X222" s="109" t="str">
        <f>'Q100a-geral'!X653</f>
        <v>x</v>
      </c>
      <c r="Y222" s="109" t="str">
        <f>'Q100a-geral'!Y653</f>
        <v>x</v>
      </c>
      <c r="Z222" s="109" t="str">
        <f>'Q100a-geral'!Z653</f>
        <v>x</v>
      </c>
      <c r="AA222" s="109" t="str">
        <f>'Q100a-geral'!AA653</f>
        <v>x</v>
      </c>
      <c r="AB222" s="109" t="str">
        <f>'Q100a-geral'!AB653</f>
        <v>x</v>
      </c>
      <c r="AC222" s="109" t="str">
        <f>'Q100a-geral'!AC653</f>
        <v>x</v>
      </c>
      <c r="AD222" s="109" t="str">
        <f>'Q100a-geral'!AD653</f>
        <v>x</v>
      </c>
      <c r="AE222" s="109" t="str">
        <f>'Q100a-geral'!AE653</f>
        <v>não realizada pesquisa em BH</v>
      </c>
      <c r="AF222" s="109" t="str">
        <f>'Q100a-geral'!AF653</f>
        <v>x</v>
      </c>
      <c r="AG222" s="125">
        <f>'Q100a-geral'!AG653</f>
        <v>0.45</v>
      </c>
      <c r="AH222" s="109" t="str">
        <f>'Q100a-geral'!AH653</f>
        <v>não realizada pesquisa em BH</v>
      </c>
      <c r="AI222" s="109" t="str">
        <f>'Q100a-geral'!AI653</f>
        <v>x</v>
      </c>
      <c r="AJ222" s="109" t="str">
        <f>'Q100a-geral'!AJ653</f>
        <v>não realizada pesquisa em BH</v>
      </c>
      <c r="AK222" s="137" t="str">
        <f>'Q100a-geral'!AK653</f>
        <v>x</v>
      </c>
      <c r="AL222" s="217" t="str">
        <f>'Q100a-geral'!AL653</f>
        <v>x</v>
      </c>
      <c r="AM222" s="137" t="str">
        <f>'Q100a-geral'!AM653</f>
        <v>x</v>
      </c>
      <c r="AN222" s="137" t="str">
        <f>'Q100a-geral'!AN653</f>
        <v>x</v>
      </c>
      <c r="AO222" s="137" t="str">
        <f>'Q100a-geral'!AO653</f>
        <v>x</v>
      </c>
      <c r="AP222" s="137" t="str">
        <f>'Q100a-geral'!AP653</f>
        <v>x</v>
      </c>
      <c r="AQ222" s="137" t="str">
        <f>'Q100a-geral'!AQ653</f>
        <v>x</v>
      </c>
      <c r="AR222" s="137"/>
      <c r="AS222" s="137"/>
      <c r="AT222" s="137"/>
      <c r="AU222" s="137"/>
      <c r="AV222" s="137" t="str">
        <f>'Q100a-geral'!AV653</f>
        <v>x</v>
      </c>
      <c r="AW222" s="137"/>
      <c r="AX222" s="137"/>
      <c r="AY222" s="137"/>
      <c r="AZ222" s="137"/>
      <c r="BA222" s="137" t="str">
        <f>'Q100a-geral'!BA653</f>
        <v>x</v>
      </c>
      <c r="BB222" s="239" t="str">
        <f>'Q100a-geral'!BB653</f>
        <v>Distribuição modal em pesquisas de opiniãox</v>
      </c>
      <c r="BC222" s="239" t="str">
        <f>'Q100a-geral'!BC653</f>
        <v>Distribuição modal em pesquisas de opiniãoxbenchmarking</v>
      </c>
      <c r="BD222" s="239" t="str">
        <f>'Q100a-geral'!BD653</f>
        <v>Distribuição modal em pesquisas de opiniãobenchmarking</v>
      </c>
    </row>
    <row r="223" spans="1:56" s="1" customFormat="1" ht="137.25" customHeight="1" x14ac:dyDescent="0.25">
      <c r="A223" s="275" t="str">
        <f>'Q100a-geral'!A654</f>
        <v>2.1</v>
      </c>
      <c r="B223" s="54" t="str">
        <f>'Q100a-geral'!B654</f>
        <v>Distribuição modal em pesquisas de opinião</v>
      </c>
      <c r="C223" s="230" t="str">
        <f>'Q100a-geral'!C654</f>
        <v>x</v>
      </c>
      <c r="D223" s="283" t="str">
        <f>'Q100a-geral'!D654</f>
        <v>DM tc
(P.Op.)
cidades &gt; 100 mil habitantes do Brasil</v>
      </c>
      <c r="E223" s="474" t="str">
        <f>'Q100a-geral'!E654</f>
        <v>Brasil</v>
      </c>
      <c r="F223" s="628" t="str">
        <f>'Q100a-geral'!F654</f>
        <v>participação percentual do transporte coletivo de pessoas na distribuição modal das cidades do Brasil com população acima de 100 mil habitantes com base em  pesquisa de opinião da Confederação Nacional da Indústria (CNI, 2011, p.12,13)</v>
      </c>
      <c r="G223" s="252" t="str">
        <f>'Q100a-geral'!G654</f>
        <v>registro na fonte</v>
      </c>
      <c r="H223" s="233" t="str">
        <f>'Q100a-geral'!H654</f>
        <v>benchmarking</v>
      </c>
      <c r="I223" s="167" t="str">
        <f>'Q100a-geral'!I654</f>
        <v>x</v>
      </c>
      <c r="J223" s="109" t="str">
        <f>'Q100a-geral'!J654</f>
        <v>x</v>
      </c>
      <c r="K223" s="109" t="str">
        <f>'Q100a-geral'!K654</f>
        <v>x</v>
      </c>
      <c r="L223" s="109" t="str">
        <f>'Q100a-geral'!L654</f>
        <v>x</v>
      </c>
      <c r="M223" s="109" t="str">
        <f>'Q100a-geral'!M654</f>
        <v>x</v>
      </c>
      <c r="N223" s="109" t="str">
        <f>'Q100a-geral'!N654</f>
        <v>x</v>
      </c>
      <c r="O223" s="109" t="str">
        <f>'Q100a-geral'!O654</f>
        <v>x</v>
      </c>
      <c r="P223" s="139"/>
      <c r="Q223" s="139"/>
      <c r="R223" s="109" t="str">
        <f>'Q100a-geral'!R654</f>
        <v>x</v>
      </c>
      <c r="S223" s="139"/>
      <c r="T223" s="139"/>
      <c r="U223" s="139"/>
      <c r="V223" s="109" t="str">
        <f>'Q100a-geral'!V654</f>
        <v>só para pesquisa</v>
      </c>
      <c r="W223" s="139"/>
      <c r="X223" s="139"/>
      <c r="Y223" s="139"/>
      <c r="Z223" s="139"/>
      <c r="AA223" s="139"/>
      <c r="AB223" s="139"/>
      <c r="AC223" s="139"/>
      <c r="AD223" s="139"/>
      <c r="AE223" s="139"/>
      <c r="AF223" s="139"/>
      <c r="AG223" s="134">
        <v>79</v>
      </c>
      <c r="AH223" s="139"/>
      <c r="AI223" s="139"/>
      <c r="AJ223" s="139"/>
      <c r="AK223" s="139"/>
      <c r="AL223" s="217" t="str">
        <f>'Q100a-geral'!AL654</f>
        <v>x</v>
      </c>
      <c r="AM223" s="137" t="str">
        <f>'Q100a-geral'!AM654</f>
        <v>x</v>
      </c>
      <c r="AN223" s="137" t="str">
        <f>'Q100a-geral'!AN654</f>
        <v>x</v>
      </c>
      <c r="AO223" s="137" t="str">
        <f>'Q100a-geral'!AO654</f>
        <v>x</v>
      </c>
      <c r="AP223" s="137" t="str">
        <f>'Q100a-geral'!AP654</f>
        <v>x</v>
      </c>
      <c r="AQ223" s="137" t="str">
        <f>'Q100a-geral'!AQ654</f>
        <v>x</v>
      </c>
      <c r="AR223" s="137"/>
      <c r="AS223" s="137"/>
      <c r="AT223" s="137"/>
      <c r="AU223" s="137"/>
      <c r="AV223" s="137" t="str">
        <f>'Q100a-geral'!AV654</f>
        <v>x</v>
      </c>
      <c r="AW223" s="137"/>
      <c r="AX223" s="137"/>
      <c r="AY223" s="137"/>
      <c r="AZ223" s="137"/>
      <c r="BA223" s="137" t="str">
        <f>'Q100a-geral'!BA654</f>
        <v>x</v>
      </c>
      <c r="BB223" s="239" t="str">
        <f>'Q100a-geral'!BB654</f>
        <v>Distribuição modal em pesquisas de opiniãox</v>
      </c>
      <c r="BC223" s="239" t="str">
        <f>'Q100a-geral'!BC654</f>
        <v>Distribuição modal em pesquisas de opiniãoxbenchmarking</v>
      </c>
      <c r="BD223" s="239" t="str">
        <f>'Q100a-geral'!BD654</f>
        <v>Distribuição modal em pesquisas de opiniãobenchmarking</v>
      </c>
    </row>
    <row r="224" spans="1:56" s="1" customFormat="1" ht="137.25" customHeight="1" x14ac:dyDescent="0.25">
      <c r="A224" s="275" t="str">
        <f>'Q100a-geral'!A655</f>
        <v>2.1</v>
      </c>
      <c r="B224" s="54" t="str">
        <f>'Q100a-geral'!B655</f>
        <v>Distribuição modal em pesquisas de opinião</v>
      </c>
      <c r="C224" s="230" t="str">
        <f>'Q100a-geral'!C655</f>
        <v>x</v>
      </c>
      <c r="D224" s="283" t="str">
        <f>'Q100a-geral'!D655</f>
        <v>DM tc
(P.Op.)
Sudeste do Brasil</v>
      </c>
      <c r="E224" s="474" t="str">
        <f>'Q100a-geral'!E655</f>
        <v>Brasil</v>
      </c>
      <c r="F224" s="628" t="str">
        <f>'Q100a-geral'!F655</f>
        <v>participação percentual do transporte coletivo de pessoas na distribuição modal da região Sudeste do Brasil com base em  pesquisa de opinião da Confederação Nacional da Indústria (CNI, 2011, p.12,13)</v>
      </c>
      <c r="G224" s="252" t="str">
        <f>'Q100a-geral'!G655</f>
        <v>registro na fonte</v>
      </c>
      <c r="H224" s="233" t="str">
        <f>'Q100a-geral'!H655</f>
        <v>benchmarking</v>
      </c>
      <c r="I224" s="167" t="str">
        <f>'Q100a-geral'!I655</f>
        <v>x</v>
      </c>
      <c r="J224" s="109" t="str">
        <f>'Q100a-geral'!J655</f>
        <v>x</v>
      </c>
      <c r="K224" s="109" t="str">
        <f>'Q100a-geral'!K655</f>
        <v>x</v>
      </c>
      <c r="L224" s="109" t="str">
        <f>'Q100a-geral'!L655</f>
        <v>x</v>
      </c>
      <c r="M224" s="109" t="str">
        <f>'Q100a-geral'!M655</f>
        <v>x</v>
      </c>
      <c r="N224" s="109" t="str">
        <f>'Q100a-geral'!N655</f>
        <v>x</v>
      </c>
      <c r="O224" s="109" t="str">
        <f>'Q100a-geral'!O655</f>
        <v>x</v>
      </c>
      <c r="P224" s="139"/>
      <c r="Q224" s="139"/>
      <c r="R224" s="109" t="str">
        <f>'Q100a-geral'!R655</f>
        <v>x</v>
      </c>
      <c r="S224" s="139"/>
      <c r="T224" s="139"/>
      <c r="U224" s="139"/>
      <c r="V224" s="649" t="str">
        <f>'Q100a-geral'!V655</f>
        <v>só para pesquisa</v>
      </c>
      <c r="W224" s="139"/>
      <c r="X224" s="139"/>
      <c r="Y224" s="139"/>
      <c r="Z224" s="139"/>
      <c r="AA224" s="139"/>
      <c r="AB224" s="139"/>
      <c r="AC224" s="139"/>
      <c r="AD224" s="139"/>
      <c r="AE224" s="139"/>
      <c r="AF224" s="139"/>
      <c r="AG224" s="134">
        <v>71</v>
      </c>
      <c r="AH224" s="139"/>
      <c r="AI224" s="139"/>
      <c r="AJ224" s="139"/>
      <c r="AK224" s="139"/>
      <c r="AL224" s="217" t="str">
        <f>'Q100a-geral'!AL655</f>
        <v>x</v>
      </c>
      <c r="AM224" s="137" t="str">
        <f>'Q100a-geral'!AM655</f>
        <v>x</v>
      </c>
      <c r="AN224" s="137" t="str">
        <f>'Q100a-geral'!AN655</f>
        <v>x</v>
      </c>
      <c r="AO224" s="137" t="str">
        <f>'Q100a-geral'!AO655</f>
        <v>x</v>
      </c>
      <c r="AP224" s="137" t="str">
        <f>'Q100a-geral'!AP655</f>
        <v>x</v>
      </c>
      <c r="AQ224" s="137" t="str">
        <f>'Q100a-geral'!AQ655</f>
        <v>x</v>
      </c>
      <c r="AR224" s="137"/>
      <c r="AS224" s="137"/>
      <c r="AT224" s="137"/>
      <c r="AU224" s="137"/>
      <c r="AV224" s="137" t="str">
        <f>'Q100a-geral'!AV655</f>
        <v>x</v>
      </c>
      <c r="AW224" s="137"/>
      <c r="AX224" s="137"/>
      <c r="AY224" s="137"/>
      <c r="AZ224" s="137"/>
      <c r="BA224" s="137" t="str">
        <f>'Q100a-geral'!BA655</f>
        <v>x</v>
      </c>
      <c r="BB224" s="239" t="str">
        <f>'Q100a-geral'!BB655</f>
        <v>Distribuição modal em pesquisas de opiniãox</v>
      </c>
      <c r="BC224" s="239" t="str">
        <f>'Q100a-geral'!BC655</f>
        <v>Distribuição modal em pesquisas de opiniãoxbenchmarking</v>
      </c>
      <c r="BD224" s="239" t="str">
        <f>'Q100a-geral'!BD655</f>
        <v>Distribuição modal em pesquisas de opiniãobenchmarking</v>
      </c>
    </row>
    <row r="225" spans="1:56" s="1" customFormat="1" ht="137.25" customHeight="1" x14ac:dyDescent="0.25">
      <c r="A225" s="275" t="str">
        <f>'Q100a-geral'!A656</f>
        <v>2.1</v>
      </c>
      <c r="B225" s="54" t="str">
        <f>'Q100a-geral'!B656</f>
        <v>Distribuição modal em pesquisas de opinião</v>
      </c>
      <c r="C225" s="230" t="str">
        <f>'Q100a-geral'!C656</f>
        <v>x</v>
      </c>
      <c r="D225" s="36" t="str">
        <f>'Q100a-geral'!D656</f>
        <v>DM tc
(P.Op.)
Sul do Brasil</v>
      </c>
      <c r="E225" s="464" t="str">
        <f>'Q100a-geral'!E656</f>
        <v>Brasil</v>
      </c>
      <c r="F225" s="445" t="str">
        <f>'Q100a-geral'!F656</f>
        <v>participação percentual do transporte coletivo de pessoas na distribuição modal da região Sul do Brasil com base em  pesquisa de opinião da Confederação Nacional da Indústria (CNI, 2011, p.12,13)</v>
      </c>
      <c r="G225" s="252" t="str">
        <f>'Q100a-geral'!G656</f>
        <v>registro na fonte</v>
      </c>
      <c r="H225" s="233" t="str">
        <f>'Q100a-geral'!H656</f>
        <v>benchmarking</v>
      </c>
      <c r="I225" s="167" t="str">
        <f>'Q100a-geral'!I656</f>
        <v>x</v>
      </c>
      <c r="J225" s="109" t="str">
        <f>'Q100a-geral'!J656</f>
        <v>x</v>
      </c>
      <c r="K225" s="109" t="str">
        <f>'Q100a-geral'!K656</f>
        <v>x</v>
      </c>
      <c r="L225" s="109" t="str">
        <f>'Q100a-geral'!L656</f>
        <v>x</v>
      </c>
      <c r="M225" s="109" t="str">
        <f>'Q100a-geral'!M656</f>
        <v>x</v>
      </c>
      <c r="N225" s="109" t="str">
        <f>'Q100a-geral'!N656</f>
        <v>x</v>
      </c>
      <c r="O225" s="109" t="str">
        <f>'Q100a-geral'!O656</f>
        <v>x</v>
      </c>
      <c r="P225" s="109" t="str">
        <f>'Q100a-geral'!P656</f>
        <v>x</v>
      </c>
      <c r="Q225" s="109" t="str">
        <f>'Q100a-geral'!Q656</f>
        <v>x</v>
      </c>
      <c r="R225" s="109" t="str">
        <f>'Q100a-geral'!R656</f>
        <v>x</v>
      </c>
      <c r="S225" s="109" t="str">
        <f>'Q100a-geral'!S656</f>
        <v>só para pesquisa</v>
      </c>
      <c r="T225" s="109" t="str">
        <f>'Q100a-geral'!T656</f>
        <v>x</v>
      </c>
      <c r="U225" s="109" t="str">
        <f>'Q100a-geral'!U656</f>
        <v>x</v>
      </c>
      <c r="V225" s="649" t="str">
        <f>'Q100a-geral'!V656</f>
        <v>só para pesquisa</v>
      </c>
      <c r="W225" s="109" t="str">
        <f>'Q100a-geral'!W656</f>
        <v>x</v>
      </c>
      <c r="X225" s="109" t="str">
        <f>'Q100a-geral'!X656</f>
        <v>x</v>
      </c>
      <c r="Y225" s="109" t="str">
        <f>'Q100a-geral'!Y656</f>
        <v>x</v>
      </c>
      <c r="Z225" s="109" t="str">
        <f>'Q100a-geral'!Z656</f>
        <v>x</v>
      </c>
      <c r="AA225" s="109" t="str">
        <f>'Q100a-geral'!AA656</f>
        <v>x</v>
      </c>
      <c r="AB225" s="109" t="str">
        <f>'Q100a-geral'!AB656</f>
        <v>x</v>
      </c>
      <c r="AC225" s="109" t="str">
        <f>'Q100a-geral'!AC656</f>
        <v>x</v>
      </c>
      <c r="AD225" s="109" t="str">
        <f>'Q100a-geral'!AD656</f>
        <v>x</v>
      </c>
      <c r="AE225" s="109" t="str">
        <f>'Q100a-geral'!AE656</f>
        <v>não realizada pesquisa em BH</v>
      </c>
      <c r="AF225" s="109" t="str">
        <f>'Q100a-geral'!AF656</f>
        <v>x</v>
      </c>
      <c r="AG225" s="125">
        <f>'Q100a-geral'!AG656</f>
        <v>0.48</v>
      </c>
      <c r="AH225" s="109" t="str">
        <f>'Q100a-geral'!AH656</f>
        <v>não realizada pesquisa em BH</v>
      </c>
      <c r="AI225" s="109" t="str">
        <f>'Q100a-geral'!AI656</f>
        <v>x</v>
      </c>
      <c r="AJ225" s="109" t="str">
        <f>'Q100a-geral'!AJ656</f>
        <v>não realizada pesquisa em BH</v>
      </c>
      <c r="AK225" s="137" t="str">
        <f>'Q100a-geral'!AK656</f>
        <v>x</v>
      </c>
      <c r="AL225" s="217" t="str">
        <f>'Q100a-geral'!AL656</f>
        <v>x</v>
      </c>
      <c r="AM225" s="137" t="str">
        <f>'Q100a-geral'!AM656</f>
        <v>x</v>
      </c>
      <c r="AN225" s="137" t="str">
        <f>'Q100a-geral'!AN656</f>
        <v>x</v>
      </c>
      <c r="AO225" s="137" t="str">
        <f>'Q100a-geral'!AO656</f>
        <v>x</v>
      </c>
      <c r="AP225" s="137" t="str">
        <f>'Q100a-geral'!AP656</f>
        <v>x</v>
      </c>
      <c r="AQ225" s="137" t="str">
        <f>'Q100a-geral'!AQ656</f>
        <v>x</v>
      </c>
      <c r="AR225" s="137"/>
      <c r="AS225" s="137"/>
      <c r="AT225" s="137"/>
      <c r="AU225" s="137"/>
      <c r="AV225" s="137" t="str">
        <f>'Q100a-geral'!AV656</f>
        <v>x</v>
      </c>
      <c r="AW225" s="137"/>
      <c r="AX225" s="137"/>
      <c r="AY225" s="137"/>
      <c r="AZ225" s="137"/>
      <c r="BA225" s="137" t="str">
        <f>'Q100a-geral'!BA656</f>
        <v>x</v>
      </c>
      <c r="BB225" s="239" t="str">
        <f>'Q100a-geral'!BB656</f>
        <v>Distribuição modal em pesquisas de opiniãox</v>
      </c>
      <c r="BC225" s="239" t="str">
        <f>'Q100a-geral'!BC656</f>
        <v>Distribuição modal em pesquisas de opiniãoxbenchmarking</v>
      </c>
      <c r="BD225" s="239" t="str">
        <f>'Q100a-geral'!BD656</f>
        <v>Distribuição modal em pesquisas de opiniãobenchmarking</v>
      </c>
    </row>
    <row r="226" spans="1:56" s="1" customFormat="1" ht="78.75" customHeight="1" x14ac:dyDescent="0.25">
      <c r="A226" s="275" t="str">
        <f>'Q100a-geral'!A657</f>
        <v>2.1</v>
      </c>
      <c r="B226" s="54" t="str">
        <f>'Q100a-geral'!B657</f>
        <v>Distribuição modal em pesquisas de opinião</v>
      </c>
      <c r="C226" s="230" t="str">
        <f>'Q100a-geral'!C657</f>
        <v>x</v>
      </c>
      <c r="D226" s="283" t="str">
        <f>'Q100a-geral'!D657</f>
        <v>DM ti
(P.Op.)</v>
      </c>
      <c r="E226" s="474" t="str">
        <f>'Q100a-geral'!E657</f>
        <v>Belo Horizonte</v>
      </c>
      <c r="F226" s="628" t="str">
        <f>'Q100a-geral'!F657</f>
        <v>participação percentual do transporte individual de pessoas na distribuição modal com base nas pesquisas de opinião)</v>
      </c>
      <c r="G226" s="252" t="str">
        <f>'Q100a-geral'!G657</f>
        <v>DMti = DMtáxi + DMa + DMmm</v>
      </c>
      <c r="H226" s="233" t="str">
        <f>'Q100a-geral'!H657</f>
        <v>x</v>
      </c>
      <c r="I226" s="172">
        <f>'Q100a-geral'!I657</f>
        <v>1</v>
      </c>
      <c r="J226" s="109" t="str">
        <f>'Q100a-geral'!J657</f>
        <v>x</v>
      </c>
      <c r="K226" s="109" t="str">
        <f>'Q100a-geral'!K657</f>
        <v>x</v>
      </c>
      <c r="L226" s="109" t="str">
        <f>'Q100a-geral'!L657</f>
        <v>x</v>
      </c>
      <c r="M226" s="109" t="str">
        <f>'Q100a-geral'!M657</f>
        <v>x</v>
      </c>
      <c r="N226" s="109" t="str">
        <f>'Q100a-geral'!N657</f>
        <v>x</v>
      </c>
      <c r="O226" s="279"/>
      <c r="P226" s="64">
        <f>'Q100a-geral'!P657</f>
        <v>20</v>
      </c>
      <c r="Q226" s="134"/>
      <c r="R226" s="64" t="str">
        <f>'Q100a-geral'!R657</f>
        <v>x</v>
      </c>
      <c r="S226" s="279"/>
      <c r="T226" s="134"/>
      <c r="U226" s="64">
        <f>'Q100a-geral'!U657</f>
        <v>15</v>
      </c>
      <c r="V226" s="44" t="str">
        <f>'Q100a-geral'!V657</f>
        <v>só para pesquisa</v>
      </c>
      <c r="W226" s="64">
        <f>'Q100a-geral'!W657</f>
        <v>16.28</v>
      </c>
      <c r="X226" s="64">
        <f>'Q100a-geral'!X657</f>
        <v>16.59</v>
      </c>
      <c r="Y226" s="64">
        <f>'Q100a-geral'!Y657</f>
        <v>16.52</v>
      </c>
      <c r="Z226" s="64">
        <f>'Q100a-geral'!Z657</f>
        <v>22.18</v>
      </c>
      <c r="AA226" s="64">
        <f>'Q100a-geral'!AA657</f>
        <v>15.7</v>
      </c>
      <c r="AB226" s="64">
        <f>'Q100a-geral'!AB657</f>
        <v>23.54</v>
      </c>
      <c r="AC226" s="64">
        <f>'Q100a-geral'!AC657</f>
        <v>20.88</v>
      </c>
      <c r="AD226" s="64">
        <f>'Q100a-geral'!AD657</f>
        <v>24.450000000000003</v>
      </c>
      <c r="AE226" s="134"/>
      <c r="AF226" s="64">
        <f>'Q100a-geral'!AF657</f>
        <v>26.880000000000003</v>
      </c>
      <c r="AG226" s="134"/>
      <c r="AH226" s="134"/>
      <c r="AI226" s="64">
        <f>'Q100a-geral'!AI657</f>
        <v>28.520000000000003</v>
      </c>
      <c r="AJ226" s="134"/>
      <c r="AK226" s="23">
        <f>'Q100a-geral'!AK657</f>
        <v>32.1</v>
      </c>
      <c r="AL226" s="217" t="str">
        <f>'Q100a-geral'!AL657</f>
        <v>x</v>
      </c>
      <c r="AM226" s="137" t="str">
        <f>'Q100a-geral'!AM657</f>
        <v>x</v>
      </c>
      <c r="AN226" s="137" t="str">
        <f>'Q100a-geral'!AN657</f>
        <v>x</v>
      </c>
      <c r="AO226" s="137" t="str">
        <f>'Q100a-geral'!AO657</f>
        <v>x</v>
      </c>
      <c r="AP226" s="137" t="str">
        <f>'Q100a-geral'!AP657</f>
        <v>x</v>
      </c>
      <c r="AQ226" s="137" t="str">
        <f>'Q100a-geral'!AQ657</f>
        <v>x</v>
      </c>
      <c r="AR226" s="137"/>
      <c r="AS226" s="137"/>
      <c r="AT226" s="137"/>
      <c r="AU226" s="137"/>
      <c r="AV226" s="137" t="str">
        <f>'Q100a-geral'!AV657</f>
        <v>x</v>
      </c>
      <c r="AW226" s="137"/>
      <c r="AX226" s="137"/>
      <c r="AY226" s="137"/>
      <c r="AZ226" s="137"/>
      <c r="BA226" s="137" t="str">
        <f>'Q100a-geral'!BA657</f>
        <v>x</v>
      </c>
      <c r="BB226" s="239" t="str">
        <f>'Q100a-geral'!BB657</f>
        <v>Distribuição modal em pesquisas de opiniãox</v>
      </c>
      <c r="BC226" s="239" t="str">
        <f>'Q100a-geral'!BC657</f>
        <v>Distribuição modal em pesquisas de opiniãoxx</v>
      </c>
      <c r="BD226" s="239" t="str">
        <f>'Q100a-geral'!BD657</f>
        <v>Distribuição modal em pesquisas de opiniãox</v>
      </c>
    </row>
    <row r="227" spans="1:56" s="1" customFormat="1" ht="99" customHeight="1" x14ac:dyDescent="0.25">
      <c r="A227" s="275" t="str">
        <f>'Q100a-geral'!A658</f>
        <v>2.1</v>
      </c>
      <c r="B227" s="54" t="str">
        <f>'Q100a-geral'!B658</f>
        <v>Distribuição modal em pesquisas de opinião</v>
      </c>
      <c r="C227" s="230" t="str">
        <f>'Q100a-geral'!C658</f>
        <v>x</v>
      </c>
      <c r="D227" s="36" t="str">
        <f>'Q100a-geral'!D658</f>
        <v>DM tpb
(P.Op.)
Brasil</v>
      </c>
      <c r="E227" s="464" t="str">
        <f>'Q100a-geral'!E658</f>
        <v>Brasil</v>
      </c>
      <c r="F227" s="445" t="str">
        <f>'Q100a-geral'!F658</f>
        <v>participação percentual do transporte público de pessoas na distribuição modal do Brasil com base em pesquisa de opinião do Instituto de Pesquisa Econômica Aplicada - Ipea
obs.1: resultado de 2010 em IPEA (2011, p.4/Tabela 1)
obs.2: a pergunta formulada pelo Ipea na pesquisa de abrangência nacional aplicada em 2010 foi: "Qual [o] meio de transporte que você mais usa para se locomover em sua cidade?"</v>
      </c>
      <c r="G227" s="252" t="str">
        <f>'Q100a-geral'!G658</f>
        <v>registro na fonte</v>
      </c>
      <c r="H227" s="233" t="str">
        <f>'Q100a-geral'!H658</f>
        <v>benchmarking</v>
      </c>
      <c r="I227" s="167" t="str">
        <f>'Q100a-geral'!I658</f>
        <v>x</v>
      </c>
      <c r="J227" s="107" t="str">
        <f>'Q100a-geral'!J658</f>
        <v>x</v>
      </c>
      <c r="K227" s="109" t="str">
        <f>'Q100a-geral'!K658</f>
        <v>x</v>
      </c>
      <c r="L227" s="109" t="str">
        <f>'Q100a-geral'!L658</f>
        <v>x</v>
      </c>
      <c r="M227" s="109" t="str">
        <f>'Q100a-geral'!M658</f>
        <v>x</v>
      </c>
      <c r="N227" s="109" t="str">
        <f>'Q100a-geral'!N658</f>
        <v>x</v>
      </c>
      <c r="O227" s="109" t="str">
        <f>'Q100a-geral'!O658</f>
        <v>x</v>
      </c>
      <c r="P227" s="109" t="str">
        <f>'Q100a-geral'!P658</f>
        <v>x</v>
      </c>
      <c r="Q227" s="109" t="str">
        <f>'Q100a-geral'!Q658</f>
        <v>x</v>
      </c>
      <c r="R227" s="107" t="str">
        <f>'Q100a-geral'!R658</f>
        <v>x</v>
      </c>
      <c r="S227" s="649" t="str">
        <f>'Q100a-geral'!S658</f>
        <v>só para pesquisa</v>
      </c>
      <c r="T227" s="107" t="str">
        <f>'Q100a-geral'!T658</f>
        <v>x</v>
      </c>
      <c r="U227" s="107" t="str">
        <f>'Q100a-geral'!U658</f>
        <v>x</v>
      </c>
      <c r="V227" s="107" t="str">
        <f>'Q100a-geral'!V658</f>
        <v>só para pesquisa</v>
      </c>
      <c r="W227" s="107" t="str">
        <f>'Q100a-geral'!W658</f>
        <v>x</v>
      </c>
      <c r="X227" s="107" t="str">
        <f>'Q100a-geral'!X658</f>
        <v>x</v>
      </c>
      <c r="Y227" s="107" t="str">
        <f>'Q100a-geral'!Y658</f>
        <v>x</v>
      </c>
      <c r="Z227" s="107" t="str">
        <f>'Q100a-geral'!Z658</f>
        <v>x</v>
      </c>
      <c r="AA227" s="107" t="str">
        <f>'Q100a-geral'!AA658</f>
        <v>x</v>
      </c>
      <c r="AB227" s="107" t="str">
        <f>'Q100a-geral'!AB658</f>
        <v>x</v>
      </c>
      <c r="AC227" s="107" t="str">
        <f>'Q100a-geral'!AC658</f>
        <v>x</v>
      </c>
      <c r="AD227" s="107" t="str">
        <f>'Q100a-geral'!AD658</f>
        <v>x</v>
      </c>
      <c r="AE227" s="107" t="str">
        <f>'Q100a-geral'!AE658</f>
        <v>não realizada pesquisa em BH</v>
      </c>
      <c r="AF227" s="125">
        <f>'Q100a-geral'!AF658</f>
        <v>0.443</v>
      </c>
      <c r="AG227" s="107" t="str">
        <f>'Q100a-geral'!AG658</f>
        <v>x</v>
      </c>
      <c r="AH227" s="107" t="str">
        <f>'Q100a-geral'!AH658</f>
        <v>não realizada pesquisa em BH</v>
      </c>
      <c r="AI227" s="107" t="str">
        <f>'Q100a-geral'!AI658</f>
        <v>x</v>
      </c>
      <c r="AJ227" s="107" t="str">
        <f>'Q100a-geral'!AJ658</f>
        <v>não realizada pesquisa em BH</v>
      </c>
      <c r="AK227" s="137" t="str">
        <f>'Q100a-geral'!AK658</f>
        <v>x</v>
      </c>
      <c r="AL227" s="57" t="str">
        <f>'Q100a-geral'!AL658</f>
        <v>x</v>
      </c>
      <c r="AM227" s="137" t="str">
        <f>'Q100a-geral'!AM658</f>
        <v>x</v>
      </c>
      <c r="AN227" s="137" t="str">
        <f>'Q100a-geral'!AN658</f>
        <v>x</v>
      </c>
      <c r="AO227" s="137" t="str">
        <f>'Q100a-geral'!AO658</f>
        <v>x</v>
      </c>
      <c r="AP227" s="137" t="str">
        <f>'Q100a-geral'!AP658</f>
        <v>x</v>
      </c>
      <c r="AQ227" s="137" t="str">
        <f>'Q100a-geral'!AQ658</f>
        <v>x</v>
      </c>
      <c r="AR227" s="137"/>
      <c r="AS227" s="137"/>
      <c r="AT227" s="137"/>
      <c r="AU227" s="137"/>
      <c r="AV227" s="137" t="str">
        <f>'Q100a-geral'!AV658</f>
        <v>x</v>
      </c>
      <c r="AW227" s="137"/>
      <c r="AX227" s="137"/>
      <c r="AY227" s="137"/>
      <c r="AZ227" s="137"/>
      <c r="BA227" s="137" t="str">
        <f>'Q100a-geral'!BA658</f>
        <v>x</v>
      </c>
      <c r="BB227" s="239" t="str">
        <f>'Q100a-geral'!BB658</f>
        <v>Distribuição modal em pesquisas de opiniãox</v>
      </c>
      <c r="BC227" s="239" t="str">
        <f>'Q100a-geral'!BC658</f>
        <v>Distribuição modal em pesquisas de opiniãoxbenchmarking</v>
      </c>
      <c r="BD227" s="239" t="str">
        <f>'Q100a-geral'!BD658</f>
        <v>Distribuição modal em pesquisas de opiniãobenchmarking</v>
      </c>
    </row>
    <row r="228" spans="1:56" s="1" customFormat="1" ht="78.75" customHeight="1" x14ac:dyDescent="0.25">
      <c r="A228" s="275" t="str">
        <f>'Q100a-geral'!A659</f>
        <v>2.1</v>
      </c>
      <c r="B228" s="54" t="str">
        <f>'Q100a-geral'!B659</f>
        <v>Distribuição modal em pesquisas de opinião</v>
      </c>
      <c r="C228" s="230" t="str">
        <f>'Q100a-geral'!C659</f>
        <v>x</v>
      </c>
      <c r="D228" s="36" t="str">
        <f>'Q100a-geral'!D659</f>
        <v>DM tpb
(P.Op.)
Centro-Oeste do Brasil</v>
      </c>
      <c r="E228" s="464" t="str">
        <f>'Q100a-geral'!E659</f>
        <v>Brasil</v>
      </c>
      <c r="F228" s="445" t="str">
        <f>'Q100a-geral'!F659</f>
        <v>participação percentual do transporte público de pessoas na distribuição modal da região Centro-Oeste do Brasil com base em pesquisa de opinião do Instituto de Pesquisa Econômica Aplicada
obs.: resultado de 2010 em IPEA (2011, p.4/Tabela 1)</v>
      </c>
      <c r="G228" s="252" t="str">
        <f>'Q100a-geral'!G659</f>
        <v>registro na fonte</v>
      </c>
      <c r="H228" s="233" t="str">
        <f>'Q100a-geral'!H659</f>
        <v>benchmarking</v>
      </c>
      <c r="I228" s="167" t="str">
        <f>'Q100a-geral'!I659</f>
        <v>x</v>
      </c>
      <c r="J228" s="107" t="str">
        <f>'Q100a-geral'!J659</f>
        <v>x</v>
      </c>
      <c r="K228" s="109" t="str">
        <f>'Q100a-geral'!K659</f>
        <v>x</v>
      </c>
      <c r="L228" s="109" t="str">
        <f>'Q100a-geral'!L659</f>
        <v>x</v>
      </c>
      <c r="M228" s="109" t="str">
        <f>'Q100a-geral'!M659</f>
        <v>x</v>
      </c>
      <c r="N228" s="109" t="str">
        <f>'Q100a-geral'!N659</f>
        <v>x</v>
      </c>
      <c r="O228" s="109" t="str">
        <f>'Q100a-geral'!O659</f>
        <v>x</v>
      </c>
      <c r="P228" s="109" t="str">
        <f>'Q100a-geral'!P659</f>
        <v>x</v>
      </c>
      <c r="Q228" s="109" t="str">
        <f>'Q100a-geral'!Q659</f>
        <v>x</v>
      </c>
      <c r="R228" s="107" t="str">
        <f>'Q100a-geral'!R659</f>
        <v>x</v>
      </c>
      <c r="S228" s="649" t="str">
        <f>'Q100a-geral'!S659</f>
        <v>só para pesquisa</v>
      </c>
      <c r="T228" s="107" t="str">
        <f>'Q100a-geral'!T659</f>
        <v>x</v>
      </c>
      <c r="U228" s="107" t="str">
        <f>'Q100a-geral'!U659</f>
        <v>x</v>
      </c>
      <c r="V228" s="107" t="str">
        <f>'Q100a-geral'!V659</f>
        <v>só para pesquisa</v>
      </c>
      <c r="W228" s="107" t="str">
        <f>'Q100a-geral'!W659</f>
        <v>x</v>
      </c>
      <c r="X228" s="107" t="str">
        <f>'Q100a-geral'!X659</f>
        <v>x</v>
      </c>
      <c r="Y228" s="107" t="str">
        <f>'Q100a-geral'!Y659</f>
        <v>x</v>
      </c>
      <c r="Z228" s="107" t="str">
        <f>'Q100a-geral'!Z659</f>
        <v>x</v>
      </c>
      <c r="AA228" s="107" t="str">
        <f>'Q100a-geral'!AA659</f>
        <v>x</v>
      </c>
      <c r="AB228" s="107" t="str">
        <f>'Q100a-geral'!AB659</f>
        <v>x</v>
      </c>
      <c r="AC228" s="107" t="str">
        <f>'Q100a-geral'!AC659</f>
        <v>x</v>
      </c>
      <c r="AD228" s="107" t="str">
        <f>'Q100a-geral'!AD659</f>
        <v>x</v>
      </c>
      <c r="AE228" s="107" t="str">
        <f>'Q100a-geral'!AE659</f>
        <v>não realizada pesquisa em BH</v>
      </c>
      <c r="AF228" s="125">
        <f>'Q100a-geral'!AF659</f>
        <v>0.39600000000000002</v>
      </c>
      <c r="AG228" s="107" t="str">
        <f>'Q100a-geral'!AG659</f>
        <v>x</v>
      </c>
      <c r="AH228" s="107" t="str">
        <f>'Q100a-geral'!AH659</f>
        <v>não realizada pesquisa em BH</v>
      </c>
      <c r="AI228" s="107" t="str">
        <f>'Q100a-geral'!AI659</f>
        <v>x</v>
      </c>
      <c r="AJ228" s="107" t="str">
        <f>'Q100a-geral'!AJ659</f>
        <v>não realizada pesquisa em BH</v>
      </c>
      <c r="AK228" s="137" t="str">
        <f>'Q100a-geral'!AK659</f>
        <v>x</v>
      </c>
      <c r="AL228" s="57" t="str">
        <f>'Q100a-geral'!AL659</f>
        <v>x</v>
      </c>
      <c r="AM228" s="137" t="str">
        <f>'Q100a-geral'!AM659</f>
        <v>x</v>
      </c>
      <c r="AN228" s="137" t="str">
        <f>'Q100a-geral'!AN659</f>
        <v>x</v>
      </c>
      <c r="AO228" s="137" t="str">
        <f>'Q100a-geral'!AO659</f>
        <v>x</v>
      </c>
      <c r="AP228" s="137" t="str">
        <f>'Q100a-geral'!AP659</f>
        <v>x</v>
      </c>
      <c r="AQ228" s="137" t="str">
        <f>'Q100a-geral'!AQ659</f>
        <v>x</v>
      </c>
      <c r="AR228" s="137"/>
      <c r="AS228" s="137"/>
      <c r="AT228" s="137"/>
      <c r="AU228" s="137"/>
      <c r="AV228" s="137" t="str">
        <f>'Q100a-geral'!AV659</f>
        <v>x</v>
      </c>
      <c r="AW228" s="137"/>
      <c r="AX228" s="137"/>
      <c r="AY228" s="137"/>
      <c r="AZ228" s="137"/>
      <c r="BA228" s="137" t="str">
        <f>'Q100a-geral'!BA659</f>
        <v>x</v>
      </c>
      <c r="BB228" s="239" t="str">
        <f>'Q100a-geral'!BB659</f>
        <v>Distribuição modal em pesquisas de opiniãox</v>
      </c>
      <c r="BC228" s="239" t="str">
        <f>'Q100a-geral'!BC659</f>
        <v>Distribuição modal em pesquisas de opiniãoxbenchmarking</v>
      </c>
      <c r="BD228" s="239" t="str">
        <f>'Q100a-geral'!BD659</f>
        <v>Distribuição modal em pesquisas de opiniãobenchmarking</v>
      </c>
    </row>
    <row r="229" spans="1:56" s="1" customFormat="1" ht="78.75" customHeight="1" x14ac:dyDescent="0.25">
      <c r="A229" s="275" t="str">
        <f>'Q100a-geral'!A660</f>
        <v>2.1</v>
      </c>
      <c r="B229" s="54" t="str">
        <f>'Q100a-geral'!B660</f>
        <v>Distribuição modal em pesquisas de opinião</v>
      </c>
      <c r="C229" s="230" t="str">
        <f>'Q100a-geral'!C660</f>
        <v>x</v>
      </c>
      <c r="D229" s="36" t="str">
        <f>'Q100a-geral'!D660</f>
        <v>DM tpb
(P.Op.)
Nordeste do Brasil</v>
      </c>
      <c r="E229" s="464" t="str">
        <f>'Q100a-geral'!E660</f>
        <v>Brasil</v>
      </c>
      <c r="F229" s="445" t="str">
        <f>'Q100a-geral'!F660</f>
        <v>participação percentual do transporte público de pessoas na distribuição modal da região Nordeste do Brasil com base em pesquisa de opinião do Instituto de Pesquisa Econômica Aplicada
obs.: resultado de 2010 em IPEA (2011, p.4/Tabela 1)</v>
      </c>
      <c r="G229" s="252" t="str">
        <f>'Q100a-geral'!G660</f>
        <v>registro na fonte</v>
      </c>
      <c r="H229" s="233" t="str">
        <f>'Q100a-geral'!H660</f>
        <v>benchmarking</v>
      </c>
      <c r="I229" s="167" t="str">
        <f>'Q100a-geral'!I660</f>
        <v>x</v>
      </c>
      <c r="J229" s="107" t="str">
        <f>'Q100a-geral'!J660</f>
        <v>x</v>
      </c>
      <c r="K229" s="109" t="str">
        <f>'Q100a-geral'!K660</f>
        <v>x</v>
      </c>
      <c r="L229" s="109" t="str">
        <f>'Q100a-geral'!L660</f>
        <v>x</v>
      </c>
      <c r="M229" s="109" t="str">
        <f>'Q100a-geral'!M660</f>
        <v>x</v>
      </c>
      <c r="N229" s="109" t="str">
        <f>'Q100a-geral'!N660</f>
        <v>x</v>
      </c>
      <c r="O229" s="109" t="str">
        <f>'Q100a-geral'!O660</f>
        <v>x</v>
      </c>
      <c r="P229" s="109" t="str">
        <f>'Q100a-geral'!P660</f>
        <v>x</v>
      </c>
      <c r="Q229" s="109" t="str">
        <f>'Q100a-geral'!Q660</f>
        <v>x</v>
      </c>
      <c r="R229" s="107" t="str">
        <f>'Q100a-geral'!R660</f>
        <v>x</v>
      </c>
      <c r="S229" s="649" t="str">
        <f>'Q100a-geral'!S660</f>
        <v>só para pesquisa</v>
      </c>
      <c r="T229" s="107" t="str">
        <f>'Q100a-geral'!T660</f>
        <v>x</v>
      </c>
      <c r="U229" s="107" t="str">
        <f>'Q100a-geral'!U660</f>
        <v>x</v>
      </c>
      <c r="V229" s="107" t="str">
        <f>'Q100a-geral'!V660</f>
        <v>só para pesquisa</v>
      </c>
      <c r="W229" s="107" t="str">
        <f>'Q100a-geral'!W660</f>
        <v>x</v>
      </c>
      <c r="X229" s="107" t="str">
        <f>'Q100a-geral'!X660</f>
        <v>x</v>
      </c>
      <c r="Y229" s="107" t="str">
        <f>'Q100a-geral'!Y660</f>
        <v>x</v>
      </c>
      <c r="Z229" s="107" t="str">
        <f>'Q100a-geral'!Z660</f>
        <v>x</v>
      </c>
      <c r="AA229" s="107" t="str">
        <f>'Q100a-geral'!AA660</f>
        <v>x</v>
      </c>
      <c r="AB229" s="107" t="str">
        <f>'Q100a-geral'!AB660</f>
        <v>x</v>
      </c>
      <c r="AC229" s="107" t="str">
        <f>'Q100a-geral'!AC660</f>
        <v>x</v>
      </c>
      <c r="AD229" s="107" t="str">
        <f>'Q100a-geral'!AD660</f>
        <v>x</v>
      </c>
      <c r="AE229" s="107" t="str">
        <f>'Q100a-geral'!AE660</f>
        <v>não realizada pesquisa em BH</v>
      </c>
      <c r="AF229" s="125">
        <f>'Q100a-geral'!AF660</f>
        <v>0.375</v>
      </c>
      <c r="AG229" s="107" t="str">
        <f>'Q100a-geral'!AG660</f>
        <v>x</v>
      </c>
      <c r="AH229" s="107" t="str">
        <f>'Q100a-geral'!AH660</f>
        <v>não realizada pesquisa em BH</v>
      </c>
      <c r="AI229" s="107" t="str">
        <f>'Q100a-geral'!AI660</f>
        <v>x</v>
      </c>
      <c r="AJ229" s="107" t="str">
        <f>'Q100a-geral'!AJ660</f>
        <v>não realizada pesquisa em BH</v>
      </c>
      <c r="AK229" s="137" t="str">
        <f>'Q100a-geral'!AK660</f>
        <v>x</v>
      </c>
      <c r="AL229" s="57" t="str">
        <f>'Q100a-geral'!AL660</f>
        <v>x</v>
      </c>
      <c r="AM229" s="137" t="str">
        <f>'Q100a-geral'!AM660</f>
        <v>x</v>
      </c>
      <c r="AN229" s="137" t="str">
        <f>'Q100a-geral'!AN660</f>
        <v>x</v>
      </c>
      <c r="AO229" s="137" t="str">
        <f>'Q100a-geral'!AO660</f>
        <v>x</v>
      </c>
      <c r="AP229" s="137" t="str">
        <f>'Q100a-geral'!AP660</f>
        <v>x</v>
      </c>
      <c r="AQ229" s="137" t="str">
        <f>'Q100a-geral'!AQ660</f>
        <v>x</v>
      </c>
      <c r="AR229" s="137"/>
      <c r="AS229" s="137"/>
      <c r="AT229" s="137"/>
      <c r="AU229" s="137"/>
      <c r="AV229" s="137" t="str">
        <f>'Q100a-geral'!AV660</f>
        <v>x</v>
      </c>
      <c r="AW229" s="137"/>
      <c r="AX229" s="137"/>
      <c r="AY229" s="137"/>
      <c r="AZ229" s="137"/>
      <c r="BA229" s="137" t="str">
        <f>'Q100a-geral'!BA660</f>
        <v>x</v>
      </c>
      <c r="BB229" s="239" t="str">
        <f>'Q100a-geral'!BB660</f>
        <v>Distribuição modal em pesquisas de opiniãox</v>
      </c>
      <c r="BC229" s="239" t="str">
        <f>'Q100a-geral'!BC660</f>
        <v>Distribuição modal em pesquisas de opiniãoxbenchmarking</v>
      </c>
      <c r="BD229" s="239" t="str">
        <f>'Q100a-geral'!BD660</f>
        <v>Distribuição modal em pesquisas de opiniãobenchmarking</v>
      </c>
    </row>
    <row r="230" spans="1:56" s="1" customFormat="1" ht="78.75" customHeight="1" x14ac:dyDescent="0.25">
      <c r="A230" s="275" t="str">
        <f>'Q100a-geral'!A661</f>
        <v>2.1</v>
      </c>
      <c r="B230" s="54" t="str">
        <f>'Q100a-geral'!B661</f>
        <v>Distribuição modal em pesquisas de opinião</v>
      </c>
      <c r="C230" s="230" t="str">
        <f>'Q100a-geral'!C661</f>
        <v>x</v>
      </c>
      <c r="D230" s="36" t="str">
        <f>'Q100a-geral'!D661</f>
        <v>DM tpb
(P.Op.)
Norte do Brasil</v>
      </c>
      <c r="E230" s="464" t="str">
        <f>'Q100a-geral'!E661</f>
        <v>Brasil</v>
      </c>
      <c r="F230" s="445" t="str">
        <f>'Q100a-geral'!F661</f>
        <v>participação percentual do transporte público de pessoas na distribuição modal da região Norte do Brasil com base em pesquisa de opinião do Instituto de Pesquisa Econômica Aplicada 
obs.: resultado de 2010 em IPEA (2011, p.4/Tabela 1)</v>
      </c>
      <c r="G230" s="252" t="str">
        <f>'Q100a-geral'!G661</f>
        <v>registro na fonte</v>
      </c>
      <c r="H230" s="233" t="str">
        <f>'Q100a-geral'!H661</f>
        <v>benchmarking</v>
      </c>
      <c r="I230" s="167" t="str">
        <f>'Q100a-geral'!I661</f>
        <v>x</v>
      </c>
      <c r="J230" s="107" t="str">
        <f>'Q100a-geral'!J661</f>
        <v>x</v>
      </c>
      <c r="K230" s="109" t="str">
        <f>'Q100a-geral'!K661</f>
        <v>x</v>
      </c>
      <c r="L230" s="109" t="str">
        <f>'Q100a-geral'!L661</f>
        <v>x</v>
      </c>
      <c r="M230" s="109" t="str">
        <f>'Q100a-geral'!M661</f>
        <v>x</v>
      </c>
      <c r="N230" s="109" t="str">
        <f>'Q100a-geral'!N661</f>
        <v>x</v>
      </c>
      <c r="O230" s="109" t="str">
        <f>'Q100a-geral'!O661</f>
        <v>x</v>
      </c>
      <c r="P230" s="109" t="str">
        <f>'Q100a-geral'!P661</f>
        <v>x</v>
      </c>
      <c r="Q230" s="109" t="str">
        <f>'Q100a-geral'!Q661</f>
        <v>x</v>
      </c>
      <c r="R230" s="107" t="str">
        <f>'Q100a-geral'!R661</f>
        <v>x</v>
      </c>
      <c r="S230" s="649" t="str">
        <f>'Q100a-geral'!S661</f>
        <v>só para pesquisa</v>
      </c>
      <c r="T230" s="107" t="str">
        <f>'Q100a-geral'!T661</f>
        <v>x</v>
      </c>
      <c r="U230" s="107" t="str">
        <f>'Q100a-geral'!U661</f>
        <v>x</v>
      </c>
      <c r="V230" s="107" t="str">
        <f>'Q100a-geral'!V661</f>
        <v>só para pesquisa</v>
      </c>
      <c r="W230" s="107" t="str">
        <f>'Q100a-geral'!W661</f>
        <v>x</v>
      </c>
      <c r="X230" s="107" t="str">
        <f>'Q100a-geral'!X661</f>
        <v>x</v>
      </c>
      <c r="Y230" s="107" t="str">
        <f>'Q100a-geral'!Y661</f>
        <v>x</v>
      </c>
      <c r="Z230" s="107" t="str">
        <f>'Q100a-geral'!Z661</f>
        <v>x</v>
      </c>
      <c r="AA230" s="107" t="str">
        <f>'Q100a-geral'!AA661</f>
        <v>x</v>
      </c>
      <c r="AB230" s="107" t="str">
        <f>'Q100a-geral'!AB661</f>
        <v>x</v>
      </c>
      <c r="AC230" s="107" t="str">
        <f>'Q100a-geral'!AC661</f>
        <v>x</v>
      </c>
      <c r="AD230" s="107" t="str">
        <f>'Q100a-geral'!AD661</f>
        <v>x</v>
      </c>
      <c r="AE230" s="107" t="str">
        <f>'Q100a-geral'!AE661</f>
        <v>não realizada pesquisa em BH</v>
      </c>
      <c r="AF230" s="125">
        <f>'Q100a-geral'!AF661</f>
        <v>0.40300000000000002</v>
      </c>
      <c r="AG230" s="107" t="str">
        <f>'Q100a-geral'!AG661</f>
        <v>x</v>
      </c>
      <c r="AH230" s="107" t="str">
        <f>'Q100a-geral'!AH661</f>
        <v>não realizada pesquisa em BH</v>
      </c>
      <c r="AI230" s="107" t="str">
        <f>'Q100a-geral'!AI661</f>
        <v>x</v>
      </c>
      <c r="AJ230" s="107" t="str">
        <f>'Q100a-geral'!AJ661</f>
        <v>não realizada pesquisa em BH</v>
      </c>
      <c r="AK230" s="137" t="str">
        <f>'Q100a-geral'!AK661</f>
        <v>x</v>
      </c>
      <c r="AL230" s="57" t="str">
        <f>'Q100a-geral'!AL661</f>
        <v>x</v>
      </c>
      <c r="AM230" s="137" t="str">
        <f>'Q100a-geral'!AM661</f>
        <v>x</v>
      </c>
      <c r="AN230" s="137" t="str">
        <f>'Q100a-geral'!AN661</f>
        <v>x</v>
      </c>
      <c r="AO230" s="137" t="str">
        <f>'Q100a-geral'!AO661</f>
        <v>x</v>
      </c>
      <c r="AP230" s="137" t="str">
        <f>'Q100a-geral'!AP661</f>
        <v>x</v>
      </c>
      <c r="AQ230" s="137" t="str">
        <f>'Q100a-geral'!AQ661</f>
        <v>x</v>
      </c>
      <c r="AR230" s="137"/>
      <c r="AS230" s="137"/>
      <c r="AT230" s="137"/>
      <c r="AU230" s="137"/>
      <c r="AV230" s="137" t="str">
        <f>'Q100a-geral'!AV661</f>
        <v>x</v>
      </c>
      <c r="AW230" s="137"/>
      <c r="AX230" s="137"/>
      <c r="AY230" s="137"/>
      <c r="AZ230" s="137"/>
      <c r="BA230" s="137" t="str">
        <f>'Q100a-geral'!BA661</f>
        <v>x</v>
      </c>
      <c r="BB230" s="239" t="str">
        <f>'Q100a-geral'!BB661</f>
        <v>Distribuição modal em pesquisas de opiniãox</v>
      </c>
      <c r="BC230" s="239" t="str">
        <f>'Q100a-geral'!BC661</f>
        <v>Distribuição modal em pesquisas de opiniãoxbenchmarking</v>
      </c>
      <c r="BD230" s="239" t="str">
        <f>'Q100a-geral'!BD661</f>
        <v>Distribuição modal em pesquisas de opiniãobenchmarking</v>
      </c>
    </row>
    <row r="231" spans="1:56" s="1" customFormat="1" ht="78.75" customHeight="1" x14ac:dyDescent="0.25">
      <c r="A231" s="275" t="str">
        <f>'Q100a-geral'!A662</f>
        <v>2.1</v>
      </c>
      <c r="B231" s="54" t="str">
        <f>'Q100a-geral'!B662</f>
        <v>Distribuição modal em pesquisas de opinião</v>
      </c>
      <c r="C231" s="230" t="str">
        <f>'Q100a-geral'!C662</f>
        <v>x</v>
      </c>
      <c r="D231" s="326" t="str">
        <f>'Q100a-geral'!D662</f>
        <v>DM tpb
(P.Op.)
Sudeste do Brasil</v>
      </c>
      <c r="E231" s="465" t="str">
        <f>'Q100a-geral'!E662</f>
        <v>Brasil</v>
      </c>
      <c r="F231" s="488" t="str">
        <f>'Q100a-geral'!F662</f>
        <v>participação percentual do transporte público de pessoas na distribuição modal da região Sudeste do Brasil com base em pesquisa de opinião do Instituto de Pesquisa Econômica Aplicada 
obs.: resultado de 2010 em IPEA (2011, p.4/Tabela 1)</v>
      </c>
      <c r="G231" s="252" t="str">
        <f>'Q100a-geral'!G662</f>
        <v>registro na fonte</v>
      </c>
      <c r="H231" s="233" t="str">
        <f>'Q100a-geral'!H662</f>
        <v>benchmarking</v>
      </c>
      <c r="I231" s="167" t="str">
        <f>'Q100a-geral'!I662</f>
        <v>x</v>
      </c>
      <c r="J231" s="107" t="str">
        <f>'Q100a-geral'!J662</f>
        <v>x</v>
      </c>
      <c r="K231" s="109" t="str">
        <f>'Q100a-geral'!K662</f>
        <v>x</v>
      </c>
      <c r="L231" s="109" t="str">
        <f>'Q100a-geral'!L662</f>
        <v>x</v>
      </c>
      <c r="M231" s="109" t="str">
        <f>'Q100a-geral'!M662</f>
        <v>x</v>
      </c>
      <c r="N231" s="109" t="str">
        <f>'Q100a-geral'!N662</f>
        <v>x</v>
      </c>
      <c r="O231" s="109" t="str">
        <f>'Q100a-geral'!O662</f>
        <v>x</v>
      </c>
      <c r="P231" s="139"/>
      <c r="Q231" s="139"/>
      <c r="R231" s="107" t="str">
        <f>'Q100a-geral'!R662</f>
        <v>x</v>
      </c>
      <c r="S231" s="313"/>
      <c r="T231" s="132"/>
      <c r="U231" s="132"/>
      <c r="V231" s="107" t="str">
        <f>'Q100a-geral'!V662</f>
        <v>só para pesquisa</v>
      </c>
      <c r="W231" s="132"/>
      <c r="X231" s="132"/>
      <c r="Y231" s="132"/>
      <c r="Z231" s="132"/>
      <c r="AA231" s="132"/>
      <c r="AB231" s="132"/>
      <c r="AC231" s="132"/>
      <c r="AD231" s="132"/>
      <c r="AE231" s="132"/>
      <c r="AF231" s="134">
        <v>50.7</v>
      </c>
      <c r="AG231" s="132"/>
      <c r="AH231" s="132"/>
      <c r="AI231" s="132"/>
      <c r="AJ231" s="132"/>
      <c r="AK231" s="132"/>
      <c r="AL231" s="57" t="str">
        <f>'Q100a-geral'!AL662</f>
        <v>x</v>
      </c>
      <c r="AM231" s="137" t="str">
        <f>'Q100a-geral'!AM662</f>
        <v>x</v>
      </c>
      <c r="AN231" s="137" t="str">
        <f>'Q100a-geral'!AN662</f>
        <v>x</v>
      </c>
      <c r="AO231" s="137" t="str">
        <f>'Q100a-geral'!AO662</f>
        <v>x</v>
      </c>
      <c r="AP231" s="137" t="str">
        <f>'Q100a-geral'!AP662</f>
        <v>x</v>
      </c>
      <c r="AQ231" s="137" t="str">
        <f>'Q100a-geral'!AQ662</f>
        <v>x</v>
      </c>
      <c r="AR231" s="137"/>
      <c r="AS231" s="137"/>
      <c r="AT231" s="137"/>
      <c r="AU231" s="137"/>
      <c r="AV231" s="137" t="str">
        <f>'Q100a-geral'!AV662</f>
        <v>x</v>
      </c>
      <c r="AW231" s="137"/>
      <c r="AX231" s="137"/>
      <c r="AY231" s="137"/>
      <c r="AZ231" s="137"/>
      <c r="BA231" s="137" t="str">
        <f>'Q100a-geral'!BA662</f>
        <v>x</v>
      </c>
      <c r="BB231" s="239" t="str">
        <f>'Q100a-geral'!BB662</f>
        <v>Distribuição modal em pesquisas de opiniãox</v>
      </c>
      <c r="BC231" s="239" t="str">
        <f>'Q100a-geral'!BC662</f>
        <v>Distribuição modal em pesquisas de opiniãoxbenchmarking</v>
      </c>
      <c r="BD231" s="239" t="str">
        <f>'Q100a-geral'!BD662</f>
        <v>Distribuição modal em pesquisas de opiniãobenchmarking</v>
      </c>
    </row>
    <row r="232" spans="1:56" s="1" customFormat="1" ht="78.75" customHeight="1" x14ac:dyDescent="0.25">
      <c r="A232" s="275" t="str">
        <f>'Q100a-geral'!A663</f>
        <v>2.1</v>
      </c>
      <c r="B232" s="54" t="str">
        <f>'Q100a-geral'!B663</f>
        <v>Distribuição modal em pesquisas de opinião</v>
      </c>
      <c r="C232" s="230" t="str">
        <f>'Q100a-geral'!C663</f>
        <v>x</v>
      </c>
      <c r="D232" s="36" t="str">
        <f>'Q100a-geral'!D663</f>
        <v>DM tpb
(P.Op.)
Sul do Brasil</v>
      </c>
      <c r="E232" s="464" t="str">
        <f>'Q100a-geral'!E663</f>
        <v>Brasil</v>
      </c>
      <c r="F232" s="445" t="str">
        <f>'Q100a-geral'!F663</f>
        <v>participação percentual do transporte público de pessoas na distribuição modal da região Sul do Brasil com base em pesquisa de opinião do Instituto de Pesquisa Econômica Aplicada
obs.: resultado de 2010 em IPEA (2011, p.4/Tabela 1)</v>
      </c>
      <c r="G232" s="252" t="str">
        <f>'Q100a-geral'!G663</f>
        <v>registro na fonte</v>
      </c>
      <c r="H232" s="233" t="str">
        <f>'Q100a-geral'!H663</f>
        <v>benchmarking</v>
      </c>
      <c r="I232" s="167" t="str">
        <f>'Q100a-geral'!I663</f>
        <v>x</v>
      </c>
      <c r="J232" s="107" t="str">
        <f>'Q100a-geral'!J663</f>
        <v>x</v>
      </c>
      <c r="K232" s="109" t="str">
        <f>'Q100a-geral'!K663</f>
        <v>x</v>
      </c>
      <c r="L232" s="109" t="str">
        <f>'Q100a-geral'!L663</f>
        <v>x</v>
      </c>
      <c r="M232" s="109" t="str">
        <f>'Q100a-geral'!M663</f>
        <v>x</v>
      </c>
      <c r="N232" s="109" t="str">
        <f>'Q100a-geral'!N663</f>
        <v>x</v>
      </c>
      <c r="O232" s="109" t="str">
        <f>'Q100a-geral'!O663</f>
        <v>x</v>
      </c>
      <c r="P232" s="109" t="str">
        <f>'Q100a-geral'!P663</f>
        <v>x</v>
      </c>
      <c r="Q232" s="109" t="str">
        <f>'Q100a-geral'!Q663</f>
        <v>x</v>
      </c>
      <c r="R232" s="107" t="str">
        <f>'Q100a-geral'!R663</f>
        <v>x</v>
      </c>
      <c r="S232" s="649" t="str">
        <f>'Q100a-geral'!S663</f>
        <v>só para pesquisa</v>
      </c>
      <c r="T232" s="107" t="str">
        <f>'Q100a-geral'!T663</f>
        <v>x</v>
      </c>
      <c r="U232" s="107" t="str">
        <f>'Q100a-geral'!U663</f>
        <v>x</v>
      </c>
      <c r="V232" s="107" t="str">
        <f>'Q100a-geral'!V663</f>
        <v>só para pesquisa</v>
      </c>
      <c r="W232" s="107" t="str">
        <f>'Q100a-geral'!W663</f>
        <v>x</v>
      </c>
      <c r="X232" s="107" t="str">
        <f>'Q100a-geral'!X663</f>
        <v>x</v>
      </c>
      <c r="Y232" s="107" t="str">
        <f>'Q100a-geral'!Y663</f>
        <v>x</v>
      </c>
      <c r="Z232" s="107" t="str">
        <f>'Q100a-geral'!Z663</f>
        <v>x</v>
      </c>
      <c r="AA232" s="107" t="str">
        <f>'Q100a-geral'!AA663</f>
        <v>x</v>
      </c>
      <c r="AB232" s="107" t="str">
        <f>'Q100a-geral'!AB663</f>
        <v>x</v>
      </c>
      <c r="AC232" s="107" t="str">
        <f>'Q100a-geral'!AC663</f>
        <v>x</v>
      </c>
      <c r="AD232" s="107" t="str">
        <f>'Q100a-geral'!AD663</f>
        <v>x</v>
      </c>
      <c r="AE232" s="107" t="str">
        <f>'Q100a-geral'!AE663</f>
        <v>não realizada pesquisa em BH</v>
      </c>
      <c r="AF232" s="125">
        <f>'Q100a-geral'!AF663</f>
        <v>0.46300000000000002</v>
      </c>
      <c r="AG232" s="107" t="str">
        <f>'Q100a-geral'!AG663</f>
        <v>x</v>
      </c>
      <c r="AH232" s="107" t="str">
        <f>'Q100a-geral'!AH663</f>
        <v>não realizada pesquisa em BH</v>
      </c>
      <c r="AI232" s="107" t="str">
        <f>'Q100a-geral'!AI663</f>
        <v>x</v>
      </c>
      <c r="AJ232" s="107" t="str">
        <f>'Q100a-geral'!AJ663</f>
        <v>não realizada pesquisa em BH</v>
      </c>
      <c r="AK232" s="137" t="str">
        <f>'Q100a-geral'!AK663</f>
        <v>x</v>
      </c>
      <c r="AL232" s="57" t="str">
        <f>'Q100a-geral'!AL663</f>
        <v>x</v>
      </c>
      <c r="AM232" s="137" t="str">
        <f>'Q100a-geral'!AM663</f>
        <v>x</v>
      </c>
      <c r="AN232" s="137" t="str">
        <f>'Q100a-geral'!AN663</f>
        <v>x</v>
      </c>
      <c r="AO232" s="137" t="str">
        <f>'Q100a-geral'!AO663</f>
        <v>x</v>
      </c>
      <c r="AP232" s="137" t="str">
        <f>'Q100a-geral'!AP663</f>
        <v>x</v>
      </c>
      <c r="AQ232" s="137" t="str">
        <f>'Q100a-geral'!AQ663</f>
        <v>x</v>
      </c>
      <c r="AR232" s="137"/>
      <c r="AS232" s="137"/>
      <c r="AT232" s="137"/>
      <c r="AU232" s="137"/>
      <c r="AV232" s="137" t="str">
        <f>'Q100a-geral'!AV663</f>
        <v>x</v>
      </c>
      <c r="AW232" s="137"/>
      <c r="AX232" s="137"/>
      <c r="AY232" s="137"/>
      <c r="AZ232" s="137"/>
      <c r="BA232" s="137" t="str">
        <f>'Q100a-geral'!BA663</f>
        <v>x</v>
      </c>
      <c r="BB232" s="239" t="str">
        <f>'Q100a-geral'!BB663</f>
        <v>Distribuição modal em pesquisas de opiniãox</v>
      </c>
      <c r="BC232" s="239" t="str">
        <f>'Q100a-geral'!BC663</f>
        <v>Distribuição modal em pesquisas de opiniãoxbenchmarking</v>
      </c>
      <c r="BD232" s="239" t="str">
        <f>'Q100a-geral'!BD663</f>
        <v>Distribuição modal em pesquisas de opiniãobenchmarking</v>
      </c>
    </row>
    <row r="233" spans="1:56" s="1" customFormat="1" ht="78.75" customHeight="1" x14ac:dyDescent="0.25">
      <c r="A233" s="275" t="str">
        <f>'Q100a-geral'!A672</f>
        <v>1.1</v>
      </c>
      <c r="B233" s="252" t="str">
        <f>'Q100a-geral'!B672</f>
        <v>Ações educativas</v>
      </c>
      <c r="C233" s="167" t="str">
        <f>'Q100a-geral'!C672</f>
        <v>x</v>
      </c>
      <c r="D233" s="287" t="str">
        <f>'Q100a-geral'!D672</f>
        <v>E</v>
      </c>
      <c r="E233" s="462" t="str">
        <f>'Q100a-geral'!E672</f>
        <v>Belo Horizonte</v>
      </c>
      <c r="F233" s="486" t="str">
        <f>'Q100a-geral'!F672</f>
        <v>número de escolas atendidas em todos os programas de ações educativas de mobilidade urbana da BHTrans
obs.: resultados de 2005-2013 conforme BHTRANS(2015h); de 2014-2015 conforme BHTRANS(2016y)</v>
      </c>
      <c r="G233" s="252" t="str">
        <f>'Q100a-geral'!G672</f>
        <v>registro na fonte</v>
      </c>
      <c r="H233" s="167" t="str">
        <f>'Q100a-geral'!H672</f>
        <v>x</v>
      </c>
      <c r="I233" s="167">
        <f>'Q100a-geral'!I672</f>
        <v>1</v>
      </c>
      <c r="J233" s="107" t="str">
        <f>'Q100a-geral'!J672</f>
        <v>x</v>
      </c>
      <c r="K233" s="93" t="str">
        <f>'Q100a-geral'!K672</f>
        <v>x</v>
      </c>
      <c r="L233" s="93" t="str">
        <f>'Q100a-geral'!L672</f>
        <v>x</v>
      </c>
      <c r="M233" s="93" t="str">
        <f>'Q100a-geral'!M672</f>
        <v>x</v>
      </c>
      <c r="N233" s="93" t="str">
        <f>'Q100a-geral'!N672</f>
        <v>x</v>
      </c>
      <c r="O233" s="93" t="str">
        <f>'Q100a-geral'!O672</f>
        <v>x</v>
      </c>
      <c r="P233" s="93" t="str">
        <f>'Q100a-geral'!P672</f>
        <v>x</v>
      </c>
      <c r="Q233" s="93" t="str">
        <f>'Q100a-geral'!Q672</f>
        <v>x</v>
      </c>
      <c r="R233" s="93" t="str">
        <f>'Q100a-geral'!R672</f>
        <v>x</v>
      </c>
      <c r="S233" s="107" t="str">
        <f>'Q100a-geral'!S672</f>
        <v>só para pesquisa</v>
      </c>
      <c r="T233" s="93" t="str">
        <f>'Q100a-geral'!T672</f>
        <v>x</v>
      </c>
      <c r="U233" s="93" t="str">
        <f>'Q100a-geral'!U672</f>
        <v>x</v>
      </c>
      <c r="V233" s="107" t="str">
        <f>'Q100a-geral'!V672</f>
        <v>só para pesquisa</v>
      </c>
      <c r="W233" s="93" t="str">
        <f>'Q100a-geral'!W672</f>
        <v>x</v>
      </c>
      <c r="X233" s="93" t="str">
        <f>'Q100a-geral'!X672</f>
        <v>x</v>
      </c>
      <c r="Y233" s="93" t="str">
        <f>'Q100a-geral'!Y672</f>
        <v>x</v>
      </c>
      <c r="Z233" s="93" t="str">
        <f>'Q100a-geral'!Z672</f>
        <v>x</v>
      </c>
      <c r="AA233" s="84">
        <f>'Q100a-geral'!AA672</f>
        <v>138</v>
      </c>
      <c r="AB233" s="84">
        <f>'Q100a-geral'!AB672</f>
        <v>192</v>
      </c>
      <c r="AC233" s="84">
        <f>'Q100a-geral'!AC672</f>
        <v>178</v>
      </c>
      <c r="AD233" s="84">
        <f>'Q100a-geral'!AD672</f>
        <v>214</v>
      </c>
      <c r="AE233" s="84">
        <f>'Q100a-geral'!AE672</f>
        <v>202</v>
      </c>
      <c r="AF233" s="84">
        <f>'Q100a-geral'!AF672</f>
        <v>274</v>
      </c>
      <c r="AG233" s="84">
        <f>'Q100a-geral'!AG672</f>
        <v>411</v>
      </c>
      <c r="AH233" s="84">
        <f>'Q100a-geral'!AH672</f>
        <v>502</v>
      </c>
      <c r="AI233" s="84">
        <f>'Q100a-geral'!AI672</f>
        <v>734</v>
      </c>
      <c r="AJ233" s="93">
        <f>'Q100a-geral'!AJ672</f>
        <v>551</v>
      </c>
      <c r="AK233" s="137">
        <f>'Q100a-geral'!AK672</f>
        <v>493</v>
      </c>
      <c r="AL233" s="212" t="str">
        <f>'Q100a-geral'!AL672</f>
        <v>x</v>
      </c>
      <c r="AM233" s="137" t="str">
        <f>'Q100a-geral'!AM672</f>
        <v>x</v>
      </c>
      <c r="AN233" s="137" t="str">
        <f>'Q100a-geral'!AN672</f>
        <v>x</v>
      </c>
      <c r="AO233" s="137" t="str">
        <f>'Q100a-geral'!AO672</f>
        <v>x</v>
      </c>
      <c r="AP233" s="137" t="str">
        <f>'Q100a-geral'!AP672</f>
        <v>x</v>
      </c>
      <c r="AQ233" s="137" t="str">
        <f>'Q100a-geral'!AQ672</f>
        <v>x</v>
      </c>
      <c r="AR233" s="137"/>
      <c r="AS233" s="137"/>
      <c r="AT233" s="137"/>
      <c r="AU233" s="137"/>
      <c r="AV233" s="137" t="str">
        <f>'Q100a-geral'!AV672</f>
        <v>x</v>
      </c>
      <c r="AW233" s="137"/>
      <c r="AX233" s="137"/>
      <c r="AY233" s="137"/>
      <c r="AZ233" s="137"/>
      <c r="BA233" s="137" t="str">
        <f>'Q100a-geral'!BA672</f>
        <v>x</v>
      </c>
      <c r="BB233" s="239" t="str">
        <f>'Q100a-geral'!BB672</f>
        <v>Ações educativasx</v>
      </c>
      <c r="BC233" s="239" t="str">
        <f>'Q100a-geral'!BC672</f>
        <v>Ações educativasxx</v>
      </c>
      <c r="BD233" s="239" t="str">
        <f>'Q100a-geral'!BD672</f>
        <v>Ações educativasx</v>
      </c>
    </row>
    <row r="234" spans="1:56" s="1" customFormat="1" ht="94.5" customHeight="1" x14ac:dyDescent="0.25">
      <c r="A234" s="275" t="str">
        <f>'Q100a-geral'!A678</f>
        <v>9.5</v>
      </c>
      <c r="B234" s="11" t="str">
        <f>'Q100a-geral'!B678</f>
        <v>Sinalização semafórica</v>
      </c>
      <c r="C234" s="167" t="str">
        <f>'Q100a-geral'!C678</f>
        <v>x</v>
      </c>
      <c r="D234" s="42" t="str">
        <f>'Q100a-geral'!D678</f>
        <v>EEano</v>
      </c>
      <c r="E234" s="468" t="str">
        <f>'Q100a-geral'!E678</f>
        <v>Belo Horizonte</v>
      </c>
      <c r="F234" s="445" t="str">
        <f>'Q100a-geral'!F678</f>
        <v>consumo anual de energia elétrica da sinalização semafórica (em KWh/ano)
obs.1: indicador calculado com a fórmula EEano = EEano = ∑ EE (jan a dez)
obs.2: em 2013 o SisMob-BH questionou a Gesem/DDI/BHTrans acerca dos resultados de consumo de energia elétrica em 2012 (queda acentuada da média 2012 em relação à média 2011, grandes oscilações mensais ao longo do ano, pico de consumo de 140.836 kWh em julho e consumo de 90.000 kWh de agosto a dezembro) e recebeu como resposta: "Com a implementação dos semáforos a LED finalizada no final de 2011, as medições de consumo da Cemig foram corrigidas parcialmente apenas ao longo de 2011-2012.  Essa medições de consumo estão em processo de adequação e, em agosto de 2012, este processo praticamente parou. O consumo de 90.000 kWh a partir de agosto é um valor, portanto, estimado pela BHTrans." (BHTRANS, 2013c)
obs.3: resultados de 2005 a 2014 em BHTRANS(2015n)</v>
      </c>
      <c r="G234" s="11" t="str">
        <f>'Q100a-geral'!G678</f>
        <v xml:space="preserve">registro na fonte
</v>
      </c>
      <c r="H234" s="173" t="str">
        <f>'Q100a-geral'!H678</f>
        <v>x</v>
      </c>
      <c r="I234" s="57">
        <f>'Q100a-geral'!I678</f>
        <v>1</v>
      </c>
      <c r="J234" s="107" t="str">
        <f>'Q100a-geral'!J678</f>
        <v>x</v>
      </c>
      <c r="K234" s="93" t="str">
        <f>'Q100a-geral'!K678</f>
        <v>x</v>
      </c>
      <c r="L234" s="93" t="str">
        <f>'Q100a-geral'!L678</f>
        <v>x</v>
      </c>
      <c r="M234" s="93" t="str">
        <f>'Q100a-geral'!M678</f>
        <v>x</v>
      </c>
      <c r="N234" s="93" t="str">
        <f>'Q100a-geral'!N678</f>
        <v>x</v>
      </c>
      <c r="O234" s="93" t="str">
        <f>'Q100a-geral'!O678</f>
        <v>x</v>
      </c>
      <c r="P234" s="93" t="str">
        <f>'Q100a-geral'!P678</f>
        <v>x</v>
      </c>
      <c r="Q234" s="93" t="str">
        <f>'Q100a-geral'!Q678</f>
        <v>x</v>
      </c>
      <c r="R234" s="93" t="str">
        <f>'Q100a-geral'!R678</f>
        <v>x</v>
      </c>
      <c r="S234" s="649" t="str">
        <f>'Q100a-geral'!S678</f>
        <v>só para pesquisa</v>
      </c>
      <c r="T234" s="87" t="str">
        <f>'Q100a-geral'!T678</f>
        <v>x</v>
      </c>
      <c r="U234" s="87" t="str">
        <f>'Q100a-geral'!U678</f>
        <v>x</v>
      </c>
      <c r="V234" s="107" t="str">
        <f>'Q100a-geral'!V678</f>
        <v>só para pesquisa</v>
      </c>
      <c r="W234" s="87" t="str">
        <f>'Q100a-geral'!W678</f>
        <v>x</v>
      </c>
      <c r="X234" s="87" t="str">
        <f>'Q100a-geral'!X678</f>
        <v>x</v>
      </c>
      <c r="Y234" s="87" t="str">
        <f>'Q100a-geral'!Y678</f>
        <v>x</v>
      </c>
      <c r="Z234" s="87" t="str">
        <f>'Q100a-geral'!Z678</f>
        <v>x</v>
      </c>
      <c r="AA234" s="87">
        <f>'Q100a-geral'!AA678</f>
        <v>4338900</v>
      </c>
      <c r="AB234" s="87">
        <f>'Q100a-geral'!AB678</f>
        <v>4281707</v>
      </c>
      <c r="AC234" s="87">
        <f>'Q100a-geral'!AC678</f>
        <v>3842661</v>
      </c>
      <c r="AD234" s="87">
        <f>'Q100a-geral'!AD678</f>
        <v>3837719</v>
      </c>
      <c r="AE234" s="87">
        <f>'Q100a-geral'!AE678</f>
        <v>3918284</v>
      </c>
      <c r="AF234" s="87">
        <f>'Q100a-geral'!AF678</f>
        <v>3989750</v>
      </c>
      <c r="AG234" s="87">
        <f>'Q100a-geral'!AG678</f>
        <v>2995808</v>
      </c>
      <c r="AH234" s="87">
        <f>'Q100a-geral'!AH678</f>
        <v>1319325</v>
      </c>
      <c r="AI234" s="87">
        <f>'Q100a-geral'!AI678</f>
        <v>1136258</v>
      </c>
      <c r="AJ234" s="87">
        <f>'Q100a-geral'!AJ678</f>
        <v>1130206</v>
      </c>
      <c r="AK234" s="137" t="str">
        <f>'Q100a-geral'!AK678</f>
        <v>x</v>
      </c>
      <c r="AL234" s="212" t="str">
        <f>'Q100a-geral'!AL678</f>
        <v>x</v>
      </c>
      <c r="AM234" s="137" t="str">
        <f>'Q100a-geral'!AM678</f>
        <v>x</v>
      </c>
      <c r="AN234" s="137" t="str">
        <f>'Q100a-geral'!AN678</f>
        <v>x</v>
      </c>
      <c r="AO234" s="137" t="str">
        <f>'Q100a-geral'!AO678</f>
        <v>x</v>
      </c>
      <c r="AP234" s="137" t="str">
        <f>'Q100a-geral'!AP678</f>
        <v>x</v>
      </c>
      <c r="AQ234" s="137" t="str">
        <f>'Q100a-geral'!AQ678</f>
        <v>x</v>
      </c>
      <c r="AR234" s="137"/>
      <c r="AS234" s="137"/>
      <c r="AT234" s="137"/>
      <c r="AU234" s="137"/>
      <c r="AV234" s="137" t="str">
        <f>'Q100a-geral'!AV678</f>
        <v>x</v>
      </c>
      <c r="AW234" s="137"/>
      <c r="AX234" s="137"/>
      <c r="AY234" s="137"/>
      <c r="AZ234" s="137"/>
      <c r="BA234" s="137" t="str">
        <f>'Q100a-geral'!BA678</f>
        <v>x</v>
      </c>
      <c r="BB234" s="239" t="str">
        <f>'Q100a-geral'!BB678</f>
        <v>Sinalização semafóricax</v>
      </c>
      <c r="BC234" s="239" t="str">
        <f>'Q100a-geral'!BC678</f>
        <v>Sinalização semafóricaxx</v>
      </c>
      <c r="BD234" s="239" t="str">
        <f>'Q100a-geral'!BD678</f>
        <v>Sinalização semafóricax</v>
      </c>
    </row>
    <row r="235" spans="1:56" s="1" customFormat="1" ht="78.75" customHeight="1" x14ac:dyDescent="0.25">
      <c r="A235" s="275" t="str">
        <f>'Q100a-geral'!A679</f>
        <v>9.5</v>
      </c>
      <c r="B235" s="11" t="str">
        <f>'Q100a-geral'!B679</f>
        <v>Sinalização semafórica</v>
      </c>
      <c r="C235" s="167" t="str">
        <f>'Q100a-geral'!C679</f>
        <v>x</v>
      </c>
      <c r="D235" s="42" t="str">
        <f>'Q100a-geral'!D679</f>
        <v>EEl</v>
      </c>
      <c r="E235" s="468" t="str">
        <f>'Q100a-geral'!E679</f>
        <v>Belo Horizonte</v>
      </c>
      <c r="F235" s="445" t="str">
        <f>'Q100a-geral'!F679</f>
        <v>consumo por local semaforizado de energia elétrica da sinalização semafórica em um determinado mês (em KWh/mês.LS), calculado como EE/LS
obs.: esse resultado está disponível apenas no portal interno da BHTrans</v>
      </c>
      <c r="G235" s="11" t="str">
        <f>'Q100a-geral'!G679</f>
        <v>verbete MFO</v>
      </c>
      <c r="H235" s="173" t="str">
        <f>'Q100a-geral'!H679</f>
        <v>sigla/verbete</v>
      </c>
      <c r="I235" s="57" t="str">
        <f>'Q100a-geral'!I679</f>
        <v>x</v>
      </c>
      <c r="J235" s="107" t="str">
        <f>'Q100a-geral'!J679</f>
        <v>x</v>
      </c>
      <c r="K235" s="107" t="str">
        <f>'Q100a-geral'!K679</f>
        <v>x</v>
      </c>
      <c r="L235" s="107" t="str">
        <f>'Q100a-geral'!L679</f>
        <v>x</v>
      </c>
      <c r="M235" s="107" t="str">
        <f>'Q100a-geral'!M679</f>
        <v>x</v>
      </c>
      <c r="N235" s="107" t="str">
        <f>'Q100a-geral'!N679</f>
        <v>x</v>
      </c>
      <c r="O235" s="107" t="str">
        <f>'Q100a-geral'!O679</f>
        <v>x</v>
      </c>
      <c r="P235" s="107" t="str">
        <f>'Q100a-geral'!P679</f>
        <v>x</v>
      </c>
      <c r="Q235" s="107" t="str">
        <f>'Q100a-geral'!Q679</f>
        <v>x</v>
      </c>
      <c r="R235" s="107" t="str">
        <f>'Q100a-geral'!R679</f>
        <v>x</v>
      </c>
      <c r="S235" s="107" t="str">
        <f>'Q100a-geral'!S679</f>
        <v>só para pesquisa</v>
      </c>
      <c r="T235" s="107" t="str">
        <f>'Q100a-geral'!T679</f>
        <v>x</v>
      </c>
      <c r="U235" s="107" t="str">
        <f>'Q100a-geral'!U679</f>
        <v>x</v>
      </c>
      <c r="V235" s="107" t="str">
        <f>'Q100a-geral'!V679</f>
        <v>só para pesquisa</v>
      </c>
      <c r="W235" s="107" t="str">
        <f>'Q100a-geral'!W679</f>
        <v>x</v>
      </c>
      <c r="X235" s="107" t="str">
        <f>'Q100a-geral'!X679</f>
        <v>x</v>
      </c>
      <c r="Y235" s="107" t="str">
        <f>'Q100a-geral'!Y679</f>
        <v>x</v>
      </c>
      <c r="Z235" s="107" t="str">
        <f>'Q100a-geral'!Z679</f>
        <v>x</v>
      </c>
      <c r="AA235" s="107" t="str">
        <f>'Q100a-geral'!AA679</f>
        <v>x</v>
      </c>
      <c r="AB235" s="107" t="str">
        <f>'Q100a-geral'!AB679</f>
        <v>x</v>
      </c>
      <c r="AC235" s="107" t="str">
        <f>'Q100a-geral'!AC679</f>
        <v>x</v>
      </c>
      <c r="AD235" s="107" t="str">
        <f>'Q100a-geral'!AD679</f>
        <v>x</v>
      </c>
      <c r="AE235" s="107" t="str">
        <f>'Q100a-geral'!AE679</f>
        <v>x</v>
      </c>
      <c r="AF235" s="107" t="str">
        <f>'Q100a-geral'!AF679</f>
        <v>x</v>
      </c>
      <c r="AG235" s="107" t="str">
        <f>'Q100a-geral'!AG679</f>
        <v>x</v>
      </c>
      <c r="AH235" s="107" t="str">
        <f>'Q100a-geral'!AH679</f>
        <v>x</v>
      </c>
      <c r="AI235" s="107" t="str">
        <f>'Q100a-geral'!AI679</f>
        <v>x</v>
      </c>
      <c r="AJ235" s="107" t="str">
        <f>'Q100a-geral'!AJ679</f>
        <v>x</v>
      </c>
      <c r="AK235" s="137" t="str">
        <f>'Q100a-geral'!AK679</f>
        <v>x</v>
      </c>
      <c r="AL235" s="57" t="str">
        <f>'Q100a-geral'!AL679</f>
        <v>x</v>
      </c>
      <c r="AM235" s="137" t="str">
        <f>'Q100a-geral'!AM679</f>
        <v>x</v>
      </c>
      <c r="AN235" s="137" t="str">
        <f>'Q100a-geral'!AN679</f>
        <v>x</v>
      </c>
      <c r="AO235" s="137" t="str">
        <f>'Q100a-geral'!AO679</f>
        <v>x</v>
      </c>
      <c r="AP235" s="137" t="str">
        <f>'Q100a-geral'!AP679</f>
        <v>x</v>
      </c>
      <c r="AQ235" s="137" t="str">
        <f>'Q100a-geral'!AQ679</f>
        <v>x</v>
      </c>
      <c r="AR235" s="137"/>
      <c r="AS235" s="137"/>
      <c r="AT235" s="137"/>
      <c r="AU235" s="137"/>
      <c r="AV235" s="137" t="str">
        <f>'Q100a-geral'!AV679</f>
        <v>x</v>
      </c>
      <c r="AW235" s="137"/>
      <c r="AX235" s="137"/>
      <c r="AY235" s="137"/>
      <c r="AZ235" s="137"/>
      <c r="BA235" s="137" t="str">
        <f>'Q100a-geral'!BA679</f>
        <v>x</v>
      </c>
      <c r="BB235" s="239" t="str">
        <f>'Q100a-geral'!BB679</f>
        <v>Sinalização semafóricax</v>
      </c>
      <c r="BC235" s="239" t="str">
        <f>'Q100a-geral'!BC679</f>
        <v>Sinalização semafóricaxsigla/verbete</v>
      </c>
      <c r="BD235" s="239" t="str">
        <f>'Q100a-geral'!BD679</f>
        <v>Sinalização semafóricasigla/verbete</v>
      </c>
    </row>
    <row r="236" spans="1:56" s="1" customFormat="1" ht="47.25" customHeight="1" x14ac:dyDescent="0.25">
      <c r="A236" s="275" t="str">
        <f>'Q100a-geral'!A680</f>
        <v>9.5</v>
      </c>
      <c r="B236" s="11" t="str">
        <f>'Q100a-geral'!B680</f>
        <v>Sinalização semafórica</v>
      </c>
      <c r="C236" s="167" t="str">
        <f>'Q100a-geral'!C680</f>
        <v>x</v>
      </c>
      <c r="D236" s="42" t="str">
        <f>'Q100a-geral'!D680</f>
        <v>EEmês</v>
      </c>
      <c r="E236" s="468" t="str">
        <f>'Q100a-geral'!E680</f>
        <v>Belo Horizonte</v>
      </c>
      <c r="F236" s="445" t="str">
        <f>'Q100a-geral'!F680</f>
        <v>consumo mensal médio de energia elétrica da sinalização semafórica (em KWh/mês)</v>
      </c>
      <c r="G236" s="11" t="str">
        <f>'Q100a-geral'!G680</f>
        <v>EEano/12</v>
      </c>
      <c r="H236" s="173" t="str">
        <f>'Q100a-geral'!H680</f>
        <v>x</v>
      </c>
      <c r="I236" s="57">
        <f>'Q100a-geral'!I680</f>
        <v>1</v>
      </c>
      <c r="J236" s="107" t="str">
        <f>'Q100a-geral'!J680</f>
        <v>x</v>
      </c>
      <c r="K236" s="58" t="str">
        <f>'Q100a-geral'!K680</f>
        <v>x</v>
      </c>
      <c r="L236" s="58" t="str">
        <f>'Q100a-geral'!L680</f>
        <v>x</v>
      </c>
      <c r="M236" s="58" t="str">
        <f>'Q100a-geral'!M680</f>
        <v>x</v>
      </c>
      <c r="N236" s="58" t="str">
        <f>'Q100a-geral'!N680</f>
        <v>x</v>
      </c>
      <c r="O236" s="58" t="str">
        <f>'Q100a-geral'!O680</f>
        <v>x</v>
      </c>
      <c r="P236" s="58" t="str">
        <f>'Q100a-geral'!P680</f>
        <v>x</v>
      </c>
      <c r="Q236" s="58" t="str">
        <f>'Q100a-geral'!Q680</f>
        <v>x</v>
      </c>
      <c r="R236" s="58" t="str">
        <f>'Q100a-geral'!R680</f>
        <v>x</v>
      </c>
      <c r="S236" s="649" t="str">
        <f>'Q100a-geral'!S680</f>
        <v>só para pesquisa</v>
      </c>
      <c r="T236" s="20" t="str">
        <f>'Q100a-geral'!T680</f>
        <v>x</v>
      </c>
      <c r="U236" s="20" t="str">
        <f>'Q100a-geral'!U680</f>
        <v>x</v>
      </c>
      <c r="V236" s="107" t="str">
        <f>'Q100a-geral'!V680</f>
        <v>só para pesquisa</v>
      </c>
      <c r="W236" s="20" t="str">
        <f>'Q100a-geral'!W680</f>
        <v>x</v>
      </c>
      <c r="X236" s="20" t="str">
        <f>'Q100a-geral'!X680</f>
        <v>x</v>
      </c>
      <c r="Y236" s="20" t="str">
        <f>'Q100a-geral'!Y680</f>
        <v>x</v>
      </c>
      <c r="Z236" s="20" t="str">
        <f>'Q100a-geral'!Z680</f>
        <v>x</v>
      </c>
      <c r="AA236" s="20">
        <f>'Q100a-geral'!AA680</f>
        <v>361575</v>
      </c>
      <c r="AB236" s="20">
        <f>'Q100a-geral'!AB680</f>
        <v>356808.91666666669</v>
      </c>
      <c r="AC236" s="20">
        <f>'Q100a-geral'!AC680</f>
        <v>320221.75</v>
      </c>
      <c r="AD236" s="20">
        <f>'Q100a-geral'!AD680</f>
        <v>319809.91666666669</v>
      </c>
      <c r="AE236" s="20">
        <f>'Q100a-geral'!AE680</f>
        <v>326523.66666666669</v>
      </c>
      <c r="AF236" s="20">
        <f>'Q100a-geral'!AF680</f>
        <v>332479.16666666669</v>
      </c>
      <c r="AG236" s="20">
        <f>'Q100a-geral'!AG680</f>
        <v>249650.66666666666</v>
      </c>
      <c r="AH236" s="20">
        <f>'Q100a-geral'!AH680</f>
        <v>109943.75</v>
      </c>
      <c r="AI236" s="20">
        <f>'Q100a-geral'!AI680</f>
        <v>94688.166666666672</v>
      </c>
      <c r="AJ236" s="20">
        <f>'Q100a-geral'!AJ680</f>
        <v>94183.833333333328</v>
      </c>
      <c r="AK236" s="137" t="str">
        <f>'Q100a-geral'!AK680</f>
        <v>x</v>
      </c>
      <c r="AL236" s="212" t="str">
        <f>'Q100a-geral'!AL680</f>
        <v>x</v>
      </c>
      <c r="AM236" s="137" t="str">
        <f>'Q100a-geral'!AM680</f>
        <v>x</v>
      </c>
      <c r="AN236" s="137" t="str">
        <f>'Q100a-geral'!AN680</f>
        <v>x</v>
      </c>
      <c r="AO236" s="137" t="str">
        <f>'Q100a-geral'!AO680</f>
        <v>x</v>
      </c>
      <c r="AP236" s="137" t="str">
        <f>'Q100a-geral'!AP680</f>
        <v>x</v>
      </c>
      <c r="AQ236" s="137" t="str">
        <f>'Q100a-geral'!AQ680</f>
        <v>x</v>
      </c>
      <c r="AR236" s="137"/>
      <c r="AS236" s="137"/>
      <c r="AT236" s="137"/>
      <c r="AU236" s="137"/>
      <c r="AV236" s="137" t="str">
        <f>'Q100a-geral'!AV680</f>
        <v>x</v>
      </c>
      <c r="AW236" s="137"/>
      <c r="AX236" s="137"/>
      <c r="AY236" s="137"/>
      <c r="AZ236" s="137"/>
      <c r="BA236" s="137" t="str">
        <f>'Q100a-geral'!BA680</f>
        <v>x</v>
      </c>
      <c r="BB236" s="239" t="str">
        <f>'Q100a-geral'!BB680</f>
        <v>Sinalização semafóricax</v>
      </c>
      <c r="BC236" s="239" t="str">
        <f>'Q100a-geral'!BC680</f>
        <v>Sinalização semafóricaxx</v>
      </c>
      <c r="BD236" s="239" t="str">
        <f>'Q100a-geral'!BD680</f>
        <v>Sinalização semafóricax</v>
      </c>
    </row>
    <row r="237" spans="1:56" s="1" customFormat="1" ht="76.5" customHeight="1" x14ac:dyDescent="0.25">
      <c r="A237" s="275" t="str">
        <f>'Q100a-geral'!A681</f>
        <v>9.5</v>
      </c>
      <c r="B237" s="11" t="str">
        <f>'Q100a-geral'!B681</f>
        <v>Sinalização semafórica</v>
      </c>
      <c r="C237" s="167" t="str">
        <f>'Q100a-geral'!C681</f>
        <v>x</v>
      </c>
      <c r="D237" s="375" t="str">
        <f>'Q100a-geral'!D681</f>
        <v>EEml</v>
      </c>
      <c r="E237" s="379" t="str">
        <f>'Q100a-geral'!E681</f>
        <v>Belo Horizonte</v>
      </c>
      <c r="F237" s="628" t="str">
        <f>'Q100a-geral'!F681</f>
        <v>média anual do consumo mensal de energia elétrica da sinalização semafórica em relação ao total de locais semaforizados a cada mês em KWh/mês.local
obs.1: fórmula de cálculo na fonte EEml = ∑ EEl (janeiro a dezembro) / 12
obs.2: resultados de 2004 a 2014 em BHTRANS(2015n)
obs.3: em 2015 o Comitê Municipal sobre Mudanças Climáticas e Ecoeficiência de Belo Horizonte (CMMCE) selecionou esse indicador como um dos indicadores do eixo "Energia".</v>
      </c>
      <c r="G237" s="11" t="str">
        <f>'Q100a-geral'!G681</f>
        <v>registro na fonte</v>
      </c>
      <c r="H237" s="173" t="str">
        <f>'Q100a-geral'!H681</f>
        <v>x</v>
      </c>
      <c r="I237" s="57">
        <f>'Q100a-geral'!I681</f>
        <v>1</v>
      </c>
      <c r="J237" s="107" t="str">
        <f>'Q100a-geral'!J681</f>
        <v>x</v>
      </c>
      <c r="K237" s="93" t="str">
        <f>'Q100a-geral'!K681</f>
        <v>x</v>
      </c>
      <c r="L237" s="93" t="str">
        <f>'Q100a-geral'!L681</f>
        <v>x</v>
      </c>
      <c r="M237" s="93" t="str">
        <f>'Q100a-geral'!M681</f>
        <v>x</v>
      </c>
      <c r="N237" s="93" t="str">
        <f>'Q100a-geral'!N681</f>
        <v>x</v>
      </c>
      <c r="O237" s="93" t="str">
        <f>'Q100a-geral'!O681</f>
        <v>x</v>
      </c>
      <c r="P237" s="93" t="str">
        <f>'Q100a-geral'!P681</f>
        <v>x</v>
      </c>
      <c r="Q237" s="93" t="str">
        <f>'Q100a-geral'!Q681</f>
        <v>x</v>
      </c>
      <c r="R237" s="93" t="str">
        <f>'Q100a-geral'!R681</f>
        <v>x</v>
      </c>
      <c r="S237" s="649" t="str">
        <f>'Q100a-geral'!S681</f>
        <v>só para pesquisa</v>
      </c>
      <c r="T237" s="87" t="str">
        <f>'Q100a-geral'!T681</f>
        <v>x</v>
      </c>
      <c r="U237" s="87" t="str">
        <f>'Q100a-geral'!U681</f>
        <v>x</v>
      </c>
      <c r="V237" s="107" t="str">
        <f>'Q100a-geral'!V681</f>
        <v>só para pesquisa</v>
      </c>
      <c r="W237" s="87" t="str">
        <f>'Q100a-geral'!W681</f>
        <v>x</v>
      </c>
      <c r="X237" s="87" t="str">
        <f>'Q100a-geral'!X681</f>
        <v>x</v>
      </c>
      <c r="Y237" s="143"/>
      <c r="Z237" s="143"/>
      <c r="AA237" s="88">
        <f>'Q100a-geral'!AA681</f>
        <v>512.29631105437909</v>
      </c>
      <c r="AB237" s="88">
        <f>'Q100a-geral'!AB681</f>
        <v>492.65458220562999</v>
      </c>
      <c r="AC237" s="88">
        <f>'Q100a-geral'!AC681</f>
        <v>425</v>
      </c>
      <c r="AD237" s="88">
        <f>'Q100a-geral'!AD681</f>
        <v>411.81204045310074</v>
      </c>
      <c r="AE237" s="88">
        <f>'Q100a-geral'!AE681</f>
        <v>407.05349690191775</v>
      </c>
      <c r="AF237" s="88">
        <f>'Q100a-geral'!AF681</f>
        <v>402.91712683443058</v>
      </c>
      <c r="AG237" s="88">
        <f>'Q100a-geral'!AG681</f>
        <v>294</v>
      </c>
      <c r="AH237" s="88">
        <f>'Q100a-geral'!AH681</f>
        <v>125.05953729352912</v>
      </c>
      <c r="AI237" s="88">
        <f>'Q100a-geral'!AI681</f>
        <v>103.56469562162511</v>
      </c>
      <c r="AJ237" s="88">
        <f>'Q100a-geral'!AJ681</f>
        <v>98.263181961660578</v>
      </c>
      <c r="AK237" s="137" t="str">
        <f>'Q100a-geral'!AK681</f>
        <v>x</v>
      </c>
      <c r="AL237" s="212" t="str">
        <f>'Q100a-geral'!AL681</f>
        <v>x</v>
      </c>
      <c r="AM237" s="137" t="str">
        <f>'Q100a-geral'!AM681</f>
        <v>x</v>
      </c>
      <c r="AN237" s="137" t="str">
        <f>'Q100a-geral'!AN681</f>
        <v>x</v>
      </c>
      <c r="AO237" s="137" t="str">
        <f>'Q100a-geral'!AO681</f>
        <v>x</v>
      </c>
      <c r="AP237" s="137" t="str">
        <f>'Q100a-geral'!AP681</f>
        <v>x</v>
      </c>
      <c r="AQ237" s="137" t="str">
        <f>'Q100a-geral'!AQ681</f>
        <v>x</v>
      </c>
      <c r="AR237" s="137"/>
      <c r="AS237" s="137"/>
      <c r="AT237" s="137"/>
      <c r="AU237" s="137"/>
      <c r="AV237" s="137" t="str">
        <f>'Q100a-geral'!AV681</f>
        <v>x</v>
      </c>
      <c r="AW237" s="137"/>
      <c r="AX237" s="137"/>
      <c r="AY237" s="137"/>
      <c r="AZ237" s="137"/>
      <c r="BA237" s="137" t="str">
        <f>'Q100a-geral'!BA681</f>
        <v>x</v>
      </c>
      <c r="BB237" s="239" t="str">
        <f>'Q100a-geral'!BB681</f>
        <v>Sinalização semafóricax</v>
      </c>
      <c r="BC237" s="239" t="str">
        <f>'Q100a-geral'!BC681</f>
        <v>Sinalização semafóricaxx</v>
      </c>
      <c r="BD237" s="239" t="str">
        <f>'Q100a-geral'!BD681</f>
        <v>Sinalização semafóricax</v>
      </c>
    </row>
    <row r="238" spans="1:56" s="1" customFormat="1" ht="118.5" customHeight="1" x14ac:dyDescent="0.25">
      <c r="A238" s="275" t="str">
        <f>'Q100a-geral'!A688</f>
        <v>5.1</v>
      </c>
      <c r="B238" s="11" t="str">
        <f>'Q100a-geral'!B688</f>
        <v>Gases de efeito estufa</v>
      </c>
      <c r="C238" s="57" t="str">
        <f>'Q100a-geral'!C688</f>
        <v>CMMCE</v>
      </c>
      <c r="D238" s="287" t="str">
        <f>'Q100a-geral'!D688</f>
        <v>EG 
(milhões de tCO2e)</v>
      </c>
      <c r="E238" s="919" t="str">
        <f>'Q100a-geral'!E688</f>
        <v>Belo Horizonte</v>
      </c>
      <c r="F238" s="490" t="str">
        <f>'Q100a-geral'!F688</f>
        <v>emissão total de GEE em Belo Horizonte (em milhões de toneladas de CO2e)
obs.2: como há divergências nos resultados apresentados nas diversas fontes consultadas (BH, 2015a1/a2; 2015b1/b2/b3/b4/b5) o SisMob-BH optou por sempre utilizar os resultados da fonte que os apresenta mais desagregados (2.595.153 tCO2e  arredondado para 2,60 em vez de 2,59 para ano 2000 e 3.015.365 tCO2e arredondado para 3,02 em vez de 3,01 para ano 2005)</v>
      </c>
      <c r="G238" s="14" t="str">
        <f>'Q100a-geral'!G688</f>
        <v>EG (em tCO2e) / 1.000.000</v>
      </c>
      <c r="H238" s="173" t="str">
        <f>'Q100a-geral'!H688</f>
        <v>x</v>
      </c>
      <c r="I238" s="57">
        <f>'Q100a-geral'!I688</f>
        <v>1</v>
      </c>
      <c r="J238" s="109" t="str">
        <f>'Q100a-geral'!J688</f>
        <v>x</v>
      </c>
      <c r="K238" s="109" t="str">
        <f>'Q100a-geral'!K688</f>
        <v>x</v>
      </c>
      <c r="L238" s="109" t="str">
        <f>'Q100a-geral'!L688</f>
        <v>x</v>
      </c>
      <c r="M238" s="109" t="str">
        <f>'Q100a-geral'!M688</f>
        <v>x</v>
      </c>
      <c r="N238" s="109" t="str">
        <f>'Q100a-geral'!N688</f>
        <v>x</v>
      </c>
      <c r="O238" s="109" t="str">
        <f>'Q100a-geral'!O688</f>
        <v>x</v>
      </c>
      <c r="P238" s="109" t="str">
        <f>'Q100a-geral'!P688</f>
        <v>x</v>
      </c>
      <c r="Q238" s="109" t="str">
        <f>'Q100a-geral'!Q688</f>
        <v>x</v>
      </c>
      <c r="R238" s="109" t="str">
        <f>'Q100a-geral'!R688</f>
        <v>x</v>
      </c>
      <c r="S238" s="109" t="str">
        <f>'Q100a-geral'!S688</f>
        <v>só para pesquisa</v>
      </c>
      <c r="T238" s="109" t="str">
        <f>'Q100a-geral'!T688</f>
        <v>x</v>
      </c>
      <c r="U238" s="22">
        <f>'Q100a-geral'!U688</f>
        <v>2.5951529999999998</v>
      </c>
      <c r="V238" s="107" t="str">
        <f>'Q100a-geral'!V688</f>
        <v>só para pesquisa</v>
      </c>
      <c r="W238" s="22">
        <f>'Q100a-geral'!W688</f>
        <v>2.7469679999999999</v>
      </c>
      <c r="X238" s="22">
        <f>'Q100a-geral'!X688</f>
        <v>2.8711310000000001</v>
      </c>
      <c r="Y238" s="22">
        <f>'Q100a-geral'!Y688</f>
        <v>2.8825989999999999</v>
      </c>
      <c r="Z238" s="22">
        <f>'Q100a-geral'!Z688</f>
        <v>2.9671560000000001</v>
      </c>
      <c r="AA238" s="22">
        <f>'Q100a-geral'!AA688</f>
        <v>3.0153650000000001</v>
      </c>
      <c r="AB238" s="22">
        <f>'Q100a-geral'!AB688</f>
        <v>3.122662</v>
      </c>
      <c r="AC238" s="22">
        <f>'Q100a-geral'!AC688</f>
        <v>3.178509</v>
      </c>
      <c r="AD238" s="22">
        <f>'Q100a-geral'!AD688</f>
        <v>3.434480867995735</v>
      </c>
      <c r="AE238" s="22">
        <f>'Q100a-geral'!AE688</f>
        <v>3.4663191987606075</v>
      </c>
      <c r="AF238" s="22">
        <f>'Q100a-geral'!AF688</f>
        <v>3.7542720266638967</v>
      </c>
      <c r="AG238" s="22">
        <f>'Q100a-geral'!AG688</f>
        <v>3.9670132312288535</v>
      </c>
      <c r="AH238" s="22">
        <f>'Q100a-geral'!AH688</f>
        <v>4.2367969654013171</v>
      </c>
      <c r="AI238" s="22">
        <f>'Q100a-geral'!AI688</f>
        <v>4.3950771573319489</v>
      </c>
      <c r="AJ238" s="923"/>
      <c r="AK238" s="923"/>
      <c r="AL238" s="924" t="str">
        <f>'Q100a-geral'!AL688</f>
        <v>x</v>
      </c>
      <c r="AM238" s="923"/>
      <c r="AN238" s="923"/>
      <c r="AO238" s="923"/>
      <c r="AP238" s="923"/>
      <c r="AQ238" s="923"/>
      <c r="AR238" s="923"/>
      <c r="AS238" s="923"/>
      <c r="AT238" s="923"/>
      <c r="AU238" s="923"/>
      <c r="AV238" s="923"/>
      <c r="AW238" s="923"/>
      <c r="AX238" s="923"/>
      <c r="AY238" s="923"/>
      <c r="AZ238" s="923"/>
      <c r="BA238" s="923"/>
      <c r="BB238" s="239" t="str">
        <f>'Q100a-geral'!BB688</f>
        <v>Gases de efeito estufaCMMCE</v>
      </c>
      <c r="BC238" s="239" t="str">
        <f>'Q100a-geral'!BC688</f>
        <v>Gases de efeito estufaCMMCEx</v>
      </c>
      <c r="BD238" s="239" t="str">
        <f>'Q100a-geral'!BD688</f>
        <v>Gases de efeito estufax</v>
      </c>
    </row>
    <row r="239" spans="1:56" s="1" customFormat="1" ht="103.5" customHeight="1" x14ac:dyDescent="0.25">
      <c r="A239" s="275" t="str">
        <f>'Q100a-geral'!A692</f>
        <v>5.1</v>
      </c>
      <c r="B239" s="11" t="str">
        <f>'Q100a-geral'!B692</f>
        <v>Gases de efeito estufa</v>
      </c>
      <c r="C239" s="57" t="str">
        <f>'Q100a-geral'!C692</f>
        <v>x</v>
      </c>
      <c r="D239" s="287" t="str">
        <f>'Q100a-geral'!D692</f>
        <v>EG 
(meta em milhões tCO2e)</v>
      </c>
      <c r="E239" s="921" t="str">
        <f>'Q100a-geral'!E692</f>
        <v>Belo Horizonte</v>
      </c>
      <c r="F239" s="490" t="str">
        <f>'Q100a-geral'!F692</f>
        <v>emissão total de GEE em Belo Horizonte (em milhões de toneladas de CO2e)
obs.1: diferente do definido no SisMob-BH, a unidade "milhões de toneladas de CO2e" foi a escolhida pema SMMA/BH para anunciar os resultados oficiais do indicador EG conforme BH(2015a1/a2)
obs.2: como há pequenas divergências nos resultados apresentados nas fontes consultadas (BH, 2015a; 2015b), aqui foram escolhidos sempre os resultados da fonte que os apresenta mais desagregados (2.595.153 tCO2e  que é arredondado para 2,60 em vez de 2,59 para ano 2000 e 3.015.365 tCO2e que é arredondado para 3,02 em vez de 3,01 para ano 2005)</v>
      </c>
      <c r="G239" s="14" t="str">
        <f>'Q100a-geral'!G692</f>
        <v>EG (meta em tCO2e) / 1.000.000</v>
      </c>
      <c r="H239" s="173" t="str">
        <f>'Q100a-geral'!H692</f>
        <v>x</v>
      </c>
      <c r="I239" s="57">
        <f>'Q100a-geral'!I692</f>
        <v>1</v>
      </c>
      <c r="J239" s="109" t="str">
        <f>'Q100a-geral'!J692</f>
        <v>x</v>
      </c>
      <c r="K239" s="109" t="str">
        <f>'Q100a-geral'!K692</f>
        <v>x</v>
      </c>
      <c r="L239" s="109" t="str">
        <f>'Q100a-geral'!L692</f>
        <v>x</v>
      </c>
      <c r="M239" s="109" t="str">
        <f>'Q100a-geral'!M692</f>
        <v>x</v>
      </c>
      <c r="N239" s="109" t="str">
        <f>'Q100a-geral'!N692</f>
        <v>x</v>
      </c>
      <c r="O239" s="109" t="str">
        <f>'Q100a-geral'!O692</f>
        <v>x</v>
      </c>
      <c r="P239" s="109" t="str">
        <f>'Q100a-geral'!P692</f>
        <v>x</v>
      </c>
      <c r="Q239" s="109" t="str">
        <f>'Q100a-geral'!Q692</f>
        <v>x</v>
      </c>
      <c r="R239" s="109" t="str">
        <f>'Q100a-geral'!R692</f>
        <v>x</v>
      </c>
      <c r="S239" s="109" t="str">
        <f>'Q100a-geral'!S692</f>
        <v>só para pesquisa</v>
      </c>
      <c r="T239" s="109" t="str">
        <f>'Q100a-geral'!T692</f>
        <v>x</v>
      </c>
      <c r="U239" s="478"/>
      <c r="V239" s="109" t="str">
        <f>'Q100a-geral'!V692</f>
        <v>só para pesquisa</v>
      </c>
      <c r="W239" s="478"/>
      <c r="X239" s="478"/>
      <c r="Y239" s="478"/>
      <c r="Z239" s="478"/>
      <c r="AA239" s="478"/>
      <c r="AB239" s="478"/>
      <c r="AC239" s="478"/>
      <c r="AD239" s="478"/>
      <c r="AE239" s="478"/>
      <c r="AF239" s="478"/>
      <c r="AG239" s="478"/>
      <c r="AH239" s="478"/>
      <c r="AI239" s="478"/>
      <c r="AJ239" s="64">
        <f>'Q100a-geral'!AJ692</f>
        <v>4.4739953035028499</v>
      </c>
      <c r="AK239" s="64">
        <f>'Q100a-geral'!AK692</f>
        <v>4.6428698260050503</v>
      </c>
      <c r="AL239" s="217" t="str">
        <f>'Q100a-geral'!AL692</f>
        <v>x</v>
      </c>
      <c r="AM239" s="64">
        <f>'Q100a-geral'!AM692</f>
        <v>4.74859718009359</v>
      </c>
      <c r="AN239" s="64">
        <f>'Q100a-geral'!AN692</f>
        <v>4.8512351881786797</v>
      </c>
      <c r="AO239" s="64">
        <f>'Q100a-geral'!AO692</f>
        <v>4.9507481341736099</v>
      </c>
      <c r="AP239" s="64">
        <f>'Q100a-geral'!AP692</f>
        <v>5.04709992825242</v>
      </c>
      <c r="AQ239" s="64">
        <f>'Q100a-geral'!AQ692</f>
        <v>5.1402541031559004</v>
      </c>
      <c r="AR239" s="64">
        <f>'Q100a-geral'!AR692</f>
        <v>5.2001863046351504</v>
      </c>
      <c r="AS239" s="64">
        <f>'Q100a-geral'!AS692</f>
        <v>5.25745500507547</v>
      </c>
      <c r="AT239" s="64">
        <f>'Q100a-geral'!AT692</f>
        <v>5.31202988079934</v>
      </c>
      <c r="AU239" s="64">
        <f>'Q100a-geral'!AU692</f>
        <v>5.3638802934144696</v>
      </c>
      <c r="AV239" s="64">
        <f>'Q100a-geral'!AV692</f>
        <v>5.4129752867190604</v>
      </c>
      <c r="AW239" s="64">
        <f>'Q100a-geral'!AW692</f>
        <v>5.4893991534534496</v>
      </c>
      <c r="AX239" s="64">
        <f>'Q100a-geral'!AX692</f>
        <v>5.5623345716372397</v>
      </c>
      <c r="AY239" s="64">
        <f>'Q100a-geral'!AY692</f>
        <v>5.6317415709661498</v>
      </c>
      <c r="AZ239" s="64">
        <f>'Q100a-geral'!AZ692</f>
        <v>5.6975797648717403</v>
      </c>
      <c r="BA239" s="64">
        <f>'Q100a-geral'!BA692</f>
        <v>5.7598083464192698</v>
      </c>
      <c r="BB239" s="239" t="str">
        <f>'Q100a-geral'!BB692</f>
        <v>Gases de efeito estufax</v>
      </c>
      <c r="BC239" s="239" t="str">
        <f>'Q100a-geral'!BC692</f>
        <v>Gases de efeito estufaxx</v>
      </c>
      <c r="BD239" s="239" t="str">
        <f>'Q100a-geral'!BD692</f>
        <v>Gases de efeito estufax</v>
      </c>
    </row>
    <row r="240" spans="1:56" s="1" customFormat="1" ht="51" x14ac:dyDescent="0.25">
      <c r="A240" s="275" t="str">
        <f>'Q100a-geral'!A693</f>
        <v>5.1</v>
      </c>
      <c r="B240" s="11" t="str">
        <f>'Q100a-geral'!B693</f>
        <v>Gases de efeito estufa</v>
      </c>
      <c r="C240" s="57" t="str">
        <f>'Q100a-geral'!C693</f>
        <v>x</v>
      </c>
      <c r="D240" s="287" t="str">
        <f>'Q100a-geral'!D693</f>
        <v>EG
(gap da meta)</v>
      </c>
      <c r="E240" s="919" t="str">
        <f>'Q100a-geral'!E693</f>
        <v>Belo Horizonte</v>
      </c>
      <c r="F240" s="490" t="str">
        <f>'Q100a-geral'!F693</f>
        <v>percentual de diferença entre o valor estabelecido como meta para EG e o valor efetivamente medido do indicador "EG", ambos em tCO2e
obs.: resultado negativo indica que o valor projetado como meta é menor que o valor calculado no inventário, ou seja, que a meta definida não foi alcançada no ano</v>
      </c>
      <c r="G240" s="14" t="str">
        <f>'Q100a-geral'!G693</f>
        <v>(EG (meta em 2016 em tCO2e) - EG (em tCO2e)) / EG (meta em 2016 em tCO2e)) x 100</v>
      </c>
      <c r="H240" s="173" t="str">
        <f>'Q100a-geral'!H693</f>
        <v>x</v>
      </c>
      <c r="I240" s="57">
        <f>'Q100a-geral'!I693</f>
        <v>1</v>
      </c>
      <c r="J240" s="109" t="str">
        <f>'Q100a-geral'!J693</f>
        <v>x</v>
      </c>
      <c r="K240" s="109" t="str">
        <f>'Q100a-geral'!K693</f>
        <v>x</v>
      </c>
      <c r="L240" s="109" t="str">
        <f>'Q100a-geral'!L693</f>
        <v>x</v>
      </c>
      <c r="M240" s="109" t="str">
        <f>'Q100a-geral'!M693</f>
        <v>x</v>
      </c>
      <c r="N240" s="109" t="str">
        <f>'Q100a-geral'!N693</f>
        <v>x</v>
      </c>
      <c r="O240" s="109" t="str">
        <f>'Q100a-geral'!O693</f>
        <v>x</v>
      </c>
      <c r="P240" s="109" t="str">
        <f>'Q100a-geral'!P693</f>
        <v>x</v>
      </c>
      <c r="Q240" s="109" t="str">
        <f>'Q100a-geral'!Q693</f>
        <v>x</v>
      </c>
      <c r="R240" s="109" t="str">
        <f>'Q100a-geral'!R693</f>
        <v>x</v>
      </c>
      <c r="S240" s="109" t="str">
        <f>'Q100a-geral'!S693</f>
        <v>só para pesquisa</v>
      </c>
      <c r="T240" s="109" t="str">
        <f>'Q100a-geral'!T693</f>
        <v>x</v>
      </c>
      <c r="U240" s="87" t="str">
        <f>'Q100a-geral'!U693</f>
        <v>x</v>
      </c>
      <c r="V240" s="107" t="str">
        <f>'Q100a-geral'!V693</f>
        <v>só para pesquisa</v>
      </c>
      <c r="W240" s="87" t="str">
        <f>'Q100a-geral'!W693</f>
        <v>x</v>
      </c>
      <c r="X240" s="87" t="str">
        <f>'Q100a-geral'!X693</f>
        <v>x</v>
      </c>
      <c r="Y240" s="87" t="str">
        <f>'Q100a-geral'!Y693</f>
        <v>x</v>
      </c>
      <c r="Z240" s="87" t="str">
        <f>'Q100a-geral'!Z693</f>
        <v>x</v>
      </c>
      <c r="AA240" s="87" t="str">
        <f>'Q100a-geral'!AA693</f>
        <v>x</v>
      </c>
      <c r="AB240" s="87" t="str">
        <f>'Q100a-geral'!AB693</f>
        <v>x</v>
      </c>
      <c r="AC240" s="87" t="str">
        <f>'Q100a-geral'!AC693</f>
        <v>x</v>
      </c>
      <c r="AD240" s="47">
        <f>'Q100a-geral'!AD693</f>
        <v>-1.7165859522743906E-2</v>
      </c>
      <c r="AE240" s="47">
        <f>'Q100a-geral'!AE693</f>
        <v>2.8832186078485977E-2</v>
      </c>
      <c r="AF240" s="47">
        <f>'Q100a-geral'!AF693</f>
        <v>1.0129009829907218E-3</v>
      </c>
      <c r="AG240" s="47">
        <f>'Q100a-geral'!AG693</f>
        <v>-6.083243788924316E-3</v>
      </c>
      <c r="AH240" s="47">
        <f>'Q100a-geral'!AH693</f>
        <v>-2.7344697627649146E-2</v>
      </c>
      <c r="AI240" s="47">
        <f>'Q100a-geral'!AI693</f>
        <v>-2.1865763988891198E-2</v>
      </c>
      <c r="AJ240" s="47" t="e">
        <f>'Q100a-geral'!AJ693</f>
        <v>#VALUE!</v>
      </c>
      <c r="AK240" s="23" t="e">
        <f>'Q100a-geral'!AK693</f>
        <v>#VALUE!</v>
      </c>
      <c r="AL240" s="212" t="str">
        <f>'Q100a-geral'!AL693</f>
        <v>x</v>
      </c>
      <c r="AM240" s="47" t="e">
        <f>'Q100a-geral'!AM693</f>
        <v>#VALUE!</v>
      </c>
      <c r="AN240" s="47" t="e">
        <f>'Q100a-geral'!AN693</f>
        <v>#VALUE!</v>
      </c>
      <c r="AO240" s="47" t="e">
        <f>'Q100a-geral'!AO693</f>
        <v>#VALUE!</v>
      </c>
      <c r="AP240" s="47" t="e">
        <f>'Q100a-geral'!AP693</f>
        <v>#VALUE!</v>
      </c>
      <c r="AQ240" s="47" t="e">
        <f>'Q100a-geral'!AQ693</f>
        <v>#VALUE!</v>
      </c>
      <c r="AR240" s="47" t="e">
        <f>'Q100a-geral'!AR693</f>
        <v>#VALUE!</v>
      </c>
      <c r="AS240" s="47" t="e">
        <f>'Q100a-geral'!AS693</f>
        <v>#VALUE!</v>
      </c>
      <c r="AT240" s="47" t="e">
        <f>'Q100a-geral'!AT693</f>
        <v>#VALUE!</v>
      </c>
      <c r="AU240" s="47" t="e">
        <f>'Q100a-geral'!AU693</f>
        <v>#VALUE!</v>
      </c>
      <c r="AV240" s="47" t="e">
        <f>'Q100a-geral'!AV693</f>
        <v>#VALUE!</v>
      </c>
      <c r="AW240" s="47" t="e">
        <f>'Q100a-geral'!AW693</f>
        <v>#VALUE!</v>
      </c>
      <c r="AX240" s="47" t="e">
        <f>'Q100a-geral'!AX693</f>
        <v>#VALUE!</v>
      </c>
      <c r="AY240" s="47" t="e">
        <f>'Q100a-geral'!AY693</f>
        <v>#VALUE!</v>
      </c>
      <c r="AZ240" s="47" t="e">
        <f>'Q100a-geral'!AZ693</f>
        <v>#VALUE!</v>
      </c>
      <c r="BA240" s="922" t="e">
        <f>'Q100a-geral'!BA693</f>
        <v>#VALUE!</v>
      </c>
      <c r="BB240" s="239" t="str">
        <f>'Q100a-geral'!BB693</f>
        <v>Gases de efeito estufax</v>
      </c>
      <c r="BC240" s="239" t="str">
        <f>'Q100a-geral'!BC693</f>
        <v>Gases de efeito estufaxx</v>
      </c>
      <c r="BD240" s="239" t="str">
        <f>'Q100a-geral'!BD693</f>
        <v>Gases de efeito estufax</v>
      </c>
    </row>
    <row r="241" spans="1:57" s="1" customFormat="1" ht="135" x14ac:dyDescent="0.25">
      <c r="A241" s="275" t="str">
        <f>'Q100a-geral'!A700</f>
        <v>5.1</v>
      </c>
      <c r="B241" s="11" t="str">
        <f>'Q100a-geral'!B700</f>
        <v>Gases de efeito estufa</v>
      </c>
      <c r="C241" s="57" t="str">
        <f>'Q100a-geral'!C700</f>
        <v>CMMCE</v>
      </c>
      <c r="D241" s="287" t="str">
        <f>'Q100a-geral'!D700</f>
        <v>EG por habitante
(SisMob-BH)</v>
      </c>
      <c r="E241" s="921" t="str">
        <f>'Q100a-geral'!E700</f>
        <v>Belo Horizonte</v>
      </c>
      <c r="F241" s="492" t="str">
        <f>'Q100a-geral'!F700</f>
        <v xml:space="preserve">emissão total de GEE em relação à população (em toneladas de CO2e/habitante)
obs.1: como há divergências nos resultados apresentados nas fontes consultadas (BELO HORIZONTE, 2015a, 2015b), o SisMob-BH escolheu como resultados os obtidos por aplicação da fórmula, levando a obtenção de 1,26 em vez de 1,27 (2002); 1,25 em vez de 1,26 (2003); 1,26 em vez de 1,30 (2004); 1,27 em vez de 1,31 (2005); 1,30 em vez de 1,35 (2006); 1,32 em vez de 1,36 (2007); 1,41 em vez de 1,46 (2008); 1,41 em vez de 1,47 (2009); 1,66 em vez de 1,65 (2011); 1,77 em vez de 1,74 (2012); 1,77 em vez de 1,79 (2013)
obs.2: acesse "EG por habitante (inventário)" para comparar resultados, destacando-se que há diferenças pois o inventário utiliza dados de populaçao que não são os utiilizados pelo SisMob-BH (divulgados pelo IBGE)
obs.3: indicador tático da BHTrans com o nome "emissões de gases de efeito estufa per capita" (BHTRANS, 2015d)
obs.3: indicador com metas anuais definidas (acesse)
obs.4: este indicador faz parte dos "indicadores urbanos globais" do Global City Institute com a denominação de " emissões de gases estufa em toneladas per capita" </v>
      </c>
      <c r="G241" s="14" t="str">
        <f>'Q100a-geral'!G700</f>
        <v>EG/P</v>
      </c>
      <c r="H241" s="173" t="str">
        <f>'Q100a-geral'!H700</f>
        <v>x</v>
      </c>
      <c r="I241" s="57">
        <f>'Q100a-geral'!I700</f>
        <v>1</v>
      </c>
      <c r="J241" s="109" t="str">
        <f>'Q100a-geral'!J700</f>
        <v>x</v>
      </c>
      <c r="K241" s="109" t="str">
        <f>'Q100a-geral'!K700</f>
        <v>x</v>
      </c>
      <c r="L241" s="109" t="str">
        <f>'Q100a-geral'!L700</f>
        <v>x</v>
      </c>
      <c r="M241" s="109" t="str">
        <f>'Q100a-geral'!M700</f>
        <v>x</v>
      </c>
      <c r="N241" s="109" t="str">
        <f>'Q100a-geral'!N700</f>
        <v>x</v>
      </c>
      <c r="O241" s="109" t="str">
        <f>'Q100a-geral'!O700</f>
        <v>x</v>
      </c>
      <c r="P241" s="109" t="str">
        <f>'Q100a-geral'!P700</f>
        <v>x</v>
      </c>
      <c r="Q241" s="109" t="str">
        <f>'Q100a-geral'!Q700</f>
        <v>x</v>
      </c>
      <c r="R241" s="109" t="str">
        <f>'Q100a-geral'!R700</f>
        <v>x</v>
      </c>
      <c r="S241" s="109" t="str">
        <f>'Q100a-geral'!S700</f>
        <v>só para pesquisa</v>
      </c>
      <c r="T241" s="109" t="str">
        <f>'Q100a-geral'!T700</f>
        <v>x</v>
      </c>
      <c r="U241" s="64">
        <f>'Q100a-geral'!U700</f>
        <v>1.1593133159945428</v>
      </c>
      <c r="V241" s="107" t="str">
        <f>'Q100a-geral'!V700</f>
        <v>só para pesquisa</v>
      </c>
      <c r="W241" s="64">
        <f>'Q100a-geral'!W700</f>
        <v>1.2162114417298651</v>
      </c>
      <c r="X241" s="64">
        <f>'Q100a-geral'!X700</f>
        <v>1.2568050854728541</v>
      </c>
      <c r="Y241" s="64">
        <f>'Q100a-geral'!Y700</f>
        <v>1.2501448513582201</v>
      </c>
      <c r="Z241" s="64">
        <f>'Q100a-geral'!Z700</f>
        <v>1.2623166184796499</v>
      </c>
      <c r="AA241" s="64">
        <f>'Q100a-geral'!AA700</f>
        <v>1.2694515159794706</v>
      </c>
      <c r="AB241" s="64">
        <f>'Q100a-geral'!AB700</f>
        <v>1.3011525384179472</v>
      </c>
      <c r="AC241" s="64">
        <f>'Q100a-geral'!AC700</f>
        <v>1.3172780723243085</v>
      </c>
      <c r="AD241" s="64">
        <f>'Q100a-geral'!AD700</f>
        <v>1.4106718227960149</v>
      </c>
      <c r="AE241" s="64">
        <f>'Q100a-geral'!AE700</f>
        <v>1.4133145121152659</v>
      </c>
      <c r="AF241" s="64">
        <f>'Q100a-geral'!AF700</f>
        <v>1.5806456207053348</v>
      </c>
      <c r="AG241" s="64">
        <f>'Q100a-geral'!AG700</f>
        <v>1.6628716953223679</v>
      </c>
      <c r="AH241" s="64">
        <f>'Q100a-geral'!AH700</f>
        <v>1.7684378879579417</v>
      </c>
      <c r="AI241" s="64">
        <f>'Q100a-geral'!AI700</f>
        <v>1.7728054233308186</v>
      </c>
      <c r="AJ241" s="420"/>
      <c r="AK241" s="420"/>
      <c r="AL241" s="212" t="str">
        <f>'Q100a-geral'!AL700</f>
        <v>x</v>
      </c>
      <c r="AM241" s="133"/>
      <c r="AN241" s="133"/>
      <c r="AO241" s="133"/>
      <c r="AP241" s="133"/>
      <c r="AQ241" s="133"/>
      <c r="AR241" s="133"/>
      <c r="AS241" s="133"/>
      <c r="AT241" s="133"/>
      <c r="AU241" s="133"/>
      <c r="AV241" s="133"/>
      <c r="AW241" s="133"/>
      <c r="AX241" s="133"/>
      <c r="AY241" s="133"/>
      <c r="AZ241" s="133"/>
      <c r="BA241" s="133"/>
      <c r="BB241" s="239" t="str">
        <f>'Q100a-geral'!BB700</f>
        <v>Gases de efeito estufaCMMCE</v>
      </c>
      <c r="BC241" s="239" t="str">
        <f>'Q100a-geral'!BC700</f>
        <v>Gases de efeito estufaCMMCEx</v>
      </c>
      <c r="BD241" s="239" t="str">
        <f>'Q100a-geral'!BD700</f>
        <v>Gases de efeito estufax</v>
      </c>
    </row>
    <row r="242" spans="1:57" s="1" customFormat="1" ht="53.25" customHeight="1" x14ac:dyDescent="0.25">
      <c r="A242" s="275" t="str">
        <f>'Q100a-geral'!A702</f>
        <v>5.1</v>
      </c>
      <c r="B242" s="11" t="str">
        <f>'Q100a-geral'!B702</f>
        <v>Gases de efeito estufa</v>
      </c>
      <c r="C242" s="57" t="str">
        <f>'Q100a-geral'!C702</f>
        <v>CMMCE</v>
      </c>
      <c r="D242" s="287" t="str">
        <f>'Q100a-geral'!D702</f>
        <v>EG por habitante
(metas em 2012)</v>
      </c>
      <c r="E242" s="458" t="str">
        <f>'Q100a-geral'!E702</f>
        <v>Belo Horizonte</v>
      </c>
      <c r="F242" s="492" t="str">
        <f>'Q100a-geral'!F702</f>
        <v xml:space="preserve">metas municipais definidas no ano 2012 para o indicador
obs.1: meta de "Reduzir a emissão de gases causadores do efeito estufa para 1,05 t de CO2/ano por habitante [sic = a unidade correta é CO2e por habitante.ano]; BH hoje = 1,32 (2007); meta 2015 = 1,2; meta 2030 = 1,05 conforme BH(2012b/indicador n.º 15; 2012c/considerandos)
obs.2: acesse o registro "EG por habitante (metas em 2016)" </v>
      </c>
      <c r="G242" s="14" t="str">
        <f>'Q100a-geral'!G702</f>
        <v>meta PBH</v>
      </c>
      <c r="H242" s="173" t="str">
        <f>'Q100a-geral'!H702</f>
        <v>meta/RPI</v>
      </c>
      <c r="I242" s="167" t="str">
        <f>'Q100a-geral'!I702</f>
        <v>x</v>
      </c>
      <c r="J242" s="109" t="str">
        <f>'Q100a-geral'!J702</f>
        <v>x</v>
      </c>
      <c r="K242" s="109" t="str">
        <f>'Q100a-geral'!K702</f>
        <v>x</v>
      </c>
      <c r="L242" s="109" t="str">
        <f>'Q100a-geral'!L702</f>
        <v>x</v>
      </c>
      <c r="M242" s="109" t="str">
        <f>'Q100a-geral'!M702</f>
        <v>x</v>
      </c>
      <c r="N242" s="109" t="str">
        <f>'Q100a-geral'!N702</f>
        <v>x</v>
      </c>
      <c r="O242" s="109" t="str">
        <f>'Q100a-geral'!O702</f>
        <v>x</v>
      </c>
      <c r="P242" s="109" t="str">
        <f>'Q100a-geral'!P702</f>
        <v>x</v>
      </c>
      <c r="Q242" s="109" t="str">
        <f>'Q100a-geral'!Q702</f>
        <v>x</v>
      </c>
      <c r="R242" s="109" t="str">
        <f>'Q100a-geral'!R702</f>
        <v>x</v>
      </c>
      <c r="S242" s="109" t="str">
        <f>'Q100a-geral'!S702</f>
        <v>só para pesquisa</v>
      </c>
      <c r="T242" s="109" t="str">
        <f>'Q100a-geral'!T702</f>
        <v>x</v>
      </c>
      <c r="U242" s="478"/>
      <c r="V242" s="109" t="str">
        <f>'Q100a-geral'!V702</f>
        <v>só para pesquisa</v>
      </c>
      <c r="W242" s="478"/>
      <c r="X242" s="478"/>
      <c r="Y242" s="478"/>
      <c r="Z242" s="478"/>
      <c r="AA242" s="478"/>
      <c r="AB242" s="478"/>
      <c r="AC242" s="478"/>
      <c r="AD242" s="478"/>
      <c r="AE242" s="478"/>
      <c r="AF242" s="478"/>
      <c r="AG242" s="478"/>
      <c r="AH242" s="478"/>
      <c r="AI242" s="478"/>
      <c r="AJ242" s="478"/>
      <c r="AK242" s="84">
        <f>'Q100a-geral'!AK702</f>
        <v>1.2</v>
      </c>
      <c r="AL242" s="167" t="str">
        <f>'Q100a-geral'!AL702</f>
        <v>x</v>
      </c>
      <c r="AM242" s="133"/>
      <c r="AN242" s="133"/>
      <c r="AO242" s="133"/>
      <c r="AP242" s="133"/>
      <c r="AQ242" s="133"/>
      <c r="AR242" s="133"/>
      <c r="AS242" s="133"/>
      <c r="AT242" s="133"/>
      <c r="AU242" s="133"/>
      <c r="AV242" s="133"/>
      <c r="AW242" s="133"/>
      <c r="AX242" s="133"/>
      <c r="AY242" s="133"/>
      <c r="AZ242" s="133"/>
      <c r="BA242" s="84">
        <f>'Q100a-geral'!BA702</f>
        <v>1.05</v>
      </c>
      <c r="BB242" s="239" t="str">
        <f>'Q100a-geral'!BB702</f>
        <v>Gases de efeito estufaCMMCE</v>
      </c>
      <c r="BC242" s="239" t="str">
        <f>'Q100a-geral'!BC702</f>
        <v>Gases de efeito estufaCMMCEmeta/RPI</v>
      </c>
      <c r="BD242" s="239" t="str">
        <f>'Q100a-geral'!BD702</f>
        <v>Gases de efeito estufameta/RPI</v>
      </c>
    </row>
    <row r="243" spans="1:57" s="1" customFormat="1" ht="75" customHeight="1" x14ac:dyDescent="0.25">
      <c r="A243" s="275" t="str">
        <f>'Q100a-geral'!A703</f>
        <v>5.1</v>
      </c>
      <c r="B243" s="11" t="str">
        <f>'Q100a-geral'!B703</f>
        <v>Gases de efeito estufa</v>
      </c>
      <c r="C243" s="57" t="str">
        <f>'Q100a-geral'!C703</f>
        <v>CMMCE</v>
      </c>
      <c r="D243" s="287" t="str">
        <f>'Q100a-geral'!D703</f>
        <v>EG por habitante
(metas em 2016)</v>
      </c>
      <c r="E243" s="898" t="str">
        <f>'Q100a-geral'!E703</f>
        <v>Belo Horizonte</v>
      </c>
      <c r="F243" s="492" t="str">
        <f>'Q100a-geral'!F703</f>
        <v>metas municipais definidas no ano 2016 para o indicador
obs.1: atualização 2011-2013 do inventário de emissão de GEE define meta para 2030 e metas intermediárias (em milhões tCO2e/habitante) que estão apresentadas em gráfico com valores contidos nos inventários e com projeções (business as usual e meta com redução) conforme BH(2015a1) corrigido em BH(2015a2, p.32)
obs.2: meta de "Reduzir em 20% as emissões de gases de efeito estufa em relação ao valor projetado para 2030, resultando em um índice máximo de 1,97 toneladas de CO2 por habitante/ano. [sic = a unidade correta é CO2e por habitante.ano]" conforme BH(2016e, p.90)
obs.3: os valores exatos das metas intermediárias anuais de 2008 a 2029 estão em planilha enviada pela Gesia/SMMA/PBH ao SisMob-BH, a pedido, conforme BH(2015b5)
obs.4: os valores das metas anuais intermediárias começam em 2008 porque o ponto de partida é o ano 2007
obs.5: meta de "Reduzir a emissão de gases causadores do efeito estufa para 1,05 toneladas de CO² por habitante [sic = a unidade correta é CO2e por habitante.ano], até 2030" conforme BH(2016e2, p.20), que já era um valor considerado não-possível de alcançar quando foi publicado o documento
obs.6: acesse o registro "metas globais 2030"</v>
      </c>
      <c r="G243" s="14" t="str">
        <f>'Q100a-geral'!G703</f>
        <v>meta PBH</v>
      </c>
      <c r="H243" s="173" t="str">
        <f>'Q100a-geral'!H703</f>
        <v>meta/RPI</v>
      </c>
      <c r="I243" s="167" t="str">
        <f>'Q100a-geral'!I703</f>
        <v>x</v>
      </c>
      <c r="J243" s="109" t="str">
        <f>'Q100a-geral'!J703</f>
        <v>x</v>
      </c>
      <c r="K243" s="109" t="str">
        <f>'Q100a-geral'!K703</f>
        <v>x</v>
      </c>
      <c r="L243" s="109" t="str">
        <f>'Q100a-geral'!L703</f>
        <v>x</v>
      </c>
      <c r="M243" s="109" t="str">
        <f>'Q100a-geral'!M703</f>
        <v>x</v>
      </c>
      <c r="N243" s="109" t="str">
        <f>'Q100a-geral'!N703</f>
        <v>x</v>
      </c>
      <c r="O243" s="109" t="str">
        <f>'Q100a-geral'!O703</f>
        <v>x</v>
      </c>
      <c r="P243" s="109" t="str">
        <f>'Q100a-geral'!P703</f>
        <v>x</v>
      </c>
      <c r="Q243" s="109" t="str">
        <f>'Q100a-geral'!Q703</f>
        <v>x</v>
      </c>
      <c r="R243" s="109" t="str">
        <f>'Q100a-geral'!R703</f>
        <v>x</v>
      </c>
      <c r="S243" s="109" t="str">
        <f>'Q100a-geral'!S703</f>
        <v>só para pesquisa</v>
      </c>
      <c r="T243" s="109" t="str">
        <f>'Q100a-geral'!T703</f>
        <v>x</v>
      </c>
      <c r="U243" s="478"/>
      <c r="V243" s="109" t="str">
        <f>'Q100a-geral'!V703</f>
        <v>só para pesquisa</v>
      </c>
      <c r="W243" s="478"/>
      <c r="X243" s="478"/>
      <c r="Y243" s="478"/>
      <c r="Z243" s="478"/>
      <c r="AA243" s="478"/>
      <c r="AB243" s="478"/>
      <c r="AC243" s="478"/>
      <c r="AD243" s="478"/>
      <c r="AE243" s="478"/>
      <c r="AF243" s="478"/>
      <c r="AG243" s="478"/>
      <c r="AH243" s="478"/>
      <c r="AI243" s="478"/>
      <c r="AJ243" s="83">
        <f>'Q100a-geral'!AJ703</f>
        <v>1.81</v>
      </c>
      <c r="AK243" s="83">
        <f>'Q100a-geral'!AK703</f>
        <v>1.86</v>
      </c>
      <c r="AL243" s="167" t="str">
        <f>'Q100a-geral'!AL703</f>
        <v>x</v>
      </c>
      <c r="AM243" s="84">
        <f>'Q100a-geral'!AM703</f>
        <v>1.88</v>
      </c>
      <c r="AN243" s="83">
        <f>'Q100a-geral'!AN703</f>
        <v>1.9</v>
      </c>
      <c r="AO243" s="84">
        <f>'Q100a-geral'!AO703</f>
        <v>1.92</v>
      </c>
      <c r="AP243" s="84">
        <f>'Q100a-geral'!AP703</f>
        <v>1.93</v>
      </c>
      <c r="AQ243" s="84">
        <f>'Q100a-geral'!AQ703</f>
        <v>1.95</v>
      </c>
      <c r="AR243" s="84">
        <f>'Q100a-geral'!AR703</f>
        <v>1.95</v>
      </c>
      <c r="AS243" s="84">
        <f>'Q100a-geral'!AS703</f>
        <v>1.95</v>
      </c>
      <c r="AT243" s="84">
        <f>'Q100a-geral'!AT703</f>
        <v>1.95</v>
      </c>
      <c r="AU243" s="84">
        <f>'Q100a-geral'!AU703</f>
        <v>1.95</v>
      </c>
      <c r="AV243" s="84">
        <f>'Q100a-geral'!AV703</f>
        <v>1.95</v>
      </c>
      <c r="AW243" s="84">
        <f>'Q100a-geral'!AW703</f>
        <v>1.96</v>
      </c>
      <c r="AX243" s="84">
        <f>'Q100a-geral'!AX703</f>
        <v>1.96</v>
      </c>
      <c r="AY243" s="84">
        <f>'Q100a-geral'!AY703</f>
        <v>1.96</v>
      </c>
      <c r="AZ243" s="84">
        <f>'Q100a-geral'!AZ703</f>
        <v>1.97</v>
      </c>
      <c r="BA243" s="84">
        <f>'Q100a-geral'!BA703</f>
        <v>1.97</v>
      </c>
      <c r="BB243" s="239" t="str">
        <f>'Q100a-geral'!BB703</f>
        <v>Gases de efeito estufaCMMCE</v>
      </c>
      <c r="BC243" s="239" t="str">
        <f>'Q100a-geral'!BC703</f>
        <v>Gases de efeito estufaCMMCEmeta/RPI</v>
      </c>
      <c r="BD243" s="239" t="str">
        <f>'Q100a-geral'!BD703</f>
        <v>Gases de efeito estufameta/RPI</v>
      </c>
    </row>
    <row r="244" spans="1:57" s="1" customFormat="1" ht="75" customHeight="1" x14ac:dyDescent="0.25">
      <c r="A244" s="275" t="str">
        <f>'Q100a-geral'!A704</f>
        <v>5.1</v>
      </c>
      <c r="B244" s="11" t="str">
        <f>'Q100a-geral'!B704</f>
        <v>Gases de efeito estufa</v>
      </c>
      <c r="C244" s="57" t="str">
        <f>'Q100a-geral'!C704</f>
        <v>CMMCE</v>
      </c>
      <c r="D244" s="287" t="str">
        <f>'Q100a-geral'!D704</f>
        <v>EG por habitante
(gap da meta)</v>
      </c>
      <c r="E244" s="909" t="str">
        <f>'Q100a-geral'!E704</f>
        <v>Belo Horizonte</v>
      </c>
      <c r="F244" s="492" t="str">
        <f>'Q100a-geral'!F704</f>
        <v>percentual de diferença entre a meta internediária projetadas a partir de 2008 e o valor medidos em inventário do indicador "EG por habitante"</v>
      </c>
      <c r="G244" s="14" t="str">
        <f>'Q100a-geral'!G704</f>
        <v>((EG por habitante (meta em 2016) - EG por habitante) / EG por habitante (meta em 2016)) x 100</v>
      </c>
      <c r="H244" s="173" t="str">
        <f>'Q100a-geral'!H704</f>
        <v>x</v>
      </c>
      <c r="I244" s="167">
        <f>'Q100a-geral'!I704</f>
        <v>1</v>
      </c>
      <c r="J244" s="109" t="str">
        <f>'Q100a-geral'!J704</f>
        <v>x</v>
      </c>
      <c r="K244" s="109" t="str">
        <f>'Q100a-geral'!K704</f>
        <v>x</v>
      </c>
      <c r="L244" s="109" t="str">
        <f>'Q100a-geral'!L704</f>
        <v>x</v>
      </c>
      <c r="M244" s="109" t="str">
        <f>'Q100a-geral'!M704</f>
        <v>x</v>
      </c>
      <c r="N244" s="109" t="str">
        <f>'Q100a-geral'!N704</f>
        <v>x</v>
      </c>
      <c r="O244" s="109" t="str">
        <f>'Q100a-geral'!O704</f>
        <v>x</v>
      </c>
      <c r="P244" s="109" t="str">
        <f>'Q100a-geral'!P704</f>
        <v>x</v>
      </c>
      <c r="Q244" s="109" t="str">
        <f>'Q100a-geral'!Q704</f>
        <v>x</v>
      </c>
      <c r="R244" s="109" t="str">
        <f>'Q100a-geral'!R704</f>
        <v>x</v>
      </c>
      <c r="S244" s="109" t="str">
        <f>'Q100a-geral'!S704</f>
        <v>só para pesquisa</v>
      </c>
      <c r="T244" s="109" t="str">
        <f>'Q100a-geral'!T704</f>
        <v>x</v>
      </c>
      <c r="U244" s="109" t="str">
        <f>'Q100a-geral'!U704</f>
        <v>x</v>
      </c>
      <c r="V244" s="109" t="str">
        <f>'Q100a-geral'!V704</f>
        <v>só para pesquisa</v>
      </c>
      <c r="W244" s="109" t="str">
        <f>'Q100a-geral'!W704</f>
        <v>x</v>
      </c>
      <c r="X244" s="109" t="str">
        <f>'Q100a-geral'!X704</f>
        <v>x</v>
      </c>
      <c r="Y244" s="109" t="str">
        <f>'Q100a-geral'!Y704</f>
        <v>x</v>
      </c>
      <c r="Z244" s="109" t="str">
        <f>'Q100a-geral'!Z704</f>
        <v>x</v>
      </c>
      <c r="AA244" s="109" t="str">
        <f>'Q100a-geral'!AA704</f>
        <v>x</v>
      </c>
      <c r="AB244" s="109" t="str">
        <f>'Q100a-geral'!AB704</f>
        <v>x</v>
      </c>
      <c r="AC244" s="109" t="str">
        <f>'Q100a-geral'!AC704</f>
        <v>x</v>
      </c>
      <c r="AD244" s="112">
        <f>'Q100a-geral'!AD704</f>
        <v>2.0366789724989627E-2</v>
      </c>
      <c r="AE244" s="112">
        <f>'Q100a-geral'!AE704</f>
        <v>6.4030124426976212E-2</v>
      </c>
      <c r="AF244" s="112">
        <f>'Q100a-geral'!AF704</f>
        <v>-4.0862069957891959E-4</v>
      </c>
      <c r="AG244" s="112">
        <f>'Q100a-geral'!AG704</f>
        <v>-1.3946155684370727E-2</v>
      </c>
      <c r="AH244" s="112">
        <f>'Q100a-geral'!AH704</f>
        <v>-4.0257581151730414E-2</v>
      </c>
      <c r="AI244" s="112">
        <f>'Q100a-geral'!AI704</f>
        <v>-1.3031670474753478E-2</v>
      </c>
      <c r="AJ244" s="111" t="e">
        <f>'Q100a-geral'!AJ704</f>
        <v>#VALUE!</v>
      </c>
      <c r="AK244" s="111" t="e">
        <f>'Q100a-geral'!AK704</f>
        <v>#VALUE!</v>
      </c>
      <c r="AL244" s="167" t="str">
        <f>'Q100a-geral'!AL704</f>
        <v>x</v>
      </c>
      <c r="AM244" s="111" t="e">
        <f>'Q100a-geral'!AM704</f>
        <v>#VALUE!</v>
      </c>
      <c r="AN244" s="111" t="e">
        <f>'Q100a-geral'!AN704</f>
        <v>#VALUE!</v>
      </c>
      <c r="AO244" s="111" t="e">
        <f>'Q100a-geral'!AO704</f>
        <v>#VALUE!</v>
      </c>
      <c r="AP244" s="111" t="e">
        <f>'Q100a-geral'!AP704</f>
        <v>#VALUE!</v>
      </c>
      <c r="AQ244" s="111" t="e">
        <f>'Q100a-geral'!AQ704</f>
        <v>#VALUE!</v>
      </c>
      <c r="AR244" s="111" t="e">
        <f>'Q100a-geral'!AR704</f>
        <v>#VALUE!</v>
      </c>
      <c r="AS244" s="111" t="e">
        <f>'Q100a-geral'!AS704</f>
        <v>#VALUE!</v>
      </c>
      <c r="AT244" s="111" t="e">
        <f>'Q100a-geral'!AT704</f>
        <v>#VALUE!</v>
      </c>
      <c r="AU244" s="111" t="e">
        <f>'Q100a-geral'!AU704</f>
        <v>#VALUE!</v>
      </c>
      <c r="AV244" s="111" t="e">
        <f>'Q100a-geral'!AV704</f>
        <v>#VALUE!</v>
      </c>
      <c r="AW244" s="111" t="e">
        <f>'Q100a-geral'!AW704</f>
        <v>#VALUE!</v>
      </c>
      <c r="AX244" s="111" t="e">
        <f>'Q100a-geral'!AX704</f>
        <v>#VALUE!</v>
      </c>
      <c r="AY244" s="111" t="e">
        <f>'Q100a-geral'!AY704</f>
        <v>#VALUE!</v>
      </c>
      <c r="AZ244" s="111" t="e">
        <f>'Q100a-geral'!AZ704</f>
        <v>#VALUE!</v>
      </c>
      <c r="BA244" s="111" t="e">
        <f>'Q100a-geral'!BA704</f>
        <v>#VALUE!</v>
      </c>
      <c r="BB244" s="239" t="str">
        <f>'Q100a-geral'!BB704</f>
        <v>Gases de efeito estufaCMMCE</v>
      </c>
      <c r="BC244" s="239" t="str">
        <f>'Q100a-geral'!BC704</f>
        <v>Gases de efeito estufaCMMCEx</v>
      </c>
      <c r="BD244" s="239" t="str">
        <f>'Q100a-geral'!BD704</f>
        <v>Gases de efeito estufax</v>
      </c>
    </row>
    <row r="245" spans="1:57" s="1" customFormat="1" ht="25.5" customHeight="1" x14ac:dyDescent="0.25">
      <c r="A245" s="275" t="str">
        <f>'Q100a-geral'!A706</f>
        <v>5.1</v>
      </c>
      <c r="B245" s="11" t="str">
        <f>'Q100a-geral'!B706</f>
        <v>Gases de efeito estufa</v>
      </c>
      <c r="C245" s="57" t="str">
        <f>'Q100a-geral'!C706</f>
        <v>CMMCE</v>
      </c>
      <c r="D245" s="287" t="str">
        <f>'Q100a-geral'!D706</f>
        <v>EG aéreo
(milhões de tCO2e)</v>
      </c>
      <c r="E245" s="458" t="str">
        <f>'Q100a-geral'!E706</f>
        <v>Belo Horizonte</v>
      </c>
      <c r="F245" s="492" t="str">
        <f>'Q100a-geral'!F706</f>
        <v>emissão de GEE no subsetor aéreo (em milhões de toneladas de CO2e)</v>
      </c>
      <c r="G245" s="252" t="str">
        <f>'Q100a-geral'!G706</f>
        <v>EG aéreo
(tCO2e) / 1.000.000</v>
      </c>
      <c r="H245" s="173" t="str">
        <f>'Q100a-geral'!H706</f>
        <v>x</v>
      </c>
      <c r="I245" s="57">
        <f>'Q100a-geral'!I706</f>
        <v>1</v>
      </c>
      <c r="J245" s="109" t="str">
        <f>'Q100a-geral'!J706</f>
        <v>x</v>
      </c>
      <c r="K245" s="109" t="str">
        <f>'Q100a-geral'!K706</f>
        <v>x</v>
      </c>
      <c r="L245" s="109" t="str">
        <f>'Q100a-geral'!L706</f>
        <v>x</v>
      </c>
      <c r="M245" s="109" t="str">
        <f>'Q100a-geral'!M706</f>
        <v>x</v>
      </c>
      <c r="N245" s="109" t="str">
        <f>'Q100a-geral'!N706</f>
        <v>x</v>
      </c>
      <c r="O245" s="109" t="str">
        <f>'Q100a-geral'!O706</f>
        <v>x</v>
      </c>
      <c r="P245" s="109" t="str">
        <f>'Q100a-geral'!P706</f>
        <v>x</v>
      </c>
      <c r="Q245" s="109" t="str">
        <f>'Q100a-geral'!Q706</f>
        <v>x</v>
      </c>
      <c r="R245" s="109" t="str">
        <f>'Q100a-geral'!R706</f>
        <v>x</v>
      </c>
      <c r="S245" s="109" t="str">
        <f>'Q100a-geral'!S706</f>
        <v>só para pesquisa</v>
      </c>
      <c r="T245" s="109" t="str">
        <f>'Q100a-geral'!T706</f>
        <v>x</v>
      </c>
      <c r="U245" s="64">
        <f>'Q100a-geral'!U706</f>
        <v>0.154361</v>
      </c>
      <c r="V245" s="107" t="str">
        <f>'Q100a-geral'!V706</f>
        <v>só para pesquisa</v>
      </c>
      <c r="W245" s="64">
        <f>'Q100a-geral'!W706</f>
        <v>0.17805399999999999</v>
      </c>
      <c r="X245" s="64">
        <f>'Q100a-geral'!X706</f>
        <v>0.20025699999999999</v>
      </c>
      <c r="Y245" s="64">
        <f>'Q100a-geral'!Y706</f>
        <v>0.21214</v>
      </c>
      <c r="Z245" s="64">
        <f>'Q100a-geral'!Z706</f>
        <v>0.24479100000000001</v>
      </c>
      <c r="AA245" s="64">
        <f>'Q100a-geral'!AA706</f>
        <v>0.25125500000000001</v>
      </c>
      <c r="AB245" s="64">
        <f>'Q100a-geral'!AB706</f>
        <v>0.27397700000000003</v>
      </c>
      <c r="AC245" s="64">
        <f>'Q100a-geral'!AC706</f>
        <v>0.30815700000000001</v>
      </c>
      <c r="AD245" s="64">
        <f>'Q100a-geral'!AD706</f>
        <v>0.39851399999999998</v>
      </c>
      <c r="AE245" s="64">
        <f>'Q100a-geral'!AE706</f>
        <v>0.473744</v>
      </c>
      <c r="AF245" s="64">
        <f>'Q100a-geral'!AF706</f>
        <v>0.60533499999999996</v>
      </c>
      <c r="AG245" s="64">
        <f>'Q100a-geral'!AG706</f>
        <v>0.76751654953565651</v>
      </c>
      <c r="AH245" s="64">
        <f>'Q100a-geral'!AH706</f>
        <v>0.81377565426982834</v>
      </c>
      <c r="AI245" s="64">
        <f>'Q100a-geral'!AI706</f>
        <v>0.79963014151775724</v>
      </c>
      <c r="AJ245" s="64">
        <f>'Q100a-geral'!AJ706</f>
        <v>0</v>
      </c>
      <c r="AK245" s="137" t="str">
        <f>'Q100a-geral'!AK706</f>
        <v>x</v>
      </c>
      <c r="AL245" s="212" t="str">
        <f>'Q100a-geral'!AL706</f>
        <v>x</v>
      </c>
      <c r="AM245" s="137" t="str">
        <f>'Q100a-geral'!AM706</f>
        <v>x</v>
      </c>
      <c r="AN245" s="137" t="str">
        <f>'Q100a-geral'!AN706</f>
        <v>x</v>
      </c>
      <c r="AO245" s="137" t="str">
        <f>'Q100a-geral'!AO706</f>
        <v>x</v>
      </c>
      <c r="AP245" s="137" t="str">
        <f>'Q100a-geral'!AP706</f>
        <v>x</v>
      </c>
      <c r="AQ245" s="137" t="str">
        <f>'Q100a-geral'!AQ706</f>
        <v>x</v>
      </c>
      <c r="AR245" s="137" t="str">
        <f>'Q100a-geral'!AR706</f>
        <v>x</v>
      </c>
      <c r="AS245" s="137" t="str">
        <f>'Q100a-geral'!AS706</f>
        <v>x</v>
      </c>
      <c r="AT245" s="137" t="str">
        <f>'Q100a-geral'!AT706</f>
        <v>x</v>
      </c>
      <c r="AU245" s="137" t="str">
        <f>'Q100a-geral'!AU706</f>
        <v>x</v>
      </c>
      <c r="AV245" s="137" t="str">
        <f>'Q100a-geral'!AV706</f>
        <v>x</v>
      </c>
      <c r="AW245" s="137" t="str">
        <f>'Q100a-geral'!AW706</f>
        <v>x</v>
      </c>
      <c r="AX245" s="137" t="str">
        <f>'Q100a-geral'!AX706</f>
        <v>x</v>
      </c>
      <c r="AY245" s="137" t="str">
        <f>'Q100a-geral'!AY706</f>
        <v>x</v>
      </c>
      <c r="AZ245" s="137" t="str">
        <f>'Q100a-geral'!AZ706</f>
        <v>x</v>
      </c>
      <c r="BA245" s="137" t="str">
        <f>'Q100a-geral'!BA706</f>
        <v>x</v>
      </c>
      <c r="BB245" s="239" t="str">
        <f>'Q100a-geral'!BB706</f>
        <v>Gases de efeito estufaCMMCE</v>
      </c>
      <c r="BC245" s="239" t="str">
        <f>'Q100a-geral'!BC706</f>
        <v>Gases de efeito estufaCMMCEx</v>
      </c>
      <c r="BD245" s="239" t="str">
        <f>'Q100a-geral'!BD706</f>
        <v>Gases de efeito estufax</v>
      </c>
    </row>
    <row r="246" spans="1:57" s="1" customFormat="1" ht="25.5" customHeight="1" x14ac:dyDescent="0.25">
      <c r="A246" s="275" t="str">
        <f>'Q100a-geral'!A707</f>
        <v>5.1</v>
      </c>
      <c r="B246" s="11" t="str">
        <f>'Q100a-geral'!B707</f>
        <v>Gases de efeito estufa</v>
      </c>
      <c r="C246" s="57" t="str">
        <f>'Q100a-geral'!C707</f>
        <v>CMMCE</v>
      </c>
      <c r="D246" s="287" t="str">
        <f>'Q100a-geral'!D707</f>
        <v>EG aéreo em relação a EG</v>
      </c>
      <c r="E246" s="921" t="str">
        <f>'Q100a-geral'!E707</f>
        <v>Belo Horizonte</v>
      </c>
      <c r="F246" s="492" t="str">
        <f>'Q100a-geral'!F707</f>
        <v>emissão de GEE no subsetor aéreo em relação à emissão total de GEE (em %)</v>
      </c>
      <c r="G246" s="14" t="str">
        <f>'Q100a-geral'!G707</f>
        <v>(EG aéreo / EG) x 100</v>
      </c>
      <c r="H246" s="173" t="str">
        <f>'Q100a-geral'!H707</f>
        <v>x</v>
      </c>
      <c r="I246" s="57">
        <f>'Q100a-geral'!I707</f>
        <v>1</v>
      </c>
      <c r="J246" s="109" t="str">
        <f>'Q100a-geral'!J707</f>
        <v>x</v>
      </c>
      <c r="K246" s="109" t="str">
        <f>'Q100a-geral'!K707</f>
        <v>x</v>
      </c>
      <c r="L246" s="109" t="str">
        <f>'Q100a-geral'!L707</f>
        <v>x</v>
      </c>
      <c r="M246" s="109" t="str">
        <f>'Q100a-geral'!M707</f>
        <v>x</v>
      </c>
      <c r="N246" s="109" t="str">
        <f>'Q100a-geral'!N707</f>
        <v>x</v>
      </c>
      <c r="O246" s="109" t="str">
        <f>'Q100a-geral'!O707</f>
        <v>x</v>
      </c>
      <c r="P246" s="109" t="str">
        <f>'Q100a-geral'!P707</f>
        <v>x</v>
      </c>
      <c r="Q246" s="109" t="str">
        <f>'Q100a-geral'!Q707</f>
        <v>x</v>
      </c>
      <c r="R246" s="109" t="str">
        <f>'Q100a-geral'!R707</f>
        <v>x</v>
      </c>
      <c r="S246" s="109" t="str">
        <f>'Q100a-geral'!S707</f>
        <v>só para pesquisa</v>
      </c>
      <c r="T246" s="109" t="str">
        <f>'Q100a-geral'!T707</f>
        <v>x</v>
      </c>
      <c r="U246" s="21">
        <f>'Q100a-geral'!U707</f>
        <v>5.9480500764309462E-2</v>
      </c>
      <c r="V246" s="107" t="str">
        <f>'Q100a-geral'!V707</f>
        <v>só para pesquisa</v>
      </c>
      <c r="W246" s="21">
        <f>'Q100a-geral'!W707</f>
        <v>6.4818374294858913E-2</v>
      </c>
      <c r="X246" s="21">
        <f>'Q100a-geral'!X707</f>
        <v>6.974847194363476E-2</v>
      </c>
      <c r="Y246" s="21">
        <f>'Q100a-geral'!Y707</f>
        <v>7.3593309371161236E-2</v>
      </c>
      <c r="Z246" s="21">
        <f>'Q100a-geral'!Z707</f>
        <v>8.2500212324528949E-2</v>
      </c>
      <c r="AA246" s="21">
        <f>'Q100a-geral'!AA707</f>
        <v>8.3324904281902853E-2</v>
      </c>
      <c r="AB246" s="21">
        <f>'Q100a-geral'!AB707</f>
        <v>8.7738282273265564E-2</v>
      </c>
      <c r="AC246" s="21">
        <f>'Q100a-geral'!AC707</f>
        <v>9.6950173807908047E-2</v>
      </c>
      <c r="AD246" s="21">
        <f>'Q100a-geral'!AD707</f>
        <v>0.11603325664543922</v>
      </c>
      <c r="AE246" s="21">
        <f>'Q100a-geral'!AE707</f>
        <v>0.13667062172733213</v>
      </c>
      <c r="AF246" s="21">
        <f>'Q100a-geral'!AF707</f>
        <v>0.16123898207182125</v>
      </c>
      <c r="AG246" s="21">
        <f>'Q100a-geral'!AG707</f>
        <v>0.19347466337991126</v>
      </c>
      <c r="AH246" s="21">
        <f>'Q100a-geral'!AH707</f>
        <v>0.19207331881025033</v>
      </c>
      <c r="AI246" s="21">
        <f>'Q100a-geral'!AI707</f>
        <v>0.18193768002088415</v>
      </c>
      <c r="AJ246" s="23" t="str">
        <f>'Q100a-geral'!AJ707</f>
        <v>x</v>
      </c>
      <c r="AK246" s="137" t="str">
        <f>'Q100a-geral'!AK707</f>
        <v>x</v>
      </c>
      <c r="AL246" s="212" t="str">
        <f>'Q100a-geral'!AL707</f>
        <v>x</v>
      </c>
      <c r="AM246" s="137" t="str">
        <f>'Q100a-geral'!AM707</f>
        <v>x</v>
      </c>
      <c r="AN246" s="137" t="str">
        <f>'Q100a-geral'!AN707</f>
        <v>x</v>
      </c>
      <c r="AO246" s="137" t="str">
        <f>'Q100a-geral'!AO707</f>
        <v>x</v>
      </c>
      <c r="AP246" s="137" t="str">
        <f>'Q100a-geral'!AP707</f>
        <v>x</v>
      </c>
      <c r="AQ246" s="137" t="str">
        <f>'Q100a-geral'!AQ707</f>
        <v>x</v>
      </c>
      <c r="AR246" s="137" t="str">
        <f>'Q100a-geral'!AR707</f>
        <v>x</v>
      </c>
      <c r="AS246" s="137" t="str">
        <f>'Q100a-geral'!AS707</f>
        <v>x</v>
      </c>
      <c r="AT246" s="137" t="str">
        <f>'Q100a-geral'!AT707</f>
        <v>x</v>
      </c>
      <c r="AU246" s="137" t="str">
        <f>'Q100a-geral'!AU707</f>
        <v>x</v>
      </c>
      <c r="AV246" s="137" t="str">
        <f>'Q100a-geral'!AV707</f>
        <v>x</v>
      </c>
      <c r="AW246" s="137" t="str">
        <f>'Q100a-geral'!AW707</f>
        <v>x</v>
      </c>
      <c r="AX246" s="137" t="str">
        <f>'Q100a-geral'!AX707</f>
        <v>x</v>
      </c>
      <c r="AY246" s="137" t="str">
        <f>'Q100a-geral'!AY707</f>
        <v>x</v>
      </c>
      <c r="AZ246" s="137" t="str">
        <f>'Q100a-geral'!AZ707</f>
        <v>x</v>
      </c>
      <c r="BA246" s="137" t="str">
        <f>'Q100a-geral'!BA707</f>
        <v>x</v>
      </c>
      <c r="BB246" s="239" t="str">
        <f>'Q100a-geral'!BB707</f>
        <v>Gases de efeito estufaCMMCE</v>
      </c>
      <c r="BC246" s="239" t="str">
        <f>'Q100a-geral'!BC707</f>
        <v>Gases de efeito estufaCMMCEx</v>
      </c>
      <c r="BD246" s="239" t="str">
        <f>'Q100a-geral'!BD707</f>
        <v>Gases de efeito estufax</v>
      </c>
    </row>
    <row r="247" spans="1:57" s="1" customFormat="1" ht="51" customHeight="1" x14ac:dyDescent="0.25">
      <c r="A247" s="275" t="str">
        <f>'Q100a-geral'!A710</f>
        <v>5.1</v>
      </c>
      <c r="B247" s="11" t="str">
        <f>'Q100a-geral'!B710</f>
        <v>Gases de efeito estufa</v>
      </c>
      <c r="C247" s="57" t="str">
        <f>'Q100a-geral'!C710</f>
        <v>CMMCE</v>
      </c>
      <c r="D247" s="287" t="str">
        <f>'Q100a-geral'!D710</f>
        <v>EG demais subsetores (milhões de tCO2e)</v>
      </c>
      <c r="E247" s="458" t="str">
        <f>'Q100a-geral'!E710</f>
        <v>Belo Horizonte</v>
      </c>
      <c r="F247" s="492" t="str">
        <f>'Q100a-geral'!F710</f>
        <v>emissão de GEE (em milhões de tCO2e) nos demais subsetores somados do inventário que não são os subsetores aéreo e rodoviário (em milhões de tCO2e)</v>
      </c>
      <c r="G247" s="14" t="str">
        <f>'Q100a-geral'!G710</f>
        <v>EG demais subsetores (tCO2e) / 1.000.000</v>
      </c>
      <c r="H247" s="173" t="str">
        <f>'Q100a-geral'!H710</f>
        <v>x</v>
      </c>
      <c r="I247" s="57">
        <f>'Q100a-geral'!I710</f>
        <v>1</v>
      </c>
      <c r="J247" s="109">
        <f>'Q100a-geral'!J710</f>
        <v>0</v>
      </c>
      <c r="K247" s="109">
        <f>'Q100a-geral'!K710</f>
        <v>0</v>
      </c>
      <c r="L247" s="109">
        <f>'Q100a-geral'!L710</f>
        <v>0</v>
      </c>
      <c r="M247" s="109">
        <f>'Q100a-geral'!M710</f>
        <v>0</v>
      </c>
      <c r="N247" s="109">
        <f>'Q100a-geral'!N710</f>
        <v>0</v>
      </c>
      <c r="O247" s="109">
        <f>'Q100a-geral'!O710</f>
        <v>0</v>
      </c>
      <c r="P247" s="109">
        <f>'Q100a-geral'!P710</f>
        <v>0</v>
      </c>
      <c r="Q247" s="109">
        <f>'Q100a-geral'!Q710</f>
        <v>0</v>
      </c>
      <c r="R247" s="109">
        <f>'Q100a-geral'!R710</f>
        <v>0</v>
      </c>
      <c r="S247" s="109" t="str">
        <f>'Q100a-geral'!S710</f>
        <v>só para pesquisa</v>
      </c>
      <c r="T247" s="109">
        <f>'Q100a-geral'!T710</f>
        <v>0</v>
      </c>
      <c r="U247" s="22">
        <f>'Q100a-geral'!U710</f>
        <v>0.70994500000000005</v>
      </c>
      <c r="V247" s="107" t="str">
        <f>'Q100a-geral'!V710</f>
        <v>só para pesquisa</v>
      </c>
      <c r="W247" s="22">
        <f>'Q100a-geral'!W710</f>
        <v>0.81342199999999998</v>
      </c>
      <c r="X247" s="22">
        <f>'Q100a-geral'!X710</f>
        <v>0.89656599999999997</v>
      </c>
      <c r="Y247" s="22">
        <f>'Q100a-geral'!Y710</f>
        <v>0.93998700000000002</v>
      </c>
      <c r="Z247" s="22">
        <f>'Q100a-geral'!Z710</f>
        <v>0.97994700000000001</v>
      </c>
      <c r="AA247" s="22">
        <f>'Q100a-geral'!AA710</f>
        <v>1.028132</v>
      </c>
      <c r="AB247" s="22">
        <f>'Q100a-geral'!AB710</f>
        <v>1.055544</v>
      </c>
      <c r="AC247" s="22">
        <f>'Q100a-geral'!AC710</f>
        <v>1.0931820000000001</v>
      </c>
      <c r="AD247" s="22">
        <f>'Q100a-geral'!AD710</f>
        <v>1.2841579999999999</v>
      </c>
      <c r="AE247" s="22">
        <f>'Q100a-geral'!AE710</f>
        <v>1.2181919999999999</v>
      </c>
      <c r="AF247" s="22">
        <f>'Q100a-geral'!AF710</f>
        <v>1.092195</v>
      </c>
      <c r="AG247" s="22">
        <f>'Q100a-geral'!AG710</f>
        <v>1.0109716460517095</v>
      </c>
      <c r="AH247" s="22">
        <f>'Q100a-geral'!AH710</f>
        <v>1.0896626888922583</v>
      </c>
      <c r="AI247" s="22">
        <f>'Q100a-geral'!AI710</f>
        <v>1.2576125456754825</v>
      </c>
      <c r="AJ247" s="84" t="str">
        <f>'Q100a-geral'!AJ710</f>
        <v>x</v>
      </c>
      <c r="AK247" s="137" t="str">
        <f>'Q100a-geral'!AK710</f>
        <v>x</v>
      </c>
      <c r="AL247" s="212" t="str">
        <f>'Q100a-geral'!AL710</f>
        <v>x</v>
      </c>
      <c r="AM247" s="137" t="str">
        <f>'Q100a-geral'!AM710</f>
        <v>x</v>
      </c>
      <c r="AN247" s="137" t="str">
        <f>'Q100a-geral'!AN710</f>
        <v>x</v>
      </c>
      <c r="AO247" s="137" t="str">
        <f>'Q100a-geral'!AO710</f>
        <v>x</v>
      </c>
      <c r="AP247" s="137" t="str">
        <f>'Q100a-geral'!AP710</f>
        <v>x</v>
      </c>
      <c r="AQ247" s="137" t="str">
        <f>'Q100a-geral'!AQ710</f>
        <v>x</v>
      </c>
      <c r="AR247" s="137" t="str">
        <f>'Q100a-geral'!AR710</f>
        <v>x</v>
      </c>
      <c r="AS247" s="137" t="str">
        <f>'Q100a-geral'!AS710</f>
        <v>x</v>
      </c>
      <c r="AT247" s="137" t="str">
        <f>'Q100a-geral'!AT710</f>
        <v>x</v>
      </c>
      <c r="AU247" s="137" t="str">
        <f>'Q100a-geral'!AU710</f>
        <v>x</v>
      </c>
      <c r="AV247" s="137" t="str">
        <f>'Q100a-geral'!AV710</f>
        <v>x</v>
      </c>
      <c r="AW247" s="137" t="str">
        <f>'Q100a-geral'!AW710</f>
        <v>x</v>
      </c>
      <c r="AX247" s="137" t="str">
        <f>'Q100a-geral'!AX710</f>
        <v>x</v>
      </c>
      <c r="AY247" s="137" t="str">
        <f>'Q100a-geral'!AY710</f>
        <v>x</v>
      </c>
      <c r="AZ247" s="137" t="str">
        <f>'Q100a-geral'!AZ710</f>
        <v>x</v>
      </c>
      <c r="BA247" s="137" t="str">
        <f>'Q100a-geral'!BA710</f>
        <v>x</v>
      </c>
      <c r="BB247" s="239" t="str">
        <f>'Q100a-geral'!BB710</f>
        <v>Gases de efeito estufaCMMCE</v>
      </c>
      <c r="BC247" s="239" t="str">
        <f>'Q100a-geral'!BC710</f>
        <v>Gases de efeito estufaCMMCEx</v>
      </c>
      <c r="BD247" s="239" t="str">
        <f>'Q100a-geral'!BD710</f>
        <v>Gases de efeito estufax</v>
      </c>
    </row>
    <row r="248" spans="1:57" s="1" customFormat="1" ht="38.25" customHeight="1" x14ac:dyDescent="0.25">
      <c r="A248" s="275" t="str">
        <f>'Q100a-geral'!A711</f>
        <v>5.1</v>
      </c>
      <c r="B248" s="11" t="str">
        <f>'Q100a-geral'!B711</f>
        <v>Gases de efeito estufa</v>
      </c>
      <c r="C248" s="57" t="str">
        <f>'Q100a-geral'!C711</f>
        <v>CMMCE</v>
      </c>
      <c r="D248" s="287" t="str">
        <f>'Q100a-geral'!D711</f>
        <v>EG demais subsetores em relação a EG</v>
      </c>
      <c r="E248" s="921" t="str">
        <f>'Q100a-geral'!E711</f>
        <v>Belo Horizonte</v>
      </c>
      <c r="F248" s="492" t="str">
        <f>'Q100a-geral'!F711</f>
        <v>emissão de GEE nos demais setores somados do inventário de GEE em relação à emissão total de GEE (em %)</v>
      </c>
      <c r="G248" s="14" t="str">
        <f>'Q100a-geral'!G711</f>
        <v>(EG demais subsetores / EG) x 100</v>
      </c>
      <c r="H248" s="173" t="str">
        <f>'Q100a-geral'!H711</f>
        <v>x</v>
      </c>
      <c r="I248" s="57">
        <f>'Q100a-geral'!I711</f>
        <v>1</v>
      </c>
      <c r="J248" s="109" t="str">
        <f>'Q100a-geral'!J711</f>
        <v>x</v>
      </c>
      <c r="K248" s="109" t="str">
        <f>'Q100a-geral'!K711</f>
        <v>x</v>
      </c>
      <c r="L248" s="109" t="str">
        <f>'Q100a-geral'!L711</f>
        <v>x</v>
      </c>
      <c r="M248" s="109" t="str">
        <f>'Q100a-geral'!M711</f>
        <v>x</v>
      </c>
      <c r="N248" s="109" t="str">
        <f>'Q100a-geral'!N711</f>
        <v>x</v>
      </c>
      <c r="O248" s="109" t="str">
        <f>'Q100a-geral'!O711</f>
        <v>x</v>
      </c>
      <c r="P248" s="109" t="str">
        <f>'Q100a-geral'!P711</f>
        <v>x</v>
      </c>
      <c r="Q248" s="109" t="str">
        <f>'Q100a-geral'!Q711</f>
        <v>x</v>
      </c>
      <c r="R248" s="109" t="str">
        <f>'Q100a-geral'!R711</f>
        <v>x</v>
      </c>
      <c r="S248" s="109" t="str">
        <f>'Q100a-geral'!S711</f>
        <v>só para pesquisa</v>
      </c>
      <c r="T248" s="109" t="str">
        <f>'Q100a-geral'!T711</f>
        <v>x</v>
      </c>
      <c r="U248" s="21">
        <f>'Q100a-geral'!U711</f>
        <v>0.27356575893598567</v>
      </c>
      <c r="V248" s="107" t="str">
        <f>'Q100a-geral'!V711</f>
        <v>só para pesquisa</v>
      </c>
      <c r="W248" s="21">
        <f>'Q100a-geral'!W711</f>
        <v>0.29611629986224813</v>
      </c>
      <c r="X248" s="21">
        <f>'Q100a-geral'!X711</f>
        <v>0.31226927646282948</v>
      </c>
      <c r="Y248" s="21">
        <f>'Q100a-geral'!Y711</f>
        <v>0.32609010132869676</v>
      </c>
      <c r="Z248" s="21">
        <f>'Q100a-geral'!Z711</f>
        <v>0.33026473835551617</v>
      </c>
      <c r="AA248" s="21">
        <f>'Q100a-geral'!AA711</f>
        <v>0.34096436086510257</v>
      </c>
      <c r="AB248" s="21">
        <f>'Q100a-geral'!AB711</f>
        <v>0.33802697826405803</v>
      </c>
      <c r="AC248" s="21">
        <f>'Q100a-geral'!AC711</f>
        <v>0.34392918188999938</v>
      </c>
      <c r="AD248" s="21">
        <f>'Q100a-geral'!AD711</f>
        <v>0.37390163152936645</v>
      </c>
      <c r="AE248" s="21">
        <f>'Q100a-geral'!AE711</f>
        <v>0.35143676336431112</v>
      </c>
      <c r="AF248" s="21">
        <f>'Q100a-geral'!AF711</f>
        <v>0.2909205812053372</v>
      </c>
      <c r="AG248" s="21">
        <f>'Q100a-geral'!AG711</f>
        <v>0.2548445359579864</v>
      </c>
      <c r="AH248" s="21">
        <f>'Q100a-geral'!AH711</f>
        <v>0.25719020708112772</v>
      </c>
      <c r="AI248" s="21">
        <f>'Q100a-geral'!AI711</f>
        <v>0.28614117583294529</v>
      </c>
      <c r="AJ248" s="23" t="str">
        <f>'Q100a-geral'!AJ711</f>
        <v>x</v>
      </c>
      <c r="AK248" s="137" t="str">
        <f>'Q100a-geral'!AK711</f>
        <v>x</v>
      </c>
      <c r="AL248" s="212" t="str">
        <f>'Q100a-geral'!AL711</f>
        <v>x</v>
      </c>
      <c r="AM248" s="137" t="str">
        <f>'Q100a-geral'!AM711</f>
        <v>x</v>
      </c>
      <c r="AN248" s="137" t="str">
        <f>'Q100a-geral'!AN711</f>
        <v>x</v>
      </c>
      <c r="AO248" s="137" t="str">
        <f>'Q100a-geral'!AO711</f>
        <v>x</v>
      </c>
      <c r="AP248" s="137" t="str">
        <f>'Q100a-geral'!AP711</f>
        <v>x</v>
      </c>
      <c r="AQ248" s="137" t="str">
        <f>'Q100a-geral'!AQ711</f>
        <v>x</v>
      </c>
      <c r="AR248" s="137" t="str">
        <f>'Q100a-geral'!AR711</f>
        <v>x</v>
      </c>
      <c r="AS248" s="137" t="str">
        <f>'Q100a-geral'!AS711</f>
        <v>x</v>
      </c>
      <c r="AT248" s="137" t="str">
        <f>'Q100a-geral'!AT711</f>
        <v>x</v>
      </c>
      <c r="AU248" s="137" t="str">
        <f>'Q100a-geral'!AU711</f>
        <v>x</v>
      </c>
      <c r="AV248" s="137" t="str">
        <f>'Q100a-geral'!AV711</f>
        <v>x</v>
      </c>
      <c r="AW248" s="137" t="str">
        <f>'Q100a-geral'!AW711</f>
        <v>x</v>
      </c>
      <c r="AX248" s="137" t="str">
        <f>'Q100a-geral'!AX711</f>
        <v>x</v>
      </c>
      <c r="AY248" s="137" t="str">
        <f>'Q100a-geral'!AY711</f>
        <v>x</v>
      </c>
      <c r="AZ248" s="137" t="str">
        <f>'Q100a-geral'!AZ711</f>
        <v>x</v>
      </c>
      <c r="BA248" s="137" t="str">
        <f>'Q100a-geral'!BA711</f>
        <v>x</v>
      </c>
      <c r="BB248" s="239" t="str">
        <f>'Q100a-geral'!BB711</f>
        <v>Gases de efeito estufaCMMCE</v>
      </c>
      <c r="BC248" s="239" t="str">
        <f>'Q100a-geral'!BC711</f>
        <v>Gases de efeito estufaCMMCEx</v>
      </c>
      <c r="BD248" s="239" t="str">
        <f>'Q100a-geral'!BD711</f>
        <v>Gases de efeito estufax</v>
      </c>
    </row>
    <row r="249" spans="1:57" s="1" customFormat="1" ht="38.25" customHeight="1" x14ac:dyDescent="0.25">
      <c r="A249" s="275" t="str">
        <f>'Q100a-geral'!A713</f>
        <v>5.1</v>
      </c>
      <c r="B249" s="11" t="str">
        <f>'Q100a-geral'!B713</f>
        <v>Gases de efeito estufa</v>
      </c>
      <c r="C249" s="57" t="str">
        <f>'Q100a-geral'!C713</f>
        <v>CMMCE</v>
      </c>
      <c r="D249" s="287" t="str">
        <f>'Q100a-geral'!D713</f>
        <v>EG rodoviário (óleo diesel)</v>
      </c>
      <c r="E249" s="921" t="str">
        <f>'Q100a-geral'!E713</f>
        <v>Belo Horizonte</v>
      </c>
      <c r="F249" s="490" t="str">
        <f>'Q100a-geral'!F713</f>
        <v>emissão de GEE no subsetor rodoviário (em toneladas de CO2e) proveniente do precursor "óleo diesel", do modo "rodoviário", do escopo "1" do setor de "unidades móveis" (BELO HORIZONTE, 2009, p.69 para 2000 a 2007; BELO HORIZONTE, 2012a, p.55 para 2008 a 2010; BELO HORIZONTE, 2015a, p.37 para 2011 a 2013)</v>
      </c>
      <c r="G249" s="252" t="str">
        <f>'Q100a-geral'!G713</f>
        <v>registro na fonte</v>
      </c>
      <c r="H249" s="173" t="str">
        <f>'Q100a-geral'!H713</f>
        <v>x</v>
      </c>
      <c r="I249" s="57">
        <f>'Q100a-geral'!I713</f>
        <v>1</v>
      </c>
      <c r="J249" s="109" t="str">
        <f>'Q100a-geral'!J713</f>
        <v>x</v>
      </c>
      <c r="K249" s="109" t="str">
        <f>'Q100a-geral'!K713</f>
        <v>x</v>
      </c>
      <c r="L249" s="109" t="str">
        <f>'Q100a-geral'!L713</f>
        <v>x</v>
      </c>
      <c r="M249" s="109" t="str">
        <f>'Q100a-geral'!M713</f>
        <v>x</v>
      </c>
      <c r="N249" s="109" t="str">
        <f>'Q100a-geral'!N713</f>
        <v>x</v>
      </c>
      <c r="O249" s="109" t="str">
        <f>'Q100a-geral'!O713</f>
        <v>x</v>
      </c>
      <c r="P249" s="109" t="str">
        <f>'Q100a-geral'!P713</f>
        <v>x</v>
      </c>
      <c r="Q249" s="109" t="str">
        <f>'Q100a-geral'!Q713</f>
        <v>x</v>
      </c>
      <c r="R249" s="109" t="str">
        <f>'Q100a-geral'!R713</f>
        <v>x</v>
      </c>
      <c r="S249" s="109" t="str">
        <f>'Q100a-geral'!S713</f>
        <v>só para pesquisa</v>
      </c>
      <c r="T249" s="109" t="str">
        <f>'Q100a-geral'!T713</f>
        <v>x</v>
      </c>
      <c r="U249" s="87">
        <f>'Q100a-geral'!U713</f>
        <v>769983</v>
      </c>
      <c r="V249" s="107" t="str">
        <f>'Q100a-geral'!V713</f>
        <v>só para pesquisa</v>
      </c>
      <c r="W249" s="87">
        <f>'Q100a-geral'!W713</f>
        <v>773195</v>
      </c>
      <c r="X249" s="87">
        <f>'Q100a-geral'!X713</f>
        <v>776142</v>
      </c>
      <c r="Y249" s="87">
        <f>'Q100a-geral'!Y713</f>
        <v>719243</v>
      </c>
      <c r="Z249" s="87">
        <f>'Q100a-geral'!Z713</f>
        <v>719788</v>
      </c>
      <c r="AA249" s="87">
        <f>'Q100a-geral'!AA713</f>
        <v>697754</v>
      </c>
      <c r="AB249" s="87">
        <f>'Q100a-geral'!AB713</f>
        <v>709576</v>
      </c>
      <c r="AC249" s="87">
        <f>'Q100a-geral'!AC713</f>
        <v>687712</v>
      </c>
      <c r="AD249" s="87">
        <f>'Q100a-geral'!AD713</f>
        <v>619047.06070530927</v>
      </c>
      <c r="AE249" s="87">
        <f>'Q100a-geral'!AE713</f>
        <v>611870.54896031134</v>
      </c>
      <c r="AF249" s="87">
        <f>'Q100a-geral'!AF713</f>
        <v>633016.8527855071</v>
      </c>
      <c r="AG249" s="87">
        <f>'Q100a-geral'!AG713</f>
        <v>640917.74262927647</v>
      </c>
      <c r="AH249" s="87">
        <f>'Q100a-geral'!AH713</f>
        <v>656027.99039288529</v>
      </c>
      <c r="AI249" s="87">
        <f>'Q100a-geral'!AI713</f>
        <v>636088.27732513077</v>
      </c>
      <c r="AJ249" s="84" t="str">
        <f>'Q100a-geral'!AJ713</f>
        <v>x</v>
      </c>
      <c r="AK249" s="137" t="str">
        <f>'Q100a-geral'!AK713</f>
        <v>x</v>
      </c>
      <c r="AL249" s="212" t="str">
        <f>'Q100a-geral'!AL713</f>
        <v>x</v>
      </c>
      <c r="AM249" s="137" t="str">
        <f>'Q100a-geral'!AM713</f>
        <v>x</v>
      </c>
      <c r="AN249" s="137" t="str">
        <f>'Q100a-geral'!AN713</f>
        <v>x</v>
      </c>
      <c r="AO249" s="137" t="str">
        <f>'Q100a-geral'!AO713</f>
        <v>x</v>
      </c>
      <c r="AP249" s="137" t="str">
        <f>'Q100a-geral'!AP713</f>
        <v>x</v>
      </c>
      <c r="AQ249" s="137" t="str">
        <f>'Q100a-geral'!AQ713</f>
        <v>x</v>
      </c>
      <c r="AR249" s="137" t="str">
        <f>'Q100a-geral'!AR713</f>
        <v>x</v>
      </c>
      <c r="AS249" s="137" t="str">
        <f>'Q100a-geral'!AS713</f>
        <v>x</v>
      </c>
      <c r="AT249" s="137" t="str">
        <f>'Q100a-geral'!AT713</f>
        <v>x</v>
      </c>
      <c r="AU249" s="137" t="str">
        <f>'Q100a-geral'!AU713</f>
        <v>x</v>
      </c>
      <c r="AV249" s="137" t="str">
        <f>'Q100a-geral'!AV713</f>
        <v>x</v>
      </c>
      <c r="AW249" s="137" t="str">
        <f>'Q100a-geral'!AW713</f>
        <v>x</v>
      </c>
      <c r="AX249" s="137" t="str">
        <f>'Q100a-geral'!AX713</f>
        <v>x</v>
      </c>
      <c r="AY249" s="137" t="str">
        <f>'Q100a-geral'!AY713</f>
        <v>x</v>
      </c>
      <c r="AZ249" s="137" t="str">
        <f>'Q100a-geral'!AZ713</f>
        <v>x</v>
      </c>
      <c r="BA249" s="137" t="str">
        <f>'Q100a-geral'!BA713</f>
        <v>x</v>
      </c>
      <c r="BB249" s="239" t="str">
        <f>'Q100a-geral'!BB713</f>
        <v>Gases de efeito estufaCMMCE</v>
      </c>
      <c r="BC249" s="239" t="str">
        <f>'Q100a-geral'!BC713</f>
        <v>Gases de efeito estufaCMMCEx</v>
      </c>
      <c r="BD249" s="239" t="str">
        <f>'Q100a-geral'!BD713</f>
        <v>Gases de efeito estufax</v>
      </c>
      <c r="BE249" s="334" t="s">
        <v>1213</v>
      </c>
    </row>
    <row r="250" spans="1:57" s="1" customFormat="1" ht="38.25" customHeight="1" x14ac:dyDescent="0.25">
      <c r="A250" s="275" t="str">
        <f>'Q100a-geral'!A714</f>
        <v>5.1</v>
      </c>
      <c r="B250" s="11" t="str">
        <f>'Q100a-geral'!B714</f>
        <v>Gases de efeito estufa</v>
      </c>
      <c r="C250" s="57" t="str">
        <f>'Q100a-geral'!C714</f>
        <v>CMMCE</v>
      </c>
      <c r="D250" s="287" t="str">
        <f>'Q100a-geral'!D714</f>
        <v>EG rodoviário (gasolina)</v>
      </c>
      <c r="E250" s="921" t="str">
        <f>'Q100a-geral'!E714</f>
        <v>Belo Horizonte</v>
      </c>
      <c r="F250" s="490" t="str">
        <f>'Q100a-geral'!F714</f>
        <v>emissão de GEE no subsetor rodoviário (em toneladas de CO2e) proveniente do precursor "gasolina", do modo "rodoviário", do escopo "1" do setor de "unidades móveis"(BELO HORIZONTE, 2009, p.69 para 2000 a 2007; BELO HORIZONTE, 2012a, p.55 para 2008 a 2010; BELO HORIZONTE, 2015a, p.37 para 2011 a 2013)</v>
      </c>
      <c r="G250" s="252" t="str">
        <f>'Q100a-geral'!G714</f>
        <v>registro na fonte</v>
      </c>
      <c r="H250" s="173" t="str">
        <f>'Q100a-geral'!H714</f>
        <v>x</v>
      </c>
      <c r="I250" s="57">
        <f>'Q100a-geral'!I714</f>
        <v>1</v>
      </c>
      <c r="J250" s="109" t="str">
        <f>'Q100a-geral'!J714</f>
        <v>x</v>
      </c>
      <c r="K250" s="109" t="str">
        <f>'Q100a-geral'!K714</f>
        <v>x</v>
      </c>
      <c r="L250" s="109" t="str">
        <f>'Q100a-geral'!L714</f>
        <v>x</v>
      </c>
      <c r="M250" s="109" t="str">
        <f>'Q100a-geral'!M714</f>
        <v>x</v>
      </c>
      <c r="N250" s="109" t="str">
        <f>'Q100a-geral'!N714</f>
        <v>x</v>
      </c>
      <c r="O250" s="109" t="str">
        <f>'Q100a-geral'!O714</f>
        <v>x</v>
      </c>
      <c r="P250" s="109" t="str">
        <f>'Q100a-geral'!P714</f>
        <v>x</v>
      </c>
      <c r="Q250" s="109" t="str">
        <f>'Q100a-geral'!Q714</f>
        <v>x</v>
      </c>
      <c r="R250" s="109" t="str">
        <f>'Q100a-geral'!R714</f>
        <v>x</v>
      </c>
      <c r="S250" s="109" t="str">
        <f>'Q100a-geral'!S714</f>
        <v>só para pesquisa</v>
      </c>
      <c r="T250" s="109" t="str">
        <f>'Q100a-geral'!T714</f>
        <v>x</v>
      </c>
      <c r="U250" s="87">
        <f>'Q100a-geral'!U714</f>
        <v>926482</v>
      </c>
      <c r="V250" s="107" t="str">
        <f>'Q100a-geral'!V714</f>
        <v>só para pesquisa</v>
      </c>
      <c r="W250" s="87">
        <f>'Q100a-geral'!W714</f>
        <v>929642</v>
      </c>
      <c r="X250" s="87">
        <f>'Q100a-geral'!X714</f>
        <v>932034</v>
      </c>
      <c r="Y250" s="87">
        <f>'Q100a-geral'!Y714</f>
        <v>936821</v>
      </c>
      <c r="Z250" s="87">
        <f>'Q100a-geral'!Z714</f>
        <v>945028</v>
      </c>
      <c r="AA250" s="87">
        <f>'Q100a-geral'!AA714</f>
        <v>960362</v>
      </c>
      <c r="AB250" s="87">
        <f>'Q100a-geral'!AB714</f>
        <v>1015371</v>
      </c>
      <c r="AC250" s="87">
        <f>'Q100a-geral'!AC714</f>
        <v>1030217</v>
      </c>
      <c r="AD250" s="87">
        <f>'Q100a-geral'!AD714</f>
        <v>1079595.2852595428</v>
      </c>
      <c r="AE250" s="87">
        <f>'Q100a-geral'!AE714</f>
        <v>1123208.8264093159</v>
      </c>
      <c r="AF250" s="87">
        <f>'Q100a-geral'!AF714</f>
        <v>1391417.0297706507</v>
      </c>
      <c r="AG250" s="87">
        <f>'Q100a-geral'!AG714</f>
        <v>1516509.5445132949</v>
      </c>
      <c r="AH250" s="87">
        <f>'Q100a-geral'!AH714</f>
        <v>1643931.1508575534</v>
      </c>
      <c r="AI250" s="87">
        <f>'Q100a-geral'!AI714</f>
        <v>1670018.8341378185</v>
      </c>
      <c r="AJ250" s="84" t="str">
        <f>'Q100a-geral'!AJ714</f>
        <v>x</v>
      </c>
      <c r="AK250" s="137" t="str">
        <f>'Q100a-geral'!AK714</f>
        <v>x</v>
      </c>
      <c r="AL250" s="212" t="str">
        <f>'Q100a-geral'!AL714</f>
        <v>x</v>
      </c>
      <c r="AM250" s="137" t="str">
        <f>'Q100a-geral'!AM714</f>
        <v>x</v>
      </c>
      <c r="AN250" s="137" t="str">
        <f>'Q100a-geral'!AN714</f>
        <v>x</v>
      </c>
      <c r="AO250" s="137" t="str">
        <f>'Q100a-geral'!AO714</f>
        <v>x</v>
      </c>
      <c r="AP250" s="137" t="str">
        <f>'Q100a-geral'!AP714</f>
        <v>x</v>
      </c>
      <c r="AQ250" s="137" t="str">
        <f>'Q100a-geral'!AQ714</f>
        <v>x</v>
      </c>
      <c r="AR250" s="137" t="str">
        <f>'Q100a-geral'!AR714</f>
        <v>x</v>
      </c>
      <c r="AS250" s="137" t="str">
        <f>'Q100a-geral'!AS714</f>
        <v>x</v>
      </c>
      <c r="AT250" s="137" t="str">
        <f>'Q100a-geral'!AT714</f>
        <v>x</v>
      </c>
      <c r="AU250" s="137" t="str">
        <f>'Q100a-geral'!AU714</f>
        <v>x</v>
      </c>
      <c r="AV250" s="137" t="str">
        <f>'Q100a-geral'!AV714</f>
        <v>x</v>
      </c>
      <c r="AW250" s="137" t="str">
        <f>'Q100a-geral'!AW714</f>
        <v>x</v>
      </c>
      <c r="AX250" s="137" t="str">
        <f>'Q100a-geral'!AX714</f>
        <v>x</v>
      </c>
      <c r="AY250" s="137" t="str">
        <f>'Q100a-geral'!AY714</f>
        <v>x</v>
      </c>
      <c r="AZ250" s="137" t="str">
        <f>'Q100a-geral'!AZ714</f>
        <v>x</v>
      </c>
      <c r="BA250" s="137" t="str">
        <f>'Q100a-geral'!BA714</f>
        <v>x</v>
      </c>
      <c r="BB250" s="239" t="str">
        <f>'Q100a-geral'!BB714</f>
        <v>Gases de efeito estufaCMMCE</v>
      </c>
      <c r="BC250" s="239" t="str">
        <f>'Q100a-geral'!BC714</f>
        <v>Gases de efeito estufaCMMCEx</v>
      </c>
      <c r="BD250" s="239" t="str">
        <f>'Q100a-geral'!BD714</f>
        <v>Gases de efeito estufax</v>
      </c>
      <c r="BE250" s="334" t="s">
        <v>1214</v>
      </c>
    </row>
    <row r="251" spans="1:57" s="1" customFormat="1" ht="38.25" customHeight="1" x14ac:dyDescent="0.25">
      <c r="A251" s="275" t="str">
        <f>'Q100a-geral'!A715</f>
        <v>5.1</v>
      </c>
      <c r="B251" s="11" t="str">
        <f>'Q100a-geral'!B715</f>
        <v>Gases de efeito estufa</v>
      </c>
      <c r="C251" s="57" t="str">
        <f>'Q100a-geral'!C715</f>
        <v>CMMCE</v>
      </c>
      <c r="D251" s="287" t="str">
        <f>'Q100a-geral'!D715</f>
        <v>EG rodoviário (etanol)</v>
      </c>
      <c r="E251" s="921" t="str">
        <f>'Q100a-geral'!E715</f>
        <v>Belo Horizonte</v>
      </c>
      <c r="F251" s="490" t="str">
        <f>'Q100a-geral'!F715</f>
        <v>emissão de GEE no subsetor setor rodoviário (em toneladas de CO2e) proveniente do precursor "etanol", do modo "rodoviário", do escopo "1" do setor de "unidades móveis"(BELO HORIZONTE, 2009, p.69 para 2000 a 2007; BELO HORIZONTE, 2012a, p.55 para 2008 a 2010; BELO HORIZONTE, 2015a, p.37 para 2011 a 2013)</v>
      </c>
      <c r="G251" s="252" t="str">
        <f>'Q100a-geral'!G715</f>
        <v>registro na fonte</v>
      </c>
      <c r="H251" s="173" t="str">
        <f>'Q100a-geral'!H715</f>
        <v>x</v>
      </c>
      <c r="I251" s="57">
        <f>'Q100a-geral'!I715</f>
        <v>1</v>
      </c>
      <c r="J251" s="109" t="str">
        <f>'Q100a-geral'!J715</f>
        <v>x</v>
      </c>
      <c r="K251" s="109" t="str">
        <f>'Q100a-geral'!K715</f>
        <v>x</v>
      </c>
      <c r="L251" s="109" t="str">
        <f>'Q100a-geral'!L715</f>
        <v>x</v>
      </c>
      <c r="M251" s="109" t="str">
        <f>'Q100a-geral'!M715</f>
        <v>x</v>
      </c>
      <c r="N251" s="109" t="str">
        <f>'Q100a-geral'!N715</f>
        <v>x</v>
      </c>
      <c r="O251" s="109" t="str">
        <f>'Q100a-geral'!O715</f>
        <v>x</v>
      </c>
      <c r="P251" s="109" t="str">
        <f>'Q100a-geral'!P715</f>
        <v>x</v>
      </c>
      <c r="Q251" s="109" t="str">
        <f>'Q100a-geral'!Q715</f>
        <v>x</v>
      </c>
      <c r="R251" s="109" t="str">
        <f>'Q100a-geral'!R715</f>
        <v>x</v>
      </c>
      <c r="S251" s="109" t="str">
        <f>'Q100a-geral'!S715</f>
        <v>só para pesquisa</v>
      </c>
      <c r="T251" s="109" t="str">
        <f>'Q100a-geral'!T715</f>
        <v>x</v>
      </c>
      <c r="U251" s="87">
        <f>'Q100a-geral'!U715</f>
        <v>675</v>
      </c>
      <c r="V251" s="107" t="str">
        <f>'Q100a-geral'!V715</f>
        <v>só para pesquisa</v>
      </c>
      <c r="W251" s="87">
        <f>'Q100a-geral'!W715</f>
        <v>514</v>
      </c>
      <c r="X251" s="87">
        <f>'Q100a-geral'!X715</f>
        <v>556</v>
      </c>
      <c r="Y251" s="87">
        <f>'Q100a-geral'!Y715</f>
        <v>479</v>
      </c>
      <c r="Z251" s="87">
        <f>'Q100a-geral'!Z715</f>
        <v>493</v>
      </c>
      <c r="AA251" s="87">
        <f>'Q100a-geral'!AA715</f>
        <v>503</v>
      </c>
      <c r="AB251" s="87">
        <f>'Q100a-geral'!AB715</f>
        <v>537</v>
      </c>
      <c r="AC251" s="87">
        <f>'Q100a-geral'!AC715</f>
        <v>931</v>
      </c>
      <c r="AD251" s="87">
        <f>'Q100a-geral'!AD715</f>
        <v>1611.8651783842779</v>
      </c>
      <c r="AE251" s="87">
        <f>'Q100a-geral'!AE715</f>
        <v>2063.6789657818322</v>
      </c>
      <c r="AF251" s="87">
        <f>'Q100a-geral'!AF715</f>
        <v>1350.7096490814779</v>
      </c>
      <c r="AG251" s="87">
        <f>'Q100a-geral'!AG715</f>
        <v>736.59699389933996</v>
      </c>
      <c r="AH251" s="87">
        <f>'Q100a-geral'!AH715</f>
        <v>629.61592816185839</v>
      </c>
      <c r="AI251" s="87">
        <f>'Q100a-geral'!AI715</f>
        <v>843.44652215528049</v>
      </c>
      <c r="AJ251" s="84" t="str">
        <f>'Q100a-geral'!AJ715</f>
        <v>x</v>
      </c>
      <c r="AK251" s="137" t="str">
        <f>'Q100a-geral'!AK715</f>
        <v>x</v>
      </c>
      <c r="AL251" s="212" t="str">
        <f>'Q100a-geral'!AL715</f>
        <v>x</v>
      </c>
      <c r="AM251" s="137" t="str">
        <f>'Q100a-geral'!AM715</f>
        <v>x</v>
      </c>
      <c r="AN251" s="137" t="str">
        <f>'Q100a-geral'!AN715</f>
        <v>x</v>
      </c>
      <c r="AO251" s="137" t="str">
        <f>'Q100a-geral'!AO715</f>
        <v>x</v>
      </c>
      <c r="AP251" s="137" t="str">
        <f>'Q100a-geral'!AP715</f>
        <v>x</v>
      </c>
      <c r="AQ251" s="137" t="str">
        <f>'Q100a-geral'!AQ715</f>
        <v>x</v>
      </c>
      <c r="AR251" s="137" t="str">
        <f>'Q100a-geral'!AR715</f>
        <v>x</v>
      </c>
      <c r="AS251" s="137" t="str">
        <f>'Q100a-geral'!AS715</f>
        <v>x</v>
      </c>
      <c r="AT251" s="137" t="str">
        <f>'Q100a-geral'!AT715</f>
        <v>x</v>
      </c>
      <c r="AU251" s="137" t="str">
        <f>'Q100a-geral'!AU715</f>
        <v>x</v>
      </c>
      <c r="AV251" s="137" t="str">
        <f>'Q100a-geral'!AV715</f>
        <v>x</v>
      </c>
      <c r="AW251" s="137" t="str">
        <f>'Q100a-geral'!AW715</f>
        <v>x</v>
      </c>
      <c r="AX251" s="137" t="str">
        <f>'Q100a-geral'!AX715</f>
        <v>x</v>
      </c>
      <c r="AY251" s="137" t="str">
        <f>'Q100a-geral'!AY715</f>
        <v>x</v>
      </c>
      <c r="AZ251" s="137" t="str">
        <f>'Q100a-geral'!AZ715</f>
        <v>x</v>
      </c>
      <c r="BA251" s="137" t="str">
        <f>'Q100a-geral'!BA715</f>
        <v>x</v>
      </c>
      <c r="BB251" s="239" t="str">
        <f>'Q100a-geral'!BB715</f>
        <v>Gases de efeito estufaCMMCE</v>
      </c>
      <c r="BC251" s="239" t="str">
        <f>'Q100a-geral'!BC715</f>
        <v>Gases de efeito estufaCMMCEx</v>
      </c>
      <c r="BD251" s="239" t="str">
        <f>'Q100a-geral'!BD715</f>
        <v>Gases de efeito estufax</v>
      </c>
      <c r="BE251" s="334" t="s">
        <v>1215</v>
      </c>
    </row>
    <row r="252" spans="1:57" s="1" customFormat="1" ht="33.75" x14ac:dyDescent="0.25">
      <c r="A252" s="275" t="str">
        <f>'Q100a-geral'!A716</f>
        <v>5.1</v>
      </c>
      <c r="B252" s="11" t="str">
        <f>'Q100a-geral'!B716</f>
        <v>Gases de efeito estufa</v>
      </c>
      <c r="C252" s="57" t="str">
        <f>'Q100a-geral'!C716</f>
        <v>CMMCE</v>
      </c>
      <c r="D252" s="287" t="str">
        <f>'Q100a-geral'!D716</f>
        <v>EG rodoviário (GNV ou GNC aumomotivo)</v>
      </c>
      <c r="E252" s="921" t="str">
        <f>'Q100a-geral'!E716</f>
        <v>Belo Horizonte</v>
      </c>
      <c r="F252" s="490" t="str">
        <f>'Q100a-geral'!F716</f>
        <v>emissão de GEE no subsetor rodoviário (em toneladas de CO2e) proveniente do precursor "GNV ou GNC automotivo", do modo "rodoviário", do escopo "1" do setor de "unidades móveis"(BELO HORIZONTE, 2009, p.69 para 2000 a 2007; BELO HORIZONTE, 2012a, p.55 para 2008 a 2010; BELO HORIZONTE, 2015a, p.37 para 2011 a 2013)</v>
      </c>
      <c r="G252" s="252" t="str">
        <f>'Q100a-geral'!G716</f>
        <v>registro na fonte</v>
      </c>
      <c r="H252" s="173" t="str">
        <f>'Q100a-geral'!H716</f>
        <v>x</v>
      </c>
      <c r="I252" s="57">
        <f>'Q100a-geral'!I716</f>
        <v>1</v>
      </c>
      <c r="J252" s="109" t="str">
        <f>'Q100a-geral'!J716</f>
        <v>x</v>
      </c>
      <c r="K252" s="109" t="str">
        <f>'Q100a-geral'!K716</f>
        <v>x</v>
      </c>
      <c r="L252" s="109" t="str">
        <f>'Q100a-geral'!L716</f>
        <v>x</v>
      </c>
      <c r="M252" s="109" t="str">
        <f>'Q100a-geral'!M716</f>
        <v>x</v>
      </c>
      <c r="N252" s="109" t="str">
        <f>'Q100a-geral'!N716</f>
        <v>x</v>
      </c>
      <c r="O252" s="109" t="str">
        <f>'Q100a-geral'!O716</f>
        <v>x</v>
      </c>
      <c r="P252" s="109" t="str">
        <f>'Q100a-geral'!P716</f>
        <v>x</v>
      </c>
      <c r="Q252" s="109" t="str">
        <f>'Q100a-geral'!Q716</f>
        <v>x</v>
      </c>
      <c r="R252" s="109" t="str">
        <f>'Q100a-geral'!R716</f>
        <v>x</v>
      </c>
      <c r="S252" s="109" t="str">
        <f>'Q100a-geral'!S716</f>
        <v>só para pesquisa</v>
      </c>
      <c r="T252" s="109" t="str">
        <f>'Q100a-geral'!T716</f>
        <v>x</v>
      </c>
      <c r="U252" s="87">
        <f>'Q100a-geral'!U716</f>
        <v>33707</v>
      </c>
      <c r="V252" s="107" t="str">
        <f>'Q100a-geral'!V716</f>
        <v>só para pesquisa</v>
      </c>
      <c r="W252" s="87">
        <f>'Q100a-geral'!W716</f>
        <v>52141</v>
      </c>
      <c r="X252" s="87">
        <f>'Q100a-geral'!X716</f>
        <v>65576</v>
      </c>
      <c r="Y252" s="87">
        <f>'Q100a-geral'!Y716</f>
        <v>73929</v>
      </c>
      <c r="Z252" s="87">
        <f>'Q100a-geral'!Z716</f>
        <v>77109</v>
      </c>
      <c r="AA252" s="87">
        <f>'Q100a-geral'!AA716</f>
        <v>77359</v>
      </c>
      <c r="AB252" s="87">
        <f>'Q100a-geral'!AB716</f>
        <v>67657</v>
      </c>
      <c r="AC252" s="87">
        <f>'Q100a-geral'!AC716</f>
        <v>58310</v>
      </c>
      <c r="AD252" s="87">
        <f>'Q100a-geral'!AD716</f>
        <v>51554.656852498796</v>
      </c>
      <c r="AE252" s="87">
        <f>'Q100a-geral'!AE716</f>
        <v>37240.144425197992</v>
      </c>
      <c r="AF252" s="87">
        <f>'Q100a-geral'!AF716</f>
        <v>30957.434458657201</v>
      </c>
      <c r="AG252" s="87">
        <f>'Q100a-geral'!AG716</f>
        <v>30361.151505016805</v>
      </c>
      <c r="AH252" s="87">
        <f>'Q100a-geral'!AH716</f>
        <v>32769.86506062984</v>
      </c>
      <c r="AI252" s="87">
        <f>'Q100a-geral'!AI716</f>
        <v>30883.91215360464</v>
      </c>
      <c r="AJ252" s="84" t="str">
        <f>'Q100a-geral'!AJ716</f>
        <v>x</v>
      </c>
      <c r="AK252" s="137" t="str">
        <f>'Q100a-geral'!AK716</f>
        <v>x</v>
      </c>
      <c r="AL252" s="212" t="str">
        <f>'Q100a-geral'!AL716</f>
        <v>x</v>
      </c>
      <c r="AM252" s="137" t="str">
        <f>'Q100a-geral'!AM716</f>
        <v>x</v>
      </c>
      <c r="AN252" s="137" t="str">
        <f>'Q100a-geral'!AN716</f>
        <v>x</v>
      </c>
      <c r="AO252" s="137" t="str">
        <f>'Q100a-geral'!AO716</f>
        <v>x</v>
      </c>
      <c r="AP252" s="137" t="str">
        <f>'Q100a-geral'!AP716</f>
        <v>x</v>
      </c>
      <c r="AQ252" s="137" t="str">
        <f>'Q100a-geral'!AQ716</f>
        <v>x</v>
      </c>
      <c r="AR252" s="137" t="str">
        <f>'Q100a-geral'!AR716</f>
        <v>x</v>
      </c>
      <c r="AS252" s="137" t="str">
        <f>'Q100a-geral'!AS716</f>
        <v>x</v>
      </c>
      <c r="AT252" s="137" t="str">
        <f>'Q100a-geral'!AT716</f>
        <v>x</v>
      </c>
      <c r="AU252" s="137" t="str">
        <f>'Q100a-geral'!AU716</f>
        <v>x</v>
      </c>
      <c r="AV252" s="137" t="str">
        <f>'Q100a-geral'!AV716</f>
        <v>x</v>
      </c>
      <c r="AW252" s="137" t="str">
        <f>'Q100a-geral'!AW716</f>
        <v>x</v>
      </c>
      <c r="AX252" s="137" t="str">
        <f>'Q100a-geral'!AX716</f>
        <v>x</v>
      </c>
      <c r="AY252" s="137" t="str">
        <f>'Q100a-geral'!AY716</f>
        <v>x</v>
      </c>
      <c r="AZ252" s="137" t="str">
        <f>'Q100a-geral'!AZ716</f>
        <v>x</v>
      </c>
      <c r="BA252" s="137" t="str">
        <f>'Q100a-geral'!BA716</f>
        <v>x</v>
      </c>
      <c r="BB252" s="239" t="str">
        <f>'Q100a-geral'!BB716</f>
        <v>Gases de efeito estufaCMMCE</v>
      </c>
      <c r="BC252" s="239" t="str">
        <f>'Q100a-geral'!BC716</f>
        <v>Gases de efeito estufaCMMCEx</v>
      </c>
      <c r="BD252" s="239" t="str">
        <f>'Q100a-geral'!BD716</f>
        <v>Gases de efeito estufax</v>
      </c>
      <c r="BE252" s="334" t="s">
        <v>1216</v>
      </c>
    </row>
    <row r="253" spans="1:57" s="1" customFormat="1" ht="45.75" customHeight="1" x14ac:dyDescent="0.25">
      <c r="A253" s="275" t="str">
        <f>'Q100a-geral'!A718</f>
        <v>5.1</v>
      </c>
      <c r="B253" s="11" t="str">
        <f>'Q100a-geral'!B718</f>
        <v>Gases de efeito estufa</v>
      </c>
      <c r="C253" s="57" t="str">
        <f>'Q100a-geral'!C718</f>
        <v>CMMCE</v>
      </c>
      <c r="D253" s="287" t="str">
        <f>'Q100a-geral'!D718</f>
        <v>EG rodoviário (milhões de tCO2e)</v>
      </c>
      <c r="E253" s="458" t="str">
        <f>'Q100a-geral'!E718</f>
        <v>Belo Horizonte</v>
      </c>
      <c r="F253" s="490" t="str">
        <f>'Q100a-geral'!F718</f>
        <v>emissão de GEE no subsetor rodoviário (em milhões de toneladas de CO2e)</v>
      </c>
      <c r="G253" s="252" t="str">
        <f>'Q100a-geral'!G718</f>
        <v>EG rodoviário (tCO2e) / 1.000.000</v>
      </c>
      <c r="H253" s="173" t="str">
        <f>'Q100a-geral'!H718</f>
        <v>x</v>
      </c>
      <c r="I253" s="57">
        <f>'Q100a-geral'!I718</f>
        <v>1</v>
      </c>
      <c r="J253" s="109" t="str">
        <f>'Q100a-geral'!J718</f>
        <v>x</v>
      </c>
      <c r="K253" s="109" t="str">
        <f>'Q100a-geral'!K718</f>
        <v>x</v>
      </c>
      <c r="L253" s="109" t="str">
        <f>'Q100a-geral'!L718</f>
        <v>x</v>
      </c>
      <c r="M253" s="109" t="str">
        <f>'Q100a-geral'!M718</f>
        <v>x</v>
      </c>
      <c r="N253" s="109" t="str">
        <f>'Q100a-geral'!N718</f>
        <v>x</v>
      </c>
      <c r="O253" s="109" t="str">
        <f>'Q100a-geral'!O718</f>
        <v>x</v>
      </c>
      <c r="P253" s="109" t="str">
        <f>'Q100a-geral'!P718</f>
        <v>x</v>
      </c>
      <c r="Q253" s="109" t="str">
        <f>'Q100a-geral'!Q718</f>
        <v>x</v>
      </c>
      <c r="R253" s="109" t="str">
        <f>'Q100a-geral'!R718</f>
        <v>x</v>
      </c>
      <c r="S253" s="109" t="str">
        <f>'Q100a-geral'!S718</f>
        <v>só para pesquisa</v>
      </c>
      <c r="T253" s="109" t="str">
        <f>'Q100a-geral'!T718</f>
        <v>x</v>
      </c>
      <c r="U253" s="22">
        <f>'Q100a-geral'!U718</f>
        <v>1.730847</v>
      </c>
      <c r="V253" s="107" t="str">
        <f>'Q100a-geral'!V718</f>
        <v>só para pesquisa</v>
      </c>
      <c r="W253" s="22">
        <f>'Q100a-geral'!W718</f>
        <v>1.7554920000000001</v>
      </c>
      <c r="X253" s="22">
        <f>'Q100a-geral'!X718</f>
        <v>1.774308</v>
      </c>
      <c r="Y253" s="22">
        <f>'Q100a-geral'!Y718</f>
        <v>1.730472</v>
      </c>
      <c r="Z253" s="22">
        <f>'Q100a-geral'!Z718</f>
        <v>1.742418</v>
      </c>
      <c r="AA253" s="22">
        <f>'Q100a-geral'!AA718</f>
        <v>1.735978</v>
      </c>
      <c r="AB253" s="22">
        <f>'Q100a-geral'!AB718</f>
        <v>1.7931410000000001</v>
      </c>
      <c r="AC253" s="22">
        <f>'Q100a-geral'!AC718</f>
        <v>1.7771699999999999</v>
      </c>
      <c r="AD253" s="22">
        <f>'Q100a-geral'!AD718</f>
        <v>1.7518088679957353</v>
      </c>
      <c r="AE253" s="22">
        <f>'Q100a-geral'!AE718</f>
        <v>1.7743831987606071</v>
      </c>
      <c r="AF253" s="22">
        <f>'Q100a-geral'!AF718</f>
        <v>2.0567420266638963</v>
      </c>
      <c r="AG253" s="22">
        <f>'Q100a-geral'!AG718</f>
        <v>2.1885250356414878</v>
      </c>
      <c r="AH253" s="22">
        <f>'Q100a-geral'!AH718</f>
        <v>2.3333586222392304</v>
      </c>
      <c r="AI253" s="22">
        <f>'Q100a-geral'!AI718</f>
        <v>2.3378344701387093</v>
      </c>
      <c r="AJ253" s="84" t="str">
        <f>'Q100a-geral'!AJ718</f>
        <v>x</v>
      </c>
      <c r="AK253" s="137" t="str">
        <f>'Q100a-geral'!AK718</f>
        <v>x</v>
      </c>
      <c r="AL253" s="212" t="str">
        <f>'Q100a-geral'!AL718</f>
        <v>x</v>
      </c>
      <c r="AM253" s="137" t="str">
        <f>'Q100a-geral'!AM718</f>
        <v>x</v>
      </c>
      <c r="AN253" s="137" t="str">
        <f>'Q100a-geral'!AN718</f>
        <v>x</v>
      </c>
      <c r="AO253" s="137" t="str">
        <f>'Q100a-geral'!AO718</f>
        <v>x</v>
      </c>
      <c r="AP253" s="137" t="str">
        <f>'Q100a-geral'!AP718</f>
        <v>x</v>
      </c>
      <c r="AQ253" s="137" t="str">
        <f>'Q100a-geral'!AQ718</f>
        <v>x</v>
      </c>
      <c r="AR253" s="137" t="str">
        <f>'Q100a-geral'!AR718</f>
        <v>x</v>
      </c>
      <c r="AS253" s="137" t="str">
        <f>'Q100a-geral'!AS718</f>
        <v>x</v>
      </c>
      <c r="AT253" s="137" t="str">
        <f>'Q100a-geral'!AT718</f>
        <v>x</v>
      </c>
      <c r="AU253" s="137" t="str">
        <f>'Q100a-geral'!AU718</f>
        <v>x</v>
      </c>
      <c r="AV253" s="137" t="str">
        <f>'Q100a-geral'!AV718</f>
        <v>x</v>
      </c>
      <c r="AW253" s="137" t="str">
        <f>'Q100a-geral'!AW718</f>
        <v>x</v>
      </c>
      <c r="AX253" s="137" t="str">
        <f>'Q100a-geral'!AX718</f>
        <v>x</v>
      </c>
      <c r="AY253" s="137" t="str">
        <f>'Q100a-geral'!AY718</f>
        <v>x</v>
      </c>
      <c r="AZ253" s="137" t="str">
        <f>'Q100a-geral'!AZ718</f>
        <v>x</v>
      </c>
      <c r="BA253" s="137" t="str">
        <f>'Q100a-geral'!BA718</f>
        <v>x</v>
      </c>
      <c r="BB253" s="239" t="str">
        <f>'Q100a-geral'!BB718</f>
        <v>Gases de efeito estufaCMMCE</v>
      </c>
      <c r="BC253" s="239" t="str">
        <f>'Q100a-geral'!BC718</f>
        <v>Gases de efeito estufaCMMCEx</v>
      </c>
      <c r="BD253" s="239" t="str">
        <f>'Q100a-geral'!BD718</f>
        <v>Gases de efeito estufax</v>
      </c>
    </row>
    <row r="254" spans="1:57" s="1" customFormat="1" ht="44.25" customHeight="1" x14ac:dyDescent="0.25">
      <c r="A254" s="275" t="str">
        <f>'Q100a-geral'!A719</f>
        <v>5.1</v>
      </c>
      <c r="B254" s="11" t="str">
        <f>'Q100a-geral'!B719</f>
        <v>Gases de efeito estufa</v>
      </c>
      <c r="C254" s="57" t="str">
        <f>'Q100a-geral'!C719</f>
        <v>CMMCE</v>
      </c>
      <c r="D254" s="287" t="str">
        <f>'Q100a-geral'!D719</f>
        <v>EG rodoviário em relação a EG</v>
      </c>
      <c r="E254" s="921" t="str">
        <f>'Q100a-geral'!E719</f>
        <v>Belo Horizonte</v>
      </c>
      <c r="F254" s="492" t="str">
        <f>'Q100a-geral'!F719</f>
        <v>emissão de GEE no subsetor rodoviário em relação à emissão total de GEE (em %)</v>
      </c>
      <c r="G254" s="17" t="str">
        <f>'Q100a-geral'!G719</f>
        <v>(EG rodoviário / EG) x 100</v>
      </c>
      <c r="H254" s="173" t="str">
        <f>'Q100a-geral'!H719</f>
        <v>x</v>
      </c>
      <c r="I254" s="157">
        <f>'Q100a-geral'!I719</f>
        <v>1</v>
      </c>
      <c r="J254" s="109" t="str">
        <f>'Q100a-geral'!J719</f>
        <v>x</v>
      </c>
      <c r="K254" s="109" t="str">
        <f>'Q100a-geral'!K719</f>
        <v>x</v>
      </c>
      <c r="L254" s="109" t="str">
        <f>'Q100a-geral'!L719</f>
        <v>x</v>
      </c>
      <c r="M254" s="109" t="str">
        <f>'Q100a-geral'!M719</f>
        <v>x</v>
      </c>
      <c r="N254" s="109" t="str">
        <f>'Q100a-geral'!N719</f>
        <v>x</v>
      </c>
      <c r="O254" s="109" t="str">
        <f>'Q100a-geral'!O719</f>
        <v>x</v>
      </c>
      <c r="P254" s="109" t="str">
        <f>'Q100a-geral'!P719</f>
        <v>x</v>
      </c>
      <c r="Q254" s="109" t="str">
        <f>'Q100a-geral'!Q719</f>
        <v>x</v>
      </c>
      <c r="R254" s="109" t="str">
        <f>'Q100a-geral'!R719</f>
        <v>x</v>
      </c>
      <c r="S254" s="109" t="str">
        <f>'Q100a-geral'!S719</f>
        <v>só para pesquisa</v>
      </c>
      <c r="T254" s="109" t="str">
        <f>'Q100a-geral'!T719</f>
        <v>x</v>
      </c>
      <c r="U254" s="21">
        <f>'Q100a-geral'!U719</f>
        <v>0.66695374029970489</v>
      </c>
      <c r="V254" s="107" t="str">
        <f>'Q100a-geral'!V719</f>
        <v>só para pesquisa</v>
      </c>
      <c r="W254" s="21">
        <f>'Q100a-geral'!W719</f>
        <v>0.639065325842893</v>
      </c>
      <c r="X254" s="21">
        <f>'Q100a-geral'!X719</f>
        <v>0.61798225159353581</v>
      </c>
      <c r="Y254" s="21">
        <f>'Q100a-geral'!Y719</f>
        <v>0.60031658930014198</v>
      </c>
      <c r="Z254" s="21">
        <f>'Q100a-geral'!Z719</f>
        <v>0.58723504931995485</v>
      </c>
      <c r="AA254" s="21">
        <f>'Q100a-geral'!AA719</f>
        <v>0.57571073485299462</v>
      </c>
      <c r="AB254" s="21">
        <f>'Q100a-geral'!AB719</f>
        <v>0.57423473946267645</v>
      </c>
      <c r="AC254" s="21">
        <f>'Q100a-geral'!AC719</f>
        <v>0.55912064430209263</v>
      </c>
      <c r="AD254" s="21">
        <f>'Q100a-geral'!AD719</f>
        <v>0.51006511182519432</v>
      </c>
      <c r="AE254" s="21">
        <f>'Q100a-geral'!AE719</f>
        <v>0.51189261490835669</v>
      </c>
      <c r="AF254" s="21">
        <f>'Q100a-geral'!AF719</f>
        <v>0.54784043672284155</v>
      </c>
      <c r="AG254" s="21">
        <f>'Q100a-geral'!AG719</f>
        <v>0.55168080066210234</v>
      </c>
      <c r="AH254" s="21">
        <f>'Q100a-geral'!AH719</f>
        <v>0.55073647410862192</v>
      </c>
      <c r="AI254" s="21">
        <f>'Q100a-geral'!AI719</f>
        <v>0.53192114414617053</v>
      </c>
      <c r="AJ254" s="23" t="str">
        <f>'Q100a-geral'!AJ719</f>
        <v>x</v>
      </c>
      <c r="AK254" s="137" t="str">
        <f>'Q100a-geral'!AK719</f>
        <v>x</v>
      </c>
      <c r="AL254" s="212" t="str">
        <f>'Q100a-geral'!AL719</f>
        <v>x</v>
      </c>
      <c r="AM254" s="137" t="str">
        <f>'Q100a-geral'!AM719</f>
        <v>x</v>
      </c>
      <c r="AN254" s="137" t="str">
        <f>'Q100a-geral'!AN719</f>
        <v>x</v>
      </c>
      <c r="AO254" s="137" t="str">
        <f>'Q100a-geral'!AO719</f>
        <v>x</v>
      </c>
      <c r="AP254" s="137" t="str">
        <f>'Q100a-geral'!AP719</f>
        <v>x</v>
      </c>
      <c r="AQ254" s="137" t="str">
        <f>'Q100a-geral'!AQ719</f>
        <v>x</v>
      </c>
      <c r="AR254" s="137" t="str">
        <f>'Q100a-geral'!AR719</f>
        <v>x</v>
      </c>
      <c r="AS254" s="137" t="str">
        <f>'Q100a-geral'!AS719</f>
        <v>x</v>
      </c>
      <c r="AT254" s="137" t="str">
        <f>'Q100a-geral'!AT719</f>
        <v>x</v>
      </c>
      <c r="AU254" s="137" t="str">
        <f>'Q100a-geral'!AU719</f>
        <v>x</v>
      </c>
      <c r="AV254" s="137" t="str">
        <f>'Q100a-geral'!AV719</f>
        <v>x</v>
      </c>
      <c r="AW254" s="137" t="str">
        <f>'Q100a-geral'!AW719</f>
        <v>x</v>
      </c>
      <c r="AX254" s="137" t="str">
        <f>'Q100a-geral'!AX719</f>
        <v>x</v>
      </c>
      <c r="AY254" s="137" t="str">
        <f>'Q100a-geral'!AY719</f>
        <v>x</v>
      </c>
      <c r="AZ254" s="137" t="str">
        <f>'Q100a-geral'!AZ719</f>
        <v>x</v>
      </c>
      <c r="BA254" s="137" t="str">
        <f>'Q100a-geral'!BA719</f>
        <v>x</v>
      </c>
      <c r="BB254" s="239" t="str">
        <f>'Q100a-geral'!BB719</f>
        <v>Gases de efeito estufaCMMCE</v>
      </c>
      <c r="BC254" s="239" t="str">
        <f>'Q100a-geral'!BC719</f>
        <v>Gases de efeito estufaCMMCEx</v>
      </c>
      <c r="BD254" s="239" t="str">
        <f>'Q100a-geral'!BD719</f>
        <v>Gases de efeito estufax</v>
      </c>
    </row>
    <row r="255" spans="1:57" s="1" customFormat="1" ht="63" customHeight="1" x14ac:dyDescent="0.25">
      <c r="A255" s="275" t="str">
        <f>'Q100a-geral'!A724</f>
        <v>1.1</v>
      </c>
      <c r="B255" s="252" t="str">
        <f>'Q100a-geral'!B724</f>
        <v>Ações educativas</v>
      </c>
      <c r="C255" s="167" t="str">
        <f>'Q100a-geral'!C724</f>
        <v>x</v>
      </c>
      <c r="D255" s="322" t="str">
        <f>'Q100a-geral'!D724</f>
        <v>Ejm</v>
      </c>
      <c r="E255" s="11" t="str">
        <f>'Q100a-geral'!E724</f>
        <v>Belo Horizonte</v>
      </c>
      <c r="F255" s="449" t="str">
        <f>'Q100a-geral'!F724</f>
        <v>número de escolas atendidas especificamente no programa "O jovem e a mobilidade"
obs.: resultados de 2010-2013 conforme BHTRANS(2015h); de 2014-2015 conforme BHTRANS(2016y)</v>
      </c>
      <c r="G255" s="252" t="str">
        <f>'Q100a-geral'!G724</f>
        <v>registro na fonte</v>
      </c>
      <c r="H255" s="167" t="str">
        <f>'Q100a-geral'!H724</f>
        <v>x</v>
      </c>
      <c r="I255" s="167">
        <f>'Q100a-geral'!I724</f>
        <v>1</v>
      </c>
      <c r="J255" s="107" t="str">
        <f>'Q100a-geral'!J724</f>
        <v>x</v>
      </c>
      <c r="K255" s="93" t="str">
        <f>'Q100a-geral'!K724</f>
        <v>x</v>
      </c>
      <c r="L255" s="93" t="str">
        <f>'Q100a-geral'!L724</f>
        <v>x</v>
      </c>
      <c r="M255" s="93" t="str">
        <f>'Q100a-geral'!M724</f>
        <v>x</v>
      </c>
      <c r="N255" s="93" t="str">
        <f>'Q100a-geral'!N724</f>
        <v>x</v>
      </c>
      <c r="O255" s="93" t="str">
        <f>'Q100a-geral'!O724</f>
        <v>x</v>
      </c>
      <c r="P255" s="93" t="str">
        <f>'Q100a-geral'!P724</f>
        <v>x</v>
      </c>
      <c r="Q255" s="93" t="str">
        <f>'Q100a-geral'!Q724</f>
        <v>x</v>
      </c>
      <c r="R255" s="93" t="str">
        <f>'Q100a-geral'!R724</f>
        <v>x</v>
      </c>
      <c r="S255" s="107" t="str">
        <f>'Q100a-geral'!S724</f>
        <v>só para pesquisa</v>
      </c>
      <c r="T255" s="93" t="str">
        <f>'Q100a-geral'!T724</f>
        <v>x</v>
      </c>
      <c r="U255" s="93" t="str">
        <f>'Q100a-geral'!U724</f>
        <v>x</v>
      </c>
      <c r="V255" s="107" t="str">
        <f>'Q100a-geral'!V724</f>
        <v>só para pesquisa</v>
      </c>
      <c r="W255" s="93" t="str">
        <f>'Q100a-geral'!W724</f>
        <v>x</v>
      </c>
      <c r="X255" s="93" t="str">
        <f>'Q100a-geral'!X724</f>
        <v>x</v>
      </c>
      <c r="Y255" s="93" t="str">
        <f>'Q100a-geral'!Y724</f>
        <v>x</v>
      </c>
      <c r="Z255" s="93" t="str">
        <f>'Q100a-geral'!Z724</f>
        <v>x</v>
      </c>
      <c r="AA255" s="84" t="str">
        <f>'Q100a-geral'!AA724</f>
        <v>x</v>
      </c>
      <c r="AB255" s="84" t="str">
        <f>'Q100a-geral'!AB724</f>
        <v>x</v>
      </c>
      <c r="AC255" s="84" t="str">
        <f>'Q100a-geral'!AC724</f>
        <v>x</v>
      </c>
      <c r="AD255" s="84" t="str">
        <f>'Q100a-geral'!AD724</f>
        <v>x</v>
      </c>
      <c r="AE255" s="84" t="str">
        <f>'Q100a-geral'!AE724</f>
        <v>x</v>
      </c>
      <c r="AF255" s="84">
        <f>'Q100a-geral'!AF724</f>
        <v>4</v>
      </c>
      <c r="AG255" s="84">
        <f>'Q100a-geral'!AG724</f>
        <v>53</v>
      </c>
      <c r="AH255" s="84">
        <f>'Q100a-geral'!AH724</f>
        <v>73</v>
      </c>
      <c r="AI255" s="84">
        <f>'Q100a-geral'!AI724</f>
        <v>168</v>
      </c>
      <c r="AJ255" s="93">
        <f>'Q100a-geral'!AJ724</f>
        <v>168</v>
      </c>
      <c r="AK255" s="137">
        <f>'Q100a-geral'!AK724</f>
        <v>227</v>
      </c>
      <c r="AL255" s="212" t="str">
        <f>'Q100a-geral'!AL724</f>
        <v>x</v>
      </c>
      <c r="AM255" s="137" t="str">
        <f>'Q100a-geral'!AM724</f>
        <v>x</v>
      </c>
      <c r="AN255" s="137" t="str">
        <f>'Q100a-geral'!AN724</f>
        <v>x</v>
      </c>
      <c r="AO255" s="137" t="str">
        <f>'Q100a-geral'!AO724</f>
        <v>x</v>
      </c>
      <c r="AP255" s="137" t="str">
        <f>'Q100a-geral'!AP724</f>
        <v>x</v>
      </c>
      <c r="AQ255" s="137" t="str">
        <f>'Q100a-geral'!AQ724</f>
        <v>x</v>
      </c>
      <c r="AR255" s="137"/>
      <c r="AS255" s="137"/>
      <c r="AT255" s="137"/>
      <c r="AU255" s="137"/>
      <c r="AV255" s="137" t="str">
        <f>'Q100a-geral'!AV724</f>
        <v>x</v>
      </c>
      <c r="AW255" s="137"/>
      <c r="AX255" s="137"/>
      <c r="AY255" s="137"/>
      <c r="AZ255" s="137"/>
      <c r="BA255" s="137" t="str">
        <f>'Q100a-geral'!BA724</f>
        <v>x</v>
      </c>
      <c r="BB255" s="239" t="str">
        <f>'Q100a-geral'!BB724</f>
        <v>Ações educativasx</v>
      </c>
      <c r="BC255" s="239" t="str">
        <f>'Q100a-geral'!BC724</f>
        <v>Ações educativasxx</v>
      </c>
      <c r="BD255" s="239" t="str">
        <f>'Q100a-geral'!BD724</f>
        <v>Ações educativasx</v>
      </c>
    </row>
    <row r="256" spans="1:57" ht="25.5" customHeight="1" x14ac:dyDescent="0.25">
      <c r="A256" s="275" t="str">
        <f>'Q100a-geral'!A726</f>
        <v>9.2</v>
      </c>
      <c r="B256" s="53" t="str">
        <f>'Q100a-geral'!B726</f>
        <v>Estacionamento</v>
      </c>
      <c r="C256" s="57" t="str">
        <f>'Q100a-geral'!C726</f>
        <v>acessibilidade</v>
      </c>
      <c r="D256" s="240" t="str">
        <f>'Q100a-geral'!D726</f>
        <v>EL vfd</v>
      </c>
      <c r="E256" s="252" t="str">
        <f>'Q100a-geral'!E726</f>
        <v>Belo Horizonte</v>
      </c>
      <c r="F256" s="449" t="str">
        <f>'Q100a-geral'!F726</f>
        <v>n.º de vagas físicas reservadas para pessoa com deficiência em quarteirão de estacionamento livre 
obs.: resultados de 2002-2014 conforme BHTRANS(2015k; 2015m); 2002-2015 conforme BHTRANS(2016z2)</v>
      </c>
      <c r="G256" s="252" t="str">
        <f>'Q100a-geral'!G726</f>
        <v>registro na fonte</v>
      </c>
      <c r="H256" s="168" t="str">
        <f>'Q100a-geral'!H726</f>
        <v>x</v>
      </c>
      <c r="I256" s="57">
        <f>'Q100a-geral'!I726</f>
        <v>1</v>
      </c>
      <c r="J256" s="107" t="str">
        <f>'Q100a-geral'!J726</f>
        <v>x</v>
      </c>
      <c r="K256" s="137" t="str">
        <f>'Q100a-geral'!K726</f>
        <v>x</v>
      </c>
      <c r="L256" s="137" t="str">
        <f>'Q100a-geral'!L726</f>
        <v>x</v>
      </c>
      <c r="M256" s="137" t="str">
        <f>'Q100a-geral'!M726</f>
        <v>x</v>
      </c>
      <c r="N256" s="137" t="str">
        <f>'Q100a-geral'!N726</f>
        <v>x</v>
      </c>
      <c r="O256" s="137" t="str">
        <f>'Q100a-geral'!O726</f>
        <v>x</v>
      </c>
      <c r="P256" s="137" t="str">
        <f>'Q100a-geral'!P726</f>
        <v>x</v>
      </c>
      <c r="Q256" s="137" t="str">
        <f>'Q100a-geral'!Q726</f>
        <v>x</v>
      </c>
      <c r="R256" s="137" t="str">
        <f>'Q100a-geral'!R726</f>
        <v>x</v>
      </c>
      <c r="S256" s="649" t="str">
        <f>'Q100a-geral'!S726</f>
        <v>só para pesquisa</v>
      </c>
      <c r="T256" s="137" t="str">
        <f>'Q100a-geral'!T726</f>
        <v>x</v>
      </c>
      <c r="U256" s="137" t="str">
        <f>'Q100a-geral'!U726</f>
        <v>x</v>
      </c>
      <c r="V256" s="107" t="str">
        <f>'Q100a-geral'!V726</f>
        <v>só para pesquisa</v>
      </c>
      <c r="W256" s="84" t="str">
        <f>'Q100a-geral'!W726</f>
        <v>x</v>
      </c>
      <c r="X256" s="84">
        <f>'Q100a-geral'!X726</f>
        <v>70</v>
      </c>
      <c r="Y256" s="84">
        <f>'Q100a-geral'!Y726</f>
        <v>189</v>
      </c>
      <c r="Z256" s="84">
        <f>'Q100a-geral'!Z726</f>
        <v>230</v>
      </c>
      <c r="AA256" s="84">
        <f>'Q100a-geral'!AA726</f>
        <v>246</v>
      </c>
      <c r="AB256" s="84">
        <f>'Q100a-geral'!AB726</f>
        <v>244</v>
      </c>
      <c r="AC256" s="84">
        <f>'Q100a-geral'!AC726</f>
        <v>244</v>
      </c>
      <c r="AD256" s="84">
        <f>'Q100a-geral'!AD726</f>
        <v>231</v>
      </c>
      <c r="AE256" s="84">
        <f>'Q100a-geral'!AE726</f>
        <v>237</v>
      </c>
      <c r="AF256" s="84">
        <f>'Q100a-geral'!AF726</f>
        <v>245</v>
      </c>
      <c r="AG256" s="84">
        <f>'Q100a-geral'!AG726</f>
        <v>254</v>
      </c>
      <c r="AH256" s="84">
        <f>'Q100a-geral'!AH726</f>
        <v>280</v>
      </c>
      <c r="AI256" s="84">
        <f>'Q100a-geral'!AI726</f>
        <v>299</v>
      </c>
      <c r="AJ256" s="84">
        <f>'Q100a-geral'!AJ726</f>
        <v>323</v>
      </c>
      <c r="AK256" s="84">
        <f>'Q100a-geral'!AK726</f>
        <v>374</v>
      </c>
      <c r="AL256" s="212" t="str">
        <f>'Q100a-geral'!AL726</f>
        <v>x</v>
      </c>
      <c r="AM256" s="137" t="str">
        <f>'Q100a-geral'!AM726</f>
        <v>x</v>
      </c>
      <c r="AN256" s="137" t="str">
        <f>'Q100a-geral'!AN726</f>
        <v>x</v>
      </c>
      <c r="AO256" s="137" t="str">
        <f>'Q100a-geral'!AO726</f>
        <v>x</v>
      </c>
      <c r="AP256" s="137" t="str">
        <f>'Q100a-geral'!AP726</f>
        <v>x</v>
      </c>
      <c r="AQ256" s="137" t="str">
        <f>'Q100a-geral'!AQ726</f>
        <v>x</v>
      </c>
      <c r="AR256" s="137"/>
      <c r="AS256" s="137"/>
      <c r="AT256" s="137"/>
      <c r="AU256" s="137"/>
      <c r="AV256" s="137" t="str">
        <f>'Q100a-geral'!AV726</f>
        <v>x</v>
      </c>
      <c r="AW256" s="137"/>
      <c r="AX256" s="137"/>
      <c r="AY256" s="137"/>
      <c r="AZ256" s="137"/>
      <c r="BA256" s="137" t="str">
        <f>'Q100a-geral'!BA726</f>
        <v>x</v>
      </c>
      <c r="BB256" s="239" t="str">
        <f>'Q100a-geral'!BB726</f>
        <v>Estacionamentoacessibilidade</v>
      </c>
      <c r="BC256" s="239" t="str">
        <f>'Q100a-geral'!BC726</f>
        <v>Estacionamentoacessibilidadex</v>
      </c>
      <c r="BD256" s="239" t="str">
        <f>'Q100a-geral'!BD726</f>
        <v>Estacionamentox</v>
      </c>
    </row>
    <row r="257" spans="1:56" ht="25.5" customHeight="1" x14ac:dyDescent="0.25">
      <c r="A257" s="275" t="str">
        <f>'Q100a-geral'!A727</f>
        <v>9.2</v>
      </c>
      <c r="B257" s="53" t="str">
        <f>'Q100a-geral'!B727</f>
        <v>Estacionamento</v>
      </c>
      <c r="C257" s="57" t="str">
        <f>'Q100a-geral'!C727</f>
        <v>acessibilidade</v>
      </c>
      <c r="D257" s="240" t="str">
        <f>'Q100a-geral'!D727</f>
        <v>EL vfi</v>
      </c>
      <c r="E257" s="252" t="str">
        <f>'Q100a-geral'!E727</f>
        <v>Belo Horizonte</v>
      </c>
      <c r="F257" s="446" t="str">
        <f>'Q100a-geral'!F727</f>
        <v>n.º de vagas físicas reservadas para idoso em quarteirão de estacionamento livre (BHTRANS, 2015k; 2015m)</v>
      </c>
      <c r="G257" s="252" t="str">
        <f>'Q100a-geral'!G727</f>
        <v>registro na fonte</v>
      </c>
      <c r="H257" s="168" t="str">
        <f>'Q100a-geral'!H727</f>
        <v>x</v>
      </c>
      <c r="I257" s="57">
        <f>'Q100a-geral'!I727</f>
        <v>1</v>
      </c>
      <c r="J257" s="107" t="str">
        <f>'Q100a-geral'!J727</f>
        <v>x</v>
      </c>
      <c r="K257" s="137" t="str">
        <f>'Q100a-geral'!K727</f>
        <v>x</v>
      </c>
      <c r="L257" s="137" t="str">
        <f>'Q100a-geral'!L727</f>
        <v>x</v>
      </c>
      <c r="M257" s="137" t="str">
        <f>'Q100a-geral'!M727</f>
        <v>x</v>
      </c>
      <c r="N257" s="137" t="str">
        <f>'Q100a-geral'!N727</f>
        <v>x</v>
      </c>
      <c r="O257" s="137" t="str">
        <f>'Q100a-geral'!O727</f>
        <v>x</v>
      </c>
      <c r="P257" s="137" t="str">
        <f>'Q100a-geral'!P727</f>
        <v>x</v>
      </c>
      <c r="Q257" s="137" t="str">
        <f>'Q100a-geral'!Q727</f>
        <v>x</v>
      </c>
      <c r="R257" s="137" t="str">
        <f>'Q100a-geral'!R727</f>
        <v>x</v>
      </c>
      <c r="S257" s="649" t="str">
        <f>'Q100a-geral'!S727</f>
        <v>só para pesquisa</v>
      </c>
      <c r="T257" s="137" t="str">
        <f>'Q100a-geral'!T727</f>
        <v>x</v>
      </c>
      <c r="U257" s="137" t="str">
        <f>'Q100a-geral'!U727</f>
        <v>x</v>
      </c>
      <c r="V257" s="107" t="str">
        <f>'Q100a-geral'!V727</f>
        <v>só para pesquisa</v>
      </c>
      <c r="W257" s="84" t="str">
        <f>'Q100a-geral'!W727</f>
        <v>x</v>
      </c>
      <c r="X257" s="84">
        <f>'Q100a-geral'!X727</f>
        <v>0</v>
      </c>
      <c r="Y257" s="84">
        <f>'Q100a-geral'!Y727</f>
        <v>0</v>
      </c>
      <c r="Z257" s="84">
        <f>'Q100a-geral'!Z727</f>
        <v>0</v>
      </c>
      <c r="AA257" s="84">
        <f>'Q100a-geral'!AA727</f>
        <v>0</v>
      </c>
      <c r="AB257" s="84">
        <f>'Q100a-geral'!AB727</f>
        <v>0</v>
      </c>
      <c r="AC257" s="84">
        <f>'Q100a-geral'!AC727</f>
        <v>0</v>
      </c>
      <c r="AD257" s="84">
        <f>'Q100a-geral'!AD727</f>
        <v>0</v>
      </c>
      <c r="AE257" s="84">
        <f>'Q100a-geral'!AE727</f>
        <v>0</v>
      </c>
      <c r="AF257" s="84">
        <f>'Q100a-geral'!AF727</f>
        <v>41</v>
      </c>
      <c r="AG257" s="84">
        <f>'Q100a-geral'!AG727</f>
        <v>54</v>
      </c>
      <c r="AH257" s="84">
        <f>'Q100a-geral'!AH727</f>
        <v>61</v>
      </c>
      <c r="AI257" s="84">
        <f>'Q100a-geral'!AI727</f>
        <v>67</v>
      </c>
      <c r="AJ257" s="84">
        <f>'Q100a-geral'!AJ727</f>
        <v>106</v>
      </c>
      <c r="AK257" s="84">
        <f>'Q100a-geral'!AK727</f>
        <v>167</v>
      </c>
      <c r="AL257" s="212" t="str">
        <f>'Q100a-geral'!AL727</f>
        <v>x</v>
      </c>
      <c r="AM257" s="137" t="str">
        <f>'Q100a-geral'!AM727</f>
        <v>x</v>
      </c>
      <c r="AN257" s="137" t="str">
        <f>'Q100a-geral'!AN727</f>
        <v>x</v>
      </c>
      <c r="AO257" s="137" t="str">
        <f>'Q100a-geral'!AO727</f>
        <v>x</v>
      </c>
      <c r="AP257" s="137" t="str">
        <f>'Q100a-geral'!AP727</f>
        <v>x</v>
      </c>
      <c r="AQ257" s="137" t="str">
        <f>'Q100a-geral'!AQ727</f>
        <v>x</v>
      </c>
      <c r="AR257" s="137"/>
      <c r="AS257" s="137"/>
      <c r="AT257" s="137"/>
      <c r="AU257" s="137"/>
      <c r="AV257" s="137" t="str">
        <f>'Q100a-geral'!AV727</f>
        <v>x</v>
      </c>
      <c r="AW257" s="137"/>
      <c r="AX257" s="137"/>
      <c r="AY257" s="137"/>
      <c r="AZ257" s="137"/>
      <c r="BA257" s="137" t="str">
        <f>'Q100a-geral'!BA727</f>
        <v>x</v>
      </c>
      <c r="BB257" s="239" t="str">
        <f>'Q100a-geral'!BB727</f>
        <v>Estacionamentoacessibilidade</v>
      </c>
      <c r="BC257" s="239" t="str">
        <f>'Q100a-geral'!BC727</f>
        <v>Estacionamentoacessibilidadex</v>
      </c>
      <c r="BD257" s="239" t="str">
        <f>'Q100a-geral'!BD727</f>
        <v>Estacionamentox</v>
      </c>
    </row>
    <row r="258" spans="1:56" ht="42.75" customHeight="1" x14ac:dyDescent="0.25">
      <c r="A258" s="275" t="str">
        <f>'Q100a-geral'!A728</f>
        <v>9.2</v>
      </c>
      <c r="B258" s="53" t="str">
        <f>'Q100a-geral'!B728</f>
        <v>Estacionamento</v>
      </c>
      <c r="C258" s="57" t="str">
        <f>'Q100a-geral'!C728</f>
        <v>acessibilidade</v>
      </c>
      <c r="D258" s="240" t="str">
        <f>'Q100a-geral'!D728</f>
        <v>EL vfdi</v>
      </c>
      <c r="E258" s="252" t="str">
        <f>'Q100a-geral'!E728</f>
        <v>Belo Horizonte</v>
      </c>
      <c r="F258" s="446" t="str">
        <f>'Q100a-geral'!F728</f>
        <v>n.º total de vagas físicas reservadas para inclusão, ou seja, para idoso ou para pessoa com deficiência em quarteirão de estacionamento livre</v>
      </c>
      <c r="G258" s="17" t="str">
        <f>'Q100a-geral'!G728</f>
        <v>EL vfd + EL vfi</v>
      </c>
      <c r="H258" s="168" t="str">
        <f>'Q100a-geral'!H728</f>
        <v>x</v>
      </c>
      <c r="I258" s="57">
        <f>'Q100a-geral'!I728</f>
        <v>1</v>
      </c>
      <c r="J258" s="107" t="str">
        <f>'Q100a-geral'!J728</f>
        <v>x</v>
      </c>
      <c r="K258" s="137" t="str">
        <f>'Q100a-geral'!K728</f>
        <v>x</v>
      </c>
      <c r="L258" s="137" t="str">
        <f>'Q100a-geral'!L728</f>
        <v>x</v>
      </c>
      <c r="M258" s="137" t="str">
        <f>'Q100a-geral'!M728</f>
        <v>x</v>
      </c>
      <c r="N258" s="137" t="str">
        <f>'Q100a-geral'!N728</f>
        <v>x</v>
      </c>
      <c r="O258" s="137" t="str">
        <f>'Q100a-geral'!O728</f>
        <v>x</v>
      </c>
      <c r="P258" s="137" t="str">
        <f>'Q100a-geral'!P728</f>
        <v>x</v>
      </c>
      <c r="Q258" s="137" t="str">
        <f>'Q100a-geral'!Q728</f>
        <v>x</v>
      </c>
      <c r="R258" s="137" t="str">
        <f>'Q100a-geral'!R728</f>
        <v>x</v>
      </c>
      <c r="S258" s="649" t="str">
        <f>'Q100a-geral'!S728</f>
        <v>só para pesquisa</v>
      </c>
      <c r="T258" s="137" t="str">
        <f>'Q100a-geral'!T728</f>
        <v>x</v>
      </c>
      <c r="U258" s="137" t="str">
        <f>'Q100a-geral'!U728</f>
        <v>x</v>
      </c>
      <c r="V258" s="107" t="str">
        <f>'Q100a-geral'!V728</f>
        <v>só para pesquisa</v>
      </c>
      <c r="W258" s="23" t="str">
        <f>'Q100a-geral'!W728</f>
        <v>x</v>
      </c>
      <c r="X258" s="23">
        <f>'Q100a-geral'!X728</f>
        <v>70</v>
      </c>
      <c r="Y258" s="23">
        <f>'Q100a-geral'!Y728</f>
        <v>189</v>
      </c>
      <c r="Z258" s="23">
        <f>'Q100a-geral'!Z728</f>
        <v>230</v>
      </c>
      <c r="AA258" s="23">
        <f>'Q100a-geral'!AA728</f>
        <v>246</v>
      </c>
      <c r="AB258" s="23">
        <f>'Q100a-geral'!AB728</f>
        <v>244</v>
      </c>
      <c r="AC258" s="23">
        <f>'Q100a-geral'!AC728</f>
        <v>244</v>
      </c>
      <c r="AD258" s="23">
        <f>'Q100a-geral'!AD728</f>
        <v>231</v>
      </c>
      <c r="AE258" s="23">
        <f>'Q100a-geral'!AE728</f>
        <v>237</v>
      </c>
      <c r="AF258" s="23">
        <f>'Q100a-geral'!AF728</f>
        <v>286</v>
      </c>
      <c r="AG258" s="23">
        <f>'Q100a-geral'!AG728</f>
        <v>308</v>
      </c>
      <c r="AH258" s="23">
        <f>'Q100a-geral'!AH728</f>
        <v>341</v>
      </c>
      <c r="AI258" s="23">
        <f>'Q100a-geral'!AI728</f>
        <v>366</v>
      </c>
      <c r="AJ258" s="23">
        <f>'Q100a-geral'!AJ728</f>
        <v>429</v>
      </c>
      <c r="AK258" s="23">
        <f>'Q100a-geral'!AK728</f>
        <v>541</v>
      </c>
      <c r="AL258" s="212" t="str">
        <f>'Q100a-geral'!AL728</f>
        <v>x</v>
      </c>
      <c r="AM258" s="137" t="str">
        <f>'Q100a-geral'!AM728</f>
        <v>x</v>
      </c>
      <c r="AN258" s="137" t="str">
        <f>'Q100a-geral'!AN728</f>
        <v>x</v>
      </c>
      <c r="AO258" s="137" t="str">
        <f>'Q100a-geral'!AO728</f>
        <v>x</v>
      </c>
      <c r="AP258" s="137" t="str">
        <f>'Q100a-geral'!AP728</f>
        <v>x</v>
      </c>
      <c r="AQ258" s="137" t="str">
        <f>'Q100a-geral'!AQ728</f>
        <v>x</v>
      </c>
      <c r="AR258" s="137"/>
      <c r="AS258" s="137"/>
      <c r="AT258" s="137"/>
      <c r="AU258" s="137"/>
      <c r="AV258" s="137" t="str">
        <f>'Q100a-geral'!AV728</f>
        <v>x</v>
      </c>
      <c r="AW258" s="137"/>
      <c r="AX258" s="137"/>
      <c r="AY258" s="137"/>
      <c r="AZ258" s="137"/>
      <c r="BA258" s="137" t="str">
        <f>'Q100a-geral'!BA728</f>
        <v>x</v>
      </c>
      <c r="BB258" s="239" t="str">
        <f>'Q100a-geral'!BB728</f>
        <v>Estacionamentoacessibilidade</v>
      </c>
      <c r="BC258" s="239" t="str">
        <f>'Q100a-geral'!BC728</f>
        <v>Estacionamentoacessibilidadex</v>
      </c>
      <c r="BD258" s="239" t="str">
        <f>'Q100a-geral'!BD728</f>
        <v>Estacionamentox</v>
      </c>
    </row>
    <row r="259" spans="1:56" s="1" customFormat="1" ht="38.25" customHeight="1" x14ac:dyDescent="0.25">
      <c r="A259" s="275" t="str">
        <f>'Q100a-geral'!A734</f>
        <v>8.5</v>
      </c>
      <c r="B259" s="54" t="str">
        <f>'Q100a-geral'!B734</f>
        <v>Transporte convencional</v>
      </c>
      <c r="C259" s="230" t="str">
        <f>'Q100a-geral'!C734</f>
        <v>x</v>
      </c>
      <c r="D259" s="37" t="str">
        <f>'Q100a-geral'!D734</f>
        <v>EMP tcc</v>
      </c>
      <c r="E259" s="245" t="str">
        <f>'Q100a-geral'!E734</f>
        <v>Belo Horizonte</v>
      </c>
      <c r="F259" s="632" t="str">
        <f>'Q100a-geral'!F734</f>
        <v>n.º de empresas operadores do transporte coletivo convencional
obs.:  mês de dezembro tomado como referência anual com resultados de 1993 e 1994 conforme BHTRANS(1995a, p.3); de 2011 a 2012 conforme BHTRANS(2013e)</v>
      </c>
      <c r="G259" s="252" t="str">
        <f>'Q100a-geral'!G734</f>
        <v>registro na fonte</v>
      </c>
      <c r="H259" s="173" t="str">
        <f>'Q100a-geral'!H734</f>
        <v>x</v>
      </c>
      <c r="I259" s="167">
        <f>'Q100a-geral'!I734</f>
        <v>1</v>
      </c>
      <c r="J259" s="107" t="str">
        <f>'Q100a-geral'!J734</f>
        <v>x</v>
      </c>
      <c r="K259" s="107" t="str">
        <f>'Q100a-geral'!K734</f>
        <v>x</v>
      </c>
      <c r="L259" s="107" t="str">
        <f>'Q100a-geral'!L734</f>
        <v>x</v>
      </c>
      <c r="M259" s="84">
        <f>'Q100a-geral'!M734</f>
        <v>54</v>
      </c>
      <c r="N259" s="84">
        <f>'Q100a-geral'!N734</f>
        <v>54</v>
      </c>
      <c r="O259" s="84" t="str">
        <f>'Q100a-geral'!O734</f>
        <v>ainda não encontrado</v>
      </c>
      <c r="P259" s="84" t="str">
        <f>'Q100a-geral'!P734</f>
        <v>ainda não encontrado</v>
      </c>
      <c r="Q259" s="84" t="str">
        <f>'Q100a-geral'!Q734</f>
        <v>ainda não encontrado</v>
      </c>
      <c r="R259" s="84" t="str">
        <f>'Q100a-geral'!R734</f>
        <v>ainda não encontrado</v>
      </c>
      <c r="S259" s="649" t="str">
        <f>'Q100a-geral'!S734</f>
        <v>só para pesquisa</v>
      </c>
      <c r="T259" s="84" t="str">
        <f>'Q100a-geral'!T734</f>
        <v>ainda não encontrado</v>
      </c>
      <c r="U259" s="84" t="str">
        <f>'Q100a-geral'!U734</f>
        <v>ainda não encontrado</v>
      </c>
      <c r="V259" s="107" t="str">
        <f>'Q100a-geral'!V734</f>
        <v>só para pesquisa</v>
      </c>
      <c r="W259" s="84" t="str">
        <f>'Q100a-geral'!W734</f>
        <v>ainda não encontrado</v>
      </c>
      <c r="X259" s="84" t="str">
        <f>'Q100a-geral'!X734</f>
        <v>ainda não encontrado</v>
      </c>
      <c r="Y259" s="84" t="str">
        <f>'Q100a-geral'!Y734</f>
        <v>ainda não encontrado</v>
      </c>
      <c r="Z259" s="84" t="str">
        <f>'Q100a-geral'!Z734</f>
        <v>ainda não encontrado</v>
      </c>
      <c r="AA259" s="84" t="str">
        <f>'Q100a-geral'!AA734</f>
        <v>ainda não encontrado</v>
      </c>
      <c r="AB259" s="84" t="str">
        <f>'Q100a-geral'!AB734</f>
        <v>ainda não encontrado</v>
      </c>
      <c r="AC259" s="84" t="str">
        <f>'Q100a-geral'!AC734</f>
        <v>ainda não encontrado</v>
      </c>
      <c r="AD259" s="84" t="str">
        <f>'Q100a-geral'!AD734</f>
        <v>ainda não encontrado</v>
      </c>
      <c r="AE259" s="84" t="str">
        <f>'Q100a-geral'!AE734</f>
        <v>ainda não encontrado</v>
      </c>
      <c r="AF259" s="84" t="str">
        <f>'Q100a-geral'!AF734</f>
        <v>ainda não encontrado</v>
      </c>
      <c r="AG259" s="84">
        <f>'Q100a-geral'!AG734</f>
        <v>40</v>
      </c>
      <c r="AH259" s="84">
        <f>'Q100a-geral'!AH734</f>
        <v>40</v>
      </c>
      <c r="AI259" s="84" t="str">
        <f>'Q100a-geral'!AI734</f>
        <v>aguardando atualização da fonte</v>
      </c>
      <c r="AJ259" s="84" t="str">
        <f>'Q100a-geral'!AJ734</f>
        <v>aguardando atualização da fonte</v>
      </c>
      <c r="AK259" s="137" t="str">
        <f>'Q100a-geral'!AK734</f>
        <v>aguardando atualização da fonte</v>
      </c>
      <c r="AL259" s="213" t="str">
        <f>'Q100a-geral'!AL734</f>
        <v>x</v>
      </c>
      <c r="AM259" s="137" t="str">
        <f>'Q100a-geral'!AM734</f>
        <v>x</v>
      </c>
      <c r="AN259" s="137" t="str">
        <f>'Q100a-geral'!AN734</f>
        <v>x</v>
      </c>
      <c r="AO259" s="137" t="str">
        <f>'Q100a-geral'!AO734</f>
        <v>x</v>
      </c>
      <c r="AP259" s="137" t="str">
        <f>'Q100a-geral'!AP734</f>
        <v>x</v>
      </c>
      <c r="AQ259" s="137" t="str">
        <f>'Q100a-geral'!AQ734</f>
        <v>x</v>
      </c>
      <c r="AR259" s="137"/>
      <c r="AS259" s="137"/>
      <c r="AT259" s="137"/>
      <c r="AU259" s="137"/>
      <c r="AV259" s="137" t="str">
        <f>'Q100a-geral'!AV734</f>
        <v>x</v>
      </c>
      <c r="AW259" s="137"/>
      <c r="AX259" s="137"/>
      <c r="AY259" s="137"/>
      <c r="AZ259" s="137"/>
      <c r="BA259" s="137" t="str">
        <f>'Q100a-geral'!BA734</f>
        <v>x</v>
      </c>
      <c r="BB259" s="239" t="str">
        <f>'Q100a-geral'!BB734</f>
        <v>Transporte convencionalx</v>
      </c>
      <c r="BC259" s="239" t="str">
        <f>'Q100a-geral'!BC734</f>
        <v>Transporte convencionalxx</v>
      </c>
      <c r="BD259" s="239" t="str">
        <f>'Q100a-geral'!BD734</f>
        <v>Transporte convencionalx</v>
      </c>
    </row>
    <row r="260" spans="1:56" s="3" customFormat="1" ht="47.25" customHeight="1" x14ac:dyDescent="0.25">
      <c r="A260" s="275" t="str">
        <f>'Q100a-geral'!A738</f>
        <v>8.6</v>
      </c>
      <c r="B260" s="54" t="str">
        <f>'Q100a-geral'!B738</f>
        <v>Transporte escolar</v>
      </c>
      <c r="C260" s="230" t="str">
        <f>'Q100a-geral'!C738</f>
        <v>x</v>
      </c>
      <c r="D260" s="34" t="str">
        <f>'Q100a-geral'!D738</f>
        <v>ESC acompanhantes</v>
      </c>
      <c r="E260" s="114" t="str">
        <f>'Q100a-geral'!E738</f>
        <v>Belo Horizonte</v>
      </c>
      <c r="F260" s="629" t="str">
        <f>'Q100a-geral'!F738</f>
        <v>n.º de acompanhantes cadastrados do transporte escolar
obs.: valores de dezembro usados para representar cada ano ano, com resultados de 2006-2012 conforme BHTRANS(2013f); 2013 conforme BHTRANS(2014g); 2014 conforme BHTRANS(2015b); 2015 conforme BHTRANS(2016p3)</v>
      </c>
      <c r="G260" s="252" t="str">
        <f>'Q100a-geral'!G738</f>
        <v>registro na fonte</v>
      </c>
      <c r="H260" s="171" t="str">
        <f>'Q100a-geral'!H738</f>
        <v>x</v>
      </c>
      <c r="I260" s="57">
        <f>'Q100a-geral'!I738</f>
        <v>1</v>
      </c>
      <c r="J260" s="107" t="str">
        <f>'Q100a-geral'!J738</f>
        <v>x</v>
      </c>
      <c r="K260" s="107" t="str">
        <f>'Q100a-geral'!K738</f>
        <v>x</v>
      </c>
      <c r="L260" s="93" t="str">
        <f>'Q100a-geral'!L738</f>
        <v>x</v>
      </c>
      <c r="M260" s="93" t="str">
        <f>'Q100a-geral'!M738</f>
        <v>x</v>
      </c>
      <c r="N260" s="93" t="str">
        <f>'Q100a-geral'!N738</f>
        <v>x</v>
      </c>
      <c r="O260" s="93" t="str">
        <f>'Q100a-geral'!O738</f>
        <v>x</v>
      </c>
      <c r="P260" s="93" t="str">
        <f>'Q100a-geral'!P738</f>
        <v>x</v>
      </c>
      <c r="Q260" s="93" t="str">
        <f>'Q100a-geral'!Q738</f>
        <v>x</v>
      </c>
      <c r="R260" s="93" t="str">
        <f>'Q100a-geral'!R738</f>
        <v>x</v>
      </c>
      <c r="S260" s="107" t="str">
        <f>'Q100a-geral'!S738</f>
        <v>só para pesquisa</v>
      </c>
      <c r="T260" s="93" t="str">
        <f>'Q100a-geral'!T738</f>
        <v>x</v>
      </c>
      <c r="U260" s="93" t="str">
        <f>'Q100a-geral'!U738</f>
        <v>x</v>
      </c>
      <c r="V260" s="107" t="str">
        <f>'Q100a-geral'!V738</f>
        <v>só para pesquisa</v>
      </c>
      <c r="W260" s="93" t="str">
        <f>'Q100a-geral'!W738</f>
        <v>x</v>
      </c>
      <c r="X260" s="93" t="str">
        <f>'Q100a-geral'!X738</f>
        <v>x</v>
      </c>
      <c r="Y260" s="93" t="str">
        <f>'Q100a-geral'!Y738</f>
        <v>x</v>
      </c>
      <c r="Z260" s="93" t="str">
        <f>'Q100a-geral'!Z738</f>
        <v>x</v>
      </c>
      <c r="AA260" s="93" t="str">
        <f>'Q100a-geral'!AA738</f>
        <v>x</v>
      </c>
      <c r="AB260" s="86">
        <f>'Q100a-geral'!AB738</f>
        <v>371</v>
      </c>
      <c r="AC260" s="86">
        <f>'Q100a-geral'!AC738</f>
        <v>380</v>
      </c>
      <c r="AD260" s="86">
        <f>'Q100a-geral'!AD738</f>
        <v>327</v>
      </c>
      <c r="AE260" s="86">
        <f>'Q100a-geral'!AE738</f>
        <v>327</v>
      </c>
      <c r="AF260" s="86">
        <f>'Q100a-geral'!AF738</f>
        <v>361</v>
      </c>
      <c r="AG260" s="87">
        <f>'Q100a-geral'!AG738</f>
        <v>476</v>
      </c>
      <c r="AH260" s="87">
        <f>'Q100a-geral'!AH738</f>
        <v>518</v>
      </c>
      <c r="AI260" s="87">
        <f>'Q100a-geral'!AI738</f>
        <v>486</v>
      </c>
      <c r="AJ260" s="87">
        <f>'Q100a-geral'!AJ738</f>
        <v>306</v>
      </c>
      <c r="AK260" s="87">
        <f>'Q100a-geral'!AK738</f>
        <v>282</v>
      </c>
      <c r="AL260" s="220" t="str">
        <f>'Q100a-geral'!AL738</f>
        <v>x</v>
      </c>
      <c r="AM260" s="137" t="str">
        <f>'Q100a-geral'!AM738</f>
        <v>x</v>
      </c>
      <c r="AN260" s="137" t="str">
        <f>'Q100a-geral'!AN738</f>
        <v>x</v>
      </c>
      <c r="AO260" s="137" t="str">
        <f>'Q100a-geral'!AO738</f>
        <v>x</v>
      </c>
      <c r="AP260" s="137" t="str">
        <f>'Q100a-geral'!AP738</f>
        <v>x</v>
      </c>
      <c r="AQ260" s="137" t="str">
        <f>'Q100a-geral'!AQ738</f>
        <v>x</v>
      </c>
      <c r="AR260" s="137"/>
      <c r="AS260" s="137"/>
      <c r="AT260" s="137"/>
      <c r="AU260" s="137"/>
      <c r="AV260" s="137" t="str">
        <f>'Q100a-geral'!AV738</f>
        <v>x</v>
      </c>
      <c r="AW260" s="137"/>
      <c r="AX260" s="137"/>
      <c r="AY260" s="137"/>
      <c r="AZ260" s="137"/>
      <c r="BA260" s="137" t="str">
        <f>'Q100a-geral'!BA738</f>
        <v>x</v>
      </c>
      <c r="BB260" s="239" t="str">
        <f>'Q100a-geral'!BB738</f>
        <v>Transporte escolarx</v>
      </c>
      <c r="BC260" s="239" t="str">
        <f>'Q100a-geral'!BC738</f>
        <v>Transporte escolarxx</v>
      </c>
      <c r="BD260" s="239" t="str">
        <f>'Q100a-geral'!BD738</f>
        <v>Transporte escolarx</v>
      </c>
    </row>
    <row r="261" spans="1:56" s="3" customFormat="1" ht="47.25" customHeight="1" x14ac:dyDescent="0.25">
      <c r="A261" s="275" t="str">
        <f>'Q100a-geral'!A739</f>
        <v>8.6</v>
      </c>
      <c r="B261" s="54" t="str">
        <f>'Q100a-geral'!B739</f>
        <v>Transporte escolar</v>
      </c>
      <c r="C261" s="230" t="str">
        <f>'Q100a-geral'!C739</f>
        <v>x</v>
      </c>
      <c r="D261" s="34" t="str">
        <f>'Q100a-geral'!D739</f>
        <v>ESC auxiliares</v>
      </c>
      <c r="E261" s="114" t="str">
        <f>'Q100a-geral'!E739</f>
        <v>Belo Horizonte</v>
      </c>
      <c r="F261" s="629" t="str">
        <f>'Q100a-geral'!F739</f>
        <v>n.º de condutores auxiliares cadastrados do transporte escolar
obs.: valores de dezembro usados para representar cada ano ano, com resultados de 2006-2012 conforme BHTRANS(2013f); 2013 conforme BHTRANS(2014g); 2014 conforme BHTRANS(2015b); 2015 conforme BHTRANS(2016p3)</v>
      </c>
      <c r="G261" s="252" t="str">
        <f>'Q100a-geral'!G739</f>
        <v>registro na fonte</v>
      </c>
      <c r="H261" s="171" t="str">
        <f>'Q100a-geral'!H739</f>
        <v>x</v>
      </c>
      <c r="I261" s="57">
        <f>'Q100a-geral'!I739</f>
        <v>1</v>
      </c>
      <c r="J261" s="107" t="str">
        <f>'Q100a-geral'!J739</f>
        <v>x</v>
      </c>
      <c r="K261" s="107" t="str">
        <f>'Q100a-geral'!K739</f>
        <v>x</v>
      </c>
      <c r="L261" s="93" t="str">
        <f>'Q100a-geral'!L739</f>
        <v>x</v>
      </c>
      <c r="M261" s="93" t="str">
        <f>'Q100a-geral'!M739</f>
        <v>x</v>
      </c>
      <c r="N261" s="93" t="str">
        <f>'Q100a-geral'!N739</f>
        <v>x</v>
      </c>
      <c r="O261" s="93" t="str">
        <f>'Q100a-geral'!O739</f>
        <v>x</v>
      </c>
      <c r="P261" s="93" t="str">
        <f>'Q100a-geral'!P739</f>
        <v>x</v>
      </c>
      <c r="Q261" s="93" t="str">
        <f>'Q100a-geral'!Q739</f>
        <v>x</v>
      </c>
      <c r="R261" s="93" t="str">
        <f>'Q100a-geral'!R739</f>
        <v>x</v>
      </c>
      <c r="S261" s="107" t="str">
        <f>'Q100a-geral'!S739</f>
        <v>só para pesquisa</v>
      </c>
      <c r="T261" s="93" t="str">
        <f>'Q100a-geral'!T739</f>
        <v>x</v>
      </c>
      <c r="U261" s="93" t="str">
        <f>'Q100a-geral'!U739</f>
        <v>x</v>
      </c>
      <c r="V261" s="107" t="str">
        <f>'Q100a-geral'!V739</f>
        <v>só para pesquisa</v>
      </c>
      <c r="W261" s="93" t="str">
        <f>'Q100a-geral'!W739</f>
        <v>x</v>
      </c>
      <c r="X261" s="93" t="str">
        <f>'Q100a-geral'!X739</f>
        <v>x</v>
      </c>
      <c r="Y261" s="93" t="str">
        <f>'Q100a-geral'!Y739</f>
        <v>x</v>
      </c>
      <c r="Z261" s="93" t="str">
        <f>'Q100a-geral'!Z739</f>
        <v>x</v>
      </c>
      <c r="AA261" s="93" t="str">
        <f>'Q100a-geral'!AA739</f>
        <v>x</v>
      </c>
      <c r="AB261" s="86">
        <f>'Q100a-geral'!AB739</f>
        <v>865</v>
      </c>
      <c r="AC261" s="86">
        <f>'Q100a-geral'!AC739</f>
        <v>851</v>
      </c>
      <c r="AD261" s="86">
        <f>'Q100a-geral'!AD739</f>
        <v>831</v>
      </c>
      <c r="AE261" s="86">
        <f>'Q100a-geral'!AE739</f>
        <v>885</v>
      </c>
      <c r="AF261" s="86">
        <f>'Q100a-geral'!AF739</f>
        <v>903</v>
      </c>
      <c r="AG261" s="87">
        <f>'Q100a-geral'!AG739</f>
        <v>875</v>
      </c>
      <c r="AH261" s="87">
        <f>'Q100a-geral'!AH739</f>
        <v>931</v>
      </c>
      <c r="AI261" s="87">
        <f>'Q100a-geral'!AI739</f>
        <v>925</v>
      </c>
      <c r="AJ261" s="87">
        <f>'Q100a-geral'!AJ739</f>
        <v>798</v>
      </c>
      <c r="AK261" s="87">
        <f>'Q100a-geral'!AK739</f>
        <v>782</v>
      </c>
      <c r="AL261" s="220" t="str">
        <f>'Q100a-geral'!AL739</f>
        <v>x</v>
      </c>
      <c r="AM261" s="137" t="str">
        <f>'Q100a-geral'!AM739</f>
        <v>x</v>
      </c>
      <c r="AN261" s="137" t="str">
        <f>'Q100a-geral'!AN739</f>
        <v>x</v>
      </c>
      <c r="AO261" s="137" t="str">
        <f>'Q100a-geral'!AO739</f>
        <v>x</v>
      </c>
      <c r="AP261" s="137" t="str">
        <f>'Q100a-geral'!AP739</f>
        <v>x</v>
      </c>
      <c r="AQ261" s="137" t="str">
        <f>'Q100a-geral'!AQ739</f>
        <v>x</v>
      </c>
      <c r="AR261" s="137"/>
      <c r="AS261" s="137"/>
      <c r="AT261" s="137"/>
      <c r="AU261" s="137"/>
      <c r="AV261" s="137" t="str">
        <f>'Q100a-geral'!AV739</f>
        <v>x</v>
      </c>
      <c r="AW261" s="137"/>
      <c r="AX261" s="137"/>
      <c r="AY261" s="137"/>
      <c r="AZ261" s="137"/>
      <c r="BA261" s="137" t="str">
        <f>'Q100a-geral'!BA739</f>
        <v>x</v>
      </c>
      <c r="BB261" s="239" t="str">
        <f>'Q100a-geral'!BB739</f>
        <v>Transporte escolarx</v>
      </c>
      <c r="BC261" s="239" t="str">
        <f>'Q100a-geral'!BC739</f>
        <v>Transporte escolarxx</v>
      </c>
      <c r="BD261" s="239" t="str">
        <f>'Q100a-geral'!BD739</f>
        <v>Transporte escolarx</v>
      </c>
    </row>
    <row r="262" spans="1:56" s="3" customFormat="1" ht="165.75" customHeight="1" x14ac:dyDescent="0.25">
      <c r="A262" s="275" t="str">
        <f>'Q100a-geral'!A740</f>
        <v>8.6</v>
      </c>
      <c r="B262" s="54" t="str">
        <f>'Q100a-geral'!B740</f>
        <v>Transporte escolar</v>
      </c>
      <c r="C262" s="230" t="str">
        <f>'Q100a-geral'!C740</f>
        <v>x</v>
      </c>
      <c r="D262" s="34" t="str">
        <f>'Q100a-geral'!D740</f>
        <v>ESC operadores</v>
      </c>
      <c r="E262" s="114" t="str">
        <f>'Q100a-geral'!E740</f>
        <v>Belo Horizonte</v>
      </c>
      <c r="F262" s="629" t="str">
        <f>'Q100a-geral'!F740</f>
        <v>n.º de permissionários/autorizatários do transporte escolar
obs.1: não inclui o n.º de operadores do transporte escolar licitado e gerenciado pela Secretaria Municipal de Educação (SMED) de Belo Horizonte
obs.2: a partir de 26/01/2011, com a publicação da Portaria BHTrans DPR n.º 005/2011, foi autorizada uma nova modalidade de credenciamento para inclusão de  interessados na prestação do serviço de transporte escolar, passando-se a conceder autorizações em vez de permissões; como o processo de inclusão de veículos é demorado, isto provocou o aumento na quantidade de "autorizatários" sem o aumento correspondente na "frota total" (isto explica haver, em alguns anos, mais operadores que veículos)
obs.3: valores de dezembro usados para representar cada ano ano, com resultados de 2006-2012 conforme BHTRANS(2013f); 2013 conforme BHTRANS(2014g); 2014 conforme BHTRANS(2015b); 2015 conforme BHTRANS(2016p3)</v>
      </c>
      <c r="G262" s="252" t="str">
        <f>'Q100a-geral'!G740</f>
        <v>registro na fonte</v>
      </c>
      <c r="H262" s="171" t="str">
        <f>'Q100a-geral'!H740</f>
        <v>x</v>
      </c>
      <c r="I262" s="57">
        <f>'Q100a-geral'!I740</f>
        <v>1</v>
      </c>
      <c r="J262" s="107" t="str">
        <f>'Q100a-geral'!J740</f>
        <v>x</v>
      </c>
      <c r="K262" s="107" t="str">
        <f>'Q100a-geral'!K740</f>
        <v>x</v>
      </c>
      <c r="L262" s="93" t="str">
        <f>'Q100a-geral'!L740</f>
        <v>x</v>
      </c>
      <c r="M262" s="93" t="str">
        <f>'Q100a-geral'!M740</f>
        <v>x</v>
      </c>
      <c r="N262" s="93" t="str">
        <f>'Q100a-geral'!N740</f>
        <v>x</v>
      </c>
      <c r="O262" s="93" t="str">
        <f>'Q100a-geral'!O740</f>
        <v>x</v>
      </c>
      <c r="P262" s="93" t="str">
        <f>'Q100a-geral'!P740</f>
        <v>x</v>
      </c>
      <c r="Q262" s="93" t="str">
        <f>'Q100a-geral'!Q740</f>
        <v>x</v>
      </c>
      <c r="R262" s="93" t="str">
        <f>'Q100a-geral'!R740</f>
        <v>x</v>
      </c>
      <c r="S262" s="107" t="str">
        <f>'Q100a-geral'!S740</f>
        <v>só para pesquisa</v>
      </c>
      <c r="T262" s="93" t="str">
        <f>'Q100a-geral'!T740</f>
        <v>x</v>
      </c>
      <c r="U262" s="93" t="str">
        <f>'Q100a-geral'!U740</f>
        <v>x</v>
      </c>
      <c r="V262" s="107" t="str">
        <f>'Q100a-geral'!V740</f>
        <v>só para pesquisa</v>
      </c>
      <c r="W262" s="93" t="str">
        <f>'Q100a-geral'!W740</f>
        <v>x</v>
      </c>
      <c r="X262" s="93" t="str">
        <f>'Q100a-geral'!X740</f>
        <v>x</v>
      </c>
      <c r="Y262" s="93" t="str">
        <f>'Q100a-geral'!Y740</f>
        <v>x</v>
      </c>
      <c r="Z262" s="93" t="str">
        <f>'Q100a-geral'!Z740</f>
        <v>x</v>
      </c>
      <c r="AA262" s="93" t="str">
        <f>'Q100a-geral'!AA740</f>
        <v>x</v>
      </c>
      <c r="AB262" s="86">
        <f>'Q100a-geral'!AB740</f>
        <v>1051</v>
      </c>
      <c r="AC262" s="86">
        <f>'Q100a-geral'!AC740</f>
        <v>1057</v>
      </c>
      <c r="AD262" s="86">
        <f>'Q100a-geral'!AD740</f>
        <v>1141</v>
      </c>
      <c r="AE262" s="86">
        <f>'Q100a-geral'!AE740</f>
        <v>1119</v>
      </c>
      <c r="AF262" s="86">
        <f>'Q100a-geral'!AF740</f>
        <v>1110</v>
      </c>
      <c r="AG262" s="87">
        <f>'Q100a-geral'!AG740</f>
        <v>1893</v>
      </c>
      <c r="AH262" s="87">
        <f>'Q100a-geral'!AH740</f>
        <v>1875</v>
      </c>
      <c r="AI262" s="87">
        <f>'Q100a-geral'!AI740</f>
        <v>2009</v>
      </c>
      <c r="AJ262" s="87">
        <f>'Q100a-geral'!AJ740</f>
        <v>2007</v>
      </c>
      <c r="AK262" s="87">
        <f>'Q100a-geral'!AK740</f>
        <v>2060</v>
      </c>
      <c r="AL262" s="220" t="str">
        <f>'Q100a-geral'!AL740</f>
        <v>x</v>
      </c>
      <c r="AM262" s="137" t="str">
        <f>'Q100a-geral'!AM740</f>
        <v>x</v>
      </c>
      <c r="AN262" s="137" t="str">
        <f>'Q100a-geral'!AN740</f>
        <v>x</v>
      </c>
      <c r="AO262" s="137" t="str">
        <f>'Q100a-geral'!AO740</f>
        <v>x</v>
      </c>
      <c r="AP262" s="137" t="str">
        <f>'Q100a-geral'!AP740</f>
        <v>x</v>
      </c>
      <c r="AQ262" s="137" t="str">
        <f>'Q100a-geral'!AQ740</f>
        <v>x</v>
      </c>
      <c r="AR262" s="137"/>
      <c r="AS262" s="137"/>
      <c r="AT262" s="137"/>
      <c r="AU262" s="137"/>
      <c r="AV262" s="137" t="str">
        <f>'Q100a-geral'!AV740</f>
        <v>x</v>
      </c>
      <c r="AW262" s="137"/>
      <c r="AX262" s="137"/>
      <c r="AY262" s="137"/>
      <c r="AZ262" s="137"/>
      <c r="BA262" s="137" t="str">
        <f>'Q100a-geral'!BA740</f>
        <v>x</v>
      </c>
      <c r="BB262" s="239" t="str">
        <f>'Q100a-geral'!BB740</f>
        <v>Transporte escolarx</v>
      </c>
      <c r="BC262" s="239" t="str">
        <f>'Q100a-geral'!BC740</f>
        <v>Transporte escolarxx</v>
      </c>
      <c r="BD262" s="239" t="str">
        <f>'Q100a-geral'!BD740</f>
        <v>Transporte escolarx</v>
      </c>
    </row>
    <row r="263" spans="1:56" s="3" customFormat="1" ht="51" customHeight="1" x14ac:dyDescent="0.25">
      <c r="A263" s="275" t="str">
        <f>'Q100a-geral'!A763</f>
        <v>2.3</v>
      </c>
      <c r="B263" s="11" t="str">
        <f>'Q100a-geral'!B763</f>
        <v>Rede viária</v>
      </c>
      <c r="C263" s="167" t="str">
        <f>'Q100a-geral'!C763</f>
        <v>x</v>
      </c>
      <c r="D263" s="9" t="str">
        <f>'Q100a-geral'!D763</f>
        <v>EV</v>
      </c>
      <c r="E263" s="5" t="str">
        <f>'Q100a-geral'!E763</f>
        <v>Belo Horizonte</v>
      </c>
      <c r="F263" s="448" t="str">
        <f>'Q100a-geral'!F763</f>
        <v>extensão total do sistema viário (em km) de Belo Horizonte, apurada para cada uma das 10 regiões do município (Centro, Sul, Oeste, Barreiro, Noroeste, Pampulha, Venda Nova, Norte, Nordeste, Leste) e para seu conjunto
obs.1: na BHTrans, coletam-se os dados em arquivo georreferenciado dos eixos das vias elaborado pela Empresa de Informática e Informação do Município de Belo Horizonte - Prodabel; utiliza-se o software MapInfo e faz-se o o somatório das extensões de cada trecho de via;
obs.2: os dados "coletora" e "local" da região "centro" estão sob suspeita, uma vez que todos as vias da área central são classificadas como arteriais.
obs.3: os resultados aqui apresentados foram calculados em julho/2011 e, na ausência de séries históricas, são tomados como relativos ao ano de 2010 para cálculo dos índices contidos no SisMob-BH</v>
      </c>
      <c r="G263" s="5" t="str">
        <f>'Q100a-geral'!G763</f>
        <v>EV = EV ligação regional + EV arterial + EV coletora + EV local</v>
      </c>
      <c r="H263" s="173" t="str">
        <f>'Q100a-geral'!H763</f>
        <v>x</v>
      </c>
      <c r="I263" s="57">
        <f>'Q100a-geral'!I763</f>
        <v>1</v>
      </c>
      <c r="J263" s="107" t="str">
        <f>'Q100a-geral'!J763</f>
        <v>x</v>
      </c>
      <c r="K263" s="58" t="str">
        <f>'Q100a-geral'!K763</f>
        <v>x</v>
      </c>
      <c r="L263" s="58" t="str">
        <f>'Q100a-geral'!L763</f>
        <v>x</v>
      </c>
      <c r="M263" s="58" t="str">
        <f>'Q100a-geral'!M763</f>
        <v>x</v>
      </c>
      <c r="N263" s="58" t="str">
        <f>'Q100a-geral'!N763</f>
        <v>x</v>
      </c>
      <c r="O263" s="58" t="str">
        <f>'Q100a-geral'!O763</f>
        <v>x</v>
      </c>
      <c r="P263" s="58" t="str">
        <f>'Q100a-geral'!P763</f>
        <v>x</v>
      </c>
      <c r="Q263" s="58" t="str">
        <f>'Q100a-geral'!Q763</f>
        <v>x</v>
      </c>
      <c r="R263" s="58" t="str">
        <f>'Q100a-geral'!R763</f>
        <v>x</v>
      </c>
      <c r="S263" s="107" t="str">
        <f>'Q100a-geral'!S763</f>
        <v>só para pesquisa</v>
      </c>
      <c r="T263" s="58" t="str">
        <f>'Q100a-geral'!T763</f>
        <v>x</v>
      </c>
      <c r="U263" s="58" t="str">
        <f>'Q100a-geral'!U763</f>
        <v>x</v>
      </c>
      <c r="V263" s="107" t="str">
        <f>'Q100a-geral'!V763</f>
        <v>só para pesquisa</v>
      </c>
      <c r="W263" s="58" t="str">
        <f>'Q100a-geral'!W763</f>
        <v>x</v>
      </c>
      <c r="X263" s="58" t="str">
        <f>'Q100a-geral'!X763</f>
        <v>x</v>
      </c>
      <c r="Y263" s="58" t="str">
        <f>'Q100a-geral'!Y763</f>
        <v>x</v>
      </c>
      <c r="Z263" s="58" t="str">
        <f>'Q100a-geral'!Z763</f>
        <v>x</v>
      </c>
      <c r="AA263" s="58" t="str">
        <f>'Q100a-geral'!AA763</f>
        <v>x</v>
      </c>
      <c r="AB263" s="58" t="str">
        <f>'Q100a-geral'!AB763</f>
        <v>x</v>
      </c>
      <c r="AC263" s="58" t="str">
        <f>'Q100a-geral'!AC763</f>
        <v>x</v>
      </c>
      <c r="AD263" s="58" t="str">
        <f>'Q100a-geral'!AD763</f>
        <v>x</v>
      </c>
      <c r="AE263" s="58" t="str">
        <f>'Q100a-geral'!AE763</f>
        <v>x</v>
      </c>
      <c r="AF263" s="22">
        <f>'Q100a-geral'!AF763</f>
        <v>4529.05</v>
      </c>
      <c r="AG263" s="58" t="str">
        <f>'Q100a-geral'!AG763</f>
        <v>x</v>
      </c>
      <c r="AH263" s="58" t="str">
        <f>'Q100a-geral'!AH763</f>
        <v>x</v>
      </c>
      <c r="AI263" s="58" t="str">
        <f>'Q100a-geral'!AI763</f>
        <v>x</v>
      </c>
      <c r="AJ263" s="58" t="str">
        <f>'Q100a-geral'!AJ763</f>
        <v>x</v>
      </c>
      <c r="AK263" s="137" t="str">
        <f>'Q100a-geral'!AK763</f>
        <v>x</v>
      </c>
      <c r="AL263" s="173" t="str">
        <f>'Q100a-geral'!AL763</f>
        <v>x</v>
      </c>
      <c r="AM263" s="137" t="str">
        <f>'Q100a-geral'!AM763</f>
        <v>x</v>
      </c>
      <c r="AN263" s="137" t="str">
        <f>'Q100a-geral'!AN763</f>
        <v>x</v>
      </c>
      <c r="AO263" s="137" t="str">
        <f>'Q100a-geral'!AO763</f>
        <v>x</v>
      </c>
      <c r="AP263" s="137" t="str">
        <f>'Q100a-geral'!AP763</f>
        <v>x</v>
      </c>
      <c r="AQ263" s="137" t="str">
        <f>'Q100a-geral'!AQ763</f>
        <v>x</v>
      </c>
      <c r="AR263" s="137"/>
      <c r="AS263" s="137"/>
      <c r="AT263" s="137"/>
      <c r="AU263" s="137"/>
      <c r="AV263" s="137" t="str">
        <f>'Q100a-geral'!AV763</f>
        <v>x</v>
      </c>
      <c r="AW263" s="137"/>
      <c r="AX263" s="137"/>
      <c r="AY263" s="137"/>
      <c r="AZ263" s="137"/>
      <c r="BA263" s="137" t="str">
        <f>'Q100a-geral'!BA763</f>
        <v>x</v>
      </c>
      <c r="BB263" s="239" t="str">
        <f>'Q100a-geral'!BB763</f>
        <v>Rede viáriax</v>
      </c>
      <c r="BC263" s="239" t="str">
        <f>'Q100a-geral'!BC763</f>
        <v>Rede viáriaxx</v>
      </c>
      <c r="BD263" s="239" t="str">
        <f>'Q100a-geral'!BD763</f>
        <v>Rede viáriax</v>
      </c>
    </row>
    <row r="264" spans="1:56" s="1" customFormat="1" ht="78.75" customHeight="1" x14ac:dyDescent="0.25">
      <c r="A264" s="275" t="str">
        <f>'Q100a-geral'!A768</f>
        <v>2.3</v>
      </c>
      <c r="B264" s="11" t="str">
        <f>'Q100a-geral'!B768</f>
        <v>Rede viária</v>
      </c>
      <c r="C264" s="167" t="str">
        <f>'Q100a-geral'!C768</f>
        <v>x</v>
      </c>
      <c r="D264" s="287" t="str">
        <f>'Q100a-geral'!D768</f>
        <v>EV arterial</v>
      </c>
      <c r="E264" s="458" t="str">
        <f>'Q100a-geral'!E768</f>
        <v>Belo Horizonte</v>
      </c>
      <c r="F264" s="488" t="str">
        <f>'Q100a-geral'!F768</f>
        <v>extensão total do sistema viário arterial (em km) de Belo Horizonte, calculada pela soma das vias arteriais do tipo central, primária e secundária, apurada para cada uma das 10 regiões do município (Centro, Sul, Oeste, Barreiro, Noroeste, Pampulha, Venda Nova, Norte, Nordeste, Leste) e para seu conjunto (BHTRANS, 2011c)</v>
      </c>
      <c r="G264" s="5" t="str">
        <f>'Q100a-geral'!G768</f>
        <v>registro da fonte 
(arterial central + arterial primária + arterial secundária)</v>
      </c>
      <c r="H264" s="173" t="str">
        <f>'Q100a-geral'!H768</f>
        <v>x</v>
      </c>
      <c r="I264" s="57">
        <f>'Q100a-geral'!I768</f>
        <v>1</v>
      </c>
      <c r="J264" s="107" t="str">
        <f>'Q100a-geral'!J768</f>
        <v>x</v>
      </c>
      <c r="K264" s="93" t="str">
        <f>'Q100a-geral'!K768</f>
        <v>x</v>
      </c>
      <c r="L264" s="93" t="str">
        <f>'Q100a-geral'!L768</f>
        <v>x</v>
      </c>
      <c r="M264" s="93" t="str">
        <f>'Q100a-geral'!M768</f>
        <v>x</v>
      </c>
      <c r="N264" s="93" t="str">
        <f>'Q100a-geral'!N768</f>
        <v>x</v>
      </c>
      <c r="O264" s="93" t="str">
        <f>'Q100a-geral'!O768</f>
        <v>x</v>
      </c>
      <c r="P264" s="93" t="str">
        <f>'Q100a-geral'!P768</f>
        <v>x</v>
      </c>
      <c r="Q264" s="93" t="str">
        <f>'Q100a-geral'!Q768</f>
        <v>x</v>
      </c>
      <c r="R264" s="93" t="str">
        <f>'Q100a-geral'!R768</f>
        <v>x</v>
      </c>
      <c r="S264" s="107" t="str">
        <f>'Q100a-geral'!S768</f>
        <v>só para pesquisa</v>
      </c>
      <c r="T264" s="93" t="str">
        <f>'Q100a-geral'!T768</f>
        <v>x</v>
      </c>
      <c r="U264" s="93" t="str">
        <f>'Q100a-geral'!U768</f>
        <v>x</v>
      </c>
      <c r="V264" s="107" t="str">
        <f>'Q100a-geral'!V768</f>
        <v>só para pesquisa</v>
      </c>
      <c r="W264" s="93" t="str">
        <f>'Q100a-geral'!W768</f>
        <v>x</v>
      </c>
      <c r="X264" s="93" t="str">
        <f>'Q100a-geral'!X768</f>
        <v>x</v>
      </c>
      <c r="Y264" s="93" t="str">
        <f>'Q100a-geral'!Y768</f>
        <v>x</v>
      </c>
      <c r="Z264" s="93" t="str">
        <f>'Q100a-geral'!Z768</f>
        <v>x</v>
      </c>
      <c r="AA264" s="93" t="str">
        <f>'Q100a-geral'!AA768</f>
        <v>x</v>
      </c>
      <c r="AB264" s="93" t="str">
        <f>'Q100a-geral'!AB768</f>
        <v>x</v>
      </c>
      <c r="AC264" s="93" t="str">
        <f>'Q100a-geral'!AC768</f>
        <v>x</v>
      </c>
      <c r="AD264" s="93" t="str">
        <f>'Q100a-geral'!AD768</f>
        <v>x</v>
      </c>
      <c r="AE264" s="93" t="str">
        <f>'Q100a-geral'!AE768</f>
        <v>x</v>
      </c>
      <c r="AF264" s="84">
        <f>'Q100a-geral'!AF768</f>
        <v>493.68</v>
      </c>
      <c r="AG264" s="93" t="str">
        <f>'Q100a-geral'!AG768</f>
        <v>x</v>
      </c>
      <c r="AH264" s="93" t="str">
        <f>'Q100a-geral'!AH768</f>
        <v>x</v>
      </c>
      <c r="AI264" s="93" t="str">
        <f>'Q100a-geral'!AI768</f>
        <v>x</v>
      </c>
      <c r="AJ264" s="93" t="str">
        <f>'Q100a-geral'!AJ768</f>
        <v>x</v>
      </c>
      <c r="AK264" s="137" t="str">
        <f>'Q100a-geral'!AK768</f>
        <v>x</v>
      </c>
      <c r="AL264" s="173" t="str">
        <f>'Q100a-geral'!AL768</f>
        <v>x</v>
      </c>
      <c r="AM264" s="137" t="str">
        <f>'Q100a-geral'!AM768</f>
        <v>x</v>
      </c>
      <c r="AN264" s="137" t="str">
        <f>'Q100a-geral'!AN768</f>
        <v>x</v>
      </c>
      <c r="AO264" s="137" t="str">
        <f>'Q100a-geral'!AO768</f>
        <v>x</v>
      </c>
      <c r="AP264" s="137" t="str">
        <f>'Q100a-geral'!AP768</f>
        <v>x</v>
      </c>
      <c r="AQ264" s="137" t="str">
        <f>'Q100a-geral'!AQ768</f>
        <v>x</v>
      </c>
      <c r="AR264" s="137"/>
      <c r="AS264" s="137"/>
      <c r="AT264" s="137"/>
      <c r="AU264" s="137"/>
      <c r="AV264" s="137" t="str">
        <f>'Q100a-geral'!AV768</f>
        <v>x</v>
      </c>
      <c r="AW264" s="137"/>
      <c r="AX264" s="137"/>
      <c r="AY264" s="137"/>
      <c r="AZ264" s="137"/>
      <c r="BA264" s="137" t="str">
        <f>'Q100a-geral'!BA768</f>
        <v>x</v>
      </c>
      <c r="BB264" s="239" t="str">
        <f>'Q100a-geral'!BB768</f>
        <v>Rede viáriax</v>
      </c>
      <c r="BC264" s="239" t="str">
        <f>'Q100a-geral'!BC768</f>
        <v>Rede viáriaxx</v>
      </c>
      <c r="BD264" s="239" t="str">
        <f>'Q100a-geral'!BD768</f>
        <v>Rede viáriax</v>
      </c>
    </row>
    <row r="265" spans="1:56" s="1" customFormat="1" ht="63.75" customHeight="1" x14ac:dyDescent="0.25">
      <c r="A265" s="275" t="str">
        <f>'Q100a-geral'!A770</f>
        <v>2.3</v>
      </c>
      <c r="B265" s="11" t="str">
        <f>'Q100a-geral'!B770</f>
        <v>Rede viária</v>
      </c>
      <c r="C265" s="167" t="str">
        <f>'Q100a-geral'!C770</f>
        <v>x</v>
      </c>
      <c r="D265" s="287" t="str">
        <f>'Q100a-geral'!D770</f>
        <v>EV coletora</v>
      </c>
      <c r="E265" s="458" t="str">
        <f>'Q100a-geral'!E770</f>
        <v>Belo Horizonte</v>
      </c>
      <c r="F265" s="488" t="str">
        <f>'Q100a-geral'!F770</f>
        <v>extensão total do sistema viário coletor (em km) de Belo Horizonte, calculada pela soma das vias coletoras do tipo primária e secundária, apurada para cada uma das 10 regiões do município (Centro, Sul, Oeste, Barreiro, Noroeste, Pampulha, Venda Nova, Norte, Nordeste, Leste) e para seu conjunto (BHTRANS, 2011c)</v>
      </c>
      <c r="G265" s="5" t="str">
        <f>'Q100a-geral'!G770</f>
        <v>registro da fonte 
(coletora primária + coletora secundária)</v>
      </c>
      <c r="H265" s="173" t="str">
        <f>'Q100a-geral'!H770</f>
        <v>x</v>
      </c>
      <c r="I265" s="57">
        <f>'Q100a-geral'!I770</f>
        <v>1</v>
      </c>
      <c r="J265" s="107" t="str">
        <f>'Q100a-geral'!J770</f>
        <v>x</v>
      </c>
      <c r="K265" s="93" t="str">
        <f>'Q100a-geral'!K770</f>
        <v>x</v>
      </c>
      <c r="L265" s="93" t="str">
        <f>'Q100a-geral'!L770</f>
        <v>x</v>
      </c>
      <c r="M265" s="93" t="str">
        <f>'Q100a-geral'!M770</f>
        <v>x</v>
      </c>
      <c r="N265" s="93" t="str">
        <f>'Q100a-geral'!N770</f>
        <v>x</v>
      </c>
      <c r="O265" s="93" t="str">
        <f>'Q100a-geral'!O770</f>
        <v>x</v>
      </c>
      <c r="P265" s="93" t="str">
        <f>'Q100a-geral'!P770</f>
        <v>x</v>
      </c>
      <c r="Q265" s="93" t="str">
        <f>'Q100a-geral'!Q770</f>
        <v>x</v>
      </c>
      <c r="R265" s="93" t="str">
        <f>'Q100a-geral'!R770</f>
        <v>x</v>
      </c>
      <c r="S265" s="107" t="str">
        <f>'Q100a-geral'!S770</f>
        <v>só para pesquisa</v>
      </c>
      <c r="T265" s="93" t="str">
        <f>'Q100a-geral'!T770</f>
        <v>x</v>
      </c>
      <c r="U265" s="93" t="str">
        <f>'Q100a-geral'!U770</f>
        <v>x</v>
      </c>
      <c r="V265" s="107" t="str">
        <f>'Q100a-geral'!V770</f>
        <v>só para pesquisa</v>
      </c>
      <c r="W265" s="93" t="str">
        <f>'Q100a-geral'!W770</f>
        <v>x</v>
      </c>
      <c r="X265" s="93" t="str">
        <f>'Q100a-geral'!X770</f>
        <v>x</v>
      </c>
      <c r="Y265" s="93" t="str">
        <f>'Q100a-geral'!Y770</f>
        <v>x</v>
      </c>
      <c r="Z265" s="93" t="str">
        <f>'Q100a-geral'!Z770</f>
        <v>x</v>
      </c>
      <c r="AA265" s="93" t="str">
        <f>'Q100a-geral'!AA770</f>
        <v>x</v>
      </c>
      <c r="AB265" s="93" t="str">
        <f>'Q100a-geral'!AB770</f>
        <v>x</v>
      </c>
      <c r="AC265" s="93" t="str">
        <f>'Q100a-geral'!AC770</f>
        <v>x</v>
      </c>
      <c r="AD265" s="93" t="str">
        <f>'Q100a-geral'!AD770</f>
        <v>x</v>
      </c>
      <c r="AE265" s="93" t="str">
        <f>'Q100a-geral'!AE770</f>
        <v>x</v>
      </c>
      <c r="AF265" s="101">
        <f>'Q100a-geral'!AF770</f>
        <v>1083.55</v>
      </c>
      <c r="AG265" s="93" t="str">
        <f>'Q100a-geral'!AG770</f>
        <v>x</v>
      </c>
      <c r="AH265" s="93" t="str">
        <f>'Q100a-geral'!AH770</f>
        <v>x</v>
      </c>
      <c r="AI265" s="93" t="str">
        <f>'Q100a-geral'!AI770</f>
        <v>x</v>
      </c>
      <c r="AJ265" s="93" t="str">
        <f>'Q100a-geral'!AJ770</f>
        <v>x</v>
      </c>
      <c r="AK265" s="137" t="str">
        <f>'Q100a-geral'!AK770</f>
        <v>x</v>
      </c>
      <c r="AL265" s="173" t="str">
        <f>'Q100a-geral'!AL770</f>
        <v>x</v>
      </c>
      <c r="AM265" s="137" t="str">
        <f>'Q100a-geral'!AM770</f>
        <v>x</v>
      </c>
      <c r="AN265" s="137" t="str">
        <f>'Q100a-geral'!AN770</f>
        <v>x</v>
      </c>
      <c r="AO265" s="137" t="str">
        <f>'Q100a-geral'!AO770</f>
        <v>x</v>
      </c>
      <c r="AP265" s="137" t="str">
        <f>'Q100a-geral'!AP770</f>
        <v>x</v>
      </c>
      <c r="AQ265" s="137" t="str">
        <f>'Q100a-geral'!AQ770</f>
        <v>x</v>
      </c>
      <c r="AR265" s="137"/>
      <c r="AS265" s="137"/>
      <c r="AT265" s="137"/>
      <c r="AU265" s="137"/>
      <c r="AV265" s="137" t="str">
        <f>'Q100a-geral'!AV770</f>
        <v>x</v>
      </c>
      <c r="AW265" s="137"/>
      <c r="AX265" s="137"/>
      <c r="AY265" s="137"/>
      <c r="AZ265" s="137"/>
      <c r="BA265" s="137" t="str">
        <f>'Q100a-geral'!BA770</f>
        <v>x</v>
      </c>
      <c r="BB265" s="239" t="str">
        <f>'Q100a-geral'!BB770</f>
        <v>Rede viáriax</v>
      </c>
      <c r="BC265" s="239" t="str">
        <f>'Q100a-geral'!BC770</f>
        <v>Rede viáriaxx</v>
      </c>
      <c r="BD265" s="239" t="str">
        <f>'Q100a-geral'!BD770</f>
        <v>Rede viáriax</v>
      </c>
    </row>
    <row r="266" spans="1:56" s="1" customFormat="1" ht="63" customHeight="1" x14ac:dyDescent="0.25">
      <c r="A266" s="275" t="str">
        <f>'Q100a-geral'!A771</f>
        <v>2.3</v>
      </c>
      <c r="B266" s="11" t="str">
        <f>'Q100a-geral'!B771</f>
        <v>Rede viária</v>
      </c>
      <c r="C266" s="167" t="str">
        <f>'Q100a-geral'!C771</f>
        <v>x</v>
      </c>
      <c r="D266" s="287" t="str">
        <f>'Q100a-geral'!D771</f>
        <v>EV ligação regional</v>
      </c>
      <c r="E266" s="458" t="str">
        <f>'Q100a-geral'!E771</f>
        <v>Belo Horizonte</v>
      </c>
      <c r="F266" s="488" t="str">
        <f>'Q100a-geral'!F771</f>
        <v>extensão total do sistema viário de ligação regional (em km) de Belo Horizonte, apurada para cada uma das 10 regiões do município (Centro, Sul, Oeste, Barreiro, Noroeste, Pampulha, Venda Nova, Norte, Nordeste, Leste) e para seu conjunto (BHTRANS, 2011c)</v>
      </c>
      <c r="G266" s="252" t="str">
        <f>'Q100a-geral'!G771</f>
        <v>registro na fonte</v>
      </c>
      <c r="H266" s="173" t="str">
        <f>'Q100a-geral'!H771</f>
        <v>x</v>
      </c>
      <c r="I266" s="57">
        <f>'Q100a-geral'!I771</f>
        <v>1</v>
      </c>
      <c r="J266" s="107" t="str">
        <f>'Q100a-geral'!J771</f>
        <v>x</v>
      </c>
      <c r="K266" s="93" t="str">
        <f>'Q100a-geral'!K771</f>
        <v>x</v>
      </c>
      <c r="L266" s="93" t="str">
        <f>'Q100a-geral'!L771</f>
        <v>x</v>
      </c>
      <c r="M266" s="93" t="str">
        <f>'Q100a-geral'!M771</f>
        <v>x</v>
      </c>
      <c r="N266" s="93" t="str">
        <f>'Q100a-geral'!N771</f>
        <v>x</v>
      </c>
      <c r="O266" s="93" t="str">
        <f>'Q100a-geral'!O771</f>
        <v>x</v>
      </c>
      <c r="P266" s="93" t="str">
        <f>'Q100a-geral'!P771</f>
        <v>x</v>
      </c>
      <c r="Q266" s="93" t="str">
        <f>'Q100a-geral'!Q771</f>
        <v>x</v>
      </c>
      <c r="R266" s="93" t="str">
        <f>'Q100a-geral'!R771</f>
        <v>x</v>
      </c>
      <c r="S266" s="107" t="str">
        <f>'Q100a-geral'!S771</f>
        <v>só para pesquisa</v>
      </c>
      <c r="T266" s="93" t="str">
        <f>'Q100a-geral'!T771</f>
        <v>x</v>
      </c>
      <c r="U266" s="93" t="str">
        <f>'Q100a-geral'!U771</f>
        <v>x</v>
      </c>
      <c r="V266" s="107" t="str">
        <f>'Q100a-geral'!V771</f>
        <v>só para pesquisa</v>
      </c>
      <c r="W266" s="93" t="str">
        <f>'Q100a-geral'!W771</f>
        <v>x</v>
      </c>
      <c r="X266" s="93" t="str">
        <f>'Q100a-geral'!X771</f>
        <v>x</v>
      </c>
      <c r="Y266" s="93" t="str">
        <f>'Q100a-geral'!Y771</f>
        <v>x</v>
      </c>
      <c r="Z266" s="93" t="str">
        <f>'Q100a-geral'!Z771</f>
        <v>x</v>
      </c>
      <c r="AA266" s="93" t="str">
        <f>'Q100a-geral'!AA771</f>
        <v>x</v>
      </c>
      <c r="AB266" s="93" t="str">
        <f>'Q100a-geral'!AB771</f>
        <v>x</v>
      </c>
      <c r="AC266" s="93" t="str">
        <f>'Q100a-geral'!AC771</f>
        <v>x</v>
      </c>
      <c r="AD266" s="93" t="str">
        <f>'Q100a-geral'!AD771</f>
        <v>x</v>
      </c>
      <c r="AE266" s="93" t="str">
        <f>'Q100a-geral'!AE771</f>
        <v>x</v>
      </c>
      <c r="AF266" s="101">
        <f>'Q100a-geral'!AF771</f>
        <v>47.24</v>
      </c>
      <c r="AG266" s="93" t="str">
        <f>'Q100a-geral'!AG771</f>
        <v>x</v>
      </c>
      <c r="AH266" s="93" t="str">
        <f>'Q100a-geral'!AH771</f>
        <v>x</v>
      </c>
      <c r="AI266" s="93" t="str">
        <f>'Q100a-geral'!AI771</f>
        <v>x</v>
      </c>
      <c r="AJ266" s="93" t="str">
        <f>'Q100a-geral'!AJ771</f>
        <v>x</v>
      </c>
      <c r="AK266" s="137" t="str">
        <f>'Q100a-geral'!AK771</f>
        <v>x</v>
      </c>
      <c r="AL266" s="173" t="str">
        <f>'Q100a-geral'!AL771</f>
        <v>x</v>
      </c>
      <c r="AM266" s="137" t="str">
        <f>'Q100a-geral'!AM771</f>
        <v>x</v>
      </c>
      <c r="AN266" s="137" t="str">
        <f>'Q100a-geral'!AN771</f>
        <v>x</v>
      </c>
      <c r="AO266" s="137" t="str">
        <f>'Q100a-geral'!AO771</f>
        <v>x</v>
      </c>
      <c r="AP266" s="137" t="str">
        <f>'Q100a-geral'!AP771</f>
        <v>x</v>
      </c>
      <c r="AQ266" s="137" t="str">
        <f>'Q100a-geral'!AQ771</f>
        <v>x</v>
      </c>
      <c r="AR266" s="137"/>
      <c r="AS266" s="137"/>
      <c r="AT266" s="137"/>
      <c r="AU266" s="137"/>
      <c r="AV266" s="137" t="str">
        <f>'Q100a-geral'!AV771</f>
        <v>x</v>
      </c>
      <c r="AW266" s="137"/>
      <c r="AX266" s="137"/>
      <c r="AY266" s="137"/>
      <c r="AZ266" s="137"/>
      <c r="BA266" s="137" t="str">
        <f>'Q100a-geral'!BA771</f>
        <v>x</v>
      </c>
      <c r="BB266" s="239" t="str">
        <f>'Q100a-geral'!BB771</f>
        <v>Rede viáriax</v>
      </c>
      <c r="BC266" s="239" t="str">
        <f>'Q100a-geral'!BC771</f>
        <v>Rede viáriaxx</v>
      </c>
      <c r="BD266" s="239" t="str">
        <f>'Q100a-geral'!BD771</f>
        <v>Rede viáriax</v>
      </c>
    </row>
    <row r="267" spans="1:56" s="1" customFormat="1" ht="78.75" customHeight="1" x14ac:dyDescent="0.25">
      <c r="A267" s="275" t="str">
        <f>'Q100a-geral'!A772</f>
        <v>2.3</v>
      </c>
      <c r="B267" s="11" t="str">
        <f>'Q100a-geral'!B772</f>
        <v>Rede viária</v>
      </c>
      <c r="C267" s="167" t="str">
        <f>'Q100a-geral'!C772</f>
        <v>x</v>
      </c>
      <c r="D267" s="287" t="str">
        <f>'Q100a-geral'!D772</f>
        <v>EV local</v>
      </c>
      <c r="E267" s="458" t="str">
        <f>'Q100a-geral'!E772</f>
        <v>Belo Horizonte</v>
      </c>
      <c r="F267" s="488" t="str">
        <f>'Q100a-geral'!F772</f>
        <v>extensão total do sistema viário local (em km) de Belo Horizonte, apurada para cada uma das 10 regiões do município (Centro, Sul, Oeste, Barreiro, Noroeste, Pampulha, Venda Nova, Norte, Nordeste, Leste) e para seu conjunto (BHTRANS, 2011c)</v>
      </c>
      <c r="G267" s="252" t="str">
        <f>'Q100a-geral'!G772</f>
        <v>registro na fonte</v>
      </c>
      <c r="H267" s="173" t="str">
        <f>'Q100a-geral'!H772</f>
        <v>x</v>
      </c>
      <c r="I267" s="57">
        <f>'Q100a-geral'!I772</f>
        <v>1</v>
      </c>
      <c r="J267" s="107" t="str">
        <f>'Q100a-geral'!J772</f>
        <v>x</v>
      </c>
      <c r="K267" s="93" t="str">
        <f>'Q100a-geral'!K772</f>
        <v>x</v>
      </c>
      <c r="L267" s="93" t="str">
        <f>'Q100a-geral'!L772</f>
        <v>x</v>
      </c>
      <c r="M267" s="93" t="str">
        <f>'Q100a-geral'!M772</f>
        <v>x</v>
      </c>
      <c r="N267" s="93" t="str">
        <f>'Q100a-geral'!N772</f>
        <v>x</v>
      </c>
      <c r="O267" s="93" t="str">
        <f>'Q100a-geral'!O772</f>
        <v>x</v>
      </c>
      <c r="P267" s="93" t="str">
        <f>'Q100a-geral'!P772</f>
        <v>x</v>
      </c>
      <c r="Q267" s="93" t="str">
        <f>'Q100a-geral'!Q772</f>
        <v>x</v>
      </c>
      <c r="R267" s="93" t="str">
        <f>'Q100a-geral'!R772</f>
        <v>x</v>
      </c>
      <c r="S267" s="107" t="str">
        <f>'Q100a-geral'!S772</f>
        <v>só para pesquisa</v>
      </c>
      <c r="T267" s="93" t="str">
        <f>'Q100a-geral'!T772</f>
        <v>x</v>
      </c>
      <c r="U267" s="93" t="str">
        <f>'Q100a-geral'!U772</f>
        <v>x</v>
      </c>
      <c r="V267" s="107" t="str">
        <f>'Q100a-geral'!V772</f>
        <v>só para pesquisa</v>
      </c>
      <c r="W267" s="93" t="str">
        <f>'Q100a-geral'!W772</f>
        <v>x</v>
      </c>
      <c r="X267" s="93" t="str">
        <f>'Q100a-geral'!X772</f>
        <v>x</v>
      </c>
      <c r="Y267" s="93" t="str">
        <f>'Q100a-geral'!Y772</f>
        <v>x</v>
      </c>
      <c r="Z267" s="93" t="str">
        <f>'Q100a-geral'!Z772</f>
        <v>x</v>
      </c>
      <c r="AA267" s="93" t="str">
        <f>'Q100a-geral'!AA772</f>
        <v>x</v>
      </c>
      <c r="AB267" s="93" t="str">
        <f>'Q100a-geral'!AB772</f>
        <v>x</v>
      </c>
      <c r="AC267" s="93" t="str">
        <f>'Q100a-geral'!AC772</f>
        <v>x</v>
      </c>
      <c r="AD267" s="93" t="str">
        <f>'Q100a-geral'!AD772</f>
        <v>x</v>
      </c>
      <c r="AE267" s="93" t="str">
        <f>'Q100a-geral'!AE772</f>
        <v>x</v>
      </c>
      <c r="AF267" s="101">
        <f>'Q100a-geral'!AF772</f>
        <v>2904.58</v>
      </c>
      <c r="AG267" s="93" t="str">
        <f>'Q100a-geral'!AG772</f>
        <v>x</v>
      </c>
      <c r="AH267" s="93" t="str">
        <f>'Q100a-geral'!AH772</f>
        <v>x</v>
      </c>
      <c r="AI267" s="93" t="str">
        <f>'Q100a-geral'!AI772</f>
        <v>x</v>
      </c>
      <c r="AJ267" s="93" t="str">
        <f>'Q100a-geral'!AJ772</f>
        <v>x</v>
      </c>
      <c r="AK267" s="137" t="str">
        <f>'Q100a-geral'!AK772</f>
        <v>x</v>
      </c>
      <c r="AL267" s="173" t="str">
        <f>'Q100a-geral'!AL772</f>
        <v>x</v>
      </c>
      <c r="AM267" s="137" t="str">
        <f>'Q100a-geral'!AM772</f>
        <v>x</v>
      </c>
      <c r="AN267" s="137" t="str">
        <f>'Q100a-geral'!AN772</f>
        <v>x</v>
      </c>
      <c r="AO267" s="137" t="str">
        <f>'Q100a-geral'!AO772</f>
        <v>x</v>
      </c>
      <c r="AP267" s="137" t="str">
        <f>'Q100a-geral'!AP772</f>
        <v>x</v>
      </c>
      <c r="AQ267" s="137" t="str">
        <f>'Q100a-geral'!AQ772</f>
        <v>x</v>
      </c>
      <c r="AR267" s="137"/>
      <c r="AS267" s="137"/>
      <c r="AT267" s="137"/>
      <c r="AU267" s="137"/>
      <c r="AV267" s="137" t="str">
        <f>'Q100a-geral'!AV772</f>
        <v>x</v>
      </c>
      <c r="AW267" s="137"/>
      <c r="AX267" s="137"/>
      <c r="AY267" s="137"/>
      <c r="AZ267" s="137"/>
      <c r="BA267" s="137" t="str">
        <f>'Q100a-geral'!BA772</f>
        <v>x</v>
      </c>
      <c r="BB267" s="239" t="str">
        <f>'Q100a-geral'!BB772</f>
        <v>Rede viáriax</v>
      </c>
      <c r="BC267" s="239" t="str">
        <f>'Q100a-geral'!BC772</f>
        <v>Rede viáriaxx</v>
      </c>
      <c r="BD267" s="239" t="str">
        <f>'Q100a-geral'!BD772</f>
        <v>Rede viáriax</v>
      </c>
    </row>
    <row r="268" spans="1:56" s="1" customFormat="1" ht="78.75" customHeight="1" x14ac:dyDescent="0.25">
      <c r="A268" s="275" t="str">
        <f>'Q100a-geral'!A773</f>
        <v>2.3</v>
      </c>
      <c r="B268" s="11" t="str">
        <f>'Q100a-geral'!B773</f>
        <v>Rede viária</v>
      </c>
      <c r="C268" s="167" t="str">
        <f>'Q100a-geral'!C773</f>
        <v>x</v>
      </c>
      <c r="D268" s="9" t="str">
        <f>'Q100a-geral'!D773</f>
        <v>EV por mil habitantes</v>
      </c>
      <c r="E268" s="5" t="str">
        <f>'Q100a-geral'!E773</f>
        <v>Belo Horizonte</v>
      </c>
      <c r="F268" s="448" t="str">
        <f>'Q100a-geral'!F773</f>
        <v>extensão viária  de Belo Horizonte por mil habitantes</v>
      </c>
      <c r="G268" s="5" t="str">
        <f>'Q100a-geral'!G773</f>
        <v>(EV/P) x  1.000</v>
      </c>
      <c r="H268" s="173" t="str">
        <f>'Q100a-geral'!H773</f>
        <v>x</v>
      </c>
      <c r="I268" s="57">
        <f>'Q100a-geral'!I773</f>
        <v>1</v>
      </c>
      <c r="J268" s="107" t="str">
        <f>'Q100a-geral'!J773</f>
        <v>x</v>
      </c>
      <c r="K268" s="58" t="str">
        <f>'Q100a-geral'!K773</f>
        <v>x</v>
      </c>
      <c r="L268" s="58" t="str">
        <f>'Q100a-geral'!L773</f>
        <v>x</v>
      </c>
      <c r="M268" s="58" t="str">
        <f>'Q100a-geral'!M773</f>
        <v>x</v>
      </c>
      <c r="N268" s="58" t="str">
        <f>'Q100a-geral'!N773</f>
        <v>x</v>
      </c>
      <c r="O268" s="58" t="str">
        <f>'Q100a-geral'!O773</f>
        <v>x</v>
      </c>
      <c r="P268" s="58" t="str">
        <f>'Q100a-geral'!P773</f>
        <v>x</v>
      </c>
      <c r="Q268" s="58" t="str">
        <f>'Q100a-geral'!Q773</f>
        <v>x</v>
      </c>
      <c r="R268" s="58" t="str">
        <f>'Q100a-geral'!R773</f>
        <v>x</v>
      </c>
      <c r="S268" s="107" t="str">
        <f>'Q100a-geral'!S773</f>
        <v>só para pesquisa</v>
      </c>
      <c r="T268" s="58" t="str">
        <f>'Q100a-geral'!T773</f>
        <v>x</v>
      </c>
      <c r="U268" s="58" t="str">
        <f>'Q100a-geral'!U773</f>
        <v>x</v>
      </c>
      <c r="V268" s="107" t="str">
        <f>'Q100a-geral'!V773</f>
        <v>só para pesquisa</v>
      </c>
      <c r="W268" s="58" t="str">
        <f>'Q100a-geral'!W773</f>
        <v>x</v>
      </c>
      <c r="X268" s="58" t="str">
        <f>'Q100a-geral'!X773</f>
        <v>x</v>
      </c>
      <c r="Y268" s="58" t="str">
        <f>'Q100a-geral'!Y773</f>
        <v>x</v>
      </c>
      <c r="Z268" s="58" t="str">
        <f>'Q100a-geral'!Z773</f>
        <v>x</v>
      </c>
      <c r="AA268" s="58" t="str">
        <f>'Q100a-geral'!AA773</f>
        <v>x</v>
      </c>
      <c r="AB268" s="58" t="str">
        <f>'Q100a-geral'!AB773</f>
        <v>x</v>
      </c>
      <c r="AC268" s="58" t="str">
        <f>'Q100a-geral'!AC773</f>
        <v>x</v>
      </c>
      <c r="AD268" s="58" t="str">
        <f>'Q100a-geral'!AD773</f>
        <v>x</v>
      </c>
      <c r="AE268" s="58" t="str">
        <f>'Q100a-geral'!AE773</f>
        <v>x</v>
      </c>
      <c r="AF268" s="64">
        <f>'Q100a-geral'!AF773</f>
        <v>1.9068471857157714</v>
      </c>
      <c r="AG268" s="58" t="str">
        <f>'Q100a-geral'!AG773</f>
        <v>x</v>
      </c>
      <c r="AH268" s="58" t="str">
        <f>'Q100a-geral'!AH773</f>
        <v>x</v>
      </c>
      <c r="AI268" s="58" t="str">
        <f>'Q100a-geral'!AI773</f>
        <v>x</v>
      </c>
      <c r="AJ268" s="58" t="str">
        <f>'Q100a-geral'!AJ773</f>
        <v>x</v>
      </c>
      <c r="AK268" s="137" t="str">
        <f>'Q100a-geral'!AK773</f>
        <v>x</v>
      </c>
      <c r="AL268" s="173" t="str">
        <f>'Q100a-geral'!AL773</f>
        <v>x</v>
      </c>
      <c r="AM268" s="137" t="str">
        <f>'Q100a-geral'!AM773</f>
        <v>x</v>
      </c>
      <c r="AN268" s="137" t="str">
        <f>'Q100a-geral'!AN773</f>
        <v>x</v>
      </c>
      <c r="AO268" s="137" t="str">
        <f>'Q100a-geral'!AO773</f>
        <v>x</v>
      </c>
      <c r="AP268" s="137" t="str">
        <f>'Q100a-geral'!AP773</f>
        <v>x</v>
      </c>
      <c r="AQ268" s="137" t="str">
        <f>'Q100a-geral'!AQ773</f>
        <v>x</v>
      </c>
      <c r="AR268" s="137"/>
      <c r="AS268" s="137"/>
      <c r="AT268" s="137"/>
      <c r="AU268" s="137"/>
      <c r="AV268" s="137" t="str">
        <f>'Q100a-geral'!AV773</f>
        <v>x</v>
      </c>
      <c r="AW268" s="137"/>
      <c r="AX268" s="137"/>
      <c r="AY268" s="137"/>
      <c r="AZ268" s="137"/>
      <c r="BA268" s="137" t="str">
        <f>'Q100a-geral'!BA773</f>
        <v>x</v>
      </c>
      <c r="BB268" s="239" t="str">
        <f>'Q100a-geral'!BB773</f>
        <v>Rede viáriax</v>
      </c>
      <c r="BC268" s="239" t="str">
        <f>'Q100a-geral'!BC773</f>
        <v>Rede viáriaxx</v>
      </c>
      <c r="BD268" s="239" t="str">
        <f>'Q100a-geral'!BD773</f>
        <v>Rede viáriax</v>
      </c>
    </row>
    <row r="269" spans="1:56" s="1" customFormat="1" ht="63" customHeight="1" x14ac:dyDescent="0.25">
      <c r="A269" s="275" t="str">
        <f>'Q100a-geral'!A774</f>
        <v>2.3</v>
      </c>
      <c r="B269" s="11" t="str">
        <f>'Q100a-geral'!B774</f>
        <v>Rede viária</v>
      </c>
      <c r="C269" s="167" t="str">
        <f>'Q100a-geral'!C774</f>
        <v>x</v>
      </c>
      <c r="D269" s="9" t="str">
        <f>'Q100a-geral'!D774</f>
        <v>EV por mil veículos</v>
      </c>
      <c r="E269" s="5" t="str">
        <f>'Q100a-geral'!E774</f>
        <v>Belo Horizonte</v>
      </c>
      <c r="F269" s="448" t="str">
        <f>'Q100a-geral'!F774</f>
        <v>extensão viária  de Belo Horizonte por mil veículos</v>
      </c>
      <c r="G269" s="5" t="str">
        <f>'Q100a-geral'!G774</f>
        <v>(EV/F) x  1.000</v>
      </c>
      <c r="H269" s="173" t="str">
        <f>'Q100a-geral'!H774</f>
        <v>x</v>
      </c>
      <c r="I269" s="57">
        <f>'Q100a-geral'!I774</f>
        <v>1</v>
      </c>
      <c r="J269" s="107" t="str">
        <f>'Q100a-geral'!J774</f>
        <v>x</v>
      </c>
      <c r="K269" s="58" t="str">
        <f>'Q100a-geral'!K774</f>
        <v>x</v>
      </c>
      <c r="L269" s="58" t="str">
        <f>'Q100a-geral'!L774</f>
        <v>x</v>
      </c>
      <c r="M269" s="58" t="str">
        <f>'Q100a-geral'!M774</f>
        <v>x</v>
      </c>
      <c r="N269" s="58" t="str">
        <f>'Q100a-geral'!N774</f>
        <v>x</v>
      </c>
      <c r="O269" s="58" t="str">
        <f>'Q100a-geral'!O774</f>
        <v>x</v>
      </c>
      <c r="P269" s="58" t="str">
        <f>'Q100a-geral'!P774</f>
        <v>x</v>
      </c>
      <c r="Q269" s="58" t="str">
        <f>'Q100a-geral'!Q774</f>
        <v>x</v>
      </c>
      <c r="R269" s="58" t="str">
        <f>'Q100a-geral'!R774</f>
        <v>x</v>
      </c>
      <c r="S269" s="107" t="str">
        <f>'Q100a-geral'!S774</f>
        <v>só para pesquisa</v>
      </c>
      <c r="T269" s="58" t="str">
        <f>'Q100a-geral'!T774</f>
        <v>x</v>
      </c>
      <c r="U269" s="58" t="str">
        <f>'Q100a-geral'!U774</f>
        <v>x</v>
      </c>
      <c r="V269" s="107" t="str">
        <f>'Q100a-geral'!V774</f>
        <v>só para pesquisa</v>
      </c>
      <c r="W269" s="58" t="str">
        <f>'Q100a-geral'!W774</f>
        <v>x</v>
      </c>
      <c r="X269" s="58" t="str">
        <f>'Q100a-geral'!X774</f>
        <v>x</v>
      </c>
      <c r="Y269" s="58" t="str">
        <f>'Q100a-geral'!Y774</f>
        <v>x</v>
      </c>
      <c r="Z269" s="58" t="str">
        <f>'Q100a-geral'!Z774</f>
        <v>x</v>
      </c>
      <c r="AA269" s="58" t="str">
        <f>'Q100a-geral'!AA774</f>
        <v>x</v>
      </c>
      <c r="AB269" s="58" t="str">
        <f>'Q100a-geral'!AB774</f>
        <v>x</v>
      </c>
      <c r="AC269" s="58" t="str">
        <f>'Q100a-geral'!AC774</f>
        <v>x</v>
      </c>
      <c r="AD269" s="58" t="str">
        <f>'Q100a-geral'!AD774</f>
        <v>x</v>
      </c>
      <c r="AE269" s="58" t="str">
        <f>'Q100a-geral'!AE774</f>
        <v>x</v>
      </c>
      <c r="AF269" s="64">
        <f>'Q100a-geral'!AF774</f>
        <v>3.3992153895920163</v>
      </c>
      <c r="AG269" s="58" t="str">
        <f>'Q100a-geral'!AG774</f>
        <v>x</v>
      </c>
      <c r="AH269" s="58" t="str">
        <f>'Q100a-geral'!AH774</f>
        <v>x</v>
      </c>
      <c r="AI269" s="58" t="str">
        <f>'Q100a-geral'!AI774</f>
        <v>x</v>
      </c>
      <c r="AJ269" s="58" t="str">
        <f>'Q100a-geral'!AJ774</f>
        <v>x</v>
      </c>
      <c r="AK269" s="137" t="str">
        <f>'Q100a-geral'!AK774</f>
        <v>x</v>
      </c>
      <c r="AL269" s="173" t="str">
        <f>'Q100a-geral'!AL774</f>
        <v>x</v>
      </c>
      <c r="AM269" s="137" t="str">
        <f>'Q100a-geral'!AM774</f>
        <v>x</v>
      </c>
      <c r="AN269" s="137" t="str">
        <f>'Q100a-geral'!AN774</f>
        <v>x</v>
      </c>
      <c r="AO269" s="137" t="str">
        <f>'Q100a-geral'!AO774</f>
        <v>x</v>
      </c>
      <c r="AP269" s="137" t="str">
        <f>'Q100a-geral'!AP774</f>
        <v>x</v>
      </c>
      <c r="AQ269" s="137" t="str">
        <f>'Q100a-geral'!AQ774</f>
        <v>x</v>
      </c>
      <c r="AR269" s="137"/>
      <c r="AS269" s="137"/>
      <c r="AT269" s="137"/>
      <c r="AU269" s="137"/>
      <c r="AV269" s="137" t="str">
        <f>'Q100a-geral'!AV774</f>
        <v>x</v>
      </c>
      <c r="AW269" s="137"/>
      <c r="AX269" s="137"/>
      <c r="AY269" s="137"/>
      <c r="AZ269" s="137"/>
      <c r="BA269" s="137" t="str">
        <f>'Q100a-geral'!BA774</f>
        <v>x</v>
      </c>
      <c r="BB269" s="239" t="str">
        <f>'Q100a-geral'!BB774</f>
        <v>Rede viáriax</v>
      </c>
      <c r="BC269" s="239" t="str">
        <f>'Q100a-geral'!BC774</f>
        <v>Rede viáriaxx</v>
      </c>
      <c r="BD269" s="239" t="str">
        <f>'Q100a-geral'!BD774</f>
        <v>Rede viáriax</v>
      </c>
    </row>
    <row r="270" spans="1:56" s="1" customFormat="1" ht="33.75" x14ac:dyDescent="0.25">
      <c r="A270" s="275" t="str">
        <f>'Q100a-geral'!A777</f>
        <v>6.2</v>
      </c>
      <c r="B270" s="11" t="str">
        <f>'Q100a-geral'!B777</f>
        <v>Sistema de bicicleta</v>
      </c>
      <c r="C270" s="167" t="str">
        <f>'Q100a-geral'!C777</f>
        <v>CMMCE</v>
      </c>
      <c r="D270" s="287" t="str">
        <f>'Q100a-geral'!D777</f>
        <v>EV b</v>
      </c>
      <c r="E270" s="744" t="str">
        <f>'Q100a-geral'!E777</f>
        <v>Belo Horizonte</v>
      </c>
      <c r="F270" s="488" t="str">
        <f>'Q100a-geral'!F777</f>
        <v>extensão total da rede cicloviária (em km) de Belo Horizonte
obs.: resultados da fórmula confirmados de 2009-2013 com algum arredondamento em BHTRANS (2015e, p.29) e de 2014 em BHTRANS (2015g)</v>
      </c>
      <c r="G270" s="252" t="str">
        <f>'Q100a-geral'!G777</f>
        <v>∑ EV b (delta BHTrans)</v>
      </c>
      <c r="H270" s="173" t="str">
        <f>'Q100a-geral'!H777</f>
        <v>x</v>
      </c>
      <c r="I270" s="57">
        <f>'Q100a-geral'!I777</f>
        <v>1</v>
      </c>
      <c r="J270" s="107" t="str">
        <f>'Q100a-geral'!J777</f>
        <v>x</v>
      </c>
      <c r="K270" s="93" t="str">
        <f>'Q100a-geral'!K777</f>
        <v>x</v>
      </c>
      <c r="L270" s="93" t="str">
        <f>'Q100a-geral'!L777</f>
        <v>x</v>
      </c>
      <c r="M270" s="93" t="str">
        <f>'Q100a-geral'!M777</f>
        <v>x</v>
      </c>
      <c r="N270" s="93" t="str">
        <f>'Q100a-geral'!N777</f>
        <v>x</v>
      </c>
      <c r="O270" s="93" t="str">
        <f>'Q100a-geral'!O777</f>
        <v>x</v>
      </c>
      <c r="P270" s="93" t="str">
        <f>'Q100a-geral'!P777</f>
        <v>x</v>
      </c>
      <c r="Q270" s="93" t="str">
        <f>'Q100a-geral'!Q777</f>
        <v>x</v>
      </c>
      <c r="R270" s="93" t="str">
        <f>'Q100a-geral'!R777</f>
        <v>x</v>
      </c>
      <c r="S270" s="107" t="str">
        <f>'Q100a-geral'!S777</f>
        <v>só para pesquisa</v>
      </c>
      <c r="T270" s="93" t="str">
        <f>'Q100a-geral'!T777</f>
        <v>x</v>
      </c>
      <c r="U270" s="93" t="str">
        <f>'Q100a-geral'!U777</f>
        <v>x</v>
      </c>
      <c r="V270" s="107" t="str">
        <f>'Q100a-geral'!V777</f>
        <v>só para pesquisa</v>
      </c>
      <c r="W270" s="93" t="str">
        <f>'Q100a-geral'!W777</f>
        <v>x</v>
      </c>
      <c r="X270" s="93" t="str">
        <f>'Q100a-geral'!X777</f>
        <v>x</v>
      </c>
      <c r="Y270" s="371">
        <f>'Q100a-geral'!Y777</f>
        <v>11.55</v>
      </c>
      <c r="Z270" s="371">
        <f>'Q100a-geral'!Z777</f>
        <v>11.55</v>
      </c>
      <c r="AA270" s="371">
        <f>'Q100a-geral'!AA777</f>
        <v>11.55</v>
      </c>
      <c r="AB270" s="371">
        <f>'Q100a-geral'!AB777</f>
        <v>11.55</v>
      </c>
      <c r="AC270" s="371">
        <f>'Q100a-geral'!AC777</f>
        <v>15.05</v>
      </c>
      <c r="AD270" s="371">
        <f>'Q100a-geral'!AD777</f>
        <v>23.810000000000002</v>
      </c>
      <c r="AE270" s="371">
        <f>'Q100a-geral'!AE777</f>
        <v>23.810000000000002</v>
      </c>
      <c r="AF270" s="420">
        <f>'Q100a-geral'!AF777</f>
        <v>23.810000000000002</v>
      </c>
      <c r="AG270" s="371">
        <f>'Q100a-geral'!AG777</f>
        <v>31.910000000000004</v>
      </c>
      <c r="AH270" s="371">
        <f>'Q100a-geral'!AH777</f>
        <v>43.400000000000006</v>
      </c>
      <c r="AI270" s="371">
        <f>'Q100a-geral'!AI777</f>
        <v>59.230000000000004</v>
      </c>
      <c r="AJ270" s="371">
        <f>'Q100a-geral'!AJ777</f>
        <v>70.42</v>
      </c>
      <c r="AK270" s="371">
        <f>'Q100a-geral'!AK777</f>
        <v>83.28</v>
      </c>
      <c r="AL270" s="173" t="str">
        <f>'Q100a-geral'!AL777</f>
        <v>x</v>
      </c>
      <c r="AM270" s="137" t="str">
        <f>'Q100a-geral'!AM777</f>
        <v>x</v>
      </c>
      <c r="AN270" s="137" t="str">
        <f>'Q100a-geral'!AN777</f>
        <v>x</v>
      </c>
      <c r="AO270" s="137" t="str">
        <f>'Q100a-geral'!AO777</f>
        <v>x</v>
      </c>
      <c r="AP270" s="137" t="str">
        <f>'Q100a-geral'!AP777</f>
        <v>x</v>
      </c>
      <c r="AQ270" s="137" t="str">
        <f>'Q100a-geral'!AQ777</f>
        <v>x</v>
      </c>
      <c r="AR270" s="137"/>
      <c r="AS270" s="137"/>
      <c r="AT270" s="137"/>
      <c r="AU270" s="137"/>
      <c r="AV270" s="137" t="str">
        <f>'Q100a-geral'!AV777</f>
        <v>x</v>
      </c>
      <c r="AW270" s="137"/>
      <c r="AX270" s="137"/>
      <c r="AY270" s="137"/>
      <c r="AZ270" s="137"/>
      <c r="BA270" s="137" t="str">
        <f>'Q100a-geral'!BA777</f>
        <v>x</v>
      </c>
      <c r="BB270" s="239" t="str">
        <f>'Q100a-geral'!BB777</f>
        <v>Sistema de bicicletaCMMCE</v>
      </c>
      <c r="BC270" s="239" t="str">
        <f>'Q100a-geral'!BC777</f>
        <v>Sistema de bicicletaCMMCEx</v>
      </c>
      <c r="BD270" s="239" t="str">
        <f>'Q100a-geral'!BD777</f>
        <v>Sistema de bicicletax</v>
      </c>
    </row>
    <row r="271" spans="1:56" s="1" customFormat="1" ht="45" x14ac:dyDescent="0.25">
      <c r="A271" s="275" t="str">
        <f>'Q100a-geral'!A778</f>
        <v>6.2</v>
      </c>
      <c r="B271" s="1205" t="str">
        <f>'Q100a-geral'!B778</f>
        <v>Sistema de bicicleta</v>
      </c>
      <c r="C271" s="167" t="str">
        <f>'Q100a-geral'!C778</f>
        <v>x</v>
      </c>
      <c r="D271" s="760" t="str">
        <f>'Q100a-geral'!D778</f>
        <v>EV b
(meta)</v>
      </c>
      <c r="E271" s="1205" t="str">
        <f>'Q100a-geral'!E778</f>
        <v>Belo Horizonte</v>
      </c>
      <c r="F271" s="445" t="str">
        <f>'Q100a-geral'!F778</f>
        <v>meta de extensão total da rede cicloviária (em km) de Belo Horizonte
obs.: as metas anunciadas pela PBH são obtidas no PPAG e referem-se ao acréscimo anual informado pelo indicador "EV b (meta delta 1)" e não foi encontrada uma meta ajustada para o indicador "EV b (meta)" que permita seu acompanhamento</v>
      </c>
      <c r="G271" s="252" t="str">
        <f>'Q100a-geral'!G778</f>
        <v>não encontrado resultado</v>
      </c>
      <c r="H271" s="173" t="str">
        <f>'Q100a-geral'!H778</f>
        <v>meta/RPI</v>
      </c>
      <c r="I271" s="57" t="str">
        <f>'Q100a-geral'!I778</f>
        <v>x</v>
      </c>
      <c r="J271" s="107" t="str">
        <f>'Q100a-geral'!J778</f>
        <v>x</v>
      </c>
      <c r="K271" s="1376" t="str">
        <f>'Q100a-geral'!K778</f>
        <v>x</v>
      </c>
      <c r="L271" s="1376" t="str">
        <f>'Q100a-geral'!L778</f>
        <v>x</v>
      </c>
      <c r="M271" s="1376" t="str">
        <f>'Q100a-geral'!M778</f>
        <v>x</v>
      </c>
      <c r="N271" s="1376" t="str">
        <f>'Q100a-geral'!N778</f>
        <v>x</v>
      </c>
      <c r="O271" s="1376" t="str">
        <f>'Q100a-geral'!O778</f>
        <v>x</v>
      </c>
      <c r="P271" s="1376" t="str">
        <f>'Q100a-geral'!P778</f>
        <v>x</v>
      </c>
      <c r="Q271" s="1376" t="str">
        <f>'Q100a-geral'!Q778</f>
        <v>x</v>
      </c>
      <c r="R271" s="1376" t="str">
        <f>'Q100a-geral'!R778</f>
        <v>x</v>
      </c>
      <c r="S271" s="107" t="str">
        <f>'Q100a-geral'!S778</f>
        <v>só para pesquisa</v>
      </c>
      <c r="T271" s="1376" t="str">
        <f>'Q100a-geral'!T778</f>
        <v>x</v>
      </c>
      <c r="U271" s="1376" t="str">
        <f>'Q100a-geral'!U778</f>
        <v>x</v>
      </c>
      <c r="V271" s="107" t="str">
        <f>'Q100a-geral'!V778</f>
        <v>só para pesquisa</v>
      </c>
      <c r="W271" s="1376" t="str">
        <f>'Q100a-geral'!W778</f>
        <v>x</v>
      </c>
      <c r="X271" s="1376" t="str">
        <f>'Q100a-geral'!X778</f>
        <v>x</v>
      </c>
      <c r="Y271" s="371"/>
      <c r="Z271" s="371"/>
      <c r="AA271" s="371"/>
      <c r="AB271" s="371"/>
      <c r="AC271" s="371"/>
      <c r="AD271" s="371"/>
      <c r="AE271" s="371"/>
      <c r="AF271" s="420"/>
      <c r="AG271" s="371" t="str">
        <f>'Q100a-geral'!AG778</f>
        <v>x</v>
      </c>
      <c r="AH271" s="371" t="str">
        <f>'Q100a-geral'!AH778</f>
        <v>x</v>
      </c>
      <c r="AI271" s="371" t="str">
        <f>'Q100a-geral'!AI778</f>
        <v>x</v>
      </c>
      <c r="AJ271" s="371" t="str">
        <f>'Q100a-geral'!AJ778</f>
        <v>x</v>
      </c>
      <c r="AK271" s="371" t="str">
        <f>'Q100a-geral'!AK778</f>
        <v>x</v>
      </c>
      <c r="AL271" s="173" t="str">
        <f>'Q100a-geral'!AL778</f>
        <v>x</v>
      </c>
      <c r="AM271" s="420" t="str">
        <f>'Q100a-geral'!AM778</f>
        <v>x</v>
      </c>
      <c r="AN271" s="420" t="str">
        <f>'Q100a-geral'!AN778</f>
        <v>x</v>
      </c>
      <c r="AO271" s="137" t="str">
        <f>'Q100a-geral'!AO778</f>
        <v>x</v>
      </c>
      <c r="AP271" s="137" t="str">
        <f>'Q100a-geral'!AP778</f>
        <v>x</v>
      </c>
      <c r="AQ271" s="137" t="str">
        <f>'Q100a-geral'!AQ778</f>
        <v>x</v>
      </c>
      <c r="AR271" s="137"/>
      <c r="AS271" s="137"/>
      <c r="AT271" s="137"/>
      <c r="AU271" s="137"/>
      <c r="AV271" s="137" t="str">
        <f>'Q100a-geral'!AV778</f>
        <v>x</v>
      </c>
      <c r="AW271" s="137"/>
      <c r="AX271" s="137"/>
      <c r="AY271" s="137"/>
      <c r="AZ271" s="137"/>
      <c r="BA271" s="137" t="str">
        <f>'Q100a-geral'!BA778</f>
        <v>x</v>
      </c>
      <c r="BB271" s="239" t="str">
        <f>'Q100a-geral'!BB778</f>
        <v>Sistema de bicicletax</v>
      </c>
      <c r="BC271" s="239" t="str">
        <f>'Q100a-geral'!BC778</f>
        <v>Sistema de bicicletaxmeta/RPI</v>
      </c>
      <c r="BD271" s="239" t="str">
        <f>'Q100a-geral'!BD778</f>
        <v>Sistema de bicicletameta/RPI</v>
      </c>
    </row>
    <row r="272" spans="1:56" s="1" customFormat="1" ht="33.75" x14ac:dyDescent="0.25">
      <c r="A272" s="275" t="str">
        <f>'Q100a-geral'!A783</f>
        <v>6.2</v>
      </c>
      <c r="B272" s="11" t="str">
        <f>'Q100a-geral'!B783</f>
        <v>Sistema de bicicleta</v>
      </c>
      <c r="C272" s="167" t="str">
        <f>'Q100a-geral'!C783</f>
        <v>x</v>
      </c>
      <c r="D272" s="287" t="str">
        <f>'Q100a-geral'!D783</f>
        <v>EV b (%)</v>
      </c>
      <c r="E272" s="744" t="str">
        <f>'Q100a-geral'!E783</f>
        <v>Belo Horizonte</v>
      </c>
      <c r="F272" s="488" t="str">
        <f>'Q100a-geral'!F783</f>
        <v>percentual da extensão da rede cicloviária de Belo Horizonte em relação à extensão viária total de Belo Horizonte
obs.: utiliza-se em toda esta série a extensão da rede viária total de Belo Horizonte calculada para o ano 2010, pois este é o único resultado encontrado pelo SisMob-BH até o momento</v>
      </c>
      <c r="G272" s="252" t="str">
        <f>'Q100a-geral'!G783</f>
        <v>(EV b/EV) x 100</v>
      </c>
      <c r="H272" s="173" t="str">
        <f>'Q100a-geral'!H783</f>
        <v>x</v>
      </c>
      <c r="I272" s="57">
        <f>'Q100a-geral'!I783</f>
        <v>1</v>
      </c>
      <c r="J272" s="107" t="str">
        <f>'Q100a-geral'!J783</f>
        <v>x</v>
      </c>
      <c r="K272" s="93" t="str">
        <f>'Q100a-geral'!K783</f>
        <v>x</v>
      </c>
      <c r="L272" s="93" t="str">
        <f>'Q100a-geral'!L783</f>
        <v>x</v>
      </c>
      <c r="M272" s="93" t="str">
        <f>'Q100a-geral'!M783</f>
        <v>x</v>
      </c>
      <c r="N272" s="93" t="str">
        <f>'Q100a-geral'!N783</f>
        <v>x</v>
      </c>
      <c r="O272" s="93" t="str">
        <f>'Q100a-geral'!O783</f>
        <v>x</v>
      </c>
      <c r="P272" s="93" t="str">
        <f>'Q100a-geral'!P783</f>
        <v>x</v>
      </c>
      <c r="Q272" s="93" t="str">
        <f>'Q100a-geral'!Q783</f>
        <v>x</v>
      </c>
      <c r="R272" s="93" t="str">
        <f>'Q100a-geral'!R783</f>
        <v>x</v>
      </c>
      <c r="S272" s="107" t="str">
        <f>'Q100a-geral'!S783</f>
        <v>só para pesquisa</v>
      </c>
      <c r="T272" s="93" t="str">
        <f>'Q100a-geral'!T783</f>
        <v>x</v>
      </c>
      <c r="U272" s="93" t="str">
        <f>'Q100a-geral'!U783</f>
        <v>x</v>
      </c>
      <c r="V272" s="107" t="str">
        <f>'Q100a-geral'!V783</f>
        <v>só para pesquisa</v>
      </c>
      <c r="W272" s="93" t="str">
        <f>'Q100a-geral'!W783</f>
        <v>x</v>
      </c>
      <c r="X272" s="93" t="str">
        <f>'Q100a-geral'!X783</f>
        <v>x</v>
      </c>
      <c r="Y272" s="93" t="str">
        <f>'Q100a-geral'!Y783</f>
        <v>x</v>
      </c>
      <c r="Z272" s="93" t="str">
        <f>'Q100a-geral'!Z783</f>
        <v>x</v>
      </c>
      <c r="AA272" s="93" t="str">
        <f>'Q100a-geral'!AA783</f>
        <v>x</v>
      </c>
      <c r="AB272" s="93" t="str">
        <f>'Q100a-geral'!AB783</f>
        <v>x</v>
      </c>
      <c r="AC272" s="93" t="str">
        <f>'Q100a-geral'!AC783</f>
        <v>x</v>
      </c>
      <c r="AD272" s="93" t="str">
        <f>'Q100a-geral'!AD783</f>
        <v>x</v>
      </c>
      <c r="AE272" s="371" t="str">
        <f>'Q100a-geral'!AE783</f>
        <v>x</v>
      </c>
      <c r="AF272" s="755">
        <f>'Q100a-geral'!AF783</f>
        <v>5.2571731378545173E-3</v>
      </c>
      <c r="AG272" s="759">
        <f>'Q100a-geral'!AG783</f>
        <v>7.0456276702619757E-3</v>
      </c>
      <c r="AH272" s="759">
        <f>'Q100a-geral'!AH783</f>
        <v>9.5825835440103337E-3</v>
      </c>
      <c r="AI272" s="759">
        <f>'Q100a-geral'!AI783</f>
        <v>1.3077797772159725E-2</v>
      </c>
      <c r="AJ272" s="759">
        <f>'Q100a-geral'!AJ783</f>
        <v>1.5548514589152251E-2</v>
      </c>
      <c r="AK272" s="137">
        <f>'Q100a-geral'!AK783</f>
        <v>1.8387962155418908E-2</v>
      </c>
      <c r="AL272" s="173" t="str">
        <f>'Q100a-geral'!AL783</f>
        <v>x</v>
      </c>
      <c r="AM272" s="137" t="str">
        <f>'Q100a-geral'!AM783</f>
        <v>x</v>
      </c>
      <c r="AN272" s="137" t="str">
        <f>'Q100a-geral'!AN783</f>
        <v>x</v>
      </c>
      <c r="AO272" s="137" t="str">
        <f>'Q100a-geral'!AO783</f>
        <v>x</v>
      </c>
      <c r="AP272" s="137" t="str">
        <f>'Q100a-geral'!AP783</f>
        <v>x</v>
      </c>
      <c r="AQ272" s="137" t="str">
        <f>'Q100a-geral'!AQ783</f>
        <v>x</v>
      </c>
      <c r="AR272" s="137"/>
      <c r="AS272" s="137"/>
      <c r="AT272" s="137"/>
      <c r="AU272" s="137"/>
      <c r="AV272" s="137" t="str">
        <f>'Q100a-geral'!AV783</f>
        <v>x</v>
      </c>
      <c r="AW272" s="137"/>
      <c r="AX272" s="137"/>
      <c r="AY272" s="137"/>
      <c r="AZ272" s="137"/>
      <c r="BA272" s="137" t="str">
        <f>'Q100a-geral'!BA783</f>
        <v>x</v>
      </c>
      <c r="BB272" s="239" t="str">
        <f>'Q100a-geral'!BB783</f>
        <v>Sistema de bicicletax</v>
      </c>
      <c r="BC272" s="239" t="str">
        <f>'Q100a-geral'!BC783</f>
        <v>Sistema de bicicletaxx</v>
      </c>
      <c r="BD272" s="239" t="str">
        <f>'Q100a-geral'!BD783</f>
        <v>Sistema de bicicletax</v>
      </c>
    </row>
    <row r="273" spans="1:56" s="1" customFormat="1" ht="57.75" customHeight="1" x14ac:dyDescent="0.25">
      <c r="A273" s="275" t="str">
        <f>'Q100a-geral'!A782</f>
        <v>6.2</v>
      </c>
      <c r="B273" s="11" t="str">
        <f>'Q100a-geral'!B782</f>
        <v>Sistema de bicicleta</v>
      </c>
      <c r="C273" s="167" t="str">
        <f>'Q100a-geral'!C782</f>
        <v>x</v>
      </c>
      <c r="D273" s="287" t="str">
        <f>'Q100a-geral'!D782</f>
        <v>EV b</v>
      </c>
      <c r="E273" s="488" t="str">
        <f>'Q100a-geral'!E782</f>
        <v>outras cidades/regiões</v>
      </c>
      <c r="F273" s="744" t="str">
        <f>'Q100a-geral'!F782</f>
        <v>extensão da rede cicloviária de diversas outras cidades/regiões
obs.: existem resultados de "EV b" relativos a dezenove cidades (incluindo Belo Horizonte, Brasília, Curitiba e Porto Alegre) para benchmarking com a denominação de "Extensão de vias adequadas ao trânsito de bicicletas" em MOBILIZE(2016a)</v>
      </c>
      <c r="G273" s="110" t="str">
        <f>'Q100a-geral'!G782</f>
        <v>registro na fonte</v>
      </c>
      <c r="H273" s="167" t="str">
        <f>'Q100a-geral'!H782</f>
        <v>benchmarking</v>
      </c>
      <c r="I273" s="57" t="str">
        <f>'Q100a-geral'!I782</f>
        <v>x</v>
      </c>
      <c r="J273" s="107" t="str">
        <f>'Q100a-geral'!J782</f>
        <v>x</v>
      </c>
      <c r="K273" s="107" t="str">
        <f>'Q100a-geral'!K782</f>
        <v>x</v>
      </c>
      <c r="L273" s="107" t="str">
        <f>'Q100a-geral'!L782</f>
        <v>x</v>
      </c>
      <c r="M273" s="107" t="str">
        <f>'Q100a-geral'!M782</f>
        <v>x</v>
      </c>
      <c r="N273" s="107" t="str">
        <f>'Q100a-geral'!N782</f>
        <v>x</v>
      </c>
      <c r="O273" s="107" t="str">
        <f>'Q100a-geral'!O782</f>
        <v>x</v>
      </c>
      <c r="P273" s="107" t="str">
        <f>'Q100a-geral'!P782</f>
        <v>x</v>
      </c>
      <c r="Q273" s="107" t="str">
        <f>'Q100a-geral'!Q782</f>
        <v>x</v>
      </c>
      <c r="R273" s="107" t="str">
        <f>'Q100a-geral'!R782</f>
        <v>x</v>
      </c>
      <c r="S273" s="109" t="str">
        <f>'Q100a-geral'!S782</f>
        <v>só para pesquisa</v>
      </c>
      <c r="T273" s="107" t="str">
        <f>'Q100a-geral'!T782</f>
        <v>x</v>
      </c>
      <c r="U273" s="107" t="str">
        <f>'Q100a-geral'!U782</f>
        <v>x</v>
      </c>
      <c r="V273" s="109" t="str">
        <f>'Q100a-geral'!V782</f>
        <v>só para pesquisa</v>
      </c>
      <c r="W273" s="107" t="str">
        <f>'Q100a-geral'!W782</f>
        <v>x</v>
      </c>
      <c r="X273" s="107" t="str">
        <f>'Q100a-geral'!X782</f>
        <v>x</v>
      </c>
      <c r="Y273" s="107" t="str">
        <f>'Q100a-geral'!Y782</f>
        <v>x</v>
      </c>
      <c r="Z273" s="107" t="str">
        <f>'Q100a-geral'!Z782</f>
        <v>x</v>
      </c>
      <c r="AA273" s="107" t="str">
        <f>'Q100a-geral'!AA782</f>
        <v>x</v>
      </c>
      <c r="AB273" s="107" t="str">
        <f>'Q100a-geral'!AB782</f>
        <v>x</v>
      </c>
      <c r="AC273" s="107" t="str">
        <f>'Q100a-geral'!AC782</f>
        <v>x</v>
      </c>
      <c r="AD273" s="107" t="str">
        <f>'Q100a-geral'!AD782</f>
        <v>x</v>
      </c>
      <c r="AE273" s="107" t="str">
        <f>'Q100a-geral'!AE782</f>
        <v>x</v>
      </c>
      <c r="AF273" s="107" t="str">
        <f>'Q100a-geral'!AF782</f>
        <v>x</v>
      </c>
      <c r="AG273" s="107" t="str">
        <f>'Q100a-geral'!AG782</f>
        <v>x</v>
      </c>
      <c r="AH273" s="107" t="str">
        <f>'Q100a-geral'!AH782</f>
        <v>x</v>
      </c>
      <c r="AI273" s="107" t="str">
        <f>'Q100a-geral'!AI782</f>
        <v>x</v>
      </c>
      <c r="AJ273" s="107" t="str">
        <f>'Q100a-geral'!AJ782</f>
        <v>x</v>
      </c>
      <c r="AK273" s="107" t="str">
        <f>'Q100a-geral'!AK782</f>
        <v>x</v>
      </c>
      <c r="AL273" s="601" t="str">
        <f>'Q100a-geral'!AL782</f>
        <v>x</v>
      </c>
      <c r="AM273" s="137" t="str">
        <f>'Q100a-geral'!AM782</f>
        <v>x</v>
      </c>
      <c r="AN273" s="137" t="str">
        <f>'Q100a-geral'!AN782</f>
        <v>x</v>
      </c>
      <c r="AO273" s="137" t="str">
        <f>'Q100a-geral'!AO782</f>
        <v>x</v>
      </c>
      <c r="AP273" s="137" t="str">
        <f>'Q100a-geral'!AP782</f>
        <v>x</v>
      </c>
      <c r="AQ273" s="137" t="str">
        <f>'Q100a-geral'!AQ782</f>
        <v>x</v>
      </c>
      <c r="AR273" s="137"/>
      <c r="AS273" s="137"/>
      <c r="AT273" s="137"/>
      <c r="AU273" s="137"/>
      <c r="AV273" s="137" t="str">
        <f>'Q100a-geral'!AV782</f>
        <v>x</v>
      </c>
      <c r="AW273" s="137"/>
      <c r="AX273" s="137"/>
      <c r="AY273" s="137"/>
      <c r="AZ273" s="137"/>
      <c r="BA273" s="137" t="str">
        <f>'Q100a-geral'!BA782</f>
        <v>x</v>
      </c>
      <c r="BB273" s="239" t="str">
        <f>'Q100a-geral'!BB782</f>
        <v>Sistema de bicicletax</v>
      </c>
      <c r="BC273" s="239" t="str">
        <f>'Q100a-geral'!BC782</f>
        <v>Sistema de bicicletaxbenchmarking</v>
      </c>
      <c r="BD273" s="239" t="str">
        <f>'Q100a-geral'!BD782</f>
        <v>Sistema de bicicletabenchmarking</v>
      </c>
    </row>
    <row r="274" spans="1:56" s="1" customFormat="1" ht="63.75" x14ac:dyDescent="0.25">
      <c r="A274" s="275" t="str">
        <f>'Q100a-geral'!A784</f>
        <v>6.2</v>
      </c>
      <c r="B274" s="1205" t="str">
        <f>'Q100a-geral'!B784</f>
        <v>Sistema de bicicleta</v>
      </c>
      <c r="C274" s="167" t="str">
        <f>'Q100a-geral'!C784</f>
        <v>CMMCE</v>
      </c>
      <c r="D274" s="362" t="str">
        <f>'Q100a-geral'!D784</f>
        <v>EV b (delta BHTrans)</v>
      </c>
      <c r="E274" s="488" t="str">
        <f>'Q100a-geral'!E784</f>
        <v>Belo Horizonte (BHTrans)</v>
      </c>
      <c r="F274" s="1362" t="str">
        <f>'Q100a-geral'!F784</f>
        <v>acréscimo anual da extensão da rede cicloviária (em km) de Belo Horizonte na fonte BHTrans
obs.1: as primeiras ciclovias foram implantadas em Belo Horizonte em dez.2003 conforme BHTRANS(2016wc)
obs.2: resultados de 2003-2015 conforme BHTRANS(2016wc)
obs.3: esses resultados deveriam mas não conferem (todos) com os de "EV b (delta PBH)"</v>
      </c>
      <c r="G274" s="110" t="str">
        <f>'Q100a-geral'!G784</f>
        <v>registro na fonte</v>
      </c>
      <c r="H274" s="167" t="str">
        <f>'Q100a-geral'!H784</f>
        <v>x</v>
      </c>
      <c r="I274" s="57">
        <f>'Q100a-geral'!I784</f>
        <v>1</v>
      </c>
      <c r="J274" s="107" t="str">
        <f>'Q100a-geral'!J784</f>
        <v>x</v>
      </c>
      <c r="K274" s="107" t="str">
        <f>'Q100a-geral'!K784</f>
        <v>x</v>
      </c>
      <c r="L274" s="107" t="str">
        <f>'Q100a-geral'!L784</f>
        <v>x</v>
      </c>
      <c r="M274" s="107" t="str">
        <f>'Q100a-geral'!M784</f>
        <v>x</v>
      </c>
      <c r="N274" s="107" t="str">
        <f>'Q100a-geral'!N784</f>
        <v>x</v>
      </c>
      <c r="O274" s="107" t="str">
        <f>'Q100a-geral'!O784</f>
        <v>x</v>
      </c>
      <c r="P274" s="107" t="str">
        <f>'Q100a-geral'!P784</f>
        <v>x</v>
      </c>
      <c r="Q274" s="107" t="str">
        <f>'Q100a-geral'!Q784</f>
        <v>x</v>
      </c>
      <c r="R274" s="107" t="str">
        <f>'Q100a-geral'!R784</f>
        <v>x</v>
      </c>
      <c r="S274" s="109" t="str">
        <f>'Q100a-geral'!S784</f>
        <v>só para pesquisa</v>
      </c>
      <c r="T274" s="107" t="str">
        <f>'Q100a-geral'!T784</f>
        <v>x</v>
      </c>
      <c r="U274" s="107" t="str">
        <f>'Q100a-geral'!U784</f>
        <v>x</v>
      </c>
      <c r="V274" s="109" t="str">
        <f>'Q100a-geral'!V784</f>
        <v>só para pesquisa</v>
      </c>
      <c r="W274" s="107" t="str">
        <f>'Q100a-geral'!W784</f>
        <v>x</v>
      </c>
      <c r="X274" s="107" t="str">
        <f>'Q100a-geral'!X784</f>
        <v>x</v>
      </c>
      <c r="Y274" s="758">
        <f>'Q100a-geral'!Y784</f>
        <v>11.55</v>
      </c>
      <c r="Z274" s="758">
        <f>'Q100a-geral'!Z784</f>
        <v>0</v>
      </c>
      <c r="AA274" s="758">
        <f>'Q100a-geral'!AA784</f>
        <v>0</v>
      </c>
      <c r="AB274" s="758">
        <f>'Q100a-geral'!AB784</f>
        <v>0</v>
      </c>
      <c r="AC274" s="758">
        <f>'Q100a-geral'!AC784</f>
        <v>3.5</v>
      </c>
      <c r="AD274" s="758">
        <f>'Q100a-geral'!AD784</f>
        <v>8.76</v>
      </c>
      <c r="AE274" s="758">
        <f>'Q100a-geral'!AE784</f>
        <v>0</v>
      </c>
      <c r="AF274" s="758">
        <f>'Q100a-geral'!AF784</f>
        <v>0</v>
      </c>
      <c r="AG274" s="758">
        <f>'Q100a-geral'!AG784</f>
        <v>8.1</v>
      </c>
      <c r="AH274" s="758">
        <f>'Q100a-geral'!AH784</f>
        <v>11.49</v>
      </c>
      <c r="AI274" s="758">
        <f>'Q100a-geral'!AI784</f>
        <v>15.83</v>
      </c>
      <c r="AJ274" s="758">
        <f>'Q100a-geral'!AJ784</f>
        <v>11.19</v>
      </c>
      <c r="AK274" s="758">
        <f>'Q100a-geral'!AK784</f>
        <v>12.86</v>
      </c>
      <c r="AL274" s="600" t="str">
        <f>'Q100a-geral'!AL784</f>
        <v>x</v>
      </c>
      <c r="AM274" s="137" t="str">
        <f>'Q100a-geral'!AM784</f>
        <v>x</v>
      </c>
      <c r="AN274" s="137" t="str">
        <f>'Q100a-geral'!AN784</f>
        <v>x</v>
      </c>
      <c r="AO274" s="137" t="str">
        <f>'Q100a-geral'!AO784</f>
        <v>x</v>
      </c>
      <c r="AP274" s="137" t="str">
        <f>'Q100a-geral'!AP784</f>
        <v>x</v>
      </c>
      <c r="AQ274" s="137" t="str">
        <f>'Q100a-geral'!AQ784</f>
        <v>x</v>
      </c>
      <c r="AR274" s="137" t="str">
        <f>'Q100a-geral'!AR784</f>
        <v>x</v>
      </c>
      <c r="AS274" s="137" t="str">
        <f>'Q100a-geral'!AS784</f>
        <v>x</v>
      </c>
      <c r="AT274" s="137" t="str">
        <f>'Q100a-geral'!AT784</f>
        <v>x</v>
      </c>
      <c r="AU274" s="137" t="str">
        <f>'Q100a-geral'!AU784</f>
        <v>x</v>
      </c>
      <c r="AV274" s="137" t="str">
        <f>'Q100a-geral'!AV784</f>
        <v>x</v>
      </c>
      <c r="AW274" s="137" t="str">
        <f>'Q100a-geral'!AW784</f>
        <v>x</v>
      </c>
      <c r="AX274" s="137" t="str">
        <f>'Q100a-geral'!AX784</f>
        <v>x</v>
      </c>
      <c r="AY274" s="137" t="str">
        <f>'Q100a-geral'!AY784</f>
        <v>x</v>
      </c>
      <c r="AZ274" s="137" t="str">
        <f>'Q100a-geral'!AZ784</f>
        <v>x</v>
      </c>
      <c r="BA274" s="137" t="str">
        <f>'Q100a-geral'!BA784</f>
        <v>x</v>
      </c>
      <c r="BB274" s="239" t="str">
        <f>'Q100a-geral'!BB784</f>
        <v>Sistema de bicicletaCMMCE</v>
      </c>
      <c r="BC274" s="239" t="str">
        <f>'Q100a-geral'!BC784</f>
        <v>Sistema de bicicletaCMMCEx</v>
      </c>
      <c r="BD274" s="239" t="str">
        <f>'Q100a-geral'!BD784</f>
        <v>Sistema de bicicletax</v>
      </c>
    </row>
    <row r="275" spans="1:56" s="1" customFormat="1" ht="127.5" x14ac:dyDescent="0.25">
      <c r="A275" s="275" t="str">
        <f>'Q100a-geral'!A785</f>
        <v>6.2</v>
      </c>
      <c r="B275" s="1205" t="str">
        <f>'Q100a-geral'!B785</f>
        <v>Sistema de bicicleta</v>
      </c>
      <c r="C275" s="167" t="str">
        <f>'Q100a-geral'!C785</f>
        <v>x</v>
      </c>
      <c r="D275" s="362" t="str">
        <f>'Q100a-geral'!D785</f>
        <v>EV b
(meta delta)</v>
      </c>
      <c r="E275" s="488" t="str">
        <f>'Q100a-geral'!E785</f>
        <v>Belo Horizonte (PBH)</v>
      </c>
      <c r="F275" s="1418" t="str">
        <f>'Q100a-geral'!F785</f>
        <v>meta estabelecida pela PBH para a expansão anual da rede cicloviária de Belo Horizonte 
obs.1: resultado de 2011-2013 no Demonstrativo de da Execução das Metas Físicas: de 2011 conforme BH(2012d, p.51); de 2012 conforme BH(2013b, p.130), de 2013 conforme BH(2015f, p.145), onde está informado que "Observação a Respeito da Meta: incapacidade operacional e financeira para cumprir a meta anual nessa dimensão, acrescida das dificuldades de implantação das ciclovias em vias com tráfego elevado. Restrição: Erro no dimensionamento da meta".
obs.2: resultados de 2014-2017 no PPAG 2014-2017, conforme BH(2013a1, p.185): subação "Implantação do Projeto Pedala BH", da área de resultado "Cidade com Mobilidade", do programa "Transporte Seguro e Sustentável", da unidade orçamentária "FUNDO MUNICIPAL DE TRANSPORTES URBANOS" (produto: ciclovia implantada, unidade: km, metas anuais de 2014 a 2017)</v>
      </c>
      <c r="G275" s="110" t="str">
        <f>'Q100a-geral'!G785</f>
        <v>meta PBH</v>
      </c>
      <c r="H275" s="167" t="str">
        <f>'Q100a-geral'!H785</f>
        <v>meta/RPI</v>
      </c>
      <c r="I275" s="57" t="str">
        <f>'Q100a-geral'!I785</f>
        <v>x</v>
      </c>
      <c r="J275" s="107" t="str">
        <f>'Q100a-geral'!J785</f>
        <v>x</v>
      </c>
      <c r="K275" s="107" t="str">
        <f>'Q100a-geral'!K785</f>
        <v>x</v>
      </c>
      <c r="L275" s="107" t="str">
        <f>'Q100a-geral'!L785</f>
        <v>x</v>
      </c>
      <c r="M275" s="107" t="str">
        <f>'Q100a-geral'!M785</f>
        <v>x</v>
      </c>
      <c r="N275" s="107" t="str">
        <f>'Q100a-geral'!N785</f>
        <v>x</v>
      </c>
      <c r="O275" s="107" t="str">
        <f>'Q100a-geral'!O785</f>
        <v>x</v>
      </c>
      <c r="P275" s="107" t="str">
        <f>'Q100a-geral'!P785</f>
        <v>x</v>
      </c>
      <c r="Q275" s="107" t="str">
        <f>'Q100a-geral'!Q785</f>
        <v>x</v>
      </c>
      <c r="R275" s="107" t="str">
        <f>'Q100a-geral'!R785</f>
        <v>x</v>
      </c>
      <c r="S275" s="109" t="str">
        <f>'Q100a-geral'!S785</f>
        <v>só para pesquisa</v>
      </c>
      <c r="T275" s="107" t="str">
        <f>'Q100a-geral'!T785</f>
        <v>x</v>
      </c>
      <c r="U275" s="107" t="str">
        <f>'Q100a-geral'!U785</f>
        <v>x</v>
      </c>
      <c r="V275" s="109" t="str">
        <f>'Q100a-geral'!V785</f>
        <v>só para pesquisa</v>
      </c>
      <c r="W275" s="107" t="str">
        <f>'Q100a-geral'!W785</f>
        <v>x</v>
      </c>
      <c r="X275" s="107" t="str">
        <f>'Q100a-geral'!X785</f>
        <v>x</v>
      </c>
      <c r="Y275" s="758"/>
      <c r="Z275" s="758"/>
      <c r="AA275" s="758"/>
      <c r="AB275" s="758"/>
      <c r="AC275" s="758"/>
      <c r="AD275" s="758"/>
      <c r="AE275" s="758"/>
      <c r="AF275" s="758"/>
      <c r="AG275" s="758">
        <f>'Q100a-geral'!AG785</f>
        <v>56</v>
      </c>
      <c r="AH275" s="758">
        <f>'Q100a-geral'!AH785</f>
        <v>110</v>
      </c>
      <c r="AI275" s="758">
        <f>'Q100a-geral'!AI785</f>
        <v>75</v>
      </c>
      <c r="AJ275" s="758">
        <f>'Q100a-geral'!AJ785</f>
        <v>21</v>
      </c>
      <c r="AK275" s="758">
        <f>'Q100a-geral'!AK785</f>
        <v>59</v>
      </c>
      <c r="AL275" s="600" t="str">
        <f>'Q100a-geral'!AL785</f>
        <v>x</v>
      </c>
      <c r="AM275" s="758">
        <f>'Q100a-geral'!AM785</f>
        <v>60</v>
      </c>
      <c r="AN275" s="137">
        <f>'Q100a-geral'!AN785</f>
        <v>0</v>
      </c>
      <c r="AO275" s="137" t="str">
        <f>'Q100a-geral'!AO785</f>
        <v>x</v>
      </c>
      <c r="AP275" s="137" t="str">
        <f>'Q100a-geral'!AP785</f>
        <v>x</v>
      </c>
      <c r="AQ275" s="137" t="str">
        <f>'Q100a-geral'!AQ785</f>
        <v>x</v>
      </c>
      <c r="AR275" s="137" t="str">
        <f>'Q100a-geral'!AR785</f>
        <v>x</v>
      </c>
      <c r="AS275" s="137" t="str">
        <f>'Q100a-geral'!AS785</f>
        <v>x</v>
      </c>
      <c r="AT275" s="137" t="str">
        <f>'Q100a-geral'!AT785</f>
        <v>x</v>
      </c>
      <c r="AU275" s="137" t="str">
        <f>'Q100a-geral'!AU785</f>
        <v>x</v>
      </c>
      <c r="AV275" s="137" t="str">
        <f>'Q100a-geral'!AV785</f>
        <v>x</v>
      </c>
      <c r="AW275" s="137" t="str">
        <f>'Q100a-geral'!AW785</f>
        <v>x</v>
      </c>
      <c r="AX275" s="137" t="str">
        <f>'Q100a-geral'!AX785</f>
        <v>x</v>
      </c>
      <c r="AY275" s="137" t="str">
        <f>'Q100a-geral'!AY785</f>
        <v>x</v>
      </c>
      <c r="AZ275" s="137" t="str">
        <f>'Q100a-geral'!AZ785</f>
        <v>x</v>
      </c>
      <c r="BA275" s="137" t="str">
        <f>'Q100a-geral'!BA785</f>
        <v>x</v>
      </c>
      <c r="BB275" s="239" t="str">
        <f>'Q100a-geral'!BB785</f>
        <v>Sistema de bicicletax</v>
      </c>
      <c r="BC275" s="239" t="str">
        <f>'Q100a-geral'!BC785</f>
        <v>Sistema de bicicletaxmeta/RPI</v>
      </c>
      <c r="BD275" s="239" t="str">
        <f>'Q100a-geral'!BD785</f>
        <v>Sistema de bicicletameta/RPI</v>
      </c>
    </row>
    <row r="276" spans="1:56" s="1" customFormat="1" ht="36" customHeight="1" x14ac:dyDescent="0.25">
      <c r="A276" s="275" t="str">
        <f>'Q100a-geral'!A788</f>
        <v>6.2</v>
      </c>
      <c r="B276" s="11" t="str">
        <f>'Q100a-geral'!B788</f>
        <v>Sistema de bicicleta</v>
      </c>
      <c r="C276" s="167" t="str">
        <f>'Q100a-geral'!C788</f>
        <v>x</v>
      </c>
      <c r="D276" s="322" t="str">
        <f>'Q100a-geral'!D788</f>
        <v>EV b por 100 mil habitantes</v>
      </c>
      <c r="E276" s="11" t="str">
        <f>'Q100a-geral'!E788</f>
        <v>Belo Horizonte</v>
      </c>
      <c r="F276" s="445" t="str">
        <f>'Q100a-geral'!F788</f>
        <v>extensão da rede cicloviária por 100 mil habitantes de Belo Horizonte, denominado "taxa de extensão de ciclovias (por 100 mil habitantes)" pelo Observatório da Mobilidade de Belo Horizonte</v>
      </c>
      <c r="G276" s="252" t="str">
        <f>'Q100a-geral'!G788</f>
        <v>EVb / P</v>
      </c>
      <c r="H276" s="173" t="str">
        <f>'Q100a-geral'!H788</f>
        <v>x</v>
      </c>
      <c r="I276" s="57">
        <f>'Q100a-geral'!I788</f>
        <v>1</v>
      </c>
      <c r="J276" s="107" t="str">
        <f>'Q100a-geral'!J788</f>
        <v>x</v>
      </c>
      <c r="K276" s="58" t="str">
        <f>'Q100a-geral'!K788</f>
        <v>x</v>
      </c>
      <c r="L276" s="58" t="str">
        <f>'Q100a-geral'!L788</f>
        <v>x</v>
      </c>
      <c r="M276" s="58" t="str">
        <f>'Q100a-geral'!M788</f>
        <v>x</v>
      </c>
      <c r="N276" s="58" t="str">
        <f>'Q100a-geral'!N788</f>
        <v>x</v>
      </c>
      <c r="O276" s="58" t="str">
        <f>'Q100a-geral'!O788</f>
        <v>x</v>
      </c>
      <c r="P276" s="58" t="str">
        <f>'Q100a-geral'!P788</f>
        <v>x</v>
      </c>
      <c r="Q276" s="58" t="str">
        <f>'Q100a-geral'!Q788</f>
        <v>x</v>
      </c>
      <c r="R276" s="58" t="str">
        <f>'Q100a-geral'!R788</f>
        <v>x</v>
      </c>
      <c r="S276" s="107" t="str">
        <f>'Q100a-geral'!S788</f>
        <v>só para pesquisa</v>
      </c>
      <c r="T276" s="58" t="str">
        <f>'Q100a-geral'!T788</f>
        <v>x</v>
      </c>
      <c r="U276" s="58" t="str">
        <f>'Q100a-geral'!U788</f>
        <v>x</v>
      </c>
      <c r="V276" s="107" t="str">
        <f>'Q100a-geral'!V788</f>
        <v>só para pesquisa</v>
      </c>
      <c r="W276" s="58" t="str">
        <f>'Q100a-geral'!W788</f>
        <v>x</v>
      </c>
      <c r="X276" s="58" t="str">
        <f>'Q100a-geral'!X788</f>
        <v>x</v>
      </c>
      <c r="Y276" s="58" t="str">
        <f>'Q100a-geral'!Y788</f>
        <v>x</v>
      </c>
      <c r="Z276" s="58" t="str">
        <f>'Q100a-geral'!Z788</f>
        <v>x</v>
      </c>
      <c r="AA276" s="58" t="str">
        <f>'Q100a-geral'!AA788</f>
        <v>x</v>
      </c>
      <c r="AB276" s="58" t="str">
        <f>'Q100a-geral'!AB788</f>
        <v>x</v>
      </c>
      <c r="AC276" s="58" t="str">
        <f>'Q100a-geral'!AC788</f>
        <v>x</v>
      </c>
      <c r="AD276" s="58" t="str">
        <f>'Q100a-geral'!AD788</f>
        <v>x</v>
      </c>
      <c r="AE276" s="44">
        <f>'Q100a-geral'!AE788</f>
        <v>0.97079976205008778</v>
      </c>
      <c r="AF276" s="23">
        <f>'Q100a-geral'!AF788</f>
        <v>1.0024625802738438</v>
      </c>
      <c r="AG276" s="58">
        <f>'Q100a-geral'!AG788</f>
        <v>1.3375865595814962</v>
      </c>
      <c r="AH276" s="58">
        <f>'Q100a-geral'!AH788</f>
        <v>1.811514806211743</v>
      </c>
      <c r="AI276" s="44">
        <f>'Q100a-geral'!AI788</f>
        <v>2.3891108498224201</v>
      </c>
      <c r="AJ276" s="44">
        <f>'Q100a-geral'!AJ788</f>
        <v>2.8268534215082521</v>
      </c>
      <c r="AK276" s="137">
        <f>'Q100a-geral'!AK788</f>
        <v>3.3277963299137641</v>
      </c>
      <c r="AL276" s="173" t="str">
        <f>'Q100a-geral'!AL788</f>
        <v>x</v>
      </c>
      <c r="AM276" s="137" t="str">
        <f>'Q100a-geral'!AM788</f>
        <v>x</v>
      </c>
      <c r="AN276" s="137" t="str">
        <f>'Q100a-geral'!AN788</f>
        <v>x</v>
      </c>
      <c r="AO276" s="137" t="str">
        <f>'Q100a-geral'!AO788</f>
        <v>x</v>
      </c>
      <c r="AP276" s="137" t="str">
        <f>'Q100a-geral'!AP788</f>
        <v>x</v>
      </c>
      <c r="AQ276" s="137" t="str">
        <f>'Q100a-geral'!AQ788</f>
        <v>x</v>
      </c>
      <c r="AR276" s="137"/>
      <c r="AS276" s="137"/>
      <c r="AT276" s="137"/>
      <c r="AU276" s="137"/>
      <c r="AV276" s="137" t="str">
        <f>'Q100a-geral'!AV788</f>
        <v>x</v>
      </c>
      <c r="AW276" s="137"/>
      <c r="AX276" s="137"/>
      <c r="AY276" s="137"/>
      <c r="AZ276" s="137"/>
      <c r="BA276" s="137" t="str">
        <f>'Q100a-geral'!BA788</f>
        <v>x</v>
      </c>
      <c r="BB276" s="239" t="str">
        <f>'Q100a-geral'!BB788</f>
        <v>Sistema de bicicletax</v>
      </c>
      <c r="BC276" s="239" t="str">
        <f>'Q100a-geral'!BC788</f>
        <v>Sistema de bicicletaxx</v>
      </c>
      <c r="BD276" s="239" t="str">
        <f>'Q100a-geral'!BD788</f>
        <v>Sistema de bicicletax</v>
      </c>
    </row>
    <row r="277" spans="1:56" s="1" customFormat="1" ht="36" customHeight="1" x14ac:dyDescent="0.25">
      <c r="A277" s="275" t="str">
        <f>'Q100a-geral'!A786</f>
        <v>6.2</v>
      </c>
      <c r="B277" s="11" t="str">
        <f>'Q100a-geral'!B786</f>
        <v>Sistema de bicicleta</v>
      </c>
      <c r="C277" s="167" t="str">
        <f>'Q100a-geral'!C786</f>
        <v>x</v>
      </c>
      <c r="D277" s="322" t="str">
        <f>'Q100a-geral'!D786</f>
        <v>EV b (delta PBH)</v>
      </c>
      <c r="E277" s="11" t="str">
        <f>'Q100a-geral'!E786</f>
        <v>Belo Horizonte (PBH)</v>
      </c>
      <c r="F277" s="445" t="str">
        <f>'Q100a-geral'!F786</f>
        <v>acréscimo anual da extensão da rede cicloviária" (em km) de Belo Horizonte na fonte PBH
obs.1: resultados conforme "Demonstrativo de execução das metas físicas" da Prefeitura de Belo Horizonte (subação "implantação do programa Pedala BH"/produto "ciclovia implantada"), quais sejam: de 2011 em BHTRANS(2012d, p.51); de 2012 em BH(2013b, p.130); de 2013 conforme BH(2015f, p.145); de 2014 conforme (BH, 2015e, p.269); de 2015 conforme BH(2016k, p.281)
obs.2: esses resultados deveriam mas não conferem com os de "EV b (delta BHTrans)"</v>
      </c>
      <c r="G277" s="252" t="str">
        <f>'Q100a-geral'!G786</f>
        <v>registro na fonte</v>
      </c>
      <c r="H277" s="173" t="str">
        <f>'Q100a-geral'!H786</f>
        <v>x</v>
      </c>
      <c r="I277" s="57">
        <f>'Q100a-geral'!I786</f>
        <v>1</v>
      </c>
      <c r="J277" s="109" t="str">
        <f>'Q100a-geral'!J786</f>
        <v>x</v>
      </c>
      <c r="K277" s="109" t="str">
        <f>'Q100a-geral'!K786</f>
        <v>x</v>
      </c>
      <c r="L277" s="109" t="str">
        <f>'Q100a-geral'!L786</f>
        <v>x</v>
      </c>
      <c r="M277" s="109" t="str">
        <f>'Q100a-geral'!M786</f>
        <v>x</v>
      </c>
      <c r="N277" s="109" t="str">
        <f>'Q100a-geral'!N786</f>
        <v>x</v>
      </c>
      <c r="O277" s="109" t="str">
        <f>'Q100a-geral'!O786</f>
        <v>x</v>
      </c>
      <c r="P277" s="109" t="str">
        <f>'Q100a-geral'!P786</f>
        <v>x</v>
      </c>
      <c r="Q277" s="109" t="str">
        <f>'Q100a-geral'!Q786</f>
        <v>x</v>
      </c>
      <c r="R277" s="109" t="str">
        <f>'Q100a-geral'!R786</f>
        <v>x</v>
      </c>
      <c r="S277" s="109" t="str">
        <f>'Q100a-geral'!S786</f>
        <v>só para pesquisa</v>
      </c>
      <c r="T277" s="109" t="str">
        <f>'Q100a-geral'!T786</f>
        <v>x</v>
      </c>
      <c r="U277" s="109" t="str">
        <f>'Q100a-geral'!U786</f>
        <v>x</v>
      </c>
      <c r="V277" s="109" t="str">
        <f>'Q100a-geral'!V786</f>
        <v>só para pesquisa</v>
      </c>
      <c r="W277" s="109" t="str">
        <f>'Q100a-geral'!W786</f>
        <v>x</v>
      </c>
      <c r="X277" s="109" t="str">
        <f>'Q100a-geral'!X786</f>
        <v>x</v>
      </c>
      <c r="Y277" s="109" t="str">
        <f>'Q100a-geral'!Y786</f>
        <v>x</v>
      </c>
      <c r="Z277" s="109" t="str">
        <f>'Q100a-geral'!Z786</f>
        <v>x</v>
      </c>
      <c r="AA277" s="109" t="str">
        <f>'Q100a-geral'!AA786</f>
        <v>x</v>
      </c>
      <c r="AB277" s="109" t="str">
        <f>'Q100a-geral'!AB786</f>
        <v>x</v>
      </c>
      <c r="AC277" s="109" t="str">
        <f>'Q100a-geral'!AC786</f>
        <v>x</v>
      </c>
      <c r="AD277" s="109" t="str">
        <f>'Q100a-geral'!AD786</f>
        <v>x</v>
      </c>
      <c r="AE277" s="109" t="str">
        <f>'Q100a-geral'!AE786</f>
        <v>x</v>
      </c>
      <c r="AF277" s="109" t="str">
        <f>'Q100a-geral'!AF786</f>
        <v>x</v>
      </c>
      <c r="AG277" s="109">
        <f>'Q100a-geral'!AG786</f>
        <v>0</v>
      </c>
      <c r="AH277" s="109">
        <f>'Q100a-geral'!AH786</f>
        <v>13.89</v>
      </c>
      <c r="AI277" s="109">
        <f>'Q100a-geral'!AI786</f>
        <v>15.8</v>
      </c>
      <c r="AJ277" s="85">
        <f>'Q100a-geral'!AJ786</f>
        <v>11.19</v>
      </c>
      <c r="AK277" s="137">
        <f>'Q100a-geral'!AK786</f>
        <v>12.86</v>
      </c>
      <c r="AL277" s="173" t="str">
        <f>'Q100a-geral'!AL786</f>
        <v>x</v>
      </c>
      <c r="AM277" s="137" t="str">
        <f>'Q100a-geral'!AM786</f>
        <v>x</v>
      </c>
      <c r="AN277" s="137" t="str">
        <f>'Q100a-geral'!AN786</f>
        <v>x</v>
      </c>
      <c r="AO277" s="137" t="str">
        <f>'Q100a-geral'!AO786</f>
        <v>x</v>
      </c>
      <c r="AP277" s="137" t="str">
        <f>'Q100a-geral'!AP786</f>
        <v>x</v>
      </c>
      <c r="AQ277" s="137" t="str">
        <f>'Q100a-geral'!AQ786</f>
        <v>x</v>
      </c>
      <c r="AR277" s="137"/>
      <c r="AS277" s="137"/>
      <c r="AT277" s="137"/>
      <c r="AU277" s="137"/>
      <c r="AV277" s="137" t="str">
        <f>'Q100a-geral'!AV786</f>
        <v>x</v>
      </c>
      <c r="AW277" s="137"/>
      <c r="AX277" s="137"/>
      <c r="AY277" s="137"/>
      <c r="AZ277" s="137"/>
      <c r="BA277" s="137" t="str">
        <f>'Q100a-geral'!BA786</f>
        <v>x</v>
      </c>
      <c r="BB277" s="239" t="str">
        <f>'Q100a-geral'!BB786</f>
        <v>Sistema de bicicletax</v>
      </c>
      <c r="BC277" s="239" t="str">
        <f>'Q100a-geral'!BC786</f>
        <v>Sistema de bicicletaxx</v>
      </c>
      <c r="BD277" s="239" t="str">
        <f>'Q100a-geral'!BD786</f>
        <v>Sistema de bicicletax</v>
      </c>
    </row>
    <row r="278" spans="1:56" s="1" customFormat="1" ht="112.5" x14ac:dyDescent="0.25">
      <c r="A278" s="275" t="str">
        <f>'Q100a-geral'!A785</f>
        <v>6.2</v>
      </c>
      <c r="B278" s="11" t="str">
        <f>'Q100a-geral'!B785</f>
        <v>Sistema de bicicleta</v>
      </c>
      <c r="C278" s="167" t="str">
        <f>'Q100a-geral'!C785</f>
        <v>x</v>
      </c>
      <c r="D278" s="322" t="str">
        <f>'Q100a-geral'!D785</f>
        <v>EV b
(meta delta)</v>
      </c>
      <c r="E278" s="11" t="str">
        <f>'Q100a-geral'!E785</f>
        <v>Belo Horizonte (PBH)</v>
      </c>
      <c r="F278" s="445" t="str">
        <f>'Q100a-geral'!F785</f>
        <v>meta estabelecida pela PBH para a expansão anual da rede cicloviária de Belo Horizonte 
obs.1: resultado de 2011-2013 no Demonstrativo de da Execução das Metas Físicas: de 2011 conforme BH(2012d, p.51); de 2012 conforme BH(2013b, p.130), de 2013 conforme BH(2015f, p.145), onde está informado que "Observação a Respeito da Meta: incapacidade operacional e financeira para cumprir a meta anual nessa dimensão, acrescida das dificuldades de implantação das ciclovias em vias com tráfego elevado. Restrição: Erro no dimensionamento da meta".
obs.2: resultados de 2014-2017 no PPAG 2014-2017, conforme BH(2013a1, p.185): subação "Implantação do Projeto Pedala BH", da área de resultado "Cidade com Mobilidade", do programa "Transporte Seguro e Sustentável", da unidade orçamentária "FUNDO MUNICIPAL DE TRANSPORTES URBANOS" (produto: ciclovia implantada, unidade: km, metas anuais de 2014 a 2017)</v>
      </c>
      <c r="G278" s="252" t="str">
        <f>'Q100a-geral'!G785</f>
        <v>meta PBH</v>
      </c>
      <c r="H278" s="173" t="str">
        <f>'Q100a-geral'!H785</f>
        <v>meta/RPI</v>
      </c>
      <c r="I278" s="57" t="str">
        <f>'Q100a-geral'!I785</f>
        <v>x</v>
      </c>
      <c r="J278" s="137" t="str">
        <f>'Q100a-geral'!J785</f>
        <v>x</v>
      </c>
      <c r="K278" s="137" t="str">
        <f>'Q100a-geral'!K785</f>
        <v>x</v>
      </c>
      <c r="L278" s="137" t="str">
        <f>'Q100a-geral'!L785</f>
        <v>x</v>
      </c>
      <c r="M278" s="137" t="str">
        <f>'Q100a-geral'!M785</f>
        <v>x</v>
      </c>
      <c r="N278" s="137" t="str">
        <f>'Q100a-geral'!N785</f>
        <v>x</v>
      </c>
      <c r="O278" s="137" t="str">
        <f>'Q100a-geral'!O785</f>
        <v>x</v>
      </c>
      <c r="P278" s="137" t="str">
        <f>'Q100a-geral'!P785</f>
        <v>x</v>
      </c>
      <c r="Q278" s="137" t="str">
        <f>'Q100a-geral'!Q785</f>
        <v>x</v>
      </c>
      <c r="R278" s="137" t="str">
        <f>'Q100a-geral'!R785</f>
        <v>x</v>
      </c>
      <c r="S278" s="107" t="str">
        <f>'Q100a-geral'!S785</f>
        <v>só para pesquisa</v>
      </c>
      <c r="T278" s="137" t="str">
        <f>'Q100a-geral'!T785</f>
        <v>x</v>
      </c>
      <c r="U278" s="137" t="str">
        <f>'Q100a-geral'!U785</f>
        <v>x</v>
      </c>
      <c r="V278" s="107" t="str">
        <f>'Q100a-geral'!V785</f>
        <v>só para pesquisa</v>
      </c>
      <c r="W278" s="137" t="str">
        <f>'Q100a-geral'!W785</f>
        <v>x</v>
      </c>
      <c r="X278" s="137" t="str">
        <f>'Q100a-geral'!X785</f>
        <v>x</v>
      </c>
      <c r="Y278" s="137" t="str">
        <f>'Q100a-geral'!Y785</f>
        <v>x</v>
      </c>
      <c r="Z278" s="137" t="str">
        <f>'Q100a-geral'!Z785</f>
        <v>x</v>
      </c>
      <c r="AA278" s="137" t="str">
        <f>'Q100a-geral'!AA785</f>
        <v>x</v>
      </c>
      <c r="AB278" s="137" t="str">
        <f>'Q100a-geral'!AB785</f>
        <v>x</v>
      </c>
      <c r="AC278" s="137" t="str">
        <f>'Q100a-geral'!AC785</f>
        <v>x</v>
      </c>
      <c r="AD278" s="137" t="str">
        <f>'Q100a-geral'!AD785</f>
        <v>x</v>
      </c>
      <c r="AE278" s="137" t="str">
        <f>'Q100a-geral'!AE785</f>
        <v>x</v>
      </c>
      <c r="AF278" s="137" t="str">
        <f>'Q100a-geral'!AF785</f>
        <v>x</v>
      </c>
      <c r="AG278" s="137">
        <f>'Q100a-geral'!AG785</f>
        <v>56</v>
      </c>
      <c r="AH278" s="137">
        <f>'Q100a-geral'!AH785</f>
        <v>110</v>
      </c>
      <c r="AI278" s="137">
        <f>'Q100a-geral'!AI785</f>
        <v>75</v>
      </c>
      <c r="AJ278" s="84">
        <f>'Q100a-geral'!AJ785</f>
        <v>21</v>
      </c>
      <c r="AK278" s="84">
        <f>'Q100a-geral'!AK785</f>
        <v>59</v>
      </c>
      <c r="AL278" s="173" t="str">
        <f>'Q100a-geral'!AL785</f>
        <v>x</v>
      </c>
      <c r="AM278" s="84">
        <f>'Q100a-geral'!AM785</f>
        <v>60</v>
      </c>
      <c r="AN278" s="84">
        <f>'Q100a-geral'!AN785</f>
        <v>0</v>
      </c>
      <c r="AO278" s="137" t="str">
        <f>'Q100a-geral'!AO785</f>
        <v>x</v>
      </c>
      <c r="AP278" s="137" t="str">
        <f>'Q100a-geral'!AP785</f>
        <v>x</v>
      </c>
      <c r="AQ278" s="137" t="str">
        <f>'Q100a-geral'!AQ785</f>
        <v>x</v>
      </c>
      <c r="AR278" s="137"/>
      <c r="AS278" s="137"/>
      <c r="AT278" s="137"/>
      <c r="AU278" s="137"/>
      <c r="AV278" s="137" t="str">
        <f>'Q100a-geral'!AV785</f>
        <v>x</v>
      </c>
      <c r="AW278" s="137"/>
      <c r="AX278" s="137"/>
      <c r="AY278" s="137"/>
      <c r="AZ278" s="137"/>
      <c r="BA278" s="137" t="str">
        <f>'Q100a-geral'!BA785</f>
        <v>x</v>
      </c>
      <c r="BB278" s="239" t="str">
        <f>'Q100a-geral'!BB785</f>
        <v>Sistema de bicicletax</v>
      </c>
      <c r="BC278" s="239" t="str">
        <f>'Q100a-geral'!BC785</f>
        <v>Sistema de bicicletaxmeta/RPI</v>
      </c>
      <c r="BD278" s="239" t="str">
        <f>'Q100a-geral'!BD785</f>
        <v>Sistema de bicicletameta/RPI</v>
      </c>
    </row>
    <row r="279" spans="1:56" s="1" customFormat="1" ht="48" customHeight="1" x14ac:dyDescent="0.25">
      <c r="A279" s="275" t="str">
        <f>'Q100a-geral'!A791</f>
        <v>6.2</v>
      </c>
      <c r="B279" s="11" t="str">
        <f>'Q100a-geral'!B791</f>
        <v>Sistema de bicicleta</v>
      </c>
      <c r="C279" s="167" t="str">
        <f>'Q100a-geral'!C791</f>
        <v>x</v>
      </c>
      <c r="D279" s="322" t="str">
        <f>'Q100a-geral'!D791</f>
        <v>EV b
(eficácia)</v>
      </c>
      <c r="E279" s="11" t="str">
        <f>'Q100a-geral'!E791</f>
        <v>Belo Horizonte</v>
      </c>
      <c r="F279" s="445" t="str">
        <f>'Q100a-geral'!F791</f>
        <v>índice de eficácia do resultado de "EV b (informado pela PBH) de Belo Horizonte em relação à meta estabelecida pela PBH
obs.: resultados da fórmula confirmados: de 2014 em BH(2015e, p.269); de 2015 em BH(2016k, p.281)</v>
      </c>
      <c r="G279" s="11" t="str">
        <f>'Q100a-geral'!G791</f>
        <v>meta BHTrans
( (Evb (delta 2) / EVb meta) ) x 100</v>
      </c>
      <c r="H279" s="173" t="str">
        <f>'Q100a-geral'!H791</f>
        <v>meta/RPI</v>
      </c>
      <c r="I279" s="57" t="str">
        <f>'Q100a-geral'!I791</f>
        <v>x</v>
      </c>
      <c r="J279" s="137" t="str">
        <f>'Q100a-geral'!J791</f>
        <v>x</v>
      </c>
      <c r="K279" s="137" t="str">
        <f>'Q100a-geral'!K791</f>
        <v>x</v>
      </c>
      <c r="L279" s="137" t="str">
        <f>'Q100a-geral'!L791</f>
        <v>x</v>
      </c>
      <c r="M279" s="137" t="str">
        <f>'Q100a-geral'!M791</f>
        <v>x</v>
      </c>
      <c r="N279" s="137" t="str">
        <f>'Q100a-geral'!N791</f>
        <v>x</v>
      </c>
      <c r="O279" s="137" t="str">
        <f>'Q100a-geral'!O791</f>
        <v>x</v>
      </c>
      <c r="P279" s="137" t="str">
        <f>'Q100a-geral'!P791</f>
        <v>x</v>
      </c>
      <c r="Q279" s="137" t="str">
        <f>'Q100a-geral'!Q791</f>
        <v>x</v>
      </c>
      <c r="R279" s="137" t="str">
        <f>'Q100a-geral'!R791</f>
        <v>x</v>
      </c>
      <c r="S279" s="107" t="str">
        <f>'Q100a-geral'!S791</f>
        <v>só para pesquisa</v>
      </c>
      <c r="T279" s="137" t="str">
        <f>'Q100a-geral'!T791</f>
        <v>x</v>
      </c>
      <c r="U279" s="137" t="str">
        <f>'Q100a-geral'!U791</f>
        <v>x</v>
      </c>
      <c r="V279" s="107" t="str">
        <f>'Q100a-geral'!V791</f>
        <v>só para pesquisa</v>
      </c>
      <c r="W279" s="137" t="str">
        <f>'Q100a-geral'!W791</f>
        <v>x</v>
      </c>
      <c r="X279" s="137" t="str">
        <f>'Q100a-geral'!X791</f>
        <v>x</v>
      </c>
      <c r="Y279" s="137" t="str">
        <f>'Q100a-geral'!Y791</f>
        <v>x</v>
      </c>
      <c r="Z279" s="137" t="str">
        <f>'Q100a-geral'!Z791</f>
        <v>x</v>
      </c>
      <c r="AA279" s="137" t="str">
        <f>'Q100a-geral'!AA791</f>
        <v>x</v>
      </c>
      <c r="AB279" s="137" t="str">
        <f>'Q100a-geral'!AB791</f>
        <v>x</v>
      </c>
      <c r="AC279" s="137" t="str">
        <f>'Q100a-geral'!AC791</f>
        <v>x</v>
      </c>
      <c r="AD279" s="137" t="str">
        <f>'Q100a-geral'!AD791</f>
        <v>x</v>
      </c>
      <c r="AE279" s="137" t="str">
        <f>'Q100a-geral'!AE791</f>
        <v>x</v>
      </c>
      <c r="AF279" s="137" t="str">
        <f>'Q100a-geral'!AF791</f>
        <v>x</v>
      </c>
      <c r="AG279" s="137">
        <f>'Q100a-geral'!AG791</f>
        <v>0</v>
      </c>
      <c r="AH279" s="137">
        <f>'Q100a-geral'!AH791</f>
        <v>0.12627272727272729</v>
      </c>
      <c r="AI279" s="137">
        <f>'Q100a-geral'!AI791</f>
        <v>0.21066666666666667</v>
      </c>
      <c r="AJ279" s="47">
        <f>'Q100a-geral'!AJ791</f>
        <v>0.53285714285714281</v>
      </c>
      <c r="AK279" s="137">
        <f>'Q100a-geral'!AK791</f>
        <v>0.21796610169491523</v>
      </c>
      <c r="AL279" s="173" t="str">
        <f>'Q100a-geral'!AL791</f>
        <v>x</v>
      </c>
      <c r="AM279" s="137" t="str">
        <f>'Q100a-geral'!AM791</f>
        <v>x</v>
      </c>
      <c r="AN279" s="137" t="str">
        <f>'Q100a-geral'!AN791</f>
        <v>x</v>
      </c>
      <c r="AO279" s="137" t="str">
        <f>'Q100a-geral'!AO791</f>
        <v>x</v>
      </c>
      <c r="AP279" s="137" t="str">
        <f>'Q100a-geral'!AP791</f>
        <v>x</v>
      </c>
      <c r="AQ279" s="137" t="str">
        <f>'Q100a-geral'!AQ791</f>
        <v>x</v>
      </c>
      <c r="AR279" s="137"/>
      <c r="AS279" s="137"/>
      <c r="AT279" s="137"/>
      <c r="AU279" s="137"/>
      <c r="AV279" s="137" t="str">
        <f>'Q100a-geral'!AV791</f>
        <v>x</v>
      </c>
      <c r="AW279" s="137"/>
      <c r="AX279" s="137"/>
      <c r="AY279" s="137"/>
      <c r="AZ279" s="137"/>
      <c r="BA279" s="137" t="str">
        <f>'Q100a-geral'!BA791</f>
        <v>x</v>
      </c>
      <c r="BB279" s="239" t="str">
        <f>'Q100a-geral'!BB791</f>
        <v>Sistema de bicicletax</v>
      </c>
      <c r="BC279" s="239" t="str">
        <f>'Q100a-geral'!BC791</f>
        <v>Sistema de bicicletaxmeta/RPI</v>
      </c>
      <c r="BD279" s="239" t="str">
        <f>'Q100a-geral'!BD791</f>
        <v>Sistema de bicicletameta/RPI</v>
      </c>
    </row>
    <row r="280" spans="1:56" s="1" customFormat="1" ht="63.75" customHeight="1" x14ac:dyDescent="0.25">
      <c r="A280" s="275" t="str">
        <f>'Q100a-geral'!A796</f>
        <v>2.3</v>
      </c>
      <c r="B280" s="11" t="str">
        <f>'Q100a-geral'!B796</f>
        <v>Rede viária</v>
      </c>
      <c r="C280" s="167" t="str">
        <f>'Q100a-geral'!C796</f>
        <v>x</v>
      </c>
      <c r="D280" s="9" t="str">
        <f>'Q100a-geral'!D796</f>
        <v>EV tc</v>
      </c>
      <c r="E280" s="5" t="str">
        <f>'Q100a-geral'!E796</f>
        <v>Belo Horizonte</v>
      </c>
      <c r="F280" s="448" t="str">
        <f>'Q100a-geral'!F796</f>
        <v>extensão viária municipal utilizada pelo transporte coletivo gerenciado pela BHTrans (em km), apurada para cada uma das 10 regiões do município (Centro, Sul, Oeste, Barreiro, Noroeste, Pampulha, Venda Nova, Norte, Nordeste, Leste) e para seu conjunto</v>
      </c>
      <c r="G280" s="5" t="str">
        <f>'Q100a-geral'!G796</f>
        <v>EV tc = EVtc ligação regional + EV tc arterial + EV tc coletora + EV tc local</v>
      </c>
      <c r="H280" s="173" t="str">
        <f>'Q100a-geral'!H796</f>
        <v>x</v>
      </c>
      <c r="I280" s="57">
        <f>'Q100a-geral'!I796</f>
        <v>1</v>
      </c>
      <c r="J280" s="107" t="str">
        <f>'Q100a-geral'!J796</f>
        <v>x</v>
      </c>
      <c r="K280" s="58" t="str">
        <f>'Q100a-geral'!K796</f>
        <v>x</v>
      </c>
      <c r="L280" s="58" t="str">
        <f>'Q100a-geral'!L796</f>
        <v>x</v>
      </c>
      <c r="M280" s="58" t="str">
        <f>'Q100a-geral'!M796</f>
        <v>x</v>
      </c>
      <c r="N280" s="58" t="str">
        <f>'Q100a-geral'!N796</f>
        <v>x</v>
      </c>
      <c r="O280" s="58" t="str">
        <f>'Q100a-geral'!O796</f>
        <v>x</v>
      </c>
      <c r="P280" s="58" t="str">
        <f>'Q100a-geral'!P796</f>
        <v>x</v>
      </c>
      <c r="Q280" s="58" t="str">
        <f>'Q100a-geral'!Q796</f>
        <v>x</v>
      </c>
      <c r="R280" s="58" t="str">
        <f>'Q100a-geral'!R796</f>
        <v>x</v>
      </c>
      <c r="S280" s="107" t="str">
        <f>'Q100a-geral'!S796</f>
        <v>só para pesquisa</v>
      </c>
      <c r="T280" s="58" t="str">
        <f>'Q100a-geral'!T796</f>
        <v>x</v>
      </c>
      <c r="U280" s="58" t="str">
        <f>'Q100a-geral'!U796</f>
        <v>x</v>
      </c>
      <c r="V280" s="107" t="str">
        <f>'Q100a-geral'!V796</f>
        <v>só para pesquisa</v>
      </c>
      <c r="W280" s="58" t="str">
        <f>'Q100a-geral'!W796</f>
        <v>x</v>
      </c>
      <c r="X280" s="58" t="str">
        <f>'Q100a-geral'!X796</f>
        <v>x</v>
      </c>
      <c r="Y280" s="58" t="str">
        <f>'Q100a-geral'!Y796</f>
        <v>x</v>
      </c>
      <c r="Z280" s="58" t="str">
        <f>'Q100a-geral'!Z796</f>
        <v>x</v>
      </c>
      <c r="AA280" s="58" t="str">
        <f>'Q100a-geral'!AA796</f>
        <v>x</v>
      </c>
      <c r="AB280" s="58" t="str">
        <f>'Q100a-geral'!AB796</f>
        <v>x</v>
      </c>
      <c r="AC280" s="58" t="str">
        <f>'Q100a-geral'!AC796</f>
        <v>x</v>
      </c>
      <c r="AD280" s="58" t="str">
        <f>'Q100a-geral'!AD796</f>
        <v>x</v>
      </c>
      <c r="AE280" s="58" t="str">
        <f>'Q100a-geral'!AE796</f>
        <v>x</v>
      </c>
      <c r="AF280" s="22">
        <f>'Q100a-geral'!AF796</f>
        <v>1414.1299999999999</v>
      </c>
      <c r="AG280" s="58" t="str">
        <f>'Q100a-geral'!AG796</f>
        <v>x</v>
      </c>
      <c r="AH280" s="58" t="str">
        <f>'Q100a-geral'!AH796</f>
        <v>x</v>
      </c>
      <c r="AI280" s="58" t="str">
        <f>'Q100a-geral'!AI796</f>
        <v>x</v>
      </c>
      <c r="AJ280" s="58" t="str">
        <f>'Q100a-geral'!AJ796</f>
        <v>x</v>
      </c>
      <c r="AK280" s="137" t="str">
        <f>'Q100a-geral'!AK796</f>
        <v>x</v>
      </c>
      <c r="AL280" s="173" t="str">
        <f>'Q100a-geral'!AL796</f>
        <v>x</v>
      </c>
      <c r="AM280" s="137" t="str">
        <f>'Q100a-geral'!AM796</f>
        <v>x</v>
      </c>
      <c r="AN280" s="137" t="str">
        <f>'Q100a-geral'!AN796</f>
        <v>x</v>
      </c>
      <c r="AO280" s="137" t="str">
        <f>'Q100a-geral'!AO796</f>
        <v>x</v>
      </c>
      <c r="AP280" s="137" t="str">
        <f>'Q100a-geral'!AP796</f>
        <v>x</v>
      </c>
      <c r="AQ280" s="137" t="str">
        <f>'Q100a-geral'!AQ796</f>
        <v>x</v>
      </c>
      <c r="AR280" s="137"/>
      <c r="AS280" s="137"/>
      <c r="AT280" s="137"/>
      <c r="AU280" s="137"/>
      <c r="AV280" s="137" t="str">
        <f>'Q100a-geral'!AV796</f>
        <v>x</v>
      </c>
      <c r="AW280" s="137"/>
      <c r="AX280" s="137"/>
      <c r="AY280" s="137"/>
      <c r="AZ280" s="137"/>
      <c r="BA280" s="137" t="str">
        <f>'Q100a-geral'!BA796</f>
        <v>x</v>
      </c>
      <c r="BB280" s="239" t="str">
        <f>'Q100a-geral'!BB796</f>
        <v>Rede viáriax</v>
      </c>
      <c r="BC280" s="239" t="str">
        <f>'Q100a-geral'!BC796</f>
        <v>Rede viáriaxx</v>
      </c>
      <c r="BD280" s="239" t="str">
        <f>'Q100a-geral'!BD796</f>
        <v>Rede viáriax</v>
      </c>
    </row>
    <row r="281" spans="1:56" s="1" customFormat="1" ht="78.75" customHeight="1" x14ac:dyDescent="0.25">
      <c r="A281" s="275" t="str">
        <f>'Q100a-geral'!A797</f>
        <v>2.3</v>
      </c>
      <c r="B281" s="11" t="str">
        <f>'Q100a-geral'!B797</f>
        <v>Rede viária</v>
      </c>
      <c r="C281" s="167" t="str">
        <f>'Q100a-geral'!C797</f>
        <v>x</v>
      </c>
      <c r="D281" s="9" t="str">
        <f>'Q100a-geral'!D797</f>
        <v>EVtc/EV
EV tc (%)</v>
      </c>
      <c r="E281" s="5" t="str">
        <f>'Q100a-geral'!E797</f>
        <v>Belo Horizonte</v>
      </c>
      <c r="F281" s="448" t="str">
        <f>'Q100a-geral'!F797</f>
        <v>percentual da extensão viária municipal utilizada pelo transporte coletivo em relação à extensão viária total do município de Belo Horizonte</v>
      </c>
      <c r="G281" s="5" t="str">
        <f>'Q100a-geral'!G797</f>
        <v>(EVtc/EV) x 100</v>
      </c>
      <c r="H281" s="173" t="str">
        <f>'Q100a-geral'!H797</f>
        <v>x</v>
      </c>
      <c r="I281" s="57">
        <f>'Q100a-geral'!I797</f>
        <v>1</v>
      </c>
      <c r="J281" s="107" t="str">
        <f>'Q100a-geral'!J797</f>
        <v>x</v>
      </c>
      <c r="K281" s="58" t="str">
        <f>'Q100a-geral'!K797</f>
        <v>x</v>
      </c>
      <c r="L281" s="58" t="str">
        <f>'Q100a-geral'!L797</f>
        <v>x</v>
      </c>
      <c r="M281" s="58" t="str">
        <f>'Q100a-geral'!M797</f>
        <v>x</v>
      </c>
      <c r="N281" s="58" t="str">
        <f>'Q100a-geral'!N797</f>
        <v>x</v>
      </c>
      <c r="O281" s="58" t="str">
        <f>'Q100a-geral'!O797</f>
        <v>x</v>
      </c>
      <c r="P281" s="58" t="str">
        <f>'Q100a-geral'!P797</f>
        <v>x</v>
      </c>
      <c r="Q281" s="58" t="str">
        <f>'Q100a-geral'!Q797</f>
        <v>x</v>
      </c>
      <c r="R281" s="58" t="str">
        <f>'Q100a-geral'!R797</f>
        <v>x</v>
      </c>
      <c r="S281" s="107" t="str">
        <f>'Q100a-geral'!S797</f>
        <v>só para pesquisa</v>
      </c>
      <c r="T281" s="58" t="str">
        <f>'Q100a-geral'!T797</f>
        <v>x</v>
      </c>
      <c r="U281" s="58" t="str">
        <f>'Q100a-geral'!U797</f>
        <v>x</v>
      </c>
      <c r="V281" s="107" t="str">
        <f>'Q100a-geral'!V797</f>
        <v>só para pesquisa</v>
      </c>
      <c r="W281" s="58" t="str">
        <f>'Q100a-geral'!W797</f>
        <v>x</v>
      </c>
      <c r="X281" s="58" t="str">
        <f>'Q100a-geral'!X797</f>
        <v>x</v>
      </c>
      <c r="Y281" s="58" t="str">
        <f>'Q100a-geral'!Y797</f>
        <v>x</v>
      </c>
      <c r="Z281" s="58" t="str">
        <f>'Q100a-geral'!Z797</f>
        <v>x</v>
      </c>
      <c r="AA281" s="58" t="str">
        <f>'Q100a-geral'!AA797</f>
        <v>x</v>
      </c>
      <c r="AB281" s="58" t="str">
        <f>'Q100a-geral'!AB797</f>
        <v>x</v>
      </c>
      <c r="AC281" s="58" t="str">
        <f>'Q100a-geral'!AC797</f>
        <v>x</v>
      </c>
      <c r="AD281" s="58" t="str">
        <f>'Q100a-geral'!AD797</f>
        <v>x</v>
      </c>
      <c r="AE281" s="58" t="str">
        <f>'Q100a-geral'!AE797</f>
        <v>x</v>
      </c>
      <c r="AF281" s="21">
        <f>'Q100a-geral'!AF797</f>
        <v>0.31223545776708134</v>
      </c>
      <c r="AG281" s="58" t="str">
        <f>'Q100a-geral'!AG797</f>
        <v>x</v>
      </c>
      <c r="AH281" s="58" t="str">
        <f>'Q100a-geral'!AH797</f>
        <v>x</v>
      </c>
      <c r="AI281" s="58" t="str">
        <f>'Q100a-geral'!AI797</f>
        <v>x</v>
      </c>
      <c r="AJ281" s="58" t="str">
        <f>'Q100a-geral'!AJ797</f>
        <v>x</v>
      </c>
      <c r="AK281" s="137" t="str">
        <f>'Q100a-geral'!AK797</f>
        <v>x</v>
      </c>
      <c r="AL281" s="173" t="str">
        <f>'Q100a-geral'!AL797</f>
        <v>x</v>
      </c>
      <c r="AM281" s="137" t="str">
        <f>'Q100a-geral'!AM797</f>
        <v>x</v>
      </c>
      <c r="AN281" s="137" t="str">
        <f>'Q100a-geral'!AN797</f>
        <v>x</v>
      </c>
      <c r="AO281" s="137" t="str">
        <f>'Q100a-geral'!AO797</f>
        <v>x</v>
      </c>
      <c r="AP281" s="137" t="str">
        <f>'Q100a-geral'!AP797</f>
        <v>x</v>
      </c>
      <c r="AQ281" s="137" t="str">
        <f>'Q100a-geral'!AQ797</f>
        <v>x</v>
      </c>
      <c r="AR281" s="137"/>
      <c r="AS281" s="137"/>
      <c r="AT281" s="137"/>
      <c r="AU281" s="137"/>
      <c r="AV281" s="137" t="str">
        <f>'Q100a-geral'!AV797</f>
        <v>x</v>
      </c>
      <c r="AW281" s="137"/>
      <c r="AX281" s="137"/>
      <c r="AY281" s="137"/>
      <c r="AZ281" s="137"/>
      <c r="BA281" s="137" t="str">
        <f>'Q100a-geral'!BA797</f>
        <v>x</v>
      </c>
      <c r="BB281" s="239" t="str">
        <f>'Q100a-geral'!BB797</f>
        <v>Rede viáriax</v>
      </c>
      <c r="BC281" s="239" t="str">
        <f>'Q100a-geral'!BC797</f>
        <v>Rede viáriaxx</v>
      </c>
      <c r="BD281" s="239" t="str">
        <f>'Q100a-geral'!BD797</f>
        <v>Rede viáriax</v>
      </c>
    </row>
    <row r="282" spans="1:56" s="1" customFormat="1" ht="76.5" customHeight="1" x14ac:dyDescent="0.25">
      <c r="A282" s="275" t="str">
        <f>'Q100a-geral'!A798</f>
        <v>2.3</v>
      </c>
      <c r="B282" s="11" t="str">
        <f>'Q100a-geral'!B798</f>
        <v>Rede viária</v>
      </c>
      <c r="C282" s="167" t="str">
        <f>'Q100a-geral'!C798</f>
        <v>x</v>
      </c>
      <c r="D282" s="9" t="str">
        <f>'Q100a-geral'!D798</f>
        <v>EV tc arterial</v>
      </c>
      <c r="E282" s="5" t="str">
        <f>'Q100a-geral'!E798</f>
        <v>Belo Horizonte</v>
      </c>
      <c r="F282" s="448" t="str">
        <f>'Q100a-geral'!F798</f>
        <v>extensão total do sistema viário arterial utilizado pelo transporte coletivo gerenciado pela BHTrans (em km), calculada pela soma das vias arteriais do tipo central, primária e secundária, apurada para cada uma das 10 regiões do município (Centro, Sul, Oeste, Barreiro, Noroeste, Pampulha, Venda Nova, Norte, Nordeste, Leste) e para seu conjunto  (BHTRANS, 2011c)</v>
      </c>
      <c r="G282" s="5" t="str">
        <f>'Q100a-geral'!G798</f>
        <v>registro da fonte
(arterial central + arterial primária + arterial secundária)</v>
      </c>
      <c r="H282" s="173" t="str">
        <f>'Q100a-geral'!H798</f>
        <v>x</v>
      </c>
      <c r="I282" s="57">
        <f>'Q100a-geral'!I798</f>
        <v>1</v>
      </c>
      <c r="J282" s="107" t="str">
        <f>'Q100a-geral'!J798</f>
        <v>x</v>
      </c>
      <c r="K282" s="93" t="str">
        <f>'Q100a-geral'!K798</f>
        <v>x</v>
      </c>
      <c r="L282" s="93" t="str">
        <f>'Q100a-geral'!L798</f>
        <v>x</v>
      </c>
      <c r="M282" s="93" t="str">
        <f>'Q100a-geral'!M798</f>
        <v>x</v>
      </c>
      <c r="N282" s="93" t="str">
        <f>'Q100a-geral'!N798</f>
        <v>x</v>
      </c>
      <c r="O282" s="93" t="str">
        <f>'Q100a-geral'!O798</f>
        <v>x</v>
      </c>
      <c r="P282" s="93" t="str">
        <f>'Q100a-geral'!P798</f>
        <v>x</v>
      </c>
      <c r="Q282" s="93" t="str">
        <f>'Q100a-geral'!Q798</f>
        <v>x</v>
      </c>
      <c r="R282" s="93" t="str">
        <f>'Q100a-geral'!R798</f>
        <v>x</v>
      </c>
      <c r="S282" s="107" t="str">
        <f>'Q100a-geral'!S798</f>
        <v>só para pesquisa</v>
      </c>
      <c r="T282" s="93" t="str">
        <f>'Q100a-geral'!T798</f>
        <v>x</v>
      </c>
      <c r="U282" s="93" t="str">
        <f>'Q100a-geral'!U798</f>
        <v>x</v>
      </c>
      <c r="V282" s="107" t="str">
        <f>'Q100a-geral'!V798</f>
        <v>só para pesquisa</v>
      </c>
      <c r="W282" s="93" t="str">
        <f>'Q100a-geral'!W798</f>
        <v>x</v>
      </c>
      <c r="X282" s="93" t="str">
        <f>'Q100a-geral'!X798</f>
        <v>x</v>
      </c>
      <c r="Y282" s="93" t="str">
        <f>'Q100a-geral'!Y798</f>
        <v>x</v>
      </c>
      <c r="Z282" s="93" t="str">
        <f>'Q100a-geral'!Z798</f>
        <v>x</v>
      </c>
      <c r="AA282" s="93" t="str">
        <f>'Q100a-geral'!AA798</f>
        <v>x</v>
      </c>
      <c r="AB282" s="93" t="str">
        <f>'Q100a-geral'!AB798</f>
        <v>x</v>
      </c>
      <c r="AC282" s="93" t="str">
        <f>'Q100a-geral'!AC798</f>
        <v>x</v>
      </c>
      <c r="AD282" s="93" t="str">
        <f>'Q100a-geral'!AD798</f>
        <v>x</v>
      </c>
      <c r="AE282" s="93" t="str">
        <f>'Q100a-geral'!AE798</f>
        <v>x</v>
      </c>
      <c r="AF282" s="84">
        <f>'Q100a-geral'!AF798</f>
        <v>364.05</v>
      </c>
      <c r="AG282" s="93" t="str">
        <f>'Q100a-geral'!AG798</f>
        <v>x</v>
      </c>
      <c r="AH282" s="93" t="str">
        <f>'Q100a-geral'!AH798</f>
        <v>x</v>
      </c>
      <c r="AI282" s="93" t="str">
        <f>'Q100a-geral'!AI798</f>
        <v>x</v>
      </c>
      <c r="AJ282" s="93" t="str">
        <f>'Q100a-geral'!AJ798</f>
        <v>x</v>
      </c>
      <c r="AK282" s="137" t="str">
        <f>'Q100a-geral'!AK798</f>
        <v>x</v>
      </c>
      <c r="AL282" s="173" t="str">
        <f>'Q100a-geral'!AL798</f>
        <v>x</v>
      </c>
      <c r="AM282" s="137" t="str">
        <f>'Q100a-geral'!AM798</f>
        <v>x</v>
      </c>
      <c r="AN282" s="137" t="str">
        <f>'Q100a-geral'!AN798</f>
        <v>x</v>
      </c>
      <c r="AO282" s="137" t="str">
        <f>'Q100a-geral'!AO798</f>
        <v>x</v>
      </c>
      <c r="AP282" s="137" t="str">
        <f>'Q100a-geral'!AP798</f>
        <v>x</v>
      </c>
      <c r="AQ282" s="137" t="str">
        <f>'Q100a-geral'!AQ798</f>
        <v>x</v>
      </c>
      <c r="AR282" s="137"/>
      <c r="AS282" s="137"/>
      <c r="AT282" s="137"/>
      <c r="AU282" s="137"/>
      <c r="AV282" s="137" t="str">
        <f>'Q100a-geral'!AV798</f>
        <v>x</v>
      </c>
      <c r="AW282" s="137"/>
      <c r="AX282" s="137"/>
      <c r="AY282" s="137"/>
      <c r="AZ282" s="137"/>
      <c r="BA282" s="137" t="str">
        <f>'Q100a-geral'!BA798</f>
        <v>x</v>
      </c>
      <c r="BB282" s="239" t="str">
        <f>'Q100a-geral'!BB798</f>
        <v>Rede viáriax</v>
      </c>
      <c r="BC282" s="239" t="str">
        <f>'Q100a-geral'!BC798</f>
        <v>Rede viáriaxx</v>
      </c>
      <c r="BD282" s="239" t="str">
        <f>'Q100a-geral'!BD798</f>
        <v>Rede viáriax</v>
      </c>
    </row>
    <row r="283" spans="1:56" s="1" customFormat="1" ht="76.5" customHeight="1" x14ac:dyDescent="0.25">
      <c r="A283" s="275" t="str">
        <f>'Q100a-geral'!A799</f>
        <v>2.3</v>
      </c>
      <c r="B283" s="11" t="str">
        <f>'Q100a-geral'!B799</f>
        <v>Rede viária</v>
      </c>
      <c r="C283" s="167" t="str">
        <f>'Q100a-geral'!C799</f>
        <v>x</v>
      </c>
      <c r="D283" s="322" t="str">
        <f>'Q100a-geral'!D799</f>
        <v>EVtc arterial/EV arterial
% de EV tc arterial</v>
      </c>
      <c r="E283" s="11" t="str">
        <f>'Q100a-geral'!E799</f>
        <v>Belo Horizonte</v>
      </c>
      <c r="F283" s="445" t="str">
        <f>'Q100a-geral'!F799</f>
        <v>percentual da extensão viária arterial municipal utilizada pelo transporte coletivo em relação à extensão viária arterial total do município de Belo Horizonte</v>
      </c>
      <c r="G283" s="5" t="str">
        <f>'Q100a-geral'!G799</f>
        <v>(EVtc arterial / EV arterial) x 100</v>
      </c>
      <c r="H283" s="173" t="str">
        <f>'Q100a-geral'!H799</f>
        <v>x</v>
      </c>
      <c r="I283" s="57">
        <f>'Q100a-geral'!I799</f>
        <v>1</v>
      </c>
      <c r="J283" s="107" t="str">
        <f>'Q100a-geral'!J799</f>
        <v>x</v>
      </c>
      <c r="K283" s="58" t="str">
        <f>'Q100a-geral'!K799</f>
        <v>x</v>
      </c>
      <c r="L283" s="58" t="str">
        <f>'Q100a-geral'!L799</f>
        <v>x</v>
      </c>
      <c r="M283" s="58" t="str">
        <f>'Q100a-geral'!M799</f>
        <v>x</v>
      </c>
      <c r="N283" s="58" t="str">
        <f>'Q100a-geral'!N799</f>
        <v>x</v>
      </c>
      <c r="O283" s="58" t="str">
        <f>'Q100a-geral'!O799</f>
        <v>x</v>
      </c>
      <c r="P283" s="58" t="str">
        <f>'Q100a-geral'!P799</f>
        <v>x</v>
      </c>
      <c r="Q283" s="58" t="str">
        <f>'Q100a-geral'!Q799</f>
        <v>x</v>
      </c>
      <c r="R283" s="58" t="str">
        <f>'Q100a-geral'!R799</f>
        <v>x</v>
      </c>
      <c r="S283" s="107" t="str">
        <f>'Q100a-geral'!S799</f>
        <v>só para pesquisa</v>
      </c>
      <c r="T283" s="58" t="str">
        <f>'Q100a-geral'!T799</f>
        <v>x</v>
      </c>
      <c r="U283" s="58" t="str">
        <f>'Q100a-geral'!U799</f>
        <v>x</v>
      </c>
      <c r="V283" s="107" t="str">
        <f>'Q100a-geral'!V799</f>
        <v>só para pesquisa</v>
      </c>
      <c r="W283" s="58" t="str">
        <f>'Q100a-geral'!W799</f>
        <v>x</v>
      </c>
      <c r="X283" s="58" t="str">
        <f>'Q100a-geral'!X799</f>
        <v>x</v>
      </c>
      <c r="Y283" s="58" t="str">
        <f>'Q100a-geral'!Y799</f>
        <v>x</v>
      </c>
      <c r="Z283" s="58" t="str">
        <f>'Q100a-geral'!Z799</f>
        <v>x</v>
      </c>
      <c r="AA283" s="58" t="str">
        <f>'Q100a-geral'!AA799</f>
        <v>x</v>
      </c>
      <c r="AB283" s="58" t="str">
        <f>'Q100a-geral'!AB799</f>
        <v>x</v>
      </c>
      <c r="AC283" s="58" t="str">
        <f>'Q100a-geral'!AC799</f>
        <v>x</v>
      </c>
      <c r="AD283" s="58" t="str">
        <f>'Q100a-geral'!AD799</f>
        <v>x</v>
      </c>
      <c r="AE283" s="58" t="str">
        <f>'Q100a-geral'!AE799</f>
        <v>x</v>
      </c>
      <c r="AF283" s="21">
        <f>'Q100a-geral'!AF799</f>
        <v>0.73742100145843459</v>
      </c>
      <c r="AG283" s="58" t="str">
        <f>'Q100a-geral'!AG799</f>
        <v>x</v>
      </c>
      <c r="AH283" s="58" t="str">
        <f>'Q100a-geral'!AH799</f>
        <v>x</v>
      </c>
      <c r="AI283" s="58" t="str">
        <f>'Q100a-geral'!AI799</f>
        <v>x</v>
      </c>
      <c r="AJ283" s="58" t="str">
        <f>'Q100a-geral'!AJ799</f>
        <v>x</v>
      </c>
      <c r="AK283" s="137" t="str">
        <f>'Q100a-geral'!AK799</f>
        <v>x</v>
      </c>
      <c r="AL283" s="173" t="str">
        <f>'Q100a-geral'!AL799</f>
        <v>x</v>
      </c>
      <c r="AM283" s="137" t="str">
        <f>'Q100a-geral'!AM799</f>
        <v>x</v>
      </c>
      <c r="AN283" s="137" t="str">
        <f>'Q100a-geral'!AN799</f>
        <v>x</v>
      </c>
      <c r="AO283" s="137" t="str">
        <f>'Q100a-geral'!AO799</f>
        <v>x</v>
      </c>
      <c r="AP283" s="137" t="str">
        <f>'Q100a-geral'!AP799</f>
        <v>x</v>
      </c>
      <c r="AQ283" s="137" t="str">
        <f>'Q100a-geral'!AQ799</f>
        <v>x</v>
      </c>
      <c r="AR283" s="137"/>
      <c r="AS283" s="137"/>
      <c r="AT283" s="137"/>
      <c r="AU283" s="137"/>
      <c r="AV283" s="137" t="str">
        <f>'Q100a-geral'!AV799</f>
        <v>x</v>
      </c>
      <c r="AW283" s="137"/>
      <c r="AX283" s="137"/>
      <c r="AY283" s="137"/>
      <c r="AZ283" s="137"/>
      <c r="BA283" s="137" t="str">
        <f>'Q100a-geral'!BA799</f>
        <v>x</v>
      </c>
      <c r="BB283" s="239" t="str">
        <f>'Q100a-geral'!BB799</f>
        <v>Rede viáriax</v>
      </c>
      <c r="BC283" s="239" t="str">
        <f>'Q100a-geral'!BC799</f>
        <v>Rede viáriaxx</v>
      </c>
      <c r="BD283" s="239" t="str">
        <f>'Q100a-geral'!BD799</f>
        <v>Rede viáriax</v>
      </c>
    </row>
    <row r="284" spans="1:56" s="1" customFormat="1" ht="76.5" customHeight="1" x14ac:dyDescent="0.25">
      <c r="A284" s="275" t="str">
        <f>'Q100a-geral'!A800</f>
        <v>2.3</v>
      </c>
      <c r="B284" s="11" t="str">
        <f>'Q100a-geral'!B800</f>
        <v>Rede viária</v>
      </c>
      <c r="C284" s="167" t="str">
        <f>'Q100a-geral'!C800</f>
        <v>x</v>
      </c>
      <c r="D284" s="322" t="str">
        <f>'Q100a-geral'!D800</f>
        <v>EV tc coletora</v>
      </c>
      <c r="E284" s="11" t="str">
        <f>'Q100a-geral'!E800</f>
        <v>Belo Horizonte</v>
      </c>
      <c r="F284" s="445" t="str">
        <f>'Q100a-geral'!F800</f>
        <v>extensão total do sistema viário coletor utilizado pelo transporte coletivo gerenciado pela BHTrans (em km), calculada pela soma das vias coletoras do tipo primária e secundária, apurada para cada uma das 10 regiões do município (Centro, Sul, Oeste, Barreiro, Noroeste, Pampulha, Venda Nova, Norte, Nordeste, Leste) e para seu conjunto  (BHTRANS, 2011c)</v>
      </c>
      <c r="G284" s="5" t="str">
        <f>'Q100a-geral'!G800</f>
        <v>registro da fonte
(coletora primária + coletora secundária)</v>
      </c>
      <c r="H284" s="173" t="str">
        <f>'Q100a-geral'!H800</f>
        <v>x</v>
      </c>
      <c r="I284" s="57">
        <f>'Q100a-geral'!I800</f>
        <v>1</v>
      </c>
      <c r="J284" s="107" t="str">
        <f>'Q100a-geral'!J800</f>
        <v>x</v>
      </c>
      <c r="K284" s="93" t="str">
        <f>'Q100a-geral'!K800</f>
        <v>x</v>
      </c>
      <c r="L284" s="93" t="str">
        <f>'Q100a-geral'!L800</f>
        <v>x</v>
      </c>
      <c r="M284" s="93" t="str">
        <f>'Q100a-geral'!M800</f>
        <v>x</v>
      </c>
      <c r="N284" s="93" t="str">
        <f>'Q100a-geral'!N800</f>
        <v>x</v>
      </c>
      <c r="O284" s="93" t="str">
        <f>'Q100a-geral'!O800</f>
        <v>x</v>
      </c>
      <c r="P284" s="93" t="str">
        <f>'Q100a-geral'!P800</f>
        <v>x</v>
      </c>
      <c r="Q284" s="93" t="str">
        <f>'Q100a-geral'!Q800</f>
        <v>x</v>
      </c>
      <c r="R284" s="93" t="str">
        <f>'Q100a-geral'!R800</f>
        <v>x</v>
      </c>
      <c r="S284" s="107" t="str">
        <f>'Q100a-geral'!S800</f>
        <v>só para pesquisa</v>
      </c>
      <c r="T284" s="93" t="str">
        <f>'Q100a-geral'!T800</f>
        <v>x</v>
      </c>
      <c r="U284" s="93" t="str">
        <f>'Q100a-geral'!U800</f>
        <v>x</v>
      </c>
      <c r="V284" s="107" t="str">
        <f>'Q100a-geral'!V800</f>
        <v>só para pesquisa</v>
      </c>
      <c r="W284" s="93" t="str">
        <f>'Q100a-geral'!W800</f>
        <v>x</v>
      </c>
      <c r="X284" s="93" t="str">
        <f>'Q100a-geral'!X800</f>
        <v>x</v>
      </c>
      <c r="Y284" s="93" t="str">
        <f>'Q100a-geral'!Y800</f>
        <v>x</v>
      </c>
      <c r="Z284" s="93" t="str">
        <f>'Q100a-geral'!Z800</f>
        <v>x</v>
      </c>
      <c r="AA284" s="93" t="str">
        <f>'Q100a-geral'!AA800</f>
        <v>x</v>
      </c>
      <c r="AB284" s="93" t="str">
        <f>'Q100a-geral'!AB800</f>
        <v>x</v>
      </c>
      <c r="AC284" s="93" t="str">
        <f>'Q100a-geral'!AC800</f>
        <v>x</v>
      </c>
      <c r="AD284" s="93" t="str">
        <f>'Q100a-geral'!AD800</f>
        <v>x</v>
      </c>
      <c r="AE284" s="93" t="str">
        <f>'Q100a-geral'!AE800</f>
        <v>x</v>
      </c>
      <c r="AF284" s="84">
        <f>'Q100a-geral'!AF800</f>
        <v>538.73</v>
      </c>
      <c r="AG284" s="93" t="str">
        <f>'Q100a-geral'!AG800</f>
        <v>x</v>
      </c>
      <c r="AH284" s="93" t="str">
        <f>'Q100a-geral'!AH800</f>
        <v>x</v>
      </c>
      <c r="AI284" s="93" t="str">
        <f>'Q100a-geral'!AI800</f>
        <v>x</v>
      </c>
      <c r="AJ284" s="93" t="str">
        <f>'Q100a-geral'!AJ800</f>
        <v>x</v>
      </c>
      <c r="AK284" s="137" t="str">
        <f>'Q100a-geral'!AK800</f>
        <v>x</v>
      </c>
      <c r="AL284" s="173" t="str">
        <f>'Q100a-geral'!AL800</f>
        <v>x</v>
      </c>
      <c r="AM284" s="137" t="str">
        <f>'Q100a-geral'!AM800</f>
        <v>x</v>
      </c>
      <c r="AN284" s="137" t="str">
        <f>'Q100a-geral'!AN800</f>
        <v>x</v>
      </c>
      <c r="AO284" s="137" t="str">
        <f>'Q100a-geral'!AO800</f>
        <v>x</v>
      </c>
      <c r="AP284" s="137" t="str">
        <f>'Q100a-geral'!AP800</f>
        <v>x</v>
      </c>
      <c r="AQ284" s="137" t="str">
        <f>'Q100a-geral'!AQ800</f>
        <v>x</v>
      </c>
      <c r="AR284" s="137"/>
      <c r="AS284" s="137"/>
      <c r="AT284" s="137"/>
      <c r="AU284" s="137"/>
      <c r="AV284" s="137" t="str">
        <f>'Q100a-geral'!AV800</f>
        <v>x</v>
      </c>
      <c r="AW284" s="137"/>
      <c r="AX284" s="137"/>
      <c r="AY284" s="137"/>
      <c r="AZ284" s="137"/>
      <c r="BA284" s="137" t="str">
        <f>'Q100a-geral'!BA800</f>
        <v>x</v>
      </c>
      <c r="BB284" s="239" t="str">
        <f>'Q100a-geral'!BB800</f>
        <v>Rede viáriax</v>
      </c>
      <c r="BC284" s="239" t="str">
        <f>'Q100a-geral'!BC800</f>
        <v>Rede viáriaxx</v>
      </c>
      <c r="BD284" s="239" t="str">
        <f>'Q100a-geral'!BD800</f>
        <v>Rede viáriax</v>
      </c>
    </row>
    <row r="285" spans="1:56" s="1" customFormat="1" ht="76.5" customHeight="1" x14ac:dyDescent="0.25">
      <c r="A285" s="275" t="str">
        <f>'Q100a-geral'!A801</f>
        <v>2.3</v>
      </c>
      <c r="B285" s="11" t="str">
        <f>'Q100a-geral'!B801</f>
        <v>Rede viária</v>
      </c>
      <c r="C285" s="167" t="str">
        <f>'Q100a-geral'!C801</f>
        <v>x</v>
      </c>
      <c r="D285" s="322" t="str">
        <f>'Q100a-geral'!D801</f>
        <v>EVtc coletora/EV coletora
% de EV tc coletora</v>
      </c>
      <c r="E285" s="11" t="str">
        <f>'Q100a-geral'!E801</f>
        <v>Belo Horizonte</v>
      </c>
      <c r="F285" s="445" t="str">
        <f>'Q100a-geral'!F801</f>
        <v>percentual da extensão viária coletora municipal utilizada pelo transporte coletivo em relação à extensão viária coletora total do município</v>
      </c>
      <c r="G285" s="5" t="str">
        <f>'Q100a-geral'!G801</f>
        <v>(EVtc coletora / EV coletora) x 100</v>
      </c>
      <c r="H285" s="173" t="str">
        <f>'Q100a-geral'!H801</f>
        <v>x</v>
      </c>
      <c r="I285" s="57">
        <f>'Q100a-geral'!I801</f>
        <v>1</v>
      </c>
      <c r="J285" s="107" t="str">
        <f>'Q100a-geral'!J801</f>
        <v>x</v>
      </c>
      <c r="K285" s="58" t="str">
        <f>'Q100a-geral'!K801</f>
        <v>x</v>
      </c>
      <c r="L285" s="58" t="str">
        <f>'Q100a-geral'!L801</f>
        <v>x</v>
      </c>
      <c r="M285" s="58" t="str">
        <f>'Q100a-geral'!M801</f>
        <v>x</v>
      </c>
      <c r="N285" s="58" t="str">
        <f>'Q100a-geral'!N801</f>
        <v>x</v>
      </c>
      <c r="O285" s="58" t="str">
        <f>'Q100a-geral'!O801</f>
        <v>x</v>
      </c>
      <c r="P285" s="58" t="str">
        <f>'Q100a-geral'!P801</f>
        <v>x</v>
      </c>
      <c r="Q285" s="58" t="str">
        <f>'Q100a-geral'!Q801</f>
        <v>x</v>
      </c>
      <c r="R285" s="58" t="str">
        <f>'Q100a-geral'!R801</f>
        <v>x</v>
      </c>
      <c r="S285" s="107" t="str">
        <f>'Q100a-geral'!S801</f>
        <v>só para pesquisa</v>
      </c>
      <c r="T285" s="58" t="str">
        <f>'Q100a-geral'!T801</f>
        <v>x</v>
      </c>
      <c r="U285" s="58" t="str">
        <f>'Q100a-geral'!U801</f>
        <v>x</v>
      </c>
      <c r="V285" s="107" t="str">
        <f>'Q100a-geral'!V801</f>
        <v>só para pesquisa</v>
      </c>
      <c r="W285" s="58" t="str">
        <f>'Q100a-geral'!W801</f>
        <v>x</v>
      </c>
      <c r="X285" s="58" t="str">
        <f>'Q100a-geral'!X801</f>
        <v>x</v>
      </c>
      <c r="Y285" s="58" t="str">
        <f>'Q100a-geral'!Y801</f>
        <v>x</v>
      </c>
      <c r="Z285" s="58" t="str">
        <f>'Q100a-geral'!Z801</f>
        <v>x</v>
      </c>
      <c r="AA285" s="58" t="str">
        <f>'Q100a-geral'!AA801</f>
        <v>x</v>
      </c>
      <c r="AB285" s="58" t="str">
        <f>'Q100a-geral'!AB801</f>
        <v>x</v>
      </c>
      <c r="AC285" s="58" t="str">
        <f>'Q100a-geral'!AC801</f>
        <v>x</v>
      </c>
      <c r="AD285" s="58" t="str">
        <f>'Q100a-geral'!AD801</f>
        <v>x</v>
      </c>
      <c r="AE285" s="58" t="str">
        <f>'Q100a-geral'!AE801</f>
        <v>x</v>
      </c>
      <c r="AF285" s="21">
        <f>'Q100a-geral'!AF801</f>
        <v>0.49718979281066866</v>
      </c>
      <c r="AG285" s="58" t="str">
        <f>'Q100a-geral'!AG801</f>
        <v>x</v>
      </c>
      <c r="AH285" s="58" t="str">
        <f>'Q100a-geral'!AH801</f>
        <v>x</v>
      </c>
      <c r="AI285" s="58" t="str">
        <f>'Q100a-geral'!AI801</f>
        <v>x</v>
      </c>
      <c r="AJ285" s="58" t="str">
        <f>'Q100a-geral'!AJ801</f>
        <v>x</v>
      </c>
      <c r="AK285" s="137" t="str">
        <f>'Q100a-geral'!AK801</f>
        <v>x</v>
      </c>
      <c r="AL285" s="173" t="str">
        <f>'Q100a-geral'!AL801</f>
        <v>x</v>
      </c>
      <c r="AM285" s="137" t="str">
        <f>'Q100a-geral'!AM801</f>
        <v>x</v>
      </c>
      <c r="AN285" s="137" t="str">
        <f>'Q100a-geral'!AN801</f>
        <v>x</v>
      </c>
      <c r="AO285" s="137" t="str">
        <f>'Q100a-geral'!AO801</f>
        <v>x</v>
      </c>
      <c r="AP285" s="137" t="str">
        <f>'Q100a-geral'!AP801</f>
        <v>x</v>
      </c>
      <c r="AQ285" s="137" t="str">
        <f>'Q100a-geral'!AQ801</f>
        <v>x</v>
      </c>
      <c r="AR285" s="137"/>
      <c r="AS285" s="137"/>
      <c r="AT285" s="137"/>
      <c r="AU285" s="137"/>
      <c r="AV285" s="137" t="str">
        <f>'Q100a-geral'!AV801</f>
        <v>x</v>
      </c>
      <c r="AW285" s="137"/>
      <c r="AX285" s="137"/>
      <c r="AY285" s="137"/>
      <c r="AZ285" s="137"/>
      <c r="BA285" s="137" t="str">
        <f>'Q100a-geral'!BA801</f>
        <v>x</v>
      </c>
      <c r="BB285" s="239" t="str">
        <f>'Q100a-geral'!BB801</f>
        <v>Rede viáriax</v>
      </c>
      <c r="BC285" s="239" t="str">
        <f>'Q100a-geral'!BC801</f>
        <v>Rede viáriaxx</v>
      </c>
      <c r="BD285" s="239" t="str">
        <f>'Q100a-geral'!BD801</f>
        <v>Rede viáriax</v>
      </c>
    </row>
    <row r="286" spans="1:56" s="1" customFormat="1" ht="94.5" customHeight="1" x14ac:dyDescent="0.25">
      <c r="A286" s="275" t="str">
        <f>'Q100a-geral'!A802</f>
        <v>2.3</v>
      </c>
      <c r="B286" s="11" t="str">
        <f>'Q100a-geral'!B802</f>
        <v>Rede viária</v>
      </c>
      <c r="C286" s="167" t="str">
        <f>'Q100a-geral'!C802</f>
        <v>x</v>
      </c>
      <c r="D286" s="9" t="str">
        <f>'Q100a-geral'!D802</f>
        <v>EV tc ligação regional</v>
      </c>
      <c r="E286" s="5" t="str">
        <f>'Q100a-geral'!E802</f>
        <v>Belo Horizonte</v>
      </c>
      <c r="F286" s="448" t="str">
        <f>'Q100a-geral'!F802</f>
        <v>extensão total do sistema viário de ligação regional utilizado pelo transporte coletivo gerenciado pela BHTrans (em km), apurada para cada uma das 10 regiões do município (Centro, Sul, Oeste, Barreiro, Noroeste, Pampulha, Venda Nova, Norte, Nordeste, Leste) e para seu conjunto (BHTRANS, 2011c)</v>
      </c>
      <c r="G286" s="252" t="str">
        <f>'Q100a-geral'!G802</f>
        <v>registro na fonte</v>
      </c>
      <c r="H286" s="173" t="str">
        <f>'Q100a-geral'!H802</f>
        <v>x</v>
      </c>
      <c r="I286" s="57">
        <f>'Q100a-geral'!I802</f>
        <v>1</v>
      </c>
      <c r="J286" s="107" t="str">
        <f>'Q100a-geral'!J802</f>
        <v>x</v>
      </c>
      <c r="K286" s="93" t="str">
        <f>'Q100a-geral'!K802</f>
        <v>x</v>
      </c>
      <c r="L286" s="93" t="str">
        <f>'Q100a-geral'!L802</f>
        <v>x</v>
      </c>
      <c r="M286" s="93" t="str">
        <f>'Q100a-geral'!M802</f>
        <v>x</v>
      </c>
      <c r="N286" s="93" t="str">
        <f>'Q100a-geral'!N802</f>
        <v>x</v>
      </c>
      <c r="O286" s="93" t="str">
        <f>'Q100a-geral'!O802</f>
        <v>x</v>
      </c>
      <c r="P286" s="93" t="str">
        <f>'Q100a-geral'!P802</f>
        <v>x</v>
      </c>
      <c r="Q286" s="93" t="str">
        <f>'Q100a-geral'!Q802</f>
        <v>x</v>
      </c>
      <c r="R286" s="93" t="str">
        <f>'Q100a-geral'!R802</f>
        <v>x</v>
      </c>
      <c r="S286" s="107" t="str">
        <f>'Q100a-geral'!S802</f>
        <v>só para pesquisa</v>
      </c>
      <c r="T286" s="93" t="str">
        <f>'Q100a-geral'!T802</f>
        <v>x</v>
      </c>
      <c r="U286" s="93" t="str">
        <f>'Q100a-geral'!U802</f>
        <v>x</v>
      </c>
      <c r="V286" s="107" t="str">
        <f>'Q100a-geral'!V802</f>
        <v>só para pesquisa</v>
      </c>
      <c r="W286" s="93" t="str">
        <f>'Q100a-geral'!W802</f>
        <v>x</v>
      </c>
      <c r="X286" s="93" t="str">
        <f>'Q100a-geral'!X802</f>
        <v>x</v>
      </c>
      <c r="Y286" s="93" t="str">
        <f>'Q100a-geral'!Y802</f>
        <v>x</v>
      </c>
      <c r="Z286" s="93" t="str">
        <f>'Q100a-geral'!Z802</f>
        <v>x</v>
      </c>
      <c r="AA286" s="93" t="str">
        <f>'Q100a-geral'!AA802</f>
        <v>x</v>
      </c>
      <c r="AB286" s="93" t="str">
        <f>'Q100a-geral'!AB802</f>
        <v>x</v>
      </c>
      <c r="AC286" s="93" t="str">
        <f>'Q100a-geral'!AC802</f>
        <v>x</v>
      </c>
      <c r="AD286" s="93" t="str">
        <f>'Q100a-geral'!AD802</f>
        <v>x</v>
      </c>
      <c r="AE286" s="93" t="str">
        <f>'Q100a-geral'!AE802</f>
        <v>x</v>
      </c>
      <c r="AF286" s="84">
        <f>'Q100a-geral'!AF802</f>
        <v>41.28</v>
      </c>
      <c r="AG286" s="93" t="str">
        <f>'Q100a-geral'!AG802</f>
        <v>x</v>
      </c>
      <c r="AH286" s="93" t="str">
        <f>'Q100a-geral'!AH802</f>
        <v>x</v>
      </c>
      <c r="AI286" s="93" t="str">
        <f>'Q100a-geral'!AI802</f>
        <v>x</v>
      </c>
      <c r="AJ286" s="93" t="str">
        <f>'Q100a-geral'!AJ802</f>
        <v>x</v>
      </c>
      <c r="AK286" s="137" t="str">
        <f>'Q100a-geral'!AK802</f>
        <v>x</v>
      </c>
      <c r="AL286" s="173" t="str">
        <f>'Q100a-geral'!AL802</f>
        <v>x</v>
      </c>
      <c r="AM286" s="137" t="str">
        <f>'Q100a-geral'!AM802</f>
        <v>x</v>
      </c>
      <c r="AN286" s="137" t="str">
        <f>'Q100a-geral'!AN802</f>
        <v>x</v>
      </c>
      <c r="AO286" s="137" t="str">
        <f>'Q100a-geral'!AO802</f>
        <v>x</v>
      </c>
      <c r="AP286" s="137" t="str">
        <f>'Q100a-geral'!AP802</f>
        <v>x</v>
      </c>
      <c r="AQ286" s="137" t="str">
        <f>'Q100a-geral'!AQ802</f>
        <v>x</v>
      </c>
      <c r="AR286" s="137"/>
      <c r="AS286" s="137"/>
      <c r="AT286" s="137"/>
      <c r="AU286" s="137"/>
      <c r="AV286" s="137" t="str">
        <f>'Q100a-geral'!AV802</f>
        <v>x</v>
      </c>
      <c r="AW286" s="137"/>
      <c r="AX286" s="137"/>
      <c r="AY286" s="137"/>
      <c r="AZ286" s="137"/>
      <c r="BA286" s="137" t="str">
        <f>'Q100a-geral'!BA802</f>
        <v>x</v>
      </c>
      <c r="BB286" s="239" t="str">
        <f>'Q100a-geral'!BB802</f>
        <v>Rede viáriax</v>
      </c>
      <c r="BC286" s="239" t="str">
        <f>'Q100a-geral'!BC802</f>
        <v>Rede viáriaxx</v>
      </c>
      <c r="BD286" s="239" t="str">
        <f>'Q100a-geral'!BD802</f>
        <v>Rede viáriax</v>
      </c>
    </row>
    <row r="287" spans="1:56" s="1" customFormat="1" ht="94.5" customHeight="1" x14ac:dyDescent="0.25">
      <c r="A287" s="275" t="str">
        <f>'Q100a-geral'!A803</f>
        <v>2.3</v>
      </c>
      <c r="B287" s="11" t="str">
        <f>'Q100a-geral'!B803</f>
        <v>Rede viária</v>
      </c>
      <c r="C287" s="167" t="str">
        <f>'Q100a-geral'!C803</f>
        <v>x</v>
      </c>
      <c r="D287" s="322" t="str">
        <f>'Q100a-geral'!D803</f>
        <v>EVtc ligação regional/EV ligação regional
% de EVtc ligação regional</v>
      </c>
      <c r="E287" s="11" t="str">
        <f>'Q100a-geral'!E803</f>
        <v>Belo Horizonte</v>
      </c>
      <c r="F287" s="445" t="str">
        <f>'Q100a-geral'!F803</f>
        <v>percentual da extensão viária de ligação regional municipal utilizada pelo transporte coletivo em relação à extensão viária de ligação regional total do município de Belo Horizonte</v>
      </c>
      <c r="G287" s="5" t="str">
        <f>'Q100a-geral'!G803</f>
        <v>(EVtc ligação regional / EV ligação regional) x 100</v>
      </c>
      <c r="H287" s="173" t="str">
        <f>'Q100a-geral'!H803</f>
        <v>x</v>
      </c>
      <c r="I287" s="57">
        <f>'Q100a-geral'!I803</f>
        <v>1</v>
      </c>
      <c r="J287" s="107" t="str">
        <f>'Q100a-geral'!J803</f>
        <v>x</v>
      </c>
      <c r="K287" s="58" t="str">
        <f>'Q100a-geral'!K803</f>
        <v>x</v>
      </c>
      <c r="L287" s="58" t="str">
        <f>'Q100a-geral'!L803</f>
        <v>x</v>
      </c>
      <c r="M287" s="58" t="str">
        <f>'Q100a-geral'!M803</f>
        <v>x</v>
      </c>
      <c r="N287" s="58" t="str">
        <f>'Q100a-geral'!N803</f>
        <v>x</v>
      </c>
      <c r="O287" s="58" t="str">
        <f>'Q100a-geral'!O803</f>
        <v>x</v>
      </c>
      <c r="P287" s="58" t="str">
        <f>'Q100a-geral'!P803</f>
        <v>x</v>
      </c>
      <c r="Q287" s="58" t="str">
        <f>'Q100a-geral'!Q803</f>
        <v>x</v>
      </c>
      <c r="R287" s="58" t="str">
        <f>'Q100a-geral'!R803</f>
        <v>x</v>
      </c>
      <c r="S287" s="107" t="str">
        <f>'Q100a-geral'!S803</f>
        <v>só para pesquisa</v>
      </c>
      <c r="T287" s="58" t="str">
        <f>'Q100a-geral'!T803</f>
        <v>x</v>
      </c>
      <c r="U287" s="58" t="str">
        <f>'Q100a-geral'!U803</f>
        <v>x</v>
      </c>
      <c r="V287" s="107" t="str">
        <f>'Q100a-geral'!V803</f>
        <v>só para pesquisa</v>
      </c>
      <c r="W287" s="58" t="str">
        <f>'Q100a-geral'!W803</f>
        <v>x</v>
      </c>
      <c r="X287" s="58" t="str">
        <f>'Q100a-geral'!X803</f>
        <v>x</v>
      </c>
      <c r="Y287" s="58" t="str">
        <f>'Q100a-geral'!Y803</f>
        <v>x</v>
      </c>
      <c r="Z287" s="58" t="str">
        <f>'Q100a-geral'!Z803</f>
        <v>x</v>
      </c>
      <c r="AA287" s="58" t="str">
        <f>'Q100a-geral'!AA803</f>
        <v>x</v>
      </c>
      <c r="AB287" s="58" t="str">
        <f>'Q100a-geral'!AB803</f>
        <v>x</v>
      </c>
      <c r="AC287" s="58" t="str">
        <f>'Q100a-geral'!AC803</f>
        <v>x</v>
      </c>
      <c r="AD287" s="58" t="str">
        <f>'Q100a-geral'!AD803</f>
        <v>x</v>
      </c>
      <c r="AE287" s="58" t="str">
        <f>'Q100a-geral'!AE803</f>
        <v>x</v>
      </c>
      <c r="AF287" s="21">
        <f>'Q100a-geral'!AF803</f>
        <v>0.8738357324301439</v>
      </c>
      <c r="AG287" s="58" t="str">
        <f>'Q100a-geral'!AG803</f>
        <v>x</v>
      </c>
      <c r="AH287" s="58" t="str">
        <f>'Q100a-geral'!AH803</f>
        <v>x</v>
      </c>
      <c r="AI287" s="58" t="str">
        <f>'Q100a-geral'!AI803</f>
        <v>x</v>
      </c>
      <c r="AJ287" s="58" t="str">
        <f>'Q100a-geral'!AJ803</f>
        <v>x</v>
      </c>
      <c r="AK287" s="137" t="str">
        <f>'Q100a-geral'!AK803</f>
        <v>x</v>
      </c>
      <c r="AL287" s="173" t="str">
        <f>'Q100a-geral'!AL803</f>
        <v>x</v>
      </c>
      <c r="AM287" s="137" t="str">
        <f>'Q100a-geral'!AM803</f>
        <v>x</v>
      </c>
      <c r="AN287" s="137" t="str">
        <f>'Q100a-geral'!AN803</f>
        <v>x</v>
      </c>
      <c r="AO287" s="137" t="str">
        <f>'Q100a-geral'!AO803</f>
        <v>x</v>
      </c>
      <c r="AP287" s="137" t="str">
        <f>'Q100a-geral'!AP803</f>
        <v>x</v>
      </c>
      <c r="AQ287" s="137" t="str">
        <f>'Q100a-geral'!AQ803</f>
        <v>x</v>
      </c>
      <c r="AR287" s="137"/>
      <c r="AS287" s="137"/>
      <c r="AT287" s="137"/>
      <c r="AU287" s="137"/>
      <c r="AV287" s="137" t="str">
        <f>'Q100a-geral'!AV803</f>
        <v>x</v>
      </c>
      <c r="AW287" s="137"/>
      <c r="AX287" s="137"/>
      <c r="AY287" s="137"/>
      <c r="AZ287" s="137"/>
      <c r="BA287" s="137" t="str">
        <f>'Q100a-geral'!BA803</f>
        <v>x</v>
      </c>
      <c r="BB287" s="239" t="str">
        <f>'Q100a-geral'!BB803</f>
        <v>Rede viáriax</v>
      </c>
      <c r="BC287" s="239" t="str">
        <f>'Q100a-geral'!BC803</f>
        <v>Rede viáriaxx</v>
      </c>
      <c r="BD287" s="239" t="str">
        <f>'Q100a-geral'!BD803</f>
        <v>Rede viáriax</v>
      </c>
    </row>
    <row r="288" spans="1:56" s="1" customFormat="1" ht="94.5" customHeight="1" x14ac:dyDescent="0.25">
      <c r="A288" s="275" t="str">
        <f>'Q100a-geral'!A804</f>
        <v>2.3</v>
      </c>
      <c r="B288" s="11" t="str">
        <f>'Q100a-geral'!B804</f>
        <v>Rede viária</v>
      </c>
      <c r="C288" s="167" t="str">
        <f>'Q100a-geral'!C804</f>
        <v>x</v>
      </c>
      <c r="D288" s="322" t="str">
        <f>'Q100a-geral'!D804</f>
        <v>EV tc local</v>
      </c>
      <c r="E288" s="11" t="str">
        <f>'Q100a-geral'!E804</f>
        <v>Belo Horizonte</v>
      </c>
      <c r="F288" s="445" t="str">
        <f>'Q100a-geral'!F804</f>
        <v>extensão total do sistema viário local utilizado pelo transporte coletivo gerenciado pela BHTrans (em km), apurada para cada uma das 10 regiões do município (Centro, Sul, Oeste, Barreiro, Noroeste, Pampulha, Venda Nova, Norte, Nordeste, Leste) e para seu conjunto (BHTRANS, 2011c)</v>
      </c>
      <c r="G288" s="252" t="str">
        <f>'Q100a-geral'!G804</f>
        <v>registro na fonte</v>
      </c>
      <c r="H288" s="173" t="str">
        <f>'Q100a-geral'!H804</f>
        <v>x</v>
      </c>
      <c r="I288" s="57">
        <f>'Q100a-geral'!I804</f>
        <v>1</v>
      </c>
      <c r="J288" s="107" t="str">
        <f>'Q100a-geral'!J804</f>
        <v>x</v>
      </c>
      <c r="K288" s="93" t="str">
        <f>'Q100a-geral'!K804</f>
        <v>x</v>
      </c>
      <c r="L288" s="93" t="str">
        <f>'Q100a-geral'!L804</f>
        <v>x</v>
      </c>
      <c r="M288" s="93" t="str">
        <f>'Q100a-geral'!M804</f>
        <v>x</v>
      </c>
      <c r="N288" s="93" t="str">
        <f>'Q100a-geral'!N804</f>
        <v>x</v>
      </c>
      <c r="O288" s="93" t="str">
        <f>'Q100a-geral'!O804</f>
        <v>x</v>
      </c>
      <c r="P288" s="93" t="str">
        <f>'Q100a-geral'!P804</f>
        <v>x</v>
      </c>
      <c r="Q288" s="93" t="str">
        <f>'Q100a-geral'!Q804</f>
        <v>x</v>
      </c>
      <c r="R288" s="93" t="str">
        <f>'Q100a-geral'!R804</f>
        <v>x</v>
      </c>
      <c r="S288" s="107" t="str">
        <f>'Q100a-geral'!S804</f>
        <v>só para pesquisa</v>
      </c>
      <c r="T288" s="93" t="str">
        <f>'Q100a-geral'!T804</f>
        <v>x</v>
      </c>
      <c r="U288" s="93" t="str">
        <f>'Q100a-geral'!U804</f>
        <v>x</v>
      </c>
      <c r="V288" s="107" t="str">
        <f>'Q100a-geral'!V804</f>
        <v>só para pesquisa</v>
      </c>
      <c r="W288" s="93" t="str">
        <f>'Q100a-geral'!W804</f>
        <v>x</v>
      </c>
      <c r="X288" s="93" t="str">
        <f>'Q100a-geral'!X804</f>
        <v>x</v>
      </c>
      <c r="Y288" s="93" t="str">
        <f>'Q100a-geral'!Y804</f>
        <v>x</v>
      </c>
      <c r="Z288" s="93" t="str">
        <f>'Q100a-geral'!Z804</f>
        <v>x</v>
      </c>
      <c r="AA288" s="93" t="str">
        <f>'Q100a-geral'!AA804</f>
        <v>x</v>
      </c>
      <c r="AB288" s="93" t="str">
        <f>'Q100a-geral'!AB804</f>
        <v>x</v>
      </c>
      <c r="AC288" s="93" t="str">
        <f>'Q100a-geral'!AC804</f>
        <v>x</v>
      </c>
      <c r="AD288" s="93" t="str">
        <f>'Q100a-geral'!AD804</f>
        <v>x</v>
      </c>
      <c r="AE288" s="93" t="str">
        <f>'Q100a-geral'!AE804</f>
        <v>x</v>
      </c>
      <c r="AF288" s="84">
        <f>'Q100a-geral'!AF804</f>
        <v>470.07</v>
      </c>
      <c r="AG288" s="93" t="str">
        <f>'Q100a-geral'!AG804</f>
        <v>x</v>
      </c>
      <c r="AH288" s="93" t="str">
        <f>'Q100a-geral'!AH804</f>
        <v>x</v>
      </c>
      <c r="AI288" s="93" t="str">
        <f>'Q100a-geral'!AI804</f>
        <v>x</v>
      </c>
      <c r="AJ288" s="93" t="str">
        <f>'Q100a-geral'!AJ804</f>
        <v>x</v>
      </c>
      <c r="AK288" s="137" t="str">
        <f>'Q100a-geral'!AK804</f>
        <v>x</v>
      </c>
      <c r="AL288" s="173" t="str">
        <f>'Q100a-geral'!AL804</f>
        <v>x</v>
      </c>
      <c r="AM288" s="137" t="str">
        <f>'Q100a-geral'!AM804</f>
        <v>x</v>
      </c>
      <c r="AN288" s="137" t="str">
        <f>'Q100a-geral'!AN804</f>
        <v>x</v>
      </c>
      <c r="AO288" s="137" t="str">
        <f>'Q100a-geral'!AO804</f>
        <v>x</v>
      </c>
      <c r="AP288" s="137" t="str">
        <f>'Q100a-geral'!AP804</f>
        <v>x</v>
      </c>
      <c r="AQ288" s="137" t="str">
        <f>'Q100a-geral'!AQ804</f>
        <v>x</v>
      </c>
      <c r="AR288" s="137"/>
      <c r="AS288" s="137"/>
      <c r="AT288" s="137"/>
      <c r="AU288" s="137"/>
      <c r="AV288" s="137" t="str">
        <f>'Q100a-geral'!AV804</f>
        <v>x</v>
      </c>
      <c r="AW288" s="137"/>
      <c r="AX288" s="137"/>
      <c r="AY288" s="137"/>
      <c r="AZ288" s="137"/>
      <c r="BA288" s="137" t="str">
        <f>'Q100a-geral'!BA804</f>
        <v>x</v>
      </c>
      <c r="BB288" s="239" t="str">
        <f>'Q100a-geral'!BB804</f>
        <v>Rede viáriax</v>
      </c>
      <c r="BC288" s="239" t="str">
        <f>'Q100a-geral'!BC804</f>
        <v>Rede viáriaxx</v>
      </c>
      <c r="BD288" s="239" t="str">
        <f>'Q100a-geral'!BD804</f>
        <v>Rede viáriax</v>
      </c>
    </row>
    <row r="289" spans="1:56" s="1" customFormat="1" ht="94.5" customHeight="1" x14ac:dyDescent="0.25">
      <c r="A289" s="275" t="str">
        <f>'Q100a-geral'!A805</f>
        <v>2.3</v>
      </c>
      <c r="B289" s="11" t="str">
        <f>'Q100a-geral'!B805</f>
        <v>Rede viária</v>
      </c>
      <c r="C289" s="167" t="str">
        <f>'Q100a-geral'!C805</f>
        <v>x</v>
      </c>
      <c r="D289" s="322" t="str">
        <f>'Q100a-geral'!D805</f>
        <v>EVtc local /EV local
% de EV tc local</v>
      </c>
      <c r="E289" s="11" t="str">
        <f>'Q100a-geral'!E805</f>
        <v>Belo Horizonte</v>
      </c>
      <c r="F289" s="445" t="str">
        <f>'Q100a-geral'!F805</f>
        <v>percentual da extensão viária de ligação regional municipal utilizada pelo transporte coletivo em relação à extensão viária de ligação regional total do município de Belo Horizonte</v>
      </c>
      <c r="G289" s="5" t="str">
        <f>'Q100a-geral'!G805</f>
        <v>(EVtc local / EV local) x 100</v>
      </c>
      <c r="H289" s="173" t="str">
        <f>'Q100a-geral'!H805</f>
        <v>x</v>
      </c>
      <c r="I289" s="57">
        <f>'Q100a-geral'!I805</f>
        <v>1</v>
      </c>
      <c r="J289" s="107" t="str">
        <f>'Q100a-geral'!J805</f>
        <v>x</v>
      </c>
      <c r="K289" s="58" t="str">
        <f>'Q100a-geral'!K805</f>
        <v>x</v>
      </c>
      <c r="L289" s="58" t="str">
        <f>'Q100a-geral'!L805</f>
        <v>x</v>
      </c>
      <c r="M289" s="58" t="str">
        <f>'Q100a-geral'!M805</f>
        <v>x</v>
      </c>
      <c r="N289" s="58" t="str">
        <f>'Q100a-geral'!N805</f>
        <v>x</v>
      </c>
      <c r="O289" s="58" t="str">
        <f>'Q100a-geral'!O805</f>
        <v>x</v>
      </c>
      <c r="P289" s="58" t="str">
        <f>'Q100a-geral'!P805</f>
        <v>x</v>
      </c>
      <c r="Q289" s="58" t="str">
        <f>'Q100a-geral'!Q805</f>
        <v>x</v>
      </c>
      <c r="R289" s="58" t="str">
        <f>'Q100a-geral'!R805</f>
        <v>x</v>
      </c>
      <c r="S289" s="107" t="str">
        <f>'Q100a-geral'!S805</f>
        <v>só para pesquisa</v>
      </c>
      <c r="T289" s="58" t="str">
        <f>'Q100a-geral'!T805</f>
        <v>x</v>
      </c>
      <c r="U289" s="58" t="str">
        <f>'Q100a-geral'!U805</f>
        <v>x</v>
      </c>
      <c r="V289" s="107" t="str">
        <f>'Q100a-geral'!V805</f>
        <v>só para pesquisa</v>
      </c>
      <c r="W289" s="58" t="str">
        <f>'Q100a-geral'!W805</f>
        <v>x</v>
      </c>
      <c r="X289" s="58" t="str">
        <f>'Q100a-geral'!X805</f>
        <v>x</v>
      </c>
      <c r="Y289" s="58" t="str">
        <f>'Q100a-geral'!Y805</f>
        <v>x</v>
      </c>
      <c r="Z289" s="58" t="str">
        <f>'Q100a-geral'!Z805</f>
        <v>x</v>
      </c>
      <c r="AA289" s="58" t="str">
        <f>'Q100a-geral'!AA805</f>
        <v>x</v>
      </c>
      <c r="AB289" s="58" t="str">
        <f>'Q100a-geral'!AB805</f>
        <v>x</v>
      </c>
      <c r="AC289" s="58" t="str">
        <f>'Q100a-geral'!AC805</f>
        <v>x</v>
      </c>
      <c r="AD289" s="58" t="str">
        <f>'Q100a-geral'!AD805</f>
        <v>x</v>
      </c>
      <c r="AE289" s="58" t="str">
        <f>'Q100a-geral'!AE805</f>
        <v>x</v>
      </c>
      <c r="AF289" s="21">
        <f>'Q100a-geral'!AF805</f>
        <v>0.16183751179172204</v>
      </c>
      <c r="AG289" s="58" t="str">
        <f>'Q100a-geral'!AG805</f>
        <v>x</v>
      </c>
      <c r="AH289" s="58" t="str">
        <f>'Q100a-geral'!AH805</f>
        <v>x</v>
      </c>
      <c r="AI289" s="58" t="str">
        <f>'Q100a-geral'!AI805</f>
        <v>x</v>
      </c>
      <c r="AJ289" s="58" t="str">
        <f>'Q100a-geral'!AJ805</f>
        <v>x</v>
      </c>
      <c r="AK289" s="137" t="str">
        <f>'Q100a-geral'!AK805</f>
        <v>x</v>
      </c>
      <c r="AL289" s="173" t="str">
        <f>'Q100a-geral'!AL805</f>
        <v>x</v>
      </c>
      <c r="AM289" s="137" t="str">
        <f>'Q100a-geral'!AM805</f>
        <v>x</v>
      </c>
      <c r="AN289" s="137" t="str">
        <f>'Q100a-geral'!AN805</f>
        <v>x</v>
      </c>
      <c r="AO289" s="137" t="str">
        <f>'Q100a-geral'!AO805</f>
        <v>x</v>
      </c>
      <c r="AP289" s="137" t="str">
        <f>'Q100a-geral'!AP805</f>
        <v>x</v>
      </c>
      <c r="AQ289" s="137" t="str">
        <f>'Q100a-geral'!AQ805</f>
        <v>x</v>
      </c>
      <c r="AR289" s="137"/>
      <c r="AS289" s="137"/>
      <c r="AT289" s="137"/>
      <c r="AU289" s="137"/>
      <c r="AV289" s="137" t="str">
        <f>'Q100a-geral'!AV805</f>
        <v>x</v>
      </c>
      <c r="AW289" s="137"/>
      <c r="AX289" s="137"/>
      <c r="AY289" s="137"/>
      <c r="AZ289" s="137"/>
      <c r="BA289" s="137" t="str">
        <f>'Q100a-geral'!BA805</f>
        <v>x</v>
      </c>
      <c r="BB289" s="239" t="str">
        <f>'Q100a-geral'!BB805</f>
        <v>Rede viáriax</v>
      </c>
      <c r="BC289" s="239" t="str">
        <f>'Q100a-geral'!BC805</f>
        <v>Rede viáriaxx</v>
      </c>
      <c r="BD289" s="239" t="str">
        <f>'Q100a-geral'!BD805</f>
        <v>Rede viáriax</v>
      </c>
    </row>
    <row r="290" spans="1:56" s="1" customFormat="1" ht="31.5" customHeight="1" x14ac:dyDescent="0.25">
      <c r="A290" s="275" t="str">
        <f>'Q100a-geral'!A809</f>
        <v>2.3</v>
      </c>
      <c r="B290" s="11" t="str">
        <f>'Q100a-geral'!B809</f>
        <v>Rede viária</v>
      </c>
      <c r="C290" s="167" t="str">
        <f>'Q100a-geral'!C809</f>
        <v>x</v>
      </c>
      <c r="D290" s="9" t="str">
        <f>'Q100a-geral'!D809</f>
        <v>EXT CICL</v>
      </c>
      <c r="E290" s="5" t="str">
        <f>'Q100a-geral'!E809</f>
        <v>Belo Horizonte</v>
      </c>
      <c r="F290" s="448" t="str">
        <f>'Q100a-geral'!F809</f>
        <v>extensão da rede cicloviária conforme BHTRANS(2011a, p.20)</v>
      </c>
      <c r="G290" s="11" t="str">
        <f>'Q100a-geral'!G809</f>
        <v>consulte:
EV b</v>
      </c>
      <c r="H290" s="173" t="str">
        <f>'Q100a-geral'!H809</f>
        <v>sigla/verbete</v>
      </c>
      <c r="I290" s="57" t="str">
        <f>'Q100a-geral'!I809</f>
        <v>x</v>
      </c>
      <c r="J290" s="107" t="str">
        <f>'Q100a-geral'!J809</f>
        <v>x</v>
      </c>
      <c r="K290" s="107" t="str">
        <f>'Q100a-geral'!K809</f>
        <v>x</v>
      </c>
      <c r="L290" s="107" t="str">
        <f>'Q100a-geral'!L809</f>
        <v>x</v>
      </c>
      <c r="M290" s="107" t="str">
        <f>'Q100a-geral'!M809</f>
        <v>x</v>
      </c>
      <c r="N290" s="107" t="str">
        <f>'Q100a-geral'!N809</f>
        <v>x</v>
      </c>
      <c r="O290" s="107" t="str">
        <f>'Q100a-geral'!O809</f>
        <v>x</v>
      </c>
      <c r="P290" s="107" t="str">
        <f>'Q100a-geral'!P809</f>
        <v>x</v>
      </c>
      <c r="Q290" s="107" t="str">
        <f>'Q100a-geral'!Q809</f>
        <v>x</v>
      </c>
      <c r="R290" s="107" t="str">
        <f>'Q100a-geral'!R809</f>
        <v>x</v>
      </c>
      <c r="S290" s="107" t="str">
        <f>'Q100a-geral'!S809</f>
        <v>só para pesquisa</v>
      </c>
      <c r="T290" s="107" t="str">
        <f>'Q100a-geral'!T809</f>
        <v>x</v>
      </c>
      <c r="U290" s="107" t="str">
        <f>'Q100a-geral'!U809</f>
        <v>x</v>
      </c>
      <c r="V290" s="107" t="str">
        <f>'Q100a-geral'!V809</f>
        <v>só para pesquisa</v>
      </c>
      <c r="W290" s="107" t="str">
        <f>'Q100a-geral'!W809</f>
        <v>x</v>
      </c>
      <c r="X290" s="107" t="str">
        <f>'Q100a-geral'!X809</f>
        <v>x</v>
      </c>
      <c r="Y290" s="107" t="str">
        <f>'Q100a-geral'!Y809</f>
        <v>x</v>
      </c>
      <c r="Z290" s="107" t="str">
        <f>'Q100a-geral'!Z809</f>
        <v>x</v>
      </c>
      <c r="AA290" s="107" t="str">
        <f>'Q100a-geral'!AA809</f>
        <v>x</v>
      </c>
      <c r="AB290" s="107" t="str">
        <f>'Q100a-geral'!AB809</f>
        <v>x</v>
      </c>
      <c r="AC290" s="107" t="str">
        <f>'Q100a-geral'!AC809</f>
        <v>x</v>
      </c>
      <c r="AD290" s="107" t="str">
        <f>'Q100a-geral'!AD809</f>
        <v>x</v>
      </c>
      <c r="AE290" s="107" t="str">
        <f>'Q100a-geral'!AE809</f>
        <v>x</v>
      </c>
      <c r="AF290" s="107" t="str">
        <f>'Q100a-geral'!AF809</f>
        <v>x</v>
      </c>
      <c r="AG290" s="107" t="str">
        <f>'Q100a-geral'!AG809</f>
        <v>x</v>
      </c>
      <c r="AH290" s="107" t="str">
        <f>'Q100a-geral'!AH809</f>
        <v>x</v>
      </c>
      <c r="AI290" s="107" t="str">
        <f>'Q100a-geral'!AI809</f>
        <v>x</v>
      </c>
      <c r="AJ290" s="107" t="str">
        <f>'Q100a-geral'!AJ809</f>
        <v>x</v>
      </c>
      <c r="AK290" s="137" t="str">
        <f>'Q100a-geral'!AK809</f>
        <v>x</v>
      </c>
      <c r="AL290" s="57" t="str">
        <f>'Q100a-geral'!AL809</f>
        <v>x</v>
      </c>
      <c r="AM290" s="137" t="str">
        <f>'Q100a-geral'!AM809</f>
        <v>x</v>
      </c>
      <c r="AN290" s="137" t="str">
        <f>'Q100a-geral'!AN809</f>
        <v>x</v>
      </c>
      <c r="AO290" s="137" t="str">
        <f>'Q100a-geral'!AO809</f>
        <v>x</v>
      </c>
      <c r="AP290" s="137" t="str">
        <f>'Q100a-geral'!AP809</f>
        <v>x</v>
      </c>
      <c r="AQ290" s="137" t="str">
        <f>'Q100a-geral'!AQ809</f>
        <v>x</v>
      </c>
      <c r="AR290" s="137"/>
      <c r="AS290" s="137"/>
      <c r="AT290" s="137"/>
      <c r="AU290" s="137"/>
      <c r="AV290" s="137" t="str">
        <f>'Q100a-geral'!AV809</f>
        <v>x</v>
      </c>
      <c r="AW290" s="137"/>
      <c r="AX290" s="137"/>
      <c r="AY290" s="137"/>
      <c r="AZ290" s="137"/>
      <c r="BA290" s="137" t="str">
        <f>'Q100a-geral'!BA809</f>
        <v>x</v>
      </c>
      <c r="BB290" s="239" t="str">
        <f>'Q100a-geral'!BB809</f>
        <v>Rede viáriax</v>
      </c>
      <c r="BC290" s="239" t="str">
        <f>'Q100a-geral'!BC809</f>
        <v>Rede viáriaxsigla/verbete</v>
      </c>
      <c r="BD290" s="239" t="str">
        <f>'Q100a-geral'!BD809</f>
        <v>Rede viáriasigla/verbete</v>
      </c>
    </row>
    <row r="291" spans="1:56" s="1" customFormat="1" ht="78.75" customHeight="1" x14ac:dyDescent="0.25">
      <c r="A291" s="275" t="str">
        <f>'Q100a-geral'!A810</f>
        <v>2.3</v>
      </c>
      <c r="B291" s="11" t="str">
        <f>'Q100a-geral'!B810</f>
        <v>Rede viária</v>
      </c>
      <c r="C291" s="57" t="str">
        <f>'Q100a-geral'!C810</f>
        <v>x</v>
      </c>
      <c r="D291" s="9" t="str">
        <f>'Q100a-geral'!D810</f>
        <v>EXT REST</v>
      </c>
      <c r="E291" s="5" t="str">
        <f>'Q100a-geral'!E810</f>
        <v>Belo Horizonte</v>
      </c>
      <c r="F291" s="448" t="str">
        <f>'Q100a-geral'!F810</f>
        <v>extensão da rede estruturante
obs.: "Extensão em quilometragem e número de estações (BRT, Metrô, VLT)" conforme BHTRANS(2011a, p.12)</v>
      </c>
      <c r="G291" s="11" t="str">
        <f>'Q100a-geral'!G810</f>
        <v>consulte:
EV re</v>
      </c>
      <c r="H291" s="173" t="str">
        <f>'Q100a-geral'!H810</f>
        <v>sigla/verbete</v>
      </c>
      <c r="I291" s="57" t="str">
        <f>'Q100a-geral'!I810</f>
        <v>x</v>
      </c>
      <c r="J291" s="107" t="str">
        <f>'Q100a-geral'!J810</f>
        <v>x</v>
      </c>
      <c r="K291" s="107" t="str">
        <f>'Q100a-geral'!K810</f>
        <v>x</v>
      </c>
      <c r="L291" s="107" t="str">
        <f>'Q100a-geral'!L810</f>
        <v>x</v>
      </c>
      <c r="M291" s="107" t="str">
        <f>'Q100a-geral'!M810</f>
        <v>x</v>
      </c>
      <c r="N291" s="107" t="str">
        <f>'Q100a-geral'!N810</f>
        <v>x</v>
      </c>
      <c r="O291" s="107" t="str">
        <f>'Q100a-geral'!O810</f>
        <v>x</v>
      </c>
      <c r="P291" s="107" t="str">
        <f>'Q100a-geral'!P810</f>
        <v>x</v>
      </c>
      <c r="Q291" s="107" t="str">
        <f>'Q100a-geral'!Q810</f>
        <v>x</v>
      </c>
      <c r="R291" s="107" t="str">
        <f>'Q100a-geral'!R810</f>
        <v>x</v>
      </c>
      <c r="S291" s="107" t="str">
        <f>'Q100a-geral'!S810</f>
        <v>só para pesquisa</v>
      </c>
      <c r="T291" s="107" t="str">
        <f>'Q100a-geral'!T810</f>
        <v>x</v>
      </c>
      <c r="U291" s="107" t="str">
        <f>'Q100a-geral'!U810</f>
        <v>x</v>
      </c>
      <c r="V291" s="107" t="str">
        <f>'Q100a-geral'!V810</f>
        <v>só para pesquisa</v>
      </c>
      <c r="W291" s="107" t="str">
        <f>'Q100a-geral'!W810</f>
        <v>x</v>
      </c>
      <c r="X291" s="107" t="str">
        <f>'Q100a-geral'!X810</f>
        <v>x</v>
      </c>
      <c r="Y291" s="107" t="str">
        <f>'Q100a-geral'!Y810</f>
        <v>x</v>
      </c>
      <c r="Z291" s="107" t="str">
        <f>'Q100a-geral'!Z810</f>
        <v>x</v>
      </c>
      <c r="AA291" s="107" t="str">
        <f>'Q100a-geral'!AA810</f>
        <v>x</v>
      </c>
      <c r="AB291" s="107" t="str">
        <f>'Q100a-geral'!AB810</f>
        <v>x</v>
      </c>
      <c r="AC291" s="107" t="str">
        <f>'Q100a-geral'!AC810</f>
        <v>x</v>
      </c>
      <c r="AD291" s="107" t="str">
        <f>'Q100a-geral'!AD810</f>
        <v>x</v>
      </c>
      <c r="AE291" s="107" t="str">
        <f>'Q100a-geral'!AE810</f>
        <v>x</v>
      </c>
      <c r="AF291" s="107" t="str">
        <f>'Q100a-geral'!AF810</f>
        <v>x</v>
      </c>
      <c r="AG291" s="107" t="str">
        <f>'Q100a-geral'!AG810</f>
        <v>x</v>
      </c>
      <c r="AH291" s="107" t="str">
        <f>'Q100a-geral'!AH810</f>
        <v>x</v>
      </c>
      <c r="AI291" s="107" t="str">
        <f>'Q100a-geral'!AI810</f>
        <v>x</v>
      </c>
      <c r="AJ291" s="107" t="str">
        <f>'Q100a-geral'!AJ810</f>
        <v>x</v>
      </c>
      <c r="AK291" s="137" t="str">
        <f>'Q100a-geral'!AK810</f>
        <v>x</v>
      </c>
      <c r="AL291" s="57" t="str">
        <f>'Q100a-geral'!AL810</f>
        <v>x</v>
      </c>
      <c r="AM291" s="137" t="str">
        <f>'Q100a-geral'!AM810</f>
        <v>x</v>
      </c>
      <c r="AN291" s="137" t="str">
        <f>'Q100a-geral'!AN810</f>
        <v>x</v>
      </c>
      <c r="AO291" s="137" t="str">
        <f>'Q100a-geral'!AO810</f>
        <v>x</v>
      </c>
      <c r="AP291" s="137" t="str">
        <f>'Q100a-geral'!AP810</f>
        <v>x</v>
      </c>
      <c r="AQ291" s="137" t="str">
        <f>'Q100a-geral'!AQ810</f>
        <v>x</v>
      </c>
      <c r="AR291" s="137"/>
      <c r="AS291" s="137"/>
      <c r="AT291" s="137"/>
      <c r="AU291" s="137"/>
      <c r="AV291" s="137" t="str">
        <f>'Q100a-geral'!AV810</f>
        <v>x</v>
      </c>
      <c r="AW291" s="137"/>
      <c r="AX291" s="137"/>
      <c r="AY291" s="137"/>
      <c r="AZ291" s="137"/>
      <c r="BA291" s="137" t="str">
        <f>'Q100a-geral'!BA810</f>
        <v>x</v>
      </c>
      <c r="BB291" s="239" t="str">
        <f>'Q100a-geral'!BB810</f>
        <v>Rede viáriax</v>
      </c>
      <c r="BC291" s="239" t="str">
        <f>'Q100a-geral'!BC810</f>
        <v>Rede viáriaxsigla/verbete</v>
      </c>
      <c r="BD291" s="239" t="str">
        <f>'Q100a-geral'!BD810</f>
        <v>Rede viáriasigla/verbete</v>
      </c>
    </row>
    <row r="292" spans="1:56" s="1" customFormat="1" ht="63.75" customHeight="1" x14ac:dyDescent="0.25">
      <c r="A292" s="275" t="str">
        <f>'Q100a-geral'!A814</f>
        <v>2.2</v>
      </c>
      <c r="B292" s="54" t="str">
        <f>'Q100a-geral'!B814</f>
        <v>Frota e condutores de veículos automotores</v>
      </c>
      <c r="C292" s="229" t="str">
        <f>'Q100a-geral'!C814</f>
        <v>x</v>
      </c>
      <c r="D292" s="104" t="str">
        <f>'Q100a-geral'!D814</f>
        <v>F</v>
      </c>
      <c r="E292" s="14" t="str">
        <f>'Q100a-geral'!E814</f>
        <v>Belo Horizonte</v>
      </c>
      <c r="F292" s="447" t="str">
        <f>'Q100a-geral'!F814</f>
        <v>frota total de veículos automotores registrados no município de Belo Horizonte
obs.1: registro na fonte até 1998 conforme BHTRANS(2013b); soma das categorias com resultados disponíveis de 1999 a 2015
obs.2: resultado de 2015 confere com BH(2016i)</v>
      </c>
      <c r="G292" s="14" t="str">
        <f>'Q100a-geral'!G814</f>
        <v>soma das categorias com resultados disponíveis</v>
      </c>
      <c r="H292" s="173" t="str">
        <f>'Q100a-geral'!H814</f>
        <v>x</v>
      </c>
      <c r="I292" s="57">
        <f>'Q100a-geral'!I814</f>
        <v>1</v>
      </c>
      <c r="J292" s="11" t="str">
        <f>'Q100a-geral'!J814</f>
        <v>x</v>
      </c>
      <c r="K292" s="87">
        <f>'Q100a-geral'!K814</f>
        <v>479805</v>
      </c>
      <c r="L292" s="87">
        <f>'Q100a-geral'!L814</f>
        <v>490167</v>
      </c>
      <c r="M292" s="87">
        <f>'Q100a-geral'!M814</f>
        <v>508935</v>
      </c>
      <c r="N292" s="87">
        <f>'Q100a-geral'!N814</f>
        <v>536874</v>
      </c>
      <c r="O292" s="87">
        <f>'Q100a-geral'!O814</f>
        <v>568811</v>
      </c>
      <c r="P292" s="87">
        <f>'Q100a-geral'!P814</f>
        <v>598796</v>
      </c>
      <c r="Q292" s="87">
        <f>'Q100a-geral'!Q814</f>
        <v>611958</v>
      </c>
      <c r="R292" s="87">
        <f>'Q100a-geral'!R814</f>
        <v>623909</v>
      </c>
      <c r="S292" s="649" t="str">
        <f>'Q100a-geral'!S814</f>
        <v>só para pesquisa</v>
      </c>
      <c r="T292" s="20">
        <f>'Q100a-geral'!T814</f>
        <v>655227</v>
      </c>
      <c r="U292" s="20">
        <f>'Q100a-geral'!U814</f>
        <v>679727</v>
      </c>
      <c r="V292" s="107" t="str">
        <f>'Q100a-geral'!V814</f>
        <v>só para pesquisa</v>
      </c>
      <c r="W292" s="20">
        <f>'Q100a-geral'!W814</f>
        <v>717875</v>
      </c>
      <c r="X292" s="20">
        <f>'Q100a-geral'!X814</f>
        <v>751461</v>
      </c>
      <c r="Y292" s="20">
        <f>'Q100a-geral'!Y814</f>
        <v>790551</v>
      </c>
      <c r="Z292" s="20">
        <f>'Q100a-geral'!Z814</f>
        <v>821753</v>
      </c>
      <c r="AA292" s="20">
        <f>'Q100a-geral'!AA814</f>
        <v>862917</v>
      </c>
      <c r="AB292" s="20">
        <f>'Q100a-geral'!AB814</f>
        <v>931287</v>
      </c>
      <c r="AC292" s="20">
        <f>'Q100a-geral'!AC814</f>
        <v>1020465</v>
      </c>
      <c r="AD292" s="20">
        <f>'Q100a-geral'!AD814</f>
        <v>1107259</v>
      </c>
      <c r="AE292" s="20">
        <f>'Q100a-geral'!AE814</f>
        <v>1220125</v>
      </c>
      <c r="AF292" s="20">
        <f>'Q100a-geral'!AF814</f>
        <v>1332381</v>
      </c>
      <c r="AG292" s="20">
        <f>'Q100a-geral'!AG814</f>
        <v>1429865</v>
      </c>
      <c r="AH292" s="20">
        <f>'Q100a-geral'!AH814</f>
        <v>1507335</v>
      </c>
      <c r="AI292" s="20">
        <f>'Q100a-geral'!AI814</f>
        <v>1580625</v>
      </c>
      <c r="AJ292" s="20">
        <f>'Q100a-geral'!AJ814</f>
        <v>1632215</v>
      </c>
      <c r="AK292" s="23">
        <f>'Q100a-geral'!AK814</f>
        <v>1693713</v>
      </c>
      <c r="AL292" s="212" t="str">
        <f>'Q100a-geral'!AL814</f>
        <v>x</v>
      </c>
      <c r="AM292" s="137" t="str">
        <f>'Q100a-geral'!AM814</f>
        <v>x</v>
      </c>
      <c r="AN292" s="137" t="str">
        <f>'Q100a-geral'!AN814</f>
        <v>x</v>
      </c>
      <c r="AO292" s="137" t="str">
        <f>'Q100a-geral'!AO814</f>
        <v>x</v>
      </c>
      <c r="AP292" s="137" t="str">
        <f>'Q100a-geral'!AP814</f>
        <v>x</v>
      </c>
      <c r="AQ292" s="137" t="str">
        <f>'Q100a-geral'!AQ814</f>
        <v>x</v>
      </c>
      <c r="AR292" s="137"/>
      <c r="AS292" s="137"/>
      <c r="AT292" s="137"/>
      <c r="AU292" s="137"/>
      <c r="AV292" s="137" t="str">
        <f>'Q100a-geral'!AV814</f>
        <v>x</v>
      </c>
      <c r="AW292" s="137"/>
      <c r="AX292" s="137"/>
      <c r="AY292" s="137"/>
      <c r="AZ292" s="137"/>
      <c r="BA292" s="137" t="str">
        <f>'Q100a-geral'!BA814</f>
        <v>x</v>
      </c>
      <c r="BB292" s="239" t="str">
        <f>'Q100a-geral'!BB814</f>
        <v>Frota e condutores de veículos automotoresx</v>
      </c>
      <c r="BC292" s="239" t="str">
        <f>'Q100a-geral'!BC814</f>
        <v>Frota e condutores de veículos automotoresxx</v>
      </c>
      <c r="BD292" s="239" t="str">
        <f>'Q100a-geral'!BD814</f>
        <v>Frota e condutores de veículos automotoresx</v>
      </c>
    </row>
    <row r="293" spans="1:56" s="1" customFormat="1" ht="63.75" customHeight="1" x14ac:dyDescent="0.25">
      <c r="A293" s="275" t="str">
        <f>'Q100a-geral'!A815</f>
        <v>2.2</v>
      </c>
      <c r="B293" s="54" t="str">
        <f>'Q100a-geral'!B815</f>
        <v>Frota e condutores de veículos automotores</v>
      </c>
      <c r="C293" s="229" t="str">
        <f>'Q100a-geral'!C815</f>
        <v>x</v>
      </c>
      <c r="D293" s="104" t="str">
        <f>'Q100a-geral'!D815</f>
        <v>F
(acréscimo anual)</v>
      </c>
      <c r="E293" s="14" t="str">
        <f>'Q100a-geral'!E815</f>
        <v>Belo Horizonte</v>
      </c>
      <c r="F293" s="447" t="str">
        <f>'Q100a-geral'!F815</f>
        <v>acréscimo percentual anual da frota total de veículos automotores registrados no município de Belo Horizonte</v>
      </c>
      <c r="G293" s="14" t="str">
        <f>'Q100a-geral'!G815</f>
        <v>((F ano - F ano anterior) / F ano) x 100</v>
      </c>
      <c r="H293" s="173" t="str">
        <f>'Q100a-geral'!H815</f>
        <v>x</v>
      </c>
      <c r="I293" s="57">
        <f>'Q100a-geral'!I815</f>
        <v>1</v>
      </c>
      <c r="J293" s="1139" t="str">
        <f>'Q100a-geral'!J815</f>
        <v>x</v>
      </c>
      <c r="K293" s="87" t="str">
        <f>'Q100a-geral'!K815</f>
        <v>x</v>
      </c>
      <c r="L293" s="47">
        <f>'Q100a-geral'!L815</f>
        <v>2.1139734009021416E-2</v>
      </c>
      <c r="M293" s="47">
        <f>'Q100a-geral'!M815</f>
        <v>3.6877007869374284E-2</v>
      </c>
      <c r="N293" s="47">
        <f>'Q100a-geral'!N815</f>
        <v>5.2040143497356924E-2</v>
      </c>
      <c r="O293" s="47">
        <f>'Q100a-geral'!O815</f>
        <v>5.6146945118853188E-2</v>
      </c>
      <c r="P293" s="47">
        <f>'Q100a-geral'!P815</f>
        <v>5.0075484806177732E-2</v>
      </c>
      <c r="Q293" s="47">
        <f>'Q100a-geral'!Q815</f>
        <v>2.1508011987750795E-2</v>
      </c>
      <c r="R293" s="47">
        <f>'Q100a-geral'!R815</f>
        <v>1.9155037032644182E-2</v>
      </c>
      <c r="S293" s="649" t="str">
        <f>'Q100a-geral'!S815</f>
        <v>só para pesquisa</v>
      </c>
      <c r="T293" s="47">
        <f>'Q100a-geral'!T815</f>
        <v>4.7797175635314174E-2</v>
      </c>
      <c r="U293" s="47">
        <f>'Q100a-geral'!U815</f>
        <v>3.6043882323344517E-2</v>
      </c>
      <c r="V293" s="107" t="str">
        <f>'Q100a-geral'!V815</f>
        <v>só para pesquisa</v>
      </c>
      <c r="W293" s="47">
        <f>'Q100a-geral'!W815</f>
        <v>5.3140170642521328E-2</v>
      </c>
      <c r="X293" s="47">
        <f>'Q100a-geral'!X815</f>
        <v>4.4694268897520963E-2</v>
      </c>
      <c r="Y293" s="47">
        <f>'Q100a-geral'!Y815</f>
        <v>4.9446525271614354E-2</v>
      </c>
      <c r="Z293" s="47">
        <f>'Q100a-geral'!Z815</f>
        <v>3.7970046960583044E-2</v>
      </c>
      <c r="AA293" s="47">
        <f>'Q100a-geral'!AA815</f>
        <v>4.7703313296643825E-2</v>
      </c>
      <c r="AB293" s="47">
        <f>'Q100a-geral'!AB815</f>
        <v>7.3414532791717266E-2</v>
      </c>
      <c r="AC293" s="47">
        <f>'Q100a-geral'!AC815</f>
        <v>8.7389572400817281E-2</v>
      </c>
      <c r="AD293" s="47">
        <f>'Q100a-geral'!AD815</f>
        <v>7.8386357663383185E-2</v>
      </c>
      <c r="AE293" s="47">
        <f>'Q100a-geral'!AE815</f>
        <v>9.2503636922446467E-2</v>
      </c>
      <c r="AF293" s="47">
        <f>'Q100a-geral'!AF815</f>
        <v>8.4252177117506183E-2</v>
      </c>
      <c r="AG293" s="47">
        <f>'Q100a-geral'!AG815</f>
        <v>6.8177065667038503E-2</v>
      </c>
      <c r="AH293" s="47">
        <f>'Q100a-geral'!AH815</f>
        <v>5.1395343437258476E-2</v>
      </c>
      <c r="AI293" s="47">
        <f>'Q100a-geral'!AI815</f>
        <v>4.6367734282325032E-2</v>
      </c>
      <c r="AJ293" s="47">
        <f>'Q100a-geral'!AJ815</f>
        <v>3.1607355648612466E-2</v>
      </c>
      <c r="AK293" s="47">
        <f>'Q100a-geral'!AK815</f>
        <v>3.6309575471168962E-2</v>
      </c>
      <c r="AL293" s="212" t="str">
        <f>'Q100a-geral'!AL815</f>
        <v>x</v>
      </c>
      <c r="AM293" s="137" t="str">
        <f>'Q100a-geral'!AM815</f>
        <v>x</v>
      </c>
      <c r="AN293" s="137" t="str">
        <f>'Q100a-geral'!AN815</f>
        <v>x</v>
      </c>
      <c r="AO293" s="137" t="str">
        <f>'Q100a-geral'!AO815</f>
        <v>x</v>
      </c>
      <c r="AP293" s="137" t="str">
        <f>'Q100a-geral'!AP815</f>
        <v>x</v>
      </c>
      <c r="AQ293" s="137" t="str">
        <f>'Q100a-geral'!AQ815</f>
        <v>x</v>
      </c>
      <c r="AR293" s="137"/>
      <c r="AS293" s="137"/>
      <c r="AT293" s="137"/>
      <c r="AU293" s="137"/>
      <c r="AV293" s="137" t="str">
        <f>'Q100a-geral'!AV815</f>
        <v>x</v>
      </c>
      <c r="AW293" s="137"/>
      <c r="AX293" s="137"/>
      <c r="AY293" s="137"/>
      <c r="AZ293" s="137"/>
      <c r="BA293" s="137" t="str">
        <f>'Q100a-geral'!BA815</f>
        <v>x</v>
      </c>
      <c r="BB293" s="239" t="str">
        <f>'Q100a-geral'!BB815</f>
        <v>Frota e condutores de veículos automotoresx</v>
      </c>
      <c r="BC293" s="239" t="str">
        <f>'Q100a-geral'!BC815</f>
        <v>Frota e condutores de veículos automotoresxx</v>
      </c>
      <c r="BD293" s="239" t="str">
        <f>'Q100a-geral'!BD815</f>
        <v>Frota e condutores de veículos automotoresx</v>
      </c>
    </row>
    <row r="294" spans="1:56" s="1" customFormat="1" ht="63.75" customHeight="1" x14ac:dyDescent="0.25">
      <c r="A294" s="1161"/>
      <c r="B294" s="1162"/>
      <c r="C294" s="1163"/>
      <c r="D294" s="892" t="s">
        <v>3662</v>
      </c>
      <c r="E294" s="1164"/>
      <c r="F294" s="1165"/>
      <c r="G294" s="1164"/>
      <c r="H294" s="1164"/>
      <c r="I294" s="371"/>
      <c r="J294" s="371"/>
      <c r="K294" s="923">
        <f>K292/1000000</f>
        <v>0.47980499999999998</v>
      </c>
      <c r="L294" s="923">
        <f t="shared" ref="L294:T294" si="0">L292/1000000</f>
        <v>0.49016700000000002</v>
      </c>
      <c r="M294" s="923">
        <f t="shared" si="0"/>
        <v>0.50893500000000003</v>
      </c>
      <c r="N294" s="923">
        <f t="shared" si="0"/>
        <v>0.53687399999999996</v>
      </c>
      <c r="O294" s="923">
        <f t="shared" si="0"/>
        <v>0.56881099999999996</v>
      </c>
      <c r="P294" s="923">
        <f t="shared" si="0"/>
        <v>0.59879599999999999</v>
      </c>
      <c r="Q294" s="923">
        <f t="shared" si="0"/>
        <v>0.611958</v>
      </c>
      <c r="R294" s="923">
        <f t="shared" si="0"/>
        <v>0.62390900000000005</v>
      </c>
      <c r="S294" s="649" t="str">
        <f>'Q100a-geral'!S816</f>
        <v>só para pesquisa</v>
      </c>
      <c r="T294" s="923">
        <f t="shared" si="0"/>
        <v>0.655227</v>
      </c>
      <c r="U294" s="923">
        <f>U292/1000000</f>
        <v>0.67972699999999997</v>
      </c>
      <c r="V294" s="107" t="str">
        <f>'Q100a-geral'!V816</f>
        <v>só para pesquisa</v>
      </c>
      <c r="W294" s="923">
        <f t="shared" ref="W294:AK294" si="1">W292/1000000</f>
        <v>0.71787500000000004</v>
      </c>
      <c r="X294" s="923">
        <f t="shared" si="1"/>
        <v>0.75146100000000005</v>
      </c>
      <c r="Y294" s="923">
        <f t="shared" si="1"/>
        <v>0.790551</v>
      </c>
      <c r="Z294" s="923">
        <f t="shared" si="1"/>
        <v>0.82175299999999996</v>
      </c>
      <c r="AA294" s="923">
        <f t="shared" si="1"/>
        <v>0.86291700000000005</v>
      </c>
      <c r="AB294" s="923">
        <f t="shared" si="1"/>
        <v>0.93128699999999998</v>
      </c>
      <c r="AC294" s="923">
        <f t="shared" si="1"/>
        <v>1.020465</v>
      </c>
      <c r="AD294" s="923">
        <f t="shared" si="1"/>
        <v>1.107259</v>
      </c>
      <c r="AE294" s="923">
        <f t="shared" si="1"/>
        <v>1.2201249999999999</v>
      </c>
      <c r="AF294" s="923">
        <f t="shared" si="1"/>
        <v>1.332381</v>
      </c>
      <c r="AG294" s="923">
        <f t="shared" si="1"/>
        <v>1.4298649999999999</v>
      </c>
      <c r="AH294" s="923">
        <f t="shared" si="1"/>
        <v>1.5073350000000001</v>
      </c>
      <c r="AI294" s="923">
        <f t="shared" si="1"/>
        <v>1.5806249999999999</v>
      </c>
      <c r="AJ294" s="923">
        <f t="shared" si="1"/>
        <v>1.632215</v>
      </c>
      <c r="AK294" s="923">
        <f t="shared" si="1"/>
        <v>1.693713</v>
      </c>
      <c r="AL294" s="212" t="str">
        <f>'Q100a-geral'!AL816</f>
        <v>x</v>
      </c>
      <c r="AM294" s="420"/>
      <c r="AN294" s="420"/>
      <c r="AO294" s="420"/>
      <c r="AP294" s="420"/>
      <c r="AQ294" s="420"/>
      <c r="AR294" s="420"/>
      <c r="AS294" s="420"/>
      <c r="AT294" s="420"/>
      <c r="AU294" s="420"/>
      <c r="AV294" s="420"/>
      <c r="AW294" s="420"/>
      <c r="AX294" s="420"/>
      <c r="AY294" s="420"/>
      <c r="AZ294" s="420"/>
      <c r="BA294" s="420"/>
      <c r="BB294" s="1168"/>
      <c r="BC294" s="1168"/>
      <c r="BD294" s="1168"/>
    </row>
    <row r="295" spans="1:56" s="1" customFormat="1" ht="114.75" customHeight="1" x14ac:dyDescent="0.25">
      <c r="A295" s="275" t="str">
        <f>'Q100a-geral'!A817</f>
        <v>2.2</v>
      </c>
      <c r="B295" s="54" t="str">
        <f>'Q100a-geral'!B817</f>
        <v>Frota e condutores de veículos automotores</v>
      </c>
      <c r="C295" s="229" t="str">
        <f>'Q100a-geral'!C817</f>
        <v>CMMCE</v>
      </c>
      <c r="D295" s="104" t="str">
        <f>'Q100a-geral'!D817</f>
        <v>F por habitante</v>
      </c>
      <c r="E295" s="14" t="str">
        <f>'Q100a-geral'!E817</f>
        <v>Belo Horizonte</v>
      </c>
      <c r="F295" s="489" t="str">
        <f>'Q100a-geral'!F817</f>
        <v>relação entre frota e população, calculando-se a quantidade de veículos registrados no território para cada habitante, indicador por vezes expresso na forma de 1 habitante para cada x veículos
obs.: selecionado como indicador de referência da ação "tornar o transporte coletivo mais atrativo frente ao transporte individual" do Plano de Redução de Emissões de Gases de Efeito Estufa - Pregee do Comitê Municipal sobre Mudanças Climáticas e Ecoeficiência - CMMCE (Secretaria Municipal de Meio Ambiente - SMMA da Prefeitura de Belo Horizonte)</v>
      </c>
      <c r="G295" s="14" t="str">
        <f>'Q100a-geral'!G817</f>
        <v>F / P</v>
      </c>
      <c r="H295" s="233" t="str">
        <f>'Q100a-geral'!H817</f>
        <v>x</v>
      </c>
      <c r="I295" s="172">
        <f>'Q100a-geral'!I817</f>
        <v>1</v>
      </c>
      <c r="J295" s="11" t="str">
        <f>'Q100a-geral'!J817</f>
        <v>x</v>
      </c>
      <c r="K295" s="64">
        <f>'Q100a-geral'!K817</f>
        <v>0.23750829760598288</v>
      </c>
      <c r="L295" s="64">
        <f>'Q100a-geral'!L817</f>
        <v>0.24167086570537441</v>
      </c>
      <c r="M295" s="64">
        <f>'Q100a-geral'!M817</f>
        <v>0.24992449744764542</v>
      </c>
      <c r="N295" s="64">
        <f>'Q100a-geral'!N817</f>
        <v>0.26259427732942042</v>
      </c>
      <c r="O295" s="64">
        <f>'Q100a-geral'!O817</f>
        <v>0.27710678440554243</v>
      </c>
      <c r="P295" s="64">
        <f>'Q100a-geral'!P817</f>
        <v>0.28630690315991603</v>
      </c>
      <c r="Q295" s="64">
        <f>'Q100a-geral'!Q817</f>
        <v>0.2914343841883138</v>
      </c>
      <c r="R295" s="64">
        <f>'Q100a-geral'!R817</f>
        <v>0.29594210831637979</v>
      </c>
      <c r="S295" s="649" t="str">
        <f>'Q100a-geral'!S817</f>
        <v>só para pesquisa</v>
      </c>
      <c r="T295" s="64">
        <f>'Q100a-geral'!T817</f>
        <v>0.30955908545878713</v>
      </c>
      <c r="U295" s="64">
        <f>'Q100a-geral'!U817</f>
        <v>0.30364936569867851</v>
      </c>
      <c r="V295" s="107" t="str">
        <f>'Q100a-geral'!V817</f>
        <v>só para pesquisa</v>
      </c>
      <c r="W295" s="64">
        <f>'Q100a-geral'!W817</f>
        <v>0.31783689825721556</v>
      </c>
      <c r="X295" s="64">
        <f>'Q100a-geral'!X817</f>
        <v>0.32894354396734821</v>
      </c>
      <c r="Y295" s="64">
        <f>'Q100a-geral'!Y817</f>
        <v>0.34285145536583206</v>
      </c>
      <c r="Z295" s="64">
        <f>'Q100a-geral'!Z817</f>
        <v>0.34959822408579388</v>
      </c>
      <c r="AA295" s="64">
        <f>'Q100a-geral'!AA817</f>
        <v>0.36328314940793466</v>
      </c>
      <c r="AB295" s="64">
        <f>'Q100a-geral'!AB817</f>
        <v>0.38804918497283242</v>
      </c>
      <c r="AC295" s="64">
        <f>'Q100a-geral'!AC817</f>
        <v>0.42291406696486483</v>
      </c>
      <c r="AD295" s="64">
        <f>'Q100a-geral'!AD817</f>
        <v>0.45479335360188478</v>
      </c>
      <c r="AE295" s="64">
        <f>'Q100a-geral'!AE817</f>
        <v>0.49747881548566286</v>
      </c>
      <c r="AF295" s="64">
        <f>'Q100a-geral'!AF817</f>
        <v>0.56096686063328183</v>
      </c>
      <c r="AG295" s="64">
        <f>'Q100a-geral'!AG817</f>
        <v>0.59936327358696195</v>
      </c>
      <c r="AH295" s="64">
        <f>'Q100a-geral'!AH817</f>
        <v>0.62916121438275974</v>
      </c>
      <c r="AI295" s="64">
        <f>'Q100a-geral'!AI817</f>
        <v>0.63756345382417068</v>
      </c>
      <c r="AJ295" s="64">
        <f>'Q100a-geral'!AJ817</f>
        <v>0.65521621093256055</v>
      </c>
      <c r="AK295" s="64">
        <f>'Q100a-geral'!AK817</f>
        <v>0.67679297614399991</v>
      </c>
      <c r="AL295" s="212" t="str">
        <f>'Q100a-geral'!AL817</f>
        <v>x</v>
      </c>
      <c r="AM295" s="137" t="str">
        <f>'Q100a-geral'!AM817</f>
        <v>x</v>
      </c>
      <c r="AN295" s="137" t="str">
        <f>'Q100a-geral'!AN817</f>
        <v>x</v>
      </c>
      <c r="AO295" s="137" t="str">
        <f>'Q100a-geral'!AO817</f>
        <v>x</v>
      </c>
      <c r="AP295" s="137" t="str">
        <f>'Q100a-geral'!AP817</f>
        <v>x</v>
      </c>
      <c r="AQ295" s="137" t="str">
        <f>'Q100a-geral'!AQ817</f>
        <v>x</v>
      </c>
      <c r="AR295" s="137"/>
      <c r="AS295" s="137"/>
      <c r="AT295" s="137"/>
      <c r="AU295" s="137"/>
      <c r="AV295" s="137" t="str">
        <f>'Q100a-geral'!AV817</f>
        <v>x</v>
      </c>
      <c r="AW295" s="137"/>
      <c r="AX295" s="137"/>
      <c r="AY295" s="137"/>
      <c r="AZ295" s="137"/>
      <c r="BA295" s="137" t="str">
        <f>'Q100a-geral'!BA817</f>
        <v>x</v>
      </c>
      <c r="BB295" s="239" t="str">
        <f>'Q100a-geral'!BB817</f>
        <v>Frota e condutores de veículos automotoresCMMCE</v>
      </c>
      <c r="BC295" s="239" t="str">
        <f>'Q100a-geral'!BC817</f>
        <v>Frota e condutores de veículos automotoresCMMCEx</v>
      </c>
      <c r="BD295" s="239" t="str">
        <f>'Q100a-geral'!BD817</f>
        <v>Frota e condutores de veículos automotoresx</v>
      </c>
    </row>
    <row r="296" spans="1:56" s="1" customFormat="1" ht="114.75" customHeight="1" x14ac:dyDescent="0.25">
      <c r="A296" s="275" t="str">
        <f>'Q100a-geral'!A816</f>
        <v>2.2</v>
      </c>
      <c r="B296" s="54" t="str">
        <f>'Q100a-geral'!B816</f>
        <v>Frota e condutores de veículos automotores</v>
      </c>
      <c r="C296" s="229" t="str">
        <f>'Q100a-geral'!C816</f>
        <v>x</v>
      </c>
      <c r="D296" s="104" t="str">
        <f>'Q100a-geral'!D816</f>
        <v>F</v>
      </c>
      <c r="E296" s="14" t="str">
        <f>'Q100a-geral'!E816</f>
        <v>São Paulo</v>
      </c>
      <c r="F296" s="447" t="str">
        <f>'Q100a-geral'!F816</f>
        <v>frota total de veículos automotores registrados no município de São Paulo
obs.: resultados de 2008 a 2014 em SP(2015c)</v>
      </c>
      <c r="G296" s="252" t="str">
        <f>'Q100a-geral'!G816</f>
        <v>registro na fonte</v>
      </c>
      <c r="H296" s="169" t="str">
        <f>'Q100a-geral'!H816</f>
        <v>benchmarking</v>
      </c>
      <c r="I296" s="167" t="str">
        <f>'Q100a-geral'!I816</f>
        <v>x</v>
      </c>
      <c r="J296" s="93" t="str">
        <f>'Q100a-geral'!J816</f>
        <v>x</v>
      </c>
      <c r="K296" s="93" t="str">
        <f>'Q100a-geral'!K816</f>
        <v>x</v>
      </c>
      <c r="L296" s="93" t="str">
        <f>'Q100a-geral'!L816</f>
        <v>x</v>
      </c>
      <c r="M296" s="93" t="str">
        <f>'Q100a-geral'!M816</f>
        <v>x</v>
      </c>
      <c r="N296" s="93" t="str">
        <f>'Q100a-geral'!N816</f>
        <v>x</v>
      </c>
      <c r="O296" s="93" t="str">
        <f>'Q100a-geral'!O816</f>
        <v>x</v>
      </c>
      <c r="P296" s="93" t="str">
        <f>'Q100a-geral'!P816</f>
        <v>x</v>
      </c>
      <c r="Q296" s="93" t="str">
        <f>'Q100a-geral'!Q816</f>
        <v>x</v>
      </c>
      <c r="R296" s="93" t="str">
        <f>'Q100a-geral'!R816</f>
        <v>x</v>
      </c>
      <c r="S296" s="649" t="str">
        <f>'Q100a-geral'!S816</f>
        <v>só para pesquisa</v>
      </c>
      <c r="T296" s="93" t="str">
        <f>'Q100a-geral'!T816</f>
        <v>x</v>
      </c>
      <c r="U296" s="93" t="str">
        <f>'Q100a-geral'!U816</f>
        <v>x</v>
      </c>
      <c r="V296" s="107" t="str">
        <f>'Q100a-geral'!V816</f>
        <v>só para pesquisa</v>
      </c>
      <c r="W296" s="93" t="str">
        <f>'Q100a-geral'!W816</f>
        <v>x</v>
      </c>
      <c r="X296" s="93" t="str">
        <f>'Q100a-geral'!X816</f>
        <v>x</v>
      </c>
      <c r="Y296" s="93" t="str">
        <f>'Q100a-geral'!Y816</f>
        <v>x</v>
      </c>
      <c r="Z296" s="93" t="str">
        <f>'Q100a-geral'!Z816</f>
        <v>x</v>
      </c>
      <c r="AA296" s="93" t="str">
        <f>'Q100a-geral'!AA816</f>
        <v>x</v>
      </c>
      <c r="AB296" s="93" t="str">
        <f>'Q100a-geral'!AB816</f>
        <v>x</v>
      </c>
      <c r="AC296" s="93" t="str">
        <f>'Q100a-geral'!AC816</f>
        <v>x</v>
      </c>
      <c r="AD296" s="93">
        <f>'Q100a-geral'!AD816</f>
        <v>6354539</v>
      </c>
      <c r="AE296" s="86">
        <f>'Q100a-geral'!AE816</f>
        <v>6672401</v>
      </c>
      <c r="AF296" s="86">
        <f>'Q100a-geral'!AF816</f>
        <v>6902101</v>
      </c>
      <c r="AG296" s="87">
        <f>'Q100a-geral'!AG816</f>
        <v>7186724</v>
      </c>
      <c r="AH296" s="87">
        <f>'Q100a-geral'!AH816</f>
        <v>7363210</v>
      </c>
      <c r="AI296" s="87">
        <f>'Q100a-geral'!AI816</f>
        <v>7577216</v>
      </c>
      <c r="AJ296" s="83">
        <f>'Q100a-geral'!AJ816</f>
        <v>7887789</v>
      </c>
      <c r="AK296" s="84" t="str">
        <f>'Q100a-geral'!AK816</f>
        <v>buscar</v>
      </c>
      <c r="AL296" s="212" t="str">
        <f>'Q100a-geral'!AL816</f>
        <v>x</v>
      </c>
      <c r="AM296" s="137" t="str">
        <f>'Q100a-geral'!AM816</f>
        <v>x</v>
      </c>
      <c r="AN296" s="137" t="str">
        <f>'Q100a-geral'!AN816</f>
        <v>x</v>
      </c>
      <c r="AO296" s="137" t="str">
        <f>'Q100a-geral'!AO816</f>
        <v>x</v>
      </c>
      <c r="AP296" s="137" t="str">
        <f>'Q100a-geral'!AP816</f>
        <v>x</v>
      </c>
      <c r="AQ296" s="137" t="str">
        <f>'Q100a-geral'!AQ816</f>
        <v>x</v>
      </c>
      <c r="AR296" s="137"/>
      <c r="AS296" s="137"/>
      <c r="AT296" s="137"/>
      <c r="AU296" s="137"/>
      <c r="AV296" s="137" t="str">
        <f>'Q100a-geral'!AV816</f>
        <v>x</v>
      </c>
      <c r="AW296" s="137"/>
      <c r="AX296" s="137"/>
      <c r="AY296" s="137"/>
      <c r="AZ296" s="137"/>
      <c r="BA296" s="137" t="str">
        <f>'Q100a-geral'!BA816</f>
        <v>x</v>
      </c>
      <c r="BB296" s="239" t="str">
        <f>'Q100a-geral'!BB816</f>
        <v>Frota e condutores de veículos automotoresx</v>
      </c>
      <c r="BC296" s="239" t="str">
        <f>'Q100a-geral'!BC816</f>
        <v>Frota e condutores de veículos automotoresxbenchmarking</v>
      </c>
      <c r="BD296" s="239" t="str">
        <f>'Q100a-geral'!BD816</f>
        <v>Frota e condutores de veículos automotoresbenchmarking</v>
      </c>
    </row>
    <row r="297" spans="1:56" s="1" customFormat="1" ht="51" customHeight="1" x14ac:dyDescent="0.25">
      <c r="A297" s="275" t="str">
        <f>'Q100a-geral'!A818</f>
        <v>2.2</v>
      </c>
      <c r="B297" s="54" t="str">
        <f>'Q100a-geral'!B818</f>
        <v>Frota e condutores de veículos automotores</v>
      </c>
      <c r="C297" s="229" t="str">
        <f>'Q100a-geral'!C818</f>
        <v>x</v>
      </c>
      <c r="D297" s="104" t="str">
        <f>'Q100a-geral'!D818</f>
        <v>F a</v>
      </c>
      <c r="E297" s="14" t="str">
        <f>'Q100a-geral'!E818</f>
        <v>Belo Horizonte</v>
      </c>
      <c r="F297" s="447" t="str">
        <f>'Q100a-geral'!F818</f>
        <v>frota de automóvel registrada no município
obs.: resultados de 1999-2014 conforme BHTRANS(2013b); MG(2013; 2014; 2015a); de 2015 conforme MG(2015b)</v>
      </c>
      <c r="G297" s="252" t="str">
        <f>'Q100a-geral'!G818</f>
        <v>registro na fonte</v>
      </c>
      <c r="H297" s="173" t="str">
        <f>'Q100a-geral'!H818</f>
        <v>x</v>
      </c>
      <c r="I297" s="57">
        <f>'Q100a-geral'!I818</f>
        <v>1</v>
      </c>
      <c r="J297" s="11" t="str">
        <f>'Q100a-geral'!J818</f>
        <v>x</v>
      </c>
      <c r="K297" s="649" t="str">
        <f>'Q100a-geral'!K818</f>
        <v>x</v>
      </c>
      <c r="L297" s="649" t="str">
        <f>'Q100a-geral'!L818</f>
        <v>x</v>
      </c>
      <c r="M297" s="649" t="str">
        <f>'Q100a-geral'!M818</f>
        <v>x</v>
      </c>
      <c r="N297" s="649" t="str">
        <f>'Q100a-geral'!N818</f>
        <v>x</v>
      </c>
      <c r="O297" s="649" t="str">
        <f>'Q100a-geral'!O818</f>
        <v>x</v>
      </c>
      <c r="P297" s="649" t="str">
        <f>'Q100a-geral'!P818</f>
        <v>x</v>
      </c>
      <c r="Q297" s="649" t="str">
        <f>'Q100a-geral'!Q818</f>
        <v>x</v>
      </c>
      <c r="R297" s="649" t="str">
        <f>'Q100a-geral'!R818</f>
        <v>x</v>
      </c>
      <c r="S297" s="649" t="str">
        <f>'Q100a-geral'!S818</f>
        <v>só para pesquisa</v>
      </c>
      <c r="T297" s="87">
        <f>'Q100a-geral'!T818</f>
        <v>491332</v>
      </c>
      <c r="U297" s="87">
        <f>'Q100a-geral'!U818</f>
        <v>508731</v>
      </c>
      <c r="V297" s="107" t="str">
        <f>'Q100a-geral'!V818</f>
        <v>só para pesquisa</v>
      </c>
      <c r="W297" s="87">
        <f>'Q100a-geral'!W818</f>
        <v>532747</v>
      </c>
      <c r="X297" s="87">
        <f>'Q100a-geral'!X818</f>
        <v>552626</v>
      </c>
      <c r="Y297" s="87">
        <f>'Q100a-geral'!Y818</f>
        <v>580706</v>
      </c>
      <c r="Z297" s="87">
        <f>'Q100a-geral'!Z818</f>
        <v>601962</v>
      </c>
      <c r="AA297" s="87">
        <f>'Q100a-geral'!AA818</f>
        <v>628303</v>
      </c>
      <c r="AB297" s="87">
        <f>'Q100a-geral'!AB818</f>
        <v>673301</v>
      </c>
      <c r="AC297" s="86">
        <f>'Q100a-geral'!AC818</f>
        <v>730468</v>
      </c>
      <c r="AD297" s="87">
        <f>'Q100a-geral'!AD818</f>
        <v>785904</v>
      </c>
      <c r="AE297" s="87">
        <f>'Q100a-geral'!AE818</f>
        <v>863760</v>
      </c>
      <c r="AF297" s="87">
        <f>'Q100a-geral'!AF818</f>
        <v>937819</v>
      </c>
      <c r="AG297" s="87">
        <f>'Q100a-geral'!AG818</f>
        <v>997805</v>
      </c>
      <c r="AH297" s="87">
        <f>'Q100a-geral'!AH818</f>
        <v>1045151</v>
      </c>
      <c r="AI297" s="87">
        <f>'Q100a-geral'!AI818</f>
        <v>1089663</v>
      </c>
      <c r="AJ297" s="87">
        <f>'Q100a-geral'!AJ818</f>
        <v>1117120</v>
      </c>
      <c r="AK297" s="84">
        <f>'Q100a-geral'!AK818</f>
        <v>1158596</v>
      </c>
      <c r="AL297" s="212" t="str">
        <f>'Q100a-geral'!AL818</f>
        <v>x</v>
      </c>
      <c r="AM297" s="137" t="str">
        <f>'Q100a-geral'!AM818</f>
        <v>x</v>
      </c>
      <c r="AN297" s="137" t="str">
        <f>'Q100a-geral'!AN818</f>
        <v>x</v>
      </c>
      <c r="AO297" s="137" t="str">
        <f>'Q100a-geral'!AO818</f>
        <v>x</v>
      </c>
      <c r="AP297" s="137" t="str">
        <f>'Q100a-geral'!AP818</f>
        <v>x</v>
      </c>
      <c r="AQ297" s="137" t="str">
        <f>'Q100a-geral'!AQ818</f>
        <v>x</v>
      </c>
      <c r="AR297" s="137"/>
      <c r="AS297" s="137"/>
      <c r="AT297" s="137"/>
      <c r="AU297" s="137"/>
      <c r="AV297" s="137" t="str">
        <f>'Q100a-geral'!AV818</f>
        <v>x</v>
      </c>
      <c r="AW297" s="137"/>
      <c r="AX297" s="137"/>
      <c r="AY297" s="137"/>
      <c r="AZ297" s="137"/>
      <c r="BA297" s="137" t="str">
        <f>'Q100a-geral'!BA818</f>
        <v>x</v>
      </c>
      <c r="BB297" s="239" t="str">
        <f>'Q100a-geral'!BB818</f>
        <v>Frota e condutores de veículos automotoresx</v>
      </c>
      <c r="BC297" s="239" t="str">
        <f>'Q100a-geral'!BC818</f>
        <v>Frota e condutores de veículos automotoresxx</v>
      </c>
      <c r="BD297" s="239" t="str">
        <f>'Q100a-geral'!BD818</f>
        <v>Frota e condutores de veículos automotoresx</v>
      </c>
    </row>
    <row r="298" spans="1:56" s="1" customFormat="1" ht="51" customHeight="1" x14ac:dyDescent="0.25">
      <c r="A298" s="1161"/>
      <c r="B298" s="1162"/>
      <c r="C298" s="1163"/>
      <c r="D298" s="892" t="s">
        <v>3660</v>
      </c>
      <c r="E298" s="1164"/>
      <c r="F298" s="1165"/>
      <c r="G298" s="1166"/>
      <c r="H298" s="1164"/>
      <c r="I298" s="371"/>
      <c r="J298" s="371"/>
      <c r="K298" s="371"/>
      <c r="L298" s="371"/>
      <c r="M298" s="371"/>
      <c r="N298" s="371"/>
      <c r="O298" s="371"/>
      <c r="P298" s="371"/>
      <c r="Q298" s="371"/>
      <c r="R298" s="371"/>
      <c r="S298" s="649" t="str">
        <f>'Q100a-geral'!S819</f>
        <v>só para pesquisa</v>
      </c>
      <c r="T298" s="923">
        <f>T297/1000000</f>
        <v>0.49133199999999999</v>
      </c>
      <c r="U298" s="923">
        <f>U297/1000000</f>
        <v>0.50873100000000004</v>
      </c>
      <c r="V298" s="107" t="str">
        <f>'Q100a-geral'!V819</f>
        <v>só para pesquisa</v>
      </c>
      <c r="W298" s="923">
        <f t="shared" ref="W298:AK298" si="2">W297/1000000</f>
        <v>0.53274699999999997</v>
      </c>
      <c r="X298" s="923">
        <f t="shared" si="2"/>
        <v>0.55262599999999995</v>
      </c>
      <c r="Y298" s="923">
        <f t="shared" si="2"/>
        <v>0.58070600000000006</v>
      </c>
      <c r="Z298" s="923">
        <f t="shared" si="2"/>
        <v>0.601962</v>
      </c>
      <c r="AA298" s="923">
        <f t="shared" si="2"/>
        <v>0.62830299999999994</v>
      </c>
      <c r="AB298" s="923">
        <f t="shared" si="2"/>
        <v>0.67330100000000004</v>
      </c>
      <c r="AC298" s="923">
        <f t="shared" si="2"/>
        <v>0.73046800000000001</v>
      </c>
      <c r="AD298" s="923">
        <f t="shared" si="2"/>
        <v>0.78590400000000005</v>
      </c>
      <c r="AE298" s="923">
        <f t="shared" si="2"/>
        <v>0.86375999999999997</v>
      </c>
      <c r="AF298" s="923">
        <f t="shared" si="2"/>
        <v>0.93781899999999996</v>
      </c>
      <c r="AG298" s="923">
        <f t="shared" si="2"/>
        <v>0.99780500000000005</v>
      </c>
      <c r="AH298" s="923">
        <f t="shared" si="2"/>
        <v>1.0451509999999999</v>
      </c>
      <c r="AI298" s="923">
        <f t="shared" si="2"/>
        <v>1.089663</v>
      </c>
      <c r="AJ298" s="923">
        <f t="shared" si="2"/>
        <v>1.1171199999999999</v>
      </c>
      <c r="AK298" s="923">
        <f t="shared" si="2"/>
        <v>1.158596</v>
      </c>
      <c r="AL298" s="1167"/>
      <c r="AM298" s="420"/>
      <c r="AN298" s="420"/>
      <c r="AO298" s="420"/>
      <c r="AP298" s="420"/>
      <c r="AQ298" s="420"/>
      <c r="AR298" s="420"/>
      <c r="AS298" s="420"/>
      <c r="AT298" s="420"/>
      <c r="AU298" s="420"/>
      <c r="AV298" s="420"/>
      <c r="AW298" s="420"/>
      <c r="AX298" s="420"/>
      <c r="AY298" s="420"/>
      <c r="AZ298" s="420"/>
      <c r="BA298" s="420"/>
      <c r="BB298" s="1168"/>
      <c r="BC298" s="1168"/>
      <c r="BD298" s="1168"/>
    </row>
    <row r="299" spans="1:56" s="1" customFormat="1" ht="51" customHeight="1" x14ac:dyDescent="0.25">
      <c r="A299" s="275" t="str">
        <f>'Q100a-geral'!A819</f>
        <v>2.2</v>
      </c>
      <c r="B299" s="54" t="str">
        <f>'Q100a-geral'!B819</f>
        <v>Frota e condutores de veículos automotores</v>
      </c>
      <c r="C299" s="229" t="str">
        <f>'Q100a-geral'!C819</f>
        <v>x</v>
      </c>
      <c r="D299" s="104" t="str">
        <f>'Q100a-geral'!D819</f>
        <v>F a em relação a F</v>
      </c>
      <c r="E299" s="14" t="str">
        <f>'Q100a-geral'!E819</f>
        <v>Belo Horizonte</v>
      </c>
      <c r="F299" s="633" t="str">
        <f>'Q100a-geral'!F819</f>
        <v>relação entre frota de automóvel e frota total, ou seja, percentual da frota de automóvel em relação à frota total</v>
      </c>
      <c r="G299" s="14" t="str">
        <f>'Q100a-geral'!G819</f>
        <v>(Fa/F) x 100</v>
      </c>
      <c r="H299" s="233" t="str">
        <f>'Q100a-geral'!H819</f>
        <v>x</v>
      </c>
      <c r="I299" s="172">
        <f>'Q100a-geral'!I819</f>
        <v>1</v>
      </c>
      <c r="J299" s="11" t="str">
        <f>'Q100a-geral'!J819</f>
        <v>x</v>
      </c>
      <c r="K299" s="58" t="str">
        <f>'Q100a-geral'!K819</f>
        <v>x</v>
      </c>
      <c r="L299" s="58" t="str">
        <f>'Q100a-geral'!L819</f>
        <v>x</v>
      </c>
      <c r="M299" s="58" t="str">
        <f>'Q100a-geral'!M819</f>
        <v>x</v>
      </c>
      <c r="N299" s="58" t="str">
        <f>'Q100a-geral'!N819</f>
        <v>x</v>
      </c>
      <c r="O299" s="58" t="str">
        <f>'Q100a-geral'!O819</f>
        <v>x</v>
      </c>
      <c r="P299" s="58" t="str">
        <f>'Q100a-geral'!P819</f>
        <v>x</v>
      </c>
      <c r="Q299" s="58" t="str">
        <f>'Q100a-geral'!Q819</f>
        <v>x</v>
      </c>
      <c r="R299" s="58" t="str">
        <f>'Q100a-geral'!R819</f>
        <v>x</v>
      </c>
      <c r="S299" s="649" t="str">
        <f>'Q100a-geral'!S819</f>
        <v>só para pesquisa</v>
      </c>
      <c r="T299" s="21">
        <f>'Q100a-geral'!T819</f>
        <v>0.74986531385306165</v>
      </c>
      <c r="U299" s="21">
        <f>'Q100a-geral'!U819</f>
        <v>0.74843429788724003</v>
      </c>
      <c r="V299" s="107" t="str">
        <f>'Q100a-geral'!V819</f>
        <v>só para pesquisa</v>
      </c>
      <c r="W299" s="21">
        <f>'Q100a-geral'!W819</f>
        <v>0.74211666376458296</v>
      </c>
      <c r="X299" s="21">
        <f>'Q100a-geral'!X819</f>
        <v>0.73540210336930323</v>
      </c>
      <c r="Y299" s="21">
        <f>'Q100a-geral'!Y819</f>
        <v>0.73455855472954934</v>
      </c>
      <c r="Z299" s="21">
        <f>'Q100a-geral'!Z819</f>
        <v>0.732533985272947</v>
      </c>
      <c r="AA299" s="21">
        <f>'Q100a-geral'!AA819</f>
        <v>0.72811521849725991</v>
      </c>
      <c r="AB299" s="21">
        <f>'Q100a-geral'!AB819</f>
        <v>0.72297906016083124</v>
      </c>
      <c r="AC299" s="21">
        <f>'Q100a-geral'!AC819</f>
        <v>0.71581876889457252</v>
      </c>
      <c r="AD299" s="21">
        <f>'Q100a-geral'!AD819</f>
        <v>0.70977431657814471</v>
      </c>
      <c r="AE299" s="21">
        <f>'Q100a-geral'!AE819</f>
        <v>0.70792746644810978</v>
      </c>
      <c r="AF299" s="21">
        <f>'Q100a-geral'!AF819</f>
        <v>0.70386698699546146</v>
      </c>
      <c r="AG299" s="21">
        <f>'Q100a-geral'!AG819</f>
        <v>0.69783161347399925</v>
      </c>
      <c r="AH299" s="21">
        <f>'Q100a-geral'!AH819</f>
        <v>0.69337672116682758</v>
      </c>
      <c r="AI299" s="21">
        <f>'Q100a-geral'!AI819</f>
        <v>0.68938742586002377</v>
      </c>
      <c r="AJ299" s="21">
        <f>'Q100a-geral'!AJ819</f>
        <v>0.68441963834421327</v>
      </c>
      <c r="AK299" s="23">
        <f>'Q100a-geral'!AK819</f>
        <v>0.68405686205396077</v>
      </c>
      <c r="AL299" s="212" t="str">
        <f>'Q100a-geral'!AL819</f>
        <v>x</v>
      </c>
      <c r="AM299" s="137" t="str">
        <f>'Q100a-geral'!AM819</f>
        <v>x</v>
      </c>
      <c r="AN299" s="137" t="str">
        <f>'Q100a-geral'!AN819</f>
        <v>x</v>
      </c>
      <c r="AO299" s="137" t="str">
        <f>'Q100a-geral'!AO819</f>
        <v>x</v>
      </c>
      <c r="AP299" s="137" t="str">
        <f>'Q100a-geral'!AP819</f>
        <v>x</v>
      </c>
      <c r="AQ299" s="137" t="str">
        <f>'Q100a-geral'!AQ819</f>
        <v>x</v>
      </c>
      <c r="AR299" s="137"/>
      <c r="AS299" s="137"/>
      <c r="AT299" s="137"/>
      <c r="AU299" s="137"/>
      <c r="AV299" s="137" t="str">
        <f>'Q100a-geral'!AV819</f>
        <v>x</v>
      </c>
      <c r="AW299" s="137"/>
      <c r="AX299" s="137"/>
      <c r="AY299" s="137"/>
      <c r="AZ299" s="137"/>
      <c r="BA299" s="137" t="str">
        <f>'Q100a-geral'!BA819</f>
        <v>x</v>
      </c>
      <c r="BB299" s="239" t="str">
        <f>'Q100a-geral'!BB819</f>
        <v>Frota e condutores de veículos automotoresx</v>
      </c>
      <c r="BC299" s="239" t="str">
        <f>'Q100a-geral'!BC819</f>
        <v>Frota e condutores de veículos automotoresxx</v>
      </c>
      <c r="BD299" s="239" t="str">
        <f>'Q100a-geral'!BD819</f>
        <v>Frota e condutores de veículos automotoresx</v>
      </c>
    </row>
    <row r="300" spans="1:56" s="1" customFormat="1" ht="51" customHeight="1" x14ac:dyDescent="0.25">
      <c r="A300" s="275" t="str">
        <f>'Q100a-geral'!A820</f>
        <v>2.2</v>
      </c>
      <c r="B300" s="54" t="str">
        <f>'Q100a-geral'!B820</f>
        <v>Frota e condutores de veículos automotores</v>
      </c>
      <c r="C300" s="229" t="str">
        <f>'Q100a-geral'!C820</f>
        <v>x</v>
      </c>
      <c r="D300" s="104" t="str">
        <f>'Q100a-geral'!D820</f>
        <v>F a por habitante</v>
      </c>
      <c r="E300" s="14" t="str">
        <f>'Q100a-geral'!E820</f>
        <v>Belo Horizonte</v>
      </c>
      <c r="F300" s="633" t="str">
        <f>'Q100a-geral'!F820</f>
        <v>relação entre frota de automóvel e população, calculando-se a quantidade de automóveis registrados no município de Belo Horizonte para cada habitante, indicador por vezes expresso na forma de 1 habitante para cada x automóveis</v>
      </c>
      <c r="G300" s="14" t="str">
        <f>'Q100a-geral'!G820</f>
        <v>Fa/P</v>
      </c>
      <c r="H300" s="233" t="str">
        <f>'Q100a-geral'!H820</f>
        <v>x</v>
      </c>
      <c r="I300" s="172">
        <f>'Q100a-geral'!I820</f>
        <v>1</v>
      </c>
      <c r="J300" s="11" t="str">
        <f>'Q100a-geral'!J820</f>
        <v>x</v>
      </c>
      <c r="K300" s="58" t="str">
        <f>'Q100a-geral'!K820</f>
        <v>x</v>
      </c>
      <c r="L300" s="58" t="str">
        <f>'Q100a-geral'!L820</f>
        <v>x</v>
      </c>
      <c r="M300" s="58" t="str">
        <f>'Q100a-geral'!M820</f>
        <v>x</v>
      </c>
      <c r="N300" s="58" t="str">
        <f>'Q100a-geral'!N820</f>
        <v>x</v>
      </c>
      <c r="O300" s="58" t="str">
        <f>'Q100a-geral'!O820</f>
        <v>x</v>
      </c>
      <c r="P300" s="58" t="str">
        <f>'Q100a-geral'!P820</f>
        <v>x</v>
      </c>
      <c r="Q300" s="58" t="str">
        <f>'Q100a-geral'!Q820</f>
        <v>x</v>
      </c>
      <c r="R300" s="58" t="str">
        <f>'Q100a-geral'!R820</f>
        <v>x</v>
      </c>
      <c r="S300" s="649" t="str">
        <f>'Q100a-geral'!S820</f>
        <v>só para pesquisa</v>
      </c>
      <c r="T300" s="64">
        <f>'Q100a-geral'!T820</f>
        <v>0.23212762077362015</v>
      </c>
      <c r="U300" s="64">
        <f>'Q100a-geral'!U820</f>
        <v>0.22726159982059624</v>
      </c>
      <c r="V300" s="107" t="str">
        <f>'Q100a-geral'!V820</f>
        <v>só para pesquisa</v>
      </c>
      <c r="W300" s="64">
        <f>'Q100a-geral'!W820</f>
        <v>0.23587205855592799</v>
      </c>
      <c r="X300" s="64">
        <f>'Q100a-geral'!X820</f>
        <v>0.24190577412334074</v>
      </c>
      <c r="Y300" s="64">
        <f>'Q100a-geral'!Y820</f>
        <v>0.2518444695404482</v>
      </c>
      <c r="Z300" s="64">
        <f>'Q100a-geral'!Z820</f>
        <v>0.25609258033391136</v>
      </c>
      <c r="AA300" s="64">
        <f>'Q100a-geral'!AA820</f>
        <v>0.26451198970753104</v>
      </c>
      <c r="AB300" s="64">
        <f>'Q100a-geral'!AB820</f>
        <v>0.28055143504783492</v>
      </c>
      <c r="AC300" s="64">
        <f>'Q100a-geral'!AC820</f>
        <v>0.30272982676298638</v>
      </c>
      <c r="AD300" s="64">
        <f>'Q100a-geral'!AD820</f>
        <v>0.3228006417370603</v>
      </c>
      <c r="AE300" s="64">
        <f>'Q100a-geral'!AE820</f>
        <v>0.35217891745837204</v>
      </c>
      <c r="AF300" s="64">
        <f>'Q100a-geral'!AF820</f>
        <v>0.39484605399825107</v>
      </c>
      <c r="AG300" s="64">
        <f>'Q100a-geral'!AG820</f>
        <v>0.41825464026424775</v>
      </c>
      <c r="AH300" s="64">
        <f>'Q100a-geral'!AH820</f>
        <v>0.43624573991405741</v>
      </c>
      <c r="AI300" s="64">
        <f>'Q100a-geral'!AI820</f>
        <v>0.43952822825427107</v>
      </c>
      <c r="AJ300" s="64">
        <f>'Q100a-geral'!AJ820</f>
        <v>0.44844284212372881</v>
      </c>
      <c r="AK300" s="23">
        <f>'Q100a-geral'!AK820</f>
        <v>0.46296487952122567</v>
      </c>
      <c r="AL300" s="212" t="str">
        <f>'Q100a-geral'!AL820</f>
        <v>x</v>
      </c>
      <c r="AM300" s="137" t="str">
        <f>'Q100a-geral'!AM820</f>
        <v>x</v>
      </c>
      <c r="AN300" s="137" t="str">
        <f>'Q100a-geral'!AN820</f>
        <v>x</v>
      </c>
      <c r="AO300" s="137" t="str">
        <f>'Q100a-geral'!AO820</f>
        <v>x</v>
      </c>
      <c r="AP300" s="137" t="str">
        <f>'Q100a-geral'!AP820</f>
        <v>x</v>
      </c>
      <c r="AQ300" s="137" t="str">
        <f>'Q100a-geral'!AQ820</f>
        <v>x</v>
      </c>
      <c r="AR300" s="137"/>
      <c r="AS300" s="137"/>
      <c r="AT300" s="137"/>
      <c r="AU300" s="137"/>
      <c r="AV300" s="137" t="str">
        <f>'Q100a-geral'!AV820</f>
        <v>x</v>
      </c>
      <c r="AW300" s="137"/>
      <c r="AX300" s="137"/>
      <c r="AY300" s="137"/>
      <c r="AZ300" s="137"/>
      <c r="BA300" s="137" t="str">
        <f>'Q100a-geral'!BA820</f>
        <v>x</v>
      </c>
      <c r="BB300" s="239" t="str">
        <f>'Q100a-geral'!BB820</f>
        <v>Frota e condutores de veículos automotoresx</v>
      </c>
      <c r="BC300" s="239" t="str">
        <f>'Q100a-geral'!BC820</f>
        <v>Frota e condutores de veículos automotoresxx</v>
      </c>
      <c r="BD300" s="239" t="str">
        <f>'Q100a-geral'!BD820</f>
        <v>Frota e condutores de veículos automotoresx</v>
      </c>
    </row>
    <row r="301" spans="1:56" s="1" customFormat="1" ht="51" customHeight="1" x14ac:dyDescent="0.25">
      <c r="A301" s="275" t="str">
        <f>'Q100a-geral'!A821</f>
        <v>2.2</v>
      </c>
      <c r="B301" s="54" t="str">
        <f>'Q100a-geral'!B821</f>
        <v>Frota e condutores de veículos automotores</v>
      </c>
      <c r="C301" s="229" t="str">
        <f>'Q100a-geral'!C821</f>
        <v>x</v>
      </c>
      <c r="D301" s="104" t="str">
        <f>'Q100a-geral'!D821</f>
        <v>F acc</v>
      </c>
      <c r="E301" s="14" t="str">
        <f>'Q100a-geral'!E821</f>
        <v>Belo Horizonte</v>
      </c>
      <c r="F301" s="447" t="str">
        <f>'Q100a-geral'!F821</f>
        <v>frota da categoria "automóveis, caminhonetes e camionetas" registrada no município de Belo Horizonte
obs.1: acesse, para comparar, "F veículos leves", que não pode ser confundido com este indicador
obs.2: esta categoria é denominada simplesmente como "automóveis" em estudo de pesquisador do INCT Observatório das Metrópoles conforme RODRIGUES(2012, p.3): "Incluímos na categoria automóvel as camionetes e camionetas, pressupondo que são veículos particulares que compõem o tráfego urbano".</v>
      </c>
      <c r="G301" s="14" t="str">
        <f>'Q100a-geral'!G821</f>
        <v>Fa + Fcma + Fcme</v>
      </c>
      <c r="H301" s="173" t="str">
        <f>'Q100a-geral'!H821</f>
        <v>x</v>
      </c>
      <c r="I301" s="57">
        <f>'Q100a-geral'!I821</f>
        <v>1</v>
      </c>
      <c r="J301" s="11" t="str">
        <f>'Q100a-geral'!J821</f>
        <v>x</v>
      </c>
      <c r="K301" s="23" t="str">
        <f>'Q100a-geral'!K821</f>
        <v>x</v>
      </c>
      <c r="L301" s="23" t="str">
        <f>'Q100a-geral'!L821</f>
        <v>x</v>
      </c>
      <c r="M301" s="23" t="str">
        <f>'Q100a-geral'!M821</f>
        <v>x</v>
      </c>
      <c r="N301" s="23" t="str">
        <f>'Q100a-geral'!N821</f>
        <v>x</v>
      </c>
      <c r="O301" s="23" t="str">
        <f>'Q100a-geral'!O821</f>
        <v>x</v>
      </c>
      <c r="P301" s="23" t="str">
        <f>'Q100a-geral'!P821</f>
        <v>x</v>
      </c>
      <c r="Q301" s="23" t="str">
        <f>'Q100a-geral'!Q821</f>
        <v>x</v>
      </c>
      <c r="R301" s="23" t="str">
        <f>'Q100a-geral'!R821</f>
        <v>x</v>
      </c>
      <c r="S301" s="649" t="str">
        <f>'Q100a-geral'!S821</f>
        <v>só para pesquisa</v>
      </c>
      <c r="T301" s="20">
        <f>'Q100a-geral'!T821</f>
        <v>559064</v>
      </c>
      <c r="U301" s="20">
        <f>'Q100a-geral'!U821</f>
        <v>581894</v>
      </c>
      <c r="V301" s="107" t="str">
        <f>'Q100a-geral'!V821</f>
        <v>só para pesquisa</v>
      </c>
      <c r="W301" s="20">
        <f>'Q100a-geral'!W821</f>
        <v>610878</v>
      </c>
      <c r="X301" s="20">
        <f>'Q100a-geral'!X821</f>
        <v>634086</v>
      </c>
      <c r="Y301" s="20">
        <f>'Q100a-geral'!Y821</f>
        <v>665448</v>
      </c>
      <c r="Z301" s="20">
        <f>'Q100a-geral'!Z821</f>
        <v>689318</v>
      </c>
      <c r="AA301" s="20">
        <f>'Q100a-geral'!AA821</f>
        <v>721460</v>
      </c>
      <c r="AB301" s="20">
        <f>'Q100a-geral'!AB821</f>
        <v>772753</v>
      </c>
      <c r="AC301" s="20">
        <f>'Q100a-geral'!AC821</f>
        <v>837714</v>
      </c>
      <c r="AD301" s="20">
        <f>'Q100a-geral'!AD821</f>
        <v>901203</v>
      </c>
      <c r="AE301" s="20">
        <f>'Q100a-geral'!AE821</f>
        <v>989801</v>
      </c>
      <c r="AF301" s="20">
        <f>'Q100a-geral'!AF821</f>
        <v>1080762</v>
      </c>
      <c r="AG301" s="20">
        <f>'Q100a-geral'!AG821</f>
        <v>1156219</v>
      </c>
      <c r="AH301" s="20">
        <f>'Q100a-geral'!AH821</f>
        <v>1219375</v>
      </c>
      <c r="AI301" s="20">
        <f>'Q100a-geral'!AI821</f>
        <v>1278743</v>
      </c>
      <c r="AJ301" s="20">
        <f>'Q100a-geral'!AJ821</f>
        <v>1320212</v>
      </c>
      <c r="AK301" s="20">
        <f>'Q100a-geral'!AK821</f>
        <v>1372910</v>
      </c>
      <c r="AL301" s="212" t="str">
        <f>'Q100a-geral'!AL821</f>
        <v>x</v>
      </c>
      <c r="AM301" s="137" t="str">
        <f>'Q100a-geral'!AM821</f>
        <v>x</v>
      </c>
      <c r="AN301" s="137" t="str">
        <f>'Q100a-geral'!AN821</f>
        <v>x</v>
      </c>
      <c r="AO301" s="137" t="str">
        <f>'Q100a-geral'!AO821</f>
        <v>x</v>
      </c>
      <c r="AP301" s="137" t="str">
        <f>'Q100a-geral'!AP821</f>
        <v>x</v>
      </c>
      <c r="AQ301" s="137" t="str">
        <f>'Q100a-geral'!AQ821</f>
        <v>x</v>
      </c>
      <c r="AR301" s="137"/>
      <c r="AS301" s="137"/>
      <c r="AT301" s="137"/>
      <c r="AU301" s="137"/>
      <c r="AV301" s="137" t="str">
        <f>'Q100a-geral'!AV821</f>
        <v>x</v>
      </c>
      <c r="AW301" s="137"/>
      <c r="AX301" s="137"/>
      <c r="AY301" s="137"/>
      <c r="AZ301" s="137"/>
      <c r="BA301" s="137" t="str">
        <f>'Q100a-geral'!BA821</f>
        <v>x</v>
      </c>
      <c r="BB301" s="239" t="str">
        <f>'Q100a-geral'!BB821</f>
        <v>Frota e condutores de veículos automotoresx</v>
      </c>
      <c r="BC301" s="239" t="str">
        <f>'Q100a-geral'!BC821</f>
        <v>Frota e condutores de veículos automotoresxx</v>
      </c>
      <c r="BD301" s="239" t="str">
        <f>'Q100a-geral'!BD821</f>
        <v>Frota e condutores de veículos automotoresx</v>
      </c>
    </row>
    <row r="302" spans="1:56" s="1" customFormat="1" ht="51" customHeight="1" x14ac:dyDescent="0.25">
      <c r="A302" s="275" t="str">
        <f>'Q100a-geral'!A822</f>
        <v>2.2</v>
      </c>
      <c r="B302" s="54" t="str">
        <f>'Q100a-geral'!B822</f>
        <v>Frota e condutores de veículos automotores</v>
      </c>
      <c r="C302" s="229" t="str">
        <f>'Q100a-geral'!C822</f>
        <v>x</v>
      </c>
      <c r="D302" s="104" t="str">
        <f>'Q100a-geral'!D822</f>
        <v>F acc
(acréscimo anual)</v>
      </c>
      <c r="E302" s="14" t="str">
        <f>'Q100a-geral'!E822</f>
        <v>Belo Horizonte</v>
      </c>
      <c r="F302" s="447" t="str">
        <f>'Q100a-geral'!F822</f>
        <v>acrécimo percentual anual da frota da categoria "automóveis, caminhonetes e camionetas" registrada no município de Belo Horizonte</v>
      </c>
      <c r="G302" s="14" t="str">
        <f>'Q100a-geral'!G822</f>
        <v>((F acc ano - F acc ano anterior) / F acc ano) x 100</v>
      </c>
      <c r="H302" s="173" t="str">
        <f>'Q100a-geral'!H822</f>
        <v>x</v>
      </c>
      <c r="I302" s="57">
        <f>'Q100a-geral'!I822</f>
        <v>1</v>
      </c>
      <c r="J302" s="1139" t="str">
        <f>'Q100a-geral'!J822</f>
        <v>x</v>
      </c>
      <c r="K302" s="23" t="str">
        <f>'Q100a-geral'!K822</f>
        <v>x</v>
      </c>
      <c r="L302" s="23" t="str">
        <f>'Q100a-geral'!L822</f>
        <v>x</v>
      </c>
      <c r="M302" s="23" t="str">
        <f>'Q100a-geral'!M822</f>
        <v>x</v>
      </c>
      <c r="N302" s="23" t="str">
        <f>'Q100a-geral'!N822</f>
        <v>x</v>
      </c>
      <c r="O302" s="23" t="str">
        <f>'Q100a-geral'!O822</f>
        <v>x</v>
      </c>
      <c r="P302" s="23" t="str">
        <f>'Q100a-geral'!P822</f>
        <v>x</v>
      </c>
      <c r="Q302" s="23" t="str">
        <f>'Q100a-geral'!Q822</f>
        <v>x</v>
      </c>
      <c r="R302" s="23" t="str">
        <f>'Q100a-geral'!R822</f>
        <v>x</v>
      </c>
      <c r="S302" s="649" t="str">
        <f>'Q100a-geral'!S822</f>
        <v>só para pesquisa</v>
      </c>
      <c r="T302" s="20" t="str">
        <f>'Q100a-geral'!T822</f>
        <v>x</v>
      </c>
      <c r="U302" s="47">
        <f>'Q100a-geral'!U822</f>
        <v>3.9233949825913314E-2</v>
      </c>
      <c r="V302" s="107" t="str">
        <f>'Q100a-geral'!V822</f>
        <v>só para pesquisa</v>
      </c>
      <c r="W302" s="47">
        <f>'Q100a-geral'!W822</f>
        <v>4.7446462305075647E-2</v>
      </c>
      <c r="X302" s="47">
        <f>'Q100a-geral'!X822</f>
        <v>3.6600713467889213E-2</v>
      </c>
      <c r="Y302" s="47">
        <f>'Q100a-geral'!Y822</f>
        <v>4.7129152090020561E-2</v>
      </c>
      <c r="Z302" s="47">
        <f>'Q100a-geral'!Z822</f>
        <v>3.4628429839348454E-2</v>
      </c>
      <c r="AA302" s="47">
        <f>'Q100a-geral'!AA822</f>
        <v>4.4551326476866354E-2</v>
      </c>
      <c r="AB302" s="47">
        <f>'Q100a-geral'!AB822</f>
        <v>6.6376966508056259E-2</v>
      </c>
      <c r="AC302" s="47">
        <f>'Q100a-geral'!AC822</f>
        <v>7.7545558508034962E-2</v>
      </c>
      <c r="AD302" s="47">
        <f>'Q100a-geral'!AD822</f>
        <v>7.0449166281070966E-2</v>
      </c>
      <c r="AE302" s="47">
        <f>'Q100a-geral'!AE822</f>
        <v>8.9510921892380385E-2</v>
      </c>
      <c r="AF302" s="47">
        <f>'Q100a-geral'!AF822</f>
        <v>8.4163765935515861E-2</v>
      </c>
      <c r="AG302" s="47">
        <f>'Q100a-geral'!AG822</f>
        <v>6.5261857831431583E-2</v>
      </c>
      <c r="AH302" s="47">
        <f>'Q100a-geral'!AH822</f>
        <v>5.1793746796514606E-2</v>
      </c>
      <c r="AI302" s="47">
        <f>'Q100a-geral'!AI822</f>
        <v>4.6426842610282126E-2</v>
      </c>
      <c r="AJ302" s="47">
        <f>'Q100a-geral'!AJ822</f>
        <v>3.1410864315731112E-2</v>
      </c>
      <c r="AK302" s="47">
        <f>'Q100a-geral'!AK822</f>
        <v>3.838416210822268E-2</v>
      </c>
      <c r="AL302" s="212" t="str">
        <f>'Q100a-geral'!AL822</f>
        <v>x</v>
      </c>
      <c r="AM302" s="137" t="str">
        <f>'Q100a-geral'!AM822</f>
        <v>x</v>
      </c>
      <c r="AN302" s="137" t="str">
        <f>'Q100a-geral'!AN822</f>
        <v>x</v>
      </c>
      <c r="AO302" s="137" t="str">
        <f>'Q100a-geral'!AO822</f>
        <v>x</v>
      </c>
      <c r="AP302" s="137" t="str">
        <f>'Q100a-geral'!AP822</f>
        <v>x</v>
      </c>
      <c r="AQ302" s="137" t="str">
        <f>'Q100a-geral'!AQ822</f>
        <v>x</v>
      </c>
      <c r="AR302" s="137"/>
      <c r="AS302" s="137"/>
      <c r="AT302" s="137"/>
      <c r="AU302" s="137"/>
      <c r="AV302" s="137" t="str">
        <f>'Q100a-geral'!AV822</f>
        <v>x</v>
      </c>
      <c r="AW302" s="137"/>
      <c r="AX302" s="137"/>
      <c r="AY302" s="137"/>
      <c r="AZ302" s="137"/>
      <c r="BA302" s="137" t="str">
        <f>'Q100a-geral'!BA822</f>
        <v>x</v>
      </c>
      <c r="BB302" s="239" t="str">
        <f>'Q100a-geral'!BB822</f>
        <v>Frota e condutores de veículos automotoresx</v>
      </c>
      <c r="BC302" s="239" t="str">
        <f>'Q100a-geral'!BC822</f>
        <v>Frota e condutores de veículos automotoresxx</v>
      </c>
      <c r="BD302" s="239" t="str">
        <f>'Q100a-geral'!BD822</f>
        <v>Frota e condutores de veículos automotoresx</v>
      </c>
    </row>
    <row r="303" spans="1:56" s="1" customFormat="1" ht="51" customHeight="1" x14ac:dyDescent="0.25">
      <c r="A303" s="1161"/>
      <c r="B303" s="1162"/>
      <c r="C303" s="1163"/>
      <c r="D303" s="892" t="s">
        <v>3665</v>
      </c>
      <c r="E303" s="1164"/>
      <c r="F303" s="1165"/>
      <c r="G303" s="1164"/>
      <c r="H303" s="1164"/>
      <c r="I303" s="371"/>
      <c r="J303" s="371"/>
      <c r="K303" s="420"/>
      <c r="L303" s="420"/>
      <c r="M303" s="420"/>
      <c r="N303" s="420"/>
      <c r="O303" s="420"/>
      <c r="P303" s="420"/>
      <c r="Q303" s="420"/>
      <c r="R303" s="420"/>
      <c r="S303" s="649" t="str">
        <f>'Q100a-geral'!S823</f>
        <v>só para pesquisa</v>
      </c>
      <c r="T303" s="419">
        <f>T301/1000000</f>
        <v>0.55906400000000001</v>
      </c>
      <c r="U303" s="419">
        <f>U301/1000000</f>
        <v>0.58189400000000002</v>
      </c>
      <c r="V303" s="107" t="str">
        <f>'Q100a-geral'!V823</f>
        <v>só para pesquisa</v>
      </c>
      <c r="W303" s="419">
        <f t="shared" ref="W303:AK303" si="3">W301/1000000</f>
        <v>0.61087800000000003</v>
      </c>
      <c r="X303" s="419">
        <f t="shared" si="3"/>
        <v>0.63408600000000004</v>
      </c>
      <c r="Y303" s="419">
        <f t="shared" si="3"/>
        <v>0.66544800000000004</v>
      </c>
      <c r="Z303" s="419">
        <f t="shared" si="3"/>
        <v>0.68931799999999999</v>
      </c>
      <c r="AA303" s="419">
        <f t="shared" si="3"/>
        <v>0.72145999999999999</v>
      </c>
      <c r="AB303" s="419">
        <f t="shared" si="3"/>
        <v>0.77275300000000002</v>
      </c>
      <c r="AC303" s="419">
        <f t="shared" si="3"/>
        <v>0.83771399999999996</v>
      </c>
      <c r="AD303" s="419">
        <f t="shared" si="3"/>
        <v>0.90120299999999998</v>
      </c>
      <c r="AE303" s="419">
        <f t="shared" si="3"/>
        <v>0.98980100000000004</v>
      </c>
      <c r="AF303" s="419">
        <f t="shared" si="3"/>
        <v>1.080762</v>
      </c>
      <c r="AG303" s="419">
        <f t="shared" si="3"/>
        <v>1.1562190000000001</v>
      </c>
      <c r="AH303" s="419">
        <f t="shared" si="3"/>
        <v>1.2193750000000001</v>
      </c>
      <c r="AI303" s="419">
        <f t="shared" si="3"/>
        <v>1.278743</v>
      </c>
      <c r="AJ303" s="419">
        <f t="shared" si="3"/>
        <v>1.3202119999999999</v>
      </c>
      <c r="AK303" s="419">
        <f t="shared" si="3"/>
        <v>1.3729100000000001</v>
      </c>
      <c r="AL303" s="212" t="str">
        <f>'Q100a-geral'!AL823</f>
        <v>x</v>
      </c>
      <c r="AM303" s="420"/>
      <c r="AN303" s="420"/>
      <c r="AO303" s="420"/>
      <c r="AP303" s="420"/>
      <c r="AQ303" s="420"/>
      <c r="AR303" s="420"/>
      <c r="AS303" s="420"/>
      <c r="AT303" s="420"/>
      <c r="AU303" s="420"/>
      <c r="AV303" s="420"/>
      <c r="AW303" s="420"/>
      <c r="AX303" s="420"/>
      <c r="AY303" s="420"/>
      <c r="AZ303" s="420"/>
      <c r="BA303" s="420"/>
      <c r="BB303" s="1168"/>
      <c r="BC303" s="1168"/>
      <c r="BD303" s="1168"/>
    </row>
    <row r="304" spans="1:56" s="1" customFormat="1" ht="51" customHeight="1" x14ac:dyDescent="0.25">
      <c r="A304" s="275" t="str">
        <f>'Q100a-geral'!A823</f>
        <v>2.2</v>
      </c>
      <c r="B304" s="54" t="str">
        <f>'Q100a-geral'!B823</f>
        <v>Frota e condutores de veículos automotores</v>
      </c>
      <c r="C304" s="229" t="str">
        <f>'Q100a-geral'!C823</f>
        <v>x</v>
      </c>
      <c r="D304" s="104" t="str">
        <f>'Q100a-geral'!D823</f>
        <v>F acc em relação a F</v>
      </c>
      <c r="E304" s="14" t="str">
        <f>'Q100a-geral'!E823</f>
        <v>Belo Horizonte</v>
      </c>
      <c r="F304" s="633" t="str">
        <f>'Q100a-geral'!F823</f>
        <v>relação entre frota da categoria "automóvel, caminhonete e camioneta" e frota total, ou seja, percentual da frota de "automóvel, caminhonete e camioneta" em relação à frota total</v>
      </c>
      <c r="G304" s="14" t="str">
        <f>'Q100a-geral'!G823</f>
        <v>(Facc/F) x 100</v>
      </c>
      <c r="H304" s="233" t="str">
        <f>'Q100a-geral'!H823</f>
        <v>x</v>
      </c>
      <c r="I304" s="172">
        <f>'Q100a-geral'!I823</f>
        <v>1</v>
      </c>
      <c r="J304" s="11" t="str">
        <f>'Q100a-geral'!J823</f>
        <v>x</v>
      </c>
      <c r="K304" s="20" t="str">
        <f>'Q100a-geral'!K823</f>
        <v>x</v>
      </c>
      <c r="L304" s="20" t="str">
        <f>'Q100a-geral'!L823</f>
        <v>x</v>
      </c>
      <c r="M304" s="20" t="str">
        <f>'Q100a-geral'!M823</f>
        <v>x</v>
      </c>
      <c r="N304" s="20" t="str">
        <f>'Q100a-geral'!N823</f>
        <v>x</v>
      </c>
      <c r="O304" s="20" t="str">
        <f>'Q100a-geral'!O823</f>
        <v>x</v>
      </c>
      <c r="P304" s="20" t="str">
        <f>'Q100a-geral'!P823</f>
        <v>x</v>
      </c>
      <c r="Q304" s="20" t="str">
        <f>'Q100a-geral'!Q823</f>
        <v>x</v>
      </c>
      <c r="R304" s="20" t="str">
        <f>'Q100a-geral'!R823</f>
        <v>x</v>
      </c>
      <c r="S304" s="649" t="str">
        <f>'Q100a-geral'!S823</f>
        <v>só para pesquisa</v>
      </c>
      <c r="T304" s="21">
        <f>'Q100a-geral'!T823</f>
        <v>0.85323712240185468</v>
      </c>
      <c r="U304" s="21">
        <f>'Q100a-geral'!U823</f>
        <v>0.85607015757796878</v>
      </c>
      <c r="V304" s="107" t="str">
        <f>'Q100a-geral'!V823</f>
        <v>só para pesquisa</v>
      </c>
      <c r="W304" s="21">
        <f>'Q100a-geral'!W823</f>
        <v>0.85095316036914503</v>
      </c>
      <c r="X304" s="21">
        <f>'Q100a-geral'!X823</f>
        <v>0.84380426928343588</v>
      </c>
      <c r="Y304" s="21">
        <f>'Q100a-geral'!Y823</f>
        <v>0.84175214502290174</v>
      </c>
      <c r="Z304" s="21">
        <f>'Q100a-geral'!Z823</f>
        <v>0.83883843442007511</v>
      </c>
      <c r="AA304" s="21">
        <f>'Q100a-geral'!AA823</f>
        <v>0.83607114009806272</v>
      </c>
      <c r="AB304" s="21">
        <f>'Q100a-geral'!AB823</f>
        <v>0.82976891119493779</v>
      </c>
      <c r="AC304" s="21">
        <f>'Q100a-geral'!AC823</f>
        <v>0.82091399509047347</v>
      </c>
      <c r="AD304" s="21">
        <f>'Q100a-geral'!AD823</f>
        <v>0.81390442525190587</v>
      </c>
      <c r="AE304" s="21">
        <f>'Q100a-geral'!AE823</f>
        <v>0.81122917733838751</v>
      </c>
      <c r="AF304" s="21">
        <f>'Q100a-geral'!AF823</f>
        <v>0.81115086450497265</v>
      </c>
      <c r="AG304" s="21">
        <f>'Q100a-geral'!AG823</f>
        <v>0.80862109359974543</v>
      </c>
      <c r="AH304" s="21">
        <f>'Q100a-geral'!AH823</f>
        <v>0.80896084811936297</v>
      </c>
      <c r="AI304" s="21">
        <f>'Q100a-geral'!AI823</f>
        <v>0.80901099248714903</v>
      </c>
      <c r="AJ304" s="21">
        <f>'Q100a-geral'!AJ823</f>
        <v>0.80884687372680686</v>
      </c>
      <c r="AK304" s="47">
        <f>'Q100a-geral'!AK823</f>
        <v>0.81059187713620906</v>
      </c>
      <c r="AL304" s="212" t="str">
        <f>'Q100a-geral'!AL823</f>
        <v>x</v>
      </c>
      <c r="AM304" s="137" t="str">
        <f>'Q100a-geral'!AM823</f>
        <v>x</v>
      </c>
      <c r="AN304" s="137" t="str">
        <f>'Q100a-geral'!AN823</f>
        <v>x</v>
      </c>
      <c r="AO304" s="137" t="str">
        <f>'Q100a-geral'!AO823</f>
        <v>x</v>
      </c>
      <c r="AP304" s="137" t="str">
        <f>'Q100a-geral'!AP823</f>
        <v>x</v>
      </c>
      <c r="AQ304" s="137" t="str">
        <f>'Q100a-geral'!AQ823</f>
        <v>x</v>
      </c>
      <c r="AR304" s="137"/>
      <c r="AS304" s="137"/>
      <c r="AT304" s="137"/>
      <c r="AU304" s="137"/>
      <c r="AV304" s="137" t="str">
        <f>'Q100a-geral'!AV823</f>
        <v>x</v>
      </c>
      <c r="AW304" s="137"/>
      <c r="AX304" s="137"/>
      <c r="AY304" s="137"/>
      <c r="AZ304" s="137"/>
      <c r="BA304" s="137" t="str">
        <f>'Q100a-geral'!BA823</f>
        <v>x</v>
      </c>
      <c r="BB304" s="239" t="str">
        <f>'Q100a-geral'!BB823</f>
        <v>Frota e condutores de veículos automotoresx</v>
      </c>
      <c r="BC304" s="239" t="str">
        <f>'Q100a-geral'!BC823</f>
        <v>Frota e condutores de veículos automotoresxx</v>
      </c>
      <c r="BD304" s="239" t="str">
        <f>'Q100a-geral'!BD823</f>
        <v>Frota e condutores de veículos automotoresx</v>
      </c>
    </row>
    <row r="305" spans="1:56" s="1" customFormat="1" ht="51" customHeight="1" x14ac:dyDescent="0.25">
      <c r="A305" s="275" t="str">
        <f>'Q100a-geral'!A824</f>
        <v>2.2</v>
      </c>
      <c r="B305" s="54" t="str">
        <f>'Q100a-geral'!B824</f>
        <v>Frota e condutores de veículos automotores</v>
      </c>
      <c r="C305" s="229" t="str">
        <f>'Q100a-geral'!C824</f>
        <v>x</v>
      </c>
      <c r="D305" s="26" t="str">
        <f>'Q100a-geral'!D824</f>
        <v>F acc por habitante</v>
      </c>
      <c r="E305" s="188" t="str">
        <f>'Q100a-geral'!E824</f>
        <v>Belo Horizonte</v>
      </c>
      <c r="F305" s="633" t="str">
        <f>'Q100a-geral'!F824</f>
        <v>relação entre a categoria "frota de automóveis, caminhotes e camionetas" e população, calculando-se a quantidade desses veículos registrados no território para cada habitante, indicador por vezes expresso na forma de 1 habitante para cada x veículos
obs.: se considerarmos que "personal automolibe" são os automóveis, caminhonetes e camionetas de uma cidade, este é o "indicador urbano global" denominado "Number of personal automobiles per capita" em GCIF(2011)</v>
      </c>
      <c r="G305" s="188" t="str">
        <f>'Q100a-geral'!G824</f>
        <v>Facc/P</v>
      </c>
      <c r="H305" s="233" t="str">
        <f>'Q100a-geral'!H824</f>
        <v>x</v>
      </c>
      <c r="I305" s="172">
        <f>'Q100a-geral'!I824</f>
        <v>1</v>
      </c>
      <c r="J305" s="11" t="str">
        <f>'Q100a-geral'!J824</f>
        <v>x</v>
      </c>
      <c r="K305" s="20" t="str">
        <f>'Q100a-geral'!K824</f>
        <v>x</v>
      </c>
      <c r="L305" s="20" t="str">
        <f>'Q100a-geral'!L824</f>
        <v>x</v>
      </c>
      <c r="M305" s="20" t="str">
        <f>'Q100a-geral'!M824</f>
        <v>x</v>
      </c>
      <c r="N305" s="20" t="str">
        <f>'Q100a-geral'!N824</f>
        <v>x</v>
      </c>
      <c r="O305" s="20" t="str">
        <f>'Q100a-geral'!O824</f>
        <v>x</v>
      </c>
      <c r="P305" s="20" t="str">
        <f>'Q100a-geral'!P824</f>
        <v>x</v>
      </c>
      <c r="Q305" s="20" t="str">
        <f>'Q100a-geral'!Q824</f>
        <v>x</v>
      </c>
      <c r="R305" s="20" t="str">
        <f>'Q100a-geral'!R824</f>
        <v>x</v>
      </c>
      <c r="S305" s="649" t="str">
        <f>'Q100a-geral'!S824</f>
        <v>só para pesquisa</v>
      </c>
      <c r="T305" s="64">
        <f>'Q100a-geral'!T824</f>
        <v>0.26412730329020534</v>
      </c>
      <c r="U305" s="64">
        <f>'Q100a-geral'!U824</f>
        <v>0.25994516034211801</v>
      </c>
      <c r="V305" s="107" t="str">
        <f>'Q100a-geral'!V824</f>
        <v>só para pesquisa</v>
      </c>
      <c r="W305" s="64">
        <f>'Q100a-geral'!W824</f>
        <v>0.270464313053904</v>
      </c>
      <c r="X305" s="64">
        <f>'Q100a-geral'!X824</f>
        <v>0.27756396675287198</v>
      </c>
      <c r="Y305" s="64">
        <f>'Q100a-geral'!Y824</f>
        <v>0.28859594797841281</v>
      </c>
      <c r="Z305" s="64">
        <f>'Q100a-geral'!Z824</f>
        <v>0.29325642696816595</v>
      </c>
      <c r="AA305" s="64">
        <f>'Q100a-geral'!AA824</f>
        <v>0.30373055690390677</v>
      </c>
      <c r="AB305" s="64">
        <f>'Q100a-geral'!AB824</f>
        <v>0.32199114970499015</v>
      </c>
      <c r="AC305" s="64">
        <f>'Q100a-geral'!AC824</f>
        <v>0.34717607629208719</v>
      </c>
      <c r="AD305" s="64">
        <f>'Q100a-geral'!AD824</f>
        <v>0.3701583230717288</v>
      </c>
      <c r="AE305" s="64">
        <f>'Q100a-geral'!AE824</f>
        <v>0.40356933022970976</v>
      </c>
      <c r="AF305" s="64">
        <f>'Q100a-geral'!AF824</f>
        <v>0.45502875396132708</v>
      </c>
      <c r="AG305" s="64">
        <f>'Q100a-geral'!AG824</f>
        <v>0.48465778575141261</v>
      </c>
      <c r="AH305" s="64">
        <f>'Q100a-geral'!AH824</f>
        <v>0.5089667895908857</v>
      </c>
      <c r="AI305" s="64">
        <f>'Q100a-geral'!AI824</f>
        <v>0.51579584255182698</v>
      </c>
      <c r="AJ305" s="64">
        <f>'Q100a-geral'!AJ824</f>
        <v>0.52996958382792558</v>
      </c>
      <c r="AK305" s="23">
        <f>'Q100a-geral'!AK824</f>
        <v>0.5486028889651664</v>
      </c>
      <c r="AL305" s="212" t="str">
        <f>'Q100a-geral'!AL824</f>
        <v>x</v>
      </c>
      <c r="AM305" s="137" t="str">
        <f>'Q100a-geral'!AM824</f>
        <v>x</v>
      </c>
      <c r="AN305" s="137" t="str">
        <f>'Q100a-geral'!AN824</f>
        <v>x</v>
      </c>
      <c r="AO305" s="137" t="str">
        <f>'Q100a-geral'!AO824</f>
        <v>x</v>
      </c>
      <c r="AP305" s="137" t="str">
        <f>'Q100a-geral'!AP824</f>
        <v>x</v>
      </c>
      <c r="AQ305" s="137" t="str">
        <f>'Q100a-geral'!AQ824</f>
        <v>x</v>
      </c>
      <c r="AR305" s="137"/>
      <c r="AS305" s="137"/>
      <c r="AT305" s="137"/>
      <c r="AU305" s="137"/>
      <c r="AV305" s="137" t="str">
        <f>'Q100a-geral'!AV824</f>
        <v>x</v>
      </c>
      <c r="AW305" s="137"/>
      <c r="AX305" s="137"/>
      <c r="AY305" s="137"/>
      <c r="AZ305" s="137"/>
      <c r="BA305" s="137" t="str">
        <f>'Q100a-geral'!BA824</f>
        <v>x</v>
      </c>
      <c r="BB305" s="239" t="str">
        <f>'Q100a-geral'!BB824</f>
        <v>Frota e condutores de veículos automotoresx</v>
      </c>
      <c r="BC305" s="239" t="str">
        <f>'Q100a-geral'!BC824</f>
        <v>Frota e condutores de veículos automotoresxx</v>
      </c>
      <c r="BD305" s="239" t="str">
        <f>'Q100a-geral'!BD824</f>
        <v>Frota e condutores de veículos automotoresx</v>
      </c>
    </row>
    <row r="306" spans="1:56" ht="102" customHeight="1" x14ac:dyDescent="0.25">
      <c r="A306" s="275" t="str">
        <f>'Q100a-geral'!A825</f>
        <v>9.2</v>
      </c>
      <c r="B306" s="53" t="str">
        <f>'Q100a-geral'!B825</f>
        <v>Estacionamento</v>
      </c>
      <c r="C306" s="229" t="str">
        <f>'Q100a-geral'!C825</f>
        <v>x</v>
      </c>
      <c r="D306" s="240" t="str">
        <f>'Q100a-geral'!D825</f>
        <v>F acc por RT vr</v>
      </c>
      <c r="E306" s="252" t="str">
        <f>'Q100a-geral'!E825</f>
        <v>Belo Horizonte</v>
      </c>
      <c r="F306" s="446" t="str">
        <f>'Q100a-geral'!F825</f>
        <v>disponibilidade do estacionamento rotativo (expresso em n.º de veículos por vaga rotativa), que indica quantos veículos concorrem por cada vaga rotativa regulamentada
obs.1: são considerados veículos que concorrem às vagas rotativas regulamentadas os automóveis, as camionetas e as caminhonetes que, juntas, formam a categoria Facc
obs.2: o valor anual é tomado como sendo o valor apurado em dezembro de cada ano</v>
      </c>
      <c r="G306" s="188" t="str">
        <f>'Q100a-geral'!G825</f>
        <v>F acc / RT vr</v>
      </c>
      <c r="H306" s="168" t="str">
        <f>'Q100a-geral'!H825</f>
        <v>x</v>
      </c>
      <c r="I306" s="167">
        <f>'Q100a-geral'!I825</f>
        <v>1</v>
      </c>
      <c r="J306" s="107" t="str">
        <f>'Q100a-geral'!J825</f>
        <v>x</v>
      </c>
      <c r="K306" s="23" t="str">
        <f>'Q100a-geral'!K825</f>
        <v>x</v>
      </c>
      <c r="L306" s="23" t="str">
        <f>'Q100a-geral'!L825</f>
        <v>x</v>
      </c>
      <c r="M306" s="23" t="str">
        <f>'Q100a-geral'!M825</f>
        <v>x</v>
      </c>
      <c r="N306" s="23" t="str">
        <f>'Q100a-geral'!N825</f>
        <v>x</v>
      </c>
      <c r="O306" s="23" t="str">
        <f>'Q100a-geral'!O825</f>
        <v>x</v>
      </c>
      <c r="P306" s="23" t="str">
        <f>'Q100a-geral'!P825</f>
        <v>x</v>
      </c>
      <c r="Q306" s="23" t="str">
        <f>'Q100a-geral'!Q825</f>
        <v>x</v>
      </c>
      <c r="R306" s="23" t="str">
        <f>'Q100a-geral'!R825</f>
        <v>x</v>
      </c>
      <c r="S306" s="649" t="str">
        <f>'Q100a-geral'!S825</f>
        <v>só para pesquisa</v>
      </c>
      <c r="T306" s="23" t="str">
        <f>'Q100a-geral'!T825</f>
        <v>x</v>
      </c>
      <c r="U306" s="23" t="str">
        <f>'Q100a-geral'!U825</f>
        <v>x</v>
      </c>
      <c r="V306" s="107" t="str">
        <f>'Q100a-geral'!V825</f>
        <v>só para pesquisa</v>
      </c>
      <c r="W306" s="64">
        <f>'Q100a-geral'!W825</f>
        <v>9.383398359497404</v>
      </c>
      <c r="X306" s="64">
        <f>'Q100a-geral'!X825</f>
        <v>9.8173964203876878</v>
      </c>
      <c r="Y306" s="64">
        <f>'Q100a-geral'!Y825</f>
        <v>10.12411568713962</v>
      </c>
      <c r="Z306" s="64">
        <f>'Q100a-geral'!Z825</f>
        <v>10.39413130673422</v>
      </c>
      <c r="AA306" s="64">
        <f>'Q100a-geral'!AA825</f>
        <v>12.627065247829739</v>
      </c>
      <c r="AB306" s="64">
        <f>'Q100a-geral'!AB825</f>
        <v>12.768555849306015</v>
      </c>
      <c r="AC306" s="64">
        <f>'Q100a-geral'!AC825</f>
        <v>13.318399338622235</v>
      </c>
      <c r="AD306" s="64">
        <f>'Q100a-geral'!AD825</f>
        <v>12.603532669501007</v>
      </c>
      <c r="AE306" s="64">
        <f>'Q100a-geral'!AE825</f>
        <v>13.374785487467063</v>
      </c>
      <c r="AF306" s="64">
        <f>'Q100a-geral'!AF825</f>
        <v>12.810853099107428</v>
      </c>
      <c r="AG306" s="64">
        <f>'Q100a-geral'!AG825</f>
        <v>12.712828068477938</v>
      </c>
      <c r="AH306" s="64">
        <f>'Q100a-geral'!AH825</f>
        <v>13.407091808686092</v>
      </c>
      <c r="AI306" s="64">
        <f>'Q100a-geral'!AI825</f>
        <v>13.423150403090359</v>
      </c>
      <c r="AJ306" s="64">
        <f>'Q100a-geral'!AJ825</f>
        <v>13.490272214501758</v>
      </c>
      <c r="AK306" s="64">
        <f>'Q100a-geral'!AK825</f>
        <v>14.082283674557912</v>
      </c>
      <c r="AL306" s="212" t="str">
        <f>'Q100a-geral'!AL825</f>
        <v>x</v>
      </c>
      <c r="AM306" s="137" t="str">
        <f>'Q100a-geral'!AM825</f>
        <v>x</v>
      </c>
      <c r="AN306" s="137" t="str">
        <f>'Q100a-geral'!AN825</f>
        <v>x</v>
      </c>
      <c r="AO306" s="137" t="str">
        <f>'Q100a-geral'!AO825</f>
        <v>x</v>
      </c>
      <c r="AP306" s="137" t="str">
        <f>'Q100a-geral'!AP825</f>
        <v>x</v>
      </c>
      <c r="AQ306" s="137" t="str">
        <f>'Q100a-geral'!AQ825</f>
        <v>x</v>
      </c>
      <c r="AR306" s="137"/>
      <c r="AS306" s="137"/>
      <c r="AT306" s="137"/>
      <c r="AU306" s="137"/>
      <c r="AV306" s="137" t="str">
        <f>'Q100a-geral'!AV825</f>
        <v>x</v>
      </c>
      <c r="AW306" s="137"/>
      <c r="AX306" s="137"/>
      <c r="AY306" s="137"/>
      <c r="AZ306" s="137"/>
      <c r="BA306" s="137" t="str">
        <f>'Q100a-geral'!BA825</f>
        <v>x</v>
      </c>
      <c r="BB306" s="239" t="str">
        <f>'Q100a-geral'!BB825</f>
        <v>Estacionamentox</v>
      </c>
      <c r="BC306" s="239" t="str">
        <f>'Q100a-geral'!BC825</f>
        <v>Estacionamentoxx</v>
      </c>
      <c r="BD306" s="239" t="str">
        <f>'Q100a-geral'!BD825</f>
        <v>Estacionamentox</v>
      </c>
    </row>
    <row r="307" spans="1:56" ht="51" customHeight="1" x14ac:dyDescent="0.25">
      <c r="A307" s="275" t="str">
        <f>'Q100a-geral'!A827</f>
        <v>2.2</v>
      </c>
      <c r="B307" s="54" t="str">
        <f>'Q100a-geral'!B827</f>
        <v>Frota e condutores de veículos automotores</v>
      </c>
      <c r="C307" s="229" t="str">
        <f>'Q100a-geral'!C827</f>
        <v>x</v>
      </c>
      <c r="D307" s="104" t="str">
        <f>'Q100a-geral'!D827</f>
        <v>F caminhão trator</v>
      </c>
      <c r="E307" s="14" t="str">
        <f>'Q100a-geral'!E827</f>
        <v>Belo Horizonte</v>
      </c>
      <c r="F307" s="447" t="str">
        <f>'Q100a-geral'!F827</f>
        <v>frota de caminhão trator registrada no município
obs.: resultados de 2008-2014 conforme BHTRANS(2013b); MG(2013; 2014; 2015a); de 2015 conforme MG(2015b)</v>
      </c>
      <c r="G307" s="252" t="str">
        <f>'Q100a-geral'!G827</f>
        <v>registro na fonte</v>
      </c>
      <c r="H307" s="173" t="str">
        <f>'Q100a-geral'!H827</f>
        <v>x</v>
      </c>
      <c r="I307" s="57">
        <f>'Q100a-geral'!I827</f>
        <v>1</v>
      </c>
      <c r="J307" s="11" t="str">
        <f>'Q100a-geral'!J827</f>
        <v>x</v>
      </c>
      <c r="K307" s="13" t="str">
        <f>'Q100a-geral'!K827</f>
        <v>x</v>
      </c>
      <c r="L307" s="13" t="str">
        <f>'Q100a-geral'!L827</f>
        <v>x</v>
      </c>
      <c r="M307" s="13" t="str">
        <f>'Q100a-geral'!M827</f>
        <v>x</v>
      </c>
      <c r="N307" s="13" t="str">
        <f>'Q100a-geral'!N827</f>
        <v>x</v>
      </c>
      <c r="O307" s="13" t="str">
        <f>'Q100a-geral'!O827</f>
        <v>x</v>
      </c>
      <c r="P307" s="13" t="str">
        <f>'Q100a-geral'!P827</f>
        <v>x</v>
      </c>
      <c r="Q307" s="13" t="str">
        <f>'Q100a-geral'!Q827</f>
        <v>x</v>
      </c>
      <c r="R307" s="13" t="str">
        <f>'Q100a-geral'!R827</f>
        <v>x</v>
      </c>
      <c r="S307" s="649" t="str">
        <f>'Q100a-geral'!S827</f>
        <v>só para pesquisa</v>
      </c>
      <c r="T307" s="49" t="str">
        <f>'Q100a-geral'!T827</f>
        <v>x</v>
      </c>
      <c r="U307" s="49" t="str">
        <f>'Q100a-geral'!U827</f>
        <v>x</v>
      </c>
      <c r="V307" s="107" t="str">
        <f>'Q100a-geral'!V827</f>
        <v>só para pesquisa</v>
      </c>
      <c r="W307" s="13" t="str">
        <f>'Q100a-geral'!W827</f>
        <v>x</v>
      </c>
      <c r="X307" s="13" t="str">
        <f>'Q100a-geral'!X827</f>
        <v>x</v>
      </c>
      <c r="Y307" s="13" t="str">
        <f>'Q100a-geral'!Y827</f>
        <v>x</v>
      </c>
      <c r="Z307" s="13" t="str">
        <f>'Q100a-geral'!Z827</f>
        <v>x</v>
      </c>
      <c r="AA307" s="13" t="str">
        <f>'Q100a-geral'!AA827</f>
        <v>x</v>
      </c>
      <c r="AB307" s="13" t="str">
        <f>'Q100a-geral'!AB827</f>
        <v>x</v>
      </c>
      <c r="AC307" s="13" t="str">
        <f>'Q100a-geral'!AC827</f>
        <v>x</v>
      </c>
      <c r="AD307" s="84">
        <f>'Q100a-geral'!AD827</f>
        <v>2844</v>
      </c>
      <c r="AE307" s="84">
        <f>'Q100a-geral'!AE827</f>
        <v>3119</v>
      </c>
      <c r="AF307" s="84">
        <f>'Q100a-geral'!AF827</f>
        <v>3421</v>
      </c>
      <c r="AG307" s="84">
        <f>'Q100a-geral'!AG827</f>
        <v>3644</v>
      </c>
      <c r="AH307" s="84">
        <f>'Q100a-geral'!AH827</f>
        <v>3825</v>
      </c>
      <c r="AI307" s="84">
        <f>'Q100a-geral'!AI827</f>
        <v>4101</v>
      </c>
      <c r="AJ307" s="84">
        <f>'Q100a-geral'!AJ827</f>
        <v>4182</v>
      </c>
      <c r="AK307" s="84">
        <f>'Q100a-geral'!AK827</f>
        <v>4417</v>
      </c>
      <c r="AL307" s="212" t="str">
        <f>'Q100a-geral'!AL827</f>
        <v>x</v>
      </c>
      <c r="AM307" s="137" t="str">
        <f>'Q100a-geral'!AM827</f>
        <v>x</v>
      </c>
      <c r="AN307" s="137" t="str">
        <f>'Q100a-geral'!AN827</f>
        <v>x</v>
      </c>
      <c r="AO307" s="137" t="str">
        <f>'Q100a-geral'!AO827</f>
        <v>x</v>
      </c>
      <c r="AP307" s="137" t="str">
        <f>'Q100a-geral'!AP827</f>
        <v>x</v>
      </c>
      <c r="AQ307" s="137" t="str">
        <f>'Q100a-geral'!AQ827</f>
        <v>x</v>
      </c>
      <c r="AR307" s="137"/>
      <c r="AS307" s="137"/>
      <c r="AT307" s="137"/>
      <c r="AU307" s="137"/>
      <c r="AV307" s="137" t="str">
        <f>'Q100a-geral'!AV827</f>
        <v>x</v>
      </c>
      <c r="AW307" s="137"/>
      <c r="AX307" s="137"/>
      <c r="AY307" s="137"/>
      <c r="AZ307" s="137"/>
      <c r="BA307" s="137" t="str">
        <f>'Q100a-geral'!BA827</f>
        <v>x</v>
      </c>
      <c r="BB307" s="239" t="str">
        <f>'Q100a-geral'!BB827</f>
        <v>Frota e condutores de veículos automotoresx</v>
      </c>
      <c r="BC307" s="239" t="str">
        <f>'Q100a-geral'!BC827</f>
        <v>Frota e condutores de veículos automotoresxx</v>
      </c>
      <c r="BD307" s="239" t="str">
        <f>'Q100a-geral'!BD827</f>
        <v>Frota e condutores de veículos automotoresx</v>
      </c>
    </row>
    <row r="308" spans="1:56" s="1" customFormat="1" ht="51" customHeight="1" x14ac:dyDescent="0.25">
      <c r="A308" s="275" t="str">
        <f>'Q100a-geral'!A828</f>
        <v>2.2</v>
      </c>
      <c r="B308" s="54" t="str">
        <f>'Q100a-geral'!B828</f>
        <v>Frota e condutores de veículos automotores</v>
      </c>
      <c r="C308" s="229" t="str">
        <f>'Q100a-geral'!C828</f>
        <v>x</v>
      </c>
      <c r="D308" s="104" t="str">
        <f>'Q100a-geral'!D828</f>
        <v>F cma</v>
      </c>
      <c r="E308" s="14" t="str">
        <f>'Q100a-geral'!E828</f>
        <v>Belo Horizonte</v>
      </c>
      <c r="F308" s="447" t="str">
        <f>'Q100a-geral'!F828</f>
        <v xml:space="preserve">frota de camionetas registradas no município
obs.: resultados de 1999-2014 conforme BHTRANS(2013b); MG(2013; 2014; 2015a); de 2015 conforme MG(2015b)
</v>
      </c>
      <c r="G308" s="252" t="str">
        <f>'Q100a-geral'!G828</f>
        <v>registro na fonte</v>
      </c>
      <c r="H308" s="173" t="str">
        <f>'Q100a-geral'!H828</f>
        <v>x</v>
      </c>
      <c r="I308" s="57">
        <f>'Q100a-geral'!I828</f>
        <v>1</v>
      </c>
      <c r="J308" s="11" t="str">
        <f>'Q100a-geral'!J828</f>
        <v>x</v>
      </c>
      <c r="K308" s="84" t="str">
        <f>'Q100a-geral'!K828</f>
        <v>x</v>
      </c>
      <c r="L308" s="84" t="str">
        <f>'Q100a-geral'!L828</f>
        <v>x</v>
      </c>
      <c r="M308" s="84" t="str">
        <f>'Q100a-geral'!M828</f>
        <v>x</v>
      </c>
      <c r="N308" s="84" t="str">
        <f>'Q100a-geral'!N828</f>
        <v>x</v>
      </c>
      <c r="O308" s="84" t="str">
        <f>'Q100a-geral'!O828</f>
        <v>x</v>
      </c>
      <c r="P308" s="84" t="str">
        <f>'Q100a-geral'!P828</f>
        <v>x</v>
      </c>
      <c r="Q308" s="84" t="str">
        <f>'Q100a-geral'!Q828</f>
        <v>x</v>
      </c>
      <c r="R308" s="84" t="str">
        <f>'Q100a-geral'!R828</f>
        <v>x</v>
      </c>
      <c r="S308" s="649" t="str">
        <f>'Q100a-geral'!S828</f>
        <v>só para pesquisa</v>
      </c>
      <c r="T308" s="84">
        <f>'Q100a-geral'!T828</f>
        <v>67732</v>
      </c>
      <c r="U308" s="84">
        <f>'Q100a-geral'!U828</f>
        <v>68406</v>
      </c>
      <c r="V308" s="107" t="str">
        <f>'Q100a-geral'!V828</f>
        <v>só para pesquisa</v>
      </c>
      <c r="W308" s="84">
        <f>'Q100a-geral'!W828</f>
        <v>29126</v>
      </c>
      <c r="X308" s="84">
        <f>'Q100a-geral'!X828</f>
        <v>29433</v>
      </c>
      <c r="Y308" s="84">
        <f>'Q100a-geral'!Y828</f>
        <v>30307</v>
      </c>
      <c r="Z308" s="84">
        <f>'Q100a-geral'!Z828</f>
        <v>31411</v>
      </c>
      <c r="AA308" s="84">
        <f>'Q100a-geral'!AA828</f>
        <v>33369</v>
      </c>
      <c r="AB308" s="84">
        <f>'Q100a-geral'!AB828</f>
        <v>35347</v>
      </c>
      <c r="AC308" s="84">
        <f>'Q100a-geral'!AC828</f>
        <v>37390</v>
      </c>
      <c r="AD308" s="84">
        <f>'Q100a-geral'!AD828</f>
        <v>39024</v>
      </c>
      <c r="AE308" s="84">
        <f>'Q100a-geral'!AE828</f>
        <v>42997</v>
      </c>
      <c r="AF308" s="84">
        <f>'Q100a-geral'!AF828</f>
        <v>48037</v>
      </c>
      <c r="AG308" s="84">
        <f>'Q100a-geral'!AG828</f>
        <v>53693</v>
      </c>
      <c r="AH308" s="84">
        <f>'Q100a-geral'!AH828</f>
        <v>60775</v>
      </c>
      <c r="AI308" s="84">
        <f>'Q100a-geral'!AI828</f>
        <v>67698</v>
      </c>
      <c r="AJ308" s="84">
        <f>'Q100a-geral'!AJ828</f>
        <v>74222</v>
      </c>
      <c r="AK308" s="84">
        <f>'Q100a-geral'!AK828</f>
        <v>80083</v>
      </c>
      <c r="AL308" s="212" t="str">
        <f>'Q100a-geral'!AL828</f>
        <v>x</v>
      </c>
      <c r="AM308" s="137" t="str">
        <f>'Q100a-geral'!AM828</f>
        <v>x</v>
      </c>
      <c r="AN308" s="137" t="str">
        <f>'Q100a-geral'!AN828</f>
        <v>x</v>
      </c>
      <c r="AO308" s="137" t="str">
        <f>'Q100a-geral'!AO828</f>
        <v>x</v>
      </c>
      <c r="AP308" s="137" t="str">
        <f>'Q100a-geral'!AP828</f>
        <v>x</v>
      </c>
      <c r="AQ308" s="137" t="str">
        <f>'Q100a-geral'!AQ828</f>
        <v>x</v>
      </c>
      <c r="AR308" s="137"/>
      <c r="AS308" s="137"/>
      <c r="AT308" s="137"/>
      <c r="AU308" s="137"/>
      <c r="AV308" s="137" t="str">
        <f>'Q100a-geral'!AV828</f>
        <v>x</v>
      </c>
      <c r="AW308" s="137"/>
      <c r="AX308" s="137"/>
      <c r="AY308" s="137"/>
      <c r="AZ308" s="137"/>
      <c r="BA308" s="137" t="str">
        <f>'Q100a-geral'!BA828</f>
        <v>x</v>
      </c>
      <c r="BB308" s="239" t="str">
        <f>'Q100a-geral'!BB828</f>
        <v>Frota e condutores de veículos automotoresx</v>
      </c>
      <c r="BC308" s="239" t="str">
        <f>'Q100a-geral'!BC828</f>
        <v>Frota e condutores de veículos automotoresxx</v>
      </c>
      <c r="BD308" s="239" t="str">
        <f>'Q100a-geral'!BD828</f>
        <v>Frota e condutores de veículos automotoresx</v>
      </c>
    </row>
    <row r="309" spans="1:56" s="1" customFormat="1" ht="51" customHeight="1" x14ac:dyDescent="0.25">
      <c r="A309" s="275" t="str">
        <f>'Q100a-geral'!A829</f>
        <v>2.2</v>
      </c>
      <c r="B309" s="54" t="str">
        <f>'Q100a-geral'!B829</f>
        <v>Frota e condutores de veículos automotores</v>
      </c>
      <c r="C309" s="229" t="str">
        <f>'Q100a-geral'!C829</f>
        <v>x</v>
      </c>
      <c r="D309" s="104" t="str">
        <f>'Q100a-geral'!D829</f>
        <v>F cme</v>
      </c>
      <c r="E309" s="14" t="str">
        <f>'Q100a-geral'!E829</f>
        <v>Belo Horizonte</v>
      </c>
      <c r="F309" s="447" t="str">
        <f>'Q100a-geral'!F829</f>
        <v>frota de caminhonetes registradas no município
obs.: resultados de 2000-2014 conforme BHTRANS(2013b); MG(2013; 2014; 2015a); de 2015 conforme MG(2015b)</v>
      </c>
      <c r="G309" s="252" t="str">
        <f>'Q100a-geral'!G829</f>
        <v>registro na fonte</v>
      </c>
      <c r="H309" s="173" t="str">
        <f>'Q100a-geral'!H829</f>
        <v>x</v>
      </c>
      <c r="I309" s="57">
        <f>'Q100a-geral'!I829</f>
        <v>1</v>
      </c>
      <c r="J309" s="11" t="str">
        <f>'Q100a-geral'!J829</f>
        <v>x</v>
      </c>
      <c r="K309" s="13" t="str">
        <f>'Q100a-geral'!K829</f>
        <v>x</v>
      </c>
      <c r="L309" s="13" t="str">
        <f>'Q100a-geral'!L829</f>
        <v>x</v>
      </c>
      <c r="M309" s="13" t="str">
        <f>'Q100a-geral'!M829</f>
        <v>x</v>
      </c>
      <c r="N309" s="13" t="str">
        <f>'Q100a-geral'!N829</f>
        <v>x</v>
      </c>
      <c r="O309" s="13" t="str">
        <f>'Q100a-geral'!O829</f>
        <v>x</v>
      </c>
      <c r="P309" s="13" t="str">
        <f>'Q100a-geral'!P829</f>
        <v>x</v>
      </c>
      <c r="Q309" s="13" t="str">
        <f>'Q100a-geral'!Q829</f>
        <v>x</v>
      </c>
      <c r="R309" s="13" t="str">
        <f>'Q100a-geral'!R829</f>
        <v>x</v>
      </c>
      <c r="S309" s="649" t="str">
        <f>'Q100a-geral'!S829</f>
        <v>só para pesquisa</v>
      </c>
      <c r="T309" s="87" t="str">
        <f>'Q100a-geral'!T829</f>
        <v>x</v>
      </c>
      <c r="U309" s="84">
        <f>'Q100a-geral'!U829</f>
        <v>4757</v>
      </c>
      <c r="V309" s="107" t="str">
        <f>'Q100a-geral'!V829</f>
        <v>só para pesquisa</v>
      </c>
      <c r="W309" s="84">
        <f>'Q100a-geral'!W829</f>
        <v>49005</v>
      </c>
      <c r="X309" s="84">
        <f>'Q100a-geral'!X829</f>
        <v>52027</v>
      </c>
      <c r="Y309" s="84">
        <f>'Q100a-geral'!Y829</f>
        <v>54435</v>
      </c>
      <c r="Z309" s="84">
        <f>'Q100a-geral'!Z829</f>
        <v>55945</v>
      </c>
      <c r="AA309" s="84">
        <f>'Q100a-geral'!AA829</f>
        <v>59788</v>
      </c>
      <c r="AB309" s="84">
        <f>'Q100a-geral'!AB829</f>
        <v>64105</v>
      </c>
      <c r="AC309" s="84">
        <f>'Q100a-geral'!AC829</f>
        <v>69856</v>
      </c>
      <c r="AD309" s="84">
        <f>'Q100a-geral'!AD829</f>
        <v>76275</v>
      </c>
      <c r="AE309" s="84">
        <f>'Q100a-geral'!AE829</f>
        <v>83044</v>
      </c>
      <c r="AF309" s="84">
        <f>'Q100a-geral'!AF829</f>
        <v>94906</v>
      </c>
      <c r="AG309" s="84">
        <f>'Q100a-geral'!AG829</f>
        <v>104721</v>
      </c>
      <c r="AH309" s="84">
        <f>'Q100a-geral'!AH829</f>
        <v>113449</v>
      </c>
      <c r="AI309" s="84">
        <f>'Q100a-geral'!AI829</f>
        <v>121382</v>
      </c>
      <c r="AJ309" s="84">
        <f>'Q100a-geral'!AJ829</f>
        <v>128870</v>
      </c>
      <c r="AK309" s="84">
        <f>'Q100a-geral'!AK829</f>
        <v>134231</v>
      </c>
      <c r="AL309" s="212" t="str">
        <f>'Q100a-geral'!AL829</f>
        <v>x</v>
      </c>
      <c r="AM309" s="137" t="str">
        <f>'Q100a-geral'!AM829</f>
        <v>x</v>
      </c>
      <c r="AN309" s="137" t="str">
        <f>'Q100a-geral'!AN829</f>
        <v>x</v>
      </c>
      <c r="AO309" s="137" t="str">
        <f>'Q100a-geral'!AO829</f>
        <v>x</v>
      </c>
      <c r="AP309" s="137" t="str">
        <f>'Q100a-geral'!AP829</f>
        <v>x</v>
      </c>
      <c r="AQ309" s="137" t="str">
        <f>'Q100a-geral'!AQ829</f>
        <v>x</v>
      </c>
      <c r="AR309" s="137"/>
      <c r="AS309" s="137"/>
      <c r="AT309" s="137"/>
      <c r="AU309" s="137"/>
      <c r="AV309" s="137" t="str">
        <f>'Q100a-geral'!AV829</f>
        <v>x</v>
      </c>
      <c r="AW309" s="137"/>
      <c r="AX309" s="137"/>
      <c r="AY309" s="137"/>
      <c r="AZ309" s="137"/>
      <c r="BA309" s="137" t="str">
        <f>'Q100a-geral'!BA829</f>
        <v>x</v>
      </c>
      <c r="BB309" s="239" t="str">
        <f>'Q100a-geral'!BB829</f>
        <v>Frota e condutores de veículos automotoresx</v>
      </c>
      <c r="BC309" s="239" t="str">
        <f>'Q100a-geral'!BC829</f>
        <v>Frota e condutores de veículos automotoresxx</v>
      </c>
      <c r="BD309" s="239" t="str">
        <f>'Q100a-geral'!BD829</f>
        <v>Frota e condutores de veículos automotoresx</v>
      </c>
    </row>
    <row r="310" spans="1:56" s="1" customFormat="1" ht="51" customHeight="1" x14ac:dyDescent="0.25">
      <c r="A310" s="275" t="str">
        <f>'Q100a-geral'!A826</f>
        <v>2.2</v>
      </c>
      <c r="B310" s="54" t="str">
        <f>'Q100a-geral'!B826</f>
        <v>Frota e condutores de veículos automotores</v>
      </c>
      <c r="C310" s="229" t="str">
        <f>'Q100a-geral'!C826</f>
        <v>x</v>
      </c>
      <c r="D310" s="104" t="str">
        <f>'Q100a-geral'!D826</f>
        <v>F caminhão</v>
      </c>
      <c r="E310" s="14" t="str">
        <f>'Q100a-geral'!E826</f>
        <v>Belo Horizonte</v>
      </c>
      <c r="F310" s="447" t="str">
        <f>'Q100a-geral'!F826</f>
        <v>frota de caminhões registrados no município
obs.: resultados de 1999-2014 conforme BHTRANS(2013b); MG(2013; 2014; 2015a); de 2015 conforme MG(2015b)</v>
      </c>
      <c r="G310" s="252" t="str">
        <f>'Q100a-geral'!G826</f>
        <v>registro na fonte</v>
      </c>
      <c r="H310" s="173" t="str">
        <f>'Q100a-geral'!H826</f>
        <v>x</v>
      </c>
      <c r="I310" s="57">
        <f>'Q100a-geral'!I826</f>
        <v>1</v>
      </c>
      <c r="J310" s="11" t="str">
        <f>'Q100a-geral'!J826</f>
        <v>x</v>
      </c>
      <c r="K310" s="84" t="str">
        <f>'Q100a-geral'!K826</f>
        <v>x</v>
      </c>
      <c r="L310" s="84" t="str">
        <f>'Q100a-geral'!L826</f>
        <v>x</v>
      </c>
      <c r="M310" s="84" t="str">
        <f>'Q100a-geral'!M826</f>
        <v>x</v>
      </c>
      <c r="N310" s="84" t="str">
        <f>'Q100a-geral'!N826</f>
        <v>x</v>
      </c>
      <c r="O310" s="84" t="str">
        <f>'Q100a-geral'!O826</f>
        <v>x</v>
      </c>
      <c r="P310" s="84" t="str">
        <f>'Q100a-geral'!P826</f>
        <v>x</v>
      </c>
      <c r="Q310" s="84" t="str">
        <f>'Q100a-geral'!Q826</f>
        <v>x</v>
      </c>
      <c r="R310" s="84" t="str">
        <f>'Q100a-geral'!R826</f>
        <v>x</v>
      </c>
      <c r="S310" s="649" t="str">
        <f>'Q100a-geral'!S826</f>
        <v>só para pesquisa</v>
      </c>
      <c r="T310" s="84">
        <f>'Q100a-geral'!T826</f>
        <v>23347</v>
      </c>
      <c r="U310" s="84">
        <f>'Q100a-geral'!U826</f>
        <v>23493</v>
      </c>
      <c r="V310" s="107" t="str">
        <f>'Q100a-geral'!V826</f>
        <v>só para pesquisa</v>
      </c>
      <c r="W310" s="84">
        <f>'Q100a-geral'!W826</f>
        <v>24019</v>
      </c>
      <c r="X310" s="84">
        <f>'Q100a-geral'!X826</f>
        <v>24429</v>
      </c>
      <c r="Y310" s="84">
        <f>'Q100a-geral'!Y826</f>
        <v>24068</v>
      </c>
      <c r="Z310" s="84">
        <f>'Q100a-geral'!Z826</f>
        <v>23970</v>
      </c>
      <c r="AA310" s="84">
        <f>'Q100a-geral'!AA826</f>
        <v>23998</v>
      </c>
      <c r="AB310" s="84">
        <f>'Q100a-geral'!AB826</f>
        <v>25055</v>
      </c>
      <c r="AC310" s="84">
        <f>'Q100a-geral'!AC826</f>
        <v>26527</v>
      </c>
      <c r="AD310" s="84">
        <f>'Q100a-geral'!AD826</f>
        <v>27277</v>
      </c>
      <c r="AE310" s="84">
        <f>'Q100a-geral'!AE826</f>
        <v>29056</v>
      </c>
      <c r="AF310" s="84">
        <f>'Q100a-geral'!AF826</f>
        <v>31203</v>
      </c>
      <c r="AG310" s="84">
        <f>'Q100a-geral'!AG826</f>
        <v>33119</v>
      </c>
      <c r="AH310" s="84">
        <f>'Q100a-geral'!AH826</f>
        <v>33839</v>
      </c>
      <c r="AI310" s="84">
        <f>'Q100a-geral'!AI826</f>
        <v>35299</v>
      </c>
      <c r="AJ310" s="84">
        <f>'Q100a-geral'!AJ826</f>
        <v>35737</v>
      </c>
      <c r="AK310" s="84">
        <f>'Q100a-geral'!AK826</f>
        <v>35270</v>
      </c>
      <c r="AL310" s="212" t="str">
        <f>'Q100a-geral'!AL826</f>
        <v>x</v>
      </c>
      <c r="AM310" s="137" t="str">
        <f>'Q100a-geral'!AM826</f>
        <v>x</v>
      </c>
      <c r="AN310" s="137" t="str">
        <f>'Q100a-geral'!AN826</f>
        <v>x</v>
      </c>
      <c r="AO310" s="137" t="str">
        <f>'Q100a-geral'!AO826</f>
        <v>x</v>
      </c>
      <c r="AP310" s="137" t="str">
        <f>'Q100a-geral'!AP826</f>
        <v>x</v>
      </c>
      <c r="AQ310" s="137" t="str">
        <f>'Q100a-geral'!AQ826</f>
        <v>x</v>
      </c>
      <c r="AR310" s="137"/>
      <c r="AS310" s="137"/>
      <c r="AT310" s="137"/>
      <c r="AU310" s="137"/>
      <c r="AV310" s="137" t="str">
        <f>'Q100a-geral'!AV826</f>
        <v>x</v>
      </c>
      <c r="AW310" s="137"/>
      <c r="AX310" s="137"/>
      <c r="AY310" s="137"/>
      <c r="AZ310" s="137"/>
      <c r="BA310" s="137" t="str">
        <f>'Q100a-geral'!BA826</f>
        <v>x</v>
      </c>
      <c r="BB310" s="239" t="str">
        <f>'Q100a-geral'!BB826</f>
        <v>Frota e condutores de veículos automotoresx</v>
      </c>
      <c r="BC310" s="239" t="str">
        <f>'Q100a-geral'!BC826</f>
        <v>Frota e condutores de veículos automotoresxx</v>
      </c>
      <c r="BD310" s="239" t="str">
        <f>'Q100a-geral'!BD826</f>
        <v>Frota e condutores de veículos automotoresx</v>
      </c>
    </row>
    <row r="311" spans="1:56" s="1" customFormat="1" ht="51" customHeight="1" x14ac:dyDescent="0.25">
      <c r="A311" s="275" t="str">
        <f>'Q100a-geral'!A830</f>
        <v>2.2</v>
      </c>
      <c r="B311" s="54" t="str">
        <f>'Q100a-geral'!B830</f>
        <v>Frota e condutores de veículos automotores</v>
      </c>
      <c r="C311" s="229" t="str">
        <f>'Q100a-geral'!C830</f>
        <v>x</v>
      </c>
      <c r="D311" s="104" t="str">
        <f>'Q100a-geral'!D830</f>
        <v>F demais</v>
      </c>
      <c r="E311" s="14" t="str">
        <f>'Q100a-geral'!E830</f>
        <v>Belo Horizonte</v>
      </c>
      <c r="F311" s="446" t="str">
        <f>'Q100a-geral'!F830</f>
        <v>frota de veículos da categoria "demais" registrada no município
obs.: resultados de 1999-2014 conforme BHTRANS(2013b); MG(2013; 2014; 2015a); de 2015 conforme MG(2015b)</v>
      </c>
      <c r="G311" s="252" t="str">
        <f>'Q100a-geral'!G830</f>
        <v>registro na fonte</v>
      </c>
      <c r="H311" s="173" t="str">
        <f>'Q100a-geral'!H830</f>
        <v>x</v>
      </c>
      <c r="I311" s="57">
        <f>'Q100a-geral'!I830</f>
        <v>1</v>
      </c>
      <c r="J311" s="11" t="str">
        <f>'Q100a-geral'!J830</f>
        <v>x</v>
      </c>
      <c r="K311" s="84" t="str">
        <f>'Q100a-geral'!K830</f>
        <v>x</v>
      </c>
      <c r="L311" s="84" t="str">
        <f>'Q100a-geral'!L830</f>
        <v>x</v>
      </c>
      <c r="M311" s="84" t="str">
        <f>'Q100a-geral'!M830</f>
        <v>x</v>
      </c>
      <c r="N311" s="84" t="str">
        <f>'Q100a-geral'!N830</f>
        <v>x</v>
      </c>
      <c r="O311" s="84" t="str">
        <f>'Q100a-geral'!O830</f>
        <v>x</v>
      </c>
      <c r="P311" s="84" t="str">
        <f>'Q100a-geral'!P830</f>
        <v>x</v>
      </c>
      <c r="Q311" s="84" t="str">
        <f>'Q100a-geral'!Q830</f>
        <v>x</v>
      </c>
      <c r="R311" s="84" t="str">
        <f>'Q100a-geral'!R830</f>
        <v>x</v>
      </c>
      <c r="S311" s="649" t="str">
        <f>'Q100a-geral'!S830</f>
        <v>só para pesquisa</v>
      </c>
      <c r="T311" s="84">
        <f>'Q100a-geral'!T830</f>
        <v>22319</v>
      </c>
      <c r="U311" s="84">
        <f>'Q100a-geral'!U830</f>
        <v>20055</v>
      </c>
      <c r="V311" s="107" t="str">
        <f>'Q100a-geral'!V830</f>
        <v>só para pesquisa</v>
      </c>
      <c r="W311" s="84">
        <f>'Q100a-geral'!W830</f>
        <v>22160</v>
      </c>
      <c r="X311" s="84">
        <f>'Q100a-geral'!X830</f>
        <v>24031</v>
      </c>
      <c r="Y311" s="84">
        <f>'Q100a-geral'!Y830</f>
        <v>25311</v>
      </c>
      <c r="Z311" s="84">
        <f>'Q100a-geral'!Z830</f>
        <v>21465</v>
      </c>
      <c r="AA311" s="84">
        <f>'Q100a-geral'!AA830</f>
        <v>22259</v>
      </c>
      <c r="AB311" s="84">
        <f>'Q100a-geral'!AB830</f>
        <v>24285</v>
      </c>
      <c r="AC311" s="84">
        <f>'Q100a-geral'!AC830</f>
        <v>26677</v>
      </c>
      <c r="AD311" s="84">
        <f>'Q100a-geral'!AD830</f>
        <v>0</v>
      </c>
      <c r="AE311" s="84">
        <f>'Q100a-geral'!AE830</f>
        <v>0</v>
      </c>
      <c r="AF311" s="84">
        <f>'Q100a-geral'!AF830</f>
        <v>0</v>
      </c>
      <c r="AG311" s="84">
        <f>'Q100a-geral'!AG830</f>
        <v>0</v>
      </c>
      <c r="AH311" s="84">
        <f>'Q100a-geral'!AH830</f>
        <v>0</v>
      </c>
      <c r="AI311" s="84">
        <f>'Q100a-geral'!AI830</f>
        <v>0</v>
      </c>
      <c r="AJ311" s="84">
        <f>'Q100a-geral'!AJ830</f>
        <v>1</v>
      </c>
      <c r="AK311" s="84">
        <f>'Q100a-geral'!AK830</f>
        <v>0</v>
      </c>
      <c r="AL311" s="212" t="str">
        <f>'Q100a-geral'!AL830</f>
        <v>x</v>
      </c>
      <c r="AM311" s="137" t="str">
        <f>'Q100a-geral'!AM830</f>
        <v>x</v>
      </c>
      <c r="AN311" s="137" t="str">
        <f>'Q100a-geral'!AN830</f>
        <v>x</v>
      </c>
      <c r="AO311" s="137" t="str">
        <f>'Q100a-geral'!AO830</f>
        <v>x</v>
      </c>
      <c r="AP311" s="137" t="str">
        <f>'Q100a-geral'!AP830</f>
        <v>x</v>
      </c>
      <c r="AQ311" s="137" t="str">
        <f>'Q100a-geral'!AQ830</f>
        <v>x</v>
      </c>
      <c r="AR311" s="137"/>
      <c r="AS311" s="137"/>
      <c r="AT311" s="137"/>
      <c r="AU311" s="137"/>
      <c r="AV311" s="137" t="str">
        <f>'Q100a-geral'!AV830</f>
        <v>x</v>
      </c>
      <c r="AW311" s="137"/>
      <c r="AX311" s="137"/>
      <c r="AY311" s="137"/>
      <c r="AZ311" s="137"/>
      <c r="BA311" s="137" t="str">
        <f>'Q100a-geral'!BA830</f>
        <v>x</v>
      </c>
      <c r="BB311" s="239" t="str">
        <f>'Q100a-geral'!BB830</f>
        <v>Frota e condutores de veículos automotoresx</v>
      </c>
      <c r="BC311" s="239" t="str">
        <f>'Q100a-geral'!BC830</f>
        <v>Frota e condutores de veículos automotoresxx</v>
      </c>
      <c r="BD311" s="239" t="str">
        <f>'Q100a-geral'!BD830</f>
        <v>Frota e condutores de veículos automotoresx</v>
      </c>
    </row>
    <row r="312" spans="1:56" s="1" customFormat="1" ht="41.25" customHeight="1" x14ac:dyDescent="0.25">
      <c r="A312" s="275" t="str">
        <f>'Q100a-geral'!A832</f>
        <v>8.6</v>
      </c>
      <c r="B312" s="54" t="str">
        <f>'Q100a-geral'!B832</f>
        <v>Transporte escolar</v>
      </c>
      <c r="C312" s="229" t="str">
        <f>'Q100a-geral'!C832</f>
        <v>x</v>
      </c>
      <c r="D312" s="381" t="str">
        <f>'Q100a-geral'!D832</f>
        <v>F escolar</v>
      </c>
      <c r="E312" s="457" t="str">
        <f>'Q100a-geral'!E832</f>
        <v>Belo Horizonte</v>
      </c>
      <c r="F312" s="492" t="str">
        <f>'Q100a-geral'!F832</f>
        <v>frota total, em n.º de veículos, do transporte escolar</v>
      </c>
      <c r="G312" s="14" t="str">
        <f>'Q100a-geral'!G832</f>
        <v>F escolar(k) + F Escolar(mv) + F escolar (o)</v>
      </c>
      <c r="H312" s="171" t="str">
        <f>'Q100a-geral'!H832</f>
        <v>x</v>
      </c>
      <c r="I312" s="57">
        <f>'Q100a-geral'!I832</f>
        <v>1</v>
      </c>
      <c r="J312" s="107" t="str">
        <f>'Q100a-geral'!J832</f>
        <v>x</v>
      </c>
      <c r="K312" s="107" t="str">
        <f>'Q100a-geral'!K832</f>
        <v>x</v>
      </c>
      <c r="L312" s="58" t="str">
        <f>'Q100a-geral'!L832</f>
        <v>x</v>
      </c>
      <c r="M312" s="58" t="str">
        <f>'Q100a-geral'!M832</f>
        <v>x</v>
      </c>
      <c r="N312" s="58" t="str">
        <f>'Q100a-geral'!N832</f>
        <v>x</v>
      </c>
      <c r="O312" s="58" t="str">
        <f>'Q100a-geral'!O832</f>
        <v>x</v>
      </c>
      <c r="P312" s="58" t="str">
        <f>'Q100a-geral'!P832</f>
        <v>x</v>
      </c>
      <c r="Q312" s="58" t="str">
        <f>'Q100a-geral'!Q832</f>
        <v>x</v>
      </c>
      <c r="R312" s="58" t="str">
        <f>'Q100a-geral'!R832</f>
        <v>x</v>
      </c>
      <c r="S312" s="107" t="str">
        <f>'Q100a-geral'!S832</f>
        <v>só para pesquisa</v>
      </c>
      <c r="T312" s="58" t="str">
        <f>'Q100a-geral'!T832</f>
        <v>x</v>
      </c>
      <c r="U312" s="58" t="str">
        <f>'Q100a-geral'!U832</f>
        <v>x</v>
      </c>
      <c r="V312" s="107" t="str">
        <f>'Q100a-geral'!V832</f>
        <v>só para pesquisa</v>
      </c>
      <c r="W312" s="58" t="str">
        <f>'Q100a-geral'!W832</f>
        <v>x</v>
      </c>
      <c r="X312" s="58" t="str">
        <f>'Q100a-geral'!X832</f>
        <v>x</v>
      </c>
      <c r="Y312" s="58" t="str">
        <f>'Q100a-geral'!Y832</f>
        <v>x</v>
      </c>
      <c r="Z312" s="58" t="str">
        <f>'Q100a-geral'!Z832</f>
        <v>x</v>
      </c>
      <c r="AA312" s="58" t="str">
        <f>'Q100a-geral'!AA832</f>
        <v>x</v>
      </c>
      <c r="AB312" s="20">
        <f>'Q100a-geral'!AB832</f>
        <v>1104</v>
      </c>
      <c r="AC312" s="20">
        <f>'Q100a-geral'!AC832</f>
        <v>1106</v>
      </c>
      <c r="AD312" s="20">
        <f>'Q100a-geral'!AD832</f>
        <v>1195</v>
      </c>
      <c r="AE312" s="20">
        <f>'Q100a-geral'!AE832</f>
        <v>1194</v>
      </c>
      <c r="AF312" s="20">
        <f>'Q100a-geral'!AF832</f>
        <v>1206</v>
      </c>
      <c r="AG312" s="20">
        <f>'Q100a-geral'!AG832</f>
        <v>1776</v>
      </c>
      <c r="AH312" s="20">
        <f>'Q100a-geral'!AH832</f>
        <v>1793</v>
      </c>
      <c r="AI312" s="20">
        <f>'Q100a-geral'!AI832</f>
        <v>2049</v>
      </c>
      <c r="AJ312" s="20">
        <f>'Q100a-geral'!AJ832</f>
        <v>1903</v>
      </c>
      <c r="AK312" s="20">
        <f>'Q100a-geral'!AK832</f>
        <v>1871</v>
      </c>
      <c r="AL312" s="220" t="str">
        <f>'Q100a-geral'!AL832</f>
        <v>x</v>
      </c>
      <c r="AM312" s="137" t="str">
        <f>'Q100a-geral'!AM832</f>
        <v>x</v>
      </c>
      <c r="AN312" s="137" t="str">
        <f>'Q100a-geral'!AN832</f>
        <v>x</v>
      </c>
      <c r="AO312" s="137" t="str">
        <f>'Q100a-geral'!AO832</f>
        <v>x</v>
      </c>
      <c r="AP312" s="137" t="str">
        <f>'Q100a-geral'!AP832</f>
        <v>x</v>
      </c>
      <c r="AQ312" s="137" t="str">
        <f>'Q100a-geral'!AQ832</f>
        <v>x</v>
      </c>
      <c r="AR312" s="137"/>
      <c r="AS312" s="137"/>
      <c r="AT312" s="137"/>
      <c r="AU312" s="137"/>
      <c r="AV312" s="137" t="str">
        <f>'Q100a-geral'!AV832</f>
        <v>x</v>
      </c>
      <c r="AW312" s="137"/>
      <c r="AX312" s="137"/>
      <c r="AY312" s="137"/>
      <c r="AZ312" s="137"/>
      <c r="BA312" s="137" t="str">
        <f>'Q100a-geral'!BA832</f>
        <v>x</v>
      </c>
      <c r="BB312" s="239" t="str">
        <f>'Q100a-geral'!BB832</f>
        <v>Transporte escolarx</v>
      </c>
      <c r="BC312" s="239" t="str">
        <f>'Q100a-geral'!BC832</f>
        <v>Transporte escolarxx</v>
      </c>
      <c r="BD312" s="239" t="str">
        <f>'Q100a-geral'!BD832</f>
        <v>Transporte escolarx</v>
      </c>
    </row>
    <row r="313" spans="1:56" s="1" customFormat="1" ht="65.25" customHeight="1" x14ac:dyDescent="0.25">
      <c r="A313" s="275" t="str">
        <f>'Q100a-geral'!A833</f>
        <v>8.6</v>
      </c>
      <c r="B313" s="54" t="str">
        <f>'Q100a-geral'!B833</f>
        <v>Transporte escolar</v>
      </c>
      <c r="C313" s="229" t="str">
        <f>'Q100a-geral'!C833</f>
        <v>acessibilidade</v>
      </c>
      <c r="D313" s="104" t="str">
        <f>'Q100a-geral'!D833</f>
        <v>F escolar(ac)</v>
      </c>
      <c r="E313" s="14" t="str">
        <f>'Q100a-geral'!E833</f>
        <v>Belo Horizonte</v>
      </c>
      <c r="F313" s="446" t="str">
        <f>'Q100a-geral'!F833</f>
        <v>frota de veículos acessíveis do transporte escolar
obs.: falta conceituar o que seja um "veículo acessível" no transporte escolar</v>
      </c>
      <c r="G313" s="252" t="str">
        <f>'Q100a-geral'!G833</f>
        <v>ainda não apurado como indicador</v>
      </c>
      <c r="H313" s="173" t="str">
        <f>'Q100a-geral'!H833</f>
        <v>ainda não incorporado ao SisMob-BH</v>
      </c>
      <c r="I313" s="57">
        <f>'Q100a-geral'!I833</f>
        <v>1</v>
      </c>
      <c r="J313" s="107" t="str">
        <f>'Q100a-geral'!J833</f>
        <v>x</v>
      </c>
      <c r="K313" s="107" t="str">
        <f>'Q100a-geral'!K833</f>
        <v>x</v>
      </c>
      <c r="L313" s="93" t="str">
        <f>'Q100a-geral'!L833</f>
        <v>x</v>
      </c>
      <c r="M313" s="93" t="str">
        <f>'Q100a-geral'!M833</f>
        <v>x</v>
      </c>
      <c r="N313" s="93" t="str">
        <f>'Q100a-geral'!N833</f>
        <v>x</v>
      </c>
      <c r="O313" s="93" t="str">
        <f>'Q100a-geral'!O833</f>
        <v>x</v>
      </c>
      <c r="P313" s="93" t="str">
        <f>'Q100a-geral'!P833</f>
        <v>x</v>
      </c>
      <c r="Q313" s="93" t="str">
        <f>'Q100a-geral'!Q833</f>
        <v>x</v>
      </c>
      <c r="R313" s="93" t="str">
        <f>'Q100a-geral'!R833</f>
        <v>x</v>
      </c>
      <c r="S313" s="107" t="str">
        <f>'Q100a-geral'!S833</f>
        <v>só para pesquisa</v>
      </c>
      <c r="T313" s="93" t="str">
        <f>'Q100a-geral'!T833</f>
        <v>x</v>
      </c>
      <c r="U313" s="93" t="str">
        <f>'Q100a-geral'!U833</f>
        <v>x</v>
      </c>
      <c r="V313" s="107" t="str">
        <f>'Q100a-geral'!V833</f>
        <v>só para pesquisa</v>
      </c>
      <c r="W313" s="93" t="str">
        <f>'Q100a-geral'!W833</f>
        <v>x</v>
      </c>
      <c r="X313" s="93" t="str">
        <f>'Q100a-geral'!X833</f>
        <v>x</v>
      </c>
      <c r="Y313" s="93" t="str">
        <f>'Q100a-geral'!Y833</f>
        <v>x</v>
      </c>
      <c r="Z313" s="93" t="str">
        <f>'Q100a-geral'!Z833</f>
        <v>x</v>
      </c>
      <c r="AA313" s="93" t="str">
        <f>'Q100a-geral'!AA833</f>
        <v>x</v>
      </c>
      <c r="AB313" s="113" t="str">
        <f>'Q100a-geral'!AB833</f>
        <v>x</v>
      </c>
      <c r="AC313" s="113" t="str">
        <f>'Q100a-geral'!AC833</f>
        <v>x</v>
      </c>
      <c r="AD313" s="113" t="str">
        <f>'Q100a-geral'!AD833</f>
        <v>x</v>
      </c>
      <c r="AE313" s="113" t="str">
        <f>'Q100a-geral'!AE833</f>
        <v>x</v>
      </c>
      <c r="AF313" s="113" t="str">
        <f>'Q100a-geral'!AF833</f>
        <v>x</v>
      </c>
      <c r="AG313" s="113" t="str">
        <f>'Q100a-geral'!AG833</f>
        <v>x</v>
      </c>
      <c r="AH313" s="113" t="str">
        <f>'Q100a-geral'!AH833</f>
        <v>x</v>
      </c>
      <c r="AI313" s="113" t="str">
        <f>'Q100a-geral'!AI833</f>
        <v>x</v>
      </c>
      <c r="AJ313" s="113" t="str">
        <f>'Q100a-geral'!AJ833</f>
        <v>x</v>
      </c>
      <c r="AK313" s="113" t="str">
        <f>'Q100a-geral'!AK833</f>
        <v>x</v>
      </c>
      <c r="AL313" s="220" t="str">
        <f>'Q100a-geral'!AL833</f>
        <v>x</v>
      </c>
      <c r="AM313" s="137" t="str">
        <f>'Q100a-geral'!AM833</f>
        <v>x</v>
      </c>
      <c r="AN313" s="137" t="str">
        <f>'Q100a-geral'!AN833</f>
        <v>x</v>
      </c>
      <c r="AO313" s="137" t="str">
        <f>'Q100a-geral'!AO833</f>
        <v>x</v>
      </c>
      <c r="AP313" s="137" t="str">
        <f>'Q100a-geral'!AP833</f>
        <v>x</v>
      </c>
      <c r="AQ313" s="137" t="str">
        <f>'Q100a-geral'!AQ833</f>
        <v>x</v>
      </c>
      <c r="AR313" s="137"/>
      <c r="AS313" s="137"/>
      <c r="AT313" s="137"/>
      <c r="AU313" s="137"/>
      <c r="AV313" s="137" t="str">
        <f>'Q100a-geral'!AV833</f>
        <v>x</v>
      </c>
      <c r="AW313" s="137"/>
      <c r="AX313" s="137"/>
      <c r="AY313" s="137"/>
      <c r="AZ313" s="137"/>
      <c r="BA313" s="137" t="str">
        <f>'Q100a-geral'!BA833</f>
        <v>x</v>
      </c>
      <c r="BB313" s="239" t="str">
        <f>'Q100a-geral'!BB833</f>
        <v>Transporte escolaracessibilidade</v>
      </c>
      <c r="BC313" s="239" t="str">
        <f>'Q100a-geral'!BC833</f>
        <v>Transporte escolaracessibilidadeainda não incorporado ao SisMob-BH</v>
      </c>
      <c r="BD313" s="239" t="str">
        <f>'Q100a-geral'!BD833</f>
        <v>Transporte escolarainda não incorporado ao SisMob-BH</v>
      </c>
    </row>
    <row r="314" spans="1:56" s="1" customFormat="1" ht="76.5" customHeight="1" x14ac:dyDescent="0.25">
      <c r="A314" s="275" t="str">
        <f>'Q100a-geral'!A834</f>
        <v>8.6</v>
      </c>
      <c r="B314" s="54" t="str">
        <f>'Q100a-geral'!B834</f>
        <v>Transporte escolar</v>
      </c>
      <c r="C314" s="229" t="str">
        <f>'Q100a-geral'!C834</f>
        <v>acessibilidade</v>
      </c>
      <c r="D314" s="104" t="str">
        <f>'Q100a-geral'!D834</f>
        <v>F escolar(ac) / F escolar 
% de frota acessível no transporte escolar</v>
      </c>
      <c r="E314" s="14" t="str">
        <f>'Q100a-geral'!E834</f>
        <v>Belo Horizonte</v>
      </c>
      <c r="F314" s="446" t="str">
        <f>'Q100a-geral'!F834</f>
        <v>percentual de veículos acessíveis do transporte escolar em relação à frota total
obs.: falta conceituar o que seja um "veículo acessível" no transporte escolar</v>
      </c>
      <c r="G314" s="14" t="str">
        <f>'Q100a-geral'!G834</f>
        <v>(F escolar(ac) / F escolar) x 100</v>
      </c>
      <c r="H314" s="173" t="str">
        <f>'Q100a-geral'!H834</f>
        <v>ainda não incorporado ao SisMob-BH</v>
      </c>
      <c r="I314" s="57">
        <f>'Q100a-geral'!I834</f>
        <v>1</v>
      </c>
      <c r="J314" s="107" t="str">
        <f>'Q100a-geral'!J834</f>
        <v>x</v>
      </c>
      <c r="K314" s="107" t="str">
        <f>'Q100a-geral'!K834</f>
        <v>x</v>
      </c>
      <c r="L314" s="58" t="str">
        <f>'Q100a-geral'!L834</f>
        <v>x</v>
      </c>
      <c r="M314" s="58" t="str">
        <f>'Q100a-geral'!M834</f>
        <v>x</v>
      </c>
      <c r="N314" s="58" t="str">
        <f>'Q100a-geral'!N834</f>
        <v>x</v>
      </c>
      <c r="O314" s="58" t="str">
        <f>'Q100a-geral'!O834</f>
        <v>x</v>
      </c>
      <c r="P314" s="58" t="str">
        <f>'Q100a-geral'!P834</f>
        <v>x</v>
      </c>
      <c r="Q314" s="58" t="str">
        <f>'Q100a-geral'!Q834</f>
        <v>x</v>
      </c>
      <c r="R314" s="58" t="str">
        <f>'Q100a-geral'!R834</f>
        <v>x</v>
      </c>
      <c r="S314" s="107" t="str">
        <f>'Q100a-geral'!S834</f>
        <v>só para pesquisa</v>
      </c>
      <c r="T314" s="58" t="str">
        <f>'Q100a-geral'!T834</f>
        <v>x</v>
      </c>
      <c r="U314" s="58" t="str">
        <f>'Q100a-geral'!U834</f>
        <v>x</v>
      </c>
      <c r="V314" s="107" t="str">
        <f>'Q100a-geral'!V834</f>
        <v>só para pesquisa</v>
      </c>
      <c r="W314" s="58" t="str">
        <f>'Q100a-geral'!W834</f>
        <v>x</v>
      </c>
      <c r="X314" s="58" t="str">
        <f>'Q100a-geral'!X834</f>
        <v>x</v>
      </c>
      <c r="Y314" s="58" t="str">
        <f>'Q100a-geral'!Y834</f>
        <v>x</v>
      </c>
      <c r="Z314" s="58" t="str">
        <f>'Q100a-geral'!Z834</f>
        <v>x</v>
      </c>
      <c r="AA314" s="58" t="str">
        <f>'Q100a-geral'!AA834</f>
        <v>x</v>
      </c>
      <c r="AB314" s="23" t="str">
        <f>'Q100a-geral'!AB834</f>
        <v>x</v>
      </c>
      <c r="AC314" s="23" t="str">
        <f>'Q100a-geral'!AC834</f>
        <v>x</v>
      </c>
      <c r="AD314" s="23" t="str">
        <f>'Q100a-geral'!AD834</f>
        <v>x</v>
      </c>
      <c r="AE314" s="23" t="str">
        <f>'Q100a-geral'!AE834</f>
        <v>x</v>
      </c>
      <c r="AF314" s="23" t="str">
        <f>'Q100a-geral'!AF834</f>
        <v>x</v>
      </c>
      <c r="AG314" s="23" t="str">
        <f>'Q100a-geral'!AG834</f>
        <v>x</v>
      </c>
      <c r="AH314" s="23" t="str">
        <f>'Q100a-geral'!AH834</f>
        <v>x</v>
      </c>
      <c r="AI314" s="23" t="str">
        <f>'Q100a-geral'!AI834</f>
        <v>x</v>
      </c>
      <c r="AJ314" s="23" t="str">
        <f>'Q100a-geral'!AJ834</f>
        <v>x</v>
      </c>
      <c r="AK314" s="23" t="str">
        <f>'Q100a-geral'!AK834</f>
        <v>x</v>
      </c>
      <c r="AL314" s="220" t="str">
        <f>'Q100a-geral'!AL834</f>
        <v>x</v>
      </c>
      <c r="AM314" s="137" t="str">
        <f>'Q100a-geral'!AM834</f>
        <v>x</v>
      </c>
      <c r="AN314" s="137" t="str">
        <f>'Q100a-geral'!AN834</f>
        <v>x</v>
      </c>
      <c r="AO314" s="137" t="str">
        <f>'Q100a-geral'!AO834</f>
        <v>x</v>
      </c>
      <c r="AP314" s="137" t="str">
        <f>'Q100a-geral'!AP834</f>
        <v>x</v>
      </c>
      <c r="AQ314" s="137" t="str">
        <f>'Q100a-geral'!AQ834</f>
        <v>x</v>
      </c>
      <c r="AR314" s="137"/>
      <c r="AS314" s="137"/>
      <c r="AT314" s="137"/>
      <c r="AU314" s="137"/>
      <c r="AV314" s="137" t="str">
        <f>'Q100a-geral'!AV834</f>
        <v>x</v>
      </c>
      <c r="AW314" s="137"/>
      <c r="AX314" s="137"/>
      <c r="AY314" s="137"/>
      <c r="AZ314" s="137"/>
      <c r="BA314" s="137" t="str">
        <f>'Q100a-geral'!BA834</f>
        <v>x</v>
      </c>
      <c r="BB314" s="239" t="str">
        <f>'Q100a-geral'!BB834</f>
        <v>Transporte escolaracessibilidade</v>
      </c>
      <c r="BC314" s="239" t="str">
        <f>'Q100a-geral'!BC834</f>
        <v>Transporte escolaracessibilidadeainda não incorporado ao SisMob-BH</v>
      </c>
      <c r="BD314" s="239" t="str">
        <f>'Q100a-geral'!BD834</f>
        <v>Transporte escolarainda não incorporado ao SisMob-BH</v>
      </c>
    </row>
    <row r="315" spans="1:56" s="1" customFormat="1" ht="41.25" customHeight="1" x14ac:dyDescent="0.25">
      <c r="A315" s="275" t="str">
        <f>'Q100a-geral'!A835</f>
        <v>8.6</v>
      </c>
      <c r="B315" s="54" t="str">
        <f>'Q100a-geral'!B835</f>
        <v>Transporte escolar</v>
      </c>
      <c r="C315" s="230" t="str">
        <f>'Q100a-geral'!C835</f>
        <v>x</v>
      </c>
      <c r="D315" s="892" t="s">
        <v>2714</v>
      </c>
      <c r="E315" s="890" t="str">
        <f>'Q100a-geral'!E835</f>
        <v>Belo Horizonte</v>
      </c>
      <c r="F315" s="492" t="str">
        <f>'Q100a-geral'!F835</f>
        <v>frota de veículos tipo "kombi" do transporte escolar
obs.: valores de dezembro usados para representar cada ano ano, com resultados de 2006-2012 conforme BHTRANS(2013f); 2013 conforme BHTRANS(2014g); 2014 conforme BHTRANS(2015b); 2015 conforme BHTRANS(2016p3)</v>
      </c>
      <c r="G315" s="252" t="str">
        <f>'Q100a-geral'!G835</f>
        <v>registro na fonte</v>
      </c>
      <c r="H315" s="171" t="str">
        <f>'Q100a-geral'!H835</f>
        <v>x</v>
      </c>
      <c r="I315" s="57">
        <f>'Q100a-geral'!I835</f>
        <v>1</v>
      </c>
      <c r="J315" s="107" t="str">
        <f>'Q100a-geral'!J835</f>
        <v>x</v>
      </c>
      <c r="K315" s="107" t="str">
        <f>'Q100a-geral'!K835</f>
        <v>x</v>
      </c>
      <c r="L315" s="93" t="str">
        <f>'Q100a-geral'!L835</f>
        <v>x</v>
      </c>
      <c r="M315" s="93" t="str">
        <f>'Q100a-geral'!M835</f>
        <v>x</v>
      </c>
      <c r="N315" s="93" t="str">
        <f>'Q100a-geral'!N835</f>
        <v>x</v>
      </c>
      <c r="O315" s="93" t="str">
        <f>'Q100a-geral'!O835</f>
        <v>x</v>
      </c>
      <c r="P315" s="93" t="str">
        <f>'Q100a-geral'!P835</f>
        <v>x</v>
      </c>
      <c r="Q315" s="93" t="str">
        <f>'Q100a-geral'!Q835</f>
        <v>x</v>
      </c>
      <c r="R315" s="93" t="str">
        <f>'Q100a-geral'!R835</f>
        <v>x</v>
      </c>
      <c r="S315" s="107" t="str">
        <f>'Q100a-geral'!S835</f>
        <v>só para pesquisa</v>
      </c>
      <c r="T315" s="93" t="str">
        <f>'Q100a-geral'!T835</f>
        <v>x</v>
      </c>
      <c r="U315" s="93" t="str">
        <f>'Q100a-geral'!U835</f>
        <v>x</v>
      </c>
      <c r="V315" s="107" t="str">
        <f>'Q100a-geral'!V835</f>
        <v>só para pesquisa</v>
      </c>
      <c r="W315" s="93" t="str">
        <f>'Q100a-geral'!W835</f>
        <v>x</v>
      </c>
      <c r="X315" s="93" t="str">
        <f>'Q100a-geral'!X835</f>
        <v>x</v>
      </c>
      <c r="Y315" s="93" t="str">
        <f>'Q100a-geral'!Y835</f>
        <v>x</v>
      </c>
      <c r="Z315" s="93" t="str">
        <f>'Q100a-geral'!Z835</f>
        <v>x</v>
      </c>
      <c r="AA315" s="93" t="str">
        <f>'Q100a-geral'!AA835</f>
        <v>x</v>
      </c>
      <c r="AB315" s="86">
        <f>'Q100a-geral'!AB835</f>
        <v>49</v>
      </c>
      <c r="AC315" s="86">
        <f>'Q100a-geral'!AC835</f>
        <v>47</v>
      </c>
      <c r="AD315" s="86">
        <f>'Q100a-geral'!AD835</f>
        <v>34</v>
      </c>
      <c r="AE315" s="86">
        <f>'Q100a-geral'!AE835</f>
        <v>28</v>
      </c>
      <c r="AF315" s="86">
        <f>'Q100a-geral'!AF835</f>
        <v>30</v>
      </c>
      <c r="AG315" s="87">
        <f>'Q100a-geral'!AG835</f>
        <v>29</v>
      </c>
      <c r="AH315" s="87">
        <f>'Q100a-geral'!AH835</f>
        <v>26</v>
      </c>
      <c r="AI315" s="87">
        <f>'Q100a-geral'!AI835</f>
        <v>21</v>
      </c>
      <c r="AJ315" s="87">
        <f>'Q100a-geral'!AJ835</f>
        <v>18</v>
      </c>
      <c r="AK315" s="87">
        <f>'Q100a-geral'!AK835</f>
        <v>16</v>
      </c>
      <c r="AL315" s="220" t="str">
        <f>'Q100a-geral'!AL835</f>
        <v>x</v>
      </c>
      <c r="AM315" s="137" t="str">
        <f>'Q100a-geral'!AM835</f>
        <v>x</v>
      </c>
      <c r="AN315" s="137" t="str">
        <f>'Q100a-geral'!AN835</f>
        <v>x</v>
      </c>
      <c r="AO315" s="137" t="str">
        <f>'Q100a-geral'!AO835</f>
        <v>x</v>
      </c>
      <c r="AP315" s="137" t="str">
        <f>'Q100a-geral'!AP835</f>
        <v>x</v>
      </c>
      <c r="AQ315" s="137" t="str">
        <f>'Q100a-geral'!AQ835</f>
        <v>x</v>
      </c>
      <c r="AR315" s="137"/>
      <c r="AS315" s="137"/>
      <c r="AT315" s="137"/>
      <c r="AU315" s="137"/>
      <c r="AV315" s="137" t="str">
        <f>'Q100a-geral'!AV835</f>
        <v>x</v>
      </c>
      <c r="AW315" s="137"/>
      <c r="AX315" s="137"/>
      <c r="AY315" s="137"/>
      <c r="AZ315" s="137"/>
      <c r="BA315" s="137" t="str">
        <f>'Q100a-geral'!BA835</f>
        <v>x</v>
      </c>
      <c r="BB315" s="239" t="str">
        <f>'Q100a-geral'!BB835</f>
        <v>Transporte escolarx</v>
      </c>
      <c r="BC315" s="239" t="str">
        <f>'Q100a-geral'!BC835</f>
        <v>Transporte escolarxx</v>
      </c>
      <c r="BD315" s="239" t="str">
        <f>'Q100a-geral'!BD835</f>
        <v>Transporte escolarx</v>
      </c>
    </row>
    <row r="316" spans="1:56" s="1" customFormat="1" ht="41.25" customHeight="1" x14ac:dyDescent="0.25">
      <c r="A316" s="275" t="str">
        <f>'Q100a-geral'!A836</f>
        <v>8.6</v>
      </c>
      <c r="B316" s="54" t="str">
        <f>'Q100a-geral'!B836</f>
        <v>Transporte escolar</v>
      </c>
      <c r="C316" s="230" t="str">
        <f>'Q100a-geral'!C836</f>
        <v>x</v>
      </c>
      <c r="D316" s="892" t="s">
        <v>2715</v>
      </c>
      <c r="E316" s="890" t="str">
        <f>'Q100a-geral'!E836</f>
        <v>Belo Horizonte</v>
      </c>
      <c r="F316" s="492" t="str">
        <f>'Q100a-geral'!F836</f>
        <v>frota de veículos tipo "micro/van" do transporte escolar
obs.: valores de dezembro usados para representar cada ano ano, com resultados de 2006-2012 conforme BHTRANS(2013f); 2013 conforme BHTRANS(2014g); 2014 conforme BHTRANS(2015b); 2015 conforme BHTRANS(2016p3)</v>
      </c>
      <c r="G316" s="252" t="str">
        <f>'Q100a-geral'!G836</f>
        <v>registro na fonte</v>
      </c>
      <c r="H316" s="171" t="str">
        <f>'Q100a-geral'!H836</f>
        <v>x</v>
      </c>
      <c r="I316" s="57">
        <f>'Q100a-geral'!I836</f>
        <v>1</v>
      </c>
      <c r="J316" s="107" t="str">
        <f>'Q100a-geral'!J836</f>
        <v>x</v>
      </c>
      <c r="K316" s="107" t="str">
        <f>'Q100a-geral'!K836</f>
        <v>x</v>
      </c>
      <c r="L316" s="93" t="str">
        <f>'Q100a-geral'!L836</f>
        <v>x</v>
      </c>
      <c r="M316" s="93" t="str">
        <f>'Q100a-geral'!M836</f>
        <v>x</v>
      </c>
      <c r="N316" s="93" t="str">
        <f>'Q100a-geral'!N836</f>
        <v>x</v>
      </c>
      <c r="O316" s="93" t="str">
        <f>'Q100a-geral'!O836</f>
        <v>x</v>
      </c>
      <c r="P316" s="93" t="str">
        <f>'Q100a-geral'!P836</f>
        <v>x</v>
      </c>
      <c r="Q316" s="93" t="str">
        <f>'Q100a-geral'!Q836</f>
        <v>x</v>
      </c>
      <c r="R316" s="93" t="str">
        <f>'Q100a-geral'!R836</f>
        <v>x</v>
      </c>
      <c r="S316" s="107" t="str">
        <f>'Q100a-geral'!S836</f>
        <v>só para pesquisa</v>
      </c>
      <c r="T316" s="93" t="str">
        <f>'Q100a-geral'!T836</f>
        <v>x</v>
      </c>
      <c r="U316" s="93" t="str">
        <f>'Q100a-geral'!U836</f>
        <v>x</v>
      </c>
      <c r="V316" s="107" t="str">
        <f>'Q100a-geral'!V836</f>
        <v>só para pesquisa</v>
      </c>
      <c r="W316" s="93" t="str">
        <f>'Q100a-geral'!W836</f>
        <v>x</v>
      </c>
      <c r="X316" s="93" t="str">
        <f>'Q100a-geral'!X836</f>
        <v>x</v>
      </c>
      <c r="Y316" s="93" t="str">
        <f>'Q100a-geral'!Y836</f>
        <v>x</v>
      </c>
      <c r="Z316" s="93" t="str">
        <f>'Q100a-geral'!Z836</f>
        <v>x</v>
      </c>
      <c r="AA316" s="93" t="str">
        <f>'Q100a-geral'!AA836</f>
        <v>x</v>
      </c>
      <c r="AB316" s="86">
        <f>'Q100a-geral'!AB836</f>
        <v>779</v>
      </c>
      <c r="AC316" s="86">
        <f>'Q100a-geral'!AC836</f>
        <v>788</v>
      </c>
      <c r="AD316" s="86">
        <f>'Q100a-geral'!AD836</f>
        <v>872</v>
      </c>
      <c r="AE316" s="86">
        <f>'Q100a-geral'!AE836</f>
        <v>882</v>
      </c>
      <c r="AF316" s="86">
        <f>'Q100a-geral'!AF836</f>
        <v>875</v>
      </c>
      <c r="AG316" s="87">
        <f>'Q100a-geral'!AG836</f>
        <v>1407</v>
      </c>
      <c r="AH316" s="87">
        <f>'Q100a-geral'!AH836</f>
        <v>1409</v>
      </c>
      <c r="AI316" s="87">
        <f>'Q100a-geral'!AI836</f>
        <v>1639</v>
      </c>
      <c r="AJ316" s="87">
        <f>'Q100a-geral'!AJ836</f>
        <v>1607</v>
      </c>
      <c r="AK316" s="87">
        <f>'Q100a-geral'!AK836</f>
        <v>1572</v>
      </c>
      <c r="AL316" s="220" t="str">
        <f>'Q100a-geral'!AL836</f>
        <v>x</v>
      </c>
      <c r="AM316" s="137" t="str">
        <f>'Q100a-geral'!AM836</f>
        <v>x</v>
      </c>
      <c r="AN316" s="137" t="str">
        <f>'Q100a-geral'!AN836</f>
        <v>x</v>
      </c>
      <c r="AO316" s="137" t="str">
        <f>'Q100a-geral'!AO836</f>
        <v>x</v>
      </c>
      <c r="AP316" s="137" t="str">
        <f>'Q100a-geral'!AP836</f>
        <v>x</v>
      </c>
      <c r="AQ316" s="137" t="str">
        <f>'Q100a-geral'!AQ836</f>
        <v>x</v>
      </c>
      <c r="AR316" s="137"/>
      <c r="AS316" s="137"/>
      <c r="AT316" s="137"/>
      <c r="AU316" s="137"/>
      <c r="AV316" s="137" t="str">
        <f>'Q100a-geral'!AV836</f>
        <v>x</v>
      </c>
      <c r="AW316" s="137"/>
      <c r="AX316" s="137"/>
      <c r="AY316" s="137"/>
      <c r="AZ316" s="137"/>
      <c r="BA316" s="137" t="str">
        <f>'Q100a-geral'!BA836</f>
        <v>x</v>
      </c>
      <c r="BB316" s="239" t="str">
        <f>'Q100a-geral'!BB836</f>
        <v>Transporte escolarx</v>
      </c>
      <c r="BC316" s="239" t="str">
        <f>'Q100a-geral'!BC836</f>
        <v>Transporte escolarxx</v>
      </c>
      <c r="BD316" s="239" t="str">
        <f>'Q100a-geral'!BD836</f>
        <v>Transporte escolarx</v>
      </c>
    </row>
    <row r="317" spans="1:56" s="1" customFormat="1" ht="41.25" customHeight="1" x14ac:dyDescent="0.25">
      <c r="A317" s="275" t="str">
        <f>'Q100a-geral'!A837</f>
        <v>8.6</v>
      </c>
      <c r="B317" s="54" t="str">
        <f>'Q100a-geral'!B837</f>
        <v>Transporte escolar</v>
      </c>
      <c r="C317" s="230" t="str">
        <f>'Q100a-geral'!C837</f>
        <v>x</v>
      </c>
      <c r="D317" s="892" t="s">
        <v>839</v>
      </c>
      <c r="E317" s="890" t="str">
        <f>'Q100a-geral'!E837</f>
        <v>Belo Horizonte</v>
      </c>
      <c r="F317" s="492" t="str">
        <f>'Q100a-geral'!F837</f>
        <v>frota de veículos tipo "ônibus" do transporte escolar
obs.: valores de dezembro usados para representar cada ano ano, com resultados de 2006-2012 conforme BHTRANS(2013f); 2013 conforme BHTRANS(2014g); 2014 conforme BHTRANS(2015b); 2015 conforme BHTRANS(2016p3)</v>
      </c>
      <c r="G317" s="252" t="str">
        <f>'Q100a-geral'!G837</f>
        <v>registro na fonte</v>
      </c>
      <c r="H317" s="171" t="str">
        <f>'Q100a-geral'!H837</f>
        <v>x</v>
      </c>
      <c r="I317" s="57">
        <f>'Q100a-geral'!I837</f>
        <v>1</v>
      </c>
      <c r="J317" s="107" t="str">
        <f>'Q100a-geral'!J837</f>
        <v>x</v>
      </c>
      <c r="K317" s="107" t="str">
        <f>'Q100a-geral'!K837</f>
        <v>x</v>
      </c>
      <c r="L317" s="93" t="str">
        <f>'Q100a-geral'!L837</f>
        <v>x</v>
      </c>
      <c r="M317" s="93" t="str">
        <f>'Q100a-geral'!M837</f>
        <v>x</v>
      </c>
      <c r="N317" s="93" t="str">
        <f>'Q100a-geral'!N837</f>
        <v>x</v>
      </c>
      <c r="O317" s="93" t="str">
        <f>'Q100a-geral'!O837</f>
        <v>x</v>
      </c>
      <c r="P317" s="93" t="str">
        <f>'Q100a-geral'!P837</f>
        <v>x</v>
      </c>
      <c r="Q317" s="93" t="str">
        <f>'Q100a-geral'!Q837</f>
        <v>x</v>
      </c>
      <c r="R317" s="93" t="str">
        <f>'Q100a-geral'!R837</f>
        <v>x</v>
      </c>
      <c r="S317" s="107" t="str">
        <f>'Q100a-geral'!S837</f>
        <v>só para pesquisa</v>
      </c>
      <c r="T317" s="93" t="str">
        <f>'Q100a-geral'!T837</f>
        <v>x</v>
      </c>
      <c r="U317" s="93" t="str">
        <f>'Q100a-geral'!U837</f>
        <v>x</v>
      </c>
      <c r="V317" s="107" t="str">
        <f>'Q100a-geral'!V837</f>
        <v>só para pesquisa</v>
      </c>
      <c r="W317" s="93" t="str">
        <f>'Q100a-geral'!W837</f>
        <v>x</v>
      </c>
      <c r="X317" s="93" t="str">
        <f>'Q100a-geral'!X837</f>
        <v>x</v>
      </c>
      <c r="Y317" s="93" t="str">
        <f>'Q100a-geral'!Y837</f>
        <v>x</v>
      </c>
      <c r="Z317" s="93" t="str">
        <f>'Q100a-geral'!Z837</f>
        <v>x</v>
      </c>
      <c r="AA317" s="93" t="str">
        <f>'Q100a-geral'!AA837</f>
        <v>x</v>
      </c>
      <c r="AB317" s="86">
        <f>'Q100a-geral'!AB837</f>
        <v>276</v>
      </c>
      <c r="AC317" s="86">
        <f>'Q100a-geral'!AC837</f>
        <v>271</v>
      </c>
      <c r="AD317" s="86">
        <f>'Q100a-geral'!AD837</f>
        <v>289</v>
      </c>
      <c r="AE317" s="86">
        <f>'Q100a-geral'!AE837</f>
        <v>284</v>
      </c>
      <c r="AF317" s="86">
        <f>'Q100a-geral'!AF837</f>
        <v>301</v>
      </c>
      <c r="AG317" s="86">
        <f>'Q100a-geral'!AG837</f>
        <v>340</v>
      </c>
      <c r="AH317" s="86">
        <f>'Q100a-geral'!AH837</f>
        <v>358</v>
      </c>
      <c r="AI317" s="86">
        <f>'Q100a-geral'!AI837</f>
        <v>389</v>
      </c>
      <c r="AJ317" s="86">
        <f>'Q100a-geral'!AJ837</f>
        <v>278</v>
      </c>
      <c r="AK317" s="86">
        <f>'Q100a-geral'!AK837</f>
        <v>283</v>
      </c>
      <c r="AL317" s="220" t="str">
        <f>'Q100a-geral'!AL837</f>
        <v>x</v>
      </c>
      <c r="AM317" s="137" t="str">
        <f>'Q100a-geral'!AM837</f>
        <v>x</v>
      </c>
      <c r="AN317" s="137" t="str">
        <f>'Q100a-geral'!AN837</f>
        <v>x</v>
      </c>
      <c r="AO317" s="137" t="str">
        <f>'Q100a-geral'!AO837</f>
        <v>x</v>
      </c>
      <c r="AP317" s="137" t="str">
        <f>'Q100a-geral'!AP837</f>
        <v>x</v>
      </c>
      <c r="AQ317" s="137" t="str">
        <f>'Q100a-geral'!AQ837</f>
        <v>x</v>
      </c>
      <c r="AR317" s="137"/>
      <c r="AS317" s="137"/>
      <c r="AT317" s="137"/>
      <c r="AU317" s="137"/>
      <c r="AV317" s="137" t="str">
        <f>'Q100a-geral'!AV837</f>
        <v>x</v>
      </c>
      <c r="AW317" s="137"/>
      <c r="AX317" s="137"/>
      <c r="AY317" s="137"/>
      <c r="AZ317" s="137"/>
      <c r="BA317" s="137" t="str">
        <f>'Q100a-geral'!BA837</f>
        <v>x</v>
      </c>
      <c r="BB317" s="239" t="str">
        <f>'Q100a-geral'!BB837</f>
        <v>Transporte escolarx</v>
      </c>
      <c r="BC317" s="239" t="str">
        <f>'Q100a-geral'!BC837</f>
        <v>Transporte escolarxx</v>
      </c>
      <c r="BD317" s="239" t="str">
        <f>'Q100a-geral'!BD837</f>
        <v>Transporte escolarx</v>
      </c>
    </row>
    <row r="318" spans="1:56" s="1" customFormat="1" ht="51" customHeight="1" x14ac:dyDescent="0.25">
      <c r="A318" s="275" t="str">
        <f>'Q100a-geral'!A839</f>
        <v>2.2</v>
      </c>
      <c r="B318" s="54" t="str">
        <f>'Q100a-geral'!B839</f>
        <v>Frota e condutores de veículos automotores</v>
      </c>
      <c r="C318" s="230" t="str">
        <f>'Q100a-geral'!C839</f>
        <v>x</v>
      </c>
      <c r="D318" s="26" t="str">
        <f>'Q100a-geral'!D839</f>
        <v>F experiência</v>
      </c>
      <c r="E318" s="188" t="str">
        <f>'Q100a-geral'!E839</f>
        <v>Belo Horizonte</v>
      </c>
      <c r="F318" s="446" t="str">
        <f>'Q100a-geral'!F839</f>
        <v>frota de veículos da categoria "experiência" registrada no município
obs.: resultados de 2008-2014 conforme BHTRANS(2013b); MG(2013; 2014; 2015a); de 2015 conforme MG(2015b)</v>
      </c>
      <c r="G318" s="252" t="str">
        <f>'Q100a-geral'!G839</f>
        <v>registro na fonte</v>
      </c>
      <c r="H318" s="168" t="str">
        <f>'Q100a-geral'!H839</f>
        <v>x</v>
      </c>
      <c r="I318" s="167">
        <f>'Q100a-geral'!I839</f>
        <v>1</v>
      </c>
      <c r="J318" s="11" t="str">
        <f>'Q100a-geral'!J839</f>
        <v>x</v>
      </c>
      <c r="K318" s="13" t="str">
        <f>'Q100a-geral'!K839</f>
        <v>x</v>
      </c>
      <c r="L318" s="13" t="str">
        <f>'Q100a-geral'!L839</f>
        <v>x</v>
      </c>
      <c r="M318" s="13" t="str">
        <f>'Q100a-geral'!M839</f>
        <v>x</v>
      </c>
      <c r="N318" s="13" t="str">
        <f>'Q100a-geral'!N839</f>
        <v>x</v>
      </c>
      <c r="O318" s="13" t="str">
        <f>'Q100a-geral'!O839</f>
        <v>x</v>
      </c>
      <c r="P318" s="13" t="str">
        <f>'Q100a-geral'!P839</f>
        <v>x</v>
      </c>
      <c r="Q318" s="13" t="str">
        <f>'Q100a-geral'!Q839</f>
        <v>x</v>
      </c>
      <c r="R318" s="13" t="str">
        <f>'Q100a-geral'!R839</f>
        <v>x</v>
      </c>
      <c r="S318" s="649" t="str">
        <f>'Q100a-geral'!S839</f>
        <v>só para pesquisa</v>
      </c>
      <c r="T318" s="49" t="str">
        <f>'Q100a-geral'!T839</f>
        <v>x</v>
      </c>
      <c r="U318" s="49" t="str">
        <f>'Q100a-geral'!U839</f>
        <v>x</v>
      </c>
      <c r="V318" s="107" t="str">
        <f>'Q100a-geral'!V839</f>
        <v>só para pesquisa</v>
      </c>
      <c r="W318" s="13" t="str">
        <f>'Q100a-geral'!W839</f>
        <v>x</v>
      </c>
      <c r="X318" s="13" t="str">
        <f>'Q100a-geral'!X839</f>
        <v>x</v>
      </c>
      <c r="Y318" s="13" t="str">
        <f>'Q100a-geral'!Y839</f>
        <v>x</v>
      </c>
      <c r="Z318" s="13" t="str">
        <f>'Q100a-geral'!Z839</f>
        <v>x</v>
      </c>
      <c r="AA318" s="13" t="str">
        <f>'Q100a-geral'!AA839</f>
        <v>x</v>
      </c>
      <c r="AB318" s="13" t="str">
        <f>'Q100a-geral'!AB839</f>
        <v>x</v>
      </c>
      <c r="AC318" s="13" t="str">
        <f>'Q100a-geral'!AC839</f>
        <v>x</v>
      </c>
      <c r="AD318" s="84">
        <f>'Q100a-geral'!AD839</f>
        <v>276</v>
      </c>
      <c r="AE318" s="84">
        <f>'Q100a-geral'!AE839</f>
        <v>283</v>
      </c>
      <c r="AF318" s="84">
        <f>'Q100a-geral'!AF839</f>
        <v>295</v>
      </c>
      <c r="AG318" s="84">
        <f>'Q100a-geral'!AG839</f>
        <v>323</v>
      </c>
      <c r="AH318" s="84">
        <f>'Q100a-geral'!AH839</f>
        <v>335</v>
      </c>
      <c r="AI318" s="84">
        <f>'Q100a-geral'!AI839</f>
        <v>342</v>
      </c>
      <c r="AJ318" s="84">
        <f>'Q100a-geral'!AJ839</f>
        <v>349</v>
      </c>
      <c r="AK318" s="84">
        <f>'Q100a-geral'!AK839</f>
        <v>319</v>
      </c>
      <c r="AL318" s="212" t="str">
        <f>'Q100a-geral'!AL839</f>
        <v>x</v>
      </c>
      <c r="AM318" s="137" t="str">
        <f>'Q100a-geral'!AM839</f>
        <v>x</v>
      </c>
      <c r="AN318" s="137" t="str">
        <f>'Q100a-geral'!AN839</f>
        <v>x</v>
      </c>
      <c r="AO318" s="137" t="str">
        <f>'Q100a-geral'!AO839</f>
        <v>x</v>
      </c>
      <c r="AP318" s="137" t="str">
        <f>'Q100a-geral'!AP839</f>
        <v>x</v>
      </c>
      <c r="AQ318" s="137" t="str">
        <f>'Q100a-geral'!AQ839</f>
        <v>x</v>
      </c>
      <c r="AR318" s="137"/>
      <c r="AS318" s="137"/>
      <c r="AT318" s="137"/>
      <c r="AU318" s="137"/>
      <c r="AV318" s="137" t="str">
        <f>'Q100a-geral'!AV839</f>
        <v>x</v>
      </c>
      <c r="AW318" s="137"/>
      <c r="AX318" s="137"/>
      <c r="AY318" s="137"/>
      <c r="AZ318" s="137"/>
      <c r="BA318" s="137" t="str">
        <f>'Q100a-geral'!BA839</f>
        <v>x</v>
      </c>
      <c r="BB318" s="239" t="str">
        <f>'Q100a-geral'!BB839</f>
        <v>Frota e condutores de veículos automotoresx</v>
      </c>
      <c r="BC318" s="239" t="str">
        <f>'Q100a-geral'!BC839</f>
        <v>Frota e condutores de veículos automotoresxx</v>
      </c>
      <c r="BD318" s="239" t="str">
        <f>'Q100a-geral'!BD839</f>
        <v>Frota e condutores de veículos automotoresx</v>
      </c>
    </row>
    <row r="319" spans="1:56" s="1" customFormat="1" ht="51" customHeight="1" x14ac:dyDescent="0.25">
      <c r="A319" s="275" t="str">
        <f>'Q100a-geral'!A840</f>
        <v>2.2</v>
      </c>
      <c r="B319" s="54" t="str">
        <f>'Q100a-geral'!B840</f>
        <v>Frota e condutores de veículos automotores</v>
      </c>
      <c r="C319" s="230" t="str">
        <f>'Q100a-geral'!C840</f>
        <v>x</v>
      </c>
      <c r="D319" s="26" t="str">
        <f>'Q100a-geral'!D840</f>
        <v>F fabricante</v>
      </c>
      <c r="E319" s="188" t="str">
        <f>'Q100a-geral'!E840</f>
        <v>Belo Horizonte</v>
      </c>
      <c r="F319" s="446" t="str">
        <f>'Q100a-geral'!F840</f>
        <v>frota de veículos da categoria "fabricante" registrada no município
obs.: resultados de 2008-2014 conforme BHTRANS(2013b); MG(2013; 2014; 2015a); de 2015 conforme MG(2015b)</v>
      </c>
      <c r="G319" s="252" t="str">
        <f>'Q100a-geral'!G840</f>
        <v>registro na fonte</v>
      </c>
      <c r="H319" s="168" t="str">
        <f>'Q100a-geral'!H840</f>
        <v>x</v>
      </c>
      <c r="I319" s="167">
        <f>'Q100a-geral'!I840</f>
        <v>1</v>
      </c>
      <c r="J319" s="11" t="str">
        <f>'Q100a-geral'!J840</f>
        <v>x</v>
      </c>
      <c r="K319" s="13" t="str">
        <f>'Q100a-geral'!K840</f>
        <v>x</v>
      </c>
      <c r="L319" s="13" t="str">
        <f>'Q100a-geral'!L840</f>
        <v>x</v>
      </c>
      <c r="M319" s="13" t="str">
        <f>'Q100a-geral'!M840</f>
        <v>x</v>
      </c>
      <c r="N319" s="13" t="str">
        <f>'Q100a-geral'!N840</f>
        <v>x</v>
      </c>
      <c r="O319" s="13" t="str">
        <f>'Q100a-geral'!O840</f>
        <v>x</v>
      </c>
      <c r="P319" s="13" t="str">
        <f>'Q100a-geral'!P840</f>
        <v>x</v>
      </c>
      <c r="Q319" s="13" t="str">
        <f>'Q100a-geral'!Q840</f>
        <v>x</v>
      </c>
      <c r="R319" s="13" t="str">
        <f>'Q100a-geral'!R840</f>
        <v>x</v>
      </c>
      <c r="S319" s="649" t="str">
        <f>'Q100a-geral'!S840</f>
        <v>só para pesquisa</v>
      </c>
      <c r="T319" s="49" t="str">
        <f>'Q100a-geral'!T840</f>
        <v>x</v>
      </c>
      <c r="U319" s="49" t="str">
        <f>'Q100a-geral'!U840</f>
        <v>x</v>
      </c>
      <c r="V319" s="107" t="str">
        <f>'Q100a-geral'!V840</f>
        <v>só para pesquisa</v>
      </c>
      <c r="W319" s="13" t="str">
        <f>'Q100a-geral'!W840</f>
        <v>x</v>
      </c>
      <c r="X319" s="13" t="str">
        <f>'Q100a-geral'!X840</f>
        <v>x</v>
      </c>
      <c r="Y319" s="13" t="str">
        <f>'Q100a-geral'!Y840</f>
        <v>x</v>
      </c>
      <c r="Z319" s="13" t="str">
        <f>'Q100a-geral'!Z840</f>
        <v>x</v>
      </c>
      <c r="AA319" s="13" t="str">
        <f>'Q100a-geral'!AA840</f>
        <v>x</v>
      </c>
      <c r="AB319" s="13" t="str">
        <f>'Q100a-geral'!AB840</f>
        <v>x</v>
      </c>
      <c r="AC319" s="13" t="str">
        <f>'Q100a-geral'!AC840</f>
        <v>x</v>
      </c>
      <c r="AD319" s="84">
        <f>'Q100a-geral'!AD840</f>
        <v>1</v>
      </c>
      <c r="AE319" s="84">
        <f>'Q100a-geral'!AE840</f>
        <v>3</v>
      </c>
      <c r="AF319" s="84">
        <f>'Q100a-geral'!AF840</f>
        <v>3</v>
      </c>
      <c r="AG319" s="84">
        <f>'Q100a-geral'!AG840</f>
        <v>2</v>
      </c>
      <c r="AH319" s="84">
        <f>'Q100a-geral'!AH840</f>
        <v>2</v>
      </c>
      <c r="AI319" s="84">
        <f>'Q100a-geral'!AI840</f>
        <v>2</v>
      </c>
      <c r="AJ319" s="84">
        <f>'Q100a-geral'!AJ840</f>
        <v>2</v>
      </c>
      <c r="AK319" s="84">
        <f>'Q100a-geral'!AK840</f>
        <v>2</v>
      </c>
      <c r="AL319" s="212" t="str">
        <f>'Q100a-geral'!AL840</f>
        <v>x</v>
      </c>
      <c r="AM319" s="137" t="str">
        <f>'Q100a-geral'!AM840</f>
        <v>x</v>
      </c>
      <c r="AN319" s="137" t="str">
        <f>'Q100a-geral'!AN840</f>
        <v>x</v>
      </c>
      <c r="AO319" s="137" t="str">
        <f>'Q100a-geral'!AO840</f>
        <v>x</v>
      </c>
      <c r="AP319" s="137" t="str">
        <f>'Q100a-geral'!AP840</f>
        <v>x</v>
      </c>
      <c r="AQ319" s="137" t="str">
        <f>'Q100a-geral'!AQ840</f>
        <v>x</v>
      </c>
      <c r="AR319" s="137"/>
      <c r="AS319" s="137"/>
      <c r="AT319" s="137"/>
      <c r="AU319" s="137"/>
      <c r="AV319" s="137" t="str">
        <f>'Q100a-geral'!AV840</f>
        <v>x</v>
      </c>
      <c r="AW319" s="137"/>
      <c r="AX319" s="137"/>
      <c r="AY319" s="137"/>
      <c r="AZ319" s="137"/>
      <c r="BA319" s="137" t="str">
        <f>'Q100a-geral'!BA840</f>
        <v>x</v>
      </c>
      <c r="BB319" s="239" t="str">
        <f>'Q100a-geral'!BB840</f>
        <v>Frota e condutores de veículos automotoresx</v>
      </c>
      <c r="BC319" s="239" t="str">
        <f>'Q100a-geral'!BC840</f>
        <v>Frota e condutores de veículos automotoresxx</v>
      </c>
      <c r="BD319" s="239" t="str">
        <f>'Q100a-geral'!BD840</f>
        <v>Frota e condutores de veículos automotoresx</v>
      </c>
    </row>
    <row r="320" spans="1:56" s="1" customFormat="1" ht="51" customHeight="1" x14ac:dyDescent="0.25">
      <c r="A320" s="275" t="str">
        <f>'Q100a-geral'!A841</f>
        <v>2.2</v>
      </c>
      <c r="B320" s="54" t="str">
        <f>'Q100a-geral'!B841</f>
        <v>Frota e condutores de veículos automotores</v>
      </c>
      <c r="C320" s="230" t="str">
        <f>'Q100a-geral'!C841</f>
        <v>x</v>
      </c>
      <c r="D320" s="26" t="str">
        <f>'Q100a-geral'!D841</f>
        <v>F microônibus</v>
      </c>
      <c r="E320" s="188" t="str">
        <f>'Q100a-geral'!E841</f>
        <v>Belo Horizonte</v>
      </c>
      <c r="F320" s="446" t="str">
        <f>'Q100a-geral'!F841</f>
        <v>frota de veículos da categoria "microônibus" registrada no município
obs.: resultados de 2008-2014 conforme BHTRANS(2013b); MG(2013; 2014; 2015a); de 2015 conforme MG(2015b)</v>
      </c>
      <c r="G320" s="252" t="str">
        <f>'Q100a-geral'!G841</f>
        <v>registro na fonte</v>
      </c>
      <c r="H320" s="168" t="str">
        <f>'Q100a-geral'!H841</f>
        <v>x</v>
      </c>
      <c r="I320" s="167">
        <f>'Q100a-geral'!I841</f>
        <v>1</v>
      </c>
      <c r="J320" s="11" t="str">
        <f>'Q100a-geral'!J841</f>
        <v>x</v>
      </c>
      <c r="K320" s="13" t="str">
        <f>'Q100a-geral'!K841</f>
        <v>x</v>
      </c>
      <c r="L320" s="13" t="str">
        <f>'Q100a-geral'!L841</f>
        <v>x</v>
      </c>
      <c r="M320" s="13" t="str">
        <f>'Q100a-geral'!M841</f>
        <v>x</v>
      </c>
      <c r="N320" s="13" t="str">
        <f>'Q100a-geral'!N841</f>
        <v>x</v>
      </c>
      <c r="O320" s="13" t="str">
        <f>'Q100a-geral'!O841</f>
        <v>x</v>
      </c>
      <c r="P320" s="13" t="str">
        <f>'Q100a-geral'!P841</f>
        <v>x</v>
      </c>
      <c r="Q320" s="13" t="str">
        <f>'Q100a-geral'!Q841</f>
        <v>x</v>
      </c>
      <c r="R320" s="13" t="str">
        <f>'Q100a-geral'!R841</f>
        <v>x</v>
      </c>
      <c r="S320" s="649" t="str">
        <f>'Q100a-geral'!S841</f>
        <v>só para pesquisa</v>
      </c>
      <c r="T320" s="49" t="str">
        <f>'Q100a-geral'!T841</f>
        <v>x</v>
      </c>
      <c r="U320" s="49" t="str">
        <f>'Q100a-geral'!U841</f>
        <v>x</v>
      </c>
      <c r="V320" s="107" t="str">
        <f>'Q100a-geral'!V841</f>
        <v>só para pesquisa</v>
      </c>
      <c r="W320" s="13" t="str">
        <f>'Q100a-geral'!W841</f>
        <v>x</v>
      </c>
      <c r="X320" s="13" t="str">
        <f>'Q100a-geral'!X841</f>
        <v>x</v>
      </c>
      <c r="Y320" s="13" t="str">
        <f>'Q100a-geral'!Y841</f>
        <v>x</v>
      </c>
      <c r="Z320" s="13" t="str">
        <f>'Q100a-geral'!Z841</f>
        <v>x</v>
      </c>
      <c r="AA320" s="13" t="str">
        <f>'Q100a-geral'!AA841</f>
        <v>x</v>
      </c>
      <c r="AB320" s="13" t="str">
        <f>'Q100a-geral'!AB841</f>
        <v>x</v>
      </c>
      <c r="AC320" s="13" t="str">
        <f>'Q100a-geral'!AC841</f>
        <v>x</v>
      </c>
      <c r="AD320" s="87">
        <f>'Q100a-geral'!AD841</f>
        <v>4253</v>
      </c>
      <c r="AE320" s="87">
        <f>'Q100a-geral'!AE841</f>
        <v>4400</v>
      </c>
      <c r="AF320" s="87">
        <f>'Q100a-geral'!AF841</f>
        <v>4730</v>
      </c>
      <c r="AG320" s="87">
        <f>'Q100a-geral'!AG841</f>
        <v>5402</v>
      </c>
      <c r="AH320" s="87">
        <f>'Q100a-geral'!AH841</f>
        <v>5586</v>
      </c>
      <c r="AI320" s="87">
        <f>'Q100a-geral'!AI841</f>
        <v>5877</v>
      </c>
      <c r="AJ320" s="87">
        <f>'Q100a-geral'!AJ841</f>
        <v>6084</v>
      </c>
      <c r="AK320" s="87">
        <f>'Q100a-geral'!AK841</f>
        <v>6192</v>
      </c>
      <c r="AL320" s="212" t="str">
        <f>'Q100a-geral'!AL841</f>
        <v>x</v>
      </c>
      <c r="AM320" s="137" t="str">
        <f>'Q100a-geral'!AM841</f>
        <v>x</v>
      </c>
      <c r="AN320" s="137" t="str">
        <f>'Q100a-geral'!AN841</f>
        <v>x</v>
      </c>
      <c r="AO320" s="137" t="str">
        <f>'Q100a-geral'!AO841</f>
        <v>x</v>
      </c>
      <c r="AP320" s="137" t="str">
        <f>'Q100a-geral'!AP841</f>
        <v>x</v>
      </c>
      <c r="AQ320" s="137" t="str">
        <f>'Q100a-geral'!AQ841</f>
        <v>x</v>
      </c>
      <c r="AR320" s="137"/>
      <c r="AS320" s="137"/>
      <c r="AT320" s="137"/>
      <c r="AU320" s="137"/>
      <c r="AV320" s="137" t="str">
        <f>'Q100a-geral'!AV841</f>
        <v>x</v>
      </c>
      <c r="AW320" s="137"/>
      <c r="AX320" s="137"/>
      <c r="AY320" s="137"/>
      <c r="AZ320" s="137"/>
      <c r="BA320" s="137" t="str">
        <f>'Q100a-geral'!BA841</f>
        <v>x</v>
      </c>
      <c r="BB320" s="239" t="str">
        <f>'Q100a-geral'!BB841</f>
        <v>Frota e condutores de veículos automotoresx</v>
      </c>
      <c r="BC320" s="239" t="str">
        <f>'Q100a-geral'!BC841</f>
        <v>Frota e condutores de veículos automotoresxx</v>
      </c>
      <c r="BD320" s="239" t="str">
        <f>'Q100a-geral'!BD841</f>
        <v>Frota e condutores de veículos automotoresx</v>
      </c>
    </row>
    <row r="321" spans="1:56" s="1" customFormat="1" ht="51" customHeight="1" x14ac:dyDescent="0.25">
      <c r="A321" s="275" t="str">
        <f>'Q100a-geral'!A842</f>
        <v>2.2</v>
      </c>
      <c r="B321" s="54" t="str">
        <f>'Q100a-geral'!B842</f>
        <v>Frota e condutores de veículos automotores</v>
      </c>
      <c r="C321" s="230" t="str">
        <f>'Q100a-geral'!C842</f>
        <v>x</v>
      </c>
      <c r="D321" s="26" t="str">
        <f>'Q100a-geral'!D842</f>
        <v>F motor casa</v>
      </c>
      <c r="E321" s="188" t="str">
        <f>'Q100a-geral'!E842</f>
        <v>Belo Horizonte</v>
      </c>
      <c r="F321" s="446" t="str">
        <f>'Q100a-geral'!F842</f>
        <v>frota de veículos da categoria "motor casa" registrada no município
obs.: resultados de 2008-2014 conforme BHTRANS(2013b); MG(2013; 2014; 2015a); de 2015 conforme MG(2015b)</v>
      </c>
      <c r="G321" s="252" t="str">
        <f>'Q100a-geral'!G842</f>
        <v>registro na fonte</v>
      </c>
      <c r="H321" s="168" t="str">
        <f>'Q100a-geral'!H842</f>
        <v>x</v>
      </c>
      <c r="I321" s="167">
        <f>'Q100a-geral'!I842</f>
        <v>1</v>
      </c>
      <c r="J321" s="11" t="str">
        <f>'Q100a-geral'!J842</f>
        <v>x</v>
      </c>
      <c r="K321" s="13" t="str">
        <f>'Q100a-geral'!K842</f>
        <v>x</v>
      </c>
      <c r="L321" s="13" t="str">
        <f>'Q100a-geral'!L842</f>
        <v>x</v>
      </c>
      <c r="M321" s="13" t="str">
        <f>'Q100a-geral'!M842</f>
        <v>x</v>
      </c>
      <c r="N321" s="13" t="str">
        <f>'Q100a-geral'!N842</f>
        <v>x</v>
      </c>
      <c r="O321" s="13" t="str">
        <f>'Q100a-geral'!O842</f>
        <v>x</v>
      </c>
      <c r="P321" s="13" t="str">
        <f>'Q100a-geral'!P842</f>
        <v>x</v>
      </c>
      <c r="Q321" s="13" t="str">
        <f>'Q100a-geral'!Q842</f>
        <v>x</v>
      </c>
      <c r="R321" s="13" t="str">
        <f>'Q100a-geral'!R842</f>
        <v>x</v>
      </c>
      <c r="S321" s="649" t="str">
        <f>'Q100a-geral'!S842</f>
        <v>só para pesquisa</v>
      </c>
      <c r="T321" s="49" t="str">
        <f>'Q100a-geral'!T842</f>
        <v>x</v>
      </c>
      <c r="U321" s="49" t="str">
        <f>'Q100a-geral'!U842</f>
        <v>x</v>
      </c>
      <c r="V321" s="107" t="str">
        <f>'Q100a-geral'!V842</f>
        <v>só para pesquisa</v>
      </c>
      <c r="W321" s="13" t="str">
        <f>'Q100a-geral'!W842</f>
        <v>x</v>
      </c>
      <c r="X321" s="13" t="str">
        <f>'Q100a-geral'!X842</f>
        <v>x</v>
      </c>
      <c r="Y321" s="13" t="str">
        <f>'Q100a-geral'!Y842</f>
        <v>x</v>
      </c>
      <c r="Z321" s="13" t="str">
        <f>'Q100a-geral'!Z842</f>
        <v>x</v>
      </c>
      <c r="AA321" s="13" t="str">
        <f>'Q100a-geral'!AA842</f>
        <v>x</v>
      </c>
      <c r="AB321" s="13" t="str">
        <f>'Q100a-geral'!AB842</f>
        <v>x</v>
      </c>
      <c r="AC321" s="13" t="str">
        <f>'Q100a-geral'!AC842</f>
        <v>x</v>
      </c>
      <c r="AD321" s="84">
        <f>'Q100a-geral'!AD842</f>
        <v>7</v>
      </c>
      <c r="AE321" s="84">
        <f>'Q100a-geral'!AE842</f>
        <v>15</v>
      </c>
      <c r="AF321" s="84">
        <f>'Q100a-geral'!AF842</f>
        <v>29</v>
      </c>
      <c r="AG321" s="84">
        <f>'Q100a-geral'!AG842</f>
        <v>41</v>
      </c>
      <c r="AH321" s="84">
        <f>'Q100a-geral'!AH842</f>
        <v>61</v>
      </c>
      <c r="AI321" s="84">
        <f>'Q100a-geral'!AI842</f>
        <v>72</v>
      </c>
      <c r="AJ321" s="84">
        <f>'Q100a-geral'!AJ842</f>
        <v>0</v>
      </c>
      <c r="AK321" s="84">
        <f>'Q100a-geral'!AK842</f>
        <v>120</v>
      </c>
      <c r="AL321" s="212" t="str">
        <f>'Q100a-geral'!AL842</f>
        <v>x</v>
      </c>
      <c r="AM321" s="137" t="str">
        <f>'Q100a-geral'!AM842</f>
        <v>x</v>
      </c>
      <c r="AN321" s="137" t="str">
        <f>'Q100a-geral'!AN842</f>
        <v>x</v>
      </c>
      <c r="AO321" s="137" t="str">
        <f>'Q100a-geral'!AO842</f>
        <v>x</v>
      </c>
      <c r="AP321" s="137" t="str">
        <f>'Q100a-geral'!AP842</f>
        <v>x</v>
      </c>
      <c r="AQ321" s="137" t="str">
        <f>'Q100a-geral'!AQ842</f>
        <v>x</v>
      </c>
      <c r="AR321" s="137"/>
      <c r="AS321" s="137"/>
      <c r="AT321" s="137"/>
      <c r="AU321" s="137"/>
      <c r="AV321" s="137" t="str">
        <f>'Q100a-geral'!AV842</f>
        <v>x</v>
      </c>
      <c r="AW321" s="137"/>
      <c r="AX321" s="137"/>
      <c r="AY321" s="137"/>
      <c r="AZ321" s="137"/>
      <c r="BA321" s="137" t="str">
        <f>'Q100a-geral'!BA842</f>
        <v>x</v>
      </c>
      <c r="BB321" s="239" t="str">
        <f>'Q100a-geral'!BB842</f>
        <v>Frota e condutores de veículos automotoresx</v>
      </c>
      <c r="BC321" s="239" t="str">
        <f>'Q100a-geral'!BC842</f>
        <v>Frota e condutores de veículos automotoresxx</v>
      </c>
      <c r="BD321" s="239" t="str">
        <f>'Q100a-geral'!BD842</f>
        <v>Frota e condutores de veículos automotoresx</v>
      </c>
    </row>
    <row r="322" spans="1:56" s="1" customFormat="1" ht="102" customHeight="1" x14ac:dyDescent="0.25">
      <c r="A322" s="275" t="str">
        <f>'Q100a-geral'!A843</f>
        <v>2.2</v>
      </c>
      <c r="B322" s="54" t="str">
        <f>'Q100a-geral'!B843</f>
        <v>Frota e condutores de veículos automotores</v>
      </c>
      <c r="C322" s="230" t="str">
        <f>'Q100a-geral'!C843</f>
        <v>x</v>
      </c>
      <c r="D322" s="104" t="str">
        <f>'Q100a-geral'!D843</f>
        <v>F mmc</v>
      </c>
      <c r="E322" s="14" t="str">
        <f>'Q100a-geral'!E843</f>
        <v>Belo Horizonte</v>
      </c>
      <c r="F322" s="447" t="str">
        <f>'Q100a-geral'!F843</f>
        <v>frota da categoria "motociclo" registrada no município de Belo Horizonte
obs.1: "motociclos" é a denominação utilizada pela Associação Brasileira dos Fabricantes de Motocicletas, Ciclomotores, motonetas, bicicletas e similares - Abraciclo para designar a soma de ciclomotor, cub/motoneta, custom, motocicleta, naked, off road, scooter, sposrt, street, touring, trail (on/off road), bigtrail, triciclo, quadriciclo (ABRACICLO, 2014. p.14-15p.)
obs.2: esta categoria, sem os ciclomotores, é denominada simplesmente como "motocicletas" em estudo de pesquisador do INCT Observatório das Metrópoles conforme RODRIGUES(2012, p.3): "Na categoria motocicletas foram consideradas também as motonetas".</v>
      </c>
      <c r="G322" s="14" t="str">
        <f>'Q100a-geral'!G843</f>
        <v>Fmne + Fmta + Fmtr</v>
      </c>
      <c r="H322" s="173" t="str">
        <f>'Q100a-geral'!H843</f>
        <v>x</v>
      </c>
      <c r="I322" s="57">
        <f>'Q100a-geral'!I843</f>
        <v>1</v>
      </c>
      <c r="J322" s="11" t="str">
        <f>'Q100a-geral'!J843</f>
        <v>x</v>
      </c>
      <c r="K322" s="23" t="str">
        <f>'Q100a-geral'!K843</f>
        <v>x</v>
      </c>
      <c r="L322" s="23" t="str">
        <f>'Q100a-geral'!L843</f>
        <v>x</v>
      </c>
      <c r="M322" s="23" t="str">
        <f>'Q100a-geral'!M843</f>
        <v>x</v>
      </c>
      <c r="N322" s="23" t="str">
        <f>'Q100a-geral'!N843</f>
        <v>x</v>
      </c>
      <c r="O322" s="23" t="str">
        <f>'Q100a-geral'!O843</f>
        <v>x</v>
      </c>
      <c r="P322" s="23" t="str">
        <f>'Q100a-geral'!P843</f>
        <v>x</v>
      </c>
      <c r="Q322" s="23" t="str">
        <f>'Q100a-geral'!Q843</f>
        <v>x</v>
      </c>
      <c r="R322" s="23" t="str">
        <f>'Q100a-geral'!R843</f>
        <v>x</v>
      </c>
      <c r="S322" s="649" t="str">
        <f>'Q100a-geral'!S843</f>
        <v>só para pesquisa</v>
      </c>
      <c r="T322" s="20">
        <f>'Q100a-geral'!T843</f>
        <v>44634</v>
      </c>
      <c r="U322" s="20">
        <f>'Q100a-geral'!U843</f>
        <v>48415</v>
      </c>
      <c r="V322" s="107" t="str">
        <f>'Q100a-geral'!V843</f>
        <v>só para pesquisa</v>
      </c>
      <c r="W322" s="20">
        <f>'Q100a-geral'!W843</f>
        <v>54690</v>
      </c>
      <c r="X322" s="20">
        <f>'Q100a-geral'!X843</f>
        <v>62860</v>
      </c>
      <c r="Y322" s="20">
        <f>'Q100a-geral'!Y843</f>
        <v>69774</v>
      </c>
      <c r="Z322" s="20">
        <f>'Q100a-geral'!Z843</f>
        <v>80858</v>
      </c>
      <c r="AA322" s="20">
        <f>'Q100a-geral'!AA843</f>
        <v>89066</v>
      </c>
      <c r="AB322" s="20">
        <f>'Q100a-geral'!AB843</f>
        <v>102583</v>
      </c>
      <c r="AC322" s="20">
        <f>'Q100a-geral'!AC843</f>
        <v>122743</v>
      </c>
      <c r="AD322" s="20">
        <f>'Q100a-geral'!AD843</f>
        <v>142201</v>
      </c>
      <c r="AE322" s="20">
        <f>'Q100a-geral'!AE843</f>
        <v>160544</v>
      </c>
      <c r="AF322" s="20">
        <f>'Q100a-geral'!AF843</f>
        <v>175941</v>
      </c>
      <c r="AG322" s="20">
        <f>'Q100a-geral'!AG843</f>
        <v>191213</v>
      </c>
      <c r="AH322" s="20">
        <f>'Q100a-geral'!AH843</f>
        <v>201415</v>
      </c>
      <c r="AI322" s="20">
        <f>'Q100a-geral'!AI843</f>
        <v>210332</v>
      </c>
      <c r="AJ322" s="20">
        <f>'Q100a-geral'!AJ843</f>
        <v>217139</v>
      </c>
      <c r="AK322" s="23">
        <f>'Q100a-geral'!AK843</f>
        <v>223763</v>
      </c>
      <c r="AL322" s="212" t="str">
        <f>'Q100a-geral'!AL843</f>
        <v>x</v>
      </c>
      <c r="AM322" s="137" t="str">
        <f>'Q100a-geral'!AM843</f>
        <v>x</v>
      </c>
      <c r="AN322" s="137" t="str">
        <f>'Q100a-geral'!AN843</f>
        <v>x</v>
      </c>
      <c r="AO322" s="137" t="str">
        <f>'Q100a-geral'!AO843</f>
        <v>x</v>
      </c>
      <c r="AP322" s="137" t="str">
        <f>'Q100a-geral'!AP843</f>
        <v>x</v>
      </c>
      <c r="AQ322" s="137" t="str">
        <f>'Q100a-geral'!AQ843</f>
        <v>x</v>
      </c>
      <c r="AR322" s="137"/>
      <c r="AS322" s="137"/>
      <c r="AT322" s="137"/>
      <c r="AU322" s="137"/>
      <c r="AV322" s="137" t="str">
        <f>'Q100a-geral'!AV843</f>
        <v>x</v>
      </c>
      <c r="AW322" s="137"/>
      <c r="AX322" s="137"/>
      <c r="AY322" s="137"/>
      <c r="AZ322" s="137"/>
      <c r="BA322" s="137" t="str">
        <f>'Q100a-geral'!BA843</f>
        <v>x</v>
      </c>
      <c r="BB322" s="239" t="str">
        <f>'Q100a-geral'!BB843</f>
        <v>Frota e condutores de veículos automotoresx</v>
      </c>
      <c r="BC322" s="239" t="str">
        <f>'Q100a-geral'!BC843</f>
        <v>Frota e condutores de veículos automotoresxx</v>
      </c>
      <c r="BD322" s="239" t="str">
        <f>'Q100a-geral'!BD843</f>
        <v>Frota e condutores de veículos automotoresx</v>
      </c>
    </row>
    <row r="323" spans="1:56" s="1" customFormat="1" ht="102" customHeight="1" x14ac:dyDescent="0.25">
      <c r="A323" s="275" t="str">
        <f>'Q100a-geral'!A844</f>
        <v>2.2</v>
      </c>
      <c r="B323" s="54" t="str">
        <f>'Q100a-geral'!B844</f>
        <v>Frota e condutores de veículos automotores</v>
      </c>
      <c r="C323" s="230" t="str">
        <f>'Q100a-geral'!C844</f>
        <v>x</v>
      </c>
      <c r="D323" s="104" t="str">
        <f>'Q100a-geral'!D844</f>
        <v>F mmc
(acréscimo anual)</v>
      </c>
      <c r="E323" s="14" t="str">
        <f>'Q100a-geral'!E844</f>
        <v>Belo Horizonte</v>
      </c>
      <c r="F323" s="447" t="str">
        <f>'Q100a-geral'!F844</f>
        <v>acréscimo percentual anual da frota da categoria "motociclo" registrada no município de Belo Horizonte</v>
      </c>
      <c r="G323" s="14" t="str">
        <f>'Q100a-geral'!G844</f>
        <v>((F mmc ano - F mmc ano anterior) / F mmc ano) x 100</v>
      </c>
      <c r="H323" s="173" t="str">
        <f>'Q100a-geral'!H844</f>
        <v>x</v>
      </c>
      <c r="I323" s="57">
        <f>'Q100a-geral'!I844</f>
        <v>1</v>
      </c>
      <c r="J323" s="1139" t="str">
        <f>'Q100a-geral'!J844</f>
        <v>x</v>
      </c>
      <c r="K323" s="23" t="str">
        <f>'Q100a-geral'!K844</f>
        <v>x</v>
      </c>
      <c r="L323" s="23" t="str">
        <f>'Q100a-geral'!L844</f>
        <v>x</v>
      </c>
      <c r="M323" s="23" t="str">
        <f>'Q100a-geral'!M844</f>
        <v>x</v>
      </c>
      <c r="N323" s="23" t="str">
        <f>'Q100a-geral'!N844</f>
        <v>x</v>
      </c>
      <c r="O323" s="23" t="str">
        <f>'Q100a-geral'!O844</f>
        <v>x</v>
      </c>
      <c r="P323" s="23" t="str">
        <f>'Q100a-geral'!P844</f>
        <v>x</v>
      </c>
      <c r="Q323" s="23" t="str">
        <f>'Q100a-geral'!Q844</f>
        <v>x</v>
      </c>
      <c r="R323" s="23" t="str">
        <f>'Q100a-geral'!R844</f>
        <v>x</v>
      </c>
      <c r="S323" s="649" t="str">
        <f>'Q100a-geral'!S844</f>
        <v>só para pesquisa</v>
      </c>
      <c r="T323" s="20" t="str">
        <f>'Q100a-geral'!T844</f>
        <v>x</v>
      </c>
      <c r="U323" s="47">
        <f>'Q100a-geral'!U844</f>
        <v>7.8095631519157285E-2</v>
      </c>
      <c r="V323" s="107" t="str">
        <f>'Q100a-geral'!V844</f>
        <v>só para pesquisa</v>
      </c>
      <c r="W323" s="47">
        <f>'Q100a-geral'!W844</f>
        <v>0.11473761199488024</v>
      </c>
      <c r="X323" s="47">
        <f>'Q100a-geral'!X844</f>
        <v>0.12997136493795736</v>
      </c>
      <c r="Y323" s="47">
        <f>'Q100a-geral'!Y844</f>
        <v>9.9091352079571191E-2</v>
      </c>
      <c r="Z323" s="47">
        <f>'Q100a-geral'!Z844</f>
        <v>0.13707981894184867</v>
      </c>
      <c r="AA323" s="47">
        <f>'Q100a-geral'!AA844</f>
        <v>9.2156378416006102E-2</v>
      </c>
      <c r="AB323" s="47">
        <f>'Q100a-geral'!AB844</f>
        <v>0.13176647202752892</v>
      </c>
      <c r="AC323" s="47">
        <f>'Q100a-geral'!AC844</f>
        <v>0.16424561889476386</v>
      </c>
      <c r="AD323" s="47">
        <f>'Q100a-geral'!AD844</f>
        <v>0.13683448077017743</v>
      </c>
      <c r="AE323" s="47">
        <f>'Q100a-geral'!AE844</f>
        <v>0.11425528204106039</v>
      </c>
      <c r="AF323" s="47">
        <f>'Q100a-geral'!AF844</f>
        <v>8.7512291052114055E-2</v>
      </c>
      <c r="AG323" s="47">
        <f>'Q100a-geral'!AG844</f>
        <v>7.9869046560641796E-2</v>
      </c>
      <c r="AH323" s="47">
        <f>'Q100a-geral'!AH844</f>
        <v>5.0651639649479926E-2</v>
      </c>
      <c r="AI323" s="47">
        <f>'Q100a-geral'!AI844</f>
        <v>4.2394880474678126E-2</v>
      </c>
      <c r="AJ323" s="47">
        <f>'Q100a-geral'!AJ844</f>
        <v>3.1348583165622022E-2</v>
      </c>
      <c r="AK323" s="47">
        <f>'Q100a-geral'!AK844</f>
        <v>2.9602749337468662E-2</v>
      </c>
      <c r="AL323" s="212" t="str">
        <f>'Q100a-geral'!AL844</f>
        <v>x</v>
      </c>
      <c r="AM323" s="137" t="str">
        <f>'Q100a-geral'!AM844</f>
        <v>x</v>
      </c>
      <c r="AN323" s="137" t="str">
        <f>'Q100a-geral'!AN844</f>
        <v>x</v>
      </c>
      <c r="AO323" s="137" t="str">
        <f>'Q100a-geral'!AO844</f>
        <v>x</v>
      </c>
      <c r="AP323" s="137" t="str">
        <f>'Q100a-geral'!AP844</f>
        <v>x</v>
      </c>
      <c r="AQ323" s="137" t="str">
        <f>'Q100a-geral'!AQ844</f>
        <v>x</v>
      </c>
      <c r="AR323" s="137"/>
      <c r="AS323" s="137"/>
      <c r="AT323" s="137"/>
      <c r="AU323" s="137"/>
      <c r="AV323" s="137" t="str">
        <f>'Q100a-geral'!AV844</f>
        <v>x</v>
      </c>
      <c r="AW323" s="137"/>
      <c r="AX323" s="137"/>
      <c r="AY323" s="137"/>
      <c r="AZ323" s="137"/>
      <c r="BA323" s="137" t="str">
        <f>'Q100a-geral'!BA844</f>
        <v>x</v>
      </c>
      <c r="BB323" s="239" t="str">
        <f>'Q100a-geral'!BB844</f>
        <v>Frota e condutores de veículos automotoresx</v>
      </c>
      <c r="BC323" s="239" t="str">
        <f>'Q100a-geral'!BC844</f>
        <v>Frota e condutores de veículos automotoresxx</v>
      </c>
      <c r="BD323" s="239" t="str">
        <f>'Q100a-geral'!BD844</f>
        <v>Frota e condutores de veículos automotoresx</v>
      </c>
    </row>
    <row r="324" spans="1:56" s="1" customFormat="1" ht="102" customHeight="1" x14ac:dyDescent="0.25">
      <c r="A324" s="1161"/>
      <c r="B324" s="1162"/>
      <c r="C324" s="1162"/>
      <c r="D324" s="892" t="s">
        <v>3663</v>
      </c>
      <c r="E324" s="1164"/>
      <c r="F324" s="1165"/>
      <c r="G324" s="1164"/>
      <c r="H324" s="1164"/>
      <c r="I324" s="371"/>
      <c r="J324" s="371"/>
      <c r="K324" s="420"/>
      <c r="L324" s="420"/>
      <c r="M324" s="420"/>
      <c r="N324" s="420"/>
      <c r="O324" s="420"/>
      <c r="P324" s="420"/>
      <c r="Q324" s="420"/>
      <c r="R324" s="420"/>
      <c r="S324" s="649" t="str">
        <f>'Q100a-geral'!S845</f>
        <v>só para pesquisa</v>
      </c>
      <c r="T324" s="923">
        <f>T322/1000000</f>
        <v>4.4634E-2</v>
      </c>
      <c r="U324" s="923">
        <f>U322/1000000</f>
        <v>4.8415E-2</v>
      </c>
      <c r="V324" s="107" t="str">
        <f>'Q100a-geral'!V845</f>
        <v>só para pesquisa</v>
      </c>
      <c r="W324" s="923">
        <f t="shared" ref="W324:AK324" si="4">W322/1000000</f>
        <v>5.4690000000000003E-2</v>
      </c>
      <c r="X324" s="923">
        <f t="shared" si="4"/>
        <v>6.2859999999999999E-2</v>
      </c>
      <c r="Y324" s="923">
        <f t="shared" si="4"/>
        <v>6.9774000000000003E-2</v>
      </c>
      <c r="Z324" s="923">
        <f t="shared" si="4"/>
        <v>8.0857999999999999E-2</v>
      </c>
      <c r="AA324" s="923">
        <f t="shared" si="4"/>
        <v>8.9066000000000006E-2</v>
      </c>
      <c r="AB324" s="923">
        <f t="shared" si="4"/>
        <v>0.10258299999999999</v>
      </c>
      <c r="AC324" s="923">
        <f t="shared" si="4"/>
        <v>0.122743</v>
      </c>
      <c r="AD324" s="923">
        <f t="shared" si="4"/>
        <v>0.14220099999999999</v>
      </c>
      <c r="AE324" s="923">
        <f t="shared" si="4"/>
        <v>0.16054399999999999</v>
      </c>
      <c r="AF324" s="923">
        <f t="shared" si="4"/>
        <v>0.17594099999999999</v>
      </c>
      <c r="AG324" s="923">
        <f t="shared" si="4"/>
        <v>0.19121299999999999</v>
      </c>
      <c r="AH324" s="923">
        <f t="shared" si="4"/>
        <v>0.20141500000000001</v>
      </c>
      <c r="AI324" s="923">
        <f t="shared" si="4"/>
        <v>0.21033199999999999</v>
      </c>
      <c r="AJ324" s="923">
        <f t="shared" si="4"/>
        <v>0.217139</v>
      </c>
      <c r="AK324" s="923">
        <f t="shared" si="4"/>
        <v>0.22376299999999999</v>
      </c>
      <c r="AL324" s="212" t="str">
        <f>'Q100a-geral'!AL845</f>
        <v>x</v>
      </c>
      <c r="AM324" s="420"/>
      <c r="AN324" s="420"/>
      <c r="AO324" s="420"/>
      <c r="AP324" s="420"/>
      <c r="AQ324" s="420"/>
      <c r="AR324" s="420"/>
      <c r="AS324" s="420"/>
      <c r="AT324" s="420"/>
      <c r="AU324" s="420"/>
      <c r="AV324" s="420"/>
      <c r="AW324" s="420"/>
      <c r="AX324" s="420"/>
      <c r="AY324" s="420"/>
      <c r="AZ324" s="420"/>
      <c r="BA324" s="420"/>
      <c r="BB324" s="1168"/>
      <c r="BC324" s="1168"/>
      <c r="BD324" s="1168"/>
    </row>
    <row r="325" spans="1:56" s="1" customFormat="1" ht="51" customHeight="1" x14ac:dyDescent="0.25">
      <c r="A325" s="275" t="str">
        <f>'Q100a-geral'!A845</f>
        <v>2.2</v>
      </c>
      <c r="B325" s="54" t="str">
        <f>'Q100a-geral'!B845</f>
        <v>Frota e condutores de veículos automotores</v>
      </c>
      <c r="C325" s="230" t="str">
        <f>'Q100a-geral'!C845</f>
        <v>x</v>
      </c>
      <c r="D325" s="104" t="str">
        <f>'Q100a-geral'!D845</f>
        <v>F mmc em relação a F</v>
      </c>
      <c r="E325" s="14" t="str">
        <f>'Q100a-geral'!E845</f>
        <v>Belo Horizonte</v>
      </c>
      <c r="F325" s="633" t="str">
        <f>'Q100a-geral'!F845</f>
        <v>relação entre frota da categoria "motociclo" e frota total, ou seja, relação percentual entre a frota de motociclo e a frota total</v>
      </c>
      <c r="G325" s="14" t="str">
        <f>'Q100a-geral'!G845</f>
        <v>(Fmmc/F) x 100</v>
      </c>
      <c r="H325" s="233" t="str">
        <f>'Q100a-geral'!H845</f>
        <v>x</v>
      </c>
      <c r="I325" s="172">
        <f>'Q100a-geral'!I845</f>
        <v>1</v>
      </c>
      <c r="J325" s="11" t="str">
        <f>'Q100a-geral'!J845</f>
        <v>x</v>
      </c>
      <c r="K325" s="13" t="str">
        <f>'Q100a-geral'!K845</f>
        <v>x</v>
      </c>
      <c r="L325" s="13" t="str">
        <f>'Q100a-geral'!L845</f>
        <v>x</v>
      </c>
      <c r="M325" s="13" t="str">
        <f>'Q100a-geral'!M845</f>
        <v>x</v>
      </c>
      <c r="N325" s="13" t="str">
        <f>'Q100a-geral'!N845</f>
        <v>x</v>
      </c>
      <c r="O325" s="13" t="str">
        <f>'Q100a-geral'!O845</f>
        <v>x</v>
      </c>
      <c r="P325" s="13" t="str">
        <f>'Q100a-geral'!P845</f>
        <v>x</v>
      </c>
      <c r="Q325" s="13" t="str">
        <f>'Q100a-geral'!Q845</f>
        <v>x</v>
      </c>
      <c r="R325" s="13" t="str">
        <f>'Q100a-geral'!R845</f>
        <v>x</v>
      </c>
      <c r="S325" s="107" t="str">
        <f>'Q100a-geral'!S845</f>
        <v>só para pesquisa</v>
      </c>
      <c r="T325" s="13" t="str">
        <f>'Q100a-geral'!T845</f>
        <v>x</v>
      </c>
      <c r="U325" s="13" t="str">
        <f>'Q100a-geral'!U845</f>
        <v>x</v>
      </c>
      <c r="V325" s="107" t="str">
        <f>'Q100a-geral'!V845</f>
        <v>só para pesquisa</v>
      </c>
      <c r="W325" s="10" t="str">
        <f>'Q100a-geral'!W845</f>
        <v>x</v>
      </c>
      <c r="X325" s="10" t="str">
        <f>'Q100a-geral'!X845</f>
        <v>x</v>
      </c>
      <c r="Y325" s="10" t="str">
        <f>'Q100a-geral'!Y845</f>
        <v>x</v>
      </c>
      <c r="Z325" s="21">
        <f>'Q100a-geral'!Z845</f>
        <v>9.8396963564477399E-2</v>
      </c>
      <c r="AA325" s="21">
        <f>'Q100a-geral'!AA845</f>
        <v>0.10321502531529683</v>
      </c>
      <c r="AB325" s="21">
        <f>'Q100a-geral'!AB845</f>
        <v>0.11015186510710447</v>
      </c>
      <c r="AC325" s="21">
        <f>'Q100a-geral'!AC845</f>
        <v>0.12028144032377397</v>
      </c>
      <c r="AD325" s="21">
        <f>'Q100a-geral'!AD845</f>
        <v>0.12842614058680038</v>
      </c>
      <c r="AE325" s="21">
        <f>'Q100a-geral'!AE845</f>
        <v>0.13157996106956255</v>
      </c>
      <c r="AF325" s="21">
        <f>'Q100a-geral'!AF845</f>
        <v>0.13205006676018347</v>
      </c>
      <c r="AG325" s="21">
        <f>'Q100a-geral'!AG845</f>
        <v>0.1337280092875901</v>
      </c>
      <c r="AH325" s="21">
        <f>'Q100a-geral'!AH845</f>
        <v>0.13362324897915859</v>
      </c>
      <c r="AI325" s="21">
        <f>'Q100a-geral'!AI845</f>
        <v>0.13306888098062475</v>
      </c>
      <c r="AJ325" s="21">
        <f>'Q100a-geral'!AJ845</f>
        <v>0.13303333200589385</v>
      </c>
      <c r="AK325" s="23">
        <f>'Q100a-geral'!AK845</f>
        <v>0.13211388234016033</v>
      </c>
      <c r="AL325" s="212" t="str">
        <f>'Q100a-geral'!AL845</f>
        <v>x</v>
      </c>
      <c r="AM325" s="137" t="str">
        <f>'Q100a-geral'!AM845</f>
        <v>x</v>
      </c>
      <c r="AN325" s="137" t="str">
        <f>'Q100a-geral'!AN845</f>
        <v>x</v>
      </c>
      <c r="AO325" s="137" t="str">
        <f>'Q100a-geral'!AO845</f>
        <v>x</v>
      </c>
      <c r="AP325" s="137" t="str">
        <f>'Q100a-geral'!AP845</f>
        <v>x</v>
      </c>
      <c r="AQ325" s="137" t="str">
        <f>'Q100a-geral'!AQ845</f>
        <v>x</v>
      </c>
      <c r="AR325" s="137"/>
      <c r="AS325" s="137"/>
      <c r="AT325" s="137"/>
      <c r="AU325" s="137"/>
      <c r="AV325" s="137" t="str">
        <f>'Q100a-geral'!AV845</f>
        <v>x</v>
      </c>
      <c r="AW325" s="137"/>
      <c r="AX325" s="137"/>
      <c r="AY325" s="137"/>
      <c r="AZ325" s="137"/>
      <c r="BA325" s="137" t="str">
        <f>'Q100a-geral'!BA845</f>
        <v>x</v>
      </c>
      <c r="BB325" s="239" t="str">
        <f>'Q100a-geral'!BB845</f>
        <v>Frota e condutores de veículos automotoresx</v>
      </c>
      <c r="BC325" s="239" t="str">
        <f>'Q100a-geral'!BC845</f>
        <v>Frota e condutores de veículos automotoresxx</v>
      </c>
      <c r="BD325" s="239" t="str">
        <f>'Q100a-geral'!BD845</f>
        <v>Frota e condutores de veículos automotoresx</v>
      </c>
    </row>
    <row r="326" spans="1:56" s="1" customFormat="1" ht="51" customHeight="1" x14ac:dyDescent="0.25">
      <c r="A326" s="275" t="str">
        <f>'Q100a-geral'!A846</f>
        <v>2.2</v>
      </c>
      <c r="B326" s="54" t="str">
        <f>'Q100a-geral'!B846</f>
        <v>Frota e condutores de veículos automotores</v>
      </c>
      <c r="C326" s="230" t="str">
        <f>'Q100a-geral'!C846</f>
        <v>x</v>
      </c>
      <c r="D326" s="26" t="str">
        <f>'Q100a-geral'!D846</f>
        <v>F mmc por habitante</v>
      </c>
      <c r="E326" s="188" t="str">
        <f>'Q100a-geral'!E846</f>
        <v>Belo Horizonte</v>
      </c>
      <c r="F326" s="633" t="str">
        <f>'Q100a-geral'!F846</f>
        <v>relação entre frota da categoria "motociclo" e população, calculando-se a quantidade desses veículos registrados no município de Belo Horizonte para cada habitante, indicador por vezes expresso na forma de 1 habitante para cada x veículos
obs.: este é o indicador denominado "Number of two-wheel motorized vehicles per capita" em GCIF(2011)</v>
      </c>
      <c r="G326" s="188" t="str">
        <f>'Q100a-geral'!G846</f>
        <v>Fmmc/P</v>
      </c>
      <c r="H326" s="233" t="str">
        <f>'Q100a-geral'!H846</f>
        <v>x</v>
      </c>
      <c r="I326" s="172">
        <f>'Q100a-geral'!I846</f>
        <v>1</v>
      </c>
      <c r="J326" s="11" t="str">
        <f>'Q100a-geral'!J846</f>
        <v>x</v>
      </c>
      <c r="K326" s="13" t="str">
        <f>'Q100a-geral'!K846</f>
        <v>x</v>
      </c>
      <c r="L326" s="13" t="str">
        <f>'Q100a-geral'!L846</f>
        <v>x</v>
      </c>
      <c r="M326" s="13" t="str">
        <f>'Q100a-geral'!M846</f>
        <v>x</v>
      </c>
      <c r="N326" s="13" t="str">
        <f>'Q100a-geral'!N846</f>
        <v>x</v>
      </c>
      <c r="O326" s="13" t="str">
        <f>'Q100a-geral'!O846</f>
        <v>x</v>
      </c>
      <c r="P326" s="13" t="str">
        <f>'Q100a-geral'!P846</f>
        <v>x</v>
      </c>
      <c r="Q326" s="13" t="str">
        <f>'Q100a-geral'!Q846</f>
        <v>x</v>
      </c>
      <c r="R326" s="13" t="str">
        <f>'Q100a-geral'!R846</f>
        <v>x</v>
      </c>
      <c r="S326" s="107" t="str">
        <f>'Q100a-geral'!S846</f>
        <v>só para pesquisa</v>
      </c>
      <c r="T326" s="13" t="str">
        <f>'Q100a-geral'!T846</f>
        <v>x</v>
      </c>
      <c r="U326" s="13" t="str">
        <f>'Q100a-geral'!U846</f>
        <v>x</v>
      </c>
      <c r="V326" s="107" t="str">
        <f>'Q100a-geral'!V846</f>
        <v>só para pesquisa</v>
      </c>
      <c r="W326" s="10" t="str">
        <f>'Q100a-geral'!W846</f>
        <v>x</v>
      </c>
      <c r="X326" s="10" t="str">
        <f>'Q100a-geral'!X846</f>
        <v>x</v>
      </c>
      <c r="Y326" s="10" t="str">
        <f>'Q100a-geral'!Y846</f>
        <v>x</v>
      </c>
      <c r="Z326" s="64">
        <f>'Q100a-geral'!Z846</f>
        <v>3.4399403717575869E-2</v>
      </c>
      <c r="AA326" s="64">
        <f>'Q100a-geral'!AA846</f>
        <v>3.749627946276074E-2</v>
      </c>
      <c r="AB326" s="64">
        <f>'Q100a-geral'!AB846</f>
        <v>4.2744341478049265E-2</v>
      </c>
      <c r="AC326" s="64">
        <f>'Q100a-geral'!AC846</f>
        <v>5.0868713107718934E-2</v>
      </c>
      <c r="AD326" s="64">
        <f>'Q100a-geral'!AD846</f>
        <v>5.8407355167618073E-2</v>
      </c>
      <c r="AE326" s="64">
        <f>'Q100a-geral'!AE846</f>
        <v>6.5458243174535607E-2</v>
      </c>
      <c r="AF326" s="64">
        <f>'Q100a-geral'!AF846</f>
        <v>7.4075711396875396E-2</v>
      </c>
      <c r="AG326" s="64">
        <f>'Q100a-geral'!AG846</f>
        <v>8.0151657416877645E-2</v>
      </c>
      <c r="AH326" s="64">
        <f>'Q100a-geral'!AH846</f>
        <v>8.4070565597497274E-2</v>
      </c>
      <c r="AI326" s="64">
        <f>'Q100a-geral'!AI846</f>
        <v>8.483985535452461E-2</v>
      </c>
      <c r="AJ326" s="64">
        <f>'Q100a-geral'!AJ846</f>
        <v>8.7165595724635087E-2</v>
      </c>
      <c r="AK326" s="23">
        <f>'Q100a-geral'!AK846</f>
        <v>8.9413747618935349E-2</v>
      </c>
      <c r="AL326" s="212" t="str">
        <f>'Q100a-geral'!AL846</f>
        <v>x</v>
      </c>
      <c r="AM326" s="137" t="str">
        <f>'Q100a-geral'!AM846</f>
        <v>x</v>
      </c>
      <c r="AN326" s="137" t="str">
        <f>'Q100a-geral'!AN846</f>
        <v>x</v>
      </c>
      <c r="AO326" s="137" t="str">
        <f>'Q100a-geral'!AO846</f>
        <v>x</v>
      </c>
      <c r="AP326" s="137" t="str">
        <f>'Q100a-geral'!AP846</f>
        <v>x</v>
      </c>
      <c r="AQ326" s="137" t="str">
        <f>'Q100a-geral'!AQ846</f>
        <v>x</v>
      </c>
      <c r="AR326" s="137"/>
      <c r="AS326" s="137"/>
      <c r="AT326" s="137"/>
      <c r="AU326" s="137"/>
      <c r="AV326" s="137" t="str">
        <f>'Q100a-geral'!AV846</f>
        <v>x</v>
      </c>
      <c r="AW326" s="137"/>
      <c r="AX326" s="137"/>
      <c r="AY326" s="137"/>
      <c r="AZ326" s="137"/>
      <c r="BA326" s="137" t="str">
        <f>'Q100a-geral'!BA846</f>
        <v>x</v>
      </c>
      <c r="BB326" s="239" t="str">
        <f>'Q100a-geral'!BB846</f>
        <v>Frota e condutores de veículos automotoresx</v>
      </c>
      <c r="BC326" s="239" t="str">
        <f>'Q100a-geral'!BC846</f>
        <v>Frota e condutores de veículos automotoresxx</v>
      </c>
      <c r="BD326" s="239" t="str">
        <f>'Q100a-geral'!BD846</f>
        <v>Frota e condutores de veículos automotoresx</v>
      </c>
    </row>
    <row r="327" spans="1:56" s="1" customFormat="1" ht="51" customHeight="1" x14ac:dyDescent="0.25">
      <c r="A327" s="275" t="str">
        <f>'Q100a-geral'!A847</f>
        <v>2.2</v>
      </c>
      <c r="B327" s="54" t="str">
        <f>'Q100a-geral'!B847</f>
        <v>Frota e condutores de veículos automotores</v>
      </c>
      <c r="C327" s="230" t="str">
        <f>'Q100a-geral'!C847</f>
        <v>x</v>
      </c>
      <c r="D327" s="186" t="str">
        <f>'Q100a-geral'!D847</f>
        <v>F mne</v>
      </c>
      <c r="E327" s="151" t="str">
        <f>'Q100a-geral'!E847</f>
        <v>Belo Horizonte</v>
      </c>
      <c r="F327" s="447" t="str">
        <f>'Q100a-geral'!F847</f>
        <v>frota de motonetas registradas no município
obs.: resultados de 2004-2014 conforme BHTRANS(2013b); MG(2013; 2014; 2015a); de 2015 conforme MG(2015b)</v>
      </c>
      <c r="G327" s="252" t="str">
        <f>'Q100a-geral'!G847</f>
        <v>registro na fonte</v>
      </c>
      <c r="H327" s="173" t="str">
        <f>'Q100a-geral'!H847</f>
        <v>x</v>
      </c>
      <c r="I327" s="57">
        <f>'Q100a-geral'!I847</f>
        <v>1</v>
      </c>
      <c r="J327" s="11" t="str">
        <f>'Q100a-geral'!J847</f>
        <v>x</v>
      </c>
      <c r="K327" s="13" t="str">
        <f>'Q100a-geral'!K847</f>
        <v>x</v>
      </c>
      <c r="L327" s="13" t="str">
        <f>'Q100a-geral'!L847</f>
        <v>x</v>
      </c>
      <c r="M327" s="13" t="str">
        <f>'Q100a-geral'!M847</f>
        <v>x</v>
      </c>
      <c r="N327" s="13" t="str">
        <f>'Q100a-geral'!N847</f>
        <v>x</v>
      </c>
      <c r="O327" s="13" t="str">
        <f>'Q100a-geral'!O847</f>
        <v>x</v>
      </c>
      <c r="P327" s="13" t="str">
        <f>'Q100a-geral'!P847</f>
        <v>x</v>
      </c>
      <c r="Q327" s="13" t="str">
        <f>'Q100a-geral'!Q847</f>
        <v>x</v>
      </c>
      <c r="R327" s="13" t="str">
        <f>'Q100a-geral'!R847</f>
        <v>x</v>
      </c>
      <c r="S327" s="107" t="str">
        <f>'Q100a-geral'!S847</f>
        <v>só para pesquisa</v>
      </c>
      <c r="T327" s="13" t="str">
        <f>'Q100a-geral'!T847</f>
        <v>x</v>
      </c>
      <c r="U327" s="13" t="str">
        <f>'Q100a-geral'!U847</f>
        <v>x</v>
      </c>
      <c r="V327" s="107" t="str">
        <f>'Q100a-geral'!V847</f>
        <v>só para pesquisa</v>
      </c>
      <c r="W327" s="13" t="str">
        <f>'Q100a-geral'!W847</f>
        <v>x</v>
      </c>
      <c r="X327" s="13" t="str">
        <f>'Q100a-geral'!X847</f>
        <v>x</v>
      </c>
      <c r="Y327" s="13" t="str">
        <f>'Q100a-geral'!Y847</f>
        <v>x</v>
      </c>
      <c r="Z327" s="84">
        <f>'Q100a-geral'!Z847</f>
        <v>5072</v>
      </c>
      <c r="AA327" s="84">
        <f>'Q100a-geral'!AA847</f>
        <v>5978</v>
      </c>
      <c r="AB327" s="84">
        <f>'Q100a-geral'!AB847</f>
        <v>7069</v>
      </c>
      <c r="AC327" s="84">
        <f>'Q100a-geral'!AC847</f>
        <v>8530</v>
      </c>
      <c r="AD327" s="84">
        <f>'Q100a-geral'!AD847</f>
        <v>10163</v>
      </c>
      <c r="AE327" s="84">
        <f>'Q100a-geral'!AE847</f>
        <v>11189</v>
      </c>
      <c r="AF327" s="84">
        <f>'Q100a-geral'!AF847</f>
        <v>12104</v>
      </c>
      <c r="AG327" s="84">
        <f>'Q100a-geral'!AG847</f>
        <v>12994</v>
      </c>
      <c r="AH327" s="84">
        <f>'Q100a-geral'!AH847</f>
        <v>13755</v>
      </c>
      <c r="AI327" s="84">
        <f>'Q100a-geral'!AI847</f>
        <v>14706</v>
      </c>
      <c r="AJ327" s="84">
        <f>'Q100a-geral'!AJ847</f>
        <v>15636</v>
      </c>
      <c r="AK327" s="84">
        <f>'Q100a-geral'!AK847</f>
        <v>16650</v>
      </c>
      <c r="AL327" s="212" t="str">
        <f>'Q100a-geral'!AL847</f>
        <v>x</v>
      </c>
      <c r="AM327" s="137" t="str">
        <f>'Q100a-geral'!AM847</f>
        <v>x</v>
      </c>
      <c r="AN327" s="137" t="str">
        <f>'Q100a-geral'!AN847</f>
        <v>x</v>
      </c>
      <c r="AO327" s="137" t="str">
        <f>'Q100a-geral'!AO847</f>
        <v>x</v>
      </c>
      <c r="AP327" s="137" t="str">
        <f>'Q100a-geral'!AP847</f>
        <v>x</v>
      </c>
      <c r="AQ327" s="137" t="str">
        <f>'Q100a-geral'!AQ847</f>
        <v>x</v>
      </c>
      <c r="AR327" s="137"/>
      <c r="AS327" s="137"/>
      <c r="AT327" s="137"/>
      <c r="AU327" s="137"/>
      <c r="AV327" s="137" t="str">
        <f>'Q100a-geral'!AV847</f>
        <v>x</v>
      </c>
      <c r="AW327" s="137"/>
      <c r="AX327" s="137"/>
      <c r="AY327" s="137"/>
      <c r="AZ327" s="137"/>
      <c r="BA327" s="137" t="str">
        <f>'Q100a-geral'!BA847</f>
        <v>x</v>
      </c>
      <c r="BB327" s="239" t="str">
        <f>'Q100a-geral'!BB847</f>
        <v>Frota e condutores de veículos automotoresx</v>
      </c>
      <c r="BC327" s="239" t="str">
        <f>'Q100a-geral'!BC847</f>
        <v>Frota e condutores de veículos automotoresxx</v>
      </c>
      <c r="BD327" s="239" t="str">
        <f>'Q100a-geral'!BD847</f>
        <v>Frota e condutores de veículos automotoresx</v>
      </c>
    </row>
    <row r="328" spans="1:56" s="1" customFormat="1" ht="51" customHeight="1" x14ac:dyDescent="0.25">
      <c r="A328" s="275" t="str">
        <f>'Q100a-geral'!A848</f>
        <v>2.2</v>
      </c>
      <c r="B328" s="54" t="str">
        <f>'Q100a-geral'!B848</f>
        <v>Frota e condutores de veículos automotores</v>
      </c>
      <c r="C328" s="230" t="str">
        <f>'Q100a-geral'!C848</f>
        <v>x</v>
      </c>
      <c r="D328" s="186" t="str">
        <f>'Q100a-geral'!D848</f>
        <v>F mta</v>
      </c>
      <c r="E328" s="151" t="str">
        <f>'Q100a-geral'!E848</f>
        <v>Belo Horizonte</v>
      </c>
      <c r="F328" s="447" t="str">
        <f>'Q100a-geral'!F848</f>
        <v>frota de motocicletas registradas no município
obs.: resultados de 1999-2014 conforme BHTRANS(2013b); MG(2013; 2014; 2015a); de 2015 conforme MG(2015b)</v>
      </c>
      <c r="G328" s="252" t="str">
        <f>'Q100a-geral'!G848</f>
        <v>registro na fonte</v>
      </c>
      <c r="H328" s="173" t="str">
        <f>'Q100a-geral'!H848</f>
        <v>x</v>
      </c>
      <c r="I328" s="57">
        <f>'Q100a-geral'!I848</f>
        <v>1</v>
      </c>
      <c r="J328" s="11" t="str">
        <f>'Q100a-geral'!J848</f>
        <v>x</v>
      </c>
      <c r="K328" s="420"/>
      <c r="L328" s="420"/>
      <c r="M328" s="420"/>
      <c r="N328" s="420"/>
      <c r="O328" s="420"/>
      <c r="P328" s="420"/>
      <c r="Q328" s="420"/>
      <c r="R328" s="420"/>
      <c r="S328" s="649" t="str">
        <f>'Q100a-geral'!S848</f>
        <v>só para pesquisa</v>
      </c>
      <c r="T328" s="84">
        <f>'Q100a-geral'!T848</f>
        <v>44634</v>
      </c>
      <c r="U328" s="84">
        <f>'Q100a-geral'!U848</f>
        <v>48415</v>
      </c>
      <c r="V328" s="107" t="str">
        <f>'Q100a-geral'!V848</f>
        <v>só para pesquisa</v>
      </c>
      <c r="W328" s="84">
        <f>'Q100a-geral'!W848</f>
        <v>54690</v>
      </c>
      <c r="X328" s="84">
        <f>'Q100a-geral'!X848</f>
        <v>62860</v>
      </c>
      <c r="Y328" s="84">
        <f>'Q100a-geral'!Y848</f>
        <v>69774</v>
      </c>
      <c r="Z328" s="84">
        <f>'Q100a-geral'!Z848</f>
        <v>75495</v>
      </c>
      <c r="AA328" s="84">
        <f>'Q100a-geral'!AA848</f>
        <v>82799</v>
      </c>
      <c r="AB328" s="84">
        <f>'Q100a-geral'!AB848</f>
        <v>95224</v>
      </c>
      <c r="AC328" s="84">
        <f>'Q100a-geral'!AC848</f>
        <v>113928</v>
      </c>
      <c r="AD328" s="84">
        <f>'Q100a-geral'!AD848</f>
        <v>131800</v>
      </c>
      <c r="AE328" s="84">
        <f>'Q100a-geral'!AE848</f>
        <v>149046</v>
      </c>
      <c r="AF328" s="84">
        <f>'Q100a-geral'!AF848</f>
        <v>163489</v>
      </c>
      <c r="AG328" s="84">
        <f>'Q100a-geral'!AG848</f>
        <v>177782</v>
      </c>
      <c r="AH328" s="84">
        <f>'Q100a-geral'!AH848</f>
        <v>187141</v>
      </c>
      <c r="AI328" s="84">
        <f>'Q100a-geral'!AI848</f>
        <v>195076</v>
      </c>
      <c r="AJ328" s="84">
        <f>'Q100a-geral'!AJ848</f>
        <v>200916</v>
      </c>
      <c r="AK328" s="84">
        <f>'Q100a-geral'!AK848</f>
        <v>206396</v>
      </c>
      <c r="AL328" s="212" t="str">
        <f>'Q100a-geral'!AL848</f>
        <v>x</v>
      </c>
      <c r="AM328" s="137" t="str">
        <f>'Q100a-geral'!AM848</f>
        <v>x</v>
      </c>
      <c r="AN328" s="137" t="str">
        <f>'Q100a-geral'!AN848</f>
        <v>x</v>
      </c>
      <c r="AO328" s="137" t="str">
        <f>'Q100a-geral'!AO848</f>
        <v>x</v>
      </c>
      <c r="AP328" s="137" t="str">
        <f>'Q100a-geral'!AP848</f>
        <v>x</v>
      </c>
      <c r="AQ328" s="137" t="str">
        <f>'Q100a-geral'!AQ848</f>
        <v>x</v>
      </c>
      <c r="AR328" s="137"/>
      <c r="AS328" s="137"/>
      <c r="AT328" s="137"/>
      <c r="AU328" s="137"/>
      <c r="AV328" s="137" t="str">
        <f>'Q100a-geral'!AV848</f>
        <v>x</v>
      </c>
      <c r="AW328" s="137"/>
      <c r="AX328" s="137"/>
      <c r="AY328" s="137"/>
      <c r="AZ328" s="137"/>
      <c r="BA328" s="137" t="str">
        <f>'Q100a-geral'!BA848</f>
        <v>x</v>
      </c>
      <c r="BB328" s="239" t="str">
        <f>'Q100a-geral'!BB848</f>
        <v>Frota e condutores de veículos automotoresx</v>
      </c>
      <c r="BC328" s="239" t="str">
        <f>'Q100a-geral'!BC848</f>
        <v>Frota e condutores de veículos automotoresxx</v>
      </c>
      <c r="BD328" s="239" t="str">
        <f>'Q100a-geral'!BD848</f>
        <v>Frota e condutores de veículos automotoresx</v>
      </c>
    </row>
    <row r="329" spans="1:56" s="1" customFormat="1" ht="51" customHeight="1" x14ac:dyDescent="0.25">
      <c r="A329" s="1161"/>
      <c r="B329" s="1162"/>
      <c r="C329" s="1162"/>
      <c r="D329" s="1169" t="s">
        <v>3661</v>
      </c>
      <c r="E329" s="1164"/>
      <c r="F329" s="1165"/>
      <c r="G329" s="478"/>
      <c r="H329" s="1164"/>
      <c r="I329" s="371"/>
      <c r="J329" s="371"/>
      <c r="K329" s="420"/>
      <c r="L329" s="420"/>
      <c r="M329" s="420"/>
      <c r="N329" s="420"/>
      <c r="O329" s="420"/>
      <c r="P329" s="420"/>
      <c r="Q329" s="420"/>
      <c r="R329" s="420"/>
      <c r="S329" s="649" t="str">
        <f>'Q100a-geral'!S849</f>
        <v>só para pesquisa</v>
      </c>
      <c r="T329" s="419">
        <f>T328/1000000</f>
        <v>4.4634E-2</v>
      </c>
      <c r="U329" s="419">
        <f>U328/1000000</f>
        <v>4.8415E-2</v>
      </c>
      <c r="V329" s="107" t="str">
        <f>'Q100a-geral'!V849</f>
        <v>só para pesquisa</v>
      </c>
      <c r="W329" s="419">
        <f>W328/1000000</f>
        <v>5.4690000000000003E-2</v>
      </c>
      <c r="X329" s="419">
        <f t="shared" ref="X329:AK329" si="5">X328/1000000</f>
        <v>6.2859999999999999E-2</v>
      </c>
      <c r="Y329" s="419">
        <f t="shared" si="5"/>
        <v>6.9774000000000003E-2</v>
      </c>
      <c r="Z329" s="419">
        <f t="shared" si="5"/>
        <v>7.5495000000000007E-2</v>
      </c>
      <c r="AA329" s="419">
        <f t="shared" si="5"/>
        <v>8.2798999999999998E-2</v>
      </c>
      <c r="AB329" s="419">
        <f t="shared" si="5"/>
        <v>9.5224000000000003E-2</v>
      </c>
      <c r="AC329" s="419">
        <f t="shared" si="5"/>
        <v>0.113928</v>
      </c>
      <c r="AD329" s="419">
        <f t="shared" si="5"/>
        <v>0.1318</v>
      </c>
      <c r="AE329" s="419">
        <f t="shared" si="5"/>
        <v>0.14904600000000001</v>
      </c>
      <c r="AF329" s="419">
        <f t="shared" si="5"/>
        <v>0.163489</v>
      </c>
      <c r="AG329" s="419">
        <f t="shared" si="5"/>
        <v>0.177782</v>
      </c>
      <c r="AH329" s="419">
        <f t="shared" si="5"/>
        <v>0.187141</v>
      </c>
      <c r="AI329" s="419">
        <f t="shared" si="5"/>
        <v>0.195076</v>
      </c>
      <c r="AJ329" s="419">
        <f t="shared" si="5"/>
        <v>0.20091600000000001</v>
      </c>
      <c r="AK329" s="419">
        <f t="shared" si="5"/>
        <v>0.206396</v>
      </c>
      <c r="AL329" s="212" t="str">
        <f>'Q100a-geral'!AL849</f>
        <v>x</v>
      </c>
      <c r="AM329" s="420"/>
      <c r="AN329" s="420"/>
      <c r="AO329" s="420"/>
      <c r="AP329" s="420"/>
      <c r="AQ329" s="420"/>
      <c r="AR329" s="420"/>
      <c r="AS329" s="420"/>
      <c r="AT329" s="420"/>
      <c r="AU329" s="420"/>
      <c r="AV329" s="420"/>
      <c r="AW329" s="420"/>
      <c r="AX329" s="420"/>
      <c r="AY329" s="420"/>
      <c r="AZ329" s="420"/>
      <c r="BA329" s="420"/>
      <c r="BB329" s="1168"/>
      <c r="BC329" s="1168"/>
      <c r="BD329" s="1168"/>
    </row>
    <row r="330" spans="1:56" s="1" customFormat="1" ht="51" customHeight="1" x14ac:dyDescent="0.25">
      <c r="A330" s="275" t="str">
        <f>'Q100a-geral'!A849</f>
        <v>2.2</v>
      </c>
      <c r="B330" s="54" t="str">
        <f>'Q100a-geral'!B849</f>
        <v>Frota e condutores de veículos automotores</v>
      </c>
      <c r="C330" s="230" t="str">
        <f>'Q100a-geral'!C849</f>
        <v>x</v>
      </c>
      <c r="D330" s="186" t="str">
        <f>'Q100a-geral'!D849</f>
        <v>F mtr</v>
      </c>
      <c r="E330" s="151" t="str">
        <f>'Q100a-geral'!E849</f>
        <v>Belo Horizonte</v>
      </c>
      <c r="F330" s="447" t="str">
        <f>'Q100a-geral'!F849</f>
        <v>frota de ciclomotores registrados no município
obs.: resultados de 2004-2014 conforme BHTRANS(2013b); MG(2013; 2014; 2015a); de 2015 conforme MG(2015b)</v>
      </c>
      <c r="G330" s="252" t="str">
        <f>'Q100a-geral'!G849</f>
        <v>registro na fonte</v>
      </c>
      <c r="H330" s="173" t="str">
        <f>'Q100a-geral'!H849</f>
        <v>x</v>
      </c>
      <c r="I330" s="57">
        <f>'Q100a-geral'!I849</f>
        <v>1</v>
      </c>
      <c r="J330" s="11" t="str">
        <f>'Q100a-geral'!J849</f>
        <v>x</v>
      </c>
      <c r="K330" s="93" t="str">
        <f>'Q100a-geral'!K849</f>
        <v>x</v>
      </c>
      <c r="L330" s="93" t="str">
        <f>'Q100a-geral'!L849</f>
        <v>x</v>
      </c>
      <c r="M330" s="93" t="str">
        <f>'Q100a-geral'!M849</f>
        <v>x</v>
      </c>
      <c r="N330" s="93" t="str">
        <f>'Q100a-geral'!N849</f>
        <v>x</v>
      </c>
      <c r="O330" s="93" t="str">
        <f>'Q100a-geral'!O849</f>
        <v>x</v>
      </c>
      <c r="P330" s="93" t="str">
        <f>'Q100a-geral'!P849</f>
        <v>x</v>
      </c>
      <c r="Q330" s="93" t="str">
        <f>'Q100a-geral'!Q849</f>
        <v>x</v>
      </c>
      <c r="R330" s="93" t="str">
        <f>'Q100a-geral'!R849</f>
        <v>x</v>
      </c>
      <c r="S330" s="649" t="str">
        <f>'Q100a-geral'!S849</f>
        <v>só para pesquisa</v>
      </c>
      <c r="T330" s="87" t="str">
        <f>'Q100a-geral'!T849</f>
        <v>x</v>
      </c>
      <c r="U330" s="87" t="str">
        <f>'Q100a-geral'!U849</f>
        <v>x</v>
      </c>
      <c r="V330" s="107" t="str">
        <f>'Q100a-geral'!V849</f>
        <v>só para pesquisa</v>
      </c>
      <c r="W330" s="93" t="str">
        <f>'Q100a-geral'!W849</f>
        <v>x</v>
      </c>
      <c r="X330" s="93" t="str">
        <f>'Q100a-geral'!X849</f>
        <v>x</v>
      </c>
      <c r="Y330" s="93" t="str">
        <f>'Q100a-geral'!Y849</f>
        <v>x</v>
      </c>
      <c r="Z330" s="84">
        <f>'Q100a-geral'!Z849</f>
        <v>291</v>
      </c>
      <c r="AA330" s="84">
        <f>'Q100a-geral'!AA849</f>
        <v>289</v>
      </c>
      <c r="AB330" s="84">
        <f>'Q100a-geral'!AB849</f>
        <v>290</v>
      </c>
      <c r="AC330" s="84">
        <f>'Q100a-geral'!AC849</f>
        <v>285</v>
      </c>
      <c r="AD330" s="84">
        <f>'Q100a-geral'!AD849</f>
        <v>238</v>
      </c>
      <c r="AE330" s="84">
        <f>'Q100a-geral'!AE849</f>
        <v>309</v>
      </c>
      <c r="AF330" s="84">
        <f>'Q100a-geral'!AF849</f>
        <v>348</v>
      </c>
      <c r="AG330" s="84">
        <f>'Q100a-geral'!AG849</f>
        <v>437</v>
      </c>
      <c r="AH330" s="84">
        <f>'Q100a-geral'!AH849</f>
        <v>519</v>
      </c>
      <c r="AI330" s="84">
        <f>'Q100a-geral'!AI849</f>
        <v>550</v>
      </c>
      <c r="AJ330" s="84">
        <f>'Q100a-geral'!AJ849</f>
        <v>587</v>
      </c>
      <c r="AK330" s="84">
        <f>'Q100a-geral'!AK849</f>
        <v>717</v>
      </c>
      <c r="AL330" s="212" t="str">
        <f>'Q100a-geral'!AL849</f>
        <v>x</v>
      </c>
      <c r="AM330" s="137" t="str">
        <f>'Q100a-geral'!AM849</f>
        <v>x</v>
      </c>
      <c r="AN330" s="137" t="str">
        <f>'Q100a-geral'!AN849</f>
        <v>x</v>
      </c>
      <c r="AO330" s="137" t="str">
        <f>'Q100a-geral'!AO849</f>
        <v>x</v>
      </c>
      <c r="AP330" s="137" t="str">
        <f>'Q100a-geral'!AP849</f>
        <v>x</v>
      </c>
      <c r="AQ330" s="137" t="str">
        <f>'Q100a-geral'!AQ849</f>
        <v>x</v>
      </c>
      <c r="AR330" s="137"/>
      <c r="AS330" s="137"/>
      <c r="AT330" s="137"/>
      <c r="AU330" s="137"/>
      <c r="AV330" s="137" t="str">
        <f>'Q100a-geral'!AV849</f>
        <v>x</v>
      </c>
      <c r="AW330" s="137"/>
      <c r="AX330" s="137"/>
      <c r="AY330" s="137"/>
      <c r="AZ330" s="137"/>
      <c r="BA330" s="137" t="str">
        <f>'Q100a-geral'!BA849</f>
        <v>x</v>
      </c>
      <c r="BB330" s="239" t="str">
        <f>'Q100a-geral'!BB849</f>
        <v>Frota e condutores de veículos automotoresx</v>
      </c>
      <c r="BC330" s="239" t="str">
        <f>'Q100a-geral'!BC849</f>
        <v>Frota e condutores de veículos automotoresxx</v>
      </c>
      <c r="BD330" s="239" t="str">
        <f>'Q100a-geral'!BD849</f>
        <v>Frota e condutores de veículos automotoresx</v>
      </c>
    </row>
    <row r="331" spans="1:56" s="1" customFormat="1" ht="51" customHeight="1" x14ac:dyDescent="0.25">
      <c r="A331" s="275" t="str">
        <f>'Q100a-geral'!A850</f>
        <v>2.2</v>
      </c>
      <c r="B331" s="54" t="str">
        <f>'Q100a-geral'!B850</f>
        <v>Frota e condutores de veículos automotores</v>
      </c>
      <c r="C331" s="230" t="str">
        <f>'Q100a-geral'!C850</f>
        <v>x</v>
      </c>
      <c r="D331" s="186" t="str">
        <f>'Q100a-geral'!D850</f>
        <v>F não informado</v>
      </c>
      <c r="E331" s="151" t="str">
        <f>'Q100a-geral'!E850</f>
        <v>Belo Horizonte</v>
      </c>
      <c r="F331" s="446" t="str">
        <f>'Q100a-geral'!F850</f>
        <v>frota de veículos da categoria "não informado" registrada no município
obs.: resultados de 2008-2014 conforme BHTRANS(2013b); MG(2013; 2014; 2015a); de 2015 conforme MG(2015b)</v>
      </c>
      <c r="G331" s="252" t="str">
        <f>'Q100a-geral'!G850</f>
        <v>registro na fonte</v>
      </c>
      <c r="H331" s="173" t="str">
        <f>'Q100a-geral'!H850</f>
        <v>x</v>
      </c>
      <c r="I331" s="57">
        <f>'Q100a-geral'!I850</f>
        <v>1</v>
      </c>
      <c r="J331" s="11" t="str">
        <f>'Q100a-geral'!J850</f>
        <v>x</v>
      </c>
      <c r="K331" s="84" t="str">
        <f>'Q100a-geral'!K850</f>
        <v>x</v>
      </c>
      <c r="L331" s="84" t="str">
        <f>'Q100a-geral'!L850</f>
        <v>x</v>
      </c>
      <c r="M331" s="84" t="str">
        <f>'Q100a-geral'!M850</f>
        <v>x</v>
      </c>
      <c r="N331" s="84" t="str">
        <f>'Q100a-geral'!N850</f>
        <v>x</v>
      </c>
      <c r="O331" s="84" t="str">
        <f>'Q100a-geral'!O850</f>
        <v>x</v>
      </c>
      <c r="P331" s="84" t="str">
        <f>'Q100a-geral'!P850</f>
        <v>x</v>
      </c>
      <c r="Q331" s="84" t="str">
        <f>'Q100a-geral'!Q850</f>
        <v>x</v>
      </c>
      <c r="R331" s="84" t="str">
        <f>'Q100a-geral'!R850</f>
        <v>x</v>
      </c>
      <c r="S331" s="649" t="str">
        <f>'Q100a-geral'!S850</f>
        <v>só para pesquisa</v>
      </c>
      <c r="T331" s="87" t="str">
        <f>'Q100a-geral'!T850</f>
        <v>x</v>
      </c>
      <c r="U331" s="87" t="str">
        <f>'Q100a-geral'!U850</f>
        <v>x</v>
      </c>
      <c r="V331" s="107" t="str">
        <f>'Q100a-geral'!V850</f>
        <v>só para pesquisa</v>
      </c>
      <c r="W331" s="93" t="str">
        <f>'Q100a-geral'!W850</f>
        <v>x</v>
      </c>
      <c r="X331" s="93" t="str">
        <f>'Q100a-geral'!X850</f>
        <v>x</v>
      </c>
      <c r="Y331" s="93" t="str">
        <f>'Q100a-geral'!Y850</f>
        <v>x</v>
      </c>
      <c r="Z331" s="93" t="str">
        <f>'Q100a-geral'!Z850</f>
        <v>x</v>
      </c>
      <c r="AA331" s="93" t="str">
        <f>'Q100a-geral'!AA850</f>
        <v>x</v>
      </c>
      <c r="AB331" s="93" t="str">
        <f>'Q100a-geral'!AB850</f>
        <v>x</v>
      </c>
      <c r="AC331" s="93" t="str">
        <f>'Q100a-geral'!AC850</f>
        <v>x</v>
      </c>
      <c r="AD331" s="84">
        <f>'Q100a-geral'!AD850</f>
        <v>0</v>
      </c>
      <c r="AE331" s="84">
        <f>'Q100a-geral'!AE850</f>
        <v>242</v>
      </c>
      <c r="AF331" s="84">
        <f>'Q100a-geral'!AF850</f>
        <v>241</v>
      </c>
      <c r="AG331" s="84">
        <f>'Q100a-geral'!AG850</f>
        <v>241</v>
      </c>
      <c r="AH331" s="84">
        <f>'Q100a-geral'!AH850</f>
        <v>241</v>
      </c>
      <c r="AI331" s="84">
        <f>'Q100a-geral'!AI850</f>
        <v>241</v>
      </c>
      <c r="AJ331" s="84">
        <f>'Q100a-geral'!AJ850</f>
        <v>241</v>
      </c>
      <c r="AK331" s="84">
        <f>'Q100a-geral'!AK850</f>
        <v>241</v>
      </c>
      <c r="AL331" s="212" t="str">
        <f>'Q100a-geral'!AL850</f>
        <v>x</v>
      </c>
      <c r="AM331" s="137" t="str">
        <f>'Q100a-geral'!AM850</f>
        <v>x</v>
      </c>
      <c r="AN331" s="137" t="str">
        <f>'Q100a-geral'!AN850</f>
        <v>x</v>
      </c>
      <c r="AO331" s="137" t="str">
        <f>'Q100a-geral'!AO850</f>
        <v>x</v>
      </c>
      <c r="AP331" s="137" t="str">
        <f>'Q100a-geral'!AP850</f>
        <v>x</v>
      </c>
      <c r="AQ331" s="137" t="str">
        <f>'Q100a-geral'!AQ850</f>
        <v>x</v>
      </c>
      <c r="AR331" s="137"/>
      <c r="AS331" s="137"/>
      <c r="AT331" s="137"/>
      <c r="AU331" s="137"/>
      <c r="AV331" s="137" t="str">
        <f>'Q100a-geral'!AV850</f>
        <v>x</v>
      </c>
      <c r="AW331" s="137"/>
      <c r="AX331" s="137"/>
      <c r="AY331" s="137"/>
      <c r="AZ331" s="137"/>
      <c r="BA331" s="137" t="str">
        <f>'Q100a-geral'!BA850</f>
        <v>x</v>
      </c>
      <c r="BB331" s="239" t="str">
        <f>'Q100a-geral'!BB850</f>
        <v>Frota e condutores de veículos automotoresx</v>
      </c>
      <c r="BC331" s="239" t="str">
        <f>'Q100a-geral'!BC850</f>
        <v>Frota e condutores de veículos automotoresxx</v>
      </c>
      <c r="BD331" s="239" t="str">
        <f>'Q100a-geral'!BD850</f>
        <v>Frota e condutores de veículos automotoresx</v>
      </c>
    </row>
    <row r="332" spans="1:56" s="1" customFormat="1" ht="51" customHeight="1" x14ac:dyDescent="0.25">
      <c r="A332" s="275" t="str">
        <f>'Q100a-geral'!A851</f>
        <v>2.2</v>
      </c>
      <c r="B332" s="54" t="str">
        <f>'Q100a-geral'!B851</f>
        <v>Frota e condutores de veículos automotores</v>
      </c>
      <c r="C332" s="230" t="str">
        <f>'Q100a-geral'!C851</f>
        <v>x</v>
      </c>
      <c r="D332" s="186" t="str">
        <f>'Q100a-geral'!D851</f>
        <v>F ônibus</v>
      </c>
      <c r="E332" s="151" t="str">
        <f>'Q100a-geral'!E851</f>
        <v>Belo Horizonte</v>
      </c>
      <c r="F332" s="447" t="str">
        <f>'Q100a-geral'!F851</f>
        <v>frota de veículos da categoria "ônibus" registrados no município
obs.: resultados de 1999-2014 conforme BHTRANS(2013b); MG(2013; 2014; 2015a); de 2015 conforme MG(2015b)</v>
      </c>
      <c r="G332" s="252" t="str">
        <f>'Q100a-geral'!G851</f>
        <v>registro na fonte</v>
      </c>
      <c r="H332" s="173" t="str">
        <f>'Q100a-geral'!H851</f>
        <v>x</v>
      </c>
      <c r="I332" s="57">
        <f>'Q100a-geral'!I851</f>
        <v>1</v>
      </c>
      <c r="J332" s="11" t="str">
        <f>'Q100a-geral'!J851</f>
        <v>x</v>
      </c>
      <c r="K332" s="84" t="str">
        <f>'Q100a-geral'!K851</f>
        <v>x</v>
      </c>
      <c r="L332" s="84" t="str">
        <f>'Q100a-geral'!L851</f>
        <v>x</v>
      </c>
      <c r="M332" s="84" t="str">
        <f>'Q100a-geral'!M851</f>
        <v>x</v>
      </c>
      <c r="N332" s="84" t="str">
        <f>'Q100a-geral'!N851</f>
        <v>x</v>
      </c>
      <c r="O332" s="84" t="str">
        <f>'Q100a-geral'!O851</f>
        <v>x</v>
      </c>
      <c r="P332" s="84" t="str">
        <f>'Q100a-geral'!P851</f>
        <v>x</v>
      </c>
      <c r="Q332" s="84" t="str">
        <f>'Q100a-geral'!Q851</f>
        <v>x</v>
      </c>
      <c r="R332" s="84" t="str">
        <f>'Q100a-geral'!R851</f>
        <v>x</v>
      </c>
      <c r="S332" s="649" t="str">
        <f>'Q100a-geral'!S851</f>
        <v>só para pesquisa</v>
      </c>
      <c r="T332" s="84">
        <f>'Q100a-geral'!T851</f>
        <v>5863</v>
      </c>
      <c r="U332" s="84">
        <f>'Q100a-geral'!U851</f>
        <v>5870</v>
      </c>
      <c r="V332" s="107" t="str">
        <f>'Q100a-geral'!V851</f>
        <v>só para pesquisa</v>
      </c>
      <c r="W332" s="84">
        <f>'Q100a-geral'!W851</f>
        <v>6128</v>
      </c>
      <c r="X332" s="84">
        <f>'Q100a-geral'!X851</f>
        <v>6055</v>
      </c>
      <c r="Y332" s="84">
        <f>'Q100a-geral'!Y851</f>
        <v>5950</v>
      </c>
      <c r="Z332" s="84">
        <f>'Q100a-geral'!Z851</f>
        <v>6142</v>
      </c>
      <c r="AA332" s="84">
        <f>'Q100a-geral'!AA851</f>
        <v>6134</v>
      </c>
      <c r="AB332" s="84">
        <f>'Q100a-geral'!AB851</f>
        <v>6611</v>
      </c>
      <c r="AC332" s="84">
        <f>'Q100a-geral'!AC851</f>
        <v>6804</v>
      </c>
      <c r="AD332" s="84">
        <f>'Q100a-geral'!AD851</f>
        <v>7028</v>
      </c>
      <c r="AE332" s="84">
        <f>'Q100a-geral'!AE851</f>
        <v>7222</v>
      </c>
      <c r="AF332" s="84">
        <f>'Q100a-geral'!AF851</f>
        <v>7415</v>
      </c>
      <c r="AG332" s="84">
        <f>'Q100a-geral'!AG851</f>
        <v>7852</v>
      </c>
      <c r="AH332" s="84">
        <f>'Q100a-geral'!AH851</f>
        <v>8086</v>
      </c>
      <c r="AI332" s="84">
        <f>'Q100a-geral'!AI851</f>
        <v>8220</v>
      </c>
      <c r="AJ332" s="84">
        <f>'Q100a-geral'!AJ851</f>
        <v>8271</v>
      </c>
      <c r="AK332" s="84">
        <f>'Q100a-geral'!AK851</f>
        <v>7996</v>
      </c>
      <c r="AL332" s="212" t="str">
        <f>'Q100a-geral'!AL851</f>
        <v>x</v>
      </c>
      <c r="AM332" s="137" t="str">
        <f>'Q100a-geral'!AM851</f>
        <v>x</v>
      </c>
      <c r="AN332" s="137" t="str">
        <f>'Q100a-geral'!AN851</f>
        <v>x</v>
      </c>
      <c r="AO332" s="137" t="str">
        <f>'Q100a-geral'!AO851</f>
        <v>x</v>
      </c>
      <c r="AP332" s="137" t="str">
        <f>'Q100a-geral'!AP851</f>
        <v>x</v>
      </c>
      <c r="AQ332" s="137" t="str">
        <f>'Q100a-geral'!AQ851</f>
        <v>x</v>
      </c>
      <c r="AR332" s="137"/>
      <c r="AS332" s="137"/>
      <c r="AT332" s="137"/>
      <c r="AU332" s="137"/>
      <c r="AV332" s="137" t="str">
        <f>'Q100a-geral'!AV851</f>
        <v>x</v>
      </c>
      <c r="AW332" s="137"/>
      <c r="AX332" s="137"/>
      <c r="AY332" s="137"/>
      <c r="AZ332" s="137"/>
      <c r="BA332" s="137" t="str">
        <f>'Q100a-geral'!BA851</f>
        <v>x</v>
      </c>
      <c r="BB332" s="239" t="str">
        <f>'Q100a-geral'!BB851</f>
        <v>Frota e condutores de veículos automotoresx</v>
      </c>
      <c r="BC332" s="239" t="str">
        <f>'Q100a-geral'!BC851</f>
        <v>Frota e condutores de veículos automotoresxx</v>
      </c>
      <c r="BD332" s="239" t="str">
        <f>'Q100a-geral'!BD851</f>
        <v>Frota e condutores de veículos automotoresx</v>
      </c>
    </row>
    <row r="333" spans="1:56" s="1" customFormat="1" ht="78.75" customHeight="1" x14ac:dyDescent="0.25">
      <c r="A333" s="275" t="str">
        <f>'Q100a-geral'!A857</f>
        <v>2.2</v>
      </c>
      <c r="B333" s="54" t="str">
        <f>'Q100a-geral'!B857</f>
        <v>Frota e condutores de veículos automotores</v>
      </c>
      <c r="C333" s="230" t="str">
        <f>'Q100a-geral'!C857</f>
        <v>x</v>
      </c>
      <c r="D333" s="186" t="str">
        <f>'Q100a-geral'!D857</f>
        <v>F quadriciclo</v>
      </c>
      <c r="E333" s="151" t="str">
        <f>'Q100a-geral'!E857</f>
        <v>Belo Horizonte</v>
      </c>
      <c r="F333" s="446" t="str">
        <f>'Q100a-geral'!F857</f>
        <v>frota de veículos da categoria "quadriciclo" registrada no município
obs.: resultados de 2008-2014 conforme BHTRANS(2013b); MG(2013; 2014; 2015a); de 2015 conforme MG(2015b)</v>
      </c>
      <c r="G333" s="252" t="str">
        <f>'Q100a-geral'!G857</f>
        <v>registro na fonte</v>
      </c>
      <c r="H333" s="173" t="str">
        <f>'Q100a-geral'!H857</f>
        <v>x</v>
      </c>
      <c r="I333" s="57">
        <f>'Q100a-geral'!I857</f>
        <v>1</v>
      </c>
      <c r="J333" s="11" t="str">
        <f>'Q100a-geral'!J857</f>
        <v>x</v>
      </c>
      <c r="K333" s="13" t="str">
        <f>'Q100a-geral'!K857</f>
        <v>x</v>
      </c>
      <c r="L333" s="13" t="str">
        <f>'Q100a-geral'!L857</f>
        <v>x</v>
      </c>
      <c r="M333" s="13" t="str">
        <f>'Q100a-geral'!M857</f>
        <v>x</v>
      </c>
      <c r="N333" s="13" t="str">
        <f>'Q100a-geral'!N857</f>
        <v>x</v>
      </c>
      <c r="O333" s="13" t="str">
        <f>'Q100a-geral'!O857</f>
        <v>x</v>
      </c>
      <c r="P333" s="13" t="str">
        <f>'Q100a-geral'!P857</f>
        <v>x</v>
      </c>
      <c r="Q333" s="13" t="str">
        <f>'Q100a-geral'!Q857</f>
        <v>x</v>
      </c>
      <c r="R333" s="13" t="str">
        <f>'Q100a-geral'!R857</f>
        <v>x</v>
      </c>
      <c r="S333" s="649" t="str">
        <f>'Q100a-geral'!S857</f>
        <v>só para pesquisa</v>
      </c>
      <c r="T333" s="11" t="str">
        <f>'Q100a-geral'!T857</f>
        <v>x</v>
      </c>
      <c r="U333" s="11" t="str">
        <f>'Q100a-geral'!U857</f>
        <v>x</v>
      </c>
      <c r="V333" s="107" t="str">
        <f>'Q100a-geral'!V857</f>
        <v>só para pesquisa</v>
      </c>
      <c r="W333" s="11" t="str">
        <f>'Q100a-geral'!W857</f>
        <v>x</v>
      </c>
      <c r="X333" s="11" t="str">
        <f>'Q100a-geral'!X857</f>
        <v>x</v>
      </c>
      <c r="Y333" s="11" t="str">
        <f>'Q100a-geral'!Y857</f>
        <v>x</v>
      </c>
      <c r="Z333" s="11" t="str">
        <f>'Q100a-geral'!Z857</f>
        <v>x</v>
      </c>
      <c r="AA333" s="11" t="str">
        <f>'Q100a-geral'!AA857</f>
        <v>x</v>
      </c>
      <c r="AB333" s="11" t="str">
        <f>'Q100a-geral'!AB857</f>
        <v>x</v>
      </c>
      <c r="AC333" s="11" t="str">
        <f>'Q100a-geral'!AC857</f>
        <v>x</v>
      </c>
      <c r="AD333" s="84">
        <f>'Q100a-geral'!AD857</f>
        <v>2</v>
      </c>
      <c r="AE333" s="84">
        <f>'Q100a-geral'!AE857</f>
        <v>3</v>
      </c>
      <c r="AF333" s="84">
        <f>'Q100a-geral'!AF857</f>
        <v>3</v>
      </c>
      <c r="AG333" s="84">
        <f>'Q100a-geral'!AG857</f>
        <v>3</v>
      </c>
      <c r="AH333" s="84">
        <f>'Q100a-geral'!AH857</f>
        <v>3</v>
      </c>
      <c r="AI333" s="84">
        <f>'Q100a-geral'!AI857</f>
        <v>3</v>
      </c>
      <c r="AJ333" s="84">
        <f>'Q100a-geral'!AJ857</f>
        <v>3</v>
      </c>
      <c r="AK333" s="84">
        <f>'Q100a-geral'!AK857</f>
        <v>4</v>
      </c>
      <c r="AL333" s="212" t="str">
        <f>'Q100a-geral'!AL857</f>
        <v>x</v>
      </c>
      <c r="AM333" s="137" t="str">
        <f>'Q100a-geral'!AM857</f>
        <v>x</v>
      </c>
      <c r="AN333" s="137" t="str">
        <f>'Q100a-geral'!AN857</f>
        <v>x</v>
      </c>
      <c r="AO333" s="137" t="str">
        <f>'Q100a-geral'!AO857</f>
        <v>x</v>
      </c>
      <c r="AP333" s="137" t="str">
        <f>'Q100a-geral'!AP857</f>
        <v>x</v>
      </c>
      <c r="AQ333" s="137" t="str">
        <f>'Q100a-geral'!AQ857</f>
        <v>x</v>
      </c>
      <c r="AR333" s="137"/>
      <c r="AS333" s="137"/>
      <c r="AT333" s="137"/>
      <c r="AU333" s="137"/>
      <c r="AV333" s="137" t="str">
        <f>'Q100a-geral'!AV857</f>
        <v>x</v>
      </c>
      <c r="AW333" s="137"/>
      <c r="AX333" s="137"/>
      <c r="AY333" s="137"/>
      <c r="AZ333" s="137"/>
      <c r="BA333" s="137" t="str">
        <f>'Q100a-geral'!BA857</f>
        <v>x</v>
      </c>
      <c r="BB333" s="239" t="str">
        <f>'Q100a-geral'!BB857</f>
        <v>Frota e condutores de veículos automotoresx</v>
      </c>
      <c r="BC333" s="239" t="str">
        <f>'Q100a-geral'!BC857</f>
        <v>Frota e condutores de veículos automotoresxx</v>
      </c>
      <c r="BD333" s="239" t="str">
        <f>'Q100a-geral'!BD857</f>
        <v>Frota e condutores de veículos automotoresx</v>
      </c>
    </row>
    <row r="334" spans="1:56" s="1" customFormat="1" ht="78.75" customHeight="1" x14ac:dyDescent="0.25">
      <c r="A334" s="275" t="str">
        <f>'Q100a-geral'!A858</f>
        <v>2.2</v>
      </c>
      <c r="B334" s="54" t="str">
        <f>'Q100a-geral'!B858</f>
        <v>Frota e condutores de veículos automotores</v>
      </c>
      <c r="C334" s="230" t="str">
        <f>'Q100a-geral'!C858</f>
        <v>x</v>
      </c>
      <c r="D334" s="186" t="str">
        <f>'Q100a-geral'!D858</f>
        <v>F reboque</v>
      </c>
      <c r="E334" s="151" t="str">
        <f>'Q100a-geral'!E858</f>
        <v>Belo Horizonte</v>
      </c>
      <c r="F334" s="446" t="str">
        <f>'Q100a-geral'!F858</f>
        <v>frota de veículos da categoria "reboque" registrada no município
obs.: resultados de 2008-2014 conforme BHTRANS(2013b); MG(2013; 2014; 2015a); de 2015 conforme MG(2015b)</v>
      </c>
      <c r="G334" s="252" t="str">
        <f>'Q100a-geral'!G858</f>
        <v>registro na fonte</v>
      </c>
      <c r="H334" s="173" t="str">
        <f>'Q100a-geral'!H858</f>
        <v>x</v>
      </c>
      <c r="I334" s="57">
        <f>'Q100a-geral'!I858</f>
        <v>1</v>
      </c>
      <c r="J334" s="11" t="str">
        <f>'Q100a-geral'!J858</f>
        <v>x</v>
      </c>
      <c r="K334" s="13" t="str">
        <f>'Q100a-geral'!K858</f>
        <v>x</v>
      </c>
      <c r="L334" s="13" t="str">
        <f>'Q100a-geral'!L858</f>
        <v>x</v>
      </c>
      <c r="M334" s="13" t="str">
        <f>'Q100a-geral'!M858</f>
        <v>x</v>
      </c>
      <c r="N334" s="13" t="str">
        <f>'Q100a-geral'!N858</f>
        <v>x</v>
      </c>
      <c r="O334" s="13" t="str">
        <f>'Q100a-geral'!O858</f>
        <v>x</v>
      </c>
      <c r="P334" s="13" t="str">
        <f>'Q100a-geral'!P858</f>
        <v>x</v>
      </c>
      <c r="Q334" s="13" t="str">
        <f>'Q100a-geral'!Q858</f>
        <v>x</v>
      </c>
      <c r="R334" s="13" t="str">
        <f>'Q100a-geral'!R858</f>
        <v>x</v>
      </c>
      <c r="S334" s="649" t="str">
        <f>'Q100a-geral'!S858</f>
        <v>só para pesquisa</v>
      </c>
      <c r="T334" s="49" t="str">
        <f>'Q100a-geral'!T858</f>
        <v>x</v>
      </c>
      <c r="U334" s="49" t="str">
        <f>'Q100a-geral'!U858</f>
        <v>x</v>
      </c>
      <c r="V334" s="107" t="str">
        <f>'Q100a-geral'!V858</f>
        <v>só para pesquisa</v>
      </c>
      <c r="W334" s="49" t="str">
        <f>'Q100a-geral'!W858</f>
        <v>x</v>
      </c>
      <c r="X334" s="49" t="str">
        <f>'Q100a-geral'!X858</f>
        <v>x</v>
      </c>
      <c r="Y334" s="49" t="str">
        <f>'Q100a-geral'!Y858</f>
        <v>x</v>
      </c>
      <c r="Z334" s="49" t="str">
        <f>'Q100a-geral'!Z858</f>
        <v>x</v>
      </c>
      <c r="AA334" s="49" t="str">
        <f>'Q100a-geral'!AA858</f>
        <v>x</v>
      </c>
      <c r="AB334" s="49" t="str">
        <f>'Q100a-geral'!AB858</f>
        <v>x</v>
      </c>
      <c r="AC334" s="11" t="str">
        <f>'Q100a-geral'!AC858</f>
        <v>x</v>
      </c>
      <c r="AD334" s="84">
        <f>'Q100a-geral'!AD858</f>
        <v>13666</v>
      </c>
      <c r="AE334" s="84">
        <f>'Q100a-geral'!AE858</f>
        <v>14943</v>
      </c>
      <c r="AF334" s="84">
        <f>'Q100a-geral'!AF858</f>
        <v>15741</v>
      </c>
      <c r="AG334" s="84">
        <f>'Q100a-geral'!AG858</f>
        <v>16587</v>
      </c>
      <c r="AH334" s="84">
        <f>'Q100a-geral'!AH858</f>
        <v>17145</v>
      </c>
      <c r="AI334" s="84">
        <f>'Q100a-geral'!AI858</f>
        <v>17588</v>
      </c>
      <c r="AJ334" s="84">
        <f>'Q100a-geral'!AJ858</f>
        <v>17999</v>
      </c>
      <c r="AK334" s="84">
        <f>'Q100a-geral'!AK858</f>
        <v>18406</v>
      </c>
      <c r="AL334" s="212" t="str">
        <f>'Q100a-geral'!AL858</f>
        <v>x</v>
      </c>
      <c r="AM334" s="137" t="str">
        <f>'Q100a-geral'!AM858</f>
        <v>x</v>
      </c>
      <c r="AN334" s="137" t="str">
        <f>'Q100a-geral'!AN858</f>
        <v>x</v>
      </c>
      <c r="AO334" s="137" t="str">
        <f>'Q100a-geral'!AO858</f>
        <v>x</v>
      </c>
      <c r="AP334" s="137" t="str">
        <f>'Q100a-geral'!AP858</f>
        <v>x</v>
      </c>
      <c r="AQ334" s="137" t="str">
        <f>'Q100a-geral'!AQ858</f>
        <v>x</v>
      </c>
      <c r="AR334" s="137"/>
      <c r="AS334" s="137"/>
      <c r="AT334" s="137"/>
      <c r="AU334" s="137"/>
      <c r="AV334" s="137" t="str">
        <f>'Q100a-geral'!AV858</f>
        <v>x</v>
      </c>
      <c r="AW334" s="137"/>
      <c r="AX334" s="137"/>
      <c r="AY334" s="137"/>
      <c r="AZ334" s="137"/>
      <c r="BA334" s="137" t="str">
        <f>'Q100a-geral'!BA858</f>
        <v>x</v>
      </c>
      <c r="BB334" s="239" t="str">
        <f>'Q100a-geral'!BB858</f>
        <v>Frota e condutores de veículos automotoresx</v>
      </c>
      <c r="BC334" s="239" t="str">
        <f>'Q100a-geral'!BC858</f>
        <v>Frota e condutores de veículos automotoresxx</v>
      </c>
      <c r="BD334" s="239" t="str">
        <f>'Q100a-geral'!BD858</f>
        <v>Frota e condutores de veículos automotoresx</v>
      </c>
    </row>
    <row r="335" spans="1:56" s="1" customFormat="1" ht="78.75" customHeight="1" x14ac:dyDescent="0.25">
      <c r="A335" s="275" t="str">
        <f>'Q100a-geral'!A859</f>
        <v>2.2</v>
      </c>
      <c r="B335" s="54" t="str">
        <f>'Q100a-geral'!B859</f>
        <v>Frota e condutores de veículos automotores</v>
      </c>
      <c r="C335" s="230" t="str">
        <f>'Q100a-geral'!C859</f>
        <v>x</v>
      </c>
      <c r="D335" s="186" t="str">
        <f>'Q100a-geral'!D859</f>
        <v>F side-car</v>
      </c>
      <c r="E335" s="151" t="str">
        <f>'Q100a-geral'!E859</f>
        <v>Belo Horizonte</v>
      </c>
      <c r="F335" s="446" t="str">
        <f>'Q100a-geral'!F859</f>
        <v>frota de veículos da categoria "side-car" registrada no município
obs.: resultados de 2008-2014 conforme BHTRANS(2013b); MG(2013; 2014; 2015a); de 2015 conforme MG(2015b)</v>
      </c>
      <c r="G335" s="252" t="str">
        <f>'Q100a-geral'!G859</f>
        <v>registro na fonte</v>
      </c>
      <c r="H335" s="173" t="str">
        <f>'Q100a-geral'!H859</f>
        <v>x</v>
      </c>
      <c r="I335" s="57">
        <f>'Q100a-geral'!I859</f>
        <v>1</v>
      </c>
      <c r="J335" s="11" t="str">
        <f>'Q100a-geral'!J859</f>
        <v>x</v>
      </c>
      <c r="K335" s="13" t="str">
        <f>'Q100a-geral'!K859</f>
        <v>x</v>
      </c>
      <c r="L335" s="13" t="str">
        <f>'Q100a-geral'!L859</f>
        <v>x</v>
      </c>
      <c r="M335" s="13" t="str">
        <f>'Q100a-geral'!M859</f>
        <v>x</v>
      </c>
      <c r="N335" s="13" t="str">
        <f>'Q100a-geral'!N859</f>
        <v>x</v>
      </c>
      <c r="O335" s="13" t="str">
        <f>'Q100a-geral'!O859</f>
        <v>x</v>
      </c>
      <c r="P335" s="13" t="str">
        <f>'Q100a-geral'!P859</f>
        <v>x</v>
      </c>
      <c r="Q335" s="13" t="str">
        <f>'Q100a-geral'!Q859</f>
        <v>x</v>
      </c>
      <c r="R335" s="13" t="str">
        <f>'Q100a-geral'!R859</f>
        <v>x</v>
      </c>
      <c r="S335" s="649" t="str">
        <f>'Q100a-geral'!S859</f>
        <v>só para pesquisa</v>
      </c>
      <c r="T335" s="49" t="str">
        <f>'Q100a-geral'!T859</f>
        <v>x</v>
      </c>
      <c r="U335" s="49" t="str">
        <f>'Q100a-geral'!U859</f>
        <v>x</v>
      </c>
      <c r="V335" s="107" t="str">
        <f>'Q100a-geral'!V859</f>
        <v>só para pesquisa</v>
      </c>
      <c r="W335" s="49" t="str">
        <f>'Q100a-geral'!W859</f>
        <v>x</v>
      </c>
      <c r="X335" s="49" t="str">
        <f>'Q100a-geral'!X859</f>
        <v>x</v>
      </c>
      <c r="Y335" s="49" t="str">
        <f>'Q100a-geral'!Y859</f>
        <v>x</v>
      </c>
      <c r="Z335" s="49" t="str">
        <f>'Q100a-geral'!Z859</f>
        <v>x</v>
      </c>
      <c r="AA335" s="49" t="str">
        <f>'Q100a-geral'!AA859</f>
        <v>x</v>
      </c>
      <c r="AB335" s="49" t="str">
        <f>'Q100a-geral'!AB859</f>
        <v>x</v>
      </c>
      <c r="AC335" s="11" t="str">
        <f>'Q100a-geral'!AC859</f>
        <v>x</v>
      </c>
      <c r="AD335" s="84">
        <f>'Q100a-geral'!AD859</f>
        <v>18</v>
      </c>
      <c r="AE335" s="84">
        <f>'Q100a-geral'!AE859</f>
        <v>18</v>
      </c>
      <c r="AF335" s="84">
        <f>'Q100a-geral'!AF859</f>
        <v>17</v>
      </c>
      <c r="AG335" s="84">
        <f>'Q100a-geral'!AG859</f>
        <v>17</v>
      </c>
      <c r="AH335" s="84">
        <f>'Q100a-geral'!AH859</f>
        <v>16</v>
      </c>
      <c r="AI335" s="84">
        <f>'Q100a-geral'!AI859</f>
        <v>16</v>
      </c>
      <c r="AJ335" s="84">
        <f>'Q100a-geral'!AJ859</f>
        <v>16</v>
      </c>
      <c r="AK335" s="84">
        <f>'Q100a-geral'!AK859</f>
        <v>16</v>
      </c>
      <c r="AL335" s="212" t="str">
        <f>'Q100a-geral'!AL859</f>
        <v>x</v>
      </c>
      <c r="AM335" s="137" t="str">
        <f>'Q100a-geral'!AM859</f>
        <v>x</v>
      </c>
      <c r="AN335" s="137" t="str">
        <f>'Q100a-geral'!AN859</f>
        <v>x</v>
      </c>
      <c r="AO335" s="137" t="str">
        <f>'Q100a-geral'!AO859</f>
        <v>x</v>
      </c>
      <c r="AP335" s="137" t="str">
        <f>'Q100a-geral'!AP859</f>
        <v>x</v>
      </c>
      <c r="AQ335" s="137" t="str">
        <f>'Q100a-geral'!AQ859</f>
        <v>x</v>
      </c>
      <c r="AR335" s="137"/>
      <c r="AS335" s="137"/>
      <c r="AT335" s="137"/>
      <c r="AU335" s="137"/>
      <c r="AV335" s="137" t="str">
        <f>'Q100a-geral'!AV859</f>
        <v>x</v>
      </c>
      <c r="AW335" s="137"/>
      <c r="AX335" s="137"/>
      <c r="AY335" s="137"/>
      <c r="AZ335" s="137"/>
      <c r="BA335" s="137" t="str">
        <f>'Q100a-geral'!BA859</f>
        <v>x</v>
      </c>
      <c r="BB335" s="239" t="str">
        <f>'Q100a-geral'!BB859</f>
        <v>Frota e condutores de veículos automotoresx</v>
      </c>
      <c r="BC335" s="239" t="str">
        <f>'Q100a-geral'!BC859</f>
        <v>Frota e condutores de veículos automotoresxx</v>
      </c>
      <c r="BD335" s="239" t="str">
        <f>'Q100a-geral'!BD859</f>
        <v>Frota e condutores de veículos automotoresx</v>
      </c>
    </row>
    <row r="336" spans="1:56" s="1" customFormat="1" ht="78.75" customHeight="1" x14ac:dyDescent="0.25">
      <c r="A336" s="275" t="str">
        <f>'Q100a-geral'!A860</f>
        <v>2.2</v>
      </c>
      <c r="B336" s="54" t="str">
        <f>'Q100a-geral'!B860</f>
        <v>Frota e condutores de veículos automotores</v>
      </c>
      <c r="C336" s="230" t="str">
        <f>'Q100a-geral'!C860</f>
        <v>x</v>
      </c>
      <c r="D336" s="186" t="str">
        <f>'Q100a-geral'!D860</f>
        <v>F semirreboque</v>
      </c>
      <c r="E336" s="151" t="str">
        <f>'Q100a-geral'!E860</f>
        <v>Belo Horizonte</v>
      </c>
      <c r="F336" s="446" t="str">
        <f>'Q100a-geral'!F860</f>
        <v>frota de veículos da categoria "semi reboque" registrada no município
obs.: resultados de 2008-2014 conforme BHTRANS(2013b); MG(2013; 2014; 2015a); de 2015 conforme MG(2015b)</v>
      </c>
      <c r="G336" s="252" t="str">
        <f>'Q100a-geral'!G860</f>
        <v>registro na fonte</v>
      </c>
      <c r="H336" s="173" t="str">
        <f>'Q100a-geral'!H860</f>
        <v>x</v>
      </c>
      <c r="I336" s="57">
        <f>'Q100a-geral'!I860</f>
        <v>1</v>
      </c>
      <c r="J336" s="11" t="str">
        <f>'Q100a-geral'!J860</f>
        <v>x</v>
      </c>
      <c r="K336" s="13" t="str">
        <f>'Q100a-geral'!K860</f>
        <v>x</v>
      </c>
      <c r="L336" s="13" t="str">
        <f>'Q100a-geral'!L860</f>
        <v>x</v>
      </c>
      <c r="M336" s="13" t="str">
        <f>'Q100a-geral'!M860</f>
        <v>x</v>
      </c>
      <c r="N336" s="13" t="str">
        <f>'Q100a-geral'!N860</f>
        <v>x</v>
      </c>
      <c r="O336" s="13" t="str">
        <f>'Q100a-geral'!O860</f>
        <v>x</v>
      </c>
      <c r="P336" s="13" t="str">
        <f>'Q100a-geral'!P860</f>
        <v>x</v>
      </c>
      <c r="Q336" s="13" t="str">
        <f>'Q100a-geral'!Q860</f>
        <v>x</v>
      </c>
      <c r="R336" s="13" t="str">
        <f>'Q100a-geral'!R860</f>
        <v>x</v>
      </c>
      <c r="S336" s="649" t="str">
        <f>'Q100a-geral'!S860</f>
        <v>só para pesquisa</v>
      </c>
      <c r="T336" s="49" t="str">
        <f>'Q100a-geral'!T860</f>
        <v>x</v>
      </c>
      <c r="U336" s="49" t="str">
        <f>'Q100a-geral'!U860</f>
        <v>x</v>
      </c>
      <c r="V336" s="107" t="str">
        <f>'Q100a-geral'!V860</f>
        <v>só para pesquisa</v>
      </c>
      <c r="W336" s="49" t="str">
        <f>'Q100a-geral'!W860</f>
        <v>x</v>
      </c>
      <c r="X336" s="49" t="str">
        <f>'Q100a-geral'!X860</f>
        <v>x</v>
      </c>
      <c r="Y336" s="49" t="str">
        <f>'Q100a-geral'!Y860</f>
        <v>x</v>
      </c>
      <c r="Z336" s="49" t="str">
        <f>'Q100a-geral'!Z860</f>
        <v>x</v>
      </c>
      <c r="AA336" s="49" t="str">
        <f>'Q100a-geral'!AA860</f>
        <v>x</v>
      </c>
      <c r="AB336" s="49" t="str">
        <f>'Q100a-geral'!AB860</f>
        <v>x</v>
      </c>
      <c r="AC336" s="11" t="str">
        <f>'Q100a-geral'!AC860</f>
        <v>x</v>
      </c>
      <c r="AD336" s="84">
        <f>'Q100a-geral'!AD860</f>
        <v>3558</v>
      </c>
      <c r="AE336" s="84">
        <f>'Q100a-geral'!AE860</f>
        <v>3842</v>
      </c>
      <c r="AF336" s="84">
        <f>'Q100a-geral'!AF860</f>
        <v>4125</v>
      </c>
      <c r="AG336" s="84">
        <f>'Q100a-geral'!AG860</f>
        <v>4421</v>
      </c>
      <c r="AH336" s="84">
        <f>'Q100a-geral'!AH860</f>
        <v>4525</v>
      </c>
      <c r="AI336" s="84">
        <f>'Q100a-geral'!AI860</f>
        <v>4501</v>
      </c>
      <c r="AJ336" s="84">
        <f>'Q100a-geral'!AJ860</f>
        <v>4502</v>
      </c>
      <c r="AK336" s="84">
        <f>'Q100a-geral'!AK860</f>
        <v>4409</v>
      </c>
      <c r="AL336" s="212" t="str">
        <f>'Q100a-geral'!AL860</f>
        <v>x</v>
      </c>
      <c r="AM336" s="137" t="str">
        <f>'Q100a-geral'!AM860</f>
        <v>x</v>
      </c>
      <c r="AN336" s="137" t="str">
        <f>'Q100a-geral'!AN860</f>
        <v>x</v>
      </c>
      <c r="AO336" s="137" t="str">
        <f>'Q100a-geral'!AO860</f>
        <v>x</v>
      </c>
      <c r="AP336" s="137" t="str">
        <f>'Q100a-geral'!AP860</f>
        <v>x</v>
      </c>
      <c r="AQ336" s="137" t="str">
        <f>'Q100a-geral'!AQ860</f>
        <v>x</v>
      </c>
      <c r="AR336" s="137"/>
      <c r="AS336" s="137"/>
      <c r="AT336" s="137"/>
      <c r="AU336" s="137"/>
      <c r="AV336" s="137" t="str">
        <f>'Q100a-geral'!AV860</f>
        <v>x</v>
      </c>
      <c r="AW336" s="137"/>
      <c r="AX336" s="137"/>
      <c r="AY336" s="137"/>
      <c r="AZ336" s="137"/>
      <c r="BA336" s="137" t="str">
        <f>'Q100a-geral'!BA860</f>
        <v>x</v>
      </c>
      <c r="BB336" s="239" t="str">
        <f>'Q100a-geral'!BB860</f>
        <v>Frota e condutores de veículos automotoresx</v>
      </c>
      <c r="BC336" s="239" t="str">
        <f>'Q100a-geral'!BC860</f>
        <v>Frota e condutores de veículos automotoresxx</v>
      </c>
      <c r="BD336" s="239" t="str">
        <f>'Q100a-geral'!BD860</f>
        <v>Frota e condutores de veículos automotoresx</v>
      </c>
    </row>
    <row r="337" spans="1:59" s="1" customFormat="1" ht="78.75" customHeight="1" x14ac:dyDescent="0.25">
      <c r="A337" s="275" t="str">
        <f>'Q100a-geral'!A1113</f>
        <v>2.2</v>
      </c>
      <c r="B337" s="54" t="str">
        <f>'Q100a-geral'!B1113</f>
        <v>Frota e condutores de veículos automotores</v>
      </c>
      <c r="C337" s="230" t="str">
        <f>'Q100a-geral'!C1113</f>
        <v>x</v>
      </c>
      <c r="D337" s="186" t="str">
        <f>'Q100a-geral'!D1113</f>
        <v>F triciclo</v>
      </c>
      <c r="E337" s="151" t="str">
        <f>'Q100a-geral'!E1113</f>
        <v>Belo Horizonte</v>
      </c>
      <c r="F337" s="446" t="str">
        <f>'Q100a-geral'!F1113</f>
        <v>frota de veículos da categoria "triciclo" registrada  no município
obs.: resultados de 2008-2014 conforme BHTRANS(2013b); MG(2013; 2014; 2015a); de 2015 conforme MG(2015b)</v>
      </c>
      <c r="G337" s="252" t="str">
        <f>'Q100a-geral'!G1113</f>
        <v>registro na fonte</v>
      </c>
      <c r="H337" s="173" t="str">
        <f>'Q100a-geral'!H1113</f>
        <v>x</v>
      </c>
      <c r="I337" s="57">
        <f>'Q100a-geral'!I1113</f>
        <v>1</v>
      </c>
      <c r="J337" s="11" t="str">
        <f>'Q100a-geral'!J1113</f>
        <v>x</v>
      </c>
      <c r="K337" s="13" t="str">
        <f>'Q100a-geral'!K1113</f>
        <v>x</v>
      </c>
      <c r="L337" s="13" t="str">
        <f>'Q100a-geral'!L1113</f>
        <v>x</v>
      </c>
      <c r="M337" s="13" t="str">
        <f>'Q100a-geral'!M1113</f>
        <v>x</v>
      </c>
      <c r="N337" s="13" t="str">
        <f>'Q100a-geral'!N1113</f>
        <v>x</v>
      </c>
      <c r="O337" s="13" t="str">
        <f>'Q100a-geral'!O1113</f>
        <v>x</v>
      </c>
      <c r="P337" s="13" t="str">
        <f>'Q100a-geral'!P1113</f>
        <v>x</v>
      </c>
      <c r="Q337" s="13" t="str">
        <f>'Q100a-geral'!Q1113</f>
        <v>x</v>
      </c>
      <c r="R337" s="13" t="str">
        <f>'Q100a-geral'!R1113</f>
        <v>x</v>
      </c>
      <c r="S337" s="649" t="str">
        <f>'Q100a-geral'!S1113</f>
        <v>só para pesquisa</v>
      </c>
      <c r="T337" s="49" t="str">
        <f>'Q100a-geral'!T1113</f>
        <v>x</v>
      </c>
      <c r="U337" s="49" t="str">
        <f>'Q100a-geral'!U1113</f>
        <v>x</v>
      </c>
      <c r="V337" s="107" t="str">
        <f>'Q100a-geral'!V1113</f>
        <v>só para pesquisa</v>
      </c>
      <c r="W337" s="49" t="str">
        <f>'Q100a-geral'!W1113</f>
        <v>x</v>
      </c>
      <c r="X337" s="49" t="str">
        <f>'Q100a-geral'!X1113</f>
        <v>x</v>
      </c>
      <c r="Y337" s="49" t="str">
        <f>'Q100a-geral'!Y1113</f>
        <v>x</v>
      </c>
      <c r="Z337" s="49" t="str">
        <f>'Q100a-geral'!Z1113</f>
        <v>x</v>
      </c>
      <c r="AA337" s="49" t="str">
        <f>'Q100a-geral'!AA1113</f>
        <v>x</v>
      </c>
      <c r="AB337" s="49" t="str">
        <f>'Q100a-geral'!AB1113</f>
        <v>x</v>
      </c>
      <c r="AC337" s="11" t="str">
        <f>'Q100a-geral'!AC1113</f>
        <v>x</v>
      </c>
      <c r="AD337" s="84">
        <f>'Q100a-geral'!AD1113</f>
        <v>248</v>
      </c>
      <c r="AE337" s="84">
        <f>'Q100a-geral'!AE1113</f>
        <v>295</v>
      </c>
      <c r="AF337" s="84">
        <f>'Q100a-geral'!AF1113</f>
        <v>357</v>
      </c>
      <c r="AG337" s="84">
        <f>'Q100a-geral'!AG1113</f>
        <v>463</v>
      </c>
      <c r="AH337" s="84">
        <f>'Q100a-geral'!AH1113</f>
        <v>498</v>
      </c>
      <c r="AI337" s="84">
        <f>'Q100a-geral'!AI1113</f>
        <v>481</v>
      </c>
      <c r="AJ337" s="84">
        <f>'Q100a-geral'!AJ1113</f>
        <v>505</v>
      </c>
      <c r="AK337" s="84">
        <f>'Q100a-geral'!AK1113</f>
        <v>525</v>
      </c>
      <c r="AL337" s="212" t="str">
        <f>'Q100a-geral'!AL1113</f>
        <v>x</v>
      </c>
      <c r="AM337" s="137" t="str">
        <f>'Q100a-geral'!AM1113</f>
        <v>x</v>
      </c>
      <c r="AN337" s="137" t="str">
        <f>'Q100a-geral'!AN1113</f>
        <v>x</v>
      </c>
      <c r="AO337" s="137" t="str">
        <f>'Q100a-geral'!AO1113</f>
        <v>x</v>
      </c>
      <c r="AP337" s="137" t="str">
        <f>'Q100a-geral'!AP1113</f>
        <v>x</v>
      </c>
      <c r="AQ337" s="137" t="str">
        <f>'Q100a-geral'!AQ1113</f>
        <v>x</v>
      </c>
      <c r="AR337" s="137"/>
      <c r="AS337" s="137"/>
      <c r="AT337" s="137"/>
      <c r="AU337" s="137"/>
      <c r="AV337" s="137" t="str">
        <f>'Q100a-geral'!AV1113</f>
        <v>x</v>
      </c>
      <c r="AW337" s="137"/>
      <c r="AX337" s="137"/>
      <c r="AY337" s="137"/>
      <c r="AZ337" s="137"/>
      <c r="BA337" s="137" t="str">
        <f>'Q100a-geral'!BA1113</f>
        <v>x</v>
      </c>
      <c r="BB337" s="239" t="str">
        <f>'Q100a-geral'!BB1113</f>
        <v>Frota e condutores de veículos automotoresx</v>
      </c>
      <c r="BC337" s="239" t="str">
        <f>'Q100a-geral'!BC1113</f>
        <v>Frota e condutores de veículos automotoresxx</v>
      </c>
      <c r="BD337" s="239" t="str">
        <f>'Q100a-geral'!BD1113</f>
        <v>Frota e condutores de veículos automotoresx</v>
      </c>
    </row>
    <row r="338" spans="1:59" s="1" customFormat="1" ht="78.75" customHeight="1" x14ac:dyDescent="0.25">
      <c r="A338" s="275" t="str">
        <f>'Q100a-geral'!A1114</f>
        <v>2.2</v>
      </c>
      <c r="B338" s="54" t="str">
        <f>'Q100a-geral'!B1114</f>
        <v>Frota e condutores de veículos automotores</v>
      </c>
      <c r="C338" s="230" t="str">
        <f>'Q100a-geral'!C1114</f>
        <v>x</v>
      </c>
      <c r="D338" s="186" t="str">
        <f>'Q100a-geral'!D1114</f>
        <v>F trator misto</v>
      </c>
      <c r="E338" s="151" t="str">
        <f>'Q100a-geral'!E1114</f>
        <v>Belo Horizonte</v>
      </c>
      <c r="F338" s="446" t="str">
        <f>'Q100a-geral'!F1114</f>
        <v>frota de veículos da categoria "trator misto" registrada no município
obs.: resultados de 2008-2014 conforme BHTRANS(2013b); MG(2013; 2014; 2015a); de 2015 conforme MG(2015b)</v>
      </c>
      <c r="G338" s="252" t="str">
        <f>'Q100a-geral'!G1114</f>
        <v>registro na fonte</v>
      </c>
      <c r="H338" s="173" t="str">
        <f>'Q100a-geral'!H1114</f>
        <v>x</v>
      </c>
      <c r="I338" s="57">
        <f>'Q100a-geral'!I1114</f>
        <v>1</v>
      </c>
      <c r="J338" s="11" t="str">
        <f>'Q100a-geral'!J1114</f>
        <v>x</v>
      </c>
      <c r="K338" s="13" t="str">
        <f>'Q100a-geral'!K1114</f>
        <v>x</v>
      </c>
      <c r="L338" s="13" t="str">
        <f>'Q100a-geral'!L1114</f>
        <v>x</v>
      </c>
      <c r="M338" s="13" t="str">
        <f>'Q100a-geral'!M1114</f>
        <v>x</v>
      </c>
      <c r="N338" s="13" t="str">
        <f>'Q100a-geral'!N1114</f>
        <v>x</v>
      </c>
      <c r="O338" s="13" t="str">
        <f>'Q100a-geral'!O1114</f>
        <v>x</v>
      </c>
      <c r="P338" s="13" t="str">
        <f>'Q100a-geral'!P1114</f>
        <v>x</v>
      </c>
      <c r="Q338" s="13" t="str">
        <f>'Q100a-geral'!Q1114</f>
        <v>x</v>
      </c>
      <c r="R338" s="13" t="str">
        <f>'Q100a-geral'!R1114</f>
        <v>x</v>
      </c>
      <c r="S338" s="649" t="str">
        <f>'Q100a-geral'!S1114</f>
        <v>só para pesquisa</v>
      </c>
      <c r="T338" s="49" t="str">
        <f>'Q100a-geral'!T1114</f>
        <v>x</v>
      </c>
      <c r="U338" s="49" t="str">
        <f>'Q100a-geral'!U1114</f>
        <v>x</v>
      </c>
      <c r="V338" s="107" t="str">
        <f>'Q100a-geral'!V1114</f>
        <v>só para pesquisa</v>
      </c>
      <c r="W338" s="49" t="str">
        <f>'Q100a-geral'!W1114</f>
        <v>x</v>
      </c>
      <c r="X338" s="49" t="str">
        <f>'Q100a-geral'!X1114</f>
        <v>x</v>
      </c>
      <c r="Y338" s="49" t="str">
        <f>'Q100a-geral'!Y1114</f>
        <v>x</v>
      </c>
      <c r="Z338" s="49" t="str">
        <f>'Q100a-geral'!Z1114</f>
        <v>x</v>
      </c>
      <c r="AA338" s="49" t="str">
        <f>'Q100a-geral'!AA1114</f>
        <v>x</v>
      </c>
      <c r="AB338" s="49" t="str">
        <f>'Q100a-geral'!AB1114</f>
        <v>x</v>
      </c>
      <c r="AC338" s="11" t="str">
        <f>'Q100a-geral'!AC1114</f>
        <v>x</v>
      </c>
      <c r="AD338" s="84">
        <f>'Q100a-geral'!AD1114</f>
        <v>3</v>
      </c>
      <c r="AE338" s="84">
        <f>'Q100a-geral'!AE1114</f>
        <v>3</v>
      </c>
      <c r="AF338" s="84">
        <f>'Q100a-geral'!AF1114</f>
        <v>3</v>
      </c>
      <c r="AG338" s="84">
        <f>'Q100a-geral'!AG1114</f>
        <v>3</v>
      </c>
      <c r="AH338" s="84">
        <f>'Q100a-geral'!AH1114</f>
        <v>3</v>
      </c>
      <c r="AI338" s="84">
        <f>'Q100a-geral'!AI1114</f>
        <v>3</v>
      </c>
      <c r="AJ338" s="84">
        <f>'Q100a-geral'!AJ1114</f>
        <v>3</v>
      </c>
      <c r="AK338" s="84">
        <f>'Q100a-geral'!AK1114</f>
        <v>3</v>
      </c>
      <c r="AL338" s="212" t="str">
        <f>'Q100a-geral'!AL1114</f>
        <v>x</v>
      </c>
      <c r="AM338" s="137" t="str">
        <f>'Q100a-geral'!AM1114</f>
        <v>x</v>
      </c>
      <c r="AN338" s="137" t="str">
        <f>'Q100a-geral'!AN1114</f>
        <v>x</v>
      </c>
      <c r="AO338" s="137" t="str">
        <f>'Q100a-geral'!AO1114</f>
        <v>x</v>
      </c>
      <c r="AP338" s="137" t="str">
        <f>'Q100a-geral'!AP1114</f>
        <v>x</v>
      </c>
      <c r="AQ338" s="137" t="str">
        <f>'Q100a-geral'!AQ1114</f>
        <v>x</v>
      </c>
      <c r="AR338" s="137"/>
      <c r="AS338" s="137"/>
      <c r="AT338" s="137"/>
      <c r="AU338" s="137"/>
      <c r="AV338" s="137" t="str">
        <f>'Q100a-geral'!AV1114</f>
        <v>x</v>
      </c>
      <c r="AW338" s="137"/>
      <c r="AX338" s="137"/>
      <c r="AY338" s="137"/>
      <c r="AZ338" s="137"/>
      <c r="BA338" s="137" t="str">
        <f>'Q100a-geral'!BA1114</f>
        <v>x</v>
      </c>
      <c r="BB338" s="239" t="str">
        <f>'Q100a-geral'!BB1114</f>
        <v>Frota e condutores de veículos automotoresx</v>
      </c>
      <c r="BC338" s="239" t="str">
        <f>'Q100a-geral'!BC1114</f>
        <v>Frota e condutores de veículos automotoresxx</v>
      </c>
      <c r="BD338" s="239" t="str">
        <f>'Q100a-geral'!BD1114</f>
        <v>Frota e condutores de veículos automotoresx</v>
      </c>
    </row>
    <row r="339" spans="1:59" s="1" customFormat="1" ht="78.75" customHeight="1" x14ac:dyDescent="0.25">
      <c r="A339" s="275" t="str">
        <f>'Q100a-geral'!A1115</f>
        <v>2.2</v>
      </c>
      <c r="B339" s="54" t="str">
        <f>'Q100a-geral'!B1115</f>
        <v>Frota e condutores de veículos automotores</v>
      </c>
      <c r="C339" s="230" t="str">
        <f>'Q100a-geral'!C1115</f>
        <v>x</v>
      </c>
      <c r="D339" s="186" t="str">
        <f>'Q100a-geral'!D1115</f>
        <v>F trator rodas</v>
      </c>
      <c r="E339" s="151" t="str">
        <f>'Q100a-geral'!E1115</f>
        <v>Belo Horizonte</v>
      </c>
      <c r="F339" s="446" t="str">
        <f>'Q100a-geral'!F1115</f>
        <v>frota de veículos da categoria "trator rodas" registrada no município
obs.: resultados de 2008-2014 conforme BHTRANS(2013b); MG(2013; 2014; 2015a); de 2015 conforme MG(2015b)</v>
      </c>
      <c r="G339" s="252" t="str">
        <f>'Q100a-geral'!G1115</f>
        <v>registro na fonte</v>
      </c>
      <c r="H339" s="173" t="str">
        <f>'Q100a-geral'!H1115</f>
        <v>x</v>
      </c>
      <c r="I339" s="57">
        <f>'Q100a-geral'!I1115</f>
        <v>1</v>
      </c>
      <c r="J339" s="11" t="str">
        <f>'Q100a-geral'!J1115</f>
        <v>x</v>
      </c>
      <c r="K339" s="13" t="str">
        <f>'Q100a-geral'!K1115</f>
        <v>x</v>
      </c>
      <c r="L339" s="13" t="str">
        <f>'Q100a-geral'!L1115</f>
        <v>x</v>
      </c>
      <c r="M339" s="13" t="str">
        <f>'Q100a-geral'!M1115</f>
        <v>x</v>
      </c>
      <c r="N339" s="13" t="str">
        <f>'Q100a-geral'!N1115</f>
        <v>x</v>
      </c>
      <c r="O339" s="13" t="str">
        <f>'Q100a-geral'!O1115</f>
        <v>x</v>
      </c>
      <c r="P339" s="13" t="str">
        <f>'Q100a-geral'!P1115</f>
        <v>x</v>
      </c>
      <c r="Q339" s="13" t="str">
        <f>'Q100a-geral'!Q1115</f>
        <v>x</v>
      </c>
      <c r="R339" s="13" t="str">
        <f>'Q100a-geral'!R1115</f>
        <v>x</v>
      </c>
      <c r="S339" s="649" t="str">
        <f>'Q100a-geral'!S1115</f>
        <v>só para pesquisa</v>
      </c>
      <c r="T339" s="49" t="str">
        <f>'Q100a-geral'!T1115</f>
        <v>x</v>
      </c>
      <c r="U339" s="49" t="str">
        <f>'Q100a-geral'!U1115</f>
        <v>x</v>
      </c>
      <c r="V339" s="107" t="str">
        <f>'Q100a-geral'!V1115</f>
        <v>só para pesquisa</v>
      </c>
      <c r="W339" s="49" t="str">
        <f>'Q100a-geral'!W1115</f>
        <v>x</v>
      </c>
      <c r="X339" s="49" t="str">
        <f>'Q100a-geral'!X1115</f>
        <v>x</v>
      </c>
      <c r="Y339" s="49" t="str">
        <f>'Q100a-geral'!Y1115</f>
        <v>x</v>
      </c>
      <c r="Z339" s="49" t="str">
        <f>'Q100a-geral'!Z1115</f>
        <v>x</v>
      </c>
      <c r="AA339" s="49" t="str">
        <f>'Q100a-geral'!AA1115</f>
        <v>x</v>
      </c>
      <c r="AB339" s="49" t="str">
        <f>'Q100a-geral'!AB1115</f>
        <v>x</v>
      </c>
      <c r="AC339" s="11" t="str">
        <f>'Q100a-geral'!AC1115</f>
        <v>x</v>
      </c>
      <c r="AD339" s="84">
        <f>'Q100a-geral'!AD1115</f>
        <v>246</v>
      </c>
      <c r="AE339" s="84">
        <f>'Q100a-geral'!AE1115</f>
        <v>277</v>
      </c>
      <c r="AF339" s="84">
        <f>'Q100a-geral'!AF1115</f>
        <v>292</v>
      </c>
      <c r="AG339" s="84">
        <f>'Q100a-geral'!AG1115</f>
        <v>308</v>
      </c>
      <c r="AH339" s="84">
        <f>'Q100a-geral'!AH1115</f>
        <v>304</v>
      </c>
      <c r="AI339" s="84">
        <f>'Q100a-geral'!AI1115</f>
        <v>303</v>
      </c>
      <c r="AJ339" s="84">
        <f>'Q100a-geral'!AJ1115</f>
        <v>301</v>
      </c>
      <c r="AK339" s="84">
        <f>'Q100a-geral'!AK1115</f>
        <v>313</v>
      </c>
      <c r="AL339" s="212" t="str">
        <f>'Q100a-geral'!AL1115</f>
        <v>x</v>
      </c>
      <c r="AM339" s="137" t="str">
        <f>'Q100a-geral'!AM1115</f>
        <v>x</v>
      </c>
      <c r="AN339" s="137" t="str">
        <f>'Q100a-geral'!AN1115</f>
        <v>x</v>
      </c>
      <c r="AO339" s="137" t="str">
        <f>'Q100a-geral'!AO1115</f>
        <v>x</v>
      </c>
      <c r="AP339" s="137" t="str">
        <f>'Q100a-geral'!AP1115</f>
        <v>x</v>
      </c>
      <c r="AQ339" s="137" t="str">
        <f>'Q100a-geral'!AQ1115</f>
        <v>x</v>
      </c>
      <c r="AR339" s="137"/>
      <c r="AS339" s="137"/>
      <c r="AT339" s="137"/>
      <c r="AU339" s="137"/>
      <c r="AV339" s="137" t="str">
        <f>'Q100a-geral'!AV1115</f>
        <v>x</v>
      </c>
      <c r="AW339" s="137"/>
      <c r="AX339" s="137"/>
      <c r="AY339" s="137"/>
      <c r="AZ339" s="137"/>
      <c r="BA339" s="137" t="str">
        <f>'Q100a-geral'!BA1115</f>
        <v>x</v>
      </c>
      <c r="BB339" s="239" t="str">
        <f>'Q100a-geral'!BB1115</f>
        <v>Frota e condutores de veículos automotoresx</v>
      </c>
      <c r="BC339" s="239" t="str">
        <f>'Q100a-geral'!BC1115</f>
        <v>Frota e condutores de veículos automotoresxx</v>
      </c>
      <c r="BD339" s="239" t="str">
        <f>'Q100a-geral'!BD1115</f>
        <v>Frota e condutores de veículos automotoresx</v>
      </c>
    </row>
    <row r="340" spans="1:59" s="1" customFormat="1" ht="51" x14ac:dyDescent="0.25">
      <c r="A340" s="275" t="str">
        <f>'Q100a-geral'!A1116</f>
        <v>2.2</v>
      </c>
      <c r="B340" s="54" t="str">
        <f>'Q100a-geral'!B1116</f>
        <v>Frota e condutores de veículos automotores</v>
      </c>
      <c r="C340" s="230" t="str">
        <f>'Q100a-geral'!C1116</f>
        <v>x</v>
      </c>
      <c r="D340" s="186" t="str">
        <f>'Q100a-geral'!D1116</f>
        <v>F utilitário</v>
      </c>
      <c r="E340" s="151" t="str">
        <f>'Q100a-geral'!E1116</f>
        <v>Belo Horizonte</v>
      </c>
      <c r="F340" s="446" t="str">
        <f>'Q100a-geral'!F1116</f>
        <v>frota de veículos da categoria "utilitário" registrada no município
obs.: resultados de 2008-2014 conforme BHTRANS(2013b); MG(2013; 2014; 2015a); de 2015 conforme MG(2015b)</v>
      </c>
      <c r="G340" s="252" t="str">
        <f>'Q100a-geral'!G1116</f>
        <v>registro na fonte</v>
      </c>
      <c r="H340" s="173" t="str">
        <f>'Q100a-geral'!H1116</f>
        <v>x</v>
      </c>
      <c r="I340" s="57">
        <f>'Q100a-geral'!I1116</f>
        <v>1</v>
      </c>
      <c r="J340" s="11" t="str">
        <f>'Q100a-geral'!J1116</f>
        <v>x</v>
      </c>
      <c r="K340" s="13" t="str">
        <f>'Q100a-geral'!K1116</f>
        <v>x</v>
      </c>
      <c r="L340" s="13" t="str">
        <f>'Q100a-geral'!L1116</f>
        <v>x</v>
      </c>
      <c r="M340" s="13" t="str">
        <f>'Q100a-geral'!M1116</f>
        <v>x</v>
      </c>
      <c r="N340" s="13" t="str">
        <f>'Q100a-geral'!N1116</f>
        <v>x</v>
      </c>
      <c r="O340" s="13" t="str">
        <f>'Q100a-geral'!O1116</f>
        <v>x</v>
      </c>
      <c r="P340" s="13" t="str">
        <f>'Q100a-geral'!P1116</f>
        <v>x</v>
      </c>
      <c r="Q340" s="13" t="str">
        <f>'Q100a-geral'!Q1116</f>
        <v>x</v>
      </c>
      <c r="R340" s="13" t="str">
        <f>'Q100a-geral'!R1116</f>
        <v>x</v>
      </c>
      <c r="S340" s="649" t="str">
        <f>'Q100a-geral'!S1116</f>
        <v>só para pesquisa</v>
      </c>
      <c r="T340" s="49" t="str">
        <f>'Q100a-geral'!T1116</f>
        <v>x</v>
      </c>
      <c r="U340" s="49" t="str">
        <f>'Q100a-geral'!U1116</f>
        <v>x</v>
      </c>
      <c r="V340" s="107" t="str">
        <f>'Q100a-geral'!V1116</f>
        <v>só para pesquisa</v>
      </c>
      <c r="W340" s="49" t="str">
        <f>'Q100a-geral'!W1116</f>
        <v>x</v>
      </c>
      <c r="X340" s="49" t="str">
        <f>'Q100a-geral'!X1116</f>
        <v>x</v>
      </c>
      <c r="Y340" s="49" t="str">
        <f>'Q100a-geral'!Y1116</f>
        <v>x</v>
      </c>
      <c r="Z340" s="49" t="str">
        <f>'Q100a-geral'!Z1116</f>
        <v>x</v>
      </c>
      <c r="AA340" s="49" t="str">
        <f>'Q100a-geral'!AA1116</f>
        <v>x</v>
      </c>
      <c r="AB340" s="49" t="str">
        <f>'Q100a-geral'!AB1116</f>
        <v>x</v>
      </c>
      <c r="AC340" s="11" t="str">
        <f>'Q100a-geral'!AC1116</f>
        <v>x</v>
      </c>
      <c r="AD340" s="84">
        <f>'Q100a-geral'!AD1116</f>
        <v>4428</v>
      </c>
      <c r="AE340" s="84">
        <f>'Q100a-geral'!AE1116</f>
        <v>6059</v>
      </c>
      <c r="AF340" s="84">
        <f>'Q100a-geral'!AF1116</f>
        <v>7803</v>
      </c>
      <c r="AG340" s="84">
        <f>'Q100a-geral'!AG1116</f>
        <v>10007</v>
      </c>
      <c r="AH340" s="84">
        <f>'Q100a-geral'!AH1116</f>
        <v>12076</v>
      </c>
      <c r="AI340" s="84">
        <f>'Q100a-geral'!AI1116</f>
        <v>14501</v>
      </c>
      <c r="AJ340" s="84">
        <f>'Q100a-geral'!AJ1116</f>
        <v>16668</v>
      </c>
      <c r="AK340" s="84">
        <f>'Q100a-geral'!AK1116</f>
        <v>18807</v>
      </c>
      <c r="AL340" s="212" t="str">
        <f>'Q100a-geral'!AL1116</f>
        <v>x</v>
      </c>
      <c r="AM340" s="137" t="str">
        <f>'Q100a-geral'!AM1116</f>
        <v>x</v>
      </c>
      <c r="AN340" s="137" t="str">
        <f>'Q100a-geral'!AN1116</f>
        <v>x</v>
      </c>
      <c r="AO340" s="137" t="str">
        <f>'Q100a-geral'!AO1116</f>
        <v>x</v>
      </c>
      <c r="AP340" s="137" t="str">
        <f>'Q100a-geral'!AP1116</f>
        <v>x</v>
      </c>
      <c r="AQ340" s="137" t="str">
        <f>'Q100a-geral'!AQ1116</f>
        <v>x</v>
      </c>
      <c r="AR340" s="137"/>
      <c r="AS340" s="137"/>
      <c r="AT340" s="137"/>
      <c r="AU340" s="137"/>
      <c r="AV340" s="137" t="str">
        <f>'Q100a-geral'!AV1116</f>
        <v>x</v>
      </c>
      <c r="AW340" s="137"/>
      <c r="AX340" s="137"/>
      <c r="AY340" s="137"/>
      <c r="AZ340" s="137"/>
      <c r="BA340" s="137" t="str">
        <f>'Q100a-geral'!BA1116</f>
        <v>x</v>
      </c>
      <c r="BB340" s="239" t="str">
        <f>'Q100a-geral'!BB1116</f>
        <v>Frota e condutores de veículos automotoresx</v>
      </c>
      <c r="BC340" s="239" t="str">
        <f>'Q100a-geral'!BC1116</f>
        <v>Frota e condutores de veículos automotoresxx</v>
      </c>
      <c r="BD340" s="239" t="str">
        <f>'Q100a-geral'!BD1116</f>
        <v>Frota e condutores de veículos automotoresx</v>
      </c>
    </row>
    <row r="341" spans="1:59" s="1" customFormat="1" ht="25.5" x14ac:dyDescent="0.25">
      <c r="A341" s="275" t="str">
        <f>'Q100a-geral'!A1128</f>
        <v>9.5</v>
      </c>
      <c r="B341" s="11" t="str">
        <f>'Q100a-geral'!B1128</f>
        <v>Sinalização semafórica</v>
      </c>
      <c r="C341" s="230" t="str">
        <f>'Q100a-geral'!C1128</f>
        <v>acessibilidade</v>
      </c>
      <c r="D341" s="322" t="str">
        <f>'Q100a-geral'!D1128</f>
        <v>foco de pedestres</v>
      </c>
      <c r="E341" s="11" t="str">
        <f>'Q100a-geral'!E1128</f>
        <v>Brasil</v>
      </c>
      <c r="F341" s="445" t="str">
        <f>'Q100a-geral'!F1128</f>
        <v>"indicação luminosa de permissão ou impedimento de locomoção na faixa apropriada"
obs.: conforme BRASIL (1997a/Anexo I) e ABNT (2015a, p.4)</v>
      </c>
      <c r="G341" s="11" t="str">
        <f>'Q100a-geral'!G1128</f>
        <v>verbete
MFO</v>
      </c>
      <c r="H341" s="173" t="str">
        <f>'Q100a-geral'!H1128</f>
        <v>sigla/verbete</v>
      </c>
      <c r="I341" s="57" t="str">
        <f>'Q100a-geral'!I1128</f>
        <v>x</v>
      </c>
      <c r="J341" s="107" t="str">
        <f>'Q100a-geral'!J1128</f>
        <v>x</v>
      </c>
      <c r="K341" s="107" t="str">
        <f>'Q100a-geral'!K1128</f>
        <v>x</v>
      </c>
      <c r="L341" s="107" t="str">
        <f>'Q100a-geral'!L1128</f>
        <v>x</v>
      </c>
      <c r="M341" s="107" t="str">
        <f>'Q100a-geral'!M1128</f>
        <v>x</v>
      </c>
      <c r="N341" s="107" t="str">
        <f>'Q100a-geral'!N1128</f>
        <v>x</v>
      </c>
      <c r="O341" s="107" t="str">
        <f>'Q100a-geral'!O1128</f>
        <v>x</v>
      </c>
      <c r="P341" s="107" t="str">
        <f>'Q100a-geral'!P1128</f>
        <v>x</v>
      </c>
      <c r="Q341" s="107" t="str">
        <f>'Q100a-geral'!Q1128</f>
        <v>x</v>
      </c>
      <c r="R341" s="107" t="str">
        <f>'Q100a-geral'!R1128</f>
        <v>x</v>
      </c>
      <c r="S341" s="107" t="str">
        <f>'Q100a-geral'!S1128</f>
        <v>só para pesquisa</v>
      </c>
      <c r="T341" s="107" t="str">
        <f>'Q100a-geral'!T1128</f>
        <v>x</v>
      </c>
      <c r="U341" s="107" t="str">
        <f>'Q100a-geral'!U1128</f>
        <v>x</v>
      </c>
      <c r="V341" s="107" t="str">
        <f>'Q100a-geral'!V1128</f>
        <v>só para pesquisa</v>
      </c>
      <c r="W341" s="107" t="str">
        <f>'Q100a-geral'!W1128</f>
        <v>x</v>
      </c>
      <c r="X341" s="107" t="str">
        <f>'Q100a-geral'!X1128</f>
        <v>x</v>
      </c>
      <c r="Y341" s="107" t="str">
        <f>'Q100a-geral'!Y1128</f>
        <v>x</v>
      </c>
      <c r="Z341" s="107" t="str">
        <f>'Q100a-geral'!Z1128</f>
        <v>x</v>
      </c>
      <c r="AA341" s="107" t="str">
        <f>'Q100a-geral'!AA1128</f>
        <v>x</v>
      </c>
      <c r="AB341" s="107" t="str">
        <f>'Q100a-geral'!AB1128</f>
        <v>x</v>
      </c>
      <c r="AC341" s="107" t="str">
        <f>'Q100a-geral'!AC1128</f>
        <v>x</v>
      </c>
      <c r="AD341" s="107" t="str">
        <f>'Q100a-geral'!AD1128</f>
        <v>x</v>
      </c>
      <c r="AE341" s="107" t="str">
        <f>'Q100a-geral'!AE1128</f>
        <v>x</v>
      </c>
      <c r="AF341" s="107" t="str">
        <f>'Q100a-geral'!AF1128</f>
        <v>x</v>
      </c>
      <c r="AG341" s="107" t="str">
        <f>'Q100a-geral'!AG1128</f>
        <v>x</v>
      </c>
      <c r="AH341" s="107" t="str">
        <f>'Q100a-geral'!AH1128</f>
        <v>x</v>
      </c>
      <c r="AI341" s="107" t="str">
        <f>'Q100a-geral'!AI1128</f>
        <v>x</v>
      </c>
      <c r="AJ341" s="107" t="str">
        <f>'Q100a-geral'!AJ1128</f>
        <v>x</v>
      </c>
      <c r="AK341" s="137" t="str">
        <f>'Q100a-geral'!AK1128</f>
        <v>x</v>
      </c>
      <c r="AL341" s="57" t="str">
        <f>'Q100a-geral'!AL1128</f>
        <v>x</v>
      </c>
      <c r="AM341" s="137" t="str">
        <f>'Q100a-geral'!AM1128</f>
        <v>x</v>
      </c>
      <c r="AN341" s="137" t="str">
        <f>'Q100a-geral'!AN1128</f>
        <v>x</v>
      </c>
      <c r="AO341" s="137" t="str">
        <f>'Q100a-geral'!AO1128</f>
        <v>x</v>
      </c>
      <c r="AP341" s="137" t="str">
        <f>'Q100a-geral'!AP1128</f>
        <v>x</v>
      </c>
      <c r="AQ341" s="137" t="str">
        <f>'Q100a-geral'!AQ1128</f>
        <v>x</v>
      </c>
      <c r="AR341" s="137"/>
      <c r="AS341" s="137"/>
      <c r="AT341" s="137"/>
      <c r="AU341" s="137"/>
      <c r="AV341" s="137" t="str">
        <f>'Q100a-geral'!AV1128</f>
        <v>x</v>
      </c>
      <c r="AW341" s="137"/>
      <c r="AX341" s="137"/>
      <c r="AY341" s="137"/>
      <c r="AZ341" s="137"/>
      <c r="BA341" s="137" t="str">
        <f>'Q100a-geral'!BA1128</f>
        <v>x</v>
      </c>
      <c r="BB341" s="239" t="str">
        <f>'Q100a-geral'!BB1128</f>
        <v>Sinalização semafóricaacessibilidade</v>
      </c>
      <c r="BC341" s="239" t="str">
        <f>'Q100a-geral'!BC1128</f>
        <v>Sinalização semafóricaacessibilidadesigla/verbete</v>
      </c>
      <c r="BD341" s="239" t="str">
        <f>'Q100a-geral'!BD1128</f>
        <v>Sinalização semafóricasigla/verbete</v>
      </c>
    </row>
    <row r="342" spans="1:59" s="1" customFormat="1" ht="51" x14ac:dyDescent="0.25">
      <c r="A342" s="333" t="str">
        <f>'Q100a-geral'!A862</f>
        <v>8.10</v>
      </c>
      <c r="B342" s="54" t="str">
        <f>'Q100a-geral'!B862</f>
        <v>Sistema de transporte coletivo com um todo</v>
      </c>
      <c r="C342" s="230" t="str">
        <f>'Q100a-geral'!C862</f>
        <v>x</v>
      </c>
      <c r="D342" s="249" t="str">
        <f>'Q100a-geral'!D862</f>
        <v>F tc</v>
      </c>
      <c r="E342" s="250" t="str">
        <f>'Q100a-geral'!E862</f>
        <v>Belo Horizonte</v>
      </c>
      <c r="F342" s="632" t="str">
        <f>'Q100a-geral'!F862</f>
        <v>frota total em n.º de ônibus de todo o sistema de transporte coletivo de Belo Horizonte, incluindo o transporte convencional (operado por empresas concessionárias, inclui as linhas de BRT e as linhas de vilas e favelas) e o transporte suplementar</v>
      </c>
      <c r="G342" s="252" t="str">
        <f>'Q100a-geral'!G862</f>
        <v>F tcc + F tcs</v>
      </c>
      <c r="H342" s="173" t="str">
        <f>'Q100a-geral'!H862</f>
        <v>x</v>
      </c>
      <c r="I342" s="167">
        <f>'Q100a-geral'!I862</f>
        <v>1</v>
      </c>
      <c r="J342" s="107" t="str">
        <f>'Q100a-geral'!J862</f>
        <v>não gerenciado pela BHTrans</v>
      </c>
      <c r="K342" s="107" t="str">
        <f>'Q100a-geral'!K862</f>
        <v>não gerenciado pela BHTrans</v>
      </c>
      <c r="L342" s="107" t="str">
        <f>'Q100a-geral'!L862</f>
        <v>não gerenciado pela BHTrans</v>
      </c>
      <c r="M342" s="93">
        <f>'Q100a-geral'!M862</f>
        <v>2491</v>
      </c>
      <c r="N342" s="93">
        <f>'Q100a-geral'!N862</f>
        <v>2574</v>
      </c>
      <c r="O342" s="93">
        <f>'Q100a-geral'!O862</f>
        <v>2670</v>
      </c>
      <c r="P342" s="93" t="str">
        <f>'Q100a-geral'!P862</f>
        <v>ainda não encontrado</v>
      </c>
      <c r="Q342" s="93" t="str">
        <f>'Q100a-geral'!Q862</f>
        <v>ainda não encontrado</v>
      </c>
      <c r="R342" s="93" t="str">
        <f>'Q100a-geral'!R862</f>
        <v>ainda não encontrado</v>
      </c>
      <c r="S342" s="649" t="str">
        <f>'Q100a-geral'!S862</f>
        <v>só para pesquisa</v>
      </c>
      <c r="T342" s="93">
        <f>'Q100a-geral'!T862</f>
        <v>2927</v>
      </c>
      <c r="U342" s="93">
        <f>'Q100a-geral'!U862</f>
        <v>2986</v>
      </c>
      <c r="V342" s="107" t="str">
        <f>'Q100a-geral'!V862</f>
        <v>só para pesquisa</v>
      </c>
      <c r="W342" s="93">
        <f>'Q100a-geral'!W862</f>
        <v>3185</v>
      </c>
      <c r="X342" s="93">
        <f>'Q100a-geral'!X862</f>
        <v>3122</v>
      </c>
      <c r="Y342" s="93">
        <f>'Q100a-geral'!Y862</f>
        <v>3150</v>
      </c>
      <c r="Z342" s="93">
        <f>'Q100a-geral'!Z862</f>
        <v>3106</v>
      </c>
      <c r="AA342" s="93">
        <f>'Q100a-geral'!AA862</f>
        <v>3103</v>
      </c>
      <c r="AB342" s="93">
        <f>'Q100a-geral'!AB862</f>
        <v>3110</v>
      </c>
      <c r="AC342" s="93">
        <f>'Q100a-geral'!AC862</f>
        <v>3112</v>
      </c>
      <c r="AD342" s="87">
        <f>'Q100a-geral'!AD862</f>
        <v>3138</v>
      </c>
      <c r="AE342" s="87">
        <f>'Q100a-geral'!AE862</f>
        <v>3142</v>
      </c>
      <c r="AF342" s="87">
        <f>'Q100a-geral'!AF862</f>
        <v>3117</v>
      </c>
      <c r="AG342" s="87">
        <f>'Q100a-geral'!AG862</f>
        <v>3295</v>
      </c>
      <c r="AH342" s="87">
        <f>'Q100a-geral'!AH862</f>
        <v>3323</v>
      </c>
      <c r="AI342" s="84">
        <f>'Q100a-geral'!AI862</f>
        <v>3323</v>
      </c>
      <c r="AJ342" s="84">
        <f>'Q100a-geral'!AJ862</f>
        <v>3300</v>
      </c>
      <c r="AK342" s="84">
        <f>'Q100a-geral'!AK862</f>
        <v>3234</v>
      </c>
      <c r="AL342" s="213" t="str">
        <f>'Q100a-geral'!AL862</f>
        <v>x</v>
      </c>
      <c r="AM342" s="137" t="str">
        <f>'Q100a-geral'!AM862</f>
        <v>x</v>
      </c>
      <c r="AN342" s="137" t="str">
        <f>'Q100a-geral'!AN862</f>
        <v>x</v>
      </c>
      <c r="AO342" s="137" t="str">
        <f>'Q100a-geral'!AO862</f>
        <v>x</v>
      </c>
      <c r="AP342" s="137" t="str">
        <f>'Q100a-geral'!AP862</f>
        <v>x</v>
      </c>
      <c r="AQ342" s="137" t="str">
        <f>'Q100a-geral'!AQ862</f>
        <v>x</v>
      </c>
      <c r="AR342" s="137"/>
      <c r="AS342" s="137"/>
      <c r="AT342" s="137"/>
      <c r="AU342" s="137"/>
      <c r="AV342" s="137" t="str">
        <f>'Q100a-geral'!AV862</f>
        <v>x</v>
      </c>
      <c r="AW342" s="137"/>
      <c r="AX342" s="137"/>
      <c r="AY342" s="137"/>
      <c r="AZ342" s="137"/>
      <c r="BA342" s="137" t="str">
        <f>'Q100a-geral'!BA862</f>
        <v>x</v>
      </c>
      <c r="BB342" s="239" t="str">
        <f>'Q100a-geral'!BB862</f>
        <v>Sistema de transporte coletivo com um todox</v>
      </c>
      <c r="BC342" s="239" t="str">
        <f>'Q100a-geral'!BC862</f>
        <v>Sistema de transporte coletivo com um todoxx</v>
      </c>
      <c r="BD342" s="239" t="str">
        <f>'Q100a-geral'!BD862</f>
        <v>Sistema de transporte coletivo com um todox</v>
      </c>
    </row>
    <row r="343" spans="1:59" s="1" customFormat="1" ht="112.5" x14ac:dyDescent="0.25">
      <c r="A343" s="333" t="str">
        <f>'Q100a-geral'!A865</f>
        <v>8.5</v>
      </c>
      <c r="B343" s="54" t="str">
        <f>'Q100a-geral'!B865</f>
        <v>Transporte convencional</v>
      </c>
      <c r="C343" s="230" t="str">
        <f>'Q100a-geral'!C865</f>
        <v>x</v>
      </c>
      <c r="D343" s="249" t="str">
        <f>'Q100a-geral'!D865</f>
        <v>F tcc
(n.º)</v>
      </c>
      <c r="E343" s="250" t="str">
        <f>'Q100a-geral'!E865</f>
        <v>Belo Horizonte</v>
      </c>
      <c r="F343" s="632" t="str">
        <f>'Q100a-geral'!F865</f>
        <v>frota total em n.º de ônibus do transporte coletivo convencional de Belo Horizonte gerenciado pela BHTrans (operado por empresas concessionárias, inclui as linhas de BRT e as linhas de vilas e favelas)
obs.1: "Em julho de 1993, quando a Prefeitura municipalizou o transporte coletivo ed Belo Horizonte, tínhamos 2.460 veículos compondo a frota [...]" conforme BHTRANS(1996a, p.3)
obs.2: mês de dezembro tomado como representativo do ano, com resultados de 1993 e 1994 conforme BHTRANS(1995a, p.3); de 1995 conforme BHTRANS(1996a, p.2); de 1999 conforme BHTRANS(2000a, p.35); de 2000 relativo a outubro conforme BHTRANS(2016e); de 2001 conforme BHTRANS(2005a); de 2002-2004 conforme BHTRANS(2007a); BHTRANS(2005 a 2007) conforme BHTRANS(2011b); de 2008 conforme BHTRANS(2011b); de 2009 a 2016 conforme fórmula
obs.: resultado de 2016 (fórmula) confere com BHTRANS(2017c2)</v>
      </c>
      <c r="G343" s="252" t="str">
        <f>'Q100a-geral'!G865</f>
        <v>∑ (n.º de veículos por categoria na escala "acessibilidade em ônibus urbano")</v>
      </c>
      <c r="H343" s="173" t="str">
        <f>'Q100a-geral'!H865</f>
        <v>x</v>
      </c>
      <c r="I343" s="167">
        <f>'Q100a-geral'!I865</f>
        <v>1</v>
      </c>
      <c r="J343" s="107" t="str">
        <f>'Q100a-geral'!J865</f>
        <v>não gerenciado pela BHTrans</v>
      </c>
      <c r="K343" s="107" t="str">
        <f>'Q100a-geral'!K865</f>
        <v>não gerenciado pela BHTrans</v>
      </c>
      <c r="L343" s="107" t="str">
        <f>'Q100a-geral'!L865</f>
        <v>não gerenciado pela BHTrans</v>
      </c>
      <c r="M343" s="93">
        <f>'Q100a-geral'!M865</f>
        <v>2491</v>
      </c>
      <c r="N343" s="93">
        <f>'Q100a-geral'!N865</f>
        <v>2574</v>
      </c>
      <c r="O343" s="93">
        <f>'Q100a-geral'!O865</f>
        <v>2670</v>
      </c>
      <c r="P343" s="93" t="str">
        <f>'Q100a-geral'!P865</f>
        <v>ainda não encontrado</v>
      </c>
      <c r="Q343" s="93" t="str">
        <f>'Q100a-geral'!Q865</f>
        <v>ainda não encontrado</v>
      </c>
      <c r="R343" s="93" t="str">
        <f>'Q100a-geral'!R865</f>
        <v>ainda não encontrado</v>
      </c>
      <c r="S343" s="649" t="str">
        <f>'Q100a-geral'!S865</f>
        <v>só para pesquisa</v>
      </c>
      <c r="T343" s="93">
        <f>'Q100a-geral'!T865</f>
        <v>2927</v>
      </c>
      <c r="U343" s="93">
        <f>'Q100a-geral'!U865</f>
        <v>2986</v>
      </c>
      <c r="V343" s="107" t="str">
        <f>'Q100a-geral'!V865</f>
        <v>só para pesquisa</v>
      </c>
      <c r="W343" s="93">
        <f>'Q100a-geral'!W865</f>
        <v>2912</v>
      </c>
      <c r="X343" s="93">
        <f>'Q100a-geral'!X865</f>
        <v>2849</v>
      </c>
      <c r="Y343" s="93">
        <f>'Q100a-geral'!Y865</f>
        <v>2863</v>
      </c>
      <c r="Z343" s="93">
        <f>'Q100a-geral'!Z865</f>
        <v>2819</v>
      </c>
      <c r="AA343" s="93">
        <f>'Q100a-geral'!AA865</f>
        <v>2819</v>
      </c>
      <c r="AB343" s="93">
        <f>'Q100a-geral'!AB865</f>
        <v>2821</v>
      </c>
      <c r="AC343" s="93">
        <f>'Q100a-geral'!AC865</f>
        <v>2823</v>
      </c>
      <c r="AD343" s="87">
        <f>'Q100a-geral'!AD865</f>
        <v>2849</v>
      </c>
      <c r="AE343" s="20">
        <f>'Q100a-geral'!AE865</f>
        <v>2854</v>
      </c>
      <c r="AF343" s="20">
        <f>'Q100a-geral'!AF865</f>
        <v>2832</v>
      </c>
      <c r="AG343" s="20">
        <f>'Q100a-geral'!AG865</f>
        <v>3010</v>
      </c>
      <c r="AH343" s="20">
        <f>'Q100a-geral'!AH865</f>
        <v>3038</v>
      </c>
      <c r="AI343" s="23">
        <f>'Q100a-geral'!AI865</f>
        <v>3041</v>
      </c>
      <c r="AJ343" s="23">
        <f>'Q100a-geral'!AJ865</f>
        <v>3023</v>
      </c>
      <c r="AK343" s="23">
        <f>'Q100a-geral'!AK865</f>
        <v>2960</v>
      </c>
      <c r="AL343" s="213" t="str">
        <f>'Q100a-geral'!AL865</f>
        <v>x</v>
      </c>
      <c r="AM343" s="23">
        <f>'Q100a-geral'!AM865</f>
        <v>2951</v>
      </c>
      <c r="AN343" s="137" t="str">
        <f>'Q100a-geral'!AN865</f>
        <v>x</v>
      </c>
      <c r="AO343" s="137" t="str">
        <f>'Q100a-geral'!AO865</f>
        <v>x</v>
      </c>
      <c r="AP343" s="137" t="str">
        <f>'Q100a-geral'!AP865</f>
        <v>x</v>
      </c>
      <c r="AQ343" s="137" t="str">
        <f>'Q100a-geral'!AQ865</f>
        <v>x</v>
      </c>
      <c r="AR343" s="137"/>
      <c r="AS343" s="137"/>
      <c r="AT343" s="137"/>
      <c r="AU343" s="137"/>
      <c r="AV343" s="137" t="str">
        <f>'Q100a-geral'!AV865</f>
        <v>x</v>
      </c>
      <c r="AW343" s="137"/>
      <c r="AX343" s="137"/>
      <c r="AY343" s="137"/>
      <c r="AZ343" s="137"/>
      <c r="BA343" s="137" t="str">
        <f>'Q100a-geral'!BA865</f>
        <v>x</v>
      </c>
      <c r="BB343" s="239" t="str">
        <f>'Q100a-geral'!BB865</f>
        <v>Transporte convencionalx</v>
      </c>
      <c r="BC343" s="239" t="str">
        <f>'Q100a-geral'!BC865</f>
        <v>Transporte convencionalxx</v>
      </c>
      <c r="BD343" s="239" t="str">
        <f>'Q100a-geral'!BD865</f>
        <v>Transporte convencionalx</v>
      </c>
    </row>
    <row r="344" spans="1:59" s="1" customFormat="1" ht="51" x14ac:dyDescent="0.25">
      <c r="A344" s="333" t="str">
        <f>'Q100a-geral'!A866</f>
        <v>8.5</v>
      </c>
      <c r="B344" s="54" t="str">
        <f>'Q100a-geral'!B866</f>
        <v>Transporte convencional</v>
      </c>
      <c r="C344" s="230" t="str">
        <f>'Q100a-geral'!C866</f>
        <v>x</v>
      </c>
      <c r="D344" s="249" t="str">
        <f>'Q100a-geral'!D866</f>
        <v>F tcc
(%)</v>
      </c>
      <c r="E344" s="250" t="str">
        <f>'Q100a-geral'!E866</f>
        <v>Belo Horizonte</v>
      </c>
      <c r="F344" s="632" t="str">
        <f>'Q100a-geral'!F866</f>
        <v>percentual da frota do transporte coletivo convencional de Belo Horizonte em relação à frota total gerenciada pela BHTrans</v>
      </c>
      <c r="G344" s="252" t="str">
        <f>'Q100a-geral'!G866</f>
        <v>(n.º F tcc / n.º F tc) x 100</v>
      </c>
      <c r="H344" s="173" t="str">
        <f>'Q100a-geral'!H866</f>
        <v>x</v>
      </c>
      <c r="I344" s="167">
        <f>'Q100a-geral'!I866</f>
        <v>2</v>
      </c>
      <c r="J344" s="107" t="str">
        <f>'Q100a-geral'!J866</f>
        <v>não gerenciado pela BHTrans</v>
      </c>
      <c r="K344" s="107" t="str">
        <f>'Q100a-geral'!K866</f>
        <v>não gerenciado pela BHTrans</v>
      </c>
      <c r="L344" s="107" t="str">
        <f>'Q100a-geral'!L866</f>
        <v>não gerenciado pela BHTrans</v>
      </c>
      <c r="M344" s="1259">
        <f>'Q100a-geral'!M866</f>
        <v>1</v>
      </c>
      <c r="N344" s="1259">
        <f>'Q100a-geral'!N866</f>
        <v>1</v>
      </c>
      <c r="O344" s="1259">
        <f>'Q100a-geral'!O866</f>
        <v>1</v>
      </c>
      <c r="P344" s="1259" t="e">
        <f>'Q100a-geral'!P866</f>
        <v>#VALUE!</v>
      </c>
      <c r="Q344" s="1259" t="e">
        <f>'Q100a-geral'!Q866</f>
        <v>#VALUE!</v>
      </c>
      <c r="R344" s="1259" t="e">
        <f>'Q100a-geral'!R866</f>
        <v>#VALUE!</v>
      </c>
      <c r="S344" s="649" t="str">
        <f>'Q100a-geral'!S866</f>
        <v>só para pesquisa</v>
      </c>
      <c r="T344" s="1259">
        <f>'Q100a-geral'!T866</f>
        <v>1</v>
      </c>
      <c r="U344" s="1259">
        <f>'Q100a-geral'!U866</f>
        <v>1</v>
      </c>
      <c r="V344" s="107" t="str">
        <f>'Q100a-geral'!V866</f>
        <v>só para pesquisa</v>
      </c>
      <c r="W344" s="662">
        <f>'Q100a-geral'!W866</f>
        <v>0.91428571428571426</v>
      </c>
      <c r="X344" s="662">
        <f>'Q100a-geral'!X866</f>
        <v>0.91255605381165916</v>
      </c>
      <c r="Y344" s="662">
        <f>'Q100a-geral'!Y866</f>
        <v>0.90888888888888886</v>
      </c>
      <c r="Z344" s="662">
        <f>'Q100a-geral'!Z866</f>
        <v>0.90759819703799094</v>
      </c>
      <c r="AA344" s="662">
        <f>'Q100a-geral'!AA866</f>
        <v>0.90847566870770224</v>
      </c>
      <c r="AB344" s="662">
        <f>'Q100a-geral'!AB866</f>
        <v>0.90707395498392285</v>
      </c>
      <c r="AC344" s="662">
        <f>'Q100a-geral'!AC866</f>
        <v>0.90713367609254503</v>
      </c>
      <c r="AD344" s="125">
        <f>'Q100a-geral'!AD866</f>
        <v>0.90790312300828557</v>
      </c>
      <c r="AE344" s="125">
        <f>'Q100a-geral'!AE866</f>
        <v>0.90833863781031188</v>
      </c>
      <c r="AF344" s="125">
        <f>'Q100a-geral'!AF866</f>
        <v>0.90856592877767084</v>
      </c>
      <c r="AG344" s="125">
        <f>'Q100a-geral'!AG866</f>
        <v>0.91350531107738997</v>
      </c>
      <c r="AH344" s="125">
        <f>'Q100a-geral'!AH866</f>
        <v>0.91423412578994889</v>
      </c>
      <c r="AI344" s="125">
        <f>'Q100a-geral'!AI866</f>
        <v>0.91513692446584416</v>
      </c>
      <c r="AJ344" s="125">
        <f>'Q100a-geral'!AJ866</f>
        <v>0.91606060606060602</v>
      </c>
      <c r="AK344" s="125">
        <f>'Q100a-geral'!AK866</f>
        <v>0.91527520098948667</v>
      </c>
      <c r="AL344" s="213" t="str">
        <f>'Q100a-geral'!AL866</f>
        <v>x</v>
      </c>
      <c r="AM344" s="137" t="e">
        <f>'Q100a-geral'!AM866</f>
        <v>#VALUE!</v>
      </c>
      <c r="AN344" s="137" t="str">
        <f>'Q100a-geral'!AN866</f>
        <v>x</v>
      </c>
      <c r="AO344" s="137" t="str">
        <f>'Q100a-geral'!AO866</f>
        <v>x</v>
      </c>
      <c r="AP344" s="137" t="str">
        <f>'Q100a-geral'!AP866</f>
        <v>x</v>
      </c>
      <c r="AQ344" s="137" t="str">
        <f>'Q100a-geral'!AQ866</f>
        <v>x</v>
      </c>
      <c r="AR344" s="137"/>
      <c r="AS344" s="137"/>
      <c r="AT344" s="137"/>
      <c r="AU344" s="137"/>
      <c r="AV344" s="137" t="str">
        <f>'Q100a-geral'!AV866</f>
        <v>x</v>
      </c>
      <c r="AW344" s="137"/>
      <c r="AX344" s="137"/>
      <c r="AY344" s="137"/>
      <c r="AZ344" s="137"/>
      <c r="BA344" s="137" t="str">
        <f>'Q100a-geral'!BA866</f>
        <v>x</v>
      </c>
      <c r="BB344" s="239" t="str">
        <f>'Q100a-geral'!BB866</f>
        <v>Transporte convencionalx</v>
      </c>
      <c r="BC344" s="239" t="str">
        <f>'Q100a-geral'!BC866</f>
        <v>Transporte convencionalxx</v>
      </c>
      <c r="BD344" s="239" t="str">
        <f>'Q100a-geral'!BD866</f>
        <v>Transporte convencionalx</v>
      </c>
    </row>
    <row r="345" spans="1:59" s="1" customFormat="1" ht="93" customHeight="1" x14ac:dyDescent="0.25">
      <c r="A345" s="333" t="str">
        <f>'Q100a-geral'!A867</f>
        <v>8.7</v>
      </c>
      <c r="B345" s="54" t="str">
        <f>'Q100a-geral'!B867</f>
        <v>Transporte de baixa capacidade</v>
      </c>
      <c r="C345" s="230" t="str">
        <f>'Q100a-geral'!C867</f>
        <v>x</v>
      </c>
      <c r="D345" s="249" t="str">
        <f>'Q100a-geral'!D867</f>
        <v>F tcs
(n.º)</v>
      </c>
      <c r="E345" s="250" t="str">
        <f>'Q100a-geral'!E867</f>
        <v>Belo Horizonte</v>
      </c>
      <c r="F345" s="632" t="str">
        <f>'Q100a-geral'!F867</f>
        <v>frota total em n.º de ônibus do transporte coletivo suplementar de Belo Horizonte 
obs.1: resultado de dezembro tomado como representativo do ano com resultados de 2001 conforme BHTRANS(2005a); de 2002-2004 conforme BHTRANS(2006a); de 2005 conforme BHTRANS(2011b); de 2006-2012 conforme BHTRANS(2013h); de 2013 conforme BHTRANS(2014b); de 2014 com fórmula confirmado em BHTRANS(2015u); de 2015 com fórmula confirmado e, BHTRANS(2016p1)
obs.2: há divergência na frota de 2008, qual seja, 288 conforme BHTRANS(2011b) e 289 conforme BHTRANS(2013h), aqui assumindo-se esta última
obs.2: consulte definição de "transporte suplementar"</v>
      </c>
      <c r="G345" s="252" t="str">
        <f>'Q100a-geral'!G867</f>
        <v>registro na fonte
ou
∑ (n.º de veículos por categoria na escala "acessibilidade em ônibus urbano")</v>
      </c>
      <c r="H345" s="173" t="str">
        <f>'Q100a-geral'!H867</f>
        <v>x</v>
      </c>
      <c r="I345" s="167">
        <f>'Q100a-geral'!I867</f>
        <v>1</v>
      </c>
      <c r="J345" s="107" t="str">
        <f>'Q100a-geral'!J867</f>
        <v>serviço não existia antes de 2001</v>
      </c>
      <c r="K345" s="107" t="str">
        <f>'Q100a-geral'!K867</f>
        <v>serviço não existia antes de 2001</v>
      </c>
      <c r="L345" s="107" t="str">
        <f>'Q100a-geral'!L867</f>
        <v>serviço não existia antes de 2001</v>
      </c>
      <c r="M345" s="93" t="str">
        <f>'Q100a-geral'!M867</f>
        <v>serviço não existia antes de 2001</v>
      </c>
      <c r="N345" s="93" t="str">
        <f>'Q100a-geral'!N867</f>
        <v>serviço não existia antes de 2001</v>
      </c>
      <c r="O345" s="93" t="str">
        <f>'Q100a-geral'!O867</f>
        <v>serviço não existia antes de 2001</v>
      </c>
      <c r="P345" s="93" t="str">
        <f>'Q100a-geral'!P867</f>
        <v>serviço não existia antes de 2001</v>
      </c>
      <c r="Q345" s="93" t="str">
        <f>'Q100a-geral'!Q867</f>
        <v>serviço não existia antes de 2001</v>
      </c>
      <c r="R345" s="93" t="str">
        <f>'Q100a-geral'!R867</f>
        <v>serviço não existia antes de 2001</v>
      </c>
      <c r="S345" s="649" t="str">
        <f>'Q100a-geral'!S867</f>
        <v>só para pesquisa</v>
      </c>
      <c r="T345" s="93" t="str">
        <f>'Q100a-geral'!T867</f>
        <v>serviço não existia antes de 2001</v>
      </c>
      <c r="U345" s="93" t="str">
        <f>'Q100a-geral'!U867</f>
        <v>serviço não existia antes de 2001</v>
      </c>
      <c r="V345" s="107" t="str">
        <f>'Q100a-geral'!V867</f>
        <v>só para pesquisa</v>
      </c>
      <c r="W345" s="93">
        <f>'Q100a-geral'!W867</f>
        <v>273</v>
      </c>
      <c r="X345" s="93">
        <f>'Q100a-geral'!X867</f>
        <v>273</v>
      </c>
      <c r="Y345" s="93">
        <f>'Q100a-geral'!Y867</f>
        <v>287</v>
      </c>
      <c r="Z345" s="93">
        <f>'Q100a-geral'!Z867</f>
        <v>287</v>
      </c>
      <c r="AA345" s="93">
        <f>'Q100a-geral'!AA867</f>
        <v>284</v>
      </c>
      <c r="AB345" s="93">
        <f>'Q100a-geral'!AB867</f>
        <v>289</v>
      </c>
      <c r="AC345" s="93">
        <f>'Q100a-geral'!AC867</f>
        <v>289</v>
      </c>
      <c r="AD345" s="87">
        <f>'Q100a-geral'!AD867</f>
        <v>289</v>
      </c>
      <c r="AE345" s="87">
        <f>'Q100a-geral'!AE867</f>
        <v>288</v>
      </c>
      <c r="AF345" s="87">
        <f>'Q100a-geral'!AF867</f>
        <v>285</v>
      </c>
      <c r="AG345" s="87">
        <f>'Q100a-geral'!AG867</f>
        <v>285</v>
      </c>
      <c r="AH345" s="87">
        <f>'Q100a-geral'!AH867</f>
        <v>285</v>
      </c>
      <c r="AI345" s="84">
        <f>'Q100a-geral'!AI867</f>
        <v>282</v>
      </c>
      <c r="AJ345" s="84">
        <f>'Q100a-geral'!AJ867</f>
        <v>277</v>
      </c>
      <c r="AK345" s="84">
        <f>'Q100a-geral'!AK867</f>
        <v>274</v>
      </c>
      <c r="AL345" s="213" t="str">
        <f>'Q100a-geral'!AL867</f>
        <v>x</v>
      </c>
      <c r="AM345" s="137" t="str">
        <f>'Q100a-geral'!AM867</f>
        <v>x</v>
      </c>
      <c r="AN345" s="137" t="str">
        <f>'Q100a-geral'!AN867</f>
        <v>x</v>
      </c>
      <c r="AO345" s="137" t="str">
        <f>'Q100a-geral'!AO867</f>
        <v>x</v>
      </c>
      <c r="AP345" s="137" t="str">
        <f>'Q100a-geral'!AP867</f>
        <v>x</v>
      </c>
      <c r="AQ345" s="137" t="str">
        <f>'Q100a-geral'!AQ867</f>
        <v>x</v>
      </c>
      <c r="AR345" s="137"/>
      <c r="AS345" s="137"/>
      <c r="AT345" s="137"/>
      <c r="AU345" s="137"/>
      <c r="AV345" s="137" t="str">
        <f>'Q100a-geral'!AV867</f>
        <v>x</v>
      </c>
      <c r="AW345" s="137"/>
      <c r="AX345" s="137"/>
      <c r="AY345" s="137"/>
      <c r="AZ345" s="137"/>
      <c r="BA345" s="137" t="str">
        <f>'Q100a-geral'!BA867</f>
        <v>x</v>
      </c>
      <c r="BB345" s="239" t="str">
        <f>'Q100a-geral'!BB867</f>
        <v>Transporte de baixa capacidadex</v>
      </c>
      <c r="BC345" s="239" t="str">
        <f>'Q100a-geral'!BC867</f>
        <v>Transporte de baixa capacidadexx</v>
      </c>
      <c r="BD345" s="239" t="str">
        <f>'Q100a-geral'!BD867</f>
        <v>Transporte de baixa capacidadex</v>
      </c>
    </row>
    <row r="346" spans="1:59" s="1" customFormat="1" ht="93" customHeight="1" x14ac:dyDescent="0.25">
      <c r="A346" s="333" t="str">
        <f>'Q100a-geral'!A868</f>
        <v>8.7</v>
      </c>
      <c r="B346" s="54" t="str">
        <f>'Q100a-geral'!B868</f>
        <v>Transporte de baixa capacidade</v>
      </c>
      <c r="C346" s="230" t="str">
        <f>'Q100a-geral'!C868</f>
        <v>x</v>
      </c>
      <c r="D346" s="249" t="str">
        <f>'Q100a-geral'!D868</f>
        <v>F tcs
(%)</v>
      </c>
      <c r="E346" s="250" t="str">
        <f>'Q100a-geral'!E868</f>
        <v>Belo Horizonte</v>
      </c>
      <c r="F346" s="632" t="str">
        <f>'Q100a-geral'!F868</f>
        <v>percentual da frota do transporte coletivo suplementar de Belo Horizonte em relação à frota total gerenciada pela BHTrans</v>
      </c>
      <c r="G346" s="252" t="str">
        <f>'Q100a-geral'!G868</f>
        <v>(n.º F tcs / n.º F tc) x 100</v>
      </c>
      <c r="H346" s="173" t="str">
        <f>'Q100a-geral'!H868</f>
        <v>x</v>
      </c>
      <c r="I346" s="167">
        <f>'Q100a-geral'!I868</f>
        <v>1</v>
      </c>
      <c r="J346" s="107" t="str">
        <f>'Q100a-geral'!J868</f>
        <v>serviço não existia antes de 2001</v>
      </c>
      <c r="K346" s="107" t="str">
        <f>'Q100a-geral'!K868</f>
        <v>serviço não existia antes de 2001</v>
      </c>
      <c r="L346" s="107" t="str">
        <f>'Q100a-geral'!L868</f>
        <v>serviço não existia antes de 2001</v>
      </c>
      <c r="M346" s="1259" t="str">
        <f>'Q100a-geral'!M868</f>
        <v>serviço não existia antes de 2001</v>
      </c>
      <c r="N346" s="1259" t="str">
        <f>'Q100a-geral'!N868</f>
        <v>serviço não existia antes de 2001</v>
      </c>
      <c r="O346" s="1259" t="str">
        <f>'Q100a-geral'!O868</f>
        <v>serviço não existia antes de 2001</v>
      </c>
      <c r="P346" s="1259" t="str">
        <f>'Q100a-geral'!P868</f>
        <v>serviço não existia antes de 2001</v>
      </c>
      <c r="Q346" s="1259" t="str">
        <f>'Q100a-geral'!Q868</f>
        <v>serviço não existia antes de 2001</v>
      </c>
      <c r="R346" s="1259" t="str">
        <f>'Q100a-geral'!R868</f>
        <v>serviço não existia antes de 2001</v>
      </c>
      <c r="S346" s="649" t="str">
        <f>'Q100a-geral'!S868</f>
        <v>só para pesquisa</v>
      </c>
      <c r="T346" s="1259" t="str">
        <f>'Q100a-geral'!T868</f>
        <v>serviço não existia antes de 2001</v>
      </c>
      <c r="U346" s="1259" t="str">
        <f>'Q100a-geral'!U868</f>
        <v>serviço não existia antes de 2001</v>
      </c>
      <c r="V346" s="107" t="str">
        <f>'Q100a-geral'!V868</f>
        <v>só para pesquisa</v>
      </c>
      <c r="W346" s="662">
        <f>'Q100a-geral'!W868</f>
        <v>8.5714285714285715E-2</v>
      </c>
      <c r="X346" s="662">
        <f>'Q100a-geral'!X868</f>
        <v>8.744394618834081E-2</v>
      </c>
      <c r="Y346" s="662">
        <f>'Q100a-geral'!Y868</f>
        <v>9.1111111111111115E-2</v>
      </c>
      <c r="Z346" s="662">
        <f>'Q100a-geral'!Z868</f>
        <v>9.2401802962009019E-2</v>
      </c>
      <c r="AA346" s="662">
        <f>'Q100a-geral'!AA868</f>
        <v>9.152433129229777E-2</v>
      </c>
      <c r="AB346" s="662">
        <f>'Q100a-geral'!AB868</f>
        <v>9.2926045016077166E-2</v>
      </c>
      <c r="AC346" s="662">
        <f>'Q100a-geral'!AC868</f>
        <v>9.2866323907455015E-2</v>
      </c>
      <c r="AD346" s="125">
        <f>'Q100a-geral'!AD868</f>
        <v>9.2096876991714469E-2</v>
      </c>
      <c r="AE346" s="125">
        <f>'Q100a-geral'!AE868</f>
        <v>9.1661362189688095E-2</v>
      </c>
      <c r="AF346" s="125">
        <f>'Q100a-geral'!AF868</f>
        <v>9.1434071222329161E-2</v>
      </c>
      <c r="AG346" s="125">
        <f>'Q100a-geral'!AG868</f>
        <v>8.6494688922610016E-2</v>
      </c>
      <c r="AH346" s="125">
        <f>'Q100a-geral'!AH868</f>
        <v>8.5765874210051163E-2</v>
      </c>
      <c r="AI346" s="125">
        <f>'Q100a-geral'!AI868</f>
        <v>8.4863075534155882E-2</v>
      </c>
      <c r="AJ346" s="125">
        <f>'Q100a-geral'!AJ868</f>
        <v>8.3939393939393939E-2</v>
      </c>
      <c r="AK346" s="125">
        <f>'Q100a-geral'!AK868</f>
        <v>8.4724799010513302E-2</v>
      </c>
      <c r="AL346" s="213" t="str">
        <f>'Q100a-geral'!AL868</f>
        <v>x</v>
      </c>
      <c r="AM346" s="137" t="str">
        <f>'Q100a-geral'!AM868</f>
        <v>x</v>
      </c>
      <c r="AN346" s="137" t="str">
        <f>'Q100a-geral'!AN868</f>
        <v>x</v>
      </c>
      <c r="AO346" s="137" t="str">
        <f>'Q100a-geral'!AO868</f>
        <v>x</v>
      </c>
      <c r="AP346" s="137" t="str">
        <f>'Q100a-geral'!AP868</f>
        <v>x</v>
      </c>
      <c r="AQ346" s="137" t="str">
        <f>'Q100a-geral'!AQ868</f>
        <v>x</v>
      </c>
      <c r="AR346" s="137"/>
      <c r="AS346" s="137"/>
      <c r="AT346" s="137"/>
      <c r="AU346" s="137"/>
      <c r="AV346" s="137" t="str">
        <f>'Q100a-geral'!AV868</f>
        <v>x</v>
      </c>
      <c r="AW346" s="137"/>
      <c r="AX346" s="137"/>
      <c r="AY346" s="137"/>
      <c r="AZ346" s="137"/>
      <c r="BA346" s="137" t="str">
        <f>'Q100a-geral'!BA868</f>
        <v>x</v>
      </c>
      <c r="BB346" s="239" t="str">
        <f>'Q100a-geral'!BB868</f>
        <v>Transporte de baixa capacidadex</v>
      </c>
      <c r="BC346" s="239" t="str">
        <f>'Q100a-geral'!BC868</f>
        <v>Transporte de baixa capacidadexx</v>
      </c>
      <c r="BD346" s="239" t="str">
        <f>'Q100a-geral'!BD868</f>
        <v>Transporte de baixa capacidadex</v>
      </c>
    </row>
    <row r="347" spans="1:59" s="1" customFormat="1" ht="87" customHeight="1" x14ac:dyDescent="0.25">
      <c r="A347" s="333" t="str">
        <f>'Q100a-geral'!A883</f>
        <v>8.10</v>
      </c>
      <c r="B347" s="54" t="str">
        <f>'Q100a-geral'!B883</f>
        <v>Sistema de transporte coletivo com um todo</v>
      </c>
      <c r="C347" s="230" t="str">
        <f>'Q100a-geral'!C883</f>
        <v>x</v>
      </c>
      <c r="D347" s="249" t="str">
        <f>'Q100a-geral'!D883</f>
        <v>F tc</v>
      </c>
      <c r="E347" s="250" t="str">
        <f>'Q100a-geral'!E883</f>
        <v>São Paulo</v>
      </c>
      <c r="F347" s="632" t="str">
        <f>'Q100a-geral'!F883</f>
        <v>frota total em n.º de ônibus do transporte coletivo do município de São Paulo gerenciado pela SPTrans
obs.1: este indicador é denominado "frota de ônibus cadastrada" pelo Observatório de Indicadores da Cidade de São Paulo (ObservaSampa) conforme SP(2015a)
obs.2: resultados de 2009 a 2011 conforme PROGRAMA(2015a); de 2012 a 2014 estão conforme SP(2015a)
obs.3: os resultados de 2012 das duas fontes consultadas são diferentes, aqui optando-se pelo informado no ObservaSampa conforme SP(2015a)
obs.4: resultado de 2015 por fórmula</v>
      </c>
      <c r="G347" s="252" t="str">
        <f>'Q100a-geral'!G883</f>
        <v>registro na fonte
ou
F tce + F tcl</v>
      </c>
      <c r="H347" s="173" t="str">
        <f>'Q100a-geral'!H883</f>
        <v>benchmarking</v>
      </c>
      <c r="I347" s="167" t="str">
        <f>'Q100a-geral'!I883</f>
        <v>x</v>
      </c>
      <c r="J347" s="107" t="str">
        <f>'Q100a-geral'!J883</f>
        <v>não encontrado</v>
      </c>
      <c r="K347" s="107" t="str">
        <f>'Q100a-geral'!K883</f>
        <v>não encontrado</v>
      </c>
      <c r="L347" s="107" t="str">
        <f>'Q100a-geral'!L883</f>
        <v>não encontrado</v>
      </c>
      <c r="M347" s="84" t="str">
        <f>'Q100a-geral'!M883</f>
        <v>não encontrado</v>
      </c>
      <c r="N347" s="84" t="str">
        <f>'Q100a-geral'!N883</f>
        <v>não encontrado</v>
      </c>
      <c r="O347" s="84" t="str">
        <f>'Q100a-geral'!O883</f>
        <v>não encontrado</v>
      </c>
      <c r="P347" s="84" t="str">
        <f>'Q100a-geral'!P883</f>
        <v>não encontrado</v>
      </c>
      <c r="Q347" s="84" t="str">
        <f>'Q100a-geral'!Q883</f>
        <v>não encontrado</v>
      </c>
      <c r="R347" s="84" t="str">
        <f>'Q100a-geral'!R883</f>
        <v>não encontrado</v>
      </c>
      <c r="S347" s="649" t="str">
        <f>'Q100a-geral'!S883</f>
        <v>só para pesquisa</v>
      </c>
      <c r="T347" s="84" t="str">
        <f>'Q100a-geral'!T883</f>
        <v>não encontrado</v>
      </c>
      <c r="U347" s="84" t="str">
        <f>'Q100a-geral'!U883</f>
        <v>não encontrado</v>
      </c>
      <c r="V347" s="107" t="str">
        <f>'Q100a-geral'!V883</f>
        <v>só para pesquisa</v>
      </c>
      <c r="W347" s="84" t="str">
        <f>'Q100a-geral'!W883</f>
        <v>não encontrado</v>
      </c>
      <c r="X347" s="84" t="str">
        <f>'Q100a-geral'!X883</f>
        <v>não encontrado</v>
      </c>
      <c r="Y347" s="84" t="str">
        <f>'Q100a-geral'!Y883</f>
        <v>não encontrado</v>
      </c>
      <c r="Z347" s="84" t="str">
        <f>'Q100a-geral'!Z883</f>
        <v>não encontrado</v>
      </c>
      <c r="AA347" s="84" t="str">
        <f>'Q100a-geral'!AA883</f>
        <v>não encontrado</v>
      </c>
      <c r="AB347" s="84" t="str">
        <f>'Q100a-geral'!AB883</f>
        <v>não encontrado</v>
      </c>
      <c r="AC347" s="84" t="str">
        <f>'Q100a-geral'!AC883</f>
        <v>não encontrado</v>
      </c>
      <c r="AD347" s="87" t="str">
        <f>'Q100a-geral'!AD883</f>
        <v>não encontrado</v>
      </c>
      <c r="AE347" s="87">
        <f>'Q100a-geral'!AE883</f>
        <v>14932</v>
      </c>
      <c r="AF347" s="87">
        <f>'Q100a-geral'!AF883</f>
        <v>15003</v>
      </c>
      <c r="AG347" s="87">
        <f>'Q100a-geral'!AG883</f>
        <v>14908</v>
      </c>
      <c r="AH347" s="87">
        <f>'Q100a-geral'!AH883</f>
        <v>14960</v>
      </c>
      <c r="AI347" s="84">
        <f>'Q100a-geral'!AI883</f>
        <v>14757</v>
      </c>
      <c r="AJ347" s="84">
        <f>'Q100a-geral'!AJ883</f>
        <v>14757</v>
      </c>
      <c r="AK347" s="137">
        <f>'Q100a-geral'!AK883</f>
        <v>14726</v>
      </c>
      <c r="AL347" s="213" t="str">
        <f>'Q100a-geral'!AL883</f>
        <v>x</v>
      </c>
      <c r="AM347" s="137" t="str">
        <f>'Q100a-geral'!AM883</f>
        <v>x</v>
      </c>
      <c r="AN347" s="137" t="str">
        <f>'Q100a-geral'!AN883</f>
        <v>x</v>
      </c>
      <c r="AO347" s="137" t="str">
        <f>'Q100a-geral'!AO883</f>
        <v>x</v>
      </c>
      <c r="AP347" s="137" t="str">
        <f>'Q100a-geral'!AP883</f>
        <v>x</v>
      </c>
      <c r="AQ347" s="137" t="str">
        <f>'Q100a-geral'!AQ883</f>
        <v>x</v>
      </c>
      <c r="AR347" s="137"/>
      <c r="AS347" s="137"/>
      <c r="AT347" s="137"/>
      <c r="AU347" s="137"/>
      <c r="AV347" s="137" t="str">
        <f>'Q100a-geral'!AV883</f>
        <v>x</v>
      </c>
      <c r="AW347" s="137"/>
      <c r="AX347" s="137"/>
      <c r="AY347" s="137"/>
      <c r="AZ347" s="137"/>
      <c r="BA347" s="137" t="str">
        <f>'Q100a-geral'!BA883</f>
        <v>x</v>
      </c>
      <c r="BB347" s="239" t="str">
        <f>'Q100a-geral'!BB883</f>
        <v>Sistema de transporte coletivo com um todox</v>
      </c>
      <c r="BC347" s="239" t="str">
        <f>'Q100a-geral'!BC883</f>
        <v>Sistema de transporte coletivo com um todoxbenchmarking</v>
      </c>
      <c r="BD347" s="239" t="str">
        <f>'Q100a-geral'!BD883</f>
        <v>Sistema de transporte coletivo com um todobenchmarking</v>
      </c>
    </row>
    <row r="348" spans="1:59" s="1" customFormat="1" ht="87" customHeight="1" x14ac:dyDescent="0.25">
      <c r="A348" s="275" t="str">
        <f>'Q100a-geral'!A926</f>
        <v>8.10</v>
      </c>
      <c r="B348" s="54" t="str">
        <f>'Q100a-geral'!B926</f>
        <v>Sistema de transporte coletivo com um todo</v>
      </c>
      <c r="C348" s="230" t="str">
        <f>'Q100a-geral'!C926</f>
        <v>acessibilidade</v>
      </c>
      <c r="D348" s="715" t="str">
        <f>'Q100a-geral'!D926</f>
        <v>F tc eh ec</v>
      </c>
      <c r="E348" s="495" t="str">
        <f>'Q100a-geral'!E926</f>
        <v>Joinville</v>
      </c>
      <c r="F348" s="355" t="str">
        <f>'Q100a-geral'!F926</f>
        <v>frota em n.º de ônibus do transporte coletivo de Joinville equipados com elevador hidráulico que é "utilizado apenas na presença de uma pessoa em cadeira de rodas" e que não operam em plataforma elevada conforme JOINVILLE(2016a)
obs.1: esta categoria recebe peso 2 (escala de 1 a 10 estabelecida pelo SisMob-BH para classificar e comparar resultados) - acesse "acessibilidade em ônibus urbano (escala)"
obs.2: resultado de 2014 conforme JOINVILLE(2016a)</v>
      </c>
      <c r="G348" s="110" t="str">
        <f>'Q100a-geral'!G926</f>
        <v>registro na fonte</v>
      </c>
      <c r="H348" s="57" t="str">
        <f>'Q100a-geral'!H926</f>
        <v>benchmarking</v>
      </c>
      <c r="I348" s="167" t="str">
        <f>'Q100a-geral'!I926</f>
        <v>x</v>
      </c>
      <c r="J348" s="107" t="str">
        <f>'Q100a-geral'!J926</f>
        <v>x</v>
      </c>
      <c r="K348" s="107" t="str">
        <f>'Q100a-geral'!K926</f>
        <v>x</v>
      </c>
      <c r="L348" s="107" t="str">
        <f>'Q100a-geral'!L926</f>
        <v>x</v>
      </c>
      <c r="M348" s="107" t="str">
        <f>'Q100a-geral'!M926</f>
        <v>x</v>
      </c>
      <c r="N348" s="107" t="str">
        <f>'Q100a-geral'!N926</f>
        <v>x</v>
      </c>
      <c r="O348" s="107" t="str">
        <f>'Q100a-geral'!O926</f>
        <v>x</v>
      </c>
      <c r="P348" s="107" t="str">
        <f>'Q100a-geral'!P926</f>
        <v>x</v>
      </c>
      <c r="Q348" s="107" t="str">
        <f>'Q100a-geral'!Q926</f>
        <v>x</v>
      </c>
      <c r="R348" s="107" t="str">
        <f>'Q100a-geral'!R926</f>
        <v>x</v>
      </c>
      <c r="S348" s="109" t="str">
        <f>'Q100a-geral'!S926</f>
        <v>só para pesquisa</v>
      </c>
      <c r="T348" s="107" t="str">
        <f>'Q100a-geral'!T926</f>
        <v>x</v>
      </c>
      <c r="U348" s="107" t="str">
        <f>'Q100a-geral'!U926</f>
        <v>x</v>
      </c>
      <c r="V348" s="109" t="str">
        <f>'Q100a-geral'!V926</f>
        <v>só para pesquisa</v>
      </c>
      <c r="W348" s="107" t="str">
        <f>'Q100a-geral'!W926</f>
        <v>x</v>
      </c>
      <c r="X348" s="107" t="str">
        <f>'Q100a-geral'!X926</f>
        <v>x</v>
      </c>
      <c r="Y348" s="107" t="str">
        <f>'Q100a-geral'!Y926</f>
        <v>x</v>
      </c>
      <c r="Z348" s="107" t="str">
        <f>'Q100a-geral'!Z926</f>
        <v>x</v>
      </c>
      <c r="AA348" s="107" t="str">
        <f>'Q100a-geral'!AA926</f>
        <v>x</v>
      </c>
      <c r="AB348" s="107" t="str">
        <f>'Q100a-geral'!AB926</f>
        <v>x</v>
      </c>
      <c r="AC348" s="107" t="str">
        <f>'Q100a-geral'!AC926</f>
        <v>x</v>
      </c>
      <c r="AD348" s="107" t="str">
        <f>'Q100a-geral'!AD926</f>
        <v>x</v>
      </c>
      <c r="AE348" s="107" t="str">
        <f>'Q100a-geral'!AE926</f>
        <v>x</v>
      </c>
      <c r="AF348" s="107" t="str">
        <f>'Q100a-geral'!AF926</f>
        <v>x</v>
      </c>
      <c r="AG348" s="107" t="str">
        <f>'Q100a-geral'!AG926</f>
        <v>x</v>
      </c>
      <c r="AH348" s="107" t="str">
        <f>'Q100a-geral'!AH926</f>
        <v>não encontrado</v>
      </c>
      <c r="AI348" s="107" t="str">
        <f>'Q100a-geral'!AI926</f>
        <v>não encontrado</v>
      </c>
      <c r="AJ348" s="92">
        <f>'Q100a-geral'!AJ926</f>
        <v>241</v>
      </c>
      <c r="AK348" s="107" t="str">
        <f>'Q100a-geral'!AK926</f>
        <v>não encontrado</v>
      </c>
      <c r="AL348" s="601" t="str">
        <f>'Q100a-geral'!AL926</f>
        <v>x</v>
      </c>
      <c r="AM348" s="137" t="str">
        <f>'Q100a-geral'!AM926</f>
        <v>x</v>
      </c>
      <c r="AN348" s="137" t="str">
        <f>'Q100a-geral'!AN926</f>
        <v>x</v>
      </c>
      <c r="AO348" s="137" t="str">
        <f>'Q100a-geral'!AO926</f>
        <v>x</v>
      </c>
      <c r="AP348" s="137" t="str">
        <f>'Q100a-geral'!AP926</f>
        <v>x</v>
      </c>
      <c r="AQ348" s="137" t="str">
        <f>'Q100a-geral'!AQ926</f>
        <v>x</v>
      </c>
      <c r="AR348" s="137"/>
      <c r="AS348" s="137"/>
      <c r="AT348" s="137"/>
      <c r="AU348" s="137"/>
      <c r="AV348" s="137" t="str">
        <f>'Q100a-geral'!AV926</f>
        <v>x</v>
      </c>
      <c r="AW348" s="137"/>
      <c r="AX348" s="137"/>
      <c r="AY348" s="137"/>
      <c r="AZ348" s="137"/>
      <c r="BA348" s="137" t="str">
        <f>'Q100a-geral'!BA926</f>
        <v>x</v>
      </c>
      <c r="BB348" s="239" t="str">
        <f>'Q100a-geral'!BB926</f>
        <v>Sistema de transporte coletivo com um todoacessibilidade</v>
      </c>
      <c r="BC348" s="239" t="str">
        <f>'Q100a-geral'!BC926</f>
        <v>Sistema de transporte coletivo com um todoacessibilidadebenchmarking</v>
      </c>
      <c r="BD348" s="239" t="str">
        <f>'Q100a-geral'!BD926</f>
        <v>Sistema de transporte coletivo com um todobenchmarking</v>
      </c>
      <c r="BE348" s="753" t="s">
        <v>2550</v>
      </c>
      <c r="BF348" s="92">
        <f>AJ348</f>
        <v>241</v>
      </c>
      <c r="BG348" s="1806">
        <f>SUM(BF348:BF350)</f>
        <v>364</v>
      </c>
    </row>
    <row r="349" spans="1:59" s="1" customFormat="1" ht="87" customHeight="1" x14ac:dyDescent="0.25">
      <c r="A349" s="275" t="str">
        <f>'Q100a-geral'!A978</f>
        <v>8.10</v>
      </c>
      <c r="B349" s="11" t="str">
        <f>'Q100a-geral'!B978</f>
        <v>Sistema de transporte coletivo com um todo</v>
      </c>
      <c r="C349" s="57" t="str">
        <f>'Q100a-geral'!C978</f>
        <v>acessibilidade</v>
      </c>
      <c r="D349" s="715" t="str">
        <f>'Q100a-geral'!D978</f>
        <v>F tc en c/rampa manual</v>
      </c>
      <c r="E349" s="488" t="str">
        <f>'Q100a-geral'!E978</f>
        <v>Joinville</v>
      </c>
      <c r="F349" s="355" t="str">
        <f>'Q100a-geral'!F978</f>
        <v>frota em n.º de ônibus do transporte coletivo de Joinville que operam em linhas trocais, com três portas do lado direito, sendo piso-alto na porta traseira e piso-baixo nas portas dianteira/central, com rampa veicular manual (com embarque/desembarque em nível) apenas na porta central (única porta por onde podem embarcar/desembarcar passageiros cadeirantes)
obs.1: esta categoria recebe peso 8 (escala de 1 a 10 estabelecida pelo SisMob-BH para classificar e comparar resultados) - acesse "acessibilidade em ônibus urbano (escala)"
obs.2: informações sobre os veículos e resultado de 2014 conforme JOINVILLE(2016a)
obs.3: "Frota de ônibus total de 364 veículos, sendo 34 de piso baixo e 241 com elevador, correspondendo à 79,4% de frota acessível que atendem cerca de 85% das viagens. [...] Os ônibus possuem sistema pneumático e as 3 portas de acesso estão na lateral esquerda (olhando para o veículo de frente), sendo que dentros das estações as 2 portas trasseiras são abertas para o embarque e desembarque e nos pontos de ônibus apenas a porta frontal funciona como embarque e as 2 trasseiras como desembarque. Como os ônibus possuem catraca de 4 braços, a pessoa em cadeira de rodas tem que entrar e sair pela porta do centro e esta possui rampa manual." conforme JOINVILLE(2016a)</v>
      </c>
      <c r="G349" s="110" t="str">
        <f>'Q100a-geral'!G978</f>
        <v>registro na fonte</v>
      </c>
      <c r="H349" s="57" t="str">
        <f>'Q100a-geral'!H978</f>
        <v>benchmarking</v>
      </c>
      <c r="I349" s="167" t="str">
        <f>'Q100a-geral'!I978</f>
        <v>x</v>
      </c>
      <c r="J349" s="107" t="str">
        <f>'Q100a-geral'!J978</f>
        <v>x</v>
      </c>
      <c r="K349" s="107" t="str">
        <f>'Q100a-geral'!K978</f>
        <v>x</v>
      </c>
      <c r="L349" s="107" t="str">
        <f>'Q100a-geral'!L978</f>
        <v>x</v>
      </c>
      <c r="M349" s="107" t="str">
        <f>'Q100a-geral'!M978</f>
        <v>x</v>
      </c>
      <c r="N349" s="107" t="str">
        <f>'Q100a-geral'!N978</f>
        <v>x</v>
      </c>
      <c r="O349" s="107" t="str">
        <f>'Q100a-geral'!O978</f>
        <v>x</v>
      </c>
      <c r="P349" s="107" t="str">
        <f>'Q100a-geral'!P978</f>
        <v>x</v>
      </c>
      <c r="Q349" s="107" t="str">
        <f>'Q100a-geral'!Q978</f>
        <v>x</v>
      </c>
      <c r="R349" s="107" t="str">
        <f>'Q100a-geral'!R978</f>
        <v>x</v>
      </c>
      <c r="S349" s="109" t="str">
        <f>'Q100a-geral'!S978</f>
        <v>só para pesquisa</v>
      </c>
      <c r="T349" s="107" t="str">
        <f>'Q100a-geral'!T978</f>
        <v>x</v>
      </c>
      <c r="U349" s="107" t="str">
        <f>'Q100a-geral'!U978</f>
        <v>x</v>
      </c>
      <c r="V349" s="109" t="str">
        <f>'Q100a-geral'!V978</f>
        <v>só para pesquisa</v>
      </c>
      <c r="W349" s="107" t="str">
        <f>'Q100a-geral'!W978</f>
        <v>x</v>
      </c>
      <c r="X349" s="107" t="str">
        <f>'Q100a-geral'!X978</f>
        <v>x</v>
      </c>
      <c r="Y349" s="107" t="str">
        <f>'Q100a-geral'!Y978</f>
        <v>x</v>
      </c>
      <c r="Z349" s="107" t="str">
        <f>'Q100a-geral'!Z978</f>
        <v>x</v>
      </c>
      <c r="AA349" s="107" t="str">
        <f>'Q100a-geral'!AA978</f>
        <v>x</v>
      </c>
      <c r="AB349" s="107" t="str">
        <f>'Q100a-geral'!AB978</f>
        <v>x</v>
      </c>
      <c r="AC349" s="107" t="str">
        <f>'Q100a-geral'!AC978</f>
        <v>x</v>
      </c>
      <c r="AD349" s="107" t="str">
        <f>'Q100a-geral'!AD978</f>
        <v>x</v>
      </c>
      <c r="AE349" s="107" t="str">
        <f>'Q100a-geral'!AE978</f>
        <v>x</v>
      </c>
      <c r="AF349" s="107" t="str">
        <f>'Q100a-geral'!AF978</f>
        <v>x</v>
      </c>
      <c r="AG349" s="107" t="str">
        <f>'Q100a-geral'!AG978</f>
        <v>x</v>
      </c>
      <c r="AH349" s="107" t="str">
        <f>'Q100a-geral'!AH978</f>
        <v>não encontrado</v>
      </c>
      <c r="AI349" s="107" t="str">
        <f>'Q100a-geral'!AI978</f>
        <v>não encontrado</v>
      </c>
      <c r="AJ349" s="84">
        <f>'Q100a-geral'!AJ978</f>
        <v>34</v>
      </c>
      <c r="AK349" s="107" t="str">
        <f>'Q100a-geral'!AK978</f>
        <v>não encontrado</v>
      </c>
      <c r="AL349" s="601" t="str">
        <f>'Q100a-geral'!AL978</f>
        <v>x</v>
      </c>
      <c r="AM349" s="137" t="str">
        <f>'Q100a-geral'!AM978</f>
        <v>x</v>
      </c>
      <c r="AN349" s="137" t="str">
        <f>'Q100a-geral'!AN978</f>
        <v>x</v>
      </c>
      <c r="AO349" s="137" t="str">
        <f>'Q100a-geral'!AO978</f>
        <v>x</v>
      </c>
      <c r="AP349" s="137" t="str">
        <f>'Q100a-geral'!AP978</f>
        <v>x</v>
      </c>
      <c r="AQ349" s="137" t="str">
        <f>'Q100a-geral'!AQ978</f>
        <v>x</v>
      </c>
      <c r="AR349" s="137"/>
      <c r="AS349" s="137"/>
      <c r="AT349" s="137"/>
      <c r="AU349" s="137"/>
      <c r="AV349" s="137" t="str">
        <f>'Q100a-geral'!AV978</f>
        <v>x</v>
      </c>
      <c r="AW349" s="137"/>
      <c r="AX349" s="137"/>
      <c r="AY349" s="137"/>
      <c r="AZ349" s="137"/>
      <c r="BA349" s="137" t="str">
        <f>'Q100a-geral'!BA978</f>
        <v>x</v>
      </c>
      <c r="BB349" s="239" t="str">
        <f>'Q100a-geral'!BB978</f>
        <v>Sistema de transporte coletivo com um todoacessibilidade</v>
      </c>
      <c r="BC349" s="239" t="str">
        <f>'Q100a-geral'!BC978</f>
        <v>Sistema de transporte coletivo com um todoacessibilidadebenchmarking</v>
      </c>
      <c r="BD349" s="239" t="str">
        <f>'Q100a-geral'!BD978</f>
        <v>Sistema de transporte coletivo com um todobenchmarking</v>
      </c>
      <c r="BE349" s="753" t="s">
        <v>2551</v>
      </c>
      <c r="BF349" s="87">
        <f>AJ349</f>
        <v>34</v>
      </c>
      <c r="BG349" s="1807"/>
    </row>
    <row r="350" spans="1:59" s="1" customFormat="1" ht="87" customHeight="1" x14ac:dyDescent="0.25">
      <c r="A350" s="413" t="str">
        <f>'Q100a-geral'!A1052</f>
        <v>8.10</v>
      </c>
      <c r="B350" s="11" t="str">
        <f>'Q100a-geral'!B1052</f>
        <v>Sistema de transporte coletivo com um todo</v>
      </c>
      <c r="C350" s="173" t="str">
        <f>'Q100a-geral'!C1052</f>
        <v>acessibilidade</v>
      </c>
      <c r="D350" s="362" t="str">
        <f>'Q100a-geral'!D1052</f>
        <v>F tc nac</v>
      </c>
      <c r="E350" s="488" t="str">
        <f>'Q100a-geral'!E1052</f>
        <v>Joinville</v>
      </c>
      <c r="F350" s="355" t="str">
        <f>'Q100a-geral'!F1052</f>
        <v>frota em n.º de ônibus  considerada pelo SisMob-BH como não "acessível", pois não fornece qualquer facilidade para o embarque/desembarque de pessoas com mobilidade (física) reduzida, ou seja, com o embarque/desembarque acontecendo exclusivamente com escada (sem elevador hidráulico, sem opração em paltaforma elevada e sem piso-baixo em qualquer porta) e, portanto, tecnicamente "não-acessível"
obs.1: esta categoria recebe peso 1 (escala de 1 a 10 estabelecida pelo SisMob-BH para classificar e comparar resultados) - acesse "acessibilidade em ônibus urbano (escala)"
obs.2: os resultados de 2012 a 2015 estão conforme PROGRAMA(2016a)</v>
      </c>
      <c r="G350" s="58" t="str">
        <f>'Q100a-geral'!G1052</f>
        <v>(F tc) - (F tc eh) - (F tc en c/rampa manual)</v>
      </c>
      <c r="H350" s="173" t="str">
        <f>'Q100a-geral'!H1052</f>
        <v>benchmarking</v>
      </c>
      <c r="I350" s="167" t="str">
        <f>'Q100a-geral'!I1052</f>
        <v>x</v>
      </c>
      <c r="J350" s="109" t="str">
        <f>'Q100a-geral'!J1052</f>
        <v>não encontrado</v>
      </c>
      <c r="K350" s="109" t="str">
        <f>'Q100a-geral'!K1052</f>
        <v>não encontrado</v>
      </c>
      <c r="L350" s="109" t="str">
        <f>'Q100a-geral'!L1052</f>
        <v>não encontrado</v>
      </c>
      <c r="M350" s="109" t="str">
        <f>'Q100a-geral'!M1052</f>
        <v>não encontrado</v>
      </c>
      <c r="N350" s="109" t="str">
        <f>'Q100a-geral'!N1052</f>
        <v>não encontrado</v>
      </c>
      <c r="O350" s="109" t="str">
        <f>'Q100a-geral'!O1052</f>
        <v>não encontrado</v>
      </c>
      <c r="P350" s="109" t="str">
        <f>'Q100a-geral'!P1052</f>
        <v>não encontrado</v>
      </c>
      <c r="Q350" s="109" t="str">
        <f>'Q100a-geral'!Q1052</f>
        <v>não encontrado</v>
      </c>
      <c r="R350" s="109" t="str">
        <f>'Q100a-geral'!R1052</f>
        <v>não encontrado</v>
      </c>
      <c r="S350" s="109" t="str">
        <f>'Q100a-geral'!S1052</f>
        <v>só para pesquisa</v>
      </c>
      <c r="T350" s="109" t="str">
        <f>'Q100a-geral'!T1052</f>
        <v>não encontrado</v>
      </c>
      <c r="U350" s="109" t="str">
        <f>'Q100a-geral'!U1052</f>
        <v>não encontrado</v>
      </c>
      <c r="V350" s="109" t="str">
        <f>'Q100a-geral'!V1052</f>
        <v>só para pesquisa</v>
      </c>
      <c r="W350" s="109" t="str">
        <f>'Q100a-geral'!W1052</f>
        <v>não encontrado</v>
      </c>
      <c r="X350" s="109" t="str">
        <f>'Q100a-geral'!X1052</f>
        <v>não encontrado</v>
      </c>
      <c r="Y350" s="109" t="str">
        <f>'Q100a-geral'!Y1052</f>
        <v>não encontrado</v>
      </c>
      <c r="Z350" s="109" t="str">
        <f>'Q100a-geral'!Z1052</f>
        <v>não encontrado</v>
      </c>
      <c r="AA350" s="109" t="str">
        <f>'Q100a-geral'!AA1052</f>
        <v>não encontrado</v>
      </c>
      <c r="AB350" s="109" t="str">
        <f>'Q100a-geral'!AB1052</f>
        <v>não encontrado</v>
      </c>
      <c r="AC350" s="109" t="str">
        <f>'Q100a-geral'!AC1052</f>
        <v>não encontrado</v>
      </c>
      <c r="AD350" s="109" t="str">
        <f>'Q100a-geral'!AD1052</f>
        <v>não encontrado</v>
      </c>
      <c r="AE350" s="109" t="str">
        <f>'Q100a-geral'!AE1052</f>
        <v>não encontrado</v>
      </c>
      <c r="AF350" s="109" t="str">
        <f>'Q100a-geral'!AF1052</f>
        <v>não encontrado</v>
      </c>
      <c r="AG350" s="109" t="str">
        <f>'Q100a-geral'!AG1052</f>
        <v>não encontrado</v>
      </c>
      <c r="AH350" s="109" t="str">
        <f>'Q100a-geral'!AH1052</f>
        <v>não encontrado</v>
      </c>
      <c r="AI350" s="109" t="str">
        <f>'Q100a-geral'!AI1052</f>
        <v>não encontrado</v>
      </c>
      <c r="AJ350" s="356">
        <f>'Q100a-geral'!AJ1052</f>
        <v>89</v>
      </c>
      <c r="AK350" s="356" t="str">
        <f>'Q100a-geral'!AK1052</f>
        <v>não encontrado</v>
      </c>
      <c r="AL350" s="601" t="str">
        <f>'Q100a-geral'!AL1052</f>
        <v>x</v>
      </c>
      <c r="AM350" s="137" t="str">
        <f>'Q100a-geral'!AM1052</f>
        <v>x</v>
      </c>
      <c r="AN350" s="137" t="str">
        <f>'Q100a-geral'!AN1052</f>
        <v>x</v>
      </c>
      <c r="AO350" s="137" t="str">
        <f>'Q100a-geral'!AO1052</f>
        <v>x</v>
      </c>
      <c r="AP350" s="137" t="str">
        <f>'Q100a-geral'!AP1052</f>
        <v>x</v>
      </c>
      <c r="AQ350" s="137" t="str">
        <f>'Q100a-geral'!AQ1052</f>
        <v>x</v>
      </c>
      <c r="AR350" s="137"/>
      <c r="AS350" s="137"/>
      <c r="AT350" s="137"/>
      <c r="AU350" s="137"/>
      <c r="AV350" s="137" t="str">
        <f>'Q100a-geral'!AV1052</f>
        <v>x</v>
      </c>
      <c r="AW350" s="137"/>
      <c r="AX350" s="137"/>
      <c r="AY350" s="137"/>
      <c r="AZ350" s="137"/>
      <c r="BA350" s="137" t="str">
        <f>'Q100a-geral'!BA1052</f>
        <v>x</v>
      </c>
      <c r="BB350" s="239" t="str">
        <f>'Q100a-geral'!BB1052</f>
        <v>Sistema de transporte coletivo com um todoacessibilidade</v>
      </c>
      <c r="BC350" s="239" t="str">
        <f>'Q100a-geral'!BC1052</f>
        <v>Sistema de transporte coletivo com um todoacessibilidadebenchmarking</v>
      </c>
      <c r="BD350" s="239" t="str">
        <f>'Q100a-geral'!BD1052</f>
        <v>Sistema de transporte coletivo com um todobenchmarking</v>
      </c>
      <c r="BE350" s="753" t="s">
        <v>2552</v>
      </c>
      <c r="BF350" s="356">
        <f>AJ350</f>
        <v>89</v>
      </c>
      <c r="BG350" s="1807"/>
    </row>
    <row r="351" spans="1:59" s="1" customFormat="1" ht="51" x14ac:dyDescent="0.25">
      <c r="A351" s="275" t="str">
        <f>'Q100a-geral'!A904</f>
        <v>8.5</v>
      </c>
      <c r="B351" s="54" t="str">
        <f>'Q100a-geral'!B904</f>
        <v>Transporte convencional</v>
      </c>
      <c r="C351" s="230" t="str">
        <f>'Q100a-geral'!C904</f>
        <v>acessibilidade</v>
      </c>
      <c r="D351" s="715" t="str">
        <f>'Q100a-geral'!D904</f>
        <v>F tcc eh
(n.º)</v>
      </c>
      <c r="E351" s="488" t="str">
        <f>'Q100a-geral'!E904</f>
        <v>Belo Horizonte</v>
      </c>
      <c r="F351" s="355" t="str">
        <f>'Q100a-geral'!F904</f>
        <v>frota em n.º de ônibus do transporte coletivo convencional de Belo Horizonte gerenciado pela BHTrans equipados com  elevador hidráulico (plataforma elevatória veicular) de uso exclusivo ou não para cadeirantes e que não operam em plataforma elevada
obs.: resultado de 2016 (fórmula) confere com BHTRANS(2017c2)</v>
      </c>
      <c r="G351" s="368" t="str">
        <f>'Q100a-geral'!G904</f>
        <v>F tcc eh ec + F tcc eh ecp</v>
      </c>
      <c r="H351" s="173" t="str">
        <f>'Q100a-geral'!H904</f>
        <v>x</v>
      </c>
      <c r="I351" s="167">
        <f>'Q100a-geral'!I904</f>
        <v>1</v>
      </c>
      <c r="J351" s="107" t="str">
        <f>'Q100a-geral'!J904</f>
        <v>não gerenciado pela BHTrans</v>
      </c>
      <c r="K351" s="107" t="str">
        <f>'Q100a-geral'!K904</f>
        <v>não gerenciado pela BHTrans</v>
      </c>
      <c r="L351" s="107" t="str">
        <f>'Q100a-geral'!L904</f>
        <v>não gerenciado pela BHTrans</v>
      </c>
      <c r="M351" s="251">
        <f>'Q100a-geral'!M904</f>
        <v>0</v>
      </c>
      <c r="N351" s="251">
        <f>'Q100a-geral'!N904</f>
        <v>0</v>
      </c>
      <c r="O351" s="251">
        <f>'Q100a-geral'!O904</f>
        <v>0</v>
      </c>
      <c r="P351" s="251">
        <f>'Q100a-geral'!P904</f>
        <v>0</v>
      </c>
      <c r="Q351" s="251">
        <f>'Q100a-geral'!Q904</f>
        <v>0</v>
      </c>
      <c r="R351" s="755"/>
      <c r="S351" s="109" t="str">
        <f>'Q100a-geral'!S904</f>
        <v>só para pesquisa</v>
      </c>
      <c r="T351" s="755"/>
      <c r="U351" s="755"/>
      <c r="V351" s="109" t="str">
        <f>'Q100a-geral'!V904</f>
        <v>só para pesquisa</v>
      </c>
      <c r="W351" s="844"/>
      <c r="X351" s="844"/>
      <c r="Y351" s="20">
        <f>'Q100a-geral'!Y904</f>
        <v>21</v>
      </c>
      <c r="Z351" s="844"/>
      <c r="AA351" s="844"/>
      <c r="AB351" s="844"/>
      <c r="AC351" s="844"/>
      <c r="AD351" s="844"/>
      <c r="AE351" s="20">
        <f>'Q100a-geral'!AE904</f>
        <v>1373</v>
      </c>
      <c r="AF351" s="20">
        <f>'Q100a-geral'!AF904</f>
        <v>1725</v>
      </c>
      <c r="AG351" s="20">
        <f>'Q100a-geral'!AG904</f>
        <v>2216</v>
      </c>
      <c r="AH351" s="20">
        <f>'Q100a-geral'!AH904</f>
        <v>2341</v>
      </c>
      <c r="AI351" s="20">
        <f>'Q100a-geral'!AI904</f>
        <v>2456</v>
      </c>
      <c r="AJ351" s="20">
        <f>'Q100a-geral'!AJ904</f>
        <v>2293</v>
      </c>
      <c r="AK351" s="20">
        <f>'Q100a-geral'!AK904</f>
        <v>2288</v>
      </c>
      <c r="AL351" s="601" t="str">
        <f>'Q100a-geral'!AL904</f>
        <v>x</v>
      </c>
      <c r="AM351" s="20">
        <f>'Q100a-geral'!AM904</f>
        <v>2425</v>
      </c>
      <c r="AN351" s="137" t="str">
        <f>'Q100a-geral'!AN904</f>
        <v>x</v>
      </c>
      <c r="AO351" s="137" t="str">
        <f>'Q100a-geral'!AO904</f>
        <v>x</v>
      </c>
      <c r="AP351" s="137" t="str">
        <f>'Q100a-geral'!AP904</f>
        <v>x</v>
      </c>
      <c r="AQ351" s="137" t="str">
        <f>'Q100a-geral'!AQ904</f>
        <v>x</v>
      </c>
      <c r="AR351" s="137"/>
      <c r="AS351" s="137"/>
      <c r="AT351" s="137"/>
      <c r="AU351" s="137"/>
      <c r="AV351" s="137" t="str">
        <f>'Q100a-geral'!AV904</f>
        <v>x</v>
      </c>
      <c r="AW351" s="137"/>
      <c r="AX351" s="137"/>
      <c r="AY351" s="137"/>
      <c r="AZ351" s="137"/>
      <c r="BA351" s="137" t="str">
        <f>'Q100a-geral'!BA904</f>
        <v>x</v>
      </c>
      <c r="BB351" s="239" t="str">
        <f>'Q100a-geral'!BB904</f>
        <v>Transporte convencionalacessibilidade</v>
      </c>
      <c r="BC351" s="239" t="str">
        <f>'Q100a-geral'!BC904</f>
        <v>Transporte convencionalacessibilidadex</v>
      </c>
      <c r="BD351" s="239" t="str">
        <f>'Q100a-geral'!BD904</f>
        <v>Transporte convencionalx</v>
      </c>
    </row>
    <row r="352" spans="1:59" s="1" customFormat="1" ht="51" x14ac:dyDescent="0.25">
      <c r="A352" s="275" t="str">
        <f>'Q100a-geral'!A905</f>
        <v>8.5</v>
      </c>
      <c r="B352" s="54" t="str">
        <f>'Q100a-geral'!B905</f>
        <v>Transporte convencional</v>
      </c>
      <c r="C352" s="230" t="str">
        <f>'Q100a-geral'!C905</f>
        <v>acessibilidade</v>
      </c>
      <c r="D352" s="362" t="str">
        <f>'Q100a-geral'!D905</f>
        <v>F tcc eh
(%)</v>
      </c>
      <c r="E352" s="488" t="str">
        <f>'Q100a-geral'!E905</f>
        <v>Belo Horizonte</v>
      </c>
      <c r="F352" s="355" t="str">
        <f>'Q100a-geral'!F905</f>
        <v>percentual da frota de ônibus do transporte coletivo convencional de Belo Horizonte gerenciado pela BHTrans equipados com  elevador hidráulico de uso exclusivo ou não para cadeirantes e que não estão aptos a operar em parte do percurso em plataforma elevada</v>
      </c>
      <c r="G352" s="111" t="str">
        <f>'Q100a-geral'!G905</f>
        <v>(n.º F tcc eh / n.º F tcc) x 100</v>
      </c>
      <c r="H352" s="221" t="str">
        <f>'Q100a-geral'!H905</f>
        <v>x</v>
      </c>
      <c r="I352" s="167">
        <f>'Q100a-geral'!I905</f>
        <v>1</v>
      </c>
      <c r="J352" s="107" t="str">
        <f>'Q100a-geral'!J905</f>
        <v>não gerenciado pela BHTrans</v>
      </c>
      <c r="K352" s="107" t="str">
        <f>'Q100a-geral'!K905</f>
        <v>não gerenciado pela BHTrans</v>
      </c>
      <c r="L352" s="107" t="str">
        <f>'Q100a-geral'!L905</f>
        <v>não gerenciado pela BHTrans</v>
      </c>
      <c r="M352" s="47">
        <f>'Q100a-geral'!M905</f>
        <v>0</v>
      </c>
      <c r="N352" s="47">
        <f>'Q100a-geral'!N905</f>
        <v>0</v>
      </c>
      <c r="O352" s="47">
        <f>'Q100a-geral'!O905</f>
        <v>0</v>
      </c>
      <c r="P352" s="755"/>
      <c r="Q352" s="755"/>
      <c r="R352" s="755"/>
      <c r="S352" s="109" t="str">
        <f>'Q100a-geral'!S905</f>
        <v>só para pesquisa</v>
      </c>
      <c r="T352" s="755"/>
      <c r="U352" s="755"/>
      <c r="V352" s="109" t="str">
        <f>'Q100a-geral'!V905</f>
        <v>só para pesquisa</v>
      </c>
      <c r="W352" s="755"/>
      <c r="X352" s="755"/>
      <c r="Y352" s="47">
        <f>'Q100a-geral'!Y905</f>
        <v>7.3349633251833741E-3</v>
      </c>
      <c r="Z352" s="755"/>
      <c r="AA352" s="755"/>
      <c r="AB352" s="755"/>
      <c r="AC352" s="755"/>
      <c r="AD352" s="755"/>
      <c r="AE352" s="47">
        <f>'Q100a-geral'!AE905</f>
        <v>0.48107918710581637</v>
      </c>
      <c r="AF352" s="47">
        <f>'Q100a-geral'!AF905</f>
        <v>0.60911016949152541</v>
      </c>
      <c r="AG352" s="47">
        <f>'Q100a-geral'!AG905</f>
        <v>0.73621262458471759</v>
      </c>
      <c r="AH352" s="47">
        <f>'Q100a-geral'!AH905</f>
        <v>0.77057274522712316</v>
      </c>
      <c r="AI352" s="47">
        <f>'Q100a-geral'!AI905</f>
        <v>0.80762906938507073</v>
      </c>
      <c r="AJ352" s="47">
        <f>'Q100a-geral'!AJ905</f>
        <v>0.75851802844856098</v>
      </c>
      <c r="AK352" s="47">
        <f>'Q100a-geral'!AK905</f>
        <v>0.77297297297297296</v>
      </c>
      <c r="AL352" s="601" t="str">
        <f>'Q100a-geral'!AL905</f>
        <v>x</v>
      </c>
      <c r="AM352" s="47">
        <f>'Q100a-geral'!AM905</f>
        <v>0.82175533717383942</v>
      </c>
      <c r="AN352" s="137" t="str">
        <f>'Q100a-geral'!AN905</f>
        <v>x</v>
      </c>
      <c r="AO352" s="137" t="str">
        <f>'Q100a-geral'!AO905</f>
        <v>x</v>
      </c>
      <c r="AP352" s="137" t="str">
        <f>'Q100a-geral'!AP905</f>
        <v>x</v>
      </c>
      <c r="AQ352" s="137" t="str">
        <f>'Q100a-geral'!AQ905</f>
        <v>x</v>
      </c>
      <c r="AR352" s="137"/>
      <c r="AS352" s="137"/>
      <c r="AT352" s="137"/>
      <c r="AU352" s="137"/>
      <c r="AV352" s="137" t="str">
        <f>'Q100a-geral'!AV905</f>
        <v>x</v>
      </c>
      <c r="AW352" s="137"/>
      <c r="AX352" s="137"/>
      <c r="AY352" s="137"/>
      <c r="AZ352" s="137"/>
      <c r="BA352" s="137" t="str">
        <f>'Q100a-geral'!BA905</f>
        <v>x</v>
      </c>
      <c r="BB352" s="239" t="str">
        <f>'Q100a-geral'!BB905</f>
        <v>Transporte convencionalacessibilidade</v>
      </c>
      <c r="BC352" s="239" t="str">
        <f>'Q100a-geral'!BC905</f>
        <v>Transporte convencionalacessibilidadex</v>
      </c>
      <c r="BD352" s="239" t="str">
        <f>'Q100a-geral'!BD905</f>
        <v>Transporte convencionalx</v>
      </c>
    </row>
    <row r="353" spans="1:16375" s="1" customFormat="1" x14ac:dyDescent="0.25">
      <c r="A353" s="420" t="s">
        <v>432</v>
      </c>
      <c r="B353" s="420" t="s">
        <v>432</v>
      </c>
      <c r="C353" s="420" t="s">
        <v>432</v>
      </c>
      <c r="D353" s="420" t="s">
        <v>432</v>
      </c>
      <c r="E353" s="420" t="s">
        <v>432</v>
      </c>
      <c r="F353" s="420" t="s">
        <v>432</v>
      </c>
      <c r="G353" s="420" t="s">
        <v>432</v>
      </c>
      <c r="H353" s="420" t="s">
        <v>432</v>
      </c>
      <c r="I353" s="420" t="s">
        <v>432</v>
      </c>
      <c r="J353" s="420" t="s">
        <v>432</v>
      </c>
      <c r="K353" s="420" t="s">
        <v>432</v>
      </c>
      <c r="L353" s="420" t="s">
        <v>432</v>
      </c>
      <c r="M353" s="420" t="s">
        <v>432</v>
      </c>
      <c r="N353" s="420" t="s">
        <v>432</v>
      </c>
      <c r="O353" s="420" t="s">
        <v>432</v>
      </c>
      <c r="P353" s="420" t="s">
        <v>432</v>
      </c>
      <c r="Q353" s="420" t="s">
        <v>432</v>
      </c>
      <c r="R353" s="420" t="s">
        <v>432</v>
      </c>
      <c r="S353" s="371" t="s">
        <v>432</v>
      </c>
      <c r="T353" s="420" t="s">
        <v>432</v>
      </c>
      <c r="U353" s="420" t="s">
        <v>432</v>
      </c>
      <c r="V353" s="371" t="s">
        <v>432</v>
      </c>
      <c r="W353" s="420" t="s">
        <v>432</v>
      </c>
      <c r="X353" s="420" t="s">
        <v>432</v>
      </c>
      <c r="Y353" s="420" t="s">
        <v>432</v>
      </c>
      <c r="Z353" s="420" t="s">
        <v>432</v>
      </c>
      <c r="AA353" s="420" t="s">
        <v>432</v>
      </c>
      <c r="AB353" s="420" t="s">
        <v>432</v>
      </c>
      <c r="AC353" s="420" t="s">
        <v>432</v>
      </c>
      <c r="AD353" s="420" t="s">
        <v>432</v>
      </c>
      <c r="AE353" s="420" t="s">
        <v>432</v>
      </c>
      <c r="AF353" s="420" t="s">
        <v>432</v>
      </c>
      <c r="AG353" s="420" t="s">
        <v>432</v>
      </c>
      <c r="AH353" s="420" t="s">
        <v>432</v>
      </c>
      <c r="AI353" s="420" t="s">
        <v>432</v>
      </c>
      <c r="AJ353" s="420" t="s">
        <v>432</v>
      </c>
      <c r="AK353" s="420" t="s">
        <v>432</v>
      </c>
      <c r="AL353" s="420" t="s">
        <v>432</v>
      </c>
      <c r="AM353" s="420" t="s">
        <v>432</v>
      </c>
      <c r="AN353" s="420" t="s">
        <v>432</v>
      </c>
      <c r="AO353" s="420" t="s">
        <v>432</v>
      </c>
      <c r="AP353" s="420" t="s">
        <v>432</v>
      </c>
      <c r="AQ353" s="420" t="s">
        <v>432</v>
      </c>
      <c r="AR353" s="420"/>
      <c r="AS353" s="420"/>
      <c r="AT353" s="420"/>
      <c r="AU353" s="420"/>
      <c r="AV353" s="420" t="s">
        <v>432</v>
      </c>
      <c r="AW353" s="420"/>
      <c r="AX353" s="420"/>
      <c r="AY353" s="420"/>
      <c r="AZ353" s="420"/>
      <c r="BA353" s="420" t="s">
        <v>432</v>
      </c>
      <c r="BB353" s="420" t="s">
        <v>432</v>
      </c>
      <c r="BC353" s="420" t="s">
        <v>432</v>
      </c>
      <c r="BD353" s="420" t="s">
        <v>432</v>
      </c>
    </row>
    <row r="354" spans="1:16375" s="1" customFormat="1" ht="63.75" x14ac:dyDescent="0.25">
      <c r="A354" s="275" t="str">
        <f>'Q100a-geral'!A950</f>
        <v>8.10</v>
      </c>
      <c r="B354" s="11" t="str">
        <f>'Q100a-geral'!B950</f>
        <v>Sistema de transporte coletivo com um todo</v>
      </c>
      <c r="C354" s="57" t="str">
        <f>'Q100a-geral'!C950</f>
        <v>acessibilidade</v>
      </c>
      <c r="D354" s="377" t="str">
        <f>'Q100a-geral'!D950</f>
        <v>F tc en
(%)</v>
      </c>
      <c r="E354" s="488" t="str">
        <f>'Q100a-geral'!E950</f>
        <v>Belo Horizonte</v>
      </c>
      <c r="F354" s="355" t="str">
        <f>'Q100a-geral'!F950</f>
        <v>percentual da frota de ônibus do transporte coletivo (convencional e suplementar) de Belo Horizonte com embarque/desembarque em nível em todos os pontos de parada
obs.: como pelo menos até 2015 em Belo Horizonte apenas no transporte coletivo convencional há embarque em nível, este indicador é idêntico a "% de frota com embarque exclusivo em nível (convencional BH)"</v>
      </c>
      <c r="G354" s="111" t="str">
        <f>'Q100a-geral'!G950</f>
        <v>n.º F tc en (%) / n.º F tc</v>
      </c>
      <c r="H354" s="173" t="str">
        <f>'Q100a-geral'!H950</f>
        <v>x</v>
      </c>
      <c r="I354" s="167">
        <f>'Q100a-geral'!I950</f>
        <v>1</v>
      </c>
      <c r="J354" s="109" t="str">
        <f>'Q100a-geral'!J950</f>
        <v>não gerenciado pela BHTrans</v>
      </c>
      <c r="K354" s="109" t="str">
        <f>'Q100a-geral'!K950</f>
        <v>não gerenciado pela BHTrans</v>
      </c>
      <c r="L354" s="109" t="str">
        <f>'Q100a-geral'!L950</f>
        <v>não gerenciado pela BHTrans</v>
      </c>
      <c r="M354" s="356">
        <f>'Q100a-geral'!M950</f>
        <v>0</v>
      </c>
      <c r="N354" s="356">
        <f>'Q100a-geral'!N950</f>
        <v>0</v>
      </c>
      <c r="O354" s="356">
        <f>'Q100a-geral'!O950</f>
        <v>0</v>
      </c>
      <c r="P354" s="356">
        <f>'Q100a-geral'!P950</f>
        <v>0</v>
      </c>
      <c r="Q354" s="356">
        <f>'Q100a-geral'!Q950</f>
        <v>0</v>
      </c>
      <c r="R354" s="356">
        <f>'Q100a-geral'!R950</f>
        <v>0</v>
      </c>
      <c r="S354" s="109" t="str">
        <f>'Q100a-geral'!S950</f>
        <v>só para pesquisa</v>
      </c>
      <c r="T354" s="356">
        <f>'Q100a-geral'!T950</f>
        <v>2.8356679193713701E-2</v>
      </c>
      <c r="U354" s="356" t="e">
        <f>'Q100a-geral'!U950</f>
        <v>#VALUE!</v>
      </c>
      <c r="V354" s="109" t="str">
        <f>'Q100a-geral'!V950</f>
        <v>só para pesquisa</v>
      </c>
      <c r="W354" s="356">
        <f>'Q100a-geral'!W950</f>
        <v>4.8037676609105177E-2</v>
      </c>
      <c r="X354" s="356">
        <f>'Q100a-geral'!X950</f>
        <v>4.8686739269698909E-2</v>
      </c>
      <c r="Y354" s="356">
        <f>'Q100a-geral'!Y950</f>
        <v>4.8253968253968257E-2</v>
      </c>
      <c r="Z354" s="356">
        <f>'Q100a-geral'!Z950</f>
        <v>4.8937540244687702E-2</v>
      </c>
      <c r="AA354" s="356">
        <f>'Q100a-geral'!AA950</f>
        <v>4.8984853367708671E-2</v>
      </c>
      <c r="AB354" s="356">
        <f>'Q100a-geral'!AB950</f>
        <v>4.8874598070739551E-2</v>
      </c>
      <c r="AC354" s="356">
        <f>'Q100a-geral'!AC950</f>
        <v>4.8843187660668377E-2</v>
      </c>
      <c r="AD354" s="356">
        <f>'Q100a-geral'!AD950</f>
        <v>4.8438495857233907E-2</v>
      </c>
      <c r="AE354" s="356">
        <f>'Q100a-geral'!AE950</f>
        <v>4.8376830044557603E-2</v>
      </c>
      <c r="AF354" s="356">
        <f>'Q100a-geral'!AF950</f>
        <v>2.6628168110362529E-2</v>
      </c>
      <c r="AG354" s="356">
        <f>'Q100a-geral'!AG950</f>
        <v>3.0349013657056146E-4</v>
      </c>
      <c r="AH354" s="356">
        <f>'Q100a-geral'!AH950</f>
        <v>0</v>
      </c>
      <c r="AI354" s="356">
        <f>'Q100a-geral'!AI950</f>
        <v>0</v>
      </c>
      <c r="AJ354" s="112">
        <f>'Q100a-geral'!AJ950</f>
        <v>3.3333333333333333E-2</v>
      </c>
      <c r="AK354" s="112">
        <f>'Q100a-geral'!AK950</f>
        <v>3.4013605442176874E-2</v>
      </c>
      <c r="AL354" s="601" t="str">
        <f>'Q100a-geral'!AL950</f>
        <v>x</v>
      </c>
      <c r="AM354" s="137" t="str">
        <f>'Q100a-geral'!AM950</f>
        <v>x</v>
      </c>
      <c r="AN354" s="137" t="str">
        <f>'Q100a-geral'!AN950</f>
        <v>x</v>
      </c>
      <c r="AO354" s="137" t="str">
        <f>'Q100a-geral'!AO950</f>
        <v>x</v>
      </c>
      <c r="AP354" s="137" t="str">
        <f>'Q100a-geral'!AP950</f>
        <v>x</v>
      </c>
      <c r="AQ354" s="137" t="str">
        <f>'Q100a-geral'!AQ950</f>
        <v>x</v>
      </c>
      <c r="AR354" s="137"/>
      <c r="AS354" s="137"/>
      <c r="AT354" s="137"/>
      <c r="AU354" s="137"/>
      <c r="AV354" s="137" t="str">
        <f>'Q100a-geral'!AV950</f>
        <v>x</v>
      </c>
      <c r="AW354" s="137"/>
      <c r="AX354" s="137"/>
      <c r="AY354" s="137"/>
      <c r="AZ354" s="137"/>
      <c r="BA354" s="137" t="str">
        <f>'Q100a-geral'!BA950</f>
        <v>x</v>
      </c>
      <c r="BB354" s="239" t="str">
        <f>'Q100a-geral'!BB950</f>
        <v>Sistema de transporte coletivo com um todoacessibilidade</v>
      </c>
      <c r="BC354" s="239" t="str">
        <f>'Q100a-geral'!BC950</f>
        <v>Sistema de transporte coletivo com um todoacessibilidadex</v>
      </c>
      <c r="BD354" s="239" t="str">
        <f>'Q100a-geral'!BD950</f>
        <v>Sistema de transporte coletivo com um todox</v>
      </c>
    </row>
    <row r="355" spans="1:16375" s="1" customFormat="1" ht="51" x14ac:dyDescent="0.25">
      <c r="A355" s="275" t="str">
        <f>'Q100a-geral'!A952</f>
        <v>8.5</v>
      </c>
      <c r="B355" s="54" t="str">
        <f>'Q100a-geral'!B952</f>
        <v>Transporte convencional</v>
      </c>
      <c r="C355" s="230" t="str">
        <f>'Q100a-geral'!C952</f>
        <v>acessibilidade</v>
      </c>
      <c r="D355" s="377" t="str">
        <f>'Q100a-geral'!D952</f>
        <v>F tcc en 
(%)</v>
      </c>
      <c r="E355" s="488" t="str">
        <f>'Q100a-geral'!E952</f>
        <v>Belo Horizonte</v>
      </c>
      <c r="F355" s="355" t="str">
        <f>'Q100a-geral'!F952</f>
        <v>percentual da frota de ônibus do transporte coletivo convencional de Belo Horizonte gerenciado pela BHTrans com embarque/desembarque em nível em todos os pontos de parada, com veículo de piso baixo (de qualquer tipo) ou de piso alto (com plataforma elevada), em ambos os casos com ou sem rampa para transpor a fronteira</v>
      </c>
      <c r="G355" s="111" t="str">
        <f>'Q100a-geral'!G952</f>
        <v>(F tcc en / F tcc) x 100</v>
      </c>
      <c r="H355" s="173" t="str">
        <f>'Q100a-geral'!H952</f>
        <v>x</v>
      </c>
      <c r="I355" s="167">
        <f>'Q100a-geral'!I952</f>
        <v>1</v>
      </c>
      <c r="J355" s="125" t="str">
        <f>'Q100a-geral'!J952</f>
        <v>não gerenciado pela BHTrans</v>
      </c>
      <c r="K355" s="125" t="str">
        <f>'Q100a-geral'!K952</f>
        <v>não gerenciado pela BHTrans</v>
      </c>
      <c r="L355" s="125" t="str">
        <f>'Q100a-geral'!L952</f>
        <v>não gerenciado pela BHTrans</v>
      </c>
      <c r="M355" s="125">
        <f>'Q100a-geral'!M952</f>
        <v>0</v>
      </c>
      <c r="N355" s="125">
        <f>'Q100a-geral'!N952</f>
        <v>0</v>
      </c>
      <c r="O355" s="125">
        <f>'Q100a-geral'!O952</f>
        <v>0</v>
      </c>
      <c r="P355" s="125">
        <f>'Q100a-geral'!P952</f>
        <v>0</v>
      </c>
      <c r="Q355" s="125">
        <f>'Q100a-geral'!Q952</f>
        <v>0</v>
      </c>
      <c r="R355" s="125">
        <f>'Q100a-geral'!R952</f>
        <v>0</v>
      </c>
      <c r="S355" s="109" t="str">
        <f>'Q100a-geral'!S952</f>
        <v>só para pesquisa</v>
      </c>
      <c r="T355" s="112">
        <f>'Q100a-geral'!T952</f>
        <v>2.8356679193713701E-2</v>
      </c>
      <c r="U355" s="112" t="e">
        <f>'Q100a-geral'!U952</f>
        <v>#VALUE!</v>
      </c>
      <c r="V355" s="109" t="str">
        <f>'Q100a-geral'!V952</f>
        <v>só para pesquisa</v>
      </c>
      <c r="W355" s="112">
        <f>'Q100a-geral'!W952</f>
        <v>5.2541208791208792E-2</v>
      </c>
      <c r="X355" s="112">
        <f>'Q100a-geral'!X952</f>
        <v>5.3352053352053355E-2</v>
      </c>
      <c r="Y355" s="112">
        <f>'Q100a-geral'!Y952</f>
        <v>5.3091163115612995E-2</v>
      </c>
      <c r="Z355" s="112">
        <f>'Q100a-geral'!Z952</f>
        <v>5.3919829726853497E-2</v>
      </c>
      <c r="AA355" s="112">
        <f>'Q100a-geral'!AA952</f>
        <v>5.3919829726853497E-2</v>
      </c>
      <c r="AB355" s="112">
        <f>'Q100a-geral'!AB952</f>
        <v>5.3881602268699043E-2</v>
      </c>
      <c r="AC355" s="112">
        <f>'Q100a-geral'!AC952</f>
        <v>5.3843428976266386E-2</v>
      </c>
      <c r="AD355" s="112">
        <f>'Q100a-geral'!AD952</f>
        <v>5.3352053352053355E-2</v>
      </c>
      <c r="AE355" s="112">
        <f>'Q100a-geral'!AE952</f>
        <v>5.3258584442887176E-2</v>
      </c>
      <c r="AF355" s="112">
        <f>'Q100a-geral'!AF952</f>
        <v>2.9307909604519775E-2</v>
      </c>
      <c r="AG355" s="112">
        <f>'Q100a-geral'!AG952</f>
        <v>3.3222591362126248E-4</v>
      </c>
      <c r="AH355" s="112">
        <f>'Q100a-geral'!AH952</f>
        <v>0</v>
      </c>
      <c r="AI355" s="112">
        <f>'Q100a-geral'!AI952</f>
        <v>0</v>
      </c>
      <c r="AJ355" s="112">
        <f>'Q100a-geral'!AJ952</f>
        <v>3.6387694343367513E-2</v>
      </c>
      <c r="AK355" s="112">
        <f>'Q100a-geral'!AK952</f>
        <v>3.7162162162162164E-2</v>
      </c>
      <c r="AL355" s="601" t="str">
        <f>'Q100a-geral'!AL952</f>
        <v>x</v>
      </c>
      <c r="AM355" s="47">
        <f>'Q100a-geral'!AM952</f>
        <v>3.7275499830565911E-2</v>
      </c>
      <c r="AN355" s="137" t="str">
        <f>'Q100a-geral'!AN952</f>
        <v>x</v>
      </c>
      <c r="AO355" s="137" t="str">
        <f>'Q100a-geral'!AO952</f>
        <v>x</v>
      </c>
      <c r="AP355" s="137" t="str">
        <f>'Q100a-geral'!AP952</f>
        <v>x</v>
      </c>
      <c r="AQ355" s="137" t="str">
        <f>'Q100a-geral'!AQ952</f>
        <v>x</v>
      </c>
      <c r="AR355" s="137"/>
      <c r="AS355" s="137"/>
      <c r="AT355" s="137"/>
      <c r="AU355" s="137"/>
      <c r="AV355" s="137" t="str">
        <f>'Q100a-geral'!AV952</f>
        <v>x</v>
      </c>
      <c r="AW355" s="137"/>
      <c r="AX355" s="137"/>
      <c r="AY355" s="137"/>
      <c r="AZ355" s="137"/>
      <c r="BA355" s="137" t="str">
        <f>'Q100a-geral'!BA952</f>
        <v>x</v>
      </c>
      <c r="BB355" s="239" t="str">
        <f>'Q100a-geral'!BB952</f>
        <v>Transporte convencionalacessibilidade</v>
      </c>
      <c r="BC355" s="239" t="str">
        <f>'Q100a-geral'!BC952</f>
        <v>Transporte convencionalacessibilidadex</v>
      </c>
      <c r="BD355" s="239" t="str">
        <f>'Q100a-geral'!BD952</f>
        <v>Transporte convencionalx</v>
      </c>
    </row>
    <row r="356" spans="1:16375" s="1" customFormat="1" ht="51" x14ac:dyDescent="0.25">
      <c r="A356" s="275" t="str">
        <f>'Q100a-geral'!A954</f>
        <v>8.7</v>
      </c>
      <c r="B356" s="252" t="str">
        <f>'Q100a-geral'!B954</f>
        <v>Transporte de baixa capacidade</v>
      </c>
      <c r="C356" s="167" t="str">
        <f>'Q100a-geral'!C954</f>
        <v>acessibilidade</v>
      </c>
      <c r="D356" s="377" t="str">
        <f>'Q100a-geral'!D954</f>
        <v>F tcs en 
(%)</v>
      </c>
      <c r="E356" s="488" t="str">
        <f>'Q100a-geral'!E954</f>
        <v>Belo Horizonte</v>
      </c>
      <c r="F356" s="355" t="str">
        <f>'Q100a-geral'!F954</f>
        <v>percentual da frota de ônibus do transporte coletivo suplementar de Belo Horizonte com embarque/desembarque exclusivavamente em nível em todos os pontos de parada</v>
      </c>
      <c r="G356" s="58" t="str">
        <f>'Q100a-geral'!G954</f>
        <v>(F tcs en / F tcs) x 100</v>
      </c>
      <c r="H356" s="167" t="str">
        <f>'Q100a-geral'!H954</f>
        <v>x</v>
      </c>
      <c r="I356" s="167">
        <f>'Q100a-geral'!I954</f>
        <v>1</v>
      </c>
      <c r="J356" s="107" t="str">
        <f>'Q100a-geral'!J954</f>
        <v>não gerenciado pela BHTrans</v>
      </c>
      <c r="K356" s="107" t="str">
        <f>'Q100a-geral'!K954</f>
        <v>não gerenciado pela BHTrans</v>
      </c>
      <c r="L356" s="107" t="str">
        <f>'Q100a-geral'!L954</f>
        <v>não gerenciado pela BHTrans</v>
      </c>
      <c r="M356" s="107" t="str">
        <f>'Q100a-geral'!M954</f>
        <v>serviço não existia antes de 2001</v>
      </c>
      <c r="N356" s="107" t="str">
        <f>'Q100a-geral'!N954</f>
        <v>serviço não existia antes de 2001</v>
      </c>
      <c r="O356" s="107" t="str">
        <f>'Q100a-geral'!O954</f>
        <v>serviço não existia antes de 2001</v>
      </c>
      <c r="P356" s="107" t="str">
        <f>'Q100a-geral'!P954</f>
        <v>serviço não existia antes de 2001</v>
      </c>
      <c r="Q356" s="107" t="str">
        <f>'Q100a-geral'!Q954</f>
        <v>serviço não existia antes de 2001</v>
      </c>
      <c r="R356" s="107" t="str">
        <f>'Q100a-geral'!R954</f>
        <v>serviço não existia antes de 2001</v>
      </c>
      <c r="S356" s="109" t="str">
        <f>'Q100a-geral'!S954</f>
        <v>só para pesquisa</v>
      </c>
      <c r="T356" s="107" t="str">
        <f>'Q100a-geral'!T954</f>
        <v>serviço não existia antes de 2001</v>
      </c>
      <c r="U356" s="107" t="str">
        <f>'Q100a-geral'!U954</f>
        <v>serviço não existia antes de 2001</v>
      </c>
      <c r="V356" s="109" t="str">
        <f>'Q100a-geral'!V954</f>
        <v>só para pesquisa</v>
      </c>
      <c r="W356" s="47">
        <f>'Q100a-geral'!W954</f>
        <v>0</v>
      </c>
      <c r="X356" s="47">
        <f>'Q100a-geral'!X954</f>
        <v>0</v>
      </c>
      <c r="Y356" s="47">
        <f>'Q100a-geral'!Y954</f>
        <v>0</v>
      </c>
      <c r="Z356" s="47">
        <f>'Q100a-geral'!Z954</f>
        <v>0</v>
      </c>
      <c r="AA356" s="47">
        <f>'Q100a-geral'!AA954</f>
        <v>0</v>
      </c>
      <c r="AB356" s="47">
        <f>'Q100a-geral'!AB954</f>
        <v>0</v>
      </c>
      <c r="AC356" s="47">
        <f>'Q100a-geral'!AC954</f>
        <v>0</v>
      </c>
      <c r="AD356" s="47">
        <f>'Q100a-geral'!AD954</f>
        <v>0</v>
      </c>
      <c r="AE356" s="47">
        <f>'Q100a-geral'!AE954</f>
        <v>0</v>
      </c>
      <c r="AF356" s="47">
        <f>'Q100a-geral'!AF954</f>
        <v>0</v>
      </c>
      <c r="AG356" s="47">
        <f>'Q100a-geral'!AG954</f>
        <v>0</v>
      </c>
      <c r="AH356" s="47">
        <f>'Q100a-geral'!AH954</f>
        <v>0</v>
      </c>
      <c r="AI356" s="47">
        <f>'Q100a-geral'!AI954</f>
        <v>0</v>
      </c>
      <c r="AJ356" s="47">
        <f>'Q100a-geral'!AJ954</f>
        <v>0</v>
      </c>
      <c r="AK356" s="47">
        <f>'Q100a-geral'!AK954</f>
        <v>0</v>
      </c>
      <c r="AL356" s="601" t="str">
        <f>'Q100a-geral'!AL954</f>
        <v>x</v>
      </c>
      <c r="AM356" s="137">
        <f>'Q100a-geral'!AM954</f>
        <v>0</v>
      </c>
      <c r="AN356" s="137" t="str">
        <f>'Q100a-geral'!AN954</f>
        <v>x</v>
      </c>
      <c r="AO356" s="137" t="str">
        <f>'Q100a-geral'!AO954</f>
        <v>x</v>
      </c>
      <c r="AP356" s="137" t="str">
        <f>'Q100a-geral'!AP954</f>
        <v>x</v>
      </c>
      <c r="AQ356" s="137" t="str">
        <f>'Q100a-geral'!AQ954</f>
        <v>x</v>
      </c>
      <c r="AR356" s="137"/>
      <c r="AS356" s="137"/>
      <c r="AT356" s="137"/>
      <c r="AU356" s="137"/>
      <c r="AV356" s="137" t="str">
        <f>'Q100a-geral'!AV954</f>
        <v>x</v>
      </c>
      <c r="AW356" s="137"/>
      <c r="AX356" s="137"/>
      <c r="AY356" s="137"/>
      <c r="AZ356" s="137"/>
      <c r="BA356" s="137" t="str">
        <f>'Q100a-geral'!BA954</f>
        <v>x</v>
      </c>
      <c r="BB356" s="239" t="str">
        <f>'Q100a-geral'!BB954</f>
        <v>Transporte de baixa capacidadeacessibilidade</v>
      </c>
      <c r="BC356" s="239" t="str">
        <f>'Q100a-geral'!BC954</f>
        <v>Transporte de baixa capacidadeacessibilidadex</v>
      </c>
      <c r="BD356" s="239" t="str">
        <f>'Q100a-geral'!BD954</f>
        <v>Transporte de baixa capacidadex</v>
      </c>
    </row>
    <row r="357" spans="1:16375" s="1" customFormat="1" ht="87" customHeight="1" x14ac:dyDescent="0.25">
      <c r="A357" s="275" t="str">
        <f>'Q100a-geral'!A956</f>
        <v>8.10</v>
      </c>
      <c r="B357" s="54" t="str">
        <f>'Q100a-geral'!B956</f>
        <v>Sistema de transporte coletivo com um todo</v>
      </c>
      <c r="C357" s="229" t="str">
        <f>'Q100a-geral'!C956</f>
        <v>acessibilidade</v>
      </c>
      <c r="D357" s="377" t="str">
        <f>'Q100a-geral'!D956</f>
        <v>F tc en 
(%)</v>
      </c>
      <c r="E357" s="495" t="str">
        <f>'Q100a-geral'!E956</f>
        <v>Contagem</v>
      </c>
      <c r="F357" s="355" t="str">
        <f>'Q100a-geral'!F956</f>
        <v>percentual da frota de ônibus do transporte coletivo de Contagem com embarque/desembarque exclusivamente em nível em todos os pontos de parada</v>
      </c>
      <c r="G357" s="58" t="str">
        <f>'Q100a-geral'!G956</f>
        <v xml:space="preserve"> (F tc em / F tc) x 100</v>
      </c>
      <c r="H357" s="173" t="str">
        <f>'Q100a-geral'!H956</f>
        <v>RMBH</v>
      </c>
      <c r="I357" s="167">
        <f>'Q100a-geral'!I956</f>
        <v>1</v>
      </c>
      <c r="J357" s="112">
        <f>'Q100a-geral'!J956</f>
        <v>0</v>
      </c>
      <c r="K357" s="112">
        <f>'Q100a-geral'!K956</f>
        <v>0</v>
      </c>
      <c r="L357" s="112">
        <f>'Q100a-geral'!L956</f>
        <v>0</v>
      </c>
      <c r="M357" s="112">
        <f>'Q100a-geral'!M956</f>
        <v>0</v>
      </c>
      <c r="N357" s="112">
        <f>'Q100a-geral'!N956</f>
        <v>0</v>
      </c>
      <c r="O357" s="112">
        <f>'Q100a-geral'!O956</f>
        <v>0</v>
      </c>
      <c r="P357" s="112">
        <f>'Q100a-geral'!P956</f>
        <v>0</v>
      </c>
      <c r="Q357" s="112">
        <f>'Q100a-geral'!Q956</f>
        <v>0</v>
      </c>
      <c r="R357" s="112">
        <f>'Q100a-geral'!R956</f>
        <v>0</v>
      </c>
      <c r="S357" s="109" t="str">
        <f>'Q100a-geral'!S956</f>
        <v>só para pesquisa</v>
      </c>
      <c r="T357" s="112">
        <f>'Q100a-geral'!T956</f>
        <v>0</v>
      </c>
      <c r="U357" s="112">
        <f>'Q100a-geral'!U956</f>
        <v>0</v>
      </c>
      <c r="V357" s="109" t="str">
        <f>'Q100a-geral'!V956</f>
        <v>só para pesquisa</v>
      </c>
      <c r="W357" s="112">
        <f>'Q100a-geral'!W956</f>
        <v>0</v>
      </c>
      <c r="X357" s="112">
        <f>'Q100a-geral'!X956</f>
        <v>0</v>
      </c>
      <c r="Y357" s="112">
        <f>'Q100a-geral'!Y956</f>
        <v>0</v>
      </c>
      <c r="Z357" s="112">
        <f>'Q100a-geral'!Z956</f>
        <v>0</v>
      </c>
      <c r="AA357" s="112">
        <f>'Q100a-geral'!AA956</f>
        <v>0</v>
      </c>
      <c r="AB357" s="112">
        <f>'Q100a-geral'!AB956</f>
        <v>0</v>
      </c>
      <c r="AC357" s="112">
        <f>'Q100a-geral'!AC956</f>
        <v>0</v>
      </c>
      <c r="AD357" s="112">
        <f>'Q100a-geral'!AD956</f>
        <v>0</v>
      </c>
      <c r="AE357" s="112">
        <f>'Q100a-geral'!AE956</f>
        <v>0</v>
      </c>
      <c r="AF357" s="112">
        <f>'Q100a-geral'!AF956</f>
        <v>0</v>
      </c>
      <c r="AG357" s="112">
        <f>'Q100a-geral'!AG956</f>
        <v>0</v>
      </c>
      <c r="AH357" s="112">
        <f>'Q100a-geral'!AH956</f>
        <v>0</v>
      </c>
      <c r="AI357" s="112">
        <f>'Q100a-geral'!AI956</f>
        <v>0</v>
      </c>
      <c r="AJ357" s="112">
        <f>'Q100a-geral'!AJ956</f>
        <v>0</v>
      </c>
      <c r="AK357" s="112">
        <f>'Q100a-geral'!AK956</f>
        <v>0</v>
      </c>
      <c r="AL357" s="601" t="str">
        <f>'Q100a-geral'!AL956</f>
        <v>x</v>
      </c>
      <c r="AM357" s="137" t="str">
        <f>'Q100a-geral'!AM956</f>
        <v>x</v>
      </c>
      <c r="AN357" s="137" t="str">
        <f>'Q100a-geral'!AN956</f>
        <v>x</v>
      </c>
      <c r="AO357" s="137" t="str">
        <f>'Q100a-geral'!AO956</f>
        <v>x</v>
      </c>
      <c r="AP357" s="137" t="str">
        <f>'Q100a-geral'!AP956</f>
        <v>x</v>
      </c>
      <c r="AQ357" s="137" t="str">
        <f>'Q100a-geral'!AQ956</f>
        <v>x</v>
      </c>
      <c r="AR357" s="137"/>
      <c r="AS357" s="137"/>
      <c r="AT357" s="137"/>
      <c r="AU357" s="137"/>
      <c r="AV357" s="137" t="str">
        <f>'Q100a-geral'!AV956</f>
        <v>x</v>
      </c>
      <c r="AW357" s="137"/>
      <c r="AX357" s="137"/>
      <c r="AY357" s="137"/>
      <c r="AZ357" s="137"/>
      <c r="BA357" s="137" t="str">
        <f>'Q100a-geral'!BA956</f>
        <v>x</v>
      </c>
      <c r="BB357" s="239" t="str">
        <f>'Q100a-geral'!BB956</f>
        <v>Sistema de transporte coletivo com um todoacessibilidade</v>
      </c>
      <c r="BC357" s="239" t="str">
        <f>'Q100a-geral'!BC956</f>
        <v>Sistema de transporte coletivo com um todoacessibilidadeRMBH</v>
      </c>
      <c r="BD357" s="239" t="str">
        <f>'Q100a-geral'!BD956</f>
        <v>Sistema de transporte coletivo com um todoRMBH</v>
      </c>
    </row>
    <row r="358" spans="1:16375" s="1" customFormat="1" ht="87" customHeight="1" x14ac:dyDescent="0.25">
      <c r="A358" s="275" t="str">
        <f>'Q100a-geral'!A958</f>
        <v>8.10</v>
      </c>
      <c r="B358" s="54" t="str">
        <f>'Q100a-geral'!B958</f>
        <v>Sistema de transporte coletivo com um todo</v>
      </c>
      <c r="C358" s="171" t="str">
        <f>'Q100a-geral'!C958</f>
        <v>acessibilidade</v>
      </c>
      <c r="D358" s="362" t="str">
        <f>'Q100a-geral'!D958</f>
        <v>F tc en
(%)</v>
      </c>
      <c r="E358" s="637" t="str">
        <f>'Q100a-geral'!E958</f>
        <v>Curitiba</v>
      </c>
      <c r="F358" s="355" t="str">
        <f>'Q100a-geral'!F958</f>
        <v>percentual da frota de ônibus do transporte coletivo de Curitiba com embarque/desembarque exclusivamente em nível em todos os pontos de parada</v>
      </c>
      <c r="G358" s="58" t="str">
        <f>'Q100a-geral'!G958</f>
        <v xml:space="preserve"> (n.º F tc em / n.º F tc) x 100</v>
      </c>
      <c r="H358" s="57" t="str">
        <f>'Q100a-geral'!H958</f>
        <v>benchmarking</v>
      </c>
      <c r="I358" s="167" t="str">
        <f>'Q100a-geral'!I958</f>
        <v>x</v>
      </c>
      <c r="J358" s="112" t="str">
        <f>'Q100a-geral'!J958</f>
        <v>não encontrado</v>
      </c>
      <c r="K358" s="112" t="str">
        <f>'Q100a-geral'!K958</f>
        <v>não encontrado</v>
      </c>
      <c r="L358" s="112" t="str">
        <f>'Q100a-geral'!L958</f>
        <v>não encontrado</v>
      </c>
      <c r="M358" s="112" t="str">
        <f>'Q100a-geral'!M958</f>
        <v>não encontrado</v>
      </c>
      <c r="N358" s="112" t="str">
        <f>'Q100a-geral'!N958</f>
        <v>não encontrado</v>
      </c>
      <c r="O358" s="112" t="str">
        <f>'Q100a-geral'!O958</f>
        <v>não encontrado</v>
      </c>
      <c r="P358" s="112" t="str">
        <f>'Q100a-geral'!P958</f>
        <v>não encontrado</v>
      </c>
      <c r="Q358" s="112" t="str">
        <f>'Q100a-geral'!Q958</f>
        <v>não encontrado</v>
      </c>
      <c r="R358" s="112" t="str">
        <f>'Q100a-geral'!R958</f>
        <v>não encontrado</v>
      </c>
      <c r="S358" s="109" t="str">
        <f>'Q100a-geral'!S958</f>
        <v>só para pesquisa</v>
      </c>
      <c r="T358" s="112" t="str">
        <f>'Q100a-geral'!T958</f>
        <v>não encontrado</v>
      </c>
      <c r="U358" s="112" t="str">
        <f>'Q100a-geral'!U958</f>
        <v>não encontrado</v>
      </c>
      <c r="V358" s="109" t="str">
        <f>'Q100a-geral'!V958</f>
        <v>só para pesquisa</v>
      </c>
      <c r="W358" s="112" t="str">
        <f>'Q100a-geral'!W958</f>
        <v>não encontrado</v>
      </c>
      <c r="X358" s="112" t="str">
        <f>'Q100a-geral'!X958</f>
        <v>não encontrado</v>
      </c>
      <c r="Y358" s="112" t="str">
        <f>'Q100a-geral'!Y958</f>
        <v>não encontrado</v>
      </c>
      <c r="Z358" s="112" t="str">
        <f>'Q100a-geral'!Z958</f>
        <v>não encontrado</v>
      </c>
      <c r="AA358" s="112" t="str">
        <f>'Q100a-geral'!AA958</f>
        <v>não encontrado</v>
      </c>
      <c r="AB358" s="112" t="str">
        <f>'Q100a-geral'!AB958</f>
        <v>não encontrado</v>
      </c>
      <c r="AC358" s="112" t="str">
        <f>'Q100a-geral'!AC958</f>
        <v>não encontrado</v>
      </c>
      <c r="AD358" s="112" t="str">
        <f>'Q100a-geral'!AD958</f>
        <v>não encontrado</v>
      </c>
      <c r="AE358" s="112" t="str">
        <f>'Q100a-geral'!AE958</f>
        <v>não encontrado</v>
      </c>
      <c r="AF358" s="112" t="str">
        <f>'Q100a-geral'!AF958</f>
        <v>não encontrado</v>
      </c>
      <c r="AG358" s="112" t="str">
        <f>'Q100a-geral'!AG958</f>
        <v>não encontrado</v>
      </c>
      <c r="AH358" s="112" t="str">
        <f>'Q100a-geral'!AH958</f>
        <v>não encontrado</v>
      </c>
      <c r="AI358" s="112" t="str">
        <f>'Q100a-geral'!AI958</f>
        <v>não encontrado</v>
      </c>
      <c r="AJ358" s="112" t="str">
        <f>'Q100a-geral'!AJ958</f>
        <v>não encontrado</v>
      </c>
      <c r="AK358" s="112">
        <f>'Q100a-geral'!AK958</f>
        <v>0.32456140350877194</v>
      </c>
      <c r="AL358" s="601" t="str">
        <f>'Q100a-geral'!AL958</f>
        <v>x</v>
      </c>
      <c r="AM358" s="137" t="str">
        <f>'Q100a-geral'!AM958</f>
        <v>x</v>
      </c>
      <c r="AN358" s="137" t="str">
        <f>'Q100a-geral'!AN958</f>
        <v>x</v>
      </c>
      <c r="AO358" s="137" t="str">
        <f>'Q100a-geral'!AO958</f>
        <v>x</v>
      </c>
      <c r="AP358" s="137" t="str">
        <f>'Q100a-geral'!AP958</f>
        <v>x</v>
      </c>
      <c r="AQ358" s="137" t="str">
        <f>'Q100a-geral'!AQ958</f>
        <v>x</v>
      </c>
      <c r="AR358" s="137"/>
      <c r="AS358" s="137"/>
      <c r="AT358" s="137"/>
      <c r="AU358" s="137"/>
      <c r="AV358" s="137" t="str">
        <f>'Q100a-geral'!AV958</f>
        <v>x</v>
      </c>
      <c r="AW358" s="137"/>
      <c r="AX358" s="137"/>
      <c r="AY358" s="137"/>
      <c r="AZ358" s="137"/>
      <c r="BA358" s="137" t="str">
        <f>'Q100a-geral'!BA958</f>
        <v>x</v>
      </c>
      <c r="BB358" s="239" t="str">
        <f>'Q100a-geral'!BB958</f>
        <v>Sistema de transporte coletivo com um todoacessibilidade</v>
      </c>
      <c r="BC358" s="239" t="str">
        <f>'Q100a-geral'!BC958</f>
        <v>Sistema de transporte coletivo com um todoacessibilidadebenchmarking</v>
      </c>
      <c r="BD358" s="239" t="str">
        <f>'Q100a-geral'!BD958</f>
        <v>Sistema de transporte coletivo com um todobenchmarking</v>
      </c>
    </row>
    <row r="359" spans="1:16375" s="1" customFormat="1" ht="87" customHeight="1" x14ac:dyDescent="0.25">
      <c r="A359" s="275" t="str">
        <f>'Q100a-geral'!A960</f>
        <v>8.10</v>
      </c>
      <c r="B359" s="54" t="str">
        <f>'Q100a-geral'!B960</f>
        <v>Sistema de transporte coletivo com um todo</v>
      </c>
      <c r="C359" s="229" t="str">
        <f>'Q100a-geral'!C960</f>
        <v>acessibilidade</v>
      </c>
      <c r="D359" s="362" t="str">
        <f>'Q100a-geral'!D960</f>
        <v>F tc en
(%)</v>
      </c>
      <c r="E359" s="495" t="str">
        <f>'Q100a-geral'!E960</f>
        <v>Joinville</v>
      </c>
      <c r="F359" s="355" t="str">
        <f>'Q100a-geral'!F960</f>
        <v>percentual da frota de ônibus do transporte coletivo de Joinville com embarque/desembarque exclusivamente em nível em todos os pontos de parada</v>
      </c>
      <c r="G359" s="58" t="str">
        <f>'Q100a-geral'!G960</f>
        <v>(n.º F tc en / n.º F tc) x  100</v>
      </c>
      <c r="H359" s="57" t="str">
        <f>'Q100a-geral'!H960</f>
        <v>benchmarking</v>
      </c>
      <c r="I359" s="167" t="str">
        <f>'Q100a-geral'!I960</f>
        <v>x</v>
      </c>
      <c r="J359" s="112" t="str">
        <f>'Q100a-geral'!J960</f>
        <v>não encontrado</v>
      </c>
      <c r="K359" s="112" t="str">
        <f>'Q100a-geral'!K960</f>
        <v>não encontrado</v>
      </c>
      <c r="L359" s="112" t="str">
        <f>'Q100a-geral'!L960</f>
        <v>não encontrado</v>
      </c>
      <c r="M359" s="112" t="str">
        <f>'Q100a-geral'!M960</f>
        <v>não encontrado</v>
      </c>
      <c r="N359" s="112" t="str">
        <f>'Q100a-geral'!N960</f>
        <v>não encontrado</v>
      </c>
      <c r="O359" s="112" t="str">
        <f>'Q100a-geral'!O960</f>
        <v>não encontrado</v>
      </c>
      <c r="P359" s="112" t="str">
        <f>'Q100a-geral'!P960</f>
        <v>não encontrado</v>
      </c>
      <c r="Q359" s="112" t="str">
        <f>'Q100a-geral'!Q960</f>
        <v>não encontrado</v>
      </c>
      <c r="R359" s="112" t="str">
        <f>'Q100a-geral'!R960</f>
        <v>não encontrado</v>
      </c>
      <c r="S359" s="109" t="str">
        <f>'Q100a-geral'!S960</f>
        <v>só para pesquisa</v>
      </c>
      <c r="T359" s="112" t="str">
        <f>'Q100a-geral'!T960</f>
        <v>não encontrado</v>
      </c>
      <c r="U359" s="112" t="str">
        <f>'Q100a-geral'!U960</f>
        <v>não encontrado</v>
      </c>
      <c r="V359" s="109" t="str">
        <f>'Q100a-geral'!V960</f>
        <v>só para pesquisa</v>
      </c>
      <c r="W359" s="112" t="str">
        <f>'Q100a-geral'!W960</f>
        <v>não encontrado</v>
      </c>
      <c r="X359" s="112" t="str">
        <f>'Q100a-geral'!X960</f>
        <v>não encontrado</v>
      </c>
      <c r="Y359" s="112" t="str">
        <f>'Q100a-geral'!Y960</f>
        <v>não encontrado</v>
      </c>
      <c r="Z359" s="112" t="str">
        <f>'Q100a-geral'!Z960</f>
        <v>não encontrado</v>
      </c>
      <c r="AA359" s="112" t="str">
        <f>'Q100a-geral'!AA960</f>
        <v>não encontrado</v>
      </c>
      <c r="AB359" s="112" t="str">
        <f>'Q100a-geral'!AB960</f>
        <v>não encontrado</v>
      </c>
      <c r="AC359" s="112" t="str">
        <f>'Q100a-geral'!AC960</f>
        <v>não encontrado</v>
      </c>
      <c r="AD359" s="112" t="str">
        <f>'Q100a-geral'!AD960</f>
        <v>não encontrado</v>
      </c>
      <c r="AE359" s="112" t="str">
        <f>'Q100a-geral'!AE960</f>
        <v>não encontrado</v>
      </c>
      <c r="AF359" s="112" t="str">
        <f>'Q100a-geral'!AF960</f>
        <v>não encontrado</v>
      </c>
      <c r="AG359" s="112" t="str">
        <f>'Q100a-geral'!AG960</f>
        <v>não encontrado</v>
      </c>
      <c r="AH359" s="112" t="str">
        <f>'Q100a-geral'!AH960</f>
        <v>não encontrado</v>
      </c>
      <c r="AI359" s="112" t="str">
        <f>'Q100a-geral'!AI960</f>
        <v>não encontrado</v>
      </c>
      <c r="AJ359" s="112">
        <f>'Q100a-geral'!AJ960</f>
        <v>9.3406593406593408E-2</v>
      </c>
      <c r="AK359" s="112" t="str">
        <f>'Q100a-geral'!AK960</f>
        <v>não encontrado</v>
      </c>
      <c r="AL359" s="601" t="str">
        <f>'Q100a-geral'!AL960</f>
        <v>x</v>
      </c>
      <c r="AM359" s="137" t="str">
        <f>'Q100a-geral'!AM960</f>
        <v>x</v>
      </c>
      <c r="AN359" s="137" t="str">
        <f>'Q100a-geral'!AN960</f>
        <v>x</v>
      </c>
      <c r="AO359" s="137" t="str">
        <f>'Q100a-geral'!AO960</f>
        <v>x</v>
      </c>
      <c r="AP359" s="137" t="str">
        <f>'Q100a-geral'!AP960</f>
        <v>x</v>
      </c>
      <c r="AQ359" s="137" t="str">
        <f>'Q100a-geral'!AQ960</f>
        <v>x</v>
      </c>
      <c r="AR359" s="137"/>
      <c r="AS359" s="137"/>
      <c r="AT359" s="137"/>
      <c r="AU359" s="137"/>
      <c r="AV359" s="137" t="str">
        <f>'Q100a-geral'!AV960</f>
        <v>x</v>
      </c>
      <c r="AW359" s="137"/>
      <c r="AX359" s="137"/>
      <c r="AY359" s="137"/>
      <c r="AZ359" s="137"/>
      <c r="BA359" s="137" t="str">
        <f>'Q100a-geral'!BA960</f>
        <v>x</v>
      </c>
      <c r="BB359" s="239" t="str">
        <f>'Q100a-geral'!BB960</f>
        <v>Sistema de transporte coletivo com um todoacessibilidade</v>
      </c>
      <c r="BC359" s="239" t="str">
        <f>'Q100a-geral'!BC960</f>
        <v>Sistema de transporte coletivo com um todoacessibilidadebenchmarking</v>
      </c>
      <c r="BD359" s="239" t="str">
        <f>'Q100a-geral'!BD960</f>
        <v>Sistema de transporte coletivo com um todobenchmarking</v>
      </c>
    </row>
    <row r="360" spans="1:16375" s="1" customFormat="1" ht="87" customHeight="1" x14ac:dyDescent="0.25">
      <c r="A360" s="275" t="str">
        <f>'Q100a-geral'!A962</f>
        <v>8.10</v>
      </c>
      <c r="B360" s="54" t="str">
        <f>'Q100a-geral'!B962</f>
        <v>Sistema de transporte coletivo com um todo</v>
      </c>
      <c r="C360" s="229" t="str">
        <f>'Q100a-geral'!C962</f>
        <v>acessibilidade</v>
      </c>
      <c r="D360" s="377" t="str">
        <f>'Q100a-geral'!D962</f>
        <v>F tc en
(%)</v>
      </c>
      <c r="E360" s="486" t="str">
        <f>'Q100a-geral'!E962</f>
        <v>RMBH metropolitano</v>
      </c>
      <c r="F360" s="355" t="str">
        <f>'Q100a-geral'!F962</f>
        <v>percentual da frota de ônibus do transporte coletivo na RMBH do serviço gerenciado pela Setop-MG  com embarque/desembarque exclusivamente em nível em todos os pontos de parada</v>
      </c>
      <c r="G360" s="111" t="str">
        <f>'Q100a-geral'!G962</f>
        <v>(n.º F tc en / n.º F tc) x  100</v>
      </c>
      <c r="H360" s="596" t="str">
        <f>'Q100a-geral'!H962</f>
        <v>RMBH</v>
      </c>
      <c r="I360" s="167">
        <f>'Q100a-geral'!I962</f>
        <v>1</v>
      </c>
      <c r="J360" s="112" t="str">
        <f>'Q100a-geral'!J962</f>
        <v>não encontrado</v>
      </c>
      <c r="K360" s="112" t="str">
        <f>'Q100a-geral'!K962</f>
        <v>não encontrado</v>
      </c>
      <c r="L360" s="112" t="str">
        <f>'Q100a-geral'!L962</f>
        <v>não encontrado</v>
      </c>
      <c r="M360" s="112" t="str">
        <f>'Q100a-geral'!M962</f>
        <v>não encontrado</v>
      </c>
      <c r="N360" s="112" t="str">
        <f>'Q100a-geral'!N962</f>
        <v>não encontrado</v>
      </c>
      <c r="O360" s="112" t="str">
        <f>'Q100a-geral'!O962</f>
        <v>não encontrado</v>
      </c>
      <c r="P360" s="112" t="str">
        <f>'Q100a-geral'!P962</f>
        <v>não encontrado</v>
      </c>
      <c r="Q360" s="112" t="str">
        <f>'Q100a-geral'!Q962</f>
        <v>não encontrado</v>
      </c>
      <c r="R360" s="112" t="str">
        <f>'Q100a-geral'!R962</f>
        <v>não encontrado</v>
      </c>
      <c r="S360" s="109" t="str">
        <f>'Q100a-geral'!S962</f>
        <v>só para pesquisa</v>
      </c>
      <c r="T360" s="112" t="str">
        <f>'Q100a-geral'!T962</f>
        <v>não encontrado</v>
      </c>
      <c r="U360" s="112" t="str">
        <f>'Q100a-geral'!U962</f>
        <v>não encontrado</v>
      </c>
      <c r="V360" s="109" t="str">
        <f>'Q100a-geral'!V962</f>
        <v>só para pesquisa</v>
      </c>
      <c r="W360" s="112" t="str">
        <f>'Q100a-geral'!W962</f>
        <v>não encontrado</v>
      </c>
      <c r="X360" s="112" t="str">
        <f>'Q100a-geral'!X962</f>
        <v>não encontrado</v>
      </c>
      <c r="Y360" s="112" t="str">
        <f>'Q100a-geral'!Y962</f>
        <v>não encontrado</v>
      </c>
      <c r="Z360" s="112" t="str">
        <f>'Q100a-geral'!Z962</f>
        <v>não encontrado</v>
      </c>
      <c r="AA360" s="112" t="str">
        <f>'Q100a-geral'!AA962</f>
        <v>não encontrado</v>
      </c>
      <c r="AB360" s="112" t="str">
        <f>'Q100a-geral'!AB962</f>
        <v>não encontrado</v>
      </c>
      <c r="AC360" s="112" t="str">
        <f>'Q100a-geral'!AC962</f>
        <v>não encontrado</v>
      </c>
      <c r="AD360" s="112" t="str">
        <f>'Q100a-geral'!AD962</f>
        <v>não encontrado</v>
      </c>
      <c r="AE360" s="112" t="str">
        <f>'Q100a-geral'!AE962</f>
        <v>não encontrado</v>
      </c>
      <c r="AF360" s="112" t="str">
        <f>'Q100a-geral'!AF962</f>
        <v>não encontrado</v>
      </c>
      <c r="AG360" s="112" t="str">
        <f>'Q100a-geral'!AG962</f>
        <v>não encontrado</v>
      </c>
      <c r="AH360" s="112" t="str">
        <f>'Q100a-geral'!AH962</f>
        <v>não encontrado</v>
      </c>
      <c r="AI360" s="112" t="str">
        <f>'Q100a-geral'!AI962</f>
        <v>não encontrado</v>
      </c>
      <c r="AJ360" s="112" t="str">
        <f>'Q100a-geral'!AJ962</f>
        <v>não encontrado</v>
      </c>
      <c r="AK360" s="112">
        <f>'Q100a-geral'!AK962</f>
        <v>3.5286056868790681E-2</v>
      </c>
      <c r="AL360" s="601" t="str">
        <f>'Q100a-geral'!AL962</f>
        <v>x</v>
      </c>
      <c r="AM360" s="137" t="str">
        <f>'Q100a-geral'!AM962</f>
        <v>x</v>
      </c>
      <c r="AN360" s="137" t="str">
        <f>'Q100a-geral'!AN962</f>
        <v>x</v>
      </c>
      <c r="AO360" s="137" t="str">
        <f>'Q100a-geral'!AO962</f>
        <v>x</v>
      </c>
      <c r="AP360" s="137" t="str">
        <f>'Q100a-geral'!AP962</f>
        <v>x</v>
      </c>
      <c r="AQ360" s="137" t="str">
        <f>'Q100a-geral'!AQ962</f>
        <v>x</v>
      </c>
      <c r="AR360" s="137"/>
      <c r="AS360" s="137"/>
      <c r="AT360" s="137"/>
      <c r="AU360" s="137"/>
      <c r="AV360" s="137" t="str">
        <f>'Q100a-geral'!AV962</f>
        <v>x</v>
      </c>
      <c r="AW360" s="137"/>
      <c r="AX360" s="137"/>
      <c r="AY360" s="137"/>
      <c r="AZ360" s="137"/>
      <c r="BA360" s="137" t="str">
        <f>'Q100a-geral'!BA962</f>
        <v>x</v>
      </c>
      <c r="BB360" s="239" t="str">
        <f>'Q100a-geral'!BB962</f>
        <v>Sistema de transporte coletivo com um todoacessibilidade</v>
      </c>
      <c r="BC360" s="239" t="str">
        <f>'Q100a-geral'!BC962</f>
        <v>Sistema de transporte coletivo com um todoacessibilidadeRMBH</v>
      </c>
      <c r="BD360" s="239" t="str">
        <f>'Q100a-geral'!BD962</f>
        <v>Sistema de transporte coletivo com um todoRMBH</v>
      </c>
    </row>
    <row r="361" spans="1:16375" ht="93.75" customHeight="1" x14ac:dyDescent="0.25">
      <c r="A361" s="413" t="str">
        <f>'Q100a-geral'!A1041</f>
        <v>8.10</v>
      </c>
      <c r="B361" s="11" t="str">
        <f>'Q100a-geral'!B1041</f>
        <v>Sistema de transporte coletivo com um todo</v>
      </c>
      <c r="C361" s="173" t="str">
        <f>'Q100a-geral'!C1041</f>
        <v>acessibilidade</v>
      </c>
      <c r="D361" s="377" t="str">
        <f>'Q100a-geral'!D1041</f>
        <v>F tc nac</v>
      </c>
      <c r="E361" s="355" t="str">
        <f>'Q100a-geral'!E1041</f>
        <v>x</v>
      </c>
      <c r="F361" s="486" t="str">
        <f>'Q100a-geral'!F1041</f>
        <v xml:space="preserve">frota em n.º de ônibus do transporte público coletivo de uma cidade/região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os veículos desta categoria recebem peso 1, numa escala de 1 a 10, na classificação definida pelo SisMob-BH para classificar a acessibilidade - acesse "acessibilidade em ônibus urbano (escala)"
obs.2: acesse informações quantitativas relativas ao indicador "IAED" das cidades/regiões já incorporadas ao SisMob-BH
</v>
      </c>
      <c r="G361" s="167" t="str">
        <f>'Q100a-geral'!G1041</f>
        <v>verbete
MFO</v>
      </c>
      <c r="H361" s="167" t="str">
        <f>'Q100a-geral'!H1041</f>
        <v>sigla/verbete</v>
      </c>
      <c r="I361" s="167" t="str">
        <f>'Q100a-geral'!I1041</f>
        <v>x</v>
      </c>
      <c r="J361" s="107" t="str">
        <f>'Q100a-geral'!J1041</f>
        <v>x</v>
      </c>
      <c r="K361" s="107" t="str">
        <f>'Q100a-geral'!K1041</f>
        <v>x</v>
      </c>
      <c r="L361" s="107" t="str">
        <f>'Q100a-geral'!L1041</f>
        <v>x</v>
      </c>
      <c r="M361" s="107" t="str">
        <f>'Q100a-geral'!M1041</f>
        <v>x</v>
      </c>
      <c r="N361" s="107" t="str">
        <f>'Q100a-geral'!N1041</f>
        <v>x</v>
      </c>
      <c r="O361" s="107" t="str">
        <f>'Q100a-geral'!O1041</f>
        <v>x</v>
      </c>
      <c r="P361" s="107" t="str">
        <f>'Q100a-geral'!P1041</f>
        <v>x</v>
      </c>
      <c r="Q361" s="107" t="str">
        <f>'Q100a-geral'!Q1041</f>
        <v>x</v>
      </c>
      <c r="R361" s="107" t="str">
        <f>'Q100a-geral'!R1041</f>
        <v>x</v>
      </c>
      <c r="S361" s="109" t="str">
        <f>'Q100a-geral'!S1041</f>
        <v>só para pesquisa</v>
      </c>
      <c r="T361" s="108" t="str">
        <f>'Q100a-geral'!T1041</f>
        <v>x</v>
      </c>
      <c r="U361" s="108" t="str">
        <f>'Q100a-geral'!U1041</f>
        <v>x</v>
      </c>
      <c r="V361" s="109" t="str">
        <f>'Q100a-geral'!V1041</f>
        <v>só para pesquisa</v>
      </c>
      <c r="W361" s="108" t="str">
        <f>'Q100a-geral'!W1041</f>
        <v>x</v>
      </c>
      <c r="X361" s="108" t="str">
        <f>'Q100a-geral'!X1041</f>
        <v>x</v>
      </c>
      <c r="Y361" s="108" t="str">
        <f>'Q100a-geral'!Y1041</f>
        <v>x</v>
      </c>
      <c r="Z361" s="108" t="str">
        <f>'Q100a-geral'!Z1041</f>
        <v>x</v>
      </c>
      <c r="AA361" s="108" t="str">
        <f>'Q100a-geral'!AA1041</f>
        <v>x</v>
      </c>
      <c r="AB361" s="108" t="str">
        <f>'Q100a-geral'!AB1041</f>
        <v>x</v>
      </c>
      <c r="AC361" s="108" t="str">
        <f>'Q100a-geral'!AC1041</f>
        <v>x</v>
      </c>
      <c r="AD361" s="108" t="str">
        <f>'Q100a-geral'!AD1041</f>
        <v>x</v>
      </c>
      <c r="AE361" s="108" t="str">
        <f>'Q100a-geral'!AE1041</f>
        <v>x</v>
      </c>
      <c r="AF361" s="108" t="str">
        <f>'Q100a-geral'!AF1041</f>
        <v>x</v>
      </c>
      <c r="AG361" s="108" t="str">
        <f>'Q100a-geral'!AG1041</f>
        <v>x</v>
      </c>
      <c r="AH361" s="108" t="str">
        <f>'Q100a-geral'!AH1041</f>
        <v>x</v>
      </c>
      <c r="AI361" s="108" t="str">
        <f>'Q100a-geral'!AI1041</f>
        <v>x</v>
      </c>
      <c r="AJ361" s="108" t="str">
        <f>'Q100a-geral'!AJ1041</f>
        <v>x</v>
      </c>
      <c r="AK361" s="108" t="str">
        <f>'Q100a-geral'!AK1041</f>
        <v>x</v>
      </c>
      <c r="AL361" s="601" t="str">
        <f>'Q100a-geral'!AL1041</f>
        <v>x</v>
      </c>
      <c r="AM361" s="137" t="str">
        <f>'Q100a-geral'!AM1041</f>
        <v>x</v>
      </c>
      <c r="AN361" s="137" t="str">
        <f>'Q100a-geral'!AN1041</f>
        <v>x</v>
      </c>
      <c r="AO361" s="137" t="str">
        <f>'Q100a-geral'!AO1041</f>
        <v>x</v>
      </c>
      <c r="AP361" s="137" t="str">
        <f>'Q100a-geral'!AP1041</f>
        <v>x</v>
      </c>
      <c r="AQ361" s="137" t="str">
        <f>'Q100a-geral'!AQ1041</f>
        <v>x</v>
      </c>
      <c r="AR361" s="137"/>
      <c r="AS361" s="137"/>
      <c r="AT361" s="137"/>
      <c r="AU361" s="137"/>
      <c r="AV361" s="137" t="str">
        <f>'Q100a-geral'!AV1041</f>
        <v>x</v>
      </c>
      <c r="AW361" s="137"/>
      <c r="AX361" s="137"/>
      <c r="AY361" s="137"/>
      <c r="AZ361" s="137"/>
      <c r="BA361" s="137" t="str">
        <f>'Q100a-geral'!BA1041</f>
        <v>x</v>
      </c>
      <c r="BB361" s="239" t="str">
        <f>'Q100a-geral'!BB1041</f>
        <v>Sistema de transporte coletivo com um todoacessibilidade</v>
      </c>
      <c r="BC361" s="239" t="str">
        <f>'Q100a-geral'!BC1041</f>
        <v>Sistema de transporte coletivo com um todoacessibilidadesigla/verbete</v>
      </c>
      <c r="BD361" s="239" t="str">
        <f>'Q100a-geral'!BD1041</f>
        <v>Sistema de transporte coletivo com um todosigla/verbete</v>
      </c>
      <c r="BE361" s="358" t="s">
        <v>2628</v>
      </c>
      <c r="BF361" s="421">
        <v>1</v>
      </c>
      <c r="BG361" s="1"/>
    </row>
    <row r="362" spans="1:16375" s="1" customFormat="1" ht="90" x14ac:dyDescent="0.25">
      <c r="A362" s="413" t="str">
        <f>'Q100a-geral'!A920</f>
        <v>8.10</v>
      </c>
      <c r="B362" s="11" t="str">
        <f>'Q100a-geral'!B920</f>
        <v>Sistema de transporte coletivo com um todo</v>
      </c>
      <c r="C362" s="173" t="str">
        <f>'Q100a-geral'!C920</f>
        <v>acessibilidade</v>
      </c>
      <c r="D362" s="377" t="str">
        <f>'Q100a-geral'!D920</f>
        <v>F tc eh ec</v>
      </c>
      <c r="E362" s="355" t="str">
        <f>'Q100a-geral'!E920</f>
        <v>x</v>
      </c>
      <c r="F362" s="486" t="str">
        <f>'Q100a-geral'!F920</f>
        <v xml:space="preserve">frota em n.º de ônibus do transporte público coletivo de uma cidade/região equipados com elevador hidráulico acionado exclusivamente para embarque/desembarque de pessoas em cadeira de rodas e que não operam em plataforma elevada (o embarque/desembarque nunca acontece em nível)
obs.1: os veículos desta categoria recebem peso 2, numa escala de 1 a 10, na classificação definida pelo SisMob-BH para classificar a acessibilidade - acesse "acessibilidade em ônibus urbano (escala)"
obs.2: acesse informações quantitativas relativas ao indicador "IAED" das cidades/regiões já incorporadas ao SisMob-BH
</v>
      </c>
      <c r="G362" s="167" t="str">
        <f>'Q100a-geral'!G920</f>
        <v>verbete
MFO</v>
      </c>
      <c r="H362" s="167" t="str">
        <f>'Q100a-geral'!H920</f>
        <v>sigla/verbete</v>
      </c>
      <c r="I362" s="167" t="str">
        <f>'Q100a-geral'!I920</f>
        <v>x</v>
      </c>
      <c r="J362" s="107" t="str">
        <f>'Q100a-geral'!J920</f>
        <v>x</v>
      </c>
      <c r="K362" s="107" t="str">
        <f>'Q100a-geral'!K920</f>
        <v>x</v>
      </c>
      <c r="L362" s="107" t="str">
        <f>'Q100a-geral'!L920</f>
        <v>x</v>
      </c>
      <c r="M362" s="107" t="str">
        <f>'Q100a-geral'!M920</f>
        <v>x</v>
      </c>
      <c r="N362" s="107" t="str">
        <f>'Q100a-geral'!N920</f>
        <v>x</v>
      </c>
      <c r="O362" s="107" t="str">
        <f>'Q100a-geral'!O920</f>
        <v>x</v>
      </c>
      <c r="P362" s="107" t="str">
        <f>'Q100a-geral'!P920</f>
        <v>x</v>
      </c>
      <c r="Q362" s="107" t="str">
        <f>'Q100a-geral'!Q920</f>
        <v>x</v>
      </c>
      <c r="R362" s="107" t="str">
        <f>'Q100a-geral'!R920</f>
        <v>x</v>
      </c>
      <c r="S362" s="109" t="str">
        <f>'Q100a-geral'!S920</f>
        <v>só para pesquisa</v>
      </c>
      <c r="T362" s="108" t="str">
        <f>'Q100a-geral'!T920</f>
        <v>x</v>
      </c>
      <c r="U362" s="108" t="str">
        <f>'Q100a-geral'!U920</f>
        <v>x</v>
      </c>
      <c r="V362" s="109" t="str">
        <f>'Q100a-geral'!V920</f>
        <v>só para pesquisa</v>
      </c>
      <c r="W362" s="108" t="str">
        <f>'Q100a-geral'!W920</f>
        <v>x</v>
      </c>
      <c r="X362" s="108" t="str">
        <f>'Q100a-geral'!X920</f>
        <v>x</v>
      </c>
      <c r="Y362" s="108" t="str">
        <f>'Q100a-geral'!Y920</f>
        <v>x</v>
      </c>
      <c r="Z362" s="108" t="str">
        <f>'Q100a-geral'!Z920</f>
        <v>x</v>
      </c>
      <c r="AA362" s="108" t="str">
        <f>'Q100a-geral'!AA920</f>
        <v>x</v>
      </c>
      <c r="AB362" s="108" t="str">
        <f>'Q100a-geral'!AB920</f>
        <v>x</v>
      </c>
      <c r="AC362" s="108" t="str">
        <f>'Q100a-geral'!AC920</f>
        <v>x</v>
      </c>
      <c r="AD362" s="108" t="str">
        <f>'Q100a-geral'!AD920</f>
        <v>x</v>
      </c>
      <c r="AE362" s="108" t="str">
        <f>'Q100a-geral'!AE920</f>
        <v>x</v>
      </c>
      <c r="AF362" s="108" t="str">
        <f>'Q100a-geral'!AF920</f>
        <v>x</v>
      </c>
      <c r="AG362" s="108" t="str">
        <f>'Q100a-geral'!AG920</f>
        <v>x</v>
      </c>
      <c r="AH362" s="108" t="str">
        <f>'Q100a-geral'!AH920</f>
        <v>x</v>
      </c>
      <c r="AI362" s="108" t="str">
        <f>'Q100a-geral'!AI920</f>
        <v>x</v>
      </c>
      <c r="AJ362" s="108" t="str">
        <f>'Q100a-geral'!AJ920</f>
        <v>x</v>
      </c>
      <c r="AK362" s="108" t="str">
        <f>'Q100a-geral'!AK920</f>
        <v>x</v>
      </c>
      <c r="AL362" s="601" t="str">
        <f>'Q100a-geral'!AL920</f>
        <v>x</v>
      </c>
      <c r="AM362" s="137" t="str">
        <f>'Q100a-geral'!AM920</f>
        <v>x</v>
      </c>
      <c r="AN362" s="137" t="str">
        <f>'Q100a-geral'!AN920</f>
        <v>x</v>
      </c>
      <c r="AO362" s="137" t="str">
        <f>'Q100a-geral'!AO920</f>
        <v>x</v>
      </c>
      <c r="AP362" s="137" t="str">
        <f>'Q100a-geral'!AP920</f>
        <v>x</v>
      </c>
      <c r="AQ362" s="137" t="str">
        <f>'Q100a-geral'!AQ920</f>
        <v>x</v>
      </c>
      <c r="AR362" s="137"/>
      <c r="AS362" s="137"/>
      <c r="AT362" s="137"/>
      <c r="AU362" s="137"/>
      <c r="AV362" s="137" t="str">
        <f>'Q100a-geral'!AV920</f>
        <v>x</v>
      </c>
      <c r="AW362" s="137"/>
      <c r="AX362" s="137"/>
      <c r="AY362" s="137"/>
      <c r="AZ362" s="137"/>
      <c r="BA362" s="137" t="str">
        <f>'Q100a-geral'!BA920</f>
        <v>x</v>
      </c>
      <c r="BB362" s="239" t="str">
        <f>'Q100a-geral'!BB920</f>
        <v>Sistema de transporte coletivo com um todoacessibilidade</v>
      </c>
      <c r="BC362" s="239" t="str">
        <f>'Q100a-geral'!BC920</f>
        <v>Sistema de transporte coletivo com um todoacessibilidadesigla/verbete</v>
      </c>
      <c r="BD362" s="239" t="str">
        <f>'Q100a-geral'!BD920</f>
        <v>Sistema de transporte coletivo com um todosigla/verbete</v>
      </c>
      <c r="BE362" s="358" t="s">
        <v>2283</v>
      </c>
      <c r="BF362" s="421">
        <v>2</v>
      </c>
    </row>
    <row r="363" spans="1:16375" s="1" customFormat="1" ht="90" x14ac:dyDescent="0.25">
      <c r="A363" s="413" t="str">
        <f>'Q100a-geral'!A933</f>
        <v>8.10</v>
      </c>
      <c r="B363" s="11" t="str">
        <f>'Q100a-geral'!B933</f>
        <v>Sistema de transporte coletivo com um todo</v>
      </c>
      <c r="C363" s="173" t="str">
        <f>'Q100a-geral'!C933</f>
        <v>acessibilidade</v>
      </c>
      <c r="D363" s="377" t="str">
        <f>'Q100a-geral'!D933</f>
        <v>F tc eh ecp</v>
      </c>
      <c r="E363" s="355" t="str">
        <f>'Q100a-geral'!E933</f>
        <v>x</v>
      </c>
      <c r="F363" s="486" t="str">
        <f>'Q100a-geral'!F933</f>
        <v xml:space="preserve">frota em n.º de ônibus do transporte público coletivo de uma cidade/região equipados com elevador hidráulico que permitem embarque/desembarque não exclusivo de usuários cadeirantes (pessoas em pé podem utilizar o equipamento caso se sintam seguras e o operador permita) e que não operam em plataforma elevada 
obs.1: os veículos desta categoria recebem peso 3, numa escala de 1 a 10, na classificação definida pelo SisMob-BH para classificar a acessibilidade - acesse "acessibilidade em ônibus urbano (escala)"
obs.2: para informações e resultados de municípios/regiões já incorporados ao SisMob-BH acesse "F tc eh ecp" (Belo Horizonte, Curitiba, Joinville, RMBH metropolitano e São Paulo)
</v>
      </c>
      <c r="G363" s="529" t="str">
        <f>'Q100a-geral'!G933</f>
        <v>verbete
MFO</v>
      </c>
      <c r="H363" s="167" t="str">
        <f>'Q100a-geral'!H933</f>
        <v>sigla/verbete</v>
      </c>
      <c r="I363" s="167" t="str">
        <f>'Q100a-geral'!I933</f>
        <v>x</v>
      </c>
      <c r="J363" s="107" t="str">
        <f>'Q100a-geral'!J933</f>
        <v>x</v>
      </c>
      <c r="K363" s="107" t="str">
        <f>'Q100a-geral'!K933</f>
        <v>x</v>
      </c>
      <c r="L363" s="107" t="str">
        <f>'Q100a-geral'!L933</f>
        <v>x</v>
      </c>
      <c r="M363" s="107" t="str">
        <f>'Q100a-geral'!M933</f>
        <v>x</v>
      </c>
      <c r="N363" s="107" t="str">
        <f>'Q100a-geral'!N933</f>
        <v>x</v>
      </c>
      <c r="O363" s="107" t="str">
        <f>'Q100a-geral'!O933</f>
        <v>x</v>
      </c>
      <c r="P363" s="107" t="str">
        <f>'Q100a-geral'!P933</f>
        <v>x</v>
      </c>
      <c r="Q363" s="107" t="str">
        <f>'Q100a-geral'!Q933</f>
        <v>x</v>
      </c>
      <c r="R363" s="107" t="str">
        <f>'Q100a-geral'!R933</f>
        <v>x</v>
      </c>
      <c r="S363" s="109" t="str">
        <f>'Q100a-geral'!S933</f>
        <v>só para pesquisa</v>
      </c>
      <c r="T363" s="108" t="str">
        <f>'Q100a-geral'!T933</f>
        <v>x</v>
      </c>
      <c r="U363" s="108" t="str">
        <f>'Q100a-geral'!U933</f>
        <v>x</v>
      </c>
      <c r="V363" s="109" t="str">
        <f>'Q100a-geral'!V933</f>
        <v>só para pesquisa</v>
      </c>
      <c r="W363" s="108" t="str">
        <f>'Q100a-geral'!W933</f>
        <v>x</v>
      </c>
      <c r="X363" s="108" t="str">
        <f>'Q100a-geral'!X933</f>
        <v>x</v>
      </c>
      <c r="Y363" s="108" t="str">
        <f>'Q100a-geral'!Y933</f>
        <v>x</v>
      </c>
      <c r="Z363" s="108" t="str">
        <f>'Q100a-geral'!Z933</f>
        <v>x</v>
      </c>
      <c r="AA363" s="108" t="str">
        <f>'Q100a-geral'!AA933</f>
        <v>x</v>
      </c>
      <c r="AB363" s="108" t="str">
        <f>'Q100a-geral'!AB933</f>
        <v>x</v>
      </c>
      <c r="AC363" s="108" t="str">
        <f>'Q100a-geral'!AC933</f>
        <v>x</v>
      </c>
      <c r="AD363" s="108" t="str">
        <f>'Q100a-geral'!AD933</f>
        <v>x</v>
      </c>
      <c r="AE363" s="108" t="str">
        <f>'Q100a-geral'!AE933</f>
        <v>x</v>
      </c>
      <c r="AF363" s="108" t="str">
        <f>'Q100a-geral'!AF933</f>
        <v>x</v>
      </c>
      <c r="AG363" s="108" t="str">
        <f>'Q100a-geral'!AG933</f>
        <v>x</v>
      </c>
      <c r="AH363" s="108" t="str">
        <f>'Q100a-geral'!AH933</f>
        <v>x</v>
      </c>
      <c r="AI363" s="108" t="str">
        <f>'Q100a-geral'!AI933</f>
        <v>x</v>
      </c>
      <c r="AJ363" s="108" t="str">
        <f>'Q100a-geral'!AJ933</f>
        <v>x</v>
      </c>
      <c r="AK363" s="108" t="str">
        <f>'Q100a-geral'!AK933</f>
        <v>x</v>
      </c>
      <c r="AL363" s="601" t="str">
        <f>'Q100a-geral'!AL933</f>
        <v>x</v>
      </c>
      <c r="AM363" s="137" t="str">
        <f>'Q100a-geral'!AM933</f>
        <v>x</v>
      </c>
      <c r="AN363" s="137" t="str">
        <f>'Q100a-geral'!AN933</f>
        <v>x</v>
      </c>
      <c r="AO363" s="137" t="str">
        <f>'Q100a-geral'!AO933</f>
        <v>x</v>
      </c>
      <c r="AP363" s="137" t="str">
        <f>'Q100a-geral'!AP933</f>
        <v>x</v>
      </c>
      <c r="AQ363" s="137" t="str">
        <f>'Q100a-geral'!AQ933</f>
        <v>x</v>
      </c>
      <c r="AR363" s="137"/>
      <c r="AS363" s="137"/>
      <c r="AT363" s="137"/>
      <c r="AU363" s="137"/>
      <c r="AV363" s="137" t="str">
        <f>'Q100a-geral'!AV933</f>
        <v>x</v>
      </c>
      <c r="AW363" s="137"/>
      <c r="AX363" s="137"/>
      <c r="AY363" s="137"/>
      <c r="AZ363" s="137"/>
      <c r="BA363" s="137" t="str">
        <f>'Q100a-geral'!BA933</f>
        <v>x</v>
      </c>
      <c r="BB363" s="239" t="str">
        <f>'Q100a-geral'!BB933</f>
        <v>Sistema de transporte coletivo com um todoacessibilidade</v>
      </c>
      <c r="BC363" s="239" t="str">
        <f>'Q100a-geral'!BC933</f>
        <v>Sistema de transporte coletivo com um todoacessibilidadesigla/verbete</v>
      </c>
      <c r="BD363" s="239" t="str">
        <f>'Q100a-geral'!BD933</f>
        <v>Sistema de transporte coletivo com um todosigla/verbete</v>
      </c>
      <c r="BE363" s="358" t="s">
        <v>2284</v>
      </c>
      <c r="BF363" s="421">
        <v>3</v>
      </c>
    </row>
    <row r="364" spans="1:16375" s="373" customFormat="1" ht="101.25" x14ac:dyDescent="0.25">
      <c r="A364" s="413" t="str">
        <f>'Q100a-geral'!A887</f>
        <v>8.10</v>
      </c>
      <c r="B364" s="11" t="str">
        <f>'Q100a-geral'!B887</f>
        <v>Sistema de transporte coletivo com um todo</v>
      </c>
      <c r="C364" s="173" t="str">
        <f>'Q100a-geral'!C887</f>
        <v>acessibilidade</v>
      </c>
      <c r="D364" s="362" t="str">
        <f>'Q100a-geral'!D887</f>
        <v>F tc BRTmisto eh ec</v>
      </c>
      <c r="E364" s="488" t="str">
        <f>'Q100a-geral'!E887</f>
        <v>x</v>
      </c>
      <c r="F364" s="488" t="str">
        <f>'Q100a-geral'!F887</f>
        <v>frota em n.º de ônibus do transporte público coletivo de uma cidade/região com operação diferente em cada um dos lados: do lado esquerdo operação em corredor de BRT com plataforma elevada e embarque/desembarque em nível com o apoio ou não de plataforma manual em uma das portas; do lado direito operação em vias comuns fora do corredor de BRT, equipados com elevador hidráulico em uma das portas que permite embarque/desembarque exclusivo de cadeirante [esta categoria de BRT misto também recebe veículos de piso alto que, em determinadas viagens, operam fora de estações com plataforma elevada com, para permitir o desembarque, a utilização de escadas implantadas na calçada] 
obs.1: os veículos desta categoria recebem peso 4, numa escala de 1 a 10, na classificação definida pelo SisMob-BH para classificar a acessibilidade - acesse "acessibilidade em ônibus urbano (escala)"
obs.2: acesse informações quantitativas relativas ao indicador "IAED" das cidades/regiões já incorporadas ao SisMob-BH</v>
      </c>
      <c r="G364" s="57" t="str">
        <f>'Q100a-geral'!G887</f>
        <v>verbete
MFO</v>
      </c>
      <c r="H364" s="167" t="str">
        <f>'Q100a-geral'!H887</f>
        <v>sigla/verbete</v>
      </c>
      <c r="I364" s="167" t="str">
        <f>'Q100a-geral'!I887</f>
        <v>x</v>
      </c>
      <c r="J364" s="107" t="str">
        <f>'Q100a-geral'!J887</f>
        <v>x</v>
      </c>
      <c r="K364" s="107" t="str">
        <f>'Q100a-geral'!K887</f>
        <v>x</v>
      </c>
      <c r="L364" s="107" t="str">
        <f>'Q100a-geral'!L887</f>
        <v>x</v>
      </c>
      <c r="M364" s="107" t="str">
        <f>'Q100a-geral'!M887</f>
        <v>x</v>
      </c>
      <c r="N364" s="107" t="str">
        <f>'Q100a-geral'!N887</f>
        <v>x</v>
      </c>
      <c r="O364" s="107" t="str">
        <f>'Q100a-geral'!O887</f>
        <v>x</v>
      </c>
      <c r="P364" s="107" t="str">
        <f>'Q100a-geral'!P887</f>
        <v>x</v>
      </c>
      <c r="Q364" s="107" t="str">
        <f>'Q100a-geral'!Q887</f>
        <v>x</v>
      </c>
      <c r="R364" s="107" t="str">
        <f>'Q100a-geral'!R887</f>
        <v>x</v>
      </c>
      <c r="S364" s="109" t="str">
        <f>'Q100a-geral'!S887</f>
        <v>só para pesquisa</v>
      </c>
      <c r="T364" s="108" t="str">
        <f>'Q100a-geral'!T887</f>
        <v>x</v>
      </c>
      <c r="U364" s="108" t="str">
        <f>'Q100a-geral'!U887</f>
        <v>x</v>
      </c>
      <c r="V364" s="109" t="str">
        <f>'Q100a-geral'!V887</f>
        <v>só para pesquisa</v>
      </c>
      <c r="W364" s="108" t="str">
        <f>'Q100a-geral'!W887</f>
        <v>x</v>
      </c>
      <c r="X364" s="108" t="str">
        <f>'Q100a-geral'!X887</f>
        <v>x</v>
      </c>
      <c r="Y364" s="108" t="str">
        <f>'Q100a-geral'!Y887</f>
        <v>x</v>
      </c>
      <c r="Z364" s="108" t="str">
        <f>'Q100a-geral'!Z887</f>
        <v>x</v>
      </c>
      <c r="AA364" s="108" t="str">
        <f>'Q100a-geral'!AA887</f>
        <v>x</v>
      </c>
      <c r="AB364" s="108" t="str">
        <f>'Q100a-geral'!AB887</f>
        <v>x</v>
      </c>
      <c r="AC364" s="108" t="str">
        <f>'Q100a-geral'!AC887</f>
        <v>x</v>
      </c>
      <c r="AD364" s="108" t="str">
        <f>'Q100a-geral'!AD887</f>
        <v>x</v>
      </c>
      <c r="AE364" s="108" t="str">
        <f>'Q100a-geral'!AE887</f>
        <v>x</v>
      </c>
      <c r="AF364" s="108" t="str">
        <f>'Q100a-geral'!AF887</f>
        <v>x</v>
      </c>
      <c r="AG364" s="108" t="str">
        <f>'Q100a-geral'!AG887</f>
        <v>x</v>
      </c>
      <c r="AH364" s="108" t="str">
        <f>'Q100a-geral'!AH887</f>
        <v>x</v>
      </c>
      <c r="AI364" s="108" t="str">
        <f>'Q100a-geral'!AI887</f>
        <v>x</v>
      </c>
      <c r="AJ364" s="108" t="str">
        <f>'Q100a-geral'!AJ887</f>
        <v>x</v>
      </c>
      <c r="AK364" s="108" t="str">
        <f>'Q100a-geral'!AK887</f>
        <v>x</v>
      </c>
      <c r="AL364" s="601" t="str">
        <f>'Q100a-geral'!AL887</f>
        <v>x</v>
      </c>
      <c r="AM364" s="137" t="str">
        <f>'Q100a-geral'!AM887</f>
        <v>x</v>
      </c>
      <c r="AN364" s="137" t="str">
        <f>'Q100a-geral'!AN887</f>
        <v>x</v>
      </c>
      <c r="AO364" s="137" t="str">
        <f>'Q100a-geral'!AO887</f>
        <v>x</v>
      </c>
      <c r="AP364" s="137" t="str">
        <f>'Q100a-geral'!AP887</f>
        <v>x</v>
      </c>
      <c r="AQ364" s="137" t="str">
        <f>'Q100a-geral'!AQ887</f>
        <v>x</v>
      </c>
      <c r="AR364" s="137"/>
      <c r="AS364" s="137"/>
      <c r="AT364" s="137"/>
      <c r="AU364" s="137"/>
      <c r="AV364" s="137" t="str">
        <f>'Q100a-geral'!AV887</f>
        <v>x</v>
      </c>
      <c r="AW364" s="137"/>
      <c r="AX364" s="137"/>
      <c r="AY364" s="137"/>
      <c r="AZ364" s="137"/>
      <c r="BA364" s="137" t="str">
        <f>'Q100a-geral'!BA887</f>
        <v>x</v>
      </c>
      <c r="BB364" s="239" t="str">
        <f>'Q100a-geral'!BB887</f>
        <v>Sistema de transporte coletivo com um todoacessibilidade</v>
      </c>
      <c r="BC364" s="239" t="str">
        <f>'Q100a-geral'!BC887</f>
        <v>Sistema de transporte coletivo com um todoacessibilidadesigla/verbete</v>
      </c>
      <c r="BD364" s="239" t="str">
        <f>'Q100a-geral'!BD887</f>
        <v>Sistema de transporte coletivo com um todosigla/verbete</v>
      </c>
      <c r="BE364" s="814" t="s">
        <v>4109</v>
      </c>
      <c r="BF364" s="421">
        <v>4</v>
      </c>
      <c r="BG364" s="1"/>
      <c r="BH364" s="373">
        <f>'Q100a-geral'!BH887</f>
        <v>0</v>
      </c>
      <c r="BI364" s="373">
        <f>'Q100a-geral'!BI887</f>
        <v>0</v>
      </c>
      <c r="BJ364" s="373">
        <f>'Q100a-geral'!BJ887</f>
        <v>0</v>
      </c>
      <c r="BK364" s="373">
        <f>'Q100a-geral'!BK887</f>
        <v>0</v>
      </c>
      <c r="BL364" s="373">
        <f>'Q100a-geral'!BL887</f>
        <v>0</v>
      </c>
      <c r="BM364" s="373">
        <f>'Q100a-geral'!BM887</f>
        <v>0</v>
      </c>
      <c r="BN364" s="373">
        <f>'Q100a-geral'!BN887</f>
        <v>0</v>
      </c>
      <c r="BO364" s="373">
        <f>'Q100a-geral'!BO887</f>
        <v>0</v>
      </c>
      <c r="BP364" s="373">
        <f>'Q100a-geral'!BP887</f>
        <v>0</v>
      </c>
      <c r="BQ364" s="373">
        <f>'Q100a-geral'!BQ887</f>
        <v>0</v>
      </c>
      <c r="BR364" s="373">
        <f>'Q100a-geral'!BR887</f>
        <v>0</v>
      </c>
      <c r="BS364" s="373">
        <f>'Q100a-geral'!BS887</f>
        <v>0</v>
      </c>
      <c r="BT364" s="373">
        <f>'Q100a-geral'!BT887</f>
        <v>0</v>
      </c>
      <c r="BU364" s="373">
        <f>'Q100a-geral'!BU887</f>
        <v>0</v>
      </c>
      <c r="BV364" s="373">
        <f>'Q100a-geral'!BV887</f>
        <v>0</v>
      </c>
      <c r="BW364" s="373">
        <f>'Q100a-geral'!BW887</f>
        <v>0</v>
      </c>
      <c r="BX364" s="373">
        <f>'Q100a-geral'!BX887</f>
        <v>0</v>
      </c>
      <c r="BY364" s="373">
        <f>'Q100a-geral'!BY887</f>
        <v>0</v>
      </c>
      <c r="BZ364" s="373">
        <f>'Q100a-geral'!BZ887</f>
        <v>0</v>
      </c>
      <c r="CA364" s="373">
        <f>'Q100a-geral'!CA887</f>
        <v>0</v>
      </c>
      <c r="CB364" s="373">
        <f>'Q100a-geral'!CB887</f>
        <v>0</v>
      </c>
      <c r="CC364" s="373">
        <f>'Q100a-geral'!CC887</f>
        <v>0</v>
      </c>
      <c r="CD364" s="373">
        <f>'Q100a-geral'!CD887</f>
        <v>0</v>
      </c>
      <c r="CE364" s="373">
        <f>'Q100a-geral'!CE887</f>
        <v>0</v>
      </c>
      <c r="CF364" s="373">
        <f>'Q100a-geral'!CF887</f>
        <v>0</v>
      </c>
      <c r="CG364" s="373">
        <f>'Q100a-geral'!CG887</f>
        <v>0</v>
      </c>
      <c r="CH364" s="373">
        <f>'Q100a-geral'!CH887</f>
        <v>0</v>
      </c>
      <c r="CI364" s="373">
        <f>'Q100a-geral'!CI887</f>
        <v>0</v>
      </c>
      <c r="CJ364" s="373">
        <f>'Q100a-geral'!CJ887</f>
        <v>0</v>
      </c>
      <c r="CK364" s="373">
        <f>'Q100a-geral'!CK887</f>
        <v>0</v>
      </c>
      <c r="CL364" s="373">
        <f>'Q100a-geral'!CL887</f>
        <v>0</v>
      </c>
      <c r="CM364" s="373">
        <f>'Q100a-geral'!CM887</f>
        <v>0</v>
      </c>
      <c r="CN364" s="373">
        <f>'Q100a-geral'!CN887</f>
        <v>0</v>
      </c>
      <c r="CO364" s="373">
        <f>'Q100a-geral'!CO887</f>
        <v>0</v>
      </c>
      <c r="CP364" s="373">
        <f>'Q100a-geral'!CP887</f>
        <v>0</v>
      </c>
      <c r="CQ364" s="373">
        <f>'Q100a-geral'!CQ887</f>
        <v>0</v>
      </c>
      <c r="CR364" s="373">
        <f>'Q100a-geral'!CR887</f>
        <v>0</v>
      </c>
      <c r="CS364" s="373">
        <f>'Q100a-geral'!CS887</f>
        <v>0</v>
      </c>
      <c r="CT364" s="373">
        <f>'Q100a-geral'!CT887</f>
        <v>0</v>
      </c>
      <c r="CU364" s="373">
        <f>'Q100a-geral'!CU887</f>
        <v>0</v>
      </c>
      <c r="CV364" s="373">
        <f>'Q100a-geral'!CV887</f>
        <v>0</v>
      </c>
      <c r="CW364" s="373">
        <f>'Q100a-geral'!CW887</f>
        <v>0</v>
      </c>
      <c r="CX364" s="373">
        <f>'Q100a-geral'!CX887</f>
        <v>0</v>
      </c>
      <c r="CY364" s="373">
        <f>'Q100a-geral'!CY887</f>
        <v>0</v>
      </c>
      <c r="CZ364" s="373">
        <f>'Q100a-geral'!CZ887</f>
        <v>0</v>
      </c>
      <c r="DA364" s="373">
        <f>'Q100a-geral'!DA887</f>
        <v>0</v>
      </c>
      <c r="DB364" s="373">
        <f>'Q100a-geral'!DB887</f>
        <v>0</v>
      </c>
      <c r="DC364" s="373">
        <f>'Q100a-geral'!DC887</f>
        <v>0</v>
      </c>
      <c r="DD364" s="373">
        <f>'Q100a-geral'!DD887</f>
        <v>0</v>
      </c>
      <c r="DE364" s="373">
        <f>'Q100a-geral'!DE887</f>
        <v>0</v>
      </c>
      <c r="DF364" s="373">
        <f>'Q100a-geral'!DF887</f>
        <v>0</v>
      </c>
      <c r="DG364" s="373">
        <f>'Q100a-geral'!DG887</f>
        <v>0</v>
      </c>
      <c r="DH364" s="373">
        <f>'Q100a-geral'!DH887</f>
        <v>0</v>
      </c>
      <c r="DI364" s="373">
        <f>'Q100a-geral'!DI887</f>
        <v>0</v>
      </c>
      <c r="DJ364" s="373">
        <f>'Q100a-geral'!DJ887</f>
        <v>0</v>
      </c>
      <c r="DK364" s="373">
        <f>'Q100a-geral'!DK887</f>
        <v>0</v>
      </c>
      <c r="DL364" s="373">
        <f>'Q100a-geral'!DL887</f>
        <v>0</v>
      </c>
      <c r="DM364" s="373">
        <f>'Q100a-geral'!DM887</f>
        <v>0</v>
      </c>
      <c r="DN364" s="373">
        <f>'Q100a-geral'!DN887</f>
        <v>0</v>
      </c>
      <c r="DO364" s="373">
        <f>'Q100a-geral'!DO887</f>
        <v>0</v>
      </c>
      <c r="DP364" s="373">
        <f>'Q100a-geral'!DP887</f>
        <v>0</v>
      </c>
      <c r="DQ364" s="373">
        <f>'Q100a-geral'!DQ887</f>
        <v>0</v>
      </c>
      <c r="DR364" s="373">
        <f>'Q100a-geral'!DR887</f>
        <v>0</v>
      </c>
      <c r="DS364" s="373">
        <f>'Q100a-geral'!DS887</f>
        <v>0</v>
      </c>
      <c r="DT364" s="373">
        <f>'Q100a-geral'!DT887</f>
        <v>0</v>
      </c>
      <c r="DU364" s="373">
        <f>'Q100a-geral'!DU887</f>
        <v>0</v>
      </c>
      <c r="DV364" s="373">
        <f>'Q100a-geral'!DV887</f>
        <v>0</v>
      </c>
      <c r="DW364" s="373">
        <f>'Q100a-geral'!DW887</f>
        <v>0</v>
      </c>
      <c r="DX364" s="373">
        <f>'Q100a-geral'!DX887</f>
        <v>0</v>
      </c>
      <c r="DY364" s="373">
        <f>'Q100a-geral'!DY887</f>
        <v>0</v>
      </c>
      <c r="DZ364" s="373">
        <f>'Q100a-geral'!DZ887</f>
        <v>0</v>
      </c>
      <c r="EA364" s="373">
        <f>'Q100a-geral'!EA887</f>
        <v>0</v>
      </c>
      <c r="EB364" s="373">
        <f>'Q100a-geral'!EB887</f>
        <v>0</v>
      </c>
      <c r="EC364" s="373">
        <f>'Q100a-geral'!EC887</f>
        <v>0</v>
      </c>
      <c r="ED364" s="373">
        <f>'Q100a-geral'!ED887</f>
        <v>0</v>
      </c>
      <c r="EE364" s="373">
        <f>'Q100a-geral'!EE887</f>
        <v>0</v>
      </c>
      <c r="EF364" s="373">
        <f>'Q100a-geral'!EF887</f>
        <v>0</v>
      </c>
      <c r="EG364" s="373">
        <f>'Q100a-geral'!EG887</f>
        <v>0</v>
      </c>
      <c r="EH364" s="373">
        <f>'Q100a-geral'!EH887</f>
        <v>0</v>
      </c>
      <c r="EI364" s="373">
        <f>'Q100a-geral'!EI887</f>
        <v>0</v>
      </c>
      <c r="EJ364" s="373">
        <f>'Q100a-geral'!EJ887</f>
        <v>0</v>
      </c>
      <c r="EK364" s="373">
        <f>'Q100a-geral'!EK887</f>
        <v>0</v>
      </c>
      <c r="EL364" s="373">
        <f>'Q100a-geral'!EL887</f>
        <v>0</v>
      </c>
      <c r="EM364" s="373">
        <f>'Q100a-geral'!EM887</f>
        <v>0</v>
      </c>
      <c r="EN364" s="373">
        <f>'Q100a-geral'!EN887</f>
        <v>0</v>
      </c>
      <c r="EO364" s="373">
        <f>'Q100a-geral'!EO887</f>
        <v>0</v>
      </c>
      <c r="EP364" s="373">
        <f>'Q100a-geral'!EP887</f>
        <v>0</v>
      </c>
      <c r="EQ364" s="373">
        <f>'Q100a-geral'!EQ887</f>
        <v>0</v>
      </c>
      <c r="ER364" s="373">
        <f>'Q100a-geral'!ER887</f>
        <v>0</v>
      </c>
      <c r="ES364" s="373">
        <f>'Q100a-geral'!ES887</f>
        <v>0</v>
      </c>
      <c r="ET364" s="373">
        <f>'Q100a-geral'!ET887</f>
        <v>0</v>
      </c>
      <c r="EU364" s="373">
        <f>'Q100a-geral'!EU887</f>
        <v>0</v>
      </c>
      <c r="EV364" s="373">
        <f>'Q100a-geral'!EV887</f>
        <v>0</v>
      </c>
      <c r="EW364" s="373">
        <f>'Q100a-geral'!EW887</f>
        <v>0</v>
      </c>
      <c r="EX364" s="373">
        <f>'Q100a-geral'!EX887</f>
        <v>0</v>
      </c>
      <c r="EY364" s="373">
        <f>'Q100a-geral'!EY887</f>
        <v>0</v>
      </c>
      <c r="EZ364" s="373">
        <f>'Q100a-geral'!EZ887</f>
        <v>0</v>
      </c>
      <c r="FA364" s="373">
        <f>'Q100a-geral'!FA887</f>
        <v>0</v>
      </c>
      <c r="FB364" s="373">
        <f>'Q100a-geral'!FB887</f>
        <v>0</v>
      </c>
      <c r="FC364" s="373">
        <f>'Q100a-geral'!FC887</f>
        <v>0</v>
      </c>
      <c r="FD364" s="373">
        <f>'Q100a-geral'!FD887</f>
        <v>0</v>
      </c>
      <c r="FE364" s="373">
        <f>'Q100a-geral'!FE887</f>
        <v>0</v>
      </c>
      <c r="FF364" s="373">
        <f>'Q100a-geral'!FF887</f>
        <v>0</v>
      </c>
      <c r="FG364" s="373">
        <f>'Q100a-geral'!FG887</f>
        <v>0</v>
      </c>
      <c r="FH364" s="373">
        <f>'Q100a-geral'!FH887</f>
        <v>0</v>
      </c>
      <c r="FI364" s="373">
        <f>'Q100a-geral'!FI887</f>
        <v>0</v>
      </c>
      <c r="FJ364" s="373">
        <f>'Q100a-geral'!FJ887</f>
        <v>0</v>
      </c>
      <c r="FK364" s="373">
        <f>'Q100a-geral'!FK887</f>
        <v>0</v>
      </c>
      <c r="FL364" s="373">
        <f>'Q100a-geral'!FL887</f>
        <v>0</v>
      </c>
      <c r="FM364" s="373">
        <f>'Q100a-geral'!FM887</f>
        <v>0</v>
      </c>
      <c r="FN364" s="373">
        <f>'Q100a-geral'!FN887</f>
        <v>0</v>
      </c>
      <c r="FO364" s="373">
        <f>'Q100a-geral'!FO887</f>
        <v>0</v>
      </c>
      <c r="FP364" s="373">
        <f>'Q100a-geral'!FP887</f>
        <v>0</v>
      </c>
      <c r="FQ364" s="373">
        <f>'Q100a-geral'!FQ887</f>
        <v>0</v>
      </c>
      <c r="FR364" s="373">
        <f>'Q100a-geral'!FR887</f>
        <v>0</v>
      </c>
      <c r="FS364" s="373">
        <f>'Q100a-geral'!FS887</f>
        <v>0</v>
      </c>
      <c r="FT364" s="373">
        <f>'Q100a-geral'!FT887</f>
        <v>0</v>
      </c>
      <c r="FU364" s="373">
        <f>'Q100a-geral'!FU887</f>
        <v>0</v>
      </c>
      <c r="FV364" s="373">
        <f>'Q100a-geral'!FV887</f>
        <v>0</v>
      </c>
      <c r="FW364" s="373">
        <f>'Q100a-geral'!FW887</f>
        <v>0</v>
      </c>
      <c r="FX364" s="373">
        <f>'Q100a-geral'!FX887</f>
        <v>0</v>
      </c>
      <c r="FY364" s="373">
        <f>'Q100a-geral'!FY887</f>
        <v>0</v>
      </c>
      <c r="FZ364" s="373">
        <f>'Q100a-geral'!FZ887</f>
        <v>0</v>
      </c>
      <c r="GA364" s="373">
        <f>'Q100a-geral'!GA887</f>
        <v>0</v>
      </c>
      <c r="GB364" s="373">
        <f>'Q100a-geral'!GB887</f>
        <v>0</v>
      </c>
      <c r="GC364" s="373">
        <f>'Q100a-geral'!GC887</f>
        <v>0</v>
      </c>
      <c r="GD364" s="373">
        <f>'Q100a-geral'!GD887</f>
        <v>0</v>
      </c>
      <c r="GE364" s="373">
        <f>'Q100a-geral'!GE887</f>
        <v>0</v>
      </c>
      <c r="GF364" s="373">
        <f>'Q100a-geral'!GF887</f>
        <v>0</v>
      </c>
      <c r="GG364" s="373">
        <f>'Q100a-geral'!GG887</f>
        <v>0</v>
      </c>
      <c r="GH364" s="373">
        <f>'Q100a-geral'!GH887</f>
        <v>0</v>
      </c>
      <c r="GI364" s="373">
        <f>'Q100a-geral'!GI887</f>
        <v>0</v>
      </c>
      <c r="GJ364" s="373">
        <f>'Q100a-geral'!GJ887</f>
        <v>0</v>
      </c>
      <c r="GK364" s="373">
        <f>'Q100a-geral'!GK887</f>
        <v>0</v>
      </c>
      <c r="GL364" s="373">
        <f>'Q100a-geral'!GL887</f>
        <v>0</v>
      </c>
      <c r="GM364" s="373">
        <f>'Q100a-geral'!GM887</f>
        <v>0</v>
      </c>
      <c r="GN364" s="373">
        <f>'Q100a-geral'!GN887</f>
        <v>0</v>
      </c>
      <c r="GO364" s="373">
        <f>'Q100a-geral'!GO887</f>
        <v>0</v>
      </c>
      <c r="GP364" s="373">
        <f>'Q100a-geral'!GP887</f>
        <v>0</v>
      </c>
      <c r="GQ364" s="373">
        <f>'Q100a-geral'!GQ887</f>
        <v>0</v>
      </c>
      <c r="GR364" s="373">
        <f>'Q100a-geral'!GR887</f>
        <v>0</v>
      </c>
      <c r="GS364" s="373">
        <f>'Q100a-geral'!GS887</f>
        <v>0</v>
      </c>
      <c r="GT364" s="373">
        <f>'Q100a-geral'!GT887</f>
        <v>0</v>
      </c>
      <c r="GU364" s="373">
        <f>'Q100a-geral'!GU887</f>
        <v>0</v>
      </c>
      <c r="GV364" s="373">
        <f>'Q100a-geral'!GV887</f>
        <v>0</v>
      </c>
      <c r="GW364" s="373">
        <f>'Q100a-geral'!GW887</f>
        <v>0</v>
      </c>
      <c r="GX364" s="373">
        <f>'Q100a-geral'!GX887</f>
        <v>0</v>
      </c>
      <c r="GY364" s="373">
        <f>'Q100a-geral'!GY887</f>
        <v>0</v>
      </c>
      <c r="GZ364" s="373">
        <f>'Q100a-geral'!GZ887</f>
        <v>0</v>
      </c>
      <c r="HA364" s="373">
        <f>'Q100a-geral'!HA887</f>
        <v>0</v>
      </c>
      <c r="HB364" s="373">
        <f>'Q100a-geral'!HB887</f>
        <v>0</v>
      </c>
      <c r="HC364" s="373">
        <f>'Q100a-geral'!HC887</f>
        <v>0</v>
      </c>
      <c r="HD364" s="373">
        <f>'Q100a-geral'!HD887</f>
        <v>0</v>
      </c>
      <c r="HE364" s="373">
        <f>'Q100a-geral'!HE887</f>
        <v>0</v>
      </c>
      <c r="HF364" s="373">
        <f>'Q100a-geral'!HF887</f>
        <v>0</v>
      </c>
      <c r="HG364" s="373">
        <f>'Q100a-geral'!HG887</f>
        <v>0</v>
      </c>
      <c r="HH364" s="373">
        <f>'Q100a-geral'!HH887</f>
        <v>0</v>
      </c>
      <c r="HI364" s="373">
        <f>'Q100a-geral'!HI887</f>
        <v>0</v>
      </c>
      <c r="HJ364" s="373">
        <f>'Q100a-geral'!HJ887</f>
        <v>0</v>
      </c>
      <c r="HK364" s="373">
        <f>'Q100a-geral'!HK887</f>
        <v>0</v>
      </c>
      <c r="HL364" s="373">
        <f>'Q100a-geral'!HL887</f>
        <v>0</v>
      </c>
      <c r="HM364" s="373">
        <f>'Q100a-geral'!HM887</f>
        <v>0</v>
      </c>
      <c r="HN364" s="373">
        <f>'Q100a-geral'!HN887</f>
        <v>0</v>
      </c>
      <c r="HO364" s="373">
        <f>'Q100a-geral'!HO887</f>
        <v>0</v>
      </c>
      <c r="HP364" s="373">
        <f>'Q100a-geral'!HP887</f>
        <v>0</v>
      </c>
      <c r="HQ364" s="373">
        <f>'Q100a-geral'!HQ887</f>
        <v>0</v>
      </c>
      <c r="HR364" s="373">
        <f>'Q100a-geral'!HR887</f>
        <v>0</v>
      </c>
      <c r="HS364" s="373">
        <f>'Q100a-geral'!HS887</f>
        <v>0</v>
      </c>
      <c r="HT364" s="373">
        <f>'Q100a-geral'!HT887</f>
        <v>0</v>
      </c>
      <c r="HU364" s="373">
        <f>'Q100a-geral'!HU887</f>
        <v>0</v>
      </c>
      <c r="HV364" s="373">
        <f>'Q100a-geral'!HV887</f>
        <v>0</v>
      </c>
      <c r="HW364" s="373">
        <f>'Q100a-geral'!HW887</f>
        <v>0</v>
      </c>
      <c r="HX364" s="373">
        <f>'Q100a-geral'!HX887</f>
        <v>0</v>
      </c>
      <c r="HY364" s="373">
        <f>'Q100a-geral'!HY887</f>
        <v>0</v>
      </c>
      <c r="HZ364" s="373">
        <f>'Q100a-geral'!HZ887</f>
        <v>0</v>
      </c>
      <c r="IA364" s="373">
        <f>'Q100a-geral'!IA887</f>
        <v>0</v>
      </c>
      <c r="IB364" s="373">
        <f>'Q100a-geral'!IB887</f>
        <v>0</v>
      </c>
      <c r="IC364" s="373">
        <f>'Q100a-geral'!IC887</f>
        <v>0</v>
      </c>
      <c r="ID364" s="373">
        <f>'Q100a-geral'!ID887</f>
        <v>0</v>
      </c>
      <c r="IE364" s="373">
        <f>'Q100a-geral'!IE887</f>
        <v>0</v>
      </c>
      <c r="IF364" s="373">
        <f>'Q100a-geral'!IF887</f>
        <v>0</v>
      </c>
      <c r="IG364" s="373">
        <f>'Q100a-geral'!IG887</f>
        <v>0</v>
      </c>
      <c r="IH364" s="373">
        <f>'Q100a-geral'!IH887</f>
        <v>0</v>
      </c>
      <c r="II364" s="373">
        <f>'Q100a-geral'!II887</f>
        <v>0</v>
      </c>
      <c r="IJ364" s="373">
        <f>'Q100a-geral'!IJ887</f>
        <v>0</v>
      </c>
      <c r="IK364" s="373">
        <f>'Q100a-geral'!IK887</f>
        <v>0</v>
      </c>
      <c r="IL364" s="373">
        <f>'Q100a-geral'!IL887</f>
        <v>0</v>
      </c>
      <c r="IM364" s="373">
        <f>'Q100a-geral'!IM887</f>
        <v>0</v>
      </c>
      <c r="IN364" s="373">
        <f>'Q100a-geral'!IN887</f>
        <v>0</v>
      </c>
      <c r="IO364" s="373">
        <f>'Q100a-geral'!IO887</f>
        <v>0</v>
      </c>
      <c r="IP364" s="373">
        <f>'Q100a-geral'!IP887</f>
        <v>0</v>
      </c>
      <c r="IQ364" s="373">
        <f>'Q100a-geral'!IQ887</f>
        <v>0</v>
      </c>
      <c r="IR364" s="373">
        <f>'Q100a-geral'!IR887</f>
        <v>0</v>
      </c>
      <c r="IS364" s="373">
        <f>'Q100a-geral'!IS887</f>
        <v>0</v>
      </c>
      <c r="IT364" s="373">
        <f>'Q100a-geral'!IT887</f>
        <v>0</v>
      </c>
      <c r="IU364" s="373">
        <f>'Q100a-geral'!IU887</f>
        <v>0</v>
      </c>
      <c r="IV364" s="373">
        <f>'Q100a-geral'!IV887</f>
        <v>0</v>
      </c>
      <c r="IW364" s="373">
        <f>'Q100a-geral'!IW887</f>
        <v>0</v>
      </c>
      <c r="IX364" s="373">
        <f>'Q100a-geral'!IX887</f>
        <v>0</v>
      </c>
      <c r="IY364" s="373">
        <f>'Q100a-geral'!IY887</f>
        <v>0</v>
      </c>
      <c r="IZ364" s="373">
        <f>'Q100a-geral'!IZ887</f>
        <v>0</v>
      </c>
      <c r="JA364" s="373">
        <f>'Q100a-geral'!JA887</f>
        <v>0</v>
      </c>
      <c r="JB364" s="373">
        <f>'Q100a-geral'!JB887</f>
        <v>0</v>
      </c>
      <c r="JC364" s="373">
        <f>'Q100a-geral'!JC887</f>
        <v>0</v>
      </c>
      <c r="JD364" s="373">
        <f>'Q100a-geral'!JD887</f>
        <v>0</v>
      </c>
      <c r="JE364" s="373">
        <f>'Q100a-geral'!JE887</f>
        <v>0</v>
      </c>
      <c r="JF364" s="373">
        <f>'Q100a-geral'!JF887</f>
        <v>0</v>
      </c>
      <c r="JG364" s="373">
        <f>'Q100a-geral'!JG887</f>
        <v>0</v>
      </c>
      <c r="JH364" s="373">
        <f>'Q100a-geral'!JH887</f>
        <v>0</v>
      </c>
      <c r="JI364" s="373">
        <f>'Q100a-geral'!JI887</f>
        <v>0</v>
      </c>
      <c r="JJ364" s="373">
        <f>'Q100a-geral'!JJ887</f>
        <v>0</v>
      </c>
      <c r="JK364" s="373">
        <f>'Q100a-geral'!JK887</f>
        <v>0</v>
      </c>
      <c r="JL364" s="373">
        <f>'Q100a-geral'!JL887</f>
        <v>0</v>
      </c>
      <c r="JM364" s="373">
        <f>'Q100a-geral'!JM887</f>
        <v>0</v>
      </c>
      <c r="JN364" s="373">
        <f>'Q100a-geral'!JN887</f>
        <v>0</v>
      </c>
      <c r="JO364" s="373">
        <f>'Q100a-geral'!JO887</f>
        <v>0</v>
      </c>
      <c r="JP364" s="373">
        <f>'Q100a-geral'!JP887</f>
        <v>0</v>
      </c>
      <c r="JQ364" s="373">
        <f>'Q100a-geral'!JQ887</f>
        <v>0</v>
      </c>
      <c r="JR364" s="373">
        <f>'Q100a-geral'!JR887</f>
        <v>0</v>
      </c>
      <c r="JS364" s="373">
        <f>'Q100a-geral'!JS887</f>
        <v>0</v>
      </c>
      <c r="JT364" s="373">
        <f>'Q100a-geral'!JT887</f>
        <v>0</v>
      </c>
      <c r="JU364" s="373">
        <f>'Q100a-geral'!JU887</f>
        <v>0</v>
      </c>
      <c r="JV364" s="373">
        <f>'Q100a-geral'!JV887</f>
        <v>0</v>
      </c>
      <c r="JW364" s="373">
        <f>'Q100a-geral'!JW887</f>
        <v>0</v>
      </c>
      <c r="JX364" s="373">
        <f>'Q100a-geral'!JX887</f>
        <v>0</v>
      </c>
      <c r="JY364" s="373">
        <f>'Q100a-geral'!JY887</f>
        <v>0</v>
      </c>
      <c r="JZ364" s="373">
        <f>'Q100a-geral'!JZ887</f>
        <v>0</v>
      </c>
      <c r="KA364" s="373">
        <f>'Q100a-geral'!KA887</f>
        <v>0</v>
      </c>
      <c r="KB364" s="373">
        <f>'Q100a-geral'!KB887</f>
        <v>0</v>
      </c>
      <c r="KC364" s="373">
        <f>'Q100a-geral'!KC887</f>
        <v>0</v>
      </c>
      <c r="KD364" s="373">
        <f>'Q100a-geral'!KD887</f>
        <v>0</v>
      </c>
      <c r="KE364" s="373">
        <f>'Q100a-geral'!KE887</f>
        <v>0</v>
      </c>
      <c r="KF364" s="373">
        <f>'Q100a-geral'!KF887</f>
        <v>0</v>
      </c>
      <c r="KG364" s="373">
        <f>'Q100a-geral'!KG887</f>
        <v>0</v>
      </c>
      <c r="KH364" s="373">
        <f>'Q100a-geral'!KH887</f>
        <v>0</v>
      </c>
      <c r="KI364" s="373">
        <f>'Q100a-geral'!KI887</f>
        <v>0</v>
      </c>
      <c r="KJ364" s="373">
        <f>'Q100a-geral'!KJ887</f>
        <v>0</v>
      </c>
      <c r="KK364" s="373">
        <f>'Q100a-geral'!KK887</f>
        <v>0</v>
      </c>
      <c r="KL364" s="373">
        <f>'Q100a-geral'!KL887</f>
        <v>0</v>
      </c>
      <c r="KM364" s="373">
        <f>'Q100a-geral'!KM887</f>
        <v>0</v>
      </c>
      <c r="KN364" s="373">
        <f>'Q100a-geral'!KN887</f>
        <v>0</v>
      </c>
      <c r="KO364" s="373">
        <f>'Q100a-geral'!KO887</f>
        <v>0</v>
      </c>
      <c r="KP364" s="373">
        <f>'Q100a-geral'!KP887</f>
        <v>0</v>
      </c>
      <c r="KQ364" s="373">
        <f>'Q100a-geral'!KQ887</f>
        <v>0</v>
      </c>
      <c r="KR364" s="373">
        <f>'Q100a-geral'!KR887</f>
        <v>0</v>
      </c>
      <c r="KS364" s="373">
        <f>'Q100a-geral'!KS887</f>
        <v>0</v>
      </c>
      <c r="KT364" s="373">
        <f>'Q100a-geral'!KT887</f>
        <v>0</v>
      </c>
      <c r="KU364" s="373">
        <f>'Q100a-geral'!KU887</f>
        <v>0</v>
      </c>
      <c r="KV364" s="373">
        <f>'Q100a-geral'!KV887</f>
        <v>0</v>
      </c>
      <c r="KW364" s="373">
        <f>'Q100a-geral'!KW887</f>
        <v>0</v>
      </c>
      <c r="KX364" s="373">
        <f>'Q100a-geral'!KX887</f>
        <v>0</v>
      </c>
      <c r="KY364" s="373">
        <f>'Q100a-geral'!KY887</f>
        <v>0</v>
      </c>
      <c r="KZ364" s="373">
        <f>'Q100a-geral'!KZ887</f>
        <v>0</v>
      </c>
      <c r="LA364" s="373">
        <f>'Q100a-geral'!LA887</f>
        <v>0</v>
      </c>
      <c r="LB364" s="373">
        <f>'Q100a-geral'!LB887</f>
        <v>0</v>
      </c>
      <c r="LC364" s="373">
        <f>'Q100a-geral'!LC887</f>
        <v>0</v>
      </c>
      <c r="LD364" s="373">
        <f>'Q100a-geral'!LD887</f>
        <v>0</v>
      </c>
      <c r="LE364" s="373">
        <f>'Q100a-geral'!LE887</f>
        <v>0</v>
      </c>
      <c r="LF364" s="373">
        <f>'Q100a-geral'!LF887</f>
        <v>0</v>
      </c>
      <c r="LG364" s="373">
        <f>'Q100a-geral'!LG887</f>
        <v>0</v>
      </c>
      <c r="LH364" s="373">
        <f>'Q100a-geral'!LH887</f>
        <v>0</v>
      </c>
      <c r="LI364" s="373">
        <f>'Q100a-geral'!LI887</f>
        <v>0</v>
      </c>
      <c r="LJ364" s="373">
        <f>'Q100a-geral'!LJ887</f>
        <v>0</v>
      </c>
      <c r="LK364" s="373">
        <f>'Q100a-geral'!LK887</f>
        <v>0</v>
      </c>
      <c r="LL364" s="373">
        <f>'Q100a-geral'!LL887</f>
        <v>0</v>
      </c>
      <c r="LM364" s="373">
        <f>'Q100a-geral'!LM887</f>
        <v>0</v>
      </c>
      <c r="LN364" s="373">
        <f>'Q100a-geral'!LN887</f>
        <v>0</v>
      </c>
      <c r="LO364" s="373">
        <f>'Q100a-geral'!LO887</f>
        <v>0</v>
      </c>
      <c r="LP364" s="373">
        <f>'Q100a-geral'!LP887</f>
        <v>0</v>
      </c>
      <c r="LQ364" s="373">
        <f>'Q100a-geral'!LQ887</f>
        <v>0</v>
      </c>
      <c r="LR364" s="373">
        <f>'Q100a-geral'!LR887</f>
        <v>0</v>
      </c>
      <c r="LS364" s="373">
        <f>'Q100a-geral'!LS887</f>
        <v>0</v>
      </c>
      <c r="LT364" s="373">
        <f>'Q100a-geral'!LT887</f>
        <v>0</v>
      </c>
      <c r="LU364" s="373">
        <f>'Q100a-geral'!LU887</f>
        <v>0</v>
      </c>
      <c r="LV364" s="373">
        <f>'Q100a-geral'!LV887</f>
        <v>0</v>
      </c>
      <c r="LW364" s="373">
        <f>'Q100a-geral'!LW887</f>
        <v>0</v>
      </c>
      <c r="LX364" s="373">
        <f>'Q100a-geral'!LX887</f>
        <v>0</v>
      </c>
      <c r="LY364" s="373">
        <f>'Q100a-geral'!LY887</f>
        <v>0</v>
      </c>
      <c r="LZ364" s="373">
        <f>'Q100a-geral'!LZ887</f>
        <v>0</v>
      </c>
      <c r="MA364" s="373">
        <f>'Q100a-geral'!MA887</f>
        <v>0</v>
      </c>
      <c r="MB364" s="373">
        <f>'Q100a-geral'!MB887</f>
        <v>0</v>
      </c>
      <c r="MC364" s="373">
        <f>'Q100a-geral'!MC887</f>
        <v>0</v>
      </c>
      <c r="MD364" s="373">
        <f>'Q100a-geral'!MD887</f>
        <v>0</v>
      </c>
      <c r="ME364" s="373">
        <f>'Q100a-geral'!ME887</f>
        <v>0</v>
      </c>
      <c r="MF364" s="373">
        <f>'Q100a-geral'!MF887</f>
        <v>0</v>
      </c>
      <c r="MG364" s="373">
        <f>'Q100a-geral'!MG887</f>
        <v>0</v>
      </c>
      <c r="MH364" s="373">
        <f>'Q100a-geral'!MH887</f>
        <v>0</v>
      </c>
      <c r="MI364" s="373">
        <f>'Q100a-geral'!MI887</f>
        <v>0</v>
      </c>
      <c r="MJ364" s="373">
        <f>'Q100a-geral'!MJ887</f>
        <v>0</v>
      </c>
      <c r="MK364" s="373">
        <f>'Q100a-geral'!MK887</f>
        <v>0</v>
      </c>
      <c r="ML364" s="373">
        <f>'Q100a-geral'!ML887</f>
        <v>0</v>
      </c>
      <c r="MM364" s="373">
        <f>'Q100a-geral'!MM887</f>
        <v>0</v>
      </c>
      <c r="MN364" s="373">
        <f>'Q100a-geral'!MN887</f>
        <v>0</v>
      </c>
      <c r="MO364" s="373">
        <f>'Q100a-geral'!MO887</f>
        <v>0</v>
      </c>
      <c r="MP364" s="373">
        <f>'Q100a-geral'!MP887</f>
        <v>0</v>
      </c>
      <c r="MQ364" s="373">
        <f>'Q100a-geral'!MQ887</f>
        <v>0</v>
      </c>
      <c r="MR364" s="373">
        <f>'Q100a-geral'!MR887</f>
        <v>0</v>
      </c>
      <c r="MS364" s="373">
        <f>'Q100a-geral'!MS887</f>
        <v>0</v>
      </c>
      <c r="MT364" s="373">
        <f>'Q100a-geral'!MT887</f>
        <v>0</v>
      </c>
      <c r="MU364" s="373">
        <f>'Q100a-geral'!MU887</f>
        <v>0</v>
      </c>
      <c r="MV364" s="373">
        <f>'Q100a-geral'!MV887</f>
        <v>0</v>
      </c>
      <c r="MW364" s="373">
        <f>'Q100a-geral'!MW887</f>
        <v>0</v>
      </c>
      <c r="MX364" s="373">
        <f>'Q100a-geral'!MX887</f>
        <v>0</v>
      </c>
      <c r="MY364" s="373">
        <f>'Q100a-geral'!MY887</f>
        <v>0</v>
      </c>
      <c r="MZ364" s="373">
        <f>'Q100a-geral'!MZ887</f>
        <v>0</v>
      </c>
      <c r="NA364" s="373">
        <f>'Q100a-geral'!NA887</f>
        <v>0</v>
      </c>
      <c r="NB364" s="373">
        <f>'Q100a-geral'!NB887</f>
        <v>0</v>
      </c>
      <c r="NC364" s="373">
        <f>'Q100a-geral'!NC887</f>
        <v>0</v>
      </c>
      <c r="ND364" s="373">
        <f>'Q100a-geral'!ND887</f>
        <v>0</v>
      </c>
      <c r="NE364" s="373">
        <f>'Q100a-geral'!NE887</f>
        <v>0</v>
      </c>
      <c r="NF364" s="373">
        <f>'Q100a-geral'!NF887</f>
        <v>0</v>
      </c>
      <c r="NG364" s="373">
        <f>'Q100a-geral'!NG887</f>
        <v>0</v>
      </c>
      <c r="NH364" s="373">
        <f>'Q100a-geral'!NH887</f>
        <v>0</v>
      </c>
      <c r="NI364" s="373">
        <f>'Q100a-geral'!NI887</f>
        <v>0</v>
      </c>
      <c r="NJ364" s="373">
        <f>'Q100a-geral'!NJ887</f>
        <v>0</v>
      </c>
      <c r="NK364" s="373">
        <f>'Q100a-geral'!NK887</f>
        <v>0</v>
      </c>
      <c r="NL364" s="373">
        <f>'Q100a-geral'!NL887</f>
        <v>0</v>
      </c>
      <c r="NM364" s="373">
        <f>'Q100a-geral'!NM887</f>
        <v>0</v>
      </c>
      <c r="NN364" s="373">
        <f>'Q100a-geral'!NN887</f>
        <v>0</v>
      </c>
      <c r="NO364" s="373">
        <f>'Q100a-geral'!NO887</f>
        <v>0</v>
      </c>
      <c r="NP364" s="373">
        <f>'Q100a-geral'!NP887</f>
        <v>0</v>
      </c>
      <c r="NQ364" s="373">
        <f>'Q100a-geral'!NQ887</f>
        <v>0</v>
      </c>
      <c r="NR364" s="373">
        <f>'Q100a-geral'!NR887</f>
        <v>0</v>
      </c>
      <c r="NS364" s="373">
        <f>'Q100a-geral'!NS887</f>
        <v>0</v>
      </c>
      <c r="NT364" s="373">
        <f>'Q100a-geral'!NT887</f>
        <v>0</v>
      </c>
      <c r="NU364" s="373">
        <f>'Q100a-geral'!NU887</f>
        <v>0</v>
      </c>
      <c r="NV364" s="373">
        <f>'Q100a-geral'!NV887</f>
        <v>0</v>
      </c>
      <c r="NW364" s="373">
        <f>'Q100a-geral'!NW887</f>
        <v>0</v>
      </c>
      <c r="NX364" s="373">
        <f>'Q100a-geral'!NX887</f>
        <v>0</v>
      </c>
      <c r="NY364" s="373">
        <f>'Q100a-geral'!NY887</f>
        <v>0</v>
      </c>
      <c r="NZ364" s="373">
        <f>'Q100a-geral'!NZ887</f>
        <v>0</v>
      </c>
      <c r="OA364" s="373">
        <f>'Q100a-geral'!OA887</f>
        <v>0</v>
      </c>
      <c r="OB364" s="373">
        <f>'Q100a-geral'!OB887</f>
        <v>0</v>
      </c>
      <c r="OC364" s="373">
        <f>'Q100a-geral'!OC887</f>
        <v>0</v>
      </c>
      <c r="OD364" s="373">
        <f>'Q100a-geral'!OD887</f>
        <v>0</v>
      </c>
      <c r="OE364" s="373">
        <f>'Q100a-geral'!OE887</f>
        <v>0</v>
      </c>
      <c r="OF364" s="373">
        <f>'Q100a-geral'!OF887</f>
        <v>0</v>
      </c>
      <c r="OG364" s="373">
        <f>'Q100a-geral'!OG887</f>
        <v>0</v>
      </c>
      <c r="OH364" s="373">
        <f>'Q100a-geral'!OH887</f>
        <v>0</v>
      </c>
      <c r="OI364" s="373">
        <f>'Q100a-geral'!OI887</f>
        <v>0</v>
      </c>
      <c r="OJ364" s="373">
        <f>'Q100a-geral'!OJ887</f>
        <v>0</v>
      </c>
      <c r="OK364" s="373">
        <f>'Q100a-geral'!OK887</f>
        <v>0</v>
      </c>
      <c r="OL364" s="373">
        <f>'Q100a-geral'!OL887</f>
        <v>0</v>
      </c>
      <c r="OM364" s="373">
        <f>'Q100a-geral'!OM887</f>
        <v>0</v>
      </c>
      <c r="ON364" s="373">
        <f>'Q100a-geral'!ON887</f>
        <v>0</v>
      </c>
      <c r="OO364" s="373">
        <f>'Q100a-geral'!OO887</f>
        <v>0</v>
      </c>
      <c r="OP364" s="373">
        <f>'Q100a-geral'!OP887</f>
        <v>0</v>
      </c>
      <c r="OQ364" s="373">
        <f>'Q100a-geral'!OQ887</f>
        <v>0</v>
      </c>
      <c r="OR364" s="373">
        <f>'Q100a-geral'!OR887</f>
        <v>0</v>
      </c>
      <c r="OS364" s="373">
        <f>'Q100a-geral'!OS887</f>
        <v>0</v>
      </c>
      <c r="OT364" s="373">
        <f>'Q100a-geral'!OT887</f>
        <v>0</v>
      </c>
      <c r="OU364" s="373">
        <f>'Q100a-geral'!OU887</f>
        <v>0</v>
      </c>
      <c r="OV364" s="373">
        <f>'Q100a-geral'!OV887</f>
        <v>0</v>
      </c>
      <c r="OW364" s="373">
        <f>'Q100a-geral'!OW887</f>
        <v>0</v>
      </c>
      <c r="OX364" s="373">
        <f>'Q100a-geral'!OX887</f>
        <v>0</v>
      </c>
      <c r="OY364" s="373">
        <f>'Q100a-geral'!OY887</f>
        <v>0</v>
      </c>
      <c r="OZ364" s="373">
        <f>'Q100a-geral'!OZ887</f>
        <v>0</v>
      </c>
      <c r="PA364" s="373">
        <f>'Q100a-geral'!PA887</f>
        <v>0</v>
      </c>
      <c r="PB364" s="373">
        <f>'Q100a-geral'!PB887</f>
        <v>0</v>
      </c>
      <c r="PC364" s="373">
        <f>'Q100a-geral'!PC887</f>
        <v>0</v>
      </c>
      <c r="PD364" s="373">
        <f>'Q100a-geral'!PD887</f>
        <v>0</v>
      </c>
      <c r="PE364" s="373">
        <f>'Q100a-geral'!PE887</f>
        <v>0</v>
      </c>
      <c r="PF364" s="373">
        <f>'Q100a-geral'!PF887</f>
        <v>0</v>
      </c>
      <c r="PG364" s="373">
        <f>'Q100a-geral'!PG887</f>
        <v>0</v>
      </c>
      <c r="PH364" s="373">
        <f>'Q100a-geral'!PH887</f>
        <v>0</v>
      </c>
      <c r="PI364" s="373">
        <f>'Q100a-geral'!PI887</f>
        <v>0</v>
      </c>
      <c r="PJ364" s="373">
        <f>'Q100a-geral'!PJ887</f>
        <v>0</v>
      </c>
      <c r="PK364" s="373">
        <f>'Q100a-geral'!PK887</f>
        <v>0</v>
      </c>
      <c r="PL364" s="373">
        <f>'Q100a-geral'!PL887</f>
        <v>0</v>
      </c>
      <c r="PM364" s="373">
        <f>'Q100a-geral'!PM887</f>
        <v>0</v>
      </c>
      <c r="PN364" s="373">
        <f>'Q100a-geral'!PN887</f>
        <v>0</v>
      </c>
      <c r="PO364" s="373">
        <f>'Q100a-geral'!PO887</f>
        <v>0</v>
      </c>
      <c r="PP364" s="373">
        <f>'Q100a-geral'!PP887</f>
        <v>0</v>
      </c>
      <c r="PQ364" s="373">
        <f>'Q100a-geral'!PQ887</f>
        <v>0</v>
      </c>
      <c r="PR364" s="373">
        <f>'Q100a-geral'!PR887</f>
        <v>0</v>
      </c>
      <c r="PS364" s="373">
        <f>'Q100a-geral'!PS887</f>
        <v>0</v>
      </c>
      <c r="PT364" s="373">
        <f>'Q100a-geral'!PT887</f>
        <v>0</v>
      </c>
      <c r="PU364" s="373">
        <f>'Q100a-geral'!PU887</f>
        <v>0</v>
      </c>
      <c r="PV364" s="373">
        <f>'Q100a-geral'!PV887</f>
        <v>0</v>
      </c>
      <c r="PW364" s="373">
        <f>'Q100a-geral'!PW887</f>
        <v>0</v>
      </c>
      <c r="PX364" s="373">
        <f>'Q100a-geral'!PX887</f>
        <v>0</v>
      </c>
      <c r="PY364" s="373">
        <f>'Q100a-geral'!PY887</f>
        <v>0</v>
      </c>
      <c r="PZ364" s="373">
        <f>'Q100a-geral'!PZ887</f>
        <v>0</v>
      </c>
      <c r="QA364" s="373">
        <f>'Q100a-geral'!QA887</f>
        <v>0</v>
      </c>
      <c r="QB364" s="373">
        <f>'Q100a-geral'!QB887</f>
        <v>0</v>
      </c>
      <c r="QC364" s="373">
        <f>'Q100a-geral'!QC887</f>
        <v>0</v>
      </c>
      <c r="QD364" s="373">
        <f>'Q100a-geral'!QD887</f>
        <v>0</v>
      </c>
      <c r="QE364" s="373">
        <f>'Q100a-geral'!QE887</f>
        <v>0</v>
      </c>
      <c r="QF364" s="373">
        <f>'Q100a-geral'!QF887</f>
        <v>0</v>
      </c>
      <c r="QG364" s="373">
        <f>'Q100a-geral'!QG887</f>
        <v>0</v>
      </c>
      <c r="QH364" s="373">
        <f>'Q100a-geral'!QH887</f>
        <v>0</v>
      </c>
      <c r="QI364" s="373">
        <f>'Q100a-geral'!QI887</f>
        <v>0</v>
      </c>
      <c r="QJ364" s="373">
        <f>'Q100a-geral'!QJ887</f>
        <v>0</v>
      </c>
      <c r="QK364" s="373">
        <f>'Q100a-geral'!QK887</f>
        <v>0</v>
      </c>
      <c r="QL364" s="373">
        <f>'Q100a-geral'!QL887</f>
        <v>0</v>
      </c>
      <c r="QM364" s="373">
        <f>'Q100a-geral'!QM887</f>
        <v>0</v>
      </c>
      <c r="QN364" s="373">
        <f>'Q100a-geral'!QN887</f>
        <v>0</v>
      </c>
      <c r="QO364" s="373">
        <f>'Q100a-geral'!QO887</f>
        <v>0</v>
      </c>
      <c r="QP364" s="373">
        <f>'Q100a-geral'!QP887</f>
        <v>0</v>
      </c>
      <c r="QQ364" s="373">
        <f>'Q100a-geral'!QQ887</f>
        <v>0</v>
      </c>
      <c r="QR364" s="373">
        <f>'Q100a-geral'!QR887</f>
        <v>0</v>
      </c>
      <c r="QS364" s="373">
        <f>'Q100a-geral'!QS887</f>
        <v>0</v>
      </c>
      <c r="QT364" s="373">
        <f>'Q100a-geral'!QT887</f>
        <v>0</v>
      </c>
      <c r="QU364" s="373">
        <f>'Q100a-geral'!QU887</f>
        <v>0</v>
      </c>
      <c r="QV364" s="373">
        <f>'Q100a-geral'!QV887</f>
        <v>0</v>
      </c>
      <c r="QW364" s="373">
        <f>'Q100a-geral'!QW887</f>
        <v>0</v>
      </c>
      <c r="QX364" s="373">
        <f>'Q100a-geral'!QX887</f>
        <v>0</v>
      </c>
      <c r="QY364" s="373">
        <f>'Q100a-geral'!QY887</f>
        <v>0</v>
      </c>
      <c r="QZ364" s="373">
        <f>'Q100a-geral'!QZ887</f>
        <v>0</v>
      </c>
      <c r="RA364" s="373">
        <f>'Q100a-geral'!RA887</f>
        <v>0</v>
      </c>
      <c r="RB364" s="373">
        <f>'Q100a-geral'!RB887</f>
        <v>0</v>
      </c>
      <c r="RC364" s="373">
        <f>'Q100a-geral'!RC887</f>
        <v>0</v>
      </c>
      <c r="RD364" s="373">
        <f>'Q100a-geral'!RD887</f>
        <v>0</v>
      </c>
      <c r="RE364" s="373">
        <f>'Q100a-geral'!RE887</f>
        <v>0</v>
      </c>
      <c r="RF364" s="373">
        <f>'Q100a-geral'!RF887</f>
        <v>0</v>
      </c>
      <c r="RG364" s="373">
        <f>'Q100a-geral'!RG887</f>
        <v>0</v>
      </c>
      <c r="RH364" s="373">
        <f>'Q100a-geral'!RH887</f>
        <v>0</v>
      </c>
      <c r="RI364" s="373">
        <f>'Q100a-geral'!RI887</f>
        <v>0</v>
      </c>
      <c r="RJ364" s="373">
        <f>'Q100a-geral'!RJ887</f>
        <v>0</v>
      </c>
      <c r="RK364" s="373">
        <f>'Q100a-geral'!RK887</f>
        <v>0</v>
      </c>
      <c r="RL364" s="373">
        <f>'Q100a-geral'!RL887</f>
        <v>0</v>
      </c>
      <c r="RM364" s="373">
        <f>'Q100a-geral'!RM887</f>
        <v>0</v>
      </c>
      <c r="RN364" s="373">
        <f>'Q100a-geral'!RN887</f>
        <v>0</v>
      </c>
      <c r="RO364" s="373">
        <f>'Q100a-geral'!RO887</f>
        <v>0</v>
      </c>
      <c r="RP364" s="373">
        <f>'Q100a-geral'!RP887</f>
        <v>0</v>
      </c>
      <c r="RQ364" s="373">
        <f>'Q100a-geral'!RQ887</f>
        <v>0</v>
      </c>
      <c r="RR364" s="373">
        <f>'Q100a-geral'!RR887</f>
        <v>0</v>
      </c>
      <c r="RS364" s="373">
        <f>'Q100a-geral'!RS887</f>
        <v>0</v>
      </c>
      <c r="RT364" s="373">
        <f>'Q100a-geral'!RT887</f>
        <v>0</v>
      </c>
      <c r="RU364" s="373">
        <f>'Q100a-geral'!RU887</f>
        <v>0</v>
      </c>
      <c r="RV364" s="373">
        <f>'Q100a-geral'!RV887</f>
        <v>0</v>
      </c>
      <c r="RW364" s="373">
        <f>'Q100a-geral'!RW887</f>
        <v>0</v>
      </c>
      <c r="RX364" s="373">
        <f>'Q100a-geral'!RX887</f>
        <v>0</v>
      </c>
      <c r="RY364" s="373">
        <f>'Q100a-geral'!RY887</f>
        <v>0</v>
      </c>
      <c r="RZ364" s="373">
        <f>'Q100a-geral'!RZ887</f>
        <v>0</v>
      </c>
      <c r="SA364" s="373">
        <f>'Q100a-geral'!SA887</f>
        <v>0</v>
      </c>
      <c r="SB364" s="373">
        <f>'Q100a-geral'!SB887</f>
        <v>0</v>
      </c>
      <c r="SC364" s="373">
        <f>'Q100a-geral'!SC887</f>
        <v>0</v>
      </c>
      <c r="SD364" s="373">
        <f>'Q100a-geral'!SD887</f>
        <v>0</v>
      </c>
      <c r="SE364" s="373">
        <f>'Q100a-geral'!SE887</f>
        <v>0</v>
      </c>
      <c r="SF364" s="373">
        <f>'Q100a-geral'!SF887</f>
        <v>0</v>
      </c>
      <c r="SG364" s="373">
        <f>'Q100a-geral'!SG887</f>
        <v>0</v>
      </c>
      <c r="SH364" s="373">
        <f>'Q100a-geral'!SH887</f>
        <v>0</v>
      </c>
      <c r="SI364" s="373">
        <f>'Q100a-geral'!SI887</f>
        <v>0</v>
      </c>
      <c r="SJ364" s="373">
        <f>'Q100a-geral'!SJ887</f>
        <v>0</v>
      </c>
      <c r="SK364" s="373">
        <f>'Q100a-geral'!SK887</f>
        <v>0</v>
      </c>
      <c r="SL364" s="373">
        <f>'Q100a-geral'!SL887</f>
        <v>0</v>
      </c>
      <c r="SM364" s="373">
        <f>'Q100a-geral'!SM887</f>
        <v>0</v>
      </c>
      <c r="SN364" s="373">
        <f>'Q100a-geral'!SN887</f>
        <v>0</v>
      </c>
      <c r="SO364" s="373">
        <f>'Q100a-geral'!SO887</f>
        <v>0</v>
      </c>
      <c r="SP364" s="373">
        <f>'Q100a-geral'!SP887</f>
        <v>0</v>
      </c>
      <c r="SQ364" s="373">
        <f>'Q100a-geral'!SQ887</f>
        <v>0</v>
      </c>
      <c r="SR364" s="373">
        <f>'Q100a-geral'!SR887</f>
        <v>0</v>
      </c>
      <c r="SS364" s="373">
        <f>'Q100a-geral'!SS887</f>
        <v>0</v>
      </c>
      <c r="ST364" s="373">
        <f>'Q100a-geral'!ST887</f>
        <v>0</v>
      </c>
      <c r="SU364" s="373">
        <f>'Q100a-geral'!SU887</f>
        <v>0</v>
      </c>
      <c r="SV364" s="373">
        <f>'Q100a-geral'!SV887</f>
        <v>0</v>
      </c>
      <c r="SW364" s="373">
        <f>'Q100a-geral'!SW887</f>
        <v>0</v>
      </c>
      <c r="SX364" s="373">
        <f>'Q100a-geral'!SX887</f>
        <v>0</v>
      </c>
      <c r="SY364" s="373">
        <f>'Q100a-geral'!SY887</f>
        <v>0</v>
      </c>
      <c r="SZ364" s="373">
        <f>'Q100a-geral'!SZ887</f>
        <v>0</v>
      </c>
      <c r="TA364" s="373">
        <f>'Q100a-geral'!TA887</f>
        <v>0</v>
      </c>
      <c r="TB364" s="373">
        <f>'Q100a-geral'!TB887</f>
        <v>0</v>
      </c>
      <c r="TC364" s="373">
        <f>'Q100a-geral'!TC887</f>
        <v>0</v>
      </c>
      <c r="TD364" s="373">
        <f>'Q100a-geral'!TD887</f>
        <v>0</v>
      </c>
      <c r="TE364" s="373">
        <f>'Q100a-geral'!TE887</f>
        <v>0</v>
      </c>
      <c r="TF364" s="373">
        <f>'Q100a-geral'!TF887</f>
        <v>0</v>
      </c>
      <c r="TG364" s="373">
        <f>'Q100a-geral'!TG887</f>
        <v>0</v>
      </c>
      <c r="TH364" s="373">
        <f>'Q100a-geral'!TH887</f>
        <v>0</v>
      </c>
      <c r="TI364" s="373">
        <f>'Q100a-geral'!TI887</f>
        <v>0</v>
      </c>
      <c r="TJ364" s="373">
        <f>'Q100a-geral'!TJ887</f>
        <v>0</v>
      </c>
      <c r="TK364" s="373">
        <f>'Q100a-geral'!TK887</f>
        <v>0</v>
      </c>
      <c r="TL364" s="373">
        <f>'Q100a-geral'!TL887</f>
        <v>0</v>
      </c>
      <c r="TM364" s="373">
        <f>'Q100a-geral'!TM887</f>
        <v>0</v>
      </c>
      <c r="TN364" s="373">
        <f>'Q100a-geral'!TN887</f>
        <v>0</v>
      </c>
      <c r="TO364" s="373">
        <f>'Q100a-geral'!TO887</f>
        <v>0</v>
      </c>
      <c r="TP364" s="373">
        <f>'Q100a-geral'!TP887</f>
        <v>0</v>
      </c>
      <c r="TQ364" s="373">
        <f>'Q100a-geral'!TQ887</f>
        <v>0</v>
      </c>
      <c r="TR364" s="373">
        <f>'Q100a-geral'!TR887</f>
        <v>0</v>
      </c>
      <c r="TS364" s="373">
        <f>'Q100a-geral'!TS887</f>
        <v>0</v>
      </c>
      <c r="TT364" s="373">
        <f>'Q100a-geral'!TT887</f>
        <v>0</v>
      </c>
      <c r="TU364" s="373">
        <f>'Q100a-geral'!TU887</f>
        <v>0</v>
      </c>
      <c r="TV364" s="373">
        <f>'Q100a-geral'!TV887</f>
        <v>0</v>
      </c>
      <c r="TW364" s="373">
        <f>'Q100a-geral'!TW887</f>
        <v>0</v>
      </c>
      <c r="TX364" s="373">
        <f>'Q100a-geral'!TX887</f>
        <v>0</v>
      </c>
      <c r="TY364" s="373">
        <f>'Q100a-geral'!TY887</f>
        <v>0</v>
      </c>
      <c r="TZ364" s="373">
        <f>'Q100a-geral'!TZ887</f>
        <v>0</v>
      </c>
      <c r="UA364" s="373">
        <f>'Q100a-geral'!UA887</f>
        <v>0</v>
      </c>
      <c r="UB364" s="373">
        <f>'Q100a-geral'!UB887</f>
        <v>0</v>
      </c>
      <c r="UC364" s="373">
        <f>'Q100a-geral'!UC887</f>
        <v>0</v>
      </c>
      <c r="UD364" s="373">
        <f>'Q100a-geral'!UD887</f>
        <v>0</v>
      </c>
      <c r="UE364" s="373">
        <f>'Q100a-geral'!UE887</f>
        <v>0</v>
      </c>
      <c r="UF364" s="373">
        <f>'Q100a-geral'!UF887</f>
        <v>0</v>
      </c>
      <c r="UG364" s="373">
        <f>'Q100a-geral'!UG887</f>
        <v>0</v>
      </c>
      <c r="UH364" s="373">
        <f>'Q100a-geral'!UH887</f>
        <v>0</v>
      </c>
      <c r="UI364" s="373">
        <f>'Q100a-geral'!UI887</f>
        <v>0</v>
      </c>
      <c r="UJ364" s="373">
        <f>'Q100a-geral'!UJ887</f>
        <v>0</v>
      </c>
      <c r="UK364" s="373">
        <f>'Q100a-geral'!UK887</f>
        <v>0</v>
      </c>
      <c r="UL364" s="373">
        <f>'Q100a-geral'!UL887</f>
        <v>0</v>
      </c>
      <c r="UM364" s="373">
        <f>'Q100a-geral'!UM887</f>
        <v>0</v>
      </c>
      <c r="UN364" s="373">
        <f>'Q100a-geral'!UN887</f>
        <v>0</v>
      </c>
      <c r="UO364" s="373">
        <f>'Q100a-geral'!UO887</f>
        <v>0</v>
      </c>
      <c r="UP364" s="373">
        <f>'Q100a-geral'!UP887</f>
        <v>0</v>
      </c>
      <c r="UQ364" s="373">
        <f>'Q100a-geral'!UQ887</f>
        <v>0</v>
      </c>
      <c r="UR364" s="373">
        <f>'Q100a-geral'!UR887</f>
        <v>0</v>
      </c>
      <c r="US364" s="373">
        <f>'Q100a-geral'!US887</f>
        <v>0</v>
      </c>
      <c r="UT364" s="373">
        <f>'Q100a-geral'!UT887</f>
        <v>0</v>
      </c>
      <c r="UU364" s="373">
        <f>'Q100a-geral'!UU887</f>
        <v>0</v>
      </c>
      <c r="UV364" s="373">
        <f>'Q100a-geral'!UV887</f>
        <v>0</v>
      </c>
      <c r="UW364" s="373">
        <f>'Q100a-geral'!UW887</f>
        <v>0</v>
      </c>
      <c r="UX364" s="373">
        <f>'Q100a-geral'!UX887</f>
        <v>0</v>
      </c>
      <c r="UY364" s="373">
        <f>'Q100a-geral'!UY887</f>
        <v>0</v>
      </c>
      <c r="UZ364" s="373">
        <f>'Q100a-geral'!UZ887</f>
        <v>0</v>
      </c>
      <c r="VA364" s="373">
        <f>'Q100a-geral'!VA887</f>
        <v>0</v>
      </c>
      <c r="VB364" s="373">
        <f>'Q100a-geral'!VB887</f>
        <v>0</v>
      </c>
      <c r="VC364" s="373">
        <f>'Q100a-geral'!VC887</f>
        <v>0</v>
      </c>
      <c r="VD364" s="373">
        <f>'Q100a-geral'!VD887</f>
        <v>0</v>
      </c>
      <c r="VE364" s="373">
        <f>'Q100a-geral'!VE887</f>
        <v>0</v>
      </c>
      <c r="VF364" s="373">
        <f>'Q100a-geral'!VF887</f>
        <v>0</v>
      </c>
      <c r="VG364" s="373">
        <f>'Q100a-geral'!VG887</f>
        <v>0</v>
      </c>
      <c r="VH364" s="373">
        <f>'Q100a-geral'!VH887</f>
        <v>0</v>
      </c>
      <c r="VI364" s="373">
        <f>'Q100a-geral'!VI887</f>
        <v>0</v>
      </c>
      <c r="VJ364" s="373">
        <f>'Q100a-geral'!VJ887</f>
        <v>0</v>
      </c>
      <c r="VK364" s="373">
        <f>'Q100a-geral'!VK887</f>
        <v>0</v>
      </c>
      <c r="VL364" s="373">
        <f>'Q100a-geral'!VL887</f>
        <v>0</v>
      </c>
      <c r="VM364" s="373">
        <f>'Q100a-geral'!VM887</f>
        <v>0</v>
      </c>
      <c r="VN364" s="373">
        <f>'Q100a-geral'!VN887</f>
        <v>0</v>
      </c>
      <c r="VO364" s="373">
        <f>'Q100a-geral'!VO887</f>
        <v>0</v>
      </c>
      <c r="VP364" s="373">
        <f>'Q100a-geral'!VP887</f>
        <v>0</v>
      </c>
      <c r="VQ364" s="373">
        <f>'Q100a-geral'!VQ887</f>
        <v>0</v>
      </c>
      <c r="VR364" s="373">
        <f>'Q100a-geral'!VR887</f>
        <v>0</v>
      </c>
      <c r="VS364" s="373">
        <f>'Q100a-geral'!VS887</f>
        <v>0</v>
      </c>
      <c r="VT364" s="373">
        <f>'Q100a-geral'!VT887</f>
        <v>0</v>
      </c>
      <c r="VU364" s="373">
        <f>'Q100a-geral'!VU887</f>
        <v>0</v>
      </c>
      <c r="VV364" s="373">
        <f>'Q100a-geral'!VV887</f>
        <v>0</v>
      </c>
      <c r="VW364" s="373">
        <f>'Q100a-geral'!VW887</f>
        <v>0</v>
      </c>
      <c r="VX364" s="373">
        <f>'Q100a-geral'!VX887</f>
        <v>0</v>
      </c>
      <c r="VY364" s="373">
        <f>'Q100a-geral'!VY887</f>
        <v>0</v>
      </c>
      <c r="VZ364" s="373">
        <f>'Q100a-geral'!VZ887</f>
        <v>0</v>
      </c>
      <c r="WA364" s="373">
        <f>'Q100a-geral'!WA887</f>
        <v>0</v>
      </c>
      <c r="WB364" s="373">
        <f>'Q100a-geral'!WB887</f>
        <v>0</v>
      </c>
      <c r="WC364" s="373">
        <f>'Q100a-geral'!WC887</f>
        <v>0</v>
      </c>
      <c r="WD364" s="373">
        <f>'Q100a-geral'!WD887</f>
        <v>0</v>
      </c>
      <c r="WE364" s="373">
        <f>'Q100a-geral'!WE887</f>
        <v>0</v>
      </c>
      <c r="WF364" s="373">
        <f>'Q100a-geral'!WF887</f>
        <v>0</v>
      </c>
      <c r="WG364" s="373">
        <f>'Q100a-geral'!WG887</f>
        <v>0</v>
      </c>
      <c r="WH364" s="373">
        <f>'Q100a-geral'!WH887</f>
        <v>0</v>
      </c>
      <c r="WI364" s="373">
        <f>'Q100a-geral'!WI887</f>
        <v>0</v>
      </c>
      <c r="WJ364" s="373">
        <f>'Q100a-geral'!WJ887</f>
        <v>0</v>
      </c>
      <c r="WK364" s="373">
        <f>'Q100a-geral'!WK887</f>
        <v>0</v>
      </c>
      <c r="WL364" s="373">
        <f>'Q100a-geral'!WL887</f>
        <v>0</v>
      </c>
      <c r="WM364" s="373">
        <f>'Q100a-geral'!WM887</f>
        <v>0</v>
      </c>
      <c r="WN364" s="373">
        <f>'Q100a-geral'!WN887</f>
        <v>0</v>
      </c>
      <c r="WO364" s="373">
        <f>'Q100a-geral'!WO887</f>
        <v>0</v>
      </c>
      <c r="WP364" s="373">
        <f>'Q100a-geral'!WP887</f>
        <v>0</v>
      </c>
      <c r="WQ364" s="373">
        <f>'Q100a-geral'!WQ887</f>
        <v>0</v>
      </c>
      <c r="WR364" s="373">
        <f>'Q100a-geral'!WR887</f>
        <v>0</v>
      </c>
      <c r="WS364" s="373">
        <f>'Q100a-geral'!WS887</f>
        <v>0</v>
      </c>
      <c r="WT364" s="373">
        <f>'Q100a-geral'!WT887</f>
        <v>0</v>
      </c>
      <c r="WU364" s="373">
        <f>'Q100a-geral'!WU887</f>
        <v>0</v>
      </c>
      <c r="WV364" s="373">
        <f>'Q100a-geral'!WV887</f>
        <v>0</v>
      </c>
      <c r="WW364" s="373">
        <f>'Q100a-geral'!WW887</f>
        <v>0</v>
      </c>
      <c r="WX364" s="373">
        <f>'Q100a-geral'!WX887</f>
        <v>0</v>
      </c>
      <c r="WY364" s="373">
        <f>'Q100a-geral'!WY887</f>
        <v>0</v>
      </c>
      <c r="WZ364" s="373">
        <f>'Q100a-geral'!WZ887</f>
        <v>0</v>
      </c>
      <c r="XA364" s="373">
        <f>'Q100a-geral'!XA887</f>
        <v>0</v>
      </c>
      <c r="XB364" s="373">
        <f>'Q100a-geral'!XB887</f>
        <v>0</v>
      </c>
      <c r="XC364" s="373">
        <f>'Q100a-geral'!XC887</f>
        <v>0</v>
      </c>
      <c r="XD364" s="373">
        <f>'Q100a-geral'!XD887</f>
        <v>0</v>
      </c>
      <c r="XE364" s="373">
        <f>'Q100a-geral'!XE887</f>
        <v>0</v>
      </c>
      <c r="XF364" s="373">
        <f>'Q100a-geral'!XF887</f>
        <v>0</v>
      </c>
      <c r="XG364" s="373">
        <f>'Q100a-geral'!XG887</f>
        <v>0</v>
      </c>
      <c r="XH364" s="373">
        <f>'Q100a-geral'!XH887</f>
        <v>0</v>
      </c>
      <c r="XI364" s="373">
        <f>'Q100a-geral'!XI887</f>
        <v>0</v>
      </c>
      <c r="XJ364" s="373">
        <f>'Q100a-geral'!XJ887</f>
        <v>0</v>
      </c>
      <c r="XK364" s="373">
        <f>'Q100a-geral'!XK887</f>
        <v>0</v>
      </c>
      <c r="XL364" s="373">
        <f>'Q100a-geral'!XL887</f>
        <v>0</v>
      </c>
      <c r="XM364" s="373">
        <f>'Q100a-geral'!XM887</f>
        <v>0</v>
      </c>
      <c r="XN364" s="373">
        <f>'Q100a-geral'!XN887</f>
        <v>0</v>
      </c>
      <c r="XO364" s="373">
        <f>'Q100a-geral'!XO887</f>
        <v>0</v>
      </c>
      <c r="XP364" s="373">
        <f>'Q100a-geral'!XP887</f>
        <v>0</v>
      </c>
      <c r="XQ364" s="373">
        <f>'Q100a-geral'!XQ887</f>
        <v>0</v>
      </c>
      <c r="XR364" s="373">
        <f>'Q100a-geral'!XR887</f>
        <v>0</v>
      </c>
      <c r="XS364" s="373">
        <f>'Q100a-geral'!XS887</f>
        <v>0</v>
      </c>
      <c r="XT364" s="373">
        <f>'Q100a-geral'!XT887</f>
        <v>0</v>
      </c>
      <c r="XU364" s="373">
        <f>'Q100a-geral'!XU887</f>
        <v>0</v>
      </c>
      <c r="XV364" s="373">
        <f>'Q100a-geral'!XV887</f>
        <v>0</v>
      </c>
      <c r="XW364" s="373">
        <f>'Q100a-geral'!XW887</f>
        <v>0</v>
      </c>
      <c r="XX364" s="373">
        <f>'Q100a-geral'!XX887</f>
        <v>0</v>
      </c>
      <c r="XY364" s="373">
        <f>'Q100a-geral'!XY887</f>
        <v>0</v>
      </c>
      <c r="XZ364" s="373">
        <f>'Q100a-geral'!XZ887</f>
        <v>0</v>
      </c>
      <c r="YA364" s="373">
        <f>'Q100a-geral'!YA887</f>
        <v>0</v>
      </c>
      <c r="YB364" s="373">
        <f>'Q100a-geral'!YB887</f>
        <v>0</v>
      </c>
      <c r="YC364" s="373">
        <f>'Q100a-geral'!YC887</f>
        <v>0</v>
      </c>
      <c r="YD364" s="373">
        <f>'Q100a-geral'!YD887</f>
        <v>0</v>
      </c>
      <c r="YE364" s="373">
        <f>'Q100a-geral'!YE887</f>
        <v>0</v>
      </c>
      <c r="YF364" s="373">
        <f>'Q100a-geral'!YF887</f>
        <v>0</v>
      </c>
      <c r="YG364" s="373">
        <f>'Q100a-geral'!YG887</f>
        <v>0</v>
      </c>
      <c r="YH364" s="373">
        <f>'Q100a-geral'!YH887</f>
        <v>0</v>
      </c>
      <c r="YI364" s="373">
        <f>'Q100a-geral'!YI887</f>
        <v>0</v>
      </c>
      <c r="YJ364" s="373">
        <f>'Q100a-geral'!YJ887</f>
        <v>0</v>
      </c>
      <c r="YK364" s="373">
        <f>'Q100a-geral'!YK887</f>
        <v>0</v>
      </c>
      <c r="YL364" s="373">
        <f>'Q100a-geral'!YL887</f>
        <v>0</v>
      </c>
      <c r="YM364" s="373">
        <f>'Q100a-geral'!YM887</f>
        <v>0</v>
      </c>
      <c r="YN364" s="373">
        <f>'Q100a-geral'!YN887</f>
        <v>0</v>
      </c>
      <c r="YO364" s="373">
        <f>'Q100a-geral'!YO887</f>
        <v>0</v>
      </c>
      <c r="YP364" s="373">
        <f>'Q100a-geral'!YP887</f>
        <v>0</v>
      </c>
      <c r="YQ364" s="373">
        <f>'Q100a-geral'!YQ887</f>
        <v>0</v>
      </c>
      <c r="YR364" s="373">
        <f>'Q100a-geral'!YR887</f>
        <v>0</v>
      </c>
      <c r="YS364" s="373">
        <f>'Q100a-geral'!YS887</f>
        <v>0</v>
      </c>
      <c r="YT364" s="373">
        <f>'Q100a-geral'!YT887</f>
        <v>0</v>
      </c>
      <c r="YU364" s="373">
        <f>'Q100a-geral'!YU887</f>
        <v>0</v>
      </c>
      <c r="YV364" s="373">
        <f>'Q100a-geral'!YV887</f>
        <v>0</v>
      </c>
      <c r="YW364" s="373">
        <f>'Q100a-geral'!YW887</f>
        <v>0</v>
      </c>
      <c r="YX364" s="373">
        <f>'Q100a-geral'!YX887</f>
        <v>0</v>
      </c>
      <c r="YY364" s="373">
        <f>'Q100a-geral'!YY887</f>
        <v>0</v>
      </c>
      <c r="YZ364" s="373">
        <f>'Q100a-geral'!YZ887</f>
        <v>0</v>
      </c>
      <c r="ZA364" s="373">
        <f>'Q100a-geral'!ZA887</f>
        <v>0</v>
      </c>
      <c r="ZB364" s="373">
        <f>'Q100a-geral'!ZB887</f>
        <v>0</v>
      </c>
      <c r="ZC364" s="373">
        <f>'Q100a-geral'!ZC887</f>
        <v>0</v>
      </c>
      <c r="ZD364" s="373">
        <f>'Q100a-geral'!ZD887</f>
        <v>0</v>
      </c>
      <c r="ZE364" s="373">
        <f>'Q100a-geral'!ZE887</f>
        <v>0</v>
      </c>
      <c r="ZF364" s="373">
        <f>'Q100a-geral'!ZF887</f>
        <v>0</v>
      </c>
      <c r="ZG364" s="373">
        <f>'Q100a-geral'!ZG887</f>
        <v>0</v>
      </c>
      <c r="ZH364" s="373">
        <f>'Q100a-geral'!ZH887</f>
        <v>0</v>
      </c>
      <c r="ZI364" s="373">
        <f>'Q100a-geral'!ZI887</f>
        <v>0</v>
      </c>
      <c r="ZJ364" s="373">
        <f>'Q100a-geral'!ZJ887</f>
        <v>0</v>
      </c>
      <c r="ZK364" s="373">
        <f>'Q100a-geral'!ZK887</f>
        <v>0</v>
      </c>
      <c r="ZL364" s="373">
        <f>'Q100a-geral'!ZL887</f>
        <v>0</v>
      </c>
      <c r="ZM364" s="373">
        <f>'Q100a-geral'!ZM887</f>
        <v>0</v>
      </c>
      <c r="ZN364" s="373">
        <f>'Q100a-geral'!ZN887</f>
        <v>0</v>
      </c>
      <c r="ZO364" s="373">
        <f>'Q100a-geral'!ZO887</f>
        <v>0</v>
      </c>
      <c r="ZP364" s="373">
        <f>'Q100a-geral'!ZP887</f>
        <v>0</v>
      </c>
      <c r="ZQ364" s="373">
        <f>'Q100a-geral'!ZQ887</f>
        <v>0</v>
      </c>
      <c r="ZR364" s="373">
        <f>'Q100a-geral'!ZR887</f>
        <v>0</v>
      </c>
      <c r="ZS364" s="373">
        <f>'Q100a-geral'!ZS887</f>
        <v>0</v>
      </c>
      <c r="ZT364" s="373">
        <f>'Q100a-geral'!ZT887</f>
        <v>0</v>
      </c>
      <c r="ZU364" s="373">
        <f>'Q100a-geral'!ZU887</f>
        <v>0</v>
      </c>
      <c r="ZV364" s="373">
        <f>'Q100a-geral'!ZV887</f>
        <v>0</v>
      </c>
      <c r="ZW364" s="373">
        <f>'Q100a-geral'!ZW887</f>
        <v>0</v>
      </c>
      <c r="ZX364" s="373">
        <f>'Q100a-geral'!ZX887</f>
        <v>0</v>
      </c>
      <c r="ZY364" s="373">
        <f>'Q100a-geral'!ZY887</f>
        <v>0</v>
      </c>
      <c r="ZZ364" s="373">
        <f>'Q100a-geral'!ZZ887</f>
        <v>0</v>
      </c>
      <c r="AAA364" s="373">
        <f>'Q100a-geral'!AAA887</f>
        <v>0</v>
      </c>
      <c r="AAB364" s="373">
        <f>'Q100a-geral'!AAB887</f>
        <v>0</v>
      </c>
      <c r="AAC364" s="373">
        <f>'Q100a-geral'!AAC887</f>
        <v>0</v>
      </c>
      <c r="AAD364" s="373">
        <f>'Q100a-geral'!AAD887</f>
        <v>0</v>
      </c>
      <c r="AAE364" s="373">
        <f>'Q100a-geral'!AAE887</f>
        <v>0</v>
      </c>
      <c r="AAF364" s="373">
        <f>'Q100a-geral'!AAF887</f>
        <v>0</v>
      </c>
      <c r="AAG364" s="373">
        <f>'Q100a-geral'!AAG887</f>
        <v>0</v>
      </c>
      <c r="AAH364" s="373">
        <f>'Q100a-geral'!AAH887</f>
        <v>0</v>
      </c>
      <c r="AAI364" s="373">
        <f>'Q100a-geral'!AAI887</f>
        <v>0</v>
      </c>
      <c r="AAJ364" s="373">
        <f>'Q100a-geral'!AAJ887</f>
        <v>0</v>
      </c>
      <c r="AAK364" s="373">
        <f>'Q100a-geral'!AAK887</f>
        <v>0</v>
      </c>
      <c r="AAL364" s="373">
        <f>'Q100a-geral'!AAL887</f>
        <v>0</v>
      </c>
      <c r="AAM364" s="373">
        <f>'Q100a-geral'!AAM887</f>
        <v>0</v>
      </c>
      <c r="AAN364" s="373">
        <f>'Q100a-geral'!AAN887</f>
        <v>0</v>
      </c>
      <c r="AAO364" s="373">
        <f>'Q100a-geral'!AAO887</f>
        <v>0</v>
      </c>
      <c r="AAP364" s="373">
        <f>'Q100a-geral'!AAP887</f>
        <v>0</v>
      </c>
      <c r="AAQ364" s="373">
        <f>'Q100a-geral'!AAQ887</f>
        <v>0</v>
      </c>
      <c r="AAR364" s="373">
        <f>'Q100a-geral'!AAR887</f>
        <v>0</v>
      </c>
      <c r="AAS364" s="373">
        <f>'Q100a-geral'!AAS887</f>
        <v>0</v>
      </c>
      <c r="AAT364" s="373">
        <f>'Q100a-geral'!AAT887</f>
        <v>0</v>
      </c>
      <c r="AAU364" s="373">
        <f>'Q100a-geral'!AAU887</f>
        <v>0</v>
      </c>
      <c r="AAV364" s="373">
        <f>'Q100a-geral'!AAV887</f>
        <v>0</v>
      </c>
      <c r="AAW364" s="373">
        <f>'Q100a-geral'!AAW887</f>
        <v>0</v>
      </c>
      <c r="AAX364" s="373">
        <f>'Q100a-geral'!AAX887</f>
        <v>0</v>
      </c>
      <c r="AAY364" s="373">
        <f>'Q100a-geral'!AAY887</f>
        <v>0</v>
      </c>
      <c r="AAZ364" s="373">
        <f>'Q100a-geral'!AAZ887</f>
        <v>0</v>
      </c>
      <c r="ABA364" s="373">
        <f>'Q100a-geral'!ABA887</f>
        <v>0</v>
      </c>
      <c r="ABB364" s="373">
        <f>'Q100a-geral'!ABB887</f>
        <v>0</v>
      </c>
      <c r="ABC364" s="373">
        <f>'Q100a-geral'!ABC887</f>
        <v>0</v>
      </c>
      <c r="ABD364" s="373">
        <f>'Q100a-geral'!ABD887</f>
        <v>0</v>
      </c>
      <c r="ABE364" s="373">
        <f>'Q100a-geral'!ABE887</f>
        <v>0</v>
      </c>
      <c r="ABF364" s="373">
        <f>'Q100a-geral'!ABF887</f>
        <v>0</v>
      </c>
      <c r="ABG364" s="373">
        <f>'Q100a-geral'!ABG887</f>
        <v>0</v>
      </c>
      <c r="ABH364" s="373">
        <f>'Q100a-geral'!ABH887</f>
        <v>0</v>
      </c>
      <c r="ABI364" s="373">
        <f>'Q100a-geral'!ABI887</f>
        <v>0</v>
      </c>
      <c r="ABJ364" s="373">
        <f>'Q100a-geral'!ABJ887</f>
        <v>0</v>
      </c>
      <c r="ABK364" s="373">
        <f>'Q100a-geral'!ABK887</f>
        <v>0</v>
      </c>
      <c r="ABL364" s="373">
        <f>'Q100a-geral'!ABL887</f>
        <v>0</v>
      </c>
      <c r="ABM364" s="373">
        <f>'Q100a-geral'!ABM887</f>
        <v>0</v>
      </c>
      <c r="ABN364" s="373">
        <f>'Q100a-geral'!ABN887</f>
        <v>0</v>
      </c>
      <c r="ABO364" s="373">
        <f>'Q100a-geral'!ABO887</f>
        <v>0</v>
      </c>
      <c r="ABP364" s="373">
        <f>'Q100a-geral'!ABP887</f>
        <v>0</v>
      </c>
      <c r="ABQ364" s="373">
        <f>'Q100a-geral'!ABQ887</f>
        <v>0</v>
      </c>
      <c r="ABR364" s="373">
        <f>'Q100a-geral'!ABR887</f>
        <v>0</v>
      </c>
      <c r="ABS364" s="373">
        <f>'Q100a-geral'!ABS887</f>
        <v>0</v>
      </c>
      <c r="ABT364" s="373">
        <f>'Q100a-geral'!ABT887</f>
        <v>0</v>
      </c>
      <c r="ABU364" s="373">
        <f>'Q100a-geral'!ABU887</f>
        <v>0</v>
      </c>
      <c r="ABV364" s="373">
        <f>'Q100a-geral'!ABV887</f>
        <v>0</v>
      </c>
      <c r="ABW364" s="373">
        <f>'Q100a-geral'!ABW887</f>
        <v>0</v>
      </c>
      <c r="ABX364" s="373">
        <f>'Q100a-geral'!ABX887</f>
        <v>0</v>
      </c>
      <c r="ABY364" s="373">
        <f>'Q100a-geral'!ABY887</f>
        <v>0</v>
      </c>
      <c r="ABZ364" s="373">
        <f>'Q100a-geral'!ABZ887</f>
        <v>0</v>
      </c>
      <c r="ACA364" s="373">
        <f>'Q100a-geral'!ACA887</f>
        <v>0</v>
      </c>
      <c r="ACB364" s="373">
        <f>'Q100a-geral'!ACB887</f>
        <v>0</v>
      </c>
      <c r="ACC364" s="373">
        <f>'Q100a-geral'!ACC887</f>
        <v>0</v>
      </c>
      <c r="ACD364" s="373">
        <f>'Q100a-geral'!ACD887</f>
        <v>0</v>
      </c>
      <c r="ACE364" s="373">
        <f>'Q100a-geral'!ACE887</f>
        <v>0</v>
      </c>
      <c r="ACF364" s="373">
        <f>'Q100a-geral'!ACF887</f>
        <v>0</v>
      </c>
      <c r="ACG364" s="373">
        <f>'Q100a-geral'!ACG887</f>
        <v>0</v>
      </c>
      <c r="ACH364" s="373">
        <f>'Q100a-geral'!ACH887</f>
        <v>0</v>
      </c>
      <c r="ACI364" s="373">
        <f>'Q100a-geral'!ACI887</f>
        <v>0</v>
      </c>
      <c r="ACJ364" s="373">
        <f>'Q100a-geral'!ACJ887</f>
        <v>0</v>
      </c>
      <c r="ACK364" s="373">
        <f>'Q100a-geral'!ACK887</f>
        <v>0</v>
      </c>
      <c r="ACL364" s="373">
        <f>'Q100a-geral'!ACL887</f>
        <v>0</v>
      </c>
      <c r="ACM364" s="373">
        <f>'Q100a-geral'!ACM887</f>
        <v>0</v>
      </c>
      <c r="ACN364" s="373">
        <f>'Q100a-geral'!ACN887</f>
        <v>0</v>
      </c>
      <c r="ACO364" s="373">
        <f>'Q100a-geral'!ACO887</f>
        <v>0</v>
      </c>
      <c r="ACP364" s="373">
        <f>'Q100a-geral'!ACP887</f>
        <v>0</v>
      </c>
      <c r="ACQ364" s="373">
        <f>'Q100a-geral'!ACQ887</f>
        <v>0</v>
      </c>
      <c r="ACR364" s="373">
        <f>'Q100a-geral'!ACR887</f>
        <v>0</v>
      </c>
      <c r="ACS364" s="373">
        <f>'Q100a-geral'!ACS887</f>
        <v>0</v>
      </c>
      <c r="ACT364" s="373">
        <f>'Q100a-geral'!ACT887</f>
        <v>0</v>
      </c>
      <c r="ACU364" s="373">
        <f>'Q100a-geral'!ACU887</f>
        <v>0</v>
      </c>
      <c r="ACV364" s="373">
        <f>'Q100a-geral'!ACV887</f>
        <v>0</v>
      </c>
      <c r="ACW364" s="373">
        <f>'Q100a-geral'!ACW887</f>
        <v>0</v>
      </c>
      <c r="ACX364" s="373">
        <f>'Q100a-geral'!ACX887</f>
        <v>0</v>
      </c>
      <c r="ACY364" s="373">
        <f>'Q100a-geral'!ACY887</f>
        <v>0</v>
      </c>
      <c r="ACZ364" s="373">
        <f>'Q100a-geral'!ACZ887</f>
        <v>0</v>
      </c>
      <c r="ADA364" s="373">
        <f>'Q100a-geral'!ADA887</f>
        <v>0</v>
      </c>
      <c r="ADB364" s="373">
        <f>'Q100a-geral'!ADB887</f>
        <v>0</v>
      </c>
      <c r="ADC364" s="373">
        <f>'Q100a-geral'!ADC887</f>
        <v>0</v>
      </c>
      <c r="ADD364" s="373">
        <f>'Q100a-geral'!ADD887</f>
        <v>0</v>
      </c>
      <c r="ADE364" s="373">
        <f>'Q100a-geral'!ADE887</f>
        <v>0</v>
      </c>
      <c r="ADF364" s="373">
        <f>'Q100a-geral'!ADF887</f>
        <v>0</v>
      </c>
      <c r="ADG364" s="373">
        <f>'Q100a-geral'!ADG887</f>
        <v>0</v>
      </c>
      <c r="ADH364" s="373">
        <f>'Q100a-geral'!ADH887</f>
        <v>0</v>
      </c>
      <c r="ADI364" s="373">
        <f>'Q100a-geral'!ADI887</f>
        <v>0</v>
      </c>
      <c r="ADJ364" s="373">
        <f>'Q100a-geral'!ADJ887</f>
        <v>0</v>
      </c>
      <c r="ADK364" s="373">
        <f>'Q100a-geral'!ADK887</f>
        <v>0</v>
      </c>
      <c r="ADL364" s="373">
        <f>'Q100a-geral'!ADL887</f>
        <v>0</v>
      </c>
      <c r="ADM364" s="373">
        <f>'Q100a-geral'!ADM887</f>
        <v>0</v>
      </c>
      <c r="ADN364" s="373">
        <f>'Q100a-geral'!ADN887</f>
        <v>0</v>
      </c>
      <c r="ADO364" s="373">
        <f>'Q100a-geral'!ADO887</f>
        <v>0</v>
      </c>
      <c r="ADP364" s="373">
        <f>'Q100a-geral'!ADP887</f>
        <v>0</v>
      </c>
      <c r="ADQ364" s="373">
        <f>'Q100a-geral'!ADQ887</f>
        <v>0</v>
      </c>
      <c r="ADR364" s="373">
        <f>'Q100a-geral'!ADR887</f>
        <v>0</v>
      </c>
      <c r="ADS364" s="373">
        <f>'Q100a-geral'!ADS887</f>
        <v>0</v>
      </c>
      <c r="ADT364" s="373">
        <f>'Q100a-geral'!ADT887</f>
        <v>0</v>
      </c>
      <c r="ADU364" s="373">
        <f>'Q100a-geral'!ADU887</f>
        <v>0</v>
      </c>
      <c r="ADV364" s="373">
        <f>'Q100a-geral'!ADV887</f>
        <v>0</v>
      </c>
      <c r="ADW364" s="373">
        <f>'Q100a-geral'!ADW887</f>
        <v>0</v>
      </c>
      <c r="ADX364" s="373">
        <f>'Q100a-geral'!ADX887</f>
        <v>0</v>
      </c>
      <c r="ADY364" s="373">
        <f>'Q100a-geral'!ADY887</f>
        <v>0</v>
      </c>
      <c r="ADZ364" s="373">
        <f>'Q100a-geral'!ADZ887</f>
        <v>0</v>
      </c>
      <c r="AEA364" s="373">
        <f>'Q100a-geral'!AEA887</f>
        <v>0</v>
      </c>
      <c r="AEB364" s="373">
        <f>'Q100a-geral'!AEB887</f>
        <v>0</v>
      </c>
      <c r="AEC364" s="373">
        <f>'Q100a-geral'!AEC887</f>
        <v>0</v>
      </c>
      <c r="AED364" s="373">
        <f>'Q100a-geral'!AED887</f>
        <v>0</v>
      </c>
      <c r="AEE364" s="373">
        <f>'Q100a-geral'!AEE887</f>
        <v>0</v>
      </c>
      <c r="AEF364" s="373">
        <f>'Q100a-geral'!AEF887</f>
        <v>0</v>
      </c>
      <c r="AEG364" s="373">
        <f>'Q100a-geral'!AEG887</f>
        <v>0</v>
      </c>
      <c r="AEH364" s="373">
        <f>'Q100a-geral'!AEH887</f>
        <v>0</v>
      </c>
      <c r="AEI364" s="373">
        <f>'Q100a-geral'!AEI887</f>
        <v>0</v>
      </c>
      <c r="AEJ364" s="373">
        <f>'Q100a-geral'!AEJ887</f>
        <v>0</v>
      </c>
      <c r="AEK364" s="373">
        <f>'Q100a-geral'!AEK887</f>
        <v>0</v>
      </c>
      <c r="AEL364" s="373">
        <f>'Q100a-geral'!AEL887</f>
        <v>0</v>
      </c>
      <c r="AEM364" s="373">
        <f>'Q100a-geral'!AEM887</f>
        <v>0</v>
      </c>
      <c r="AEN364" s="373">
        <f>'Q100a-geral'!AEN887</f>
        <v>0</v>
      </c>
      <c r="AEO364" s="373">
        <f>'Q100a-geral'!AEO887</f>
        <v>0</v>
      </c>
      <c r="AEP364" s="373">
        <f>'Q100a-geral'!AEP887</f>
        <v>0</v>
      </c>
      <c r="AEQ364" s="373">
        <f>'Q100a-geral'!AEQ887</f>
        <v>0</v>
      </c>
      <c r="AER364" s="373">
        <f>'Q100a-geral'!AER887</f>
        <v>0</v>
      </c>
      <c r="AES364" s="373">
        <f>'Q100a-geral'!AES887</f>
        <v>0</v>
      </c>
      <c r="AET364" s="373">
        <f>'Q100a-geral'!AET887</f>
        <v>0</v>
      </c>
      <c r="AEU364" s="373">
        <f>'Q100a-geral'!AEU887</f>
        <v>0</v>
      </c>
      <c r="AEV364" s="373">
        <f>'Q100a-geral'!AEV887</f>
        <v>0</v>
      </c>
      <c r="AEW364" s="373">
        <f>'Q100a-geral'!AEW887</f>
        <v>0</v>
      </c>
      <c r="AEX364" s="373">
        <f>'Q100a-geral'!AEX887</f>
        <v>0</v>
      </c>
      <c r="AEY364" s="373">
        <f>'Q100a-geral'!AEY887</f>
        <v>0</v>
      </c>
      <c r="AEZ364" s="373">
        <f>'Q100a-geral'!AEZ887</f>
        <v>0</v>
      </c>
      <c r="AFA364" s="373">
        <f>'Q100a-geral'!AFA887</f>
        <v>0</v>
      </c>
      <c r="AFB364" s="373">
        <f>'Q100a-geral'!AFB887</f>
        <v>0</v>
      </c>
      <c r="AFC364" s="373">
        <f>'Q100a-geral'!AFC887</f>
        <v>0</v>
      </c>
      <c r="AFD364" s="373">
        <f>'Q100a-geral'!AFD887</f>
        <v>0</v>
      </c>
      <c r="AFE364" s="373">
        <f>'Q100a-geral'!AFE887</f>
        <v>0</v>
      </c>
      <c r="AFF364" s="373">
        <f>'Q100a-geral'!AFF887</f>
        <v>0</v>
      </c>
      <c r="AFG364" s="373">
        <f>'Q100a-geral'!AFG887</f>
        <v>0</v>
      </c>
      <c r="AFH364" s="373">
        <f>'Q100a-geral'!AFH887</f>
        <v>0</v>
      </c>
      <c r="AFI364" s="373">
        <f>'Q100a-geral'!AFI887</f>
        <v>0</v>
      </c>
      <c r="AFJ364" s="373">
        <f>'Q100a-geral'!AFJ887</f>
        <v>0</v>
      </c>
      <c r="AFK364" s="373">
        <f>'Q100a-geral'!AFK887</f>
        <v>0</v>
      </c>
      <c r="AFL364" s="373">
        <f>'Q100a-geral'!AFL887</f>
        <v>0</v>
      </c>
      <c r="AFM364" s="373">
        <f>'Q100a-geral'!AFM887</f>
        <v>0</v>
      </c>
      <c r="AFN364" s="373">
        <f>'Q100a-geral'!AFN887</f>
        <v>0</v>
      </c>
      <c r="AFO364" s="373">
        <f>'Q100a-geral'!AFO887</f>
        <v>0</v>
      </c>
      <c r="AFP364" s="373">
        <f>'Q100a-geral'!AFP887</f>
        <v>0</v>
      </c>
      <c r="AFQ364" s="373">
        <f>'Q100a-geral'!AFQ887</f>
        <v>0</v>
      </c>
      <c r="AFR364" s="373">
        <f>'Q100a-geral'!AFR887</f>
        <v>0</v>
      </c>
      <c r="AFS364" s="373">
        <f>'Q100a-geral'!AFS887</f>
        <v>0</v>
      </c>
      <c r="AFT364" s="373">
        <f>'Q100a-geral'!AFT887</f>
        <v>0</v>
      </c>
      <c r="AFU364" s="373">
        <f>'Q100a-geral'!AFU887</f>
        <v>0</v>
      </c>
      <c r="AFV364" s="373">
        <f>'Q100a-geral'!AFV887</f>
        <v>0</v>
      </c>
      <c r="AFW364" s="373">
        <f>'Q100a-geral'!AFW887</f>
        <v>0</v>
      </c>
      <c r="AFX364" s="373">
        <f>'Q100a-geral'!AFX887</f>
        <v>0</v>
      </c>
      <c r="AFY364" s="373">
        <f>'Q100a-geral'!AFY887</f>
        <v>0</v>
      </c>
      <c r="AFZ364" s="373">
        <f>'Q100a-geral'!AFZ887</f>
        <v>0</v>
      </c>
      <c r="AGA364" s="373">
        <f>'Q100a-geral'!AGA887</f>
        <v>0</v>
      </c>
      <c r="AGB364" s="373">
        <f>'Q100a-geral'!AGB887</f>
        <v>0</v>
      </c>
      <c r="AGC364" s="373">
        <f>'Q100a-geral'!AGC887</f>
        <v>0</v>
      </c>
      <c r="AGD364" s="373">
        <f>'Q100a-geral'!AGD887</f>
        <v>0</v>
      </c>
      <c r="AGE364" s="373">
        <f>'Q100a-geral'!AGE887</f>
        <v>0</v>
      </c>
      <c r="AGF364" s="373">
        <f>'Q100a-geral'!AGF887</f>
        <v>0</v>
      </c>
      <c r="AGG364" s="373">
        <f>'Q100a-geral'!AGG887</f>
        <v>0</v>
      </c>
      <c r="AGH364" s="373">
        <f>'Q100a-geral'!AGH887</f>
        <v>0</v>
      </c>
      <c r="AGI364" s="373">
        <f>'Q100a-geral'!AGI887</f>
        <v>0</v>
      </c>
      <c r="AGJ364" s="373">
        <f>'Q100a-geral'!AGJ887</f>
        <v>0</v>
      </c>
      <c r="AGK364" s="373">
        <f>'Q100a-geral'!AGK887</f>
        <v>0</v>
      </c>
      <c r="AGL364" s="373">
        <f>'Q100a-geral'!AGL887</f>
        <v>0</v>
      </c>
      <c r="AGM364" s="373">
        <f>'Q100a-geral'!AGM887</f>
        <v>0</v>
      </c>
      <c r="AGN364" s="373">
        <f>'Q100a-geral'!AGN887</f>
        <v>0</v>
      </c>
      <c r="AGO364" s="373">
        <f>'Q100a-geral'!AGO887</f>
        <v>0</v>
      </c>
      <c r="AGP364" s="373">
        <f>'Q100a-geral'!AGP887</f>
        <v>0</v>
      </c>
      <c r="AGQ364" s="373">
        <f>'Q100a-geral'!AGQ887</f>
        <v>0</v>
      </c>
      <c r="AGR364" s="373">
        <f>'Q100a-geral'!AGR887</f>
        <v>0</v>
      </c>
      <c r="AGS364" s="373">
        <f>'Q100a-geral'!AGS887</f>
        <v>0</v>
      </c>
      <c r="AGT364" s="373">
        <f>'Q100a-geral'!AGT887</f>
        <v>0</v>
      </c>
      <c r="AGU364" s="373">
        <f>'Q100a-geral'!AGU887</f>
        <v>0</v>
      </c>
      <c r="AGV364" s="373">
        <f>'Q100a-geral'!AGV887</f>
        <v>0</v>
      </c>
      <c r="AGW364" s="373">
        <f>'Q100a-geral'!AGW887</f>
        <v>0</v>
      </c>
      <c r="AGX364" s="373">
        <f>'Q100a-geral'!AGX887</f>
        <v>0</v>
      </c>
      <c r="AGY364" s="373">
        <f>'Q100a-geral'!AGY887</f>
        <v>0</v>
      </c>
      <c r="AGZ364" s="373">
        <f>'Q100a-geral'!AGZ887</f>
        <v>0</v>
      </c>
      <c r="AHA364" s="373">
        <f>'Q100a-geral'!AHA887</f>
        <v>0</v>
      </c>
      <c r="AHB364" s="373">
        <f>'Q100a-geral'!AHB887</f>
        <v>0</v>
      </c>
      <c r="AHC364" s="373">
        <f>'Q100a-geral'!AHC887</f>
        <v>0</v>
      </c>
      <c r="AHD364" s="373">
        <f>'Q100a-geral'!AHD887</f>
        <v>0</v>
      </c>
      <c r="AHE364" s="373">
        <f>'Q100a-geral'!AHE887</f>
        <v>0</v>
      </c>
      <c r="AHF364" s="373">
        <f>'Q100a-geral'!AHF887</f>
        <v>0</v>
      </c>
      <c r="AHG364" s="373">
        <f>'Q100a-geral'!AHG887</f>
        <v>0</v>
      </c>
      <c r="AHH364" s="373">
        <f>'Q100a-geral'!AHH887</f>
        <v>0</v>
      </c>
      <c r="AHI364" s="373">
        <f>'Q100a-geral'!AHI887</f>
        <v>0</v>
      </c>
      <c r="AHJ364" s="373">
        <f>'Q100a-geral'!AHJ887</f>
        <v>0</v>
      </c>
      <c r="AHK364" s="373">
        <f>'Q100a-geral'!AHK887</f>
        <v>0</v>
      </c>
      <c r="AHL364" s="373">
        <f>'Q100a-geral'!AHL887</f>
        <v>0</v>
      </c>
      <c r="AHM364" s="373">
        <f>'Q100a-geral'!AHM887</f>
        <v>0</v>
      </c>
      <c r="AHN364" s="373">
        <f>'Q100a-geral'!AHN887</f>
        <v>0</v>
      </c>
      <c r="AHO364" s="373">
        <f>'Q100a-geral'!AHO887</f>
        <v>0</v>
      </c>
      <c r="AHP364" s="373">
        <f>'Q100a-geral'!AHP887</f>
        <v>0</v>
      </c>
      <c r="AHQ364" s="373">
        <f>'Q100a-geral'!AHQ887</f>
        <v>0</v>
      </c>
      <c r="AHR364" s="373">
        <f>'Q100a-geral'!AHR887</f>
        <v>0</v>
      </c>
      <c r="AHS364" s="373">
        <f>'Q100a-geral'!AHS887</f>
        <v>0</v>
      </c>
      <c r="AHT364" s="373">
        <f>'Q100a-geral'!AHT887</f>
        <v>0</v>
      </c>
      <c r="AHU364" s="373">
        <f>'Q100a-geral'!AHU887</f>
        <v>0</v>
      </c>
      <c r="AHV364" s="373">
        <f>'Q100a-geral'!AHV887</f>
        <v>0</v>
      </c>
      <c r="AHW364" s="373">
        <f>'Q100a-geral'!AHW887</f>
        <v>0</v>
      </c>
      <c r="AHX364" s="373">
        <f>'Q100a-geral'!AHX887</f>
        <v>0</v>
      </c>
      <c r="AHY364" s="373">
        <f>'Q100a-geral'!AHY887</f>
        <v>0</v>
      </c>
      <c r="AHZ364" s="373">
        <f>'Q100a-geral'!AHZ887</f>
        <v>0</v>
      </c>
      <c r="AIA364" s="373">
        <f>'Q100a-geral'!AIA887</f>
        <v>0</v>
      </c>
      <c r="AIB364" s="373">
        <f>'Q100a-geral'!AIB887</f>
        <v>0</v>
      </c>
      <c r="AIC364" s="373">
        <f>'Q100a-geral'!AIC887</f>
        <v>0</v>
      </c>
      <c r="AID364" s="373">
        <f>'Q100a-geral'!AID887</f>
        <v>0</v>
      </c>
      <c r="AIE364" s="373">
        <f>'Q100a-geral'!AIE887</f>
        <v>0</v>
      </c>
      <c r="AIF364" s="373">
        <f>'Q100a-geral'!AIF887</f>
        <v>0</v>
      </c>
      <c r="AIG364" s="373">
        <f>'Q100a-geral'!AIG887</f>
        <v>0</v>
      </c>
      <c r="AIH364" s="373">
        <f>'Q100a-geral'!AIH887</f>
        <v>0</v>
      </c>
      <c r="AII364" s="373">
        <f>'Q100a-geral'!AII887</f>
        <v>0</v>
      </c>
      <c r="AIJ364" s="373">
        <f>'Q100a-geral'!AIJ887</f>
        <v>0</v>
      </c>
      <c r="AIK364" s="373">
        <f>'Q100a-geral'!AIK887</f>
        <v>0</v>
      </c>
      <c r="AIL364" s="373">
        <f>'Q100a-geral'!AIL887</f>
        <v>0</v>
      </c>
      <c r="AIM364" s="373">
        <f>'Q100a-geral'!AIM887</f>
        <v>0</v>
      </c>
      <c r="AIN364" s="373">
        <f>'Q100a-geral'!AIN887</f>
        <v>0</v>
      </c>
      <c r="AIO364" s="373">
        <f>'Q100a-geral'!AIO887</f>
        <v>0</v>
      </c>
      <c r="AIP364" s="373">
        <f>'Q100a-geral'!AIP887</f>
        <v>0</v>
      </c>
      <c r="AIQ364" s="373">
        <f>'Q100a-geral'!AIQ887</f>
        <v>0</v>
      </c>
      <c r="AIR364" s="373">
        <f>'Q100a-geral'!AIR887</f>
        <v>0</v>
      </c>
      <c r="AIS364" s="373">
        <f>'Q100a-geral'!AIS887</f>
        <v>0</v>
      </c>
      <c r="AIT364" s="373">
        <f>'Q100a-geral'!AIT887</f>
        <v>0</v>
      </c>
      <c r="AIU364" s="373">
        <f>'Q100a-geral'!AIU887</f>
        <v>0</v>
      </c>
      <c r="AIV364" s="373">
        <f>'Q100a-geral'!AIV887</f>
        <v>0</v>
      </c>
      <c r="AIW364" s="373">
        <f>'Q100a-geral'!AIW887</f>
        <v>0</v>
      </c>
      <c r="AIX364" s="373">
        <f>'Q100a-geral'!AIX887</f>
        <v>0</v>
      </c>
      <c r="AIY364" s="373">
        <f>'Q100a-geral'!AIY887</f>
        <v>0</v>
      </c>
      <c r="AIZ364" s="373">
        <f>'Q100a-geral'!AIZ887</f>
        <v>0</v>
      </c>
      <c r="AJA364" s="373">
        <f>'Q100a-geral'!AJA887</f>
        <v>0</v>
      </c>
      <c r="AJB364" s="373">
        <f>'Q100a-geral'!AJB887</f>
        <v>0</v>
      </c>
      <c r="AJC364" s="373">
        <f>'Q100a-geral'!AJC887</f>
        <v>0</v>
      </c>
      <c r="AJD364" s="373">
        <f>'Q100a-geral'!AJD887</f>
        <v>0</v>
      </c>
      <c r="AJE364" s="373">
        <f>'Q100a-geral'!AJE887</f>
        <v>0</v>
      </c>
      <c r="AJF364" s="373">
        <f>'Q100a-geral'!AJF887</f>
        <v>0</v>
      </c>
      <c r="AJG364" s="373">
        <f>'Q100a-geral'!AJG887</f>
        <v>0</v>
      </c>
      <c r="AJH364" s="373">
        <f>'Q100a-geral'!AJH887</f>
        <v>0</v>
      </c>
      <c r="AJI364" s="373">
        <f>'Q100a-geral'!AJI887</f>
        <v>0</v>
      </c>
      <c r="AJJ364" s="373">
        <f>'Q100a-geral'!AJJ887</f>
        <v>0</v>
      </c>
      <c r="AJK364" s="373">
        <f>'Q100a-geral'!AJK887</f>
        <v>0</v>
      </c>
      <c r="AJL364" s="373">
        <f>'Q100a-geral'!AJL887</f>
        <v>0</v>
      </c>
      <c r="AJM364" s="373">
        <f>'Q100a-geral'!AJM887</f>
        <v>0</v>
      </c>
      <c r="AJN364" s="373">
        <f>'Q100a-geral'!AJN887</f>
        <v>0</v>
      </c>
      <c r="AJO364" s="373">
        <f>'Q100a-geral'!AJO887</f>
        <v>0</v>
      </c>
      <c r="AJP364" s="373">
        <f>'Q100a-geral'!AJP887</f>
        <v>0</v>
      </c>
      <c r="AJQ364" s="373">
        <f>'Q100a-geral'!AJQ887</f>
        <v>0</v>
      </c>
      <c r="AJR364" s="373">
        <f>'Q100a-geral'!AJR887</f>
        <v>0</v>
      </c>
      <c r="AJS364" s="373">
        <f>'Q100a-geral'!AJS887</f>
        <v>0</v>
      </c>
      <c r="AJT364" s="373">
        <f>'Q100a-geral'!AJT887</f>
        <v>0</v>
      </c>
      <c r="AJU364" s="373">
        <f>'Q100a-geral'!AJU887</f>
        <v>0</v>
      </c>
      <c r="AJV364" s="373">
        <f>'Q100a-geral'!AJV887</f>
        <v>0</v>
      </c>
      <c r="AJW364" s="373">
        <f>'Q100a-geral'!AJW887</f>
        <v>0</v>
      </c>
      <c r="AJX364" s="373">
        <f>'Q100a-geral'!AJX887</f>
        <v>0</v>
      </c>
      <c r="AJY364" s="373">
        <f>'Q100a-geral'!AJY887</f>
        <v>0</v>
      </c>
      <c r="AJZ364" s="373">
        <f>'Q100a-geral'!AJZ887</f>
        <v>0</v>
      </c>
      <c r="AKA364" s="373">
        <f>'Q100a-geral'!AKA887</f>
        <v>0</v>
      </c>
      <c r="AKB364" s="373">
        <f>'Q100a-geral'!AKB887</f>
        <v>0</v>
      </c>
      <c r="AKC364" s="373">
        <f>'Q100a-geral'!AKC887</f>
        <v>0</v>
      </c>
      <c r="AKD364" s="373">
        <f>'Q100a-geral'!AKD887</f>
        <v>0</v>
      </c>
      <c r="AKE364" s="373">
        <f>'Q100a-geral'!AKE887</f>
        <v>0</v>
      </c>
      <c r="AKF364" s="373">
        <f>'Q100a-geral'!AKF887</f>
        <v>0</v>
      </c>
      <c r="AKG364" s="373">
        <f>'Q100a-geral'!AKG887</f>
        <v>0</v>
      </c>
      <c r="AKH364" s="373">
        <f>'Q100a-geral'!AKH887</f>
        <v>0</v>
      </c>
      <c r="AKI364" s="373">
        <f>'Q100a-geral'!AKI887</f>
        <v>0</v>
      </c>
      <c r="AKJ364" s="373">
        <f>'Q100a-geral'!AKJ887</f>
        <v>0</v>
      </c>
      <c r="AKK364" s="373">
        <f>'Q100a-geral'!AKK887</f>
        <v>0</v>
      </c>
      <c r="AKL364" s="373">
        <f>'Q100a-geral'!AKL887</f>
        <v>0</v>
      </c>
      <c r="AKM364" s="373">
        <f>'Q100a-geral'!AKM887</f>
        <v>0</v>
      </c>
      <c r="AKN364" s="373">
        <f>'Q100a-geral'!AKN887</f>
        <v>0</v>
      </c>
      <c r="AKO364" s="373">
        <f>'Q100a-geral'!AKO887</f>
        <v>0</v>
      </c>
      <c r="AKP364" s="373">
        <f>'Q100a-geral'!AKP887</f>
        <v>0</v>
      </c>
      <c r="AKQ364" s="373">
        <f>'Q100a-geral'!AKQ887</f>
        <v>0</v>
      </c>
      <c r="AKR364" s="373">
        <f>'Q100a-geral'!AKR887</f>
        <v>0</v>
      </c>
      <c r="AKS364" s="373">
        <f>'Q100a-geral'!AKS887</f>
        <v>0</v>
      </c>
      <c r="AKT364" s="373">
        <f>'Q100a-geral'!AKT887</f>
        <v>0</v>
      </c>
      <c r="AKU364" s="373">
        <f>'Q100a-geral'!AKU887</f>
        <v>0</v>
      </c>
      <c r="AKV364" s="373">
        <f>'Q100a-geral'!AKV887</f>
        <v>0</v>
      </c>
      <c r="AKW364" s="373">
        <f>'Q100a-geral'!AKW887</f>
        <v>0</v>
      </c>
      <c r="AKX364" s="373">
        <f>'Q100a-geral'!AKX887</f>
        <v>0</v>
      </c>
      <c r="AKY364" s="373">
        <f>'Q100a-geral'!AKY887</f>
        <v>0</v>
      </c>
      <c r="AKZ364" s="373">
        <f>'Q100a-geral'!AKZ887</f>
        <v>0</v>
      </c>
      <c r="ALA364" s="373">
        <f>'Q100a-geral'!ALA887</f>
        <v>0</v>
      </c>
      <c r="ALB364" s="373">
        <f>'Q100a-geral'!ALB887</f>
        <v>0</v>
      </c>
      <c r="ALC364" s="373">
        <f>'Q100a-geral'!ALC887</f>
        <v>0</v>
      </c>
      <c r="ALD364" s="373">
        <f>'Q100a-geral'!ALD887</f>
        <v>0</v>
      </c>
      <c r="ALE364" s="373">
        <f>'Q100a-geral'!ALE887</f>
        <v>0</v>
      </c>
      <c r="ALF364" s="373">
        <f>'Q100a-geral'!ALF887</f>
        <v>0</v>
      </c>
      <c r="ALG364" s="373">
        <f>'Q100a-geral'!ALG887</f>
        <v>0</v>
      </c>
      <c r="ALH364" s="373">
        <f>'Q100a-geral'!ALH887</f>
        <v>0</v>
      </c>
      <c r="ALI364" s="373">
        <f>'Q100a-geral'!ALI887</f>
        <v>0</v>
      </c>
      <c r="ALJ364" s="373">
        <f>'Q100a-geral'!ALJ887</f>
        <v>0</v>
      </c>
      <c r="ALK364" s="373">
        <f>'Q100a-geral'!ALK887</f>
        <v>0</v>
      </c>
      <c r="ALL364" s="373">
        <f>'Q100a-geral'!ALL887</f>
        <v>0</v>
      </c>
      <c r="ALM364" s="373">
        <f>'Q100a-geral'!ALM887</f>
        <v>0</v>
      </c>
      <c r="ALN364" s="373">
        <f>'Q100a-geral'!ALN887</f>
        <v>0</v>
      </c>
      <c r="ALO364" s="373">
        <f>'Q100a-geral'!ALO887</f>
        <v>0</v>
      </c>
      <c r="ALP364" s="373">
        <f>'Q100a-geral'!ALP887</f>
        <v>0</v>
      </c>
      <c r="ALQ364" s="373">
        <f>'Q100a-geral'!ALQ887</f>
        <v>0</v>
      </c>
      <c r="ALR364" s="373">
        <f>'Q100a-geral'!ALR887</f>
        <v>0</v>
      </c>
      <c r="ALS364" s="373">
        <f>'Q100a-geral'!ALS887</f>
        <v>0</v>
      </c>
      <c r="ALT364" s="373">
        <f>'Q100a-geral'!ALT887</f>
        <v>0</v>
      </c>
      <c r="ALU364" s="373">
        <f>'Q100a-geral'!ALU887</f>
        <v>0</v>
      </c>
      <c r="ALV364" s="373">
        <f>'Q100a-geral'!ALV887</f>
        <v>0</v>
      </c>
      <c r="ALW364" s="373">
        <f>'Q100a-geral'!ALW887</f>
        <v>0</v>
      </c>
      <c r="ALX364" s="373">
        <f>'Q100a-geral'!ALX887</f>
        <v>0</v>
      </c>
      <c r="ALY364" s="373">
        <f>'Q100a-geral'!ALY887</f>
        <v>0</v>
      </c>
      <c r="ALZ364" s="373">
        <f>'Q100a-geral'!ALZ887</f>
        <v>0</v>
      </c>
      <c r="AMA364" s="373">
        <f>'Q100a-geral'!AMA887</f>
        <v>0</v>
      </c>
      <c r="AMB364" s="373">
        <f>'Q100a-geral'!AMB887</f>
        <v>0</v>
      </c>
      <c r="AMC364" s="373">
        <f>'Q100a-geral'!AMC887</f>
        <v>0</v>
      </c>
      <c r="AMD364" s="373">
        <f>'Q100a-geral'!AMD887</f>
        <v>0</v>
      </c>
      <c r="AME364" s="373">
        <f>'Q100a-geral'!AME887</f>
        <v>0</v>
      </c>
      <c r="AMF364" s="373">
        <f>'Q100a-geral'!AMF887</f>
        <v>0</v>
      </c>
      <c r="AMG364" s="373">
        <f>'Q100a-geral'!AMG887</f>
        <v>0</v>
      </c>
      <c r="AMH364" s="373">
        <f>'Q100a-geral'!AMH887</f>
        <v>0</v>
      </c>
      <c r="AMI364" s="373">
        <f>'Q100a-geral'!AMI887</f>
        <v>0</v>
      </c>
      <c r="AMJ364" s="373">
        <f>'Q100a-geral'!AMJ887</f>
        <v>0</v>
      </c>
      <c r="AMK364" s="373">
        <f>'Q100a-geral'!AMK887</f>
        <v>0</v>
      </c>
      <c r="AML364" s="373">
        <f>'Q100a-geral'!AML887</f>
        <v>0</v>
      </c>
      <c r="AMM364" s="373">
        <f>'Q100a-geral'!AMM887</f>
        <v>0</v>
      </c>
      <c r="AMN364" s="373">
        <f>'Q100a-geral'!AMN887</f>
        <v>0</v>
      </c>
      <c r="AMO364" s="373">
        <f>'Q100a-geral'!AMO887</f>
        <v>0</v>
      </c>
      <c r="AMP364" s="373">
        <f>'Q100a-geral'!AMP887</f>
        <v>0</v>
      </c>
      <c r="AMQ364" s="373">
        <f>'Q100a-geral'!AMQ887</f>
        <v>0</v>
      </c>
      <c r="AMR364" s="373">
        <f>'Q100a-geral'!AMR887</f>
        <v>0</v>
      </c>
      <c r="AMS364" s="373">
        <f>'Q100a-geral'!AMS887</f>
        <v>0</v>
      </c>
      <c r="AMT364" s="373">
        <f>'Q100a-geral'!AMT887</f>
        <v>0</v>
      </c>
      <c r="AMU364" s="373">
        <f>'Q100a-geral'!AMU887</f>
        <v>0</v>
      </c>
      <c r="AMV364" s="373">
        <f>'Q100a-geral'!AMV887</f>
        <v>0</v>
      </c>
      <c r="AMW364" s="373">
        <f>'Q100a-geral'!AMW887</f>
        <v>0</v>
      </c>
      <c r="AMX364" s="373">
        <f>'Q100a-geral'!AMX887</f>
        <v>0</v>
      </c>
      <c r="AMY364" s="373">
        <f>'Q100a-geral'!AMY887</f>
        <v>0</v>
      </c>
      <c r="AMZ364" s="373">
        <f>'Q100a-geral'!AMZ887</f>
        <v>0</v>
      </c>
      <c r="ANA364" s="373">
        <f>'Q100a-geral'!ANA887</f>
        <v>0</v>
      </c>
      <c r="ANB364" s="373">
        <f>'Q100a-geral'!ANB887</f>
        <v>0</v>
      </c>
      <c r="ANC364" s="373">
        <f>'Q100a-geral'!ANC887</f>
        <v>0</v>
      </c>
      <c r="AND364" s="373">
        <f>'Q100a-geral'!AND887</f>
        <v>0</v>
      </c>
      <c r="ANE364" s="373">
        <f>'Q100a-geral'!ANE887</f>
        <v>0</v>
      </c>
      <c r="ANF364" s="373">
        <f>'Q100a-geral'!ANF887</f>
        <v>0</v>
      </c>
      <c r="ANG364" s="373">
        <f>'Q100a-geral'!ANG887</f>
        <v>0</v>
      </c>
      <c r="ANH364" s="373">
        <f>'Q100a-geral'!ANH887</f>
        <v>0</v>
      </c>
      <c r="ANI364" s="373">
        <f>'Q100a-geral'!ANI887</f>
        <v>0</v>
      </c>
      <c r="ANJ364" s="373">
        <f>'Q100a-geral'!ANJ887</f>
        <v>0</v>
      </c>
      <c r="ANK364" s="373">
        <f>'Q100a-geral'!ANK887</f>
        <v>0</v>
      </c>
      <c r="ANL364" s="373">
        <f>'Q100a-geral'!ANL887</f>
        <v>0</v>
      </c>
      <c r="ANM364" s="373">
        <f>'Q100a-geral'!ANM887</f>
        <v>0</v>
      </c>
      <c r="ANN364" s="373">
        <f>'Q100a-geral'!ANN887</f>
        <v>0</v>
      </c>
      <c r="ANO364" s="373">
        <f>'Q100a-geral'!ANO887</f>
        <v>0</v>
      </c>
      <c r="ANP364" s="373">
        <f>'Q100a-geral'!ANP887</f>
        <v>0</v>
      </c>
      <c r="ANQ364" s="373">
        <f>'Q100a-geral'!ANQ887</f>
        <v>0</v>
      </c>
      <c r="ANR364" s="373">
        <f>'Q100a-geral'!ANR887</f>
        <v>0</v>
      </c>
      <c r="ANS364" s="373">
        <f>'Q100a-geral'!ANS887</f>
        <v>0</v>
      </c>
      <c r="ANT364" s="373">
        <f>'Q100a-geral'!ANT887</f>
        <v>0</v>
      </c>
      <c r="ANU364" s="373">
        <f>'Q100a-geral'!ANU887</f>
        <v>0</v>
      </c>
      <c r="ANV364" s="373">
        <f>'Q100a-geral'!ANV887</f>
        <v>0</v>
      </c>
      <c r="ANW364" s="373">
        <f>'Q100a-geral'!ANW887</f>
        <v>0</v>
      </c>
      <c r="ANX364" s="373">
        <f>'Q100a-geral'!ANX887</f>
        <v>0</v>
      </c>
      <c r="ANY364" s="373">
        <f>'Q100a-geral'!ANY887</f>
        <v>0</v>
      </c>
      <c r="ANZ364" s="373">
        <f>'Q100a-geral'!ANZ887</f>
        <v>0</v>
      </c>
      <c r="AOA364" s="373">
        <f>'Q100a-geral'!AOA887</f>
        <v>0</v>
      </c>
      <c r="AOB364" s="373">
        <f>'Q100a-geral'!AOB887</f>
        <v>0</v>
      </c>
      <c r="AOC364" s="373">
        <f>'Q100a-geral'!AOC887</f>
        <v>0</v>
      </c>
      <c r="AOD364" s="373">
        <f>'Q100a-geral'!AOD887</f>
        <v>0</v>
      </c>
      <c r="AOE364" s="373">
        <f>'Q100a-geral'!AOE887</f>
        <v>0</v>
      </c>
      <c r="AOF364" s="373">
        <f>'Q100a-geral'!AOF887</f>
        <v>0</v>
      </c>
      <c r="AOG364" s="373">
        <f>'Q100a-geral'!AOG887</f>
        <v>0</v>
      </c>
      <c r="AOH364" s="373">
        <f>'Q100a-geral'!AOH887</f>
        <v>0</v>
      </c>
      <c r="AOI364" s="373">
        <f>'Q100a-geral'!AOI887</f>
        <v>0</v>
      </c>
      <c r="AOJ364" s="373">
        <f>'Q100a-geral'!AOJ887</f>
        <v>0</v>
      </c>
      <c r="AOK364" s="373">
        <f>'Q100a-geral'!AOK887</f>
        <v>0</v>
      </c>
      <c r="AOL364" s="373">
        <f>'Q100a-geral'!AOL887</f>
        <v>0</v>
      </c>
      <c r="AOM364" s="373">
        <f>'Q100a-geral'!AOM887</f>
        <v>0</v>
      </c>
      <c r="AON364" s="373">
        <f>'Q100a-geral'!AON887</f>
        <v>0</v>
      </c>
      <c r="AOO364" s="373">
        <f>'Q100a-geral'!AOO887</f>
        <v>0</v>
      </c>
      <c r="AOP364" s="373">
        <f>'Q100a-geral'!AOP887</f>
        <v>0</v>
      </c>
      <c r="AOQ364" s="373">
        <f>'Q100a-geral'!AOQ887</f>
        <v>0</v>
      </c>
      <c r="AOR364" s="373">
        <f>'Q100a-geral'!AOR887</f>
        <v>0</v>
      </c>
      <c r="AOS364" s="373">
        <f>'Q100a-geral'!AOS887</f>
        <v>0</v>
      </c>
      <c r="AOT364" s="373">
        <f>'Q100a-geral'!AOT887</f>
        <v>0</v>
      </c>
      <c r="AOU364" s="373">
        <f>'Q100a-geral'!AOU887</f>
        <v>0</v>
      </c>
      <c r="AOV364" s="373">
        <f>'Q100a-geral'!AOV887</f>
        <v>0</v>
      </c>
      <c r="AOW364" s="373">
        <f>'Q100a-geral'!AOW887</f>
        <v>0</v>
      </c>
      <c r="AOX364" s="373">
        <f>'Q100a-geral'!AOX887</f>
        <v>0</v>
      </c>
      <c r="AOY364" s="373">
        <f>'Q100a-geral'!AOY887</f>
        <v>0</v>
      </c>
      <c r="AOZ364" s="373">
        <f>'Q100a-geral'!AOZ887</f>
        <v>0</v>
      </c>
      <c r="APA364" s="373">
        <f>'Q100a-geral'!APA887</f>
        <v>0</v>
      </c>
      <c r="APB364" s="373">
        <f>'Q100a-geral'!APB887</f>
        <v>0</v>
      </c>
      <c r="APC364" s="373">
        <f>'Q100a-geral'!APC887</f>
        <v>0</v>
      </c>
      <c r="APD364" s="373">
        <f>'Q100a-geral'!APD887</f>
        <v>0</v>
      </c>
      <c r="APE364" s="373">
        <f>'Q100a-geral'!APE887</f>
        <v>0</v>
      </c>
      <c r="APF364" s="373">
        <f>'Q100a-geral'!APF887</f>
        <v>0</v>
      </c>
      <c r="APG364" s="373">
        <f>'Q100a-geral'!APG887</f>
        <v>0</v>
      </c>
      <c r="APH364" s="373">
        <f>'Q100a-geral'!APH887</f>
        <v>0</v>
      </c>
      <c r="API364" s="373">
        <f>'Q100a-geral'!API887</f>
        <v>0</v>
      </c>
      <c r="APJ364" s="373">
        <f>'Q100a-geral'!APJ887</f>
        <v>0</v>
      </c>
      <c r="APK364" s="373">
        <f>'Q100a-geral'!APK887</f>
        <v>0</v>
      </c>
      <c r="APL364" s="373">
        <f>'Q100a-geral'!APL887</f>
        <v>0</v>
      </c>
      <c r="APM364" s="373">
        <f>'Q100a-geral'!APM887</f>
        <v>0</v>
      </c>
      <c r="APN364" s="373">
        <f>'Q100a-geral'!APN887</f>
        <v>0</v>
      </c>
      <c r="APO364" s="373">
        <f>'Q100a-geral'!APO887</f>
        <v>0</v>
      </c>
      <c r="APP364" s="373">
        <f>'Q100a-geral'!APP887</f>
        <v>0</v>
      </c>
      <c r="APQ364" s="373">
        <f>'Q100a-geral'!APQ887</f>
        <v>0</v>
      </c>
      <c r="APR364" s="373">
        <f>'Q100a-geral'!APR887</f>
        <v>0</v>
      </c>
      <c r="APS364" s="373">
        <f>'Q100a-geral'!APS887</f>
        <v>0</v>
      </c>
      <c r="APT364" s="373">
        <f>'Q100a-geral'!APT887</f>
        <v>0</v>
      </c>
      <c r="APU364" s="373">
        <f>'Q100a-geral'!APU887</f>
        <v>0</v>
      </c>
      <c r="APV364" s="373">
        <f>'Q100a-geral'!APV887</f>
        <v>0</v>
      </c>
      <c r="APW364" s="373">
        <f>'Q100a-geral'!APW887</f>
        <v>0</v>
      </c>
      <c r="APX364" s="373">
        <f>'Q100a-geral'!APX887</f>
        <v>0</v>
      </c>
      <c r="APY364" s="373">
        <f>'Q100a-geral'!APY887</f>
        <v>0</v>
      </c>
      <c r="APZ364" s="373">
        <f>'Q100a-geral'!APZ887</f>
        <v>0</v>
      </c>
      <c r="AQA364" s="373">
        <f>'Q100a-geral'!AQA887</f>
        <v>0</v>
      </c>
      <c r="AQB364" s="373">
        <f>'Q100a-geral'!AQB887</f>
        <v>0</v>
      </c>
      <c r="AQC364" s="373">
        <f>'Q100a-geral'!AQC887</f>
        <v>0</v>
      </c>
      <c r="AQD364" s="373">
        <f>'Q100a-geral'!AQD887</f>
        <v>0</v>
      </c>
      <c r="AQE364" s="373">
        <f>'Q100a-geral'!AQE887</f>
        <v>0</v>
      </c>
      <c r="AQF364" s="373">
        <f>'Q100a-geral'!AQF887</f>
        <v>0</v>
      </c>
      <c r="AQG364" s="373">
        <f>'Q100a-geral'!AQG887</f>
        <v>0</v>
      </c>
      <c r="AQH364" s="373">
        <f>'Q100a-geral'!AQH887</f>
        <v>0</v>
      </c>
      <c r="AQI364" s="373">
        <f>'Q100a-geral'!AQI887</f>
        <v>0</v>
      </c>
      <c r="AQJ364" s="373">
        <f>'Q100a-geral'!AQJ887</f>
        <v>0</v>
      </c>
      <c r="AQK364" s="373">
        <f>'Q100a-geral'!AQK887</f>
        <v>0</v>
      </c>
      <c r="AQL364" s="373">
        <f>'Q100a-geral'!AQL887</f>
        <v>0</v>
      </c>
      <c r="AQM364" s="373">
        <f>'Q100a-geral'!AQM887</f>
        <v>0</v>
      </c>
      <c r="AQN364" s="373">
        <f>'Q100a-geral'!AQN887</f>
        <v>0</v>
      </c>
      <c r="AQO364" s="373">
        <f>'Q100a-geral'!AQO887</f>
        <v>0</v>
      </c>
      <c r="AQP364" s="373">
        <f>'Q100a-geral'!AQP887</f>
        <v>0</v>
      </c>
      <c r="AQQ364" s="373">
        <f>'Q100a-geral'!AQQ887</f>
        <v>0</v>
      </c>
      <c r="AQR364" s="373">
        <f>'Q100a-geral'!AQR887</f>
        <v>0</v>
      </c>
      <c r="AQS364" s="373">
        <f>'Q100a-geral'!AQS887</f>
        <v>0</v>
      </c>
      <c r="AQT364" s="373">
        <f>'Q100a-geral'!AQT887</f>
        <v>0</v>
      </c>
      <c r="AQU364" s="373">
        <f>'Q100a-geral'!AQU887</f>
        <v>0</v>
      </c>
      <c r="AQV364" s="373">
        <f>'Q100a-geral'!AQV887</f>
        <v>0</v>
      </c>
      <c r="AQW364" s="373">
        <f>'Q100a-geral'!AQW887</f>
        <v>0</v>
      </c>
      <c r="AQX364" s="373">
        <f>'Q100a-geral'!AQX887</f>
        <v>0</v>
      </c>
      <c r="AQY364" s="373">
        <f>'Q100a-geral'!AQY887</f>
        <v>0</v>
      </c>
      <c r="AQZ364" s="373">
        <f>'Q100a-geral'!AQZ887</f>
        <v>0</v>
      </c>
      <c r="ARA364" s="373">
        <f>'Q100a-geral'!ARA887</f>
        <v>0</v>
      </c>
      <c r="ARB364" s="373">
        <f>'Q100a-geral'!ARB887</f>
        <v>0</v>
      </c>
      <c r="ARC364" s="373">
        <f>'Q100a-geral'!ARC887</f>
        <v>0</v>
      </c>
      <c r="ARD364" s="373">
        <f>'Q100a-geral'!ARD887</f>
        <v>0</v>
      </c>
      <c r="ARE364" s="373">
        <f>'Q100a-geral'!ARE887</f>
        <v>0</v>
      </c>
      <c r="ARF364" s="373">
        <f>'Q100a-geral'!ARF887</f>
        <v>0</v>
      </c>
      <c r="ARG364" s="373">
        <f>'Q100a-geral'!ARG887</f>
        <v>0</v>
      </c>
      <c r="ARH364" s="373">
        <f>'Q100a-geral'!ARH887</f>
        <v>0</v>
      </c>
      <c r="ARI364" s="373">
        <f>'Q100a-geral'!ARI887</f>
        <v>0</v>
      </c>
      <c r="ARJ364" s="373">
        <f>'Q100a-geral'!ARJ887</f>
        <v>0</v>
      </c>
      <c r="ARK364" s="373">
        <f>'Q100a-geral'!ARK887</f>
        <v>0</v>
      </c>
      <c r="ARL364" s="373">
        <f>'Q100a-geral'!ARL887</f>
        <v>0</v>
      </c>
      <c r="ARM364" s="373">
        <f>'Q100a-geral'!ARM887</f>
        <v>0</v>
      </c>
      <c r="ARN364" s="373">
        <f>'Q100a-geral'!ARN887</f>
        <v>0</v>
      </c>
      <c r="ARO364" s="373">
        <f>'Q100a-geral'!ARO887</f>
        <v>0</v>
      </c>
      <c r="ARP364" s="373">
        <f>'Q100a-geral'!ARP887</f>
        <v>0</v>
      </c>
      <c r="ARQ364" s="373">
        <f>'Q100a-geral'!ARQ887</f>
        <v>0</v>
      </c>
      <c r="ARR364" s="373">
        <f>'Q100a-geral'!ARR887</f>
        <v>0</v>
      </c>
      <c r="ARS364" s="373">
        <f>'Q100a-geral'!ARS887</f>
        <v>0</v>
      </c>
      <c r="ART364" s="373">
        <f>'Q100a-geral'!ART887</f>
        <v>0</v>
      </c>
      <c r="ARU364" s="373">
        <f>'Q100a-geral'!ARU887</f>
        <v>0</v>
      </c>
      <c r="ARV364" s="373">
        <f>'Q100a-geral'!ARV887</f>
        <v>0</v>
      </c>
      <c r="ARW364" s="373">
        <f>'Q100a-geral'!ARW887</f>
        <v>0</v>
      </c>
      <c r="ARX364" s="373">
        <f>'Q100a-geral'!ARX887</f>
        <v>0</v>
      </c>
      <c r="ARY364" s="373">
        <f>'Q100a-geral'!ARY887</f>
        <v>0</v>
      </c>
      <c r="ARZ364" s="373">
        <f>'Q100a-geral'!ARZ887</f>
        <v>0</v>
      </c>
      <c r="ASA364" s="373">
        <f>'Q100a-geral'!ASA887</f>
        <v>0</v>
      </c>
      <c r="ASB364" s="373">
        <f>'Q100a-geral'!ASB887</f>
        <v>0</v>
      </c>
      <c r="ASC364" s="373">
        <f>'Q100a-geral'!ASC887</f>
        <v>0</v>
      </c>
      <c r="ASD364" s="373">
        <f>'Q100a-geral'!ASD887</f>
        <v>0</v>
      </c>
      <c r="ASE364" s="373">
        <f>'Q100a-geral'!ASE887</f>
        <v>0</v>
      </c>
      <c r="ASF364" s="373">
        <f>'Q100a-geral'!ASF887</f>
        <v>0</v>
      </c>
      <c r="ASG364" s="373">
        <f>'Q100a-geral'!ASG887</f>
        <v>0</v>
      </c>
      <c r="ASH364" s="373">
        <f>'Q100a-geral'!ASH887</f>
        <v>0</v>
      </c>
      <c r="ASI364" s="373">
        <f>'Q100a-geral'!ASI887</f>
        <v>0</v>
      </c>
      <c r="ASJ364" s="373">
        <f>'Q100a-geral'!ASJ887</f>
        <v>0</v>
      </c>
      <c r="ASK364" s="373">
        <f>'Q100a-geral'!ASK887</f>
        <v>0</v>
      </c>
      <c r="ASL364" s="373">
        <f>'Q100a-geral'!ASL887</f>
        <v>0</v>
      </c>
      <c r="ASM364" s="373">
        <f>'Q100a-geral'!ASM887</f>
        <v>0</v>
      </c>
      <c r="ASN364" s="373">
        <f>'Q100a-geral'!ASN887</f>
        <v>0</v>
      </c>
      <c r="ASO364" s="373">
        <f>'Q100a-geral'!ASO887</f>
        <v>0</v>
      </c>
      <c r="ASP364" s="373">
        <f>'Q100a-geral'!ASP887</f>
        <v>0</v>
      </c>
      <c r="ASQ364" s="373">
        <f>'Q100a-geral'!ASQ887</f>
        <v>0</v>
      </c>
      <c r="ASR364" s="373">
        <f>'Q100a-geral'!ASR887</f>
        <v>0</v>
      </c>
      <c r="ASS364" s="373">
        <f>'Q100a-geral'!ASS887</f>
        <v>0</v>
      </c>
      <c r="AST364" s="373">
        <f>'Q100a-geral'!AST887</f>
        <v>0</v>
      </c>
      <c r="ASU364" s="373">
        <f>'Q100a-geral'!ASU887</f>
        <v>0</v>
      </c>
      <c r="ASV364" s="373">
        <f>'Q100a-geral'!ASV887</f>
        <v>0</v>
      </c>
      <c r="ASW364" s="373">
        <f>'Q100a-geral'!ASW887</f>
        <v>0</v>
      </c>
      <c r="ASX364" s="373">
        <f>'Q100a-geral'!ASX887</f>
        <v>0</v>
      </c>
      <c r="ASY364" s="373">
        <f>'Q100a-geral'!ASY887</f>
        <v>0</v>
      </c>
      <c r="ASZ364" s="373">
        <f>'Q100a-geral'!ASZ887</f>
        <v>0</v>
      </c>
      <c r="ATA364" s="373">
        <f>'Q100a-geral'!ATA887</f>
        <v>0</v>
      </c>
      <c r="ATB364" s="373">
        <f>'Q100a-geral'!ATB887</f>
        <v>0</v>
      </c>
      <c r="ATC364" s="373">
        <f>'Q100a-geral'!ATC887</f>
        <v>0</v>
      </c>
      <c r="ATD364" s="373">
        <f>'Q100a-geral'!ATD887</f>
        <v>0</v>
      </c>
      <c r="ATE364" s="373">
        <f>'Q100a-geral'!ATE887</f>
        <v>0</v>
      </c>
      <c r="ATF364" s="373">
        <f>'Q100a-geral'!ATF887</f>
        <v>0</v>
      </c>
      <c r="ATG364" s="373">
        <f>'Q100a-geral'!ATG887</f>
        <v>0</v>
      </c>
      <c r="ATH364" s="373">
        <f>'Q100a-geral'!ATH887</f>
        <v>0</v>
      </c>
      <c r="ATI364" s="373">
        <f>'Q100a-geral'!ATI887</f>
        <v>0</v>
      </c>
      <c r="ATJ364" s="373">
        <f>'Q100a-geral'!ATJ887</f>
        <v>0</v>
      </c>
      <c r="ATK364" s="373">
        <f>'Q100a-geral'!ATK887</f>
        <v>0</v>
      </c>
      <c r="ATL364" s="373">
        <f>'Q100a-geral'!ATL887</f>
        <v>0</v>
      </c>
      <c r="ATM364" s="373">
        <f>'Q100a-geral'!ATM887</f>
        <v>0</v>
      </c>
      <c r="ATN364" s="373">
        <f>'Q100a-geral'!ATN887</f>
        <v>0</v>
      </c>
      <c r="ATO364" s="373">
        <f>'Q100a-geral'!ATO887</f>
        <v>0</v>
      </c>
      <c r="ATP364" s="373">
        <f>'Q100a-geral'!ATP887</f>
        <v>0</v>
      </c>
      <c r="ATQ364" s="373">
        <f>'Q100a-geral'!ATQ887</f>
        <v>0</v>
      </c>
      <c r="ATR364" s="373">
        <f>'Q100a-geral'!ATR887</f>
        <v>0</v>
      </c>
      <c r="ATS364" s="373">
        <f>'Q100a-geral'!ATS887</f>
        <v>0</v>
      </c>
      <c r="ATT364" s="373">
        <f>'Q100a-geral'!ATT887</f>
        <v>0</v>
      </c>
      <c r="ATU364" s="373">
        <f>'Q100a-geral'!ATU887</f>
        <v>0</v>
      </c>
      <c r="ATV364" s="373">
        <f>'Q100a-geral'!ATV887</f>
        <v>0</v>
      </c>
      <c r="ATW364" s="373">
        <f>'Q100a-geral'!ATW887</f>
        <v>0</v>
      </c>
      <c r="ATX364" s="373">
        <f>'Q100a-geral'!ATX887</f>
        <v>0</v>
      </c>
      <c r="ATY364" s="373">
        <f>'Q100a-geral'!ATY887</f>
        <v>0</v>
      </c>
      <c r="ATZ364" s="373">
        <f>'Q100a-geral'!ATZ887</f>
        <v>0</v>
      </c>
      <c r="AUA364" s="373">
        <f>'Q100a-geral'!AUA887</f>
        <v>0</v>
      </c>
      <c r="AUB364" s="373">
        <f>'Q100a-geral'!AUB887</f>
        <v>0</v>
      </c>
      <c r="AUC364" s="373">
        <f>'Q100a-geral'!AUC887</f>
        <v>0</v>
      </c>
      <c r="AUD364" s="373">
        <f>'Q100a-geral'!AUD887</f>
        <v>0</v>
      </c>
      <c r="AUE364" s="373">
        <f>'Q100a-geral'!AUE887</f>
        <v>0</v>
      </c>
      <c r="AUF364" s="373">
        <f>'Q100a-geral'!AUF887</f>
        <v>0</v>
      </c>
      <c r="AUG364" s="373">
        <f>'Q100a-geral'!AUG887</f>
        <v>0</v>
      </c>
      <c r="AUH364" s="373">
        <f>'Q100a-geral'!AUH887</f>
        <v>0</v>
      </c>
      <c r="AUI364" s="373">
        <f>'Q100a-geral'!AUI887</f>
        <v>0</v>
      </c>
      <c r="AUJ364" s="373">
        <f>'Q100a-geral'!AUJ887</f>
        <v>0</v>
      </c>
      <c r="AUK364" s="373">
        <f>'Q100a-geral'!AUK887</f>
        <v>0</v>
      </c>
      <c r="AUL364" s="373">
        <f>'Q100a-geral'!AUL887</f>
        <v>0</v>
      </c>
      <c r="AUM364" s="373">
        <f>'Q100a-geral'!AUM887</f>
        <v>0</v>
      </c>
      <c r="AUN364" s="373">
        <f>'Q100a-geral'!AUN887</f>
        <v>0</v>
      </c>
      <c r="AUO364" s="373">
        <f>'Q100a-geral'!AUO887</f>
        <v>0</v>
      </c>
      <c r="AUP364" s="373">
        <f>'Q100a-geral'!AUP887</f>
        <v>0</v>
      </c>
      <c r="AUQ364" s="373">
        <f>'Q100a-geral'!AUQ887</f>
        <v>0</v>
      </c>
      <c r="AUR364" s="373">
        <f>'Q100a-geral'!AUR887</f>
        <v>0</v>
      </c>
      <c r="AUS364" s="373">
        <f>'Q100a-geral'!AUS887</f>
        <v>0</v>
      </c>
      <c r="AUT364" s="373">
        <f>'Q100a-geral'!AUT887</f>
        <v>0</v>
      </c>
      <c r="AUU364" s="373">
        <f>'Q100a-geral'!AUU887</f>
        <v>0</v>
      </c>
      <c r="AUV364" s="373">
        <f>'Q100a-geral'!AUV887</f>
        <v>0</v>
      </c>
      <c r="AUW364" s="373">
        <f>'Q100a-geral'!AUW887</f>
        <v>0</v>
      </c>
      <c r="AUX364" s="373">
        <f>'Q100a-geral'!AUX887</f>
        <v>0</v>
      </c>
      <c r="AUY364" s="373">
        <f>'Q100a-geral'!AUY887</f>
        <v>0</v>
      </c>
      <c r="AUZ364" s="373">
        <f>'Q100a-geral'!AUZ887</f>
        <v>0</v>
      </c>
      <c r="AVA364" s="373">
        <f>'Q100a-geral'!AVA887</f>
        <v>0</v>
      </c>
      <c r="AVB364" s="373">
        <f>'Q100a-geral'!AVB887</f>
        <v>0</v>
      </c>
      <c r="AVC364" s="373">
        <f>'Q100a-geral'!AVC887</f>
        <v>0</v>
      </c>
      <c r="AVD364" s="373">
        <f>'Q100a-geral'!AVD887</f>
        <v>0</v>
      </c>
      <c r="AVE364" s="373">
        <f>'Q100a-geral'!AVE887</f>
        <v>0</v>
      </c>
      <c r="AVF364" s="373">
        <f>'Q100a-geral'!AVF887</f>
        <v>0</v>
      </c>
      <c r="AVG364" s="373">
        <f>'Q100a-geral'!AVG887</f>
        <v>0</v>
      </c>
      <c r="AVH364" s="373">
        <f>'Q100a-geral'!AVH887</f>
        <v>0</v>
      </c>
      <c r="AVI364" s="373">
        <f>'Q100a-geral'!AVI887</f>
        <v>0</v>
      </c>
      <c r="AVJ364" s="373">
        <f>'Q100a-geral'!AVJ887</f>
        <v>0</v>
      </c>
      <c r="AVK364" s="373">
        <f>'Q100a-geral'!AVK887</f>
        <v>0</v>
      </c>
      <c r="AVL364" s="373">
        <f>'Q100a-geral'!AVL887</f>
        <v>0</v>
      </c>
      <c r="AVM364" s="373">
        <f>'Q100a-geral'!AVM887</f>
        <v>0</v>
      </c>
      <c r="AVN364" s="373">
        <f>'Q100a-geral'!AVN887</f>
        <v>0</v>
      </c>
      <c r="AVO364" s="373">
        <f>'Q100a-geral'!AVO887</f>
        <v>0</v>
      </c>
      <c r="AVP364" s="373">
        <f>'Q100a-geral'!AVP887</f>
        <v>0</v>
      </c>
      <c r="AVQ364" s="373">
        <f>'Q100a-geral'!AVQ887</f>
        <v>0</v>
      </c>
      <c r="AVR364" s="373">
        <f>'Q100a-geral'!AVR887</f>
        <v>0</v>
      </c>
      <c r="AVS364" s="373">
        <f>'Q100a-geral'!AVS887</f>
        <v>0</v>
      </c>
      <c r="AVT364" s="373">
        <f>'Q100a-geral'!AVT887</f>
        <v>0</v>
      </c>
      <c r="AVU364" s="373">
        <f>'Q100a-geral'!AVU887</f>
        <v>0</v>
      </c>
      <c r="AVV364" s="373">
        <f>'Q100a-geral'!AVV887</f>
        <v>0</v>
      </c>
      <c r="AVW364" s="373">
        <f>'Q100a-geral'!AVW887</f>
        <v>0</v>
      </c>
      <c r="AVX364" s="373">
        <f>'Q100a-geral'!AVX887</f>
        <v>0</v>
      </c>
      <c r="AVY364" s="373">
        <f>'Q100a-geral'!AVY887</f>
        <v>0</v>
      </c>
      <c r="AVZ364" s="373">
        <f>'Q100a-geral'!AVZ887</f>
        <v>0</v>
      </c>
      <c r="AWA364" s="373">
        <f>'Q100a-geral'!AWA887</f>
        <v>0</v>
      </c>
      <c r="AWB364" s="373">
        <f>'Q100a-geral'!AWB887</f>
        <v>0</v>
      </c>
      <c r="AWC364" s="373">
        <f>'Q100a-geral'!AWC887</f>
        <v>0</v>
      </c>
      <c r="AWD364" s="373">
        <f>'Q100a-geral'!AWD887</f>
        <v>0</v>
      </c>
      <c r="AWE364" s="373">
        <f>'Q100a-geral'!AWE887</f>
        <v>0</v>
      </c>
      <c r="AWF364" s="373">
        <f>'Q100a-geral'!AWF887</f>
        <v>0</v>
      </c>
      <c r="AWG364" s="373">
        <f>'Q100a-geral'!AWG887</f>
        <v>0</v>
      </c>
      <c r="AWH364" s="373">
        <f>'Q100a-geral'!AWH887</f>
        <v>0</v>
      </c>
      <c r="AWI364" s="373">
        <f>'Q100a-geral'!AWI887</f>
        <v>0</v>
      </c>
      <c r="AWJ364" s="373">
        <f>'Q100a-geral'!AWJ887</f>
        <v>0</v>
      </c>
      <c r="AWK364" s="373">
        <f>'Q100a-geral'!AWK887</f>
        <v>0</v>
      </c>
      <c r="AWL364" s="373">
        <f>'Q100a-geral'!AWL887</f>
        <v>0</v>
      </c>
      <c r="AWM364" s="373">
        <f>'Q100a-geral'!AWM887</f>
        <v>0</v>
      </c>
      <c r="AWN364" s="373">
        <f>'Q100a-geral'!AWN887</f>
        <v>0</v>
      </c>
      <c r="AWO364" s="373">
        <f>'Q100a-geral'!AWO887</f>
        <v>0</v>
      </c>
      <c r="AWP364" s="373">
        <f>'Q100a-geral'!AWP887</f>
        <v>0</v>
      </c>
      <c r="AWQ364" s="373">
        <f>'Q100a-geral'!AWQ887</f>
        <v>0</v>
      </c>
      <c r="AWR364" s="373">
        <f>'Q100a-geral'!AWR887</f>
        <v>0</v>
      </c>
      <c r="AWS364" s="373">
        <f>'Q100a-geral'!AWS887</f>
        <v>0</v>
      </c>
      <c r="AWT364" s="373">
        <f>'Q100a-geral'!AWT887</f>
        <v>0</v>
      </c>
      <c r="AWU364" s="373">
        <f>'Q100a-geral'!AWU887</f>
        <v>0</v>
      </c>
      <c r="AWV364" s="373">
        <f>'Q100a-geral'!AWV887</f>
        <v>0</v>
      </c>
      <c r="AWW364" s="373">
        <f>'Q100a-geral'!AWW887</f>
        <v>0</v>
      </c>
      <c r="AWX364" s="373">
        <f>'Q100a-geral'!AWX887</f>
        <v>0</v>
      </c>
      <c r="AWY364" s="373">
        <f>'Q100a-geral'!AWY887</f>
        <v>0</v>
      </c>
      <c r="AWZ364" s="373">
        <f>'Q100a-geral'!AWZ887</f>
        <v>0</v>
      </c>
      <c r="AXA364" s="373">
        <f>'Q100a-geral'!AXA887</f>
        <v>0</v>
      </c>
      <c r="AXB364" s="373">
        <f>'Q100a-geral'!AXB887</f>
        <v>0</v>
      </c>
      <c r="AXC364" s="373">
        <f>'Q100a-geral'!AXC887</f>
        <v>0</v>
      </c>
      <c r="AXD364" s="373">
        <f>'Q100a-geral'!AXD887</f>
        <v>0</v>
      </c>
      <c r="AXE364" s="373">
        <f>'Q100a-geral'!AXE887</f>
        <v>0</v>
      </c>
      <c r="AXF364" s="373">
        <f>'Q100a-geral'!AXF887</f>
        <v>0</v>
      </c>
      <c r="AXG364" s="373">
        <f>'Q100a-geral'!AXG887</f>
        <v>0</v>
      </c>
      <c r="AXH364" s="373">
        <f>'Q100a-geral'!AXH887</f>
        <v>0</v>
      </c>
      <c r="AXI364" s="373">
        <f>'Q100a-geral'!AXI887</f>
        <v>0</v>
      </c>
      <c r="AXJ364" s="373">
        <f>'Q100a-geral'!AXJ887</f>
        <v>0</v>
      </c>
      <c r="AXK364" s="373">
        <f>'Q100a-geral'!AXK887</f>
        <v>0</v>
      </c>
      <c r="AXL364" s="373">
        <f>'Q100a-geral'!AXL887</f>
        <v>0</v>
      </c>
      <c r="AXM364" s="373">
        <f>'Q100a-geral'!AXM887</f>
        <v>0</v>
      </c>
      <c r="AXN364" s="373">
        <f>'Q100a-geral'!AXN887</f>
        <v>0</v>
      </c>
      <c r="AXO364" s="373">
        <f>'Q100a-geral'!AXO887</f>
        <v>0</v>
      </c>
      <c r="AXP364" s="373">
        <f>'Q100a-geral'!AXP887</f>
        <v>0</v>
      </c>
      <c r="AXQ364" s="373">
        <f>'Q100a-geral'!AXQ887</f>
        <v>0</v>
      </c>
      <c r="AXR364" s="373">
        <f>'Q100a-geral'!AXR887</f>
        <v>0</v>
      </c>
      <c r="AXS364" s="373">
        <f>'Q100a-geral'!AXS887</f>
        <v>0</v>
      </c>
      <c r="AXT364" s="373">
        <f>'Q100a-geral'!AXT887</f>
        <v>0</v>
      </c>
      <c r="AXU364" s="373">
        <f>'Q100a-geral'!AXU887</f>
        <v>0</v>
      </c>
      <c r="AXV364" s="373">
        <f>'Q100a-geral'!AXV887</f>
        <v>0</v>
      </c>
      <c r="AXW364" s="373">
        <f>'Q100a-geral'!AXW887</f>
        <v>0</v>
      </c>
      <c r="AXX364" s="373">
        <f>'Q100a-geral'!AXX887</f>
        <v>0</v>
      </c>
      <c r="AXY364" s="373">
        <f>'Q100a-geral'!AXY887</f>
        <v>0</v>
      </c>
      <c r="AXZ364" s="373">
        <f>'Q100a-geral'!AXZ887</f>
        <v>0</v>
      </c>
      <c r="AYA364" s="373">
        <f>'Q100a-geral'!AYA887</f>
        <v>0</v>
      </c>
      <c r="AYB364" s="373">
        <f>'Q100a-geral'!AYB887</f>
        <v>0</v>
      </c>
      <c r="AYC364" s="373">
        <f>'Q100a-geral'!AYC887</f>
        <v>0</v>
      </c>
      <c r="AYD364" s="373">
        <f>'Q100a-geral'!AYD887</f>
        <v>0</v>
      </c>
      <c r="AYE364" s="373">
        <f>'Q100a-geral'!AYE887</f>
        <v>0</v>
      </c>
      <c r="AYF364" s="373">
        <f>'Q100a-geral'!AYF887</f>
        <v>0</v>
      </c>
      <c r="AYG364" s="373">
        <f>'Q100a-geral'!AYG887</f>
        <v>0</v>
      </c>
      <c r="AYH364" s="373">
        <f>'Q100a-geral'!AYH887</f>
        <v>0</v>
      </c>
      <c r="AYI364" s="373">
        <f>'Q100a-geral'!AYI887</f>
        <v>0</v>
      </c>
      <c r="AYJ364" s="373">
        <f>'Q100a-geral'!AYJ887</f>
        <v>0</v>
      </c>
      <c r="AYK364" s="373">
        <f>'Q100a-geral'!AYK887</f>
        <v>0</v>
      </c>
      <c r="AYL364" s="373">
        <f>'Q100a-geral'!AYL887</f>
        <v>0</v>
      </c>
      <c r="AYM364" s="373">
        <f>'Q100a-geral'!AYM887</f>
        <v>0</v>
      </c>
      <c r="AYN364" s="373">
        <f>'Q100a-geral'!AYN887</f>
        <v>0</v>
      </c>
      <c r="AYO364" s="373">
        <f>'Q100a-geral'!AYO887</f>
        <v>0</v>
      </c>
      <c r="AYP364" s="373">
        <f>'Q100a-geral'!AYP887</f>
        <v>0</v>
      </c>
      <c r="AYQ364" s="373">
        <f>'Q100a-geral'!AYQ887</f>
        <v>0</v>
      </c>
      <c r="AYR364" s="373">
        <f>'Q100a-geral'!AYR887</f>
        <v>0</v>
      </c>
      <c r="AYS364" s="373">
        <f>'Q100a-geral'!AYS887</f>
        <v>0</v>
      </c>
      <c r="AYT364" s="373">
        <f>'Q100a-geral'!AYT887</f>
        <v>0</v>
      </c>
      <c r="AYU364" s="373">
        <f>'Q100a-geral'!AYU887</f>
        <v>0</v>
      </c>
      <c r="AYV364" s="373">
        <f>'Q100a-geral'!AYV887</f>
        <v>0</v>
      </c>
      <c r="AYW364" s="373">
        <f>'Q100a-geral'!AYW887</f>
        <v>0</v>
      </c>
      <c r="AYX364" s="373">
        <f>'Q100a-geral'!AYX887</f>
        <v>0</v>
      </c>
      <c r="AYY364" s="373">
        <f>'Q100a-geral'!AYY887</f>
        <v>0</v>
      </c>
      <c r="AYZ364" s="373">
        <f>'Q100a-geral'!AYZ887</f>
        <v>0</v>
      </c>
      <c r="AZA364" s="373">
        <f>'Q100a-geral'!AZA887</f>
        <v>0</v>
      </c>
      <c r="AZB364" s="373">
        <f>'Q100a-geral'!AZB887</f>
        <v>0</v>
      </c>
      <c r="AZC364" s="373">
        <f>'Q100a-geral'!AZC887</f>
        <v>0</v>
      </c>
      <c r="AZD364" s="373">
        <f>'Q100a-geral'!AZD887</f>
        <v>0</v>
      </c>
      <c r="AZE364" s="373">
        <f>'Q100a-geral'!AZE887</f>
        <v>0</v>
      </c>
      <c r="AZF364" s="373">
        <f>'Q100a-geral'!AZF887</f>
        <v>0</v>
      </c>
      <c r="AZG364" s="373">
        <f>'Q100a-geral'!AZG887</f>
        <v>0</v>
      </c>
      <c r="AZH364" s="373">
        <f>'Q100a-geral'!AZH887</f>
        <v>0</v>
      </c>
      <c r="AZI364" s="373">
        <f>'Q100a-geral'!AZI887</f>
        <v>0</v>
      </c>
      <c r="AZJ364" s="373">
        <f>'Q100a-geral'!AZJ887</f>
        <v>0</v>
      </c>
      <c r="AZK364" s="373">
        <f>'Q100a-geral'!AZK887</f>
        <v>0</v>
      </c>
      <c r="AZL364" s="373">
        <f>'Q100a-geral'!AZL887</f>
        <v>0</v>
      </c>
      <c r="AZM364" s="373">
        <f>'Q100a-geral'!AZM887</f>
        <v>0</v>
      </c>
      <c r="AZN364" s="373">
        <f>'Q100a-geral'!AZN887</f>
        <v>0</v>
      </c>
      <c r="AZO364" s="373">
        <f>'Q100a-geral'!AZO887</f>
        <v>0</v>
      </c>
      <c r="AZP364" s="373">
        <f>'Q100a-geral'!AZP887</f>
        <v>0</v>
      </c>
      <c r="AZQ364" s="373">
        <f>'Q100a-geral'!AZQ887</f>
        <v>0</v>
      </c>
      <c r="AZR364" s="373">
        <f>'Q100a-geral'!AZR887</f>
        <v>0</v>
      </c>
      <c r="AZS364" s="373">
        <f>'Q100a-geral'!AZS887</f>
        <v>0</v>
      </c>
      <c r="AZT364" s="373">
        <f>'Q100a-geral'!AZT887</f>
        <v>0</v>
      </c>
      <c r="AZU364" s="373">
        <f>'Q100a-geral'!AZU887</f>
        <v>0</v>
      </c>
      <c r="AZV364" s="373">
        <f>'Q100a-geral'!AZV887</f>
        <v>0</v>
      </c>
      <c r="AZW364" s="373">
        <f>'Q100a-geral'!AZW887</f>
        <v>0</v>
      </c>
      <c r="AZX364" s="373">
        <f>'Q100a-geral'!AZX887</f>
        <v>0</v>
      </c>
      <c r="AZY364" s="373">
        <f>'Q100a-geral'!AZY887</f>
        <v>0</v>
      </c>
      <c r="AZZ364" s="373">
        <f>'Q100a-geral'!AZZ887</f>
        <v>0</v>
      </c>
      <c r="BAA364" s="373">
        <f>'Q100a-geral'!BAA887</f>
        <v>0</v>
      </c>
      <c r="BAB364" s="373">
        <f>'Q100a-geral'!BAB887</f>
        <v>0</v>
      </c>
      <c r="BAC364" s="373">
        <f>'Q100a-geral'!BAC887</f>
        <v>0</v>
      </c>
      <c r="BAD364" s="373">
        <f>'Q100a-geral'!BAD887</f>
        <v>0</v>
      </c>
      <c r="BAE364" s="373">
        <f>'Q100a-geral'!BAE887</f>
        <v>0</v>
      </c>
      <c r="BAF364" s="373">
        <f>'Q100a-geral'!BAF887</f>
        <v>0</v>
      </c>
      <c r="BAG364" s="373">
        <f>'Q100a-geral'!BAG887</f>
        <v>0</v>
      </c>
      <c r="BAH364" s="373">
        <f>'Q100a-geral'!BAH887</f>
        <v>0</v>
      </c>
      <c r="BAI364" s="373">
        <f>'Q100a-geral'!BAI887</f>
        <v>0</v>
      </c>
      <c r="BAJ364" s="373">
        <f>'Q100a-geral'!BAJ887</f>
        <v>0</v>
      </c>
      <c r="BAK364" s="373">
        <f>'Q100a-geral'!BAK887</f>
        <v>0</v>
      </c>
      <c r="BAL364" s="373">
        <f>'Q100a-geral'!BAL887</f>
        <v>0</v>
      </c>
      <c r="BAM364" s="373">
        <f>'Q100a-geral'!BAM887</f>
        <v>0</v>
      </c>
      <c r="BAN364" s="373">
        <f>'Q100a-geral'!BAN887</f>
        <v>0</v>
      </c>
      <c r="BAO364" s="373">
        <f>'Q100a-geral'!BAO887</f>
        <v>0</v>
      </c>
      <c r="BAP364" s="373">
        <f>'Q100a-geral'!BAP887</f>
        <v>0</v>
      </c>
      <c r="BAQ364" s="373">
        <f>'Q100a-geral'!BAQ887</f>
        <v>0</v>
      </c>
      <c r="BAR364" s="373">
        <f>'Q100a-geral'!BAR887</f>
        <v>0</v>
      </c>
      <c r="BAS364" s="373">
        <f>'Q100a-geral'!BAS887</f>
        <v>0</v>
      </c>
      <c r="BAT364" s="373">
        <f>'Q100a-geral'!BAT887</f>
        <v>0</v>
      </c>
      <c r="BAU364" s="373">
        <f>'Q100a-geral'!BAU887</f>
        <v>0</v>
      </c>
      <c r="BAV364" s="373">
        <f>'Q100a-geral'!BAV887</f>
        <v>0</v>
      </c>
      <c r="BAW364" s="373">
        <f>'Q100a-geral'!BAW887</f>
        <v>0</v>
      </c>
      <c r="BAX364" s="373">
        <f>'Q100a-geral'!BAX887</f>
        <v>0</v>
      </c>
      <c r="BAY364" s="373">
        <f>'Q100a-geral'!BAY887</f>
        <v>0</v>
      </c>
      <c r="BAZ364" s="373">
        <f>'Q100a-geral'!BAZ887</f>
        <v>0</v>
      </c>
      <c r="BBA364" s="373">
        <f>'Q100a-geral'!BBA887</f>
        <v>0</v>
      </c>
      <c r="BBB364" s="373">
        <f>'Q100a-geral'!BBB887</f>
        <v>0</v>
      </c>
      <c r="BBC364" s="373">
        <f>'Q100a-geral'!BBC887</f>
        <v>0</v>
      </c>
      <c r="BBD364" s="373">
        <f>'Q100a-geral'!BBD887</f>
        <v>0</v>
      </c>
      <c r="BBE364" s="373">
        <f>'Q100a-geral'!BBE887</f>
        <v>0</v>
      </c>
      <c r="BBF364" s="373">
        <f>'Q100a-geral'!BBF887</f>
        <v>0</v>
      </c>
      <c r="BBG364" s="373">
        <f>'Q100a-geral'!BBG887</f>
        <v>0</v>
      </c>
      <c r="BBH364" s="373">
        <f>'Q100a-geral'!BBH887</f>
        <v>0</v>
      </c>
      <c r="BBI364" s="373">
        <f>'Q100a-geral'!BBI887</f>
        <v>0</v>
      </c>
      <c r="BBJ364" s="373">
        <f>'Q100a-geral'!BBJ887</f>
        <v>0</v>
      </c>
      <c r="BBK364" s="373">
        <f>'Q100a-geral'!BBK887</f>
        <v>0</v>
      </c>
      <c r="BBL364" s="373">
        <f>'Q100a-geral'!BBL887</f>
        <v>0</v>
      </c>
      <c r="BBM364" s="373">
        <f>'Q100a-geral'!BBM887</f>
        <v>0</v>
      </c>
      <c r="BBN364" s="373">
        <f>'Q100a-geral'!BBN887</f>
        <v>0</v>
      </c>
      <c r="BBO364" s="373">
        <f>'Q100a-geral'!BBO887</f>
        <v>0</v>
      </c>
      <c r="BBP364" s="373">
        <f>'Q100a-geral'!BBP887</f>
        <v>0</v>
      </c>
      <c r="BBQ364" s="373">
        <f>'Q100a-geral'!BBQ887</f>
        <v>0</v>
      </c>
      <c r="BBR364" s="373">
        <f>'Q100a-geral'!BBR887</f>
        <v>0</v>
      </c>
      <c r="BBS364" s="373">
        <f>'Q100a-geral'!BBS887</f>
        <v>0</v>
      </c>
      <c r="BBT364" s="373">
        <f>'Q100a-geral'!BBT887</f>
        <v>0</v>
      </c>
      <c r="BBU364" s="373">
        <f>'Q100a-geral'!BBU887</f>
        <v>0</v>
      </c>
      <c r="BBV364" s="373">
        <f>'Q100a-geral'!BBV887</f>
        <v>0</v>
      </c>
      <c r="BBW364" s="373">
        <f>'Q100a-geral'!BBW887</f>
        <v>0</v>
      </c>
      <c r="BBX364" s="373">
        <f>'Q100a-geral'!BBX887</f>
        <v>0</v>
      </c>
      <c r="BBY364" s="373">
        <f>'Q100a-geral'!BBY887</f>
        <v>0</v>
      </c>
      <c r="BBZ364" s="373">
        <f>'Q100a-geral'!BBZ887</f>
        <v>0</v>
      </c>
      <c r="BCA364" s="373">
        <f>'Q100a-geral'!BCA887</f>
        <v>0</v>
      </c>
      <c r="BCB364" s="373">
        <f>'Q100a-geral'!BCB887</f>
        <v>0</v>
      </c>
      <c r="BCC364" s="373">
        <f>'Q100a-geral'!BCC887</f>
        <v>0</v>
      </c>
      <c r="BCD364" s="373">
        <f>'Q100a-geral'!BCD887</f>
        <v>0</v>
      </c>
      <c r="BCE364" s="373">
        <f>'Q100a-geral'!BCE887</f>
        <v>0</v>
      </c>
      <c r="BCF364" s="373">
        <f>'Q100a-geral'!BCF887</f>
        <v>0</v>
      </c>
      <c r="BCG364" s="373">
        <f>'Q100a-geral'!BCG887</f>
        <v>0</v>
      </c>
      <c r="BCH364" s="373">
        <f>'Q100a-geral'!BCH887</f>
        <v>0</v>
      </c>
      <c r="BCI364" s="373">
        <f>'Q100a-geral'!BCI887</f>
        <v>0</v>
      </c>
      <c r="BCJ364" s="373">
        <f>'Q100a-geral'!BCJ887</f>
        <v>0</v>
      </c>
      <c r="BCK364" s="373">
        <f>'Q100a-geral'!BCK887</f>
        <v>0</v>
      </c>
      <c r="BCL364" s="373">
        <f>'Q100a-geral'!BCL887</f>
        <v>0</v>
      </c>
      <c r="BCM364" s="373">
        <f>'Q100a-geral'!BCM887</f>
        <v>0</v>
      </c>
      <c r="BCN364" s="373">
        <f>'Q100a-geral'!BCN887</f>
        <v>0</v>
      </c>
      <c r="BCO364" s="373">
        <f>'Q100a-geral'!BCO887</f>
        <v>0</v>
      </c>
      <c r="BCP364" s="373">
        <f>'Q100a-geral'!BCP887</f>
        <v>0</v>
      </c>
      <c r="BCQ364" s="373">
        <f>'Q100a-geral'!BCQ887</f>
        <v>0</v>
      </c>
      <c r="BCR364" s="373">
        <f>'Q100a-geral'!BCR887</f>
        <v>0</v>
      </c>
      <c r="BCS364" s="373">
        <f>'Q100a-geral'!BCS887</f>
        <v>0</v>
      </c>
      <c r="BCT364" s="373">
        <f>'Q100a-geral'!BCT887</f>
        <v>0</v>
      </c>
      <c r="BCU364" s="373">
        <f>'Q100a-geral'!BCU887</f>
        <v>0</v>
      </c>
      <c r="BCV364" s="373">
        <f>'Q100a-geral'!BCV887</f>
        <v>0</v>
      </c>
      <c r="BCW364" s="373">
        <f>'Q100a-geral'!BCW887</f>
        <v>0</v>
      </c>
      <c r="BCX364" s="373">
        <f>'Q100a-geral'!BCX887</f>
        <v>0</v>
      </c>
      <c r="BCY364" s="373">
        <f>'Q100a-geral'!BCY887</f>
        <v>0</v>
      </c>
      <c r="BCZ364" s="373">
        <f>'Q100a-geral'!BCZ887</f>
        <v>0</v>
      </c>
      <c r="BDA364" s="373">
        <f>'Q100a-geral'!BDA887</f>
        <v>0</v>
      </c>
      <c r="BDB364" s="373">
        <f>'Q100a-geral'!BDB887</f>
        <v>0</v>
      </c>
      <c r="BDC364" s="373">
        <f>'Q100a-geral'!BDC887</f>
        <v>0</v>
      </c>
      <c r="BDD364" s="373">
        <f>'Q100a-geral'!BDD887</f>
        <v>0</v>
      </c>
      <c r="BDE364" s="373">
        <f>'Q100a-geral'!BDE887</f>
        <v>0</v>
      </c>
      <c r="BDF364" s="373">
        <f>'Q100a-geral'!BDF887</f>
        <v>0</v>
      </c>
      <c r="BDG364" s="373">
        <f>'Q100a-geral'!BDG887</f>
        <v>0</v>
      </c>
      <c r="BDH364" s="373">
        <f>'Q100a-geral'!BDH887</f>
        <v>0</v>
      </c>
      <c r="BDI364" s="373">
        <f>'Q100a-geral'!BDI887</f>
        <v>0</v>
      </c>
      <c r="BDJ364" s="373">
        <f>'Q100a-geral'!BDJ887</f>
        <v>0</v>
      </c>
      <c r="BDK364" s="373">
        <f>'Q100a-geral'!BDK887</f>
        <v>0</v>
      </c>
      <c r="BDL364" s="373">
        <f>'Q100a-geral'!BDL887</f>
        <v>0</v>
      </c>
      <c r="BDM364" s="373">
        <f>'Q100a-geral'!BDM887</f>
        <v>0</v>
      </c>
      <c r="BDN364" s="373">
        <f>'Q100a-geral'!BDN887</f>
        <v>0</v>
      </c>
      <c r="BDO364" s="373">
        <f>'Q100a-geral'!BDO887</f>
        <v>0</v>
      </c>
      <c r="BDP364" s="373">
        <f>'Q100a-geral'!BDP887</f>
        <v>0</v>
      </c>
      <c r="BDQ364" s="373">
        <f>'Q100a-geral'!BDQ887</f>
        <v>0</v>
      </c>
      <c r="BDR364" s="373">
        <f>'Q100a-geral'!BDR887</f>
        <v>0</v>
      </c>
      <c r="BDS364" s="373">
        <f>'Q100a-geral'!BDS887</f>
        <v>0</v>
      </c>
      <c r="BDT364" s="373">
        <f>'Q100a-geral'!BDT887</f>
        <v>0</v>
      </c>
      <c r="BDU364" s="373">
        <f>'Q100a-geral'!BDU887</f>
        <v>0</v>
      </c>
      <c r="BDV364" s="373">
        <f>'Q100a-geral'!BDV887</f>
        <v>0</v>
      </c>
      <c r="BDW364" s="373">
        <f>'Q100a-geral'!BDW887</f>
        <v>0</v>
      </c>
      <c r="BDX364" s="373">
        <f>'Q100a-geral'!BDX887</f>
        <v>0</v>
      </c>
      <c r="BDY364" s="373">
        <f>'Q100a-geral'!BDY887</f>
        <v>0</v>
      </c>
      <c r="BDZ364" s="373">
        <f>'Q100a-geral'!BDZ887</f>
        <v>0</v>
      </c>
      <c r="BEA364" s="373">
        <f>'Q100a-geral'!BEA887</f>
        <v>0</v>
      </c>
      <c r="BEB364" s="373">
        <f>'Q100a-geral'!BEB887</f>
        <v>0</v>
      </c>
      <c r="BEC364" s="373">
        <f>'Q100a-geral'!BEC887</f>
        <v>0</v>
      </c>
      <c r="BED364" s="373">
        <f>'Q100a-geral'!BED887</f>
        <v>0</v>
      </c>
      <c r="BEE364" s="373">
        <f>'Q100a-geral'!BEE887</f>
        <v>0</v>
      </c>
      <c r="BEF364" s="373">
        <f>'Q100a-geral'!BEF887</f>
        <v>0</v>
      </c>
      <c r="BEG364" s="373">
        <f>'Q100a-geral'!BEG887</f>
        <v>0</v>
      </c>
      <c r="BEH364" s="373">
        <f>'Q100a-geral'!BEH887</f>
        <v>0</v>
      </c>
      <c r="BEI364" s="373">
        <f>'Q100a-geral'!BEI887</f>
        <v>0</v>
      </c>
      <c r="BEJ364" s="373">
        <f>'Q100a-geral'!BEJ887</f>
        <v>0</v>
      </c>
      <c r="BEK364" s="373">
        <f>'Q100a-geral'!BEK887</f>
        <v>0</v>
      </c>
      <c r="BEL364" s="373">
        <f>'Q100a-geral'!BEL887</f>
        <v>0</v>
      </c>
      <c r="BEM364" s="373">
        <f>'Q100a-geral'!BEM887</f>
        <v>0</v>
      </c>
      <c r="BEN364" s="373">
        <f>'Q100a-geral'!BEN887</f>
        <v>0</v>
      </c>
      <c r="BEO364" s="373">
        <f>'Q100a-geral'!BEO887</f>
        <v>0</v>
      </c>
      <c r="BEP364" s="373">
        <f>'Q100a-geral'!BEP887</f>
        <v>0</v>
      </c>
      <c r="BEQ364" s="373">
        <f>'Q100a-geral'!BEQ887</f>
        <v>0</v>
      </c>
      <c r="BER364" s="373">
        <f>'Q100a-geral'!BER887</f>
        <v>0</v>
      </c>
      <c r="BES364" s="373">
        <f>'Q100a-geral'!BES887</f>
        <v>0</v>
      </c>
      <c r="BET364" s="373">
        <f>'Q100a-geral'!BET887</f>
        <v>0</v>
      </c>
      <c r="BEU364" s="373">
        <f>'Q100a-geral'!BEU887</f>
        <v>0</v>
      </c>
      <c r="BEV364" s="373">
        <f>'Q100a-geral'!BEV887</f>
        <v>0</v>
      </c>
      <c r="BEW364" s="373">
        <f>'Q100a-geral'!BEW887</f>
        <v>0</v>
      </c>
      <c r="BEX364" s="373">
        <f>'Q100a-geral'!BEX887</f>
        <v>0</v>
      </c>
      <c r="BEY364" s="373">
        <f>'Q100a-geral'!BEY887</f>
        <v>0</v>
      </c>
      <c r="BEZ364" s="373">
        <f>'Q100a-geral'!BEZ887</f>
        <v>0</v>
      </c>
      <c r="BFA364" s="373">
        <f>'Q100a-geral'!BFA887</f>
        <v>0</v>
      </c>
      <c r="BFB364" s="373">
        <f>'Q100a-geral'!BFB887</f>
        <v>0</v>
      </c>
      <c r="BFC364" s="373">
        <f>'Q100a-geral'!BFC887</f>
        <v>0</v>
      </c>
      <c r="BFD364" s="373">
        <f>'Q100a-geral'!BFD887</f>
        <v>0</v>
      </c>
      <c r="BFE364" s="373">
        <f>'Q100a-geral'!BFE887</f>
        <v>0</v>
      </c>
      <c r="BFF364" s="373">
        <f>'Q100a-geral'!BFF887</f>
        <v>0</v>
      </c>
      <c r="BFG364" s="373">
        <f>'Q100a-geral'!BFG887</f>
        <v>0</v>
      </c>
      <c r="BFH364" s="373">
        <f>'Q100a-geral'!BFH887</f>
        <v>0</v>
      </c>
      <c r="BFI364" s="373">
        <f>'Q100a-geral'!BFI887</f>
        <v>0</v>
      </c>
      <c r="BFJ364" s="373">
        <f>'Q100a-geral'!BFJ887</f>
        <v>0</v>
      </c>
      <c r="BFK364" s="373">
        <f>'Q100a-geral'!BFK887</f>
        <v>0</v>
      </c>
      <c r="BFL364" s="373">
        <f>'Q100a-geral'!BFL887</f>
        <v>0</v>
      </c>
      <c r="BFM364" s="373">
        <f>'Q100a-geral'!BFM887</f>
        <v>0</v>
      </c>
      <c r="BFN364" s="373">
        <f>'Q100a-geral'!BFN887</f>
        <v>0</v>
      </c>
      <c r="BFO364" s="373">
        <f>'Q100a-geral'!BFO887</f>
        <v>0</v>
      </c>
      <c r="BFP364" s="373">
        <f>'Q100a-geral'!BFP887</f>
        <v>0</v>
      </c>
      <c r="BFQ364" s="373">
        <f>'Q100a-geral'!BFQ887</f>
        <v>0</v>
      </c>
      <c r="BFR364" s="373">
        <f>'Q100a-geral'!BFR887</f>
        <v>0</v>
      </c>
      <c r="BFS364" s="373">
        <f>'Q100a-geral'!BFS887</f>
        <v>0</v>
      </c>
      <c r="BFT364" s="373">
        <f>'Q100a-geral'!BFT887</f>
        <v>0</v>
      </c>
      <c r="BFU364" s="373">
        <f>'Q100a-geral'!BFU887</f>
        <v>0</v>
      </c>
      <c r="BFV364" s="373">
        <f>'Q100a-geral'!BFV887</f>
        <v>0</v>
      </c>
      <c r="BFW364" s="373">
        <f>'Q100a-geral'!BFW887</f>
        <v>0</v>
      </c>
      <c r="BFX364" s="373">
        <f>'Q100a-geral'!BFX887</f>
        <v>0</v>
      </c>
      <c r="BFY364" s="373">
        <f>'Q100a-geral'!BFY887</f>
        <v>0</v>
      </c>
      <c r="BFZ364" s="373">
        <f>'Q100a-geral'!BFZ887</f>
        <v>0</v>
      </c>
      <c r="BGA364" s="373">
        <f>'Q100a-geral'!BGA887</f>
        <v>0</v>
      </c>
      <c r="BGB364" s="373">
        <f>'Q100a-geral'!BGB887</f>
        <v>0</v>
      </c>
      <c r="BGC364" s="373">
        <f>'Q100a-geral'!BGC887</f>
        <v>0</v>
      </c>
      <c r="BGD364" s="373">
        <f>'Q100a-geral'!BGD887</f>
        <v>0</v>
      </c>
      <c r="BGE364" s="373">
        <f>'Q100a-geral'!BGE887</f>
        <v>0</v>
      </c>
      <c r="BGF364" s="373">
        <f>'Q100a-geral'!BGF887</f>
        <v>0</v>
      </c>
      <c r="BGG364" s="373">
        <f>'Q100a-geral'!BGG887</f>
        <v>0</v>
      </c>
      <c r="BGH364" s="373">
        <f>'Q100a-geral'!BGH887</f>
        <v>0</v>
      </c>
      <c r="BGI364" s="373">
        <f>'Q100a-geral'!BGI887</f>
        <v>0</v>
      </c>
      <c r="BGJ364" s="373">
        <f>'Q100a-geral'!BGJ887</f>
        <v>0</v>
      </c>
      <c r="BGK364" s="373">
        <f>'Q100a-geral'!BGK887</f>
        <v>0</v>
      </c>
      <c r="BGL364" s="373">
        <f>'Q100a-geral'!BGL887</f>
        <v>0</v>
      </c>
      <c r="BGM364" s="373">
        <f>'Q100a-geral'!BGM887</f>
        <v>0</v>
      </c>
      <c r="BGN364" s="373">
        <f>'Q100a-geral'!BGN887</f>
        <v>0</v>
      </c>
      <c r="BGO364" s="373">
        <f>'Q100a-geral'!BGO887</f>
        <v>0</v>
      </c>
      <c r="BGP364" s="373">
        <f>'Q100a-geral'!BGP887</f>
        <v>0</v>
      </c>
      <c r="BGQ364" s="373">
        <f>'Q100a-geral'!BGQ887</f>
        <v>0</v>
      </c>
      <c r="BGR364" s="373">
        <f>'Q100a-geral'!BGR887</f>
        <v>0</v>
      </c>
      <c r="BGS364" s="373">
        <f>'Q100a-geral'!BGS887</f>
        <v>0</v>
      </c>
      <c r="BGT364" s="373">
        <f>'Q100a-geral'!BGT887</f>
        <v>0</v>
      </c>
      <c r="BGU364" s="373">
        <f>'Q100a-geral'!BGU887</f>
        <v>0</v>
      </c>
      <c r="BGV364" s="373">
        <f>'Q100a-geral'!BGV887</f>
        <v>0</v>
      </c>
      <c r="BGW364" s="373">
        <f>'Q100a-geral'!BGW887</f>
        <v>0</v>
      </c>
      <c r="BGX364" s="373">
        <f>'Q100a-geral'!BGX887</f>
        <v>0</v>
      </c>
      <c r="BGY364" s="373">
        <f>'Q100a-geral'!BGY887</f>
        <v>0</v>
      </c>
      <c r="BGZ364" s="373">
        <f>'Q100a-geral'!BGZ887</f>
        <v>0</v>
      </c>
      <c r="BHA364" s="373">
        <f>'Q100a-geral'!BHA887</f>
        <v>0</v>
      </c>
      <c r="BHB364" s="373">
        <f>'Q100a-geral'!BHB887</f>
        <v>0</v>
      </c>
      <c r="BHC364" s="373">
        <f>'Q100a-geral'!BHC887</f>
        <v>0</v>
      </c>
      <c r="BHD364" s="373">
        <f>'Q100a-geral'!BHD887</f>
        <v>0</v>
      </c>
      <c r="BHE364" s="373">
        <f>'Q100a-geral'!BHE887</f>
        <v>0</v>
      </c>
      <c r="BHF364" s="373">
        <f>'Q100a-geral'!BHF887</f>
        <v>0</v>
      </c>
      <c r="BHG364" s="373">
        <f>'Q100a-geral'!BHG887</f>
        <v>0</v>
      </c>
      <c r="BHH364" s="373">
        <f>'Q100a-geral'!BHH887</f>
        <v>0</v>
      </c>
      <c r="BHI364" s="373">
        <f>'Q100a-geral'!BHI887</f>
        <v>0</v>
      </c>
      <c r="BHJ364" s="373">
        <f>'Q100a-geral'!BHJ887</f>
        <v>0</v>
      </c>
      <c r="BHK364" s="373">
        <f>'Q100a-geral'!BHK887</f>
        <v>0</v>
      </c>
      <c r="BHL364" s="373">
        <f>'Q100a-geral'!BHL887</f>
        <v>0</v>
      </c>
      <c r="BHM364" s="373">
        <f>'Q100a-geral'!BHM887</f>
        <v>0</v>
      </c>
      <c r="BHN364" s="373">
        <f>'Q100a-geral'!BHN887</f>
        <v>0</v>
      </c>
      <c r="BHO364" s="373">
        <f>'Q100a-geral'!BHO887</f>
        <v>0</v>
      </c>
      <c r="BHP364" s="373">
        <f>'Q100a-geral'!BHP887</f>
        <v>0</v>
      </c>
      <c r="BHQ364" s="373">
        <f>'Q100a-geral'!BHQ887</f>
        <v>0</v>
      </c>
      <c r="BHR364" s="373">
        <f>'Q100a-geral'!BHR887</f>
        <v>0</v>
      </c>
      <c r="BHS364" s="373">
        <f>'Q100a-geral'!BHS887</f>
        <v>0</v>
      </c>
      <c r="BHT364" s="373">
        <f>'Q100a-geral'!BHT887</f>
        <v>0</v>
      </c>
      <c r="BHU364" s="373">
        <f>'Q100a-geral'!BHU887</f>
        <v>0</v>
      </c>
      <c r="BHV364" s="373">
        <f>'Q100a-geral'!BHV887</f>
        <v>0</v>
      </c>
      <c r="BHW364" s="373">
        <f>'Q100a-geral'!BHW887</f>
        <v>0</v>
      </c>
      <c r="BHX364" s="373">
        <f>'Q100a-geral'!BHX887</f>
        <v>0</v>
      </c>
      <c r="BHY364" s="373">
        <f>'Q100a-geral'!BHY887</f>
        <v>0</v>
      </c>
      <c r="BHZ364" s="373">
        <f>'Q100a-geral'!BHZ887</f>
        <v>0</v>
      </c>
      <c r="BIA364" s="373">
        <f>'Q100a-geral'!BIA887</f>
        <v>0</v>
      </c>
      <c r="BIB364" s="373">
        <f>'Q100a-geral'!BIB887</f>
        <v>0</v>
      </c>
      <c r="BIC364" s="373">
        <f>'Q100a-geral'!BIC887</f>
        <v>0</v>
      </c>
      <c r="BID364" s="373">
        <f>'Q100a-geral'!BID887</f>
        <v>0</v>
      </c>
      <c r="BIE364" s="373">
        <f>'Q100a-geral'!BIE887</f>
        <v>0</v>
      </c>
      <c r="BIF364" s="373">
        <f>'Q100a-geral'!BIF887</f>
        <v>0</v>
      </c>
      <c r="BIG364" s="373">
        <f>'Q100a-geral'!BIG887</f>
        <v>0</v>
      </c>
      <c r="BIH364" s="373">
        <f>'Q100a-geral'!BIH887</f>
        <v>0</v>
      </c>
      <c r="BII364" s="373">
        <f>'Q100a-geral'!BII887</f>
        <v>0</v>
      </c>
      <c r="BIJ364" s="373">
        <f>'Q100a-geral'!BIJ887</f>
        <v>0</v>
      </c>
      <c r="BIK364" s="373">
        <f>'Q100a-geral'!BIK887</f>
        <v>0</v>
      </c>
      <c r="BIL364" s="373">
        <f>'Q100a-geral'!BIL887</f>
        <v>0</v>
      </c>
      <c r="BIM364" s="373">
        <f>'Q100a-geral'!BIM887</f>
        <v>0</v>
      </c>
      <c r="BIN364" s="373">
        <f>'Q100a-geral'!BIN887</f>
        <v>0</v>
      </c>
      <c r="BIO364" s="373">
        <f>'Q100a-geral'!BIO887</f>
        <v>0</v>
      </c>
      <c r="BIP364" s="373">
        <f>'Q100a-geral'!BIP887</f>
        <v>0</v>
      </c>
      <c r="BIQ364" s="373">
        <f>'Q100a-geral'!BIQ887</f>
        <v>0</v>
      </c>
      <c r="BIR364" s="373">
        <f>'Q100a-geral'!BIR887</f>
        <v>0</v>
      </c>
      <c r="BIS364" s="373">
        <f>'Q100a-geral'!BIS887</f>
        <v>0</v>
      </c>
      <c r="BIT364" s="373">
        <f>'Q100a-geral'!BIT887</f>
        <v>0</v>
      </c>
      <c r="BIU364" s="373">
        <f>'Q100a-geral'!BIU887</f>
        <v>0</v>
      </c>
      <c r="BIV364" s="373">
        <f>'Q100a-geral'!BIV887</f>
        <v>0</v>
      </c>
      <c r="BIW364" s="373">
        <f>'Q100a-geral'!BIW887</f>
        <v>0</v>
      </c>
      <c r="BIX364" s="373">
        <f>'Q100a-geral'!BIX887</f>
        <v>0</v>
      </c>
      <c r="BIY364" s="373">
        <f>'Q100a-geral'!BIY887</f>
        <v>0</v>
      </c>
      <c r="BIZ364" s="373">
        <f>'Q100a-geral'!BIZ887</f>
        <v>0</v>
      </c>
      <c r="BJA364" s="373">
        <f>'Q100a-geral'!BJA887</f>
        <v>0</v>
      </c>
      <c r="BJB364" s="373">
        <f>'Q100a-geral'!BJB887</f>
        <v>0</v>
      </c>
      <c r="BJC364" s="373">
        <f>'Q100a-geral'!BJC887</f>
        <v>0</v>
      </c>
      <c r="BJD364" s="373">
        <f>'Q100a-geral'!BJD887</f>
        <v>0</v>
      </c>
      <c r="BJE364" s="373">
        <f>'Q100a-geral'!BJE887</f>
        <v>0</v>
      </c>
      <c r="BJF364" s="373">
        <f>'Q100a-geral'!BJF887</f>
        <v>0</v>
      </c>
      <c r="BJG364" s="373">
        <f>'Q100a-geral'!BJG887</f>
        <v>0</v>
      </c>
      <c r="BJH364" s="373">
        <f>'Q100a-geral'!BJH887</f>
        <v>0</v>
      </c>
      <c r="BJI364" s="373">
        <f>'Q100a-geral'!BJI887</f>
        <v>0</v>
      </c>
      <c r="BJJ364" s="373">
        <f>'Q100a-geral'!BJJ887</f>
        <v>0</v>
      </c>
      <c r="BJK364" s="373">
        <f>'Q100a-geral'!BJK887</f>
        <v>0</v>
      </c>
      <c r="BJL364" s="373">
        <f>'Q100a-geral'!BJL887</f>
        <v>0</v>
      </c>
      <c r="BJM364" s="373">
        <f>'Q100a-geral'!BJM887</f>
        <v>0</v>
      </c>
      <c r="BJN364" s="373">
        <f>'Q100a-geral'!BJN887</f>
        <v>0</v>
      </c>
      <c r="BJO364" s="373">
        <f>'Q100a-geral'!BJO887</f>
        <v>0</v>
      </c>
      <c r="BJP364" s="373">
        <f>'Q100a-geral'!BJP887</f>
        <v>0</v>
      </c>
      <c r="BJQ364" s="373">
        <f>'Q100a-geral'!BJQ887</f>
        <v>0</v>
      </c>
      <c r="BJR364" s="373">
        <f>'Q100a-geral'!BJR887</f>
        <v>0</v>
      </c>
      <c r="BJS364" s="373">
        <f>'Q100a-geral'!BJS887</f>
        <v>0</v>
      </c>
      <c r="BJT364" s="373">
        <f>'Q100a-geral'!BJT887</f>
        <v>0</v>
      </c>
      <c r="BJU364" s="373">
        <f>'Q100a-geral'!BJU887</f>
        <v>0</v>
      </c>
      <c r="BJV364" s="373">
        <f>'Q100a-geral'!BJV887</f>
        <v>0</v>
      </c>
      <c r="BJW364" s="373">
        <f>'Q100a-geral'!BJW887</f>
        <v>0</v>
      </c>
      <c r="BJX364" s="373">
        <f>'Q100a-geral'!BJX887</f>
        <v>0</v>
      </c>
      <c r="BJY364" s="373">
        <f>'Q100a-geral'!BJY887</f>
        <v>0</v>
      </c>
      <c r="BJZ364" s="373">
        <f>'Q100a-geral'!BJZ887</f>
        <v>0</v>
      </c>
      <c r="BKA364" s="373">
        <f>'Q100a-geral'!BKA887</f>
        <v>0</v>
      </c>
      <c r="BKB364" s="373">
        <f>'Q100a-geral'!BKB887</f>
        <v>0</v>
      </c>
      <c r="BKC364" s="373">
        <f>'Q100a-geral'!BKC887</f>
        <v>0</v>
      </c>
      <c r="BKD364" s="373">
        <f>'Q100a-geral'!BKD887</f>
        <v>0</v>
      </c>
      <c r="BKE364" s="373">
        <f>'Q100a-geral'!BKE887</f>
        <v>0</v>
      </c>
      <c r="BKF364" s="373">
        <f>'Q100a-geral'!BKF887</f>
        <v>0</v>
      </c>
      <c r="BKG364" s="373">
        <f>'Q100a-geral'!BKG887</f>
        <v>0</v>
      </c>
      <c r="BKH364" s="373">
        <f>'Q100a-geral'!BKH887</f>
        <v>0</v>
      </c>
      <c r="BKI364" s="373">
        <f>'Q100a-geral'!BKI887</f>
        <v>0</v>
      </c>
      <c r="BKJ364" s="373">
        <f>'Q100a-geral'!BKJ887</f>
        <v>0</v>
      </c>
      <c r="BKK364" s="373">
        <f>'Q100a-geral'!BKK887</f>
        <v>0</v>
      </c>
      <c r="BKL364" s="373">
        <f>'Q100a-geral'!BKL887</f>
        <v>0</v>
      </c>
      <c r="BKM364" s="373">
        <f>'Q100a-geral'!BKM887</f>
        <v>0</v>
      </c>
      <c r="BKN364" s="373">
        <f>'Q100a-geral'!BKN887</f>
        <v>0</v>
      </c>
      <c r="BKO364" s="373">
        <f>'Q100a-geral'!BKO887</f>
        <v>0</v>
      </c>
      <c r="BKP364" s="373">
        <f>'Q100a-geral'!BKP887</f>
        <v>0</v>
      </c>
      <c r="BKQ364" s="373">
        <f>'Q100a-geral'!BKQ887</f>
        <v>0</v>
      </c>
      <c r="BKR364" s="373">
        <f>'Q100a-geral'!BKR887</f>
        <v>0</v>
      </c>
      <c r="BKS364" s="373">
        <f>'Q100a-geral'!BKS887</f>
        <v>0</v>
      </c>
      <c r="BKT364" s="373">
        <f>'Q100a-geral'!BKT887</f>
        <v>0</v>
      </c>
      <c r="BKU364" s="373">
        <f>'Q100a-geral'!BKU887</f>
        <v>0</v>
      </c>
      <c r="BKV364" s="373">
        <f>'Q100a-geral'!BKV887</f>
        <v>0</v>
      </c>
      <c r="BKW364" s="373">
        <f>'Q100a-geral'!BKW887</f>
        <v>0</v>
      </c>
      <c r="BKX364" s="373">
        <f>'Q100a-geral'!BKX887</f>
        <v>0</v>
      </c>
      <c r="BKY364" s="373">
        <f>'Q100a-geral'!BKY887</f>
        <v>0</v>
      </c>
      <c r="BKZ364" s="373">
        <f>'Q100a-geral'!BKZ887</f>
        <v>0</v>
      </c>
      <c r="BLA364" s="373">
        <f>'Q100a-geral'!BLA887</f>
        <v>0</v>
      </c>
      <c r="BLB364" s="373">
        <f>'Q100a-geral'!BLB887</f>
        <v>0</v>
      </c>
      <c r="BLC364" s="373">
        <f>'Q100a-geral'!BLC887</f>
        <v>0</v>
      </c>
      <c r="BLD364" s="373">
        <f>'Q100a-geral'!BLD887</f>
        <v>0</v>
      </c>
      <c r="BLE364" s="373">
        <f>'Q100a-geral'!BLE887</f>
        <v>0</v>
      </c>
      <c r="BLF364" s="373">
        <f>'Q100a-geral'!BLF887</f>
        <v>0</v>
      </c>
      <c r="BLG364" s="373">
        <f>'Q100a-geral'!BLG887</f>
        <v>0</v>
      </c>
      <c r="BLH364" s="373">
        <f>'Q100a-geral'!BLH887</f>
        <v>0</v>
      </c>
      <c r="BLI364" s="373">
        <f>'Q100a-geral'!BLI887</f>
        <v>0</v>
      </c>
      <c r="BLJ364" s="373">
        <f>'Q100a-geral'!BLJ887</f>
        <v>0</v>
      </c>
      <c r="BLK364" s="373">
        <f>'Q100a-geral'!BLK887</f>
        <v>0</v>
      </c>
      <c r="BLL364" s="373">
        <f>'Q100a-geral'!BLL887</f>
        <v>0</v>
      </c>
      <c r="BLM364" s="373">
        <f>'Q100a-geral'!BLM887</f>
        <v>0</v>
      </c>
      <c r="BLN364" s="373">
        <f>'Q100a-geral'!BLN887</f>
        <v>0</v>
      </c>
      <c r="BLO364" s="373">
        <f>'Q100a-geral'!BLO887</f>
        <v>0</v>
      </c>
      <c r="BLP364" s="373">
        <f>'Q100a-geral'!BLP887</f>
        <v>0</v>
      </c>
      <c r="BLQ364" s="373">
        <f>'Q100a-geral'!BLQ887</f>
        <v>0</v>
      </c>
      <c r="BLR364" s="373">
        <f>'Q100a-geral'!BLR887</f>
        <v>0</v>
      </c>
      <c r="BLS364" s="373">
        <f>'Q100a-geral'!BLS887</f>
        <v>0</v>
      </c>
      <c r="BLT364" s="373">
        <f>'Q100a-geral'!BLT887</f>
        <v>0</v>
      </c>
      <c r="BLU364" s="373">
        <f>'Q100a-geral'!BLU887</f>
        <v>0</v>
      </c>
      <c r="BLV364" s="373">
        <f>'Q100a-geral'!BLV887</f>
        <v>0</v>
      </c>
      <c r="BLW364" s="373">
        <f>'Q100a-geral'!BLW887</f>
        <v>0</v>
      </c>
      <c r="BLX364" s="373">
        <f>'Q100a-geral'!BLX887</f>
        <v>0</v>
      </c>
      <c r="BLY364" s="373">
        <f>'Q100a-geral'!BLY887</f>
        <v>0</v>
      </c>
      <c r="BLZ364" s="373">
        <f>'Q100a-geral'!BLZ887</f>
        <v>0</v>
      </c>
      <c r="BMA364" s="373">
        <f>'Q100a-geral'!BMA887</f>
        <v>0</v>
      </c>
      <c r="BMB364" s="373">
        <f>'Q100a-geral'!BMB887</f>
        <v>0</v>
      </c>
      <c r="BMC364" s="373">
        <f>'Q100a-geral'!BMC887</f>
        <v>0</v>
      </c>
      <c r="BMD364" s="373">
        <f>'Q100a-geral'!BMD887</f>
        <v>0</v>
      </c>
      <c r="BME364" s="373">
        <f>'Q100a-geral'!BME887</f>
        <v>0</v>
      </c>
      <c r="BMF364" s="373">
        <f>'Q100a-geral'!BMF887</f>
        <v>0</v>
      </c>
      <c r="BMG364" s="373">
        <f>'Q100a-geral'!BMG887</f>
        <v>0</v>
      </c>
      <c r="BMH364" s="373">
        <f>'Q100a-geral'!BMH887</f>
        <v>0</v>
      </c>
      <c r="BMI364" s="373">
        <f>'Q100a-geral'!BMI887</f>
        <v>0</v>
      </c>
      <c r="BMJ364" s="373">
        <f>'Q100a-geral'!BMJ887</f>
        <v>0</v>
      </c>
      <c r="BMK364" s="373">
        <f>'Q100a-geral'!BMK887</f>
        <v>0</v>
      </c>
      <c r="BML364" s="373">
        <f>'Q100a-geral'!BML887</f>
        <v>0</v>
      </c>
      <c r="BMM364" s="373">
        <f>'Q100a-geral'!BMM887</f>
        <v>0</v>
      </c>
      <c r="BMN364" s="373">
        <f>'Q100a-geral'!BMN887</f>
        <v>0</v>
      </c>
      <c r="BMO364" s="373">
        <f>'Q100a-geral'!BMO887</f>
        <v>0</v>
      </c>
      <c r="BMP364" s="373">
        <f>'Q100a-geral'!BMP887</f>
        <v>0</v>
      </c>
      <c r="BMQ364" s="373">
        <f>'Q100a-geral'!BMQ887</f>
        <v>0</v>
      </c>
      <c r="BMR364" s="373">
        <f>'Q100a-geral'!BMR887</f>
        <v>0</v>
      </c>
      <c r="BMS364" s="373">
        <f>'Q100a-geral'!BMS887</f>
        <v>0</v>
      </c>
      <c r="BMT364" s="373">
        <f>'Q100a-geral'!BMT887</f>
        <v>0</v>
      </c>
      <c r="BMU364" s="373">
        <f>'Q100a-geral'!BMU887</f>
        <v>0</v>
      </c>
      <c r="BMV364" s="373">
        <f>'Q100a-geral'!BMV887</f>
        <v>0</v>
      </c>
      <c r="BMW364" s="373">
        <f>'Q100a-geral'!BMW887</f>
        <v>0</v>
      </c>
      <c r="BMX364" s="373">
        <f>'Q100a-geral'!BMX887</f>
        <v>0</v>
      </c>
      <c r="BMY364" s="373">
        <f>'Q100a-geral'!BMY887</f>
        <v>0</v>
      </c>
      <c r="BMZ364" s="373">
        <f>'Q100a-geral'!BMZ887</f>
        <v>0</v>
      </c>
      <c r="BNA364" s="373">
        <f>'Q100a-geral'!BNA887</f>
        <v>0</v>
      </c>
      <c r="BNB364" s="373">
        <f>'Q100a-geral'!BNB887</f>
        <v>0</v>
      </c>
      <c r="BNC364" s="373">
        <f>'Q100a-geral'!BNC887</f>
        <v>0</v>
      </c>
      <c r="BND364" s="373">
        <f>'Q100a-geral'!BND887</f>
        <v>0</v>
      </c>
      <c r="BNE364" s="373">
        <f>'Q100a-geral'!BNE887</f>
        <v>0</v>
      </c>
      <c r="BNF364" s="373">
        <f>'Q100a-geral'!BNF887</f>
        <v>0</v>
      </c>
      <c r="BNG364" s="373">
        <f>'Q100a-geral'!BNG887</f>
        <v>0</v>
      </c>
      <c r="BNH364" s="373">
        <f>'Q100a-geral'!BNH887</f>
        <v>0</v>
      </c>
      <c r="BNI364" s="373">
        <f>'Q100a-geral'!BNI887</f>
        <v>0</v>
      </c>
      <c r="BNJ364" s="373">
        <f>'Q100a-geral'!BNJ887</f>
        <v>0</v>
      </c>
      <c r="BNK364" s="373">
        <f>'Q100a-geral'!BNK887</f>
        <v>0</v>
      </c>
      <c r="BNL364" s="373">
        <f>'Q100a-geral'!BNL887</f>
        <v>0</v>
      </c>
      <c r="BNM364" s="373">
        <f>'Q100a-geral'!BNM887</f>
        <v>0</v>
      </c>
      <c r="BNN364" s="373">
        <f>'Q100a-geral'!BNN887</f>
        <v>0</v>
      </c>
      <c r="BNO364" s="373">
        <f>'Q100a-geral'!BNO887</f>
        <v>0</v>
      </c>
      <c r="BNP364" s="373">
        <f>'Q100a-geral'!BNP887</f>
        <v>0</v>
      </c>
      <c r="BNQ364" s="373">
        <f>'Q100a-geral'!BNQ887</f>
        <v>0</v>
      </c>
      <c r="BNR364" s="373">
        <f>'Q100a-geral'!BNR887</f>
        <v>0</v>
      </c>
      <c r="BNS364" s="373">
        <f>'Q100a-geral'!BNS887</f>
        <v>0</v>
      </c>
      <c r="BNT364" s="373">
        <f>'Q100a-geral'!BNT887</f>
        <v>0</v>
      </c>
      <c r="BNU364" s="373">
        <f>'Q100a-geral'!BNU887</f>
        <v>0</v>
      </c>
      <c r="BNV364" s="373">
        <f>'Q100a-geral'!BNV887</f>
        <v>0</v>
      </c>
      <c r="BNW364" s="373">
        <f>'Q100a-geral'!BNW887</f>
        <v>0</v>
      </c>
      <c r="BNX364" s="373">
        <f>'Q100a-geral'!BNX887</f>
        <v>0</v>
      </c>
      <c r="BNY364" s="373">
        <f>'Q100a-geral'!BNY887</f>
        <v>0</v>
      </c>
      <c r="BNZ364" s="373">
        <f>'Q100a-geral'!BNZ887</f>
        <v>0</v>
      </c>
      <c r="BOA364" s="373">
        <f>'Q100a-geral'!BOA887</f>
        <v>0</v>
      </c>
      <c r="BOB364" s="373">
        <f>'Q100a-geral'!BOB887</f>
        <v>0</v>
      </c>
      <c r="BOC364" s="373">
        <f>'Q100a-geral'!BOC887</f>
        <v>0</v>
      </c>
      <c r="BOD364" s="373">
        <f>'Q100a-geral'!BOD887</f>
        <v>0</v>
      </c>
      <c r="BOE364" s="373">
        <f>'Q100a-geral'!BOE887</f>
        <v>0</v>
      </c>
      <c r="BOF364" s="373">
        <f>'Q100a-geral'!BOF887</f>
        <v>0</v>
      </c>
      <c r="BOG364" s="373">
        <f>'Q100a-geral'!BOG887</f>
        <v>0</v>
      </c>
      <c r="BOH364" s="373">
        <f>'Q100a-geral'!BOH887</f>
        <v>0</v>
      </c>
      <c r="BOI364" s="373">
        <f>'Q100a-geral'!BOI887</f>
        <v>0</v>
      </c>
      <c r="BOJ364" s="373">
        <f>'Q100a-geral'!BOJ887</f>
        <v>0</v>
      </c>
      <c r="BOK364" s="373">
        <f>'Q100a-geral'!BOK887</f>
        <v>0</v>
      </c>
      <c r="BOL364" s="373">
        <f>'Q100a-geral'!BOL887</f>
        <v>0</v>
      </c>
      <c r="BOM364" s="373">
        <f>'Q100a-geral'!BOM887</f>
        <v>0</v>
      </c>
      <c r="BON364" s="373">
        <f>'Q100a-geral'!BON887</f>
        <v>0</v>
      </c>
      <c r="BOO364" s="373">
        <f>'Q100a-geral'!BOO887</f>
        <v>0</v>
      </c>
      <c r="BOP364" s="373">
        <f>'Q100a-geral'!BOP887</f>
        <v>0</v>
      </c>
      <c r="BOQ364" s="373">
        <f>'Q100a-geral'!BOQ887</f>
        <v>0</v>
      </c>
      <c r="BOR364" s="373">
        <f>'Q100a-geral'!BOR887</f>
        <v>0</v>
      </c>
      <c r="BOS364" s="373">
        <f>'Q100a-geral'!BOS887</f>
        <v>0</v>
      </c>
      <c r="BOT364" s="373">
        <f>'Q100a-geral'!BOT887</f>
        <v>0</v>
      </c>
      <c r="BOU364" s="373">
        <f>'Q100a-geral'!BOU887</f>
        <v>0</v>
      </c>
      <c r="BOV364" s="373">
        <f>'Q100a-geral'!BOV887</f>
        <v>0</v>
      </c>
      <c r="BOW364" s="373">
        <f>'Q100a-geral'!BOW887</f>
        <v>0</v>
      </c>
      <c r="BOX364" s="373">
        <f>'Q100a-geral'!BOX887</f>
        <v>0</v>
      </c>
      <c r="BOY364" s="373">
        <f>'Q100a-geral'!BOY887</f>
        <v>0</v>
      </c>
      <c r="BOZ364" s="373">
        <f>'Q100a-geral'!BOZ887</f>
        <v>0</v>
      </c>
      <c r="BPA364" s="373">
        <f>'Q100a-geral'!BPA887</f>
        <v>0</v>
      </c>
      <c r="BPB364" s="373">
        <f>'Q100a-geral'!BPB887</f>
        <v>0</v>
      </c>
      <c r="BPC364" s="373">
        <f>'Q100a-geral'!BPC887</f>
        <v>0</v>
      </c>
      <c r="BPD364" s="373">
        <f>'Q100a-geral'!BPD887</f>
        <v>0</v>
      </c>
      <c r="BPE364" s="373">
        <f>'Q100a-geral'!BPE887</f>
        <v>0</v>
      </c>
      <c r="BPF364" s="373">
        <f>'Q100a-geral'!BPF887</f>
        <v>0</v>
      </c>
      <c r="BPG364" s="373">
        <f>'Q100a-geral'!BPG887</f>
        <v>0</v>
      </c>
      <c r="BPH364" s="373">
        <f>'Q100a-geral'!BPH887</f>
        <v>0</v>
      </c>
      <c r="BPI364" s="373">
        <f>'Q100a-geral'!BPI887</f>
        <v>0</v>
      </c>
      <c r="BPJ364" s="373">
        <f>'Q100a-geral'!BPJ887</f>
        <v>0</v>
      </c>
      <c r="BPK364" s="373">
        <f>'Q100a-geral'!BPK887</f>
        <v>0</v>
      </c>
      <c r="BPL364" s="373">
        <f>'Q100a-geral'!BPL887</f>
        <v>0</v>
      </c>
      <c r="BPM364" s="373">
        <f>'Q100a-geral'!BPM887</f>
        <v>0</v>
      </c>
      <c r="BPN364" s="373">
        <f>'Q100a-geral'!BPN887</f>
        <v>0</v>
      </c>
      <c r="BPO364" s="373">
        <f>'Q100a-geral'!BPO887</f>
        <v>0</v>
      </c>
      <c r="BPP364" s="373">
        <f>'Q100a-geral'!BPP887</f>
        <v>0</v>
      </c>
      <c r="BPQ364" s="373">
        <f>'Q100a-geral'!BPQ887</f>
        <v>0</v>
      </c>
      <c r="BPR364" s="373">
        <f>'Q100a-geral'!BPR887</f>
        <v>0</v>
      </c>
      <c r="BPS364" s="373">
        <f>'Q100a-geral'!BPS887</f>
        <v>0</v>
      </c>
      <c r="BPT364" s="373">
        <f>'Q100a-geral'!BPT887</f>
        <v>0</v>
      </c>
      <c r="BPU364" s="373">
        <f>'Q100a-geral'!BPU887</f>
        <v>0</v>
      </c>
      <c r="BPV364" s="373">
        <f>'Q100a-geral'!BPV887</f>
        <v>0</v>
      </c>
      <c r="BPW364" s="373">
        <f>'Q100a-geral'!BPW887</f>
        <v>0</v>
      </c>
      <c r="BPX364" s="373">
        <f>'Q100a-geral'!BPX887</f>
        <v>0</v>
      </c>
      <c r="BPY364" s="373">
        <f>'Q100a-geral'!BPY887</f>
        <v>0</v>
      </c>
      <c r="BPZ364" s="373">
        <f>'Q100a-geral'!BPZ887</f>
        <v>0</v>
      </c>
      <c r="BQA364" s="373">
        <f>'Q100a-geral'!BQA887</f>
        <v>0</v>
      </c>
      <c r="BQB364" s="373">
        <f>'Q100a-geral'!BQB887</f>
        <v>0</v>
      </c>
      <c r="BQC364" s="373">
        <f>'Q100a-geral'!BQC887</f>
        <v>0</v>
      </c>
      <c r="BQD364" s="373">
        <f>'Q100a-geral'!BQD887</f>
        <v>0</v>
      </c>
      <c r="BQE364" s="373">
        <f>'Q100a-geral'!BQE887</f>
        <v>0</v>
      </c>
      <c r="BQF364" s="373">
        <f>'Q100a-geral'!BQF887</f>
        <v>0</v>
      </c>
      <c r="BQG364" s="373">
        <f>'Q100a-geral'!BQG887</f>
        <v>0</v>
      </c>
      <c r="BQH364" s="373">
        <f>'Q100a-geral'!BQH887</f>
        <v>0</v>
      </c>
      <c r="BQI364" s="373">
        <f>'Q100a-geral'!BQI887</f>
        <v>0</v>
      </c>
      <c r="BQJ364" s="373">
        <f>'Q100a-geral'!BQJ887</f>
        <v>0</v>
      </c>
      <c r="BQK364" s="373">
        <f>'Q100a-geral'!BQK887</f>
        <v>0</v>
      </c>
      <c r="BQL364" s="373">
        <f>'Q100a-geral'!BQL887</f>
        <v>0</v>
      </c>
      <c r="BQM364" s="373">
        <f>'Q100a-geral'!BQM887</f>
        <v>0</v>
      </c>
      <c r="BQN364" s="373">
        <f>'Q100a-geral'!BQN887</f>
        <v>0</v>
      </c>
      <c r="BQO364" s="373">
        <f>'Q100a-geral'!BQO887</f>
        <v>0</v>
      </c>
      <c r="BQP364" s="373">
        <f>'Q100a-geral'!BQP887</f>
        <v>0</v>
      </c>
      <c r="BQQ364" s="373">
        <f>'Q100a-geral'!BQQ887</f>
        <v>0</v>
      </c>
      <c r="BQR364" s="373">
        <f>'Q100a-geral'!BQR887</f>
        <v>0</v>
      </c>
      <c r="BQS364" s="373">
        <f>'Q100a-geral'!BQS887</f>
        <v>0</v>
      </c>
      <c r="BQT364" s="373">
        <f>'Q100a-geral'!BQT887</f>
        <v>0</v>
      </c>
      <c r="BQU364" s="373">
        <f>'Q100a-geral'!BQU887</f>
        <v>0</v>
      </c>
      <c r="BQV364" s="373">
        <f>'Q100a-geral'!BQV887</f>
        <v>0</v>
      </c>
      <c r="BQW364" s="373">
        <f>'Q100a-geral'!BQW887</f>
        <v>0</v>
      </c>
      <c r="BQX364" s="373">
        <f>'Q100a-geral'!BQX887</f>
        <v>0</v>
      </c>
      <c r="BQY364" s="373">
        <f>'Q100a-geral'!BQY887</f>
        <v>0</v>
      </c>
      <c r="BQZ364" s="373">
        <f>'Q100a-geral'!BQZ887</f>
        <v>0</v>
      </c>
      <c r="BRA364" s="373">
        <f>'Q100a-geral'!BRA887</f>
        <v>0</v>
      </c>
      <c r="BRB364" s="373">
        <f>'Q100a-geral'!BRB887</f>
        <v>0</v>
      </c>
      <c r="BRC364" s="373">
        <f>'Q100a-geral'!BRC887</f>
        <v>0</v>
      </c>
      <c r="BRD364" s="373">
        <f>'Q100a-geral'!BRD887</f>
        <v>0</v>
      </c>
      <c r="BRE364" s="373">
        <f>'Q100a-geral'!BRE887</f>
        <v>0</v>
      </c>
      <c r="BRF364" s="373">
        <f>'Q100a-geral'!BRF887</f>
        <v>0</v>
      </c>
      <c r="BRG364" s="373">
        <f>'Q100a-geral'!BRG887</f>
        <v>0</v>
      </c>
      <c r="BRH364" s="373">
        <f>'Q100a-geral'!BRH887</f>
        <v>0</v>
      </c>
      <c r="BRI364" s="373">
        <f>'Q100a-geral'!BRI887</f>
        <v>0</v>
      </c>
      <c r="BRJ364" s="373">
        <f>'Q100a-geral'!BRJ887</f>
        <v>0</v>
      </c>
      <c r="BRK364" s="373">
        <f>'Q100a-geral'!BRK887</f>
        <v>0</v>
      </c>
      <c r="BRL364" s="373">
        <f>'Q100a-geral'!BRL887</f>
        <v>0</v>
      </c>
      <c r="BRM364" s="373">
        <f>'Q100a-geral'!BRM887</f>
        <v>0</v>
      </c>
      <c r="BRN364" s="373">
        <f>'Q100a-geral'!BRN887</f>
        <v>0</v>
      </c>
      <c r="BRO364" s="373">
        <f>'Q100a-geral'!BRO887</f>
        <v>0</v>
      </c>
      <c r="BRP364" s="373">
        <f>'Q100a-geral'!BRP887</f>
        <v>0</v>
      </c>
      <c r="BRQ364" s="373">
        <f>'Q100a-geral'!BRQ887</f>
        <v>0</v>
      </c>
      <c r="BRR364" s="373">
        <f>'Q100a-geral'!BRR887</f>
        <v>0</v>
      </c>
      <c r="BRS364" s="373">
        <f>'Q100a-geral'!BRS887</f>
        <v>0</v>
      </c>
      <c r="BRT364" s="373">
        <f>'Q100a-geral'!BRT887</f>
        <v>0</v>
      </c>
      <c r="BRU364" s="373">
        <f>'Q100a-geral'!BRU887</f>
        <v>0</v>
      </c>
      <c r="BRV364" s="373">
        <f>'Q100a-geral'!BRV887</f>
        <v>0</v>
      </c>
      <c r="BRW364" s="373">
        <f>'Q100a-geral'!BRW887</f>
        <v>0</v>
      </c>
      <c r="BRX364" s="373">
        <f>'Q100a-geral'!BRX887</f>
        <v>0</v>
      </c>
      <c r="BRY364" s="373">
        <f>'Q100a-geral'!BRY887</f>
        <v>0</v>
      </c>
      <c r="BRZ364" s="373">
        <f>'Q100a-geral'!BRZ887</f>
        <v>0</v>
      </c>
      <c r="BSA364" s="373">
        <f>'Q100a-geral'!BSA887</f>
        <v>0</v>
      </c>
      <c r="BSB364" s="373">
        <f>'Q100a-geral'!BSB887</f>
        <v>0</v>
      </c>
      <c r="BSC364" s="373">
        <f>'Q100a-geral'!BSC887</f>
        <v>0</v>
      </c>
      <c r="BSD364" s="373">
        <f>'Q100a-geral'!BSD887</f>
        <v>0</v>
      </c>
      <c r="BSE364" s="373">
        <f>'Q100a-geral'!BSE887</f>
        <v>0</v>
      </c>
      <c r="BSF364" s="373">
        <f>'Q100a-geral'!BSF887</f>
        <v>0</v>
      </c>
      <c r="BSG364" s="373">
        <f>'Q100a-geral'!BSG887</f>
        <v>0</v>
      </c>
      <c r="BSH364" s="373">
        <f>'Q100a-geral'!BSH887</f>
        <v>0</v>
      </c>
      <c r="BSI364" s="373">
        <f>'Q100a-geral'!BSI887</f>
        <v>0</v>
      </c>
      <c r="BSJ364" s="373">
        <f>'Q100a-geral'!BSJ887</f>
        <v>0</v>
      </c>
      <c r="BSK364" s="373">
        <f>'Q100a-geral'!BSK887</f>
        <v>0</v>
      </c>
      <c r="BSL364" s="373">
        <f>'Q100a-geral'!BSL887</f>
        <v>0</v>
      </c>
      <c r="BSM364" s="373">
        <f>'Q100a-geral'!BSM887</f>
        <v>0</v>
      </c>
      <c r="BSN364" s="373">
        <f>'Q100a-geral'!BSN887</f>
        <v>0</v>
      </c>
      <c r="BSO364" s="373">
        <f>'Q100a-geral'!BSO887</f>
        <v>0</v>
      </c>
      <c r="BSP364" s="373">
        <f>'Q100a-geral'!BSP887</f>
        <v>0</v>
      </c>
      <c r="BSQ364" s="373">
        <f>'Q100a-geral'!BSQ887</f>
        <v>0</v>
      </c>
      <c r="BSR364" s="373">
        <f>'Q100a-geral'!BSR887</f>
        <v>0</v>
      </c>
      <c r="BSS364" s="373">
        <f>'Q100a-geral'!BSS887</f>
        <v>0</v>
      </c>
      <c r="BST364" s="373">
        <f>'Q100a-geral'!BST887</f>
        <v>0</v>
      </c>
      <c r="BSU364" s="373">
        <f>'Q100a-geral'!BSU887</f>
        <v>0</v>
      </c>
      <c r="BSV364" s="373">
        <f>'Q100a-geral'!BSV887</f>
        <v>0</v>
      </c>
      <c r="BSW364" s="373">
        <f>'Q100a-geral'!BSW887</f>
        <v>0</v>
      </c>
      <c r="BSX364" s="373">
        <f>'Q100a-geral'!BSX887</f>
        <v>0</v>
      </c>
      <c r="BSY364" s="373">
        <f>'Q100a-geral'!BSY887</f>
        <v>0</v>
      </c>
      <c r="BSZ364" s="373">
        <f>'Q100a-geral'!BSZ887</f>
        <v>0</v>
      </c>
      <c r="BTA364" s="373">
        <f>'Q100a-geral'!BTA887</f>
        <v>0</v>
      </c>
      <c r="BTB364" s="373">
        <f>'Q100a-geral'!BTB887</f>
        <v>0</v>
      </c>
      <c r="BTC364" s="373">
        <f>'Q100a-geral'!BTC887</f>
        <v>0</v>
      </c>
      <c r="BTD364" s="373">
        <f>'Q100a-geral'!BTD887</f>
        <v>0</v>
      </c>
      <c r="BTE364" s="373">
        <f>'Q100a-geral'!BTE887</f>
        <v>0</v>
      </c>
      <c r="BTF364" s="373">
        <f>'Q100a-geral'!BTF887</f>
        <v>0</v>
      </c>
      <c r="BTG364" s="373">
        <f>'Q100a-geral'!BTG887</f>
        <v>0</v>
      </c>
      <c r="BTH364" s="373">
        <f>'Q100a-geral'!BTH887</f>
        <v>0</v>
      </c>
      <c r="BTI364" s="373">
        <f>'Q100a-geral'!BTI887</f>
        <v>0</v>
      </c>
      <c r="BTJ364" s="373">
        <f>'Q100a-geral'!BTJ887</f>
        <v>0</v>
      </c>
      <c r="BTK364" s="373">
        <f>'Q100a-geral'!BTK887</f>
        <v>0</v>
      </c>
      <c r="BTL364" s="373">
        <f>'Q100a-geral'!BTL887</f>
        <v>0</v>
      </c>
      <c r="BTM364" s="373">
        <f>'Q100a-geral'!BTM887</f>
        <v>0</v>
      </c>
      <c r="BTN364" s="373">
        <f>'Q100a-geral'!BTN887</f>
        <v>0</v>
      </c>
      <c r="BTO364" s="373">
        <f>'Q100a-geral'!BTO887</f>
        <v>0</v>
      </c>
      <c r="BTP364" s="373">
        <f>'Q100a-geral'!BTP887</f>
        <v>0</v>
      </c>
      <c r="BTQ364" s="373">
        <f>'Q100a-geral'!BTQ887</f>
        <v>0</v>
      </c>
      <c r="BTR364" s="373">
        <f>'Q100a-geral'!BTR887</f>
        <v>0</v>
      </c>
      <c r="BTS364" s="373">
        <f>'Q100a-geral'!BTS887</f>
        <v>0</v>
      </c>
      <c r="BTT364" s="373">
        <f>'Q100a-geral'!BTT887</f>
        <v>0</v>
      </c>
      <c r="BTU364" s="373">
        <f>'Q100a-geral'!BTU887</f>
        <v>0</v>
      </c>
      <c r="BTV364" s="373">
        <f>'Q100a-geral'!BTV887</f>
        <v>0</v>
      </c>
      <c r="BTW364" s="373">
        <f>'Q100a-geral'!BTW887</f>
        <v>0</v>
      </c>
      <c r="BTX364" s="373">
        <f>'Q100a-geral'!BTX887</f>
        <v>0</v>
      </c>
      <c r="BTY364" s="373">
        <f>'Q100a-geral'!BTY887</f>
        <v>0</v>
      </c>
      <c r="BTZ364" s="373">
        <f>'Q100a-geral'!BTZ887</f>
        <v>0</v>
      </c>
      <c r="BUA364" s="373">
        <f>'Q100a-geral'!BUA887</f>
        <v>0</v>
      </c>
      <c r="BUB364" s="373">
        <f>'Q100a-geral'!BUB887</f>
        <v>0</v>
      </c>
      <c r="BUC364" s="373">
        <f>'Q100a-geral'!BUC887</f>
        <v>0</v>
      </c>
      <c r="BUD364" s="373">
        <f>'Q100a-geral'!BUD887</f>
        <v>0</v>
      </c>
      <c r="BUE364" s="373">
        <f>'Q100a-geral'!BUE887</f>
        <v>0</v>
      </c>
      <c r="BUF364" s="373">
        <f>'Q100a-geral'!BUF887</f>
        <v>0</v>
      </c>
      <c r="BUG364" s="373">
        <f>'Q100a-geral'!BUG887</f>
        <v>0</v>
      </c>
      <c r="BUH364" s="373">
        <f>'Q100a-geral'!BUH887</f>
        <v>0</v>
      </c>
      <c r="BUI364" s="373">
        <f>'Q100a-geral'!BUI887</f>
        <v>0</v>
      </c>
      <c r="BUJ364" s="373">
        <f>'Q100a-geral'!BUJ887</f>
        <v>0</v>
      </c>
      <c r="BUK364" s="373">
        <f>'Q100a-geral'!BUK887</f>
        <v>0</v>
      </c>
      <c r="BUL364" s="373">
        <f>'Q100a-geral'!BUL887</f>
        <v>0</v>
      </c>
      <c r="BUM364" s="373">
        <f>'Q100a-geral'!BUM887</f>
        <v>0</v>
      </c>
      <c r="BUN364" s="373">
        <f>'Q100a-geral'!BUN887</f>
        <v>0</v>
      </c>
      <c r="BUO364" s="373">
        <f>'Q100a-geral'!BUO887</f>
        <v>0</v>
      </c>
      <c r="BUP364" s="373">
        <f>'Q100a-geral'!BUP887</f>
        <v>0</v>
      </c>
      <c r="BUQ364" s="373">
        <f>'Q100a-geral'!BUQ887</f>
        <v>0</v>
      </c>
      <c r="BUR364" s="373">
        <f>'Q100a-geral'!BUR887</f>
        <v>0</v>
      </c>
      <c r="BUS364" s="373">
        <f>'Q100a-geral'!BUS887</f>
        <v>0</v>
      </c>
      <c r="BUT364" s="373">
        <f>'Q100a-geral'!BUT887</f>
        <v>0</v>
      </c>
      <c r="BUU364" s="373">
        <f>'Q100a-geral'!BUU887</f>
        <v>0</v>
      </c>
      <c r="BUV364" s="373">
        <f>'Q100a-geral'!BUV887</f>
        <v>0</v>
      </c>
      <c r="BUW364" s="373">
        <f>'Q100a-geral'!BUW887</f>
        <v>0</v>
      </c>
      <c r="BUX364" s="373">
        <f>'Q100a-geral'!BUX887</f>
        <v>0</v>
      </c>
      <c r="BUY364" s="373">
        <f>'Q100a-geral'!BUY887</f>
        <v>0</v>
      </c>
      <c r="BUZ364" s="373">
        <f>'Q100a-geral'!BUZ887</f>
        <v>0</v>
      </c>
      <c r="BVA364" s="373">
        <f>'Q100a-geral'!BVA887</f>
        <v>0</v>
      </c>
      <c r="BVB364" s="373">
        <f>'Q100a-geral'!BVB887</f>
        <v>0</v>
      </c>
      <c r="BVC364" s="373">
        <f>'Q100a-geral'!BVC887</f>
        <v>0</v>
      </c>
      <c r="BVD364" s="373">
        <f>'Q100a-geral'!BVD887</f>
        <v>0</v>
      </c>
      <c r="BVE364" s="373">
        <f>'Q100a-geral'!BVE887</f>
        <v>0</v>
      </c>
      <c r="BVF364" s="373">
        <f>'Q100a-geral'!BVF887</f>
        <v>0</v>
      </c>
      <c r="BVG364" s="373">
        <f>'Q100a-geral'!BVG887</f>
        <v>0</v>
      </c>
      <c r="BVH364" s="373">
        <f>'Q100a-geral'!BVH887</f>
        <v>0</v>
      </c>
      <c r="BVI364" s="373">
        <f>'Q100a-geral'!BVI887</f>
        <v>0</v>
      </c>
      <c r="BVJ364" s="373">
        <f>'Q100a-geral'!BVJ887</f>
        <v>0</v>
      </c>
      <c r="BVK364" s="373">
        <f>'Q100a-geral'!BVK887</f>
        <v>0</v>
      </c>
      <c r="BVL364" s="373">
        <f>'Q100a-geral'!BVL887</f>
        <v>0</v>
      </c>
      <c r="BVM364" s="373">
        <f>'Q100a-geral'!BVM887</f>
        <v>0</v>
      </c>
      <c r="BVN364" s="373">
        <f>'Q100a-geral'!BVN887</f>
        <v>0</v>
      </c>
      <c r="BVO364" s="373">
        <f>'Q100a-geral'!BVO887</f>
        <v>0</v>
      </c>
      <c r="BVP364" s="373">
        <f>'Q100a-geral'!BVP887</f>
        <v>0</v>
      </c>
      <c r="BVQ364" s="373">
        <f>'Q100a-geral'!BVQ887</f>
        <v>0</v>
      </c>
      <c r="BVR364" s="373">
        <f>'Q100a-geral'!BVR887</f>
        <v>0</v>
      </c>
      <c r="BVS364" s="373">
        <f>'Q100a-geral'!BVS887</f>
        <v>0</v>
      </c>
      <c r="BVT364" s="373">
        <f>'Q100a-geral'!BVT887</f>
        <v>0</v>
      </c>
      <c r="BVU364" s="373">
        <f>'Q100a-geral'!BVU887</f>
        <v>0</v>
      </c>
      <c r="BVV364" s="373">
        <f>'Q100a-geral'!BVV887</f>
        <v>0</v>
      </c>
      <c r="BVW364" s="373">
        <f>'Q100a-geral'!BVW887</f>
        <v>0</v>
      </c>
      <c r="BVX364" s="373">
        <f>'Q100a-geral'!BVX887</f>
        <v>0</v>
      </c>
      <c r="BVY364" s="373">
        <f>'Q100a-geral'!BVY887</f>
        <v>0</v>
      </c>
      <c r="BVZ364" s="373">
        <f>'Q100a-geral'!BVZ887</f>
        <v>0</v>
      </c>
      <c r="BWA364" s="373">
        <f>'Q100a-geral'!BWA887</f>
        <v>0</v>
      </c>
      <c r="BWB364" s="373">
        <f>'Q100a-geral'!BWB887</f>
        <v>0</v>
      </c>
      <c r="BWC364" s="373">
        <f>'Q100a-geral'!BWC887</f>
        <v>0</v>
      </c>
      <c r="BWD364" s="373">
        <f>'Q100a-geral'!BWD887</f>
        <v>0</v>
      </c>
      <c r="BWE364" s="373">
        <f>'Q100a-geral'!BWE887</f>
        <v>0</v>
      </c>
      <c r="BWF364" s="373">
        <f>'Q100a-geral'!BWF887</f>
        <v>0</v>
      </c>
      <c r="BWG364" s="373">
        <f>'Q100a-geral'!BWG887</f>
        <v>0</v>
      </c>
      <c r="BWH364" s="373">
        <f>'Q100a-geral'!BWH887</f>
        <v>0</v>
      </c>
      <c r="BWI364" s="373">
        <f>'Q100a-geral'!BWI887</f>
        <v>0</v>
      </c>
      <c r="BWJ364" s="373">
        <f>'Q100a-geral'!BWJ887</f>
        <v>0</v>
      </c>
      <c r="BWK364" s="373">
        <f>'Q100a-geral'!BWK887</f>
        <v>0</v>
      </c>
      <c r="BWL364" s="373">
        <f>'Q100a-geral'!BWL887</f>
        <v>0</v>
      </c>
      <c r="BWM364" s="373">
        <f>'Q100a-geral'!BWM887</f>
        <v>0</v>
      </c>
      <c r="BWN364" s="373">
        <f>'Q100a-geral'!BWN887</f>
        <v>0</v>
      </c>
      <c r="BWO364" s="373">
        <f>'Q100a-geral'!BWO887</f>
        <v>0</v>
      </c>
      <c r="BWP364" s="373">
        <f>'Q100a-geral'!BWP887</f>
        <v>0</v>
      </c>
      <c r="BWQ364" s="373">
        <f>'Q100a-geral'!BWQ887</f>
        <v>0</v>
      </c>
      <c r="BWR364" s="373">
        <f>'Q100a-geral'!BWR887</f>
        <v>0</v>
      </c>
      <c r="BWS364" s="373">
        <f>'Q100a-geral'!BWS887</f>
        <v>0</v>
      </c>
      <c r="BWT364" s="373">
        <f>'Q100a-geral'!BWT887</f>
        <v>0</v>
      </c>
      <c r="BWU364" s="373">
        <f>'Q100a-geral'!BWU887</f>
        <v>0</v>
      </c>
      <c r="BWV364" s="373">
        <f>'Q100a-geral'!BWV887</f>
        <v>0</v>
      </c>
      <c r="BWW364" s="373">
        <f>'Q100a-geral'!BWW887</f>
        <v>0</v>
      </c>
      <c r="BWX364" s="373">
        <f>'Q100a-geral'!BWX887</f>
        <v>0</v>
      </c>
      <c r="BWY364" s="373">
        <f>'Q100a-geral'!BWY887</f>
        <v>0</v>
      </c>
      <c r="BWZ364" s="373">
        <f>'Q100a-geral'!BWZ887</f>
        <v>0</v>
      </c>
      <c r="BXA364" s="373">
        <f>'Q100a-geral'!BXA887</f>
        <v>0</v>
      </c>
      <c r="BXB364" s="373">
        <f>'Q100a-geral'!BXB887</f>
        <v>0</v>
      </c>
      <c r="BXC364" s="373">
        <f>'Q100a-geral'!BXC887</f>
        <v>0</v>
      </c>
      <c r="BXD364" s="373">
        <f>'Q100a-geral'!BXD887</f>
        <v>0</v>
      </c>
      <c r="BXE364" s="373">
        <f>'Q100a-geral'!BXE887</f>
        <v>0</v>
      </c>
      <c r="BXF364" s="373">
        <f>'Q100a-geral'!BXF887</f>
        <v>0</v>
      </c>
      <c r="BXG364" s="373">
        <f>'Q100a-geral'!BXG887</f>
        <v>0</v>
      </c>
      <c r="BXH364" s="373">
        <f>'Q100a-geral'!BXH887</f>
        <v>0</v>
      </c>
      <c r="BXI364" s="373">
        <f>'Q100a-geral'!BXI887</f>
        <v>0</v>
      </c>
      <c r="BXJ364" s="373">
        <f>'Q100a-geral'!BXJ887</f>
        <v>0</v>
      </c>
      <c r="BXK364" s="373">
        <f>'Q100a-geral'!BXK887</f>
        <v>0</v>
      </c>
      <c r="BXL364" s="373">
        <f>'Q100a-geral'!BXL887</f>
        <v>0</v>
      </c>
      <c r="BXM364" s="373">
        <f>'Q100a-geral'!BXM887</f>
        <v>0</v>
      </c>
      <c r="BXN364" s="373">
        <f>'Q100a-geral'!BXN887</f>
        <v>0</v>
      </c>
      <c r="BXO364" s="373">
        <f>'Q100a-geral'!BXO887</f>
        <v>0</v>
      </c>
      <c r="BXP364" s="373">
        <f>'Q100a-geral'!BXP887</f>
        <v>0</v>
      </c>
      <c r="BXQ364" s="373">
        <f>'Q100a-geral'!BXQ887</f>
        <v>0</v>
      </c>
      <c r="BXR364" s="373">
        <f>'Q100a-geral'!BXR887</f>
        <v>0</v>
      </c>
      <c r="BXS364" s="373">
        <f>'Q100a-geral'!BXS887</f>
        <v>0</v>
      </c>
      <c r="BXT364" s="373">
        <f>'Q100a-geral'!BXT887</f>
        <v>0</v>
      </c>
      <c r="BXU364" s="373">
        <f>'Q100a-geral'!BXU887</f>
        <v>0</v>
      </c>
      <c r="BXV364" s="373">
        <f>'Q100a-geral'!BXV887</f>
        <v>0</v>
      </c>
      <c r="BXW364" s="373">
        <f>'Q100a-geral'!BXW887</f>
        <v>0</v>
      </c>
      <c r="BXX364" s="373">
        <f>'Q100a-geral'!BXX887</f>
        <v>0</v>
      </c>
      <c r="BXY364" s="373">
        <f>'Q100a-geral'!BXY887</f>
        <v>0</v>
      </c>
      <c r="BXZ364" s="373">
        <f>'Q100a-geral'!BXZ887</f>
        <v>0</v>
      </c>
      <c r="BYA364" s="373">
        <f>'Q100a-geral'!BYA887</f>
        <v>0</v>
      </c>
      <c r="BYB364" s="373">
        <f>'Q100a-geral'!BYB887</f>
        <v>0</v>
      </c>
      <c r="BYC364" s="373">
        <f>'Q100a-geral'!BYC887</f>
        <v>0</v>
      </c>
      <c r="BYD364" s="373">
        <f>'Q100a-geral'!BYD887</f>
        <v>0</v>
      </c>
      <c r="BYE364" s="373">
        <f>'Q100a-geral'!BYE887</f>
        <v>0</v>
      </c>
      <c r="BYF364" s="373">
        <f>'Q100a-geral'!BYF887</f>
        <v>0</v>
      </c>
      <c r="BYG364" s="373">
        <f>'Q100a-geral'!BYG887</f>
        <v>0</v>
      </c>
      <c r="BYH364" s="373">
        <f>'Q100a-geral'!BYH887</f>
        <v>0</v>
      </c>
      <c r="BYI364" s="373">
        <f>'Q100a-geral'!BYI887</f>
        <v>0</v>
      </c>
      <c r="BYJ364" s="373">
        <f>'Q100a-geral'!BYJ887</f>
        <v>0</v>
      </c>
      <c r="BYK364" s="373">
        <f>'Q100a-geral'!BYK887</f>
        <v>0</v>
      </c>
      <c r="BYL364" s="373">
        <f>'Q100a-geral'!BYL887</f>
        <v>0</v>
      </c>
      <c r="BYM364" s="373">
        <f>'Q100a-geral'!BYM887</f>
        <v>0</v>
      </c>
      <c r="BYN364" s="373">
        <f>'Q100a-geral'!BYN887</f>
        <v>0</v>
      </c>
      <c r="BYO364" s="373">
        <f>'Q100a-geral'!BYO887</f>
        <v>0</v>
      </c>
      <c r="BYP364" s="373">
        <f>'Q100a-geral'!BYP887</f>
        <v>0</v>
      </c>
      <c r="BYQ364" s="373">
        <f>'Q100a-geral'!BYQ887</f>
        <v>0</v>
      </c>
      <c r="BYR364" s="373">
        <f>'Q100a-geral'!BYR887</f>
        <v>0</v>
      </c>
      <c r="BYS364" s="373">
        <f>'Q100a-geral'!BYS887</f>
        <v>0</v>
      </c>
      <c r="BYT364" s="373">
        <f>'Q100a-geral'!BYT887</f>
        <v>0</v>
      </c>
      <c r="BYU364" s="373">
        <f>'Q100a-geral'!BYU887</f>
        <v>0</v>
      </c>
      <c r="BYV364" s="373">
        <f>'Q100a-geral'!BYV887</f>
        <v>0</v>
      </c>
      <c r="BYW364" s="373">
        <f>'Q100a-geral'!BYW887</f>
        <v>0</v>
      </c>
      <c r="BYX364" s="373">
        <f>'Q100a-geral'!BYX887</f>
        <v>0</v>
      </c>
      <c r="BYY364" s="373">
        <f>'Q100a-geral'!BYY887</f>
        <v>0</v>
      </c>
      <c r="BYZ364" s="373">
        <f>'Q100a-geral'!BYZ887</f>
        <v>0</v>
      </c>
      <c r="BZA364" s="373">
        <f>'Q100a-geral'!BZA887</f>
        <v>0</v>
      </c>
      <c r="BZB364" s="373">
        <f>'Q100a-geral'!BZB887</f>
        <v>0</v>
      </c>
      <c r="BZC364" s="373">
        <f>'Q100a-geral'!BZC887</f>
        <v>0</v>
      </c>
      <c r="BZD364" s="373">
        <f>'Q100a-geral'!BZD887</f>
        <v>0</v>
      </c>
      <c r="BZE364" s="373">
        <f>'Q100a-geral'!BZE887</f>
        <v>0</v>
      </c>
      <c r="BZF364" s="373">
        <f>'Q100a-geral'!BZF887</f>
        <v>0</v>
      </c>
      <c r="BZG364" s="373">
        <f>'Q100a-geral'!BZG887</f>
        <v>0</v>
      </c>
      <c r="BZH364" s="373">
        <f>'Q100a-geral'!BZH887</f>
        <v>0</v>
      </c>
      <c r="BZI364" s="373">
        <f>'Q100a-geral'!BZI887</f>
        <v>0</v>
      </c>
      <c r="BZJ364" s="373">
        <f>'Q100a-geral'!BZJ887</f>
        <v>0</v>
      </c>
      <c r="BZK364" s="373">
        <f>'Q100a-geral'!BZK887</f>
        <v>0</v>
      </c>
      <c r="BZL364" s="373">
        <f>'Q100a-geral'!BZL887</f>
        <v>0</v>
      </c>
      <c r="BZM364" s="373">
        <f>'Q100a-geral'!BZM887</f>
        <v>0</v>
      </c>
      <c r="BZN364" s="373">
        <f>'Q100a-geral'!BZN887</f>
        <v>0</v>
      </c>
      <c r="BZO364" s="373">
        <f>'Q100a-geral'!BZO887</f>
        <v>0</v>
      </c>
      <c r="BZP364" s="373">
        <f>'Q100a-geral'!BZP887</f>
        <v>0</v>
      </c>
      <c r="BZQ364" s="373">
        <f>'Q100a-geral'!BZQ887</f>
        <v>0</v>
      </c>
      <c r="BZR364" s="373">
        <f>'Q100a-geral'!BZR887</f>
        <v>0</v>
      </c>
      <c r="BZS364" s="373">
        <f>'Q100a-geral'!BZS887</f>
        <v>0</v>
      </c>
      <c r="BZT364" s="373">
        <f>'Q100a-geral'!BZT887</f>
        <v>0</v>
      </c>
      <c r="BZU364" s="373">
        <f>'Q100a-geral'!BZU887</f>
        <v>0</v>
      </c>
      <c r="BZV364" s="373">
        <f>'Q100a-geral'!BZV887</f>
        <v>0</v>
      </c>
      <c r="BZW364" s="373">
        <f>'Q100a-geral'!BZW887</f>
        <v>0</v>
      </c>
      <c r="BZX364" s="373">
        <f>'Q100a-geral'!BZX887</f>
        <v>0</v>
      </c>
      <c r="BZY364" s="373">
        <f>'Q100a-geral'!BZY887</f>
        <v>0</v>
      </c>
      <c r="BZZ364" s="373">
        <f>'Q100a-geral'!BZZ887</f>
        <v>0</v>
      </c>
      <c r="CAA364" s="373">
        <f>'Q100a-geral'!CAA887</f>
        <v>0</v>
      </c>
      <c r="CAB364" s="373">
        <f>'Q100a-geral'!CAB887</f>
        <v>0</v>
      </c>
      <c r="CAC364" s="373">
        <f>'Q100a-geral'!CAC887</f>
        <v>0</v>
      </c>
      <c r="CAD364" s="373">
        <f>'Q100a-geral'!CAD887</f>
        <v>0</v>
      </c>
      <c r="CAE364" s="373">
        <f>'Q100a-geral'!CAE887</f>
        <v>0</v>
      </c>
      <c r="CAF364" s="373">
        <f>'Q100a-geral'!CAF887</f>
        <v>0</v>
      </c>
      <c r="CAG364" s="373">
        <f>'Q100a-geral'!CAG887</f>
        <v>0</v>
      </c>
      <c r="CAH364" s="373">
        <f>'Q100a-geral'!CAH887</f>
        <v>0</v>
      </c>
      <c r="CAI364" s="373">
        <f>'Q100a-geral'!CAI887</f>
        <v>0</v>
      </c>
      <c r="CAJ364" s="373">
        <f>'Q100a-geral'!CAJ887</f>
        <v>0</v>
      </c>
      <c r="CAK364" s="373">
        <f>'Q100a-geral'!CAK887</f>
        <v>0</v>
      </c>
      <c r="CAL364" s="373">
        <f>'Q100a-geral'!CAL887</f>
        <v>0</v>
      </c>
      <c r="CAM364" s="373">
        <f>'Q100a-geral'!CAM887</f>
        <v>0</v>
      </c>
      <c r="CAN364" s="373">
        <f>'Q100a-geral'!CAN887</f>
        <v>0</v>
      </c>
      <c r="CAO364" s="373">
        <f>'Q100a-geral'!CAO887</f>
        <v>0</v>
      </c>
      <c r="CAP364" s="373">
        <f>'Q100a-geral'!CAP887</f>
        <v>0</v>
      </c>
      <c r="CAQ364" s="373">
        <f>'Q100a-geral'!CAQ887</f>
        <v>0</v>
      </c>
      <c r="CAR364" s="373">
        <f>'Q100a-geral'!CAR887</f>
        <v>0</v>
      </c>
      <c r="CAS364" s="373">
        <f>'Q100a-geral'!CAS887</f>
        <v>0</v>
      </c>
      <c r="CAT364" s="373">
        <f>'Q100a-geral'!CAT887</f>
        <v>0</v>
      </c>
      <c r="CAU364" s="373">
        <f>'Q100a-geral'!CAU887</f>
        <v>0</v>
      </c>
      <c r="CAV364" s="373">
        <f>'Q100a-geral'!CAV887</f>
        <v>0</v>
      </c>
      <c r="CAW364" s="373">
        <f>'Q100a-geral'!CAW887</f>
        <v>0</v>
      </c>
      <c r="CAX364" s="373">
        <f>'Q100a-geral'!CAX887</f>
        <v>0</v>
      </c>
      <c r="CAY364" s="373">
        <f>'Q100a-geral'!CAY887</f>
        <v>0</v>
      </c>
      <c r="CAZ364" s="373">
        <f>'Q100a-geral'!CAZ887</f>
        <v>0</v>
      </c>
      <c r="CBA364" s="373">
        <f>'Q100a-geral'!CBA887</f>
        <v>0</v>
      </c>
      <c r="CBB364" s="373">
        <f>'Q100a-geral'!CBB887</f>
        <v>0</v>
      </c>
      <c r="CBC364" s="373">
        <f>'Q100a-geral'!CBC887</f>
        <v>0</v>
      </c>
      <c r="CBD364" s="373">
        <f>'Q100a-geral'!CBD887</f>
        <v>0</v>
      </c>
      <c r="CBE364" s="373">
        <f>'Q100a-geral'!CBE887</f>
        <v>0</v>
      </c>
      <c r="CBF364" s="373">
        <f>'Q100a-geral'!CBF887</f>
        <v>0</v>
      </c>
      <c r="CBG364" s="373">
        <f>'Q100a-geral'!CBG887</f>
        <v>0</v>
      </c>
      <c r="CBH364" s="373">
        <f>'Q100a-geral'!CBH887</f>
        <v>0</v>
      </c>
      <c r="CBI364" s="373">
        <f>'Q100a-geral'!CBI887</f>
        <v>0</v>
      </c>
      <c r="CBJ364" s="373">
        <f>'Q100a-geral'!CBJ887</f>
        <v>0</v>
      </c>
      <c r="CBK364" s="373">
        <f>'Q100a-geral'!CBK887</f>
        <v>0</v>
      </c>
      <c r="CBL364" s="373">
        <f>'Q100a-geral'!CBL887</f>
        <v>0</v>
      </c>
      <c r="CBM364" s="373">
        <f>'Q100a-geral'!CBM887</f>
        <v>0</v>
      </c>
      <c r="CBN364" s="373">
        <f>'Q100a-geral'!CBN887</f>
        <v>0</v>
      </c>
      <c r="CBO364" s="373">
        <f>'Q100a-geral'!CBO887</f>
        <v>0</v>
      </c>
      <c r="CBP364" s="373">
        <f>'Q100a-geral'!CBP887</f>
        <v>0</v>
      </c>
      <c r="CBQ364" s="373">
        <f>'Q100a-geral'!CBQ887</f>
        <v>0</v>
      </c>
      <c r="CBR364" s="373">
        <f>'Q100a-geral'!CBR887</f>
        <v>0</v>
      </c>
      <c r="CBS364" s="373">
        <f>'Q100a-geral'!CBS887</f>
        <v>0</v>
      </c>
      <c r="CBT364" s="373">
        <f>'Q100a-geral'!CBT887</f>
        <v>0</v>
      </c>
      <c r="CBU364" s="373">
        <f>'Q100a-geral'!CBU887</f>
        <v>0</v>
      </c>
      <c r="CBV364" s="373">
        <f>'Q100a-geral'!CBV887</f>
        <v>0</v>
      </c>
      <c r="CBW364" s="373">
        <f>'Q100a-geral'!CBW887</f>
        <v>0</v>
      </c>
      <c r="CBX364" s="373">
        <f>'Q100a-geral'!CBX887</f>
        <v>0</v>
      </c>
      <c r="CBY364" s="373">
        <f>'Q100a-geral'!CBY887</f>
        <v>0</v>
      </c>
      <c r="CBZ364" s="373">
        <f>'Q100a-geral'!CBZ887</f>
        <v>0</v>
      </c>
      <c r="CCA364" s="373">
        <f>'Q100a-geral'!CCA887</f>
        <v>0</v>
      </c>
      <c r="CCB364" s="373">
        <f>'Q100a-geral'!CCB887</f>
        <v>0</v>
      </c>
      <c r="CCC364" s="373">
        <f>'Q100a-geral'!CCC887</f>
        <v>0</v>
      </c>
      <c r="CCD364" s="373">
        <f>'Q100a-geral'!CCD887</f>
        <v>0</v>
      </c>
      <c r="CCE364" s="373">
        <f>'Q100a-geral'!CCE887</f>
        <v>0</v>
      </c>
      <c r="CCF364" s="373">
        <f>'Q100a-geral'!CCF887</f>
        <v>0</v>
      </c>
      <c r="CCG364" s="373">
        <f>'Q100a-geral'!CCG887</f>
        <v>0</v>
      </c>
      <c r="CCH364" s="373">
        <f>'Q100a-geral'!CCH887</f>
        <v>0</v>
      </c>
      <c r="CCI364" s="373">
        <f>'Q100a-geral'!CCI887</f>
        <v>0</v>
      </c>
      <c r="CCJ364" s="373">
        <f>'Q100a-geral'!CCJ887</f>
        <v>0</v>
      </c>
      <c r="CCK364" s="373">
        <f>'Q100a-geral'!CCK887</f>
        <v>0</v>
      </c>
      <c r="CCL364" s="373">
        <f>'Q100a-geral'!CCL887</f>
        <v>0</v>
      </c>
      <c r="CCM364" s="373">
        <f>'Q100a-geral'!CCM887</f>
        <v>0</v>
      </c>
      <c r="CCN364" s="373">
        <f>'Q100a-geral'!CCN887</f>
        <v>0</v>
      </c>
      <c r="CCO364" s="373">
        <f>'Q100a-geral'!CCO887</f>
        <v>0</v>
      </c>
      <c r="CCP364" s="373">
        <f>'Q100a-geral'!CCP887</f>
        <v>0</v>
      </c>
      <c r="CCQ364" s="373">
        <f>'Q100a-geral'!CCQ887</f>
        <v>0</v>
      </c>
      <c r="CCR364" s="373">
        <f>'Q100a-geral'!CCR887</f>
        <v>0</v>
      </c>
      <c r="CCS364" s="373">
        <f>'Q100a-geral'!CCS887</f>
        <v>0</v>
      </c>
      <c r="CCT364" s="373">
        <f>'Q100a-geral'!CCT887</f>
        <v>0</v>
      </c>
      <c r="CCU364" s="373">
        <f>'Q100a-geral'!CCU887</f>
        <v>0</v>
      </c>
      <c r="CCV364" s="373">
        <f>'Q100a-geral'!CCV887</f>
        <v>0</v>
      </c>
      <c r="CCW364" s="373">
        <f>'Q100a-geral'!CCW887</f>
        <v>0</v>
      </c>
      <c r="CCX364" s="373">
        <f>'Q100a-geral'!CCX887</f>
        <v>0</v>
      </c>
      <c r="CCY364" s="373">
        <f>'Q100a-geral'!CCY887</f>
        <v>0</v>
      </c>
      <c r="CCZ364" s="373">
        <f>'Q100a-geral'!CCZ887</f>
        <v>0</v>
      </c>
      <c r="CDA364" s="373">
        <f>'Q100a-geral'!CDA887</f>
        <v>0</v>
      </c>
      <c r="CDB364" s="373">
        <f>'Q100a-geral'!CDB887</f>
        <v>0</v>
      </c>
      <c r="CDC364" s="373">
        <f>'Q100a-geral'!CDC887</f>
        <v>0</v>
      </c>
      <c r="CDD364" s="373">
        <f>'Q100a-geral'!CDD887</f>
        <v>0</v>
      </c>
      <c r="CDE364" s="373">
        <f>'Q100a-geral'!CDE887</f>
        <v>0</v>
      </c>
      <c r="CDF364" s="373">
        <f>'Q100a-geral'!CDF887</f>
        <v>0</v>
      </c>
      <c r="CDG364" s="373">
        <f>'Q100a-geral'!CDG887</f>
        <v>0</v>
      </c>
      <c r="CDH364" s="373">
        <f>'Q100a-geral'!CDH887</f>
        <v>0</v>
      </c>
      <c r="CDI364" s="373">
        <f>'Q100a-geral'!CDI887</f>
        <v>0</v>
      </c>
      <c r="CDJ364" s="373">
        <f>'Q100a-geral'!CDJ887</f>
        <v>0</v>
      </c>
      <c r="CDK364" s="373">
        <f>'Q100a-geral'!CDK887</f>
        <v>0</v>
      </c>
      <c r="CDL364" s="373">
        <f>'Q100a-geral'!CDL887</f>
        <v>0</v>
      </c>
      <c r="CDM364" s="373">
        <f>'Q100a-geral'!CDM887</f>
        <v>0</v>
      </c>
      <c r="CDN364" s="373">
        <f>'Q100a-geral'!CDN887</f>
        <v>0</v>
      </c>
      <c r="CDO364" s="373">
        <f>'Q100a-geral'!CDO887</f>
        <v>0</v>
      </c>
      <c r="CDP364" s="373">
        <f>'Q100a-geral'!CDP887</f>
        <v>0</v>
      </c>
      <c r="CDQ364" s="373">
        <f>'Q100a-geral'!CDQ887</f>
        <v>0</v>
      </c>
      <c r="CDR364" s="373">
        <f>'Q100a-geral'!CDR887</f>
        <v>0</v>
      </c>
      <c r="CDS364" s="373">
        <f>'Q100a-geral'!CDS887</f>
        <v>0</v>
      </c>
      <c r="CDT364" s="373">
        <f>'Q100a-geral'!CDT887</f>
        <v>0</v>
      </c>
      <c r="CDU364" s="373">
        <f>'Q100a-geral'!CDU887</f>
        <v>0</v>
      </c>
      <c r="CDV364" s="373">
        <f>'Q100a-geral'!CDV887</f>
        <v>0</v>
      </c>
      <c r="CDW364" s="373">
        <f>'Q100a-geral'!CDW887</f>
        <v>0</v>
      </c>
      <c r="CDX364" s="373">
        <f>'Q100a-geral'!CDX887</f>
        <v>0</v>
      </c>
      <c r="CDY364" s="373">
        <f>'Q100a-geral'!CDY887</f>
        <v>0</v>
      </c>
      <c r="CDZ364" s="373">
        <f>'Q100a-geral'!CDZ887</f>
        <v>0</v>
      </c>
      <c r="CEA364" s="373">
        <f>'Q100a-geral'!CEA887</f>
        <v>0</v>
      </c>
      <c r="CEB364" s="373">
        <f>'Q100a-geral'!CEB887</f>
        <v>0</v>
      </c>
      <c r="CEC364" s="373">
        <f>'Q100a-geral'!CEC887</f>
        <v>0</v>
      </c>
      <c r="CED364" s="373">
        <f>'Q100a-geral'!CED887</f>
        <v>0</v>
      </c>
      <c r="CEE364" s="373">
        <f>'Q100a-geral'!CEE887</f>
        <v>0</v>
      </c>
      <c r="CEF364" s="373">
        <f>'Q100a-geral'!CEF887</f>
        <v>0</v>
      </c>
      <c r="CEG364" s="373">
        <f>'Q100a-geral'!CEG887</f>
        <v>0</v>
      </c>
      <c r="CEH364" s="373">
        <f>'Q100a-geral'!CEH887</f>
        <v>0</v>
      </c>
      <c r="CEI364" s="373">
        <f>'Q100a-geral'!CEI887</f>
        <v>0</v>
      </c>
      <c r="CEJ364" s="373">
        <f>'Q100a-geral'!CEJ887</f>
        <v>0</v>
      </c>
      <c r="CEK364" s="373">
        <f>'Q100a-geral'!CEK887</f>
        <v>0</v>
      </c>
      <c r="CEL364" s="373">
        <f>'Q100a-geral'!CEL887</f>
        <v>0</v>
      </c>
      <c r="CEM364" s="373">
        <f>'Q100a-geral'!CEM887</f>
        <v>0</v>
      </c>
      <c r="CEN364" s="373">
        <f>'Q100a-geral'!CEN887</f>
        <v>0</v>
      </c>
      <c r="CEO364" s="373">
        <f>'Q100a-geral'!CEO887</f>
        <v>0</v>
      </c>
      <c r="CEP364" s="373">
        <f>'Q100a-geral'!CEP887</f>
        <v>0</v>
      </c>
      <c r="CEQ364" s="373">
        <f>'Q100a-geral'!CEQ887</f>
        <v>0</v>
      </c>
      <c r="CER364" s="373">
        <f>'Q100a-geral'!CER887</f>
        <v>0</v>
      </c>
      <c r="CES364" s="373">
        <f>'Q100a-geral'!CES887</f>
        <v>0</v>
      </c>
      <c r="CET364" s="373">
        <f>'Q100a-geral'!CET887</f>
        <v>0</v>
      </c>
      <c r="CEU364" s="373">
        <f>'Q100a-geral'!CEU887</f>
        <v>0</v>
      </c>
      <c r="CEV364" s="373">
        <f>'Q100a-geral'!CEV887</f>
        <v>0</v>
      </c>
      <c r="CEW364" s="373">
        <f>'Q100a-geral'!CEW887</f>
        <v>0</v>
      </c>
      <c r="CEX364" s="373">
        <f>'Q100a-geral'!CEX887</f>
        <v>0</v>
      </c>
      <c r="CEY364" s="373">
        <f>'Q100a-geral'!CEY887</f>
        <v>0</v>
      </c>
      <c r="CEZ364" s="373">
        <f>'Q100a-geral'!CEZ887</f>
        <v>0</v>
      </c>
      <c r="CFA364" s="373">
        <f>'Q100a-geral'!CFA887</f>
        <v>0</v>
      </c>
      <c r="CFB364" s="373">
        <f>'Q100a-geral'!CFB887</f>
        <v>0</v>
      </c>
      <c r="CFC364" s="373">
        <f>'Q100a-geral'!CFC887</f>
        <v>0</v>
      </c>
      <c r="CFD364" s="373">
        <f>'Q100a-geral'!CFD887</f>
        <v>0</v>
      </c>
      <c r="CFE364" s="373">
        <f>'Q100a-geral'!CFE887</f>
        <v>0</v>
      </c>
      <c r="CFF364" s="373">
        <f>'Q100a-geral'!CFF887</f>
        <v>0</v>
      </c>
      <c r="CFG364" s="373">
        <f>'Q100a-geral'!CFG887</f>
        <v>0</v>
      </c>
      <c r="CFH364" s="373">
        <f>'Q100a-geral'!CFH887</f>
        <v>0</v>
      </c>
      <c r="CFI364" s="373">
        <f>'Q100a-geral'!CFI887</f>
        <v>0</v>
      </c>
      <c r="CFJ364" s="373">
        <f>'Q100a-geral'!CFJ887</f>
        <v>0</v>
      </c>
      <c r="CFK364" s="373">
        <f>'Q100a-geral'!CFK887</f>
        <v>0</v>
      </c>
      <c r="CFL364" s="373">
        <f>'Q100a-geral'!CFL887</f>
        <v>0</v>
      </c>
      <c r="CFM364" s="373">
        <f>'Q100a-geral'!CFM887</f>
        <v>0</v>
      </c>
      <c r="CFN364" s="373">
        <f>'Q100a-geral'!CFN887</f>
        <v>0</v>
      </c>
      <c r="CFO364" s="373">
        <f>'Q100a-geral'!CFO887</f>
        <v>0</v>
      </c>
      <c r="CFP364" s="373">
        <f>'Q100a-geral'!CFP887</f>
        <v>0</v>
      </c>
      <c r="CFQ364" s="373">
        <f>'Q100a-geral'!CFQ887</f>
        <v>0</v>
      </c>
      <c r="CFR364" s="373">
        <f>'Q100a-geral'!CFR887</f>
        <v>0</v>
      </c>
      <c r="CFS364" s="373">
        <f>'Q100a-geral'!CFS887</f>
        <v>0</v>
      </c>
      <c r="CFT364" s="373">
        <f>'Q100a-geral'!CFT887</f>
        <v>0</v>
      </c>
      <c r="CFU364" s="373">
        <f>'Q100a-geral'!CFU887</f>
        <v>0</v>
      </c>
      <c r="CFV364" s="373">
        <f>'Q100a-geral'!CFV887</f>
        <v>0</v>
      </c>
      <c r="CFW364" s="373">
        <f>'Q100a-geral'!CFW887</f>
        <v>0</v>
      </c>
      <c r="CFX364" s="373">
        <f>'Q100a-geral'!CFX887</f>
        <v>0</v>
      </c>
      <c r="CFY364" s="373">
        <f>'Q100a-geral'!CFY887</f>
        <v>0</v>
      </c>
      <c r="CFZ364" s="373">
        <f>'Q100a-geral'!CFZ887</f>
        <v>0</v>
      </c>
      <c r="CGA364" s="373">
        <f>'Q100a-geral'!CGA887</f>
        <v>0</v>
      </c>
      <c r="CGB364" s="373">
        <f>'Q100a-geral'!CGB887</f>
        <v>0</v>
      </c>
      <c r="CGC364" s="373">
        <f>'Q100a-geral'!CGC887</f>
        <v>0</v>
      </c>
      <c r="CGD364" s="373">
        <f>'Q100a-geral'!CGD887</f>
        <v>0</v>
      </c>
      <c r="CGE364" s="373">
        <f>'Q100a-geral'!CGE887</f>
        <v>0</v>
      </c>
      <c r="CGF364" s="373">
        <f>'Q100a-geral'!CGF887</f>
        <v>0</v>
      </c>
      <c r="CGG364" s="373">
        <f>'Q100a-geral'!CGG887</f>
        <v>0</v>
      </c>
      <c r="CGH364" s="373">
        <f>'Q100a-geral'!CGH887</f>
        <v>0</v>
      </c>
      <c r="CGI364" s="373">
        <f>'Q100a-geral'!CGI887</f>
        <v>0</v>
      </c>
      <c r="CGJ364" s="373">
        <f>'Q100a-geral'!CGJ887</f>
        <v>0</v>
      </c>
      <c r="CGK364" s="373">
        <f>'Q100a-geral'!CGK887</f>
        <v>0</v>
      </c>
      <c r="CGL364" s="373">
        <f>'Q100a-geral'!CGL887</f>
        <v>0</v>
      </c>
      <c r="CGM364" s="373">
        <f>'Q100a-geral'!CGM887</f>
        <v>0</v>
      </c>
      <c r="CGN364" s="373">
        <f>'Q100a-geral'!CGN887</f>
        <v>0</v>
      </c>
      <c r="CGO364" s="373">
        <f>'Q100a-geral'!CGO887</f>
        <v>0</v>
      </c>
      <c r="CGP364" s="373">
        <f>'Q100a-geral'!CGP887</f>
        <v>0</v>
      </c>
      <c r="CGQ364" s="373">
        <f>'Q100a-geral'!CGQ887</f>
        <v>0</v>
      </c>
      <c r="CGR364" s="373">
        <f>'Q100a-geral'!CGR887</f>
        <v>0</v>
      </c>
      <c r="CGS364" s="373">
        <f>'Q100a-geral'!CGS887</f>
        <v>0</v>
      </c>
      <c r="CGT364" s="373">
        <f>'Q100a-geral'!CGT887</f>
        <v>0</v>
      </c>
      <c r="CGU364" s="373">
        <f>'Q100a-geral'!CGU887</f>
        <v>0</v>
      </c>
      <c r="CGV364" s="373">
        <f>'Q100a-geral'!CGV887</f>
        <v>0</v>
      </c>
      <c r="CGW364" s="373">
        <f>'Q100a-geral'!CGW887</f>
        <v>0</v>
      </c>
      <c r="CGX364" s="373">
        <f>'Q100a-geral'!CGX887</f>
        <v>0</v>
      </c>
      <c r="CGY364" s="373">
        <f>'Q100a-geral'!CGY887</f>
        <v>0</v>
      </c>
      <c r="CGZ364" s="373">
        <f>'Q100a-geral'!CGZ887</f>
        <v>0</v>
      </c>
      <c r="CHA364" s="373">
        <f>'Q100a-geral'!CHA887</f>
        <v>0</v>
      </c>
      <c r="CHB364" s="373">
        <f>'Q100a-geral'!CHB887</f>
        <v>0</v>
      </c>
      <c r="CHC364" s="373">
        <f>'Q100a-geral'!CHC887</f>
        <v>0</v>
      </c>
      <c r="CHD364" s="373">
        <f>'Q100a-geral'!CHD887</f>
        <v>0</v>
      </c>
      <c r="CHE364" s="373">
        <f>'Q100a-geral'!CHE887</f>
        <v>0</v>
      </c>
      <c r="CHF364" s="373">
        <f>'Q100a-geral'!CHF887</f>
        <v>0</v>
      </c>
      <c r="CHG364" s="373">
        <f>'Q100a-geral'!CHG887</f>
        <v>0</v>
      </c>
      <c r="CHH364" s="373">
        <f>'Q100a-geral'!CHH887</f>
        <v>0</v>
      </c>
      <c r="CHI364" s="373">
        <f>'Q100a-geral'!CHI887</f>
        <v>0</v>
      </c>
      <c r="CHJ364" s="373">
        <f>'Q100a-geral'!CHJ887</f>
        <v>0</v>
      </c>
      <c r="CHK364" s="373">
        <f>'Q100a-geral'!CHK887</f>
        <v>0</v>
      </c>
      <c r="CHL364" s="373">
        <f>'Q100a-geral'!CHL887</f>
        <v>0</v>
      </c>
      <c r="CHM364" s="373">
        <f>'Q100a-geral'!CHM887</f>
        <v>0</v>
      </c>
      <c r="CHN364" s="373">
        <f>'Q100a-geral'!CHN887</f>
        <v>0</v>
      </c>
      <c r="CHO364" s="373">
        <f>'Q100a-geral'!CHO887</f>
        <v>0</v>
      </c>
      <c r="CHP364" s="373">
        <f>'Q100a-geral'!CHP887</f>
        <v>0</v>
      </c>
      <c r="CHQ364" s="373">
        <f>'Q100a-geral'!CHQ887</f>
        <v>0</v>
      </c>
      <c r="CHR364" s="373">
        <f>'Q100a-geral'!CHR887</f>
        <v>0</v>
      </c>
      <c r="CHS364" s="373">
        <f>'Q100a-geral'!CHS887</f>
        <v>0</v>
      </c>
      <c r="CHT364" s="373">
        <f>'Q100a-geral'!CHT887</f>
        <v>0</v>
      </c>
      <c r="CHU364" s="373">
        <f>'Q100a-geral'!CHU887</f>
        <v>0</v>
      </c>
      <c r="CHV364" s="373">
        <f>'Q100a-geral'!CHV887</f>
        <v>0</v>
      </c>
      <c r="CHW364" s="373">
        <f>'Q100a-geral'!CHW887</f>
        <v>0</v>
      </c>
      <c r="CHX364" s="373">
        <f>'Q100a-geral'!CHX887</f>
        <v>0</v>
      </c>
      <c r="CHY364" s="373">
        <f>'Q100a-geral'!CHY887</f>
        <v>0</v>
      </c>
      <c r="CHZ364" s="373">
        <f>'Q100a-geral'!CHZ887</f>
        <v>0</v>
      </c>
      <c r="CIA364" s="373">
        <f>'Q100a-geral'!CIA887</f>
        <v>0</v>
      </c>
      <c r="CIB364" s="373">
        <f>'Q100a-geral'!CIB887</f>
        <v>0</v>
      </c>
      <c r="CIC364" s="373">
        <f>'Q100a-geral'!CIC887</f>
        <v>0</v>
      </c>
      <c r="CID364" s="373">
        <f>'Q100a-geral'!CID887</f>
        <v>0</v>
      </c>
      <c r="CIE364" s="373">
        <f>'Q100a-geral'!CIE887</f>
        <v>0</v>
      </c>
      <c r="CIF364" s="373">
        <f>'Q100a-geral'!CIF887</f>
        <v>0</v>
      </c>
      <c r="CIG364" s="373">
        <f>'Q100a-geral'!CIG887</f>
        <v>0</v>
      </c>
      <c r="CIH364" s="373">
        <f>'Q100a-geral'!CIH887</f>
        <v>0</v>
      </c>
      <c r="CII364" s="373">
        <f>'Q100a-geral'!CII887</f>
        <v>0</v>
      </c>
      <c r="CIJ364" s="373">
        <f>'Q100a-geral'!CIJ887</f>
        <v>0</v>
      </c>
      <c r="CIK364" s="373">
        <f>'Q100a-geral'!CIK887</f>
        <v>0</v>
      </c>
      <c r="CIL364" s="373">
        <f>'Q100a-geral'!CIL887</f>
        <v>0</v>
      </c>
      <c r="CIM364" s="373">
        <f>'Q100a-geral'!CIM887</f>
        <v>0</v>
      </c>
      <c r="CIN364" s="373">
        <f>'Q100a-geral'!CIN887</f>
        <v>0</v>
      </c>
      <c r="CIO364" s="373">
        <f>'Q100a-geral'!CIO887</f>
        <v>0</v>
      </c>
      <c r="CIP364" s="373">
        <f>'Q100a-geral'!CIP887</f>
        <v>0</v>
      </c>
      <c r="CIQ364" s="373">
        <f>'Q100a-geral'!CIQ887</f>
        <v>0</v>
      </c>
      <c r="CIR364" s="373">
        <f>'Q100a-geral'!CIR887</f>
        <v>0</v>
      </c>
      <c r="CIS364" s="373">
        <f>'Q100a-geral'!CIS887</f>
        <v>0</v>
      </c>
      <c r="CIT364" s="373">
        <f>'Q100a-geral'!CIT887</f>
        <v>0</v>
      </c>
      <c r="CIU364" s="373">
        <f>'Q100a-geral'!CIU887</f>
        <v>0</v>
      </c>
      <c r="CIV364" s="373">
        <f>'Q100a-geral'!CIV887</f>
        <v>0</v>
      </c>
      <c r="CIW364" s="373">
        <f>'Q100a-geral'!CIW887</f>
        <v>0</v>
      </c>
      <c r="CIX364" s="373">
        <f>'Q100a-geral'!CIX887</f>
        <v>0</v>
      </c>
      <c r="CIY364" s="373">
        <f>'Q100a-geral'!CIY887</f>
        <v>0</v>
      </c>
      <c r="CIZ364" s="373">
        <f>'Q100a-geral'!CIZ887</f>
        <v>0</v>
      </c>
      <c r="CJA364" s="373">
        <f>'Q100a-geral'!CJA887</f>
        <v>0</v>
      </c>
      <c r="CJB364" s="373">
        <f>'Q100a-geral'!CJB887</f>
        <v>0</v>
      </c>
      <c r="CJC364" s="373">
        <f>'Q100a-geral'!CJC887</f>
        <v>0</v>
      </c>
      <c r="CJD364" s="373">
        <f>'Q100a-geral'!CJD887</f>
        <v>0</v>
      </c>
      <c r="CJE364" s="373">
        <f>'Q100a-geral'!CJE887</f>
        <v>0</v>
      </c>
      <c r="CJF364" s="373">
        <f>'Q100a-geral'!CJF887</f>
        <v>0</v>
      </c>
      <c r="CJG364" s="373">
        <f>'Q100a-geral'!CJG887</f>
        <v>0</v>
      </c>
      <c r="CJH364" s="373">
        <f>'Q100a-geral'!CJH887</f>
        <v>0</v>
      </c>
      <c r="CJI364" s="373">
        <f>'Q100a-geral'!CJI887</f>
        <v>0</v>
      </c>
      <c r="CJJ364" s="373">
        <f>'Q100a-geral'!CJJ887</f>
        <v>0</v>
      </c>
      <c r="CJK364" s="373">
        <f>'Q100a-geral'!CJK887</f>
        <v>0</v>
      </c>
      <c r="CJL364" s="373">
        <f>'Q100a-geral'!CJL887</f>
        <v>0</v>
      </c>
      <c r="CJM364" s="373">
        <f>'Q100a-geral'!CJM887</f>
        <v>0</v>
      </c>
      <c r="CJN364" s="373">
        <f>'Q100a-geral'!CJN887</f>
        <v>0</v>
      </c>
      <c r="CJO364" s="373">
        <f>'Q100a-geral'!CJO887</f>
        <v>0</v>
      </c>
      <c r="CJP364" s="373">
        <f>'Q100a-geral'!CJP887</f>
        <v>0</v>
      </c>
      <c r="CJQ364" s="373">
        <f>'Q100a-geral'!CJQ887</f>
        <v>0</v>
      </c>
      <c r="CJR364" s="373">
        <f>'Q100a-geral'!CJR887</f>
        <v>0</v>
      </c>
      <c r="CJS364" s="373">
        <f>'Q100a-geral'!CJS887</f>
        <v>0</v>
      </c>
      <c r="CJT364" s="373">
        <f>'Q100a-geral'!CJT887</f>
        <v>0</v>
      </c>
      <c r="CJU364" s="373">
        <f>'Q100a-geral'!CJU887</f>
        <v>0</v>
      </c>
      <c r="CJV364" s="373">
        <f>'Q100a-geral'!CJV887</f>
        <v>0</v>
      </c>
      <c r="CJW364" s="373">
        <f>'Q100a-geral'!CJW887</f>
        <v>0</v>
      </c>
      <c r="CJX364" s="373">
        <f>'Q100a-geral'!CJX887</f>
        <v>0</v>
      </c>
      <c r="CJY364" s="373">
        <f>'Q100a-geral'!CJY887</f>
        <v>0</v>
      </c>
      <c r="CJZ364" s="373">
        <f>'Q100a-geral'!CJZ887</f>
        <v>0</v>
      </c>
      <c r="CKA364" s="373">
        <f>'Q100a-geral'!CKA887</f>
        <v>0</v>
      </c>
      <c r="CKB364" s="373">
        <f>'Q100a-geral'!CKB887</f>
        <v>0</v>
      </c>
      <c r="CKC364" s="373">
        <f>'Q100a-geral'!CKC887</f>
        <v>0</v>
      </c>
      <c r="CKD364" s="373">
        <f>'Q100a-geral'!CKD887</f>
        <v>0</v>
      </c>
      <c r="CKE364" s="373">
        <f>'Q100a-geral'!CKE887</f>
        <v>0</v>
      </c>
      <c r="CKF364" s="373">
        <f>'Q100a-geral'!CKF887</f>
        <v>0</v>
      </c>
      <c r="CKG364" s="373">
        <f>'Q100a-geral'!CKG887</f>
        <v>0</v>
      </c>
      <c r="CKH364" s="373">
        <f>'Q100a-geral'!CKH887</f>
        <v>0</v>
      </c>
      <c r="CKI364" s="373">
        <f>'Q100a-geral'!CKI887</f>
        <v>0</v>
      </c>
      <c r="CKJ364" s="373">
        <f>'Q100a-geral'!CKJ887</f>
        <v>0</v>
      </c>
      <c r="CKK364" s="373">
        <f>'Q100a-geral'!CKK887</f>
        <v>0</v>
      </c>
      <c r="CKL364" s="373">
        <f>'Q100a-geral'!CKL887</f>
        <v>0</v>
      </c>
      <c r="CKM364" s="373">
        <f>'Q100a-geral'!CKM887</f>
        <v>0</v>
      </c>
      <c r="CKN364" s="373">
        <f>'Q100a-geral'!CKN887</f>
        <v>0</v>
      </c>
      <c r="CKO364" s="373">
        <f>'Q100a-geral'!CKO887</f>
        <v>0</v>
      </c>
      <c r="CKP364" s="373">
        <f>'Q100a-geral'!CKP887</f>
        <v>0</v>
      </c>
      <c r="CKQ364" s="373">
        <f>'Q100a-geral'!CKQ887</f>
        <v>0</v>
      </c>
      <c r="CKR364" s="373">
        <f>'Q100a-geral'!CKR887</f>
        <v>0</v>
      </c>
      <c r="CKS364" s="373">
        <f>'Q100a-geral'!CKS887</f>
        <v>0</v>
      </c>
      <c r="CKT364" s="373">
        <f>'Q100a-geral'!CKT887</f>
        <v>0</v>
      </c>
      <c r="CKU364" s="373">
        <f>'Q100a-geral'!CKU887</f>
        <v>0</v>
      </c>
      <c r="CKV364" s="373">
        <f>'Q100a-geral'!CKV887</f>
        <v>0</v>
      </c>
      <c r="CKW364" s="373">
        <f>'Q100a-geral'!CKW887</f>
        <v>0</v>
      </c>
      <c r="CKX364" s="373">
        <f>'Q100a-geral'!CKX887</f>
        <v>0</v>
      </c>
      <c r="CKY364" s="373">
        <f>'Q100a-geral'!CKY887</f>
        <v>0</v>
      </c>
      <c r="CKZ364" s="373">
        <f>'Q100a-geral'!CKZ887</f>
        <v>0</v>
      </c>
      <c r="CLA364" s="373">
        <f>'Q100a-geral'!CLA887</f>
        <v>0</v>
      </c>
      <c r="CLB364" s="373">
        <f>'Q100a-geral'!CLB887</f>
        <v>0</v>
      </c>
      <c r="CLC364" s="373">
        <f>'Q100a-geral'!CLC887</f>
        <v>0</v>
      </c>
      <c r="CLD364" s="373">
        <f>'Q100a-geral'!CLD887</f>
        <v>0</v>
      </c>
      <c r="CLE364" s="373">
        <f>'Q100a-geral'!CLE887</f>
        <v>0</v>
      </c>
      <c r="CLF364" s="373">
        <f>'Q100a-geral'!CLF887</f>
        <v>0</v>
      </c>
      <c r="CLG364" s="373">
        <f>'Q100a-geral'!CLG887</f>
        <v>0</v>
      </c>
      <c r="CLH364" s="373">
        <f>'Q100a-geral'!CLH887</f>
        <v>0</v>
      </c>
      <c r="CLI364" s="373">
        <f>'Q100a-geral'!CLI887</f>
        <v>0</v>
      </c>
      <c r="CLJ364" s="373">
        <f>'Q100a-geral'!CLJ887</f>
        <v>0</v>
      </c>
      <c r="CLK364" s="373">
        <f>'Q100a-geral'!CLK887</f>
        <v>0</v>
      </c>
      <c r="CLL364" s="373">
        <f>'Q100a-geral'!CLL887</f>
        <v>0</v>
      </c>
      <c r="CLM364" s="373">
        <f>'Q100a-geral'!CLM887</f>
        <v>0</v>
      </c>
      <c r="CLN364" s="373">
        <f>'Q100a-geral'!CLN887</f>
        <v>0</v>
      </c>
      <c r="CLO364" s="373">
        <f>'Q100a-geral'!CLO887</f>
        <v>0</v>
      </c>
      <c r="CLP364" s="373">
        <f>'Q100a-geral'!CLP887</f>
        <v>0</v>
      </c>
      <c r="CLQ364" s="373">
        <f>'Q100a-geral'!CLQ887</f>
        <v>0</v>
      </c>
      <c r="CLR364" s="373">
        <f>'Q100a-geral'!CLR887</f>
        <v>0</v>
      </c>
      <c r="CLS364" s="373">
        <f>'Q100a-geral'!CLS887</f>
        <v>0</v>
      </c>
      <c r="CLT364" s="373">
        <f>'Q100a-geral'!CLT887</f>
        <v>0</v>
      </c>
      <c r="CLU364" s="373">
        <f>'Q100a-geral'!CLU887</f>
        <v>0</v>
      </c>
      <c r="CLV364" s="373">
        <f>'Q100a-geral'!CLV887</f>
        <v>0</v>
      </c>
      <c r="CLW364" s="373">
        <f>'Q100a-geral'!CLW887</f>
        <v>0</v>
      </c>
      <c r="CLX364" s="373">
        <f>'Q100a-geral'!CLX887</f>
        <v>0</v>
      </c>
      <c r="CLY364" s="373">
        <f>'Q100a-geral'!CLY887</f>
        <v>0</v>
      </c>
      <c r="CLZ364" s="373">
        <f>'Q100a-geral'!CLZ887</f>
        <v>0</v>
      </c>
      <c r="CMA364" s="373">
        <f>'Q100a-geral'!CMA887</f>
        <v>0</v>
      </c>
      <c r="CMB364" s="373">
        <f>'Q100a-geral'!CMB887</f>
        <v>0</v>
      </c>
      <c r="CMC364" s="373">
        <f>'Q100a-geral'!CMC887</f>
        <v>0</v>
      </c>
      <c r="CMD364" s="373">
        <f>'Q100a-geral'!CMD887</f>
        <v>0</v>
      </c>
      <c r="CME364" s="373">
        <f>'Q100a-geral'!CME887</f>
        <v>0</v>
      </c>
      <c r="CMF364" s="373">
        <f>'Q100a-geral'!CMF887</f>
        <v>0</v>
      </c>
      <c r="CMG364" s="373">
        <f>'Q100a-geral'!CMG887</f>
        <v>0</v>
      </c>
      <c r="CMH364" s="373">
        <f>'Q100a-geral'!CMH887</f>
        <v>0</v>
      </c>
      <c r="CMI364" s="373">
        <f>'Q100a-geral'!CMI887</f>
        <v>0</v>
      </c>
      <c r="CMJ364" s="373">
        <f>'Q100a-geral'!CMJ887</f>
        <v>0</v>
      </c>
      <c r="CMK364" s="373">
        <f>'Q100a-geral'!CMK887</f>
        <v>0</v>
      </c>
      <c r="CML364" s="373">
        <f>'Q100a-geral'!CML887</f>
        <v>0</v>
      </c>
      <c r="CMM364" s="373">
        <f>'Q100a-geral'!CMM887</f>
        <v>0</v>
      </c>
      <c r="CMN364" s="373">
        <f>'Q100a-geral'!CMN887</f>
        <v>0</v>
      </c>
      <c r="CMO364" s="373">
        <f>'Q100a-geral'!CMO887</f>
        <v>0</v>
      </c>
      <c r="CMP364" s="373">
        <f>'Q100a-geral'!CMP887</f>
        <v>0</v>
      </c>
      <c r="CMQ364" s="373">
        <f>'Q100a-geral'!CMQ887</f>
        <v>0</v>
      </c>
      <c r="CMR364" s="373">
        <f>'Q100a-geral'!CMR887</f>
        <v>0</v>
      </c>
      <c r="CMS364" s="373">
        <f>'Q100a-geral'!CMS887</f>
        <v>0</v>
      </c>
      <c r="CMT364" s="373">
        <f>'Q100a-geral'!CMT887</f>
        <v>0</v>
      </c>
      <c r="CMU364" s="373">
        <f>'Q100a-geral'!CMU887</f>
        <v>0</v>
      </c>
      <c r="CMV364" s="373">
        <f>'Q100a-geral'!CMV887</f>
        <v>0</v>
      </c>
      <c r="CMW364" s="373">
        <f>'Q100a-geral'!CMW887</f>
        <v>0</v>
      </c>
      <c r="CMX364" s="373">
        <f>'Q100a-geral'!CMX887</f>
        <v>0</v>
      </c>
      <c r="CMY364" s="373">
        <f>'Q100a-geral'!CMY887</f>
        <v>0</v>
      </c>
      <c r="CMZ364" s="373">
        <f>'Q100a-geral'!CMZ887</f>
        <v>0</v>
      </c>
      <c r="CNA364" s="373">
        <f>'Q100a-geral'!CNA887</f>
        <v>0</v>
      </c>
      <c r="CNB364" s="373">
        <f>'Q100a-geral'!CNB887</f>
        <v>0</v>
      </c>
      <c r="CNC364" s="373">
        <f>'Q100a-geral'!CNC887</f>
        <v>0</v>
      </c>
      <c r="CND364" s="373">
        <f>'Q100a-geral'!CND887</f>
        <v>0</v>
      </c>
      <c r="CNE364" s="373">
        <f>'Q100a-geral'!CNE887</f>
        <v>0</v>
      </c>
      <c r="CNF364" s="373">
        <f>'Q100a-geral'!CNF887</f>
        <v>0</v>
      </c>
      <c r="CNG364" s="373">
        <f>'Q100a-geral'!CNG887</f>
        <v>0</v>
      </c>
      <c r="CNH364" s="373">
        <f>'Q100a-geral'!CNH887</f>
        <v>0</v>
      </c>
      <c r="CNI364" s="373">
        <f>'Q100a-geral'!CNI887</f>
        <v>0</v>
      </c>
      <c r="CNJ364" s="373">
        <f>'Q100a-geral'!CNJ887</f>
        <v>0</v>
      </c>
      <c r="CNK364" s="373">
        <f>'Q100a-geral'!CNK887</f>
        <v>0</v>
      </c>
      <c r="CNL364" s="373">
        <f>'Q100a-geral'!CNL887</f>
        <v>0</v>
      </c>
      <c r="CNM364" s="373">
        <f>'Q100a-geral'!CNM887</f>
        <v>0</v>
      </c>
      <c r="CNN364" s="373">
        <f>'Q100a-geral'!CNN887</f>
        <v>0</v>
      </c>
      <c r="CNO364" s="373">
        <f>'Q100a-geral'!CNO887</f>
        <v>0</v>
      </c>
      <c r="CNP364" s="373">
        <f>'Q100a-geral'!CNP887</f>
        <v>0</v>
      </c>
      <c r="CNQ364" s="373">
        <f>'Q100a-geral'!CNQ887</f>
        <v>0</v>
      </c>
      <c r="CNR364" s="373">
        <f>'Q100a-geral'!CNR887</f>
        <v>0</v>
      </c>
      <c r="CNS364" s="373">
        <f>'Q100a-geral'!CNS887</f>
        <v>0</v>
      </c>
      <c r="CNT364" s="373">
        <f>'Q100a-geral'!CNT887</f>
        <v>0</v>
      </c>
      <c r="CNU364" s="373">
        <f>'Q100a-geral'!CNU887</f>
        <v>0</v>
      </c>
      <c r="CNV364" s="373">
        <f>'Q100a-geral'!CNV887</f>
        <v>0</v>
      </c>
      <c r="CNW364" s="373">
        <f>'Q100a-geral'!CNW887</f>
        <v>0</v>
      </c>
      <c r="CNX364" s="373">
        <f>'Q100a-geral'!CNX887</f>
        <v>0</v>
      </c>
      <c r="CNY364" s="373">
        <f>'Q100a-geral'!CNY887</f>
        <v>0</v>
      </c>
      <c r="CNZ364" s="373">
        <f>'Q100a-geral'!CNZ887</f>
        <v>0</v>
      </c>
      <c r="COA364" s="373">
        <f>'Q100a-geral'!COA887</f>
        <v>0</v>
      </c>
      <c r="COB364" s="373">
        <f>'Q100a-geral'!COB887</f>
        <v>0</v>
      </c>
      <c r="COC364" s="373">
        <f>'Q100a-geral'!COC887</f>
        <v>0</v>
      </c>
      <c r="COD364" s="373">
        <f>'Q100a-geral'!COD887</f>
        <v>0</v>
      </c>
      <c r="COE364" s="373">
        <f>'Q100a-geral'!COE887</f>
        <v>0</v>
      </c>
      <c r="COF364" s="373">
        <f>'Q100a-geral'!COF887</f>
        <v>0</v>
      </c>
      <c r="COG364" s="373">
        <f>'Q100a-geral'!COG887</f>
        <v>0</v>
      </c>
      <c r="COH364" s="373">
        <f>'Q100a-geral'!COH887</f>
        <v>0</v>
      </c>
      <c r="COI364" s="373">
        <f>'Q100a-geral'!COI887</f>
        <v>0</v>
      </c>
      <c r="COJ364" s="373">
        <f>'Q100a-geral'!COJ887</f>
        <v>0</v>
      </c>
      <c r="COK364" s="373">
        <f>'Q100a-geral'!COK887</f>
        <v>0</v>
      </c>
      <c r="COL364" s="373">
        <f>'Q100a-geral'!COL887</f>
        <v>0</v>
      </c>
      <c r="COM364" s="373">
        <f>'Q100a-geral'!COM887</f>
        <v>0</v>
      </c>
      <c r="CON364" s="373">
        <f>'Q100a-geral'!CON887</f>
        <v>0</v>
      </c>
      <c r="COO364" s="373">
        <f>'Q100a-geral'!COO887</f>
        <v>0</v>
      </c>
      <c r="COP364" s="373">
        <f>'Q100a-geral'!COP887</f>
        <v>0</v>
      </c>
      <c r="COQ364" s="373">
        <f>'Q100a-geral'!COQ887</f>
        <v>0</v>
      </c>
      <c r="COR364" s="373">
        <f>'Q100a-geral'!COR887</f>
        <v>0</v>
      </c>
      <c r="COS364" s="373">
        <f>'Q100a-geral'!COS887</f>
        <v>0</v>
      </c>
      <c r="COT364" s="373">
        <f>'Q100a-geral'!COT887</f>
        <v>0</v>
      </c>
      <c r="COU364" s="373">
        <f>'Q100a-geral'!COU887</f>
        <v>0</v>
      </c>
      <c r="COV364" s="373">
        <f>'Q100a-geral'!COV887</f>
        <v>0</v>
      </c>
      <c r="COW364" s="373">
        <f>'Q100a-geral'!COW887</f>
        <v>0</v>
      </c>
      <c r="COX364" s="373">
        <f>'Q100a-geral'!COX887</f>
        <v>0</v>
      </c>
      <c r="COY364" s="373">
        <f>'Q100a-geral'!COY887</f>
        <v>0</v>
      </c>
      <c r="COZ364" s="373">
        <f>'Q100a-geral'!COZ887</f>
        <v>0</v>
      </c>
      <c r="CPA364" s="373">
        <f>'Q100a-geral'!CPA887</f>
        <v>0</v>
      </c>
      <c r="CPB364" s="373">
        <f>'Q100a-geral'!CPB887</f>
        <v>0</v>
      </c>
      <c r="CPC364" s="373">
        <f>'Q100a-geral'!CPC887</f>
        <v>0</v>
      </c>
      <c r="CPD364" s="373">
        <f>'Q100a-geral'!CPD887</f>
        <v>0</v>
      </c>
      <c r="CPE364" s="373">
        <f>'Q100a-geral'!CPE887</f>
        <v>0</v>
      </c>
      <c r="CPF364" s="373">
        <f>'Q100a-geral'!CPF887</f>
        <v>0</v>
      </c>
      <c r="CPG364" s="373">
        <f>'Q100a-geral'!CPG887</f>
        <v>0</v>
      </c>
      <c r="CPH364" s="373">
        <f>'Q100a-geral'!CPH887</f>
        <v>0</v>
      </c>
      <c r="CPI364" s="373">
        <f>'Q100a-geral'!CPI887</f>
        <v>0</v>
      </c>
      <c r="CPJ364" s="373">
        <f>'Q100a-geral'!CPJ887</f>
        <v>0</v>
      </c>
      <c r="CPK364" s="373">
        <f>'Q100a-geral'!CPK887</f>
        <v>0</v>
      </c>
      <c r="CPL364" s="373">
        <f>'Q100a-geral'!CPL887</f>
        <v>0</v>
      </c>
      <c r="CPM364" s="373">
        <f>'Q100a-geral'!CPM887</f>
        <v>0</v>
      </c>
      <c r="CPN364" s="373">
        <f>'Q100a-geral'!CPN887</f>
        <v>0</v>
      </c>
      <c r="CPO364" s="373">
        <f>'Q100a-geral'!CPO887</f>
        <v>0</v>
      </c>
      <c r="CPP364" s="373">
        <f>'Q100a-geral'!CPP887</f>
        <v>0</v>
      </c>
      <c r="CPQ364" s="373">
        <f>'Q100a-geral'!CPQ887</f>
        <v>0</v>
      </c>
      <c r="CPR364" s="373">
        <f>'Q100a-geral'!CPR887</f>
        <v>0</v>
      </c>
      <c r="CPS364" s="373">
        <f>'Q100a-geral'!CPS887</f>
        <v>0</v>
      </c>
      <c r="CPT364" s="373">
        <f>'Q100a-geral'!CPT887</f>
        <v>0</v>
      </c>
      <c r="CPU364" s="373">
        <f>'Q100a-geral'!CPU887</f>
        <v>0</v>
      </c>
      <c r="CPV364" s="373">
        <f>'Q100a-geral'!CPV887</f>
        <v>0</v>
      </c>
      <c r="CPW364" s="373">
        <f>'Q100a-geral'!CPW887</f>
        <v>0</v>
      </c>
      <c r="CPX364" s="373">
        <f>'Q100a-geral'!CPX887</f>
        <v>0</v>
      </c>
      <c r="CPY364" s="373">
        <f>'Q100a-geral'!CPY887</f>
        <v>0</v>
      </c>
      <c r="CPZ364" s="373">
        <f>'Q100a-geral'!CPZ887</f>
        <v>0</v>
      </c>
      <c r="CQA364" s="373">
        <f>'Q100a-geral'!CQA887</f>
        <v>0</v>
      </c>
      <c r="CQB364" s="373">
        <f>'Q100a-geral'!CQB887</f>
        <v>0</v>
      </c>
      <c r="CQC364" s="373">
        <f>'Q100a-geral'!CQC887</f>
        <v>0</v>
      </c>
      <c r="CQD364" s="373">
        <f>'Q100a-geral'!CQD887</f>
        <v>0</v>
      </c>
      <c r="CQE364" s="373">
        <f>'Q100a-geral'!CQE887</f>
        <v>0</v>
      </c>
      <c r="CQF364" s="373">
        <f>'Q100a-geral'!CQF887</f>
        <v>0</v>
      </c>
      <c r="CQG364" s="373">
        <f>'Q100a-geral'!CQG887</f>
        <v>0</v>
      </c>
      <c r="CQH364" s="373">
        <f>'Q100a-geral'!CQH887</f>
        <v>0</v>
      </c>
      <c r="CQI364" s="373">
        <f>'Q100a-geral'!CQI887</f>
        <v>0</v>
      </c>
      <c r="CQJ364" s="373">
        <f>'Q100a-geral'!CQJ887</f>
        <v>0</v>
      </c>
      <c r="CQK364" s="373">
        <f>'Q100a-geral'!CQK887</f>
        <v>0</v>
      </c>
      <c r="CQL364" s="373">
        <f>'Q100a-geral'!CQL887</f>
        <v>0</v>
      </c>
      <c r="CQM364" s="373">
        <f>'Q100a-geral'!CQM887</f>
        <v>0</v>
      </c>
      <c r="CQN364" s="373">
        <f>'Q100a-geral'!CQN887</f>
        <v>0</v>
      </c>
      <c r="CQO364" s="373">
        <f>'Q100a-geral'!CQO887</f>
        <v>0</v>
      </c>
      <c r="CQP364" s="373">
        <f>'Q100a-geral'!CQP887</f>
        <v>0</v>
      </c>
      <c r="CQQ364" s="373">
        <f>'Q100a-geral'!CQQ887</f>
        <v>0</v>
      </c>
      <c r="CQR364" s="373">
        <f>'Q100a-geral'!CQR887</f>
        <v>0</v>
      </c>
      <c r="CQS364" s="373">
        <f>'Q100a-geral'!CQS887</f>
        <v>0</v>
      </c>
      <c r="CQT364" s="373">
        <f>'Q100a-geral'!CQT887</f>
        <v>0</v>
      </c>
      <c r="CQU364" s="373">
        <f>'Q100a-geral'!CQU887</f>
        <v>0</v>
      </c>
      <c r="CQV364" s="373">
        <f>'Q100a-geral'!CQV887</f>
        <v>0</v>
      </c>
      <c r="CQW364" s="373">
        <f>'Q100a-geral'!CQW887</f>
        <v>0</v>
      </c>
      <c r="CQX364" s="373">
        <f>'Q100a-geral'!CQX887</f>
        <v>0</v>
      </c>
      <c r="CQY364" s="373">
        <f>'Q100a-geral'!CQY887</f>
        <v>0</v>
      </c>
      <c r="CQZ364" s="373">
        <f>'Q100a-geral'!CQZ887</f>
        <v>0</v>
      </c>
      <c r="CRA364" s="373">
        <f>'Q100a-geral'!CRA887</f>
        <v>0</v>
      </c>
      <c r="CRB364" s="373">
        <f>'Q100a-geral'!CRB887</f>
        <v>0</v>
      </c>
      <c r="CRC364" s="373">
        <f>'Q100a-geral'!CRC887</f>
        <v>0</v>
      </c>
      <c r="CRD364" s="373">
        <f>'Q100a-geral'!CRD887</f>
        <v>0</v>
      </c>
      <c r="CRE364" s="373">
        <f>'Q100a-geral'!CRE887</f>
        <v>0</v>
      </c>
      <c r="CRF364" s="373">
        <f>'Q100a-geral'!CRF887</f>
        <v>0</v>
      </c>
      <c r="CRG364" s="373">
        <f>'Q100a-geral'!CRG887</f>
        <v>0</v>
      </c>
      <c r="CRH364" s="373">
        <f>'Q100a-geral'!CRH887</f>
        <v>0</v>
      </c>
      <c r="CRI364" s="373">
        <f>'Q100a-geral'!CRI887</f>
        <v>0</v>
      </c>
      <c r="CRJ364" s="373">
        <f>'Q100a-geral'!CRJ887</f>
        <v>0</v>
      </c>
      <c r="CRK364" s="373">
        <f>'Q100a-geral'!CRK887</f>
        <v>0</v>
      </c>
      <c r="CRL364" s="373">
        <f>'Q100a-geral'!CRL887</f>
        <v>0</v>
      </c>
      <c r="CRM364" s="373">
        <f>'Q100a-geral'!CRM887</f>
        <v>0</v>
      </c>
      <c r="CRN364" s="373">
        <f>'Q100a-geral'!CRN887</f>
        <v>0</v>
      </c>
      <c r="CRO364" s="373">
        <f>'Q100a-geral'!CRO887</f>
        <v>0</v>
      </c>
      <c r="CRP364" s="373">
        <f>'Q100a-geral'!CRP887</f>
        <v>0</v>
      </c>
      <c r="CRQ364" s="373">
        <f>'Q100a-geral'!CRQ887</f>
        <v>0</v>
      </c>
      <c r="CRR364" s="373">
        <f>'Q100a-geral'!CRR887</f>
        <v>0</v>
      </c>
      <c r="CRS364" s="373">
        <f>'Q100a-geral'!CRS887</f>
        <v>0</v>
      </c>
      <c r="CRT364" s="373">
        <f>'Q100a-geral'!CRT887</f>
        <v>0</v>
      </c>
      <c r="CRU364" s="373">
        <f>'Q100a-geral'!CRU887</f>
        <v>0</v>
      </c>
      <c r="CRV364" s="373">
        <f>'Q100a-geral'!CRV887</f>
        <v>0</v>
      </c>
      <c r="CRW364" s="373">
        <f>'Q100a-geral'!CRW887</f>
        <v>0</v>
      </c>
      <c r="CRX364" s="373">
        <f>'Q100a-geral'!CRX887</f>
        <v>0</v>
      </c>
      <c r="CRY364" s="373">
        <f>'Q100a-geral'!CRY887</f>
        <v>0</v>
      </c>
      <c r="CRZ364" s="373">
        <f>'Q100a-geral'!CRZ887</f>
        <v>0</v>
      </c>
      <c r="CSA364" s="373">
        <f>'Q100a-geral'!CSA887</f>
        <v>0</v>
      </c>
      <c r="CSB364" s="373">
        <f>'Q100a-geral'!CSB887</f>
        <v>0</v>
      </c>
      <c r="CSC364" s="373">
        <f>'Q100a-geral'!CSC887</f>
        <v>0</v>
      </c>
      <c r="CSD364" s="373">
        <f>'Q100a-geral'!CSD887</f>
        <v>0</v>
      </c>
      <c r="CSE364" s="373">
        <f>'Q100a-geral'!CSE887</f>
        <v>0</v>
      </c>
      <c r="CSF364" s="373">
        <f>'Q100a-geral'!CSF887</f>
        <v>0</v>
      </c>
      <c r="CSG364" s="373">
        <f>'Q100a-geral'!CSG887</f>
        <v>0</v>
      </c>
      <c r="CSH364" s="373">
        <f>'Q100a-geral'!CSH887</f>
        <v>0</v>
      </c>
      <c r="CSI364" s="373">
        <f>'Q100a-geral'!CSI887</f>
        <v>0</v>
      </c>
      <c r="CSJ364" s="373">
        <f>'Q100a-geral'!CSJ887</f>
        <v>0</v>
      </c>
      <c r="CSK364" s="373">
        <f>'Q100a-geral'!CSK887</f>
        <v>0</v>
      </c>
      <c r="CSL364" s="373">
        <f>'Q100a-geral'!CSL887</f>
        <v>0</v>
      </c>
      <c r="CSM364" s="373">
        <f>'Q100a-geral'!CSM887</f>
        <v>0</v>
      </c>
      <c r="CSN364" s="373">
        <f>'Q100a-geral'!CSN887</f>
        <v>0</v>
      </c>
      <c r="CSO364" s="373">
        <f>'Q100a-geral'!CSO887</f>
        <v>0</v>
      </c>
      <c r="CSP364" s="373">
        <f>'Q100a-geral'!CSP887</f>
        <v>0</v>
      </c>
      <c r="CSQ364" s="373">
        <f>'Q100a-geral'!CSQ887</f>
        <v>0</v>
      </c>
      <c r="CSR364" s="373">
        <f>'Q100a-geral'!CSR887</f>
        <v>0</v>
      </c>
      <c r="CSS364" s="373">
        <f>'Q100a-geral'!CSS887</f>
        <v>0</v>
      </c>
      <c r="CST364" s="373">
        <f>'Q100a-geral'!CST887</f>
        <v>0</v>
      </c>
      <c r="CSU364" s="373">
        <f>'Q100a-geral'!CSU887</f>
        <v>0</v>
      </c>
      <c r="CSV364" s="373">
        <f>'Q100a-geral'!CSV887</f>
        <v>0</v>
      </c>
      <c r="CSW364" s="373">
        <f>'Q100a-geral'!CSW887</f>
        <v>0</v>
      </c>
      <c r="CSX364" s="373">
        <f>'Q100a-geral'!CSX887</f>
        <v>0</v>
      </c>
      <c r="CSY364" s="373">
        <f>'Q100a-geral'!CSY887</f>
        <v>0</v>
      </c>
      <c r="CSZ364" s="373">
        <f>'Q100a-geral'!CSZ887</f>
        <v>0</v>
      </c>
      <c r="CTA364" s="373">
        <f>'Q100a-geral'!CTA887</f>
        <v>0</v>
      </c>
      <c r="CTB364" s="373">
        <f>'Q100a-geral'!CTB887</f>
        <v>0</v>
      </c>
      <c r="CTC364" s="373">
        <f>'Q100a-geral'!CTC887</f>
        <v>0</v>
      </c>
      <c r="CTD364" s="373">
        <f>'Q100a-geral'!CTD887</f>
        <v>0</v>
      </c>
      <c r="CTE364" s="373">
        <f>'Q100a-geral'!CTE887</f>
        <v>0</v>
      </c>
      <c r="CTF364" s="373">
        <f>'Q100a-geral'!CTF887</f>
        <v>0</v>
      </c>
      <c r="CTG364" s="373">
        <f>'Q100a-geral'!CTG887</f>
        <v>0</v>
      </c>
      <c r="CTH364" s="373">
        <f>'Q100a-geral'!CTH887</f>
        <v>0</v>
      </c>
      <c r="CTI364" s="373">
        <f>'Q100a-geral'!CTI887</f>
        <v>0</v>
      </c>
      <c r="CTJ364" s="373">
        <f>'Q100a-geral'!CTJ887</f>
        <v>0</v>
      </c>
      <c r="CTK364" s="373">
        <f>'Q100a-geral'!CTK887</f>
        <v>0</v>
      </c>
      <c r="CTL364" s="373">
        <f>'Q100a-geral'!CTL887</f>
        <v>0</v>
      </c>
      <c r="CTM364" s="373">
        <f>'Q100a-geral'!CTM887</f>
        <v>0</v>
      </c>
      <c r="CTN364" s="373">
        <f>'Q100a-geral'!CTN887</f>
        <v>0</v>
      </c>
      <c r="CTO364" s="373">
        <f>'Q100a-geral'!CTO887</f>
        <v>0</v>
      </c>
      <c r="CTP364" s="373">
        <f>'Q100a-geral'!CTP887</f>
        <v>0</v>
      </c>
      <c r="CTQ364" s="373">
        <f>'Q100a-geral'!CTQ887</f>
        <v>0</v>
      </c>
      <c r="CTR364" s="373">
        <f>'Q100a-geral'!CTR887</f>
        <v>0</v>
      </c>
      <c r="CTS364" s="373">
        <f>'Q100a-geral'!CTS887</f>
        <v>0</v>
      </c>
      <c r="CTT364" s="373">
        <f>'Q100a-geral'!CTT887</f>
        <v>0</v>
      </c>
      <c r="CTU364" s="373">
        <f>'Q100a-geral'!CTU887</f>
        <v>0</v>
      </c>
      <c r="CTV364" s="373">
        <f>'Q100a-geral'!CTV887</f>
        <v>0</v>
      </c>
      <c r="CTW364" s="373">
        <f>'Q100a-geral'!CTW887</f>
        <v>0</v>
      </c>
      <c r="CTX364" s="373">
        <f>'Q100a-geral'!CTX887</f>
        <v>0</v>
      </c>
      <c r="CTY364" s="373">
        <f>'Q100a-geral'!CTY887</f>
        <v>0</v>
      </c>
      <c r="CTZ364" s="373">
        <f>'Q100a-geral'!CTZ887</f>
        <v>0</v>
      </c>
      <c r="CUA364" s="373">
        <f>'Q100a-geral'!CUA887</f>
        <v>0</v>
      </c>
      <c r="CUB364" s="373">
        <f>'Q100a-geral'!CUB887</f>
        <v>0</v>
      </c>
      <c r="CUC364" s="373">
        <f>'Q100a-geral'!CUC887</f>
        <v>0</v>
      </c>
      <c r="CUD364" s="373">
        <f>'Q100a-geral'!CUD887</f>
        <v>0</v>
      </c>
      <c r="CUE364" s="373">
        <f>'Q100a-geral'!CUE887</f>
        <v>0</v>
      </c>
      <c r="CUF364" s="373">
        <f>'Q100a-geral'!CUF887</f>
        <v>0</v>
      </c>
      <c r="CUG364" s="373">
        <f>'Q100a-geral'!CUG887</f>
        <v>0</v>
      </c>
      <c r="CUH364" s="373">
        <f>'Q100a-geral'!CUH887</f>
        <v>0</v>
      </c>
      <c r="CUI364" s="373">
        <f>'Q100a-geral'!CUI887</f>
        <v>0</v>
      </c>
      <c r="CUJ364" s="373">
        <f>'Q100a-geral'!CUJ887</f>
        <v>0</v>
      </c>
      <c r="CUK364" s="373">
        <f>'Q100a-geral'!CUK887</f>
        <v>0</v>
      </c>
      <c r="CUL364" s="373">
        <f>'Q100a-geral'!CUL887</f>
        <v>0</v>
      </c>
      <c r="CUM364" s="373">
        <f>'Q100a-geral'!CUM887</f>
        <v>0</v>
      </c>
      <c r="CUN364" s="373">
        <f>'Q100a-geral'!CUN887</f>
        <v>0</v>
      </c>
      <c r="CUO364" s="373">
        <f>'Q100a-geral'!CUO887</f>
        <v>0</v>
      </c>
      <c r="CUP364" s="373">
        <f>'Q100a-geral'!CUP887</f>
        <v>0</v>
      </c>
      <c r="CUQ364" s="373">
        <f>'Q100a-geral'!CUQ887</f>
        <v>0</v>
      </c>
      <c r="CUR364" s="373">
        <f>'Q100a-geral'!CUR887</f>
        <v>0</v>
      </c>
      <c r="CUS364" s="373">
        <f>'Q100a-geral'!CUS887</f>
        <v>0</v>
      </c>
      <c r="CUT364" s="373">
        <f>'Q100a-geral'!CUT887</f>
        <v>0</v>
      </c>
      <c r="CUU364" s="373">
        <f>'Q100a-geral'!CUU887</f>
        <v>0</v>
      </c>
      <c r="CUV364" s="373">
        <f>'Q100a-geral'!CUV887</f>
        <v>0</v>
      </c>
      <c r="CUW364" s="373">
        <f>'Q100a-geral'!CUW887</f>
        <v>0</v>
      </c>
      <c r="CUX364" s="373">
        <f>'Q100a-geral'!CUX887</f>
        <v>0</v>
      </c>
      <c r="CUY364" s="373">
        <f>'Q100a-geral'!CUY887</f>
        <v>0</v>
      </c>
      <c r="CUZ364" s="373">
        <f>'Q100a-geral'!CUZ887</f>
        <v>0</v>
      </c>
      <c r="CVA364" s="373">
        <f>'Q100a-geral'!CVA887</f>
        <v>0</v>
      </c>
      <c r="CVB364" s="373">
        <f>'Q100a-geral'!CVB887</f>
        <v>0</v>
      </c>
      <c r="CVC364" s="373">
        <f>'Q100a-geral'!CVC887</f>
        <v>0</v>
      </c>
      <c r="CVD364" s="373">
        <f>'Q100a-geral'!CVD887</f>
        <v>0</v>
      </c>
      <c r="CVE364" s="373">
        <f>'Q100a-geral'!CVE887</f>
        <v>0</v>
      </c>
      <c r="CVF364" s="373">
        <f>'Q100a-geral'!CVF887</f>
        <v>0</v>
      </c>
      <c r="CVG364" s="373">
        <f>'Q100a-geral'!CVG887</f>
        <v>0</v>
      </c>
      <c r="CVH364" s="373">
        <f>'Q100a-geral'!CVH887</f>
        <v>0</v>
      </c>
      <c r="CVI364" s="373">
        <f>'Q100a-geral'!CVI887</f>
        <v>0</v>
      </c>
      <c r="CVJ364" s="373">
        <f>'Q100a-geral'!CVJ887</f>
        <v>0</v>
      </c>
      <c r="CVK364" s="373">
        <f>'Q100a-geral'!CVK887</f>
        <v>0</v>
      </c>
      <c r="CVL364" s="373">
        <f>'Q100a-geral'!CVL887</f>
        <v>0</v>
      </c>
      <c r="CVM364" s="373">
        <f>'Q100a-geral'!CVM887</f>
        <v>0</v>
      </c>
      <c r="CVN364" s="373">
        <f>'Q100a-geral'!CVN887</f>
        <v>0</v>
      </c>
      <c r="CVO364" s="373">
        <f>'Q100a-geral'!CVO887</f>
        <v>0</v>
      </c>
      <c r="CVP364" s="373">
        <f>'Q100a-geral'!CVP887</f>
        <v>0</v>
      </c>
      <c r="CVQ364" s="373">
        <f>'Q100a-geral'!CVQ887</f>
        <v>0</v>
      </c>
      <c r="CVR364" s="373">
        <f>'Q100a-geral'!CVR887</f>
        <v>0</v>
      </c>
      <c r="CVS364" s="373">
        <f>'Q100a-geral'!CVS887</f>
        <v>0</v>
      </c>
      <c r="CVT364" s="373">
        <f>'Q100a-geral'!CVT887</f>
        <v>0</v>
      </c>
      <c r="CVU364" s="373">
        <f>'Q100a-geral'!CVU887</f>
        <v>0</v>
      </c>
      <c r="CVV364" s="373">
        <f>'Q100a-geral'!CVV887</f>
        <v>0</v>
      </c>
      <c r="CVW364" s="373">
        <f>'Q100a-geral'!CVW887</f>
        <v>0</v>
      </c>
      <c r="CVX364" s="373">
        <f>'Q100a-geral'!CVX887</f>
        <v>0</v>
      </c>
      <c r="CVY364" s="373">
        <f>'Q100a-geral'!CVY887</f>
        <v>0</v>
      </c>
      <c r="CVZ364" s="373">
        <f>'Q100a-geral'!CVZ887</f>
        <v>0</v>
      </c>
      <c r="CWA364" s="373">
        <f>'Q100a-geral'!CWA887</f>
        <v>0</v>
      </c>
      <c r="CWB364" s="373">
        <f>'Q100a-geral'!CWB887</f>
        <v>0</v>
      </c>
      <c r="CWC364" s="373">
        <f>'Q100a-geral'!CWC887</f>
        <v>0</v>
      </c>
      <c r="CWD364" s="373">
        <f>'Q100a-geral'!CWD887</f>
        <v>0</v>
      </c>
      <c r="CWE364" s="373">
        <f>'Q100a-geral'!CWE887</f>
        <v>0</v>
      </c>
      <c r="CWF364" s="373">
        <f>'Q100a-geral'!CWF887</f>
        <v>0</v>
      </c>
      <c r="CWG364" s="373">
        <f>'Q100a-geral'!CWG887</f>
        <v>0</v>
      </c>
      <c r="CWH364" s="373">
        <f>'Q100a-geral'!CWH887</f>
        <v>0</v>
      </c>
      <c r="CWI364" s="373">
        <f>'Q100a-geral'!CWI887</f>
        <v>0</v>
      </c>
      <c r="CWJ364" s="373">
        <f>'Q100a-geral'!CWJ887</f>
        <v>0</v>
      </c>
      <c r="CWK364" s="373">
        <f>'Q100a-geral'!CWK887</f>
        <v>0</v>
      </c>
      <c r="CWL364" s="373">
        <f>'Q100a-geral'!CWL887</f>
        <v>0</v>
      </c>
      <c r="CWM364" s="373">
        <f>'Q100a-geral'!CWM887</f>
        <v>0</v>
      </c>
      <c r="CWN364" s="373">
        <f>'Q100a-geral'!CWN887</f>
        <v>0</v>
      </c>
      <c r="CWO364" s="373">
        <f>'Q100a-geral'!CWO887</f>
        <v>0</v>
      </c>
      <c r="CWP364" s="373">
        <f>'Q100a-geral'!CWP887</f>
        <v>0</v>
      </c>
      <c r="CWQ364" s="373">
        <f>'Q100a-geral'!CWQ887</f>
        <v>0</v>
      </c>
      <c r="CWR364" s="373">
        <f>'Q100a-geral'!CWR887</f>
        <v>0</v>
      </c>
      <c r="CWS364" s="373">
        <f>'Q100a-geral'!CWS887</f>
        <v>0</v>
      </c>
      <c r="CWT364" s="373">
        <f>'Q100a-geral'!CWT887</f>
        <v>0</v>
      </c>
      <c r="CWU364" s="373">
        <f>'Q100a-geral'!CWU887</f>
        <v>0</v>
      </c>
      <c r="CWV364" s="373">
        <f>'Q100a-geral'!CWV887</f>
        <v>0</v>
      </c>
      <c r="CWW364" s="373">
        <f>'Q100a-geral'!CWW887</f>
        <v>0</v>
      </c>
      <c r="CWX364" s="373">
        <f>'Q100a-geral'!CWX887</f>
        <v>0</v>
      </c>
      <c r="CWY364" s="373">
        <f>'Q100a-geral'!CWY887</f>
        <v>0</v>
      </c>
      <c r="CWZ364" s="373">
        <f>'Q100a-geral'!CWZ887</f>
        <v>0</v>
      </c>
      <c r="CXA364" s="373">
        <f>'Q100a-geral'!CXA887</f>
        <v>0</v>
      </c>
      <c r="CXB364" s="373">
        <f>'Q100a-geral'!CXB887</f>
        <v>0</v>
      </c>
      <c r="CXC364" s="373">
        <f>'Q100a-geral'!CXC887</f>
        <v>0</v>
      </c>
      <c r="CXD364" s="373">
        <f>'Q100a-geral'!CXD887</f>
        <v>0</v>
      </c>
      <c r="CXE364" s="373">
        <f>'Q100a-geral'!CXE887</f>
        <v>0</v>
      </c>
      <c r="CXF364" s="373">
        <f>'Q100a-geral'!CXF887</f>
        <v>0</v>
      </c>
      <c r="CXG364" s="373">
        <f>'Q100a-geral'!CXG887</f>
        <v>0</v>
      </c>
      <c r="CXH364" s="373">
        <f>'Q100a-geral'!CXH887</f>
        <v>0</v>
      </c>
      <c r="CXI364" s="373">
        <f>'Q100a-geral'!CXI887</f>
        <v>0</v>
      </c>
      <c r="CXJ364" s="373">
        <f>'Q100a-geral'!CXJ887</f>
        <v>0</v>
      </c>
      <c r="CXK364" s="373">
        <f>'Q100a-geral'!CXK887</f>
        <v>0</v>
      </c>
      <c r="CXL364" s="373">
        <f>'Q100a-geral'!CXL887</f>
        <v>0</v>
      </c>
      <c r="CXM364" s="373">
        <f>'Q100a-geral'!CXM887</f>
        <v>0</v>
      </c>
      <c r="CXN364" s="373">
        <f>'Q100a-geral'!CXN887</f>
        <v>0</v>
      </c>
      <c r="CXO364" s="373">
        <f>'Q100a-geral'!CXO887</f>
        <v>0</v>
      </c>
      <c r="CXP364" s="373">
        <f>'Q100a-geral'!CXP887</f>
        <v>0</v>
      </c>
      <c r="CXQ364" s="373">
        <f>'Q100a-geral'!CXQ887</f>
        <v>0</v>
      </c>
      <c r="CXR364" s="373">
        <f>'Q100a-geral'!CXR887</f>
        <v>0</v>
      </c>
      <c r="CXS364" s="373">
        <f>'Q100a-geral'!CXS887</f>
        <v>0</v>
      </c>
      <c r="CXT364" s="373">
        <f>'Q100a-geral'!CXT887</f>
        <v>0</v>
      </c>
      <c r="CXU364" s="373">
        <f>'Q100a-geral'!CXU887</f>
        <v>0</v>
      </c>
      <c r="CXV364" s="373">
        <f>'Q100a-geral'!CXV887</f>
        <v>0</v>
      </c>
      <c r="CXW364" s="373">
        <f>'Q100a-geral'!CXW887</f>
        <v>0</v>
      </c>
      <c r="CXX364" s="373">
        <f>'Q100a-geral'!CXX887</f>
        <v>0</v>
      </c>
      <c r="CXY364" s="373">
        <f>'Q100a-geral'!CXY887</f>
        <v>0</v>
      </c>
      <c r="CXZ364" s="373">
        <f>'Q100a-geral'!CXZ887</f>
        <v>0</v>
      </c>
      <c r="CYA364" s="373">
        <f>'Q100a-geral'!CYA887</f>
        <v>0</v>
      </c>
      <c r="CYB364" s="373">
        <f>'Q100a-geral'!CYB887</f>
        <v>0</v>
      </c>
      <c r="CYC364" s="373">
        <f>'Q100a-geral'!CYC887</f>
        <v>0</v>
      </c>
      <c r="CYD364" s="373">
        <f>'Q100a-geral'!CYD887</f>
        <v>0</v>
      </c>
      <c r="CYE364" s="373">
        <f>'Q100a-geral'!CYE887</f>
        <v>0</v>
      </c>
      <c r="CYF364" s="373">
        <f>'Q100a-geral'!CYF887</f>
        <v>0</v>
      </c>
      <c r="CYG364" s="373">
        <f>'Q100a-geral'!CYG887</f>
        <v>0</v>
      </c>
      <c r="CYH364" s="373">
        <f>'Q100a-geral'!CYH887</f>
        <v>0</v>
      </c>
      <c r="CYI364" s="373">
        <f>'Q100a-geral'!CYI887</f>
        <v>0</v>
      </c>
      <c r="CYJ364" s="373">
        <f>'Q100a-geral'!CYJ887</f>
        <v>0</v>
      </c>
      <c r="CYK364" s="373">
        <f>'Q100a-geral'!CYK887</f>
        <v>0</v>
      </c>
      <c r="CYL364" s="373">
        <f>'Q100a-geral'!CYL887</f>
        <v>0</v>
      </c>
      <c r="CYM364" s="373">
        <f>'Q100a-geral'!CYM887</f>
        <v>0</v>
      </c>
      <c r="CYN364" s="373">
        <f>'Q100a-geral'!CYN887</f>
        <v>0</v>
      </c>
      <c r="CYO364" s="373">
        <f>'Q100a-geral'!CYO887</f>
        <v>0</v>
      </c>
      <c r="CYP364" s="373">
        <f>'Q100a-geral'!CYP887</f>
        <v>0</v>
      </c>
      <c r="CYQ364" s="373">
        <f>'Q100a-geral'!CYQ887</f>
        <v>0</v>
      </c>
      <c r="CYR364" s="373">
        <f>'Q100a-geral'!CYR887</f>
        <v>0</v>
      </c>
      <c r="CYS364" s="373">
        <f>'Q100a-geral'!CYS887</f>
        <v>0</v>
      </c>
      <c r="CYT364" s="373">
        <f>'Q100a-geral'!CYT887</f>
        <v>0</v>
      </c>
      <c r="CYU364" s="373">
        <f>'Q100a-geral'!CYU887</f>
        <v>0</v>
      </c>
      <c r="CYV364" s="373">
        <f>'Q100a-geral'!CYV887</f>
        <v>0</v>
      </c>
      <c r="CYW364" s="373">
        <f>'Q100a-geral'!CYW887</f>
        <v>0</v>
      </c>
      <c r="CYX364" s="373">
        <f>'Q100a-geral'!CYX887</f>
        <v>0</v>
      </c>
      <c r="CYY364" s="373">
        <f>'Q100a-geral'!CYY887</f>
        <v>0</v>
      </c>
      <c r="CYZ364" s="373">
        <f>'Q100a-geral'!CYZ887</f>
        <v>0</v>
      </c>
      <c r="CZA364" s="373">
        <f>'Q100a-geral'!CZA887</f>
        <v>0</v>
      </c>
      <c r="CZB364" s="373">
        <f>'Q100a-geral'!CZB887</f>
        <v>0</v>
      </c>
      <c r="CZC364" s="373">
        <f>'Q100a-geral'!CZC887</f>
        <v>0</v>
      </c>
      <c r="CZD364" s="373">
        <f>'Q100a-geral'!CZD887</f>
        <v>0</v>
      </c>
      <c r="CZE364" s="373">
        <f>'Q100a-geral'!CZE887</f>
        <v>0</v>
      </c>
      <c r="CZF364" s="373">
        <f>'Q100a-geral'!CZF887</f>
        <v>0</v>
      </c>
      <c r="CZG364" s="373">
        <f>'Q100a-geral'!CZG887</f>
        <v>0</v>
      </c>
      <c r="CZH364" s="373">
        <f>'Q100a-geral'!CZH887</f>
        <v>0</v>
      </c>
      <c r="CZI364" s="373">
        <f>'Q100a-geral'!CZI887</f>
        <v>0</v>
      </c>
      <c r="CZJ364" s="373">
        <f>'Q100a-geral'!CZJ887</f>
        <v>0</v>
      </c>
      <c r="CZK364" s="373">
        <f>'Q100a-geral'!CZK887</f>
        <v>0</v>
      </c>
      <c r="CZL364" s="373">
        <f>'Q100a-geral'!CZL887</f>
        <v>0</v>
      </c>
      <c r="CZM364" s="373">
        <f>'Q100a-geral'!CZM887</f>
        <v>0</v>
      </c>
      <c r="CZN364" s="373">
        <f>'Q100a-geral'!CZN887</f>
        <v>0</v>
      </c>
      <c r="CZO364" s="373">
        <f>'Q100a-geral'!CZO887</f>
        <v>0</v>
      </c>
      <c r="CZP364" s="373">
        <f>'Q100a-geral'!CZP887</f>
        <v>0</v>
      </c>
      <c r="CZQ364" s="373">
        <f>'Q100a-geral'!CZQ887</f>
        <v>0</v>
      </c>
      <c r="CZR364" s="373">
        <f>'Q100a-geral'!CZR887</f>
        <v>0</v>
      </c>
      <c r="CZS364" s="373">
        <f>'Q100a-geral'!CZS887</f>
        <v>0</v>
      </c>
      <c r="CZT364" s="373">
        <f>'Q100a-geral'!CZT887</f>
        <v>0</v>
      </c>
      <c r="CZU364" s="373">
        <f>'Q100a-geral'!CZU887</f>
        <v>0</v>
      </c>
      <c r="CZV364" s="373">
        <f>'Q100a-geral'!CZV887</f>
        <v>0</v>
      </c>
      <c r="CZW364" s="373">
        <f>'Q100a-geral'!CZW887</f>
        <v>0</v>
      </c>
      <c r="CZX364" s="373">
        <f>'Q100a-geral'!CZX887</f>
        <v>0</v>
      </c>
      <c r="CZY364" s="373">
        <f>'Q100a-geral'!CZY887</f>
        <v>0</v>
      </c>
      <c r="CZZ364" s="373">
        <f>'Q100a-geral'!CZZ887</f>
        <v>0</v>
      </c>
      <c r="DAA364" s="373">
        <f>'Q100a-geral'!DAA887</f>
        <v>0</v>
      </c>
      <c r="DAB364" s="373">
        <f>'Q100a-geral'!DAB887</f>
        <v>0</v>
      </c>
      <c r="DAC364" s="373">
        <f>'Q100a-geral'!DAC887</f>
        <v>0</v>
      </c>
      <c r="DAD364" s="373">
        <f>'Q100a-geral'!DAD887</f>
        <v>0</v>
      </c>
      <c r="DAE364" s="373">
        <f>'Q100a-geral'!DAE887</f>
        <v>0</v>
      </c>
      <c r="DAF364" s="373">
        <f>'Q100a-geral'!DAF887</f>
        <v>0</v>
      </c>
      <c r="DAG364" s="373">
        <f>'Q100a-geral'!DAG887</f>
        <v>0</v>
      </c>
      <c r="DAH364" s="373">
        <f>'Q100a-geral'!DAH887</f>
        <v>0</v>
      </c>
      <c r="DAI364" s="373">
        <f>'Q100a-geral'!DAI887</f>
        <v>0</v>
      </c>
      <c r="DAJ364" s="373">
        <f>'Q100a-geral'!DAJ887</f>
        <v>0</v>
      </c>
      <c r="DAK364" s="373">
        <f>'Q100a-geral'!DAK887</f>
        <v>0</v>
      </c>
      <c r="DAL364" s="373">
        <f>'Q100a-geral'!DAL887</f>
        <v>0</v>
      </c>
      <c r="DAM364" s="373">
        <f>'Q100a-geral'!DAM887</f>
        <v>0</v>
      </c>
      <c r="DAN364" s="373">
        <f>'Q100a-geral'!DAN887</f>
        <v>0</v>
      </c>
      <c r="DAO364" s="373">
        <f>'Q100a-geral'!DAO887</f>
        <v>0</v>
      </c>
      <c r="DAP364" s="373">
        <f>'Q100a-geral'!DAP887</f>
        <v>0</v>
      </c>
      <c r="DAQ364" s="373">
        <f>'Q100a-geral'!DAQ887</f>
        <v>0</v>
      </c>
      <c r="DAR364" s="373">
        <f>'Q100a-geral'!DAR887</f>
        <v>0</v>
      </c>
      <c r="DAS364" s="373">
        <f>'Q100a-geral'!DAS887</f>
        <v>0</v>
      </c>
      <c r="DAT364" s="373">
        <f>'Q100a-geral'!DAT887</f>
        <v>0</v>
      </c>
      <c r="DAU364" s="373">
        <f>'Q100a-geral'!DAU887</f>
        <v>0</v>
      </c>
      <c r="DAV364" s="373">
        <f>'Q100a-geral'!DAV887</f>
        <v>0</v>
      </c>
      <c r="DAW364" s="373">
        <f>'Q100a-geral'!DAW887</f>
        <v>0</v>
      </c>
      <c r="DAX364" s="373">
        <f>'Q100a-geral'!DAX887</f>
        <v>0</v>
      </c>
      <c r="DAY364" s="373">
        <f>'Q100a-geral'!DAY887</f>
        <v>0</v>
      </c>
      <c r="DAZ364" s="373">
        <f>'Q100a-geral'!DAZ887</f>
        <v>0</v>
      </c>
      <c r="DBA364" s="373">
        <f>'Q100a-geral'!DBA887</f>
        <v>0</v>
      </c>
      <c r="DBB364" s="373">
        <f>'Q100a-geral'!DBB887</f>
        <v>0</v>
      </c>
      <c r="DBC364" s="373">
        <f>'Q100a-geral'!DBC887</f>
        <v>0</v>
      </c>
      <c r="DBD364" s="373">
        <f>'Q100a-geral'!DBD887</f>
        <v>0</v>
      </c>
      <c r="DBE364" s="373">
        <f>'Q100a-geral'!DBE887</f>
        <v>0</v>
      </c>
      <c r="DBF364" s="373">
        <f>'Q100a-geral'!DBF887</f>
        <v>0</v>
      </c>
      <c r="DBG364" s="373">
        <f>'Q100a-geral'!DBG887</f>
        <v>0</v>
      </c>
      <c r="DBH364" s="373">
        <f>'Q100a-geral'!DBH887</f>
        <v>0</v>
      </c>
      <c r="DBI364" s="373">
        <f>'Q100a-geral'!DBI887</f>
        <v>0</v>
      </c>
      <c r="DBJ364" s="373">
        <f>'Q100a-geral'!DBJ887</f>
        <v>0</v>
      </c>
      <c r="DBK364" s="373">
        <f>'Q100a-geral'!DBK887</f>
        <v>0</v>
      </c>
      <c r="DBL364" s="373">
        <f>'Q100a-geral'!DBL887</f>
        <v>0</v>
      </c>
      <c r="DBM364" s="373">
        <f>'Q100a-geral'!DBM887</f>
        <v>0</v>
      </c>
      <c r="DBN364" s="373">
        <f>'Q100a-geral'!DBN887</f>
        <v>0</v>
      </c>
      <c r="DBO364" s="373">
        <f>'Q100a-geral'!DBO887</f>
        <v>0</v>
      </c>
      <c r="DBP364" s="373">
        <f>'Q100a-geral'!DBP887</f>
        <v>0</v>
      </c>
      <c r="DBQ364" s="373">
        <f>'Q100a-geral'!DBQ887</f>
        <v>0</v>
      </c>
      <c r="DBR364" s="373">
        <f>'Q100a-geral'!DBR887</f>
        <v>0</v>
      </c>
      <c r="DBS364" s="373">
        <f>'Q100a-geral'!DBS887</f>
        <v>0</v>
      </c>
      <c r="DBT364" s="373">
        <f>'Q100a-geral'!DBT887</f>
        <v>0</v>
      </c>
      <c r="DBU364" s="373">
        <f>'Q100a-geral'!DBU887</f>
        <v>0</v>
      </c>
      <c r="DBV364" s="373">
        <f>'Q100a-geral'!DBV887</f>
        <v>0</v>
      </c>
      <c r="DBW364" s="373">
        <f>'Q100a-geral'!DBW887</f>
        <v>0</v>
      </c>
      <c r="DBX364" s="373">
        <f>'Q100a-geral'!DBX887</f>
        <v>0</v>
      </c>
      <c r="DBY364" s="373">
        <f>'Q100a-geral'!DBY887</f>
        <v>0</v>
      </c>
      <c r="DBZ364" s="373">
        <f>'Q100a-geral'!DBZ887</f>
        <v>0</v>
      </c>
      <c r="DCA364" s="373">
        <f>'Q100a-geral'!DCA887</f>
        <v>0</v>
      </c>
      <c r="DCB364" s="373">
        <f>'Q100a-geral'!DCB887</f>
        <v>0</v>
      </c>
      <c r="DCC364" s="373">
        <f>'Q100a-geral'!DCC887</f>
        <v>0</v>
      </c>
      <c r="DCD364" s="373">
        <f>'Q100a-geral'!DCD887</f>
        <v>0</v>
      </c>
      <c r="DCE364" s="373">
        <f>'Q100a-geral'!DCE887</f>
        <v>0</v>
      </c>
      <c r="DCF364" s="373">
        <f>'Q100a-geral'!DCF887</f>
        <v>0</v>
      </c>
      <c r="DCG364" s="373">
        <f>'Q100a-geral'!DCG887</f>
        <v>0</v>
      </c>
      <c r="DCH364" s="373">
        <f>'Q100a-geral'!DCH887</f>
        <v>0</v>
      </c>
      <c r="DCI364" s="373">
        <f>'Q100a-geral'!DCI887</f>
        <v>0</v>
      </c>
      <c r="DCJ364" s="373">
        <f>'Q100a-geral'!DCJ887</f>
        <v>0</v>
      </c>
      <c r="DCK364" s="373">
        <f>'Q100a-geral'!DCK887</f>
        <v>0</v>
      </c>
      <c r="DCL364" s="373">
        <f>'Q100a-geral'!DCL887</f>
        <v>0</v>
      </c>
      <c r="DCM364" s="373">
        <f>'Q100a-geral'!DCM887</f>
        <v>0</v>
      </c>
      <c r="DCN364" s="373">
        <f>'Q100a-geral'!DCN887</f>
        <v>0</v>
      </c>
      <c r="DCO364" s="373">
        <f>'Q100a-geral'!DCO887</f>
        <v>0</v>
      </c>
      <c r="DCP364" s="373">
        <f>'Q100a-geral'!DCP887</f>
        <v>0</v>
      </c>
      <c r="DCQ364" s="373">
        <f>'Q100a-geral'!DCQ887</f>
        <v>0</v>
      </c>
      <c r="DCR364" s="373">
        <f>'Q100a-geral'!DCR887</f>
        <v>0</v>
      </c>
      <c r="DCS364" s="373">
        <f>'Q100a-geral'!DCS887</f>
        <v>0</v>
      </c>
      <c r="DCT364" s="373">
        <f>'Q100a-geral'!DCT887</f>
        <v>0</v>
      </c>
      <c r="DCU364" s="373">
        <f>'Q100a-geral'!DCU887</f>
        <v>0</v>
      </c>
      <c r="DCV364" s="373">
        <f>'Q100a-geral'!DCV887</f>
        <v>0</v>
      </c>
      <c r="DCW364" s="373">
        <f>'Q100a-geral'!DCW887</f>
        <v>0</v>
      </c>
      <c r="DCX364" s="373">
        <f>'Q100a-geral'!DCX887</f>
        <v>0</v>
      </c>
      <c r="DCY364" s="373">
        <f>'Q100a-geral'!DCY887</f>
        <v>0</v>
      </c>
      <c r="DCZ364" s="373">
        <f>'Q100a-geral'!DCZ887</f>
        <v>0</v>
      </c>
      <c r="DDA364" s="373">
        <f>'Q100a-geral'!DDA887</f>
        <v>0</v>
      </c>
      <c r="DDB364" s="373">
        <f>'Q100a-geral'!DDB887</f>
        <v>0</v>
      </c>
      <c r="DDC364" s="373">
        <f>'Q100a-geral'!DDC887</f>
        <v>0</v>
      </c>
      <c r="DDD364" s="373">
        <f>'Q100a-geral'!DDD887</f>
        <v>0</v>
      </c>
      <c r="DDE364" s="373">
        <f>'Q100a-geral'!DDE887</f>
        <v>0</v>
      </c>
      <c r="DDF364" s="373">
        <f>'Q100a-geral'!DDF887</f>
        <v>0</v>
      </c>
      <c r="DDG364" s="373">
        <f>'Q100a-geral'!DDG887</f>
        <v>0</v>
      </c>
      <c r="DDH364" s="373">
        <f>'Q100a-geral'!DDH887</f>
        <v>0</v>
      </c>
      <c r="DDI364" s="373">
        <f>'Q100a-geral'!DDI887</f>
        <v>0</v>
      </c>
      <c r="DDJ364" s="373">
        <f>'Q100a-geral'!DDJ887</f>
        <v>0</v>
      </c>
      <c r="DDK364" s="373">
        <f>'Q100a-geral'!DDK887</f>
        <v>0</v>
      </c>
      <c r="DDL364" s="373">
        <f>'Q100a-geral'!DDL887</f>
        <v>0</v>
      </c>
      <c r="DDM364" s="373">
        <f>'Q100a-geral'!DDM887</f>
        <v>0</v>
      </c>
      <c r="DDN364" s="373">
        <f>'Q100a-geral'!DDN887</f>
        <v>0</v>
      </c>
      <c r="DDO364" s="373">
        <f>'Q100a-geral'!DDO887</f>
        <v>0</v>
      </c>
      <c r="DDP364" s="373">
        <f>'Q100a-geral'!DDP887</f>
        <v>0</v>
      </c>
      <c r="DDQ364" s="373">
        <f>'Q100a-geral'!DDQ887</f>
        <v>0</v>
      </c>
      <c r="DDR364" s="373">
        <f>'Q100a-geral'!DDR887</f>
        <v>0</v>
      </c>
      <c r="DDS364" s="373">
        <f>'Q100a-geral'!DDS887</f>
        <v>0</v>
      </c>
      <c r="DDT364" s="373">
        <f>'Q100a-geral'!DDT887</f>
        <v>0</v>
      </c>
      <c r="DDU364" s="373">
        <f>'Q100a-geral'!DDU887</f>
        <v>0</v>
      </c>
      <c r="DDV364" s="373">
        <f>'Q100a-geral'!DDV887</f>
        <v>0</v>
      </c>
      <c r="DDW364" s="373">
        <f>'Q100a-geral'!DDW887</f>
        <v>0</v>
      </c>
      <c r="DDX364" s="373">
        <f>'Q100a-geral'!DDX887</f>
        <v>0</v>
      </c>
      <c r="DDY364" s="373">
        <f>'Q100a-geral'!DDY887</f>
        <v>0</v>
      </c>
      <c r="DDZ364" s="373">
        <f>'Q100a-geral'!DDZ887</f>
        <v>0</v>
      </c>
      <c r="DEA364" s="373">
        <f>'Q100a-geral'!DEA887</f>
        <v>0</v>
      </c>
      <c r="DEB364" s="373">
        <f>'Q100a-geral'!DEB887</f>
        <v>0</v>
      </c>
      <c r="DEC364" s="373">
        <f>'Q100a-geral'!DEC887</f>
        <v>0</v>
      </c>
      <c r="DED364" s="373">
        <f>'Q100a-geral'!DED887</f>
        <v>0</v>
      </c>
      <c r="DEE364" s="373">
        <f>'Q100a-geral'!DEE887</f>
        <v>0</v>
      </c>
      <c r="DEF364" s="373">
        <f>'Q100a-geral'!DEF887</f>
        <v>0</v>
      </c>
      <c r="DEG364" s="373">
        <f>'Q100a-geral'!DEG887</f>
        <v>0</v>
      </c>
      <c r="DEH364" s="373">
        <f>'Q100a-geral'!DEH887</f>
        <v>0</v>
      </c>
      <c r="DEI364" s="373">
        <f>'Q100a-geral'!DEI887</f>
        <v>0</v>
      </c>
      <c r="DEJ364" s="373">
        <f>'Q100a-geral'!DEJ887</f>
        <v>0</v>
      </c>
      <c r="DEK364" s="373">
        <f>'Q100a-geral'!DEK887</f>
        <v>0</v>
      </c>
      <c r="DEL364" s="373">
        <f>'Q100a-geral'!DEL887</f>
        <v>0</v>
      </c>
      <c r="DEM364" s="373">
        <f>'Q100a-geral'!DEM887</f>
        <v>0</v>
      </c>
      <c r="DEN364" s="373">
        <f>'Q100a-geral'!DEN887</f>
        <v>0</v>
      </c>
      <c r="DEO364" s="373">
        <f>'Q100a-geral'!DEO887</f>
        <v>0</v>
      </c>
      <c r="DEP364" s="373">
        <f>'Q100a-geral'!DEP887</f>
        <v>0</v>
      </c>
      <c r="DEQ364" s="373">
        <f>'Q100a-geral'!DEQ887</f>
        <v>0</v>
      </c>
      <c r="DER364" s="373">
        <f>'Q100a-geral'!DER887</f>
        <v>0</v>
      </c>
      <c r="DES364" s="373">
        <f>'Q100a-geral'!DES887</f>
        <v>0</v>
      </c>
      <c r="DET364" s="373">
        <f>'Q100a-geral'!DET887</f>
        <v>0</v>
      </c>
      <c r="DEU364" s="373">
        <f>'Q100a-geral'!DEU887</f>
        <v>0</v>
      </c>
      <c r="DEV364" s="373">
        <f>'Q100a-geral'!DEV887</f>
        <v>0</v>
      </c>
      <c r="DEW364" s="373">
        <f>'Q100a-geral'!DEW887</f>
        <v>0</v>
      </c>
      <c r="DEX364" s="373">
        <f>'Q100a-geral'!DEX887</f>
        <v>0</v>
      </c>
      <c r="DEY364" s="373">
        <f>'Q100a-geral'!DEY887</f>
        <v>0</v>
      </c>
      <c r="DEZ364" s="373">
        <f>'Q100a-geral'!DEZ887</f>
        <v>0</v>
      </c>
      <c r="DFA364" s="373">
        <f>'Q100a-geral'!DFA887</f>
        <v>0</v>
      </c>
      <c r="DFB364" s="373">
        <f>'Q100a-geral'!DFB887</f>
        <v>0</v>
      </c>
      <c r="DFC364" s="373">
        <f>'Q100a-geral'!DFC887</f>
        <v>0</v>
      </c>
      <c r="DFD364" s="373">
        <f>'Q100a-geral'!DFD887</f>
        <v>0</v>
      </c>
      <c r="DFE364" s="373">
        <f>'Q100a-geral'!DFE887</f>
        <v>0</v>
      </c>
      <c r="DFF364" s="373">
        <f>'Q100a-geral'!DFF887</f>
        <v>0</v>
      </c>
      <c r="DFG364" s="373">
        <f>'Q100a-geral'!DFG887</f>
        <v>0</v>
      </c>
      <c r="DFH364" s="373">
        <f>'Q100a-geral'!DFH887</f>
        <v>0</v>
      </c>
      <c r="DFI364" s="373">
        <f>'Q100a-geral'!DFI887</f>
        <v>0</v>
      </c>
      <c r="DFJ364" s="373">
        <f>'Q100a-geral'!DFJ887</f>
        <v>0</v>
      </c>
      <c r="DFK364" s="373">
        <f>'Q100a-geral'!DFK887</f>
        <v>0</v>
      </c>
      <c r="DFL364" s="373">
        <f>'Q100a-geral'!DFL887</f>
        <v>0</v>
      </c>
      <c r="DFM364" s="373">
        <f>'Q100a-geral'!DFM887</f>
        <v>0</v>
      </c>
      <c r="DFN364" s="373">
        <f>'Q100a-geral'!DFN887</f>
        <v>0</v>
      </c>
      <c r="DFO364" s="373">
        <f>'Q100a-geral'!DFO887</f>
        <v>0</v>
      </c>
      <c r="DFP364" s="373">
        <f>'Q100a-geral'!DFP887</f>
        <v>0</v>
      </c>
      <c r="DFQ364" s="373">
        <f>'Q100a-geral'!DFQ887</f>
        <v>0</v>
      </c>
      <c r="DFR364" s="373">
        <f>'Q100a-geral'!DFR887</f>
        <v>0</v>
      </c>
      <c r="DFS364" s="373">
        <f>'Q100a-geral'!DFS887</f>
        <v>0</v>
      </c>
      <c r="DFT364" s="373">
        <f>'Q100a-geral'!DFT887</f>
        <v>0</v>
      </c>
      <c r="DFU364" s="373">
        <f>'Q100a-geral'!DFU887</f>
        <v>0</v>
      </c>
      <c r="DFV364" s="373">
        <f>'Q100a-geral'!DFV887</f>
        <v>0</v>
      </c>
      <c r="DFW364" s="373">
        <f>'Q100a-geral'!DFW887</f>
        <v>0</v>
      </c>
      <c r="DFX364" s="373">
        <f>'Q100a-geral'!DFX887</f>
        <v>0</v>
      </c>
      <c r="DFY364" s="373">
        <f>'Q100a-geral'!DFY887</f>
        <v>0</v>
      </c>
      <c r="DFZ364" s="373">
        <f>'Q100a-geral'!DFZ887</f>
        <v>0</v>
      </c>
      <c r="DGA364" s="373">
        <f>'Q100a-geral'!DGA887</f>
        <v>0</v>
      </c>
      <c r="DGB364" s="373">
        <f>'Q100a-geral'!DGB887</f>
        <v>0</v>
      </c>
      <c r="DGC364" s="373">
        <f>'Q100a-geral'!DGC887</f>
        <v>0</v>
      </c>
      <c r="DGD364" s="373">
        <f>'Q100a-geral'!DGD887</f>
        <v>0</v>
      </c>
      <c r="DGE364" s="373">
        <f>'Q100a-geral'!DGE887</f>
        <v>0</v>
      </c>
      <c r="DGF364" s="373">
        <f>'Q100a-geral'!DGF887</f>
        <v>0</v>
      </c>
      <c r="DGG364" s="373">
        <f>'Q100a-geral'!DGG887</f>
        <v>0</v>
      </c>
      <c r="DGH364" s="373">
        <f>'Q100a-geral'!DGH887</f>
        <v>0</v>
      </c>
      <c r="DGI364" s="373">
        <f>'Q100a-geral'!DGI887</f>
        <v>0</v>
      </c>
      <c r="DGJ364" s="373">
        <f>'Q100a-geral'!DGJ887</f>
        <v>0</v>
      </c>
      <c r="DGK364" s="373">
        <f>'Q100a-geral'!DGK887</f>
        <v>0</v>
      </c>
      <c r="DGL364" s="373">
        <f>'Q100a-geral'!DGL887</f>
        <v>0</v>
      </c>
      <c r="DGM364" s="373">
        <f>'Q100a-geral'!DGM887</f>
        <v>0</v>
      </c>
      <c r="DGN364" s="373">
        <f>'Q100a-geral'!DGN887</f>
        <v>0</v>
      </c>
      <c r="DGO364" s="373">
        <f>'Q100a-geral'!DGO887</f>
        <v>0</v>
      </c>
      <c r="DGP364" s="373">
        <f>'Q100a-geral'!DGP887</f>
        <v>0</v>
      </c>
      <c r="DGQ364" s="373">
        <f>'Q100a-geral'!DGQ887</f>
        <v>0</v>
      </c>
      <c r="DGR364" s="373">
        <f>'Q100a-geral'!DGR887</f>
        <v>0</v>
      </c>
      <c r="DGS364" s="373">
        <f>'Q100a-geral'!DGS887</f>
        <v>0</v>
      </c>
      <c r="DGT364" s="373">
        <f>'Q100a-geral'!DGT887</f>
        <v>0</v>
      </c>
      <c r="DGU364" s="373">
        <f>'Q100a-geral'!DGU887</f>
        <v>0</v>
      </c>
      <c r="DGV364" s="373">
        <f>'Q100a-geral'!DGV887</f>
        <v>0</v>
      </c>
      <c r="DGW364" s="373">
        <f>'Q100a-geral'!DGW887</f>
        <v>0</v>
      </c>
      <c r="DGX364" s="373">
        <f>'Q100a-geral'!DGX887</f>
        <v>0</v>
      </c>
      <c r="DGY364" s="373">
        <f>'Q100a-geral'!DGY887</f>
        <v>0</v>
      </c>
      <c r="DGZ364" s="373">
        <f>'Q100a-geral'!DGZ887</f>
        <v>0</v>
      </c>
      <c r="DHA364" s="373">
        <f>'Q100a-geral'!DHA887</f>
        <v>0</v>
      </c>
      <c r="DHB364" s="373">
        <f>'Q100a-geral'!DHB887</f>
        <v>0</v>
      </c>
      <c r="DHC364" s="373">
        <f>'Q100a-geral'!DHC887</f>
        <v>0</v>
      </c>
      <c r="DHD364" s="373">
        <f>'Q100a-geral'!DHD887</f>
        <v>0</v>
      </c>
      <c r="DHE364" s="373">
        <f>'Q100a-geral'!DHE887</f>
        <v>0</v>
      </c>
      <c r="DHF364" s="373">
        <f>'Q100a-geral'!DHF887</f>
        <v>0</v>
      </c>
      <c r="DHG364" s="373">
        <f>'Q100a-geral'!DHG887</f>
        <v>0</v>
      </c>
      <c r="DHH364" s="373">
        <f>'Q100a-geral'!DHH887</f>
        <v>0</v>
      </c>
      <c r="DHI364" s="373">
        <f>'Q100a-geral'!DHI887</f>
        <v>0</v>
      </c>
      <c r="DHJ364" s="373">
        <f>'Q100a-geral'!DHJ887</f>
        <v>0</v>
      </c>
      <c r="DHK364" s="373">
        <f>'Q100a-geral'!DHK887</f>
        <v>0</v>
      </c>
      <c r="DHL364" s="373">
        <f>'Q100a-geral'!DHL887</f>
        <v>0</v>
      </c>
      <c r="DHM364" s="373">
        <f>'Q100a-geral'!DHM887</f>
        <v>0</v>
      </c>
      <c r="DHN364" s="373">
        <f>'Q100a-geral'!DHN887</f>
        <v>0</v>
      </c>
      <c r="DHO364" s="373">
        <f>'Q100a-geral'!DHO887</f>
        <v>0</v>
      </c>
      <c r="DHP364" s="373">
        <f>'Q100a-geral'!DHP887</f>
        <v>0</v>
      </c>
      <c r="DHQ364" s="373">
        <f>'Q100a-geral'!DHQ887</f>
        <v>0</v>
      </c>
      <c r="DHR364" s="373">
        <f>'Q100a-geral'!DHR887</f>
        <v>0</v>
      </c>
      <c r="DHS364" s="373">
        <f>'Q100a-geral'!DHS887</f>
        <v>0</v>
      </c>
      <c r="DHT364" s="373">
        <f>'Q100a-geral'!DHT887</f>
        <v>0</v>
      </c>
      <c r="DHU364" s="373">
        <f>'Q100a-geral'!DHU887</f>
        <v>0</v>
      </c>
      <c r="DHV364" s="373">
        <f>'Q100a-geral'!DHV887</f>
        <v>0</v>
      </c>
      <c r="DHW364" s="373">
        <f>'Q100a-geral'!DHW887</f>
        <v>0</v>
      </c>
      <c r="DHX364" s="373">
        <f>'Q100a-geral'!DHX887</f>
        <v>0</v>
      </c>
      <c r="DHY364" s="373">
        <f>'Q100a-geral'!DHY887</f>
        <v>0</v>
      </c>
      <c r="DHZ364" s="373">
        <f>'Q100a-geral'!DHZ887</f>
        <v>0</v>
      </c>
      <c r="DIA364" s="373">
        <f>'Q100a-geral'!DIA887</f>
        <v>0</v>
      </c>
      <c r="DIB364" s="373">
        <f>'Q100a-geral'!DIB887</f>
        <v>0</v>
      </c>
      <c r="DIC364" s="373">
        <f>'Q100a-geral'!DIC887</f>
        <v>0</v>
      </c>
      <c r="DID364" s="373">
        <f>'Q100a-geral'!DID887</f>
        <v>0</v>
      </c>
      <c r="DIE364" s="373">
        <f>'Q100a-geral'!DIE887</f>
        <v>0</v>
      </c>
      <c r="DIF364" s="373">
        <f>'Q100a-geral'!DIF887</f>
        <v>0</v>
      </c>
      <c r="DIG364" s="373">
        <f>'Q100a-geral'!DIG887</f>
        <v>0</v>
      </c>
      <c r="DIH364" s="373">
        <f>'Q100a-geral'!DIH887</f>
        <v>0</v>
      </c>
      <c r="DII364" s="373">
        <f>'Q100a-geral'!DII887</f>
        <v>0</v>
      </c>
      <c r="DIJ364" s="373">
        <f>'Q100a-geral'!DIJ887</f>
        <v>0</v>
      </c>
      <c r="DIK364" s="373">
        <f>'Q100a-geral'!DIK887</f>
        <v>0</v>
      </c>
      <c r="DIL364" s="373">
        <f>'Q100a-geral'!DIL887</f>
        <v>0</v>
      </c>
      <c r="DIM364" s="373">
        <f>'Q100a-geral'!DIM887</f>
        <v>0</v>
      </c>
      <c r="DIN364" s="373">
        <f>'Q100a-geral'!DIN887</f>
        <v>0</v>
      </c>
      <c r="DIO364" s="373">
        <f>'Q100a-geral'!DIO887</f>
        <v>0</v>
      </c>
      <c r="DIP364" s="373">
        <f>'Q100a-geral'!DIP887</f>
        <v>0</v>
      </c>
      <c r="DIQ364" s="373">
        <f>'Q100a-geral'!DIQ887</f>
        <v>0</v>
      </c>
      <c r="DIR364" s="373">
        <f>'Q100a-geral'!DIR887</f>
        <v>0</v>
      </c>
      <c r="DIS364" s="373">
        <f>'Q100a-geral'!DIS887</f>
        <v>0</v>
      </c>
      <c r="DIT364" s="373">
        <f>'Q100a-geral'!DIT887</f>
        <v>0</v>
      </c>
      <c r="DIU364" s="373">
        <f>'Q100a-geral'!DIU887</f>
        <v>0</v>
      </c>
      <c r="DIV364" s="373">
        <f>'Q100a-geral'!DIV887</f>
        <v>0</v>
      </c>
      <c r="DIW364" s="373">
        <f>'Q100a-geral'!DIW887</f>
        <v>0</v>
      </c>
      <c r="DIX364" s="373">
        <f>'Q100a-geral'!DIX887</f>
        <v>0</v>
      </c>
      <c r="DIY364" s="373">
        <f>'Q100a-geral'!DIY887</f>
        <v>0</v>
      </c>
      <c r="DIZ364" s="373">
        <f>'Q100a-geral'!DIZ887</f>
        <v>0</v>
      </c>
      <c r="DJA364" s="373">
        <f>'Q100a-geral'!DJA887</f>
        <v>0</v>
      </c>
      <c r="DJB364" s="373">
        <f>'Q100a-geral'!DJB887</f>
        <v>0</v>
      </c>
      <c r="DJC364" s="373">
        <f>'Q100a-geral'!DJC887</f>
        <v>0</v>
      </c>
      <c r="DJD364" s="373">
        <f>'Q100a-geral'!DJD887</f>
        <v>0</v>
      </c>
      <c r="DJE364" s="373">
        <f>'Q100a-geral'!DJE887</f>
        <v>0</v>
      </c>
      <c r="DJF364" s="373">
        <f>'Q100a-geral'!DJF887</f>
        <v>0</v>
      </c>
      <c r="DJG364" s="373">
        <f>'Q100a-geral'!DJG887</f>
        <v>0</v>
      </c>
      <c r="DJH364" s="373">
        <f>'Q100a-geral'!DJH887</f>
        <v>0</v>
      </c>
      <c r="DJI364" s="373">
        <f>'Q100a-geral'!DJI887</f>
        <v>0</v>
      </c>
      <c r="DJJ364" s="373">
        <f>'Q100a-geral'!DJJ887</f>
        <v>0</v>
      </c>
      <c r="DJK364" s="373">
        <f>'Q100a-geral'!DJK887</f>
        <v>0</v>
      </c>
      <c r="DJL364" s="373">
        <f>'Q100a-geral'!DJL887</f>
        <v>0</v>
      </c>
      <c r="DJM364" s="373">
        <f>'Q100a-geral'!DJM887</f>
        <v>0</v>
      </c>
      <c r="DJN364" s="373">
        <f>'Q100a-geral'!DJN887</f>
        <v>0</v>
      </c>
      <c r="DJO364" s="373">
        <f>'Q100a-geral'!DJO887</f>
        <v>0</v>
      </c>
      <c r="DJP364" s="373">
        <f>'Q100a-geral'!DJP887</f>
        <v>0</v>
      </c>
      <c r="DJQ364" s="373">
        <f>'Q100a-geral'!DJQ887</f>
        <v>0</v>
      </c>
      <c r="DJR364" s="373">
        <f>'Q100a-geral'!DJR887</f>
        <v>0</v>
      </c>
      <c r="DJS364" s="373">
        <f>'Q100a-geral'!DJS887</f>
        <v>0</v>
      </c>
      <c r="DJT364" s="373">
        <f>'Q100a-geral'!DJT887</f>
        <v>0</v>
      </c>
      <c r="DJU364" s="373">
        <f>'Q100a-geral'!DJU887</f>
        <v>0</v>
      </c>
      <c r="DJV364" s="373">
        <f>'Q100a-geral'!DJV887</f>
        <v>0</v>
      </c>
      <c r="DJW364" s="373">
        <f>'Q100a-geral'!DJW887</f>
        <v>0</v>
      </c>
      <c r="DJX364" s="373">
        <f>'Q100a-geral'!DJX887</f>
        <v>0</v>
      </c>
      <c r="DJY364" s="373">
        <f>'Q100a-geral'!DJY887</f>
        <v>0</v>
      </c>
      <c r="DJZ364" s="373">
        <f>'Q100a-geral'!DJZ887</f>
        <v>0</v>
      </c>
      <c r="DKA364" s="373">
        <f>'Q100a-geral'!DKA887</f>
        <v>0</v>
      </c>
      <c r="DKB364" s="373">
        <f>'Q100a-geral'!DKB887</f>
        <v>0</v>
      </c>
      <c r="DKC364" s="373">
        <f>'Q100a-geral'!DKC887</f>
        <v>0</v>
      </c>
      <c r="DKD364" s="373">
        <f>'Q100a-geral'!DKD887</f>
        <v>0</v>
      </c>
      <c r="DKE364" s="373">
        <f>'Q100a-geral'!DKE887</f>
        <v>0</v>
      </c>
      <c r="DKF364" s="373">
        <f>'Q100a-geral'!DKF887</f>
        <v>0</v>
      </c>
      <c r="DKG364" s="373">
        <f>'Q100a-geral'!DKG887</f>
        <v>0</v>
      </c>
      <c r="DKH364" s="373">
        <f>'Q100a-geral'!DKH887</f>
        <v>0</v>
      </c>
      <c r="DKI364" s="373">
        <f>'Q100a-geral'!DKI887</f>
        <v>0</v>
      </c>
      <c r="DKJ364" s="373">
        <f>'Q100a-geral'!DKJ887</f>
        <v>0</v>
      </c>
      <c r="DKK364" s="373">
        <f>'Q100a-geral'!DKK887</f>
        <v>0</v>
      </c>
      <c r="DKL364" s="373">
        <f>'Q100a-geral'!DKL887</f>
        <v>0</v>
      </c>
      <c r="DKM364" s="373">
        <f>'Q100a-geral'!DKM887</f>
        <v>0</v>
      </c>
      <c r="DKN364" s="373">
        <f>'Q100a-geral'!DKN887</f>
        <v>0</v>
      </c>
      <c r="DKO364" s="373">
        <f>'Q100a-geral'!DKO887</f>
        <v>0</v>
      </c>
      <c r="DKP364" s="373">
        <f>'Q100a-geral'!DKP887</f>
        <v>0</v>
      </c>
      <c r="DKQ364" s="373">
        <f>'Q100a-geral'!DKQ887</f>
        <v>0</v>
      </c>
      <c r="DKR364" s="373">
        <f>'Q100a-geral'!DKR887</f>
        <v>0</v>
      </c>
      <c r="DKS364" s="373">
        <f>'Q100a-geral'!DKS887</f>
        <v>0</v>
      </c>
      <c r="DKT364" s="373">
        <f>'Q100a-geral'!DKT887</f>
        <v>0</v>
      </c>
      <c r="DKU364" s="373">
        <f>'Q100a-geral'!DKU887</f>
        <v>0</v>
      </c>
      <c r="DKV364" s="373">
        <f>'Q100a-geral'!DKV887</f>
        <v>0</v>
      </c>
      <c r="DKW364" s="373">
        <f>'Q100a-geral'!DKW887</f>
        <v>0</v>
      </c>
      <c r="DKX364" s="373">
        <f>'Q100a-geral'!DKX887</f>
        <v>0</v>
      </c>
      <c r="DKY364" s="373">
        <f>'Q100a-geral'!DKY887</f>
        <v>0</v>
      </c>
      <c r="DKZ364" s="373">
        <f>'Q100a-geral'!DKZ887</f>
        <v>0</v>
      </c>
      <c r="DLA364" s="373">
        <f>'Q100a-geral'!DLA887</f>
        <v>0</v>
      </c>
      <c r="DLB364" s="373">
        <f>'Q100a-geral'!DLB887</f>
        <v>0</v>
      </c>
      <c r="DLC364" s="373">
        <f>'Q100a-geral'!DLC887</f>
        <v>0</v>
      </c>
      <c r="DLD364" s="373">
        <f>'Q100a-geral'!DLD887</f>
        <v>0</v>
      </c>
      <c r="DLE364" s="373">
        <f>'Q100a-geral'!DLE887</f>
        <v>0</v>
      </c>
      <c r="DLF364" s="373">
        <f>'Q100a-geral'!DLF887</f>
        <v>0</v>
      </c>
      <c r="DLG364" s="373">
        <f>'Q100a-geral'!DLG887</f>
        <v>0</v>
      </c>
      <c r="DLH364" s="373">
        <f>'Q100a-geral'!DLH887</f>
        <v>0</v>
      </c>
      <c r="DLI364" s="373">
        <f>'Q100a-geral'!DLI887</f>
        <v>0</v>
      </c>
      <c r="DLJ364" s="373">
        <f>'Q100a-geral'!DLJ887</f>
        <v>0</v>
      </c>
      <c r="DLK364" s="373">
        <f>'Q100a-geral'!DLK887</f>
        <v>0</v>
      </c>
      <c r="DLL364" s="373">
        <f>'Q100a-geral'!DLL887</f>
        <v>0</v>
      </c>
      <c r="DLM364" s="373">
        <f>'Q100a-geral'!DLM887</f>
        <v>0</v>
      </c>
      <c r="DLN364" s="373">
        <f>'Q100a-geral'!DLN887</f>
        <v>0</v>
      </c>
      <c r="DLO364" s="373">
        <f>'Q100a-geral'!DLO887</f>
        <v>0</v>
      </c>
      <c r="DLP364" s="373">
        <f>'Q100a-geral'!DLP887</f>
        <v>0</v>
      </c>
      <c r="DLQ364" s="373">
        <f>'Q100a-geral'!DLQ887</f>
        <v>0</v>
      </c>
      <c r="DLR364" s="373">
        <f>'Q100a-geral'!DLR887</f>
        <v>0</v>
      </c>
      <c r="DLS364" s="373">
        <f>'Q100a-geral'!DLS887</f>
        <v>0</v>
      </c>
      <c r="DLT364" s="373">
        <f>'Q100a-geral'!DLT887</f>
        <v>0</v>
      </c>
      <c r="DLU364" s="373">
        <f>'Q100a-geral'!DLU887</f>
        <v>0</v>
      </c>
      <c r="DLV364" s="373">
        <f>'Q100a-geral'!DLV887</f>
        <v>0</v>
      </c>
      <c r="DLW364" s="373">
        <f>'Q100a-geral'!DLW887</f>
        <v>0</v>
      </c>
      <c r="DLX364" s="373">
        <f>'Q100a-geral'!DLX887</f>
        <v>0</v>
      </c>
      <c r="DLY364" s="373">
        <f>'Q100a-geral'!DLY887</f>
        <v>0</v>
      </c>
      <c r="DLZ364" s="373">
        <f>'Q100a-geral'!DLZ887</f>
        <v>0</v>
      </c>
      <c r="DMA364" s="373">
        <f>'Q100a-geral'!DMA887</f>
        <v>0</v>
      </c>
      <c r="DMB364" s="373">
        <f>'Q100a-geral'!DMB887</f>
        <v>0</v>
      </c>
      <c r="DMC364" s="373">
        <f>'Q100a-geral'!DMC887</f>
        <v>0</v>
      </c>
      <c r="DMD364" s="373">
        <f>'Q100a-geral'!DMD887</f>
        <v>0</v>
      </c>
      <c r="DME364" s="373">
        <f>'Q100a-geral'!DME887</f>
        <v>0</v>
      </c>
      <c r="DMF364" s="373">
        <f>'Q100a-geral'!DMF887</f>
        <v>0</v>
      </c>
      <c r="DMG364" s="373">
        <f>'Q100a-geral'!DMG887</f>
        <v>0</v>
      </c>
      <c r="DMH364" s="373">
        <f>'Q100a-geral'!DMH887</f>
        <v>0</v>
      </c>
      <c r="DMI364" s="373">
        <f>'Q100a-geral'!DMI887</f>
        <v>0</v>
      </c>
      <c r="DMJ364" s="373">
        <f>'Q100a-geral'!DMJ887</f>
        <v>0</v>
      </c>
      <c r="DMK364" s="373">
        <f>'Q100a-geral'!DMK887</f>
        <v>0</v>
      </c>
      <c r="DML364" s="373">
        <f>'Q100a-geral'!DML887</f>
        <v>0</v>
      </c>
      <c r="DMM364" s="373">
        <f>'Q100a-geral'!DMM887</f>
        <v>0</v>
      </c>
      <c r="DMN364" s="373">
        <f>'Q100a-geral'!DMN887</f>
        <v>0</v>
      </c>
      <c r="DMO364" s="373">
        <f>'Q100a-geral'!DMO887</f>
        <v>0</v>
      </c>
      <c r="DMP364" s="373">
        <f>'Q100a-geral'!DMP887</f>
        <v>0</v>
      </c>
      <c r="DMQ364" s="373">
        <f>'Q100a-geral'!DMQ887</f>
        <v>0</v>
      </c>
      <c r="DMR364" s="373">
        <f>'Q100a-geral'!DMR887</f>
        <v>0</v>
      </c>
      <c r="DMS364" s="373">
        <f>'Q100a-geral'!DMS887</f>
        <v>0</v>
      </c>
      <c r="DMT364" s="373">
        <f>'Q100a-geral'!DMT887</f>
        <v>0</v>
      </c>
      <c r="DMU364" s="373">
        <f>'Q100a-geral'!DMU887</f>
        <v>0</v>
      </c>
      <c r="DMV364" s="373">
        <f>'Q100a-geral'!DMV887</f>
        <v>0</v>
      </c>
      <c r="DMW364" s="373">
        <f>'Q100a-geral'!DMW887</f>
        <v>0</v>
      </c>
      <c r="DMX364" s="373">
        <f>'Q100a-geral'!DMX887</f>
        <v>0</v>
      </c>
      <c r="DMY364" s="373">
        <f>'Q100a-geral'!DMY887</f>
        <v>0</v>
      </c>
      <c r="DMZ364" s="373">
        <f>'Q100a-geral'!DMZ887</f>
        <v>0</v>
      </c>
      <c r="DNA364" s="373">
        <f>'Q100a-geral'!DNA887</f>
        <v>0</v>
      </c>
      <c r="DNB364" s="373">
        <f>'Q100a-geral'!DNB887</f>
        <v>0</v>
      </c>
      <c r="DNC364" s="373">
        <f>'Q100a-geral'!DNC887</f>
        <v>0</v>
      </c>
      <c r="DND364" s="373">
        <f>'Q100a-geral'!DND887</f>
        <v>0</v>
      </c>
      <c r="DNE364" s="373">
        <f>'Q100a-geral'!DNE887</f>
        <v>0</v>
      </c>
      <c r="DNF364" s="373">
        <f>'Q100a-geral'!DNF887</f>
        <v>0</v>
      </c>
      <c r="DNG364" s="373">
        <f>'Q100a-geral'!DNG887</f>
        <v>0</v>
      </c>
      <c r="DNH364" s="373">
        <f>'Q100a-geral'!DNH887</f>
        <v>0</v>
      </c>
      <c r="DNI364" s="373">
        <f>'Q100a-geral'!DNI887</f>
        <v>0</v>
      </c>
      <c r="DNJ364" s="373">
        <f>'Q100a-geral'!DNJ887</f>
        <v>0</v>
      </c>
      <c r="DNK364" s="373">
        <f>'Q100a-geral'!DNK887</f>
        <v>0</v>
      </c>
      <c r="DNL364" s="373">
        <f>'Q100a-geral'!DNL887</f>
        <v>0</v>
      </c>
      <c r="DNM364" s="373">
        <f>'Q100a-geral'!DNM887</f>
        <v>0</v>
      </c>
      <c r="DNN364" s="373">
        <f>'Q100a-geral'!DNN887</f>
        <v>0</v>
      </c>
      <c r="DNO364" s="373">
        <f>'Q100a-geral'!DNO887</f>
        <v>0</v>
      </c>
      <c r="DNP364" s="373">
        <f>'Q100a-geral'!DNP887</f>
        <v>0</v>
      </c>
      <c r="DNQ364" s="373">
        <f>'Q100a-geral'!DNQ887</f>
        <v>0</v>
      </c>
      <c r="DNR364" s="373">
        <f>'Q100a-geral'!DNR887</f>
        <v>0</v>
      </c>
      <c r="DNS364" s="373">
        <f>'Q100a-geral'!DNS887</f>
        <v>0</v>
      </c>
      <c r="DNT364" s="373">
        <f>'Q100a-geral'!DNT887</f>
        <v>0</v>
      </c>
      <c r="DNU364" s="373">
        <f>'Q100a-geral'!DNU887</f>
        <v>0</v>
      </c>
      <c r="DNV364" s="373">
        <f>'Q100a-geral'!DNV887</f>
        <v>0</v>
      </c>
      <c r="DNW364" s="373">
        <f>'Q100a-geral'!DNW887</f>
        <v>0</v>
      </c>
      <c r="DNX364" s="373">
        <f>'Q100a-geral'!DNX887</f>
        <v>0</v>
      </c>
      <c r="DNY364" s="373">
        <f>'Q100a-geral'!DNY887</f>
        <v>0</v>
      </c>
      <c r="DNZ364" s="373">
        <f>'Q100a-geral'!DNZ887</f>
        <v>0</v>
      </c>
      <c r="DOA364" s="373">
        <f>'Q100a-geral'!DOA887</f>
        <v>0</v>
      </c>
      <c r="DOB364" s="373">
        <f>'Q100a-geral'!DOB887</f>
        <v>0</v>
      </c>
      <c r="DOC364" s="373">
        <f>'Q100a-geral'!DOC887</f>
        <v>0</v>
      </c>
      <c r="DOD364" s="373">
        <f>'Q100a-geral'!DOD887</f>
        <v>0</v>
      </c>
      <c r="DOE364" s="373">
        <f>'Q100a-geral'!DOE887</f>
        <v>0</v>
      </c>
      <c r="DOF364" s="373">
        <f>'Q100a-geral'!DOF887</f>
        <v>0</v>
      </c>
      <c r="DOG364" s="373">
        <f>'Q100a-geral'!DOG887</f>
        <v>0</v>
      </c>
      <c r="DOH364" s="373">
        <f>'Q100a-geral'!DOH887</f>
        <v>0</v>
      </c>
      <c r="DOI364" s="373">
        <f>'Q100a-geral'!DOI887</f>
        <v>0</v>
      </c>
      <c r="DOJ364" s="373">
        <f>'Q100a-geral'!DOJ887</f>
        <v>0</v>
      </c>
      <c r="DOK364" s="373">
        <f>'Q100a-geral'!DOK887</f>
        <v>0</v>
      </c>
      <c r="DOL364" s="373">
        <f>'Q100a-geral'!DOL887</f>
        <v>0</v>
      </c>
      <c r="DOM364" s="373">
        <f>'Q100a-geral'!DOM887</f>
        <v>0</v>
      </c>
      <c r="DON364" s="373">
        <f>'Q100a-geral'!DON887</f>
        <v>0</v>
      </c>
      <c r="DOO364" s="373">
        <f>'Q100a-geral'!DOO887</f>
        <v>0</v>
      </c>
      <c r="DOP364" s="373">
        <f>'Q100a-geral'!DOP887</f>
        <v>0</v>
      </c>
      <c r="DOQ364" s="373">
        <f>'Q100a-geral'!DOQ887</f>
        <v>0</v>
      </c>
      <c r="DOR364" s="373">
        <f>'Q100a-geral'!DOR887</f>
        <v>0</v>
      </c>
      <c r="DOS364" s="373">
        <f>'Q100a-geral'!DOS887</f>
        <v>0</v>
      </c>
      <c r="DOT364" s="373">
        <f>'Q100a-geral'!DOT887</f>
        <v>0</v>
      </c>
      <c r="DOU364" s="373">
        <f>'Q100a-geral'!DOU887</f>
        <v>0</v>
      </c>
      <c r="DOV364" s="373">
        <f>'Q100a-geral'!DOV887</f>
        <v>0</v>
      </c>
      <c r="DOW364" s="373">
        <f>'Q100a-geral'!DOW887</f>
        <v>0</v>
      </c>
      <c r="DOX364" s="373">
        <f>'Q100a-geral'!DOX887</f>
        <v>0</v>
      </c>
      <c r="DOY364" s="373">
        <f>'Q100a-geral'!DOY887</f>
        <v>0</v>
      </c>
      <c r="DOZ364" s="373">
        <f>'Q100a-geral'!DOZ887</f>
        <v>0</v>
      </c>
      <c r="DPA364" s="373">
        <f>'Q100a-geral'!DPA887</f>
        <v>0</v>
      </c>
      <c r="DPB364" s="373">
        <f>'Q100a-geral'!DPB887</f>
        <v>0</v>
      </c>
      <c r="DPC364" s="373">
        <f>'Q100a-geral'!DPC887</f>
        <v>0</v>
      </c>
      <c r="DPD364" s="373">
        <f>'Q100a-geral'!DPD887</f>
        <v>0</v>
      </c>
      <c r="DPE364" s="373">
        <f>'Q100a-geral'!DPE887</f>
        <v>0</v>
      </c>
      <c r="DPF364" s="373">
        <f>'Q100a-geral'!DPF887</f>
        <v>0</v>
      </c>
      <c r="DPG364" s="373">
        <f>'Q100a-geral'!DPG887</f>
        <v>0</v>
      </c>
      <c r="DPH364" s="373">
        <f>'Q100a-geral'!DPH887</f>
        <v>0</v>
      </c>
      <c r="DPI364" s="373">
        <f>'Q100a-geral'!DPI887</f>
        <v>0</v>
      </c>
      <c r="DPJ364" s="373">
        <f>'Q100a-geral'!DPJ887</f>
        <v>0</v>
      </c>
      <c r="DPK364" s="373">
        <f>'Q100a-geral'!DPK887</f>
        <v>0</v>
      </c>
      <c r="DPL364" s="373">
        <f>'Q100a-geral'!DPL887</f>
        <v>0</v>
      </c>
      <c r="DPM364" s="373">
        <f>'Q100a-geral'!DPM887</f>
        <v>0</v>
      </c>
      <c r="DPN364" s="373">
        <f>'Q100a-geral'!DPN887</f>
        <v>0</v>
      </c>
      <c r="DPO364" s="373">
        <f>'Q100a-geral'!DPO887</f>
        <v>0</v>
      </c>
      <c r="DPP364" s="373">
        <f>'Q100a-geral'!DPP887</f>
        <v>0</v>
      </c>
      <c r="DPQ364" s="373">
        <f>'Q100a-geral'!DPQ887</f>
        <v>0</v>
      </c>
      <c r="DPR364" s="373">
        <f>'Q100a-geral'!DPR887</f>
        <v>0</v>
      </c>
      <c r="DPS364" s="373">
        <f>'Q100a-geral'!DPS887</f>
        <v>0</v>
      </c>
      <c r="DPT364" s="373">
        <f>'Q100a-geral'!DPT887</f>
        <v>0</v>
      </c>
      <c r="DPU364" s="373">
        <f>'Q100a-geral'!DPU887</f>
        <v>0</v>
      </c>
      <c r="DPV364" s="373">
        <f>'Q100a-geral'!DPV887</f>
        <v>0</v>
      </c>
      <c r="DPW364" s="373">
        <f>'Q100a-geral'!DPW887</f>
        <v>0</v>
      </c>
      <c r="DPX364" s="373">
        <f>'Q100a-geral'!DPX887</f>
        <v>0</v>
      </c>
      <c r="DPY364" s="373">
        <f>'Q100a-geral'!DPY887</f>
        <v>0</v>
      </c>
      <c r="DPZ364" s="373">
        <f>'Q100a-geral'!DPZ887</f>
        <v>0</v>
      </c>
      <c r="DQA364" s="373">
        <f>'Q100a-geral'!DQA887</f>
        <v>0</v>
      </c>
      <c r="DQB364" s="373">
        <f>'Q100a-geral'!DQB887</f>
        <v>0</v>
      </c>
      <c r="DQC364" s="373">
        <f>'Q100a-geral'!DQC887</f>
        <v>0</v>
      </c>
      <c r="DQD364" s="373">
        <f>'Q100a-geral'!DQD887</f>
        <v>0</v>
      </c>
      <c r="DQE364" s="373">
        <f>'Q100a-geral'!DQE887</f>
        <v>0</v>
      </c>
      <c r="DQF364" s="373">
        <f>'Q100a-geral'!DQF887</f>
        <v>0</v>
      </c>
      <c r="DQG364" s="373">
        <f>'Q100a-geral'!DQG887</f>
        <v>0</v>
      </c>
      <c r="DQH364" s="373">
        <f>'Q100a-geral'!DQH887</f>
        <v>0</v>
      </c>
      <c r="DQI364" s="373">
        <f>'Q100a-geral'!DQI887</f>
        <v>0</v>
      </c>
      <c r="DQJ364" s="373">
        <f>'Q100a-geral'!DQJ887</f>
        <v>0</v>
      </c>
      <c r="DQK364" s="373">
        <f>'Q100a-geral'!DQK887</f>
        <v>0</v>
      </c>
      <c r="DQL364" s="373">
        <f>'Q100a-geral'!DQL887</f>
        <v>0</v>
      </c>
      <c r="DQM364" s="373">
        <f>'Q100a-geral'!DQM887</f>
        <v>0</v>
      </c>
      <c r="DQN364" s="373">
        <f>'Q100a-geral'!DQN887</f>
        <v>0</v>
      </c>
      <c r="DQO364" s="373">
        <f>'Q100a-geral'!DQO887</f>
        <v>0</v>
      </c>
      <c r="DQP364" s="373">
        <f>'Q100a-geral'!DQP887</f>
        <v>0</v>
      </c>
      <c r="DQQ364" s="373">
        <f>'Q100a-geral'!DQQ887</f>
        <v>0</v>
      </c>
      <c r="DQR364" s="373">
        <f>'Q100a-geral'!DQR887</f>
        <v>0</v>
      </c>
      <c r="DQS364" s="373">
        <f>'Q100a-geral'!DQS887</f>
        <v>0</v>
      </c>
      <c r="DQT364" s="373">
        <f>'Q100a-geral'!DQT887</f>
        <v>0</v>
      </c>
      <c r="DQU364" s="373">
        <f>'Q100a-geral'!DQU887</f>
        <v>0</v>
      </c>
      <c r="DQV364" s="373">
        <f>'Q100a-geral'!DQV887</f>
        <v>0</v>
      </c>
      <c r="DQW364" s="373">
        <f>'Q100a-geral'!DQW887</f>
        <v>0</v>
      </c>
      <c r="DQX364" s="373">
        <f>'Q100a-geral'!DQX887</f>
        <v>0</v>
      </c>
      <c r="DQY364" s="373">
        <f>'Q100a-geral'!DQY887</f>
        <v>0</v>
      </c>
      <c r="DQZ364" s="373">
        <f>'Q100a-geral'!DQZ887</f>
        <v>0</v>
      </c>
      <c r="DRA364" s="373">
        <f>'Q100a-geral'!DRA887</f>
        <v>0</v>
      </c>
      <c r="DRB364" s="373">
        <f>'Q100a-geral'!DRB887</f>
        <v>0</v>
      </c>
      <c r="DRC364" s="373">
        <f>'Q100a-geral'!DRC887</f>
        <v>0</v>
      </c>
      <c r="DRD364" s="373">
        <f>'Q100a-geral'!DRD887</f>
        <v>0</v>
      </c>
      <c r="DRE364" s="373">
        <f>'Q100a-geral'!DRE887</f>
        <v>0</v>
      </c>
      <c r="DRF364" s="373">
        <f>'Q100a-geral'!DRF887</f>
        <v>0</v>
      </c>
      <c r="DRG364" s="373">
        <f>'Q100a-geral'!DRG887</f>
        <v>0</v>
      </c>
      <c r="DRH364" s="373">
        <f>'Q100a-geral'!DRH887</f>
        <v>0</v>
      </c>
      <c r="DRI364" s="373">
        <f>'Q100a-geral'!DRI887</f>
        <v>0</v>
      </c>
      <c r="DRJ364" s="373">
        <f>'Q100a-geral'!DRJ887</f>
        <v>0</v>
      </c>
      <c r="DRK364" s="373">
        <f>'Q100a-geral'!DRK887</f>
        <v>0</v>
      </c>
      <c r="DRL364" s="373">
        <f>'Q100a-geral'!DRL887</f>
        <v>0</v>
      </c>
      <c r="DRM364" s="373">
        <f>'Q100a-geral'!DRM887</f>
        <v>0</v>
      </c>
      <c r="DRN364" s="373">
        <f>'Q100a-geral'!DRN887</f>
        <v>0</v>
      </c>
      <c r="DRO364" s="373">
        <f>'Q100a-geral'!DRO887</f>
        <v>0</v>
      </c>
      <c r="DRP364" s="373">
        <f>'Q100a-geral'!DRP887</f>
        <v>0</v>
      </c>
      <c r="DRQ364" s="373">
        <f>'Q100a-geral'!DRQ887</f>
        <v>0</v>
      </c>
      <c r="DRR364" s="373">
        <f>'Q100a-geral'!DRR887</f>
        <v>0</v>
      </c>
      <c r="DRS364" s="373">
        <f>'Q100a-geral'!DRS887</f>
        <v>0</v>
      </c>
      <c r="DRT364" s="373">
        <f>'Q100a-geral'!DRT887</f>
        <v>0</v>
      </c>
      <c r="DRU364" s="373">
        <f>'Q100a-geral'!DRU887</f>
        <v>0</v>
      </c>
      <c r="DRV364" s="373">
        <f>'Q100a-geral'!DRV887</f>
        <v>0</v>
      </c>
      <c r="DRW364" s="373">
        <f>'Q100a-geral'!DRW887</f>
        <v>0</v>
      </c>
      <c r="DRX364" s="373">
        <f>'Q100a-geral'!DRX887</f>
        <v>0</v>
      </c>
      <c r="DRY364" s="373">
        <f>'Q100a-geral'!DRY887</f>
        <v>0</v>
      </c>
      <c r="DRZ364" s="373">
        <f>'Q100a-geral'!DRZ887</f>
        <v>0</v>
      </c>
      <c r="DSA364" s="373">
        <f>'Q100a-geral'!DSA887</f>
        <v>0</v>
      </c>
      <c r="DSB364" s="373">
        <f>'Q100a-geral'!DSB887</f>
        <v>0</v>
      </c>
      <c r="DSC364" s="373">
        <f>'Q100a-geral'!DSC887</f>
        <v>0</v>
      </c>
      <c r="DSD364" s="373">
        <f>'Q100a-geral'!DSD887</f>
        <v>0</v>
      </c>
      <c r="DSE364" s="373">
        <f>'Q100a-geral'!DSE887</f>
        <v>0</v>
      </c>
      <c r="DSF364" s="373">
        <f>'Q100a-geral'!DSF887</f>
        <v>0</v>
      </c>
      <c r="DSG364" s="373">
        <f>'Q100a-geral'!DSG887</f>
        <v>0</v>
      </c>
      <c r="DSH364" s="373">
        <f>'Q100a-geral'!DSH887</f>
        <v>0</v>
      </c>
      <c r="DSI364" s="373">
        <f>'Q100a-geral'!DSI887</f>
        <v>0</v>
      </c>
      <c r="DSJ364" s="373">
        <f>'Q100a-geral'!DSJ887</f>
        <v>0</v>
      </c>
      <c r="DSK364" s="373">
        <f>'Q100a-geral'!DSK887</f>
        <v>0</v>
      </c>
      <c r="DSL364" s="373">
        <f>'Q100a-geral'!DSL887</f>
        <v>0</v>
      </c>
      <c r="DSM364" s="373">
        <f>'Q100a-geral'!DSM887</f>
        <v>0</v>
      </c>
      <c r="DSN364" s="373">
        <f>'Q100a-geral'!DSN887</f>
        <v>0</v>
      </c>
      <c r="DSO364" s="373">
        <f>'Q100a-geral'!DSO887</f>
        <v>0</v>
      </c>
      <c r="DSP364" s="373">
        <f>'Q100a-geral'!DSP887</f>
        <v>0</v>
      </c>
      <c r="DSQ364" s="373">
        <f>'Q100a-geral'!DSQ887</f>
        <v>0</v>
      </c>
      <c r="DSR364" s="373">
        <f>'Q100a-geral'!DSR887</f>
        <v>0</v>
      </c>
      <c r="DSS364" s="373">
        <f>'Q100a-geral'!DSS887</f>
        <v>0</v>
      </c>
      <c r="DST364" s="373">
        <f>'Q100a-geral'!DST887</f>
        <v>0</v>
      </c>
      <c r="DSU364" s="373">
        <f>'Q100a-geral'!DSU887</f>
        <v>0</v>
      </c>
      <c r="DSV364" s="373">
        <f>'Q100a-geral'!DSV887</f>
        <v>0</v>
      </c>
      <c r="DSW364" s="373">
        <f>'Q100a-geral'!DSW887</f>
        <v>0</v>
      </c>
      <c r="DSX364" s="373">
        <f>'Q100a-geral'!DSX887</f>
        <v>0</v>
      </c>
      <c r="DSY364" s="373">
        <f>'Q100a-geral'!DSY887</f>
        <v>0</v>
      </c>
      <c r="DSZ364" s="373">
        <f>'Q100a-geral'!DSZ887</f>
        <v>0</v>
      </c>
      <c r="DTA364" s="373">
        <f>'Q100a-geral'!DTA887</f>
        <v>0</v>
      </c>
      <c r="DTB364" s="373">
        <f>'Q100a-geral'!DTB887</f>
        <v>0</v>
      </c>
      <c r="DTC364" s="373">
        <f>'Q100a-geral'!DTC887</f>
        <v>0</v>
      </c>
      <c r="DTD364" s="373">
        <f>'Q100a-geral'!DTD887</f>
        <v>0</v>
      </c>
      <c r="DTE364" s="373">
        <f>'Q100a-geral'!DTE887</f>
        <v>0</v>
      </c>
      <c r="DTF364" s="373">
        <f>'Q100a-geral'!DTF887</f>
        <v>0</v>
      </c>
      <c r="DTG364" s="373">
        <f>'Q100a-geral'!DTG887</f>
        <v>0</v>
      </c>
      <c r="DTH364" s="373">
        <f>'Q100a-geral'!DTH887</f>
        <v>0</v>
      </c>
      <c r="DTI364" s="373">
        <f>'Q100a-geral'!DTI887</f>
        <v>0</v>
      </c>
      <c r="DTJ364" s="373">
        <f>'Q100a-geral'!DTJ887</f>
        <v>0</v>
      </c>
      <c r="DTK364" s="373">
        <f>'Q100a-geral'!DTK887</f>
        <v>0</v>
      </c>
      <c r="DTL364" s="373">
        <f>'Q100a-geral'!DTL887</f>
        <v>0</v>
      </c>
      <c r="DTM364" s="373">
        <f>'Q100a-geral'!DTM887</f>
        <v>0</v>
      </c>
      <c r="DTN364" s="373">
        <f>'Q100a-geral'!DTN887</f>
        <v>0</v>
      </c>
      <c r="DTO364" s="373">
        <f>'Q100a-geral'!DTO887</f>
        <v>0</v>
      </c>
      <c r="DTP364" s="373">
        <f>'Q100a-geral'!DTP887</f>
        <v>0</v>
      </c>
      <c r="DTQ364" s="373">
        <f>'Q100a-geral'!DTQ887</f>
        <v>0</v>
      </c>
      <c r="DTR364" s="373">
        <f>'Q100a-geral'!DTR887</f>
        <v>0</v>
      </c>
      <c r="DTS364" s="373">
        <f>'Q100a-geral'!DTS887</f>
        <v>0</v>
      </c>
      <c r="DTT364" s="373">
        <f>'Q100a-geral'!DTT887</f>
        <v>0</v>
      </c>
      <c r="DTU364" s="373">
        <f>'Q100a-geral'!DTU887</f>
        <v>0</v>
      </c>
      <c r="DTV364" s="373">
        <f>'Q100a-geral'!DTV887</f>
        <v>0</v>
      </c>
      <c r="DTW364" s="373">
        <f>'Q100a-geral'!DTW887</f>
        <v>0</v>
      </c>
      <c r="DTX364" s="373">
        <f>'Q100a-geral'!DTX887</f>
        <v>0</v>
      </c>
      <c r="DTY364" s="373">
        <f>'Q100a-geral'!DTY887</f>
        <v>0</v>
      </c>
      <c r="DTZ364" s="373">
        <f>'Q100a-geral'!DTZ887</f>
        <v>0</v>
      </c>
      <c r="DUA364" s="373">
        <f>'Q100a-geral'!DUA887</f>
        <v>0</v>
      </c>
      <c r="DUB364" s="373">
        <f>'Q100a-geral'!DUB887</f>
        <v>0</v>
      </c>
      <c r="DUC364" s="373">
        <f>'Q100a-geral'!DUC887</f>
        <v>0</v>
      </c>
      <c r="DUD364" s="373">
        <f>'Q100a-geral'!DUD887</f>
        <v>0</v>
      </c>
      <c r="DUE364" s="373">
        <f>'Q100a-geral'!DUE887</f>
        <v>0</v>
      </c>
      <c r="DUF364" s="373">
        <f>'Q100a-geral'!DUF887</f>
        <v>0</v>
      </c>
      <c r="DUG364" s="373">
        <f>'Q100a-geral'!DUG887</f>
        <v>0</v>
      </c>
      <c r="DUH364" s="373">
        <f>'Q100a-geral'!DUH887</f>
        <v>0</v>
      </c>
      <c r="DUI364" s="373">
        <f>'Q100a-geral'!DUI887</f>
        <v>0</v>
      </c>
      <c r="DUJ364" s="373">
        <f>'Q100a-geral'!DUJ887</f>
        <v>0</v>
      </c>
      <c r="DUK364" s="373">
        <f>'Q100a-geral'!DUK887</f>
        <v>0</v>
      </c>
      <c r="DUL364" s="373">
        <f>'Q100a-geral'!DUL887</f>
        <v>0</v>
      </c>
      <c r="DUM364" s="373">
        <f>'Q100a-geral'!DUM887</f>
        <v>0</v>
      </c>
      <c r="DUN364" s="373">
        <f>'Q100a-geral'!DUN887</f>
        <v>0</v>
      </c>
      <c r="DUO364" s="373">
        <f>'Q100a-geral'!DUO887</f>
        <v>0</v>
      </c>
      <c r="DUP364" s="373">
        <f>'Q100a-geral'!DUP887</f>
        <v>0</v>
      </c>
      <c r="DUQ364" s="373">
        <f>'Q100a-geral'!DUQ887</f>
        <v>0</v>
      </c>
      <c r="DUR364" s="373">
        <f>'Q100a-geral'!DUR887</f>
        <v>0</v>
      </c>
      <c r="DUS364" s="373">
        <f>'Q100a-geral'!DUS887</f>
        <v>0</v>
      </c>
      <c r="DUT364" s="373">
        <f>'Q100a-geral'!DUT887</f>
        <v>0</v>
      </c>
      <c r="DUU364" s="373">
        <f>'Q100a-geral'!DUU887</f>
        <v>0</v>
      </c>
      <c r="DUV364" s="373">
        <f>'Q100a-geral'!DUV887</f>
        <v>0</v>
      </c>
      <c r="DUW364" s="373">
        <f>'Q100a-geral'!DUW887</f>
        <v>0</v>
      </c>
      <c r="DUX364" s="373">
        <f>'Q100a-geral'!DUX887</f>
        <v>0</v>
      </c>
      <c r="DUY364" s="373">
        <f>'Q100a-geral'!DUY887</f>
        <v>0</v>
      </c>
      <c r="DUZ364" s="373">
        <f>'Q100a-geral'!DUZ887</f>
        <v>0</v>
      </c>
      <c r="DVA364" s="373">
        <f>'Q100a-geral'!DVA887</f>
        <v>0</v>
      </c>
      <c r="DVB364" s="373">
        <f>'Q100a-geral'!DVB887</f>
        <v>0</v>
      </c>
      <c r="DVC364" s="373">
        <f>'Q100a-geral'!DVC887</f>
        <v>0</v>
      </c>
      <c r="DVD364" s="373">
        <f>'Q100a-geral'!DVD887</f>
        <v>0</v>
      </c>
      <c r="DVE364" s="373">
        <f>'Q100a-geral'!DVE887</f>
        <v>0</v>
      </c>
      <c r="DVF364" s="373">
        <f>'Q100a-geral'!DVF887</f>
        <v>0</v>
      </c>
      <c r="DVG364" s="373">
        <f>'Q100a-geral'!DVG887</f>
        <v>0</v>
      </c>
      <c r="DVH364" s="373">
        <f>'Q100a-geral'!DVH887</f>
        <v>0</v>
      </c>
      <c r="DVI364" s="373">
        <f>'Q100a-geral'!DVI887</f>
        <v>0</v>
      </c>
      <c r="DVJ364" s="373">
        <f>'Q100a-geral'!DVJ887</f>
        <v>0</v>
      </c>
      <c r="DVK364" s="373">
        <f>'Q100a-geral'!DVK887</f>
        <v>0</v>
      </c>
      <c r="DVL364" s="373">
        <f>'Q100a-geral'!DVL887</f>
        <v>0</v>
      </c>
      <c r="DVM364" s="373">
        <f>'Q100a-geral'!DVM887</f>
        <v>0</v>
      </c>
      <c r="DVN364" s="373">
        <f>'Q100a-geral'!DVN887</f>
        <v>0</v>
      </c>
      <c r="DVO364" s="373">
        <f>'Q100a-geral'!DVO887</f>
        <v>0</v>
      </c>
      <c r="DVP364" s="373">
        <f>'Q100a-geral'!DVP887</f>
        <v>0</v>
      </c>
      <c r="DVQ364" s="373">
        <f>'Q100a-geral'!DVQ887</f>
        <v>0</v>
      </c>
      <c r="DVR364" s="373">
        <f>'Q100a-geral'!DVR887</f>
        <v>0</v>
      </c>
      <c r="DVS364" s="373">
        <f>'Q100a-geral'!DVS887</f>
        <v>0</v>
      </c>
      <c r="DVT364" s="373">
        <f>'Q100a-geral'!DVT887</f>
        <v>0</v>
      </c>
      <c r="DVU364" s="373">
        <f>'Q100a-geral'!DVU887</f>
        <v>0</v>
      </c>
      <c r="DVV364" s="373">
        <f>'Q100a-geral'!DVV887</f>
        <v>0</v>
      </c>
      <c r="DVW364" s="373">
        <f>'Q100a-geral'!DVW887</f>
        <v>0</v>
      </c>
      <c r="DVX364" s="373">
        <f>'Q100a-geral'!DVX887</f>
        <v>0</v>
      </c>
      <c r="DVY364" s="373">
        <f>'Q100a-geral'!DVY887</f>
        <v>0</v>
      </c>
      <c r="DVZ364" s="373">
        <f>'Q100a-geral'!DVZ887</f>
        <v>0</v>
      </c>
      <c r="DWA364" s="373">
        <f>'Q100a-geral'!DWA887</f>
        <v>0</v>
      </c>
      <c r="DWB364" s="373">
        <f>'Q100a-geral'!DWB887</f>
        <v>0</v>
      </c>
      <c r="DWC364" s="373">
        <f>'Q100a-geral'!DWC887</f>
        <v>0</v>
      </c>
      <c r="DWD364" s="373">
        <f>'Q100a-geral'!DWD887</f>
        <v>0</v>
      </c>
      <c r="DWE364" s="373">
        <f>'Q100a-geral'!DWE887</f>
        <v>0</v>
      </c>
      <c r="DWF364" s="373">
        <f>'Q100a-geral'!DWF887</f>
        <v>0</v>
      </c>
      <c r="DWG364" s="373">
        <f>'Q100a-geral'!DWG887</f>
        <v>0</v>
      </c>
      <c r="DWH364" s="373">
        <f>'Q100a-geral'!DWH887</f>
        <v>0</v>
      </c>
      <c r="DWI364" s="373">
        <f>'Q100a-geral'!DWI887</f>
        <v>0</v>
      </c>
      <c r="DWJ364" s="373">
        <f>'Q100a-geral'!DWJ887</f>
        <v>0</v>
      </c>
      <c r="DWK364" s="373">
        <f>'Q100a-geral'!DWK887</f>
        <v>0</v>
      </c>
      <c r="DWL364" s="373">
        <f>'Q100a-geral'!DWL887</f>
        <v>0</v>
      </c>
      <c r="DWM364" s="373">
        <f>'Q100a-geral'!DWM887</f>
        <v>0</v>
      </c>
      <c r="DWN364" s="373">
        <f>'Q100a-geral'!DWN887</f>
        <v>0</v>
      </c>
      <c r="DWO364" s="373">
        <f>'Q100a-geral'!DWO887</f>
        <v>0</v>
      </c>
      <c r="DWP364" s="373">
        <f>'Q100a-geral'!DWP887</f>
        <v>0</v>
      </c>
      <c r="DWQ364" s="373">
        <f>'Q100a-geral'!DWQ887</f>
        <v>0</v>
      </c>
      <c r="DWR364" s="373">
        <f>'Q100a-geral'!DWR887</f>
        <v>0</v>
      </c>
      <c r="DWS364" s="373">
        <f>'Q100a-geral'!DWS887</f>
        <v>0</v>
      </c>
      <c r="DWT364" s="373">
        <f>'Q100a-geral'!DWT887</f>
        <v>0</v>
      </c>
      <c r="DWU364" s="373">
        <f>'Q100a-geral'!DWU887</f>
        <v>0</v>
      </c>
      <c r="DWV364" s="373">
        <f>'Q100a-geral'!DWV887</f>
        <v>0</v>
      </c>
      <c r="DWW364" s="373">
        <f>'Q100a-geral'!DWW887</f>
        <v>0</v>
      </c>
      <c r="DWX364" s="373">
        <f>'Q100a-geral'!DWX887</f>
        <v>0</v>
      </c>
      <c r="DWY364" s="373">
        <f>'Q100a-geral'!DWY887</f>
        <v>0</v>
      </c>
      <c r="DWZ364" s="373">
        <f>'Q100a-geral'!DWZ887</f>
        <v>0</v>
      </c>
      <c r="DXA364" s="373">
        <f>'Q100a-geral'!DXA887</f>
        <v>0</v>
      </c>
      <c r="DXB364" s="373">
        <f>'Q100a-geral'!DXB887</f>
        <v>0</v>
      </c>
      <c r="DXC364" s="373">
        <f>'Q100a-geral'!DXC887</f>
        <v>0</v>
      </c>
      <c r="DXD364" s="373">
        <f>'Q100a-geral'!DXD887</f>
        <v>0</v>
      </c>
      <c r="DXE364" s="373">
        <f>'Q100a-geral'!DXE887</f>
        <v>0</v>
      </c>
      <c r="DXF364" s="373">
        <f>'Q100a-geral'!DXF887</f>
        <v>0</v>
      </c>
      <c r="DXG364" s="373">
        <f>'Q100a-geral'!DXG887</f>
        <v>0</v>
      </c>
      <c r="DXH364" s="373">
        <f>'Q100a-geral'!DXH887</f>
        <v>0</v>
      </c>
      <c r="DXI364" s="373">
        <f>'Q100a-geral'!DXI887</f>
        <v>0</v>
      </c>
      <c r="DXJ364" s="373">
        <f>'Q100a-geral'!DXJ887</f>
        <v>0</v>
      </c>
      <c r="DXK364" s="373">
        <f>'Q100a-geral'!DXK887</f>
        <v>0</v>
      </c>
      <c r="DXL364" s="373">
        <f>'Q100a-geral'!DXL887</f>
        <v>0</v>
      </c>
      <c r="DXM364" s="373">
        <f>'Q100a-geral'!DXM887</f>
        <v>0</v>
      </c>
      <c r="DXN364" s="373">
        <f>'Q100a-geral'!DXN887</f>
        <v>0</v>
      </c>
      <c r="DXO364" s="373">
        <f>'Q100a-geral'!DXO887</f>
        <v>0</v>
      </c>
      <c r="DXP364" s="373">
        <f>'Q100a-geral'!DXP887</f>
        <v>0</v>
      </c>
      <c r="DXQ364" s="373">
        <f>'Q100a-geral'!DXQ887</f>
        <v>0</v>
      </c>
      <c r="DXR364" s="373">
        <f>'Q100a-geral'!DXR887</f>
        <v>0</v>
      </c>
      <c r="DXS364" s="373">
        <f>'Q100a-geral'!DXS887</f>
        <v>0</v>
      </c>
      <c r="DXT364" s="373">
        <f>'Q100a-geral'!DXT887</f>
        <v>0</v>
      </c>
      <c r="DXU364" s="373">
        <f>'Q100a-geral'!DXU887</f>
        <v>0</v>
      </c>
      <c r="DXV364" s="373">
        <f>'Q100a-geral'!DXV887</f>
        <v>0</v>
      </c>
      <c r="DXW364" s="373">
        <f>'Q100a-geral'!DXW887</f>
        <v>0</v>
      </c>
      <c r="DXX364" s="373">
        <f>'Q100a-geral'!DXX887</f>
        <v>0</v>
      </c>
      <c r="DXY364" s="373">
        <f>'Q100a-geral'!DXY887</f>
        <v>0</v>
      </c>
      <c r="DXZ364" s="373">
        <f>'Q100a-geral'!DXZ887</f>
        <v>0</v>
      </c>
      <c r="DYA364" s="373">
        <f>'Q100a-geral'!DYA887</f>
        <v>0</v>
      </c>
      <c r="DYB364" s="373">
        <f>'Q100a-geral'!DYB887</f>
        <v>0</v>
      </c>
      <c r="DYC364" s="373">
        <f>'Q100a-geral'!DYC887</f>
        <v>0</v>
      </c>
      <c r="DYD364" s="373">
        <f>'Q100a-geral'!DYD887</f>
        <v>0</v>
      </c>
      <c r="DYE364" s="373">
        <f>'Q100a-geral'!DYE887</f>
        <v>0</v>
      </c>
      <c r="DYF364" s="373">
        <f>'Q100a-geral'!DYF887</f>
        <v>0</v>
      </c>
      <c r="DYG364" s="373">
        <f>'Q100a-geral'!DYG887</f>
        <v>0</v>
      </c>
      <c r="DYH364" s="373">
        <f>'Q100a-geral'!DYH887</f>
        <v>0</v>
      </c>
      <c r="DYI364" s="373">
        <f>'Q100a-geral'!DYI887</f>
        <v>0</v>
      </c>
      <c r="DYJ364" s="373">
        <f>'Q100a-geral'!DYJ887</f>
        <v>0</v>
      </c>
      <c r="DYK364" s="373">
        <f>'Q100a-geral'!DYK887</f>
        <v>0</v>
      </c>
      <c r="DYL364" s="373">
        <f>'Q100a-geral'!DYL887</f>
        <v>0</v>
      </c>
      <c r="DYM364" s="373">
        <f>'Q100a-geral'!DYM887</f>
        <v>0</v>
      </c>
      <c r="DYN364" s="373">
        <f>'Q100a-geral'!DYN887</f>
        <v>0</v>
      </c>
      <c r="DYO364" s="373">
        <f>'Q100a-geral'!DYO887</f>
        <v>0</v>
      </c>
      <c r="DYP364" s="373">
        <f>'Q100a-geral'!DYP887</f>
        <v>0</v>
      </c>
      <c r="DYQ364" s="373">
        <f>'Q100a-geral'!DYQ887</f>
        <v>0</v>
      </c>
      <c r="DYR364" s="373">
        <f>'Q100a-geral'!DYR887</f>
        <v>0</v>
      </c>
      <c r="DYS364" s="373">
        <f>'Q100a-geral'!DYS887</f>
        <v>0</v>
      </c>
      <c r="DYT364" s="373">
        <f>'Q100a-geral'!DYT887</f>
        <v>0</v>
      </c>
      <c r="DYU364" s="373">
        <f>'Q100a-geral'!DYU887</f>
        <v>0</v>
      </c>
      <c r="DYV364" s="373">
        <f>'Q100a-geral'!DYV887</f>
        <v>0</v>
      </c>
      <c r="DYW364" s="373">
        <f>'Q100a-geral'!DYW887</f>
        <v>0</v>
      </c>
      <c r="DYX364" s="373">
        <f>'Q100a-geral'!DYX887</f>
        <v>0</v>
      </c>
      <c r="DYY364" s="373">
        <f>'Q100a-geral'!DYY887</f>
        <v>0</v>
      </c>
      <c r="DYZ364" s="373">
        <f>'Q100a-geral'!DYZ887</f>
        <v>0</v>
      </c>
      <c r="DZA364" s="373">
        <f>'Q100a-geral'!DZA887</f>
        <v>0</v>
      </c>
      <c r="DZB364" s="373">
        <f>'Q100a-geral'!DZB887</f>
        <v>0</v>
      </c>
      <c r="DZC364" s="373">
        <f>'Q100a-geral'!DZC887</f>
        <v>0</v>
      </c>
      <c r="DZD364" s="373">
        <f>'Q100a-geral'!DZD887</f>
        <v>0</v>
      </c>
      <c r="DZE364" s="373">
        <f>'Q100a-geral'!DZE887</f>
        <v>0</v>
      </c>
      <c r="DZF364" s="373">
        <f>'Q100a-geral'!DZF887</f>
        <v>0</v>
      </c>
      <c r="DZG364" s="373">
        <f>'Q100a-geral'!DZG887</f>
        <v>0</v>
      </c>
      <c r="DZH364" s="373">
        <f>'Q100a-geral'!DZH887</f>
        <v>0</v>
      </c>
      <c r="DZI364" s="373">
        <f>'Q100a-geral'!DZI887</f>
        <v>0</v>
      </c>
      <c r="DZJ364" s="373">
        <f>'Q100a-geral'!DZJ887</f>
        <v>0</v>
      </c>
      <c r="DZK364" s="373">
        <f>'Q100a-geral'!DZK887</f>
        <v>0</v>
      </c>
      <c r="DZL364" s="373">
        <f>'Q100a-geral'!DZL887</f>
        <v>0</v>
      </c>
      <c r="DZM364" s="373">
        <f>'Q100a-geral'!DZM887</f>
        <v>0</v>
      </c>
      <c r="DZN364" s="373">
        <f>'Q100a-geral'!DZN887</f>
        <v>0</v>
      </c>
      <c r="DZO364" s="373">
        <f>'Q100a-geral'!DZO887</f>
        <v>0</v>
      </c>
      <c r="DZP364" s="373">
        <f>'Q100a-geral'!DZP887</f>
        <v>0</v>
      </c>
      <c r="DZQ364" s="373">
        <f>'Q100a-geral'!DZQ887</f>
        <v>0</v>
      </c>
      <c r="DZR364" s="373">
        <f>'Q100a-geral'!DZR887</f>
        <v>0</v>
      </c>
      <c r="DZS364" s="373">
        <f>'Q100a-geral'!DZS887</f>
        <v>0</v>
      </c>
      <c r="DZT364" s="373">
        <f>'Q100a-geral'!DZT887</f>
        <v>0</v>
      </c>
      <c r="DZU364" s="373">
        <f>'Q100a-geral'!DZU887</f>
        <v>0</v>
      </c>
      <c r="DZV364" s="373">
        <f>'Q100a-geral'!DZV887</f>
        <v>0</v>
      </c>
      <c r="DZW364" s="373">
        <f>'Q100a-geral'!DZW887</f>
        <v>0</v>
      </c>
      <c r="DZX364" s="373">
        <f>'Q100a-geral'!DZX887</f>
        <v>0</v>
      </c>
      <c r="DZY364" s="373">
        <f>'Q100a-geral'!DZY887</f>
        <v>0</v>
      </c>
      <c r="DZZ364" s="373">
        <f>'Q100a-geral'!DZZ887</f>
        <v>0</v>
      </c>
      <c r="EAA364" s="373">
        <f>'Q100a-geral'!EAA887</f>
        <v>0</v>
      </c>
      <c r="EAB364" s="373">
        <f>'Q100a-geral'!EAB887</f>
        <v>0</v>
      </c>
      <c r="EAC364" s="373">
        <f>'Q100a-geral'!EAC887</f>
        <v>0</v>
      </c>
      <c r="EAD364" s="373">
        <f>'Q100a-geral'!EAD887</f>
        <v>0</v>
      </c>
      <c r="EAE364" s="373">
        <f>'Q100a-geral'!EAE887</f>
        <v>0</v>
      </c>
      <c r="EAF364" s="373">
        <f>'Q100a-geral'!EAF887</f>
        <v>0</v>
      </c>
      <c r="EAG364" s="373">
        <f>'Q100a-geral'!EAG887</f>
        <v>0</v>
      </c>
      <c r="EAH364" s="373">
        <f>'Q100a-geral'!EAH887</f>
        <v>0</v>
      </c>
      <c r="EAI364" s="373">
        <f>'Q100a-geral'!EAI887</f>
        <v>0</v>
      </c>
      <c r="EAJ364" s="373">
        <f>'Q100a-geral'!EAJ887</f>
        <v>0</v>
      </c>
      <c r="EAK364" s="373">
        <f>'Q100a-geral'!EAK887</f>
        <v>0</v>
      </c>
      <c r="EAL364" s="373">
        <f>'Q100a-geral'!EAL887</f>
        <v>0</v>
      </c>
      <c r="EAM364" s="373">
        <f>'Q100a-geral'!EAM887</f>
        <v>0</v>
      </c>
      <c r="EAN364" s="373">
        <f>'Q100a-geral'!EAN887</f>
        <v>0</v>
      </c>
      <c r="EAO364" s="373">
        <f>'Q100a-geral'!EAO887</f>
        <v>0</v>
      </c>
      <c r="EAP364" s="373">
        <f>'Q100a-geral'!EAP887</f>
        <v>0</v>
      </c>
      <c r="EAQ364" s="373">
        <f>'Q100a-geral'!EAQ887</f>
        <v>0</v>
      </c>
      <c r="EAR364" s="373">
        <f>'Q100a-geral'!EAR887</f>
        <v>0</v>
      </c>
      <c r="EAS364" s="373">
        <f>'Q100a-geral'!EAS887</f>
        <v>0</v>
      </c>
      <c r="EAT364" s="373">
        <f>'Q100a-geral'!EAT887</f>
        <v>0</v>
      </c>
      <c r="EAU364" s="373">
        <f>'Q100a-geral'!EAU887</f>
        <v>0</v>
      </c>
      <c r="EAV364" s="373">
        <f>'Q100a-geral'!EAV887</f>
        <v>0</v>
      </c>
      <c r="EAW364" s="373">
        <f>'Q100a-geral'!EAW887</f>
        <v>0</v>
      </c>
      <c r="EAX364" s="373">
        <f>'Q100a-geral'!EAX887</f>
        <v>0</v>
      </c>
      <c r="EAY364" s="373">
        <f>'Q100a-geral'!EAY887</f>
        <v>0</v>
      </c>
      <c r="EAZ364" s="373">
        <f>'Q100a-geral'!EAZ887</f>
        <v>0</v>
      </c>
      <c r="EBA364" s="373">
        <f>'Q100a-geral'!EBA887</f>
        <v>0</v>
      </c>
      <c r="EBB364" s="373">
        <f>'Q100a-geral'!EBB887</f>
        <v>0</v>
      </c>
      <c r="EBC364" s="373">
        <f>'Q100a-geral'!EBC887</f>
        <v>0</v>
      </c>
      <c r="EBD364" s="373">
        <f>'Q100a-geral'!EBD887</f>
        <v>0</v>
      </c>
      <c r="EBE364" s="373">
        <f>'Q100a-geral'!EBE887</f>
        <v>0</v>
      </c>
      <c r="EBF364" s="373">
        <f>'Q100a-geral'!EBF887</f>
        <v>0</v>
      </c>
      <c r="EBG364" s="373">
        <f>'Q100a-geral'!EBG887</f>
        <v>0</v>
      </c>
      <c r="EBH364" s="373">
        <f>'Q100a-geral'!EBH887</f>
        <v>0</v>
      </c>
      <c r="EBI364" s="373">
        <f>'Q100a-geral'!EBI887</f>
        <v>0</v>
      </c>
      <c r="EBJ364" s="373">
        <f>'Q100a-geral'!EBJ887</f>
        <v>0</v>
      </c>
      <c r="EBK364" s="373">
        <f>'Q100a-geral'!EBK887</f>
        <v>0</v>
      </c>
      <c r="EBL364" s="373">
        <f>'Q100a-geral'!EBL887</f>
        <v>0</v>
      </c>
      <c r="EBM364" s="373">
        <f>'Q100a-geral'!EBM887</f>
        <v>0</v>
      </c>
      <c r="EBN364" s="373">
        <f>'Q100a-geral'!EBN887</f>
        <v>0</v>
      </c>
      <c r="EBO364" s="373">
        <f>'Q100a-geral'!EBO887</f>
        <v>0</v>
      </c>
      <c r="EBP364" s="373">
        <f>'Q100a-geral'!EBP887</f>
        <v>0</v>
      </c>
      <c r="EBQ364" s="373">
        <f>'Q100a-geral'!EBQ887</f>
        <v>0</v>
      </c>
      <c r="EBR364" s="373">
        <f>'Q100a-geral'!EBR887</f>
        <v>0</v>
      </c>
      <c r="EBS364" s="373">
        <f>'Q100a-geral'!EBS887</f>
        <v>0</v>
      </c>
      <c r="EBT364" s="373">
        <f>'Q100a-geral'!EBT887</f>
        <v>0</v>
      </c>
      <c r="EBU364" s="373">
        <f>'Q100a-geral'!EBU887</f>
        <v>0</v>
      </c>
      <c r="EBV364" s="373">
        <f>'Q100a-geral'!EBV887</f>
        <v>0</v>
      </c>
      <c r="EBW364" s="373">
        <f>'Q100a-geral'!EBW887</f>
        <v>0</v>
      </c>
      <c r="EBX364" s="373">
        <f>'Q100a-geral'!EBX887</f>
        <v>0</v>
      </c>
      <c r="EBY364" s="373">
        <f>'Q100a-geral'!EBY887</f>
        <v>0</v>
      </c>
      <c r="EBZ364" s="373">
        <f>'Q100a-geral'!EBZ887</f>
        <v>0</v>
      </c>
      <c r="ECA364" s="373">
        <f>'Q100a-geral'!ECA887</f>
        <v>0</v>
      </c>
      <c r="ECB364" s="373">
        <f>'Q100a-geral'!ECB887</f>
        <v>0</v>
      </c>
      <c r="ECC364" s="373">
        <f>'Q100a-geral'!ECC887</f>
        <v>0</v>
      </c>
      <c r="ECD364" s="373">
        <f>'Q100a-geral'!ECD887</f>
        <v>0</v>
      </c>
      <c r="ECE364" s="373">
        <f>'Q100a-geral'!ECE887</f>
        <v>0</v>
      </c>
      <c r="ECF364" s="373">
        <f>'Q100a-geral'!ECF887</f>
        <v>0</v>
      </c>
      <c r="ECG364" s="373">
        <f>'Q100a-geral'!ECG887</f>
        <v>0</v>
      </c>
      <c r="ECH364" s="373">
        <f>'Q100a-geral'!ECH887</f>
        <v>0</v>
      </c>
      <c r="ECI364" s="373">
        <f>'Q100a-geral'!ECI887</f>
        <v>0</v>
      </c>
      <c r="ECJ364" s="373">
        <f>'Q100a-geral'!ECJ887</f>
        <v>0</v>
      </c>
      <c r="ECK364" s="373">
        <f>'Q100a-geral'!ECK887</f>
        <v>0</v>
      </c>
      <c r="ECL364" s="373">
        <f>'Q100a-geral'!ECL887</f>
        <v>0</v>
      </c>
      <c r="ECM364" s="373">
        <f>'Q100a-geral'!ECM887</f>
        <v>0</v>
      </c>
      <c r="ECN364" s="373">
        <f>'Q100a-geral'!ECN887</f>
        <v>0</v>
      </c>
      <c r="ECO364" s="373">
        <f>'Q100a-geral'!ECO887</f>
        <v>0</v>
      </c>
      <c r="ECP364" s="373">
        <f>'Q100a-geral'!ECP887</f>
        <v>0</v>
      </c>
      <c r="ECQ364" s="373">
        <f>'Q100a-geral'!ECQ887</f>
        <v>0</v>
      </c>
      <c r="ECR364" s="373">
        <f>'Q100a-geral'!ECR887</f>
        <v>0</v>
      </c>
      <c r="ECS364" s="373">
        <f>'Q100a-geral'!ECS887</f>
        <v>0</v>
      </c>
      <c r="ECT364" s="373">
        <f>'Q100a-geral'!ECT887</f>
        <v>0</v>
      </c>
      <c r="ECU364" s="373">
        <f>'Q100a-geral'!ECU887</f>
        <v>0</v>
      </c>
      <c r="ECV364" s="373">
        <f>'Q100a-geral'!ECV887</f>
        <v>0</v>
      </c>
      <c r="ECW364" s="373">
        <f>'Q100a-geral'!ECW887</f>
        <v>0</v>
      </c>
      <c r="ECX364" s="373">
        <f>'Q100a-geral'!ECX887</f>
        <v>0</v>
      </c>
      <c r="ECY364" s="373">
        <f>'Q100a-geral'!ECY887</f>
        <v>0</v>
      </c>
      <c r="ECZ364" s="373">
        <f>'Q100a-geral'!ECZ887</f>
        <v>0</v>
      </c>
      <c r="EDA364" s="373">
        <f>'Q100a-geral'!EDA887</f>
        <v>0</v>
      </c>
      <c r="EDB364" s="373">
        <f>'Q100a-geral'!EDB887</f>
        <v>0</v>
      </c>
      <c r="EDC364" s="373">
        <f>'Q100a-geral'!EDC887</f>
        <v>0</v>
      </c>
      <c r="EDD364" s="373">
        <f>'Q100a-geral'!EDD887</f>
        <v>0</v>
      </c>
      <c r="EDE364" s="373">
        <f>'Q100a-geral'!EDE887</f>
        <v>0</v>
      </c>
      <c r="EDF364" s="373">
        <f>'Q100a-geral'!EDF887</f>
        <v>0</v>
      </c>
      <c r="EDG364" s="373">
        <f>'Q100a-geral'!EDG887</f>
        <v>0</v>
      </c>
      <c r="EDH364" s="373">
        <f>'Q100a-geral'!EDH887</f>
        <v>0</v>
      </c>
      <c r="EDI364" s="373">
        <f>'Q100a-geral'!EDI887</f>
        <v>0</v>
      </c>
      <c r="EDJ364" s="373">
        <f>'Q100a-geral'!EDJ887</f>
        <v>0</v>
      </c>
      <c r="EDK364" s="373">
        <f>'Q100a-geral'!EDK887</f>
        <v>0</v>
      </c>
      <c r="EDL364" s="373">
        <f>'Q100a-geral'!EDL887</f>
        <v>0</v>
      </c>
      <c r="EDM364" s="373">
        <f>'Q100a-geral'!EDM887</f>
        <v>0</v>
      </c>
      <c r="EDN364" s="373">
        <f>'Q100a-geral'!EDN887</f>
        <v>0</v>
      </c>
      <c r="EDO364" s="373">
        <f>'Q100a-geral'!EDO887</f>
        <v>0</v>
      </c>
      <c r="EDP364" s="373">
        <f>'Q100a-geral'!EDP887</f>
        <v>0</v>
      </c>
      <c r="EDQ364" s="373">
        <f>'Q100a-geral'!EDQ887</f>
        <v>0</v>
      </c>
      <c r="EDR364" s="373">
        <f>'Q100a-geral'!EDR887</f>
        <v>0</v>
      </c>
      <c r="EDS364" s="373">
        <f>'Q100a-geral'!EDS887</f>
        <v>0</v>
      </c>
      <c r="EDT364" s="373">
        <f>'Q100a-geral'!EDT887</f>
        <v>0</v>
      </c>
      <c r="EDU364" s="373">
        <f>'Q100a-geral'!EDU887</f>
        <v>0</v>
      </c>
      <c r="EDV364" s="373">
        <f>'Q100a-geral'!EDV887</f>
        <v>0</v>
      </c>
      <c r="EDW364" s="373">
        <f>'Q100a-geral'!EDW887</f>
        <v>0</v>
      </c>
      <c r="EDX364" s="373">
        <f>'Q100a-geral'!EDX887</f>
        <v>0</v>
      </c>
      <c r="EDY364" s="373">
        <f>'Q100a-geral'!EDY887</f>
        <v>0</v>
      </c>
      <c r="EDZ364" s="373">
        <f>'Q100a-geral'!EDZ887</f>
        <v>0</v>
      </c>
      <c r="EEA364" s="373">
        <f>'Q100a-geral'!EEA887</f>
        <v>0</v>
      </c>
      <c r="EEB364" s="373">
        <f>'Q100a-geral'!EEB887</f>
        <v>0</v>
      </c>
      <c r="EEC364" s="373">
        <f>'Q100a-geral'!EEC887</f>
        <v>0</v>
      </c>
      <c r="EED364" s="373">
        <f>'Q100a-geral'!EED887</f>
        <v>0</v>
      </c>
      <c r="EEE364" s="373">
        <f>'Q100a-geral'!EEE887</f>
        <v>0</v>
      </c>
      <c r="EEF364" s="373">
        <f>'Q100a-geral'!EEF887</f>
        <v>0</v>
      </c>
      <c r="EEG364" s="373">
        <f>'Q100a-geral'!EEG887</f>
        <v>0</v>
      </c>
      <c r="EEH364" s="373">
        <f>'Q100a-geral'!EEH887</f>
        <v>0</v>
      </c>
      <c r="EEI364" s="373">
        <f>'Q100a-geral'!EEI887</f>
        <v>0</v>
      </c>
      <c r="EEJ364" s="373">
        <f>'Q100a-geral'!EEJ887</f>
        <v>0</v>
      </c>
      <c r="EEK364" s="373">
        <f>'Q100a-geral'!EEK887</f>
        <v>0</v>
      </c>
      <c r="EEL364" s="373">
        <f>'Q100a-geral'!EEL887</f>
        <v>0</v>
      </c>
      <c r="EEM364" s="373">
        <f>'Q100a-geral'!EEM887</f>
        <v>0</v>
      </c>
      <c r="EEN364" s="373">
        <f>'Q100a-geral'!EEN887</f>
        <v>0</v>
      </c>
      <c r="EEO364" s="373">
        <f>'Q100a-geral'!EEO887</f>
        <v>0</v>
      </c>
      <c r="EEP364" s="373">
        <f>'Q100a-geral'!EEP887</f>
        <v>0</v>
      </c>
      <c r="EEQ364" s="373">
        <f>'Q100a-geral'!EEQ887</f>
        <v>0</v>
      </c>
      <c r="EER364" s="373">
        <f>'Q100a-geral'!EER887</f>
        <v>0</v>
      </c>
      <c r="EES364" s="373">
        <f>'Q100a-geral'!EES887</f>
        <v>0</v>
      </c>
      <c r="EET364" s="373">
        <f>'Q100a-geral'!EET887</f>
        <v>0</v>
      </c>
      <c r="EEU364" s="373">
        <f>'Q100a-geral'!EEU887</f>
        <v>0</v>
      </c>
      <c r="EEV364" s="373">
        <f>'Q100a-geral'!EEV887</f>
        <v>0</v>
      </c>
      <c r="EEW364" s="373">
        <f>'Q100a-geral'!EEW887</f>
        <v>0</v>
      </c>
      <c r="EEX364" s="373">
        <f>'Q100a-geral'!EEX887</f>
        <v>0</v>
      </c>
      <c r="EEY364" s="373">
        <f>'Q100a-geral'!EEY887</f>
        <v>0</v>
      </c>
      <c r="EEZ364" s="373">
        <f>'Q100a-geral'!EEZ887</f>
        <v>0</v>
      </c>
      <c r="EFA364" s="373">
        <f>'Q100a-geral'!EFA887</f>
        <v>0</v>
      </c>
      <c r="EFB364" s="373">
        <f>'Q100a-geral'!EFB887</f>
        <v>0</v>
      </c>
      <c r="EFC364" s="373">
        <f>'Q100a-geral'!EFC887</f>
        <v>0</v>
      </c>
      <c r="EFD364" s="373">
        <f>'Q100a-geral'!EFD887</f>
        <v>0</v>
      </c>
      <c r="EFE364" s="373">
        <f>'Q100a-geral'!EFE887</f>
        <v>0</v>
      </c>
      <c r="EFF364" s="373">
        <f>'Q100a-geral'!EFF887</f>
        <v>0</v>
      </c>
      <c r="EFG364" s="373">
        <f>'Q100a-geral'!EFG887</f>
        <v>0</v>
      </c>
      <c r="EFH364" s="373">
        <f>'Q100a-geral'!EFH887</f>
        <v>0</v>
      </c>
      <c r="EFI364" s="373">
        <f>'Q100a-geral'!EFI887</f>
        <v>0</v>
      </c>
      <c r="EFJ364" s="373">
        <f>'Q100a-geral'!EFJ887</f>
        <v>0</v>
      </c>
      <c r="EFK364" s="373">
        <f>'Q100a-geral'!EFK887</f>
        <v>0</v>
      </c>
      <c r="EFL364" s="373">
        <f>'Q100a-geral'!EFL887</f>
        <v>0</v>
      </c>
      <c r="EFM364" s="373">
        <f>'Q100a-geral'!EFM887</f>
        <v>0</v>
      </c>
      <c r="EFN364" s="373">
        <f>'Q100a-geral'!EFN887</f>
        <v>0</v>
      </c>
      <c r="EFO364" s="373">
        <f>'Q100a-geral'!EFO887</f>
        <v>0</v>
      </c>
      <c r="EFP364" s="373">
        <f>'Q100a-geral'!EFP887</f>
        <v>0</v>
      </c>
      <c r="EFQ364" s="373">
        <f>'Q100a-geral'!EFQ887</f>
        <v>0</v>
      </c>
      <c r="EFR364" s="373">
        <f>'Q100a-geral'!EFR887</f>
        <v>0</v>
      </c>
      <c r="EFS364" s="373">
        <f>'Q100a-geral'!EFS887</f>
        <v>0</v>
      </c>
      <c r="EFT364" s="373">
        <f>'Q100a-geral'!EFT887</f>
        <v>0</v>
      </c>
      <c r="EFU364" s="373">
        <f>'Q100a-geral'!EFU887</f>
        <v>0</v>
      </c>
      <c r="EFV364" s="373">
        <f>'Q100a-geral'!EFV887</f>
        <v>0</v>
      </c>
      <c r="EFW364" s="373">
        <f>'Q100a-geral'!EFW887</f>
        <v>0</v>
      </c>
      <c r="EFX364" s="373">
        <f>'Q100a-geral'!EFX887</f>
        <v>0</v>
      </c>
      <c r="EFY364" s="373">
        <f>'Q100a-geral'!EFY887</f>
        <v>0</v>
      </c>
      <c r="EFZ364" s="373">
        <f>'Q100a-geral'!EFZ887</f>
        <v>0</v>
      </c>
      <c r="EGA364" s="373">
        <f>'Q100a-geral'!EGA887</f>
        <v>0</v>
      </c>
      <c r="EGB364" s="373">
        <f>'Q100a-geral'!EGB887</f>
        <v>0</v>
      </c>
      <c r="EGC364" s="373">
        <f>'Q100a-geral'!EGC887</f>
        <v>0</v>
      </c>
      <c r="EGD364" s="373">
        <f>'Q100a-geral'!EGD887</f>
        <v>0</v>
      </c>
      <c r="EGE364" s="373">
        <f>'Q100a-geral'!EGE887</f>
        <v>0</v>
      </c>
      <c r="EGF364" s="373">
        <f>'Q100a-geral'!EGF887</f>
        <v>0</v>
      </c>
      <c r="EGG364" s="373">
        <f>'Q100a-geral'!EGG887</f>
        <v>0</v>
      </c>
      <c r="EGH364" s="373">
        <f>'Q100a-geral'!EGH887</f>
        <v>0</v>
      </c>
      <c r="EGI364" s="373">
        <f>'Q100a-geral'!EGI887</f>
        <v>0</v>
      </c>
      <c r="EGJ364" s="373">
        <f>'Q100a-geral'!EGJ887</f>
        <v>0</v>
      </c>
      <c r="EGK364" s="373">
        <f>'Q100a-geral'!EGK887</f>
        <v>0</v>
      </c>
      <c r="EGL364" s="373">
        <f>'Q100a-geral'!EGL887</f>
        <v>0</v>
      </c>
      <c r="EGM364" s="373">
        <f>'Q100a-geral'!EGM887</f>
        <v>0</v>
      </c>
      <c r="EGN364" s="373">
        <f>'Q100a-geral'!EGN887</f>
        <v>0</v>
      </c>
      <c r="EGO364" s="373">
        <f>'Q100a-geral'!EGO887</f>
        <v>0</v>
      </c>
      <c r="EGP364" s="373">
        <f>'Q100a-geral'!EGP887</f>
        <v>0</v>
      </c>
      <c r="EGQ364" s="373">
        <f>'Q100a-geral'!EGQ887</f>
        <v>0</v>
      </c>
      <c r="EGR364" s="373">
        <f>'Q100a-geral'!EGR887</f>
        <v>0</v>
      </c>
      <c r="EGS364" s="373">
        <f>'Q100a-geral'!EGS887</f>
        <v>0</v>
      </c>
      <c r="EGT364" s="373">
        <f>'Q100a-geral'!EGT887</f>
        <v>0</v>
      </c>
      <c r="EGU364" s="373">
        <f>'Q100a-geral'!EGU887</f>
        <v>0</v>
      </c>
      <c r="EGV364" s="373">
        <f>'Q100a-geral'!EGV887</f>
        <v>0</v>
      </c>
      <c r="EGW364" s="373">
        <f>'Q100a-geral'!EGW887</f>
        <v>0</v>
      </c>
      <c r="EGX364" s="373">
        <f>'Q100a-geral'!EGX887</f>
        <v>0</v>
      </c>
      <c r="EGY364" s="373">
        <f>'Q100a-geral'!EGY887</f>
        <v>0</v>
      </c>
      <c r="EGZ364" s="373">
        <f>'Q100a-geral'!EGZ887</f>
        <v>0</v>
      </c>
      <c r="EHA364" s="373">
        <f>'Q100a-geral'!EHA887</f>
        <v>0</v>
      </c>
      <c r="EHB364" s="373">
        <f>'Q100a-geral'!EHB887</f>
        <v>0</v>
      </c>
      <c r="EHC364" s="373">
        <f>'Q100a-geral'!EHC887</f>
        <v>0</v>
      </c>
      <c r="EHD364" s="373">
        <f>'Q100a-geral'!EHD887</f>
        <v>0</v>
      </c>
      <c r="EHE364" s="373">
        <f>'Q100a-geral'!EHE887</f>
        <v>0</v>
      </c>
      <c r="EHF364" s="373">
        <f>'Q100a-geral'!EHF887</f>
        <v>0</v>
      </c>
      <c r="EHG364" s="373">
        <f>'Q100a-geral'!EHG887</f>
        <v>0</v>
      </c>
      <c r="EHH364" s="373">
        <f>'Q100a-geral'!EHH887</f>
        <v>0</v>
      </c>
      <c r="EHI364" s="373">
        <f>'Q100a-geral'!EHI887</f>
        <v>0</v>
      </c>
      <c r="EHJ364" s="373">
        <f>'Q100a-geral'!EHJ887</f>
        <v>0</v>
      </c>
      <c r="EHK364" s="373">
        <f>'Q100a-geral'!EHK887</f>
        <v>0</v>
      </c>
      <c r="EHL364" s="373">
        <f>'Q100a-geral'!EHL887</f>
        <v>0</v>
      </c>
      <c r="EHM364" s="373">
        <f>'Q100a-geral'!EHM887</f>
        <v>0</v>
      </c>
      <c r="EHN364" s="373">
        <f>'Q100a-geral'!EHN887</f>
        <v>0</v>
      </c>
      <c r="EHO364" s="373">
        <f>'Q100a-geral'!EHO887</f>
        <v>0</v>
      </c>
      <c r="EHP364" s="373">
        <f>'Q100a-geral'!EHP887</f>
        <v>0</v>
      </c>
      <c r="EHQ364" s="373">
        <f>'Q100a-geral'!EHQ887</f>
        <v>0</v>
      </c>
      <c r="EHR364" s="373">
        <f>'Q100a-geral'!EHR887</f>
        <v>0</v>
      </c>
      <c r="EHS364" s="373">
        <f>'Q100a-geral'!EHS887</f>
        <v>0</v>
      </c>
      <c r="EHT364" s="373">
        <f>'Q100a-geral'!EHT887</f>
        <v>0</v>
      </c>
      <c r="EHU364" s="373">
        <f>'Q100a-geral'!EHU887</f>
        <v>0</v>
      </c>
      <c r="EHV364" s="373">
        <f>'Q100a-geral'!EHV887</f>
        <v>0</v>
      </c>
      <c r="EHW364" s="373">
        <f>'Q100a-geral'!EHW887</f>
        <v>0</v>
      </c>
      <c r="EHX364" s="373">
        <f>'Q100a-geral'!EHX887</f>
        <v>0</v>
      </c>
      <c r="EHY364" s="373">
        <f>'Q100a-geral'!EHY887</f>
        <v>0</v>
      </c>
      <c r="EHZ364" s="373">
        <f>'Q100a-geral'!EHZ887</f>
        <v>0</v>
      </c>
      <c r="EIA364" s="373">
        <f>'Q100a-geral'!EIA887</f>
        <v>0</v>
      </c>
      <c r="EIB364" s="373">
        <f>'Q100a-geral'!EIB887</f>
        <v>0</v>
      </c>
      <c r="EIC364" s="373">
        <f>'Q100a-geral'!EIC887</f>
        <v>0</v>
      </c>
      <c r="EID364" s="373">
        <f>'Q100a-geral'!EID887</f>
        <v>0</v>
      </c>
      <c r="EIE364" s="373">
        <f>'Q100a-geral'!EIE887</f>
        <v>0</v>
      </c>
      <c r="EIF364" s="373">
        <f>'Q100a-geral'!EIF887</f>
        <v>0</v>
      </c>
      <c r="EIG364" s="373">
        <f>'Q100a-geral'!EIG887</f>
        <v>0</v>
      </c>
      <c r="EIH364" s="373">
        <f>'Q100a-geral'!EIH887</f>
        <v>0</v>
      </c>
      <c r="EII364" s="373">
        <f>'Q100a-geral'!EII887</f>
        <v>0</v>
      </c>
      <c r="EIJ364" s="373">
        <f>'Q100a-geral'!EIJ887</f>
        <v>0</v>
      </c>
      <c r="EIK364" s="373">
        <f>'Q100a-geral'!EIK887</f>
        <v>0</v>
      </c>
      <c r="EIL364" s="373">
        <f>'Q100a-geral'!EIL887</f>
        <v>0</v>
      </c>
      <c r="EIM364" s="373">
        <f>'Q100a-geral'!EIM887</f>
        <v>0</v>
      </c>
      <c r="EIN364" s="373">
        <f>'Q100a-geral'!EIN887</f>
        <v>0</v>
      </c>
      <c r="EIO364" s="373">
        <f>'Q100a-geral'!EIO887</f>
        <v>0</v>
      </c>
      <c r="EIP364" s="373">
        <f>'Q100a-geral'!EIP887</f>
        <v>0</v>
      </c>
      <c r="EIQ364" s="373">
        <f>'Q100a-geral'!EIQ887</f>
        <v>0</v>
      </c>
      <c r="EIR364" s="373">
        <f>'Q100a-geral'!EIR887</f>
        <v>0</v>
      </c>
      <c r="EIS364" s="373">
        <f>'Q100a-geral'!EIS887</f>
        <v>0</v>
      </c>
      <c r="EIT364" s="373">
        <f>'Q100a-geral'!EIT887</f>
        <v>0</v>
      </c>
      <c r="EIU364" s="373">
        <f>'Q100a-geral'!EIU887</f>
        <v>0</v>
      </c>
      <c r="EIV364" s="373">
        <f>'Q100a-geral'!EIV887</f>
        <v>0</v>
      </c>
      <c r="EIW364" s="373">
        <f>'Q100a-geral'!EIW887</f>
        <v>0</v>
      </c>
      <c r="EIX364" s="373">
        <f>'Q100a-geral'!EIX887</f>
        <v>0</v>
      </c>
      <c r="EIY364" s="373">
        <f>'Q100a-geral'!EIY887</f>
        <v>0</v>
      </c>
      <c r="EIZ364" s="373">
        <f>'Q100a-geral'!EIZ887</f>
        <v>0</v>
      </c>
      <c r="EJA364" s="373">
        <f>'Q100a-geral'!EJA887</f>
        <v>0</v>
      </c>
      <c r="EJB364" s="373">
        <f>'Q100a-geral'!EJB887</f>
        <v>0</v>
      </c>
      <c r="EJC364" s="373">
        <f>'Q100a-geral'!EJC887</f>
        <v>0</v>
      </c>
      <c r="EJD364" s="373">
        <f>'Q100a-geral'!EJD887</f>
        <v>0</v>
      </c>
      <c r="EJE364" s="373">
        <f>'Q100a-geral'!EJE887</f>
        <v>0</v>
      </c>
      <c r="EJF364" s="373">
        <f>'Q100a-geral'!EJF887</f>
        <v>0</v>
      </c>
      <c r="EJG364" s="373">
        <f>'Q100a-geral'!EJG887</f>
        <v>0</v>
      </c>
      <c r="EJH364" s="373">
        <f>'Q100a-geral'!EJH887</f>
        <v>0</v>
      </c>
      <c r="EJI364" s="373">
        <f>'Q100a-geral'!EJI887</f>
        <v>0</v>
      </c>
      <c r="EJJ364" s="373">
        <f>'Q100a-geral'!EJJ887</f>
        <v>0</v>
      </c>
      <c r="EJK364" s="373">
        <f>'Q100a-geral'!EJK887</f>
        <v>0</v>
      </c>
      <c r="EJL364" s="373">
        <f>'Q100a-geral'!EJL887</f>
        <v>0</v>
      </c>
      <c r="EJM364" s="373">
        <f>'Q100a-geral'!EJM887</f>
        <v>0</v>
      </c>
      <c r="EJN364" s="373">
        <f>'Q100a-geral'!EJN887</f>
        <v>0</v>
      </c>
      <c r="EJO364" s="373">
        <f>'Q100a-geral'!EJO887</f>
        <v>0</v>
      </c>
      <c r="EJP364" s="373">
        <f>'Q100a-geral'!EJP887</f>
        <v>0</v>
      </c>
      <c r="EJQ364" s="373">
        <f>'Q100a-geral'!EJQ887</f>
        <v>0</v>
      </c>
      <c r="EJR364" s="373">
        <f>'Q100a-geral'!EJR887</f>
        <v>0</v>
      </c>
      <c r="EJS364" s="373">
        <f>'Q100a-geral'!EJS887</f>
        <v>0</v>
      </c>
      <c r="EJT364" s="373">
        <f>'Q100a-geral'!EJT887</f>
        <v>0</v>
      </c>
      <c r="EJU364" s="373">
        <f>'Q100a-geral'!EJU887</f>
        <v>0</v>
      </c>
      <c r="EJV364" s="373">
        <f>'Q100a-geral'!EJV887</f>
        <v>0</v>
      </c>
      <c r="EJW364" s="373">
        <f>'Q100a-geral'!EJW887</f>
        <v>0</v>
      </c>
      <c r="EJX364" s="373">
        <f>'Q100a-geral'!EJX887</f>
        <v>0</v>
      </c>
      <c r="EJY364" s="373">
        <f>'Q100a-geral'!EJY887</f>
        <v>0</v>
      </c>
      <c r="EJZ364" s="373">
        <f>'Q100a-geral'!EJZ887</f>
        <v>0</v>
      </c>
      <c r="EKA364" s="373">
        <f>'Q100a-geral'!EKA887</f>
        <v>0</v>
      </c>
      <c r="EKB364" s="373">
        <f>'Q100a-geral'!EKB887</f>
        <v>0</v>
      </c>
      <c r="EKC364" s="373">
        <f>'Q100a-geral'!EKC887</f>
        <v>0</v>
      </c>
      <c r="EKD364" s="373">
        <f>'Q100a-geral'!EKD887</f>
        <v>0</v>
      </c>
      <c r="EKE364" s="373">
        <f>'Q100a-geral'!EKE887</f>
        <v>0</v>
      </c>
      <c r="EKF364" s="373">
        <f>'Q100a-geral'!EKF887</f>
        <v>0</v>
      </c>
      <c r="EKG364" s="373">
        <f>'Q100a-geral'!EKG887</f>
        <v>0</v>
      </c>
      <c r="EKH364" s="373">
        <f>'Q100a-geral'!EKH887</f>
        <v>0</v>
      </c>
      <c r="EKI364" s="373">
        <f>'Q100a-geral'!EKI887</f>
        <v>0</v>
      </c>
      <c r="EKJ364" s="373">
        <f>'Q100a-geral'!EKJ887</f>
        <v>0</v>
      </c>
      <c r="EKK364" s="373">
        <f>'Q100a-geral'!EKK887</f>
        <v>0</v>
      </c>
      <c r="EKL364" s="373">
        <f>'Q100a-geral'!EKL887</f>
        <v>0</v>
      </c>
      <c r="EKM364" s="373">
        <f>'Q100a-geral'!EKM887</f>
        <v>0</v>
      </c>
      <c r="EKN364" s="373">
        <f>'Q100a-geral'!EKN887</f>
        <v>0</v>
      </c>
      <c r="EKO364" s="373">
        <f>'Q100a-geral'!EKO887</f>
        <v>0</v>
      </c>
      <c r="EKP364" s="373">
        <f>'Q100a-geral'!EKP887</f>
        <v>0</v>
      </c>
      <c r="EKQ364" s="373">
        <f>'Q100a-geral'!EKQ887</f>
        <v>0</v>
      </c>
      <c r="EKR364" s="373">
        <f>'Q100a-geral'!EKR887</f>
        <v>0</v>
      </c>
      <c r="EKS364" s="373">
        <f>'Q100a-geral'!EKS887</f>
        <v>0</v>
      </c>
      <c r="EKT364" s="373">
        <f>'Q100a-geral'!EKT887</f>
        <v>0</v>
      </c>
      <c r="EKU364" s="373">
        <f>'Q100a-geral'!EKU887</f>
        <v>0</v>
      </c>
      <c r="EKV364" s="373">
        <f>'Q100a-geral'!EKV887</f>
        <v>0</v>
      </c>
      <c r="EKW364" s="373">
        <f>'Q100a-geral'!EKW887</f>
        <v>0</v>
      </c>
      <c r="EKX364" s="373">
        <f>'Q100a-geral'!EKX887</f>
        <v>0</v>
      </c>
      <c r="EKY364" s="373">
        <f>'Q100a-geral'!EKY887</f>
        <v>0</v>
      </c>
      <c r="EKZ364" s="373">
        <f>'Q100a-geral'!EKZ887</f>
        <v>0</v>
      </c>
      <c r="ELA364" s="373">
        <f>'Q100a-geral'!ELA887</f>
        <v>0</v>
      </c>
      <c r="ELB364" s="373">
        <f>'Q100a-geral'!ELB887</f>
        <v>0</v>
      </c>
      <c r="ELC364" s="373">
        <f>'Q100a-geral'!ELC887</f>
        <v>0</v>
      </c>
      <c r="ELD364" s="373">
        <f>'Q100a-geral'!ELD887</f>
        <v>0</v>
      </c>
      <c r="ELE364" s="373">
        <f>'Q100a-geral'!ELE887</f>
        <v>0</v>
      </c>
      <c r="ELF364" s="373">
        <f>'Q100a-geral'!ELF887</f>
        <v>0</v>
      </c>
      <c r="ELG364" s="373">
        <f>'Q100a-geral'!ELG887</f>
        <v>0</v>
      </c>
      <c r="ELH364" s="373">
        <f>'Q100a-geral'!ELH887</f>
        <v>0</v>
      </c>
      <c r="ELI364" s="373">
        <f>'Q100a-geral'!ELI887</f>
        <v>0</v>
      </c>
      <c r="ELJ364" s="373">
        <f>'Q100a-geral'!ELJ887</f>
        <v>0</v>
      </c>
      <c r="ELK364" s="373">
        <f>'Q100a-geral'!ELK887</f>
        <v>0</v>
      </c>
      <c r="ELL364" s="373">
        <f>'Q100a-geral'!ELL887</f>
        <v>0</v>
      </c>
      <c r="ELM364" s="373">
        <f>'Q100a-geral'!ELM887</f>
        <v>0</v>
      </c>
      <c r="ELN364" s="373">
        <f>'Q100a-geral'!ELN887</f>
        <v>0</v>
      </c>
      <c r="ELO364" s="373">
        <f>'Q100a-geral'!ELO887</f>
        <v>0</v>
      </c>
      <c r="ELP364" s="373">
        <f>'Q100a-geral'!ELP887</f>
        <v>0</v>
      </c>
      <c r="ELQ364" s="373">
        <f>'Q100a-geral'!ELQ887</f>
        <v>0</v>
      </c>
      <c r="ELR364" s="373">
        <f>'Q100a-geral'!ELR887</f>
        <v>0</v>
      </c>
      <c r="ELS364" s="373">
        <f>'Q100a-geral'!ELS887</f>
        <v>0</v>
      </c>
      <c r="ELT364" s="373">
        <f>'Q100a-geral'!ELT887</f>
        <v>0</v>
      </c>
      <c r="ELU364" s="373">
        <f>'Q100a-geral'!ELU887</f>
        <v>0</v>
      </c>
      <c r="ELV364" s="373">
        <f>'Q100a-geral'!ELV887</f>
        <v>0</v>
      </c>
      <c r="ELW364" s="373">
        <f>'Q100a-geral'!ELW887</f>
        <v>0</v>
      </c>
      <c r="ELX364" s="373">
        <f>'Q100a-geral'!ELX887</f>
        <v>0</v>
      </c>
      <c r="ELY364" s="373">
        <f>'Q100a-geral'!ELY887</f>
        <v>0</v>
      </c>
      <c r="ELZ364" s="373">
        <f>'Q100a-geral'!ELZ887</f>
        <v>0</v>
      </c>
      <c r="EMA364" s="373">
        <f>'Q100a-geral'!EMA887</f>
        <v>0</v>
      </c>
      <c r="EMB364" s="373">
        <f>'Q100a-geral'!EMB887</f>
        <v>0</v>
      </c>
      <c r="EMC364" s="373">
        <f>'Q100a-geral'!EMC887</f>
        <v>0</v>
      </c>
      <c r="EMD364" s="373">
        <f>'Q100a-geral'!EMD887</f>
        <v>0</v>
      </c>
      <c r="EME364" s="373">
        <f>'Q100a-geral'!EME887</f>
        <v>0</v>
      </c>
      <c r="EMF364" s="373">
        <f>'Q100a-geral'!EMF887</f>
        <v>0</v>
      </c>
      <c r="EMG364" s="373">
        <f>'Q100a-geral'!EMG887</f>
        <v>0</v>
      </c>
      <c r="EMH364" s="373">
        <f>'Q100a-geral'!EMH887</f>
        <v>0</v>
      </c>
      <c r="EMI364" s="373">
        <f>'Q100a-geral'!EMI887</f>
        <v>0</v>
      </c>
      <c r="EMJ364" s="373">
        <f>'Q100a-geral'!EMJ887</f>
        <v>0</v>
      </c>
      <c r="EMK364" s="373">
        <f>'Q100a-geral'!EMK887</f>
        <v>0</v>
      </c>
      <c r="EML364" s="373">
        <f>'Q100a-geral'!EML887</f>
        <v>0</v>
      </c>
      <c r="EMM364" s="373">
        <f>'Q100a-geral'!EMM887</f>
        <v>0</v>
      </c>
      <c r="EMN364" s="373">
        <f>'Q100a-geral'!EMN887</f>
        <v>0</v>
      </c>
      <c r="EMO364" s="373">
        <f>'Q100a-geral'!EMO887</f>
        <v>0</v>
      </c>
      <c r="EMP364" s="373">
        <f>'Q100a-geral'!EMP887</f>
        <v>0</v>
      </c>
      <c r="EMQ364" s="373">
        <f>'Q100a-geral'!EMQ887</f>
        <v>0</v>
      </c>
      <c r="EMR364" s="373">
        <f>'Q100a-geral'!EMR887</f>
        <v>0</v>
      </c>
      <c r="EMS364" s="373">
        <f>'Q100a-geral'!EMS887</f>
        <v>0</v>
      </c>
      <c r="EMT364" s="373">
        <f>'Q100a-geral'!EMT887</f>
        <v>0</v>
      </c>
      <c r="EMU364" s="373">
        <f>'Q100a-geral'!EMU887</f>
        <v>0</v>
      </c>
      <c r="EMV364" s="373">
        <f>'Q100a-geral'!EMV887</f>
        <v>0</v>
      </c>
      <c r="EMW364" s="373">
        <f>'Q100a-geral'!EMW887</f>
        <v>0</v>
      </c>
      <c r="EMX364" s="373">
        <f>'Q100a-geral'!EMX887</f>
        <v>0</v>
      </c>
      <c r="EMY364" s="373">
        <f>'Q100a-geral'!EMY887</f>
        <v>0</v>
      </c>
      <c r="EMZ364" s="373">
        <f>'Q100a-geral'!EMZ887</f>
        <v>0</v>
      </c>
      <c r="ENA364" s="373">
        <f>'Q100a-geral'!ENA887</f>
        <v>0</v>
      </c>
      <c r="ENB364" s="373">
        <f>'Q100a-geral'!ENB887</f>
        <v>0</v>
      </c>
      <c r="ENC364" s="373">
        <f>'Q100a-geral'!ENC887</f>
        <v>0</v>
      </c>
      <c r="END364" s="373">
        <f>'Q100a-geral'!END887</f>
        <v>0</v>
      </c>
      <c r="ENE364" s="373">
        <f>'Q100a-geral'!ENE887</f>
        <v>0</v>
      </c>
      <c r="ENF364" s="373">
        <f>'Q100a-geral'!ENF887</f>
        <v>0</v>
      </c>
      <c r="ENG364" s="373">
        <f>'Q100a-geral'!ENG887</f>
        <v>0</v>
      </c>
      <c r="ENH364" s="373">
        <f>'Q100a-geral'!ENH887</f>
        <v>0</v>
      </c>
      <c r="ENI364" s="373">
        <f>'Q100a-geral'!ENI887</f>
        <v>0</v>
      </c>
      <c r="ENJ364" s="373">
        <f>'Q100a-geral'!ENJ887</f>
        <v>0</v>
      </c>
      <c r="ENK364" s="373">
        <f>'Q100a-geral'!ENK887</f>
        <v>0</v>
      </c>
      <c r="ENL364" s="373">
        <f>'Q100a-geral'!ENL887</f>
        <v>0</v>
      </c>
      <c r="ENM364" s="373">
        <f>'Q100a-geral'!ENM887</f>
        <v>0</v>
      </c>
      <c r="ENN364" s="373">
        <f>'Q100a-geral'!ENN887</f>
        <v>0</v>
      </c>
      <c r="ENO364" s="373">
        <f>'Q100a-geral'!ENO887</f>
        <v>0</v>
      </c>
      <c r="ENP364" s="373">
        <f>'Q100a-geral'!ENP887</f>
        <v>0</v>
      </c>
      <c r="ENQ364" s="373">
        <f>'Q100a-geral'!ENQ887</f>
        <v>0</v>
      </c>
      <c r="ENR364" s="373">
        <f>'Q100a-geral'!ENR887</f>
        <v>0</v>
      </c>
      <c r="ENS364" s="373">
        <f>'Q100a-geral'!ENS887</f>
        <v>0</v>
      </c>
      <c r="ENT364" s="373">
        <f>'Q100a-geral'!ENT887</f>
        <v>0</v>
      </c>
      <c r="ENU364" s="373">
        <f>'Q100a-geral'!ENU887</f>
        <v>0</v>
      </c>
      <c r="ENV364" s="373">
        <f>'Q100a-geral'!ENV887</f>
        <v>0</v>
      </c>
      <c r="ENW364" s="373">
        <f>'Q100a-geral'!ENW887</f>
        <v>0</v>
      </c>
      <c r="ENX364" s="373">
        <f>'Q100a-geral'!ENX887</f>
        <v>0</v>
      </c>
      <c r="ENY364" s="373">
        <f>'Q100a-geral'!ENY887</f>
        <v>0</v>
      </c>
      <c r="ENZ364" s="373">
        <f>'Q100a-geral'!ENZ887</f>
        <v>0</v>
      </c>
      <c r="EOA364" s="373">
        <f>'Q100a-geral'!EOA887</f>
        <v>0</v>
      </c>
      <c r="EOB364" s="373">
        <f>'Q100a-geral'!EOB887</f>
        <v>0</v>
      </c>
      <c r="EOC364" s="373">
        <f>'Q100a-geral'!EOC887</f>
        <v>0</v>
      </c>
      <c r="EOD364" s="373">
        <f>'Q100a-geral'!EOD887</f>
        <v>0</v>
      </c>
      <c r="EOE364" s="373">
        <f>'Q100a-geral'!EOE887</f>
        <v>0</v>
      </c>
      <c r="EOF364" s="373">
        <f>'Q100a-geral'!EOF887</f>
        <v>0</v>
      </c>
      <c r="EOG364" s="373">
        <f>'Q100a-geral'!EOG887</f>
        <v>0</v>
      </c>
      <c r="EOH364" s="373">
        <f>'Q100a-geral'!EOH887</f>
        <v>0</v>
      </c>
      <c r="EOI364" s="373">
        <f>'Q100a-geral'!EOI887</f>
        <v>0</v>
      </c>
      <c r="EOJ364" s="373">
        <f>'Q100a-geral'!EOJ887</f>
        <v>0</v>
      </c>
      <c r="EOK364" s="373">
        <f>'Q100a-geral'!EOK887</f>
        <v>0</v>
      </c>
      <c r="EOL364" s="373">
        <f>'Q100a-geral'!EOL887</f>
        <v>0</v>
      </c>
      <c r="EOM364" s="373">
        <f>'Q100a-geral'!EOM887</f>
        <v>0</v>
      </c>
      <c r="EON364" s="373">
        <f>'Q100a-geral'!EON887</f>
        <v>0</v>
      </c>
      <c r="EOO364" s="373">
        <f>'Q100a-geral'!EOO887</f>
        <v>0</v>
      </c>
      <c r="EOP364" s="373">
        <f>'Q100a-geral'!EOP887</f>
        <v>0</v>
      </c>
      <c r="EOQ364" s="373">
        <f>'Q100a-geral'!EOQ887</f>
        <v>0</v>
      </c>
      <c r="EOR364" s="373">
        <f>'Q100a-geral'!EOR887</f>
        <v>0</v>
      </c>
      <c r="EOS364" s="373">
        <f>'Q100a-geral'!EOS887</f>
        <v>0</v>
      </c>
      <c r="EOT364" s="373">
        <f>'Q100a-geral'!EOT887</f>
        <v>0</v>
      </c>
      <c r="EOU364" s="373">
        <f>'Q100a-geral'!EOU887</f>
        <v>0</v>
      </c>
      <c r="EOV364" s="373">
        <f>'Q100a-geral'!EOV887</f>
        <v>0</v>
      </c>
      <c r="EOW364" s="373">
        <f>'Q100a-geral'!EOW887</f>
        <v>0</v>
      </c>
      <c r="EOX364" s="373">
        <f>'Q100a-geral'!EOX887</f>
        <v>0</v>
      </c>
      <c r="EOY364" s="373">
        <f>'Q100a-geral'!EOY887</f>
        <v>0</v>
      </c>
      <c r="EOZ364" s="373">
        <f>'Q100a-geral'!EOZ887</f>
        <v>0</v>
      </c>
      <c r="EPA364" s="373">
        <f>'Q100a-geral'!EPA887</f>
        <v>0</v>
      </c>
      <c r="EPB364" s="373">
        <f>'Q100a-geral'!EPB887</f>
        <v>0</v>
      </c>
      <c r="EPC364" s="373">
        <f>'Q100a-geral'!EPC887</f>
        <v>0</v>
      </c>
      <c r="EPD364" s="373">
        <f>'Q100a-geral'!EPD887</f>
        <v>0</v>
      </c>
      <c r="EPE364" s="373">
        <f>'Q100a-geral'!EPE887</f>
        <v>0</v>
      </c>
      <c r="EPF364" s="373">
        <f>'Q100a-geral'!EPF887</f>
        <v>0</v>
      </c>
      <c r="EPG364" s="373">
        <f>'Q100a-geral'!EPG887</f>
        <v>0</v>
      </c>
      <c r="EPH364" s="373">
        <f>'Q100a-geral'!EPH887</f>
        <v>0</v>
      </c>
      <c r="EPI364" s="373">
        <f>'Q100a-geral'!EPI887</f>
        <v>0</v>
      </c>
      <c r="EPJ364" s="373">
        <f>'Q100a-geral'!EPJ887</f>
        <v>0</v>
      </c>
      <c r="EPK364" s="373">
        <f>'Q100a-geral'!EPK887</f>
        <v>0</v>
      </c>
      <c r="EPL364" s="373">
        <f>'Q100a-geral'!EPL887</f>
        <v>0</v>
      </c>
      <c r="EPM364" s="373">
        <f>'Q100a-geral'!EPM887</f>
        <v>0</v>
      </c>
      <c r="EPN364" s="373">
        <f>'Q100a-geral'!EPN887</f>
        <v>0</v>
      </c>
      <c r="EPO364" s="373">
        <f>'Q100a-geral'!EPO887</f>
        <v>0</v>
      </c>
      <c r="EPP364" s="373">
        <f>'Q100a-geral'!EPP887</f>
        <v>0</v>
      </c>
      <c r="EPQ364" s="373">
        <f>'Q100a-geral'!EPQ887</f>
        <v>0</v>
      </c>
      <c r="EPR364" s="373">
        <f>'Q100a-geral'!EPR887</f>
        <v>0</v>
      </c>
      <c r="EPS364" s="373">
        <f>'Q100a-geral'!EPS887</f>
        <v>0</v>
      </c>
      <c r="EPT364" s="373">
        <f>'Q100a-geral'!EPT887</f>
        <v>0</v>
      </c>
      <c r="EPU364" s="373">
        <f>'Q100a-geral'!EPU887</f>
        <v>0</v>
      </c>
      <c r="EPV364" s="373">
        <f>'Q100a-geral'!EPV887</f>
        <v>0</v>
      </c>
      <c r="EPW364" s="373">
        <f>'Q100a-geral'!EPW887</f>
        <v>0</v>
      </c>
      <c r="EPX364" s="373">
        <f>'Q100a-geral'!EPX887</f>
        <v>0</v>
      </c>
      <c r="EPY364" s="373">
        <f>'Q100a-geral'!EPY887</f>
        <v>0</v>
      </c>
      <c r="EPZ364" s="373">
        <f>'Q100a-geral'!EPZ887</f>
        <v>0</v>
      </c>
      <c r="EQA364" s="373">
        <f>'Q100a-geral'!EQA887</f>
        <v>0</v>
      </c>
      <c r="EQB364" s="373">
        <f>'Q100a-geral'!EQB887</f>
        <v>0</v>
      </c>
      <c r="EQC364" s="373">
        <f>'Q100a-geral'!EQC887</f>
        <v>0</v>
      </c>
      <c r="EQD364" s="373">
        <f>'Q100a-geral'!EQD887</f>
        <v>0</v>
      </c>
      <c r="EQE364" s="373">
        <f>'Q100a-geral'!EQE887</f>
        <v>0</v>
      </c>
      <c r="EQF364" s="373">
        <f>'Q100a-geral'!EQF887</f>
        <v>0</v>
      </c>
      <c r="EQG364" s="373">
        <f>'Q100a-geral'!EQG887</f>
        <v>0</v>
      </c>
      <c r="EQH364" s="373">
        <f>'Q100a-geral'!EQH887</f>
        <v>0</v>
      </c>
      <c r="EQI364" s="373">
        <f>'Q100a-geral'!EQI887</f>
        <v>0</v>
      </c>
      <c r="EQJ364" s="373">
        <f>'Q100a-geral'!EQJ887</f>
        <v>0</v>
      </c>
      <c r="EQK364" s="373">
        <f>'Q100a-geral'!EQK887</f>
        <v>0</v>
      </c>
      <c r="EQL364" s="373">
        <f>'Q100a-geral'!EQL887</f>
        <v>0</v>
      </c>
      <c r="EQM364" s="373">
        <f>'Q100a-geral'!EQM887</f>
        <v>0</v>
      </c>
      <c r="EQN364" s="373">
        <f>'Q100a-geral'!EQN887</f>
        <v>0</v>
      </c>
      <c r="EQO364" s="373">
        <f>'Q100a-geral'!EQO887</f>
        <v>0</v>
      </c>
      <c r="EQP364" s="373">
        <f>'Q100a-geral'!EQP887</f>
        <v>0</v>
      </c>
      <c r="EQQ364" s="373">
        <f>'Q100a-geral'!EQQ887</f>
        <v>0</v>
      </c>
      <c r="EQR364" s="373">
        <f>'Q100a-geral'!EQR887</f>
        <v>0</v>
      </c>
      <c r="EQS364" s="373">
        <f>'Q100a-geral'!EQS887</f>
        <v>0</v>
      </c>
      <c r="EQT364" s="373">
        <f>'Q100a-geral'!EQT887</f>
        <v>0</v>
      </c>
      <c r="EQU364" s="373">
        <f>'Q100a-geral'!EQU887</f>
        <v>0</v>
      </c>
      <c r="EQV364" s="373">
        <f>'Q100a-geral'!EQV887</f>
        <v>0</v>
      </c>
      <c r="EQW364" s="373">
        <f>'Q100a-geral'!EQW887</f>
        <v>0</v>
      </c>
      <c r="EQX364" s="373">
        <f>'Q100a-geral'!EQX887</f>
        <v>0</v>
      </c>
      <c r="EQY364" s="373">
        <f>'Q100a-geral'!EQY887</f>
        <v>0</v>
      </c>
      <c r="EQZ364" s="373">
        <f>'Q100a-geral'!EQZ887</f>
        <v>0</v>
      </c>
      <c r="ERA364" s="373">
        <f>'Q100a-geral'!ERA887</f>
        <v>0</v>
      </c>
      <c r="ERB364" s="373">
        <f>'Q100a-geral'!ERB887</f>
        <v>0</v>
      </c>
      <c r="ERC364" s="373">
        <f>'Q100a-geral'!ERC887</f>
        <v>0</v>
      </c>
      <c r="ERD364" s="373">
        <f>'Q100a-geral'!ERD887</f>
        <v>0</v>
      </c>
      <c r="ERE364" s="373">
        <f>'Q100a-geral'!ERE887</f>
        <v>0</v>
      </c>
      <c r="ERF364" s="373">
        <f>'Q100a-geral'!ERF887</f>
        <v>0</v>
      </c>
      <c r="ERG364" s="373">
        <f>'Q100a-geral'!ERG887</f>
        <v>0</v>
      </c>
      <c r="ERH364" s="373">
        <f>'Q100a-geral'!ERH887</f>
        <v>0</v>
      </c>
      <c r="ERI364" s="373">
        <f>'Q100a-geral'!ERI887</f>
        <v>0</v>
      </c>
      <c r="ERJ364" s="373">
        <f>'Q100a-geral'!ERJ887</f>
        <v>0</v>
      </c>
      <c r="ERK364" s="373">
        <f>'Q100a-geral'!ERK887</f>
        <v>0</v>
      </c>
      <c r="ERL364" s="373">
        <f>'Q100a-geral'!ERL887</f>
        <v>0</v>
      </c>
      <c r="ERM364" s="373">
        <f>'Q100a-geral'!ERM887</f>
        <v>0</v>
      </c>
      <c r="ERN364" s="373">
        <f>'Q100a-geral'!ERN887</f>
        <v>0</v>
      </c>
      <c r="ERO364" s="373">
        <f>'Q100a-geral'!ERO887</f>
        <v>0</v>
      </c>
      <c r="ERP364" s="373">
        <f>'Q100a-geral'!ERP887</f>
        <v>0</v>
      </c>
      <c r="ERQ364" s="373">
        <f>'Q100a-geral'!ERQ887</f>
        <v>0</v>
      </c>
      <c r="ERR364" s="373">
        <f>'Q100a-geral'!ERR887</f>
        <v>0</v>
      </c>
      <c r="ERS364" s="373">
        <f>'Q100a-geral'!ERS887</f>
        <v>0</v>
      </c>
      <c r="ERT364" s="373">
        <f>'Q100a-geral'!ERT887</f>
        <v>0</v>
      </c>
      <c r="ERU364" s="373">
        <f>'Q100a-geral'!ERU887</f>
        <v>0</v>
      </c>
      <c r="ERV364" s="373">
        <f>'Q100a-geral'!ERV887</f>
        <v>0</v>
      </c>
      <c r="ERW364" s="373">
        <f>'Q100a-geral'!ERW887</f>
        <v>0</v>
      </c>
      <c r="ERX364" s="373">
        <f>'Q100a-geral'!ERX887</f>
        <v>0</v>
      </c>
      <c r="ERY364" s="373">
        <f>'Q100a-geral'!ERY887</f>
        <v>0</v>
      </c>
      <c r="ERZ364" s="373">
        <f>'Q100a-geral'!ERZ887</f>
        <v>0</v>
      </c>
      <c r="ESA364" s="373">
        <f>'Q100a-geral'!ESA887</f>
        <v>0</v>
      </c>
      <c r="ESB364" s="373">
        <f>'Q100a-geral'!ESB887</f>
        <v>0</v>
      </c>
      <c r="ESC364" s="373">
        <f>'Q100a-geral'!ESC887</f>
        <v>0</v>
      </c>
      <c r="ESD364" s="373">
        <f>'Q100a-geral'!ESD887</f>
        <v>0</v>
      </c>
      <c r="ESE364" s="373">
        <f>'Q100a-geral'!ESE887</f>
        <v>0</v>
      </c>
      <c r="ESF364" s="373">
        <f>'Q100a-geral'!ESF887</f>
        <v>0</v>
      </c>
      <c r="ESG364" s="373">
        <f>'Q100a-geral'!ESG887</f>
        <v>0</v>
      </c>
      <c r="ESH364" s="373">
        <f>'Q100a-geral'!ESH887</f>
        <v>0</v>
      </c>
      <c r="ESI364" s="373">
        <f>'Q100a-geral'!ESI887</f>
        <v>0</v>
      </c>
      <c r="ESJ364" s="373">
        <f>'Q100a-geral'!ESJ887</f>
        <v>0</v>
      </c>
      <c r="ESK364" s="373">
        <f>'Q100a-geral'!ESK887</f>
        <v>0</v>
      </c>
      <c r="ESL364" s="373">
        <f>'Q100a-geral'!ESL887</f>
        <v>0</v>
      </c>
      <c r="ESM364" s="373">
        <f>'Q100a-geral'!ESM887</f>
        <v>0</v>
      </c>
      <c r="ESN364" s="373">
        <f>'Q100a-geral'!ESN887</f>
        <v>0</v>
      </c>
      <c r="ESO364" s="373">
        <f>'Q100a-geral'!ESO887</f>
        <v>0</v>
      </c>
      <c r="ESP364" s="373">
        <f>'Q100a-geral'!ESP887</f>
        <v>0</v>
      </c>
      <c r="ESQ364" s="373">
        <f>'Q100a-geral'!ESQ887</f>
        <v>0</v>
      </c>
      <c r="ESR364" s="373">
        <f>'Q100a-geral'!ESR887</f>
        <v>0</v>
      </c>
      <c r="ESS364" s="373">
        <f>'Q100a-geral'!ESS887</f>
        <v>0</v>
      </c>
      <c r="EST364" s="373">
        <f>'Q100a-geral'!EST887</f>
        <v>0</v>
      </c>
      <c r="ESU364" s="373">
        <f>'Q100a-geral'!ESU887</f>
        <v>0</v>
      </c>
      <c r="ESV364" s="373">
        <f>'Q100a-geral'!ESV887</f>
        <v>0</v>
      </c>
      <c r="ESW364" s="373">
        <f>'Q100a-geral'!ESW887</f>
        <v>0</v>
      </c>
      <c r="ESX364" s="373">
        <f>'Q100a-geral'!ESX887</f>
        <v>0</v>
      </c>
      <c r="ESY364" s="373">
        <f>'Q100a-geral'!ESY887</f>
        <v>0</v>
      </c>
      <c r="ESZ364" s="373">
        <f>'Q100a-geral'!ESZ887</f>
        <v>0</v>
      </c>
      <c r="ETA364" s="373">
        <f>'Q100a-geral'!ETA887</f>
        <v>0</v>
      </c>
      <c r="ETB364" s="373">
        <f>'Q100a-geral'!ETB887</f>
        <v>0</v>
      </c>
      <c r="ETC364" s="373">
        <f>'Q100a-geral'!ETC887</f>
        <v>0</v>
      </c>
      <c r="ETD364" s="373">
        <f>'Q100a-geral'!ETD887</f>
        <v>0</v>
      </c>
      <c r="ETE364" s="373">
        <f>'Q100a-geral'!ETE887</f>
        <v>0</v>
      </c>
      <c r="ETF364" s="373">
        <f>'Q100a-geral'!ETF887</f>
        <v>0</v>
      </c>
      <c r="ETG364" s="373">
        <f>'Q100a-geral'!ETG887</f>
        <v>0</v>
      </c>
      <c r="ETH364" s="373">
        <f>'Q100a-geral'!ETH887</f>
        <v>0</v>
      </c>
      <c r="ETI364" s="373">
        <f>'Q100a-geral'!ETI887</f>
        <v>0</v>
      </c>
      <c r="ETJ364" s="373">
        <f>'Q100a-geral'!ETJ887</f>
        <v>0</v>
      </c>
      <c r="ETK364" s="373">
        <f>'Q100a-geral'!ETK887</f>
        <v>0</v>
      </c>
      <c r="ETL364" s="373">
        <f>'Q100a-geral'!ETL887</f>
        <v>0</v>
      </c>
      <c r="ETM364" s="373">
        <f>'Q100a-geral'!ETM887</f>
        <v>0</v>
      </c>
      <c r="ETN364" s="373">
        <f>'Q100a-geral'!ETN887</f>
        <v>0</v>
      </c>
      <c r="ETO364" s="373">
        <f>'Q100a-geral'!ETO887</f>
        <v>0</v>
      </c>
      <c r="ETP364" s="373">
        <f>'Q100a-geral'!ETP887</f>
        <v>0</v>
      </c>
      <c r="ETQ364" s="373">
        <f>'Q100a-geral'!ETQ887</f>
        <v>0</v>
      </c>
      <c r="ETR364" s="373">
        <f>'Q100a-geral'!ETR887</f>
        <v>0</v>
      </c>
      <c r="ETS364" s="373">
        <f>'Q100a-geral'!ETS887</f>
        <v>0</v>
      </c>
      <c r="ETT364" s="373">
        <f>'Q100a-geral'!ETT887</f>
        <v>0</v>
      </c>
      <c r="ETU364" s="373">
        <f>'Q100a-geral'!ETU887</f>
        <v>0</v>
      </c>
      <c r="ETV364" s="373">
        <f>'Q100a-geral'!ETV887</f>
        <v>0</v>
      </c>
      <c r="ETW364" s="373">
        <f>'Q100a-geral'!ETW887</f>
        <v>0</v>
      </c>
      <c r="ETX364" s="373">
        <f>'Q100a-geral'!ETX887</f>
        <v>0</v>
      </c>
      <c r="ETY364" s="373">
        <f>'Q100a-geral'!ETY887</f>
        <v>0</v>
      </c>
      <c r="ETZ364" s="373">
        <f>'Q100a-geral'!ETZ887</f>
        <v>0</v>
      </c>
      <c r="EUA364" s="373">
        <f>'Q100a-geral'!EUA887</f>
        <v>0</v>
      </c>
      <c r="EUB364" s="373">
        <f>'Q100a-geral'!EUB887</f>
        <v>0</v>
      </c>
      <c r="EUC364" s="373">
        <f>'Q100a-geral'!EUC887</f>
        <v>0</v>
      </c>
      <c r="EUD364" s="373">
        <f>'Q100a-geral'!EUD887</f>
        <v>0</v>
      </c>
      <c r="EUE364" s="373">
        <f>'Q100a-geral'!EUE887</f>
        <v>0</v>
      </c>
      <c r="EUF364" s="373">
        <f>'Q100a-geral'!EUF887</f>
        <v>0</v>
      </c>
      <c r="EUG364" s="373">
        <f>'Q100a-geral'!EUG887</f>
        <v>0</v>
      </c>
      <c r="EUH364" s="373">
        <f>'Q100a-geral'!EUH887</f>
        <v>0</v>
      </c>
      <c r="EUI364" s="373">
        <f>'Q100a-geral'!EUI887</f>
        <v>0</v>
      </c>
      <c r="EUJ364" s="373">
        <f>'Q100a-geral'!EUJ887</f>
        <v>0</v>
      </c>
      <c r="EUK364" s="373">
        <f>'Q100a-geral'!EUK887</f>
        <v>0</v>
      </c>
      <c r="EUL364" s="373">
        <f>'Q100a-geral'!EUL887</f>
        <v>0</v>
      </c>
      <c r="EUM364" s="373">
        <f>'Q100a-geral'!EUM887</f>
        <v>0</v>
      </c>
      <c r="EUN364" s="373">
        <f>'Q100a-geral'!EUN887</f>
        <v>0</v>
      </c>
      <c r="EUO364" s="373">
        <f>'Q100a-geral'!EUO887</f>
        <v>0</v>
      </c>
      <c r="EUP364" s="373">
        <f>'Q100a-geral'!EUP887</f>
        <v>0</v>
      </c>
      <c r="EUQ364" s="373">
        <f>'Q100a-geral'!EUQ887</f>
        <v>0</v>
      </c>
      <c r="EUR364" s="373">
        <f>'Q100a-geral'!EUR887</f>
        <v>0</v>
      </c>
      <c r="EUS364" s="373">
        <f>'Q100a-geral'!EUS887</f>
        <v>0</v>
      </c>
      <c r="EUT364" s="373">
        <f>'Q100a-geral'!EUT887</f>
        <v>0</v>
      </c>
      <c r="EUU364" s="373">
        <f>'Q100a-geral'!EUU887</f>
        <v>0</v>
      </c>
      <c r="EUV364" s="373">
        <f>'Q100a-geral'!EUV887</f>
        <v>0</v>
      </c>
      <c r="EUW364" s="373">
        <f>'Q100a-geral'!EUW887</f>
        <v>0</v>
      </c>
      <c r="EUX364" s="373">
        <f>'Q100a-geral'!EUX887</f>
        <v>0</v>
      </c>
      <c r="EUY364" s="373">
        <f>'Q100a-geral'!EUY887</f>
        <v>0</v>
      </c>
      <c r="EUZ364" s="373">
        <f>'Q100a-geral'!EUZ887</f>
        <v>0</v>
      </c>
      <c r="EVA364" s="373">
        <f>'Q100a-geral'!EVA887</f>
        <v>0</v>
      </c>
      <c r="EVB364" s="373">
        <f>'Q100a-geral'!EVB887</f>
        <v>0</v>
      </c>
      <c r="EVC364" s="373">
        <f>'Q100a-geral'!EVC887</f>
        <v>0</v>
      </c>
      <c r="EVD364" s="373">
        <f>'Q100a-geral'!EVD887</f>
        <v>0</v>
      </c>
      <c r="EVE364" s="373">
        <f>'Q100a-geral'!EVE887</f>
        <v>0</v>
      </c>
      <c r="EVF364" s="373">
        <f>'Q100a-geral'!EVF887</f>
        <v>0</v>
      </c>
      <c r="EVG364" s="373">
        <f>'Q100a-geral'!EVG887</f>
        <v>0</v>
      </c>
      <c r="EVH364" s="373">
        <f>'Q100a-geral'!EVH887</f>
        <v>0</v>
      </c>
      <c r="EVI364" s="373">
        <f>'Q100a-geral'!EVI887</f>
        <v>0</v>
      </c>
      <c r="EVJ364" s="373">
        <f>'Q100a-geral'!EVJ887</f>
        <v>0</v>
      </c>
      <c r="EVK364" s="373">
        <f>'Q100a-geral'!EVK887</f>
        <v>0</v>
      </c>
      <c r="EVL364" s="373">
        <f>'Q100a-geral'!EVL887</f>
        <v>0</v>
      </c>
      <c r="EVM364" s="373">
        <f>'Q100a-geral'!EVM887</f>
        <v>0</v>
      </c>
      <c r="EVN364" s="373">
        <f>'Q100a-geral'!EVN887</f>
        <v>0</v>
      </c>
      <c r="EVO364" s="373">
        <f>'Q100a-geral'!EVO887</f>
        <v>0</v>
      </c>
      <c r="EVP364" s="373">
        <f>'Q100a-geral'!EVP887</f>
        <v>0</v>
      </c>
      <c r="EVQ364" s="373">
        <f>'Q100a-geral'!EVQ887</f>
        <v>0</v>
      </c>
      <c r="EVR364" s="373">
        <f>'Q100a-geral'!EVR887</f>
        <v>0</v>
      </c>
      <c r="EVS364" s="373">
        <f>'Q100a-geral'!EVS887</f>
        <v>0</v>
      </c>
      <c r="EVT364" s="373">
        <f>'Q100a-geral'!EVT887</f>
        <v>0</v>
      </c>
      <c r="EVU364" s="373">
        <f>'Q100a-geral'!EVU887</f>
        <v>0</v>
      </c>
      <c r="EVV364" s="373">
        <f>'Q100a-geral'!EVV887</f>
        <v>0</v>
      </c>
      <c r="EVW364" s="373">
        <f>'Q100a-geral'!EVW887</f>
        <v>0</v>
      </c>
      <c r="EVX364" s="373">
        <f>'Q100a-geral'!EVX887</f>
        <v>0</v>
      </c>
      <c r="EVY364" s="373">
        <f>'Q100a-geral'!EVY887</f>
        <v>0</v>
      </c>
      <c r="EVZ364" s="373">
        <f>'Q100a-geral'!EVZ887</f>
        <v>0</v>
      </c>
      <c r="EWA364" s="373">
        <f>'Q100a-geral'!EWA887</f>
        <v>0</v>
      </c>
      <c r="EWB364" s="373">
        <f>'Q100a-geral'!EWB887</f>
        <v>0</v>
      </c>
      <c r="EWC364" s="373">
        <f>'Q100a-geral'!EWC887</f>
        <v>0</v>
      </c>
      <c r="EWD364" s="373">
        <f>'Q100a-geral'!EWD887</f>
        <v>0</v>
      </c>
      <c r="EWE364" s="373">
        <f>'Q100a-geral'!EWE887</f>
        <v>0</v>
      </c>
      <c r="EWF364" s="373">
        <f>'Q100a-geral'!EWF887</f>
        <v>0</v>
      </c>
      <c r="EWG364" s="373">
        <f>'Q100a-geral'!EWG887</f>
        <v>0</v>
      </c>
      <c r="EWH364" s="373">
        <f>'Q100a-geral'!EWH887</f>
        <v>0</v>
      </c>
      <c r="EWI364" s="373">
        <f>'Q100a-geral'!EWI887</f>
        <v>0</v>
      </c>
      <c r="EWJ364" s="373">
        <f>'Q100a-geral'!EWJ887</f>
        <v>0</v>
      </c>
      <c r="EWK364" s="373">
        <f>'Q100a-geral'!EWK887</f>
        <v>0</v>
      </c>
      <c r="EWL364" s="373">
        <f>'Q100a-geral'!EWL887</f>
        <v>0</v>
      </c>
      <c r="EWM364" s="373">
        <f>'Q100a-geral'!EWM887</f>
        <v>0</v>
      </c>
      <c r="EWN364" s="373">
        <f>'Q100a-geral'!EWN887</f>
        <v>0</v>
      </c>
      <c r="EWO364" s="373">
        <f>'Q100a-geral'!EWO887</f>
        <v>0</v>
      </c>
      <c r="EWP364" s="373">
        <f>'Q100a-geral'!EWP887</f>
        <v>0</v>
      </c>
      <c r="EWQ364" s="373">
        <f>'Q100a-geral'!EWQ887</f>
        <v>0</v>
      </c>
      <c r="EWR364" s="373">
        <f>'Q100a-geral'!EWR887</f>
        <v>0</v>
      </c>
      <c r="EWS364" s="373">
        <f>'Q100a-geral'!EWS887</f>
        <v>0</v>
      </c>
      <c r="EWT364" s="373">
        <f>'Q100a-geral'!EWT887</f>
        <v>0</v>
      </c>
      <c r="EWU364" s="373">
        <f>'Q100a-geral'!EWU887</f>
        <v>0</v>
      </c>
      <c r="EWV364" s="373">
        <f>'Q100a-geral'!EWV887</f>
        <v>0</v>
      </c>
      <c r="EWW364" s="373">
        <f>'Q100a-geral'!EWW887</f>
        <v>0</v>
      </c>
      <c r="EWX364" s="373">
        <f>'Q100a-geral'!EWX887</f>
        <v>0</v>
      </c>
      <c r="EWY364" s="373">
        <f>'Q100a-geral'!EWY887</f>
        <v>0</v>
      </c>
      <c r="EWZ364" s="373">
        <f>'Q100a-geral'!EWZ887</f>
        <v>0</v>
      </c>
      <c r="EXA364" s="373">
        <f>'Q100a-geral'!EXA887</f>
        <v>0</v>
      </c>
      <c r="EXB364" s="373">
        <f>'Q100a-geral'!EXB887</f>
        <v>0</v>
      </c>
      <c r="EXC364" s="373">
        <f>'Q100a-geral'!EXC887</f>
        <v>0</v>
      </c>
      <c r="EXD364" s="373">
        <f>'Q100a-geral'!EXD887</f>
        <v>0</v>
      </c>
      <c r="EXE364" s="373">
        <f>'Q100a-geral'!EXE887</f>
        <v>0</v>
      </c>
      <c r="EXF364" s="373">
        <f>'Q100a-geral'!EXF887</f>
        <v>0</v>
      </c>
      <c r="EXG364" s="373">
        <f>'Q100a-geral'!EXG887</f>
        <v>0</v>
      </c>
      <c r="EXH364" s="373">
        <f>'Q100a-geral'!EXH887</f>
        <v>0</v>
      </c>
      <c r="EXI364" s="373">
        <f>'Q100a-geral'!EXI887</f>
        <v>0</v>
      </c>
      <c r="EXJ364" s="373">
        <f>'Q100a-geral'!EXJ887</f>
        <v>0</v>
      </c>
      <c r="EXK364" s="373">
        <f>'Q100a-geral'!EXK887</f>
        <v>0</v>
      </c>
      <c r="EXL364" s="373">
        <f>'Q100a-geral'!EXL887</f>
        <v>0</v>
      </c>
      <c r="EXM364" s="373">
        <f>'Q100a-geral'!EXM887</f>
        <v>0</v>
      </c>
      <c r="EXN364" s="373">
        <f>'Q100a-geral'!EXN887</f>
        <v>0</v>
      </c>
      <c r="EXO364" s="373">
        <f>'Q100a-geral'!EXO887</f>
        <v>0</v>
      </c>
      <c r="EXP364" s="373">
        <f>'Q100a-geral'!EXP887</f>
        <v>0</v>
      </c>
      <c r="EXQ364" s="373">
        <f>'Q100a-geral'!EXQ887</f>
        <v>0</v>
      </c>
      <c r="EXR364" s="373">
        <f>'Q100a-geral'!EXR887</f>
        <v>0</v>
      </c>
      <c r="EXS364" s="373">
        <f>'Q100a-geral'!EXS887</f>
        <v>0</v>
      </c>
      <c r="EXT364" s="373">
        <f>'Q100a-geral'!EXT887</f>
        <v>0</v>
      </c>
      <c r="EXU364" s="373">
        <f>'Q100a-geral'!EXU887</f>
        <v>0</v>
      </c>
      <c r="EXV364" s="373">
        <f>'Q100a-geral'!EXV887</f>
        <v>0</v>
      </c>
      <c r="EXW364" s="373">
        <f>'Q100a-geral'!EXW887</f>
        <v>0</v>
      </c>
      <c r="EXX364" s="373">
        <f>'Q100a-geral'!EXX887</f>
        <v>0</v>
      </c>
      <c r="EXY364" s="373">
        <f>'Q100a-geral'!EXY887</f>
        <v>0</v>
      </c>
      <c r="EXZ364" s="373">
        <f>'Q100a-geral'!EXZ887</f>
        <v>0</v>
      </c>
      <c r="EYA364" s="373">
        <f>'Q100a-geral'!EYA887</f>
        <v>0</v>
      </c>
      <c r="EYB364" s="373">
        <f>'Q100a-geral'!EYB887</f>
        <v>0</v>
      </c>
      <c r="EYC364" s="373">
        <f>'Q100a-geral'!EYC887</f>
        <v>0</v>
      </c>
      <c r="EYD364" s="373">
        <f>'Q100a-geral'!EYD887</f>
        <v>0</v>
      </c>
      <c r="EYE364" s="373">
        <f>'Q100a-geral'!EYE887</f>
        <v>0</v>
      </c>
      <c r="EYF364" s="373">
        <f>'Q100a-geral'!EYF887</f>
        <v>0</v>
      </c>
      <c r="EYG364" s="373">
        <f>'Q100a-geral'!EYG887</f>
        <v>0</v>
      </c>
      <c r="EYH364" s="373">
        <f>'Q100a-geral'!EYH887</f>
        <v>0</v>
      </c>
      <c r="EYI364" s="373">
        <f>'Q100a-geral'!EYI887</f>
        <v>0</v>
      </c>
      <c r="EYJ364" s="373">
        <f>'Q100a-geral'!EYJ887</f>
        <v>0</v>
      </c>
      <c r="EYK364" s="373">
        <f>'Q100a-geral'!EYK887</f>
        <v>0</v>
      </c>
      <c r="EYL364" s="373">
        <f>'Q100a-geral'!EYL887</f>
        <v>0</v>
      </c>
      <c r="EYM364" s="373">
        <f>'Q100a-geral'!EYM887</f>
        <v>0</v>
      </c>
      <c r="EYN364" s="373">
        <f>'Q100a-geral'!EYN887</f>
        <v>0</v>
      </c>
      <c r="EYO364" s="373">
        <f>'Q100a-geral'!EYO887</f>
        <v>0</v>
      </c>
      <c r="EYP364" s="373">
        <f>'Q100a-geral'!EYP887</f>
        <v>0</v>
      </c>
      <c r="EYQ364" s="373">
        <f>'Q100a-geral'!EYQ887</f>
        <v>0</v>
      </c>
      <c r="EYR364" s="373">
        <f>'Q100a-geral'!EYR887</f>
        <v>0</v>
      </c>
      <c r="EYS364" s="373">
        <f>'Q100a-geral'!EYS887</f>
        <v>0</v>
      </c>
      <c r="EYT364" s="373">
        <f>'Q100a-geral'!EYT887</f>
        <v>0</v>
      </c>
      <c r="EYU364" s="373">
        <f>'Q100a-geral'!EYU887</f>
        <v>0</v>
      </c>
      <c r="EYV364" s="373">
        <f>'Q100a-geral'!EYV887</f>
        <v>0</v>
      </c>
      <c r="EYW364" s="373">
        <f>'Q100a-geral'!EYW887</f>
        <v>0</v>
      </c>
      <c r="EYX364" s="373">
        <f>'Q100a-geral'!EYX887</f>
        <v>0</v>
      </c>
      <c r="EYY364" s="373">
        <f>'Q100a-geral'!EYY887</f>
        <v>0</v>
      </c>
      <c r="EYZ364" s="373">
        <f>'Q100a-geral'!EYZ887</f>
        <v>0</v>
      </c>
      <c r="EZA364" s="373">
        <f>'Q100a-geral'!EZA887</f>
        <v>0</v>
      </c>
      <c r="EZB364" s="373">
        <f>'Q100a-geral'!EZB887</f>
        <v>0</v>
      </c>
      <c r="EZC364" s="373">
        <f>'Q100a-geral'!EZC887</f>
        <v>0</v>
      </c>
      <c r="EZD364" s="373">
        <f>'Q100a-geral'!EZD887</f>
        <v>0</v>
      </c>
      <c r="EZE364" s="373">
        <f>'Q100a-geral'!EZE887</f>
        <v>0</v>
      </c>
      <c r="EZF364" s="373">
        <f>'Q100a-geral'!EZF887</f>
        <v>0</v>
      </c>
      <c r="EZG364" s="373">
        <f>'Q100a-geral'!EZG887</f>
        <v>0</v>
      </c>
      <c r="EZH364" s="373">
        <f>'Q100a-geral'!EZH887</f>
        <v>0</v>
      </c>
      <c r="EZI364" s="373">
        <f>'Q100a-geral'!EZI887</f>
        <v>0</v>
      </c>
      <c r="EZJ364" s="373">
        <f>'Q100a-geral'!EZJ887</f>
        <v>0</v>
      </c>
      <c r="EZK364" s="373">
        <f>'Q100a-geral'!EZK887</f>
        <v>0</v>
      </c>
      <c r="EZL364" s="373">
        <f>'Q100a-geral'!EZL887</f>
        <v>0</v>
      </c>
      <c r="EZM364" s="373">
        <f>'Q100a-geral'!EZM887</f>
        <v>0</v>
      </c>
      <c r="EZN364" s="373">
        <f>'Q100a-geral'!EZN887</f>
        <v>0</v>
      </c>
      <c r="EZO364" s="373">
        <f>'Q100a-geral'!EZO887</f>
        <v>0</v>
      </c>
      <c r="EZP364" s="373">
        <f>'Q100a-geral'!EZP887</f>
        <v>0</v>
      </c>
      <c r="EZQ364" s="373">
        <f>'Q100a-geral'!EZQ887</f>
        <v>0</v>
      </c>
      <c r="EZR364" s="373">
        <f>'Q100a-geral'!EZR887</f>
        <v>0</v>
      </c>
      <c r="EZS364" s="373">
        <f>'Q100a-geral'!EZS887</f>
        <v>0</v>
      </c>
      <c r="EZT364" s="373">
        <f>'Q100a-geral'!EZT887</f>
        <v>0</v>
      </c>
      <c r="EZU364" s="373">
        <f>'Q100a-geral'!EZU887</f>
        <v>0</v>
      </c>
      <c r="EZV364" s="373">
        <f>'Q100a-geral'!EZV887</f>
        <v>0</v>
      </c>
      <c r="EZW364" s="373">
        <f>'Q100a-geral'!EZW887</f>
        <v>0</v>
      </c>
      <c r="EZX364" s="373">
        <f>'Q100a-geral'!EZX887</f>
        <v>0</v>
      </c>
      <c r="EZY364" s="373">
        <f>'Q100a-geral'!EZY887</f>
        <v>0</v>
      </c>
      <c r="EZZ364" s="373">
        <f>'Q100a-geral'!EZZ887</f>
        <v>0</v>
      </c>
      <c r="FAA364" s="373">
        <f>'Q100a-geral'!FAA887</f>
        <v>0</v>
      </c>
      <c r="FAB364" s="373">
        <f>'Q100a-geral'!FAB887</f>
        <v>0</v>
      </c>
      <c r="FAC364" s="373">
        <f>'Q100a-geral'!FAC887</f>
        <v>0</v>
      </c>
      <c r="FAD364" s="373">
        <f>'Q100a-geral'!FAD887</f>
        <v>0</v>
      </c>
      <c r="FAE364" s="373">
        <f>'Q100a-geral'!FAE887</f>
        <v>0</v>
      </c>
      <c r="FAF364" s="373">
        <f>'Q100a-geral'!FAF887</f>
        <v>0</v>
      </c>
      <c r="FAG364" s="373">
        <f>'Q100a-geral'!FAG887</f>
        <v>0</v>
      </c>
      <c r="FAH364" s="373">
        <f>'Q100a-geral'!FAH887</f>
        <v>0</v>
      </c>
      <c r="FAI364" s="373">
        <f>'Q100a-geral'!FAI887</f>
        <v>0</v>
      </c>
      <c r="FAJ364" s="373">
        <f>'Q100a-geral'!FAJ887</f>
        <v>0</v>
      </c>
      <c r="FAK364" s="373">
        <f>'Q100a-geral'!FAK887</f>
        <v>0</v>
      </c>
      <c r="FAL364" s="373">
        <f>'Q100a-geral'!FAL887</f>
        <v>0</v>
      </c>
      <c r="FAM364" s="373">
        <f>'Q100a-geral'!FAM887</f>
        <v>0</v>
      </c>
      <c r="FAN364" s="373">
        <f>'Q100a-geral'!FAN887</f>
        <v>0</v>
      </c>
      <c r="FAO364" s="373">
        <f>'Q100a-geral'!FAO887</f>
        <v>0</v>
      </c>
      <c r="FAP364" s="373">
        <f>'Q100a-geral'!FAP887</f>
        <v>0</v>
      </c>
      <c r="FAQ364" s="373">
        <f>'Q100a-geral'!FAQ887</f>
        <v>0</v>
      </c>
      <c r="FAR364" s="373">
        <f>'Q100a-geral'!FAR887</f>
        <v>0</v>
      </c>
      <c r="FAS364" s="373">
        <f>'Q100a-geral'!FAS887</f>
        <v>0</v>
      </c>
      <c r="FAT364" s="373">
        <f>'Q100a-geral'!FAT887</f>
        <v>0</v>
      </c>
      <c r="FAU364" s="373">
        <f>'Q100a-geral'!FAU887</f>
        <v>0</v>
      </c>
      <c r="FAV364" s="373">
        <f>'Q100a-geral'!FAV887</f>
        <v>0</v>
      </c>
      <c r="FAW364" s="373">
        <f>'Q100a-geral'!FAW887</f>
        <v>0</v>
      </c>
      <c r="FAX364" s="373">
        <f>'Q100a-geral'!FAX887</f>
        <v>0</v>
      </c>
      <c r="FAY364" s="373">
        <f>'Q100a-geral'!FAY887</f>
        <v>0</v>
      </c>
      <c r="FAZ364" s="373">
        <f>'Q100a-geral'!FAZ887</f>
        <v>0</v>
      </c>
      <c r="FBA364" s="373">
        <f>'Q100a-geral'!FBA887</f>
        <v>0</v>
      </c>
      <c r="FBB364" s="373">
        <f>'Q100a-geral'!FBB887</f>
        <v>0</v>
      </c>
      <c r="FBC364" s="373">
        <f>'Q100a-geral'!FBC887</f>
        <v>0</v>
      </c>
      <c r="FBD364" s="373">
        <f>'Q100a-geral'!FBD887</f>
        <v>0</v>
      </c>
      <c r="FBE364" s="373">
        <f>'Q100a-geral'!FBE887</f>
        <v>0</v>
      </c>
      <c r="FBF364" s="373">
        <f>'Q100a-geral'!FBF887</f>
        <v>0</v>
      </c>
      <c r="FBG364" s="373">
        <f>'Q100a-geral'!FBG887</f>
        <v>0</v>
      </c>
      <c r="FBH364" s="373">
        <f>'Q100a-geral'!FBH887</f>
        <v>0</v>
      </c>
      <c r="FBI364" s="373">
        <f>'Q100a-geral'!FBI887</f>
        <v>0</v>
      </c>
      <c r="FBJ364" s="373">
        <f>'Q100a-geral'!FBJ887</f>
        <v>0</v>
      </c>
      <c r="FBK364" s="373">
        <f>'Q100a-geral'!FBK887</f>
        <v>0</v>
      </c>
      <c r="FBL364" s="373">
        <f>'Q100a-geral'!FBL887</f>
        <v>0</v>
      </c>
      <c r="FBM364" s="373">
        <f>'Q100a-geral'!FBM887</f>
        <v>0</v>
      </c>
      <c r="FBN364" s="373">
        <f>'Q100a-geral'!FBN887</f>
        <v>0</v>
      </c>
      <c r="FBO364" s="373">
        <f>'Q100a-geral'!FBO887</f>
        <v>0</v>
      </c>
      <c r="FBP364" s="373">
        <f>'Q100a-geral'!FBP887</f>
        <v>0</v>
      </c>
      <c r="FBQ364" s="373">
        <f>'Q100a-geral'!FBQ887</f>
        <v>0</v>
      </c>
      <c r="FBR364" s="373">
        <f>'Q100a-geral'!FBR887</f>
        <v>0</v>
      </c>
      <c r="FBS364" s="373">
        <f>'Q100a-geral'!FBS887</f>
        <v>0</v>
      </c>
      <c r="FBT364" s="373">
        <f>'Q100a-geral'!FBT887</f>
        <v>0</v>
      </c>
      <c r="FBU364" s="373">
        <f>'Q100a-geral'!FBU887</f>
        <v>0</v>
      </c>
      <c r="FBV364" s="373">
        <f>'Q100a-geral'!FBV887</f>
        <v>0</v>
      </c>
      <c r="FBW364" s="373">
        <f>'Q100a-geral'!FBW887</f>
        <v>0</v>
      </c>
      <c r="FBX364" s="373">
        <f>'Q100a-geral'!FBX887</f>
        <v>0</v>
      </c>
      <c r="FBY364" s="373">
        <f>'Q100a-geral'!FBY887</f>
        <v>0</v>
      </c>
      <c r="FBZ364" s="373">
        <f>'Q100a-geral'!FBZ887</f>
        <v>0</v>
      </c>
      <c r="FCA364" s="373">
        <f>'Q100a-geral'!FCA887</f>
        <v>0</v>
      </c>
      <c r="FCB364" s="373">
        <f>'Q100a-geral'!FCB887</f>
        <v>0</v>
      </c>
      <c r="FCC364" s="373">
        <f>'Q100a-geral'!FCC887</f>
        <v>0</v>
      </c>
      <c r="FCD364" s="373">
        <f>'Q100a-geral'!FCD887</f>
        <v>0</v>
      </c>
      <c r="FCE364" s="373">
        <f>'Q100a-geral'!FCE887</f>
        <v>0</v>
      </c>
      <c r="FCF364" s="373">
        <f>'Q100a-geral'!FCF887</f>
        <v>0</v>
      </c>
      <c r="FCG364" s="373">
        <f>'Q100a-geral'!FCG887</f>
        <v>0</v>
      </c>
      <c r="FCH364" s="373">
        <f>'Q100a-geral'!FCH887</f>
        <v>0</v>
      </c>
      <c r="FCI364" s="373">
        <f>'Q100a-geral'!FCI887</f>
        <v>0</v>
      </c>
      <c r="FCJ364" s="373">
        <f>'Q100a-geral'!FCJ887</f>
        <v>0</v>
      </c>
      <c r="FCK364" s="373">
        <f>'Q100a-geral'!FCK887</f>
        <v>0</v>
      </c>
      <c r="FCL364" s="373">
        <f>'Q100a-geral'!FCL887</f>
        <v>0</v>
      </c>
      <c r="FCM364" s="373">
        <f>'Q100a-geral'!FCM887</f>
        <v>0</v>
      </c>
      <c r="FCN364" s="373">
        <f>'Q100a-geral'!FCN887</f>
        <v>0</v>
      </c>
      <c r="FCO364" s="373">
        <f>'Q100a-geral'!FCO887</f>
        <v>0</v>
      </c>
      <c r="FCP364" s="373">
        <f>'Q100a-geral'!FCP887</f>
        <v>0</v>
      </c>
      <c r="FCQ364" s="373">
        <f>'Q100a-geral'!FCQ887</f>
        <v>0</v>
      </c>
      <c r="FCR364" s="373">
        <f>'Q100a-geral'!FCR887</f>
        <v>0</v>
      </c>
      <c r="FCS364" s="373">
        <f>'Q100a-geral'!FCS887</f>
        <v>0</v>
      </c>
      <c r="FCT364" s="373">
        <f>'Q100a-geral'!FCT887</f>
        <v>0</v>
      </c>
      <c r="FCU364" s="373">
        <f>'Q100a-geral'!FCU887</f>
        <v>0</v>
      </c>
      <c r="FCV364" s="373">
        <f>'Q100a-geral'!FCV887</f>
        <v>0</v>
      </c>
      <c r="FCW364" s="373">
        <f>'Q100a-geral'!FCW887</f>
        <v>0</v>
      </c>
      <c r="FCX364" s="373">
        <f>'Q100a-geral'!FCX887</f>
        <v>0</v>
      </c>
      <c r="FCY364" s="373">
        <f>'Q100a-geral'!FCY887</f>
        <v>0</v>
      </c>
      <c r="FCZ364" s="373">
        <f>'Q100a-geral'!FCZ887</f>
        <v>0</v>
      </c>
      <c r="FDA364" s="373">
        <f>'Q100a-geral'!FDA887</f>
        <v>0</v>
      </c>
      <c r="FDB364" s="373">
        <f>'Q100a-geral'!FDB887</f>
        <v>0</v>
      </c>
      <c r="FDC364" s="373">
        <f>'Q100a-geral'!FDC887</f>
        <v>0</v>
      </c>
      <c r="FDD364" s="373">
        <f>'Q100a-geral'!FDD887</f>
        <v>0</v>
      </c>
      <c r="FDE364" s="373">
        <f>'Q100a-geral'!FDE887</f>
        <v>0</v>
      </c>
      <c r="FDF364" s="373">
        <f>'Q100a-geral'!FDF887</f>
        <v>0</v>
      </c>
      <c r="FDG364" s="373">
        <f>'Q100a-geral'!FDG887</f>
        <v>0</v>
      </c>
      <c r="FDH364" s="373">
        <f>'Q100a-geral'!FDH887</f>
        <v>0</v>
      </c>
      <c r="FDI364" s="373">
        <f>'Q100a-geral'!FDI887</f>
        <v>0</v>
      </c>
      <c r="FDJ364" s="373">
        <f>'Q100a-geral'!FDJ887</f>
        <v>0</v>
      </c>
      <c r="FDK364" s="373">
        <f>'Q100a-geral'!FDK887</f>
        <v>0</v>
      </c>
      <c r="FDL364" s="373">
        <f>'Q100a-geral'!FDL887</f>
        <v>0</v>
      </c>
      <c r="FDM364" s="373">
        <f>'Q100a-geral'!FDM887</f>
        <v>0</v>
      </c>
      <c r="FDN364" s="373">
        <f>'Q100a-geral'!FDN887</f>
        <v>0</v>
      </c>
      <c r="FDO364" s="373">
        <f>'Q100a-geral'!FDO887</f>
        <v>0</v>
      </c>
      <c r="FDP364" s="373">
        <f>'Q100a-geral'!FDP887</f>
        <v>0</v>
      </c>
      <c r="FDQ364" s="373">
        <f>'Q100a-geral'!FDQ887</f>
        <v>0</v>
      </c>
      <c r="FDR364" s="373">
        <f>'Q100a-geral'!FDR887</f>
        <v>0</v>
      </c>
      <c r="FDS364" s="373">
        <f>'Q100a-geral'!FDS887</f>
        <v>0</v>
      </c>
      <c r="FDT364" s="373">
        <f>'Q100a-geral'!FDT887</f>
        <v>0</v>
      </c>
      <c r="FDU364" s="373">
        <f>'Q100a-geral'!FDU887</f>
        <v>0</v>
      </c>
      <c r="FDV364" s="373">
        <f>'Q100a-geral'!FDV887</f>
        <v>0</v>
      </c>
      <c r="FDW364" s="373">
        <f>'Q100a-geral'!FDW887</f>
        <v>0</v>
      </c>
      <c r="FDX364" s="373">
        <f>'Q100a-geral'!FDX887</f>
        <v>0</v>
      </c>
      <c r="FDY364" s="373">
        <f>'Q100a-geral'!FDY887</f>
        <v>0</v>
      </c>
      <c r="FDZ364" s="373">
        <f>'Q100a-geral'!FDZ887</f>
        <v>0</v>
      </c>
      <c r="FEA364" s="373">
        <f>'Q100a-geral'!FEA887</f>
        <v>0</v>
      </c>
      <c r="FEB364" s="373">
        <f>'Q100a-geral'!FEB887</f>
        <v>0</v>
      </c>
      <c r="FEC364" s="373">
        <f>'Q100a-geral'!FEC887</f>
        <v>0</v>
      </c>
      <c r="FED364" s="373">
        <f>'Q100a-geral'!FED887</f>
        <v>0</v>
      </c>
      <c r="FEE364" s="373">
        <f>'Q100a-geral'!FEE887</f>
        <v>0</v>
      </c>
      <c r="FEF364" s="373">
        <f>'Q100a-geral'!FEF887</f>
        <v>0</v>
      </c>
      <c r="FEG364" s="373">
        <f>'Q100a-geral'!FEG887</f>
        <v>0</v>
      </c>
      <c r="FEH364" s="373">
        <f>'Q100a-geral'!FEH887</f>
        <v>0</v>
      </c>
      <c r="FEI364" s="373">
        <f>'Q100a-geral'!FEI887</f>
        <v>0</v>
      </c>
      <c r="FEJ364" s="373">
        <f>'Q100a-geral'!FEJ887</f>
        <v>0</v>
      </c>
      <c r="FEK364" s="373">
        <f>'Q100a-geral'!FEK887</f>
        <v>0</v>
      </c>
      <c r="FEL364" s="373">
        <f>'Q100a-geral'!FEL887</f>
        <v>0</v>
      </c>
      <c r="FEM364" s="373">
        <f>'Q100a-geral'!FEM887</f>
        <v>0</v>
      </c>
      <c r="FEN364" s="373">
        <f>'Q100a-geral'!FEN887</f>
        <v>0</v>
      </c>
      <c r="FEO364" s="373">
        <f>'Q100a-geral'!FEO887</f>
        <v>0</v>
      </c>
      <c r="FEP364" s="373">
        <f>'Q100a-geral'!FEP887</f>
        <v>0</v>
      </c>
      <c r="FEQ364" s="373">
        <f>'Q100a-geral'!FEQ887</f>
        <v>0</v>
      </c>
      <c r="FER364" s="373">
        <f>'Q100a-geral'!FER887</f>
        <v>0</v>
      </c>
      <c r="FES364" s="373">
        <f>'Q100a-geral'!FES887</f>
        <v>0</v>
      </c>
      <c r="FET364" s="373">
        <f>'Q100a-geral'!FET887</f>
        <v>0</v>
      </c>
      <c r="FEU364" s="373">
        <f>'Q100a-geral'!FEU887</f>
        <v>0</v>
      </c>
      <c r="FEV364" s="373">
        <f>'Q100a-geral'!FEV887</f>
        <v>0</v>
      </c>
      <c r="FEW364" s="373">
        <f>'Q100a-geral'!FEW887</f>
        <v>0</v>
      </c>
      <c r="FEX364" s="373">
        <f>'Q100a-geral'!FEX887</f>
        <v>0</v>
      </c>
      <c r="FEY364" s="373">
        <f>'Q100a-geral'!FEY887</f>
        <v>0</v>
      </c>
      <c r="FEZ364" s="373">
        <f>'Q100a-geral'!FEZ887</f>
        <v>0</v>
      </c>
      <c r="FFA364" s="373">
        <f>'Q100a-geral'!FFA887</f>
        <v>0</v>
      </c>
      <c r="FFB364" s="373">
        <f>'Q100a-geral'!FFB887</f>
        <v>0</v>
      </c>
      <c r="FFC364" s="373">
        <f>'Q100a-geral'!FFC887</f>
        <v>0</v>
      </c>
      <c r="FFD364" s="373">
        <f>'Q100a-geral'!FFD887</f>
        <v>0</v>
      </c>
      <c r="FFE364" s="373">
        <f>'Q100a-geral'!FFE887</f>
        <v>0</v>
      </c>
      <c r="FFF364" s="373">
        <f>'Q100a-geral'!FFF887</f>
        <v>0</v>
      </c>
      <c r="FFG364" s="373">
        <f>'Q100a-geral'!FFG887</f>
        <v>0</v>
      </c>
      <c r="FFH364" s="373">
        <f>'Q100a-geral'!FFH887</f>
        <v>0</v>
      </c>
      <c r="FFI364" s="373">
        <f>'Q100a-geral'!FFI887</f>
        <v>0</v>
      </c>
      <c r="FFJ364" s="373">
        <f>'Q100a-geral'!FFJ887</f>
        <v>0</v>
      </c>
      <c r="FFK364" s="373">
        <f>'Q100a-geral'!FFK887</f>
        <v>0</v>
      </c>
      <c r="FFL364" s="373">
        <f>'Q100a-geral'!FFL887</f>
        <v>0</v>
      </c>
      <c r="FFM364" s="373">
        <f>'Q100a-geral'!FFM887</f>
        <v>0</v>
      </c>
      <c r="FFN364" s="373">
        <f>'Q100a-geral'!FFN887</f>
        <v>0</v>
      </c>
      <c r="FFO364" s="373">
        <f>'Q100a-geral'!FFO887</f>
        <v>0</v>
      </c>
      <c r="FFP364" s="373">
        <f>'Q100a-geral'!FFP887</f>
        <v>0</v>
      </c>
      <c r="FFQ364" s="373">
        <f>'Q100a-geral'!FFQ887</f>
        <v>0</v>
      </c>
      <c r="FFR364" s="373">
        <f>'Q100a-geral'!FFR887</f>
        <v>0</v>
      </c>
      <c r="FFS364" s="373">
        <f>'Q100a-geral'!FFS887</f>
        <v>0</v>
      </c>
      <c r="FFT364" s="373">
        <f>'Q100a-geral'!FFT887</f>
        <v>0</v>
      </c>
      <c r="FFU364" s="373">
        <f>'Q100a-geral'!FFU887</f>
        <v>0</v>
      </c>
      <c r="FFV364" s="373">
        <f>'Q100a-geral'!FFV887</f>
        <v>0</v>
      </c>
      <c r="FFW364" s="373">
        <f>'Q100a-geral'!FFW887</f>
        <v>0</v>
      </c>
      <c r="FFX364" s="373">
        <f>'Q100a-geral'!FFX887</f>
        <v>0</v>
      </c>
      <c r="FFY364" s="373">
        <f>'Q100a-geral'!FFY887</f>
        <v>0</v>
      </c>
      <c r="FFZ364" s="373">
        <f>'Q100a-geral'!FFZ887</f>
        <v>0</v>
      </c>
      <c r="FGA364" s="373">
        <f>'Q100a-geral'!FGA887</f>
        <v>0</v>
      </c>
      <c r="FGB364" s="373">
        <f>'Q100a-geral'!FGB887</f>
        <v>0</v>
      </c>
      <c r="FGC364" s="373">
        <f>'Q100a-geral'!FGC887</f>
        <v>0</v>
      </c>
      <c r="FGD364" s="373">
        <f>'Q100a-geral'!FGD887</f>
        <v>0</v>
      </c>
      <c r="FGE364" s="373">
        <f>'Q100a-geral'!FGE887</f>
        <v>0</v>
      </c>
      <c r="FGF364" s="373">
        <f>'Q100a-geral'!FGF887</f>
        <v>0</v>
      </c>
      <c r="FGG364" s="373">
        <f>'Q100a-geral'!FGG887</f>
        <v>0</v>
      </c>
      <c r="FGH364" s="373">
        <f>'Q100a-geral'!FGH887</f>
        <v>0</v>
      </c>
      <c r="FGI364" s="373">
        <f>'Q100a-geral'!FGI887</f>
        <v>0</v>
      </c>
      <c r="FGJ364" s="373">
        <f>'Q100a-geral'!FGJ887</f>
        <v>0</v>
      </c>
      <c r="FGK364" s="373">
        <f>'Q100a-geral'!FGK887</f>
        <v>0</v>
      </c>
      <c r="FGL364" s="373">
        <f>'Q100a-geral'!FGL887</f>
        <v>0</v>
      </c>
      <c r="FGM364" s="373">
        <f>'Q100a-geral'!FGM887</f>
        <v>0</v>
      </c>
      <c r="FGN364" s="373">
        <f>'Q100a-geral'!FGN887</f>
        <v>0</v>
      </c>
      <c r="FGO364" s="373">
        <f>'Q100a-geral'!FGO887</f>
        <v>0</v>
      </c>
      <c r="FGP364" s="373">
        <f>'Q100a-geral'!FGP887</f>
        <v>0</v>
      </c>
      <c r="FGQ364" s="373">
        <f>'Q100a-geral'!FGQ887</f>
        <v>0</v>
      </c>
      <c r="FGR364" s="373">
        <f>'Q100a-geral'!FGR887</f>
        <v>0</v>
      </c>
      <c r="FGS364" s="373">
        <f>'Q100a-geral'!FGS887</f>
        <v>0</v>
      </c>
      <c r="FGT364" s="373">
        <f>'Q100a-geral'!FGT887</f>
        <v>0</v>
      </c>
      <c r="FGU364" s="373">
        <f>'Q100a-geral'!FGU887</f>
        <v>0</v>
      </c>
      <c r="FGV364" s="373">
        <f>'Q100a-geral'!FGV887</f>
        <v>0</v>
      </c>
      <c r="FGW364" s="373">
        <f>'Q100a-geral'!FGW887</f>
        <v>0</v>
      </c>
      <c r="FGX364" s="373">
        <f>'Q100a-geral'!FGX887</f>
        <v>0</v>
      </c>
      <c r="FGY364" s="373">
        <f>'Q100a-geral'!FGY887</f>
        <v>0</v>
      </c>
      <c r="FGZ364" s="373">
        <f>'Q100a-geral'!FGZ887</f>
        <v>0</v>
      </c>
      <c r="FHA364" s="373">
        <f>'Q100a-geral'!FHA887</f>
        <v>0</v>
      </c>
      <c r="FHB364" s="373">
        <f>'Q100a-geral'!FHB887</f>
        <v>0</v>
      </c>
      <c r="FHC364" s="373">
        <f>'Q100a-geral'!FHC887</f>
        <v>0</v>
      </c>
      <c r="FHD364" s="373">
        <f>'Q100a-geral'!FHD887</f>
        <v>0</v>
      </c>
      <c r="FHE364" s="373">
        <f>'Q100a-geral'!FHE887</f>
        <v>0</v>
      </c>
      <c r="FHF364" s="373">
        <f>'Q100a-geral'!FHF887</f>
        <v>0</v>
      </c>
      <c r="FHG364" s="373">
        <f>'Q100a-geral'!FHG887</f>
        <v>0</v>
      </c>
      <c r="FHH364" s="373">
        <f>'Q100a-geral'!FHH887</f>
        <v>0</v>
      </c>
      <c r="FHI364" s="373">
        <f>'Q100a-geral'!FHI887</f>
        <v>0</v>
      </c>
      <c r="FHJ364" s="373">
        <f>'Q100a-geral'!FHJ887</f>
        <v>0</v>
      </c>
      <c r="FHK364" s="373">
        <f>'Q100a-geral'!FHK887</f>
        <v>0</v>
      </c>
      <c r="FHL364" s="373">
        <f>'Q100a-geral'!FHL887</f>
        <v>0</v>
      </c>
      <c r="FHM364" s="373">
        <f>'Q100a-geral'!FHM887</f>
        <v>0</v>
      </c>
      <c r="FHN364" s="373">
        <f>'Q100a-geral'!FHN887</f>
        <v>0</v>
      </c>
      <c r="FHO364" s="373">
        <f>'Q100a-geral'!FHO887</f>
        <v>0</v>
      </c>
      <c r="FHP364" s="373">
        <f>'Q100a-geral'!FHP887</f>
        <v>0</v>
      </c>
      <c r="FHQ364" s="373">
        <f>'Q100a-geral'!FHQ887</f>
        <v>0</v>
      </c>
      <c r="FHR364" s="373">
        <f>'Q100a-geral'!FHR887</f>
        <v>0</v>
      </c>
      <c r="FHS364" s="373">
        <f>'Q100a-geral'!FHS887</f>
        <v>0</v>
      </c>
      <c r="FHT364" s="373">
        <f>'Q100a-geral'!FHT887</f>
        <v>0</v>
      </c>
      <c r="FHU364" s="373">
        <f>'Q100a-geral'!FHU887</f>
        <v>0</v>
      </c>
      <c r="FHV364" s="373">
        <f>'Q100a-geral'!FHV887</f>
        <v>0</v>
      </c>
      <c r="FHW364" s="373">
        <f>'Q100a-geral'!FHW887</f>
        <v>0</v>
      </c>
      <c r="FHX364" s="373">
        <f>'Q100a-geral'!FHX887</f>
        <v>0</v>
      </c>
      <c r="FHY364" s="373">
        <f>'Q100a-geral'!FHY887</f>
        <v>0</v>
      </c>
      <c r="FHZ364" s="373">
        <f>'Q100a-geral'!FHZ887</f>
        <v>0</v>
      </c>
      <c r="FIA364" s="373">
        <f>'Q100a-geral'!FIA887</f>
        <v>0</v>
      </c>
      <c r="FIB364" s="373">
        <f>'Q100a-geral'!FIB887</f>
        <v>0</v>
      </c>
      <c r="FIC364" s="373">
        <f>'Q100a-geral'!FIC887</f>
        <v>0</v>
      </c>
      <c r="FID364" s="373">
        <f>'Q100a-geral'!FID887</f>
        <v>0</v>
      </c>
      <c r="FIE364" s="373">
        <f>'Q100a-geral'!FIE887</f>
        <v>0</v>
      </c>
      <c r="FIF364" s="373">
        <f>'Q100a-geral'!FIF887</f>
        <v>0</v>
      </c>
      <c r="FIG364" s="373">
        <f>'Q100a-geral'!FIG887</f>
        <v>0</v>
      </c>
      <c r="FIH364" s="373">
        <f>'Q100a-geral'!FIH887</f>
        <v>0</v>
      </c>
      <c r="FII364" s="373">
        <f>'Q100a-geral'!FII887</f>
        <v>0</v>
      </c>
      <c r="FIJ364" s="373">
        <f>'Q100a-geral'!FIJ887</f>
        <v>0</v>
      </c>
      <c r="FIK364" s="373">
        <f>'Q100a-geral'!FIK887</f>
        <v>0</v>
      </c>
      <c r="FIL364" s="373">
        <f>'Q100a-geral'!FIL887</f>
        <v>0</v>
      </c>
      <c r="FIM364" s="373">
        <f>'Q100a-geral'!FIM887</f>
        <v>0</v>
      </c>
      <c r="FIN364" s="373">
        <f>'Q100a-geral'!FIN887</f>
        <v>0</v>
      </c>
      <c r="FIO364" s="373">
        <f>'Q100a-geral'!FIO887</f>
        <v>0</v>
      </c>
      <c r="FIP364" s="373">
        <f>'Q100a-geral'!FIP887</f>
        <v>0</v>
      </c>
      <c r="FIQ364" s="373">
        <f>'Q100a-geral'!FIQ887</f>
        <v>0</v>
      </c>
      <c r="FIR364" s="373">
        <f>'Q100a-geral'!FIR887</f>
        <v>0</v>
      </c>
      <c r="FIS364" s="373">
        <f>'Q100a-geral'!FIS887</f>
        <v>0</v>
      </c>
      <c r="FIT364" s="373">
        <f>'Q100a-geral'!FIT887</f>
        <v>0</v>
      </c>
      <c r="FIU364" s="373">
        <f>'Q100a-geral'!FIU887</f>
        <v>0</v>
      </c>
      <c r="FIV364" s="373">
        <f>'Q100a-geral'!FIV887</f>
        <v>0</v>
      </c>
      <c r="FIW364" s="373">
        <f>'Q100a-geral'!FIW887</f>
        <v>0</v>
      </c>
      <c r="FIX364" s="373">
        <f>'Q100a-geral'!FIX887</f>
        <v>0</v>
      </c>
      <c r="FIY364" s="373">
        <f>'Q100a-geral'!FIY887</f>
        <v>0</v>
      </c>
      <c r="FIZ364" s="373">
        <f>'Q100a-geral'!FIZ887</f>
        <v>0</v>
      </c>
      <c r="FJA364" s="373">
        <f>'Q100a-geral'!FJA887</f>
        <v>0</v>
      </c>
      <c r="FJB364" s="373">
        <f>'Q100a-geral'!FJB887</f>
        <v>0</v>
      </c>
      <c r="FJC364" s="373">
        <f>'Q100a-geral'!FJC887</f>
        <v>0</v>
      </c>
      <c r="FJD364" s="373">
        <f>'Q100a-geral'!FJD887</f>
        <v>0</v>
      </c>
      <c r="FJE364" s="373">
        <f>'Q100a-geral'!FJE887</f>
        <v>0</v>
      </c>
      <c r="FJF364" s="373">
        <f>'Q100a-geral'!FJF887</f>
        <v>0</v>
      </c>
      <c r="FJG364" s="373">
        <f>'Q100a-geral'!FJG887</f>
        <v>0</v>
      </c>
      <c r="FJH364" s="373">
        <f>'Q100a-geral'!FJH887</f>
        <v>0</v>
      </c>
      <c r="FJI364" s="373">
        <f>'Q100a-geral'!FJI887</f>
        <v>0</v>
      </c>
      <c r="FJJ364" s="373">
        <f>'Q100a-geral'!FJJ887</f>
        <v>0</v>
      </c>
      <c r="FJK364" s="373">
        <f>'Q100a-geral'!FJK887</f>
        <v>0</v>
      </c>
      <c r="FJL364" s="373">
        <f>'Q100a-geral'!FJL887</f>
        <v>0</v>
      </c>
      <c r="FJM364" s="373">
        <f>'Q100a-geral'!FJM887</f>
        <v>0</v>
      </c>
      <c r="FJN364" s="373">
        <f>'Q100a-geral'!FJN887</f>
        <v>0</v>
      </c>
      <c r="FJO364" s="373">
        <f>'Q100a-geral'!FJO887</f>
        <v>0</v>
      </c>
      <c r="FJP364" s="373">
        <f>'Q100a-geral'!FJP887</f>
        <v>0</v>
      </c>
      <c r="FJQ364" s="373">
        <f>'Q100a-geral'!FJQ887</f>
        <v>0</v>
      </c>
      <c r="FJR364" s="373">
        <f>'Q100a-geral'!FJR887</f>
        <v>0</v>
      </c>
      <c r="FJS364" s="373">
        <f>'Q100a-geral'!FJS887</f>
        <v>0</v>
      </c>
      <c r="FJT364" s="373">
        <f>'Q100a-geral'!FJT887</f>
        <v>0</v>
      </c>
      <c r="FJU364" s="373">
        <f>'Q100a-geral'!FJU887</f>
        <v>0</v>
      </c>
      <c r="FJV364" s="373">
        <f>'Q100a-geral'!FJV887</f>
        <v>0</v>
      </c>
      <c r="FJW364" s="373">
        <f>'Q100a-geral'!FJW887</f>
        <v>0</v>
      </c>
      <c r="FJX364" s="373">
        <f>'Q100a-geral'!FJX887</f>
        <v>0</v>
      </c>
      <c r="FJY364" s="373">
        <f>'Q100a-geral'!FJY887</f>
        <v>0</v>
      </c>
      <c r="FJZ364" s="373">
        <f>'Q100a-geral'!FJZ887</f>
        <v>0</v>
      </c>
      <c r="FKA364" s="373">
        <f>'Q100a-geral'!FKA887</f>
        <v>0</v>
      </c>
      <c r="FKB364" s="373">
        <f>'Q100a-geral'!FKB887</f>
        <v>0</v>
      </c>
      <c r="FKC364" s="373">
        <f>'Q100a-geral'!FKC887</f>
        <v>0</v>
      </c>
      <c r="FKD364" s="373">
        <f>'Q100a-geral'!FKD887</f>
        <v>0</v>
      </c>
      <c r="FKE364" s="373">
        <f>'Q100a-geral'!FKE887</f>
        <v>0</v>
      </c>
      <c r="FKF364" s="373">
        <f>'Q100a-geral'!FKF887</f>
        <v>0</v>
      </c>
      <c r="FKG364" s="373">
        <f>'Q100a-geral'!FKG887</f>
        <v>0</v>
      </c>
      <c r="FKH364" s="373">
        <f>'Q100a-geral'!FKH887</f>
        <v>0</v>
      </c>
      <c r="FKI364" s="373">
        <f>'Q100a-geral'!FKI887</f>
        <v>0</v>
      </c>
      <c r="FKJ364" s="373">
        <f>'Q100a-geral'!FKJ887</f>
        <v>0</v>
      </c>
      <c r="FKK364" s="373">
        <f>'Q100a-geral'!FKK887</f>
        <v>0</v>
      </c>
      <c r="FKL364" s="373">
        <f>'Q100a-geral'!FKL887</f>
        <v>0</v>
      </c>
      <c r="FKM364" s="373">
        <f>'Q100a-geral'!FKM887</f>
        <v>0</v>
      </c>
      <c r="FKN364" s="373">
        <f>'Q100a-geral'!FKN887</f>
        <v>0</v>
      </c>
      <c r="FKO364" s="373">
        <f>'Q100a-geral'!FKO887</f>
        <v>0</v>
      </c>
      <c r="FKP364" s="373">
        <f>'Q100a-geral'!FKP887</f>
        <v>0</v>
      </c>
      <c r="FKQ364" s="373">
        <f>'Q100a-geral'!FKQ887</f>
        <v>0</v>
      </c>
      <c r="FKR364" s="373">
        <f>'Q100a-geral'!FKR887</f>
        <v>0</v>
      </c>
      <c r="FKS364" s="373">
        <f>'Q100a-geral'!FKS887</f>
        <v>0</v>
      </c>
      <c r="FKT364" s="373">
        <f>'Q100a-geral'!FKT887</f>
        <v>0</v>
      </c>
      <c r="FKU364" s="373">
        <f>'Q100a-geral'!FKU887</f>
        <v>0</v>
      </c>
      <c r="FKV364" s="373">
        <f>'Q100a-geral'!FKV887</f>
        <v>0</v>
      </c>
      <c r="FKW364" s="373">
        <f>'Q100a-geral'!FKW887</f>
        <v>0</v>
      </c>
      <c r="FKX364" s="373">
        <f>'Q100a-geral'!FKX887</f>
        <v>0</v>
      </c>
      <c r="FKY364" s="373">
        <f>'Q100a-geral'!FKY887</f>
        <v>0</v>
      </c>
      <c r="FKZ364" s="373">
        <f>'Q100a-geral'!FKZ887</f>
        <v>0</v>
      </c>
      <c r="FLA364" s="373">
        <f>'Q100a-geral'!FLA887</f>
        <v>0</v>
      </c>
      <c r="FLB364" s="373">
        <f>'Q100a-geral'!FLB887</f>
        <v>0</v>
      </c>
      <c r="FLC364" s="373">
        <f>'Q100a-geral'!FLC887</f>
        <v>0</v>
      </c>
      <c r="FLD364" s="373">
        <f>'Q100a-geral'!FLD887</f>
        <v>0</v>
      </c>
      <c r="FLE364" s="373">
        <f>'Q100a-geral'!FLE887</f>
        <v>0</v>
      </c>
      <c r="FLF364" s="373">
        <f>'Q100a-geral'!FLF887</f>
        <v>0</v>
      </c>
      <c r="FLG364" s="373">
        <f>'Q100a-geral'!FLG887</f>
        <v>0</v>
      </c>
      <c r="FLH364" s="373">
        <f>'Q100a-geral'!FLH887</f>
        <v>0</v>
      </c>
      <c r="FLI364" s="373">
        <f>'Q100a-geral'!FLI887</f>
        <v>0</v>
      </c>
      <c r="FLJ364" s="373">
        <f>'Q100a-geral'!FLJ887</f>
        <v>0</v>
      </c>
      <c r="FLK364" s="373">
        <f>'Q100a-geral'!FLK887</f>
        <v>0</v>
      </c>
      <c r="FLL364" s="373">
        <f>'Q100a-geral'!FLL887</f>
        <v>0</v>
      </c>
      <c r="FLM364" s="373">
        <f>'Q100a-geral'!FLM887</f>
        <v>0</v>
      </c>
      <c r="FLN364" s="373">
        <f>'Q100a-geral'!FLN887</f>
        <v>0</v>
      </c>
      <c r="FLO364" s="373">
        <f>'Q100a-geral'!FLO887</f>
        <v>0</v>
      </c>
      <c r="FLP364" s="373">
        <f>'Q100a-geral'!FLP887</f>
        <v>0</v>
      </c>
      <c r="FLQ364" s="373">
        <f>'Q100a-geral'!FLQ887</f>
        <v>0</v>
      </c>
      <c r="FLR364" s="373">
        <f>'Q100a-geral'!FLR887</f>
        <v>0</v>
      </c>
      <c r="FLS364" s="373">
        <f>'Q100a-geral'!FLS887</f>
        <v>0</v>
      </c>
      <c r="FLT364" s="373">
        <f>'Q100a-geral'!FLT887</f>
        <v>0</v>
      </c>
      <c r="FLU364" s="373">
        <f>'Q100a-geral'!FLU887</f>
        <v>0</v>
      </c>
      <c r="FLV364" s="373">
        <f>'Q100a-geral'!FLV887</f>
        <v>0</v>
      </c>
      <c r="FLW364" s="373">
        <f>'Q100a-geral'!FLW887</f>
        <v>0</v>
      </c>
      <c r="FLX364" s="373">
        <f>'Q100a-geral'!FLX887</f>
        <v>0</v>
      </c>
      <c r="FLY364" s="373">
        <f>'Q100a-geral'!FLY887</f>
        <v>0</v>
      </c>
      <c r="FLZ364" s="373">
        <f>'Q100a-geral'!FLZ887</f>
        <v>0</v>
      </c>
      <c r="FMA364" s="373">
        <f>'Q100a-geral'!FMA887</f>
        <v>0</v>
      </c>
      <c r="FMB364" s="373">
        <f>'Q100a-geral'!FMB887</f>
        <v>0</v>
      </c>
      <c r="FMC364" s="373">
        <f>'Q100a-geral'!FMC887</f>
        <v>0</v>
      </c>
      <c r="FMD364" s="373">
        <f>'Q100a-geral'!FMD887</f>
        <v>0</v>
      </c>
      <c r="FME364" s="373">
        <f>'Q100a-geral'!FME887</f>
        <v>0</v>
      </c>
      <c r="FMF364" s="373">
        <f>'Q100a-geral'!FMF887</f>
        <v>0</v>
      </c>
      <c r="FMG364" s="373">
        <f>'Q100a-geral'!FMG887</f>
        <v>0</v>
      </c>
      <c r="FMH364" s="373">
        <f>'Q100a-geral'!FMH887</f>
        <v>0</v>
      </c>
      <c r="FMI364" s="373">
        <f>'Q100a-geral'!FMI887</f>
        <v>0</v>
      </c>
      <c r="FMJ364" s="373">
        <f>'Q100a-geral'!FMJ887</f>
        <v>0</v>
      </c>
      <c r="FMK364" s="373">
        <f>'Q100a-geral'!FMK887</f>
        <v>0</v>
      </c>
      <c r="FML364" s="373">
        <f>'Q100a-geral'!FML887</f>
        <v>0</v>
      </c>
      <c r="FMM364" s="373">
        <f>'Q100a-geral'!FMM887</f>
        <v>0</v>
      </c>
      <c r="FMN364" s="373">
        <f>'Q100a-geral'!FMN887</f>
        <v>0</v>
      </c>
      <c r="FMO364" s="373">
        <f>'Q100a-geral'!FMO887</f>
        <v>0</v>
      </c>
      <c r="FMP364" s="373">
        <f>'Q100a-geral'!FMP887</f>
        <v>0</v>
      </c>
      <c r="FMQ364" s="373">
        <f>'Q100a-geral'!FMQ887</f>
        <v>0</v>
      </c>
      <c r="FMR364" s="373">
        <f>'Q100a-geral'!FMR887</f>
        <v>0</v>
      </c>
      <c r="FMS364" s="373">
        <f>'Q100a-geral'!FMS887</f>
        <v>0</v>
      </c>
      <c r="FMT364" s="373">
        <f>'Q100a-geral'!FMT887</f>
        <v>0</v>
      </c>
      <c r="FMU364" s="373">
        <f>'Q100a-geral'!FMU887</f>
        <v>0</v>
      </c>
      <c r="FMV364" s="373">
        <f>'Q100a-geral'!FMV887</f>
        <v>0</v>
      </c>
      <c r="FMW364" s="373">
        <f>'Q100a-geral'!FMW887</f>
        <v>0</v>
      </c>
      <c r="FMX364" s="373">
        <f>'Q100a-geral'!FMX887</f>
        <v>0</v>
      </c>
      <c r="FMY364" s="373">
        <f>'Q100a-geral'!FMY887</f>
        <v>0</v>
      </c>
      <c r="FMZ364" s="373">
        <f>'Q100a-geral'!FMZ887</f>
        <v>0</v>
      </c>
      <c r="FNA364" s="373">
        <f>'Q100a-geral'!FNA887</f>
        <v>0</v>
      </c>
      <c r="FNB364" s="373">
        <f>'Q100a-geral'!FNB887</f>
        <v>0</v>
      </c>
      <c r="FNC364" s="373">
        <f>'Q100a-geral'!FNC887</f>
        <v>0</v>
      </c>
      <c r="FND364" s="373">
        <f>'Q100a-geral'!FND887</f>
        <v>0</v>
      </c>
      <c r="FNE364" s="373">
        <f>'Q100a-geral'!FNE887</f>
        <v>0</v>
      </c>
      <c r="FNF364" s="373">
        <f>'Q100a-geral'!FNF887</f>
        <v>0</v>
      </c>
      <c r="FNG364" s="373">
        <f>'Q100a-geral'!FNG887</f>
        <v>0</v>
      </c>
      <c r="FNH364" s="373">
        <f>'Q100a-geral'!FNH887</f>
        <v>0</v>
      </c>
      <c r="FNI364" s="373">
        <f>'Q100a-geral'!FNI887</f>
        <v>0</v>
      </c>
      <c r="FNJ364" s="373">
        <f>'Q100a-geral'!FNJ887</f>
        <v>0</v>
      </c>
      <c r="FNK364" s="373">
        <f>'Q100a-geral'!FNK887</f>
        <v>0</v>
      </c>
      <c r="FNL364" s="373">
        <f>'Q100a-geral'!FNL887</f>
        <v>0</v>
      </c>
      <c r="FNM364" s="373">
        <f>'Q100a-geral'!FNM887</f>
        <v>0</v>
      </c>
      <c r="FNN364" s="373">
        <f>'Q100a-geral'!FNN887</f>
        <v>0</v>
      </c>
      <c r="FNO364" s="373">
        <f>'Q100a-geral'!FNO887</f>
        <v>0</v>
      </c>
      <c r="FNP364" s="373">
        <f>'Q100a-geral'!FNP887</f>
        <v>0</v>
      </c>
      <c r="FNQ364" s="373">
        <f>'Q100a-geral'!FNQ887</f>
        <v>0</v>
      </c>
      <c r="FNR364" s="373">
        <f>'Q100a-geral'!FNR887</f>
        <v>0</v>
      </c>
      <c r="FNS364" s="373">
        <f>'Q100a-geral'!FNS887</f>
        <v>0</v>
      </c>
      <c r="FNT364" s="373">
        <f>'Q100a-geral'!FNT887</f>
        <v>0</v>
      </c>
      <c r="FNU364" s="373">
        <f>'Q100a-geral'!FNU887</f>
        <v>0</v>
      </c>
      <c r="FNV364" s="373">
        <f>'Q100a-geral'!FNV887</f>
        <v>0</v>
      </c>
      <c r="FNW364" s="373">
        <f>'Q100a-geral'!FNW887</f>
        <v>0</v>
      </c>
      <c r="FNX364" s="373">
        <f>'Q100a-geral'!FNX887</f>
        <v>0</v>
      </c>
      <c r="FNY364" s="373">
        <f>'Q100a-geral'!FNY887</f>
        <v>0</v>
      </c>
      <c r="FNZ364" s="373">
        <f>'Q100a-geral'!FNZ887</f>
        <v>0</v>
      </c>
      <c r="FOA364" s="373">
        <f>'Q100a-geral'!FOA887</f>
        <v>0</v>
      </c>
      <c r="FOB364" s="373">
        <f>'Q100a-geral'!FOB887</f>
        <v>0</v>
      </c>
      <c r="FOC364" s="373">
        <f>'Q100a-geral'!FOC887</f>
        <v>0</v>
      </c>
      <c r="FOD364" s="373">
        <f>'Q100a-geral'!FOD887</f>
        <v>0</v>
      </c>
      <c r="FOE364" s="373">
        <f>'Q100a-geral'!FOE887</f>
        <v>0</v>
      </c>
      <c r="FOF364" s="373">
        <f>'Q100a-geral'!FOF887</f>
        <v>0</v>
      </c>
      <c r="FOG364" s="373">
        <f>'Q100a-geral'!FOG887</f>
        <v>0</v>
      </c>
      <c r="FOH364" s="373">
        <f>'Q100a-geral'!FOH887</f>
        <v>0</v>
      </c>
      <c r="FOI364" s="373">
        <f>'Q100a-geral'!FOI887</f>
        <v>0</v>
      </c>
      <c r="FOJ364" s="373">
        <f>'Q100a-geral'!FOJ887</f>
        <v>0</v>
      </c>
      <c r="FOK364" s="373">
        <f>'Q100a-geral'!FOK887</f>
        <v>0</v>
      </c>
      <c r="FOL364" s="373">
        <f>'Q100a-geral'!FOL887</f>
        <v>0</v>
      </c>
      <c r="FOM364" s="373">
        <f>'Q100a-geral'!FOM887</f>
        <v>0</v>
      </c>
      <c r="FON364" s="373">
        <f>'Q100a-geral'!FON887</f>
        <v>0</v>
      </c>
      <c r="FOO364" s="373">
        <f>'Q100a-geral'!FOO887</f>
        <v>0</v>
      </c>
      <c r="FOP364" s="373">
        <f>'Q100a-geral'!FOP887</f>
        <v>0</v>
      </c>
      <c r="FOQ364" s="373">
        <f>'Q100a-geral'!FOQ887</f>
        <v>0</v>
      </c>
      <c r="FOR364" s="373">
        <f>'Q100a-geral'!FOR887</f>
        <v>0</v>
      </c>
      <c r="FOS364" s="373">
        <f>'Q100a-geral'!FOS887</f>
        <v>0</v>
      </c>
      <c r="FOT364" s="373">
        <f>'Q100a-geral'!FOT887</f>
        <v>0</v>
      </c>
      <c r="FOU364" s="373">
        <f>'Q100a-geral'!FOU887</f>
        <v>0</v>
      </c>
      <c r="FOV364" s="373">
        <f>'Q100a-geral'!FOV887</f>
        <v>0</v>
      </c>
      <c r="FOW364" s="373">
        <f>'Q100a-geral'!FOW887</f>
        <v>0</v>
      </c>
      <c r="FOX364" s="373">
        <f>'Q100a-geral'!FOX887</f>
        <v>0</v>
      </c>
      <c r="FOY364" s="373">
        <f>'Q100a-geral'!FOY887</f>
        <v>0</v>
      </c>
      <c r="FOZ364" s="373">
        <f>'Q100a-geral'!FOZ887</f>
        <v>0</v>
      </c>
      <c r="FPA364" s="373">
        <f>'Q100a-geral'!FPA887</f>
        <v>0</v>
      </c>
      <c r="FPB364" s="373">
        <f>'Q100a-geral'!FPB887</f>
        <v>0</v>
      </c>
      <c r="FPC364" s="373">
        <f>'Q100a-geral'!FPC887</f>
        <v>0</v>
      </c>
      <c r="FPD364" s="373">
        <f>'Q100a-geral'!FPD887</f>
        <v>0</v>
      </c>
      <c r="FPE364" s="373">
        <f>'Q100a-geral'!FPE887</f>
        <v>0</v>
      </c>
      <c r="FPF364" s="373">
        <f>'Q100a-geral'!FPF887</f>
        <v>0</v>
      </c>
      <c r="FPG364" s="373">
        <f>'Q100a-geral'!FPG887</f>
        <v>0</v>
      </c>
      <c r="FPH364" s="373">
        <f>'Q100a-geral'!FPH887</f>
        <v>0</v>
      </c>
      <c r="FPI364" s="373">
        <f>'Q100a-geral'!FPI887</f>
        <v>0</v>
      </c>
      <c r="FPJ364" s="373">
        <f>'Q100a-geral'!FPJ887</f>
        <v>0</v>
      </c>
      <c r="FPK364" s="373">
        <f>'Q100a-geral'!FPK887</f>
        <v>0</v>
      </c>
      <c r="FPL364" s="373">
        <f>'Q100a-geral'!FPL887</f>
        <v>0</v>
      </c>
      <c r="FPM364" s="373">
        <f>'Q100a-geral'!FPM887</f>
        <v>0</v>
      </c>
      <c r="FPN364" s="373">
        <f>'Q100a-geral'!FPN887</f>
        <v>0</v>
      </c>
      <c r="FPO364" s="373">
        <f>'Q100a-geral'!FPO887</f>
        <v>0</v>
      </c>
      <c r="FPP364" s="373">
        <f>'Q100a-geral'!FPP887</f>
        <v>0</v>
      </c>
      <c r="FPQ364" s="373">
        <f>'Q100a-geral'!FPQ887</f>
        <v>0</v>
      </c>
      <c r="FPR364" s="373">
        <f>'Q100a-geral'!FPR887</f>
        <v>0</v>
      </c>
      <c r="FPS364" s="373">
        <f>'Q100a-geral'!FPS887</f>
        <v>0</v>
      </c>
      <c r="FPT364" s="373">
        <f>'Q100a-geral'!FPT887</f>
        <v>0</v>
      </c>
      <c r="FPU364" s="373">
        <f>'Q100a-geral'!FPU887</f>
        <v>0</v>
      </c>
      <c r="FPV364" s="373">
        <f>'Q100a-geral'!FPV887</f>
        <v>0</v>
      </c>
      <c r="FPW364" s="373">
        <f>'Q100a-geral'!FPW887</f>
        <v>0</v>
      </c>
      <c r="FPX364" s="373">
        <f>'Q100a-geral'!FPX887</f>
        <v>0</v>
      </c>
      <c r="FPY364" s="373">
        <f>'Q100a-geral'!FPY887</f>
        <v>0</v>
      </c>
      <c r="FPZ364" s="373">
        <f>'Q100a-geral'!FPZ887</f>
        <v>0</v>
      </c>
      <c r="FQA364" s="373">
        <f>'Q100a-geral'!FQA887</f>
        <v>0</v>
      </c>
      <c r="FQB364" s="373">
        <f>'Q100a-geral'!FQB887</f>
        <v>0</v>
      </c>
      <c r="FQC364" s="373">
        <f>'Q100a-geral'!FQC887</f>
        <v>0</v>
      </c>
      <c r="FQD364" s="373">
        <f>'Q100a-geral'!FQD887</f>
        <v>0</v>
      </c>
      <c r="FQE364" s="373">
        <f>'Q100a-geral'!FQE887</f>
        <v>0</v>
      </c>
      <c r="FQF364" s="373">
        <f>'Q100a-geral'!FQF887</f>
        <v>0</v>
      </c>
      <c r="FQG364" s="373">
        <f>'Q100a-geral'!FQG887</f>
        <v>0</v>
      </c>
      <c r="FQH364" s="373">
        <f>'Q100a-geral'!FQH887</f>
        <v>0</v>
      </c>
      <c r="FQI364" s="373">
        <f>'Q100a-geral'!FQI887</f>
        <v>0</v>
      </c>
      <c r="FQJ364" s="373">
        <f>'Q100a-geral'!FQJ887</f>
        <v>0</v>
      </c>
      <c r="FQK364" s="373">
        <f>'Q100a-geral'!FQK887</f>
        <v>0</v>
      </c>
      <c r="FQL364" s="373">
        <f>'Q100a-geral'!FQL887</f>
        <v>0</v>
      </c>
      <c r="FQM364" s="373">
        <f>'Q100a-geral'!FQM887</f>
        <v>0</v>
      </c>
      <c r="FQN364" s="373">
        <f>'Q100a-geral'!FQN887</f>
        <v>0</v>
      </c>
      <c r="FQO364" s="373">
        <f>'Q100a-geral'!FQO887</f>
        <v>0</v>
      </c>
      <c r="FQP364" s="373">
        <f>'Q100a-geral'!FQP887</f>
        <v>0</v>
      </c>
      <c r="FQQ364" s="373">
        <f>'Q100a-geral'!FQQ887</f>
        <v>0</v>
      </c>
      <c r="FQR364" s="373">
        <f>'Q100a-geral'!FQR887</f>
        <v>0</v>
      </c>
      <c r="FQS364" s="373">
        <f>'Q100a-geral'!FQS887</f>
        <v>0</v>
      </c>
      <c r="FQT364" s="373">
        <f>'Q100a-geral'!FQT887</f>
        <v>0</v>
      </c>
      <c r="FQU364" s="373">
        <f>'Q100a-geral'!FQU887</f>
        <v>0</v>
      </c>
      <c r="FQV364" s="373">
        <f>'Q100a-geral'!FQV887</f>
        <v>0</v>
      </c>
      <c r="FQW364" s="373">
        <f>'Q100a-geral'!FQW887</f>
        <v>0</v>
      </c>
      <c r="FQX364" s="373">
        <f>'Q100a-geral'!FQX887</f>
        <v>0</v>
      </c>
      <c r="FQY364" s="373">
        <f>'Q100a-geral'!FQY887</f>
        <v>0</v>
      </c>
      <c r="FQZ364" s="373">
        <f>'Q100a-geral'!FQZ887</f>
        <v>0</v>
      </c>
      <c r="FRA364" s="373">
        <f>'Q100a-geral'!FRA887</f>
        <v>0</v>
      </c>
      <c r="FRB364" s="373">
        <f>'Q100a-geral'!FRB887</f>
        <v>0</v>
      </c>
      <c r="FRC364" s="373">
        <f>'Q100a-geral'!FRC887</f>
        <v>0</v>
      </c>
      <c r="FRD364" s="373">
        <f>'Q100a-geral'!FRD887</f>
        <v>0</v>
      </c>
      <c r="FRE364" s="373">
        <f>'Q100a-geral'!FRE887</f>
        <v>0</v>
      </c>
      <c r="FRF364" s="373">
        <f>'Q100a-geral'!FRF887</f>
        <v>0</v>
      </c>
      <c r="FRG364" s="373">
        <f>'Q100a-geral'!FRG887</f>
        <v>0</v>
      </c>
      <c r="FRH364" s="373">
        <f>'Q100a-geral'!FRH887</f>
        <v>0</v>
      </c>
      <c r="FRI364" s="373">
        <f>'Q100a-geral'!FRI887</f>
        <v>0</v>
      </c>
      <c r="FRJ364" s="373">
        <f>'Q100a-geral'!FRJ887</f>
        <v>0</v>
      </c>
      <c r="FRK364" s="373">
        <f>'Q100a-geral'!FRK887</f>
        <v>0</v>
      </c>
      <c r="FRL364" s="373">
        <f>'Q100a-geral'!FRL887</f>
        <v>0</v>
      </c>
      <c r="FRM364" s="373">
        <f>'Q100a-geral'!FRM887</f>
        <v>0</v>
      </c>
      <c r="FRN364" s="373">
        <f>'Q100a-geral'!FRN887</f>
        <v>0</v>
      </c>
      <c r="FRO364" s="373">
        <f>'Q100a-geral'!FRO887</f>
        <v>0</v>
      </c>
      <c r="FRP364" s="373">
        <f>'Q100a-geral'!FRP887</f>
        <v>0</v>
      </c>
      <c r="FRQ364" s="373">
        <f>'Q100a-geral'!FRQ887</f>
        <v>0</v>
      </c>
      <c r="FRR364" s="373">
        <f>'Q100a-geral'!FRR887</f>
        <v>0</v>
      </c>
      <c r="FRS364" s="373">
        <f>'Q100a-geral'!FRS887</f>
        <v>0</v>
      </c>
      <c r="FRT364" s="373">
        <f>'Q100a-geral'!FRT887</f>
        <v>0</v>
      </c>
      <c r="FRU364" s="373">
        <f>'Q100a-geral'!FRU887</f>
        <v>0</v>
      </c>
      <c r="FRV364" s="373">
        <f>'Q100a-geral'!FRV887</f>
        <v>0</v>
      </c>
      <c r="FRW364" s="373">
        <f>'Q100a-geral'!FRW887</f>
        <v>0</v>
      </c>
      <c r="FRX364" s="373">
        <f>'Q100a-geral'!FRX887</f>
        <v>0</v>
      </c>
      <c r="FRY364" s="373">
        <f>'Q100a-geral'!FRY887</f>
        <v>0</v>
      </c>
      <c r="FRZ364" s="373">
        <f>'Q100a-geral'!FRZ887</f>
        <v>0</v>
      </c>
      <c r="FSA364" s="373">
        <f>'Q100a-geral'!FSA887</f>
        <v>0</v>
      </c>
      <c r="FSB364" s="373">
        <f>'Q100a-geral'!FSB887</f>
        <v>0</v>
      </c>
      <c r="FSC364" s="373">
        <f>'Q100a-geral'!FSC887</f>
        <v>0</v>
      </c>
      <c r="FSD364" s="373">
        <f>'Q100a-geral'!FSD887</f>
        <v>0</v>
      </c>
      <c r="FSE364" s="373">
        <f>'Q100a-geral'!FSE887</f>
        <v>0</v>
      </c>
      <c r="FSF364" s="373">
        <f>'Q100a-geral'!FSF887</f>
        <v>0</v>
      </c>
      <c r="FSG364" s="373">
        <f>'Q100a-geral'!FSG887</f>
        <v>0</v>
      </c>
      <c r="FSH364" s="373">
        <f>'Q100a-geral'!FSH887</f>
        <v>0</v>
      </c>
      <c r="FSI364" s="373">
        <f>'Q100a-geral'!FSI887</f>
        <v>0</v>
      </c>
      <c r="FSJ364" s="373">
        <f>'Q100a-geral'!FSJ887</f>
        <v>0</v>
      </c>
      <c r="FSK364" s="373">
        <f>'Q100a-geral'!FSK887</f>
        <v>0</v>
      </c>
      <c r="FSL364" s="373">
        <f>'Q100a-geral'!FSL887</f>
        <v>0</v>
      </c>
      <c r="FSM364" s="373">
        <f>'Q100a-geral'!FSM887</f>
        <v>0</v>
      </c>
      <c r="FSN364" s="373">
        <f>'Q100a-geral'!FSN887</f>
        <v>0</v>
      </c>
      <c r="FSO364" s="373">
        <f>'Q100a-geral'!FSO887</f>
        <v>0</v>
      </c>
      <c r="FSP364" s="373">
        <f>'Q100a-geral'!FSP887</f>
        <v>0</v>
      </c>
      <c r="FSQ364" s="373">
        <f>'Q100a-geral'!FSQ887</f>
        <v>0</v>
      </c>
      <c r="FSR364" s="373">
        <f>'Q100a-geral'!FSR887</f>
        <v>0</v>
      </c>
      <c r="FSS364" s="373">
        <f>'Q100a-geral'!FSS887</f>
        <v>0</v>
      </c>
      <c r="FST364" s="373">
        <f>'Q100a-geral'!FST887</f>
        <v>0</v>
      </c>
      <c r="FSU364" s="373">
        <f>'Q100a-geral'!FSU887</f>
        <v>0</v>
      </c>
      <c r="FSV364" s="373">
        <f>'Q100a-geral'!FSV887</f>
        <v>0</v>
      </c>
      <c r="FSW364" s="373">
        <f>'Q100a-geral'!FSW887</f>
        <v>0</v>
      </c>
      <c r="FSX364" s="373">
        <f>'Q100a-geral'!FSX887</f>
        <v>0</v>
      </c>
      <c r="FSY364" s="373">
        <f>'Q100a-geral'!FSY887</f>
        <v>0</v>
      </c>
      <c r="FSZ364" s="373">
        <f>'Q100a-geral'!FSZ887</f>
        <v>0</v>
      </c>
      <c r="FTA364" s="373">
        <f>'Q100a-geral'!FTA887</f>
        <v>0</v>
      </c>
      <c r="FTB364" s="373">
        <f>'Q100a-geral'!FTB887</f>
        <v>0</v>
      </c>
      <c r="FTC364" s="373">
        <f>'Q100a-geral'!FTC887</f>
        <v>0</v>
      </c>
      <c r="FTD364" s="373">
        <f>'Q100a-geral'!FTD887</f>
        <v>0</v>
      </c>
      <c r="FTE364" s="373">
        <f>'Q100a-geral'!FTE887</f>
        <v>0</v>
      </c>
      <c r="FTF364" s="373">
        <f>'Q100a-geral'!FTF887</f>
        <v>0</v>
      </c>
      <c r="FTG364" s="373">
        <f>'Q100a-geral'!FTG887</f>
        <v>0</v>
      </c>
      <c r="FTH364" s="373">
        <f>'Q100a-geral'!FTH887</f>
        <v>0</v>
      </c>
      <c r="FTI364" s="373">
        <f>'Q100a-geral'!FTI887</f>
        <v>0</v>
      </c>
      <c r="FTJ364" s="373">
        <f>'Q100a-geral'!FTJ887</f>
        <v>0</v>
      </c>
      <c r="FTK364" s="373">
        <f>'Q100a-geral'!FTK887</f>
        <v>0</v>
      </c>
      <c r="FTL364" s="373">
        <f>'Q100a-geral'!FTL887</f>
        <v>0</v>
      </c>
      <c r="FTM364" s="373">
        <f>'Q100a-geral'!FTM887</f>
        <v>0</v>
      </c>
      <c r="FTN364" s="373">
        <f>'Q100a-geral'!FTN887</f>
        <v>0</v>
      </c>
      <c r="FTO364" s="373">
        <f>'Q100a-geral'!FTO887</f>
        <v>0</v>
      </c>
      <c r="FTP364" s="373">
        <f>'Q100a-geral'!FTP887</f>
        <v>0</v>
      </c>
      <c r="FTQ364" s="373">
        <f>'Q100a-geral'!FTQ887</f>
        <v>0</v>
      </c>
      <c r="FTR364" s="373">
        <f>'Q100a-geral'!FTR887</f>
        <v>0</v>
      </c>
      <c r="FTS364" s="373">
        <f>'Q100a-geral'!FTS887</f>
        <v>0</v>
      </c>
      <c r="FTT364" s="373">
        <f>'Q100a-geral'!FTT887</f>
        <v>0</v>
      </c>
      <c r="FTU364" s="373">
        <f>'Q100a-geral'!FTU887</f>
        <v>0</v>
      </c>
      <c r="FTV364" s="373">
        <f>'Q100a-geral'!FTV887</f>
        <v>0</v>
      </c>
      <c r="FTW364" s="373">
        <f>'Q100a-geral'!FTW887</f>
        <v>0</v>
      </c>
      <c r="FTX364" s="373">
        <f>'Q100a-geral'!FTX887</f>
        <v>0</v>
      </c>
      <c r="FTY364" s="373">
        <f>'Q100a-geral'!FTY887</f>
        <v>0</v>
      </c>
      <c r="FTZ364" s="373">
        <f>'Q100a-geral'!FTZ887</f>
        <v>0</v>
      </c>
      <c r="FUA364" s="373">
        <f>'Q100a-geral'!FUA887</f>
        <v>0</v>
      </c>
      <c r="FUB364" s="373">
        <f>'Q100a-geral'!FUB887</f>
        <v>0</v>
      </c>
      <c r="FUC364" s="373">
        <f>'Q100a-geral'!FUC887</f>
        <v>0</v>
      </c>
      <c r="FUD364" s="373">
        <f>'Q100a-geral'!FUD887</f>
        <v>0</v>
      </c>
      <c r="FUE364" s="373">
        <f>'Q100a-geral'!FUE887</f>
        <v>0</v>
      </c>
      <c r="FUF364" s="373">
        <f>'Q100a-geral'!FUF887</f>
        <v>0</v>
      </c>
      <c r="FUG364" s="373">
        <f>'Q100a-geral'!FUG887</f>
        <v>0</v>
      </c>
      <c r="FUH364" s="373">
        <f>'Q100a-geral'!FUH887</f>
        <v>0</v>
      </c>
      <c r="FUI364" s="373">
        <f>'Q100a-geral'!FUI887</f>
        <v>0</v>
      </c>
      <c r="FUJ364" s="373">
        <f>'Q100a-geral'!FUJ887</f>
        <v>0</v>
      </c>
      <c r="FUK364" s="373">
        <f>'Q100a-geral'!FUK887</f>
        <v>0</v>
      </c>
      <c r="FUL364" s="373">
        <f>'Q100a-geral'!FUL887</f>
        <v>0</v>
      </c>
      <c r="FUM364" s="373">
        <f>'Q100a-geral'!FUM887</f>
        <v>0</v>
      </c>
      <c r="FUN364" s="373">
        <f>'Q100a-geral'!FUN887</f>
        <v>0</v>
      </c>
      <c r="FUO364" s="373">
        <f>'Q100a-geral'!FUO887</f>
        <v>0</v>
      </c>
      <c r="FUP364" s="373">
        <f>'Q100a-geral'!FUP887</f>
        <v>0</v>
      </c>
      <c r="FUQ364" s="373">
        <f>'Q100a-geral'!FUQ887</f>
        <v>0</v>
      </c>
      <c r="FUR364" s="373">
        <f>'Q100a-geral'!FUR887</f>
        <v>0</v>
      </c>
      <c r="FUS364" s="373">
        <f>'Q100a-geral'!FUS887</f>
        <v>0</v>
      </c>
      <c r="FUT364" s="373">
        <f>'Q100a-geral'!FUT887</f>
        <v>0</v>
      </c>
      <c r="FUU364" s="373">
        <f>'Q100a-geral'!FUU887</f>
        <v>0</v>
      </c>
      <c r="FUV364" s="373">
        <f>'Q100a-geral'!FUV887</f>
        <v>0</v>
      </c>
      <c r="FUW364" s="373">
        <f>'Q100a-geral'!FUW887</f>
        <v>0</v>
      </c>
      <c r="FUX364" s="373">
        <f>'Q100a-geral'!FUX887</f>
        <v>0</v>
      </c>
      <c r="FUY364" s="373">
        <f>'Q100a-geral'!FUY887</f>
        <v>0</v>
      </c>
      <c r="FUZ364" s="373">
        <f>'Q100a-geral'!FUZ887</f>
        <v>0</v>
      </c>
      <c r="FVA364" s="373">
        <f>'Q100a-geral'!FVA887</f>
        <v>0</v>
      </c>
      <c r="FVB364" s="373">
        <f>'Q100a-geral'!FVB887</f>
        <v>0</v>
      </c>
      <c r="FVC364" s="373">
        <f>'Q100a-geral'!FVC887</f>
        <v>0</v>
      </c>
      <c r="FVD364" s="373">
        <f>'Q100a-geral'!FVD887</f>
        <v>0</v>
      </c>
      <c r="FVE364" s="373">
        <f>'Q100a-geral'!FVE887</f>
        <v>0</v>
      </c>
      <c r="FVF364" s="373">
        <f>'Q100a-geral'!FVF887</f>
        <v>0</v>
      </c>
      <c r="FVG364" s="373">
        <f>'Q100a-geral'!FVG887</f>
        <v>0</v>
      </c>
      <c r="FVH364" s="373">
        <f>'Q100a-geral'!FVH887</f>
        <v>0</v>
      </c>
      <c r="FVI364" s="373">
        <f>'Q100a-geral'!FVI887</f>
        <v>0</v>
      </c>
      <c r="FVJ364" s="373">
        <f>'Q100a-geral'!FVJ887</f>
        <v>0</v>
      </c>
      <c r="FVK364" s="373">
        <f>'Q100a-geral'!FVK887</f>
        <v>0</v>
      </c>
      <c r="FVL364" s="373">
        <f>'Q100a-geral'!FVL887</f>
        <v>0</v>
      </c>
      <c r="FVM364" s="373">
        <f>'Q100a-geral'!FVM887</f>
        <v>0</v>
      </c>
      <c r="FVN364" s="373">
        <f>'Q100a-geral'!FVN887</f>
        <v>0</v>
      </c>
      <c r="FVO364" s="373">
        <f>'Q100a-geral'!FVO887</f>
        <v>0</v>
      </c>
      <c r="FVP364" s="373">
        <f>'Q100a-geral'!FVP887</f>
        <v>0</v>
      </c>
      <c r="FVQ364" s="373">
        <f>'Q100a-geral'!FVQ887</f>
        <v>0</v>
      </c>
      <c r="FVR364" s="373">
        <f>'Q100a-geral'!FVR887</f>
        <v>0</v>
      </c>
      <c r="FVS364" s="373">
        <f>'Q100a-geral'!FVS887</f>
        <v>0</v>
      </c>
      <c r="FVT364" s="373">
        <f>'Q100a-geral'!FVT887</f>
        <v>0</v>
      </c>
      <c r="FVU364" s="373">
        <f>'Q100a-geral'!FVU887</f>
        <v>0</v>
      </c>
      <c r="FVV364" s="373">
        <f>'Q100a-geral'!FVV887</f>
        <v>0</v>
      </c>
      <c r="FVW364" s="373">
        <f>'Q100a-geral'!FVW887</f>
        <v>0</v>
      </c>
      <c r="FVX364" s="373">
        <f>'Q100a-geral'!FVX887</f>
        <v>0</v>
      </c>
      <c r="FVY364" s="373">
        <f>'Q100a-geral'!FVY887</f>
        <v>0</v>
      </c>
      <c r="FVZ364" s="373">
        <f>'Q100a-geral'!FVZ887</f>
        <v>0</v>
      </c>
      <c r="FWA364" s="373">
        <f>'Q100a-geral'!FWA887</f>
        <v>0</v>
      </c>
      <c r="FWB364" s="373">
        <f>'Q100a-geral'!FWB887</f>
        <v>0</v>
      </c>
      <c r="FWC364" s="373">
        <f>'Q100a-geral'!FWC887</f>
        <v>0</v>
      </c>
      <c r="FWD364" s="373">
        <f>'Q100a-geral'!FWD887</f>
        <v>0</v>
      </c>
      <c r="FWE364" s="373">
        <f>'Q100a-geral'!FWE887</f>
        <v>0</v>
      </c>
      <c r="FWF364" s="373">
        <f>'Q100a-geral'!FWF887</f>
        <v>0</v>
      </c>
      <c r="FWG364" s="373">
        <f>'Q100a-geral'!FWG887</f>
        <v>0</v>
      </c>
      <c r="FWH364" s="373">
        <f>'Q100a-geral'!FWH887</f>
        <v>0</v>
      </c>
      <c r="FWI364" s="373">
        <f>'Q100a-geral'!FWI887</f>
        <v>0</v>
      </c>
      <c r="FWJ364" s="373">
        <f>'Q100a-geral'!FWJ887</f>
        <v>0</v>
      </c>
      <c r="FWK364" s="373">
        <f>'Q100a-geral'!FWK887</f>
        <v>0</v>
      </c>
      <c r="FWL364" s="373">
        <f>'Q100a-geral'!FWL887</f>
        <v>0</v>
      </c>
      <c r="FWM364" s="373">
        <f>'Q100a-geral'!FWM887</f>
        <v>0</v>
      </c>
      <c r="FWN364" s="373">
        <f>'Q100a-geral'!FWN887</f>
        <v>0</v>
      </c>
      <c r="FWO364" s="373">
        <f>'Q100a-geral'!FWO887</f>
        <v>0</v>
      </c>
      <c r="FWP364" s="373">
        <f>'Q100a-geral'!FWP887</f>
        <v>0</v>
      </c>
      <c r="FWQ364" s="373">
        <f>'Q100a-geral'!FWQ887</f>
        <v>0</v>
      </c>
      <c r="FWR364" s="373">
        <f>'Q100a-geral'!FWR887</f>
        <v>0</v>
      </c>
      <c r="FWS364" s="373">
        <f>'Q100a-geral'!FWS887</f>
        <v>0</v>
      </c>
      <c r="FWT364" s="373">
        <f>'Q100a-geral'!FWT887</f>
        <v>0</v>
      </c>
      <c r="FWU364" s="373">
        <f>'Q100a-geral'!FWU887</f>
        <v>0</v>
      </c>
      <c r="FWV364" s="373">
        <f>'Q100a-geral'!FWV887</f>
        <v>0</v>
      </c>
      <c r="FWW364" s="373">
        <f>'Q100a-geral'!FWW887</f>
        <v>0</v>
      </c>
      <c r="FWX364" s="373">
        <f>'Q100a-geral'!FWX887</f>
        <v>0</v>
      </c>
      <c r="FWY364" s="373">
        <f>'Q100a-geral'!FWY887</f>
        <v>0</v>
      </c>
      <c r="FWZ364" s="373">
        <f>'Q100a-geral'!FWZ887</f>
        <v>0</v>
      </c>
      <c r="FXA364" s="373">
        <f>'Q100a-geral'!FXA887</f>
        <v>0</v>
      </c>
      <c r="FXB364" s="373">
        <f>'Q100a-geral'!FXB887</f>
        <v>0</v>
      </c>
      <c r="FXC364" s="373">
        <f>'Q100a-geral'!FXC887</f>
        <v>0</v>
      </c>
      <c r="FXD364" s="373">
        <f>'Q100a-geral'!FXD887</f>
        <v>0</v>
      </c>
      <c r="FXE364" s="373">
        <f>'Q100a-geral'!FXE887</f>
        <v>0</v>
      </c>
      <c r="FXF364" s="373">
        <f>'Q100a-geral'!FXF887</f>
        <v>0</v>
      </c>
      <c r="FXG364" s="373">
        <f>'Q100a-geral'!FXG887</f>
        <v>0</v>
      </c>
      <c r="FXH364" s="373">
        <f>'Q100a-geral'!FXH887</f>
        <v>0</v>
      </c>
      <c r="FXI364" s="373">
        <f>'Q100a-geral'!FXI887</f>
        <v>0</v>
      </c>
      <c r="FXJ364" s="373">
        <f>'Q100a-geral'!FXJ887</f>
        <v>0</v>
      </c>
      <c r="FXK364" s="373">
        <f>'Q100a-geral'!FXK887</f>
        <v>0</v>
      </c>
      <c r="FXL364" s="373">
        <f>'Q100a-geral'!FXL887</f>
        <v>0</v>
      </c>
      <c r="FXM364" s="373">
        <f>'Q100a-geral'!FXM887</f>
        <v>0</v>
      </c>
      <c r="FXN364" s="373">
        <f>'Q100a-geral'!FXN887</f>
        <v>0</v>
      </c>
      <c r="FXO364" s="373">
        <f>'Q100a-geral'!FXO887</f>
        <v>0</v>
      </c>
      <c r="FXP364" s="373">
        <f>'Q100a-geral'!FXP887</f>
        <v>0</v>
      </c>
      <c r="FXQ364" s="373">
        <f>'Q100a-geral'!FXQ887</f>
        <v>0</v>
      </c>
      <c r="FXR364" s="373">
        <f>'Q100a-geral'!FXR887</f>
        <v>0</v>
      </c>
      <c r="FXS364" s="373">
        <f>'Q100a-geral'!FXS887</f>
        <v>0</v>
      </c>
      <c r="FXT364" s="373">
        <f>'Q100a-geral'!FXT887</f>
        <v>0</v>
      </c>
      <c r="FXU364" s="373">
        <f>'Q100a-geral'!FXU887</f>
        <v>0</v>
      </c>
      <c r="FXV364" s="373">
        <f>'Q100a-geral'!FXV887</f>
        <v>0</v>
      </c>
      <c r="FXW364" s="373">
        <f>'Q100a-geral'!FXW887</f>
        <v>0</v>
      </c>
      <c r="FXX364" s="373">
        <f>'Q100a-geral'!FXX887</f>
        <v>0</v>
      </c>
      <c r="FXY364" s="373">
        <f>'Q100a-geral'!FXY887</f>
        <v>0</v>
      </c>
      <c r="FXZ364" s="373">
        <f>'Q100a-geral'!FXZ887</f>
        <v>0</v>
      </c>
      <c r="FYA364" s="373">
        <f>'Q100a-geral'!FYA887</f>
        <v>0</v>
      </c>
      <c r="FYB364" s="373">
        <f>'Q100a-geral'!FYB887</f>
        <v>0</v>
      </c>
      <c r="FYC364" s="373">
        <f>'Q100a-geral'!FYC887</f>
        <v>0</v>
      </c>
      <c r="FYD364" s="373">
        <f>'Q100a-geral'!FYD887</f>
        <v>0</v>
      </c>
      <c r="FYE364" s="373">
        <f>'Q100a-geral'!FYE887</f>
        <v>0</v>
      </c>
      <c r="FYF364" s="373">
        <f>'Q100a-geral'!FYF887</f>
        <v>0</v>
      </c>
      <c r="FYG364" s="373">
        <f>'Q100a-geral'!FYG887</f>
        <v>0</v>
      </c>
      <c r="FYH364" s="373">
        <f>'Q100a-geral'!FYH887</f>
        <v>0</v>
      </c>
      <c r="FYI364" s="373">
        <f>'Q100a-geral'!FYI887</f>
        <v>0</v>
      </c>
      <c r="FYJ364" s="373">
        <f>'Q100a-geral'!FYJ887</f>
        <v>0</v>
      </c>
      <c r="FYK364" s="373">
        <f>'Q100a-geral'!FYK887</f>
        <v>0</v>
      </c>
      <c r="FYL364" s="373">
        <f>'Q100a-geral'!FYL887</f>
        <v>0</v>
      </c>
      <c r="FYM364" s="373">
        <f>'Q100a-geral'!FYM887</f>
        <v>0</v>
      </c>
      <c r="FYN364" s="373">
        <f>'Q100a-geral'!FYN887</f>
        <v>0</v>
      </c>
      <c r="FYO364" s="373">
        <f>'Q100a-geral'!FYO887</f>
        <v>0</v>
      </c>
      <c r="FYP364" s="373">
        <f>'Q100a-geral'!FYP887</f>
        <v>0</v>
      </c>
      <c r="FYQ364" s="373">
        <f>'Q100a-geral'!FYQ887</f>
        <v>0</v>
      </c>
      <c r="FYR364" s="373">
        <f>'Q100a-geral'!FYR887</f>
        <v>0</v>
      </c>
      <c r="FYS364" s="373">
        <f>'Q100a-geral'!FYS887</f>
        <v>0</v>
      </c>
      <c r="FYT364" s="373">
        <f>'Q100a-geral'!FYT887</f>
        <v>0</v>
      </c>
      <c r="FYU364" s="373">
        <f>'Q100a-geral'!FYU887</f>
        <v>0</v>
      </c>
      <c r="FYV364" s="373">
        <f>'Q100a-geral'!FYV887</f>
        <v>0</v>
      </c>
      <c r="FYW364" s="373">
        <f>'Q100a-geral'!FYW887</f>
        <v>0</v>
      </c>
      <c r="FYX364" s="373">
        <f>'Q100a-geral'!FYX887</f>
        <v>0</v>
      </c>
      <c r="FYY364" s="373">
        <f>'Q100a-geral'!FYY887</f>
        <v>0</v>
      </c>
      <c r="FYZ364" s="373">
        <f>'Q100a-geral'!FYZ887</f>
        <v>0</v>
      </c>
      <c r="FZA364" s="373">
        <f>'Q100a-geral'!FZA887</f>
        <v>0</v>
      </c>
      <c r="FZB364" s="373">
        <f>'Q100a-geral'!FZB887</f>
        <v>0</v>
      </c>
      <c r="FZC364" s="373">
        <f>'Q100a-geral'!FZC887</f>
        <v>0</v>
      </c>
      <c r="FZD364" s="373">
        <f>'Q100a-geral'!FZD887</f>
        <v>0</v>
      </c>
      <c r="FZE364" s="373">
        <f>'Q100a-geral'!FZE887</f>
        <v>0</v>
      </c>
      <c r="FZF364" s="373">
        <f>'Q100a-geral'!FZF887</f>
        <v>0</v>
      </c>
      <c r="FZG364" s="373">
        <f>'Q100a-geral'!FZG887</f>
        <v>0</v>
      </c>
      <c r="FZH364" s="373">
        <f>'Q100a-geral'!FZH887</f>
        <v>0</v>
      </c>
      <c r="FZI364" s="373">
        <f>'Q100a-geral'!FZI887</f>
        <v>0</v>
      </c>
      <c r="FZJ364" s="373">
        <f>'Q100a-geral'!FZJ887</f>
        <v>0</v>
      </c>
      <c r="FZK364" s="373">
        <f>'Q100a-geral'!FZK887</f>
        <v>0</v>
      </c>
      <c r="FZL364" s="373">
        <f>'Q100a-geral'!FZL887</f>
        <v>0</v>
      </c>
      <c r="FZM364" s="373">
        <f>'Q100a-geral'!FZM887</f>
        <v>0</v>
      </c>
      <c r="FZN364" s="373">
        <f>'Q100a-geral'!FZN887</f>
        <v>0</v>
      </c>
      <c r="FZO364" s="373">
        <f>'Q100a-geral'!FZO887</f>
        <v>0</v>
      </c>
      <c r="FZP364" s="373">
        <f>'Q100a-geral'!FZP887</f>
        <v>0</v>
      </c>
      <c r="FZQ364" s="373">
        <f>'Q100a-geral'!FZQ887</f>
        <v>0</v>
      </c>
      <c r="FZR364" s="373">
        <f>'Q100a-geral'!FZR887</f>
        <v>0</v>
      </c>
      <c r="FZS364" s="373">
        <f>'Q100a-geral'!FZS887</f>
        <v>0</v>
      </c>
      <c r="FZT364" s="373">
        <f>'Q100a-geral'!FZT887</f>
        <v>0</v>
      </c>
      <c r="FZU364" s="373">
        <f>'Q100a-geral'!FZU887</f>
        <v>0</v>
      </c>
      <c r="FZV364" s="373">
        <f>'Q100a-geral'!FZV887</f>
        <v>0</v>
      </c>
      <c r="FZW364" s="373">
        <f>'Q100a-geral'!FZW887</f>
        <v>0</v>
      </c>
      <c r="FZX364" s="373">
        <f>'Q100a-geral'!FZX887</f>
        <v>0</v>
      </c>
      <c r="FZY364" s="373">
        <f>'Q100a-geral'!FZY887</f>
        <v>0</v>
      </c>
      <c r="FZZ364" s="373">
        <f>'Q100a-geral'!FZZ887</f>
        <v>0</v>
      </c>
      <c r="GAA364" s="373">
        <f>'Q100a-geral'!GAA887</f>
        <v>0</v>
      </c>
      <c r="GAB364" s="373">
        <f>'Q100a-geral'!GAB887</f>
        <v>0</v>
      </c>
      <c r="GAC364" s="373">
        <f>'Q100a-geral'!GAC887</f>
        <v>0</v>
      </c>
      <c r="GAD364" s="373">
        <f>'Q100a-geral'!GAD887</f>
        <v>0</v>
      </c>
      <c r="GAE364" s="373">
        <f>'Q100a-geral'!GAE887</f>
        <v>0</v>
      </c>
      <c r="GAF364" s="373">
        <f>'Q100a-geral'!GAF887</f>
        <v>0</v>
      </c>
      <c r="GAG364" s="373">
        <f>'Q100a-geral'!GAG887</f>
        <v>0</v>
      </c>
      <c r="GAH364" s="373">
        <f>'Q100a-geral'!GAH887</f>
        <v>0</v>
      </c>
      <c r="GAI364" s="373">
        <f>'Q100a-geral'!GAI887</f>
        <v>0</v>
      </c>
      <c r="GAJ364" s="373">
        <f>'Q100a-geral'!GAJ887</f>
        <v>0</v>
      </c>
      <c r="GAK364" s="373">
        <f>'Q100a-geral'!GAK887</f>
        <v>0</v>
      </c>
      <c r="GAL364" s="373">
        <f>'Q100a-geral'!GAL887</f>
        <v>0</v>
      </c>
      <c r="GAM364" s="373">
        <f>'Q100a-geral'!GAM887</f>
        <v>0</v>
      </c>
      <c r="GAN364" s="373">
        <f>'Q100a-geral'!GAN887</f>
        <v>0</v>
      </c>
      <c r="GAO364" s="373">
        <f>'Q100a-geral'!GAO887</f>
        <v>0</v>
      </c>
      <c r="GAP364" s="373">
        <f>'Q100a-geral'!GAP887</f>
        <v>0</v>
      </c>
      <c r="GAQ364" s="373">
        <f>'Q100a-geral'!GAQ887</f>
        <v>0</v>
      </c>
      <c r="GAR364" s="373">
        <f>'Q100a-geral'!GAR887</f>
        <v>0</v>
      </c>
      <c r="GAS364" s="373">
        <f>'Q100a-geral'!GAS887</f>
        <v>0</v>
      </c>
      <c r="GAT364" s="373">
        <f>'Q100a-geral'!GAT887</f>
        <v>0</v>
      </c>
      <c r="GAU364" s="373">
        <f>'Q100a-geral'!GAU887</f>
        <v>0</v>
      </c>
      <c r="GAV364" s="373">
        <f>'Q100a-geral'!GAV887</f>
        <v>0</v>
      </c>
      <c r="GAW364" s="373">
        <f>'Q100a-geral'!GAW887</f>
        <v>0</v>
      </c>
      <c r="GAX364" s="373">
        <f>'Q100a-geral'!GAX887</f>
        <v>0</v>
      </c>
      <c r="GAY364" s="373">
        <f>'Q100a-geral'!GAY887</f>
        <v>0</v>
      </c>
      <c r="GAZ364" s="373">
        <f>'Q100a-geral'!GAZ887</f>
        <v>0</v>
      </c>
      <c r="GBA364" s="373">
        <f>'Q100a-geral'!GBA887</f>
        <v>0</v>
      </c>
      <c r="GBB364" s="373">
        <f>'Q100a-geral'!GBB887</f>
        <v>0</v>
      </c>
      <c r="GBC364" s="373">
        <f>'Q100a-geral'!GBC887</f>
        <v>0</v>
      </c>
      <c r="GBD364" s="373">
        <f>'Q100a-geral'!GBD887</f>
        <v>0</v>
      </c>
      <c r="GBE364" s="373">
        <f>'Q100a-geral'!GBE887</f>
        <v>0</v>
      </c>
      <c r="GBF364" s="373">
        <f>'Q100a-geral'!GBF887</f>
        <v>0</v>
      </c>
      <c r="GBG364" s="373">
        <f>'Q100a-geral'!GBG887</f>
        <v>0</v>
      </c>
      <c r="GBH364" s="373">
        <f>'Q100a-geral'!GBH887</f>
        <v>0</v>
      </c>
      <c r="GBI364" s="373">
        <f>'Q100a-geral'!GBI887</f>
        <v>0</v>
      </c>
      <c r="GBJ364" s="373">
        <f>'Q100a-geral'!GBJ887</f>
        <v>0</v>
      </c>
      <c r="GBK364" s="373">
        <f>'Q100a-geral'!GBK887</f>
        <v>0</v>
      </c>
      <c r="GBL364" s="373">
        <f>'Q100a-geral'!GBL887</f>
        <v>0</v>
      </c>
      <c r="GBM364" s="373">
        <f>'Q100a-geral'!GBM887</f>
        <v>0</v>
      </c>
      <c r="GBN364" s="373">
        <f>'Q100a-geral'!GBN887</f>
        <v>0</v>
      </c>
      <c r="GBO364" s="373">
        <f>'Q100a-geral'!GBO887</f>
        <v>0</v>
      </c>
      <c r="GBP364" s="373">
        <f>'Q100a-geral'!GBP887</f>
        <v>0</v>
      </c>
      <c r="GBQ364" s="373">
        <f>'Q100a-geral'!GBQ887</f>
        <v>0</v>
      </c>
      <c r="GBR364" s="373">
        <f>'Q100a-geral'!GBR887</f>
        <v>0</v>
      </c>
      <c r="GBS364" s="373">
        <f>'Q100a-geral'!GBS887</f>
        <v>0</v>
      </c>
      <c r="GBT364" s="373">
        <f>'Q100a-geral'!GBT887</f>
        <v>0</v>
      </c>
      <c r="GBU364" s="373">
        <f>'Q100a-geral'!GBU887</f>
        <v>0</v>
      </c>
      <c r="GBV364" s="373">
        <f>'Q100a-geral'!GBV887</f>
        <v>0</v>
      </c>
      <c r="GBW364" s="373">
        <f>'Q100a-geral'!GBW887</f>
        <v>0</v>
      </c>
      <c r="GBX364" s="373">
        <f>'Q100a-geral'!GBX887</f>
        <v>0</v>
      </c>
      <c r="GBY364" s="373">
        <f>'Q100a-geral'!GBY887</f>
        <v>0</v>
      </c>
      <c r="GBZ364" s="373">
        <f>'Q100a-geral'!GBZ887</f>
        <v>0</v>
      </c>
      <c r="GCA364" s="373">
        <f>'Q100a-geral'!GCA887</f>
        <v>0</v>
      </c>
      <c r="GCB364" s="373">
        <f>'Q100a-geral'!GCB887</f>
        <v>0</v>
      </c>
      <c r="GCC364" s="373">
        <f>'Q100a-geral'!GCC887</f>
        <v>0</v>
      </c>
      <c r="GCD364" s="373">
        <f>'Q100a-geral'!GCD887</f>
        <v>0</v>
      </c>
      <c r="GCE364" s="373">
        <f>'Q100a-geral'!GCE887</f>
        <v>0</v>
      </c>
      <c r="GCF364" s="373">
        <f>'Q100a-geral'!GCF887</f>
        <v>0</v>
      </c>
      <c r="GCG364" s="373">
        <f>'Q100a-geral'!GCG887</f>
        <v>0</v>
      </c>
      <c r="GCH364" s="373">
        <f>'Q100a-geral'!GCH887</f>
        <v>0</v>
      </c>
      <c r="GCI364" s="373">
        <f>'Q100a-geral'!GCI887</f>
        <v>0</v>
      </c>
      <c r="GCJ364" s="373">
        <f>'Q100a-geral'!GCJ887</f>
        <v>0</v>
      </c>
      <c r="GCK364" s="373">
        <f>'Q100a-geral'!GCK887</f>
        <v>0</v>
      </c>
      <c r="GCL364" s="373">
        <f>'Q100a-geral'!GCL887</f>
        <v>0</v>
      </c>
      <c r="GCM364" s="373">
        <f>'Q100a-geral'!GCM887</f>
        <v>0</v>
      </c>
      <c r="GCN364" s="373">
        <f>'Q100a-geral'!GCN887</f>
        <v>0</v>
      </c>
      <c r="GCO364" s="373">
        <f>'Q100a-geral'!GCO887</f>
        <v>0</v>
      </c>
      <c r="GCP364" s="373">
        <f>'Q100a-geral'!GCP887</f>
        <v>0</v>
      </c>
      <c r="GCQ364" s="373">
        <f>'Q100a-geral'!GCQ887</f>
        <v>0</v>
      </c>
      <c r="GCR364" s="373">
        <f>'Q100a-geral'!GCR887</f>
        <v>0</v>
      </c>
      <c r="GCS364" s="373">
        <f>'Q100a-geral'!GCS887</f>
        <v>0</v>
      </c>
      <c r="GCT364" s="373">
        <f>'Q100a-geral'!GCT887</f>
        <v>0</v>
      </c>
      <c r="GCU364" s="373">
        <f>'Q100a-geral'!GCU887</f>
        <v>0</v>
      </c>
      <c r="GCV364" s="373">
        <f>'Q100a-geral'!GCV887</f>
        <v>0</v>
      </c>
      <c r="GCW364" s="373">
        <f>'Q100a-geral'!GCW887</f>
        <v>0</v>
      </c>
      <c r="GCX364" s="373">
        <f>'Q100a-geral'!GCX887</f>
        <v>0</v>
      </c>
      <c r="GCY364" s="373">
        <f>'Q100a-geral'!GCY887</f>
        <v>0</v>
      </c>
      <c r="GCZ364" s="373">
        <f>'Q100a-geral'!GCZ887</f>
        <v>0</v>
      </c>
      <c r="GDA364" s="373">
        <f>'Q100a-geral'!GDA887</f>
        <v>0</v>
      </c>
      <c r="GDB364" s="373">
        <f>'Q100a-geral'!GDB887</f>
        <v>0</v>
      </c>
      <c r="GDC364" s="373">
        <f>'Q100a-geral'!GDC887</f>
        <v>0</v>
      </c>
      <c r="GDD364" s="373">
        <f>'Q100a-geral'!GDD887</f>
        <v>0</v>
      </c>
      <c r="GDE364" s="373">
        <f>'Q100a-geral'!GDE887</f>
        <v>0</v>
      </c>
      <c r="GDF364" s="373">
        <f>'Q100a-geral'!GDF887</f>
        <v>0</v>
      </c>
      <c r="GDG364" s="373">
        <f>'Q100a-geral'!GDG887</f>
        <v>0</v>
      </c>
      <c r="GDH364" s="373">
        <f>'Q100a-geral'!GDH887</f>
        <v>0</v>
      </c>
      <c r="GDI364" s="373">
        <f>'Q100a-geral'!GDI887</f>
        <v>0</v>
      </c>
      <c r="GDJ364" s="373">
        <f>'Q100a-geral'!GDJ887</f>
        <v>0</v>
      </c>
      <c r="GDK364" s="373">
        <f>'Q100a-geral'!GDK887</f>
        <v>0</v>
      </c>
      <c r="GDL364" s="373">
        <f>'Q100a-geral'!GDL887</f>
        <v>0</v>
      </c>
      <c r="GDM364" s="373">
        <f>'Q100a-geral'!GDM887</f>
        <v>0</v>
      </c>
      <c r="GDN364" s="373">
        <f>'Q100a-geral'!GDN887</f>
        <v>0</v>
      </c>
      <c r="GDO364" s="373">
        <f>'Q100a-geral'!GDO887</f>
        <v>0</v>
      </c>
      <c r="GDP364" s="373">
        <f>'Q100a-geral'!GDP887</f>
        <v>0</v>
      </c>
      <c r="GDQ364" s="373">
        <f>'Q100a-geral'!GDQ887</f>
        <v>0</v>
      </c>
      <c r="GDR364" s="373">
        <f>'Q100a-geral'!GDR887</f>
        <v>0</v>
      </c>
      <c r="GDS364" s="373">
        <f>'Q100a-geral'!GDS887</f>
        <v>0</v>
      </c>
      <c r="GDT364" s="373">
        <f>'Q100a-geral'!GDT887</f>
        <v>0</v>
      </c>
      <c r="GDU364" s="373">
        <f>'Q100a-geral'!GDU887</f>
        <v>0</v>
      </c>
      <c r="GDV364" s="373">
        <f>'Q100a-geral'!GDV887</f>
        <v>0</v>
      </c>
      <c r="GDW364" s="373">
        <f>'Q100a-geral'!GDW887</f>
        <v>0</v>
      </c>
      <c r="GDX364" s="373">
        <f>'Q100a-geral'!GDX887</f>
        <v>0</v>
      </c>
      <c r="GDY364" s="373">
        <f>'Q100a-geral'!GDY887</f>
        <v>0</v>
      </c>
      <c r="GDZ364" s="373">
        <f>'Q100a-geral'!GDZ887</f>
        <v>0</v>
      </c>
      <c r="GEA364" s="373">
        <f>'Q100a-geral'!GEA887</f>
        <v>0</v>
      </c>
      <c r="GEB364" s="373">
        <f>'Q100a-geral'!GEB887</f>
        <v>0</v>
      </c>
      <c r="GEC364" s="373">
        <f>'Q100a-geral'!GEC887</f>
        <v>0</v>
      </c>
      <c r="GED364" s="373">
        <f>'Q100a-geral'!GED887</f>
        <v>0</v>
      </c>
      <c r="GEE364" s="373">
        <f>'Q100a-geral'!GEE887</f>
        <v>0</v>
      </c>
      <c r="GEF364" s="373">
        <f>'Q100a-geral'!GEF887</f>
        <v>0</v>
      </c>
      <c r="GEG364" s="373">
        <f>'Q100a-geral'!GEG887</f>
        <v>0</v>
      </c>
      <c r="GEH364" s="373">
        <f>'Q100a-geral'!GEH887</f>
        <v>0</v>
      </c>
      <c r="GEI364" s="373">
        <f>'Q100a-geral'!GEI887</f>
        <v>0</v>
      </c>
      <c r="GEJ364" s="373">
        <f>'Q100a-geral'!GEJ887</f>
        <v>0</v>
      </c>
      <c r="GEK364" s="373">
        <f>'Q100a-geral'!GEK887</f>
        <v>0</v>
      </c>
      <c r="GEL364" s="373">
        <f>'Q100a-geral'!GEL887</f>
        <v>0</v>
      </c>
      <c r="GEM364" s="373">
        <f>'Q100a-geral'!GEM887</f>
        <v>0</v>
      </c>
      <c r="GEN364" s="373">
        <f>'Q100a-geral'!GEN887</f>
        <v>0</v>
      </c>
      <c r="GEO364" s="373">
        <f>'Q100a-geral'!GEO887</f>
        <v>0</v>
      </c>
      <c r="GEP364" s="373">
        <f>'Q100a-geral'!GEP887</f>
        <v>0</v>
      </c>
      <c r="GEQ364" s="373">
        <f>'Q100a-geral'!GEQ887</f>
        <v>0</v>
      </c>
      <c r="GER364" s="373">
        <f>'Q100a-geral'!GER887</f>
        <v>0</v>
      </c>
      <c r="GES364" s="373">
        <f>'Q100a-geral'!GES887</f>
        <v>0</v>
      </c>
      <c r="GET364" s="373">
        <f>'Q100a-geral'!GET887</f>
        <v>0</v>
      </c>
      <c r="GEU364" s="373">
        <f>'Q100a-geral'!GEU887</f>
        <v>0</v>
      </c>
      <c r="GEV364" s="373">
        <f>'Q100a-geral'!GEV887</f>
        <v>0</v>
      </c>
      <c r="GEW364" s="373">
        <f>'Q100a-geral'!GEW887</f>
        <v>0</v>
      </c>
      <c r="GEX364" s="373">
        <f>'Q100a-geral'!GEX887</f>
        <v>0</v>
      </c>
      <c r="GEY364" s="373">
        <f>'Q100a-geral'!GEY887</f>
        <v>0</v>
      </c>
      <c r="GEZ364" s="373">
        <f>'Q100a-geral'!GEZ887</f>
        <v>0</v>
      </c>
      <c r="GFA364" s="373">
        <f>'Q100a-geral'!GFA887</f>
        <v>0</v>
      </c>
      <c r="GFB364" s="373">
        <f>'Q100a-geral'!GFB887</f>
        <v>0</v>
      </c>
      <c r="GFC364" s="373">
        <f>'Q100a-geral'!GFC887</f>
        <v>0</v>
      </c>
      <c r="GFD364" s="373">
        <f>'Q100a-geral'!GFD887</f>
        <v>0</v>
      </c>
      <c r="GFE364" s="373">
        <f>'Q100a-geral'!GFE887</f>
        <v>0</v>
      </c>
      <c r="GFF364" s="373">
        <f>'Q100a-geral'!GFF887</f>
        <v>0</v>
      </c>
      <c r="GFG364" s="373">
        <f>'Q100a-geral'!GFG887</f>
        <v>0</v>
      </c>
      <c r="GFH364" s="373">
        <f>'Q100a-geral'!GFH887</f>
        <v>0</v>
      </c>
      <c r="GFI364" s="373">
        <f>'Q100a-geral'!GFI887</f>
        <v>0</v>
      </c>
      <c r="GFJ364" s="373">
        <f>'Q100a-geral'!GFJ887</f>
        <v>0</v>
      </c>
      <c r="GFK364" s="373">
        <f>'Q100a-geral'!GFK887</f>
        <v>0</v>
      </c>
      <c r="GFL364" s="373">
        <f>'Q100a-geral'!GFL887</f>
        <v>0</v>
      </c>
      <c r="GFM364" s="373">
        <f>'Q100a-geral'!GFM887</f>
        <v>0</v>
      </c>
      <c r="GFN364" s="373">
        <f>'Q100a-geral'!GFN887</f>
        <v>0</v>
      </c>
      <c r="GFO364" s="373">
        <f>'Q100a-geral'!GFO887</f>
        <v>0</v>
      </c>
      <c r="GFP364" s="373">
        <f>'Q100a-geral'!GFP887</f>
        <v>0</v>
      </c>
      <c r="GFQ364" s="373">
        <f>'Q100a-geral'!GFQ887</f>
        <v>0</v>
      </c>
      <c r="GFR364" s="373">
        <f>'Q100a-geral'!GFR887</f>
        <v>0</v>
      </c>
      <c r="GFS364" s="373">
        <f>'Q100a-geral'!GFS887</f>
        <v>0</v>
      </c>
      <c r="GFT364" s="373">
        <f>'Q100a-geral'!GFT887</f>
        <v>0</v>
      </c>
      <c r="GFU364" s="373">
        <f>'Q100a-geral'!GFU887</f>
        <v>0</v>
      </c>
      <c r="GFV364" s="373">
        <f>'Q100a-geral'!GFV887</f>
        <v>0</v>
      </c>
      <c r="GFW364" s="373">
        <f>'Q100a-geral'!GFW887</f>
        <v>0</v>
      </c>
      <c r="GFX364" s="373">
        <f>'Q100a-geral'!GFX887</f>
        <v>0</v>
      </c>
      <c r="GFY364" s="373">
        <f>'Q100a-geral'!GFY887</f>
        <v>0</v>
      </c>
      <c r="GFZ364" s="373">
        <f>'Q100a-geral'!GFZ887</f>
        <v>0</v>
      </c>
      <c r="GGA364" s="373">
        <f>'Q100a-geral'!GGA887</f>
        <v>0</v>
      </c>
      <c r="GGB364" s="373">
        <f>'Q100a-geral'!GGB887</f>
        <v>0</v>
      </c>
      <c r="GGC364" s="373">
        <f>'Q100a-geral'!GGC887</f>
        <v>0</v>
      </c>
      <c r="GGD364" s="373">
        <f>'Q100a-geral'!GGD887</f>
        <v>0</v>
      </c>
      <c r="GGE364" s="373">
        <f>'Q100a-geral'!GGE887</f>
        <v>0</v>
      </c>
      <c r="GGF364" s="373">
        <f>'Q100a-geral'!GGF887</f>
        <v>0</v>
      </c>
      <c r="GGG364" s="373">
        <f>'Q100a-geral'!GGG887</f>
        <v>0</v>
      </c>
      <c r="GGH364" s="373">
        <f>'Q100a-geral'!GGH887</f>
        <v>0</v>
      </c>
      <c r="GGI364" s="373">
        <f>'Q100a-geral'!GGI887</f>
        <v>0</v>
      </c>
      <c r="GGJ364" s="373">
        <f>'Q100a-geral'!GGJ887</f>
        <v>0</v>
      </c>
      <c r="GGK364" s="373">
        <f>'Q100a-geral'!GGK887</f>
        <v>0</v>
      </c>
      <c r="GGL364" s="373">
        <f>'Q100a-geral'!GGL887</f>
        <v>0</v>
      </c>
      <c r="GGM364" s="373">
        <f>'Q100a-geral'!GGM887</f>
        <v>0</v>
      </c>
      <c r="GGN364" s="373">
        <f>'Q100a-geral'!GGN887</f>
        <v>0</v>
      </c>
      <c r="GGO364" s="373">
        <f>'Q100a-geral'!GGO887</f>
        <v>0</v>
      </c>
      <c r="GGP364" s="373">
        <f>'Q100a-geral'!GGP887</f>
        <v>0</v>
      </c>
      <c r="GGQ364" s="373">
        <f>'Q100a-geral'!GGQ887</f>
        <v>0</v>
      </c>
      <c r="GGR364" s="373">
        <f>'Q100a-geral'!GGR887</f>
        <v>0</v>
      </c>
      <c r="GGS364" s="373">
        <f>'Q100a-geral'!GGS887</f>
        <v>0</v>
      </c>
      <c r="GGT364" s="373">
        <f>'Q100a-geral'!GGT887</f>
        <v>0</v>
      </c>
      <c r="GGU364" s="373">
        <f>'Q100a-geral'!GGU887</f>
        <v>0</v>
      </c>
      <c r="GGV364" s="373">
        <f>'Q100a-geral'!GGV887</f>
        <v>0</v>
      </c>
      <c r="GGW364" s="373">
        <f>'Q100a-geral'!GGW887</f>
        <v>0</v>
      </c>
      <c r="GGX364" s="373">
        <f>'Q100a-geral'!GGX887</f>
        <v>0</v>
      </c>
      <c r="GGY364" s="373">
        <f>'Q100a-geral'!GGY887</f>
        <v>0</v>
      </c>
      <c r="GGZ364" s="373">
        <f>'Q100a-geral'!GGZ887</f>
        <v>0</v>
      </c>
      <c r="GHA364" s="373">
        <f>'Q100a-geral'!GHA887</f>
        <v>0</v>
      </c>
      <c r="GHB364" s="373">
        <f>'Q100a-geral'!GHB887</f>
        <v>0</v>
      </c>
      <c r="GHC364" s="373">
        <f>'Q100a-geral'!GHC887</f>
        <v>0</v>
      </c>
      <c r="GHD364" s="373">
        <f>'Q100a-geral'!GHD887</f>
        <v>0</v>
      </c>
      <c r="GHE364" s="373">
        <f>'Q100a-geral'!GHE887</f>
        <v>0</v>
      </c>
      <c r="GHF364" s="373">
        <f>'Q100a-geral'!GHF887</f>
        <v>0</v>
      </c>
      <c r="GHG364" s="373">
        <f>'Q100a-geral'!GHG887</f>
        <v>0</v>
      </c>
      <c r="GHH364" s="373">
        <f>'Q100a-geral'!GHH887</f>
        <v>0</v>
      </c>
      <c r="GHI364" s="373">
        <f>'Q100a-geral'!GHI887</f>
        <v>0</v>
      </c>
      <c r="GHJ364" s="373">
        <f>'Q100a-geral'!GHJ887</f>
        <v>0</v>
      </c>
      <c r="GHK364" s="373">
        <f>'Q100a-geral'!GHK887</f>
        <v>0</v>
      </c>
      <c r="GHL364" s="373">
        <f>'Q100a-geral'!GHL887</f>
        <v>0</v>
      </c>
      <c r="GHM364" s="373">
        <f>'Q100a-geral'!GHM887</f>
        <v>0</v>
      </c>
      <c r="GHN364" s="373">
        <f>'Q100a-geral'!GHN887</f>
        <v>0</v>
      </c>
      <c r="GHO364" s="373">
        <f>'Q100a-geral'!GHO887</f>
        <v>0</v>
      </c>
      <c r="GHP364" s="373">
        <f>'Q100a-geral'!GHP887</f>
        <v>0</v>
      </c>
      <c r="GHQ364" s="373">
        <f>'Q100a-geral'!GHQ887</f>
        <v>0</v>
      </c>
      <c r="GHR364" s="373">
        <f>'Q100a-geral'!GHR887</f>
        <v>0</v>
      </c>
      <c r="GHS364" s="373">
        <f>'Q100a-geral'!GHS887</f>
        <v>0</v>
      </c>
      <c r="GHT364" s="373">
        <f>'Q100a-geral'!GHT887</f>
        <v>0</v>
      </c>
      <c r="GHU364" s="373">
        <f>'Q100a-geral'!GHU887</f>
        <v>0</v>
      </c>
      <c r="GHV364" s="373">
        <f>'Q100a-geral'!GHV887</f>
        <v>0</v>
      </c>
      <c r="GHW364" s="373">
        <f>'Q100a-geral'!GHW887</f>
        <v>0</v>
      </c>
      <c r="GHX364" s="373">
        <f>'Q100a-geral'!GHX887</f>
        <v>0</v>
      </c>
      <c r="GHY364" s="373">
        <f>'Q100a-geral'!GHY887</f>
        <v>0</v>
      </c>
      <c r="GHZ364" s="373">
        <f>'Q100a-geral'!GHZ887</f>
        <v>0</v>
      </c>
      <c r="GIA364" s="373">
        <f>'Q100a-geral'!GIA887</f>
        <v>0</v>
      </c>
      <c r="GIB364" s="373">
        <f>'Q100a-geral'!GIB887</f>
        <v>0</v>
      </c>
      <c r="GIC364" s="373">
        <f>'Q100a-geral'!GIC887</f>
        <v>0</v>
      </c>
      <c r="GID364" s="373">
        <f>'Q100a-geral'!GID887</f>
        <v>0</v>
      </c>
      <c r="GIE364" s="373">
        <f>'Q100a-geral'!GIE887</f>
        <v>0</v>
      </c>
      <c r="GIF364" s="373">
        <f>'Q100a-geral'!GIF887</f>
        <v>0</v>
      </c>
      <c r="GIG364" s="373">
        <f>'Q100a-geral'!GIG887</f>
        <v>0</v>
      </c>
      <c r="GIH364" s="373">
        <f>'Q100a-geral'!GIH887</f>
        <v>0</v>
      </c>
      <c r="GII364" s="373">
        <f>'Q100a-geral'!GII887</f>
        <v>0</v>
      </c>
      <c r="GIJ364" s="373">
        <f>'Q100a-geral'!GIJ887</f>
        <v>0</v>
      </c>
      <c r="GIK364" s="373">
        <f>'Q100a-geral'!GIK887</f>
        <v>0</v>
      </c>
      <c r="GIL364" s="373">
        <f>'Q100a-geral'!GIL887</f>
        <v>0</v>
      </c>
      <c r="GIM364" s="373">
        <f>'Q100a-geral'!GIM887</f>
        <v>0</v>
      </c>
      <c r="GIN364" s="373">
        <f>'Q100a-geral'!GIN887</f>
        <v>0</v>
      </c>
      <c r="GIO364" s="373">
        <f>'Q100a-geral'!GIO887</f>
        <v>0</v>
      </c>
      <c r="GIP364" s="373">
        <f>'Q100a-geral'!GIP887</f>
        <v>0</v>
      </c>
      <c r="GIQ364" s="373">
        <f>'Q100a-geral'!GIQ887</f>
        <v>0</v>
      </c>
      <c r="GIR364" s="373">
        <f>'Q100a-geral'!GIR887</f>
        <v>0</v>
      </c>
      <c r="GIS364" s="373">
        <f>'Q100a-geral'!GIS887</f>
        <v>0</v>
      </c>
      <c r="GIT364" s="373">
        <f>'Q100a-geral'!GIT887</f>
        <v>0</v>
      </c>
      <c r="GIU364" s="373">
        <f>'Q100a-geral'!GIU887</f>
        <v>0</v>
      </c>
      <c r="GIV364" s="373">
        <f>'Q100a-geral'!GIV887</f>
        <v>0</v>
      </c>
      <c r="GIW364" s="373">
        <f>'Q100a-geral'!GIW887</f>
        <v>0</v>
      </c>
      <c r="GIX364" s="373">
        <f>'Q100a-geral'!GIX887</f>
        <v>0</v>
      </c>
      <c r="GIY364" s="373">
        <f>'Q100a-geral'!GIY887</f>
        <v>0</v>
      </c>
      <c r="GIZ364" s="373">
        <f>'Q100a-geral'!GIZ887</f>
        <v>0</v>
      </c>
      <c r="GJA364" s="373">
        <f>'Q100a-geral'!GJA887</f>
        <v>0</v>
      </c>
      <c r="GJB364" s="373">
        <f>'Q100a-geral'!GJB887</f>
        <v>0</v>
      </c>
      <c r="GJC364" s="373">
        <f>'Q100a-geral'!GJC887</f>
        <v>0</v>
      </c>
      <c r="GJD364" s="373">
        <f>'Q100a-geral'!GJD887</f>
        <v>0</v>
      </c>
      <c r="GJE364" s="373">
        <f>'Q100a-geral'!GJE887</f>
        <v>0</v>
      </c>
      <c r="GJF364" s="373">
        <f>'Q100a-geral'!GJF887</f>
        <v>0</v>
      </c>
      <c r="GJG364" s="373">
        <f>'Q100a-geral'!GJG887</f>
        <v>0</v>
      </c>
      <c r="GJH364" s="373">
        <f>'Q100a-geral'!GJH887</f>
        <v>0</v>
      </c>
      <c r="GJI364" s="373">
        <f>'Q100a-geral'!GJI887</f>
        <v>0</v>
      </c>
      <c r="GJJ364" s="373">
        <f>'Q100a-geral'!GJJ887</f>
        <v>0</v>
      </c>
      <c r="GJK364" s="373">
        <f>'Q100a-geral'!GJK887</f>
        <v>0</v>
      </c>
      <c r="GJL364" s="373">
        <f>'Q100a-geral'!GJL887</f>
        <v>0</v>
      </c>
      <c r="GJM364" s="373">
        <f>'Q100a-geral'!GJM887</f>
        <v>0</v>
      </c>
      <c r="GJN364" s="373">
        <f>'Q100a-geral'!GJN887</f>
        <v>0</v>
      </c>
      <c r="GJO364" s="373">
        <f>'Q100a-geral'!GJO887</f>
        <v>0</v>
      </c>
      <c r="GJP364" s="373">
        <f>'Q100a-geral'!GJP887</f>
        <v>0</v>
      </c>
      <c r="GJQ364" s="373">
        <f>'Q100a-geral'!GJQ887</f>
        <v>0</v>
      </c>
      <c r="GJR364" s="373">
        <f>'Q100a-geral'!GJR887</f>
        <v>0</v>
      </c>
      <c r="GJS364" s="373">
        <f>'Q100a-geral'!GJS887</f>
        <v>0</v>
      </c>
      <c r="GJT364" s="373">
        <f>'Q100a-geral'!GJT887</f>
        <v>0</v>
      </c>
      <c r="GJU364" s="373">
        <f>'Q100a-geral'!GJU887</f>
        <v>0</v>
      </c>
      <c r="GJV364" s="373">
        <f>'Q100a-geral'!GJV887</f>
        <v>0</v>
      </c>
      <c r="GJW364" s="373">
        <f>'Q100a-geral'!GJW887</f>
        <v>0</v>
      </c>
      <c r="GJX364" s="373">
        <f>'Q100a-geral'!GJX887</f>
        <v>0</v>
      </c>
      <c r="GJY364" s="373">
        <f>'Q100a-geral'!GJY887</f>
        <v>0</v>
      </c>
      <c r="GJZ364" s="373">
        <f>'Q100a-geral'!GJZ887</f>
        <v>0</v>
      </c>
      <c r="GKA364" s="373">
        <f>'Q100a-geral'!GKA887</f>
        <v>0</v>
      </c>
      <c r="GKB364" s="373">
        <f>'Q100a-geral'!GKB887</f>
        <v>0</v>
      </c>
      <c r="GKC364" s="373">
        <f>'Q100a-geral'!GKC887</f>
        <v>0</v>
      </c>
      <c r="GKD364" s="373">
        <f>'Q100a-geral'!GKD887</f>
        <v>0</v>
      </c>
      <c r="GKE364" s="373">
        <f>'Q100a-geral'!GKE887</f>
        <v>0</v>
      </c>
      <c r="GKF364" s="373">
        <f>'Q100a-geral'!GKF887</f>
        <v>0</v>
      </c>
      <c r="GKG364" s="373">
        <f>'Q100a-geral'!GKG887</f>
        <v>0</v>
      </c>
      <c r="GKH364" s="373">
        <f>'Q100a-geral'!GKH887</f>
        <v>0</v>
      </c>
      <c r="GKI364" s="373">
        <f>'Q100a-geral'!GKI887</f>
        <v>0</v>
      </c>
      <c r="GKJ364" s="373">
        <f>'Q100a-geral'!GKJ887</f>
        <v>0</v>
      </c>
      <c r="GKK364" s="373">
        <f>'Q100a-geral'!GKK887</f>
        <v>0</v>
      </c>
      <c r="GKL364" s="373">
        <f>'Q100a-geral'!GKL887</f>
        <v>0</v>
      </c>
      <c r="GKM364" s="373">
        <f>'Q100a-geral'!GKM887</f>
        <v>0</v>
      </c>
      <c r="GKN364" s="373">
        <f>'Q100a-geral'!GKN887</f>
        <v>0</v>
      </c>
      <c r="GKO364" s="373">
        <f>'Q100a-geral'!GKO887</f>
        <v>0</v>
      </c>
      <c r="GKP364" s="373">
        <f>'Q100a-geral'!GKP887</f>
        <v>0</v>
      </c>
      <c r="GKQ364" s="373">
        <f>'Q100a-geral'!GKQ887</f>
        <v>0</v>
      </c>
      <c r="GKR364" s="373">
        <f>'Q100a-geral'!GKR887</f>
        <v>0</v>
      </c>
      <c r="GKS364" s="373">
        <f>'Q100a-geral'!GKS887</f>
        <v>0</v>
      </c>
      <c r="GKT364" s="373">
        <f>'Q100a-geral'!GKT887</f>
        <v>0</v>
      </c>
      <c r="GKU364" s="373">
        <f>'Q100a-geral'!GKU887</f>
        <v>0</v>
      </c>
      <c r="GKV364" s="373">
        <f>'Q100a-geral'!GKV887</f>
        <v>0</v>
      </c>
      <c r="GKW364" s="373">
        <f>'Q100a-geral'!GKW887</f>
        <v>0</v>
      </c>
      <c r="GKX364" s="373">
        <f>'Q100a-geral'!GKX887</f>
        <v>0</v>
      </c>
      <c r="GKY364" s="373">
        <f>'Q100a-geral'!GKY887</f>
        <v>0</v>
      </c>
      <c r="GKZ364" s="373">
        <f>'Q100a-geral'!GKZ887</f>
        <v>0</v>
      </c>
      <c r="GLA364" s="373">
        <f>'Q100a-geral'!GLA887</f>
        <v>0</v>
      </c>
      <c r="GLB364" s="373">
        <f>'Q100a-geral'!GLB887</f>
        <v>0</v>
      </c>
      <c r="GLC364" s="373">
        <f>'Q100a-geral'!GLC887</f>
        <v>0</v>
      </c>
      <c r="GLD364" s="373">
        <f>'Q100a-geral'!GLD887</f>
        <v>0</v>
      </c>
      <c r="GLE364" s="373">
        <f>'Q100a-geral'!GLE887</f>
        <v>0</v>
      </c>
      <c r="GLF364" s="373">
        <f>'Q100a-geral'!GLF887</f>
        <v>0</v>
      </c>
      <c r="GLG364" s="373">
        <f>'Q100a-geral'!GLG887</f>
        <v>0</v>
      </c>
      <c r="GLH364" s="373">
        <f>'Q100a-geral'!GLH887</f>
        <v>0</v>
      </c>
      <c r="GLI364" s="373">
        <f>'Q100a-geral'!GLI887</f>
        <v>0</v>
      </c>
      <c r="GLJ364" s="373">
        <f>'Q100a-geral'!GLJ887</f>
        <v>0</v>
      </c>
      <c r="GLK364" s="373">
        <f>'Q100a-geral'!GLK887</f>
        <v>0</v>
      </c>
      <c r="GLL364" s="373">
        <f>'Q100a-geral'!GLL887</f>
        <v>0</v>
      </c>
      <c r="GLM364" s="373">
        <f>'Q100a-geral'!GLM887</f>
        <v>0</v>
      </c>
      <c r="GLN364" s="373">
        <f>'Q100a-geral'!GLN887</f>
        <v>0</v>
      </c>
      <c r="GLO364" s="373">
        <f>'Q100a-geral'!GLO887</f>
        <v>0</v>
      </c>
      <c r="GLP364" s="373">
        <f>'Q100a-geral'!GLP887</f>
        <v>0</v>
      </c>
      <c r="GLQ364" s="373">
        <f>'Q100a-geral'!GLQ887</f>
        <v>0</v>
      </c>
      <c r="GLR364" s="373">
        <f>'Q100a-geral'!GLR887</f>
        <v>0</v>
      </c>
      <c r="GLS364" s="373">
        <f>'Q100a-geral'!GLS887</f>
        <v>0</v>
      </c>
      <c r="GLT364" s="373">
        <f>'Q100a-geral'!GLT887</f>
        <v>0</v>
      </c>
      <c r="GLU364" s="373">
        <f>'Q100a-geral'!GLU887</f>
        <v>0</v>
      </c>
      <c r="GLV364" s="373">
        <f>'Q100a-geral'!GLV887</f>
        <v>0</v>
      </c>
      <c r="GLW364" s="373">
        <f>'Q100a-geral'!GLW887</f>
        <v>0</v>
      </c>
      <c r="GLX364" s="373">
        <f>'Q100a-geral'!GLX887</f>
        <v>0</v>
      </c>
      <c r="GLY364" s="373">
        <f>'Q100a-geral'!GLY887</f>
        <v>0</v>
      </c>
      <c r="GLZ364" s="373">
        <f>'Q100a-geral'!GLZ887</f>
        <v>0</v>
      </c>
      <c r="GMA364" s="373">
        <f>'Q100a-geral'!GMA887</f>
        <v>0</v>
      </c>
      <c r="GMB364" s="373">
        <f>'Q100a-geral'!GMB887</f>
        <v>0</v>
      </c>
      <c r="GMC364" s="373">
        <f>'Q100a-geral'!GMC887</f>
        <v>0</v>
      </c>
      <c r="GMD364" s="373">
        <f>'Q100a-geral'!GMD887</f>
        <v>0</v>
      </c>
      <c r="GME364" s="373">
        <f>'Q100a-geral'!GME887</f>
        <v>0</v>
      </c>
      <c r="GMF364" s="373">
        <f>'Q100a-geral'!GMF887</f>
        <v>0</v>
      </c>
      <c r="GMG364" s="373">
        <f>'Q100a-geral'!GMG887</f>
        <v>0</v>
      </c>
      <c r="GMH364" s="373">
        <f>'Q100a-geral'!GMH887</f>
        <v>0</v>
      </c>
      <c r="GMI364" s="373">
        <f>'Q100a-geral'!GMI887</f>
        <v>0</v>
      </c>
      <c r="GMJ364" s="373">
        <f>'Q100a-geral'!GMJ887</f>
        <v>0</v>
      </c>
      <c r="GMK364" s="373">
        <f>'Q100a-geral'!GMK887</f>
        <v>0</v>
      </c>
      <c r="GML364" s="373">
        <f>'Q100a-geral'!GML887</f>
        <v>0</v>
      </c>
      <c r="GMM364" s="373">
        <f>'Q100a-geral'!GMM887</f>
        <v>0</v>
      </c>
      <c r="GMN364" s="373">
        <f>'Q100a-geral'!GMN887</f>
        <v>0</v>
      </c>
      <c r="GMO364" s="373">
        <f>'Q100a-geral'!GMO887</f>
        <v>0</v>
      </c>
      <c r="GMP364" s="373">
        <f>'Q100a-geral'!GMP887</f>
        <v>0</v>
      </c>
      <c r="GMQ364" s="373">
        <f>'Q100a-geral'!GMQ887</f>
        <v>0</v>
      </c>
      <c r="GMR364" s="373">
        <f>'Q100a-geral'!GMR887</f>
        <v>0</v>
      </c>
      <c r="GMS364" s="373">
        <f>'Q100a-geral'!GMS887</f>
        <v>0</v>
      </c>
      <c r="GMT364" s="373">
        <f>'Q100a-geral'!GMT887</f>
        <v>0</v>
      </c>
      <c r="GMU364" s="373">
        <f>'Q100a-geral'!GMU887</f>
        <v>0</v>
      </c>
      <c r="GMV364" s="373">
        <f>'Q100a-geral'!GMV887</f>
        <v>0</v>
      </c>
      <c r="GMW364" s="373">
        <f>'Q100a-geral'!GMW887</f>
        <v>0</v>
      </c>
      <c r="GMX364" s="373">
        <f>'Q100a-geral'!GMX887</f>
        <v>0</v>
      </c>
      <c r="GMY364" s="373">
        <f>'Q100a-geral'!GMY887</f>
        <v>0</v>
      </c>
      <c r="GMZ364" s="373">
        <f>'Q100a-geral'!GMZ887</f>
        <v>0</v>
      </c>
      <c r="GNA364" s="373">
        <f>'Q100a-geral'!GNA887</f>
        <v>0</v>
      </c>
      <c r="GNB364" s="373">
        <f>'Q100a-geral'!GNB887</f>
        <v>0</v>
      </c>
      <c r="GNC364" s="373">
        <f>'Q100a-geral'!GNC887</f>
        <v>0</v>
      </c>
      <c r="GND364" s="373">
        <f>'Q100a-geral'!GND887</f>
        <v>0</v>
      </c>
      <c r="GNE364" s="373">
        <f>'Q100a-geral'!GNE887</f>
        <v>0</v>
      </c>
      <c r="GNF364" s="373">
        <f>'Q100a-geral'!GNF887</f>
        <v>0</v>
      </c>
      <c r="GNG364" s="373">
        <f>'Q100a-geral'!GNG887</f>
        <v>0</v>
      </c>
      <c r="GNH364" s="373">
        <f>'Q100a-geral'!GNH887</f>
        <v>0</v>
      </c>
      <c r="GNI364" s="373">
        <f>'Q100a-geral'!GNI887</f>
        <v>0</v>
      </c>
      <c r="GNJ364" s="373">
        <f>'Q100a-geral'!GNJ887</f>
        <v>0</v>
      </c>
      <c r="GNK364" s="373">
        <f>'Q100a-geral'!GNK887</f>
        <v>0</v>
      </c>
      <c r="GNL364" s="373">
        <f>'Q100a-geral'!GNL887</f>
        <v>0</v>
      </c>
      <c r="GNM364" s="373">
        <f>'Q100a-geral'!GNM887</f>
        <v>0</v>
      </c>
      <c r="GNN364" s="373">
        <f>'Q100a-geral'!GNN887</f>
        <v>0</v>
      </c>
      <c r="GNO364" s="373">
        <f>'Q100a-geral'!GNO887</f>
        <v>0</v>
      </c>
      <c r="GNP364" s="373">
        <f>'Q100a-geral'!GNP887</f>
        <v>0</v>
      </c>
      <c r="GNQ364" s="373">
        <f>'Q100a-geral'!GNQ887</f>
        <v>0</v>
      </c>
      <c r="GNR364" s="373">
        <f>'Q100a-geral'!GNR887</f>
        <v>0</v>
      </c>
      <c r="GNS364" s="373">
        <f>'Q100a-geral'!GNS887</f>
        <v>0</v>
      </c>
      <c r="GNT364" s="373">
        <f>'Q100a-geral'!GNT887</f>
        <v>0</v>
      </c>
      <c r="GNU364" s="373">
        <f>'Q100a-geral'!GNU887</f>
        <v>0</v>
      </c>
      <c r="GNV364" s="373">
        <f>'Q100a-geral'!GNV887</f>
        <v>0</v>
      </c>
      <c r="GNW364" s="373">
        <f>'Q100a-geral'!GNW887</f>
        <v>0</v>
      </c>
      <c r="GNX364" s="373">
        <f>'Q100a-geral'!GNX887</f>
        <v>0</v>
      </c>
      <c r="GNY364" s="373">
        <f>'Q100a-geral'!GNY887</f>
        <v>0</v>
      </c>
      <c r="GNZ364" s="373">
        <f>'Q100a-geral'!GNZ887</f>
        <v>0</v>
      </c>
      <c r="GOA364" s="373">
        <f>'Q100a-geral'!GOA887</f>
        <v>0</v>
      </c>
      <c r="GOB364" s="373">
        <f>'Q100a-geral'!GOB887</f>
        <v>0</v>
      </c>
      <c r="GOC364" s="373">
        <f>'Q100a-geral'!GOC887</f>
        <v>0</v>
      </c>
      <c r="GOD364" s="373">
        <f>'Q100a-geral'!GOD887</f>
        <v>0</v>
      </c>
      <c r="GOE364" s="373">
        <f>'Q100a-geral'!GOE887</f>
        <v>0</v>
      </c>
      <c r="GOF364" s="373">
        <f>'Q100a-geral'!GOF887</f>
        <v>0</v>
      </c>
      <c r="GOG364" s="373">
        <f>'Q100a-geral'!GOG887</f>
        <v>0</v>
      </c>
      <c r="GOH364" s="373">
        <f>'Q100a-geral'!GOH887</f>
        <v>0</v>
      </c>
      <c r="GOI364" s="373">
        <f>'Q100a-geral'!GOI887</f>
        <v>0</v>
      </c>
      <c r="GOJ364" s="373">
        <f>'Q100a-geral'!GOJ887</f>
        <v>0</v>
      </c>
      <c r="GOK364" s="373">
        <f>'Q100a-geral'!GOK887</f>
        <v>0</v>
      </c>
      <c r="GOL364" s="373">
        <f>'Q100a-geral'!GOL887</f>
        <v>0</v>
      </c>
      <c r="GOM364" s="373">
        <f>'Q100a-geral'!GOM887</f>
        <v>0</v>
      </c>
      <c r="GON364" s="373">
        <f>'Q100a-geral'!GON887</f>
        <v>0</v>
      </c>
      <c r="GOO364" s="373">
        <f>'Q100a-geral'!GOO887</f>
        <v>0</v>
      </c>
      <c r="GOP364" s="373">
        <f>'Q100a-geral'!GOP887</f>
        <v>0</v>
      </c>
      <c r="GOQ364" s="373">
        <f>'Q100a-geral'!GOQ887</f>
        <v>0</v>
      </c>
      <c r="GOR364" s="373">
        <f>'Q100a-geral'!GOR887</f>
        <v>0</v>
      </c>
      <c r="GOS364" s="373">
        <f>'Q100a-geral'!GOS887</f>
        <v>0</v>
      </c>
      <c r="GOT364" s="373">
        <f>'Q100a-geral'!GOT887</f>
        <v>0</v>
      </c>
      <c r="GOU364" s="373">
        <f>'Q100a-geral'!GOU887</f>
        <v>0</v>
      </c>
      <c r="GOV364" s="373">
        <f>'Q100a-geral'!GOV887</f>
        <v>0</v>
      </c>
      <c r="GOW364" s="373">
        <f>'Q100a-geral'!GOW887</f>
        <v>0</v>
      </c>
      <c r="GOX364" s="373">
        <f>'Q100a-geral'!GOX887</f>
        <v>0</v>
      </c>
      <c r="GOY364" s="373">
        <f>'Q100a-geral'!GOY887</f>
        <v>0</v>
      </c>
      <c r="GOZ364" s="373">
        <f>'Q100a-geral'!GOZ887</f>
        <v>0</v>
      </c>
      <c r="GPA364" s="373">
        <f>'Q100a-geral'!GPA887</f>
        <v>0</v>
      </c>
      <c r="GPB364" s="373">
        <f>'Q100a-geral'!GPB887</f>
        <v>0</v>
      </c>
      <c r="GPC364" s="373">
        <f>'Q100a-geral'!GPC887</f>
        <v>0</v>
      </c>
      <c r="GPD364" s="373">
        <f>'Q100a-geral'!GPD887</f>
        <v>0</v>
      </c>
      <c r="GPE364" s="373">
        <f>'Q100a-geral'!GPE887</f>
        <v>0</v>
      </c>
      <c r="GPF364" s="373">
        <f>'Q100a-geral'!GPF887</f>
        <v>0</v>
      </c>
      <c r="GPG364" s="373">
        <f>'Q100a-geral'!GPG887</f>
        <v>0</v>
      </c>
      <c r="GPH364" s="373">
        <f>'Q100a-geral'!GPH887</f>
        <v>0</v>
      </c>
      <c r="GPI364" s="373">
        <f>'Q100a-geral'!GPI887</f>
        <v>0</v>
      </c>
      <c r="GPJ364" s="373">
        <f>'Q100a-geral'!GPJ887</f>
        <v>0</v>
      </c>
      <c r="GPK364" s="373">
        <f>'Q100a-geral'!GPK887</f>
        <v>0</v>
      </c>
      <c r="GPL364" s="373">
        <f>'Q100a-geral'!GPL887</f>
        <v>0</v>
      </c>
      <c r="GPM364" s="373">
        <f>'Q100a-geral'!GPM887</f>
        <v>0</v>
      </c>
      <c r="GPN364" s="373">
        <f>'Q100a-geral'!GPN887</f>
        <v>0</v>
      </c>
      <c r="GPO364" s="373">
        <f>'Q100a-geral'!GPO887</f>
        <v>0</v>
      </c>
      <c r="GPP364" s="373">
        <f>'Q100a-geral'!GPP887</f>
        <v>0</v>
      </c>
      <c r="GPQ364" s="373">
        <f>'Q100a-geral'!GPQ887</f>
        <v>0</v>
      </c>
      <c r="GPR364" s="373">
        <f>'Q100a-geral'!GPR887</f>
        <v>0</v>
      </c>
      <c r="GPS364" s="373">
        <f>'Q100a-geral'!GPS887</f>
        <v>0</v>
      </c>
      <c r="GPT364" s="373">
        <f>'Q100a-geral'!GPT887</f>
        <v>0</v>
      </c>
      <c r="GPU364" s="373">
        <f>'Q100a-geral'!GPU887</f>
        <v>0</v>
      </c>
      <c r="GPV364" s="373">
        <f>'Q100a-geral'!GPV887</f>
        <v>0</v>
      </c>
      <c r="GPW364" s="373">
        <f>'Q100a-geral'!GPW887</f>
        <v>0</v>
      </c>
      <c r="GPX364" s="373">
        <f>'Q100a-geral'!GPX887</f>
        <v>0</v>
      </c>
      <c r="GPY364" s="373">
        <f>'Q100a-geral'!GPY887</f>
        <v>0</v>
      </c>
      <c r="GPZ364" s="373">
        <f>'Q100a-geral'!GPZ887</f>
        <v>0</v>
      </c>
      <c r="GQA364" s="373">
        <f>'Q100a-geral'!GQA887</f>
        <v>0</v>
      </c>
      <c r="GQB364" s="373">
        <f>'Q100a-geral'!GQB887</f>
        <v>0</v>
      </c>
      <c r="GQC364" s="373">
        <f>'Q100a-geral'!GQC887</f>
        <v>0</v>
      </c>
      <c r="GQD364" s="373">
        <f>'Q100a-geral'!GQD887</f>
        <v>0</v>
      </c>
      <c r="GQE364" s="373">
        <f>'Q100a-geral'!GQE887</f>
        <v>0</v>
      </c>
      <c r="GQF364" s="373">
        <f>'Q100a-geral'!GQF887</f>
        <v>0</v>
      </c>
      <c r="GQG364" s="373">
        <f>'Q100a-geral'!GQG887</f>
        <v>0</v>
      </c>
      <c r="GQH364" s="373">
        <f>'Q100a-geral'!GQH887</f>
        <v>0</v>
      </c>
      <c r="GQI364" s="373">
        <f>'Q100a-geral'!GQI887</f>
        <v>0</v>
      </c>
      <c r="GQJ364" s="373">
        <f>'Q100a-geral'!GQJ887</f>
        <v>0</v>
      </c>
      <c r="GQK364" s="373">
        <f>'Q100a-geral'!GQK887</f>
        <v>0</v>
      </c>
      <c r="GQL364" s="373">
        <f>'Q100a-geral'!GQL887</f>
        <v>0</v>
      </c>
      <c r="GQM364" s="373">
        <f>'Q100a-geral'!GQM887</f>
        <v>0</v>
      </c>
      <c r="GQN364" s="373">
        <f>'Q100a-geral'!GQN887</f>
        <v>0</v>
      </c>
      <c r="GQO364" s="373">
        <f>'Q100a-geral'!GQO887</f>
        <v>0</v>
      </c>
      <c r="GQP364" s="373">
        <f>'Q100a-geral'!GQP887</f>
        <v>0</v>
      </c>
      <c r="GQQ364" s="373">
        <f>'Q100a-geral'!GQQ887</f>
        <v>0</v>
      </c>
      <c r="GQR364" s="373">
        <f>'Q100a-geral'!GQR887</f>
        <v>0</v>
      </c>
      <c r="GQS364" s="373">
        <f>'Q100a-geral'!GQS887</f>
        <v>0</v>
      </c>
      <c r="GQT364" s="373">
        <f>'Q100a-geral'!GQT887</f>
        <v>0</v>
      </c>
      <c r="GQU364" s="373">
        <f>'Q100a-geral'!GQU887</f>
        <v>0</v>
      </c>
      <c r="GQV364" s="373">
        <f>'Q100a-geral'!GQV887</f>
        <v>0</v>
      </c>
      <c r="GQW364" s="373">
        <f>'Q100a-geral'!GQW887</f>
        <v>0</v>
      </c>
      <c r="GQX364" s="373">
        <f>'Q100a-geral'!GQX887</f>
        <v>0</v>
      </c>
      <c r="GQY364" s="373">
        <f>'Q100a-geral'!GQY887</f>
        <v>0</v>
      </c>
      <c r="GQZ364" s="373">
        <f>'Q100a-geral'!GQZ887</f>
        <v>0</v>
      </c>
      <c r="GRA364" s="373">
        <f>'Q100a-geral'!GRA887</f>
        <v>0</v>
      </c>
      <c r="GRB364" s="373">
        <f>'Q100a-geral'!GRB887</f>
        <v>0</v>
      </c>
      <c r="GRC364" s="373">
        <f>'Q100a-geral'!GRC887</f>
        <v>0</v>
      </c>
      <c r="GRD364" s="373">
        <f>'Q100a-geral'!GRD887</f>
        <v>0</v>
      </c>
      <c r="GRE364" s="373">
        <f>'Q100a-geral'!GRE887</f>
        <v>0</v>
      </c>
      <c r="GRF364" s="373">
        <f>'Q100a-geral'!GRF887</f>
        <v>0</v>
      </c>
      <c r="GRG364" s="373">
        <f>'Q100a-geral'!GRG887</f>
        <v>0</v>
      </c>
      <c r="GRH364" s="373">
        <f>'Q100a-geral'!GRH887</f>
        <v>0</v>
      </c>
      <c r="GRI364" s="373">
        <f>'Q100a-geral'!GRI887</f>
        <v>0</v>
      </c>
      <c r="GRJ364" s="373">
        <f>'Q100a-geral'!GRJ887</f>
        <v>0</v>
      </c>
      <c r="GRK364" s="373">
        <f>'Q100a-geral'!GRK887</f>
        <v>0</v>
      </c>
      <c r="GRL364" s="373">
        <f>'Q100a-geral'!GRL887</f>
        <v>0</v>
      </c>
      <c r="GRM364" s="373">
        <f>'Q100a-geral'!GRM887</f>
        <v>0</v>
      </c>
      <c r="GRN364" s="373">
        <f>'Q100a-geral'!GRN887</f>
        <v>0</v>
      </c>
      <c r="GRO364" s="373">
        <f>'Q100a-geral'!GRO887</f>
        <v>0</v>
      </c>
      <c r="GRP364" s="373">
        <f>'Q100a-geral'!GRP887</f>
        <v>0</v>
      </c>
      <c r="GRQ364" s="373">
        <f>'Q100a-geral'!GRQ887</f>
        <v>0</v>
      </c>
      <c r="GRR364" s="373">
        <f>'Q100a-geral'!GRR887</f>
        <v>0</v>
      </c>
      <c r="GRS364" s="373">
        <f>'Q100a-geral'!GRS887</f>
        <v>0</v>
      </c>
      <c r="GRT364" s="373">
        <f>'Q100a-geral'!GRT887</f>
        <v>0</v>
      </c>
      <c r="GRU364" s="373">
        <f>'Q100a-geral'!GRU887</f>
        <v>0</v>
      </c>
      <c r="GRV364" s="373">
        <f>'Q100a-geral'!GRV887</f>
        <v>0</v>
      </c>
      <c r="GRW364" s="373">
        <f>'Q100a-geral'!GRW887</f>
        <v>0</v>
      </c>
      <c r="GRX364" s="373">
        <f>'Q100a-geral'!GRX887</f>
        <v>0</v>
      </c>
      <c r="GRY364" s="373">
        <f>'Q100a-geral'!GRY887</f>
        <v>0</v>
      </c>
      <c r="GRZ364" s="373">
        <f>'Q100a-geral'!GRZ887</f>
        <v>0</v>
      </c>
      <c r="GSA364" s="373">
        <f>'Q100a-geral'!GSA887</f>
        <v>0</v>
      </c>
      <c r="GSB364" s="373">
        <f>'Q100a-geral'!GSB887</f>
        <v>0</v>
      </c>
      <c r="GSC364" s="373">
        <f>'Q100a-geral'!GSC887</f>
        <v>0</v>
      </c>
      <c r="GSD364" s="373">
        <f>'Q100a-geral'!GSD887</f>
        <v>0</v>
      </c>
      <c r="GSE364" s="373">
        <f>'Q100a-geral'!GSE887</f>
        <v>0</v>
      </c>
      <c r="GSF364" s="373">
        <f>'Q100a-geral'!GSF887</f>
        <v>0</v>
      </c>
      <c r="GSG364" s="373">
        <f>'Q100a-geral'!GSG887</f>
        <v>0</v>
      </c>
      <c r="GSH364" s="373">
        <f>'Q100a-geral'!GSH887</f>
        <v>0</v>
      </c>
      <c r="GSI364" s="373">
        <f>'Q100a-geral'!GSI887</f>
        <v>0</v>
      </c>
      <c r="GSJ364" s="373">
        <f>'Q100a-geral'!GSJ887</f>
        <v>0</v>
      </c>
      <c r="GSK364" s="373">
        <f>'Q100a-geral'!GSK887</f>
        <v>0</v>
      </c>
      <c r="GSL364" s="373">
        <f>'Q100a-geral'!GSL887</f>
        <v>0</v>
      </c>
      <c r="GSM364" s="373">
        <f>'Q100a-geral'!GSM887</f>
        <v>0</v>
      </c>
      <c r="GSN364" s="373">
        <f>'Q100a-geral'!GSN887</f>
        <v>0</v>
      </c>
      <c r="GSO364" s="373">
        <f>'Q100a-geral'!GSO887</f>
        <v>0</v>
      </c>
      <c r="GSP364" s="373">
        <f>'Q100a-geral'!GSP887</f>
        <v>0</v>
      </c>
      <c r="GSQ364" s="373">
        <f>'Q100a-geral'!GSQ887</f>
        <v>0</v>
      </c>
      <c r="GSR364" s="373">
        <f>'Q100a-geral'!GSR887</f>
        <v>0</v>
      </c>
      <c r="GSS364" s="373">
        <f>'Q100a-geral'!GSS887</f>
        <v>0</v>
      </c>
      <c r="GST364" s="373">
        <f>'Q100a-geral'!GST887</f>
        <v>0</v>
      </c>
      <c r="GSU364" s="373">
        <f>'Q100a-geral'!GSU887</f>
        <v>0</v>
      </c>
      <c r="GSV364" s="373">
        <f>'Q100a-geral'!GSV887</f>
        <v>0</v>
      </c>
      <c r="GSW364" s="373">
        <f>'Q100a-geral'!GSW887</f>
        <v>0</v>
      </c>
      <c r="GSX364" s="373">
        <f>'Q100a-geral'!GSX887</f>
        <v>0</v>
      </c>
      <c r="GSY364" s="373">
        <f>'Q100a-geral'!GSY887</f>
        <v>0</v>
      </c>
      <c r="GSZ364" s="373">
        <f>'Q100a-geral'!GSZ887</f>
        <v>0</v>
      </c>
      <c r="GTA364" s="373">
        <f>'Q100a-geral'!GTA887</f>
        <v>0</v>
      </c>
      <c r="GTB364" s="373">
        <f>'Q100a-geral'!GTB887</f>
        <v>0</v>
      </c>
      <c r="GTC364" s="373">
        <f>'Q100a-geral'!GTC887</f>
        <v>0</v>
      </c>
      <c r="GTD364" s="373">
        <f>'Q100a-geral'!GTD887</f>
        <v>0</v>
      </c>
      <c r="GTE364" s="373">
        <f>'Q100a-geral'!GTE887</f>
        <v>0</v>
      </c>
      <c r="GTF364" s="373">
        <f>'Q100a-geral'!GTF887</f>
        <v>0</v>
      </c>
      <c r="GTG364" s="373">
        <f>'Q100a-geral'!GTG887</f>
        <v>0</v>
      </c>
      <c r="GTH364" s="373">
        <f>'Q100a-geral'!GTH887</f>
        <v>0</v>
      </c>
      <c r="GTI364" s="373">
        <f>'Q100a-geral'!GTI887</f>
        <v>0</v>
      </c>
      <c r="GTJ364" s="373">
        <f>'Q100a-geral'!GTJ887</f>
        <v>0</v>
      </c>
      <c r="GTK364" s="373">
        <f>'Q100a-geral'!GTK887</f>
        <v>0</v>
      </c>
      <c r="GTL364" s="373">
        <f>'Q100a-geral'!GTL887</f>
        <v>0</v>
      </c>
      <c r="GTM364" s="373">
        <f>'Q100a-geral'!GTM887</f>
        <v>0</v>
      </c>
      <c r="GTN364" s="373">
        <f>'Q100a-geral'!GTN887</f>
        <v>0</v>
      </c>
      <c r="GTO364" s="373">
        <f>'Q100a-geral'!GTO887</f>
        <v>0</v>
      </c>
      <c r="GTP364" s="373">
        <f>'Q100a-geral'!GTP887</f>
        <v>0</v>
      </c>
      <c r="GTQ364" s="373">
        <f>'Q100a-geral'!GTQ887</f>
        <v>0</v>
      </c>
      <c r="GTR364" s="373">
        <f>'Q100a-geral'!GTR887</f>
        <v>0</v>
      </c>
      <c r="GTS364" s="373">
        <f>'Q100a-geral'!GTS887</f>
        <v>0</v>
      </c>
      <c r="GTT364" s="373">
        <f>'Q100a-geral'!GTT887</f>
        <v>0</v>
      </c>
      <c r="GTU364" s="373">
        <f>'Q100a-geral'!GTU887</f>
        <v>0</v>
      </c>
      <c r="GTV364" s="373">
        <f>'Q100a-geral'!GTV887</f>
        <v>0</v>
      </c>
      <c r="GTW364" s="373">
        <f>'Q100a-geral'!GTW887</f>
        <v>0</v>
      </c>
      <c r="GTX364" s="373">
        <f>'Q100a-geral'!GTX887</f>
        <v>0</v>
      </c>
      <c r="GTY364" s="373">
        <f>'Q100a-geral'!GTY887</f>
        <v>0</v>
      </c>
      <c r="GTZ364" s="373">
        <f>'Q100a-geral'!GTZ887</f>
        <v>0</v>
      </c>
      <c r="GUA364" s="373">
        <f>'Q100a-geral'!GUA887</f>
        <v>0</v>
      </c>
      <c r="GUB364" s="373">
        <f>'Q100a-geral'!GUB887</f>
        <v>0</v>
      </c>
      <c r="GUC364" s="373">
        <f>'Q100a-geral'!GUC887</f>
        <v>0</v>
      </c>
      <c r="GUD364" s="373">
        <f>'Q100a-geral'!GUD887</f>
        <v>0</v>
      </c>
      <c r="GUE364" s="373">
        <f>'Q100a-geral'!GUE887</f>
        <v>0</v>
      </c>
      <c r="GUF364" s="373">
        <f>'Q100a-geral'!GUF887</f>
        <v>0</v>
      </c>
      <c r="GUG364" s="373">
        <f>'Q100a-geral'!GUG887</f>
        <v>0</v>
      </c>
      <c r="GUH364" s="373">
        <f>'Q100a-geral'!GUH887</f>
        <v>0</v>
      </c>
      <c r="GUI364" s="373">
        <f>'Q100a-geral'!GUI887</f>
        <v>0</v>
      </c>
      <c r="GUJ364" s="373">
        <f>'Q100a-geral'!GUJ887</f>
        <v>0</v>
      </c>
      <c r="GUK364" s="373">
        <f>'Q100a-geral'!GUK887</f>
        <v>0</v>
      </c>
      <c r="GUL364" s="373">
        <f>'Q100a-geral'!GUL887</f>
        <v>0</v>
      </c>
      <c r="GUM364" s="373">
        <f>'Q100a-geral'!GUM887</f>
        <v>0</v>
      </c>
      <c r="GUN364" s="373">
        <f>'Q100a-geral'!GUN887</f>
        <v>0</v>
      </c>
      <c r="GUO364" s="373">
        <f>'Q100a-geral'!GUO887</f>
        <v>0</v>
      </c>
      <c r="GUP364" s="373">
        <f>'Q100a-geral'!GUP887</f>
        <v>0</v>
      </c>
      <c r="GUQ364" s="373">
        <f>'Q100a-geral'!GUQ887</f>
        <v>0</v>
      </c>
      <c r="GUR364" s="373">
        <f>'Q100a-geral'!GUR887</f>
        <v>0</v>
      </c>
      <c r="GUS364" s="373">
        <f>'Q100a-geral'!GUS887</f>
        <v>0</v>
      </c>
      <c r="GUT364" s="373">
        <f>'Q100a-geral'!GUT887</f>
        <v>0</v>
      </c>
      <c r="GUU364" s="373">
        <f>'Q100a-geral'!GUU887</f>
        <v>0</v>
      </c>
      <c r="GUV364" s="373">
        <f>'Q100a-geral'!GUV887</f>
        <v>0</v>
      </c>
      <c r="GUW364" s="373">
        <f>'Q100a-geral'!GUW887</f>
        <v>0</v>
      </c>
      <c r="GUX364" s="373">
        <f>'Q100a-geral'!GUX887</f>
        <v>0</v>
      </c>
      <c r="GUY364" s="373">
        <f>'Q100a-geral'!GUY887</f>
        <v>0</v>
      </c>
      <c r="GUZ364" s="373">
        <f>'Q100a-geral'!GUZ887</f>
        <v>0</v>
      </c>
      <c r="GVA364" s="373">
        <f>'Q100a-geral'!GVA887</f>
        <v>0</v>
      </c>
      <c r="GVB364" s="373">
        <f>'Q100a-geral'!GVB887</f>
        <v>0</v>
      </c>
      <c r="GVC364" s="373">
        <f>'Q100a-geral'!GVC887</f>
        <v>0</v>
      </c>
      <c r="GVD364" s="373">
        <f>'Q100a-geral'!GVD887</f>
        <v>0</v>
      </c>
      <c r="GVE364" s="373">
        <f>'Q100a-geral'!GVE887</f>
        <v>0</v>
      </c>
      <c r="GVF364" s="373">
        <f>'Q100a-geral'!GVF887</f>
        <v>0</v>
      </c>
      <c r="GVG364" s="373">
        <f>'Q100a-geral'!GVG887</f>
        <v>0</v>
      </c>
      <c r="GVH364" s="373">
        <f>'Q100a-geral'!GVH887</f>
        <v>0</v>
      </c>
      <c r="GVI364" s="373">
        <f>'Q100a-geral'!GVI887</f>
        <v>0</v>
      </c>
      <c r="GVJ364" s="373">
        <f>'Q100a-geral'!GVJ887</f>
        <v>0</v>
      </c>
      <c r="GVK364" s="373">
        <f>'Q100a-geral'!GVK887</f>
        <v>0</v>
      </c>
      <c r="GVL364" s="373">
        <f>'Q100a-geral'!GVL887</f>
        <v>0</v>
      </c>
      <c r="GVM364" s="373">
        <f>'Q100a-geral'!GVM887</f>
        <v>0</v>
      </c>
      <c r="GVN364" s="373">
        <f>'Q100a-geral'!GVN887</f>
        <v>0</v>
      </c>
      <c r="GVO364" s="373">
        <f>'Q100a-geral'!GVO887</f>
        <v>0</v>
      </c>
      <c r="GVP364" s="373">
        <f>'Q100a-geral'!GVP887</f>
        <v>0</v>
      </c>
      <c r="GVQ364" s="373">
        <f>'Q100a-geral'!GVQ887</f>
        <v>0</v>
      </c>
      <c r="GVR364" s="373">
        <f>'Q100a-geral'!GVR887</f>
        <v>0</v>
      </c>
      <c r="GVS364" s="373">
        <f>'Q100a-geral'!GVS887</f>
        <v>0</v>
      </c>
      <c r="GVT364" s="373">
        <f>'Q100a-geral'!GVT887</f>
        <v>0</v>
      </c>
      <c r="GVU364" s="373">
        <f>'Q100a-geral'!GVU887</f>
        <v>0</v>
      </c>
      <c r="GVV364" s="373">
        <f>'Q100a-geral'!GVV887</f>
        <v>0</v>
      </c>
      <c r="GVW364" s="373">
        <f>'Q100a-geral'!GVW887</f>
        <v>0</v>
      </c>
      <c r="GVX364" s="373">
        <f>'Q100a-geral'!GVX887</f>
        <v>0</v>
      </c>
      <c r="GVY364" s="373">
        <f>'Q100a-geral'!GVY887</f>
        <v>0</v>
      </c>
      <c r="GVZ364" s="373">
        <f>'Q100a-geral'!GVZ887</f>
        <v>0</v>
      </c>
      <c r="GWA364" s="373">
        <f>'Q100a-geral'!GWA887</f>
        <v>0</v>
      </c>
      <c r="GWB364" s="373">
        <f>'Q100a-geral'!GWB887</f>
        <v>0</v>
      </c>
      <c r="GWC364" s="373">
        <f>'Q100a-geral'!GWC887</f>
        <v>0</v>
      </c>
      <c r="GWD364" s="373">
        <f>'Q100a-geral'!GWD887</f>
        <v>0</v>
      </c>
      <c r="GWE364" s="373">
        <f>'Q100a-geral'!GWE887</f>
        <v>0</v>
      </c>
      <c r="GWF364" s="373">
        <f>'Q100a-geral'!GWF887</f>
        <v>0</v>
      </c>
      <c r="GWG364" s="373">
        <f>'Q100a-geral'!GWG887</f>
        <v>0</v>
      </c>
      <c r="GWH364" s="373">
        <f>'Q100a-geral'!GWH887</f>
        <v>0</v>
      </c>
      <c r="GWI364" s="373">
        <f>'Q100a-geral'!GWI887</f>
        <v>0</v>
      </c>
      <c r="GWJ364" s="373">
        <f>'Q100a-geral'!GWJ887</f>
        <v>0</v>
      </c>
      <c r="GWK364" s="373">
        <f>'Q100a-geral'!GWK887</f>
        <v>0</v>
      </c>
      <c r="GWL364" s="373">
        <f>'Q100a-geral'!GWL887</f>
        <v>0</v>
      </c>
      <c r="GWM364" s="373">
        <f>'Q100a-geral'!GWM887</f>
        <v>0</v>
      </c>
      <c r="GWN364" s="373">
        <f>'Q100a-geral'!GWN887</f>
        <v>0</v>
      </c>
      <c r="GWO364" s="373">
        <f>'Q100a-geral'!GWO887</f>
        <v>0</v>
      </c>
      <c r="GWP364" s="373">
        <f>'Q100a-geral'!GWP887</f>
        <v>0</v>
      </c>
      <c r="GWQ364" s="373">
        <f>'Q100a-geral'!GWQ887</f>
        <v>0</v>
      </c>
      <c r="GWR364" s="373">
        <f>'Q100a-geral'!GWR887</f>
        <v>0</v>
      </c>
      <c r="GWS364" s="373">
        <f>'Q100a-geral'!GWS887</f>
        <v>0</v>
      </c>
      <c r="GWT364" s="373">
        <f>'Q100a-geral'!GWT887</f>
        <v>0</v>
      </c>
      <c r="GWU364" s="373">
        <f>'Q100a-geral'!GWU887</f>
        <v>0</v>
      </c>
      <c r="GWV364" s="373">
        <f>'Q100a-geral'!GWV887</f>
        <v>0</v>
      </c>
      <c r="GWW364" s="373">
        <f>'Q100a-geral'!GWW887</f>
        <v>0</v>
      </c>
      <c r="GWX364" s="373">
        <f>'Q100a-geral'!GWX887</f>
        <v>0</v>
      </c>
      <c r="GWY364" s="373">
        <f>'Q100a-geral'!GWY887</f>
        <v>0</v>
      </c>
      <c r="GWZ364" s="373">
        <f>'Q100a-geral'!GWZ887</f>
        <v>0</v>
      </c>
      <c r="GXA364" s="373">
        <f>'Q100a-geral'!GXA887</f>
        <v>0</v>
      </c>
      <c r="GXB364" s="373">
        <f>'Q100a-geral'!GXB887</f>
        <v>0</v>
      </c>
      <c r="GXC364" s="373">
        <f>'Q100a-geral'!GXC887</f>
        <v>0</v>
      </c>
      <c r="GXD364" s="373">
        <f>'Q100a-geral'!GXD887</f>
        <v>0</v>
      </c>
      <c r="GXE364" s="373">
        <f>'Q100a-geral'!GXE887</f>
        <v>0</v>
      </c>
      <c r="GXF364" s="373">
        <f>'Q100a-geral'!GXF887</f>
        <v>0</v>
      </c>
      <c r="GXG364" s="373">
        <f>'Q100a-geral'!GXG887</f>
        <v>0</v>
      </c>
      <c r="GXH364" s="373">
        <f>'Q100a-geral'!GXH887</f>
        <v>0</v>
      </c>
      <c r="GXI364" s="373">
        <f>'Q100a-geral'!GXI887</f>
        <v>0</v>
      </c>
      <c r="GXJ364" s="373">
        <f>'Q100a-geral'!GXJ887</f>
        <v>0</v>
      </c>
      <c r="GXK364" s="373">
        <f>'Q100a-geral'!GXK887</f>
        <v>0</v>
      </c>
      <c r="GXL364" s="373">
        <f>'Q100a-geral'!GXL887</f>
        <v>0</v>
      </c>
      <c r="GXM364" s="373">
        <f>'Q100a-geral'!GXM887</f>
        <v>0</v>
      </c>
      <c r="GXN364" s="373">
        <f>'Q100a-geral'!GXN887</f>
        <v>0</v>
      </c>
      <c r="GXO364" s="373">
        <f>'Q100a-geral'!GXO887</f>
        <v>0</v>
      </c>
      <c r="GXP364" s="373">
        <f>'Q100a-geral'!GXP887</f>
        <v>0</v>
      </c>
      <c r="GXQ364" s="373">
        <f>'Q100a-geral'!GXQ887</f>
        <v>0</v>
      </c>
      <c r="GXR364" s="373">
        <f>'Q100a-geral'!GXR887</f>
        <v>0</v>
      </c>
      <c r="GXS364" s="373">
        <f>'Q100a-geral'!GXS887</f>
        <v>0</v>
      </c>
      <c r="GXT364" s="373">
        <f>'Q100a-geral'!GXT887</f>
        <v>0</v>
      </c>
      <c r="GXU364" s="373">
        <f>'Q100a-geral'!GXU887</f>
        <v>0</v>
      </c>
      <c r="GXV364" s="373">
        <f>'Q100a-geral'!GXV887</f>
        <v>0</v>
      </c>
      <c r="GXW364" s="373">
        <f>'Q100a-geral'!GXW887</f>
        <v>0</v>
      </c>
      <c r="GXX364" s="373">
        <f>'Q100a-geral'!GXX887</f>
        <v>0</v>
      </c>
      <c r="GXY364" s="373">
        <f>'Q100a-geral'!GXY887</f>
        <v>0</v>
      </c>
      <c r="GXZ364" s="373">
        <f>'Q100a-geral'!GXZ887</f>
        <v>0</v>
      </c>
      <c r="GYA364" s="373">
        <f>'Q100a-geral'!GYA887</f>
        <v>0</v>
      </c>
      <c r="GYB364" s="373">
        <f>'Q100a-geral'!GYB887</f>
        <v>0</v>
      </c>
      <c r="GYC364" s="373">
        <f>'Q100a-geral'!GYC887</f>
        <v>0</v>
      </c>
      <c r="GYD364" s="373">
        <f>'Q100a-geral'!GYD887</f>
        <v>0</v>
      </c>
      <c r="GYE364" s="373">
        <f>'Q100a-geral'!GYE887</f>
        <v>0</v>
      </c>
      <c r="GYF364" s="373">
        <f>'Q100a-geral'!GYF887</f>
        <v>0</v>
      </c>
      <c r="GYG364" s="373">
        <f>'Q100a-geral'!GYG887</f>
        <v>0</v>
      </c>
      <c r="GYH364" s="373">
        <f>'Q100a-geral'!GYH887</f>
        <v>0</v>
      </c>
      <c r="GYI364" s="373">
        <f>'Q100a-geral'!GYI887</f>
        <v>0</v>
      </c>
      <c r="GYJ364" s="373">
        <f>'Q100a-geral'!GYJ887</f>
        <v>0</v>
      </c>
      <c r="GYK364" s="373">
        <f>'Q100a-geral'!GYK887</f>
        <v>0</v>
      </c>
      <c r="GYL364" s="373">
        <f>'Q100a-geral'!GYL887</f>
        <v>0</v>
      </c>
      <c r="GYM364" s="373">
        <f>'Q100a-geral'!GYM887</f>
        <v>0</v>
      </c>
      <c r="GYN364" s="373">
        <f>'Q100a-geral'!GYN887</f>
        <v>0</v>
      </c>
      <c r="GYO364" s="373">
        <f>'Q100a-geral'!GYO887</f>
        <v>0</v>
      </c>
      <c r="GYP364" s="373">
        <f>'Q100a-geral'!GYP887</f>
        <v>0</v>
      </c>
      <c r="GYQ364" s="373">
        <f>'Q100a-geral'!GYQ887</f>
        <v>0</v>
      </c>
      <c r="GYR364" s="373">
        <f>'Q100a-geral'!GYR887</f>
        <v>0</v>
      </c>
      <c r="GYS364" s="373">
        <f>'Q100a-geral'!GYS887</f>
        <v>0</v>
      </c>
      <c r="GYT364" s="373">
        <f>'Q100a-geral'!GYT887</f>
        <v>0</v>
      </c>
      <c r="GYU364" s="373">
        <f>'Q100a-geral'!GYU887</f>
        <v>0</v>
      </c>
      <c r="GYV364" s="373">
        <f>'Q100a-geral'!GYV887</f>
        <v>0</v>
      </c>
      <c r="GYW364" s="373">
        <f>'Q100a-geral'!GYW887</f>
        <v>0</v>
      </c>
      <c r="GYX364" s="373">
        <f>'Q100a-geral'!GYX887</f>
        <v>0</v>
      </c>
      <c r="GYY364" s="373">
        <f>'Q100a-geral'!GYY887</f>
        <v>0</v>
      </c>
      <c r="GYZ364" s="373">
        <f>'Q100a-geral'!GYZ887</f>
        <v>0</v>
      </c>
      <c r="GZA364" s="373">
        <f>'Q100a-geral'!GZA887</f>
        <v>0</v>
      </c>
      <c r="GZB364" s="373">
        <f>'Q100a-geral'!GZB887</f>
        <v>0</v>
      </c>
      <c r="GZC364" s="373">
        <f>'Q100a-geral'!GZC887</f>
        <v>0</v>
      </c>
      <c r="GZD364" s="373">
        <f>'Q100a-geral'!GZD887</f>
        <v>0</v>
      </c>
      <c r="GZE364" s="373">
        <f>'Q100a-geral'!GZE887</f>
        <v>0</v>
      </c>
      <c r="GZF364" s="373">
        <f>'Q100a-geral'!GZF887</f>
        <v>0</v>
      </c>
      <c r="GZG364" s="373">
        <f>'Q100a-geral'!GZG887</f>
        <v>0</v>
      </c>
      <c r="GZH364" s="373">
        <f>'Q100a-geral'!GZH887</f>
        <v>0</v>
      </c>
      <c r="GZI364" s="373">
        <f>'Q100a-geral'!GZI887</f>
        <v>0</v>
      </c>
      <c r="GZJ364" s="373">
        <f>'Q100a-geral'!GZJ887</f>
        <v>0</v>
      </c>
      <c r="GZK364" s="373">
        <f>'Q100a-geral'!GZK887</f>
        <v>0</v>
      </c>
      <c r="GZL364" s="373">
        <f>'Q100a-geral'!GZL887</f>
        <v>0</v>
      </c>
      <c r="GZM364" s="373">
        <f>'Q100a-geral'!GZM887</f>
        <v>0</v>
      </c>
      <c r="GZN364" s="373">
        <f>'Q100a-geral'!GZN887</f>
        <v>0</v>
      </c>
      <c r="GZO364" s="373">
        <f>'Q100a-geral'!GZO887</f>
        <v>0</v>
      </c>
      <c r="GZP364" s="373">
        <f>'Q100a-geral'!GZP887</f>
        <v>0</v>
      </c>
      <c r="GZQ364" s="373">
        <f>'Q100a-geral'!GZQ887</f>
        <v>0</v>
      </c>
      <c r="GZR364" s="373">
        <f>'Q100a-geral'!GZR887</f>
        <v>0</v>
      </c>
      <c r="GZS364" s="373">
        <f>'Q100a-geral'!GZS887</f>
        <v>0</v>
      </c>
      <c r="GZT364" s="373">
        <f>'Q100a-geral'!GZT887</f>
        <v>0</v>
      </c>
      <c r="GZU364" s="373">
        <f>'Q100a-geral'!GZU887</f>
        <v>0</v>
      </c>
      <c r="GZV364" s="373">
        <f>'Q100a-geral'!GZV887</f>
        <v>0</v>
      </c>
      <c r="GZW364" s="373">
        <f>'Q100a-geral'!GZW887</f>
        <v>0</v>
      </c>
      <c r="GZX364" s="373">
        <f>'Q100a-geral'!GZX887</f>
        <v>0</v>
      </c>
      <c r="GZY364" s="373">
        <f>'Q100a-geral'!GZY887</f>
        <v>0</v>
      </c>
      <c r="GZZ364" s="373">
        <f>'Q100a-geral'!GZZ887</f>
        <v>0</v>
      </c>
      <c r="HAA364" s="373">
        <f>'Q100a-geral'!HAA887</f>
        <v>0</v>
      </c>
      <c r="HAB364" s="373">
        <f>'Q100a-geral'!HAB887</f>
        <v>0</v>
      </c>
      <c r="HAC364" s="373">
        <f>'Q100a-geral'!HAC887</f>
        <v>0</v>
      </c>
      <c r="HAD364" s="373">
        <f>'Q100a-geral'!HAD887</f>
        <v>0</v>
      </c>
      <c r="HAE364" s="373">
        <f>'Q100a-geral'!HAE887</f>
        <v>0</v>
      </c>
      <c r="HAF364" s="373">
        <f>'Q100a-geral'!HAF887</f>
        <v>0</v>
      </c>
      <c r="HAG364" s="373">
        <f>'Q100a-geral'!HAG887</f>
        <v>0</v>
      </c>
      <c r="HAH364" s="373">
        <f>'Q100a-geral'!HAH887</f>
        <v>0</v>
      </c>
      <c r="HAI364" s="373">
        <f>'Q100a-geral'!HAI887</f>
        <v>0</v>
      </c>
      <c r="HAJ364" s="373">
        <f>'Q100a-geral'!HAJ887</f>
        <v>0</v>
      </c>
      <c r="HAK364" s="373">
        <f>'Q100a-geral'!HAK887</f>
        <v>0</v>
      </c>
      <c r="HAL364" s="373">
        <f>'Q100a-geral'!HAL887</f>
        <v>0</v>
      </c>
      <c r="HAM364" s="373">
        <f>'Q100a-geral'!HAM887</f>
        <v>0</v>
      </c>
      <c r="HAN364" s="373">
        <f>'Q100a-geral'!HAN887</f>
        <v>0</v>
      </c>
      <c r="HAO364" s="373">
        <f>'Q100a-geral'!HAO887</f>
        <v>0</v>
      </c>
      <c r="HAP364" s="373">
        <f>'Q100a-geral'!HAP887</f>
        <v>0</v>
      </c>
      <c r="HAQ364" s="373">
        <f>'Q100a-geral'!HAQ887</f>
        <v>0</v>
      </c>
      <c r="HAR364" s="373">
        <f>'Q100a-geral'!HAR887</f>
        <v>0</v>
      </c>
      <c r="HAS364" s="373">
        <f>'Q100a-geral'!HAS887</f>
        <v>0</v>
      </c>
      <c r="HAT364" s="373">
        <f>'Q100a-geral'!HAT887</f>
        <v>0</v>
      </c>
      <c r="HAU364" s="373">
        <f>'Q100a-geral'!HAU887</f>
        <v>0</v>
      </c>
      <c r="HAV364" s="373">
        <f>'Q100a-geral'!HAV887</f>
        <v>0</v>
      </c>
      <c r="HAW364" s="373">
        <f>'Q100a-geral'!HAW887</f>
        <v>0</v>
      </c>
      <c r="HAX364" s="373">
        <f>'Q100a-geral'!HAX887</f>
        <v>0</v>
      </c>
      <c r="HAY364" s="373">
        <f>'Q100a-geral'!HAY887</f>
        <v>0</v>
      </c>
      <c r="HAZ364" s="373">
        <f>'Q100a-geral'!HAZ887</f>
        <v>0</v>
      </c>
      <c r="HBA364" s="373">
        <f>'Q100a-geral'!HBA887</f>
        <v>0</v>
      </c>
      <c r="HBB364" s="373">
        <f>'Q100a-geral'!HBB887</f>
        <v>0</v>
      </c>
      <c r="HBC364" s="373">
        <f>'Q100a-geral'!HBC887</f>
        <v>0</v>
      </c>
      <c r="HBD364" s="373">
        <f>'Q100a-geral'!HBD887</f>
        <v>0</v>
      </c>
      <c r="HBE364" s="373">
        <f>'Q100a-geral'!HBE887</f>
        <v>0</v>
      </c>
      <c r="HBF364" s="373">
        <f>'Q100a-geral'!HBF887</f>
        <v>0</v>
      </c>
      <c r="HBG364" s="373">
        <f>'Q100a-geral'!HBG887</f>
        <v>0</v>
      </c>
      <c r="HBH364" s="373">
        <f>'Q100a-geral'!HBH887</f>
        <v>0</v>
      </c>
      <c r="HBI364" s="373">
        <f>'Q100a-geral'!HBI887</f>
        <v>0</v>
      </c>
      <c r="HBJ364" s="373">
        <f>'Q100a-geral'!HBJ887</f>
        <v>0</v>
      </c>
      <c r="HBK364" s="373">
        <f>'Q100a-geral'!HBK887</f>
        <v>0</v>
      </c>
      <c r="HBL364" s="373">
        <f>'Q100a-geral'!HBL887</f>
        <v>0</v>
      </c>
      <c r="HBM364" s="373">
        <f>'Q100a-geral'!HBM887</f>
        <v>0</v>
      </c>
      <c r="HBN364" s="373">
        <f>'Q100a-geral'!HBN887</f>
        <v>0</v>
      </c>
      <c r="HBO364" s="373">
        <f>'Q100a-geral'!HBO887</f>
        <v>0</v>
      </c>
      <c r="HBP364" s="373">
        <f>'Q100a-geral'!HBP887</f>
        <v>0</v>
      </c>
      <c r="HBQ364" s="373">
        <f>'Q100a-geral'!HBQ887</f>
        <v>0</v>
      </c>
      <c r="HBR364" s="373">
        <f>'Q100a-geral'!HBR887</f>
        <v>0</v>
      </c>
      <c r="HBS364" s="373">
        <f>'Q100a-geral'!HBS887</f>
        <v>0</v>
      </c>
      <c r="HBT364" s="373">
        <f>'Q100a-geral'!HBT887</f>
        <v>0</v>
      </c>
      <c r="HBU364" s="373">
        <f>'Q100a-geral'!HBU887</f>
        <v>0</v>
      </c>
      <c r="HBV364" s="373">
        <f>'Q100a-geral'!HBV887</f>
        <v>0</v>
      </c>
      <c r="HBW364" s="373">
        <f>'Q100a-geral'!HBW887</f>
        <v>0</v>
      </c>
      <c r="HBX364" s="373">
        <f>'Q100a-geral'!HBX887</f>
        <v>0</v>
      </c>
      <c r="HBY364" s="373">
        <f>'Q100a-geral'!HBY887</f>
        <v>0</v>
      </c>
      <c r="HBZ364" s="373">
        <f>'Q100a-geral'!HBZ887</f>
        <v>0</v>
      </c>
      <c r="HCA364" s="373">
        <f>'Q100a-geral'!HCA887</f>
        <v>0</v>
      </c>
      <c r="HCB364" s="373">
        <f>'Q100a-geral'!HCB887</f>
        <v>0</v>
      </c>
      <c r="HCC364" s="373">
        <f>'Q100a-geral'!HCC887</f>
        <v>0</v>
      </c>
      <c r="HCD364" s="373">
        <f>'Q100a-geral'!HCD887</f>
        <v>0</v>
      </c>
      <c r="HCE364" s="373">
        <f>'Q100a-geral'!HCE887</f>
        <v>0</v>
      </c>
      <c r="HCF364" s="373">
        <f>'Q100a-geral'!HCF887</f>
        <v>0</v>
      </c>
      <c r="HCG364" s="373">
        <f>'Q100a-geral'!HCG887</f>
        <v>0</v>
      </c>
      <c r="HCH364" s="373">
        <f>'Q100a-geral'!HCH887</f>
        <v>0</v>
      </c>
      <c r="HCI364" s="373">
        <f>'Q100a-geral'!HCI887</f>
        <v>0</v>
      </c>
      <c r="HCJ364" s="373">
        <f>'Q100a-geral'!HCJ887</f>
        <v>0</v>
      </c>
      <c r="HCK364" s="373">
        <f>'Q100a-geral'!HCK887</f>
        <v>0</v>
      </c>
      <c r="HCL364" s="373">
        <f>'Q100a-geral'!HCL887</f>
        <v>0</v>
      </c>
      <c r="HCM364" s="373">
        <f>'Q100a-geral'!HCM887</f>
        <v>0</v>
      </c>
      <c r="HCN364" s="373">
        <f>'Q100a-geral'!HCN887</f>
        <v>0</v>
      </c>
      <c r="HCO364" s="373">
        <f>'Q100a-geral'!HCO887</f>
        <v>0</v>
      </c>
      <c r="HCP364" s="373">
        <f>'Q100a-geral'!HCP887</f>
        <v>0</v>
      </c>
      <c r="HCQ364" s="373">
        <f>'Q100a-geral'!HCQ887</f>
        <v>0</v>
      </c>
      <c r="HCR364" s="373">
        <f>'Q100a-geral'!HCR887</f>
        <v>0</v>
      </c>
      <c r="HCS364" s="373">
        <f>'Q100a-geral'!HCS887</f>
        <v>0</v>
      </c>
      <c r="HCT364" s="373">
        <f>'Q100a-geral'!HCT887</f>
        <v>0</v>
      </c>
      <c r="HCU364" s="373">
        <f>'Q100a-geral'!HCU887</f>
        <v>0</v>
      </c>
      <c r="HCV364" s="373">
        <f>'Q100a-geral'!HCV887</f>
        <v>0</v>
      </c>
      <c r="HCW364" s="373">
        <f>'Q100a-geral'!HCW887</f>
        <v>0</v>
      </c>
      <c r="HCX364" s="373">
        <f>'Q100a-geral'!HCX887</f>
        <v>0</v>
      </c>
      <c r="HCY364" s="373">
        <f>'Q100a-geral'!HCY887</f>
        <v>0</v>
      </c>
      <c r="HCZ364" s="373">
        <f>'Q100a-geral'!HCZ887</f>
        <v>0</v>
      </c>
      <c r="HDA364" s="373">
        <f>'Q100a-geral'!HDA887</f>
        <v>0</v>
      </c>
      <c r="HDB364" s="373">
        <f>'Q100a-geral'!HDB887</f>
        <v>0</v>
      </c>
      <c r="HDC364" s="373">
        <f>'Q100a-geral'!HDC887</f>
        <v>0</v>
      </c>
      <c r="HDD364" s="373">
        <f>'Q100a-geral'!HDD887</f>
        <v>0</v>
      </c>
      <c r="HDE364" s="373">
        <f>'Q100a-geral'!HDE887</f>
        <v>0</v>
      </c>
      <c r="HDF364" s="373">
        <f>'Q100a-geral'!HDF887</f>
        <v>0</v>
      </c>
      <c r="HDG364" s="373">
        <f>'Q100a-geral'!HDG887</f>
        <v>0</v>
      </c>
      <c r="HDH364" s="373">
        <f>'Q100a-geral'!HDH887</f>
        <v>0</v>
      </c>
      <c r="HDI364" s="373">
        <f>'Q100a-geral'!HDI887</f>
        <v>0</v>
      </c>
      <c r="HDJ364" s="373">
        <f>'Q100a-geral'!HDJ887</f>
        <v>0</v>
      </c>
      <c r="HDK364" s="373">
        <f>'Q100a-geral'!HDK887</f>
        <v>0</v>
      </c>
      <c r="HDL364" s="373">
        <f>'Q100a-geral'!HDL887</f>
        <v>0</v>
      </c>
      <c r="HDM364" s="373">
        <f>'Q100a-geral'!HDM887</f>
        <v>0</v>
      </c>
      <c r="HDN364" s="373">
        <f>'Q100a-geral'!HDN887</f>
        <v>0</v>
      </c>
      <c r="HDO364" s="373">
        <f>'Q100a-geral'!HDO887</f>
        <v>0</v>
      </c>
      <c r="HDP364" s="373">
        <f>'Q100a-geral'!HDP887</f>
        <v>0</v>
      </c>
      <c r="HDQ364" s="373">
        <f>'Q100a-geral'!HDQ887</f>
        <v>0</v>
      </c>
      <c r="HDR364" s="373">
        <f>'Q100a-geral'!HDR887</f>
        <v>0</v>
      </c>
      <c r="HDS364" s="373">
        <f>'Q100a-geral'!HDS887</f>
        <v>0</v>
      </c>
      <c r="HDT364" s="373">
        <f>'Q100a-geral'!HDT887</f>
        <v>0</v>
      </c>
      <c r="HDU364" s="373">
        <f>'Q100a-geral'!HDU887</f>
        <v>0</v>
      </c>
      <c r="HDV364" s="373">
        <f>'Q100a-geral'!HDV887</f>
        <v>0</v>
      </c>
      <c r="HDW364" s="373">
        <f>'Q100a-geral'!HDW887</f>
        <v>0</v>
      </c>
      <c r="HDX364" s="373">
        <f>'Q100a-geral'!HDX887</f>
        <v>0</v>
      </c>
      <c r="HDY364" s="373">
        <f>'Q100a-geral'!HDY887</f>
        <v>0</v>
      </c>
      <c r="HDZ364" s="373">
        <f>'Q100a-geral'!HDZ887</f>
        <v>0</v>
      </c>
      <c r="HEA364" s="373">
        <f>'Q100a-geral'!HEA887</f>
        <v>0</v>
      </c>
      <c r="HEB364" s="373">
        <f>'Q100a-geral'!HEB887</f>
        <v>0</v>
      </c>
      <c r="HEC364" s="373">
        <f>'Q100a-geral'!HEC887</f>
        <v>0</v>
      </c>
      <c r="HED364" s="373">
        <f>'Q100a-geral'!HED887</f>
        <v>0</v>
      </c>
      <c r="HEE364" s="373">
        <f>'Q100a-geral'!HEE887</f>
        <v>0</v>
      </c>
      <c r="HEF364" s="373">
        <f>'Q100a-geral'!HEF887</f>
        <v>0</v>
      </c>
      <c r="HEG364" s="373">
        <f>'Q100a-geral'!HEG887</f>
        <v>0</v>
      </c>
      <c r="HEH364" s="373">
        <f>'Q100a-geral'!HEH887</f>
        <v>0</v>
      </c>
      <c r="HEI364" s="373">
        <f>'Q100a-geral'!HEI887</f>
        <v>0</v>
      </c>
      <c r="HEJ364" s="373">
        <f>'Q100a-geral'!HEJ887</f>
        <v>0</v>
      </c>
      <c r="HEK364" s="373">
        <f>'Q100a-geral'!HEK887</f>
        <v>0</v>
      </c>
      <c r="HEL364" s="373">
        <f>'Q100a-geral'!HEL887</f>
        <v>0</v>
      </c>
      <c r="HEM364" s="373">
        <f>'Q100a-geral'!HEM887</f>
        <v>0</v>
      </c>
      <c r="HEN364" s="373">
        <f>'Q100a-geral'!HEN887</f>
        <v>0</v>
      </c>
      <c r="HEO364" s="373">
        <f>'Q100a-geral'!HEO887</f>
        <v>0</v>
      </c>
      <c r="HEP364" s="373">
        <f>'Q100a-geral'!HEP887</f>
        <v>0</v>
      </c>
      <c r="HEQ364" s="373">
        <f>'Q100a-geral'!HEQ887</f>
        <v>0</v>
      </c>
      <c r="HER364" s="373">
        <f>'Q100a-geral'!HER887</f>
        <v>0</v>
      </c>
      <c r="HES364" s="373">
        <f>'Q100a-geral'!HES887</f>
        <v>0</v>
      </c>
      <c r="HET364" s="373">
        <f>'Q100a-geral'!HET887</f>
        <v>0</v>
      </c>
      <c r="HEU364" s="373">
        <f>'Q100a-geral'!HEU887</f>
        <v>0</v>
      </c>
      <c r="HEV364" s="373">
        <f>'Q100a-geral'!HEV887</f>
        <v>0</v>
      </c>
      <c r="HEW364" s="373">
        <f>'Q100a-geral'!HEW887</f>
        <v>0</v>
      </c>
      <c r="HEX364" s="373">
        <f>'Q100a-geral'!HEX887</f>
        <v>0</v>
      </c>
      <c r="HEY364" s="373">
        <f>'Q100a-geral'!HEY887</f>
        <v>0</v>
      </c>
      <c r="HEZ364" s="373">
        <f>'Q100a-geral'!HEZ887</f>
        <v>0</v>
      </c>
      <c r="HFA364" s="373">
        <f>'Q100a-geral'!HFA887</f>
        <v>0</v>
      </c>
      <c r="HFB364" s="373">
        <f>'Q100a-geral'!HFB887</f>
        <v>0</v>
      </c>
      <c r="HFC364" s="373">
        <f>'Q100a-geral'!HFC887</f>
        <v>0</v>
      </c>
      <c r="HFD364" s="373">
        <f>'Q100a-geral'!HFD887</f>
        <v>0</v>
      </c>
      <c r="HFE364" s="373">
        <f>'Q100a-geral'!HFE887</f>
        <v>0</v>
      </c>
      <c r="HFF364" s="373">
        <f>'Q100a-geral'!HFF887</f>
        <v>0</v>
      </c>
      <c r="HFG364" s="373">
        <f>'Q100a-geral'!HFG887</f>
        <v>0</v>
      </c>
      <c r="HFH364" s="373">
        <f>'Q100a-geral'!HFH887</f>
        <v>0</v>
      </c>
      <c r="HFI364" s="373">
        <f>'Q100a-geral'!HFI887</f>
        <v>0</v>
      </c>
      <c r="HFJ364" s="373">
        <f>'Q100a-geral'!HFJ887</f>
        <v>0</v>
      </c>
      <c r="HFK364" s="373">
        <f>'Q100a-geral'!HFK887</f>
        <v>0</v>
      </c>
      <c r="HFL364" s="373">
        <f>'Q100a-geral'!HFL887</f>
        <v>0</v>
      </c>
      <c r="HFM364" s="373">
        <f>'Q100a-geral'!HFM887</f>
        <v>0</v>
      </c>
      <c r="HFN364" s="373">
        <f>'Q100a-geral'!HFN887</f>
        <v>0</v>
      </c>
      <c r="HFO364" s="373">
        <f>'Q100a-geral'!HFO887</f>
        <v>0</v>
      </c>
      <c r="HFP364" s="373">
        <f>'Q100a-geral'!HFP887</f>
        <v>0</v>
      </c>
      <c r="HFQ364" s="373">
        <f>'Q100a-geral'!HFQ887</f>
        <v>0</v>
      </c>
      <c r="HFR364" s="373">
        <f>'Q100a-geral'!HFR887</f>
        <v>0</v>
      </c>
      <c r="HFS364" s="373">
        <f>'Q100a-geral'!HFS887</f>
        <v>0</v>
      </c>
      <c r="HFT364" s="373">
        <f>'Q100a-geral'!HFT887</f>
        <v>0</v>
      </c>
      <c r="HFU364" s="373">
        <f>'Q100a-geral'!HFU887</f>
        <v>0</v>
      </c>
      <c r="HFV364" s="373">
        <f>'Q100a-geral'!HFV887</f>
        <v>0</v>
      </c>
      <c r="HFW364" s="373">
        <f>'Q100a-geral'!HFW887</f>
        <v>0</v>
      </c>
      <c r="HFX364" s="373">
        <f>'Q100a-geral'!HFX887</f>
        <v>0</v>
      </c>
      <c r="HFY364" s="373">
        <f>'Q100a-geral'!HFY887</f>
        <v>0</v>
      </c>
      <c r="HFZ364" s="373">
        <f>'Q100a-geral'!HFZ887</f>
        <v>0</v>
      </c>
      <c r="HGA364" s="373">
        <f>'Q100a-geral'!HGA887</f>
        <v>0</v>
      </c>
      <c r="HGB364" s="373">
        <f>'Q100a-geral'!HGB887</f>
        <v>0</v>
      </c>
      <c r="HGC364" s="373">
        <f>'Q100a-geral'!HGC887</f>
        <v>0</v>
      </c>
      <c r="HGD364" s="373">
        <f>'Q100a-geral'!HGD887</f>
        <v>0</v>
      </c>
      <c r="HGE364" s="373">
        <f>'Q100a-geral'!HGE887</f>
        <v>0</v>
      </c>
      <c r="HGF364" s="373">
        <f>'Q100a-geral'!HGF887</f>
        <v>0</v>
      </c>
      <c r="HGG364" s="373">
        <f>'Q100a-geral'!HGG887</f>
        <v>0</v>
      </c>
      <c r="HGH364" s="373">
        <f>'Q100a-geral'!HGH887</f>
        <v>0</v>
      </c>
      <c r="HGI364" s="373">
        <f>'Q100a-geral'!HGI887</f>
        <v>0</v>
      </c>
      <c r="HGJ364" s="373">
        <f>'Q100a-geral'!HGJ887</f>
        <v>0</v>
      </c>
      <c r="HGK364" s="373">
        <f>'Q100a-geral'!HGK887</f>
        <v>0</v>
      </c>
      <c r="HGL364" s="373">
        <f>'Q100a-geral'!HGL887</f>
        <v>0</v>
      </c>
      <c r="HGM364" s="373">
        <f>'Q100a-geral'!HGM887</f>
        <v>0</v>
      </c>
      <c r="HGN364" s="373">
        <f>'Q100a-geral'!HGN887</f>
        <v>0</v>
      </c>
      <c r="HGO364" s="373">
        <f>'Q100a-geral'!HGO887</f>
        <v>0</v>
      </c>
      <c r="HGP364" s="373">
        <f>'Q100a-geral'!HGP887</f>
        <v>0</v>
      </c>
      <c r="HGQ364" s="373">
        <f>'Q100a-geral'!HGQ887</f>
        <v>0</v>
      </c>
      <c r="HGR364" s="373">
        <f>'Q100a-geral'!HGR887</f>
        <v>0</v>
      </c>
      <c r="HGS364" s="373">
        <f>'Q100a-geral'!HGS887</f>
        <v>0</v>
      </c>
      <c r="HGT364" s="373">
        <f>'Q100a-geral'!HGT887</f>
        <v>0</v>
      </c>
      <c r="HGU364" s="373">
        <f>'Q100a-geral'!HGU887</f>
        <v>0</v>
      </c>
      <c r="HGV364" s="373">
        <f>'Q100a-geral'!HGV887</f>
        <v>0</v>
      </c>
      <c r="HGW364" s="373">
        <f>'Q100a-geral'!HGW887</f>
        <v>0</v>
      </c>
      <c r="HGX364" s="373">
        <f>'Q100a-geral'!HGX887</f>
        <v>0</v>
      </c>
      <c r="HGY364" s="373">
        <f>'Q100a-geral'!HGY887</f>
        <v>0</v>
      </c>
      <c r="HGZ364" s="373">
        <f>'Q100a-geral'!HGZ887</f>
        <v>0</v>
      </c>
      <c r="HHA364" s="373">
        <f>'Q100a-geral'!HHA887</f>
        <v>0</v>
      </c>
      <c r="HHB364" s="373">
        <f>'Q100a-geral'!HHB887</f>
        <v>0</v>
      </c>
      <c r="HHC364" s="373">
        <f>'Q100a-geral'!HHC887</f>
        <v>0</v>
      </c>
      <c r="HHD364" s="373">
        <f>'Q100a-geral'!HHD887</f>
        <v>0</v>
      </c>
      <c r="HHE364" s="373">
        <f>'Q100a-geral'!HHE887</f>
        <v>0</v>
      </c>
      <c r="HHF364" s="373">
        <f>'Q100a-geral'!HHF887</f>
        <v>0</v>
      </c>
      <c r="HHG364" s="373">
        <f>'Q100a-geral'!HHG887</f>
        <v>0</v>
      </c>
      <c r="HHH364" s="373">
        <f>'Q100a-geral'!HHH887</f>
        <v>0</v>
      </c>
      <c r="HHI364" s="373">
        <f>'Q100a-geral'!HHI887</f>
        <v>0</v>
      </c>
      <c r="HHJ364" s="373">
        <f>'Q100a-geral'!HHJ887</f>
        <v>0</v>
      </c>
      <c r="HHK364" s="373">
        <f>'Q100a-geral'!HHK887</f>
        <v>0</v>
      </c>
      <c r="HHL364" s="373">
        <f>'Q100a-geral'!HHL887</f>
        <v>0</v>
      </c>
      <c r="HHM364" s="373">
        <f>'Q100a-geral'!HHM887</f>
        <v>0</v>
      </c>
      <c r="HHN364" s="373">
        <f>'Q100a-geral'!HHN887</f>
        <v>0</v>
      </c>
      <c r="HHO364" s="373">
        <f>'Q100a-geral'!HHO887</f>
        <v>0</v>
      </c>
      <c r="HHP364" s="373">
        <f>'Q100a-geral'!HHP887</f>
        <v>0</v>
      </c>
      <c r="HHQ364" s="373">
        <f>'Q100a-geral'!HHQ887</f>
        <v>0</v>
      </c>
      <c r="HHR364" s="373">
        <f>'Q100a-geral'!HHR887</f>
        <v>0</v>
      </c>
      <c r="HHS364" s="373">
        <f>'Q100a-geral'!HHS887</f>
        <v>0</v>
      </c>
      <c r="HHT364" s="373">
        <f>'Q100a-geral'!HHT887</f>
        <v>0</v>
      </c>
      <c r="HHU364" s="373">
        <f>'Q100a-geral'!HHU887</f>
        <v>0</v>
      </c>
      <c r="HHV364" s="373">
        <f>'Q100a-geral'!HHV887</f>
        <v>0</v>
      </c>
      <c r="HHW364" s="373">
        <f>'Q100a-geral'!HHW887</f>
        <v>0</v>
      </c>
      <c r="HHX364" s="373">
        <f>'Q100a-geral'!HHX887</f>
        <v>0</v>
      </c>
      <c r="HHY364" s="373">
        <f>'Q100a-geral'!HHY887</f>
        <v>0</v>
      </c>
      <c r="HHZ364" s="373">
        <f>'Q100a-geral'!HHZ887</f>
        <v>0</v>
      </c>
      <c r="HIA364" s="373">
        <f>'Q100a-geral'!HIA887</f>
        <v>0</v>
      </c>
      <c r="HIB364" s="373">
        <f>'Q100a-geral'!HIB887</f>
        <v>0</v>
      </c>
      <c r="HIC364" s="373">
        <f>'Q100a-geral'!HIC887</f>
        <v>0</v>
      </c>
      <c r="HID364" s="373">
        <f>'Q100a-geral'!HID887</f>
        <v>0</v>
      </c>
      <c r="HIE364" s="373">
        <f>'Q100a-geral'!HIE887</f>
        <v>0</v>
      </c>
      <c r="HIF364" s="373">
        <f>'Q100a-geral'!HIF887</f>
        <v>0</v>
      </c>
      <c r="HIG364" s="373">
        <f>'Q100a-geral'!HIG887</f>
        <v>0</v>
      </c>
      <c r="HIH364" s="373">
        <f>'Q100a-geral'!HIH887</f>
        <v>0</v>
      </c>
      <c r="HII364" s="373">
        <f>'Q100a-geral'!HII887</f>
        <v>0</v>
      </c>
      <c r="HIJ364" s="373">
        <f>'Q100a-geral'!HIJ887</f>
        <v>0</v>
      </c>
      <c r="HIK364" s="373">
        <f>'Q100a-geral'!HIK887</f>
        <v>0</v>
      </c>
      <c r="HIL364" s="373">
        <f>'Q100a-geral'!HIL887</f>
        <v>0</v>
      </c>
      <c r="HIM364" s="373">
        <f>'Q100a-geral'!HIM887</f>
        <v>0</v>
      </c>
      <c r="HIN364" s="373">
        <f>'Q100a-geral'!HIN887</f>
        <v>0</v>
      </c>
      <c r="HIO364" s="373">
        <f>'Q100a-geral'!HIO887</f>
        <v>0</v>
      </c>
      <c r="HIP364" s="373">
        <f>'Q100a-geral'!HIP887</f>
        <v>0</v>
      </c>
      <c r="HIQ364" s="373">
        <f>'Q100a-geral'!HIQ887</f>
        <v>0</v>
      </c>
      <c r="HIR364" s="373">
        <f>'Q100a-geral'!HIR887</f>
        <v>0</v>
      </c>
      <c r="HIS364" s="373">
        <f>'Q100a-geral'!HIS887</f>
        <v>0</v>
      </c>
      <c r="HIT364" s="373">
        <f>'Q100a-geral'!HIT887</f>
        <v>0</v>
      </c>
      <c r="HIU364" s="373">
        <f>'Q100a-geral'!HIU887</f>
        <v>0</v>
      </c>
      <c r="HIV364" s="373">
        <f>'Q100a-geral'!HIV887</f>
        <v>0</v>
      </c>
      <c r="HIW364" s="373">
        <f>'Q100a-geral'!HIW887</f>
        <v>0</v>
      </c>
      <c r="HIX364" s="373">
        <f>'Q100a-geral'!HIX887</f>
        <v>0</v>
      </c>
      <c r="HIY364" s="373">
        <f>'Q100a-geral'!HIY887</f>
        <v>0</v>
      </c>
      <c r="HIZ364" s="373">
        <f>'Q100a-geral'!HIZ887</f>
        <v>0</v>
      </c>
      <c r="HJA364" s="373">
        <f>'Q100a-geral'!HJA887</f>
        <v>0</v>
      </c>
      <c r="HJB364" s="373">
        <f>'Q100a-geral'!HJB887</f>
        <v>0</v>
      </c>
      <c r="HJC364" s="373">
        <f>'Q100a-geral'!HJC887</f>
        <v>0</v>
      </c>
      <c r="HJD364" s="373">
        <f>'Q100a-geral'!HJD887</f>
        <v>0</v>
      </c>
      <c r="HJE364" s="373">
        <f>'Q100a-geral'!HJE887</f>
        <v>0</v>
      </c>
      <c r="HJF364" s="373">
        <f>'Q100a-geral'!HJF887</f>
        <v>0</v>
      </c>
      <c r="HJG364" s="373">
        <f>'Q100a-geral'!HJG887</f>
        <v>0</v>
      </c>
      <c r="HJH364" s="373">
        <f>'Q100a-geral'!HJH887</f>
        <v>0</v>
      </c>
      <c r="HJI364" s="373">
        <f>'Q100a-geral'!HJI887</f>
        <v>0</v>
      </c>
      <c r="HJJ364" s="373">
        <f>'Q100a-geral'!HJJ887</f>
        <v>0</v>
      </c>
      <c r="HJK364" s="373">
        <f>'Q100a-geral'!HJK887</f>
        <v>0</v>
      </c>
      <c r="HJL364" s="373">
        <f>'Q100a-geral'!HJL887</f>
        <v>0</v>
      </c>
      <c r="HJM364" s="373">
        <f>'Q100a-geral'!HJM887</f>
        <v>0</v>
      </c>
      <c r="HJN364" s="373">
        <f>'Q100a-geral'!HJN887</f>
        <v>0</v>
      </c>
      <c r="HJO364" s="373">
        <f>'Q100a-geral'!HJO887</f>
        <v>0</v>
      </c>
      <c r="HJP364" s="373">
        <f>'Q100a-geral'!HJP887</f>
        <v>0</v>
      </c>
      <c r="HJQ364" s="373">
        <f>'Q100a-geral'!HJQ887</f>
        <v>0</v>
      </c>
      <c r="HJR364" s="373">
        <f>'Q100a-geral'!HJR887</f>
        <v>0</v>
      </c>
      <c r="HJS364" s="373">
        <f>'Q100a-geral'!HJS887</f>
        <v>0</v>
      </c>
      <c r="HJT364" s="373">
        <f>'Q100a-geral'!HJT887</f>
        <v>0</v>
      </c>
      <c r="HJU364" s="373">
        <f>'Q100a-geral'!HJU887</f>
        <v>0</v>
      </c>
      <c r="HJV364" s="373">
        <f>'Q100a-geral'!HJV887</f>
        <v>0</v>
      </c>
      <c r="HJW364" s="373">
        <f>'Q100a-geral'!HJW887</f>
        <v>0</v>
      </c>
      <c r="HJX364" s="373">
        <f>'Q100a-geral'!HJX887</f>
        <v>0</v>
      </c>
      <c r="HJY364" s="373">
        <f>'Q100a-geral'!HJY887</f>
        <v>0</v>
      </c>
      <c r="HJZ364" s="373">
        <f>'Q100a-geral'!HJZ887</f>
        <v>0</v>
      </c>
      <c r="HKA364" s="373">
        <f>'Q100a-geral'!HKA887</f>
        <v>0</v>
      </c>
      <c r="HKB364" s="373">
        <f>'Q100a-geral'!HKB887</f>
        <v>0</v>
      </c>
      <c r="HKC364" s="373">
        <f>'Q100a-geral'!HKC887</f>
        <v>0</v>
      </c>
      <c r="HKD364" s="373">
        <f>'Q100a-geral'!HKD887</f>
        <v>0</v>
      </c>
      <c r="HKE364" s="373">
        <f>'Q100a-geral'!HKE887</f>
        <v>0</v>
      </c>
      <c r="HKF364" s="373">
        <f>'Q100a-geral'!HKF887</f>
        <v>0</v>
      </c>
      <c r="HKG364" s="373">
        <f>'Q100a-geral'!HKG887</f>
        <v>0</v>
      </c>
      <c r="HKH364" s="373">
        <f>'Q100a-geral'!HKH887</f>
        <v>0</v>
      </c>
      <c r="HKI364" s="373">
        <f>'Q100a-geral'!HKI887</f>
        <v>0</v>
      </c>
      <c r="HKJ364" s="373">
        <f>'Q100a-geral'!HKJ887</f>
        <v>0</v>
      </c>
      <c r="HKK364" s="373">
        <f>'Q100a-geral'!HKK887</f>
        <v>0</v>
      </c>
      <c r="HKL364" s="373">
        <f>'Q100a-geral'!HKL887</f>
        <v>0</v>
      </c>
      <c r="HKM364" s="373">
        <f>'Q100a-geral'!HKM887</f>
        <v>0</v>
      </c>
      <c r="HKN364" s="373">
        <f>'Q100a-geral'!HKN887</f>
        <v>0</v>
      </c>
      <c r="HKO364" s="373">
        <f>'Q100a-geral'!HKO887</f>
        <v>0</v>
      </c>
      <c r="HKP364" s="373">
        <f>'Q100a-geral'!HKP887</f>
        <v>0</v>
      </c>
      <c r="HKQ364" s="373">
        <f>'Q100a-geral'!HKQ887</f>
        <v>0</v>
      </c>
      <c r="HKR364" s="373">
        <f>'Q100a-geral'!HKR887</f>
        <v>0</v>
      </c>
      <c r="HKS364" s="373">
        <f>'Q100a-geral'!HKS887</f>
        <v>0</v>
      </c>
      <c r="HKT364" s="373">
        <f>'Q100a-geral'!HKT887</f>
        <v>0</v>
      </c>
      <c r="HKU364" s="373">
        <f>'Q100a-geral'!HKU887</f>
        <v>0</v>
      </c>
      <c r="HKV364" s="373">
        <f>'Q100a-geral'!HKV887</f>
        <v>0</v>
      </c>
      <c r="HKW364" s="373">
        <f>'Q100a-geral'!HKW887</f>
        <v>0</v>
      </c>
      <c r="HKX364" s="373">
        <f>'Q100a-geral'!HKX887</f>
        <v>0</v>
      </c>
      <c r="HKY364" s="373">
        <f>'Q100a-geral'!HKY887</f>
        <v>0</v>
      </c>
      <c r="HKZ364" s="373">
        <f>'Q100a-geral'!HKZ887</f>
        <v>0</v>
      </c>
      <c r="HLA364" s="373">
        <f>'Q100a-geral'!HLA887</f>
        <v>0</v>
      </c>
      <c r="HLB364" s="373">
        <f>'Q100a-geral'!HLB887</f>
        <v>0</v>
      </c>
      <c r="HLC364" s="373">
        <f>'Q100a-geral'!HLC887</f>
        <v>0</v>
      </c>
      <c r="HLD364" s="373">
        <f>'Q100a-geral'!HLD887</f>
        <v>0</v>
      </c>
      <c r="HLE364" s="373">
        <f>'Q100a-geral'!HLE887</f>
        <v>0</v>
      </c>
      <c r="HLF364" s="373">
        <f>'Q100a-geral'!HLF887</f>
        <v>0</v>
      </c>
      <c r="HLG364" s="373">
        <f>'Q100a-geral'!HLG887</f>
        <v>0</v>
      </c>
      <c r="HLH364" s="373">
        <f>'Q100a-geral'!HLH887</f>
        <v>0</v>
      </c>
      <c r="HLI364" s="373">
        <f>'Q100a-geral'!HLI887</f>
        <v>0</v>
      </c>
      <c r="HLJ364" s="373">
        <f>'Q100a-geral'!HLJ887</f>
        <v>0</v>
      </c>
      <c r="HLK364" s="373">
        <f>'Q100a-geral'!HLK887</f>
        <v>0</v>
      </c>
      <c r="HLL364" s="373">
        <f>'Q100a-geral'!HLL887</f>
        <v>0</v>
      </c>
      <c r="HLM364" s="373">
        <f>'Q100a-geral'!HLM887</f>
        <v>0</v>
      </c>
      <c r="HLN364" s="373">
        <f>'Q100a-geral'!HLN887</f>
        <v>0</v>
      </c>
      <c r="HLO364" s="373">
        <f>'Q100a-geral'!HLO887</f>
        <v>0</v>
      </c>
      <c r="HLP364" s="373">
        <f>'Q100a-geral'!HLP887</f>
        <v>0</v>
      </c>
      <c r="HLQ364" s="373">
        <f>'Q100a-geral'!HLQ887</f>
        <v>0</v>
      </c>
      <c r="HLR364" s="373">
        <f>'Q100a-geral'!HLR887</f>
        <v>0</v>
      </c>
      <c r="HLS364" s="373">
        <f>'Q100a-geral'!HLS887</f>
        <v>0</v>
      </c>
      <c r="HLT364" s="373">
        <f>'Q100a-geral'!HLT887</f>
        <v>0</v>
      </c>
      <c r="HLU364" s="373">
        <f>'Q100a-geral'!HLU887</f>
        <v>0</v>
      </c>
      <c r="HLV364" s="373">
        <f>'Q100a-geral'!HLV887</f>
        <v>0</v>
      </c>
      <c r="HLW364" s="373">
        <f>'Q100a-geral'!HLW887</f>
        <v>0</v>
      </c>
      <c r="HLX364" s="373">
        <f>'Q100a-geral'!HLX887</f>
        <v>0</v>
      </c>
      <c r="HLY364" s="373">
        <f>'Q100a-geral'!HLY887</f>
        <v>0</v>
      </c>
      <c r="HLZ364" s="373">
        <f>'Q100a-geral'!HLZ887</f>
        <v>0</v>
      </c>
      <c r="HMA364" s="373">
        <f>'Q100a-geral'!HMA887</f>
        <v>0</v>
      </c>
      <c r="HMB364" s="373">
        <f>'Q100a-geral'!HMB887</f>
        <v>0</v>
      </c>
      <c r="HMC364" s="373">
        <f>'Q100a-geral'!HMC887</f>
        <v>0</v>
      </c>
      <c r="HMD364" s="373">
        <f>'Q100a-geral'!HMD887</f>
        <v>0</v>
      </c>
      <c r="HME364" s="373">
        <f>'Q100a-geral'!HME887</f>
        <v>0</v>
      </c>
      <c r="HMF364" s="373">
        <f>'Q100a-geral'!HMF887</f>
        <v>0</v>
      </c>
      <c r="HMG364" s="373">
        <f>'Q100a-geral'!HMG887</f>
        <v>0</v>
      </c>
      <c r="HMH364" s="373">
        <f>'Q100a-geral'!HMH887</f>
        <v>0</v>
      </c>
      <c r="HMI364" s="373">
        <f>'Q100a-geral'!HMI887</f>
        <v>0</v>
      </c>
      <c r="HMJ364" s="373">
        <f>'Q100a-geral'!HMJ887</f>
        <v>0</v>
      </c>
      <c r="HMK364" s="373">
        <f>'Q100a-geral'!HMK887</f>
        <v>0</v>
      </c>
      <c r="HML364" s="373">
        <f>'Q100a-geral'!HML887</f>
        <v>0</v>
      </c>
      <c r="HMM364" s="373">
        <f>'Q100a-geral'!HMM887</f>
        <v>0</v>
      </c>
      <c r="HMN364" s="373">
        <f>'Q100a-geral'!HMN887</f>
        <v>0</v>
      </c>
      <c r="HMO364" s="373">
        <f>'Q100a-geral'!HMO887</f>
        <v>0</v>
      </c>
      <c r="HMP364" s="373">
        <f>'Q100a-geral'!HMP887</f>
        <v>0</v>
      </c>
      <c r="HMQ364" s="373">
        <f>'Q100a-geral'!HMQ887</f>
        <v>0</v>
      </c>
      <c r="HMR364" s="373">
        <f>'Q100a-geral'!HMR887</f>
        <v>0</v>
      </c>
      <c r="HMS364" s="373">
        <f>'Q100a-geral'!HMS887</f>
        <v>0</v>
      </c>
      <c r="HMT364" s="373">
        <f>'Q100a-geral'!HMT887</f>
        <v>0</v>
      </c>
      <c r="HMU364" s="373">
        <f>'Q100a-geral'!HMU887</f>
        <v>0</v>
      </c>
      <c r="HMV364" s="373">
        <f>'Q100a-geral'!HMV887</f>
        <v>0</v>
      </c>
      <c r="HMW364" s="373">
        <f>'Q100a-geral'!HMW887</f>
        <v>0</v>
      </c>
      <c r="HMX364" s="373">
        <f>'Q100a-geral'!HMX887</f>
        <v>0</v>
      </c>
      <c r="HMY364" s="373">
        <f>'Q100a-geral'!HMY887</f>
        <v>0</v>
      </c>
      <c r="HMZ364" s="373">
        <f>'Q100a-geral'!HMZ887</f>
        <v>0</v>
      </c>
      <c r="HNA364" s="373">
        <f>'Q100a-geral'!HNA887</f>
        <v>0</v>
      </c>
      <c r="HNB364" s="373">
        <f>'Q100a-geral'!HNB887</f>
        <v>0</v>
      </c>
      <c r="HNC364" s="373">
        <f>'Q100a-geral'!HNC887</f>
        <v>0</v>
      </c>
      <c r="HND364" s="373">
        <f>'Q100a-geral'!HND887</f>
        <v>0</v>
      </c>
      <c r="HNE364" s="373">
        <f>'Q100a-geral'!HNE887</f>
        <v>0</v>
      </c>
      <c r="HNF364" s="373">
        <f>'Q100a-geral'!HNF887</f>
        <v>0</v>
      </c>
      <c r="HNG364" s="373">
        <f>'Q100a-geral'!HNG887</f>
        <v>0</v>
      </c>
      <c r="HNH364" s="373">
        <f>'Q100a-geral'!HNH887</f>
        <v>0</v>
      </c>
      <c r="HNI364" s="373">
        <f>'Q100a-geral'!HNI887</f>
        <v>0</v>
      </c>
      <c r="HNJ364" s="373">
        <f>'Q100a-geral'!HNJ887</f>
        <v>0</v>
      </c>
      <c r="HNK364" s="373">
        <f>'Q100a-geral'!HNK887</f>
        <v>0</v>
      </c>
      <c r="HNL364" s="373">
        <f>'Q100a-geral'!HNL887</f>
        <v>0</v>
      </c>
      <c r="HNM364" s="373">
        <f>'Q100a-geral'!HNM887</f>
        <v>0</v>
      </c>
      <c r="HNN364" s="373">
        <f>'Q100a-geral'!HNN887</f>
        <v>0</v>
      </c>
      <c r="HNO364" s="373">
        <f>'Q100a-geral'!HNO887</f>
        <v>0</v>
      </c>
      <c r="HNP364" s="373">
        <f>'Q100a-geral'!HNP887</f>
        <v>0</v>
      </c>
      <c r="HNQ364" s="373">
        <f>'Q100a-geral'!HNQ887</f>
        <v>0</v>
      </c>
      <c r="HNR364" s="373">
        <f>'Q100a-geral'!HNR887</f>
        <v>0</v>
      </c>
      <c r="HNS364" s="373">
        <f>'Q100a-geral'!HNS887</f>
        <v>0</v>
      </c>
      <c r="HNT364" s="373">
        <f>'Q100a-geral'!HNT887</f>
        <v>0</v>
      </c>
      <c r="HNU364" s="373">
        <f>'Q100a-geral'!HNU887</f>
        <v>0</v>
      </c>
      <c r="HNV364" s="373">
        <f>'Q100a-geral'!HNV887</f>
        <v>0</v>
      </c>
      <c r="HNW364" s="373">
        <f>'Q100a-geral'!HNW887</f>
        <v>0</v>
      </c>
      <c r="HNX364" s="373">
        <f>'Q100a-geral'!HNX887</f>
        <v>0</v>
      </c>
      <c r="HNY364" s="373">
        <f>'Q100a-geral'!HNY887</f>
        <v>0</v>
      </c>
      <c r="HNZ364" s="373">
        <f>'Q100a-geral'!HNZ887</f>
        <v>0</v>
      </c>
      <c r="HOA364" s="373">
        <f>'Q100a-geral'!HOA887</f>
        <v>0</v>
      </c>
      <c r="HOB364" s="373">
        <f>'Q100a-geral'!HOB887</f>
        <v>0</v>
      </c>
      <c r="HOC364" s="373">
        <f>'Q100a-geral'!HOC887</f>
        <v>0</v>
      </c>
      <c r="HOD364" s="373">
        <f>'Q100a-geral'!HOD887</f>
        <v>0</v>
      </c>
      <c r="HOE364" s="373">
        <f>'Q100a-geral'!HOE887</f>
        <v>0</v>
      </c>
      <c r="HOF364" s="373">
        <f>'Q100a-geral'!HOF887</f>
        <v>0</v>
      </c>
      <c r="HOG364" s="373">
        <f>'Q100a-geral'!HOG887</f>
        <v>0</v>
      </c>
      <c r="HOH364" s="373">
        <f>'Q100a-geral'!HOH887</f>
        <v>0</v>
      </c>
      <c r="HOI364" s="373">
        <f>'Q100a-geral'!HOI887</f>
        <v>0</v>
      </c>
      <c r="HOJ364" s="373">
        <f>'Q100a-geral'!HOJ887</f>
        <v>0</v>
      </c>
      <c r="HOK364" s="373">
        <f>'Q100a-geral'!HOK887</f>
        <v>0</v>
      </c>
      <c r="HOL364" s="373">
        <f>'Q100a-geral'!HOL887</f>
        <v>0</v>
      </c>
      <c r="HOM364" s="373">
        <f>'Q100a-geral'!HOM887</f>
        <v>0</v>
      </c>
      <c r="HON364" s="373">
        <f>'Q100a-geral'!HON887</f>
        <v>0</v>
      </c>
      <c r="HOO364" s="373">
        <f>'Q100a-geral'!HOO887</f>
        <v>0</v>
      </c>
      <c r="HOP364" s="373">
        <f>'Q100a-geral'!HOP887</f>
        <v>0</v>
      </c>
      <c r="HOQ364" s="373">
        <f>'Q100a-geral'!HOQ887</f>
        <v>0</v>
      </c>
      <c r="HOR364" s="373">
        <f>'Q100a-geral'!HOR887</f>
        <v>0</v>
      </c>
      <c r="HOS364" s="373">
        <f>'Q100a-geral'!HOS887</f>
        <v>0</v>
      </c>
      <c r="HOT364" s="373">
        <f>'Q100a-geral'!HOT887</f>
        <v>0</v>
      </c>
      <c r="HOU364" s="373">
        <f>'Q100a-geral'!HOU887</f>
        <v>0</v>
      </c>
      <c r="HOV364" s="373">
        <f>'Q100a-geral'!HOV887</f>
        <v>0</v>
      </c>
      <c r="HOW364" s="373">
        <f>'Q100a-geral'!HOW887</f>
        <v>0</v>
      </c>
      <c r="HOX364" s="373">
        <f>'Q100a-geral'!HOX887</f>
        <v>0</v>
      </c>
      <c r="HOY364" s="373">
        <f>'Q100a-geral'!HOY887</f>
        <v>0</v>
      </c>
      <c r="HOZ364" s="373">
        <f>'Q100a-geral'!HOZ887</f>
        <v>0</v>
      </c>
      <c r="HPA364" s="373">
        <f>'Q100a-geral'!HPA887</f>
        <v>0</v>
      </c>
      <c r="HPB364" s="373">
        <f>'Q100a-geral'!HPB887</f>
        <v>0</v>
      </c>
      <c r="HPC364" s="373">
        <f>'Q100a-geral'!HPC887</f>
        <v>0</v>
      </c>
      <c r="HPD364" s="373">
        <f>'Q100a-geral'!HPD887</f>
        <v>0</v>
      </c>
      <c r="HPE364" s="373">
        <f>'Q100a-geral'!HPE887</f>
        <v>0</v>
      </c>
      <c r="HPF364" s="373">
        <f>'Q100a-geral'!HPF887</f>
        <v>0</v>
      </c>
      <c r="HPG364" s="373">
        <f>'Q100a-geral'!HPG887</f>
        <v>0</v>
      </c>
      <c r="HPH364" s="373">
        <f>'Q100a-geral'!HPH887</f>
        <v>0</v>
      </c>
      <c r="HPI364" s="373">
        <f>'Q100a-geral'!HPI887</f>
        <v>0</v>
      </c>
      <c r="HPJ364" s="373">
        <f>'Q100a-geral'!HPJ887</f>
        <v>0</v>
      </c>
      <c r="HPK364" s="373">
        <f>'Q100a-geral'!HPK887</f>
        <v>0</v>
      </c>
      <c r="HPL364" s="373">
        <f>'Q100a-geral'!HPL887</f>
        <v>0</v>
      </c>
      <c r="HPM364" s="373">
        <f>'Q100a-geral'!HPM887</f>
        <v>0</v>
      </c>
      <c r="HPN364" s="373">
        <f>'Q100a-geral'!HPN887</f>
        <v>0</v>
      </c>
      <c r="HPO364" s="373">
        <f>'Q100a-geral'!HPO887</f>
        <v>0</v>
      </c>
      <c r="HPP364" s="373">
        <f>'Q100a-geral'!HPP887</f>
        <v>0</v>
      </c>
      <c r="HPQ364" s="373">
        <f>'Q100a-geral'!HPQ887</f>
        <v>0</v>
      </c>
      <c r="HPR364" s="373">
        <f>'Q100a-geral'!HPR887</f>
        <v>0</v>
      </c>
      <c r="HPS364" s="373">
        <f>'Q100a-geral'!HPS887</f>
        <v>0</v>
      </c>
      <c r="HPT364" s="373">
        <f>'Q100a-geral'!HPT887</f>
        <v>0</v>
      </c>
      <c r="HPU364" s="373">
        <f>'Q100a-geral'!HPU887</f>
        <v>0</v>
      </c>
      <c r="HPV364" s="373">
        <f>'Q100a-geral'!HPV887</f>
        <v>0</v>
      </c>
      <c r="HPW364" s="373">
        <f>'Q100a-geral'!HPW887</f>
        <v>0</v>
      </c>
      <c r="HPX364" s="373">
        <f>'Q100a-geral'!HPX887</f>
        <v>0</v>
      </c>
      <c r="HPY364" s="373">
        <f>'Q100a-geral'!HPY887</f>
        <v>0</v>
      </c>
      <c r="HPZ364" s="373">
        <f>'Q100a-geral'!HPZ887</f>
        <v>0</v>
      </c>
      <c r="HQA364" s="373">
        <f>'Q100a-geral'!HQA887</f>
        <v>0</v>
      </c>
      <c r="HQB364" s="373">
        <f>'Q100a-geral'!HQB887</f>
        <v>0</v>
      </c>
      <c r="HQC364" s="373">
        <f>'Q100a-geral'!HQC887</f>
        <v>0</v>
      </c>
      <c r="HQD364" s="373">
        <f>'Q100a-geral'!HQD887</f>
        <v>0</v>
      </c>
      <c r="HQE364" s="373">
        <f>'Q100a-geral'!HQE887</f>
        <v>0</v>
      </c>
      <c r="HQF364" s="373">
        <f>'Q100a-geral'!HQF887</f>
        <v>0</v>
      </c>
      <c r="HQG364" s="373">
        <f>'Q100a-geral'!HQG887</f>
        <v>0</v>
      </c>
      <c r="HQH364" s="373">
        <f>'Q100a-geral'!HQH887</f>
        <v>0</v>
      </c>
      <c r="HQI364" s="373">
        <f>'Q100a-geral'!HQI887</f>
        <v>0</v>
      </c>
      <c r="HQJ364" s="373">
        <f>'Q100a-geral'!HQJ887</f>
        <v>0</v>
      </c>
      <c r="HQK364" s="373">
        <f>'Q100a-geral'!HQK887</f>
        <v>0</v>
      </c>
      <c r="HQL364" s="373">
        <f>'Q100a-geral'!HQL887</f>
        <v>0</v>
      </c>
      <c r="HQM364" s="373">
        <f>'Q100a-geral'!HQM887</f>
        <v>0</v>
      </c>
      <c r="HQN364" s="373">
        <f>'Q100a-geral'!HQN887</f>
        <v>0</v>
      </c>
      <c r="HQO364" s="373">
        <f>'Q100a-geral'!HQO887</f>
        <v>0</v>
      </c>
      <c r="HQP364" s="373">
        <f>'Q100a-geral'!HQP887</f>
        <v>0</v>
      </c>
      <c r="HQQ364" s="373">
        <f>'Q100a-geral'!HQQ887</f>
        <v>0</v>
      </c>
      <c r="HQR364" s="373">
        <f>'Q100a-geral'!HQR887</f>
        <v>0</v>
      </c>
      <c r="HQS364" s="373">
        <f>'Q100a-geral'!HQS887</f>
        <v>0</v>
      </c>
      <c r="HQT364" s="373">
        <f>'Q100a-geral'!HQT887</f>
        <v>0</v>
      </c>
      <c r="HQU364" s="373">
        <f>'Q100a-geral'!HQU887</f>
        <v>0</v>
      </c>
      <c r="HQV364" s="373">
        <f>'Q100a-geral'!HQV887</f>
        <v>0</v>
      </c>
      <c r="HQW364" s="373">
        <f>'Q100a-geral'!HQW887</f>
        <v>0</v>
      </c>
      <c r="HQX364" s="373">
        <f>'Q100a-geral'!HQX887</f>
        <v>0</v>
      </c>
      <c r="HQY364" s="373">
        <f>'Q100a-geral'!HQY887</f>
        <v>0</v>
      </c>
      <c r="HQZ364" s="373">
        <f>'Q100a-geral'!HQZ887</f>
        <v>0</v>
      </c>
      <c r="HRA364" s="373">
        <f>'Q100a-geral'!HRA887</f>
        <v>0</v>
      </c>
      <c r="HRB364" s="373">
        <f>'Q100a-geral'!HRB887</f>
        <v>0</v>
      </c>
      <c r="HRC364" s="373">
        <f>'Q100a-geral'!HRC887</f>
        <v>0</v>
      </c>
      <c r="HRD364" s="373">
        <f>'Q100a-geral'!HRD887</f>
        <v>0</v>
      </c>
      <c r="HRE364" s="373">
        <f>'Q100a-geral'!HRE887</f>
        <v>0</v>
      </c>
      <c r="HRF364" s="373">
        <f>'Q100a-geral'!HRF887</f>
        <v>0</v>
      </c>
      <c r="HRG364" s="373">
        <f>'Q100a-geral'!HRG887</f>
        <v>0</v>
      </c>
      <c r="HRH364" s="373">
        <f>'Q100a-geral'!HRH887</f>
        <v>0</v>
      </c>
      <c r="HRI364" s="373">
        <f>'Q100a-geral'!HRI887</f>
        <v>0</v>
      </c>
      <c r="HRJ364" s="373">
        <f>'Q100a-geral'!HRJ887</f>
        <v>0</v>
      </c>
      <c r="HRK364" s="373">
        <f>'Q100a-geral'!HRK887</f>
        <v>0</v>
      </c>
      <c r="HRL364" s="373">
        <f>'Q100a-geral'!HRL887</f>
        <v>0</v>
      </c>
      <c r="HRM364" s="373">
        <f>'Q100a-geral'!HRM887</f>
        <v>0</v>
      </c>
      <c r="HRN364" s="373">
        <f>'Q100a-geral'!HRN887</f>
        <v>0</v>
      </c>
      <c r="HRO364" s="373">
        <f>'Q100a-geral'!HRO887</f>
        <v>0</v>
      </c>
      <c r="HRP364" s="373">
        <f>'Q100a-geral'!HRP887</f>
        <v>0</v>
      </c>
      <c r="HRQ364" s="373">
        <f>'Q100a-geral'!HRQ887</f>
        <v>0</v>
      </c>
      <c r="HRR364" s="373">
        <f>'Q100a-geral'!HRR887</f>
        <v>0</v>
      </c>
      <c r="HRS364" s="373">
        <f>'Q100a-geral'!HRS887</f>
        <v>0</v>
      </c>
      <c r="HRT364" s="373">
        <f>'Q100a-geral'!HRT887</f>
        <v>0</v>
      </c>
      <c r="HRU364" s="373">
        <f>'Q100a-geral'!HRU887</f>
        <v>0</v>
      </c>
      <c r="HRV364" s="373">
        <f>'Q100a-geral'!HRV887</f>
        <v>0</v>
      </c>
      <c r="HRW364" s="373">
        <f>'Q100a-geral'!HRW887</f>
        <v>0</v>
      </c>
      <c r="HRX364" s="373">
        <f>'Q100a-geral'!HRX887</f>
        <v>0</v>
      </c>
      <c r="HRY364" s="373">
        <f>'Q100a-geral'!HRY887</f>
        <v>0</v>
      </c>
      <c r="HRZ364" s="373">
        <f>'Q100a-geral'!HRZ887</f>
        <v>0</v>
      </c>
      <c r="HSA364" s="373">
        <f>'Q100a-geral'!HSA887</f>
        <v>0</v>
      </c>
      <c r="HSB364" s="373">
        <f>'Q100a-geral'!HSB887</f>
        <v>0</v>
      </c>
      <c r="HSC364" s="373">
        <f>'Q100a-geral'!HSC887</f>
        <v>0</v>
      </c>
      <c r="HSD364" s="373">
        <f>'Q100a-geral'!HSD887</f>
        <v>0</v>
      </c>
      <c r="HSE364" s="373">
        <f>'Q100a-geral'!HSE887</f>
        <v>0</v>
      </c>
      <c r="HSF364" s="373">
        <f>'Q100a-geral'!HSF887</f>
        <v>0</v>
      </c>
      <c r="HSG364" s="373">
        <f>'Q100a-geral'!HSG887</f>
        <v>0</v>
      </c>
      <c r="HSH364" s="373">
        <f>'Q100a-geral'!HSH887</f>
        <v>0</v>
      </c>
      <c r="HSI364" s="373">
        <f>'Q100a-geral'!HSI887</f>
        <v>0</v>
      </c>
      <c r="HSJ364" s="373">
        <f>'Q100a-geral'!HSJ887</f>
        <v>0</v>
      </c>
      <c r="HSK364" s="373">
        <f>'Q100a-geral'!HSK887</f>
        <v>0</v>
      </c>
      <c r="HSL364" s="373">
        <f>'Q100a-geral'!HSL887</f>
        <v>0</v>
      </c>
      <c r="HSM364" s="373">
        <f>'Q100a-geral'!HSM887</f>
        <v>0</v>
      </c>
      <c r="HSN364" s="373">
        <f>'Q100a-geral'!HSN887</f>
        <v>0</v>
      </c>
      <c r="HSO364" s="373">
        <f>'Q100a-geral'!HSO887</f>
        <v>0</v>
      </c>
      <c r="HSP364" s="373">
        <f>'Q100a-geral'!HSP887</f>
        <v>0</v>
      </c>
      <c r="HSQ364" s="373">
        <f>'Q100a-geral'!HSQ887</f>
        <v>0</v>
      </c>
      <c r="HSR364" s="373">
        <f>'Q100a-geral'!HSR887</f>
        <v>0</v>
      </c>
      <c r="HSS364" s="373">
        <f>'Q100a-geral'!HSS887</f>
        <v>0</v>
      </c>
      <c r="HST364" s="373">
        <f>'Q100a-geral'!HST887</f>
        <v>0</v>
      </c>
      <c r="HSU364" s="373">
        <f>'Q100a-geral'!HSU887</f>
        <v>0</v>
      </c>
      <c r="HSV364" s="373">
        <f>'Q100a-geral'!HSV887</f>
        <v>0</v>
      </c>
      <c r="HSW364" s="373">
        <f>'Q100a-geral'!HSW887</f>
        <v>0</v>
      </c>
      <c r="HSX364" s="373">
        <f>'Q100a-geral'!HSX887</f>
        <v>0</v>
      </c>
      <c r="HSY364" s="373">
        <f>'Q100a-geral'!HSY887</f>
        <v>0</v>
      </c>
      <c r="HSZ364" s="373">
        <f>'Q100a-geral'!HSZ887</f>
        <v>0</v>
      </c>
      <c r="HTA364" s="373">
        <f>'Q100a-geral'!HTA887</f>
        <v>0</v>
      </c>
      <c r="HTB364" s="373">
        <f>'Q100a-geral'!HTB887</f>
        <v>0</v>
      </c>
      <c r="HTC364" s="373">
        <f>'Q100a-geral'!HTC887</f>
        <v>0</v>
      </c>
      <c r="HTD364" s="373">
        <f>'Q100a-geral'!HTD887</f>
        <v>0</v>
      </c>
      <c r="HTE364" s="373">
        <f>'Q100a-geral'!HTE887</f>
        <v>0</v>
      </c>
      <c r="HTF364" s="373">
        <f>'Q100a-geral'!HTF887</f>
        <v>0</v>
      </c>
      <c r="HTG364" s="373">
        <f>'Q100a-geral'!HTG887</f>
        <v>0</v>
      </c>
      <c r="HTH364" s="373">
        <f>'Q100a-geral'!HTH887</f>
        <v>0</v>
      </c>
      <c r="HTI364" s="373">
        <f>'Q100a-geral'!HTI887</f>
        <v>0</v>
      </c>
      <c r="HTJ364" s="373">
        <f>'Q100a-geral'!HTJ887</f>
        <v>0</v>
      </c>
      <c r="HTK364" s="373">
        <f>'Q100a-geral'!HTK887</f>
        <v>0</v>
      </c>
      <c r="HTL364" s="373">
        <f>'Q100a-geral'!HTL887</f>
        <v>0</v>
      </c>
      <c r="HTM364" s="373">
        <f>'Q100a-geral'!HTM887</f>
        <v>0</v>
      </c>
      <c r="HTN364" s="373">
        <f>'Q100a-geral'!HTN887</f>
        <v>0</v>
      </c>
      <c r="HTO364" s="373">
        <f>'Q100a-geral'!HTO887</f>
        <v>0</v>
      </c>
      <c r="HTP364" s="373">
        <f>'Q100a-geral'!HTP887</f>
        <v>0</v>
      </c>
      <c r="HTQ364" s="373">
        <f>'Q100a-geral'!HTQ887</f>
        <v>0</v>
      </c>
      <c r="HTR364" s="373">
        <f>'Q100a-geral'!HTR887</f>
        <v>0</v>
      </c>
      <c r="HTS364" s="373">
        <f>'Q100a-geral'!HTS887</f>
        <v>0</v>
      </c>
      <c r="HTT364" s="373">
        <f>'Q100a-geral'!HTT887</f>
        <v>0</v>
      </c>
      <c r="HTU364" s="373">
        <f>'Q100a-geral'!HTU887</f>
        <v>0</v>
      </c>
      <c r="HTV364" s="373">
        <f>'Q100a-geral'!HTV887</f>
        <v>0</v>
      </c>
      <c r="HTW364" s="373">
        <f>'Q100a-geral'!HTW887</f>
        <v>0</v>
      </c>
      <c r="HTX364" s="373">
        <f>'Q100a-geral'!HTX887</f>
        <v>0</v>
      </c>
      <c r="HTY364" s="373">
        <f>'Q100a-geral'!HTY887</f>
        <v>0</v>
      </c>
      <c r="HTZ364" s="373">
        <f>'Q100a-geral'!HTZ887</f>
        <v>0</v>
      </c>
      <c r="HUA364" s="373">
        <f>'Q100a-geral'!HUA887</f>
        <v>0</v>
      </c>
      <c r="HUB364" s="373">
        <f>'Q100a-geral'!HUB887</f>
        <v>0</v>
      </c>
      <c r="HUC364" s="373">
        <f>'Q100a-geral'!HUC887</f>
        <v>0</v>
      </c>
      <c r="HUD364" s="373">
        <f>'Q100a-geral'!HUD887</f>
        <v>0</v>
      </c>
      <c r="HUE364" s="373">
        <f>'Q100a-geral'!HUE887</f>
        <v>0</v>
      </c>
      <c r="HUF364" s="373">
        <f>'Q100a-geral'!HUF887</f>
        <v>0</v>
      </c>
      <c r="HUG364" s="373">
        <f>'Q100a-geral'!HUG887</f>
        <v>0</v>
      </c>
      <c r="HUH364" s="373">
        <f>'Q100a-geral'!HUH887</f>
        <v>0</v>
      </c>
      <c r="HUI364" s="373">
        <f>'Q100a-geral'!HUI887</f>
        <v>0</v>
      </c>
      <c r="HUJ364" s="373">
        <f>'Q100a-geral'!HUJ887</f>
        <v>0</v>
      </c>
      <c r="HUK364" s="373">
        <f>'Q100a-geral'!HUK887</f>
        <v>0</v>
      </c>
      <c r="HUL364" s="373">
        <f>'Q100a-geral'!HUL887</f>
        <v>0</v>
      </c>
      <c r="HUM364" s="373">
        <f>'Q100a-geral'!HUM887</f>
        <v>0</v>
      </c>
      <c r="HUN364" s="373">
        <f>'Q100a-geral'!HUN887</f>
        <v>0</v>
      </c>
      <c r="HUO364" s="373">
        <f>'Q100a-geral'!HUO887</f>
        <v>0</v>
      </c>
      <c r="HUP364" s="373">
        <f>'Q100a-geral'!HUP887</f>
        <v>0</v>
      </c>
      <c r="HUQ364" s="373">
        <f>'Q100a-geral'!HUQ887</f>
        <v>0</v>
      </c>
      <c r="HUR364" s="373">
        <f>'Q100a-geral'!HUR887</f>
        <v>0</v>
      </c>
      <c r="HUS364" s="373">
        <f>'Q100a-geral'!HUS887</f>
        <v>0</v>
      </c>
      <c r="HUT364" s="373">
        <f>'Q100a-geral'!HUT887</f>
        <v>0</v>
      </c>
      <c r="HUU364" s="373">
        <f>'Q100a-geral'!HUU887</f>
        <v>0</v>
      </c>
      <c r="HUV364" s="373">
        <f>'Q100a-geral'!HUV887</f>
        <v>0</v>
      </c>
      <c r="HUW364" s="373">
        <f>'Q100a-geral'!HUW887</f>
        <v>0</v>
      </c>
      <c r="HUX364" s="373">
        <f>'Q100a-geral'!HUX887</f>
        <v>0</v>
      </c>
      <c r="HUY364" s="373">
        <f>'Q100a-geral'!HUY887</f>
        <v>0</v>
      </c>
      <c r="HUZ364" s="373">
        <f>'Q100a-geral'!HUZ887</f>
        <v>0</v>
      </c>
      <c r="HVA364" s="373">
        <f>'Q100a-geral'!HVA887</f>
        <v>0</v>
      </c>
      <c r="HVB364" s="373">
        <f>'Q100a-geral'!HVB887</f>
        <v>0</v>
      </c>
      <c r="HVC364" s="373">
        <f>'Q100a-geral'!HVC887</f>
        <v>0</v>
      </c>
      <c r="HVD364" s="373">
        <f>'Q100a-geral'!HVD887</f>
        <v>0</v>
      </c>
      <c r="HVE364" s="373">
        <f>'Q100a-geral'!HVE887</f>
        <v>0</v>
      </c>
      <c r="HVF364" s="373">
        <f>'Q100a-geral'!HVF887</f>
        <v>0</v>
      </c>
      <c r="HVG364" s="373">
        <f>'Q100a-geral'!HVG887</f>
        <v>0</v>
      </c>
      <c r="HVH364" s="373">
        <f>'Q100a-geral'!HVH887</f>
        <v>0</v>
      </c>
      <c r="HVI364" s="373">
        <f>'Q100a-geral'!HVI887</f>
        <v>0</v>
      </c>
      <c r="HVJ364" s="373">
        <f>'Q100a-geral'!HVJ887</f>
        <v>0</v>
      </c>
      <c r="HVK364" s="373">
        <f>'Q100a-geral'!HVK887</f>
        <v>0</v>
      </c>
      <c r="HVL364" s="373">
        <f>'Q100a-geral'!HVL887</f>
        <v>0</v>
      </c>
      <c r="HVM364" s="373">
        <f>'Q100a-geral'!HVM887</f>
        <v>0</v>
      </c>
      <c r="HVN364" s="373">
        <f>'Q100a-geral'!HVN887</f>
        <v>0</v>
      </c>
      <c r="HVO364" s="373">
        <f>'Q100a-geral'!HVO887</f>
        <v>0</v>
      </c>
      <c r="HVP364" s="373">
        <f>'Q100a-geral'!HVP887</f>
        <v>0</v>
      </c>
      <c r="HVQ364" s="373">
        <f>'Q100a-geral'!HVQ887</f>
        <v>0</v>
      </c>
      <c r="HVR364" s="373">
        <f>'Q100a-geral'!HVR887</f>
        <v>0</v>
      </c>
      <c r="HVS364" s="373">
        <f>'Q100a-geral'!HVS887</f>
        <v>0</v>
      </c>
      <c r="HVT364" s="373">
        <f>'Q100a-geral'!HVT887</f>
        <v>0</v>
      </c>
      <c r="HVU364" s="373">
        <f>'Q100a-geral'!HVU887</f>
        <v>0</v>
      </c>
      <c r="HVV364" s="373">
        <f>'Q100a-geral'!HVV887</f>
        <v>0</v>
      </c>
      <c r="HVW364" s="373">
        <f>'Q100a-geral'!HVW887</f>
        <v>0</v>
      </c>
      <c r="HVX364" s="373">
        <f>'Q100a-geral'!HVX887</f>
        <v>0</v>
      </c>
      <c r="HVY364" s="373">
        <f>'Q100a-geral'!HVY887</f>
        <v>0</v>
      </c>
      <c r="HVZ364" s="373">
        <f>'Q100a-geral'!HVZ887</f>
        <v>0</v>
      </c>
      <c r="HWA364" s="373">
        <f>'Q100a-geral'!HWA887</f>
        <v>0</v>
      </c>
      <c r="HWB364" s="373">
        <f>'Q100a-geral'!HWB887</f>
        <v>0</v>
      </c>
      <c r="HWC364" s="373">
        <f>'Q100a-geral'!HWC887</f>
        <v>0</v>
      </c>
      <c r="HWD364" s="373">
        <f>'Q100a-geral'!HWD887</f>
        <v>0</v>
      </c>
      <c r="HWE364" s="373">
        <f>'Q100a-geral'!HWE887</f>
        <v>0</v>
      </c>
      <c r="HWF364" s="373">
        <f>'Q100a-geral'!HWF887</f>
        <v>0</v>
      </c>
      <c r="HWG364" s="373">
        <f>'Q100a-geral'!HWG887</f>
        <v>0</v>
      </c>
      <c r="HWH364" s="373">
        <f>'Q100a-geral'!HWH887</f>
        <v>0</v>
      </c>
      <c r="HWI364" s="373">
        <f>'Q100a-geral'!HWI887</f>
        <v>0</v>
      </c>
      <c r="HWJ364" s="373">
        <f>'Q100a-geral'!HWJ887</f>
        <v>0</v>
      </c>
      <c r="HWK364" s="373">
        <f>'Q100a-geral'!HWK887</f>
        <v>0</v>
      </c>
      <c r="HWL364" s="373">
        <f>'Q100a-geral'!HWL887</f>
        <v>0</v>
      </c>
      <c r="HWM364" s="373">
        <f>'Q100a-geral'!HWM887</f>
        <v>0</v>
      </c>
      <c r="HWN364" s="373">
        <f>'Q100a-geral'!HWN887</f>
        <v>0</v>
      </c>
      <c r="HWO364" s="373">
        <f>'Q100a-geral'!HWO887</f>
        <v>0</v>
      </c>
      <c r="HWP364" s="373">
        <f>'Q100a-geral'!HWP887</f>
        <v>0</v>
      </c>
      <c r="HWQ364" s="373">
        <f>'Q100a-geral'!HWQ887</f>
        <v>0</v>
      </c>
      <c r="HWR364" s="373">
        <f>'Q100a-geral'!HWR887</f>
        <v>0</v>
      </c>
      <c r="HWS364" s="373">
        <f>'Q100a-geral'!HWS887</f>
        <v>0</v>
      </c>
      <c r="HWT364" s="373">
        <f>'Q100a-geral'!HWT887</f>
        <v>0</v>
      </c>
      <c r="HWU364" s="373">
        <f>'Q100a-geral'!HWU887</f>
        <v>0</v>
      </c>
      <c r="HWV364" s="373">
        <f>'Q100a-geral'!HWV887</f>
        <v>0</v>
      </c>
      <c r="HWW364" s="373">
        <f>'Q100a-geral'!HWW887</f>
        <v>0</v>
      </c>
      <c r="HWX364" s="373">
        <f>'Q100a-geral'!HWX887</f>
        <v>0</v>
      </c>
      <c r="HWY364" s="373">
        <f>'Q100a-geral'!HWY887</f>
        <v>0</v>
      </c>
      <c r="HWZ364" s="373">
        <f>'Q100a-geral'!HWZ887</f>
        <v>0</v>
      </c>
      <c r="HXA364" s="373">
        <f>'Q100a-geral'!HXA887</f>
        <v>0</v>
      </c>
      <c r="HXB364" s="373">
        <f>'Q100a-geral'!HXB887</f>
        <v>0</v>
      </c>
      <c r="HXC364" s="373">
        <f>'Q100a-geral'!HXC887</f>
        <v>0</v>
      </c>
      <c r="HXD364" s="373">
        <f>'Q100a-geral'!HXD887</f>
        <v>0</v>
      </c>
      <c r="HXE364" s="373">
        <f>'Q100a-geral'!HXE887</f>
        <v>0</v>
      </c>
      <c r="HXF364" s="373">
        <f>'Q100a-geral'!HXF887</f>
        <v>0</v>
      </c>
      <c r="HXG364" s="373">
        <f>'Q100a-geral'!HXG887</f>
        <v>0</v>
      </c>
      <c r="HXH364" s="373">
        <f>'Q100a-geral'!HXH887</f>
        <v>0</v>
      </c>
      <c r="HXI364" s="373">
        <f>'Q100a-geral'!HXI887</f>
        <v>0</v>
      </c>
      <c r="HXJ364" s="373">
        <f>'Q100a-geral'!HXJ887</f>
        <v>0</v>
      </c>
      <c r="HXK364" s="373">
        <f>'Q100a-geral'!HXK887</f>
        <v>0</v>
      </c>
      <c r="HXL364" s="373">
        <f>'Q100a-geral'!HXL887</f>
        <v>0</v>
      </c>
      <c r="HXM364" s="373">
        <f>'Q100a-geral'!HXM887</f>
        <v>0</v>
      </c>
      <c r="HXN364" s="373">
        <f>'Q100a-geral'!HXN887</f>
        <v>0</v>
      </c>
      <c r="HXO364" s="373">
        <f>'Q100a-geral'!HXO887</f>
        <v>0</v>
      </c>
      <c r="HXP364" s="373">
        <f>'Q100a-geral'!HXP887</f>
        <v>0</v>
      </c>
      <c r="HXQ364" s="373">
        <f>'Q100a-geral'!HXQ887</f>
        <v>0</v>
      </c>
      <c r="HXR364" s="373">
        <f>'Q100a-geral'!HXR887</f>
        <v>0</v>
      </c>
      <c r="HXS364" s="373">
        <f>'Q100a-geral'!HXS887</f>
        <v>0</v>
      </c>
      <c r="HXT364" s="373">
        <f>'Q100a-geral'!HXT887</f>
        <v>0</v>
      </c>
      <c r="HXU364" s="373">
        <f>'Q100a-geral'!HXU887</f>
        <v>0</v>
      </c>
      <c r="HXV364" s="373">
        <f>'Q100a-geral'!HXV887</f>
        <v>0</v>
      </c>
      <c r="HXW364" s="373">
        <f>'Q100a-geral'!HXW887</f>
        <v>0</v>
      </c>
      <c r="HXX364" s="373">
        <f>'Q100a-geral'!HXX887</f>
        <v>0</v>
      </c>
      <c r="HXY364" s="373">
        <f>'Q100a-geral'!HXY887</f>
        <v>0</v>
      </c>
      <c r="HXZ364" s="373">
        <f>'Q100a-geral'!HXZ887</f>
        <v>0</v>
      </c>
      <c r="HYA364" s="373">
        <f>'Q100a-geral'!HYA887</f>
        <v>0</v>
      </c>
      <c r="HYB364" s="373">
        <f>'Q100a-geral'!HYB887</f>
        <v>0</v>
      </c>
      <c r="HYC364" s="373">
        <f>'Q100a-geral'!HYC887</f>
        <v>0</v>
      </c>
      <c r="HYD364" s="373">
        <f>'Q100a-geral'!HYD887</f>
        <v>0</v>
      </c>
      <c r="HYE364" s="373">
        <f>'Q100a-geral'!HYE887</f>
        <v>0</v>
      </c>
      <c r="HYF364" s="373">
        <f>'Q100a-geral'!HYF887</f>
        <v>0</v>
      </c>
      <c r="HYG364" s="373">
        <f>'Q100a-geral'!HYG887</f>
        <v>0</v>
      </c>
      <c r="HYH364" s="373">
        <f>'Q100a-geral'!HYH887</f>
        <v>0</v>
      </c>
      <c r="HYI364" s="373">
        <f>'Q100a-geral'!HYI887</f>
        <v>0</v>
      </c>
      <c r="HYJ364" s="373">
        <f>'Q100a-geral'!HYJ887</f>
        <v>0</v>
      </c>
      <c r="HYK364" s="373">
        <f>'Q100a-geral'!HYK887</f>
        <v>0</v>
      </c>
      <c r="HYL364" s="373">
        <f>'Q100a-geral'!HYL887</f>
        <v>0</v>
      </c>
      <c r="HYM364" s="373">
        <f>'Q100a-geral'!HYM887</f>
        <v>0</v>
      </c>
      <c r="HYN364" s="373">
        <f>'Q100a-geral'!HYN887</f>
        <v>0</v>
      </c>
      <c r="HYO364" s="373">
        <f>'Q100a-geral'!HYO887</f>
        <v>0</v>
      </c>
      <c r="HYP364" s="373">
        <f>'Q100a-geral'!HYP887</f>
        <v>0</v>
      </c>
      <c r="HYQ364" s="373">
        <f>'Q100a-geral'!HYQ887</f>
        <v>0</v>
      </c>
      <c r="HYR364" s="373">
        <f>'Q100a-geral'!HYR887</f>
        <v>0</v>
      </c>
      <c r="HYS364" s="373">
        <f>'Q100a-geral'!HYS887</f>
        <v>0</v>
      </c>
      <c r="HYT364" s="373">
        <f>'Q100a-geral'!HYT887</f>
        <v>0</v>
      </c>
      <c r="HYU364" s="373">
        <f>'Q100a-geral'!HYU887</f>
        <v>0</v>
      </c>
      <c r="HYV364" s="373">
        <f>'Q100a-geral'!HYV887</f>
        <v>0</v>
      </c>
      <c r="HYW364" s="373">
        <f>'Q100a-geral'!HYW887</f>
        <v>0</v>
      </c>
      <c r="HYX364" s="373">
        <f>'Q100a-geral'!HYX887</f>
        <v>0</v>
      </c>
      <c r="HYY364" s="373">
        <f>'Q100a-geral'!HYY887</f>
        <v>0</v>
      </c>
      <c r="HYZ364" s="373">
        <f>'Q100a-geral'!HYZ887</f>
        <v>0</v>
      </c>
      <c r="HZA364" s="373">
        <f>'Q100a-geral'!HZA887</f>
        <v>0</v>
      </c>
      <c r="HZB364" s="373">
        <f>'Q100a-geral'!HZB887</f>
        <v>0</v>
      </c>
      <c r="HZC364" s="373">
        <f>'Q100a-geral'!HZC887</f>
        <v>0</v>
      </c>
      <c r="HZD364" s="373">
        <f>'Q100a-geral'!HZD887</f>
        <v>0</v>
      </c>
      <c r="HZE364" s="373">
        <f>'Q100a-geral'!HZE887</f>
        <v>0</v>
      </c>
      <c r="HZF364" s="373">
        <f>'Q100a-geral'!HZF887</f>
        <v>0</v>
      </c>
      <c r="HZG364" s="373">
        <f>'Q100a-geral'!HZG887</f>
        <v>0</v>
      </c>
      <c r="HZH364" s="373">
        <f>'Q100a-geral'!HZH887</f>
        <v>0</v>
      </c>
      <c r="HZI364" s="373">
        <f>'Q100a-geral'!HZI887</f>
        <v>0</v>
      </c>
      <c r="HZJ364" s="373">
        <f>'Q100a-geral'!HZJ887</f>
        <v>0</v>
      </c>
      <c r="HZK364" s="373">
        <f>'Q100a-geral'!HZK887</f>
        <v>0</v>
      </c>
      <c r="HZL364" s="373">
        <f>'Q100a-geral'!HZL887</f>
        <v>0</v>
      </c>
      <c r="HZM364" s="373">
        <f>'Q100a-geral'!HZM887</f>
        <v>0</v>
      </c>
      <c r="HZN364" s="373">
        <f>'Q100a-geral'!HZN887</f>
        <v>0</v>
      </c>
      <c r="HZO364" s="373">
        <f>'Q100a-geral'!HZO887</f>
        <v>0</v>
      </c>
      <c r="HZP364" s="373">
        <f>'Q100a-geral'!HZP887</f>
        <v>0</v>
      </c>
      <c r="HZQ364" s="373">
        <f>'Q100a-geral'!HZQ887</f>
        <v>0</v>
      </c>
      <c r="HZR364" s="373">
        <f>'Q100a-geral'!HZR887</f>
        <v>0</v>
      </c>
      <c r="HZS364" s="373">
        <f>'Q100a-geral'!HZS887</f>
        <v>0</v>
      </c>
      <c r="HZT364" s="373">
        <f>'Q100a-geral'!HZT887</f>
        <v>0</v>
      </c>
      <c r="HZU364" s="373">
        <f>'Q100a-geral'!HZU887</f>
        <v>0</v>
      </c>
      <c r="HZV364" s="373">
        <f>'Q100a-geral'!HZV887</f>
        <v>0</v>
      </c>
      <c r="HZW364" s="373">
        <f>'Q100a-geral'!HZW887</f>
        <v>0</v>
      </c>
      <c r="HZX364" s="373">
        <f>'Q100a-geral'!HZX887</f>
        <v>0</v>
      </c>
      <c r="HZY364" s="373">
        <f>'Q100a-geral'!HZY887</f>
        <v>0</v>
      </c>
      <c r="HZZ364" s="373">
        <f>'Q100a-geral'!HZZ887</f>
        <v>0</v>
      </c>
      <c r="IAA364" s="373">
        <f>'Q100a-geral'!IAA887</f>
        <v>0</v>
      </c>
      <c r="IAB364" s="373">
        <f>'Q100a-geral'!IAB887</f>
        <v>0</v>
      </c>
      <c r="IAC364" s="373">
        <f>'Q100a-geral'!IAC887</f>
        <v>0</v>
      </c>
      <c r="IAD364" s="373">
        <f>'Q100a-geral'!IAD887</f>
        <v>0</v>
      </c>
      <c r="IAE364" s="373">
        <f>'Q100a-geral'!IAE887</f>
        <v>0</v>
      </c>
      <c r="IAF364" s="373">
        <f>'Q100a-geral'!IAF887</f>
        <v>0</v>
      </c>
      <c r="IAG364" s="373">
        <f>'Q100a-geral'!IAG887</f>
        <v>0</v>
      </c>
      <c r="IAH364" s="373">
        <f>'Q100a-geral'!IAH887</f>
        <v>0</v>
      </c>
      <c r="IAI364" s="373">
        <f>'Q100a-geral'!IAI887</f>
        <v>0</v>
      </c>
      <c r="IAJ364" s="373">
        <f>'Q100a-geral'!IAJ887</f>
        <v>0</v>
      </c>
      <c r="IAK364" s="373">
        <f>'Q100a-geral'!IAK887</f>
        <v>0</v>
      </c>
      <c r="IAL364" s="373">
        <f>'Q100a-geral'!IAL887</f>
        <v>0</v>
      </c>
      <c r="IAM364" s="373">
        <f>'Q100a-geral'!IAM887</f>
        <v>0</v>
      </c>
      <c r="IAN364" s="373">
        <f>'Q100a-geral'!IAN887</f>
        <v>0</v>
      </c>
      <c r="IAO364" s="373">
        <f>'Q100a-geral'!IAO887</f>
        <v>0</v>
      </c>
      <c r="IAP364" s="373">
        <f>'Q100a-geral'!IAP887</f>
        <v>0</v>
      </c>
      <c r="IAQ364" s="373">
        <f>'Q100a-geral'!IAQ887</f>
        <v>0</v>
      </c>
      <c r="IAR364" s="373">
        <f>'Q100a-geral'!IAR887</f>
        <v>0</v>
      </c>
      <c r="IAS364" s="373">
        <f>'Q100a-geral'!IAS887</f>
        <v>0</v>
      </c>
      <c r="IAT364" s="373">
        <f>'Q100a-geral'!IAT887</f>
        <v>0</v>
      </c>
      <c r="IAU364" s="373">
        <f>'Q100a-geral'!IAU887</f>
        <v>0</v>
      </c>
      <c r="IAV364" s="373">
        <f>'Q100a-geral'!IAV887</f>
        <v>0</v>
      </c>
      <c r="IAW364" s="373">
        <f>'Q100a-geral'!IAW887</f>
        <v>0</v>
      </c>
      <c r="IAX364" s="373">
        <f>'Q100a-geral'!IAX887</f>
        <v>0</v>
      </c>
      <c r="IAY364" s="373">
        <f>'Q100a-geral'!IAY887</f>
        <v>0</v>
      </c>
      <c r="IAZ364" s="373">
        <f>'Q100a-geral'!IAZ887</f>
        <v>0</v>
      </c>
      <c r="IBA364" s="373">
        <f>'Q100a-geral'!IBA887</f>
        <v>0</v>
      </c>
      <c r="IBB364" s="373">
        <f>'Q100a-geral'!IBB887</f>
        <v>0</v>
      </c>
      <c r="IBC364" s="373">
        <f>'Q100a-geral'!IBC887</f>
        <v>0</v>
      </c>
      <c r="IBD364" s="373">
        <f>'Q100a-geral'!IBD887</f>
        <v>0</v>
      </c>
      <c r="IBE364" s="373">
        <f>'Q100a-geral'!IBE887</f>
        <v>0</v>
      </c>
      <c r="IBF364" s="373">
        <f>'Q100a-geral'!IBF887</f>
        <v>0</v>
      </c>
      <c r="IBG364" s="373">
        <f>'Q100a-geral'!IBG887</f>
        <v>0</v>
      </c>
      <c r="IBH364" s="373">
        <f>'Q100a-geral'!IBH887</f>
        <v>0</v>
      </c>
      <c r="IBI364" s="373">
        <f>'Q100a-geral'!IBI887</f>
        <v>0</v>
      </c>
      <c r="IBJ364" s="373">
        <f>'Q100a-geral'!IBJ887</f>
        <v>0</v>
      </c>
      <c r="IBK364" s="373">
        <f>'Q100a-geral'!IBK887</f>
        <v>0</v>
      </c>
      <c r="IBL364" s="373">
        <f>'Q100a-geral'!IBL887</f>
        <v>0</v>
      </c>
      <c r="IBM364" s="373">
        <f>'Q100a-geral'!IBM887</f>
        <v>0</v>
      </c>
      <c r="IBN364" s="373">
        <f>'Q100a-geral'!IBN887</f>
        <v>0</v>
      </c>
      <c r="IBO364" s="373">
        <f>'Q100a-geral'!IBO887</f>
        <v>0</v>
      </c>
      <c r="IBP364" s="373">
        <f>'Q100a-geral'!IBP887</f>
        <v>0</v>
      </c>
      <c r="IBQ364" s="373">
        <f>'Q100a-geral'!IBQ887</f>
        <v>0</v>
      </c>
      <c r="IBR364" s="373">
        <f>'Q100a-geral'!IBR887</f>
        <v>0</v>
      </c>
      <c r="IBS364" s="373">
        <f>'Q100a-geral'!IBS887</f>
        <v>0</v>
      </c>
      <c r="IBT364" s="373">
        <f>'Q100a-geral'!IBT887</f>
        <v>0</v>
      </c>
      <c r="IBU364" s="373">
        <f>'Q100a-geral'!IBU887</f>
        <v>0</v>
      </c>
      <c r="IBV364" s="373">
        <f>'Q100a-geral'!IBV887</f>
        <v>0</v>
      </c>
      <c r="IBW364" s="373">
        <f>'Q100a-geral'!IBW887</f>
        <v>0</v>
      </c>
      <c r="IBX364" s="373">
        <f>'Q100a-geral'!IBX887</f>
        <v>0</v>
      </c>
      <c r="IBY364" s="373">
        <f>'Q100a-geral'!IBY887</f>
        <v>0</v>
      </c>
      <c r="IBZ364" s="373">
        <f>'Q100a-geral'!IBZ887</f>
        <v>0</v>
      </c>
      <c r="ICA364" s="373">
        <f>'Q100a-geral'!ICA887</f>
        <v>0</v>
      </c>
      <c r="ICB364" s="373">
        <f>'Q100a-geral'!ICB887</f>
        <v>0</v>
      </c>
      <c r="ICC364" s="373">
        <f>'Q100a-geral'!ICC887</f>
        <v>0</v>
      </c>
      <c r="ICD364" s="373">
        <f>'Q100a-geral'!ICD887</f>
        <v>0</v>
      </c>
      <c r="ICE364" s="373">
        <f>'Q100a-geral'!ICE887</f>
        <v>0</v>
      </c>
      <c r="ICF364" s="373">
        <f>'Q100a-geral'!ICF887</f>
        <v>0</v>
      </c>
      <c r="ICG364" s="373">
        <f>'Q100a-geral'!ICG887</f>
        <v>0</v>
      </c>
      <c r="ICH364" s="373">
        <f>'Q100a-geral'!ICH887</f>
        <v>0</v>
      </c>
      <c r="ICI364" s="373">
        <f>'Q100a-geral'!ICI887</f>
        <v>0</v>
      </c>
      <c r="ICJ364" s="373">
        <f>'Q100a-geral'!ICJ887</f>
        <v>0</v>
      </c>
      <c r="ICK364" s="373">
        <f>'Q100a-geral'!ICK887</f>
        <v>0</v>
      </c>
      <c r="ICL364" s="373">
        <f>'Q100a-geral'!ICL887</f>
        <v>0</v>
      </c>
      <c r="ICM364" s="373">
        <f>'Q100a-geral'!ICM887</f>
        <v>0</v>
      </c>
      <c r="ICN364" s="373">
        <f>'Q100a-geral'!ICN887</f>
        <v>0</v>
      </c>
      <c r="ICO364" s="373">
        <f>'Q100a-geral'!ICO887</f>
        <v>0</v>
      </c>
      <c r="ICP364" s="373">
        <f>'Q100a-geral'!ICP887</f>
        <v>0</v>
      </c>
      <c r="ICQ364" s="373">
        <f>'Q100a-geral'!ICQ887</f>
        <v>0</v>
      </c>
      <c r="ICR364" s="373">
        <f>'Q100a-geral'!ICR887</f>
        <v>0</v>
      </c>
      <c r="ICS364" s="373">
        <f>'Q100a-geral'!ICS887</f>
        <v>0</v>
      </c>
      <c r="ICT364" s="373">
        <f>'Q100a-geral'!ICT887</f>
        <v>0</v>
      </c>
      <c r="ICU364" s="373">
        <f>'Q100a-geral'!ICU887</f>
        <v>0</v>
      </c>
      <c r="ICV364" s="373">
        <f>'Q100a-geral'!ICV887</f>
        <v>0</v>
      </c>
      <c r="ICW364" s="373">
        <f>'Q100a-geral'!ICW887</f>
        <v>0</v>
      </c>
      <c r="ICX364" s="373">
        <f>'Q100a-geral'!ICX887</f>
        <v>0</v>
      </c>
      <c r="ICY364" s="373">
        <f>'Q100a-geral'!ICY887</f>
        <v>0</v>
      </c>
      <c r="ICZ364" s="373">
        <f>'Q100a-geral'!ICZ887</f>
        <v>0</v>
      </c>
      <c r="IDA364" s="373">
        <f>'Q100a-geral'!IDA887</f>
        <v>0</v>
      </c>
      <c r="IDB364" s="373">
        <f>'Q100a-geral'!IDB887</f>
        <v>0</v>
      </c>
      <c r="IDC364" s="373">
        <f>'Q100a-geral'!IDC887</f>
        <v>0</v>
      </c>
      <c r="IDD364" s="373">
        <f>'Q100a-geral'!IDD887</f>
        <v>0</v>
      </c>
      <c r="IDE364" s="373">
        <f>'Q100a-geral'!IDE887</f>
        <v>0</v>
      </c>
      <c r="IDF364" s="373">
        <f>'Q100a-geral'!IDF887</f>
        <v>0</v>
      </c>
      <c r="IDG364" s="373">
        <f>'Q100a-geral'!IDG887</f>
        <v>0</v>
      </c>
      <c r="IDH364" s="373">
        <f>'Q100a-geral'!IDH887</f>
        <v>0</v>
      </c>
      <c r="IDI364" s="373">
        <f>'Q100a-geral'!IDI887</f>
        <v>0</v>
      </c>
      <c r="IDJ364" s="373">
        <f>'Q100a-geral'!IDJ887</f>
        <v>0</v>
      </c>
      <c r="IDK364" s="373">
        <f>'Q100a-geral'!IDK887</f>
        <v>0</v>
      </c>
      <c r="IDL364" s="373">
        <f>'Q100a-geral'!IDL887</f>
        <v>0</v>
      </c>
      <c r="IDM364" s="373">
        <f>'Q100a-geral'!IDM887</f>
        <v>0</v>
      </c>
      <c r="IDN364" s="373">
        <f>'Q100a-geral'!IDN887</f>
        <v>0</v>
      </c>
      <c r="IDO364" s="373">
        <f>'Q100a-geral'!IDO887</f>
        <v>0</v>
      </c>
      <c r="IDP364" s="373">
        <f>'Q100a-geral'!IDP887</f>
        <v>0</v>
      </c>
      <c r="IDQ364" s="373">
        <f>'Q100a-geral'!IDQ887</f>
        <v>0</v>
      </c>
      <c r="IDR364" s="373">
        <f>'Q100a-geral'!IDR887</f>
        <v>0</v>
      </c>
      <c r="IDS364" s="373">
        <f>'Q100a-geral'!IDS887</f>
        <v>0</v>
      </c>
      <c r="IDT364" s="373">
        <f>'Q100a-geral'!IDT887</f>
        <v>0</v>
      </c>
      <c r="IDU364" s="373">
        <f>'Q100a-geral'!IDU887</f>
        <v>0</v>
      </c>
      <c r="IDV364" s="373">
        <f>'Q100a-geral'!IDV887</f>
        <v>0</v>
      </c>
      <c r="IDW364" s="373">
        <f>'Q100a-geral'!IDW887</f>
        <v>0</v>
      </c>
      <c r="IDX364" s="373">
        <f>'Q100a-geral'!IDX887</f>
        <v>0</v>
      </c>
      <c r="IDY364" s="373">
        <f>'Q100a-geral'!IDY887</f>
        <v>0</v>
      </c>
      <c r="IDZ364" s="373">
        <f>'Q100a-geral'!IDZ887</f>
        <v>0</v>
      </c>
      <c r="IEA364" s="373">
        <f>'Q100a-geral'!IEA887</f>
        <v>0</v>
      </c>
      <c r="IEB364" s="373">
        <f>'Q100a-geral'!IEB887</f>
        <v>0</v>
      </c>
      <c r="IEC364" s="373">
        <f>'Q100a-geral'!IEC887</f>
        <v>0</v>
      </c>
      <c r="IED364" s="373">
        <f>'Q100a-geral'!IED887</f>
        <v>0</v>
      </c>
      <c r="IEE364" s="373">
        <f>'Q100a-geral'!IEE887</f>
        <v>0</v>
      </c>
      <c r="IEF364" s="373">
        <f>'Q100a-geral'!IEF887</f>
        <v>0</v>
      </c>
      <c r="IEG364" s="373">
        <f>'Q100a-geral'!IEG887</f>
        <v>0</v>
      </c>
      <c r="IEH364" s="373">
        <f>'Q100a-geral'!IEH887</f>
        <v>0</v>
      </c>
      <c r="IEI364" s="373">
        <f>'Q100a-geral'!IEI887</f>
        <v>0</v>
      </c>
      <c r="IEJ364" s="373">
        <f>'Q100a-geral'!IEJ887</f>
        <v>0</v>
      </c>
      <c r="IEK364" s="373">
        <f>'Q100a-geral'!IEK887</f>
        <v>0</v>
      </c>
      <c r="IEL364" s="373">
        <f>'Q100a-geral'!IEL887</f>
        <v>0</v>
      </c>
      <c r="IEM364" s="373">
        <f>'Q100a-geral'!IEM887</f>
        <v>0</v>
      </c>
      <c r="IEN364" s="373">
        <f>'Q100a-geral'!IEN887</f>
        <v>0</v>
      </c>
      <c r="IEO364" s="373">
        <f>'Q100a-geral'!IEO887</f>
        <v>0</v>
      </c>
      <c r="IEP364" s="373">
        <f>'Q100a-geral'!IEP887</f>
        <v>0</v>
      </c>
      <c r="IEQ364" s="373">
        <f>'Q100a-geral'!IEQ887</f>
        <v>0</v>
      </c>
      <c r="IER364" s="373">
        <f>'Q100a-geral'!IER887</f>
        <v>0</v>
      </c>
      <c r="IES364" s="373">
        <f>'Q100a-geral'!IES887</f>
        <v>0</v>
      </c>
      <c r="IET364" s="373">
        <f>'Q100a-geral'!IET887</f>
        <v>0</v>
      </c>
      <c r="IEU364" s="373">
        <f>'Q100a-geral'!IEU887</f>
        <v>0</v>
      </c>
      <c r="IEV364" s="373">
        <f>'Q100a-geral'!IEV887</f>
        <v>0</v>
      </c>
      <c r="IEW364" s="373">
        <f>'Q100a-geral'!IEW887</f>
        <v>0</v>
      </c>
      <c r="IEX364" s="373">
        <f>'Q100a-geral'!IEX887</f>
        <v>0</v>
      </c>
      <c r="IEY364" s="373">
        <f>'Q100a-geral'!IEY887</f>
        <v>0</v>
      </c>
      <c r="IEZ364" s="373">
        <f>'Q100a-geral'!IEZ887</f>
        <v>0</v>
      </c>
      <c r="IFA364" s="373">
        <f>'Q100a-geral'!IFA887</f>
        <v>0</v>
      </c>
      <c r="IFB364" s="373">
        <f>'Q100a-geral'!IFB887</f>
        <v>0</v>
      </c>
      <c r="IFC364" s="373">
        <f>'Q100a-geral'!IFC887</f>
        <v>0</v>
      </c>
      <c r="IFD364" s="373">
        <f>'Q100a-geral'!IFD887</f>
        <v>0</v>
      </c>
      <c r="IFE364" s="373">
        <f>'Q100a-geral'!IFE887</f>
        <v>0</v>
      </c>
      <c r="IFF364" s="373">
        <f>'Q100a-geral'!IFF887</f>
        <v>0</v>
      </c>
      <c r="IFG364" s="373">
        <f>'Q100a-geral'!IFG887</f>
        <v>0</v>
      </c>
      <c r="IFH364" s="373">
        <f>'Q100a-geral'!IFH887</f>
        <v>0</v>
      </c>
      <c r="IFI364" s="373">
        <f>'Q100a-geral'!IFI887</f>
        <v>0</v>
      </c>
      <c r="IFJ364" s="373">
        <f>'Q100a-geral'!IFJ887</f>
        <v>0</v>
      </c>
      <c r="IFK364" s="373">
        <f>'Q100a-geral'!IFK887</f>
        <v>0</v>
      </c>
      <c r="IFL364" s="373">
        <f>'Q100a-geral'!IFL887</f>
        <v>0</v>
      </c>
      <c r="IFM364" s="373">
        <f>'Q100a-geral'!IFM887</f>
        <v>0</v>
      </c>
      <c r="IFN364" s="373">
        <f>'Q100a-geral'!IFN887</f>
        <v>0</v>
      </c>
      <c r="IFO364" s="373">
        <f>'Q100a-geral'!IFO887</f>
        <v>0</v>
      </c>
      <c r="IFP364" s="373">
        <f>'Q100a-geral'!IFP887</f>
        <v>0</v>
      </c>
      <c r="IFQ364" s="373">
        <f>'Q100a-geral'!IFQ887</f>
        <v>0</v>
      </c>
      <c r="IFR364" s="373">
        <f>'Q100a-geral'!IFR887</f>
        <v>0</v>
      </c>
      <c r="IFS364" s="373">
        <f>'Q100a-geral'!IFS887</f>
        <v>0</v>
      </c>
      <c r="IFT364" s="373">
        <f>'Q100a-geral'!IFT887</f>
        <v>0</v>
      </c>
      <c r="IFU364" s="373">
        <f>'Q100a-geral'!IFU887</f>
        <v>0</v>
      </c>
      <c r="IFV364" s="373">
        <f>'Q100a-geral'!IFV887</f>
        <v>0</v>
      </c>
      <c r="IFW364" s="373">
        <f>'Q100a-geral'!IFW887</f>
        <v>0</v>
      </c>
      <c r="IFX364" s="373">
        <f>'Q100a-geral'!IFX887</f>
        <v>0</v>
      </c>
      <c r="IFY364" s="373">
        <f>'Q100a-geral'!IFY887</f>
        <v>0</v>
      </c>
      <c r="IFZ364" s="373">
        <f>'Q100a-geral'!IFZ887</f>
        <v>0</v>
      </c>
      <c r="IGA364" s="373">
        <f>'Q100a-geral'!IGA887</f>
        <v>0</v>
      </c>
      <c r="IGB364" s="373">
        <f>'Q100a-geral'!IGB887</f>
        <v>0</v>
      </c>
      <c r="IGC364" s="373">
        <f>'Q100a-geral'!IGC887</f>
        <v>0</v>
      </c>
      <c r="IGD364" s="373">
        <f>'Q100a-geral'!IGD887</f>
        <v>0</v>
      </c>
      <c r="IGE364" s="373">
        <f>'Q100a-geral'!IGE887</f>
        <v>0</v>
      </c>
      <c r="IGF364" s="373">
        <f>'Q100a-geral'!IGF887</f>
        <v>0</v>
      </c>
      <c r="IGG364" s="373">
        <f>'Q100a-geral'!IGG887</f>
        <v>0</v>
      </c>
      <c r="IGH364" s="373">
        <f>'Q100a-geral'!IGH887</f>
        <v>0</v>
      </c>
      <c r="IGI364" s="373">
        <f>'Q100a-geral'!IGI887</f>
        <v>0</v>
      </c>
      <c r="IGJ364" s="373">
        <f>'Q100a-geral'!IGJ887</f>
        <v>0</v>
      </c>
      <c r="IGK364" s="373">
        <f>'Q100a-geral'!IGK887</f>
        <v>0</v>
      </c>
      <c r="IGL364" s="373">
        <f>'Q100a-geral'!IGL887</f>
        <v>0</v>
      </c>
      <c r="IGM364" s="373">
        <f>'Q100a-geral'!IGM887</f>
        <v>0</v>
      </c>
      <c r="IGN364" s="373">
        <f>'Q100a-geral'!IGN887</f>
        <v>0</v>
      </c>
      <c r="IGO364" s="373">
        <f>'Q100a-geral'!IGO887</f>
        <v>0</v>
      </c>
      <c r="IGP364" s="373">
        <f>'Q100a-geral'!IGP887</f>
        <v>0</v>
      </c>
      <c r="IGQ364" s="373">
        <f>'Q100a-geral'!IGQ887</f>
        <v>0</v>
      </c>
      <c r="IGR364" s="373">
        <f>'Q100a-geral'!IGR887</f>
        <v>0</v>
      </c>
      <c r="IGS364" s="373">
        <f>'Q100a-geral'!IGS887</f>
        <v>0</v>
      </c>
      <c r="IGT364" s="373">
        <f>'Q100a-geral'!IGT887</f>
        <v>0</v>
      </c>
      <c r="IGU364" s="373">
        <f>'Q100a-geral'!IGU887</f>
        <v>0</v>
      </c>
      <c r="IGV364" s="373">
        <f>'Q100a-geral'!IGV887</f>
        <v>0</v>
      </c>
      <c r="IGW364" s="373">
        <f>'Q100a-geral'!IGW887</f>
        <v>0</v>
      </c>
      <c r="IGX364" s="373">
        <f>'Q100a-geral'!IGX887</f>
        <v>0</v>
      </c>
      <c r="IGY364" s="373">
        <f>'Q100a-geral'!IGY887</f>
        <v>0</v>
      </c>
      <c r="IGZ364" s="373">
        <f>'Q100a-geral'!IGZ887</f>
        <v>0</v>
      </c>
      <c r="IHA364" s="373">
        <f>'Q100a-geral'!IHA887</f>
        <v>0</v>
      </c>
      <c r="IHB364" s="373">
        <f>'Q100a-geral'!IHB887</f>
        <v>0</v>
      </c>
      <c r="IHC364" s="373">
        <f>'Q100a-geral'!IHC887</f>
        <v>0</v>
      </c>
      <c r="IHD364" s="373">
        <f>'Q100a-geral'!IHD887</f>
        <v>0</v>
      </c>
      <c r="IHE364" s="373">
        <f>'Q100a-geral'!IHE887</f>
        <v>0</v>
      </c>
      <c r="IHF364" s="373">
        <f>'Q100a-geral'!IHF887</f>
        <v>0</v>
      </c>
      <c r="IHG364" s="373">
        <f>'Q100a-geral'!IHG887</f>
        <v>0</v>
      </c>
      <c r="IHH364" s="373">
        <f>'Q100a-geral'!IHH887</f>
        <v>0</v>
      </c>
      <c r="IHI364" s="373">
        <f>'Q100a-geral'!IHI887</f>
        <v>0</v>
      </c>
      <c r="IHJ364" s="373">
        <f>'Q100a-geral'!IHJ887</f>
        <v>0</v>
      </c>
      <c r="IHK364" s="373">
        <f>'Q100a-geral'!IHK887</f>
        <v>0</v>
      </c>
      <c r="IHL364" s="373">
        <f>'Q100a-geral'!IHL887</f>
        <v>0</v>
      </c>
      <c r="IHM364" s="373">
        <f>'Q100a-geral'!IHM887</f>
        <v>0</v>
      </c>
      <c r="IHN364" s="373">
        <f>'Q100a-geral'!IHN887</f>
        <v>0</v>
      </c>
      <c r="IHO364" s="373">
        <f>'Q100a-geral'!IHO887</f>
        <v>0</v>
      </c>
      <c r="IHP364" s="373">
        <f>'Q100a-geral'!IHP887</f>
        <v>0</v>
      </c>
      <c r="IHQ364" s="373">
        <f>'Q100a-geral'!IHQ887</f>
        <v>0</v>
      </c>
      <c r="IHR364" s="373">
        <f>'Q100a-geral'!IHR887</f>
        <v>0</v>
      </c>
      <c r="IHS364" s="373">
        <f>'Q100a-geral'!IHS887</f>
        <v>0</v>
      </c>
      <c r="IHT364" s="373">
        <f>'Q100a-geral'!IHT887</f>
        <v>0</v>
      </c>
      <c r="IHU364" s="373">
        <f>'Q100a-geral'!IHU887</f>
        <v>0</v>
      </c>
      <c r="IHV364" s="373">
        <f>'Q100a-geral'!IHV887</f>
        <v>0</v>
      </c>
      <c r="IHW364" s="373">
        <f>'Q100a-geral'!IHW887</f>
        <v>0</v>
      </c>
      <c r="IHX364" s="373">
        <f>'Q100a-geral'!IHX887</f>
        <v>0</v>
      </c>
      <c r="IHY364" s="373">
        <f>'Q100a-geral'!IHY887</f>
        <v>0</v>
      </c>
      <c r="IHZ364" s="373">
        <f>'Q100a-geral'!IHZ887</f>
        <v>0</v>
      </c>
      <c r="IIA364" s="373">
        <f>'Q100a-geral'!IIA887</f>
        <v>0</v>
      </c>
      <c r="IIB364" s="373">
        <f>'Q100a-geral'!IIB887</f>
        <v>0</v>
      </c>
      <c r="IIC364" s="373">
        <f>'Q100a-geral'!IIC887</f>
        <v>0</v>
      </c>
      <c r="IID364" s="373">
        <f>'Q100a-geral'!IID887</f>
        <v>0</v>
      </c>
      <c r="IIE364" s="373">
        <f>'Q100a-geral'!IIE887</f>
        <v>0</v>
      </c>
      <c r="IIF364" s="373">
        <f>'Q100a-geral'!IIF887</f>
        <v>0</v>
      </c>
      <c r="IIG364" s="373">
        <f>'Q100a-geral'!IIG887</f>
        <v>0</v>
      </c>
      <c r="IIH364" s="373">
        <f>'Q100a-geral'!IIH887</f>
        <v>0</v>
      </c>
      <c r="III364" s="373">
        <f>'Q100a-geral'!III887</f>
        <v>0</v>
      </c>
      <c r="IIJ364" s="373">
        <f>'Q100a-geral'!IIJ887</f>
        <v>0</v>
      </c>
      <c r="IIK364" s="373">
        <f>'Q100a-geral'!IIK887</f>
        <v>0</v>
      </c>
      <c r="IIL364" s="373">
        <f>'Q100a-geral'!IIL887</f>
        <v>0</v>
      </c>
      <c r="IIM364" s="373">
        <f>'Q100a-geral'!IIM887</f>
        <v>0</v>
      </c>
      <c r="IIN364" s="373">
        <f>'Q100a-geral'!IIN887</f>
        <v>0</v>
      </c>
      <c r="IIO364" s="373">
        <f>'Q100a-geral'!IIO887</f>
        <v>0</v>
      </c>
      <c r="IIP364" s="373">
        <f>'Q100a-geral'!IIP887</f>
        <v>0</v>
      </c>
      <c r="IIQ364" s="373">
        <f>'Q100a-geral'!IIQ887</f>
        <v>0</v>
      </c>
      <c r="IIR364" s="373">
        <f>'Q100a-geral'!IIR887</f>
        <v>0</v>
      </c>
      <c r="IIS364" s="373">
        <f>'Q100a-geral'!IIS887</f>
        <v>0</v>
      </c>
      <c r="IIT364" s="373">
        <f>'Q100a-geral'!IIT887</f>
        <v>0</v>
      </c>
      <c r="IIU364" s="373">
        <f>'Q100a-geral'!IIU887</f>
        <v>0</v>
      </c>
      <c r="IIV364" s="373">
        <f>'Q100a-geral'!IIV887</f>
        <v>0</v>
      </c>
      <c r="IIW364" s="373">
        <f>'Q100a-geral'!IIW887</f>
        <v>0</v>
      </c>
      <c r="IIX364" s="373">
        <f>'Q100a-geral'!IIX887</f>
        <v>0</v>
      </c>
      <c r="IIY364" s="373">
        <f>'Q100a-geral'!IIY887</f>
        <v>0</v>
      </c>
      <c r="IIZ364" s="373">
        <f>'Q100a-geral'!IIZ887</f>
        <v>0</v>
      </c>
      <c r="IJA364" s="373">
        <f>'Q100a-geral'!IJA887</f>
        <v>0</v>
      </c>
      <c r="IJB364" s="373">
        <f>'Q100a-geral'!IJB887</f>
        <v>0</v>
      </c>
      <c r="IJC364" s="373">
        <f>'Q100a-geral'!IJC887</f>
        <v>0</v>
      </c>
      <c r="IJD364" s="373">
        <f>'Q100a-geral'!IJD887</f>
        <v>0</v>
      </c>
      <c r="IJE364" s="373">
        <f>'Q100a-geral'!IJE887</f>
        <v>0</v>
      </c>
      <c r="IJF364" s="373">
        <f>'Q100a-geral'!IJF887</f>
        <v>0</v>
      </c>
      <c r="IJG364" s="373">
        <f>'Q100a-geral'!IJG887</f>
        <v>0</v>
      </c>
      <c r="IJH364" s="373">
        <f>'Q100a-geral'!IJH887</f>
        <v>0</v>
      </c>
      <c r="IJI364" s="373">
        <f>'Q100a-geral'!IJI887</f>
        <v>0</v>
      </c>
      <c r="IJJ364" s="373">
        <f>'Q100a-geral'!IJJ887</f>
        <v>0</v>
      </c>
      <c r="IJK364" s="373">
        <f>'Q100a-geral'!IJK887</f>
        <v>0</v>
      </c>
      <c r="IJL364" s="373">
        <f>'Q100a-geral'!IJL887</f>
        <v>0</v>
      </c>
      <c r="IJM364" s="373">
        <f>'Q100a-geral'!IJM887</f>
        <v>0</v>
      </c>
      <c r="IJN364" s="373">
        <f>'Q100a-geral'!IJN887</f>
        <v>0</v>
      </c>
      <c r="IJO364" s="373">
        <f>'Q100a-geral'!IJO887</f>
        <v>0</v>
      </c>
      <c r="IJP364" s="373">
        <f>'Q100a-geral'!IJP887</f>
        <v>0</v>
      </c>
      <c r="IJQ364" s="373">
        <f>'Q100a-geral'!IJQ887</f>
        <v>0</v>
      </c>
      <c r="IJR364" s="373">
        <f>'Q100a-geral'!IJR887</f>
        <v>0</v>
      </c>
      <c r="IJS364" s="373">
        <f>'Q100a-geral'!IJS887</f>
        <v>0</v>
      </c>
      <c r="IJT364" s="373">
        <f>'Q100a-geral'!IJT887</f>
        <v>0</v>
      </c>
      <c r="IJU364" s="373">
        <f>'Q100a-geral'!IJU887</f>
        <v>0</v>
      </c>
      <c r="IJV364" s="373">
        <f>'Q100a-geral'!IJV887</f>
        <v>0</v>
      </c>
      <c r="IJW364" s="373">
        <f>'Q100a-geral'!IJW887</f>
        <v>0</v>
      </c>
      <c r="IJX364" s="373">
        <f>'Q100a-geral'!IJX887</f>
        <v>0</v>
      </c>
      <c r="IJY364" s="373">
        <f>'Q100a-geral'!IJY887</f>
        <v>0</v>
      </c>
      <c r="IJZ364" s="373">
        <f>'Q100a-geral'!IJZ887</f>
        <v>0</v>
      </c>
      <c r="IKA364" s="373">
        <f>'Q100a-geral'!IKA887</f>
        <v>0</v>
      </c>
      <c r="IKB364" s="373">
        <f>'Q100a-geral'!IKB887</f>
        <v>0</v>
      </c>
      <c r="IKC364" s="373">
        <f>'Q100a-geral'!IKC887</f>
        <v>0</v>
      </c>
      <c r="IKD364" s="373">
        <f>'Q100a-geral'!IKD887</f>
        <v>0</v>
      </c>
      <c r="IKE364" s="373">
        <f>'Q100a-geral'!IKE887</f>
        <v>0</v>
      </c>
      <c r="IKF364" s="373">
        <f>'Q100a-geral'!IKF887</f>
        <v>0</v>
      </c>
      <c r="IKG364" s="373">
        <f>'Q100a-geral'!IKG887</f>
        <v>0</v>
      </c>
      <c r="IKH364" s="373">
        <f>'Q100a-geral'!IKH887</f>
        <v>0</v>
      </c>
      <c r="IKI364" s="373">
        <f>'Q100a-geral'!IKI887</f>
        <v>0</v>
      </c>
      <c r="IKJ364" s="373">
        <f>'Q100a-geral'!IKJ887</f>
        <v>0</v>
      </c>
      <c r="IKK364" s="373">
        <f>'Q100a-geral'!IKK887</f>
        <v>0</v>
      </c>
      <c r="IKL364" s="373">
        <f>'Q100a-geral'!IKL887</f>
        <v>0</v>
      </c>
      <c r="IKM364" s="373">
        <f>'Q100a-geral'!IKM887</f>
        <v>0</v>
      </c>
      <c r="IKN364" s="373">
        <f>'Q100a-geral'!IKN887</f>
        <v>0</v>
      </c>
      <c r="IKO364" s="373">
        <f>'Q100a-geral'!IKO887</f>
        <v>0</v>
      </c>
      <c r="IKP364" s="373">
        <f>'Q100a-geral'!IKP887</f>
        <v>0</v>
      </c>
      <c r="IKQ364" s="373">
        <f>'Q100a-geral'!IKQ887</f>
        <v>0</v>
      </c>
      <c r="IKR364" s="373">
        <f>'Q100a-geral'!IKR887</f>
        <v>0</v>
      </c>
      <c r="IKS364" s="373">
        <f>'Q100a-geral'!IKS887</f>
        <v>0</v>
      </c>
      <c r="IKT364" s="373">
        <f>'Q100a-geral'!IKT887</f>
        <v>0</v>
      </c>
      <c r="IKU364" s="373">
        <f>'Q100a-geral'!IKU887</f>
        <v>0</v>
      </c>
      <c r="IKV364" s="373">
        <f>'Q100a-geral'!IKV887</f>
        <v>0</v>
      </c>
      <c r="IKW364" s="373">
        <f>'Q100a-geral'!IKW887</f>
        <v>0</v>
      </c>
      <c r="IKX364" s="373">
        <f>'Q100a-geral'!IKX887</f>
        <v>0</v>
      </c>
      <c r="IKY364" s="373">
        <f>'Q100a-geral'!IKY887</f>
        <v>0</v>
      </c>
      <c r="IKZ364" s="373">
        <f>'Q100a-geral'!IKZ887</f>
        <v>0</v>
      </c>
      <c r="ILA364" s="373">
        <f>'Q100a-geral'!ILA887</f>
        <v>0</v>
      </c>
      <c r="ILB364" s="373">
        <f>'Q100a-geral'!ILB887</f>
        <v>0</v>
      </c>
      <c r="ILC364" s="373">
        <f>'Q100a-geral'!ILC887</f>
        <v>0</v>
      </c>
      <c r="ILD364" s="373">
        <f>'Q100a-geral'!ILD887</f>
        <v>0</v>
      </c>
      <c r="ILE364" s="373">
        <f>'Q100a-geral'!ILE887</f>
        <v>0</v>
      </c>
      <c r="ILF364" s="373">
        <f>'Q100a-geral'!ILF887</f>
        <v>0</v>
      </c>
      <c r="ILG364" s="373">
        <f>'Q100a-geral'!ILG887</f>
        <v>0</v>
      </c>
      <c r="ILH364" s="373">
        <f>'Q100a-geral'!ILH887</f>
        <v>0</v>
      </c>
      <c r="ILI364" s="373">
        <f>'Q100a-geral'!ILI887</f>
        <v>0</v>
      </c>
      <c r="ILJ364" s="373">
        <f>'Q100a-geral'!ILJ887</f>
        <v>0</v>
      </c>
      <c r="ILK364" s="373">
        <f>'Q100a-geral'!ILK887</f>
        <v>0</v>
      </c>
      <c r="ILL364" s="373">
        <f>'Q100a-geral'!ILL887</f>
        <v>0</v>
      </c>
      <c r="ILM364" s="373">
        <f>'Q100a-geral'!ILM887</f>
        <v>0</v>
      </c>
      <c r="ILN364" s="373">
        <f>'Q100a-geral'!ILN887</f>
        <v>0</v>
      </c>
      <c r="ILO364" s="373">
        <f>'Q100a-geral'!ILO887</f>
        <v>0</v>
      </c>
      <c r="ILP364" s="373">
        <f>'Q100a-geral'!ILP887</f>
        <v>0</v>
      </c>
      <c r="ILQ364" s="373">
        <f>'Q100a-geral'!ILQ887</f>
        <v>0</v>
      </c>
      <c r="ILR364" s="373">
        <f>'Q100a-geral'!ILR887</f>
        <v>0</v>
      </c>
      <c r="ILS364" s="373">
        <f>'Q100a-geral'!ILS887</f>
        <v>0</v>
      </c>
      <c r="ILT364" s="373">
        <f>'Q100a-geral'!ILT887</f>
        <v>0</v>
      </c>
      <c r="ILU364" s="373">
        <f>'Q100a-geral'!ILU887</f>
        <v>0</v>
      </c>
      <c r="ILV364" s="373">
        <f>'Q100a-geral'!ILV887</f>
        <v>0</v>
      </c>
      <c r="ILW364" s="373">
        <f>'Q100a-geral'!ILW887</f>
        <v>0</v>
      </c>
      <c r="ILX364" s="373">
        <f>'Q100a-geral'!ILX887</f>
        <v>0</v>
      </c>
      <c r="ILY364" s="373">
        <f>'Q100a-geral'!ILY887</f>
        <v>0</v>
      </c>
      <c r="ILZ364" s="373">
        <f>'Q100a-geral'!ILZ887</f>
        <v>0</v>
      </c>
      <c r="IMA364" s="373">
        <f>'Q100a-geral'!IMA887</f>
        <v>0</v>
      </c>
      <c r="IMB364" s="373">
        <f>'Q100a-geral'!IMB887</f>
        <v>0</v>
      </c>
      <c r="IMC364" s="373">
        <f>'Q100a-geral'!IMC887</f>
        <v>0</v>
      </c>
      <c r="IMD364" s="373">
        <f>'Q100a-geral'!IMD887</f>
        <v>0</v>
      </c>
      <c r="IME364" s="373">
        <f>'Q100a-geral'!IME887</f>
        <v>0</v>
      </c>
      <c r="IMF364" s="373">
        <f>'Q100a-geral'!IMF887</f>
        <v>0</v>
      </c>
      <c r="IMG364" s="373">
        <f>'Q100a-geral'!IMG887</f>
        <v>0</v>
      </c>
      <c r="IMH364" s="373">
        <f>'Q100a-geral'!IMH887</f>
        <v>0</v>
      </c>
      <c r="IMI364" s="373">
        <f>'Q100a-geral'!IMI887</f>
        <v>0</v>
      </c>
      <c r="IMJ364" s="373">
        <f>'Q100a-geral'!IMJ887</f>
        <v>0</v>
      </c>
      <c r="IMK364" s="373">
        <f>'Q100a-geral'!IMK887</f>
        <v>0</v>
      </c>
      <c r="IML364" s="373">
        <f>'Q100a-geral'!IML887</f>
        <v>0</v>
      </c>
      <c r="IMM364" s="373">
        <f>'Q100a-geral'!IMM887</f>
        <v>0</v>
      </c>
      <c r="IMN364" s="373">
        <f>'Q100a-geral'!IMN887</f>
        <v>0</v>
      </c>
      <c r="IMO364" s="373">
        <f>'Q100a-geral'!IMO887</f>
        <v>0</v>
      </c>
      <c r="IMP364" s="373">
        <f>'Q100a-geral'!IMP887</f>
        <v>0</v>
      </c>
      <c r="IMQ364" s="373">
        <f>'Q100a-geral'!IMQ887</f>
        <v>0</v>
      </c>
      <c r="IMR364" s="373">
        <f>'Q100a-geral'!IMR887</f>
        <v>0</v>
      </c>
      <c r="IMS364" s="373">
        <f>'Q100a-geral'!IMS887</f>
        <v>0</v>
      </c>
      <c r="IMT364" s="373">
        <f>'Q100a-geral'!IMT887</f>
        <v>0</v>
      </c>
      <c r="IMU364" s="373">
        <f>'Q100a-geral'!IMU887</f>
        <v>0</v>
      </c>
      <c r="IMV364" s="373">
        <f>'Q100a-geral'!IMV887</f>
        <v>0</v>
      </c>
      <c r="IMW364" s="373">
        <f>'Q100a-geral'!IMW887</f>
        <v>0</v>
      </c>
      <c r="IMX364" s="373">
        <f>'Q100a-geral'!IMX887</f>
        <v>0</v>
      </c>
      <c r="IMY364" s="373">
        <f>'Q100a-geral'!IMY887</f>
        <v>0</v>
      </c>
      <c r="IMZ364" s="373">
        <f>'Q100a-geral'!IMZ887</f>
        <v>0</v>
      </c>
      <c r="INA364" s="373">
        <f>'Q100a-geral'!INA887</f>
        <v>0</v>
      </c>
      <c r="INB364" s="373">
        <f>'Q100a-geral'!INB887</f>
        <v>0</v>
      </c>
      <c r="INC364" s="373">
        <f>'Q100a-geral'!INC887</f>
        <v>0</v>
      </c>
      <c r="IND364" s="373">
        <f>'Q100a-geral'!IND887</f>
        <v>0</v>
      </c>
      <c r="INE364" s="373">
        <f>'Q100a-geral'!INE887</f>
        <v>0</v>
      </c>
      <c r="INF364" s="373">
        <f>'Q100a-geral'!INF887</f>
        <v>0</v>
      </c>
      <c r="ING364" s="373">
        <f>'Q100a-geral'!ING887</f>
        <v>0</v>
      </c>
      <c r="INH364" s="373">
        <f>'Q100a-geral'!INH887</f>
        <v>0</v>
      </c>
      <c r="INI364" s="373">
        <f>'Q100a-geral'!INI887</f>
        <v>0</v>
      </c>
      <c r="INJ364" s="373">
        <f>'Q100a-geral'!INJ887</f>
        <v>0</v>
      </c>
      <c r="INK364" s="373">
        <f>'Q100a-geral'!INK887</f>
        <v>0</v>
      </c>
      <c r="INL364" s="373">
        <f>'Q100a-geral'!INL887</f>
        <v>0</v>
      </c>
      <c r="INM364" s="373">
        <f>'Q100a-geral'!INM887</f>
        <v>0</v>
      </c>
      <c r="INN364" s="373">
        <f>'Q100a-geral'!INN887</f>
        <v>0</v>
      </c>
      <c r="INO364" s="373">
        <f>'Q100a-geral'!INO887</f>
        <v>0</v>
      </c>
      <c r="INP364" s="373">
        <f>'Q100a-geral'!INP887</f>
        <v>0</v>
      </c>
      <c r="INQ364" s="373">
        <f>'Q100a-geral'!INQ887</f>
        <v>0</v>
      </c>
      <c r="INR364" s="373">
        <f>'Q100a-geral'!INR887</f>
        <v>0</v>
      </c>
      <c r="INS364" s="373">
        <f>'Q100a-geral'!INS887</f>
        <v>0</v>
      </c>
      <c r="INT364" s="373">
        <f>'Q100a-geral'!INT887</f>
        <v>0</v>
      </c>
      <c r="INU364" s="373">
        <f>'Q100a-geral'!INU887</f>
        <v>0</v>
      </c>
      <c r="INV364" s="373">
        <f>'Q100a-geral'!INV887</f>
        <v>0</v>
      </c>
      <c r="INW364" s="373">
        <f>'Q100a-geral'!INW887</f>
        <v>0</v>
      </c>
      <c r="INX364" s="373">
        <f>'Q100a-geral'!INX887</f>
        <v>0</v>
      </c>
      <c r="INY364" s="373">
        <f>'Q100a-geral'!INY887</f>
        <v>0</v>
      </c>
      <c r="INZ364" s="373">
        <f>'Q100a-geral'!INZ887</f>
        <v>0</v>
      </c>
      <c r="IOA364" s="373">
        <f>'Q100a-geral'!IOA887</f>
        <v>0</v>
      </c>
      <c r="IOB364" s="373">
        <f>'Q100a-geral'!IOB887</f>
        <v>0</v>
      </c>
      <c r="IOC364" s="373">
        <f>'Q100a-geral'!IOC887</f>
        <v>0</v>
      </c>
      <c r="IOD364" s="373">
        <f>'Q100a-geral'!IOD887</f>
        <v>0</v>
      </c>
      <c r="IOE364" s="373">
        <f>'Q100a-geral'!IOE887</f>
        <v>0</v>
      </c>
      <c r="IOF364" s="373">
        <f>'Q100a-geral'!IOF887</f>
        <v>0</v>
      </c>
      <c r="IOG364" s="373">
        <f>'Q100a-geral'!IOG887</f>
        <v>0</v>
      </c>
      <c r="IOH364" s="373">
        <f>'Q100a-geral'!IOH887</f>
        <v>0</v>
      </c>
      <c r="IOI364" s="373">
        <f>'Q100a-geral'!IOI887</f>
        <v>0</v>
      </c>
      <c r="IOJ364" s="373">
        <f>'Q100a-geral'!IOJ887</f>
        <v>0</v>
      </c>
      <c r="IOK364" s="373">
        <f>'Q100a-geral'!IOK887</f>
        <v>0</v>
      </c>
      <c r="IOL364" s="373">
        <f>'Q100a-geral'!IOL887</f>
        <v>0</v>
      </c>
      <c r="IOM364" s="373">
        <f>'Q100a-geral'!IOM887</f>
        <v>0</v>
      </c>
      <c r="ION364" s="373">
        <f>'Q100a-geral'!ION887</f>
        <v>0</v>
      </c>
      <c r="IOO364" s="373">
        <f>'Q100a-geral'!IOO887</f>
        <v>0</v>
      </c>
      <c r="IOP364" s="373">
        <f>'Q100a-geral'!IOP887</f>
        <v>0</v>
      </c>
      <c r="IOQ364" s="373">
        <f>'Q100a-geral'!IOQ887</f>
        <v>0</v>
      </c>
      <c r="IOR364" s="373">
        <f>'Q100a-geral'!IOR887</f>
        <v>0</v>
      </c>
      <c r="IOS364" s="373">
        <f>'Q100a-geral'!IOS887</f>
        <v>0</v>
      </c>
      <c r="IOT364" s="373">
        <f>'Q100a-geral'!IOT887</f>
        <v>0</v>
      </c>
      <c r="IOU364" s="373">
        <f>'Q100a-geral'!IOU887</f>
        <v>0</v>
      </c>
      <c r="IOV364" s="373">
        <f>'Q100a-geral'!IOV887</f>
        <v>0</v>
      </c>
      <c r="IOW364" s="373">
        <f>'Q100a-geral'!IOW887</f>
        <v>0</v>
      </c>
      <c r="IOX364" s="373">
        <f>'Q100a-geral'!IOX887</f>
        <v>0</v>
      </c>
      <c r="IOY364" s="373">
        <f>'Q100a-geral'!IOY887</f>
        <v>0</v>
      </c>
      <c r="IOZ364" s="373">
        <f>'Q100a-geral'!IOZ887</f>
        <v>0</v>
      </c>
      <c r="IPA364" s="373">
        <f>'Q100a-geral'!IPA887</f>
        <v>0</v>
      </c>
      <c r="IPB364" s="373">
        <f>'Q100a-geral'!IPB887</f>
        <v>0</v>
      </c>
      <c r="IPC364" s="373">
        <f>'Q100a-geral'!IPC887</f>
        <v>0</v>
      </c>
      <c r="IPD364" s="373">
        <f>'Q100a-geral'!IPD887</f>
        <v>0</v>
      </c>
      <c r="IPE364" s="373">
        <f>'Q100a-geral'!IPE887</f>
        <v>0</v>
      </c>
      <c r="IPF364" s="373">
        <f>'Q100a-geral'!IPF887</f>
        <v>0</v>
      </c>
      <c r="IPG364" s="373">
        <f>'Q100a-geral'!IPG887</f>
        <v>0</v>
      </c>
      <c r="IPH364" s="373">
        <f>'Q100a-geral'!IPH887</f>
        <v>0</v>
      </c>
      <c r="IPI364" s="373">
        <f>'Q100a-geral'!IPI887</f>
        <v>0</v>
      </c>
      <c r="IPJ364" s="373">
        <f>'Q100a-geral'!IPJ887</f>
        <v>0</v>
      </c>
      <c r="IPK364" s="373">
        <f>'Q100a-geral'!IPK887</f>
        <v>0</v>
      </c>
      <c r="IPL364" s="373">
        <f>'Q100a-geral'!IPL887</f>
        <v>0</v>
      </c>
      <c r="IPM364" s="373">
        <f>'Q100a-geral'!IPM887</f>
        <v>0</v>
      </c>
      <c r="IPN364" s="373">
        <f>'Q100a-geral'!IPN887</f>
        <v>0</v>
      </c>
      <c r="IPO364" s="373">
        <f>'Q100a-geral'!IPO887</f>
        <v>0</v>
      </c>
      <c r="IPP364" s="373">
        <f>'Q100a-geral'!IPP887</f>
        <v>0</v>
      </c>
      <c r="IPQ364" s="373">
        <f>'Q100a-geral'!IPQ887</f>
        <v>0</v>
      </c>
      <c r="IPR364" s="373">
        <f>'Q100a-geral'!IPR887</f>
        <v>0</v>
      </c>
      <c r="IPS364" s="373">
        <f>'Q100a-geral'!IPS887</f>
        <v>0</v>
      </c>
      <c r="IPT364" s="373">
        <f>'Q100a-geral'!IPT887</f>
        <v>0</v>
      </c>
      <c r="IPU364" s="373">
        <f>'Q100a-geral'!IPU887</f>
        <v>0</v>
      </c>
      <c r="IPV364" s="373">
        <f>'Q100a-geral'!IPV887</f>
        <v>0</v>
      </c>
      <c r="IPW364" s="373">
        <f>'Q100a-geral'!IPW887</f>
        <v>0</v>
      </c>
      <c r="IPX364" s="373">
        <f>'Q100a-geral'!IPX887</f>
        <v>0</v>
      </c>
      <c r="IPY364" s="373">
        <f>'Q100a-geral'!IPY887</f>
        <v>0</v>
      </c>
      <c r="IPZ364" s="373">
        <f>'Q100a-geral'!IPZ887</f>
        <v>0</v>
      </c>
      <c r="IQA364" s="373">
        <f>'Q100a-geral'!IQA887</f>
        <v>0</v>
      </c>
      <c r="IQB364" s="373">
        <f>'Q100a-geral'!IQB887</f>
        <v>0</v>
      </c>
      <c r="IQC364" s="373">
        <f>'Q100a-geral'!IQC887</f>
        <v>0</v>
      </c>
      <c r="IQD364" s="373">
        <f>'Q100a-geral'!IQD887</f>
        <v>0</v>
      </c>
      <c r="IQE364" s="373">
        <f>'Q100a-geral'!IQE887</f>
        <v>0</v>
      </c>
      <c r="IQF364" s="373">
        <f>'Q100a-geral'!IQF887</f>
        <v>0</v>
      </c>
      <c r="IQG364" s="373">
        <f>'Q100a-geral'!IQG887</f>
        <v>0</v>
      </c>
      <c r="IQH364" s="373">
        <f>'Q100a-geral'!IQH887</f>
        <v>0</v>
      </c>
      <c r="IQI364" s="373">
        <f>'Q100a-geral'!IQI887</f>
        <v>0</v>
      </c>
      <c r="IQJ364" s="373">
        <f>'Q100a-geral'!IQJ887</f>
        <v>0</v>
      </c>
      <c r="IQK364" s="373">
        <f>'Q100a-geral'!IQK887</f>
        <v>0</v>
      </c>
      <c r="IQL364" s="373">
        <f>'Q100a-geral'!IQL887</f>
        <v>0</v>
      </c>
      <c r="IQM364" s="373">
        <f>'Q100a-geral'!IQM887</f>
        <v>0</v>
      </c>
      <c r="IQN364" s="373">
        <f>'Q100a-geral'!IQN887</f>
        <v>0</v>
      </c>
      <c r="IQO364" s="373">
        <f>'Q100a-geral'!IQO887</f>
        <v>0</v>
      </c>
      <c r="IQP364" s="373">
        <f>'Q100a-geral'!IQP887</f>
        <v>0</v>
      </c>
      <c r="IQQ364" s="373">
        <f>'Q100a-geral'!IQQ887</f>
        <v>0</v>
      </c>
      <c r="IQR364" s="373">
        <f>'Q100a-geral'!IQR887</f>
        <v>0</v>
      </c>
      <c r="IQS364" s="373">
        <f>'Q100a-geral'!IQS887</f>
        <v>0</v>
      </c>
      <c r="IQT364" s="373">
        <f>'Q100a-geral'!IQT887</f>
        <v>0</v>
      </c>
      <c r="IQU364" s="373">
        <f>'Q100a-geral'!IQU887</f>
        <v>0</v>
      </c>
      <c r="IQV364" s="373">
        <f>'Q100a-geral'!IQV887</f>
        <v>0</v>
      </c>
      <c r="IQW364" s="373">
        <f>'Q100a-geral'!IQW887</f>
        <v>0</v>
      </c>
      <c r="IQX364" s="373">
        <f>'Q100a-geral'!IQX887</f>
        <v>0</v>
      </c>
      <c r="IQY364" s="373">
        <f>'Q100a-geral'!IQY887</f>
        <v>0</v>
      </c>
      <c r="IQZ364" s="373">
        <f>'Q100a-geral'!IQZ887</f>
        <v>0</v>
      </c>
      <c r="IRA364" s="373">
        <f>'Q100a-geral'!IRA887</f>
        <v>0</v>
      </c>
      <c r="IRB364" s="373">
        <f>'Q100a-geral'!IRB887</f>
        <v>0</v>
      </c>
      <c r="IRC364" s="373">
        <f>'Q100a-geral'!IRC887</f>
        <v>0</v>
      </c>
      <c r="IRD364" s="373">
        <f>'Q100a-geral'!IRD887</f>
        <v>0</v>
      </c>
      <c r="IRE364" s="373">
        <f>'Q100a-geral'!IRE887</f>
        <v>0</v>
      </c>
      <c r="IRF364" s="373">
        <f>'Q100a-geral'!IRF887</f>
        <v>0</v>
      </c>
      <c r="IRG364" s="373">
        <f>'Q100a-geral'!IRG887</f>
        <v>0</v>
      </c>
      <c r="IRH364" s="373">
        <f>'Q100a-geral'!IRH887</f>
        <v>0</v>
      </c>
      <c r="IRI364" s="373">
        <f>'Q100a-geral'!IRI887</f>
        <v>0</v>
      </c>
      <c r="IRJ364" s="373">
        <f>'Q100a-geral'!IRJ887</f>
        <v>0</v>
      </c>
      <c r="IRK364" s="373">
        <f>'Q100a-geral'!IRK887</f>
        <v>0</v>
      </c>
      <c r="IRL364" s="373">
        <f>'Q100a-geral'!IRL887</f>
        <v>0</v>
      </c>
      <c r="IRM364" s="373">
        <f>'Q100a-geral'!IRM887</f>
        <v>0</v>
      </c>
      <c r="IRN364" s="373">
        <f>'Q100a-geral'!IRN887</f>
        <v>0</v>
      </c>
      <c r="IRO364" s="373">
        <f>'Q100a-geral'!IRO887</f>
        <v>0</v>
      </c>
      <c r="IRP364" s="373">
        <f>'Q100a-geral'!IRP887</f>
        <v>0</v>
      </c>
      <c r="IRQ364" s="373">
        <f>'Q100a-geral'!IRQ887</f>
        <v>0</v>
      </c>
      <c r="IRR364" s="373">
        <f>'Q100a-geral'!IRR887</f>
        <v>0</v>
      </c>
      <c r="IRS364" s="373">
        <f>'Q100a-geral'!IRS887</f>
        <v>0</v>
      </c>
      <c r="IRT364" s="373">
        <f>'Q100a-geral'!IRT887</f>
        <v>0</v>
      </c>
      <c r="IRU364" s="373">
        <f>'Q100a-geral'!IRU887</f>
        <v>0</v>
      </c>
      <c r="IRV364" s="373">
        <f>'Q100a-geral'!IRV887</f>
        <v>0</v>
      </c>
      <c r="IRW364" s="373">
        <f>'Q100a-geral'!IRW887</f>
        <v>0</v>
      </c>
      <c r="IRX364" s="373">
        <f>'Q100a-geral'!IRX887</f>
        <v>0</v>
      </c>
      <c r="IRY364" s="373">
        <f>'Q100a-geral'!IRY887</f>
        <v>0</v>
      </c>
      <c r="IRZ364" s="373">
        <f>'Q100a-geral'!IRZ887</f>
        <v>0</v>
      </c>
      <c r="ISA364" s="373">
        <f>'Q100a-geral'!ISA887</f>
        <v>0</v>
      </c>
      <c r="ISB364" s="373">
        <f>'Q100a-geral'!ISB887</f>
        <v>0</v>
      </c>
      <c r="ISC364" s="373">
        <f>'Q100a-geral'!ISC887</f>
        <v>0</v>
      </c>
      <c r="ISD364" s="373">
        <f>'Q100a-geral'!ISD887</f>
        <v>0</v>
      </c>
      <c r="ISE364" s="373">
        <f>'Q100a-geral'!ISE887</f>
        <v>0</v>
      </c>
      <c r="ISF364" s="373">
        <f>'Q100a-geral'!ISF887</f>
        <v>0</v>
      </c>
      <c r="ISG364" s="373">
        <f>'Q100a-geral'!ISG887</f>
        <v>0</v>
      </c>
      <c r="ISH364" s="373">
        <f>'Q100a-geral'!ISH887</f>
        <v>0</v>
      </c>
      <c r="ISI364" s="373">
        <f>'Q100a-geral'!ISI887</f>
        <v>0</v>
      </c>
      <c r="ISJ364" s="373">
        <f>'Q100a-geral'!ISJ887</f>
        <v>0</v>
      </c>
      <c r="ISK364" s="373">
        <f>'Q100a-geral'!ISK887</f>
        <v>0</v>
      </c>
      <c r="ISL364" s="373">
        <f>'Q100a-geral'!ISL887</f>
        <v>0</v>
      </c>
      <c r="ISM364" s="373">
        <f>'Q100a-geral'!ISM887</f>
        <v>0</v>
      </c>
      <c r="ISN364" s="373">
        <f>'Q100a-geral'!ISN887</f>
        <v>0</v>
      </c>
      <c r="ISO364" s="373">
        <f>'Q100a-geral'!ISO887</f>
        <v>0</v>
      </c>
      <c r="ISP364" s="373">
        <f>'Q100a-geral'!ISP887</f>
        <v>0</v>
      </c>
      <c r="ISQ364" s="373">
        <f>'Q100a-geral'!ISQ887</f>
        <v>0</v>
      </c>
      <c r="ISR364" s="373">
        <f>'Q100a-geral'!ISR887</f>
        <v>0</v>
      </c>
      <c r="ISS364" s="373">
        <f>'Q100a-geral'!ISS887</f>
        <v>0</v>
      </c>
      <c r="IST364" s="373">
        <f>'Q100a-geral'!IST887</f>
        <v>0</v>
      </c>
      <c r="ISU364" s="373">
        <f>'Q100a-geral'!ISU887</f>
        <v>0</v>
      </c>
      <c r="ISV364" s="373">
        <f>'Q100a-geral'!ISV887</f>
        <v>0</v>
      </c>
      <c r="ISW364" s="373">
        <f>'Q100a-geral'!ISW887</f>
        <v>0</v>
      </c>
      <c r="ISX364" s="373">
        <f>'Q100a-geral'!ISX887</f>
        <v>0</v>
      </c>
      <c r="ISY364" s="373">
        <f>'Q100a-geral'!ISY887</f>
        <v>0</v>
      </c>
      <c r="ISZ364" s="373">
        <f>'Q100a-geral'!ISZ887</f>
        <v>0</v>
      </c>
      <c r="ITA364" s="373">
        <f>'Q100a-geral'!ITA887</f>
        <v>0</v>
      </c>
      <c r="ITB364" s="373">
        <f>'Q100a-geral'!ITB887</f>
        <v>0</v>
      </c>
      <c r="ITC364" s="373">
        <f>'Q100a-geral'!ITC887</f>
        <v>0</v>
      </c>
      <c r="ITD364" s="373">
        <f>'Q100a-geral'!ITD887</f>
        <v>0</v>
      </c>
      <c r="ITE364" s="373">
        <f>'Q100a-geral'!ITE887</f>
        <v>0</v>
      </c>
      <c r="ITF364" s="373">
        <f>'Q100a-geral'!ITF887</f>
        <v>0</v>
      </c>
      <c r="ITG364" s="373">
        <f>'Q100a-geral'!ITG887</f>
        <v>0</v>
      </c>
      <c r="ITH364" s="373">
        <f>'Q100a-geral'!ITH887</f>
        <v>0</v>
      </c>
      <c r="ITI364" s="373">
        <f>'Q100a-geral'!ITI887</f>
        <v>0</v>
      </c>
      <c r="ITJ364" s="373">
        <f>'Q100a-geral'!ITJ887</f>
        <v>0</v>
      </c>
      <c r="ITK364" s="373">
        <f>'Q100a-geral'!ITK887</f>
        <v>0</v>
      </c>
      <c r="ITL364" s="373">
        <f>'Q100a-geral'!ITL887</f>
        <v>0</v>
      </c>
      <c r="ITM364" s="373">
        <f>'Q100a-geral'!ITM887</f>
        <v>0</v>
      </c>
      <c r="ITN364" s="373">
        <f>'Q100a-geral'!ITN887</f>
        <v>0</v>
      </c>
      <c r="ITO364" s="373">
        <f>'Q100a-geral'!ITO887</f>
        <v>0</v>
      </c>
      <c r="ITP364" s="373">
        <f>'Q100a-geral'!ITP887</f>
        <v>0</v>
      </c>
      <c r="ITQ364" s="373">
        <f>'Q100a-geral'!ITQ887</f>
        <v>0</v>
      </c>
      <c r="ITR364" s="373">
        <f>'Q100a-geral'!ITR887</f>
        <v>0</v>
      </c>
      <c r="ITS364" s="373">
        <f>'Q100a-geral'!ITS887</f>
        <v>0</v>
      </c>
      <c r="ITT364" s="373">
        <f>'Q100a-geral'!ITT887</f>
        <v>0</v>
      </c>
      <c r="ITU364" s="373">
        <f>'Q100a-geral'!ITU887</f>
        <v>0</v>
      </c>
      <c r="ITV364" s="373">
        <f>'Q100a-geral'!ITV887</f>
        <v>0</v>
      </c>
      <c r="ITW364" s="373">
        <f>'Q100a-geral'!ITW887</f>
        <v>0</v>
      </c>
      <c r="ITX364" s="373">
        <f>'Q100a-geral'!ITX887</f>
        <v>0</v>
      </c>
      <c r="ITY364" s="373">
        <f>'Q100a-geral'!ITY887</f>
        <v>0</v>
      </c>
      <c r="ITZ364" s="373">
        <f>'Q100a-geral'!ITZ887</f>
        <v>0</v>
      </c>
      <c r="IUA364" s="373">
        <f>'Q100a-geral'!IUA887</f>
        <v>0</v>
      </c>
      <c r="IUB364" s="373">
        <f>'Q100a-geral'!IUB887</f>
        <v>0</v>
      </c>
      <c r="IUC364" s="373">
        <f>'Q100a-geral'!IUC887</f>
        <v>0</v>
      </c>
      <c r="IUD364" s="373">
        <f>'Q100a-geral'!IUD887</f>
        <v>0</v>
      </c>
      <c r="IUE364" s="373">
        <f>'Q100a-geral'!IUE887</f>
        <v>0</v>
      </c>
      <c r="IUF364" s="373">
        <f>'Q100a-geral'!IUF887</f>
        <v>0</v>
      </c>
      <c r="IUG364" s="373">
        <f>'Q100a-geral'!IUG887</f>
        <v>0</v>
      </c>
      <c r="IUH364" s="373">
        <f>'Q100a-geral'!IUH887</f>
        <v>0</v>
      </c>
      <c r="IUI364" s="373">
        <f>'Q100a-geral'!IUI887</f>
        <v>0</v>
      </c>
      <c r="IUJ364" s="373">
        <f>'Q100a-geral'!IUJ887</f>
        <v>0</v>
      </c>
      <c r="IUK364" s="373">
        <f>'Q100a-geral'!IUK887</f>
        <v>0</v>
      </c>
      <c r="IUL364" s="373">
        <f>'Q100a-geral'!IUL887</f>
        <v>0</v>
      </c>
      <c r="IUM364" s="373">
        <f>'Q100a-geral'!IUM887</f>
        <v>0</v>
      </c>
      <c r="IUN364" s="373">
        <f>'Q100a-geral'!IUN887</f>
        <v>0</v>
      </c>
      <c r="IUO364" s="373">
        <f>'Q100a-geral'!IUO887</f>
        <v>0</v>
      </c>
      <c r="IUP364" s="373">
        <f>'Q100a-geral'!IUP887</f>
        <v>0</v>
      </c>
      <c r="IUQ364" s="373">
        <f>'Q100a-geral'!IUQ887</f>
        <v>0</v>
      </c>
      <c r="IUR364" s="373">
        <f>'Q100a-geral'!IUR887</f>
        <v>0</v>
      </c>
      <c r="IUS364" s="373">
        <f>'Q100a-geral'!IUS887</f>
        <v>0</v>
      </c>
      <c r="IUT364" s="373">
        <f>'Q100a-geral'!IUT887</f>
        <v>0</v>
      </c>
      <c r="IUU364" s="373">
        <f>'Q100a-geral'!IUU887</f>
        <v>0</v>
      </c>
      <c r="IUV364" s="373">
        <f>'Q100a-geral'!IUV887</f>
        <v>0</v>
      </c>
      <c r="IUW364" s="373">
        <f>'Q100a-geral'!IUW887</f>
        <v>0</v>
      </c>
      <c r="IUX364" s="373">
        <f>'Q100a-geral'!IUX887</f>
        <v>0</v>
      </c>
      <c r="IUY364" s="373">
        <f>'Q100a-geral'!IUY887</f>
        <v>0</v>
      </c>
      <c r="IUZ364" s="373">
        <f>'Q100a-geral'!IUZ887</f>
        <v>0</v>
      </c>
      <c r="IVA364" s="373">
        <f>'Q100a-geral'!IVA887</f>
        <v>0</v>
      </c>
      <c r="IVB364" s="373">
        <f>'Q100a-geral'!IVB887</f>
        <v>0</v>
      </c>
      <c r="IVC364" s="373">
        <f>'Q100a-geral'!IVC887</f>
        <v>0</v>
      </c>
      <c r="IVD364" s="373">
        <f>'Q100a-geral'!IVD887</f>
        <v>0</v>
      </c>
      <c r="IVE364" s="373">
        <f>'Q100a-geral'!IVE887</f>
        <v>0</v>
      </c>
      <c r="IVF364" s="373">
        <f>'Q100a-geral'!IVF887</f>
        <v>0</v>
      </c>
      <c r="IVG364" s="373">
        <f>'Q100a-geral'!IVG887</f>
        <v>0</v>
      </c>
      <c r="IVH364" s="373">
        <f>'Q100a-geral'!IVH887</f>
        <v>0</v>
      </c>
      <c r="IVI364" s="373">
        <f>'Q100a-geral'!IVI887</f>
        <v>0</v>
      </c>
      <c r="IVJ364" s="373">
        <f>'Q100a-geral'!IVJ887</f>
        <v>0</v>
      </c>
      <c r="IVK364" s="373">
        <f>'Q100a-geral'!IVK887</f>
        <v>0</v>
      </c>
      <c r="IVL364" s="373">
        <f>'Q100a-geral'!IVL887</f>
        <v>0</v>
      </c>
      <c r="IVM364" s="373">
        <f>'Q100a-geral'!IVM887</f>
        <v>0</v>
      </c>
      <c r="IVN364" s="373">
        <f>'Q100a-geral'!IVN887</f>
        <v>0</v>
      </c>
      <c r="IVO364" s="373">
        <f>'Q100a-geral'!IVO887</f>
        <v>0</v>
      </c>
      <c r="IVP364" s="373">
        <f>'Q100a-geral'!IVP887</f>
        <v>0</v>
      </c>
      <c r="IVQ364" s="373">
        <f>'Q100a-geral'!IVQ887</f>
        <v>0</v>
      </c>
      <c r="IVR364" s="373">
        <f>'Q100a-geral'!IVR887</f>
        <v>0</v>
      </c>
      <c r="IVS364" s="373">
        <f>'Q100a-geral'!IVS887</f>
        <v>0</v>
      </c>
      <c r="IVT364" s="373">
        <f>'Q100a-geral'!IVT887</f>
        <v>0</v>
      </c>
      <c r="IVU364" s="373">
        <f>'Q100a-geral'!IVU887</f>
        <v>0</v>
      </c>
      <c r="IVV364" s="373">
        <f>'Q100a-geral'!IVV887</f>
        <v>0</v>
      </c>
      <c r="IVW364" s="373">
        <f>'Q100a-geral'!IVW887</f>
        <v>0</v>
      </c>
      <c r="IVX364" s="373">
        <f>'Q100a-geral'!IVX887</f>
        <v>0</v>
      </c>
      <c r="IVY364" s="373">
        <f>'Q100a-geral'!IVY887</f>
        <v>0</v>
      </c>
      <c r="IVZ364" s="373">
        <f>'Q100a-geral'!IVZ887</f>
        <v>0</v>
      </c>
      <c r="IWA364" s="373">
        <f>'Q100a-geral'!IWA887</f>
        <v>0</v>
      </c>
      <c r="IWB364" s="373">
        <f>'Q100a-geral'!IWB887</f>
        <v>0</v>
      </c>
      <c r="IWC364" s="373">
        <f>'Q100a-geral'!IWC887</f>
        <v>0</v>
      </c>
      <c r="IWD364" s="373">
        <f>'Q100a-geral'!IWD887</f>
        <v>0</v>
      </c>
      <c r="IWE364" s="373">
        <f>'Q100a-geral'!IWE887</f>
        <v>0</v>
      </c>
      <c r="IWF364" s="373">
        <f>'Q100a-geral'!IWF887</f>
        <v>0</v>
      </c>
      <c r="IWG364" s="373">
        <f>'Q100a-geral'!IWG887</f>
        <v>0</v>
      </c>
      <c r="IWH364" s="373">
        <f>'Q100a-geral'!IWH887</f>
        <v>0</v>
      </c>
      <c r="IWI364" s="373">
        <f>'Q100a-geral'!IWI887</f>
        <v>0</v>
      </c>
      <c r="IWJ364" s="373">
        <f>'Q100a-geral'!IWJ887</f>
        <v>0</v>
      </c>
      <c r="IWK364" s="373">
        <f>'Q100a-geral'!IWK887</f>
        <v>0</v>
      </c>
      <c r="IWL364" s="373">
        <f>'Q100a-geral'!IWL887</f>
        <v>0</v>
      </c>
      <c r="IWM364" s="373">
        <f>'Q100a-geral'!IWM887</f>
        <v>0</v>
      </c>
      <c r="IWN364" s="373">
        <f>'Q100a-geral'!IWN887</f>
        <v>0</v>
      </c>
      <c r="IWO364" s="373">
        <f>'Q100a-geral'!IWO887</f>
        <v>0</v>
      </c>
      <c r="IWP364" s="373">
        <f>'Q100a-geral'!IWP887</f>
        <v>0</v>
      </c>
      <c r="IWQ364" s="373">
        <f>'Q100a-geral'!IWQ887</f>
        <v>0</v>
      </c>
      <c r="IWR364" s="373">
        <f>'Q100a-geral'!IWR887</f>
        <v>0</v>
      </c>
      <c r="IWS364" s="373">
        <f>'Q100a-geral'!IWS887</f>
        <v>0</v>
      </c>
      <c r="IWT364" s="373">
        <f>'Q100a-geral'!IWT887</f>
        <v>0</v>
      </c>
      <c r="IWU364" s="373">
        <f>'Q100a-geral'!IWU887</f>
        <v>0</v>
      </c>
      <c r="IWV364" s="373">
        <f>'Q100a-geral'!IWV887</f>
        <v>0</v>
      </c>
      <c r="IWW364" s="373">
        <f>'Q100a-geral'!IWW887</f>
        <v>0</v>
      </c>
      <c r="IWX364" s="373">
        <f>'Q100a-geral'!IWX887</f>
        <v>0</v>
      </c>
      <c r="IWY364" s="373">
        <f>'Q100a-geral'!IWY887</f>
        <v>0</v>
      </c>
      <c r="IWZ364" s="373">
        <f>'Q100a-geral'!IWZ887</f>
        <v>0</v>
      </c>
      <c r="IXA364" s="373">
        <f>'Q100a-geral'!IXA887</f>
        <v>0</v>
      </c>
      <c r="IXB364" s="373">
        <f>'Q100a-geral'!IXB887</f>
        <v>0</v>
      </c>
      <c r="IXC364" s="373">
        <f>'Q100a-geral'!IXC887</f>
        <v>0</v>
      </c>
      <c r="IXD364" s="373">
        <f>'Q100a-geral'!IXD887</f>
        <v>0</v>
      </c>
      <c r="IXE364" s="373">
        <f>'Q100a-geral'!IXE887</f>
        <v>0</v>
      </c>
      <c r="IXF364" s="373">
        <f>'Q100a-geral'!IXF887</f>
        <v>0</v>
      </c>
      <c r="IXG364" s="373">
        <f>'Q100a-geral'!IXG887</f>
        <v>0</v>
      </c>
      <c r="IXH364" s="373">
        <f>'Q100a-geral'!IXH887</f>
        <v>0</v>
      </c>
      <c r="IXI364" s="373">
        <f>'Q100a-geral'!IXI887</f>
        <v>0</v>
      </c>
      <c r="IXJ364" s="373">
        <f>'Q100a-geral'!IXJ887</f>
        <v>0</v>
      </c>
      <c r="IXK364" s="373">
        <f>'Q100a-geral'!IXK887</f>
        <v>0</v>
      </c>
      <c r="IXL364" s="373">
        <f>'Q100a-geral'!IXL887</f>
        <v>0</v>
      </c>
      <c r="IXM364" s="373">
        <f>'Q100a-geral'!IXM887</f>
        <v>0</v>
      </c>
      <c r="IXN364" s="373">
        <f>'Q100a-geral'!IXN887</f>
        <v>0</v>
      </c>
      <c r="IXO364" s="373">
        <f>'Q100a-geral'!IXO887</f>
        <v>0</v>
      </c>
      <c r="IXP364" s="373">
        <f>'Q100a-geral'!IXP887</f>
        <v>0</v>
      </c>
      <c r="IXQ364" s="373">
        <f>'Q100a-geral'!IXQ887</f>
        <v>0</v>
      </c>
      <c r="IXR364" s="373">
        <f>'Q100a-geral'!IXR887</f>
        <v>0</v>
      </c>
      <c r="IXS364" s="373">
        <f>'Q100a-geral'!IXS887</f>
        <v>0</v>
      </c>
      <c r="IXT364" s="373">
        <f>'Q100a-geral'!IXT887</f>
        <v>0</v>
      </c>
      <c r="IXU364" s="373">
        <f>'Q100a-geral'!IXU887</f>
        <v>0</v>
      </c>
      <c r="IXV364" s="373">
        <f>'Q100a-geral'!IXV887</f>
        <v>0</v>
      </c>
      <c r="IXW364" s="373">
        <f>'Q100a-geral'!IXW887</f>
        <v>0</v>
      </c>
      <c r="IXX364" s="373">
        <f>'Q100a-geral'!IXX887</f>
        <v>0</v>
      </c>
      <c r="IXY364" s="373">
        <f>'Q100a-geral'!IXY887</f>
        <v>0</v>
      </c>
      <c r="IXZ364" s="373">
        <f>'Q100a-geral'!IXZ887</f>
        <v>0</v>
      </c>
      <c r="IYA364" s="373">
        <f>'Q100a-geral'!IYA887</f>
        <v>0</v>
      </c>
      <c r="IYB364" s="373">
        <f>'Q100a-geral'!IYB887</f>
        <v>0</v>
      </c>
      <c r="IYC364" s="373">
        <f>'Q100a-geral'!IYC887</f>
        <v>0</v>
      </c>
      <c r="IYD364" s="373">
        <f>'Q100a-geral'!IYD887</f>
        <v>0</v>
      </c>
      <c r="IYE364" s="373">
        <f>'Q100a-geral'!IYE887</f>
        <v>0</v>
      </c>
      <c r="IYF364" s="373">
        <f>'Q100a-geral'!IYF887</f>
        <v>0</v>
      </c>
      <c r="IYG364" s="373">
        <f>'Q100a-geral'!IYG887</f>
        <v>0</v>
      </c>
      <c r="IYH364" s="373">
        <f>'Q100a-geral'!IYH887</f>
        <v>0</v>
      </c>
      <c r="IYI364" s="373">
        <f>'Q100a-geral'!IYI887</f>
        <v>0</v>
      </c>
      <c r="IYJ364" s="373">
        <f>'Q100a-geral'!IYJ887</f>
        <v>0</v>
      </c>
      <c r="IYK364" s="373">
        <f>'Q100a-geral'!IYK887</f>
        <v>0</v>
      </c>
      <c r="IYL364" s="373">
        <f>'Q100a-geral'!IYL887</f>
        <v>0</v>
      </c>
      <c r="IYM364" s="373">
        <f>'Q100a-geral'!IYM887</f>
        <v>0</v>
      </c>
      <c r="IYN364" s="373">
        <f>'Q100a-geral'!IYN887</f>
        <v>0</v>
      </c>
      <c r="IYO364" s="373">
        <f>'Q100a-geral'!IYO887</f>
        <v>0</v>
      </c>
      <c r="IYP364" s="373">
        <f>'Q100a-geral'!IYP887</f>
        <v>0</v>
      </c>
      <c r="IYQ364" s="373">
        <f>'Q100a-geral'!IYQ887</f>
        <v>0</v>
      </c>
      <c r="IYR364" s="373">
        <f>'Q100a-geral'!IYR887</f>
        <v>0</v>
      </c>
      <c r="IYS364" s="373">
        <f>'Q100a-geral'!IYS887</f>
        <v>0</v>
      </c>
      <c r="IYT364" s="373">
        <f>'Q100a-geral'!IYT887</f>
        <v>0</v>
      </c>
      <c r="IYU364" s="373">
        <f>'Q100a-geral'!IYU887</f>
        <v>0</v>
      </c>
      <c r="IYV364" s="373">
        <f>'Q100a-geral'!IYV887</f>
        <v>0</v>
      </c>
      <c r="IYW364" s="373">
        <f>'Q100a-geral'!IYW887</f>
        <v>0</v>
      </c>
      <c r="IYX364" s="373">
        <f>'Q100a-geral'!IYX887</f>
        <v>0</v>
      </c>
      <c r="IYY364" s="373">
        <f>'Q100a-geral'!IYY887</f>
        <v>0</v>
      </c>
      <c r="IYZ364" s="373">
        <f>'Q100a-geral'!IYZ887</f>
        <v>0</v>
      </c>
      <c r="IZA364" s="373">
        <f>'Q100a-geral'!IZA887</f>
        <v>0</v>
      </c>
      <c r="IZB364" s="373">
        <f>'Q100a-geral'!IZB887</f>
        <v>0</v>
      </c>
      <c r="IZC364" s="373">
        <f>'Q100a-geral'!IZC887</f>
        <v>0</v>
      </c>
      <c r="IZD364" s="373">
        <f>'Q100a-geral'!IZD887</f>
        <v>0</v>
      </c>
      <c r="IZE364" s="373">
        <f>'Q100a-geral'!IZE887</f>
        <v>0</v>
      </c>
      <c r="IZF364" s="373">
        <f>'Q100a-geral'!IZF887</f>
        <v>0</v>
      </c>
      <c r="IZG364" s="373">
        <f>'Q100a-geral'!IZG887</f>
        <v>0</v>
      </c>
      <c r="IZH364" s="373">
        <f>'Q100a-geral'!IZH887</f>
        <v>0</v>
      </c>
      <c r="IZI364" s="373">
        <f>'Q100a-geral'!IZI887</f>
        <v>0</v>
      </c>
      <c r="IZJ364" s="373">
        <f>'Q100a-geral'!IZJ887</f>
        <v>0</v>
      </c>
      <c r="IZK364" s="373">
        <f>'Q100a-geral'!IZK887</f>
        <v>0</v>
      </c>
      <c r="IZL364" s="373">
        <f>'Q100a-geral'!IZL887</f>
        <v>0</v>
      </c>
      <c r="IZM364" s="373">
        <f>'Q100a-geral'!IZM887</f>
        <v>0</v>
      </c>
      <c r="IZN364" s="373">
        <f>'Q100a-geral'!IZN887</f>
        <v>0</v>
      </c>
      <c r="IZO364" s="373">
        <f>'Q100a-geral'!IZO887</f>
        <v>0</v>
      </c>
      <c r="IZP364" s="373">
        <f>'Q100a-geral'!IZP887</f>
        <v>0</v>
      </c>
      <c r="IZQ364" s="373">
        <f>'Q100a-geral'!IZQ887</f>
        <v>0</v>
      </c>
      <c r="IZR364" s="373">
        <f>'Q100a-geral'!IZR887</f>
        <v>0</v>
      </c>
      <c r="IZS364" s="373">
        <f>'Q100a-geral'!IZS887</f>
        <v>0</v>
      </c>
      <c r="IZT364" s="373">
        <f>'Q100a-geral'!IZT887</f>
        <v>0</v>
      </c>
      <c r="IZU364" s="373">
        <f>'Q100a-geral'!IZU887</f>
        <v>0</v>
      </c>
      <c r="IZV364" s="373">
        <f>'Q100a-geral'!IZV887</f>
        <v>0</v>
      </c>
      <c r="IZW364" s="373">
        <f>'Q100a-geral'!IZW887</f>
        <v>0</v>
      </c>
      <c r="IZX364" s="373">
        <f>'Q100a-geral'!IZX887</f>
        <v>0</v>
      </c>
      <c r="IZY364" s="373">
        <f>'Q100a-geral'!IZY887</f>
        <v>0</v>
      </c>
      <c r="IZZ364" s="373">
        <f>'Q100a-geral'!IZZ887</f>
        <v>0</v>
      </c>
      <c r="JAA364" s="373">
        <f>'Q100a-geral'!JAA887</f>
        <v>0</v>
      </c>
      <c r="JAB364" s="373">
        <f>'Q100a-geral'!JAB887</f>
        <v>0</v>
      </c>
      <c r="JAC364" s="373">
        <f>'Q100a-geral'!JAC887</f>
        <v>0</v>
      </c>
      <c r="JAD364" s="373">
        <f>'Q100a-geral'!JAD887</f>
        <v>0</v>
      </c>
      <c r="JAE364" s="373">
        <f>'Q100a-geral'!JAE887</f>
        <v>0</v>
      </c>
      <c r="JAF364" s="373">
        <f>'Q100a-geral'!JAF887</f>
        <v>0</v>
      </c>
      <c r="JAG364" s="373">
        <f>'Q100a-geral'!JAG887</f>
        <v>0</v>
      </c>
      <c r="JAH364" s="373">
        <f>'Q100a-geral'!JAH887</f>
        <v>0</v>
      </c>
      <c r="JAI364" s="373">
        <f>'Q100a-geral'!JAI887</f>
        <v>0</v>
      </c>
      <c r="JAJ364" s="373">
        <f>'Q100a-geral'!JAJ887</f>
        <v>0</v>
      </c>
      <c r="JAK364" s="373">
        <f>'Q100a-geral'!JAK887</f>
        <v>0</v>
      </c>
      <c r="JAL364" s="373">
        <f>'Q100a-geral'!JAL887</f>
        <v>0</v>
      </c>
      <c r="JAM364" s="373">
        <f>'Q100a-geral'!JAM887</f>
        <v>0</v>
      </c>
      <c r="JAN364" s="373">
        <f>'Q100a-geral'!JAN887</f>
        <v>0</v>
      </c>
      <c r="JAO364" s="373">
        <f>'Q100a-geral'!JAO887</f>
        <v>0</v>
      </c>
      <c r="JAP364" s="373">
        <f>'Q100a-geral'!JAP887</f>
        <v>0</v>
      </c>
      <c r="JAQ364" s="373">
        <f>'Q100a-geral'!JAQ887</f>
        <v>0</v>
      </c>
      <c r="JAR364" s="373">
        <f>'Q100a-geral'!JAR887</f>
        <v>0</v>
      </c>
      <c r="JAS364" s="373">
        <f>'Q100a-geral'!JAS887</f>
        <v>0</v>
      </c>
      <c r="JAT364" s="373">
        <f>'Q100a-geral'!JAT887</f>
        <v>0</v>
      </c>
      <c r="JAU364" s="373">
        <f>'Q100a-geral'!JAU887</f>
        <v>0</v>
      </c>
      <c r="JAV364" s="373">
        <f>'Q100a-geral'!JAV887</f>
        <v>0</v>
      </c>
      <c r="JAW364" s="373">
        <f>'Q100a-geral'!JAW887</f>
        <v>0</v>
      </c>
      <c r="JAX364" s="373">
        <f>'Q100a-geral'!JAX887</f>
        <v>0</v>
      </c>
      <c r="JAY364" s="373">
        <f>'Q100a-geral'!JAY887</f>
        <v>0</v>
      </c>
      <c r="JAZ364" s="373">
        <f>'Q100a-geral'!JAZ887</f>
        <v>0</v>
      </c>
      <c r="JBA364" s="373">
        <f>'Q100a-geral'!JBA887</f>
        <v>0</v>
      </c>
      <c r="JBB364" s="373">
        <f>'Q100a-geral'!JBB887</f>
        <v>0</v>
      </c>
      <c r="JBC364" s="373">
        <f>'Q100a-geral'!JBC887</f>
        <v>0</v>
      </c>
      <c r="JBD364" s="373">
        <f>'Q100a-geral'!JBD887</f>
        <v>0</v>
      </c>
      <c r="JBE364" s="373">
        <f>'Q100a-geral'!JBE887</f>
        <v>0</v>
      </c>
      <c r="JBF364" s="373">
        <f>'Q100a-geral'!JBF887</f>
        <v>0</v>
      </c>
      <c r="JBG364" s="373">
        <f>'Q100a-geral'!JBG887</f>
        <v>0</v>
      </c>
      <c r="JBH364" s="373">
        <f>'Q100a-geral'!JBH887</f>
        <v>0</v>
      </c>
      <c r="JBI364" s="373">
        <f>'Q100a-geral'!JBI887</f>
        <v>0</v>
      </c>
      <c r="JBJ364" s="373">
        <f>'Q100a-geral'!JBJ887</f>
        <v>0</v>
      </c>
      <c r="JBK364" s="373">
        <f>'Q100a-geral'!JBK887</f>
        <v>0</v>
      </c>
      <c r="JBL364" s="373">
        <f>'Q100a-geral'!JBL887</f>
        <v>0</v>
      </c>
      <c r="JBM364" s="373">
        <f>'Q100a-geral'!JBM887</f>
        <v>0</v>
      </c>
      <c r="JBN364" s="373">
        <f>'Q100a-geral'!JBN887</f>
        <v>0</v>
      </c>
      <c r="JBO364" s="373">
        <f>'Q100a-geral'!JBO887</f>
        <v>0</v>
      </c>
      <c r="JBP364" s="373">
        <f>'Q100a-geral'!JBP887</f>
        <v>0</v>
      </c>
      <c r="JBQ364" s="373">
        <f>'Q100a-geral'!JBQ887</f>
        <v>0</v>
      </c>
      <c r="JBR364" s="373">
        <f>'Q100a-geral'!JBR887</f>
        <v>0</v>
      </c>
      <c r="JBS364" s="373">
        <f>'Q100a-geral'!JBS887</f>
        <v>0</v>
      </c>
      <c r="JBT364" s="373">
        <f>'Q100a-geral'!JBT887</f>
        <v>0</v>
      </c>
      <c r="JBU364" s="373">
        <f>'Q100a-geral'!JBU887</f>
        <v>0</v>
      </c>
      <c r="JBV364" s="373">
        <f>'Q100a-geral'!JBV887</f>
        <v>0</v>
      </c>
      <c r="JBW364" s="373">
        <f>'Q100a-geral'!JBW887</f>
        <v>0</v>
      </c>
      <c r="JBX364" s="373">
        <f>'Q100a-geral'!JBX887</f>
        <v>0</v>
      </c>
      <c r="JBY364" s="373">
        <f>'Q100a-geral'!JBY887</f>
        <v>0</v>
      </c>
      <c r="JBZ364" s="373">
        <f>'Q100a-geral'!JBZ887</f>
        <v>0</v>
      </c>
      <c r="JCA364" s="373">
        <f>'Q100a-geral'!JCA887</f>
        <v>0</v>
      </c>
      <c r="JCB364" s="373">
        <f>'Q100a-geral'!JCB887</f>
        <v>0</v>
      </c>
      <c r="JCC364" s="373">
        <f>'Q100a-geral'!JCC887</f>
        <v>0</v>
      </c>
      <c r="JCD364" s="373">
        <f>'Q100a-geral'!JCD887</f>
        <v>0</v>
      </c>
      <c r="JCE364" s="373">
        <f>'Q100a-geral'!JCE887</f>
        <v>0</v>
      </c>
      <c r="JCF364" s="373">
        <f>'Q100a-geral'!JCF887</f>
        <v>0</v>
      </c>
      <c r="JCG364" s="373">
        <f>'Q100a-geral'!JCG887</f>
        <v>0</v>
      </c>
      <c r="JCH364" s="373">
        <f>'Q100a-geral'!JCH887</f>
        <v>0</v>
      </c>
      <c r="JCI364" s="373">
        <f>'Q100a-geral'!JCI887</f>
        <v>0</v>
      </c>
      <c r="JCJ364" s="373">
        <f>'Q100a-geral'!JCJ887</f>
        <v>0</v>
      </c>
      <c r="JCK364" s="373">
        <f>'Q100a-geral'!JCK887</f>
        <v>0</v>
      </c>
      <c r="JCL364" s="373">
        <f>'Q100a-geral'!JCL887</f>
        <v>0</v>
      </c>
      <c r="JCM364" s="373">
        <f>'Q100a-geral'!JCM887</f>
        <v>0</v>
      </c>
      <c r="JCN364" s="373">
        <f>'Q100a-geral'!JCN887</f>
        <v>0</v>
      </c>
      <c r="JCO364" s="373">
        <f>'Q100a-geral'!JCO887</f>
        <v>0</v>
      </c>
      <c r="JCP364" s="373">
        <f>'Q100a-geral'!JCP887</f>
        <v>0</v>
      </c>
      <c r="JCQ364" s="373">
        <f>'Q100a-geral'!JCQ887</f>
        <v>0</v>
      </c>
      <c r="JCR364" s="373">
        <f>'Q100a-geral'!JCR887</f>
        <v>0</v>
      </c>
      <c r="JCS364" s="373">
        <f>'Q100a-geral'!JCS887</f>
        <v>0</v>
      </c>
      <c r="JCT364" s="373">
        <f>'Q100a-geral'!JCT887</f>
        <v>0</v>
      </c>
      <c r="JCU364" s="373">
        <f>'Q100a-geral'!JCU887</f>
        <v>0</v>
      </c>
      <c r="JCV364" s="373">
        <f>'Q100a-geral'!JCV887</f>
        <v>0</v>
      </c>
      <c r="JCW364" s="373">
        <f>'Q100a-geral'!JCW887</f>
        <v>0</v>
      </c>
      <c r="JCX364" s="373">
        <f>'Q100a-geral'!JCX887</f>
        <v>0</v>
      </c>
      <c r="JCY364" s="373">
        <f>'Q100a-geral'!JCY887</f>
        <v>0</v>
      </c>
      <c r="JCZ364" s="373">
        <f>'Q100a-geral'!JCZ887</f>
        <v>0</v>
      </c>
      <c r="JDA364" s="373">
        <f>'Q100a-geral'!JDA887</f>
        <v>0</v>
      </c>
      <c r="JDB364" s="373">
        <f>'Q100a-geral'!JDB887</f>
        <v>0</v>
      </c>
      <c r="JDC364" s="373">
        <f>'Q100a-geral'!JDC887</f>
        <v>0</v>
      </c>
      <c r="JDD364" s="373">
        <f>'Q100a-geral'!JDD887</f>
        <v>0</v>
      </c>
      <c r="JDE364" s="373">
        <f>'Q100a-geral'!JDE887</f>
        <v>0</v>
      </c>
      <c r="JDF364" s="373">
        <f>'Q100a-geral'!JDF887</f>
        <v>0</v>
      </c>
      <c r="JDG364" s="373">
        <f>'Q100a-geral'!JDG887</f>
        <v>0</v>
      </c>
      <c r="JDH364" s="373">
        <f>'Q100a-geral'!JDH887</f>
        <v>0</v>
      </c>
      <c r="JDI364" s="373">
        <f>'Q100a-geral'!JDI887</f>
        <v>0</v>
      </c>
      <c r="JDJ364" s="373">
        <f>'Q100a-geral'!JDJ887</f>
        <v>0</v>
      </c>
      <c r="JDK364" s="373">
        <f>'Q100a-geral'!JDK887</f>
        <v>0</v>
      </c>
      <c r="JDL364" s="373">
        <f>'Q100a-geral'!JDL887</f>
        <v>0</v>
      </c>
      <c r="JDM364" s="373">
        <f>'Q100a-geral'!JDM887</f>
        <v>0</v>
      </c>
      <c r="JDN364" s="373">
        <f>'Q100a-geral'!JDN887</f>
        <v>0</v>
      </c>
      <c r="JDO364" s="373">
        <f>'Q100a-geral'!JDO887</f>
        <v>0</v>
      </c>
      <c r="JDP364" s="373">
        <f>'Q100a-geral'!JDP887</f>
        <v>0</v>
      </c>
      <c r="JDQ364" s="373">
        <f>'Q100a-geral'!JDQ887</f>
        <v>0</v>
      </c>
      <c r="JDR364" s="373">
        <f>'Q100a-geral'!JDR887</f>
        <v>0</v>
      </c>
      <c r="JDS364" s="373">
        <f>'Q100a-geral'!JDS887</f>
        <v>0</v>
      </c>
      <c r="JDT364" s="373">
        <f>'Q100a-geral'!JDT887</f>
        <v>0</v>
      </c>
      <c r="JDU364" s="373">
        <f>'Q100a-geral'!JDU887</f>
        <v>0</v>
      </c>
      <c r="JDV364" s="373">
        <f>'Q100a-geral'!JDV887</f>
        <v>0</v>
      </c>
      <c r="JDW364" s="373">
        <f>'Q100a-geral'!JDW887</f>
        <v>0</v>
      </c>
      <c r="JDX364" s="373">
        <f>'Q100a-geral'!JDX887</f>
        <v>0</v>
      </c>
      <c r="JDY364" s="373">
        <f>'Q100a-geral'!JDY887</f>
        <v>0</v>
      </c>
      <c r="JDZ364" s="373">
        <f>'Q100a-geral'!JDZ887</f>
        <v>0</v>
      </c>
      <c r="JEA364" s="373">
        <f>'Q100a-geral'!JEA887</f>
        <v>0</v>
      </c>
      <c r="JEB364" s="373">
        <f>'Q100a-geral'!JEB887</f>
        <v>0</v>
      </c>
      <c r="JEC364" s="373">
        <f>'Q100a-geral'!JEC887</f>
        <v>0</v>
      </c>
      <c r="JED364" s="373">
        <f>'Q100a-geral'!JED887</f>
        <v>0</v>
      </c>
      <c r="JEE364" s="373">
        <f>'Q100a-geral'!JEE887</f>
        <v>0</v>
      </c>
      <c r="JEF364" s="373">
        <f>'Q100a-geral'!JEF887</f>
        <v>0</v>
      </c>
      <c r="JEG364" s="373">
        <f>'Q100a-geral'!JEG887</f>
        <v>0</v>
      </c>
      <c r="JEH364" s="373">
        <f>'Q100a-geral'!JEH887</f>
        <v>0</v>
      </c>
      <c r="JEI364" s="373">
        <f>'Q100a-geral'!JEI887</f>
        <v>0</v>
      </c>
      <c r="JEJ364" s="373">
        <f>'Q100a-geral'!JEJ887</f>
        <v>0</v>
      </c>
      <c r="JEK364" s="373">
        <f>'Q100a-geral'!JEK887</f>
        <v>0</v>
      </c>
      <c r="JEL364" s="373">
        <f>'Q100a-geral'!JEL887</f>
        <v>0</v>
      </c>
      <c r="JEM364" s="373">
        <f>'Q100a-geral'!JEM887</f>
        <v>0</v>
      </c>
      <c r="JEN364" s="373">
        <f>'Q100a-geral'!JEN887</f>
        <v>0</v>
      </c>
      <c r="JEO364" s="373">
        <f>'Q100a-geral'!JEO887</f>
        <v>0</v>
      </c>
      <c r="JEP364" s="373">
        <f>'Q100a-geral'!JEP887</f>
        <v>0</v>
      </c>
      <c r="JEQ364" s="373">
        <f>'Q100a-geral'!JEQ887</f>
        <v>0</v>
      </c>
      <c r="JER364" s="373">
        <f>'Q100a-geral'!JER887</f>
        <v>0</v>
      </c>
      <c r="JES364" s="373">
        <f>'Q100a-geral'!JES887</f>
        <v>0</v>
      </c>
      <c r="JET364" s="373">
        <f>'Q100a-geral'!JET887</f>
        <v>0</v>
      </c>
      <c r="JEU364" s="373">
        <f>'Q100a-geral'!JEU887</f>
        <v>0</v>
      </c>
      <c r="JEV364" s="373">
        <f>'Q100a-geral'!JEV887</f>
        <v>0</v>
      </c>
      <c r="JEW364" s="373">
        <f>'Q100a-geral'!JEW887</f>
        <v>0</v>
      </c>
      <c r="JEX364" s="373">
        <f>'Q100a-geral'!JEX887</f>
        <v>0</v>
      </c>
      <c r="JEY364" s="373">
        <f>'Q100a-geral'!JEY887</f>
        <v>0</v>
      </c>
      <c r="JEZ364" s="373">
        <f>'Q100a-geral'!JEZ887</f>
        <v>0</v>
      </c>
      <c r="JFA364" s="373">
        <f>'Q100a-geral'!JFA887</f>
        <v>0</v>
      </c>
      <c r="JFB364" s="373">
        <f>'Q100a-geral'!JFB887</f>
        <v>0</v>
      </c>
      <c r="JFC364" s="373">
        <f>'Q100a-geral'!JFC887</f>
        <v>0</v>
      </c>
      <c r="JFD364" s="373">
        <f>'Q100a-geral'!JFD887</f>
        <v>0</v>
      </c>
      <c r="JFE364" s="373">
        <f>'Q100a-geral'!JFE887</f>
        <v>0</v>
      </c>
      <c r="JFF364" s="373">
        <f>'Q100a-geral'!JFF887</f>
        <v>0</v>
      </c>
      <c r="JFG364" s="373">
        <f>'Q100a-geral'!JFG887</f>
        <v>0</v>
      </c>
      <c r="JFH364" s="373">
        <f>'Q100a-geral'!JFH887</f>
        <v>0</v>
      </c>
      <c r="JFI364" s="373">
        <f>'Q100a-geral'!JFI887</f>
        <v>0</v>
      </c>
      <c r="JFJ364" s="373">
        <f>'Q100a-geral'!JFJ887</f>
        <v>0</v>
      </c>
      <c r="JFK364" s="373">
        <f>'Q100a-geral'!JFK887</f>
        <v>0</v>
      </c>
      <c r="JFL364" s="373">
        <f>'Q100a-geral'!JFL887</f>
        <v>0</v>
      </c>
      <c r="JFM364" s="373">
        <f>'Q100a-geral'!JFM887</f>
        <v>0</v>
      </c>
      <c r="JFN364" s="373">
        <f>'Q100a-geral'!JFN887</f>
        <v>0</v>
      </c>
      <c r="JFO364" s="373">
        <f>'Q100a-geral'!JFO887</f>
        <v>0</v>
      </c>
      <c r="JFP364" s="373">
        <f>'Q100a-geral'!JFP887</f>
        <v>0</v>
      </c>
      <c r="JFQ364" s="373">
        <f>'Q100a-geral'!JFQ887</f>
        <v>0</v>
      </c>
      <c r="JFR364" s="373">
        <f>'Q100a-geral'!JFR887</f>
        <v>0</v>
      </c>
      <c r="JFS364" s="373">
        <f>'Q100a-geral'!JFS887</f>
        <v>0</v>
      </c>
      <c r="JFT364" s="373">
        <f>'Q100a-geral'!JFT887</f>
        <v>0</v>
      </c>
      <c r="JFU364" s="373">
        <f>'Q100a-geral'!JFU887</f>
        <v>0</v>
      </c>
      <c r="JFV364" s="373">
        <f>'Q100a-geral'!JFV887</f>
        <v>0</v>
      </c>
      <c r="JFW364" s="373">
        <f>'Q100a-geral'!JFW887</f>
        <v>0</v>
      </c>
      <c r="JFX364" s="373">
        <f>'Q100a-geral'!JFX887</f>
        <v>0</v>
      </c>
      <c r="JFY364" s="373">
        <f>'Q100a-geral'!JFY887</f>
        <v>0</v>
      </c>
      <c r="JFZ364" s="373">
        <f>'Q100a-geral'!JFZ887</f>
        <v>0</v>
      </c>
      <c r="JGA364" s="373">
        <f>'Q100a-geral'!JGA887</f>
        <v>0</v>
      </c>
      <c r="JGB364" s="373">
        <f>'Q100a-geral'!JGB887</f>
        <v>0</v>
      </c>
      <c r="JGC364" s="373">
        <f>'Q100a-geral'!JGC887</f>
        <v>0</v>
      </c>
      <c r="JGD364" s="373">
        <f>'Q100a-geral'!JGD887</f>
        <v>0</v>
      </c>
      <c r="JGE364" s="373">
        <f>'Q100a-geral'!JGE887</f>
        <v>0</v>
      </c>
      <c r="JGF364" s="373">
        <f>'Q100a-geral'!JGF887</f>
        <v>0</v>
      </c>
      <c r="JGG364" s="373">
        <f>'Q100a-geral'!JGG887</f>
        <v>0</v>
      </c>
      <c r="JGH364" s="373">
        <f>'Q100a-geral'!JGH887</f>
        <v>0</v>
      </c>
      <c r="JGI364" s="373">
        <f>'Q100a-geral'!JGI887</f>
        <v>0</v>
      </c>
      <c r="JGJ364" s="373">
        <f>'Q100a-geral'!JGJ887</f>
        <v>0</v>
      </c>
      <c r="JGK364" s="373">
        <f>'Q100a-geral'!JGK887</f>
        <v>0</v>
      </c>
      <c r="JGL364" s="373">
        <f>'Q100a-geral'!JGL887</f>
        <v>0</v>
      </c>
      <c r="JGM364" s="373">
        <f>'Q100a-geral'!JGM887</f>
        <v>0</v>
      </c>
      <c r="JGN364" s="373">
        <f>'Q100a-geral'!JGN887</f>
        <v>0</v>
      </c>
      <c r="JGO364" s="373">
        <f>'Q100a-geral'!JGO887</f>
        <v>0</v>
      </c>
      <c r="JGP364" s="373">
        <f>'Q100a-geral'!JGP887</f>
        <v>0</v>
      </c>
      <c r="JGQ364" s="373">
        <f>'Q100a-geral'!JGQ887</f>
        <v>0</v>
      </c>
      <c r="JGR364" s="373">
        <f>'Q100a-geral'!JGR887</f>
        <v>0</v>
      </c>
      <c r="JGS364" s="373">
        <f>'Q100a-geral'!JGS887</f>
        <v>0</v>
      </c>
      <c r="JGT364" s="373">
        <f>'Q100a-geral'!JGT887</f>
        <v>0</v>
      </c>
      <c r="JGU364" s="373">
        <f>'Q100a-geral'!JGU887</f>
        <v>0</v>
      </c>
      <c r="JGV364" s="373">
        <f>'Q100a-geral'!JGV887</f>
        <v>0</v>
      </c>
      <c r="JGW364" s="373">
        <f>'Q100a-geral'!JGW887</f>
        <v>0</v>
      </c>
      <c r="JGX364" s="373">
        <f>'Q100a-geral'!JGX887</f>
        <v>0</v>
      </c>
      <c r="JGY364" s="373">
        <f>'Q100a-geral'!JGY887</f>
        <v>0</v>
      </c>
      <c r="JGZ364" s="373">
        <f>'Q100a-geral'!JGZ887</f>
        <v>0</v>
      </c>
      <c r="JHA364" s="373">
        <f>'Q100a-geral'!JHA887</f>
        <v>0</v>
      </c>
      <c r="JHB364" s="373">
        <f>'Q100a-geral'!JHB887</f>
        <v>0</v>
      </c>
      <c r="JHC364" s="373">
        <f>'Q100a-geral'!JHC887</f>
        <v>0</v>
      </c>
      <c r="JHD364" s="373">
        <f>'Q100a-geral'!JHD887</f>
        <v>0</v>
      </c>
      <c r="JHE364" s="373">
        <f>'Q100a-geral'!JHE887</f>
        <v>0</v>
      </c>
      <c r="JHF364" s="373">
        <f>'Q100a-geral'!JHF887</f>
        <v>0</v>
      </c>
      <c r="JHG364" s="373">
        <f>'Q100a-geral'!JHG887</f>
        <v>0</v>
      </c>
      <c r="JHH364" s="373">
        <f>'Q100a-geral'!JHH887</f>
        <v>0</v>
      </c>
      <c r="JHI364" s="373">
        <f>'Q100a-geral'!JHI887</f>
        <v>0</v>
      </c>
      <c r="JHJ364" s="373">
        <f>'Q100a-geral'!JHJ887</f>
        <v>0</v>
      </c>
      <c r="JHK364" s="373">
        <f>'Q100a-geral'!JHK887</f>
        <v>0</v>
      </c>
      <c r="JHL364" s="373">
        <f>'Q100a-geral'!JHL887</f>
        <v>0</v>
      </c>
      <c r="JHM364" s="373">
        <f>'Q100a-geral'!JHM887</f>
        <v>0</v>
      </c>
      <c r="JHN364" s="373">
        <f>'Q100a-geral'!JHN887</f>
        <v>0</v>
      </c>
      <c r="JHO364" s="373">
        <f>'Q100a-geral'!JHO887</f>
        <v>0</v>
      </c>
      <c r="JHP364" s="373">
        <f>'Q100a-geral'!JHP887</f>
        <v>0</v>
      </c>
      <c r="JHQ364" s="373">
        <f>'Q100a-geral'!JHQ887</f>
        <v>0</v>
      </c>
      <c r="JHR364" s="373">
        <f>'Q100a-geral'!JHR887</f>
        <v>0</v>
      </c>
      <c r="JHS364" s="373">
        <f>'Q100a-geral'!JHS887</f>
        <v>0</v>
      </c>
      <c r="JHT364" s="373">
        <f>'Q100a-geral'!JHT887</f>
        <v>0</v>
      </c>
      <c r="JHU364" s="373">
        <f>'Q100a-geral'!JHU887</f>
        <v>0</v>
      </c>
      <c r="JHV364" s="373">
        <f>'Q100a-geral'!JHV887</f>
        <v>0</v>
      </c>
      <c r="JHW364" s="373">
        <f>'Q100a-geral'!JHW887</f>
        <v>0</v>
      </c>
      <c r="JHX364" s="373">
        <f>'Q100a-geral'!JHX887</f>
        <v>0</v>
      </c>
      <c r="JHY364" s="373">
        <f>'Q100a-geral'!JHY887</f>
        <v>0</v>
      </c>
      <c r="JHZ364" s="373">
        <f>'Q100a-geral'!JHZ887</f>
        <v>0</v>
      </c>
      <c r="JIA364" s="373">
        <f>'Q100a-geral'!JIA887</f>
        <v>0</v>
      </c>
      <c r="JIB364" s="373">
        <f>'Q100a-geral'!JIB887</f>
        <v>0</v>
      </c>
      <c r="JIC364" s="373">
        <f>'Q100a-geral'!JIC887</f>
        <v>0</v>
      </c>
      <c r="JID364" s="373">
        <f>'Q100a-geral'!JID887</f>
        <v>0</v>
      </c>
      <c r="JIE364" s="373">
        <f>'Q100a-geral'!JIE887</f>
        <v>0</v>
      </c>
      <c r="JIF364" s="373">
        <f>'Q100a-geral'!JIF887</f>
        <v>0</v>
      </c>
      <c r="JIG364" s="373">
        <f>'Q100a-geral'!JIG887</f>
        <v>0</v>
      </c>
      <c r="JIH364" s="373">
        <f>'Q100a-geral'!JIH887</f>
        <v>0</v>
      </c>
      <c r="JII364" s="373">
        <f>'Q100a-geral'!JII887</f>
        <v>0</v>
      </c>
      <c r="JIJ364" s="373">
        <f>'Q100a-geral'!JIJ887</f>
        <v>0</v>
      </c>
      <c r="JIK364" s="373">
        <f>'Q100a-geral'!JIK887</f>
        <v>0</v>
      </c>
      <c r="JIL364" s="373">
        <f>'Q100a-geral'!JIL887</f>
        <v>0</v>
      </c>
      <c r="JIM364" s="373">
        <f>'Q100a-geral'!JIM887</f>
        <v>0</v>
      </c>
      <c r="JIN364" s="373">
        <f>'Q100a-geral'!JIN887</f>
        <v>0</v>
      </c>
      <c r="JIO364" s="373">
        <f>'Q100a-geral'!JIO887</f>
        <v>0</v>
      </c>
      <c r="JIP364" s="373">
        <f>'Q100a-geral'!JIP887</f>
        <v>0</v>
      </c>
      <c r="JIQ364" s="373">
        <f>'Q100a-geral'!JIQ887</f>
        <v>0</v>
      </c>
      <c r="JIR364" s="373">
        <f>'Q100a-geral'!JIR887</f>
        <v>0</v>
      </c>
      <c r="JIS364" s="373">
        <f>'Q100a-geral'!JIS887</f>
        <v>0</v>
      </c>
      <c r="JIT364" s="373">
        <f>'Q100a-geral'!JIT887</f>
        <v>0</v>
      </c>
      <c r="JIU364" s="373">
        <f>'Q100a-geral'!JIU887</f>
        <v>0</v>
      </c>
      <c r="JIV364" s="373">
        <f>'Q100a-geral'!JIV887</f>
        <v>0</v>
      </c>
      <c r="JIW364" s="373">
        <f>'Q100a-geral'!JIW887</f>
        <v>0</v>
      </c>
      <c r="JIX364" s="373">
        <f>'Q100a-geral'!JIX887</f>
        <v>0</v>
      </c>
      <c r="JIY364" s="373">
        <f>'Q100a-geral'!JIY887</f>
        <v>0</v>
      </c>
      <c r="JIZ364" s="373">
        <f>'Q100a-geral'!JIZ887</f>
        <v>0</v>
      </c>
      <c r="JJA364" s="373">
        <f>'Q100a-geral'!JJA887</f>
        <v>0</v>
      </c>
      <c r="JJB364" s="373">
        <f>'Q100a-geral'!JJB887</f>
        <v>0</v>
      </c>
      <c r="JJC364" s="373">
        <f>'Q100a-geral'!JJC887</f>
        <v>0</v>
      </c>
      <c r="JJD364" s="373">
        <f>'Q100a-geral'!JJD887</f>
        <v>0</v>
      </c>
      <c r="JJE364" s="373">
        <f>'Q100a-geral'!JJE887</f>
        <v>0</v>
      </c>
      <c r="JJF364" s="373">
        <f>'Q100a-geral'!JJF887</f>
        <v>0</v>
      </c>
      <c r="JJG364" s="373">
        <f>'Q100a-geral'!JJG887</f>
        <v>0</v>
      </c>
      <c r="JJH364" s="373">
        <f>'Q100a-geral'!JJH887</f>
        <v>0</v>
      </c>
      <c r="JJI364" s="373">
        <f>'Q100a-geral'!JJI887</f>
        <v>0</v>
      </c>
      <c r="JJJ364" s="373">
        <f>'Q100a-geral'!JJJ887</f>
        <v>0</v>
      </c>
      <c r="JJK364" s="373">
        <f>'Q100a-geral'!JJK887</f>
        <v>0</v>
      </c>
      <c r="JJL364" s="373">
        <f>'Q100a-geral'!JJL887</f>
        <v>0</v>
      </c>
      <c r="JJM364" s="373">
        <f>'Q100a-geral'!JJM887</f>
        <v>0</v>
      </c>
      <c r="JJN364" s="373">
        <f>'Q100a-geral'!JJN887</f>
        <v>0</v>
      </c>
      <c r="JJO364" s="373">
        <f>'Q100a-geral'!JJO887</f>
        <v>0</v>
      </c>
      <c r="JJP364" s="373">
        <f>'Q100a-geral'!JJP887</f>
        <v>0</v>
      </c>
      <c r="JJQ364" s="373">
        <f>'Q100a-geral'!JJQ887</f>
        <v>0</v>
      </c>
      <c r="JJR364" s="373">
        <f>'Q100a-geral'!JJR887</f>
        <v>0</v>
      </c>
      <c r="JJS364" s="373">
        <f>'Q100a-geral'!JJS887</f>
        <v>0</v>
      </c>
      <c r="JJT364" s="373">
        <f>'Q100a-geral'!JJT887</f>
        <v>0</v>
      </c>
      <c r="JJU364" s="373">
        <f>'Q100a-geral'!JJU887</f>
        <v>0</v>
      </c>
      <c r="JJV364" s="373">
        <f>'Q100a-geral'!JJV887</f>
        <v>0</v>
      </c>
      <c r="JJW364" s="373">
        <f>'Q100a-geral'!JJW887</f>
        <v>0</v>
      </c>
      <c r="JJX364" s="373">
        <f>'Q100a-geral'!JJX887</f>
        <v>0</v>
      </c>
      <c r="JJY364" s="373">
        <f>'Q100a-geral'!JJY887</f>
        <v>0</v>
      </c>
      <c r="JJZ364" s="373">
        <f>'Q100a-geral'!JJZ887</f>
        <v>0</v>
      </c>
      <c r="JKA364" s="373">
        <f>'Q100a-geral'!JKA887</f>
        <v>0</v>
      </c>
      <c r="JKB364" s="373">
        <f>'Q100a-geral'!JKB887</f>
        <v>0</v>
      </c>
      <c r="JKC364" s="373">
        <f>'Q100a-geral'!JKC887</f>
        <v>0</v>
      </c>
      <c r="JKD364" s="373">
        <f>'Q100a-geral'!JKD887</f>
        <v>0</v>
      </c>
      <c r="JKE364" s="373">
        <f>'Q100a-geral'!JKE887</f>
        <v>0</v>
      </c>
      <c r="JKF364" s="373">
        <f>'Q100a-geral'!JKF887</f>
        <v>0</v>
      </c>
      <c r="JKG364" s="373">
        <f>'Q100a-geral'!JKG887</f>
        <v>0</v>
      </c>
      <c r="JKH364" s="373">
        <f>'Q100a-geral'!JKH887</f>
        <v>0</v>
      </c>
      <c r="JKI364" s="373">
        <f>'Q100a-geral'!JKI887</f>
        <v>0</v>
      </c>
      <c r="JKJ364" s="373">
        <f>'Q100a-geral'!JKJ887</f>
        <v>0</v>
      </c>
      <c r="JKK364" s="373">
        <f>'Q100a-geral'!JKK887</f>
        <v>0</v>
      </c>
      <c r="JKL364" s="373">
        <f>'Q100a-geral'!JKL887</f>
        <v>0</v>
      </c>
      <c r="JKM364" s="373">
        <f>'Q100a-geral'!JKM887</f>
        <v>0</v>
      </c>
      <c r="JKN364" s="373">
        <f>'Q100a-geral'!JKN887</f>
        <v>0</v>
      </c>
      <c r="JKO364" s="373">
        <f>'Q100a-geral'!JKO887</f>
        <v>0</v>
      </c>
      <c r="JKP364" s="373">
        <f>'Q100a-geral'!JKP887</f>
        <v>0</v>
      </c>
      <c r="JKQ364" s="373">
        <f>'Q100a-geral'!JKQ887</f>
        <v>0</v>
      </c>
      <c r="JKR364" s="373">
        <f>'Q100a-geral'!JKR887</f>
        <v>0</v>
      </c>
      <c r="JKS364" s="373">
        <f>'Q100a-geral'!JKS887</f>
        <v>0</v>
      </c>
      <c r="JKT364" s="373">
        <f>'Q100a-geral'!JKT887</f>
        <v>0</v>
      </c>
      <c r="JKU364" s="373">
        <f>'Q100a-geral'!JKU887</f>
        <v>0</v>
      </c>
      <c r="JKV364" s="373">
        <f>'Q100a-geral'!JKV887</f>
        <v>0</v>
      </c>
      <c r="JKW364" s="373">
        <f>'Q100a-geral'!JKW887</f>
        <v>0</v>
      </c>
      <c r="JKX364" s="373">
        <f>'Q100a-geral'!JKX887</f>
        <v>0</v>
      </c>
      <c r="JKY364" s="373">
        <f>'Q100a-geral'!JKY887</f>
        <v>0</v>
      </c>
      <c r="JKZ364" s="373">
        <f>'Q100a-geral'!JKZ887</f>
        <v>0</v>
      </c>
      <c r="JLA364" s="373">
        <f>'Q100a-geral'!JLA887</f>
        <v>0</v>
      </c>
      <c r="JLB364" s="373">
        <f>'Q100a-geral'!JLB887</f>
        <v>0</v>
      </c>
      <c r="JLC364" s="373">
        <f>'Q100a-geral'!JLC887</f>
        <v>0</v>
      </c>
      <c r="JLD364" s="373">
        <f>'Q100a-geral'!JLD887</f>
        <v>0</v>
      </c>
      <c r="JLE364" s="373">
        <f>'Q100a-geral'!JLE887</f>
        <v>0</v>
      </c>
      <c r="JLF364" s="373">
        <f>'Q100a-geral'!JLF887</f>
        <v>0</v>
      </c>
      <c r="JLG364" s="373">
        <f>'Q100a-geral'!JLG887</f>
        <v>0</v>
      </c>
      <c r="JLH364" s="373">
        <f>'Q100a-geral'!JLH887</f>
        <v>0</v>
      </c>
      <c r="JLI364" s="373">
        <f>'Q100a-geral'!JLI887</f>
        <v>0</v>
      </c>
      <c r="JLJ364" s="373">
        <f>'Q100a-geral'!JLJ887</f>
        <v>0</v>
      </c>
      <c r="JLK364" s="373">
        <f>'Q100a-geral'!JLK887</f>
        <v>0</v>
      </c>
      <c r="JLL364" s="373">
        <f>'Q100a-geral'!JLL887</f>
        <v>0</v>
      </c>
      <c r="JLM364" s="373">
        <f>'Q100a-geral'!JLM887</f>
        <v>0</v>
      </c>
      <c r="JLN364" s="373">
        <f>'Q100a-geral'!JLN887</f>
        <v>0</v>
      </c>
      <c r="JLO364" s="373">
        <f>'Q100a-geral'!JLO887</f>
        <v>0</v>
      </c>
      <c r="JLP364" s="373">
        <f>'Q100a-geral'!JLP887</f>
        <v>0</v>
      </c>
      <c r="JLQ364" s="373">
        <f>'Q100a-geral'!JLQ887</f>
        <v>0</v>
      </c>
      <c r="JLR364" s="373">
        <f>'Q100a-geral'!JLR887</f>
        <v>0</v>
      </c>
      <c r="JLS364" s="373">
        <f>'Q100a-geral'!JLS887</f>
        <v>0</v>
      </c>
      <c r="JLT364" s="373">
        <f>'Q100a-geral'!JLT887</f>
        <v>0</v>
      </c>
      <c r="JLU364" s="373">
        <f>'Q100a-geral'!JLU887</f>
        <v>0</v>
      </c>
      <c r="JLV364" s="373">
        <f>'Q100a-geral'!JLV887</f>
        <v>0</v>
      </c>
      <c r="JLW364" s="373">
        <f>'Q100a-geral'!JLW887</f>
        <v>0</v>
      </c>
      <c r="JLX364" s="373">
        <f>'Q100a-geral'!JLX887</f>
        <v>0</v>
      </c>
      <c r="JLY364" s="373">
        <f>'Q100a-geral'!JLY887</f>
        <v>0</v>
      </c>
      <c r="JLZ364" s="373">
        <f>'Q100a-geral'!JLZ887</f>
        <v>0</v>
      </c>
      <c r="JMA364" s="373">
        <f>'Q100a-geral'!JMA887</f>
        <v>0</v>
      </c>
      <c r="JMB364" s="373">
        <f>'Q100a-geral'!JMB887</f>
        <v>0</v>
      </c>
      <c r="JMC364" s="373">
        <f>'Q100a-geral'!JMC887</f>
        <v>0</v>
      </c>
      <c r="JMD364" s="373">
        <f>'Q100a-geral'!JMD887</f>
        <v>0</v>
      </c>
      <c r="JME364" s="373">
        <f>'Q100a-geral'!JME887</f>
        <v>0</v>
      </c>
      <c r="JMF364" s="373">
        <f>'Q100a-geral'!JMF887</f>
        <v>0</v>
      </c>
      <c r="JMG364" s="373">
        <f>'Q100a-geral'!JMG887</f>
        <v>0</v>
      </c>
      <c r="JMH364" s="373">
        <f>'Q100a-geral'!JMH887</f>
        <v>0</v>
      </c>
      <c r="JMI364" s="373">
        <f>'Q100a-geral'!JMI887</f>
        <v>0</v>
      </c>
      <c r="JMJ364" s="373">
        <f>'Q100a-geral'!JMJ887</f>
        <v>0</v>
      </c>
      <c r="JMK364" s="373">
        <f>'Q100a-geral'!JMK887</f>
        <v>0</v>
      </c>
      <c r="JML364" s="373">
        <f>'Q100a-geral'!JML887</f>
        <v>0</v>
      </c>
      <c r="JMM364" s="373">
        <f>'Q100a-geral'!JMM887</f>
        <v>0</v>
      </c>
      <c r="JMN364" s="373">
        <f>'Q100a-geral'!JMN887</f>
        <v>0</v>
      </c>
      <c r="JMO364" s="373">
        <f>'Q100a-geral'!JMO887</f>
        <v>0</v>
      </c>
      <c r="JMP364" s="373">
        <f>'Q100a-geral'!JMP887</f>
        <v>0</v>
      </c>
      <c r="JMQ364" s="373">
        <f>'Q100a-geral'!JMQ887</f>
        <v>0</v>
      </c>
      <c r="JMR364" s="373">
        <f>'Q100a-geral'!JMR887</f>
        <v>0</v>
      </c>
      <c r="JMS364" s="373">
        <f>'Q100a-geral'!JMS887</f>
        <v>0</v>
      </c>
      <c r="JMT364" s="373">
        <f>'Q100a-geral'!JMT887</f>
        <v>0</v>
      </c>
      <c r="JMU364" s="373">
        <f>'Q100a-geral'!JMU887</f>
        <v>0</v>
      </c>
      <c r="JMV364" s="373">
        <f>'Q100a-geral'!JMV887</f>
        <v>0</v>
      </c>
      <c r="JMW364" s="373">
        <f>'Q100a-geral'!JMW887</f>
        <v>0</v>
      </c>
      <c r="JMX364" s="373">
        <f>'Q100a-geral'!JMX887</f>
        <v>0</v>
      </c>
      <c r="JMY364" s="373">
        <f>'Q100a-geral'!JMY887</f>
        <v>0</v>
      </c>
      <c r="JMZ364" s="373">
        <f>'Q100a-geral'!JMZ887</f>
        <v>0</v>
      </c>
      <c r="JNA364" s="373">
        <f>'Q100a-geral'!JNA887</f>
        <v>0</v>
      </c>
      <c r="JNB364" s="373">
        <f>'Q100a-geral'!JNB887</f>
        <v>0</v>
      </c>
      <c r="JNC364" s="373">
        <f>'Q100a-geral'!JNC887</f>
        <v>0</v>
      </c>
      <c r="JND364" s="373">
        <f>'Q100a-geral'!JND887</f>
        <v>0</v>
      </c>
      <c r="JNE364" s="373">
        <f>'Q100a-geral'!JNE887</f>
        <v>0</v>
      </c>
      <c r="JNF364" s="373">
        <f>'Q100a-geral'!JNF887</f>
        <v>0</v>
      </c>
      <c r="JNG364" s="373">
        <f>'Q100a-geral'!JNG887</f>
        <v>0</v>
      </c>
      <c r="JNH364" s="373">
        <f>'Q100a-geral'!JNH887</f>
        <v>0</v>
      </c>
      <c r="JNI364" s="373">
        <f>'Q100a-geral'!JNI887</f>
        <v>0</v>
      </c>
      <c r="JNJ364" s="373">
        <f>'Q100a-geral'!JNJ887</f>
        <v>0</v>
      </c>
      <c r="JNK364" s="373">
        <f>'Q100a-geral'!JNK887</f>
        <v>0</v>
      </c>
      <c r="JNL364" s="373">
        <f>'Q100a-geral'!JNL887</f>
        <v>0</v>
      </c>
      <c r="JNM364" s="373">
        <f>'Q100a-geral'!JNM887</f>
        <v>0</v>
      </c>
      <c r="JNN364" s="373">
        <f>'Q100a-geral'!JNN887</f>
        <v>0</v>
      </c>
      <c r="JNO364" s="373">
        <f>'Q100a-geral'!JNO887</f>
        <v>0</v>
      </c>
      <c r="JNP364" s="373">
        <f>'Q100a-geral'!JNP887</f>
        <v>0</v>
      </c>
      <c r="JNQ364" s="373">
        <f>'Q100a-geral'!JNQ887</f>
        <v>0</v>
      </c>
      <c r="JNR364" s="373">
        <f>'Q100a-geral'!JNR887</f>
        <v>0</v>
      </c>
      <c r="JNS364" s="373">
        <f>'Q100a-geral'!JNS887</f>
        <v>0</v>
      </c>
      <c r="JNT364" s="373">
        <f>'Q100a-geral'!JNT887</f>
        <v>0</v>
      </c>
      <c r="JNU364" s="373">
        <f>'Q100a-geral'!JNU887</f>
        <v>0</v>
      </c>
      <c r="JNV364" s="373">
        <f>'Q100a-geral'!JNV887</f>
        <v>0</v>
      </c>
      <c r="JNW364" s="373">
        <f>'Q100a-geral'!JNW887</f>
        <v>0</v>
      </c>
      <c r="JNX364" s="373">
        <f>'Q100a-geral'!JNX887</f>
        <v>0</v>
      </c>
      <c r="JNY364" s="373">
        <f>'Q100a-geral'!JNY887</f>
        <v>0</v>
      </c>
      <c r="JNZ364" s="373">
        <f>'Q100a-geral'!JNZ887</f>
        <v>0</v>
      </c>
      <c r="JOA364" s="373">
        <f>'Q100a-geral'!JOA887</f>
        <v>0</v>
      </c>
      <c r="JOB364" s="373">
        <f>'Q100a-geral'!JOB887</f>
        <v>0</v>
      </c>
      <c r="JOC364" s="373">
        <f>'Q100a-geral'!JOC887</f>
        <v>0</v>
      </c>
      <c r="JOD364" s="373">
        <f>'Q100a-geral'!JOD887</f>
        <v>0</v>
      </c>
      <c r="JOE364" s="373">
        <f>'Q100a-geral'!JOE887</f>
        <v>0</v>
      </c>
      <c r="JOF364" s="373">
        <f>'Q100a-geral'!JOF887</f>
        <v>0</v>
      </c>
      <c r="JOG364" s="373">
        <f>'Q100a-geral'!JOG887</f>
        <v>0</v>
      </c>
      <c r="JOH364" s="373">
        <f>'Q100a-geral'!JOH887</f>
        <v>0</v>
      </c>
      <c r="JOI364" s="373">
        <f>'Q100a-geral'!JOI887</f>
        <v>0</v>
      </c>
      <c r="JOJ364" s="373">
        <f>'Q100a-geral'!JOJ887</f>
        <v>0</v>
      </c>
      <c r="JOK364" s="373">
        <f>'Q100a-geral'!JOK887</f>
        <v>0</v>
      </c>
      <c r="JOL364" s="373">
        <f>'Q100a-geral'!JOL887</f>
        <v>0</v>
      </c>
      <c r="JOM364" s="373">
        <f>'Q100a-geral'!JOM887</f>
        <v>0</v>
      </c>
      <c r="JON364" s="373">
        <f>'Q100a-geral'!JON887</f>
        <v>0</v>
      </c>
      <c r="JOO364" s="373">
        <f>'Q100a-geral'!JOO887</f>
        <v>0</v>
      </c>
      <c r="JOP364" s="373">
        <f>'Q100a-geral'!JOP887</f>
        <v>0</v>
      </c>
      <c r="JOQ364" s="373">
        <f>'Q100a-geral'!JOQ887</f>
        <v>0</v>
      </c>
      <c r="JOR364" s="373">
        <f>'Q100a-geral'!JOR887</f>
        <v>0</v>
      </c>
      <c r="JOS364" s="373">
        <f>'Q100a-geral'!JOS887</f>
        <v>0</v>
      </c>
      <c r="JOT364" s="373">
        <f>'Q100a-geral'!JOT887</f>
        <v>0</v>
      </c>
      <c r="JOU364" s="373">
        <f>'Q100a-geral'!JOU887</f>
        <v>0</v>
      </c>
      <c r="JOV364" s="373">
        <f>'Q100a-geral'!JOV887</f>
        <v>0</v>
      </c>
      <c r="JOW364" s="373">
        <f>'Q100a-geral'!JOW887</f>
        <v>0</v>
      </c>
      <c r="JOX364" s="373">
        <f>'Q100a-geral'!JOX887</f>
        <v>0</v>
      </c>
      <c r="JOY364" s="373">
        <f>'Q100a-geral'!JOY887</f>
        <v>0</v>
      </c>
      <c r="JOZ364" s="373">
        <f>'Q100a-geral'!JOZ887</f>
        <v>0</v>
      </c>
      <c r="JPA364" s="373">
        <f>'Q100a-geral'!JPA887</f>
        <v>0</v>
      </c>
      <c r="JPB364" s="373">
        <f>'Q100a-geral'!JPB887</f>
        <v>0</v>
      </c>
      <c r="JPC364" s="373">
        <f>'Q100a-geral'!JPC887</f>
        <v>0</v>
      </c>
      <c r="JPD364" s="373">
        <f>'Q100a-geral'!JPD887</f>
        <v>0</v>
      </c>
      <c r="JPE364" s="373">
        <f>'Q100a-geral'!JPE887</f>
        <v>0</v>
      </c>
      <c r="JPF364" s="373">
        <f>'Q100a-geral'!JPF887</f>
        <v>0</v>
      </c>
      <c r="JPG364" s="373">
        <f>'Q100a-geral'!JPG887</f>
        <v>0</v>
      </c>
      <c r="JPH364" s="373">
        <f>'Q100a-geral'!JPH887</f>
        <v>0</v>
      </c>
      <c r="JPI364" s="373">
        <f>'Q100a-geral'!JPI887</f>
        <v>0</v>
      </c>
      <c r="JPJ364" s="373">
        <f>'Q100a-geral'!JPJ887</f>
        <v>0</v>
      </c>
      <c r="JPK364" s="373">
        <f>'Q100a-geral'!JPK887</f>
        <v>0</v>
      </c>
      <c r="JPL364" s="373">
        <f>'Q100a-geral'!JPL887</f>
        <v>0</v>
      </c>
      <c r="JPM364" s="373">
        <f>'Q100a-geral'!JPM887</f>
        <v>0</v>
      </c>
      <c r="JPN364" s="373">
        <f>'Q100a-geral'!JPN887</f>
        <v>0</v>
      </c>
      <c r="JPO364" s="373">
        <f>'Q100a-geral'!JPO887</f>
        <v>0</v>
      </c>
      <c r="JPP364" s="373">
        <f>'Q100a-geral'!JPP887</f>
        <v>0</v>
      </c>
      <c r="JPQ364" s="373">
        <f>'Q100a-geral'!JPQ887</f>
        <v>0</v>
      </c>
      <c r="JPR364" s="373">
        <f>'Q100a-geral'!JPR887</f>
        <v>0</v>
      </c>
      <c r="JPS364" s="373">
        <f>'Q100a-geral'!JPS887</f>
        <v>0</v>
      </c>
      <c r="JPT364" s="373">
        <f>'Q100a-geral'!JPT887</f>
        <v>0</v>
      </c>
      <c r="JPU364" s="373">
        <f>'Q100a-geral'!JPU887</f>
        <v>0</v>
      </c>
      <c r="JPV364" s="373">
        <f>'Q100a-geral'!JPV887</f>
        <v>0</v>
      </c>
      <c r="JPW364" s="373">
        <f>'Q100a-geral'!JPW887</f>
        <v>0</v>
      </c>
      <c r="JPX364" s="373">
        <f>'Q100a-geral'!JPX887</f>
        <v>0</v>
      </c>
      <c r="JPY364" s="373">
        <f>'Q100a-geral'!JPY887</f>
        <v>0</v>
      </c>
      <c r="JPZ364" s="373">
        <f>'Q100a-geral'!JPZ887</f>
        <v>0</v>
      </c>
      <c r="JQA364" s="373">
        <f>'Q100a-geral'!JQA887</f>
        <v>0</v>
      </c>
      <c r="JQB364" s="373">
        <f>'Q100a-geral'!JQB887</f>
        <v>0</v>
      </c>
      <c r="JQC364" s="373">
        <f>'Q100a-geral'!JQC887</f>
        <v>0</v>
      </c>
      <c r="JQD364" s="373">
        <f>'Q100a-geral'!JQD887</f>
        <v>0</v>
      </c>
      <c r="JQE364" s="373">
        <f>'Q100a-geral'!JQE887</f>
        <v>0</v>
      </c>
      <c r="JQF364" s="373">
        <f>'Q100a-geral'!JQF887</f>
        <v>0</v>
      </c>
      <c r="JQG364" s="373">
        <f>'Q100a-geral'!JQG887</f>
        <v>0</v>
      </c>
      <c r="JQH364" s="373">
        <f>'Q100a-geral'!JQH887</f>
        <v>0</v>
      </c>
      <c r="JQI364" s="373">
        <f>'Q100a-geral'!JQI887</f>
        <v>0</v>
      </c>
      <c r="JQJ364" s="373">
        <f>'Q100a-geral'!JQJ887</f>
        <v>0</v>
      </c>
      <c r="JQK364" s="373">
        <f>'Q100a-geral'!JQK887</f>
        <v>0</v>
      </c>
      <c r="JQL364" s="373">
        <f>'Q100a-geral'!JQL887</f>
        <v>0</v>
      </c>
      <c r="JQM364" s="373">
        <f>'Q100a-geral'!JQM887</f>
        <v>0</v>
      </c>
      <c r="JQN364" s="373">
        <f>'Q100a-geral'!JQN887</f>
        <v>0</v>
      </c>
      <c r="JQO364" s="373">
        <f>'Q100a-geral'!JQO887</f>
        <v>0</v>
      </c>
      <c r="JQP364" s="373">
        <f>'Q100a-geral'!JQP887</f>
        <v>0</v>
      </c>
      <c r="JQQ364" s="373">
        <f>'Q100a-geral'!JQQ887</f>
        <v>0</v>
      </c>
      <c r="JQR364" s="373">
        <f>'Q100a-geral'!JQR887</f>
        <v>0</v>
      </c>
      <c r="JQS364" s="373">
        <f>'Q100a-geral'!JQS887</f>
        <v>0</v>
      </c>
      <c r="JQT364" s="373">
        <f>'Q100a-geral'!JQT887</f>
        <v>0</v>
      </c>
      <c r="JQU364" s="373">
        <f>'Q100a-geral'!JQU887</f>
        <v>0</v>
      </c>
      <c r="JQV364" s="373">
        <f>'Q100a-geral'!JQV887</f>
        <v>0</v>
      </c>
      <c r="JQW364" s="373">
        <f>'Q100a-geral'!JQW887</f>
        <v>0</v>
      </c>
      <c r="JQX364" s="373">
        <f>'Q100a-geral'!JQX887</f>
        <v>0</v>
      </c>
      <c r="JQY364" s="373">
        <f>'Q100a-geral'!JQY887</f>
        <v>0</v>
      </c>
      <c r="JQZ364" s="373">
        <f>'Q100a-geral'!JQZ887</f>
        <v>0</v>
      </c>
      <c r="JRA364" s="373">
        <f>'Q100a-geral'!JRA887</f>
        <v>0</v>
      </c>
      <c r="JRB364" s="373">
        <f>'Q100a-geral'!JRB887</f>
        <v>0</v>
      </c>
      <c r="JRC364" s="373">
        <f>'Q100a-geral'!JRC887</f>
        <v>0</v>
      </c>
      <c r="JRD364" s="373">
        <f>'Q100a-geral'!JRD887</f>
        <v>0</v>
      </c>
      <c r="JRE364" s="373">
        <f>'Q100a-geral'!JRE887</f>
        <v>0</v>
      </c>
      <c r="JRF364" s="373">
        <f>'Q100a-geral'!JRF887</f>
        <v>0</v>
      </c>
      <c r="JRG364" s="373">
        <f>'Q100a-geral'!JRG887</f>
        <v>0</v>
      </c>
      <c r="JRH364" s="373">
        <f>'Q100a-geral'!JRH887</f>
        <v>0</v>
      </c>
      <c r="JRI364" s="373">
        <f>'Q100a-geral'!JRI887</f>
        <v>0</v>
      </c>
      <c r="JRJ364" s="373">
        <f>'Q100a-geral'!JRJ887</f>
        <v>0</v>
      </c>
      <c r="JRK364" s="373">
        <f>'Q100a-geral'!JRK887</f>
        <v>0</v>
      </c>
      <c r="JRL364" s="373">
        <f>'Q100a-geral'!JRL887</f>
        <v>0</v>
      </c>
      <c r="JRM364" s="373">
        <f>'Q100a-geral'!JRM887</f>
        <v>0</v>
      </c>
      <c r="JRN364" s="373">
        <f>'Q100a-geral'!JRN887</f>
        <v>0</v>
      </c>
      <c r="JRO364" s="373">
        <f>'Q100a-geral'!JRO887</f>
        <v>0</v>
      </c>
      <c r="JRP364" s="373">
        <f>'Q100a-geral'!JRP887</f>
        <v>0</v>
      </c>
      <c r="JRQ364" s="373">
        <f>'Q100a-geral'!JRQ887</f>
        <v>0</v>
      </c>
      <c r="JRR364" s="373">
        <f>'Q100a-geral'!JRR887</f>
        <v>0</v>
      </c>
      <c r="JRS364" s="373">
        <f>'Q100a-geral'!JRS887</f>
        <v>0</v>
      </c>
      <c r="JRT364" s="373">
        <f>'Q100a-geral'!JRT887</f>
        <v>0</v>
      </c>
      <c r="JRU364" s="373">
        <f>'Q100a-geral'!JRU887</f>
        <v>0</v>
      </c>
      <c r="JRV364" s="373">
        <f>'Q100a-geral'!JRV887</f>
        <v>0</v>
      </c>
      <c r="JRW364" s="373">
        <f>'Q100a-geral'!JRW887</f>
        <v>0</v>
      </c>
      <c r="JRX364" s="373">
        <f>'Q100a-geral'!JRX887</f>
        <v>0</v>
      </c>
      <c r="JRY364" s="373">
        <f>'Q100a-geral'!JRY887</f>
        <v>0</v>
      </c>
      <c r="JRZ364" s="373">
        <f>'Q100a-geral'!JRZ887</f>
        <v>0</v>
      </c>
      <c r="JSA364" s="373">
        <f>'Q100a-geral'!JSA887</f>
        <v>0</v>
      </c>
      <c r="JSB364" s="373">
        <f>'Q100a-geral'!JSB887</f>
        <v>0</v>
      </c>
      <c r="JSC364" s="373">
        <f>'Q100a-geral'!JSC887</f>
        <v>0</v>
      </c>
      <c r="JSD364" s="373">
        <f>'Q100a-geral'!JSD887</f>
        <v>0</v>
      </c>
      <c r="JSE364" s="373">
        <f>'Q100a-geral'!JSE887</f>
        <v>0</v>
      </c>
      <c r="JSF364" s="373">
        <f>'Q100a-geral'!JSF887</f>
        <v>0</v>
      </c>
      <c r="JSG364" s="373">
        <f>'Q100a-geral'!JSG887</f>
        <v>0</v>
      </c>
      <c r="JSH364" s="373">
        <f>'Q100a-geral'!JSH887</f>
        <v>0</v>
      </c>
      <c r="JSI364" s="373">
        <f>'Q100a-geral'!JSI887</f>
        <v>0</v>
      </c>
      <c r="JSJ364" s="373">
        <f>'Q100a-geral'!JSJ887</f>
        <v>0</v>
      </c>
      <c r="JSK364" s="373">
        <f>'Q100a-geral'!JSK887</f>
        <v>0</v>
      </c>
      <c r="JSL364" s="373">
        <f>'Q100a-geral'!JSL887</f>
        <v>0</v>
      </c>
      <c r="JSM364" s="373">
        <f>'Q100a-geral'!JSM887</f>
        <v>0</v>
      </c>
      <c r="JSN364" s="373">
        <f>'Q100a-geral'!JSN887</f>
        <v>0</v>
      </c>
      <c r="JSO364" s="373">
        <f>'Q100a-geral'!JSO887</f>
        <v>0</v>
      </c>
      <c r="JSP364" s="373">
        <f>'Q100a-geral'!JSP887</f>
        <v>0</v>
      </c>
      <c r="JSQ364" s="373">
        <f>'Q100a-geral'!JSQ887</f>
        <v>0</v>
      </c>
      <c r="JSR364" s="373">
        <f>'Q100a-geral'!JSR887</f>
        <v>0</v>
      </c>
      <c r="JSS364" s="373">
        <f>'Q100a-geral'!JSS887</f>
        <v>0</v>
      </c>
      <c r="JST364" s="373">
        <f>'Q100a-geral'!JST887</f>
        <v>0</v>
      </c>
      <c r="JSU364" s="373">
        <f>'Q100a-geral'!JSU887</f>
        <v>0</v>
      </c>
      <c r="JSV364" s="373">
        <f>'Q100a-geral'!JSV887</f>
        <v>0</v>
      </c>
      <c r="JSW364" s="373">
        <f>'Q100a-geral'!JSW887</f>
        <v>0</v>
      </c>
      <c r="JSX364" s="373">
        <f>'Q100a-geral'!JSX887</f>
        <v>0</v>
      </c>
      <c r="JSY364" s="373">
        <f>'Q100a-geral'!JSY887</f>
        <v>0</v>
      </c>
      <c r="JSZ364" s="373">
        <f>'Q100a-geral'!JSZ887</f>
        <v>0</v>
      </c>
      <c r="JTA364" s="373">
        <f>'Q100a-geral'!JTA887</f>
        <v>0</v>
      </c>
      <c r="JTB364" s="373">
        <f>'Q100a-geral'!JTB887</f>
        <v>0</v>
      </c>
      <c r="JTC364" s="373">
        <f>'Q100a-geral'!JTC887</f>
        <v>0</v>
      </c>
      <c r="JTD364" s="373">
        <f>'Q100a-geral'!JTD887</f>
        <v>0</v>
      </c>
      <c r="JTE364" s="373">
        <f>'Q100a-geral'!JTE887</f>
        <v>0</v>
      </c>
      <c r="JTF364" s="373">
        <f>'Q100a-geral'!JTF887</f>
        <v>0</v>
      </c>
      <c r="JTG364" s="373">
        <f>'Q100a-geral'!JTG887</f>
        <v>0</v>
      </c>
      <c r="JTH364" s="373">
        <f>'Q100a-geral'!JTH887</f>
        <v>0</v>
      </c>
      <c r="JTI364" s="373">
        <f>'Q100a-geral'!JTI887</f>
        <v>0</v>
      </c>
      <c r="JTJ364" s="373">
        <f>'Q100a-geral'!JTJ887</f>
        <v>0</v>
      </c>
      <c r="JTK364" s="373">
        <f>'Q100a-geral'!JTK887</f>
        <v>0</v>
      </c>
      <c r="JTL364" s="373">
        <f>'Q100a-geral'!JTL887</f>
        <v>0</v>
      </c>
      <c r="JTM364" s="373">
        <f>'Q100a-geral'!JTM887</f>
        <v>0</v>
      </c>
      <c r="JTN364" s="373">
        <f>'Q100a-geral'!JTN887</f>
        <v>0</v>
      </c>
      <c r="JTO364" s="373">
        <f>'Q100a-geral'!JTO887</f>
        <v>0</v>
      </c>
      <c r="JTP364" s="373">
        <f>'Q100a-geral'!JTP887</f>
        <v>0</v>
      </c>
      <c r="JTQ364" s="373">
        <f>'Q100a-geral'!JTQ887</f>
        <v>0</v>
      </c>
      <c r="JTR364" s="373">
        <f>'Q100a-geral'!JTR887</f>
        <v>0</v>
      </c>
      <c r="JTS364" s="373">
        <f>'Q100a-geral'!JTS887</f>
        <v>0</v>
      </c>
      <c r="JTT364" s="373">
        <f>'Q100a-geral'!JTT887</f>
        <v>0</v>
      </c>
      <c r="JTU364" s="373">
        <f>'Q100a-geral'!JTU887</f>
        <v>0</v>
      </c>
      <c r="JTV364" s="373">
        <f>'Q100a-geral'!JTV887</f>
        <v>0</v>
      </c>
      <c r="JTW364" s="373">
        <f>'Q100a-geral'!JTW887</f>
        <v>0</v>
      </c>
      <c r="JTX364" s="373">
        <f>'Q100a-geral'!JTX887</f>
        <v>0</v>
      </c>
      <c r="JTY364" s="373">
        <f>'Q100a-geral'!JTY887</f>
        <v>0</v>
      </c>
      <c r="JTZ364" s="373">
        <f>'Q100a-geral'!JTZ887</f>
        <v>0</v>
      </c>
      <c r="JUA364" s="373">
        <f>'Q100a-geral'!JUA887</f>
        <v>0</v>
      </c>
      <c r="JUB364" s="373">
        <f>'Q100a-geral'!JUB887</f>
        <v>0</v>
      </c>
      <c r="JUC364" s="373">
        <f>'Q100a-geral'!JUC887</f>
        <v>0</v>
      </c>
      <c r="JUD364" s="373">
        <f>'Q100a-geral'!JUD887</f>
        <v>0</v>
      </c>
      <c r="JUE364" s="373">
        <f>'Q100a-geral'!JUE887</f>
        <v>0</v>
      </c>
      <c r="JUF364" s="373">
        <f>'Q100a-geral'!JUF887</f>
        <v>0</v>
      </c>
      <c r="JUG364" s="373">
        <f>'Q100a-geral'!JUG887</f>
        <v>0</v>
      </c>
      <c r="JUH364" s="373">
        <f>'Q100a-geral'!JUH887</f>
        <v>0</v>
      </c>
      <c r="JUI364" s="373">
        <f>'Q100a-geral'!JUI887</f>
        <v>0</v>
      </c>
      <c r="JUJ364" s="373">
        <f>'Q100a-geral'!JUJ887</f>
        <v>0</v>
      </c>
      <c r="JUK364" s="373">
        <f>'Q100a-geral'!JUK887</f>
        <v>0</v>
      </c>
      <c r="JUL364" s="373">
        <f>'Q100a-geral'!JUL887</f>
        <v>0</v>
      </c>
      <c r="JUM364" s="373">
        <f>'Q100a-geral'!JUM887</f>
        <v>0</v>
      </c>
      <c r="JUN364" s="373">
        <f>'Q100a-geral'!JUN887</f>
        <v>0</v>
      </c>
      <c r="JUO364" s="373">
        <f>'Q100a-geral'!JUO887</f>
        <v>0</v>
      </c>
      <c r="JUP364" s="373">
        <f>'Q100a-geral'!JUP887</f>
        <v>0</v>
      </c>
      <c r="JUQ364" s="373">
        <f>'Q100a-geral'!JUQ887</f>
        <v>0</v>
      </c>
      <c r="JUR364" s="373">
        <f>'Q100a-geral'!JUR887</f>
        <v>0</v>
      </c>
      <c r="JUS364" s="373">
        <f>'Q100a-geral'!JUS887</f>
        <v>0</v>
      </c>
      <c r="JUT364" s="373">
        <f>'Q100a-geral'!JUT887</f>
        <v>0</v>
      </c>
      <c r="JUU364" s="373">
        <f>'Q100a-geral'!JUU887</f>
        <v>0</v>
      </c>
      <c r="JUV364" s="373">
        <f>'Q100a-geral'!JUV887</f>
        <v>0</v>
      </c>
      <c r="JUW364" s="373">
        <f>'Q100a-geral'!JUW887</f>
        <v>0</v>
      </c>
      <c r="JUX364" s="373">
        <f>'Q100a-geral'!JUX887</f>
        <v>0</v>
      </c>
      <c r="JUY364" s="373">
        <f>'Q100a-geral'!JUY887</f>
        <v>0</v>
      </c>
      <c r="JUZ364" s="373">
        <f>'Q100a-geral'!JUZ887</f>
        <v>0</v>
      </c>
      <c r="JVA364" s="373">
        <f>'Q100a-geral'!JVA887</f>
        <v>0</v>
      </c>
      <c r="JVB364" s="373">
        <f>'Q100a-geral'!JVB887</f>
        <v>0</v>
      </c>
      <c r="JVC364" s="373">
        <f>'Q100a-geral'!JVC887</f>
        <v>0</v>
      </c>
      <c r="JVD364" s="373">
        <f>'Q100a-geral'!JVD887</f>
        <v>0</v>
      </c>
      <c r="JVE364" s="373">
        <f>'Q100a-geral'!JVE887</f>
        <v>0</v>
      </c>
      <c r="JVF364" s="373">
        <f>'Q100a-geral'!JVF887</f>
        <v>0</v>
      </c>
      <c r="JVG364" s="373">
        <f>'Q100a-geral'!JVG887</f>
        <v>0</v>
      </c>
      <c r="JVH364" s="373">
        <f>'Q100a-geral'!JVH887</f>
        <v>0</v>
      </c>
      <c r="JVI364" s="373">
        <f>'Q100a-geral'!JVI887</f>
        <v>0</v>
      </c>
      <c r="JVJ364" s="373">
        <f>'Q100a-geral'!JVJ887</f>
        <v>0</v>
      </c>
      <c r="JVK364" s="373">
        <f>'Q100a-geral'!JVK887</f>
        <v>0</v>
      </c>
      <c r="JVL364" s="373">
        <f>'Q100a-geral'!JVL887</f>
        <v>0</v>
      </c>
      <c r="JVM364" s="373">
        <f>'Q100a-geral'!JVM887</f>
        <v>0</v>
      </c>
      <c r="JVN364" s="373">
        <f>'Q100a-geral'!JVN887</f>
        <v>0</v>
      </c>
      <c r="JVO364" s="373">
        <f>'Q100a-geral'!JVO887</f>
        <v>0</v>
      </c>
      <c r="JVP364" s="373">
        <f>'Q100a-geral'!JVP887</f>
        <v>0</v>
      </c>
      <c r="JVQ364" s="373">
        <f>'Q100a-geral'!JVQ887</f>
        <v>0</v>
      </c>
      <c r="JVR364" s="373">
        <f>'Q100a-geral'!JVR887</f>
        <v>0</v>
      </c>
      <c r="JVS364" s="373">
        <f>'Q100a-geral'!JVS887</f>
        <v>0</v>
      </c>
      <c r="JVT364" s="373">
        <f>'Q100a-geral'!JVT887</f>
        <v>0</v>
      </c>
      <c r="JVU364" s="373">
        <f>'Q100a-geral'!JVU887</f>
        <v>0</v>
      </c>
      <c r="JVV364" s="373">
        <f>'Q100a-geral'!JVV887</f>
        <v>0</v>
      </c>
      <c r="JVW364" s="373">
        <f>'Q100a-geral'!JVW887</f>
        <v>0</v>
      </c>
      <c r="JVX364" s="373">
        <f>'Q100a-geral'!JVX887</f>
        <v>0</v>
      </c>
      <c r="JVY364" s="373">
        <f>'Q100a-geral'!JVY887</f>
        <v>0</v>
      </c>
      <c r="JVZ364" s="373">
        <f>'Q100a-geral'!JVZ887</f>
        <v>0</v>
      </c>
      <c r="JWA364" s="373">
        <f>'Q100a-geral'!JWA887</f>
        <v>0</v>
      </c>
      <c r="JWB364" s="373">
        <f>'Q100a-geral'!JWB887</f>
        <v>0</v>
      </c>
      <c r="JWC364" s="373">
        <f>'Q100a-geral'!JWC887</f>
        <v>0</v>
      </c>
      <c r="JWD364" s="373">
        <f>'Q100a-geral'!JWD887</f>
        <v>0</v>
      </c>
      <c r="JWE364" s="373">
        <f>'Q100a-geral'!JWE887</f>
        <v>0</v>
      </c>
      <c r="JWF364" s="373">
        <f>'Q100a-geral'!JWF887</f>
        <v>0</v>
      </c>
      <c r="JWG364" s="373">
        <f>'Q100a-geral'!JWG887</f>
        <v>0</v>
      </c>
      <c r="JWH364" s="373">
        <f>'Q100a-geral'!JWH887</f>
        <v>0</v>
      </c>
      <c r="JWI364" s="373">
        <f>'Q100a-geral'!JWI887</f>
        <v>0</v>
      </c>
      <c r="JWJ364" s="373">
        <f>'Q100a-geral'!JWJ887</f>
        <v>0</v>
      </c>
      <c r="JWK364" s="373">
        <f>'Q100a-geral'!JWK887</f>
        <v>0</v>
      </c>
      <c r="JWL364" s="373">
        <f>'Q100a-geral'!JWL887</f>
        <v>0</v>
      </c>
      <c r="JWM364" s="373">
        <f>'Q100a-geral'!JWM887</f>
        <v>0</v>
      </c>
      <c r="JWN364" s="373">
        <f>'Q100a-geral'!JWN887</f>
        <v>0</v>
      </c>
      <c r="JWO364" s="373">
        <f>'Q100a-geral'!JWO887</f>
        <v>0</v>
      </c>
      <c r="JWP364" s="373">
        <f>'Q100a-geral'!JWP887</f>
        <v>0</v>
      </c>
      <c r="JWQ364" s="373">
        <f>'Q100a-geral'!JWQ887</f>
        <v>0</v>
      </c>
      <c r="JWR364" s="373">
        <f>'Q100a-geral'!JWR887</f>
        <v>0</v>
      </c>
      <c r="JWS364" s="373">
        <f>'Q100a-geral'!JWS887</f>
        <v>0</v>
      </c>
      <c r="JWT364" s="373">
        <f>'Q100a-geral'!JWT887</f>
        <v>0</v>
      </c>
      <c r="JWU364" s="373">
        <f>'Q100a-geral'!JWU887</f>
        <v>0</v>
      </c>
      <c r="JWV364" s="373">
        <f>'Q100a-geral'!JWV887</f>
        <v>0</v>
      </c>
      <c r="JWW364" s="373">
        <f>'Q100a-geral'!JWW887</f>
        <v>0</v>
      </c>
      <c r="JWX364" s="373">
        <f>'Q100a-geral'!JWX887</f>
        <v>0</v>
      </c>
      <c r="JWY364" s="373">
        <f>'Q100a-geral'!JWY887</f>
        <v>0</v>
      </c>
      <c r="JWZ364" s="373">
        <f>'Q100a-geral'!JWZ887</f>
        <v>0</v>
      </c>
      <c r="JXA364" s="373">
        <f>'Q100a-geral'!JXA887</f>
        <v>0</v>
      </c>
      <c r="JXB364" s="373">
        <f>'Q100a-geral'!JXB887</f>
        <v>0</v>
      </c>
      <c r="JXC364" s="373">
        <f>'Q100a-geral'!JXC887</f>
        <v>0</v>
      </c>
      <c r="JXD364" s="373">
        <f>'Q100a-geral'!JXD887</f>
        <v>0</v>
      </c>
      <c r="JXE364" s="373">
        <f>'Q100a-geral'!JXE887</f>
        <v>0</v>
      </c>
      <c r="JXF364" s="373">
        <f>'Q100a-geral'!JXF887</f>
        <v>0</v>
      </c>
      <c r="JXG364" s="373">
        <f>'Q100a-geral'!JXG887</f>
        <v>0</v>
      </c>
      <c r="JXH364" s="373">
        <f>'Q100a-geral'!JXH887</f>
        <v>0</v>
      </c>
      <c r="JXI364" s="373">
        <f>'Q100a-geral'!JXI887</f>
        <v>0</v>
      </c>
      <c r="JXJ364" s="373">
        <f>'Q100a-geral'!JXJ887</f>
        <v>0</v>
      </c>
      <c r="JXK364" s="373">
        <f>'Q100a-geral'!JXK887</f>
        <v>0</v>
      </c>
      <c r="JXL364" s="373">
        <f>'Q100a-geral'!JXL887</f>
        <v>0</v>
      </c>
      <c r="JXM364" s="373">
        <f>'Q100a-geral'!JXM887</f>
        <v>0</v>
      </c>
      <c r="JXN364" s="373">
        <f>'Q100a-geral'!JXN887</f>
        <v>0</v>
      </c>
      <c r="JXO364" s="373">
        <f>'Q100a-geral'!JXO887</f>
        <v>0</v>
      </c>
      <c r="JXP364" s="373">
        <f>'Q100a-geral'!JXP887</f>
        <v>0</v>
      </c>
      <c r="JXQ364" s="373">
        <f>'Q100a-geral'!JXQ887</f>
        <v>0</v>
      </c>
      <c r="JXR364" s="373">
        <f>'Q100a-geral'!JXR887</f>
        <v>0</v>
      </c>
      <c r="JXS364" s="373">
        <f>'Q100a-geral'!JXS887</f>
        <v>0</v>
      </c>
      <c r="JXT364" s="373">
        <f>'Q100a-geral'!JXT887</f>
        <v>0</v>
      </c>
      <c r="JXU364" s="373">
        <f>'Q100a-geral'!JXU887</f>
        <v>0</v>
      </c>
      <c r="JXV364" s="373">
        <f>'Q100a-geral'!JXV887</f>
        <v>0</v>
      </c>
      <c r="JXW364" s="373">
        <f>'Q100a-geral'!JXW887</f>
        <v>0</v>
      </c>
      <c r="JXX364" s="373">
        <f>'Q100a-geral'!JXX887</f>
        <v>0</v>
      </c>
      <c r="JXY364" s="373">
        <f>'Q100a-geral'!JXY887</f>
        <v>0</v>
      </c>
      <c r="JXZ364" s="373">
        <f>'Q100a-geral'!JXZ887</f>
        <v>0</v>
      </c>
      <c r="JYA364" s="373">
        <f>'Q100a-geral'!JYA887</f>
        <v>0</v>
      </c>
      <c r="JYB364" s="373">
        <f>'Q100a-geral'!JYB887</f>
        <v>0</v>
      </c>
      <c r="JYC364" s="373">
        <f>'Q100a-geral'!JYC887</f>
        <v>0</v>
      </c>
      <c r="JYD364" s="373">
        <f>'Q100a-geral'!JYD887</f>
        <v>0</v>
      </c>
      <c r="JYE364" s="373">
        <f>'Q100a-geral'!JYE887</f>
        <v>0</v>
      </c>
      <c r="JYF364" s="373">
        <f>'Q100a-geral'!JYF887</f>
        <v>0</v>
      </c>
      <c r="JYG364" s="373">
        <f>'Q100a-geral'!JYG887</f>
        <v>0</v>
      </c>
      <c r="JYH364" s="373">
        <f>'Q100a-geral'!JYH887</f>
        <v>0</v>
      </c>
      <c r="JYI364" s="373">
        <f>'Q100a-geral'!JYI887</f>
        <v>0</v>
      </c>
      <c r="JYJ364" s="373">
        <f>'Q100a-geral'!JYJ887</f>
        <v>0</v>
      </c>
      <c r="JYK364" s="373">
        <f>'Q100a-geral'!JYK887</f>
        <v>0</v>
      </c>
      <c r="JYL364" s="373">
        <f>'Q100a-geral'!JYL887</f>
        <v>0</v>
      </c>
      <c r="JYM364" s="373">
        <f>'Q100a-geral'!JYM887</f>
        <v>0</v>
      </c>
      <c r="JYN364" s="373">
        <f>'Q100a-geral'!JYN887</f>
        <v>0</v>
      </c>
      <c r="JYO364" s="373">
        <f>'Q100a-geral'!JYO887</f>
        <v>0</v>
      </c>
      <c r="JYP364" s="373">
        <f>'Q100a-geral'!JYP887</f>
        <v>0</v>
      </c>
      <c r="JYQ364" s="373">
        <f>'Q100a-geral'!JYQ887</f>
        <v>0</v>
      </c>
      <c r="JYR364" s="373">
        <f>'Q100a-geral'!JYR887</f>
        <v>0</v>
      </c>
      <c r="JYS364" s="373">
        <f>'Q100a-geral'!JYS887</f>
        <v>0</v>
      </c>
      <c r="JYT364" s="373">
        <f>'Q100a-geral'!JYT887</f>
        <v>0</v>
      </c>
      <c r="JYU364" s="373">
        <f>'Q100a-geral'!JYU887</f>
        <v>0</v>
      </c>
      <c r="JYV364" s="373">
        <f>'Q100a-geral'!JYV887</f>
        <v>0</v>
      </c>
      <c r="JYW364" s="373">
        <f>'Q100a-geral'!JYW887</f>
        <v>0</v>
      </c>
      <c r="JYX364" s="373">
        <f>'Q100a-geral'!JYX887</f>
        <v>0</v>
      </c>
      <c r="JYY364" s="373">
        <f>'Q100a-geral'!JYY887</f>
        <v>0</v>
      </c>
      <c r="JYZ364" s="373">
        <f>'Q100a-geral'!JYZ887</f>
        <v>0</v>
      </c>
      <c r="JZA364" s="373">
        <f>'Q100a-geral'!JZA887</f>
        <v>0</v>
      </c>
      <c r="JZB364" s="373">
        <f>'Q100a-geral'!JZB887</f>
        <v>0</v>
      </c>
      <c r="JZC364" s="373">
        <f>'Q100a-geral'!JZC887</f>
        <v>0</v>
      </c>
      <c r="JZD364" s="373">
        <f>'Q100a-geral'!JZD887</f>
        <v>0</v>
      </c>
      <c r="JZE364" s="373">
        <f>'Q100a-geral'!JZE887</f>
        <v>0</v>
      </c>
      <c r="JZF364" s="373">
        <f>'Q100a-geral'!JZF887</f>
        <v>0</v>
      </c>
      <c r="JZG364" s="373">
        <f>'Q100a-geral'!JZG887</f>
        <v>0</v>
      </c>
      <c r="JZH364" s="373">
        <f>'Q100a-geral'!JZH887</f>
        <v>0</v>
      </c>
      <c r="JZI364" s="373">
        <f>'Q100a-geral'!JZI887</f>
        <v>0</v>
      </c>
      <c r="JZJ364" s="373">
        <f>'Q100a-geral'!JZJ887</f>
        <v>0</v>
      </c>
      <c r="JZK364" s="373">
        <f>'Q100a-geral'!JZK887</f>
        <v>0</v>
      </c>
      <c r="JZL364" s="373">
        <f>'Q100a-geral'!JZL887</f>
        <v>0</v>
      </c>
      <c r="JZM364" s="373">
        <f>'Q100a-geral'!JZM887</f>
        <v>0</v>
      </c>
      <c r="JZN364" s="373">
        <f>'Q100a-geral'!JZN887</f>
        <v>0</v>
      </c>
      <c r="JZO364" s="373">
        <f>'Q100a-geral'!JZO887</f>
        <v>0</v>
      </c>
      <c r="JZP364" s="373">
        <f>'Q100a-geral'!JZP887</f>
        <v>0</v>
      </c>
      <c r="JZQ364" s="373">
        <f>'Q100a-geral'!JZQ887</f>
        <v>0</v>
      </c>
      <c r="JZR364" s="373">
        <f>'Q100a-geral'!JZR887</f>
        <v>0</v>
      </c>
      <c r="JZS364" s="373">
        <f>'Q100a-geral'!JZS887</f>
        <v>0</v>
      </c>
      <c r="JZT364" s="373">
        <f>'Q100a-geral'!JZT887</f>
        <v>0</v>
      </c>
      <c r="JZU364" s="373">
        <f>'Q100a-geral'!JZU887</f>
        <v>0</v>
      </c>
      <c r="JZV364" s="373">
        <f>'Q100a-geral'!JZV887</f>
        <v>0</v>
      </c>
      <c r="JZW364" s="373">
        <f>'Q100a-geral'!JZW887</f>
        <v>0</v>
      </c>
      <c r="JZX364" s="373">
        <f>'Q100a-geral'!JZX887</f>
        <v>0</v>
      </c>
      <c r="JZY364" s="373">
        <f>'Q100a-geral'!JZY887</f>
        <v>0</v>
      </c>
      <c r="JZZ364" s="373">
        <f>'Q100a-geral'!JZZ887</f>
        <v>0</v>
      </c>
      <c r="KAA364" s="373">
        <f>'Q100a-geral'!KAA887</f>
        <v>0</v>
      </c>
      <c r="KAB364" s="373">
        <f>'Q100a-geral'!KAB887</f>
        <v>0</v>
      </c>
      <c r="KAC364" s="373">
        <f>'Q100a-geral'!KAC887</f>
        <v>0</v>
      </c>
      <c r="KAD364" s="373">
        <f>'Q100a-geral'!KAD887</f>
        <v>0</v>
      </c>
      <c r="KAE364" s="373">
        <f>'Q100a-geral'!KAE887</f>
        <v>0</v>
      </c>
      <c r="KAF364" s="373">
        <f>'Q100a-geral'!KAF887</f>
        <v>0</v>
      </c>
      <c r="KAG364" s="373">
        <f>'Q100a-geral'!KAG887</f>
        <v>0</v>
      </c>
      <c r="KAH364" s="373">
        <f>'Q100a-geral'!KAH887</f>
        <v>0</v>
      </c>
      <c r="KAI364" s="373">
        <f>'Q100a-geral'!KAI887</f>
        <v>0</v>
      </c>
      <c r="KAJ364" s="373">
        <f>'Q100a-geral'!KAJ887</f>
        <v>0</v>
      </c>
      <c r="KAK364" s="373">
        <f>'Q100a-geral'!KAK887</f>
        <v>0</v>
      </c>
      <c r="KAL364" s="373">
        <f>'Q100a-geral'!KAL887</f>
        <v>0</v>
      </c>
      <c r="KAM364" s="373">
        <f>'Q100a-geral'!KAM887</f>
        <v>0</v>
      </c>
      <c r="KAN364" s="373">
        <f>'Q100a-geral'!KAN887</f>
        <v>0</v>
      </c>
      <c r="KAO364" s="373">
        <f>'Q100a-geral'!KAO887</f>
        <v>0</v>
      </c>
      <c r="KAP364" s="373">
        <f>'Q100a-geral'!KAP887</f>
        <v>0</v>
      </c>
      <c r="KAQ364" s="373">
        <f>'Q100a-geral'!KAQ887</f>
        <v>0</v>
      </c>
      <c r="KAR364" s="373">
        <f>'Q100a-geral'!KAR887</f>
        <v>0</v>
      </c>
      <c r="KAS364" s="373">
        <f>'Q100a-geral'!KAS887</f>
        <v>0</v>
      </c>
      <c r="KAT364" s="373">
        <f>'Q100a-geral'!KAT887</f>
        <v>0</v>
      </c>
      <c r="KAU364" s="373">
        <f>'Q100a-geral'!KAU887</f>
        <v>0</v>
      </c>
      <c r="KAV364" s="373">
        <f>'Q100a-geral'!KAV887</f>
        <v>0</v>
      </c>
      <c r="KAW364" s="373">
        <f>'Q100a-geral'!KAW887</f>
        <v>0</v>
      </c>
      <c r="KAX364" s="373">
        <f>'Q100a-geral'!KAX887</f>
        <v>0</v>
      </c>
      <c r="KAY364" s="373">
        <f>'Q100a-geral'!KAY887</f>
        <v>0</v>
      </c>
      <c r="KAZ364" s="373">
        <f>'Q100a-geral'!KAZ887</f>
        <v>0</v>
      </c>
      <c r="KBA364" s="373">
        <f>'Q100a-geral'!KBA887</f>
        <v>0</v>
      </c>
      <c r="KBB364" s="373">
        <f>'Q100a-geral'!KBB887</f>
        <v>0</v>
      </c>
      <c r="KBC364" s="373">
        <f>'Q100a-geral'!KBC887</f>
        <v>0</v>
      </c>
      <c r="KBD364" s="373">
        <f>'Q100a-geral'!KBD887</f>
        <v>0</v>
      </c>
      <c r="KBE364" s="373">
        <f>'Q100a-geral'!KBE887</f>
        <v>0</v>
      </c>
      <c r="KBF364" s="373">
        <f>'Q100a-geral'!KBF887</f>
        <v>0</v>
      </c>
      <c r="KBG364" s="373">
        <f>'Q100a-geral'!KBG887</f>
        <v>0</v>
      </c>
      <c r="KBH364" s="373">
        <f>'Q100a-geral'!KBH887</f>
        <v>0</v>
      </c>
      <c r="KBI364" s="373">
        <f>'Q100a-geral'!KBI887</f>
        <v>0</v>
      </c>
      <c r="KBJ364" s="373">
        <f>'Q100a-geral'!KBJ887</f>
        <v>0</v>
      </c>
      <c r="KBK364" s="373">
        <f>'Q100a-geral'!KBK887</f>
        <v>0</v>
      </c>
      <c r="KBL364" s="373">
        <f>'Q100a-geral'!KBL887</f>
        <v>0</v>
      </c>
      <c r="KBM364" s="373">
        <f>'Q100a-geral'!KBM887</f>
        <v>0</v>
      </c>
      <c r="KBN364" s="373">
        <f>'Q100a-geral'!KBN887</f>
        <v>0</v>
      </c>
      <c r="KBO364" s="373">
        <f>'Q100a-geral'!KBO887</f>
        <v>0</v>
      </c>
      <c r="KBP364" s="373">
        <f>'Q100a-geral'!KBP887</f>
        <v>0</v>
      </c>
      <c r="KBQ364" s="373">
        <f>'Q100a-geral'!KBQ887</f>
        <v>0</v>
      </c>
      <c r="KBR364" s="373">
        <f>'Q100a-geral'!KBR887</f>
        <v>0</v>
      </c>
      <c r="KBS364" s="373">
        <f>'Q100a-geral'!KBS887</f>
        <v>0</v>
      </c>
      <c r="KBT364" s="373">
        <f>'Q100a-geral'!KBT887</f>
        <v>0</v>
      </c>
      <c r="KBU364" s="373">
        <f>'Q100a-geral'!KBU887</f>
        <v>0</v>
      </c>
      <c r="KBV364" s="373">
        <f>'Q100a-geral'!KBV887</f>
        <v>0</v>
      </c>
      <c r="KBW364" s="373">
        <f>'Q100a-geral'!KBW887</f>
        <v>0</v>
      </c>
      <c r="KBX364" s="373">
        <f>'Q100a-geral'!KBX887</f>
        <v>0</v>
      </c>
      <c r="KBY364" s="373">
        <f>'Q100a-geral'!KBY887</f>
        <v>0</v>
      </c>
      <c r="KBZ364" s="373">
        <f>'Q100a-geral'!KBZ887</f>
        <v>0</v>
      </c>
      <c r="KCA364" s="373">
        <f>'Q100a-geral'!KCA887</f>
        <v>0</v>
      </c>
      <c r="KCB364" s="373">
        <f>'Q100a-geral'!KCB887</f>
        <v>0</v>
      </c>
      <c r="KCC364" s="373">
        <f>'Q100a-geral'!KCC887</f>
        <v>0</v>
      </c>
      <c r="KCD364" s="373">
        <f>'Q100a-geral'!KCD887</f>
        <v>0</v>
      </c>
      <c r="KCE364" s="373">
        <f>'Q100a-geral'!KCE887</f>
        <v>0</v>
      </c>
      <c r="KCF364" s="373">
        <f>'Q100a-geral'!KCF887</f>
        <v>0</v>
      </c>
      <c r="KCG364" s="373">
        <f>'Q100a-geral'!KCG887</f>
        <v>0</v>
      </c>
      <c r="KCH364" s="373">
        <f>'Q100a-geral'!KCH887</f>
        <v>0</v>
      </c>
      <c r="KCI364" s="373">
        <f>'Q100a-geral'!KCI887</f>
        <v>0</v>
      </c>
      <c r="KCJ364" s="373">
        <f>'Q100a-geral'!KCJ887</f>
        <v>0</v>
      </c>
      <c r="KCK364" s="373">
        <f>'Q100a-geral'!KCK887</f>
        <v>0</v>
      </c>
      <c r="KCL364" s="373">
        <f>'Q100a-geral'!KCL887</f>
        <v>0</v>
      </c>
      <c r="KCM364" s="373">
        <f>'Q100a-geral'!KCM887</f>
        <v>0</v>
      </c>
      <c r="KCN364" s="373">
        <f>'Q100a-geral'!KCN887</f>
        <v>0</v>
      </c>
      <c r="KCO364" s="373">
        <f>'Q100a-geral'!KCO887</f>
        <v>0</v>
      </c>
      <c r="KCP364" s="373">
        <f>'Q100a-geral'!KCP887</f>
        <v>0</v>
      </c>
      <c r="KCQ364" s="373">
        <f>'Q100a-geral'!KCQ887</f>
        <v>0</v>
      </c>
      <c r="KCR364" s="373">
        <f>'Q100a-geral'!KCR887</f>
        <v>0</v>
      </c>
      <c r="KCS364" s="373">
        <f>'Q100a-geral'!KCS887</f>
        <v>0</v>
      </c>
      <c r="KCT364" s="373">
        <f>'Q100a-geral'!KCT887</f>
        <v>0</v>
      </c>
      <c r="KCU364" s="373">
        <f>'Q100a-geral'!KCU887</f>
        <v>0</v>
      </c>
      <c r="KCV364" s="373">
        <f>'Q100a-geral'!KCV887</f>
        <v>0</v>
      </c>
      <c r="KCW364" s="373">
        <f>'Q100a-geral'!KCW887</f>
        <v>0</v>
      </c>
      <c r="KCX364" s="373">
        <f>'Q100a-geral'!KCX887</f>
        <v>0</v>
      </c>
      <c r="KCY364" s="373">
        <f>'Q100a-geral'!KCY887</f>
        <v>0</v>
      </c>
      <c r="KCZ364" s="373">
        <f>'Q100a-geral'!KCZ887</f>
        <v>0</v>
      </c>
      <c r="KDA364" s="373">
        <f>'Q100a-geral'!KDA887</f>
        <v>0</v>
      </c>
      <c r="KDB364" s="373">
        <f>'Q100a-geral'!KDB887</f>
        <v>0</v>
      </c>
      <c r="KDC364" s="373">
        <f>'Q100a-geral'!KDC887</f>
        <v>0</v>
      </c>
      <c r="KDD364" s="373">
        <f>'Q100a-geral'!KDD887</f>
        <v>0</v>
      </c>
      <c r="KDE364" s="373">
        <f>'Q100a-geral'!KDE887</f>
        <v>0</v>
      </c>
      <c r="KDF364" s="373">
        <f>'Q100a-geral'!KDF887</f>
        <v>0</v>
      </c>
      <c r="KDG364" s="373">
        <f>'Q100a-geral'!KDG887</f>
        <v>0</v>
      </c>
      <c r="KDH364" s="373">
        <f>'Q100a-geral'!KDH887</f>
        <v>0</v>
      </c>
      <c r="KDI364" s="373">
        <f>'Q100a-geral'!KDI887</f>
        <v>0</v>
      </c>
      <c r="KDJ364" s="373">
        <f>'Q100a-geral'!KDJ887</f>
        <v>0</v>
      </c>
      <c r="KDK364" s="373">
        <f>'Q100a-geral'!KDK887</f>
        <v>0</v>
      </c>
      <c r="KDL364" s="373">
        <f>'Q100a-geral'!KDL887</f>
        <v>0</v>
      </c>
      <c r="KDM364" s="373">
        <f>'Q100a-geral'!KDM887</f>
        <v>0</v>
      </c>
      <c r="KDN364" s="373">
        <f>'Q100a-geral'!KDN887</f>
        <v>0</v>
      </c>
      <c r="KDO364" s="373">
        <f>'Q100a-geral'!KDO887</f>
        <v>0</v>
      </c>
      <c r="KDP364" s="373">
        <f>'Q100a-geral'!KDP887</f>
        <v>0</v>
      </c>
      <c r="KDQ364" s="373">
        <f>'Q100a-geral'!KDQ887</f>
        <v>0</v>
      </c>
      <c r="KDR364" s="373">
        <f>'Q100a-geral'!KDR887</f>
        <v>0</v>
      </c>
      <c r="KDS364" s="373">
        <f>'Q100a-geral'!KDS887</f>
        <v>0</v>
      </c>
      <c r="KDT364" s="373">
        <f>'Q100a-geral'!KDT887</f>
        <v>0</v>
      </c>
      <c r="KDU364" s="373">
        <f>'Q100a-geral'!KDU887</f>
        <v>0</v>
      </c>
      <c r="KDV364" s="373">
        <f>'Q100a-geral'!KDV887</f>
        <v>0</v>
      </c>
      <c r="KDW364" s="373">
        <f>'Q100a-geral'!KDW887</f>
        <v>0</v>
      </c>
      <c r="KDX364" s="373">
        <f>'Q100a-geral'!KDX887</f>
        <v>0</v>
      </c>
      <c r="KDY364" s="373">
        <f>'Q100a-geral'!KDY887</f>
        <v>0</v>
      </c>
      <c r="KDZ364" s="373">
        <f>'Q100a-geral'!KDZ887</f>
        <v>0</v>
      </c>
      <c r="KEA364" s="373">
        <f>'Q100a-geral'!KEA887</f>
        <v>0</v>
      </c>
      <c r="KEB364" s="373">
        <f>'Q100a-geral'!KEB887</f>
        <v>0</v>
      </c>
      <c r="KEC364" s="373">
        <f>'Q100a-geral'!KEC887</f>
        <v>0</v>
      </c>
      <c r="KED364" s="373">
        <f>'Q100a-geral'!KED887</f>
        <v>0</v>
      </c>
      <c r="KEE364" s="373">
        <f>'Q100a-geral'!KEE887</f>
        <v>0</v>
      </c>
      <c r="KEF364" s="373">
        <f>'Q100a-geral'!KEF887</f>
        <v>0</v>
      </c>
      <c r="KEG364" s="373">
        <f>'Q100a-geral'!KEG887</f>
        <v>0</v>
      </c>
      <c r="KEH364" s="373">
        <f>'Q100a-geral'!KEH887</f>
        <v>0</v>
      </c>
      <c r="KEI364" s="373">
        <f>'Q100a-geral'!KEI887</f>
        <v>0</v>
      </c>
      <c r="KEJ364" s="373">
        <f>'Q100a-geral'!KEJ887</f>
        <v>0</v>
      </c>
      <c r="KEK364" s="373">
        <f>'Q100a-geral'!KEK887</f>
        <v>0</v>
      </c>
      <c r="KEL364" s="373">
        <f>'Q100a-geral'!KEL887</f>
        <v>0</v>
      </c>
      <c r="KEM364" s="373">
        <f>'Q100a-geral'!KEM887</f>
        <v>0</v>
      </c>
      <c r="KEN364" s="373">
        <f>'Q100a-geral'!KEN887</f>
        <v>0</v>
      </c>
      <c r="KEO364" s="373">
        <f>'Q100a-geral'!KEO887</f>
        <v>0</v>
      </c>
      <c r="KEP364" s="373">
        <f>'Q100a-geral'!KEP887</f>
        <v>0</v>
      </c>
      <c r="KEQ364" s="373">
        <f>'Q100a-geral'!KEQ887</f>
        <v>0</v>
      </c>
      <c r="KER364" s="373">
        <f>'Q100a-geral'!KER887</f>
        <v>0</v>
      </c>
      <c r="KES364" s="373">
        <f>'Q100a-geral'!KES887</f>
        <v>0</v>
      </c>
      <c r="KET364" s="373">
        <f>'Q100a-geral'!KET887</f>
        <v>0</v>
      </c>
      <c r="KEU364" s="373">
        <f>'Q100a-geral'!KEU887</f>
        <v>0</v>
      </c>
      <c r="KEV364" s="373">
        <f>'Q100a-geral'!KEV887</f>
        <v>0</v>
      </c>
      <c r="KEW364" s="373">
        <f>'Q100a-geral'!KEW887</f>
        <v>0</v>
      </c>
      <c r="KEX364" s="373">
        <f>'Q100a-geral'!KEX887</f>
        <v>0</v>
      </c>
      <c r="KEY364" s="373">
        <f>'Q100a-geral'!KEY887</f>
        <v>0</v>
      </c>
      <c r="KEZ364" s="373">
        <f>'Q100a-geral'!KEZ887</f>
        <v>0</v>
      </c>
      <c r="KFA364" s="373">
        <f>'Q100a-geral'!KFA887</f>
        <v>0</v>
      </c>
      <c r="KFB364" s="373">
        <f>'Q100a-geral'!KFB887</f>
        <v>0</v>
      </c>
      <c r="KFC364" s="373">
        <f>'Q100a-geral'!KFC887</f>
        <v>0</v>
      </c>
      <c r="KFD364" s="373">
        <f>'Q100a-geral'!KFD887</f>
        <v>0</v>
      </c>
      <c r="KFE364" s="373">
        <f>'Q100a-geral'!KFE887</f>
        <v>0</v>
      </c>
      <c r="KFF364" s="373">
        <f>'Q100a-geral'!KFF887</f>
        <v>0</v>
      </c>
      <c r="KFG364" s="373">
        <f>'Q100a-geral'!KFG887</f>
        <v>0</v>
      </c>
      <c r="KFH364" s="373">
        <f>'Q100a-geral'!KFH887</f>
        <v>0</v>
      </c>
      <c r="KFI364" s="373">
        <f>'Q100a-geral'!KFI887</f>
        <v>0</v>
      </c>
      <c r="KFJ364" s="373">
        <f>'Q100a-geral'!KFJ887</f>
        <v>0</v>
      </c>
      <c r="KFK364" s="373">
        <f>'Q100a-geral'!KFK887</f>
        <v>0</v>
      </c>
      <c r="KFL364" s="373">
        <f>'Q100a-geral'!KFL887</f>
        <v>0</v>
      </c>
      <c r="KFM364" s="373">
        <f>'Q100a-geral'!KFM887</f>
        <v>0</v>
      </c>
      <c r="KFN364" s="373">
        <f>'Q100a-geral'!KFN887</f>
        <v>0</v>
      </c>
      <c r="KFO364" s="373">
        <f>'Q100a-geral'!KFO887</f>
        <v>0</v>
      </c>
      <c r="KFP364" s="373">
        <f>'Q100a-geral'!KFP887</f>
        <v>0</v>
      </c>
      <c r="KFQ364" s="373">
        <f>'Q100a-geral'!KFQ887</f>
        <v>0</v>
      </c>
      <c r="KFR364" s="373">
        <f>'Q100a-geral'!KFR887</f>
        <v>0</v>
      </c>
      <c r="KFS364" s="373">
        <f>'Q100a-geral'!KFS887</f>
        <v>0</v>
      </c>
      <c r="KFT364" s="373">
        <f>'Q100a-geral'!KFT887</f>
        <v>0</v>
      </c>
      <c r="KFU364" s="373">
        <f>'Q100a-geral'!KFU887</f>
        <v>0</v>
      </c>
      <c r="KFV364" s="373">
        <f>'Q100a-geral'!KFV887</f>
        <v>0</v>
      </c>
      <c r="KFW364" s="373">
        <f>'Q100a-geral'!KFW887</f>
        <v>0</v>
      </c>
      <c r="KFX364" s="373">
        <f>'Q100a-geral'!KFX887</f>
        <v>0</v>
      </c>
      <c r="KFY364" s="373">
        <f>'Q100a-geral'!KFY887</f>
        <v>0</v>
      </c>
      <c r="KFZ364" s="373">
        <f>'Q100a-geral'!KFZ887</f>
        <v>0</v>
      </c>
      <c r="KGA364" s="373">
        <f>'Q100a-geral'!KGA887</f>
        <v>0</v>
      </c>
      <c r="KGB364" s="373">
        <f>'Q100a-geral'!KGB887</f>
        <v>0</v>
      </c>
      <c r="KGC364" s="373">
        <f>'Q100a-geral'!KGC887</f>
        <v>0</v>
      </c>
      <c r="KGD364" s="373">
        <f>'Q100a-geral'!KGD887</f>
        <v>0</v>
      </c>
      <c r="KGE364" s="373">
        <f>'Q100a-geral'!KGE887</f>
        <v>0</v>
      </c>
      <c r="KGF364" s="373">
        <f>'Q100a-geral'!KGF887</f>
        <v>0</v>
      </c>
      <c r="KGG364" s="373">
        <f>'Q100a-geral'!KGG887</f>
        <v>0</v>
      </c>
      <c r="KGH364" s="373">
        <f>'Q100a-geral'!KGH887</f>
        <v>0</v>
      </c>
      <c r="KGI364" s="373">
        <f>'Q100a-geral'!KGI887</f>
        <v>0</v>
      </c>
      <c r="KGJ364" s="373">
        <f>'Q100a-geral'!KGJ887</f>
        <v>0</v>
      </c>
      <c r="KGK364" s="373">
        <f>'Q100a-geral'!KGK887</f>
        <v>0</v>
      </c>
      <c r="KGL364" s="373">
        <f>'Q100a-geral'!KGL887</f>
        <v>0</v>
      </c>
      <c r="KGM364" s="373">
        <f>'Q100a-geral'!KGM887</f>
        <v>0</v>
      </c>
      <c r="KGN364" s="373">
        <f>'Q100a-geral'!KGN887</f>
        <v>0</v>
      </c>
      <c r="KGO364" s="373">
        <f>'Q100a-geral'!KGO887</f>
        <v>0</v>
      </c>
      <c r="KGP364" s="373">
        <f>'Q100a-geral'!KGP887</f>
        <v>0</v>
      </c>
      <c r="KGQ364" s="373">
        <f>'Q100a-geral'!KGQ887</f>
        <v>0</v>
      </c>
      <c r="KGR364" s="373">
        <f>'Q100a-geral'!KGR887</f>
        <v>0</v>
      </c>
      <c r="KGS364" s="373">
        <f>'Q100a-geral'!KGS887</f>
        <v>0</v>
      </c>
      <c r="KGT364" s="373">
        <f>'Q100a-geral'!KGT887</f>
        <v>0</v>
      </c>
      <c r="KGU364" s="373">
        <f>'Q100a-geral'!KGU887</f>
        <v>0</v>
      </c>
      <c r="KGV364" s="373">
        <f>'Q100a-geral'!KGV887</f>
        <v>0</v>
      </c>
      <c r="KGW364" s="373">
        <f>'Q100a-geral'!KGW887</f>
        <v>0</v>
      </c>
      <c r="KGX364" s="373">
        <f>'Q100a-geral'!KGX887</f>
        <v>0</v>
      </c>
      <c r="KGY364" s="373">
        <f>'Q100a-geral'!KGY887</f>
        <v>0</v>
      </c>
      <c r="KGZ364" s="373">
        <f>'Q100a-geral'!KGZ887</f>
        <v>0</v>
      </c>
      <c r="KHA364" s="373">
        <f>'Q100a-geral'!KHA887</f>
        <v>0</v>
      </c>
      <c r="KHB364" s="373">
        <f>'Q100a-geral'!KHB887</f>
        <v>0</v>
      </c>
      <c r="KHC364" s="373">
        <f>'Q100a-geral'!KHC887</f>
        <v>0</v>
      </c>
      <c r="KHD364" s="373">
        <f>'Q100a-geral'!KHD887</f>
        <v>0</v>
      </c>
      <c r="KHE364" s="373">
        <f>'Q100a-geral'!KHE887</f>
        <v>0</v>
      </c>
      <c r="KHF364" s="373">
        <f>'Q100a-geral'!KHF887</f>
        <v>0</v>
      </c>
      <c r="KHG364" s="373">
        <f>'Q100a-geral'!KHG887</f>
        <v>0</v>
      </c>
      <c r="KHH364" s="373">
        <f>'Q100a-geral'!KHH887</f>
        <v>0</v>
      </c>
      <c r="KHI364" s="373">
        <f>'Q100a-geral'!KHI887</f>
        <v>0</v>
      </c>
      <c r="KHJ364" s="373">
        <f>'Q100a-geral'!KHJ887</f>
        <v>0</v>
      </c>
      <c r="KHK364" s="373">
        <f>'Q100a-geral'!KHK887</f>
        <v>0</v>
      </c>
      <c r="KHL364" s="373">
        <f>'Q100a-geral'!KHL887</f>
        <v>0</v>
      </c>
      <c r="KHM364" s="373">
        <f>'Q100a-geral'!KHM887</f>
        <v>0</v>
      </c>
      <c r="KHN364" s="373">
        <f>'Q100a-geral'!KHN887</f>
        <v>0</v>
      </c>
      <c r="KHO364" s="373">
        <f>'Q100a-geral'!KHO887</f>
        <v>0</v>
      </c>
      <c r="KHP364" s="373">
        <f>'Q100a-geral'!KHP887</f>
        <v>0</v>
      </c>
      <c r="KHQ364" s="373">
        <f>'Q100a-geral'!KHQ887</f>
        <v>0</v>
      </c>
      <c r="KHR364" s="373">
        <f>'Q100a-geral'!KHR887</f>
        <v>0</v>
      </c>
      <c r="KHS364" s="373">
        <f>'Q100a-geral'!KHS887</f>
        <v>0</v>
      </c>
      <c r="KHT364" s="373">
        <f>'Q100a-geral'!KHT887</f>
        <v>0</v>
      </c>
      <c r="KHU364" s="373">
        <f>'Q100a-geral'!KHU887</f>
        <v>0</v>
      </c>
      <c r="KHV364" s="373">
        <f>'Q100a-geral'!KHV887</f>
        <v>0</v>
      </c>
      <c r="KHW364" s="373">
        <f>'Q100a-geral'!KHW887</f>
        <v>0</v>
      </c>
      <c r="KHX364" s="373">
        <f>'Q100a-geral'!KHX887</f>
        <v>0</v>
      </c>
      <c r="KHY364" s="373">
        <f>'Q100a-geral'!KHY887</f>
        <v>0</v>
      </c>
      <c r="KHZ364" s="373">
        <f>'Q100a-geral'!KHZ887</f>
        <v>0</v>
      </c>
      <c r="KIA364" s="373">
        <f>'Q100a-geral'!KIA887</f>
        <v>0</v>
      </c>
      <c r="KIB364" s="373">
        <f>'Q100a-geral'!KIB887</f>
        <v>0</v>
      </c>
      <c r="KIC364" s="373">
        <f>'Q100a-geral'!KIC887</f>
        <v>0</v>
      </c>
      <c r="KID364" s="373">
        <f>'Q100a-geral'!KID887</f>
        <v>0</v>
      </c>
      <c r="KIE364" s="373">
        <f>'Q100a-geral'!KIE887</f>
        <v>0</v>
      </c>
      <c r="KIF364" s="373">
        <f>'Q100a-geral'!KIF887</f>
        <v>0</v>
      </c>
      <c r="KIG364" s="373">
        <f>'Q100a-geral'!KIG887</f>
        <v>0</v>
      </c>
      <c r="KIH364" s="373">
        <f>'Q100a-geral'!KIH887</f>
        <v>0</v>
      </c>
      <c r="KII364" s="373">
        <f>'Q100a-geral'!KII887</f>
        <v>0</v>
      </c>
      <c r="KIJ364" s="373">
        <f>'Q100a-geral'!KIJ887</f>
        <v>0</v>
      </c>
      <c r="KIK364" s="373">
        <f>'Q100a-geral'!KIK887</f>
        <v>0</v>
      </c>
      <c r="KIL364" s="373">
        <f>'Q100a-geral'!KIL887</f>
        <v>0</v>
      </c>
      <c r="KIM364" s="373">
        <f>'Q100a-geral'!KIM887</f>
        <v>0</v>
      </c>
      <c r="KIN364" s="373">
        <f>'Q100a-geral'!KIN887</f>
        <v>0</v>
      </c>
      <c r="KIO364" s="373">
        <f>'Q100a-geral'!KIO887</f>
        <v>0</v>
      </c>
      <c r="KIP364" s="373">
        <f>'Q100a-geral'!KIP887</f>
        <v>0</v>
      </c>
      <c r="KIQ364" s="373">
        <f>'Q100a-geral'!KIQ887</f>
        <v>0</v>
      </c>
      <c r="KIR364" s="373">
        <f>'Q100a-geral'!KIR887</f>
        <v>0</v>
      </c>
      <c r="KIS364" s="373">
        <f>'Q100a-geral'!KIS887</f>
        <v>0</v>
      </c>
      <c r="KIT364" s="373">
        <f>'Q100a-geral'!KIT887</f>
        <v>0</v>
      </c>
      <c r="KIU364" s="373">
        <f>'Q100a-geral'!KIU887</f>
        <v>0</v>
      </c>
      <c r="KIV364" s="373">
        <f>'Q100a-geral'!KIV887</f>
        <v>0</v>
      </c>
      <c r="KIW364" s="373">
        <f>'Q100a-geral'!KIW887</f>
        <v>0</v>
      </c>
      <c r="KIX364" s="373">
        <f>'Q100a-geral'!KIX887</f>
        <v>0</v>
      </c>
      <c r="KIY364" s="373">
        <f>'Q100a-geral'!KIY887</f>
        <v>0</v>
      </c>
      <c r="KIZ364" s="373">
        <f>'Q100a-geral'!KIZ887</f>
        <v>0</v>
      </c>
      <c r="KJA364" s="373">
        <f>'Q100a-geral'!KJA887</f>
        <v>0</v>
      </c>
      <c r="KJB364" s="373">
        <f>'Q100a-geral'!KJB887</f>
        <v>0</v>
      </c>
      <c r="KJC364" s="373">
        <f>'Q100a-geral'!KJC887</f>
        <v>0</v>
      </c>
      <c r="KJD364" s="373">
        <f>'Q100a-geral'!KJD887</f>
        <v>0</v>
      </c>
      <c r="KJE364" s="373">
        <f>'Q100a-geral'!KJE887</f>
        <v>0</v>
      </c>
      <c r="KJF364" s="373">
        <f>'Q100a-geral'!KJF887</f>
        <v>0</v>
      </c>
      <c r="KJG364" s="373">
        <f>'Q100a-geral'!KJG887</f>
        <v>0</v>
      </c>
      <c r="KJH364" s="373">
        <f>'Q100a-geral'!KJH887</f>
        <v>0</v>
      </c>
      <c r="KJI364" s="373">
        <f>'Q100a-geral'!KJI887</f>
        <v>0</v>
      </c>
      <c r="KJJ364" s="373">
        <f>'Q100a-geral'!KJJ887</f>
        <v>0</v>
      </c>
      <c r="KJK364" s="373">
        <f>'Q100a-geral'!KJK887</f>
        <v>0</v>
      </c>
      <c r="KJL364" s="373">
        <f>'Q100a-geral'!KJL887</f>
        <v>0</v>
      </c>
      <c r="KJM364" s="373">
        <f>'Q100a-geral'!KJM887</f>
        <v>0</v>
      </c>
      <c r="KJN364" s="373">
        <f>'Q100a-geral'!KJN887</f>
        <v>0</v>
      </c>
      <c r="KJO364" s="373">
        <f>'Q100a-geral'!KJO887</f>
        <v>0</v>
      </c>
      <c r="KJP364" s="373">
        <f>'Q100a-geral'!KJP887</f>
        <v>0</v>
      </c>
      <c r="KJQ364" s="373">
        <f>'Q100a-geral'!KJQ887</f>
        <v>0</v>
      </c>
      <c r="KJR364" s="373">
        <f>'Q100a-geral'!KJR887</f>
        <v>0</v>
      </c>
      <c r="KJS364" s="373">
        <f>'Q100a-geral'!KJS887</f>
        <v>0</v>
      </c>
      <c r="KJT364" s="373">
        <f>'Q100a-geral'!KJT887</f>
        <v>0</v>
      </c>
      <c r="KJU364" s="373">
        <f>'Q100a-geral'!KJU887</f>
        <v>0</v>
      </c>
      <c r="KJV364" s="373">
        <f>'Q100a-geral'!KJV887</f>
        <v>0</v>
      </c>
      <c r="KJW364" s="373">
        <f>'Q100a-geral'!KJW887</f>
        <v>0</v>
      </c>
      <c r="KJX364" s="373">
        <f>'Q100a-geral'!KJX887</f>
        <v>0</v>
      </c>
      <c r="KJY364" s="373">
        <f>'Q100a-geral'!KJY887</f>
        <v>0</v>
      </c>
      <c r="KJZ364" s="373">
        <f>'Q100a-geral'!KJZ887</f>
        <v>0</v>
      </c>
      <c r="KKA364" s="373">
        <f>'Q100a-geral'!KKA887</f>
        <v>0</v>
      </c>
      <c r="KKB364" s="373">
        <f>'Q100a-geral'!KKB887</f>
        <v>0</v>
      </c>
      <c r="KKC364" s="373">
        <f>'Q100a-geral'!KKC887</f>
        <v>0</v>
      </c>
      <c r="KKD364" s="373">
        <f>'Q100a-geral'!KKD887</f>
        <v>0</v>
      </c>
      <c r="KKE364" s="373">
        <f>'Q100a-geral'!KKE887</f>
        <v>0</v>
      </c>
      <c r="KKF364" s="373">
        <f>'Q100a-geral'!KKF887</f>
        <v>0</v>
      </c>
      <c r="KKG364" s="373">
        <f>'Q100a-geral'!KKG887</f>
        <v>0</v>
      </c>
      <c r="KKH364" s="373">
        <f>'Q100a-geral'!KKH887</f>
        <v>0</v>
      </c>
      <c r="KKI364" s="373">
        <f>'Q100a-geral'!KKI887</f>
        <v>0</v>
      </c>
      <c r="KKJ364" s="373">
        <f>'Q100a-geral'!KKJ887</f>
        <v>0</v>
      </c>
      <c r="KKK364" s="373">
        <f>'Q100a-geral'!KKK887</f>
        <v>0</v>
      </c>
      <c r="KKL364" s="373">
        <f>'Q100a-geral'!KKL887</f>
        <v>0</v>
      </c>
      <c r="KKM364" s="373">
        <f>'Q100a-geral'!KKM887</f>
        <v>0</v>
      </c>
      <c r="KKN364" s="373">
        <f>'Q100a-geral'!KKN887</f>
        <v>0</v>
      </c>
      <c r="KKO364" s="373">
        <f>'Q100a-geral'!KKO887</f>
        <v>0</v>
      </c>
      <c r="KKP364" s="373">
        <f>'Q100a-geral'!KKP887</f>
        <v>0</v>
      </c>
      <c r="KKQ364" s="373">
        <f>'Q100a-geral'!KKQ887</f>
        <v>0</v>
      </c>
      <c r="KKR364" s="373">
        <f>'Q100a-geral'!KKR887</f>
        <v>0</v>
      </c>
      <c r="KKS364" s="373">
        <f>'Q100a-geral'!KKS887</f>
        <v>0</v>
      </c>
      <c r="KKT364" s="373">
        <f>'Q100a-geral'!KKT887</f>
        <v>0</v>
      </c>
      <c r="KKU364" s="373">
        <f>'Q100a-geral'!KKU887</f>
        <v>0</v>
      </c>
      <c r="KKV364" s="373">
        <f>'Q100a-geral'!KKV887</f>
        <v>0</v>
      </c>
      <c r="KKW364" s="373">
        <f>'Q100a-geral'!KKW887</f>
        <v>0</v>
      </c>
      <c r="KKX364" s="373">
        <f>'Q100a-geral'!KKX887</f>
        <v>0</v>
      </c>
      <c r="KKY364" s="373">
        <f>'Q100a-geral'!KKY887</f>
        <v>0</v>
      </c>
      <c r="KKZ364" s="373">
        <f>'Q100a-geral'!KKZ887</f>
        <v>0</v>
      </c>
      <c r="KLA364" s="373">
        <f>'Q100a-geral'!KLA887</f>
        <v>0</v>
      </c>
      <c r="KLB364" s="373">
        <f>'Q100a-geral'!KLB887</f>
        <v>0</v>
      </c>
      <c r="KLC364" s="373">
        <f>'Q100a-geral'!KLC887</f>
        <v>0</v>
      </c>
      <c r="KLD364" s="373">
        <f>'Q100a-geral'!KLD887</f>
        <v>0</v>
      </c>
      <c r="KLE364" s="373">
        <f>'Q100a-geral'!KLE887</f>
        <v>0</v>
      </c>
      <c r="KLF364" s="373">
        <f>'Q100a-geral'!KLF887</f>
        <v>0</v>
      </c>
      <c r="KLG364" s="373">
        <f>'Q100a-geral'!KLG887</f>
        <v>0</v>
      </c>
      <c r="KLH364" s="373">
        <f>'Q100a-geral'!KLH887</f>
        <v>0</v>
      </c>
      <c r="KLI364" s="373">
        <f>'Q100a-geral'!KLI887</f>
        <v>0</v>
      </c>
      <c r="KLJ364" s="373">
        <f>'Q100a-geral'!KLJ887</f>
        <v>0</v>
      </c>
      <c r="KLK364" s="373">
        <f>'Q100a-geral'!KLK887</f>
        <v>0</v>
      </c>
      <c r="KLL364" s="373">
        <f>'Q100a-geral'!KLL887</f>
        <v>0</v>
      </c>
      <c r="KLM364" s="373">
        <f>'Q100a-geral'!KLM887</f>
        <v>0</v>
      </c>
      <c r="KLN364" s="373">
        <f>'Q100a-geral'!KLN887</f>
        <v>0</v>
      </c>
      <c r="KLO364" s="373">
        <f>'Q100a-geral'!KLO887</f>
        <v>0</v>
      </c>
      <c r="KLP364" s="373">
        <f>'Q100a-geral'!KLP887</f>
        <v>0</v>
      </c>
      <c r="KLQ364" s="373">
        <f>'Q100a-geral'!KLQ887</f>
        <v>0</v>
      </c>
      <c r="KLR364" s="373">
        <f>'Q100a-geral'!KLR887</f>
        <v>0</v>
      </c>
      <c r="KLS364" s="373">
        <f>'Q100a-geral'!KLS887</f>
        <v>0</v>
      </c>
      <c r="KLT364" s="373">
        <f>'Q100a-geral'!KLT887</f>
        <v>0</v>
      </c>
      <c r="KLU364" s="373">
        <f>'Q100a-geral'!KLU887</f>
        <v>0</v>
      </c>
      <c r="KLV364" s="373">
        <f>'Q100a-geral'!KLV887</f>
        <v>0</v>
      </c>
      <c r="KLW364" s="373">
        <f>'Q100a-geral'!KLW887</f>
        <v>0</v>
      </c>
      <c r="KLX364" s="373">
        <f>'Q100a-geral'!KLX887</f>
        <v>0</v>
      </c>
      <c r="KLY364" s="373">
        <f>'Q100a-geral'!KLY887</f>
        <v>0</v>
      </c>
      <c r="KLZ364" s="373">
        <f>'Q100a-geral'!KLZ887</f>
        <v>0</v>
      </c>
      <c r="KMA364" s="373">
        <f>'Q100a-geral'!KMA887</f>
        <v>0</v>
      </c>
      <c r="KMB364" s="373">
        <f>'Q100a-geral'!KMB887</f>
        <v>0</v>
      </c>
      <c r="KMC364" s="373">
        <f>'Q100a-geral'!KMC887</f>
        <v>0</v>
      </c>
      <c r="KMD364" s="373">
        <f>'Q100a-geral'!KMD887</f>
        <v>0</v>
      </c>
      <c r="KME364" s="373">
        <f>'Q100a-geral'!KME887</f>
        <v>0</v>
      </c>
      <c r="KMF364" s="373">
        <f>'Q100a-geral'!KMF887</f>
        <v>0</v>
      </c>
      <c r="KMG364" s="373">
        <f>'Q100a-geral'!KMG887</f>
        <v>0</v>
      </c>
      <c r="KMH364" s="373">
        <f>'Q100a-geral'!KMH887</f>
        <v>0</v>
      </c>
      <c r="KMI364" s="373">
        <f>'Q100a-geral'!KMI887</f>
        <v>0</v>
      </c>
      <c r="KMJ364" s="373">
        <f>'Q100a-geral'!KMJ887</f>
        <v>0</v>
      </c>
      <c r="KMK364" s="373">
        <f>'Q100a-geral'!KMK887</f>
        <v>0</v>
      </c>
      <c r="KML364" s="373">
        <f>'Q100a-geral'!KML887</f>
        <v>0</v>
      </c>
      <c r="KMM364" s="373">
        <f>'Q100a-geral'!KMM887</f>
        <v>0</v>
      </c>
      <c r="KMN364" s="373">
        <f>'Q100a-geral'!KMN887</f>
        <v>0</v>
      </c>
      <c r="KMO364" s="373">
        <f>'Q100a-geral'!KMO887</f>
        <v>0</v>
      </c>
      <c r="KMP364" s="373">
        <f>'Q100a-geral'!KMP887</f>
        <v>0</v>
      </c>
      <c r="KMQ364" s="373">
        <f>'Q100a-geral'!KMQ887</f>
        <v>0</v>
      </c>
      <c r="KMR364" s="373">
        <f>'Q100a-geral'!KMR887</f>
        <v>0</v>
      </c>
      <c r="KMS364" s="373">
        <f>'Q100a-geral'!KMS887</f>
        <v>0</v>
      </c>
      <c r="KMT364" s="373">
        <f>'Q100a-geral'!KMT887</f>
        <v>0</v>
      </c>
      <c r="KMU364" s="373">
        <f>'Q100a-geral'!KMU887</f>
        <v>0</v>
      </c>
      <c r="KMV364" s="373">
        <f>'Q100a-geral'!KMV887</f>
        <v>0</v>
      </c>
      <c r="KMW364" s="373">
        <f>'Q100a-geral'!KMW887</f>
        <v>0</v>
      </c>
      <c r="KMX364" s="373">
        <f>'Q100a-geral'!KMX887</f>
        <v>0</v>
      </c>
      <c r="KMY364" s="373">
        <f>'Q100a-geral'!KMY887</f>
        <v>0</v>
      </c>
      <c r="KMZ364" s="373">
        <f>'Q100a-geral'!KMZ887</f>
        <v>0</v>
      </c>
      <c r="KNA364" s="373">
        <f>'Q100a-geral'!KNA887</f>
        <v>0</v>
      </c>
      <c r="KNB364" s="373">
        <f>'Q100a-geral'!KNB887</f>
        <v>0</v>
      </c>
      <c r="KNC364" s="373">
        <f>'Q100a-geral'!KNC887</f>
        <v>0</v>
      </c>
      <c r="KND364" s="373">
        <f>'Q100a-geral'!KND887</f>
        <v>0</v>
      </c>
      <c r="KNE364" s="373">
        <f>'Q100a-geral'!KNE887</f>
        <v>0</v>
      </c>
      <c r="KNF364" s="373">
        <f>'Q100a-geral'!KNF887</f>
        <v>0</v>
      </c>
      <c r="KNG364" s="373">
        <f>'Q100a-geral'!KNG887</f>
        <v>0</v>
      </c>
      <c r="KNH364" s="373">
        <f>'Q100a-geral'!KNH887</f>
        <v>0</v>
      </c>
      <c r="KNI364" s="373">
        <f>'Q100a-geral'!KNI887</f>
        <v>0</v>
      </c>
      <c r="KNJ364" s="373">
        <f>'Q100a-geral'!KNJ887</f>
        <v>0</v>
      </c>
      <c r="KNK364" s="373">
        <f>'Q100a-geral'!KNK887</f>
        <v>0</v>
      </c>
      <c r="KNL364" s="373">
        <f>'Q100a-geral'!KNL887</f>
        <v>0</v>
      </c>
      <c r="KNM364" s="373">
        <f>'Q100a-geral'!KNM887</f>
        <v>0</v>
      </c>
      <c r="KNN364" s="373">
        <f>'Q100a-geral'!KNN887</f>
        <v>0</v>
      </c>
      <c r="KNO364" s="373">
        <f>'Q100a-geral'!KNO887</f>
        <v>0</v>
      </c>
      <c r="KNP364" s="373">
        <f>'Q100a-geral'!KNP887</f>
        <v>0</v>
      </c>
      <c r="KNQ364" s="373">
        <f>'Q100a-geral'!KNQ887</f>
        <v>0</v>
      </c>
      <c r="KNR364" s="373">
        <f>'Q100a-geral'!KNR887</f>
        <v>0</v>
      </c>
      <c r="KNS364" s="373">
        <f>'Q100a-geral'!KNS887</f>
        <v>0</v>
      </c>
      <c r="KNT364" s="373">
        <f>'Q100a-geral'!KNT887</f>
        <v>0</v>
      </c>
      <c r="KNU364" s="373">
        <f>'Q100a-geral'!KNU887</f>
        <v>0</v>
      </c>
      <c r="KNV364" s="373">
        <f>'Q100a-geral'!KNV887</f>
        <v>0</v>
      </c>
      <c r="KNW364" s="373">
        <f>'Q100a-geral'!KNW887</f>
        <v>0</v>
      </c>
      <c r="KNX364" s="373">
        <f>'Q100a-geral'!KNX887</f>
        <v>0</v>
      </c>
      <c r="KNY364" s="373">
        <f>'Q100a-geral'!KNY887</f>
        <v>0</v>
      </c>
      <c r="KNZ364" s="373">
        <f>'Q100a-geral'!KNZ887</f>
        <v>0</v>
      </c>
      <c r="KOA364" s="373">
        <f>'Q100a-geral'!KOA887</f>
        <v>0</v>
      </c>
      <c r="KOB364" s="373">
        <f>'Q100a-geral'!KOB887</f>
        <v>0</v>
      </c>
      <c r="KOC364" s="373">
        <f>'Q100a-geral'!KOC887</f>
        <v>0</v>
      </c>
      <c r="KOD364" s="373">
        <f>'Q100a-geral'!KOD887</f>
        <v>0</v>
      </c>
      <c r="KOE364" s="373">
        <f>'Q100a-geral'!KOE887</f>
        <v>0</v>
      </c>
      <c r="KOF364" s="373">
        <f>'Q100a-geral'!KOF887</f>
        <v>0</v>
      </c>
      <c r="KOG364" s="373">
        <f>'Q100a-geral'!KOG887</f>
        <v>0</v>
      </c>
      <c r="KOH364" s="373">
        <f>'Q100a-geral'!KOH887</f>
        <v>0</v>
      </c>
      <c r="KOI364" s="373">
        <f>'Q100a-geral'!KOI887</f>
        <v>0</v>
      </c>
      <c r="KOJ364" s="373">
        <f>'Q100a-geral'!KOJ887</f>
        <v>0</v>
      </c>
      <c r="KOK364" s="373">
        <f>'Q100a-geral'!KOK887</f>
        <v>0</v>
      </c>
      <c r="KOL364" s="373">
        <f>'Q100a-geral'!KOL887</f>
        <v>0</v>
      </c>
      <c r="KOM364" s="373">
        <f>'Q100a-geral'!KOM887</f>
        <v>0</v>
      </c>
      <c r="KON364" s="373">
        <f>'Q100a-geral'!KON887</f>
        <v>0</v>
      </c>
      <c r="KOO364" s="373">
        <f>'Q100a-geral'!KOO887</f>
        <v>0</v>
      </c>
      <c r="KOP364" s="373">
        <f>'Q100a-geral'!KOP887</f>
        <v>0</v>
      </c>
      <c r="KOQ364" s="373">
        <f>'Q100a-geral'!KOQ887</f>
        <v>0</v>
      </c>
      <c r="KOR364" s="373">
        <f>'Q100a-geral'!KOR887</f>
        <v>0</v>
      </c>
      <c r="KOS364" s="373">
        <f>'Q100a-geral'!KOS887</f>
        <v>0</v>
      </c>
      <c r="KOT364" s="373">
        <f>'Q100a-geral'!KOT887</f>
        <v>0</v>
      </c>
      <c r="KOU364" s="373">
        <f>'Q100a-geral'!KOU887</f>
        <v>0</v>
      </c>
      <c r="KOV364" s="373">
        <f>'Q100a-geral'!KOV887</f>
        <v>0</v>
      </c>
      <c r="KOW364" s="373">
        <f>'Q100a-geral'!KOW887</f>
        <v>0</v>
      </c>
      <c r="KOX364" s="373">
        <f>'Q100a-geral'!KOX887</f>
        <v>0</v>
      </c>
      <c r="KOY364" s="373">
        <f>'Q100a-geral'!KOY887</f>
        <v>0</v>
      </c>
      <c r="KOZ364" s="373">
        <f>'Q100a-geral'!KOZ887</f>
        <v>0</v>
      </c>
      <c r="KPA364" s="373">
        <f>'Q100a-geral'!KPA887</f>
        <v>0</v>
      </c>
      <c r="KPB364" s="373">
        <f>'Q100a-geral'!KPB887</f>
        <v>0</v>
      </c>
      <c r="KPC364" s="373">
        <f>'Q100a-geral'!KPC887</f>
        <v>0</v>
      </c>
      <c r="KPD364" s="373">
        <f>'Q100a-geral'!KPD887</f>
        <v>0</v>
      </c>
      <c r="KPE364" s="373">
        <f>'Q100a-geral'!KPE887</f>
        <v>0</v>
      </c>
      <c r="KPF364" s="373">
        <f>'Q100a-geral'!KPF887</f>
        <v>0</v>
      </c>
      <c r="KPG364" s="373">
        <f>'Q100a-geral'!KPG887</f>
        <v>0</v>
      </c>
      <c r="KPH364" s="373">
        <f>'Q100a-geral'!KPH887</f>
        <v>0</v>
      </c>
      <c r="KPI364" s="373">
        <f>'Q100a-geral'!KPI887</f>
        <v>0</v>
      </c>
      <c r="KPJ364" s="373">
        <f>'Q100a-geral'!KPJ887</f>
        <v>0</v>
      </c>
      <c r="KPK364" s="373">
        <f>'Q100a-geral'!KPK887</f>
        <v>0</v>
      </c>
      <c r="KPL364" s="373">
        <f>'Q100a-geral'!KPL887</f>
        <v>0</v>
      </c>
      <c r="KPM364" s="373">
        <f>'Q100a-geral'!KPM887</f>
        <v>0</v>
      </c>
      <c r="KPN364" s="373">
        <f>'Q100a-geral'!KPN887</f>
        <v>0</v>
      </c>
      <c r="KPO364" s="373">
        <f>'Q100a-geral'!KPO887</f>
        <v>0</v>
      </c>
      <c r="KPP364" s="373">
        <f>'Q100a-geral'!KPP887</f>
        <v>0</v>
      </c>
      <c r="KPQ364" s="373">
        <f>'Q100a-geral'!KPQ887</f>
        <v>0</v>
      </c>
      <c r="KPR364" s="373">
        <f>'Q100a-geral'!KPR887</f>
        <v>0</v>
      </c>
      <c r="KPS364" s="373">
        <f>'Q100a-geral'!KPS887</f>
        <v>0</v>
      </c>
      <c r="KPT364" s="373">
        <f>'Q100a-geral'!KPT887</f>
        <v>0</v>
      </c>
      <c r="KPU364" s="373">
        <f>'Q100a-geral'!KPU887</f>
        <v>0</v>
      </c>
      <c r="KPV364" s="373">
        <f>'Q100a-geral'!KPV887</f>
        <v>0</v>
      </c>
      <c r="KPW364" s="373">
        <f>'Q100a-geral'!KPW887</f>
        <v>0</v>
      </c>
      <c r="KPX364" s="373">
        <f>'Q100a-geral'!KPX887</f>
        <v>0</v>
      </c>
      <c r="KPY364" s="373">
        <f>'Q100a-geral'!KPY887</f>
        <v>0</v>
      </c>
      <c r="KPZ364" s="373">
        <f>'Q100a-geral'!KPZ887</f>
        <v>0</v>
      </c>
      <c r="KQA364" s="373">
        <f>'Q100a-geral'!KQA887</f>
        <v>0</v>
      </c>
      <c r="KQB364" s="373">
        <f>'Q100a-geral'!KQB887</f>
        <v>0</v>
      </c>
      <c r="KQC364" s="373">
        <f>'Q100a-geral'!KQC887</f>
        <v>0</v>
      </c>
      <c r="KQD364" s="373">
        <f>'Q100a-geral'!KQD887</f>
        <v>0</v>
      </c>
      <c r="KQE364" s="373">
        <f>'Q100a-geral'!KQE887</f>
        <v>0</v>
      </c>
      <c r="KQF364" s="373">
        <f>'Q100a-geral'!KQF887</f>
        <v>0</v>
      </c>
      <c r="KQG364" s="373">
        <f>'Q100a-geral'!KQG887</f>
        <v>0</v>
      </c>
      <c r="KQH364" s="373">
        <f>'Q100a-geral'!KQH887</f>
        <v>0</v>
      </c>
      <c r="KQI364" s="373">
        <f>'Q100a-geral'!KQI887</f>
        <v>0</v>
      </c>
      <c r="KQJ364" s="373">
        <f>'Q100a-geral'!KQJ887</f>
        <v>0</v>
      </c>
      <c r="KQK364" s="373">
        <f>'Q100a-geral'!KQK887</f>
        <v>0</v>
      </c>
      <c r="KQL364" s="373">
        <f>'Q100a-geral'!KQL887</f>
        <v>0</v>
      </c>
      <c r="KQM364" s="373">
        <f>'Q100a-geral'!KQM887</f>
        <v>0</v>
      </c>
      <c r="KQN364" s="373">
        <f>'Q100a-geral'!KQN887</f>
        <v>0</v>
      </c>
      <c r="KQO364" s="373">
        <f>'Q100a-geral'!KQO887</f>
        <v>0</v>
      </c>
      <c r="KQP364" s="373">
        <f>'Q100a-geral'!KQP887</f>
        <v>0</v>
      </c>
      <c r="KQQ364" s="373">
        <f>'Q100a-geral'!KQQ887</f>
        <v>0</v>
      </c>
      <c r="KQR364" s="373">
        <f>'Q100a-geral'!KQR887</f>
        <v>0</v>
      </c>
      <c r="KQS364" s="373">
        <f>'Q100a-geral'!KQS887</f>
        <v>0</v>
      </c>
      <c r="KQT364" s="373">
        <f>'Q100a-geral'!KQT887</f>
        <v>0</v>
      </c>
      <c r="KQU364" s="373">
        <f>'Q100a-geral'!KQU887</f>
        <v>0</v>
      </c>
      <c r="KQV364" s="373">
        <f>'Q100a-geral'!KQV887</f>
        <v>0</v>
      </c>
      <c r="KQW364" s="373">
        <f>'Q100a-geral'!KQW887</f>
        <v>0</v>
      </c>
      <c r="KQX364" s="373">
        <f>'Q100a-geral'!KQX887</f>
        <v>0</v>
      </c>
      <c r="KQY364" s="373">
        <f>'Q100a-geral'!KQY887</f>
        <v>0</v>
      </c>
      <c r="KQZ364" s="373">
        <f>'Q100a-geral'!KQZ887</f>
        <v>0</v>
      </c>
      <c r="KRA364" s="373">
        <f>'Q100a-geral'!KRA887</f>
        <v>0</v>
      </c>
      <c r="KRB364" s="373">
        <f>'Q100a-geral'!KRB887</f>
        <v>0</v>
      </c>
      <c r="KRC364" s="373">
        <f>'Q100a-geral'!KRC887</f>
        <v>0</v>
      </c>
      <c r="KRD364" s="373">
        <f>'Q100a-geral'!KRD887</f>
        <v>0</v>
      </c>
      <c r="KRE364" s="373">
        <f>'Q100a-geral'!KRE887</f>
        <v>0</v>
      </c>
      <c r="KRF364" s="373">
        <f>'Q100a-geral'!KRF887</f>
        <v>0</v>
      </c>
      <c r="KRG364" s="373">
        <f>'Q100a-geral'!KRG887</f>
        <v>0</v>
      </c>
      <c r="KRH364" s="373">
        <f>'Q100a-geral'!KRH887</f>
        <v>0</v>
      </c>
      <c r="KRI364" s="373">
        <f>'Q100a-geral'!KRI887</f>
        <v>0</v>
      </c>
      <c r="KRJ364" s="373">
        <f>'Q100a-geral'!KRJ887</f>
        <v>0</v>
      </c>
      <c r="KRK364" s="373">
        <f>'Q100a-geral'!KRK887</f>
        <v>0</v>
      </c>
      <c r="KRL364" s="373">
        <f>'Q100a-geral'!KRL887</f>
        <v>0</v>
      </c>
      <c r="KRM364" s="373">
        <f>'Q100a-geral'!KRM887</f>
        <v>0</v>
      </c>
      <c r="KRN364" s="373">
        <f>'Q100a-geral'!KRN887</f>
        <v>0</v>
      </c>
      <c r="KRO364" s="373">
        <f>'Q100a-geral'!KRO887</f>
        <v>0</v>
      </c>
      <c r="KRP364" s="373">
        <f>'Q100a-geral'!KRP887</f>
        <v>0</v>
      </c>
      <c r="KRQ364" s="373">
        <f>'Q100a-geral'!KRQ887</f>
        <v>0</v>
      </c>
      <c r="KRR364" s="373">
        <f>'Q100a-geral'!KRR887</f>
        <v>0</v>
      </c>
      <c r="KRS364" s="373">
        <f>'Q100a-geral'!KRS887</f>
        <v>0</v>
      </c>
      <c r="KRT364" s="373">
        <f>'Q100a-geral'!KRT887</f>
        <v>0</v>
      </c>
      <c r="KRU364" s="373">
        <f>'Q100a-geral'!KRU887</f>
        <v>0</v>
      </c>
      <c r="KRV364" s="373">
        <f>'Q100a-geral'!KRV887</f>
        <v>0</v>
      </c>
      <c r="KRW364" s="373">
        <f>'Q100a-geral'!KRW887</f>
        <v>0</v>
      </c>
      <c r="KRX364" s="373">
        <f>'Q100a-geral'!KRX887</f>
        <v>0</v>
      </c>
      <c r="KRY364" s="373">
        <f>'Q100a-geral'!KRY887</f>
        <v>0</v>
      </c>
      <c r="KRZ364" s="373">
        <f>'Q100a-geral'!KRZ887</f>
        <v>0</v>
      </c>
      <c r="KSA364" s="373">
        <f>'Q100a-geral'!KSA887</f>
        <v>0</v>
      </c>
      <c r="KSB364" s="373">
        <f>'Q100a-geral'!KSB887</f>
        <v>0</v>
      </c>
      <c r="KSC364" s="373">
        <f>'Q100a-geral'!KSC887</f>
        <v>0</v>
      </c>
      <c r="KSD364" s="373">
        <f>'Q100a-geral'!KSD887</f>
        <v>0</v>
      </c>
      <c r="KSE364" s="373">
        <f>'Q100a-geral'!KSE887</f>
        <v>0</v>
      </c>
      <c r="KSF364" s="373">
        <f>'Q100a-geral'!KSF887</f>
        <v>0</v>
      </c>
      <c r="KSG364" s="373">
        <f>'Q100a-geral'!KSG887</f>
        <v>0</v>
      </c>
      <c r="KSH364" s="373">
        <f>'Q100a-geral'!KSH887</f>
        <v>0</v>
      </c>
      <c r="KSI364" s="373">
        <f>'Q100a-geral'!KSI887</f>
        <v>0</v>
      </c>
      <c r="KSJ364" s="373">
        <f>'Q100a-geral'!KSJ887</f>
        <v>0</v>
      </c>
      <c r="KSK364" s="373">
        <f>'Q100a-geral'!KSK887</f>
        <v>0</v>
      </c>
      <c r="KSL364" s="373">
        <f>'Q100a-geral'!KSL887</f>
        <v>0</v>
      </c>
      <c r="KSM364" s="373">
        <f>'Q100a-geral'!KSM887</f>
        <v>0</v>
      </c>
      <c r="KSN364" s="373">
        <f>'Q100a-geral'!KSN887</f>
        <v>0</v>
      </c>
      <c r="KSO364" s="373">
        <f>'Q100a-geral'!KSO887</f>
        <v>0</v>
      </c>
      <c r="KSP364" s="373">
        <f>'Q100a-geral'!KSP887</f>
        <v>0</v>
      </c>
      <c r="KSQ364" s="373">
        <f>'Q100a-geral'!KSQ887</f>
        <v>0</v>
      </c>
      <c r="KSR364" s="373">
        <f>'Q100a-geral'!KSR887</f>
        <v>0</v>
      </c>
      <c r="KSS364" s="373">
        <f>'Q100a-geral'!KSS887</f>
        <v>0</v>
      </c>
      <c r="KST364" s="373">
        <f>'Q100a-geral'!KST887</f>
        <v>0</v>
      </c>
      <c r="KSU364" s="373">
        <f>'Q100a-geral'!KSU887</f>
        <v>0</v>
      </c>
      <c r="KSV364" s="373">
        <f>'Q100a-geral'!KSV887</f>
        <v>0</v>
      </c>
      <c r="KSW364" s="373">
        <f>'Q100a-geral'!KSW887</f>
        <v>0</v>
      </c>
      <c r="KSX364" s="373">
        <f>'Q100a-geral'!KSX887</f>
        <v>0</v>
      </c>
      <c r="KSY364" s="373">
        <f>'Q100a-geral'!KSY887</f>
        <v>0</v>
      </c>
      <c r="KSZ364" s="373">
        <f>'Q100a-geral'!KSZ887</f>
        <v>0</v>
      </c>
      <c r="KTA364" s="373">
        <f>'Q100a-geral'!KTA887</f>
        <v>0</v>
      </c>
      <c r="KTB364" s="373">
        <f>'Q100a-geral'!KTB887</f>
        <v>0</v>
      </c>
      <c r="KTC364" s="373">
        <f>'Q100a-geral'!KTC887</f>
        <v>0</v>
      </c>
      <c r="KTD364" s="373">
        <f>'Q100a-geral'!KTD887</f>
        <v>0</v>
      </c>
      <c r="KTE364" s="373">
        <f>'Q100a-geral'!KTE887</f>
        <v>0</v>
      </c>
      <c r="KTF364" s="373">
        <f>'Q100a-geral'!KTF887</f>
        <v>0</v>
      </c>
      <c r="KTG364" s="373">
        <f>'Q100a-geral'!KTG887</f>
        <v>0</v>
      </c>
      <c r="KTH364" s="373">
        <f>'Q100a-geral'!KTH887</f>
        <v>0</v>
      </c>
      <c r="KTI364" s="373">
        <f>'Q100a-geral'!KTI887</f>
        <v>0</v>
      </c>
      <c r="KTJ364" s="373">
        <f>'Q100a-geral'!KTJ887</f>
        <v>0</v>
      </c>
      <c r="KTK364" s="373">
        <f>'Q100a-geral'!KTK887</f>
        <v>0</v>
      </c>
      <c r="KTL364" s="373">
        <f>'Q100a-geral'!KTL887</f>
        <v>0</v>
      </c>
      <c r="KTM364" s="373">
        <f>'Q100a-geral'!KTM887</f>
        <v>0</v>
      </c>
      <c r="KTN364" s="373">
        <f>'Q100a-geral'!KTN887</f>
        <v>0</v>
      </c>
      <c r="KTO364" s="373">
        <f>'Q100a-geral'!KTO887</f>
        <v>0</v>
      </c>
      <c r="KTP364" s="373">
        <f>'Q100a-geral'!KTP887</f>
        <v>0</v>
      </c>
      <c r="KTQ364" s="373">
        <f>'Q100a-geral'!KTQ887</f>
        <v>0</v>
      </c>
      <c r="KTR364" s="373">
        <f>'Q100a-geral'!KTR887</f>
        <v>0</v>
      </c>
      <c r="KTS364" s="373">
        <f>'Q100a-geral'!KTS887</f>
        <v>0</v>
      </c>
      <c r="KTT364" s="373">
        <f>'Q100a-geral'!KTT887</f>
        <v>0</v>
      </c>
      <c r="KTU364" s="373">
        <f>'Q100a-geral'!KTU887</f>
        <v>0</v>
      </c>
      <c r="KTV364" s="373">
        <f>'Q100a-geral'!KTV887</f>
        <v>0</v>
      </c>
      <c r="KTW364" s="373">
        <f>'Q100a-geral'!KTW887</f>
        <v>0</v>
      </c>
      <c r="KTX364" s="373">
        <f>'Q100a-geral'!KTX887</f>
        <v>0</v>
      </c>
      <c r="KTY364" s="373">
        <f>'Q100a-geral'!KTY887</f>
        <v>0</v>
      </c>
      <c r="KTZ364" s="373">
        <f>'Q100a-geral'!KTZ887</f>
        <v>0</v>
      </c>
      <c r="KUA364" s="373">
        <f>'Q100a-geral'!KUA887</f>
        <v>0</v>
      </c>
      <c r="KUB364" s="373">
        <f>'Q100a-geral'!KUB887</f>
        <v>0</v>
      </c>
      <c r="KUC364" s="373">
        <f>'Q100a-geral'!KUC887</f>
        <v>0</v>
      </c>
      <c r="KUD364" s="373">
        <f>'Q100a-geral'!KUD887</f>
        <v>0</v>
      </c>
      <c r="KUE364" s="373">
        <f>'Q100a-geral'!KUE887</f>
        <v>0</v>
      </c>
      <c r="KUF364" s="373">
        <f>'Q100a-geral'!KUF887</f>
        <v>0</v>
      </c>
      <c r="KUG364" s="373">
        <f>'Q100a-geral'!KUG887</f>
        <v>0</v>
      </c>
      <c r="KUH364" s="373">
        <f>'Q100a-geral'!KUH887</f>
        <v>0</v>
      </c>
      <c r="KUI364" s="373">
        <f>'Q100a-geral'!KUI887</f>
        <v>0</v>
      </c>
      <c r="KUJ364" s="373">
        <f>'Q100a-geral'!KUJ887</f>
        <v>0</v>
      </c>
      <c r="KUK364" s="373">
        <f>'Q100a-geral'!KUK887</f>
        <v>0</v>
      </c>
      <c r="KUL364" s="373">
        <f>'Q100a-geral'!KUL887</f>
        <v>0</v>
      </c>
      <c r="KUM364" s="373">
        <f>'Q100a-geral'!KUM887</f>
        <v>0</v>
      </c>
      <c r="KUN364" s="373">
        <f>'Q100a-geral'!KUN887</f>
        <v>0</v>
      </c>
      <c r="KUO364" s="373">
        <f>'Q100a-geral'!KUO887</f>
        <v>0</v>
      </c>
      <c r="KUP364" s="373">
        <f>'Q100a-geral'!KUP887</f>
        <v>0</v>
      </c>
      <c r="KUQ364" s="373">
        <f>'Q100a-geral'!KUQ887</f>
        <v>0</v>
      </c>
      <c r="KUR364" s="373">
        <f>'Q100a-geral'!KUR887</f>
        <v>0</v>
      </c>
      <c r="KUS364" s="373">
        <f>'Q100a-geral'!KUS887</f>
        <v>0</v>
      </c>
      <c r="KUT364" s="373">
        <f>'Q100a-geral'!KUT887</f>
        <v>0</v>
      </c>
      <c r="KUU364" s="373">
        <f>'Q100a-geral'!KUU887</f>
        <v>0</v>
      </c>
      <c r="KUV364" s="373">
        <f>'Q100a-geral'!KUV887</f>
        <v>0</v>
      </c>
      <c r="KUW364" s="373">
        <f>'Q100a-geral'!KUW887</f>
        <v>0</v>
      </c>
      <c r="KUX364" s="373">
        <f>'Q100a-geral'!KUX887</f>
        <v>0</v>
      </c>
      <c r="KUY364" s="373">
        <f>'Q100a-geral'!KUY887</f>
        <v>0</v>
      </c>
      <c r="KUZ364" s="373">
        <f>'Q100a-geral'!KUZ887</f>
        <v>0</v>
      </c>
      <c r="KVA364" s="373">
        <f>'Q100a-geral'!KVA887</f>
        <v>0</v>
      </c>
      <c r="KVB364" s="373">
        <f>'Q100a-geral'!KVB887</f>
        <v>0</v>
      </c>
      <c r="KVC364" s="373">
        <f>'Q100a-geral'!KVC887</f>
        <v>0</v>
      </c>
      <c r="KVD364" s="373">
        <f>'Q100a-geral'!KVD887</f>
        <v>0</v>
      </c>
      <c r="KVE364" s="373">
        <f>'Q100a-geral'!KVE887</f>
        <v>0</v>
      </c>
      <c r="KVF364" s="373">
        <f>'Q100a-geral'!KVF887</f>
        <v>0</v>
      </c>
      <c r="KVG364" s="373">
        <f>'Q100a-geral'!KVG887</f>
        <v>0</v>
      </c>
      <c r="KVH364" s="373">
        <f>'Q100a-geral'!KVH887</f>
        <v>0</v>
      </c>
      <c r="KVI364" s="373">
        <f>'Q100a-geral'!KVI887</f>
        <v>0</v>
      </c>
      <c r="KVJ364" s="373">
        <f>'Q100a-geral'!KVJ887</f>
        <v>0</v>
      </c>
      <c r="KVK364" s="373">
        <f>'Q100a-geral'!KVK887</f>
        <v>0</v>
      </c>
      <c r="KVL364" s="373">
        <f>'Q100a-geral'!KVL887</f>
        <v>0</v>
      </c>
      <c r="KVM364" s="373">
        <f>'Q100a-geral'!KVM887</f>
        <v>0</v>
      </c>
      <c r="KVN364" s="373">
        <f>'Q100a-geral'!KVN887</f>
        <v>0</v>
      </c>
      <c r="KVO364" s="373">
        <f>'Q100a-geral'!KVO887</f>
        <v>0</v>
      </c>
      <c r="KVP364" s="373">
        <f>'Q100a-geral'!KVP887</f>
        <v>0</v>
      </c>
      <c r="KVQ364" s="373">
        <f>'Q100a-geral'!KVQ887</f>
        <v>0</v>
      </c>
      <c r="KVR364" s="373">
        <f>'Q100a-geral'!KVR887</f>
        <v>0</v>
      </c>
      <c r="KVS364" s="373">
        <f>'Q100a-geral'!KVS887</f>
        <v>0</v>
      </c>
      <c r="KVT364" s="373">
        <f>'Q100a-geral'!KVT887</f>
        <v>0</v>
      </c>
      <c r="KVU364" s="373">
        <f>'Q100a-geral'!KVU887</f>
        <v>0</v>
      </c>
      <c r="KVV364" s="373">
        <f>'Q100a-geral'!KVV887</f>
        <v>0</v>
      </c>
      <c r="KVW364" s="373">
        <f>'Q100a-geral'!KVW887</f>
        <v>0</v>
      </c>
      <c r="KVX364" s="373">
        <f>'Q100a-geral'!KVX887</f>
        <v>0</v>
      </c>
      <c r="KVY364" s="373">
        <f>'Q100a-geral'!KVY887</f>
        <v>0</v>
      </c>
      <c r="KVZ364" s="373">
        <f>'Q100a-geral'!KVZ887</f>
        <v>0</v>
      </c>
      <c r="KWA364" s="373">
        <f>'Q100a-geral'!KWA887</f>
        <v>0</v>
      </c>
      <c r="KWB364" s="373">
        <f>'Q100a-geral'!KWB887</f>
        <v>0</v>
      </c>
      <c r="KWC364" s="373">
        <f>'Q100a-geral'!KWC887</f>
        <v>0</v>
      </c>
      <c r="KWD364" s="373">
        <f>'Q100a-geral'!KWD887</f>
        <v>0</v>
      </c>
      <c r="KWE364" s="373">
        <f>'Q100a-geral'!KWE887</f>
        <v>0</v>
      </c>
      <c r="KWF364" s="373">
        <f>'Q100a-geral'!KWF887</f>
        <v>0</v>
      </c>
      <c r="KWG364" s="373">
        <f>'Q100a-geral'!KWG887</f>
        <v>0</v>
      </c>
      <c r="KWH364" s="373">
        <f>'Q100a-geral'!KWH887</f>
        <v>0</v>
      </c>
      <c r="KWI364" s="373">
        <f>'Q100a-geral'!KWI887</f>
        <v>0</v>
      </c>
      <c r="KWJ364" s="373">
        <f>'Q100a-geral'!KWJ887</f>
        <v>0</v>
      </c>
      <c r="KWK364" s="373">
        <f>'Q100a-geral'!KWK887</f>
        <v>0</v>
      </c>
      <c r="KWL364" s="373">
        <f>'Q100a-geral'!KWL887</f>
        <v>0</v>
      </c>
      <c r="KWM364" s="373">
        <f>'Q100a-geral'!KWM887</f>
        <v>0</v>
      </c>
      <c r="KWN364" s="373">
        <f>'Q100a-geral'!KWN887</f>
        <v>0</v>
      </c>
      <c r="KWO364" s="373">
        <f>'Q100a-geral'!KWO887</f>
        <v>0</v>
      </c>
      <c r="KWP364" s="373">
        <f>'Q100a-geral'!KWP887</f>
        <v>0</v>
      </c>
      <c r="KWQ364" s="373">
        <f>'Q100a-geral'!KWQ887</f>
        <v>0</v>
      </c>
      <c r="KWR364" s="373">
        <f>'Q100a-geral'!KWR887</f>
        <v>0</v>
      </c>
      <c r="KWS364" s="373">
        <f>'Q100a-geral'!KWS887</f>
        <v>0</v>
      </c>
      <c r="KWT364" s="373">
        <f>'Q100a-geral'!KWT887</f>
        <v>0</v>
      </c>
      <c r="KWU364" s="373">
        <f>'Q100a-geral'!KWU887</f>
        <v>0</v>
      </c>
      <c r="KWV364" s="373">
        <f>'Q100a-geral'!KWV887</f>
        <v>0</v>
      </c>
      <c r="KWW364" s="373">
        <f>'Q100a-geral'!KWW887</f>
        <v>0</v>
      </c>
      <c r="KWX364" s="373">
        <f>'Q100a-geral'!KWX887</f>
        <v>0</v>
      </c>
      <c r="KWY364" s="373">
        <f>'Q100a-geral'!KWY887</f>
        <v>0</v>
      </c>
      <c r="KWZ364" s="373">
        <f>'Q100a-geral'!KWZ887</f>
        <v>0</v>
      </c>
      <c r="KXA364" s="373">
        <f>'Q100a-geral'!KXA887</f>
        <v>0</v>
      </c>
      <c r="KXB364" s="373">
        <f>'Q100a-geral'!KXB887</f>
        <v>0</v>
      </c>
      <c r="KXC364" s="373">
        <f>'Q100a-geral'!KXC887</f>
        <v>0</v>
      </c>
      <c r="KXD364" s="373">
        <f>'Q100a-geral'!KXD887</f>
        <v>0</v>
      </c>
      <c r="KXE364" s="373">
        <f>'Q100a-geral'!KXE887</f>
        <v>0</v>
      </c>
      <c r="KXF364" s="373">
        <f>'Q100a-geral'!KXF887</f>
        <v>0</v>
      </c>
      <c r="KXG364" s="373">
        <f>'Q100a-geral'!KXG887</f>
        <v>0</v>
      </c>
      <c r="KXH364" s="373">
        <f>'Q100a-geral'!KXH887</f>
        <v>0</v>
      </c>
      <c r="KXI364" s="373">
        <f>'Q100a-geral'!KXI887</f>
        <v>0</v>
      </c>
      <c r="KXJ364" s="373">
        <f>'Q100a-geral'!KXJ887</f>
        <v>0</v>
      </c>
      <c r="KXK364" s="373">
        <f>'Q100a-geral'!KXK887</f>
        <v>0</v>
      </c>
      <c r="KXL364" s="373">
        <f>'Q100a-geral'!KXL887</f>
        <v>0</v>
      </c>
      <c r="KXM364" s="373">
        <f>'Q100a-geral'!KXM887</f>
        <v>0</v>
      </c>
      <c r="KXN364" s="373">
        <f>'Q100a-geral'!KXN887</f>
        <v>0</v>
      </c>
      <c r="KXO364" s="373">
        <f>'Q100a-geral'!KXO887</f>
        <v>0</v>
      </c>
      <c r="KXP364" s="373">
        <f>'Q100a-geral'!KXP887</f>
        <v>0</v>
      </c>
      <c r="KXQ364" s="373">
        <f>'Q100a-geral'!KXQ887</f>
        <v>0</v>
      </c>
      <c r="KXR364" s="373">
        <f>'Q100a-geral'!KXR887</f>
        <v>0</v>
      </c>
      <c r="KXS364" s="373">
        <f>'Q100a-geral'!KXS887</f>
        <v>0</v>
      </c>
      <c r="KXT364" s="373">
        <f>'Q100a-geral'!KXT887</f>
        <v>0</v>
      </c>
      <c r="KXU364" s="373">
        <f>'Q100a-geral'!KXU887</f>
        <v>0</v>
      </c>
      <c r="KXV364" s="373">
        <f>'Q100a-geral'!KXV887</f>
        <v>0</v>
      </c>
      <c r="KXW364" s="373">
        <f>'Q100a-geral'!KXW887</f>
        <v>0</v>
      </c>
      <c r="KXX364" s="373">
        <f>'Q100a-geral'!KXX887</f>
        <v>0</v>
      </c>
      <c r="KXY364" s="373">
        <f>'Q100a-geral'!KXY887</f>
        <v>0</v>
      </c>
      <c r="KXZ364" s="373">
        <f>'Q100a-geral'!KXZ887</f>
        <v>0</v>
      </c>
      <c r="KYA364" s="373">
        <f>'Q100a-geral'!KYA887</f>
        <v>0</v>
      </c>
      <c r="KYB364" s="373">
        <f>'Q100a-geral'!KYB887</f>
        <v>0</v>
      </c>
      <c r="KYC364" s="373">
        <f>'Q100a-geral'!KYC887</f>
        <v>0</v>
      </c>
      <c r="KYD364" s="373">
        <f>'Q100a-geral'!KYD887</f>
        <v>0</v>
      </c>
      <c r="KYE364" s="373">
        <f>'Q100a-geral'!KYE887</f>
        <v>0</v>
      </c>
      <c r="KYF364" s="373">
        <f>'Q100a-geral'!KYF887</f>
        <v>0</v>
      </c>
      <c r="KYG364" s="373">
        <f>'Q100a-geral'!KYG887</f>
        <v>0</v>
      </c>
      <c r="KYH364" s="373">
        <f>'Q100a-geral'!KYH887</f>
        <v>0</v>
      </c>
      <c r="KYI364" s="373">
        <f>'Q100a-geral'!KYI887</f>
        <v>0</v>
      </c>
      <c r="KYJ364" s="373">
        <f>'Q100a-geral'!KYJ887</f>
        <v>0</v>
      </c>
      <c r="KYK364" s="373">
        <f>'Q100a-geral'!KYK887</f>
        <v>0</v>
      </c>
      <c r="KYL364" s="373">
        <f>'Q100a-geral'!KYL887</f>
        <v>0</v>
      </c>
      <c r="KYM364" s="373">
        <f>'Q100a-geral'!KYM887</f>
        <v>0</v>
      </c>
      <c r="KYN364" s="373">
        <f>'Q100a-geral'!KYN887</f>
        <v>0</v>
      </c>
      <c r="KYO364" s="373">
        <f>'Q100a-geral'!KYO887</f>
        <v>0</v>
      </c>
      <c r="KYP364" s="373">
        <f>'Q100a-geral'!KYP887</f>
        <v>0</v>
      </c>
      <c r="KYQ364" s="373">
        <f>'Q100a-geral'!KYQ887</f>
        <v>0</v>
      </c>
      <c r="KYR364" s="373">
        <f>'Q100a-geral'!KYR887</f>
        <v>0</v>
      </c>
      <c r="KYS364" s="373">
        <f>'Q100a-geral'!KYS887</f>
        <v>0</v>
      </c>
      <c r="KYT364" s="373">
        <f>'Q100a-geral'!KYT887</f>
        <v>0</v>
      </c>
      <c r="KYU364" s="373">
        <f>'Q100a-geral'!KYU887</f>
        <v>0</v>
      </c>
      <c r="KYV364" s="373">
        <f>'Q100a-geral'!KYV887</f>
        <v>0</v>
      </c>
      <c r="KYW364" s="373">
        <f>'Q100a-geral'!KYW887</f>
        <v>0</v>
      </c>
      <c r="KYX364" s="373">
        <f>'Q100a-geral'!KYX887</f>
        <v>0</v>
      </c>
      <c r="KYY364" s="373">
        <f>'Q100a-geral'!KYY887</f>
        <v>0</v>
      </c>
      <c r="KYZ364" s="373">
        <f>'Q100a-geral'!KYZ887</f>
        <v>0</v>
      </c>
      <c r="KZA364" s="373">
        <f>'Q100a-geral'!KZA887</f>
        <v>0</v>
      </c>
      <c r="KZB364" s="373">
        <f>'Q100a-geral'!KZB887</f>
        <v>0</v>
      </c>
      <c r="KZC364" s="373">
        <f>'Q100a-geral'!KZC887</f>
        <v>0</v>
      </c>
      <c r="KZD364" s="373">
        <f>'Q100a-geral'!KZD887</f>
        <v>0</v>
      </c>
      <c r="KZE364" s="373">
        <f>'Q100a-geral'!KZE887</f>
        <v>0</v>
      </c>
      <c r="KZF364" s="373">
        <f>'Q100a-geral'!KZF887</f>
        <v>0</v>
      </c>
      <c r="KZG364" s="373">
        <f>'Q100a-geral'!KZG887</f>
        <v>0</v>
      </c>
      <c r="KZH364" s="373">
        <f>'Q100a-geral'!KZH887</f>
        <v>0</v>
      </c>
      <c r="KZI364" s="373">
        <f>'Q100a-geral'!KZI887</f>
        <v>0</v>
      </c>
      <c r="KZJ364" s="373">
        <f>'Q100a-geral'!KZJ887</f>
        <v>0</v>
      </c>
      <c r="KZK364" s="373">
        <f>'Q100a-geral'!KZK887</f>
        <v>0</v>
      </c>
      <c r="KZL364" s="373">
        <f>'Q100a-geral'!KZL887</f>
        <v>0</v>
      </c>
      <c r="KZM364" s="373">
        <f>'Q100a-geral'!KZM887</f>
        <v>0</v>
      </c>
      <c r="KZN364" s="373">
        <f>'Q100a-geral'!KZN887</f>
        <v>0</v>
      </c>
      <c r="KZO364" s="373">
        <f>'Q100a-geral'!KZO887</f>
        <v>0</v>
      </c>
      <c r="KZP364" s="373">
        <f>'Q100a-geral'!KZP887</f>
        <v>0</v>
      </c>
      <c r="KZQ364" s="373">
        <f>'Q100a-geral'!KZQ887</f>
        <v>0</v>
      </c>
      <c r="KZR364" s="373">
        <f>'Q100a-geral'!KZR887</f>
        <v>0</v>
      </c>
      <c r="KZS364" s="373">
        <f>'Q100a-geral'!KZS887</f>
        <v>0</v>
      </c>
      <c r="KZT364" s="373">
        <f>'Q100a-geral'!KZT887</f>
        <v>0</v>
      </c>
      <c r="KZU364" s="373">
        <f>'Q100a-geral'!KZU887</f>
        <v>0</v>
      </c>
      <c r="KZV364" s="373">
        <f>'Q100a-geral'!KZV887</f>
        <v>0</v>
      </c>
      <c r="KZW364" s="373">
        <f>'Q100a-geral'!KZW887</f>
        <v>0</v>
      </c>
      <c r="KZX364" s="373">
        <f>'Q100a-geral'!KZX887</f>
        <v>0</v>
      </c>
      <c r="KZY364" s="373">
        <f>'Q100a-geral'!KZY887</f>
        <v>0</v>
      </c>
      <c r="KZZ364" s="373">
        <f>'Q100a-geral'!KZZ887</f>
        <v>0</v>
      </c>
      <c r="LAA364" s="373">
        <f>'Q100a-geral'!LAA887</f>
        <v>0</v>
      </c>
      <c r="LAB364" s="373">
        <f>'Q100a-geral'!LAB887</f>
        <v>0</v>
      </c>
      <c r="LAC364" s="373">
        <f>'Q100a-geral'!LAC887</f>
        <v>0</v>
      </c>
      <c r="LAD364" s="373">
        <f>'Q100a-geral'!LAD887</f>
        <v>0</v>
      </c>
      <c r="LAE364" s="373">
        <f>'Q100a-geral'!LAE887</f>
        <v>0</v>
      </c>
      <c r="LAF364" s="373">
        <f>'Q100a-geral'!LAF887</f>
        <v>0</v>
      </c>
      <c r="LAG364" s="373">
        <f>'Q100a-geral'!LAG887</f>
        <v>0</v>
      </c>
      <c r="LAH364" s="373">
        <f>'Q100a-geral'!LAH887</f>
        <v>0</v>
      </c>
      <c r="LAI364" s="373">
        <f>'Q100a-geral'!LAI887</f>
        <v>0</v>
      </c>
      <c r="LAJ364" s="373">
        <f>'Q100a-geral'!LAJ887</f>
        <v>0</v>
      </c>
      <c r="LAK364" s="373">
        <f>'Q100a-geral'!LAK887</f>
        <v>0</v>
      </c>
      <c r="LAL364" s="373">
        <f>'Q100a-geral'!LAL887</f>
        <v>0</v>
      </c>
      <c r="LAM364" s="373">
        <f>'Q100a-geral'!LAM887</f>
        <v>0</v>
      </c>
      <c r="LAN364" s="373">
        <f>'Q100a-geral'!LAN887</f>
        <v>0</v>
      </c>
      <c r="LAO364" s="373">
        <f>'Q100a-geral'!LAO887</f>
        <v>0</v>
      </c>
      <c r="LAP364" s="373">
        <f>'Q100a-geral'!LAP887</f>
        <v>0</v>
      </c>
      <c r="LAQ364" s="373">
        <f>'Q100a-geral'!LAQ887</f>
        <v>0</v>
      </c>
      <c r="LAR364" s="373">
        <f>'Q100a-geral'!LAR887</f>
        <v>0</v>
      </c>
      <c r="LAS364" s="373">
        <f>'Q100a-geral'!LAS887</f>
        <v>0</v>
      </c>
      <c r="LAT364" s="373">
        <f>'Q100a-geral'!LAT887</f>
        <v>0</v>
      </c>
      <c r="LAU364" s="373">
        <f>'Q100a-geral'!LAU887</f>
        <v>0</v>
      </c>
      <c r="LAV364" s="373">
        <f>'Q100a-geral'!LAV887</f>
        <v>0</v>
      </c>
      <c r="LAW364" s="373">
        <f>'Q100a-geral'!LAW887</f>
        <v>0</v>
      </c>
      <c r="LAX364" s="373">
        <f>'Q100a-geral'!LAX887</f>
        <v>0</v>
      </c>
      <c r="LAY364" s="373">
        <f>'Q100a-geral'!LAY887</f>
        <v>0</v>
      </c>
      <c r="LAZ364" s="373">
        <f>'Q100a-geral'!LAZ887</f>
        <v>0</v>
      </c>
      <c r="LBA364" s="373">
        <f>'Q100a-geral'!LBA887</f>
        <v>0</v>
      </c>
      <c r="LBB364" s="373">
        <f>'Q100a-geral'!LBB887</f>
        <v>0</v>
      </c>
      <c r="LBC364" s="373">
        <f>'Q100a-geral'!LBC887</f>
        <v>0</v>
      </c>
      <c r="LBD364" s="373">
        <f>'Q100a-geral'!LBD887</f>
        <v>0</v>
      </c>
      <c r="LBE364" s="373">
        <f>'Q100a-geral'!LBE887</f>
        <v>0</v>
      </c>
      <c r="LBF364" s="373">
        <f>'Q100a-geral'!LBF887</f>
        <v>0</v>
      </c>
      <c r="LBG364" s="373">
        <f>'Q100a-geral'!LBG887</f>
        <v>0</v>
      </c>
      <c r="LBH364" s="373">
        <f>'Q100a-geral'!LBH887</f>
        <v>0</v>
      </c>
      <c r="LBI364" s="373">
        <f>'Q100a-geral'!LBI887</f>
        <v>0</v>
      </c>
      <c r="LBJ364" s="373">
        <f>'Q100a-geral'!LBJ887</f>
        <v>0</v>
      </c>
      <c r="LBK364" s="373">
        <f>'Q100a-geral'!LBK887</f>
        <v>0</v>
      </c>
      <c r="LBL364" s="373">
        <f>'Q100a-geral'!LBL887</f>
        <v>0</v>
      </c>
      <c r="LBM364" s="373">
        <f>'Q100a-geral'!LBM887</f>
        <v>0</v>
      </c>
      <c r="LBN364" s="373">
        <f>'Q100a-geral'!LBN887</f>
        <v>0</v>
      </c>
      <c r="LBO364" s="373">
        <f>'Q100a-geral'!LBO887</f>
        <v>0</v>
      </c>
      <c r="LBP364" s="373">
        <f>'Q100a-geral'!LBP887</f>
        <v>0</v>
      </c>
      <c r="LBQ364" s="373">
        <f>'Q100a-geral'!LBQ887</f>
        <v>0</v>
      </c>
      <c r="LBR364" s="373">
        <f>'Q100a-geral'!LBR887</f>
        <v>0</v>
      </c>
      <c r="LBS364" s="373">
        <f>'Q100a-geral'!LBS887</f>
        <v>0</v>
      </c>
      <c r="LBT364" s="373">
        <f>'Q100a-geral'!LBT887</f>
        <v>0</v>
      </c>
      <c r="LBU364" s="373">
        <f>'Q100a-geral'!LBU887</f>
        <v>0</v>
      </c>
      <c r="LBV364" s="373">
        <f>'Q100a-geral'!LBV887</f>
        <v>0</v>
      </c>
      <c r="LBW364" s="373">
        <f>'Q100a-geral'!LBW887</f>
        <v>0</v>
      </c>
      <c r="LBX364" s="373">
        <f>'Q100a-geral'!LBX887</f>
        <v>0</v>
      </c>
      <c r="LBY364" s="373">
        <f>'Q100a-geral'!LBY887</f>
        <v>0</v>
      </c>
      <c r="LBZ364" s="373">
        <f>'Q100a-geral'!LBZ887</f>
        <v>0</v>
      </c>
      <c r="LCA364" s="373">
        <f>'Q100a-geral'!LCA887</f>
        <v>0</v>
      </c>
      <c r="LCB364" s="373">
        <f>'Q100a-geral'!LCB887</f>
        <v>0</v>
      </c>
      <c r="LCC364" s="373">
        <f>'Q100a-geral'!LCC887</f>
        <v>0</v>
      </c>
      <c r="LCD364" s="373">
        <f>'Q100a-geral'!LCD887</f>
        <v>0</v>
      </c>
      <c r="LCE364" s="373">
        <f>'Q100a-geral'!LCE887</f>
        <v>0</v>
      </c>
      <c r="LCF364" s="373">
        <f>'Q100a-geral'!LCF887</f>
        <v>0</v>
      </c>
      <c r="LCG364" s="373">
        <f>'Q100a-geral'!LCG887</f>
        <v>0</v>
      </c>
      <c r="LCH364" s="373">
        <f>'Q100a-geral'!LCH887</f>
        <v>0</v>
      </c>
      <c r="LCI364" s="373">
        <f>'Q100a-geral'!LCI887</f>
        <v>0</v>
      </c>
      <c r="LCJ364" s="373">
        <f>'Q100a-geral'!LCJ887</f>
        <v>0</v>
      </c>
      <c r="LCK364" s="373">
        <f>'Q100a-geral'!LCK887</f>
        <v>0</v>
      </c>
      <c r="LCL364" s="373">
        <f>'Q100a-geral'!LCL887</f>
        <v>0</v>
      </c>
      <c r="LCM364" s="373">
        <f>'Q100a-geral'!LCM887</f>
        <v>0</v>
      </c>
      <c r="LCN364" s="373">
        <f>'Q100a-geral'!LCN887</f>
        <v>0</v>
      </c>
      <c r="LCO364" s="373">
        <f>'Q100a-geral'!LCO887</f>
        <v>0</v>
      </c>
      <c r="LCP364" s="373">
        <f>'Q100a-geral'!LCP887</f>
        <v>0</v>
      </c>
      <c r="LCQ364" s="373">
        <f>'Q100a-geral'!LCQ887</f>
        <v>0</v>
      </c>
      <c r="LCR364" s="373">
        <f>'Q100a-geral'!LCR887</f>
        <v>0</v>
      </c>
      <c r="LCS364" s="373">
        <f>'Q100a-geral'!LCS887</f>
        <v>0</v>
      </c>
      <c r="LCT364" s="373">
        <f>'Q100a-geral'!LCT887</f>
        <v>0</v>
      </c>
      <c r="LCU364" s="373">
        <f>'Q100a-geral'!LCU887</f>
        <v>0</v>
      </c>
      <c r="LCV364" s="373">
        <f>'Q100a-geral'!LCV887</f>
        <v>0</v>
      </c>
      <c r="LCW364" s="373">
        <f>'Q100a-geral'!LCW887</f>
        <v>0</v>
      </c>
      <c r="LCX364" s="373">
        <f>'Q100a-geral'!LCX887</f>
        <v>0</v>
      </c>
      <c r="LCY364" s="373">
        <f>'Q100a-geral'!LCY887</f>
        <v>0</v>
      </c>
      <c r="LCZ364" s="373">
        <f>'Q100a-geral'!LCZ887</f>
        <v>0</v>
      </c>
      <c r="LDA364" s="373">
        <f>'Q100a-geral'!LDA887</f>
        <v>0</v>
      </c>
      <c r="LDB364" s="373">
        <f>'Q100a-geral'!LDB887</f>
        <v>0</v>
      </c>
      <c r="LDC364" s="373">
        <f>'Q100a-geral'!LDC887</f>
        <v>0</v>
      </c>
      <c r="LDD364" s="373">
        <f>'Q100a-geral'!LDD887</f>
        <v>0</v>
      </c>
      <c r="LDE364" s="373">
        <f>'Q100a-geral'!LDE887</f>
        <v>0</v>
      </c>
      <c r="LDF364" s="373">
        <f>'Q100a-geral'!LDF887</f>
        <v>0</v>
      </c>
      <c r="LDG364" s="373">
        <f>'Q100a-geral'!LDG887</f>
        <v>0</v>
      </c>
      <c r="LDH364" s="373">
        <f>'Q100a-geral'!LDH887</f>
        <v>0</v>
      </c>
      <c r="LDI364" s="373">
        <f>'Q100a-geral'!LDI887</f>
        <v>0</v>
      </c>
      <c r="LDJ364" s="373">
        <f>'Q100a-geral'!LDJ887</f>
        <v>0</v>
      </c>
      <c r="LDK364" s="373">
        <f>'Q100a-geral'!LDK887</f>
        <v>0</v>
      </c>
      <c r="LDL364" s="373">
        <f>'Q100a-geral'!LDL887</f>
        <v>0</v>
      </c>
      <c r="LDM364" s="373">
        <f>'Q100a-geral'!LDM887</f>
        <v>0</v>
      </c>
      <c r="LDN364" s="373">
        <f>'Q100a-geral'!LDN887</f>
        <v>0</v>
      </c>
      <c r="LDO364" s="373">
        <f>'Q100a-geral'!LDO887</f>
        <v>0</v>
      </c>
      <c r="LDP364" s="373">
        <f>'Q100a-geral'!LDP887</f>
        <v>0</v>
      </c>
      <c r="LDQ364" s="373">
        <f>'Q100a-geral'!LDQ887</f>
        <v>0</v>
      </c>
      <c r="LDR364" s="373">
        <f>'Q100a-geral'!LDR887</f>
        <v>0</v>
      </c>
      <c r="LDS364" s="373">
        <f>'Q100a-geral'!LDS887</f>
        <v>0</v>
      </c>
      <c r="LDT364" s="373">
        <f>'Q100a-geral'!LDT887</f>
        <v>0</v>
      </c>
      <c r="LDU364" s="373">
        <f>'Q100a-geral'!LDU887</f>
        <v>0</v>
      </c>
      <c r="LDV364" s="373">
        <f>'Q100a-geral'!LDV887</f>
        <v>0</v>
      </c>
      <c r="LDW364" s="373">
        <f>'Q100a-geral'!LDW887</f>
        <v>0</v>
      </c>
      <c r="LDX364" s="373">
        <f>'Q100a-geral'!LDX887</f>
        <v>0</v>
      </c>
      <c r="LDY364" s="373">
        <f>'Q100a-geral'!LDY887</f>
        <v>0</v>
      </c>
      <c r="LDZ364" s="373">
        <f>'Q100a-geral'!LDZ887</f>
        <v>0</v>
      </c>
      <c r="LEA364" s="373">
        <f>'Q100a-geral'!LEA887</f>
        <v>0</v>
      </c>
      <c r="LEB364" s="373">
        <f>'Q100a-geral'!LEB887</f>
        <v>0</v>
      </c>
      <c r="LEC364" s="373">
        <f>'Q100a-geral'!LEC887</f>
        <v>0</v>
      </c>
      <c r="LED364" s="373">
        <f>'Q100a-geral'!LED887</f>
        <v>0</v>
      </c>
      <c r="LEE364" s="373">
        <f>'Q100a-geral'!LEE887</f>
        <v>0</v>
      </c>
      <c r="LEF364" s="373">
        <f>'Q100a-geral'!LEF887</f>
        <v>0</v>
      </c>
      <c r="LEG364" s="373">
        <f>'Q100a-geral'!LEG887</f>
        <v>0</v>
      </c>
      <c r="LEH364" s="373">
        <f>'Q100a-geral'!LEH887</f>
        <v>0</v>
      </c>
      <c r="LEI364" s="373">
        <f>'Q100a-geral'!LEI887</f>
        <v>0</v>
      </c>
      <c r="LEJ364" s="373">
        <f>'Q100a-geral'!LEJ887</f>
        <v>0</v>
      </c>
      <c r="LEK364" s="373">
        <f>'Q100a-geral'!LEK887</f>
        <v>0</v>
      </c>
      <c r="LEL364" s="373">
        <f>'Q100a-geral'!LEL887</f>
        <v>0</v>
      </c>
      <c r="LEM364" s="373">
        <f>'Q100a-geral'!LEM887</f>
        <v>0</v>
      </c>
      <c r="LEN364" s="373">
        <f>'Q100a-geral'!LEN887</f>
        <v>0</v>
      </c>
      <c r="LEO364" s="373">
        <f>'Q100a-geral'!LEO887</f>
        <v>0</v>
      </c>
      <c r="LEP364" s="373">
        <f>'Q100a-geral'!LEP887</f>
        <v>0</v>
      </c>
      <c r="LEQ364" s="373">
        <f>'Q100a-geral'!LEQ887</f>
        <v>0</v>
      </c>
      <c r="LER364" s="373">
        <f>'Q100a-geral'!LER887</f>
        <v>0</v>
      </c>
      <c r="LES364" s="373">
        <f>'Q100a-geral'!LES887</f>
        <v>0</v>
      </c>
      <c r="LET364" s="373">
        <f>'Q100a-geral'!LET887</f>
        <v>0</v>
      </c>
      <c r="LEU364" s="373">
        <f>'Q100a-geral'!LEU887</f>
        <v>0</v>
      </c>
      <c r="LEV364" s="373">
        <f>'Q100a-geral'!LEV887</f>
        <v>0</v>
      </c>
      <c r="LEW364" s="373">
        <f>'Q100a-geral'!LEW887</f>
        <v>0</v>
      </c>
      <c r="LEX364" s="373">
        <f>'Q100a-geral'!LEX887</f>
        <v>0</v>
      </c>
      <c r="LEY364" s="373">
        <f>'Q100a-geral'!LEY887</f>
        <v>0</v>
      </c>
      <c r="LEZ364" s="373">
        <f>'Q100a-geral'!LEZ887</f>
        <v>0</v>
      </c>
      <c r="LFA364" s="373">
        <f>'Q100a-geral'!LFA887</f>
        <v>0</v>
      </c>
      <c r="LFB364" s="373">
        <f>'Q100a-geral'!LFB887</f>
        <v>0</v>
      </c>
      <c r="LFC364" s="373">
        <f>'Q100a-geral'!LFC887</f>
        <v>0</v>
      </c>
      <c r="LFD364" s="373">
        <f>'Q100a-geral'!LFD887</f>
        <v>0</v>
      </c>
      <c r="LFE364" s="373">
        <f>'Q100a-geral'!LFE887</f>
        <v>0</v>
      </c>
      <c r="LFF364" s="373">
        <f>'Q100a-geral'!LFF887</f>
        <v>0</v>
      </c>
      <c r="LFG364" s="373">
        <f>'Q100a-geral'!LFG887</f>
        <v>0</v>
      </c>
      <c r="LFH364" s="373">
        <f>'Q100a-geral'!LFH887</f>
        <v>0</v>
      </c>
      <c r="LFI364" s="373">
        <f>'Q100a-geral'!LFI887</f>
        <v>0</v>
      </c>
      <c r="LFJ364" s="373">
        <f>'Q100a-geral'!LFJ887</f>
        <v>0</v>
      </c>
      <c r="LFK364" s="373">
        <f>'Q100a-geral'!LFK887</f>
        <v>0</v>
      </c>
      <c r="LFL364" s="373">
        <f>'Q100a-geral'!LFL887</f>
        <v>0</v>
      </c>
      <c r="LFM364" s="373">
        <f>'Q100a-geral'!LFM887</f>
        <v>0</v>
      </c>
      <c r="LFN364" s="373">
        <f>'Q100a-geral'!LFN887</f>
        <v>0</v>
      </c>
      <c r="LFO364" s="373">
        <f>'Q100a-geral'!LFO887</f>
        <v>0</v>
      </c>
      <c r="LFP364" s="373">
        <f>'Q100a-geral'!LFP887</f>
        <v>0</v>
      </c>
      <c r="LFQ364" s="373">
        <f>'Q100a-geral'!LFQ887</f>
        <v>0</v>
      </c>
      <c r="LFR364" s="373">
        <f>'Q100a-geral'!LFR887</f>
        <v>0</v>
      </c>
      <c r="LFS364" s="373">
        <f>'Q100a-geral'!LFS887</f>
        <v>0</v>
      </c>
      <c r="LFT364" s="373">
        <f>'Q100a-geral'!LFT887</f>
        <v>0</v>
      </c>
      <c r="LFU364" s="373">
        <f>'Q100a-geral'!LFU887</f>
        <v>0</v>
      </c>
      <c r="LFV364" s="373">
        <f>'Q100a-geral'!LFV887</f>
        <v>0</v>
      </c>
      <c r="LFW364" s="373">
        <f>'Q100a-geral'!LFW887</f>
        <v>0</v>
      </c>
      <c r="LFX364" s="373">
        <f>'Q100a-geral'!LFX887</f>
        <v>0</v>
      </c>
      <c r="LFY364" s="373">
        <f>'Q100a-geral'!LFY887</f>
        <v>0</v>
      </c>
      <c r="LFZ364" s="373">
        <f>'Q100a-geral'!LFZ887</f>
        <v>0</v>
      </c>
      <c r="LGA364" s="373">
        <f>'Q100a-geral'!LGA887</f>
        <v>0</v>
      </c>
      <c r="LGB364" s="373">
        <f>'Q100a-geral'!LGB887</f>
        <v>0</v>
      </c>
      <c r="LGC364" s="373">
        <f>'Q100a-geral'!LGC887</f>
        <v>0</v>
      </c>
      <c r="LGD364" s="373">
        <f>'Q100a-geral'!LGD887</f>
        <v>0</v>
      </c>
      <c r="LGE364" s="373">
        <f>'Q100a-geral'!LGE887</f>
        <v>0</v>
      </c>
      <c r="LGF364" s="373">
        <f>'Q100a-geral'!LGF887</f>
        <v>0</v>
      </c>
      <c r="LGG364" s="373">
        <f>'Q100a-geral'!LGG887</f>
        <v>0</v>
      </c>
      <c r="LGH364" s="373">
        <f>'Q100a-geral'!LGH887</f>
        <v>0</v>
      </c>
      <c r="LGI364" s="373">
        <f>'Q100a-geral'!LGI887</f>
        <v>0</v>
      </c>
      <c r="LGJ364" s="373">
        <f>'Q100a-geral'!LGJ887</f>
        <v>0</v>
      </c>
      <c r="LGK364" s="373">
        <f>'Q100a-geral'!LGK887</f>
        <v>0</v>
      </c>
      <c r="LGL364" s="373">
        <f>'Q100a-geral'!LGL887</f>
        <v>0</v>
      </c>
      <c r="LGM364" s="373">
        <f>'Q100a-geral'!LGM887</f>
        <v>0</v>
      </c>
      <c r="LGN364" s="373">
        <f>'Q100a-geral'!LGN887</f>
        <v>0</v>
      </c>
      <c r="LGO364" s="373">
        <f>'Q100a-geral'!LGO887</f>
        <v>0</v>
      </c>
      <c r="LGP364" s="373">
        <f>'Q100a-geral'!LGP887</f>
        <v>0</v>
      </c>
      <c r="LGQ364" s="373">
        <f>'Q100a-geral'!LGQ887</f>
        <v>0</v>
      </c>
      <c r="LGR364" s="373">
        <f>'Q100a-geral'!LGR887</f>
        <v>0</v>
      </c>
      <c r="LGS364" s="373">
        <f>'Q100a-geral'!LGS887</f>
        <v>0</v>
      </c>
      <c r="LGT364" s="373">
        <f>'Q100a-geral'!LGT887</f>
        <v>0</v>
      </c>
      <c r="LGU364" s="373">
        <f>'Q100a-geral'!LGU887</f>
        <v>0</v>
      </c>
      <c r="LGV364" s="373">
        <f>'Q100a-geral'!LGV887</f>
        <v>0</v>
      </c>
      <c r="LGW364" s="373">
        <f>'Q100a-geral'!LGW887</f>
        <v>0</v>
      </c>
      <c r="LGX364" s="373">
        <f>'Q100a-geral'!LGX887</f>
        <v>0</v>
      </c>
      <c r="LGY364" s="373">
        <f>'Q100a-geral'!LGY887</f>
        <v>0</v>
      </c>
      <c r="LGZ364" s="373">
        <f>'Q100a-geral'!LGZ887</f>
        <v>0</v>
      </c>
      <c r="LHA364" s="373">
        <f>'Q100a-geral'!LHA887</f>
        <v>0</v>
      </c>
      <c r="LHB364" s="373">
        <f>'Q100a-geral'!LHB887</f>
        <v>0</v>
      </c>
      <c r="LHC364" s="373">
        <f>'Q100a-geral'!LHC887</f>
        <v>0</v>
      </c>
      <c r="LHD364" s="373">
        <f>'Q100a-geral'!LHD887</f>
        <v>0</v>
      </c>
      <c r="LHE364" s="373">
        <f>'Q100a-geral'!LHE887</f>
        <v>0</v>
      </c>
      <c r="LHF364" s="373">
        <f>'Q100a-geral'!LHF887</f>
        <v>0</v>
      </c>
      <c r="LHG364" s="373">
        <f>'Q100a-geral'!LHG887</f>
        <v>0</v>
      </c>
      <c r="LHH364" s="373">
        <f>'Q100a-geral'!LHH887</f>
        <v>0</v>
      </c>
      <c r="LHI364" s="373">
        <f>'Q100a-geral'!LHI887</f>
        <v>0</v>
      </c>
      <c r="LHJ364" s="373">
        <f>'Q100a-geral'!LHJ887</f>
        <v>0</v>
      </c>
      <c r="LHK364" s="373">
        <f>'Q100a-geral'!LHK887</f>
        <v>0</v>
      </c>
      <c r="LHL364" s="373">
        <f>'Q100a-geral'!LHL887</f>
        <v>0</v>
      </c>
      <c r="LHM364" s="373">
        <f>'Q100a-geral'!LHM887</f>
        <v>0</v>
      </c>
      <c r="LHN364" s="373">
        <f>'Q100a-geral'!LHN887</f>
        <v>0</v>
      </c>
      <c r="LHO364" s="373">
        <f>'Q100a-geral'!LHO887</f>
        <v>0</v>
      </c>
      <c r="LHP364" s="373">
        <f>'Q100a-geral'!LHP887</f>
        <v>0</v>
      </c>
      <c r="LHQ364" s="373">
        <f>'Q100a-geral'!LHQ887</f>
        <v>0</v>
      </c>
      <c r="LHR364" s="373">
        <f>'Q100a-geral'!LHR887</f>
        <v>0</v>
      </c>
      <c r="LHS364" s="373">
        <f>'Q100a-geral'!LHS887</f>
        <v>0</v>
      </c>
      <c r="LHT364" s="373">
        <f>'Q100a-geral'!LHT887</f>
        <v>0</v>
      </c>
      <c r="LHU364" s="373">
        <f>'Q100a-geral'!LHU887</f>
        <v>0</v>
      </c>
      <c r="LHV364" s="373">
        <f>'Q100a-geral'!LHV887</f>
        <v>0</v>
      </c>
      <c r="LHW364" s="373">
        <f>'Q100a-geral'!LHW887</f>
        <v>0</v>
      </c>
      <c r="LHX364" s="373">
        <f>'Q100a-geral'!LHX887</f>
        <v>0</v>
      </c>
      <c r="LHY364" s="373">
        <f>'Q100a-geral'!LHY887</f>
        <v>0</v>
      </c>
      <c r="LHZ364" s="373">
        <f>'Q100a-geral'!LHZ887</f>
        <v>0</v>
      </c>
      <c r="LIA364" s="373">
        <f>'Q100a-geral'!LIA887</f>
        <v>0</v>
      </c>
      <c r="LIB364" s="373">
        <f>'Q100a-geral'!LIB887</f>
        <v>0</v>
      </c>
      <c r="LIC364" s="373">
        <f>'Q100a-geral'!LIC887</f>
        <v>0</v>
      </c>
      <c r="LID364" s="373">
        <f>'Q100a-geral'!LID887</f>
        <v>0</v>
      </c>
      <c r="LIE364" s="373">
        <f>'Q100a-geral'!LIE887</f>
        <v>0</v>
      </c>
      <c r="LIF364" s="373">
        <f>'Q100a-geral'!LIF887</f>
        <v>0</v>
      </c>
      <c r="LIG364" s="373">
        <f>'Q100a-geral'!LIG887</f>
        <v>0</v>
      </c>
      <c r="LIH364" s="373">
        <f>'Q100a-geral'!LIH887</f>
        <v>0</v>
      </c>
      <c r="LII364" s="373">
        <f>'Q100a-geral'!LII887</f>
        <v>0</v>
      </c>
      <c r="LIJ364" s="373">
        <f>'Q100a-geral'!LIJ887</f>
        <v>0</v>
      </c>
      <c r="LIK364" s="373">
        <f>'Q100a-geral'!LIK887</f>
        <v>0</v>
      </c>
      <c r="LIL364" s="373">
        <f>'Q100a-geral'!LIL887</f>
        <v>0</v>
      </c>
      <c r="LIM364" s="373">
        <f>'Q100a-geral'!LIM887</f>
        <v>0</v>
      </c>
      <c r="LIN364" s="373">
        <f>'Q100a-geral'!LIN887</f>
        <v>0</v>
      </c>
      <c r="LIO364" s="373">
        <f>'Q100a-geral'!LIO887</f>
        <v>0</v>
      </c>
      <c r="LIP364" s="373">
        <f>'Q100a-geral'!LIP887</f>
        <v>0</v>
      </c>
      <c r="LIQ364" s="373">
        <f>'Q100a-geral'!LIQ887</f>
        <v>0</v>
      </c>
      <c r="LIR364" s="373">
        <f>'Q100a-geral'!LIR887</f>
        <v>0</v>
      </c>
      <c r="LIS364" s="373">
        <f>'Q100a-geral'!LIS887</f>
        <v>0</v>
      </c>
      <c r="LIT364" s="373">
        <f>'Q100a-geral'!LIT887</f>
        <v>0</v>
      </c>
      <c r="LIU364" s="373">
        <f>'Q100a-geral'!LIU887</f>
        <v>0</v>
      </c>
      <c r="LIV364" s="373">
        <f>'Q100a-geral'!LIV887</f>
        <v>0</v>
      </c>
      <c r="LIW364" s="373">
        <f>'Q100a-geral'!LIW887</f>
        <v>0</v>
      </c>
      <c r="LIX364" s="373">
        <f>'Q100a-geral'!LIX887</f>
        <v>0</v>
      </c>
      <c r="LIY364" s="373">
        <f>'Q100a-geral'!LIY887</f>
        <v>0</v>
      </c>
      <c r="LIZ364" s="373">
        <f>'Q100a-geral'!LIZ887</f>
        <v>0</v>
      </c>
      <c r="LJA364" s="373">
        <f>'Q100a-geral'!LJA887</f>
        <v>0</v>
      </c>
      <c r="LJB364" s="373">
        <f>'Q100a-geral'!LJB887</f>
        <v>0</v>
      </c>
      <c r="LJC364" s="373">
        <f>'Q100a-geral'!LJC887</f>
        <v>0</v>
      </c>
      <c r="LJD364" s="373">
        <f>'Q100a-geral'!LJD887</f>
        <v>0</v>
      </c>
      <c r="LJE364" s="373">
        <f>'Q100a-geral'!LJE887</f>
        <v>0</v>
      </c>
      <c r="LJF364" s="373">
        <f>'Q100a-geral'!LJF887</f>
        <v>0</v>
      </c>
      <c r="LJG364" s="373">
        <f>'Q100a-geral'!LJG887</f>
        <v>0</v>
      </c>
      <c r="LJH364" s="373">
        <f>'Q100a-geral'!LJH887</f>
        <v>0</v>
      </c>
      <c r="LJI364" s="373">
        <f>'Q100a-geral'!LJI887</f>
        <v>0</v>
      </c>
      <c r="LJJ364" s="373">
        <f>'Q100a-geral'!LJJ887</f>
        <v>0</v>
      </c>
      <c r="LJK364" s="373">
        <f>'Q100a-geral'!LJK887</f>
        <v>0</v>
      </c>
      <c r="LJL364" s="373">
        <f>'Q100a-geral'!LJL887</f>
        <v>0</v>
      </c>
      <c r="LJM364" s="373">
        <f>'Q100a-geral'!LJM887</f>
        <v>0</v>
      </c>
      <c r="LJN364" s="373">
        <f>'Q100a-geral'!LJN887</f>
        <v>0</v>
      </c>
      <c r="LJO364" s="373">
        <f>'Q100a-geral'!LJO887</f>
        <v>0</v>
      </c>
      <c r="LJP364" s="373">
        <f>'Q100a-geral'!LJP887</f>
        <v>0</v>
      </c>
      <c r="LJQ364" s="373">
        <f>'Q100a-geral'!LJQ887</f>
        <v>0</v>
      </c>
      <c r="LJR364" s="373">
        <f>'Q100a-geral'!LJR887</f>
        <v>0</v>
      </c>
      <c r="LJS364" s="373">
        <f>'Q100a-geral'!LJS887</f>
        <v>0</v>
      </c>
      <c r="LJT364" s="373">
        <f>'Q100a-geral'!LJT887</f>
        <v>0</v>
      </c>
      <c r="LJU364" s="373">
        <f>'Q100a-geral'!LJU887</f>
        <v>0</v>
      </c>
      <c r="LJV364" s="373">
        <f>'Q100a-geral'!LJV887</f>
        <v>0</v>
      </c>
      <c r="LJW364" s="373">
        <f>'Q100a-geral'!LJW887</f>
        <v>0</v>
      </c>
      <c r="LJX364" s="373">
        <f>'Q100a-geral'!LJX887</f>
        <v>0</v>
      </c>
      <c r="LJY364" s="373">
        <f>'Q100a-geral'!LJY887</f>
        <v>0</v>
      </c>
      <c r="LJZ364" s="373">
        <f>'Q100a-geral'!LJZ887</f>
        <v>0</v>
      </c>
      <c r="LKA364" s="373">
        <f>'Q100a-geral'!LKA887</f>
        <v>0</v>
      </c>
      <c r="LKB364" s="373">
        <f>'Q100a-geral'!LKB887</f>
        <v>0</v>
      </c>
      <c r="LKC364" s="373">
        <f>'Q100a-geral'!LKC887</f>
        <v>0</v>
      </c>
      <c r="LKD364" s="373">
        <f>'Q100a-geral'!LKD887</f>
        <v>0</v>
      </c>
      <c r="LKE364" s="373">
        <f>'Q100a-geral'!LKE887</f>
        <v>0</v>
      </c>
      <c r="LKF364" s="373">
        <f>'Q100a-geral'!LKF887</f>
        <v>0</v>
      </c>
      <c r="LKG364" s="373">
        <f>'Q100a-geral'!LKG887</f>
        <v>0</v>
      </c>
      <c r="LKH364" s="373">
        <f>'Q100a-geral'!LKH887</f>
        <v>0</v>
      </c>
      <c r="LKI364" s="373">
        <f>'Q100a-geral'!LKI887</f>
        <v>0</v>
      </c>
      <c r="LKJ364" s="373">
        <f>'Q100a-geral'!LKJ887</f>
        <v>0</v>
      </c>
      <c r="LKK364" s="373">
        <f>'Q100a-geral'!LKK887</f>
        <v>0</v>
      </c>
      <c r="LKL364" s="373">
        <f>'Q100a-geral'!LKL887</f>
        <v>0</v>
      </c>
      <c r="LKM364" s="373">
        <f>'Q100a-geral'!LKM887</f>
        <v>0</v>
      </c>
      <c r="LKN364" s="373">
        <f>'Q100a-geral'!LKN887</f>
        <v>0</v>
      </c>
      <c r="LKO364" s="373">
        <f>'Q100a-geral'!LKO887</f>
        <v>0</v>
      </c>
      <c r="LKP364" s="373">
        <f>'Q100a-geral'!LKP887</f>
        <v>0</v>
      </c>
      <c r="LKQ364" s="373">
        <f>'Q100a-geral'!LKQ887</f>
        <v>0</v>
      </c>
      <c r="LKR364" s="373">
        <f>'Q100a-geral'!LKR887</f>
        <v>0</v>
      </c>
      <c r="LKS364" s="373">
        <f>'Q100a-geral'!LKS887</f>
        <v>0</v>
      </c>
      <c r="LKT364" s="373">
        <f>'Q100a-geral'!LKT887</f>
        <v>0</v>
      </c>
      <c r="LKU364" s="373">
        <f>'Q100a-geral'!LKU887</f>
        <v>0</v>
      </c>
      <c r="LKV364" s="373">
        <f>'Q100a-geral'!LKV887</f>
        <v>0</v>
      </c>
      <c r="LKW364" s="373">
        <f>'Q100a-geral'!LKW887</f>
        <v>0</v>
      </c>
      <c r="LKX364" s="373">
        <f>'Q100a-geral'!LKX887</f>
        <v>0</v>
      </c>
      <c r="LKY364" s="373">
        <f>'Q100a-geral'!LKY887</f>
        <v>0</v>
      </c>
      <c r="LKZ364" s="373">
        <f>'Q100a-geral'!LKZ887</f>
        <v>0</v>
      </c>
      <c r="LLA364" s="373">
        <f>'Q100a-geral'!LLA887</f>
        <v>0</v>
      </c>
      <c r="LLB364" s="373">
        <f>'Q100a-geral'!LLB887</f>
        <v>0</v>
      </c>
      <c r="LLC364" s="373">
        <f>'Q100a-geral'!LLC887</f>
        <v>0</v>
      </c>
      <c r="LLD364" s="373">
        <f>'Q100a-geral'!LLD887</f>
        <v>0</v>
      </c>
      <c r="LLE364" s="373">
        <f>'Q100a-geral'!LLE887</f>
        <v>0</v>
      </c>
      <c r="LLF364" s="373">
        <f>'Q100a-geral'!LLF887</f>
        <v>0</v>
      </c>
      <c r="LLG364" s="373">
        <f>'Q100a-geral'!LLG887</f>
        <v>0</v>
      </c>
      <c r="LLH364" s="373">
        <f>'Q100a-geral'!LLH887</f>
        <v>0</v>
      </c>
      <c r="LLI364" s="373">
        <f>'Q100a-geral'!LLI887</f>
        <v>0</v>
      </c>
      <c r="LLJ364" s="373">
        <f>'Q100a-geral'!LLJ887</f>
        <v>0</v>
      </c>
      <c r="LLK364" s="373">
        <f>'Q100a-geral'!LLK887</f>
        <v>0</v>
      </c>
      <c r="LLL364" s="373">
        <f>'Q100a-geral'!LLL887</f>
        <v>0</v>
      </c>
      <c r="LLM364" s="373">
        <f>'Q100a-geral'!LLM887</f>
        <v>0</v>
      </c>
      <c r="LLN364" s="373">
        <f>'Q100a-geral'!LLN887</f>
        <v>0</v>
      </c>
      <c r="LLO364" s="373">
        <f>'Q100a-geral'!LLO887</f>
        <v>0</v>
      </c>
      <c r="LLP364" s="373">
        <f>'Q100a-geral'!LLP887</f>
        <v>0</v>
      </c>
      <c r="LLQ364" s="373">
        <f>'Q100a-geral'!LLQ887</f>
        <v>0</v>
      </c>
      <c r="LLR364" s="373">
        <f>'Q100a-geral'!LLR887</f>
        <v>0</v>
      </c>
      <c r="LLS364" s="373">
        <f>'Q100a-geral'!LLS887</f>
        <v>0</v>
      </c>
      <c r="LLT364" s="373">
        <f>'Q100a-geral'!LLT887</f>
        <v>0</v>
      </c>
      <c r="LLU364" s="373">
        <f>'Q100a-geral'!LLU887</f>
        <v>0</v>
      </c>
      <c r="LLV364" s="373">
        <f>'Q100a-geral'!LLV887</f>
        <v>0</v>
      </c>
      <c r="LLW364" s="373">
        <f>'Q100a-geral'!LLW887</f>
        <v>0</v>
      </c>
      <c r="LLX364" s="373">
        <f>'Q100a-geral'!LLX887</f>
        <v>0</v>
      </c>
      <c r="LLY364" s="373">
        <f>'Q100a-geral'!LLY887</f>
        <v>0</v>
      </c>
      <c r="LLZ364" s="373">
        <f>'Q100a-geral'!LLZ887</f>
        <v>0</v>
      </c>
      <c r="LMA364" s="373">
        <f>'Q100a-geral'!LMA887</f>
        <v>0</v>
      </c>
      <c r="LMB364" s="373">
        <f>'Q100a-geral'!LMB887</f>
        <v>0</v>
      </c>
      <c r="LMC364" s="373">
        <f>'Q100a-geral'!LMC887</f>
        <v>0</v>
      </c>
      <c r="LMD364" s="373">
        <f>'Q100a-geral'!LMD887</f>
        <v>0</v>
      </c>
      <c r="LME364" s="373">
        <f>'Q100a-geral'!LME887</f>
        <v>0</v>
      </c>
      <c r="LMF364" s="373">
        <f>'Q100a-geral'!LMF887</f>
        <v>0</v>
      </c>
      <c r="LMG364" s="373">
        <f>'Q100a-geral'!LMG887</f>
        <v>0</v>
      </c>
      <c r="LMH364" s="373">
        <f>'Q100a-geral'!LMH887</f>
        <v>0</v>
      </c>
      <c r="LMI364" s="373">
        <f>'Q100a-geral'!LMI887</f>
        <v>0</v>
      </c>
      <c r="LMJ364" s="373">
        <f>'Q100a-geral'!LMJ887</f>
        <v>0</v>
      </c>
      <c r="LMK364" s="373">
        <f>'Q100a-geral'!LMK887</f>
        <v>0</v>
      </c>
      <c r="LML364" s="373">
        <f>'Q100a-geral'!LML887</f>
        <v>0</v>
      </c>
      <c r="LMM364" s="373">
        <f>'Q100a-geral'!LMM887</f>
        <v>0</v>
      </c>
      <c r="LMN364" s="373">
        <f>'Q100a-geral'!LMN887</f>
        <v>0</v>
      </c>
      <c r="LMO364" s="373">
        <f>'Q100a-geral'!LMO887</f>
        <v>0</v>
      </c>
      <c r="LMP364" s="373">
        <f>'Q100a-geral'!LMP887</f>
        <v>0</v>
      </c>
      <c r="LMQ364" s="373">
        <f>'Q100a-geral'!LMQ887</f>
        <v>0</v>
      </c>
      <c r="LMR364" s="373">
        <f>'Q100a-geral'!LMR887</f>
        <v>0</v>
      </c>
      <c r="LMS364" s="373">
        <f>'Q100a-geral'!LMS887</f>
        <v>0</v>
      </c>
      <c r="LMT364" s="373">
        <f>'Q100a-geral'!LMT887</f>
        <v>0</v>
      </c>
      <c r="LMU364" s="373">
        <f>'Q100a-geral'!LMU887</f>
        <v>0</v>
      </c>
      <c r="LMV364" s="373">
        <f>'Q100a-geral'!LMV887</f>
        <v>0</v>
      </c>
      <c r="LMW364" s="373">
        <f>'Q100a-geral'!LMW887</f>
        <v>0</v>
      </c>
      <c r="LMX364" s="373">
        <f>'Q100a-geral'!LMX887</f>
        <v>0</v>
      </c>
      <c r="LMY364" s="373">
        <f>'Q100a-geral'!LMY887</f>
        <v>0</v>
      </c>
      <c r="LMZ364" s="373">
        <f>'Q100a-geral'!LMZ887</f>
        <v>0</v>
      </c>
      <c r="LNA364" s="373">
        <f>'Q100a-geral'!LNA887</f>
        <v>0</v>
      </c>
      <c r="LNB364" s="373">
        <f>'Q100a-geral'!LNB887</f>
        <v>0</v>
      </c>
      <c r="LNC364" s="373">
        <f>'Q100a-geral'!LNC887</f>
        <v>0</v>
      </c>
      <c r="LND364" s="373">
        <f>'Q100a-geral'!LND887</f>
        <v>0</v>
      </c>
      <c r="LNE364" s="373">
        <f>'Q100a-geral'!LNE887</f>
        <v>0</v>
      </c>
      <c r="LNF364" s="373">
        <f>'Q100a-geral'!LNF887</f>
        <v>0</v>
      </c>
      <c r="LNG364" s="373">
        <f>'Q100a-geral'!LNG887</f>
        <v>0</v>
      </c>
      <c r="LNH364" s="373">
        <f>'Q100a-geral'!LNH887</f>
        <v>0</v>
      </c>
      <c r="LNI364" s="373">
        <f>'Q100a-geral'!LNI887</f>
        <v>0</v>
      </c>
      <c r="LNJ364" s="373">
        <f>'Q100a-geral'!LNJ887</f>
        <v>0</v>
      </c>
      <c r="LNK364" s="373">
        <f>'Q100a-geral'!LNK887</f>
        <v>0</v>
      </c>
      <c r="LNL364" s="373">
        <f>'Q100a-geral'!LNL887</f>
        <v>0</v>
      </c>
      <c r="LNM364" s="373">
        <f>'Q100a-geral'!LNM887</f>
        <v>0</v>
      </c>
      <c r="LNN364" s="373">
        <f>'Q100a-geral'!LNN887</f>
        <v>0</v>
      </c>
      <c r="LNO364" s="373">
        <f>'Q100a-geral'!LNO887</f>
        <v>0</v>
      </c>
      <c r="LNP364" s="373">
        <f>'Q100a-geral'!LNP887</f>
        <v>0</v>
      </c>
      <c r="LNQ364" s="373">
        <f>'Q100a-geral'!LNQ887</f>
        <v>0</v>
      </c>
      <c r="LNR364" s="373">
        <f>'Q100a-geral'!LNR887</f>
        <v>0</v>
      </c>
      <c r="LNS364" s="373">
        <f>'Q100a-geral'!LNS887</f>
        <v>0</v>
      </c>
      <c r="LNT364" s="373">
        <f>'Q100a-geral'!LNT887</f>
        <v>0</v>
      </c>
      <c r="LNU364" s="373">
        <f>'Q100a-geral'!LNU887</f>
        <v>0</v>
      </c>
      <c r="LNV364" s="373">
        <f>'Q100a-geral'!LNV887</f>
        <v>0</v>
      </c>
      <c r="LNW364" s="373">
        <f>'Q100a-geral'!LNW887</f>
        <v>0</v>
      </c>
      <c r="LNX364" s="373">
        <f>'Q100a-geral'!LNX887</f>
        <v>0</v>
      </c>
      <c r="LNY364" s="373">
        <f>'Q100a-geral'!LNY887</f>
        <v>0</v>
      </c>
      <c r="LNZ364" s="373">
        <f>'Q100a-geral'!LNZ887</f>
        <v>0</v>
      </c>
      <c r="LOA364" s="373">
        <f>'Q100a-geral'!LOA887</f>
        <v>0</v>
      </c>
      <c r="LOB364" s="373">
        <f>'Q100a-geral'!LOB887</f>
        <v>0</v>
      </c>
      <c r="LOC364" s="373">
        <f>'Q100a-geral'!LOC887</f>
        <v>0</v>
      </c>
      <c r="LOD364" s="373">
        <f>'Q100a-geral'!LOD887</f>
        <v>0</v>
      </c>
      <c r="LOE364" s="373">
        <f>'Q100a-geral'!LOE887</f>
        <v>0</v>
      </c>
      <c r="LOF364" s="373">
        <f>'Q100a-geral'!LOF887</f>
        <v>0</v>
      </c>
      <c r="LOG364" s="373">
        <f>'Q100a-geral'!LOG887</f>
        <v>0</v>
      </c>
      <c r="LOH364" s="373">
        <f>'Q100a-geral'!LOH887</f>
        <v>0</v>
      </c>
      <c r="LOI364" s="373">
        <f>'Q100a-geral'!LOI887</f>
        <v>0</v>
      </c>
      <c r="LOJ364" s="373">
        <f>'Q100a-geral'!LOJ887</f>
        <v>0</v>
      </c>
      <c r="LOK364" s="373">
        <f>'Q100a-geral'!LOK887</f>
        <v>0</v>
      </c>
      <c r="LOL364" s="373">
        <f>'Q100a-geral'!LOL887</f>
        <v>0</v>
      </c>
      <c r="LOM364" s="373">
        <f>'Q100a-geral'!LOM887</f>
        <v>0</v>
      </c>
      <c r="LON364" s="373">
        <f>'Q100a-geral'!LON887</f>
        <v>0</v>
      </c>
      <c r="LOO364" s="373">
        <f>'Q100a-geral'!LOO887</f>
        <v>0</v>
      </c>
      <c r="LOP364" s="373">
        <f>'Q100a-geral'!LOP887</f>
        <v>0</v>
      </c>
      <c r="LOQ364" s="373">
        <f>'Q100a-geral'!LOQ887</f>
        <v>0</v>
      </c>
      <c r="LOR364" s="373">
        <f>'Q100a-geral'!LOR887</f>
        <v>0</v>
      </c>
      <c r="LOS364" s="373">
        <f>'Q100a-geral'!LOS887</f>
        <v>0</v>
      </c>
      <c r="LOT364" s="373">
        <f>'Q100a-geral'!LOT887</f>
        <v>0</v>
      </c>
      <c r="LOU364" s="373">
        <f>'Q100a-geral'!LOU887</f>
        <v>0</v>
      </c>
      <c r="LOV364" s="373">
        <f>'Q100a-geral'!LOV887</f>
        <v>0</v>
      </c>
      <c r="LOW364" s="373">
        <f>'Q100a-geral'!LOW887</f>
        <v>0</v>
      </c>
      <c r="LOX364" s="373">
        <f>'Q100a-geral'!LOX887</f>
        <v>0</v>
      </c>
      <c r="LOY364" s="373">
        <f>'Q100a-geral'!LOY887</f>
        <v>0</v>
      </c>
      <c r="LOZ364" s="373">
        <f>'Q100a-geral'!LOZ887</f>
        <v>0</v>
      </c>
      <c r="LPA364" s="373">
        <f>'Q100a-geral'!LPA887</f>
        <v>0</v>
      </c>
      <c r="LPB364" s="373">
        <f>'Q100a-geral'!LPB887</f>
        <v>0</v>
      </c>
      <c r="LPC364" s="373">
        <f>'Q100a-geral'!LPC887</f>
        <v>0</v>
      </c>
      <c r="LPD364" s="373">
        <f>'Q100a-geral'!LPD887</f>
        <v>0</v>
      </c>
      <c r="LPE364" s="373">
        <f>'Q100a-geral'!LPE887</f>
        <v>0</v>
      </c>
      <c r="LPF364" s="373">
        <f>'Q100a-geral'!LPF887</f>
        <v>0</v>
      </c>
      <c r="LPG364" s="373">
        <f>'Q100a-geral'!LPG887</f>
        <v>0</v>
      </c>
      <c r="LPH364" s="373">
        <f>'Q100a-geral'!LPH887</f>
        <v>0</v>
      </c>
      <c r="LPI364" s="373">
        <f>'Q100a-geral'!LPI887</f>
        <v>0</v>
      </c>
      <c r="LPJ364" s="373">
        <f>'Q100a-geral'!LPJ887</f>
        <v>0</v>
      </c>
      <c r="LPK364" s="373">
        <f>'Q100a-geral'!LPK887</f>
        <v>0</v>
      </c>
      <c r="LPL364" s="373">
        <f>'Q100a-geral'!LPL887</f>
        <v>0</v>
      </c>
      <c r="LPM364" s="373">
        <f>'Q100a-geral'!LPM887</f>
        <v>0</v>
      </c>
      <c r="LPN364" s="373">
        <f>'Q100a-geral'!LPN887</f>
        <v>0</v>
      </c>
      <c r="LPO364" s="373">
        <f>'Q100a-geral'!LPO887</f>
        <v>0</v>
      </c>
      <c r="LPP364" s="373">
        <f>'Q100a-geral'!LPP887</f>
        <v>0</v>
      </c>
      <c r="LPQ364" s="373">
        <f>'Q100a-geral'!LPQ887</f>
        <v>0</v>
      </c>
      <c r="LPR364" s="373">
        <f>'Q100a-geral'!LPR887</f>
        <v>0</v>
      </c>
      <c r="LPS364" s="373">
        <f>'Q100a-geral'!LPS887</f>
        <v>0</v>
      </c>
      <c r="LPT364" s="373">
        <f>'Q100a-geral'!LPT887</f>
        <v>0</v>
      </c>
      <c r="LPU364" s="373">
        <f>'Q100a-geral'!LPU887</f>
        <v>0</v>
      </c>
      <c r="LPV364" s="373">
        <f>'Q100a-geral'!LPV887</f>
        <v>0</v>
      </c>
      <c r="LPW364" s="373">
        <f>'Q100a-geral'!LPW887</f>
        <v>0</v>
      </c>
      <c r="LPX364" s="373">
        <f>'Q100a-geral'!LPX887</f>
        <v>0</v>
      </c>
      <c r="LPY364" s="373">
        <f>'Q100a-geral'!LPY887</f>
        <v>0</v>
      </c>
      <c r="LPZ364" s="373">
        <f>'Q100a-geral'!LPZ887</f>
        <v>0</v>
      </c>
      <c r="LQA364" s="373">
        <f>'Q100a-geral'!LQA887</f>
        <v>0</v>
      </c>
      <c r="LQB364" s="373">
        <f>'Q100a-geral'!LQB887</f>
        <v>0</v>
      </c>
      <c r="LQC364" s="373">
        <f>'Q100a-geral'!LQC887</f>
        <v>0</v>
      </c>
      <c r="LQD364" s="373">
        <f>'Q100a-geral'!LQD887</f>
        <v>0</v>
      </c>
      <c r="LQE364" s="373">
        <f>'Q100a-geral'!LQE887</f>
        <v>0</v>
      </c>
      <c r="LQF364" s="373">
        <f>'Q100a-geral'!LQF887</f>
        <v>0</v>
      </c>
      <c r="LQG364" s="373">
        <f>'Q100a-geral'!LQG887</f>
        <v>0</v>
      </c>
      <c r="LQH364" s="373">
        <f>'Q100a-geral'!LQH887</f>
        <v>0</v>
      </c>
      <c r="LQI364" s="373">
        <f>'Q100a-geral'!LQI887</f>
        <v>0</v>
      </c>
      <c r="LQJ364" s="373">
        <f>'Q100a-geral'!LQJ887</f>
        <v>0</v>
      </c>
      <c r="LQK364" s="373">
        <f>'Q100a-geral'!LQK887</f>
        <v>0</v>
      </c>
      <c r="LQL364" s="373">
        <f>'Q100a-geral'!LQL887</f>
        <v>0</v>
      </c>
      <c r="LQM364" s="373">
        <f>'Q100a-geral'!LQM887</f>
        <v>0</v>
      </c>
      <c r="LQN364" s="373">
        <f>'Q100a-geral'!LQN887</f>
        <v>0</v>
      </c>
      <c r="LQO364" s="373">
        <f>'Q100a-geral'!LQO887</f>
        <v>0</v>
      </c>
      <c r="LQP364" s="373">
        <f>'Q100a-geral'!LQP887</f>
        <v>0</v>
      </c>
      <c r="LQQ364" s="373">
        <f>'Q100a-geral'!LQQ887</f>
        <v>0</v>
      </c>
      <c r="LQR364" s="373">
        <f>'Q100a-geral'!LQR887</f>
        <v>0</v>
      </c>
      <c r="LQS364" s="373">
        <f>'Q100a-geral'!LQS887</f>
        <v>0</v>
      </c>
      <c r="LQT364" s="373">
        <f>'Q100a-geral'!LQT887</f>
        <v>0</v>
      </c>
      <c r="LQU364" s="373">
        <f>'Q100a-geral'!LQU887</f>
        <v>0</v>
      </c>
      <c r="LQV364" s="373">
        <f>'Q100a-geral'!LQV887</f>
        <v>0</v>
      </c>
      <c r="LQW364" s="373">
        <f>'Q100a-geral'!LQW887</f>
        <v>0</v>
      </c>
      <c r="LQX364" s="373">
        <f>'Q100a-geral'!LQX887</f>
        <v>0</v>
      </c>
      <c r="LQY364" s="373">
        <f>'Q100a-geral'!LQY887</f>
        <v>0</v>
      </c>
      <c r="LQZ364" s="373">
        <f>'Q100a-geral'!LQZ887</f>
        <v>0</v>
      </c>
      <c r="LRA364" s="373">
        <f>'Q100a-geral'!LRA887</f>
        <v>0</v>
      </c>
      <c r="LRB364" s="373">
        <f>'Q100a-geral'!LRB887</f>
        <v>0</v>
      </c>
      <c r="LRC364" s="373">
        <f>'Q100a-geral'!LRC887</f>
        <v>0</v>
      </c>
      <c r="LRD364" s="373">
        <f>'Q100a-geral'!LRD887</f>
        <v>0</v>
      </c>
      <c r="LRE364" s="373">
        <f>'Q100a-geral'!LRE887</f>
        <v>0</v>
      </c>
      <c r="LRF364" s="373">
        <f>'Q100a-geral'!LRF887</f>
        <v>0</v>
      </c>
      <c r="LRG364" s="373">
        <f>'Q100a-geral'!LRG887</f>
        <v>0</v>
      </c>
      <c r="LRH364" s="373">
        <f>'Q100a-geral'!LRH887</f>
        <v>0</v>
      </c>
      <c r="LRI364" s="373">
        <f>'Q100a-geral'!LRI887</f>
        <v>0</v>
      </c>
      <c r="LRJ364" s="373">
        <f>'Q100a-geral'!LRJ887</f>
        <v>0</v>
      </c>
      <c r="LRK364" s="373">
        <f>'Q100a-geral'!LRK887</f>
        <v>0</v>
      </c>
      <c r="LRL364" s="373">
        <f>'Q100a-geral'!LRL887</f>
        <v>0</v>
      </c>
      <c r="LRM364" s="373">
        <f>'Q100a-geral'!LRM887</f>
        <v>0</v>
      </c>
      <c r="LRN364" s="373">
        <f>'Q100a-geral'!LRN887</f>
        <v>0</v>
      </c>
      <c r="LRO364" s="373">
        <f>'Q100a-geral'!LRO887</f>
        <v>0</v>
      </c>
      <c r="LRP364" s="373">
        <f>'Q100a-geral'!LRP887</f>
        <v>0</v>
      </c>
      <c r="LRQ364" s="373">
        <f>'Q100a-geral'!LRQ887</f>
        <v>0</v>
      </c>
      <c r="LRR364" s="373">
        <f>'Q100a-geral'!LRR887</f>
        <v>0</v>
      </c>
      <c r="LRS364" s="373">
        <f>'Q100a-geral'!LRS887</f>
        <v>0</v>
      </c>
      <c r="LRT364" s="373">
        <f>'Q100a-geral'!LRT887</f>
        <v>0</v>
      </c>
      <c r="LRU364" s="373">
        <f>'Q100a-geral'!LRU887</f>
        <v>0</v>
      </c>
      <c r="LRV364" s="373">
        <f>'Q100a-geral'!LRV887</f>
        <v>0</v>
      </c>
      <c r="LRW364" s="373">
        <f>'Q100a-geral'!LRW887</f>
        <v>0</v>
      </c>
      <c r="LRX364" s="373">
        <f>'Q100a-geral'!LRX887</f>
        <v>0</v>
      </c>
      <c r="LRY364" s="373">
        <f>'Q100a-geral'!LRY887</f>
        <v>0</v>
      </c>
      <c r="LRZ364" s="373">
        <f>'Q100a-geral'!LRZ887</f>
        <v>0</v>
      </c>
      <c r="LSA364" s="373">
        <f>'Q100a-geral'!LSA887</f>
        <v>0</v>
      </c>
      <c r="LSB364" s="373">
        <f>'Q100a-geral'!LSB887</f>
        <v>0</v>
      </c>
      <c r="LSC364" s="373">
        <f>'Q100a-geral'!LSC887</f>
        <v>0</v>
      </c>
      <c r="LSD364" s="373">
        <f>'Q100a-geral'!LSD887</f>
        <v>0</v>
      </c>
      <c r="LSE364" s="373">
        <f>'Q100a-geral'!LSE887</f>
        <v>0</v>
      </c>
      <c r="LSF364" s="373">
        <f>'Q100a-geral'!LSF887</f>
        <v>0</v>
      </c>
      <c r="LSG364" s="373">
        <f>'Q100a-geral'!LSG887</f>
        <v>0</v>
      </c>
      <c r="LSH364" s="373">
        <f>'Q100a-geral'!LSH887</f>
        <v>0</v>
      </c>
      <c r="LSI364" s="373">
        <f>'Q100a-geral'!LSI887</f>
        <v>0</v>
      </c>
      <c r="LSJ364" s="373">
        <f>'Q100a-geral'!LSJ887</f>
        <v>0</v>
      </c>
      <c r="LSK364" s="373">
        <f>'Q100a-geral'!LSK887</f>
        <v>0</v>
      </c>
      <c r="LSL364" s="373">
        <f>'Q100a-geral'!LSL887</f>
        <v>0</v>
      </c>
      <c r="LSM364" s="373">
        <f>'Q100a-geral'!LSM887</f>
        <v>0</v>
      </c>
      <c r="LSN364" s="373">
        <f>'Q100a-geral'!LSN887</f>
        <v>0</v>
      </c>
      <c r="LSO364" s="373">
        <f>'Q100a-geral'!LSO887</f>
        <v>0</v>
      </c>
      <c r="LSP364" s="373">
        <f>'Q100a-geral'!LSP887</f>
        <v>0</v>
      </c>
      <c r="LSQ364" s="373">
        <f>'Q100a-geral'!LSQ887</f>
        <v>0</v>
      </c>
      <c r="LSR364" s="373">
        <f>'Q100a-geral'!LSR887</f>
        <v>0</v>
      </c>
      <c r="LSS364" s="373">
        <f>'Q100a-geral'!LSS887</f>
        <v>0</v>
      </c>
      <c r="LST364" s="373">
        <f>'Q100a-geral'!LST887</f>
        <v>0</v>
      </c>
      <c r="LSU364" s="373">
        <f>'Q100a-geral'!LSU887</f>
        <v>0</v>
      </c>
      <c r="LSV364" s="373">
        <f>'Q100a-geral'!LSV887</f>
        <v>0</v>
      </c>
      <c r="LSW364" s="373">
        <f>'Q100a-geral'!LSW887</f>
        <v>0</v>
      </c>
      <c r="LSX364" s="373">
        <f>'Q100a-geral'!LSX887</f>
        <v>0</v>
      </c>
      <c r="LSY364" s="373">
        <f>'Q100a-geral'!LSY887</f>
        <v>0</v>
      </c>
      <c r="LSZ364" s="373">
        <f>'Q100a-geral'!LSZ887</f>
        <v>0</v>
      </c>
      <c r="LTA364" s="373">
        <f>'Q100a-geral'!LTA887</f>
        <v>0</v>
      </c>
      <c r="LTB364" s="373">
        <f>'Q100a-geral'!LTB887</f>
        <v>0</v>
      </c>
      <c r="LTC364" s="373">
        <f>'Q100a-geral'!LTC887</f>
        <v>0</v>
      </c>
      <c r="LTD364" s="373">
        <f>'Q100a-geral'!LTD887</f>
        <v>0</v>
      </c>
      <c r="LTE364" s="373">
        <f>'Q100a-geral'!LTE887</f>
        <v>0</v>
      </c>
      <c r="LTF364" s="373">
        <f>'Q100a-geral'!LTF887</f>
        <v>0</v>
      </c>
      <c r="LTG364" s="373">
        <f>'Q100a-geral'!LTG887</f>
        <v>0</v>
      </c>
      <c r="LTH364" s="373">
        <f>'Q100a-geral'!LTH887</f>
        <v>0</v>
      </c>
      <c r="LTI364" s="373">
        <f>'Q100a-geral'!LTI887</f>
        <v>0</v>
      </c>
      <c r="LTJ364" s="373">
        <f>'Q100a-geral'!LTJ887</f>
        <v>0</v>
      </c>
      <c r="LTK364" s="373">
        <f>'Q100a-geral'!LTK887</f>
        <v>0</v>
      </c>
      <c r="LTL364" s="373">
        <f>'Q100a-geral'!LTL887</f>
        <v>0</v>
      </c>
      <c r="LTM364" s="373">
        <f>'Q100a-geral'!LTM887</f>
        <v>0</v>
      </c>
      <c r="LTN364" s="373">
        <f>'Q100a-geral'!LTN887</f>
        <v>0</v>
      </c>
      <c r="LTO364" s="373">
        <f>'Q100a-geral'!LTO887</f>
        <v>0</v>
      </c>
      <c r="LTP364" s="373">
        <f>'Q100a-geral'!LTP887</f>
        <v>0</v>
      </c>
      <c r="LTQ364" s="373">
        <f>'Q100a-geral'!LTQ887</f>
        <v>0</v>
      </c>
      <c r="LTR364" s="373">
        <f>'Q100a-geral'!LTR887</f>
        <v>0</v>
      </c>
      <c r="LTS364" s="373">
        <f>'Q100a-geral'!LTS887</f>
        <v>0</v>
      </c>
      <c r="LTT364" s="373">
        <f>'Q100a-geral'!LTT887</f>
        <v>0</v>
      </c>
      <c r="LTU364" s="373">
        <f>'Q100a-geral'!LTU887</f>
        <v>0</v>
      </c>
      <c r="LTV364" s="373">
        <f>'Q100a-geral'!LTV887</f>
        <v>0</v>
      </c>
      <c r="LTW364" s="373">
        <f>'Q100a-geral'!LTW887</f>
        <v>0</v>
      </c>
      <c r="LTX364" s="373">
        <f>'Q100a-geral'!LTX887</f>
        <v>0</v>
      </c>
      <c r="LTY364" s="373">
        <f>'Q100a-geral'!LTY887</f>
        <v>0</v>
      </c>
      <c r="LTZ364" s="373">
        <f>'Q100a-geral'!LTZ887</f>
        <v>0</v>
      </c>
      <c r="LUA364" s="373">
        <f>'Q100a-geral'!LUA887</f>
        <v>0</v>
      </c>
      <c r="LUB364" s="373">
        <f>'Q100a-geral'!LUB887</f>
        <v>0</v>
      </c>
      <c r="LUC364" s="373">
        <f>'Q100a-geral'!LUC887</f>
        <v>0</v>
      </c>
      <c r="LUD364" s="373">
        <f>'Q100a-geral'!LUD887</f>
        <v>0</v>
      </c>
      <c r="LUE364" s="373">
        <f>'Q100a-geral'!LUE887</f>
        <v>0</v>
      </c>
      <c r="LUF364" s="373">
        <f>'Q100a-geral'!LUF887</f>
        <v>0</v>
      </c>
      <c r="LUG364" s="373">
        <f>'Q100a-geral'!LUG887</f>
        <v>0</v>
      </c>
      <c r="LUH364" s="373">
        <f>'Q100a-geral'!LUH887</f>
        <v>0</v>
      </c>
      <c r="LUI364" s="373">
        <f>'Q100a-geral'!LUI887</f>
        <v>0</v>
      </c>
      <c r="LUJ364" s="373">
        <f>'Q100a-geral'!LUJ887</f>
        <v>0</v>
      </c>
      <c r="LUK364" s="373">
        <f>'Q100a-geral'!LUK887</f>
        <v>0</v>
      </c>
      <c r="LUL364" s="373">
        <f>'Q100a-geral'!LUL887</f>
        <v>0</v>
      </c>
      <c r="LUM364" s="373">
        <f>'Q100a-geral'!LUM887</f>
        <v>0</v>
      </c>
      <c r="LUN364" s="373">
        <f>'Q100a-geral'!LUN887</f>
        <v>0</v>
      </c>
      <c r="LUO364" s="373">
        <f>'Q100a-geral'!LUO887</f>
        <v>0</v>
      </c>
      <c r="LUP364" s="373">
        <f>'Q100a-geral'!LUP887</f>
        <v>0</v>
      </c>
      <c r="LUQ364" s="373">
        <f>'Q100a-geral'!LUQ887</f>
        <v>0</v>
      </c>
      <c r="LUR364" s="373">
        <f>'Q100a-geral'!LUR887</f>
        <v>0</v>
      </c>
      <c r="LUS364" s="373">
        <f>'Q100a-geral'!LUS887</f>
        <v>0</v>
      </c>
      <c r="LUT364" s="373">
        <f>'Q100a-geral'!LUT887</f>
        <v>0</v>
      </c>
      <c r="LUU364" s="373">
        <f>'Q100a-geral'!LUU887</f>
        <v>0</v>
      </c>
      <c r="LUV364" s="373">
        <f>'Q100a-geral'!LUV887</f>
        <v>0</v>
      </c>
      <c r="LUW364" s="373">
        <f>'Q100a-geral'!LUW887</f>
        <v>0</v>
      </c>
      <c r="LUX364" s="373">
        <f>'Q100a-geral'!LUX887</f>
        <v>0</v>
      </c>
      <c r="LUY364" s="373">
        <f>'Q100a-geral'!LUY887</f>
        <v>0</v>
      </c>
      <c r="LUZ364" s="373">
        <f>'Q100a-geral'!LUZ887</f>
        <v>0</v>
      </c>
      <c r="LVA364" s="373">
        <f>'Q100a-geral'!LVA887</f>
        <v>0</v>
      </c>
      <c r="LVB364" s="373">
        <f>'Q100a-geral'!LVB887</f>
        <v>0</v>
      </c>
      <c r="LVC364" s="373">
        <f>'Q100a-geral'!LVC887</f>
        <v>0</v>
      </c>
      <c r="LVD364" s="373">
        <f>'Q100a-geral'!LVD887</f>
        <v>0</v>
      </c>
      <c r="LVE364" s="373">
        <f>'Q100a-geral'!LVE887</f>
        <v>0</v>
      </c>
      <c r="LVF364" s="373">
        <f>'Q100a-geral'!LVF887</f>
        <v>0</v>
      </c>
      <c r="LVG364" s="373">
        <f>'Q100a-geral'!LVG887</f>
        <v>0</v>
      </c>
      <c r="LVH364" s="373">
        <f>'Q100a-geral'!LVH887</f>
        <v>0</v>
      </c>
      <c r="LVI364" s="373">
        <f>'Q100a-geral'!LVI887</f>
        <v>0</v>
      </c>
      <c r="LVJ364" s="373">
        <f>'Q100a-geral'!LVJ887</f>
        <v>0</v>
      </c>
      <c r="LVK364" s="373">
        <f>'Q100a-geral'!LVK887</f>
        <v>0</v>
      </c>
      <c r="LVL364" s="373">
        <f>'Q100a-geral'!LVL887</f>
        <v>0</v>
      </c>
      <c r="LVM364" s="373">
        <f>'Q100a-geral'!LVM887</f>
        <v>0</v>
      </c>
      <c r="LVN364" s="373">
        <f>'Q100a-geral'!LVN887</f>
        <v>0</v>
      </c>
      <c r="LVO364" s="373">
        <f>'Q100a-geral'!LVO887</f>
        <v>0</v>
      </c>
      <c r="LVP364" s="373">
        <f>'Q100a-geral'!LVP887</f>
        <v>0</v>
      </c>
      <c r="LVQ364" s="373">
        <f>'Q100a-geral'!LVQ887</f>
        <v>0</v>
      </c>
      <c r="LVR364" s="373">
        <f>'Q100a-geral'!LVR887</f>
        <v>0</v>
      </c>
      <c r="LVS364" s="373">
        <f>'Q100a-geral'!LVS887</f>
        <v>0</v>
      </c>
      <c r="LVT364" s="373">
        <f>'Q100a-geral'!LVT887</f>
        <v>0</v>
      </c>
      <c r="LVU364" s="373">
        <f>'Q100a-geral'!LVU887</f>
        <v>0</v>
      </c>
      <c r="LVV364" s="373">
        <f>'Q100a-geral'!LVV887</f>
        <v>0</v>
      </c>
      <c r="LVW364" s="373">
        <f>'Q100a-geral'!LVW887</f>
        <v>0</v>
      </c>
      <c r="LVX364" s="373">
        <f>'Q100a-geral'!LVX887</f>
        <v>0</v>
      </c>
      <c r="LVY364" s="373">
        <f>'Q100a-geral'!LVY887</f>
        <v>0</v>
      </c>
      <c r="LVZ364" s="373">
        <f>'Q100a-geral'!LVZ887</f>
        <v>0</v>
      </c>
      <c r="LWA364" s="373">
        <f>'Q100a-geral'!LWA887</f>
        <v>0</v>
      </c>
      <c r="LWB364" s="373">
        <f>'Q100a-geral'!LWB887</f>
        <v>0</v>
      </c>
      <c r="LWC364" s="373">
        <f>'Q100a-geral'!LWC887</f>
        <v>0</v>
      </c>
      <c r="LWD364" s="373">
        <f>'Q100a-geral'!LWD887</f>
        <v>0</v>
      </c>
      <c r="LWE364" s="373">
        <f>'Q100a-geral'!LWE887</f>
        <v>0</v>
      </c>
      <c r="LWF364" s="373">
        <f>'Q100a-geral'!LWF887</f>
        <v>0</v>
      </c>
      <c r="LWG364" s="373">
        <f>'Q100a-geral'!LWG887</f>
        <v>0</v>
      </c>
      <c r="LWH364" s="373">
        <f>'Q100a-geral'!LWH887</f>
        <v>0</v>
      </c>
      <c r="LWI364" s="373">
        <f>'Q100a-geral'!LWI887</f>
        <v>0</v>
      </c>
      <c r="LWJ364" s="373">
        <f>'Q100a-geral'!LWJ887</f>
        <v>0</v>
      </c>
      <c r="LWK364" s="373">
        <f>'Q100a-geral'!LWK887</f>
        <v>0</v>
      </c>
      <c r="LWL364" s="373">
        <f>'Q100a-geral'!LWL887</f>
        <v>0</v>
      </c>
      <c r="LWM364" s="373">
        <f>'Q100a-geral'!LWM887</f>
        <v>0</v>
      </c>
      <c r="LWN364" s="373">
        <f>'Q100a-geral'!LWN887</f>
        <v>0</v>
      </c>
      <c r="LWO364" s="373">
        <f>'Q100a-geral'!LWO887</f>
        <v>0</v>
      </c>
      <c r="LWP364" s="373">
        <f>'Q100a-geral'!LWP887</f>
        <v>0</v>
      </c>
      <c r="LWQ364" s="373">
        <f>'Q100a-geral'!LWQ887</f>
        <v>0</v>
      </c>
      <c r="LWR364" s="373">
        <f>'Q100a-geral'!LWR887</f>
        <v>0</v>
      </c>
      <c r="LWS364" s="373">
        <f>'Q100a-geral'!LWS887</f>
        <v>0</v>
      </c>
      <c r="LWT364" s="373">
        <f>'Q100a-geral'!LWT887</f>
        <v>0</v>
      </c>
      <c r="LWU364" s="373">
        <f>'Q100a-geral'!LWU887</f>
        <v>0</v>
      </c>
      <c r="LWV364" s="373">
        <f>'Q100a-geral'!LWV887</f>
        <v>0</v>
      </c>
      <c r="LWW364" s="373">
        <f>'Q100a-geral'!LWW887</f>
        <v>0</v>
      </c>
      <c r="LWX364" s="373">
        <f>'Q100a-geral'!LWX887</f>
        <v>0</v>
      </c>
      <c r="LWY364" s="373">
        <f>'Q100a-geral'!LWY887</f>
        <v>0</v>
      </c>
      <c r="LWZ364" s="373">
        <f>'Q100a-geral'!LWZ887</f>
        <v>0</v>
      </c>
      <c r="LXA364" s="373">
        <f>'Q100a-geral'!LXA887</f>
        <v>0</v>
      </c>
      <c r="LXB364" s="373">
        <f>'Q100a-geral'!LXB887</f>
        <v>0</v>
      </c>
      <c r="LXC364" s="373">
        <f>'Q100a-geral'!LXC887</f>
        <v>0</v>
      </c>
      <c r="LXD364" s="373">
        <f>'Q100a-geral'!LXD887</f>
        <v>0</v>
      </c>
      <c r="LXE364" s="373">
        <f>'Q100a-geral'!LXE887</f>
        <v>0</v>
      </c>
      <c r="LXF364" s="373">
        <f>'Q100a-geral'!LXF887</f>
        <v>0</v>
      </c>
      <c r="LXG364" s="373">
        <f>'Q100a-geral'!LXG887</f>
        <v>0</v>
      </c>
      <c r="LXH364" s="373">
        <f>'Q100a-geral'!LXH887</f>
        <v>0</v>
      </c>
      <c r="LXI364" s="373">
        <f>'Q100a-geral'!LXI887</f>
        <v>0</v>
      </c>
      <c r="LXJ364" s="373">
        <f>'Q100a-geral'!LXJ887</f>
        <v>0</v>
      </c>
      <c r="LXK364" s="373">
        <f>'Q100a-geral'!LXK887</f>
        <v>0</v>
      </c>
      <c r="LXL364" s="373">
        <f>'Q100a-geral'!LXL887</f>
        <v>0</v>
      </c>
      <c r="LXM364" s="373">
        <f>'Q100a-geral'!LXM887</f>
        <v>0</v>
      </c>
      <c r="LXN364" s="373">
        <f>'Q100a-geral'!LXN887</f>
        <v>0</v>
      </c>
      <c r="LXO364" s="373">
        <f>'Q100a-geral'!LXO887</f>
        <v>0</v>
      </c>
      <c r="LXP364" s="373">
        <f>'Q100a-geral'!LXP887</f>
        <v>0</v>
      </c>
      <c r="LXQ364" s="373">
        <f>'Q100a-geral'!LXQ887</f>
        <v>0</v>
      </c>
      <c r="LXR364" s="373">
        <f>'Q100a-geral'!LXR887</f>
        <v>0</v>
      </c>
      <c r="LXS364" s="373">
        <f>'Q100a-geral'!LXS887</f>
        <v>0</v>
      </c>
      <c r="LXT364" s="373">
        <f>'Q100a-geral'!LXT887</f>
        <v>0</v>
      </c>
      <c r="LXU364" s="373">
        <f>'Q100a-geral'!LXU887</f>
        <v>0</v>
      </c>
      <c r="LXV364" s="373">
        <f>'Q100a-geral'!LXV887</f>
        <v>0</v>
      </c>
      <c r="LXW364" s="373">
        <f>'Q100a-geral'!LXW887</f>
        <v>0</v>
      </c>
      <c r="LXX364" s="373">
        <f>'Q100a-geral'!LXX887</f>
        <v>0</v>
      </c>
      <c r="LXY364" s="373">
        <f>'Q100a-geral'!LXY887</f>
        <v>0</v>
      </c>
      <c r="LXZ364" s="373">
        <f>'Q100a-geral'!LXZ887</f>
        <v>0</v>
      </c>
      <c r="LYA364" s="373">
        <f>'Q100a-geral'!LYA887</f>
        <v>0</v>
      </c>
      <c r="LYB364" s="373">
        <f>'Q100a-geral'!LYB887</f>
        <v>0</v>
      </c>
      <c r="LYC364" s="373">
        <f>'Q100a-geral'!LYC887</f>
        <v>0</v>
      </c>
      <c r="LYD364" s="373">
        <f>'Q100a-geral'!LYD887</f>
        <v>0</v>
      </c>
      <c r="LYE364" s="373">
        <f>'Q100a-geral'!LYE887</f>
        <v>0</v>
      </c>
      <c r="LYF364" s="373">
        <f>'Q100a-geral'!LYF887</f>
        <v>0</v>
      </c>
      <c r="LYG364" s="373">
        <f>'Q100a-geral'!LYG887</f>
        <v>0</v>
      </c>
      <c r="LYH364" s="373">
        <f>'Q100a-geral'!LYH887</f>
        <v>0</v>
      </c>
      <c r="LYI364" s="373">
        <f>'Q100a-geral'!LYI887</f>
        <v>0</v>
      </c>
      <c r="LYJ364" s="373">
        <f>'Q100a-geral'!LYJ887</f>
        <v>0</v>
      </c>
      <c r="LYK364" s="373">
        <f>'Q100a-geral'!LYK887</f>
        <v>0</v>
      </c>
      <c r="LYL364" s="373">
        <f>'Q100a-geral'!LYL887</f>
        <v>0</v>
      </c>
      <c r="LYM364" s="373">
        <f>'Q100a-geral'!LYM887</f>
        <v>0</v>
      </c>
      <c r="LYN364" s="373">
        <f>'Q100a-geral'!LYN887</f>
        <v>0</v>
      </c>
      <c r="LYO364" s="373">
        <f>'Q100a-geral'!LYO887</f>
        <v>0</v>
      </c>
      <c r="LYP364" s="373">
        <f>'Q100a-geral'!LYP887</f>
        <v>0</v>
      </c>
      <c r="LYQ364" s="373">
        <f>'Q100a-geral'!LYQ887</f>
        <v>0</v>
      </c>
      <c r="LYR364" s="373">
        <f>'Q100a-geral'!LYR887</f>
        <v>0</v>
      </c>
      <c r="LYS364" s="373">
        <f>'Q100a-geral'!LYS887</f>
        <v>0</v>
      </c>
      <c r="LYT364" s="373">
        <f>'Q100a-geral'!LYT887</f>
        <v>0</v>
      </c>
      <c r="LYU364" s="373">
        <f>'Q100a-geral'!LYU887</f>
        <v>0</v>
      </c>
      <c r="LYV364" s="373">
        <f>'Q100a-geral'!LYV887</f>
        <v>0</v>
      </c>
      <c r="LYW364" s="373">
        <f>'Q100a-geral'!LYW887</f>
        <v>0</v>
      </c>
      <c r="LYX364" s="373">
        <f>'Q100a-geral'!LYX887</f>
        <v>0</v>
      </c>
      <c r="LYY364" s="373">
        <f>'Q100a-geral'!LYY887</f>
        <v>0</v>
      </c>
      <c r="LYZ364" s="373">
        <f>'Q100a-geral'!LYZ887</f>
        <v>0</v>
      </c>
      <c r="LZA364" s="373">
        <f>'Q100a-geral'!LZA887</f>
        <v>0</v>
      </c>
      <c r="LZB364" s="373">
        <f>'Q100a-geral'!LZB887</f>
        <v>0</v>
      </c>
      <c r="LZC364" s="373">
        <f>'Q100a-geral'!LZC887</f>
        <v>0</v>
      </c>
      <c r="LZD364" s="373">
        <f>'Q100a-geral'!LZD887</f>
        <v>0</v>
      </c>
      <c r="LZE364" s="373">
        <f>'Q100a-geral'!LZE887</f>
        <v>0</v>
      </c>
      <c r="LZF364" s="373">
        <f>'Q100a-geral'!LZF887</f>
        <v>0</v>
      </c>
      <c r="LZG364" s="373">
        <f>'Q100a-geral'!LZG887</f>
        <v>0</v>
      </c>
      <c r="LZH364" s="373">
        <f>'Q100a-geral'!LZH887</f>
        <v>0</v>
      </c>
      <c r="LZI364" s="373">
        <f>'Q100a-geral'!LZI887</f>
        <v>0</v>
      </c>
      <c r="LZJ364" s="373">
        <f>'Q100a-geral'!LZJ887</f>
        <v>0</v>
      </c>
      <c r="LZK364" s="373">
        <f>'Q100a-geral'!LZK887</f>
        <v>0</v>
      </c>
      <c r="LZL364" s="373">
        <f>'Q100a-geral'!LZL887</f>
        <v>0</v>
      </c>
      <c r="LZM364" s="373">
        <f>'Q100a-geral'!LZM887</f>
        <v>0</v>
      </c>
      <c r="LZN364" s="373">
        <f>'Q100a-geral'!LZN887</f>
        <v>0</v>
      </c>
      <c r="LZO364" s="373">
        <f>'Q100a-geral'!LZO887</f>
        <v>0</v>
      </c>
      <c r="LZP364" s="373">
        <f>'Q100a-geral'!LZP887</f>
        <v>0</v>
      </c>
      <c r="LZQ364" s="373">
        <f>'Q100a-geral'!LZQ887</f>
        <v>0</v>
      </c>
      <c r="LZR364" s="373">
        <f>'Q100a-geral'!LZR887</f>
        <v>0</v>
      </c>
      <c r="LZS364" s="373">
        <f>'Q100a-geral'!LZS887</f>
        <v>0</v>
      </c>
      <c r="LZT364" s="373">
        <f>'Q100a-geral'!LZT887</f>
        <v>0</v>
      </c>
      <c r="LZU364" s="373">
        <f>'Q100a-geral'!LZU887</f>
        <v>0</v>
      </c>
      <c r="LZV364" s="373">
        <f>'Q100a-geral'!LZV887</f>
        <v>0</v>
      </c>
      <c r="LZW364" s="373">
        <f>'Q100a-geral'!LZW887</f>
        <v>0</v>
      </c>
      <c r="LZX364" s="373">
        <f>'Q100a-geral'!LZX887</f>
        <v>0</v>
      </c>
      <c r="LZY364" s="373">
        <f>'Q100a-geral'!LZY887</f>
        <v>0</v>
      </c>
      <c r="LZZ364" s="373">
        <f>'Q100a-geral'!LZZ887</f>
        <v>0</v>
      </c>
      <c r="MAA364" s="373">
        <f>'Q100a-geral'!MAA887</f>
        <v>0</v>
      </c>
      <c r="MAB364" s="373">
        <f>'Q100a-geral'!MAB887</f>
        <v>0</v>
      </c>
      <c r="MAC364" s="373">
        <f>'Q100a-geral'!MAC887</f>
        <v>0</v>
      </c>
      <c r="MAD364" s="373">
        <f>'Q100a-geral'!MAD887</f>
        <v>0</v>
      </c>
      <c r="MAE364" s="373">
        <f>'Q100a-geral'!MAE887</f>
        <v>0</v>
      </c>
      <c r="MAF364" s="373">
        <f>'Q100a-geral'!MAF887</f>
        <v>0</v>
      </c>
      <c r="MAG364" s="373">
        <f>'Q100a-geral'!MAG887</f>
        <v>0</v>
      </c>
      <c r="MAH364" s="373">
        <f>'Q100a-geral'!MAH887</f>
        <v>0</v>
      </c>
      <c r="MAI364" s="373">
        <f>'Q100a-geral'!MAI887</f>
        <v>0</v>
      </c>
      <c r="MAJ364" s="373">
        <f>'Q100a-geral'!MAJ887</f>
        <v>0</v>
      </c>
      <c r="MAK364" s="373">
        <f>'Q100a-geral'!MAK887</f>
        <v>0</v>
      </c>
      <c r="MAL364" s="373">
        <f>'Q100a-geral'!MAL887</f>
        <v>0</v>
      </c>
      <c r="MAM364" s="373">
        <f>'Q100a-geral'!MAM887</f>
        <v>0</v>
      </c>
      <c r="MAN364" s="373">
        <f>'Q100a-geral'!MAN887</f>
        <v>0</v>
      </c>
      <c r="MAO364" s="373">
        <f>'Q100a-geral'!MAO887</f>
        <v>0</v>
      </c>
      <c r="MAP364" s="373">
        <f>'Q100a-geral'!MAP887</f>
        <v>0</v>
      </c>
      <c r="MAQ364" s="373">
        <f>'Q100a-geral'!MAQ887</f>
        <v>0</v>
      </c>
      <c r="MAR364" s="373">
        <f>'Q100a-geral'!MAR887</f>
        <v>0</v>
      </c>
      <c r="MAS364" s="373">
        <f>'Q100a-geral'!MAS887</f>
        <v>0</v>
      </c>
      <c r="MAT364" s="373">
        <f>'Q100a-geral'!MAT887</f>
        <v>0</v>
      </c>
      <c r="MAU364" s="373">
        <f>'Q100a-geral'!MAU887</f>
        <v>0</v>
      </c>
      <c r="MAV364" s="373">
        <f>'Q100a-geral'!MAV887</f>
        <v>0</v>
      </c>
      <c r="MAW364" s="373">
        <f>'Q100a-geral'!MAW887</f>
        <v>0</v>
      </c>
      <c r="MAX364" s="373">
        <f>'Q100a-geral'!MAX887</f>
        <v>0</v>
      </c>
      <c r="MAY364" s="373">
        <f>'Q100a-geral'!MAY887</f>
        <v>0</v>
      </c>
      <c r="MAZ364" s="373">
        <f>'Q100a-geral'!MAZ887</f>
        <v>0</v>
      </c>
      <c r="MBA364" s="373">
        <f>'Q100a-geral'!MBA887</f>
        <v>0</v>
      </c>
      <c r="MBB364" s="373">
        <f>'Q100a-geral'!MBB887</f>
        <v>0</v>
      </c>
      <c r="MBC364" s="373">
        <f>'Q100a-geral'!MBC887</f>
        <v>0</v>
      </c>
      <c r="MBD364" s="373">
        <f>'Q100a-geral'!MBD887</f>
        <v>0</v>
      </c>
      <c r="MBE364" s="373">
        <f>'Q100a-geral'!MBE887</f>
        <v>0</v>
      </c>
      <c r="MBF364" s="373">
        <f>'Q100a-geral'!MBF887</f>
        <v>0</v>
      </c>
      <c r="MBG364" s="373">
        <f>'Q100a-geral'!MBG887</f>
        <v>0</v>
      </c>
      <c r="MBH364" s="373">
        <f>'Q100a-geral'!MBH887</f>
        <v>0</v>
      </c>
      <c r="MBI364" s="373">
        <f>'Q100a-geral'!MBI887</f>
        <v>0</v>
      </c>
      <c r="MBJ364" s="373">
        <f>'Q100a-geral'!MBJ887</f>
        <v>0</v>
      </c>
      <c r="MBK364" s="373">
        <f>'Q100a-geral'!MBK887</f>
        <v>0</v>
      </c>
      <c r="MBL364" s="373">
        <f>'Q100a-geral'!MBL887</f>
        <v>0</v>
      </c>
      <c r="MBM364" s="373">
        <f>'Q100a-geral'!MBM887</f>
        <v>0</v>
      </c>
      <c r="MBN364" s="373">
        <f>'Q100a-geral'!MBN887</f>
        <v>0</v>
      </c>
      <c r="MBO364" s="373">
        <f>'Q100a-geral'!MBO887</f>
        <v>0</v>
      </c>
      <c r="MBP364" s="373">
        <f>'Q100a-geral'!MBP887</f>
        <v>0</v>
      </c>
      <c r="MBQ364" s="373">
        <f>'Q100a-geral'!MBQ887</f>
        <v>0</v>
      </c>
      <c r="MBR364" s="373">
        <f>'Q100a-geral'!MBR887</f>
        <v>0</v>
      </c>
      <c r="MBS364" s="373">
        <f>'Q100a-geral'!MBS887</f>
        <v>0</v>
      </c>
      <c r="MBT364" s="373">
        <f>'Q100a-geral'!MBT887</f>
        <v>0</v>
      </c>
      <c r="MBU364" s="373">
        <f>'Q100a-geral'!MBU887</f>
        <v>0</v>
      </c>
      <c r="MBV364" s="373">
        <f>'Q100a-geral'!MBV887</f>
        <v>0</v>
      </c>
      <c r="MBW364" s="373">
        <f>'Q100a-geral'!MBW887</f>
        <v>0</v>
      </c>
      <c r="MBX364" s="373">
        <f>'Q100a-geral'!MBX887</f>
        <v>0</v>
      </c>
      <c r="MBY364" s="373">
        <f>'Q100a-geral'!MBY887</f>
        <v>0</v>
      </c>
      <c r="MBZ364" s="373">
        <f>'Q100a-geral'!MBZ887</f>
        <v>0</v>
      </c>
      <c r="MCA364" s="373">
        <f>'Q100a-geral'!MCA887</f>
        <v>0</v>
      </c>
      <c r="MCB364" s="373">
        <f>'Q100a-geral'!MCB887</f>
        <v>0</v>
      </c>
      <c r="MCC364" s="373">
        <f>'Q100a-geral'!MCC887</f>
        <v>0</v>
      </c>
      <c r="MCD364" s="373">
        <f>'Q100a-geral'!MCD887</f>
        <v>0</v>
      </c>
      <c r="MCE364" s="373">
        <f>'Q100a-geral'!MCE887</f>
        <v>0</v>
      </c>
      <c r="MCF364" s="373">
        <f>'Q100a-geral'!MCF887</f>
        <v>0</v>
      </c>
      <c r="MCG364" s="373">
        <f>'Q100a-geral'!MCG887</f>
        <v>0</v>
      </c>
      <c r="MCH364" s="373">
        <f>'Q100a-geral'!MCH887</f>
        <v>0</v>
      </c>
      <c r="MCI364" s="373">
        <f>'Q100a-geral'!MCI887</f>
        <v>0</v>
      </c>
      <c r="MCJ364" s="373">
        <f>'Q100a-geral'!MCJ887</f>
        <v>0</v>
      </c>
      <c r="MCK364" s="373">
        <f>'Q100a-geral'!MCK887</f>
        <v>0</v>
      </c>
      <c r="MCL364" s="373">
        <f>'Q100a-geral'!MCL887</f>
        <v>0</v>
      </c>
      <c r="MCM364" s="373">
        <f>'Q100a-geral'!MCM887</f>
        <v>0</v>
      </c>
      <c r="MCN364" s="373">
        <f>'Q100a-geral'!MCN887</f>
        <v>0</v>
      </c>
      <c r="MCO364" s="373">
        <f>'Q100a-geral'!MCO887</f>
        <v>0</v>
      </c>
      <c r="MCP364" s="373">
        <f>'Q100a-geral'!MCP887</f>
        <v>0</v>
      </c>
      <c r="MCQ364" s="373">
        <f>'Q100a-geral'!MCQ887</f>
        <v>0</v>
      </c>
      <c r="MCR364" s="373">
        <f>'Q100a-geral'!MCR887</f>
        <v>0</v>
      </c>
      <c r="MCS364" s="373">
        <f>'Q100a-geral'!MCS887</f>
        <v>0</v>
      </c>
      <c r="MCT364" s="373">
        <f>'Q100a-geral'!MCT887</f>
        <v>0</v>
      </c>
      <c r="MCU364" s="373">
        <f>'Q100a-geral'!MCU887</f>
        <v>0</v>
      </c>
      <c r="MCV364" s="373">
        <f>'Q100a-geral'!MCV887</f>
        <v>0</v>
      </c>
      <c r="MCW364" s="373">
        <f>'Q100a-geral'!MCW887</f>
        <v>0</v>
      </c>
      <c r="MCX364" s="373">
        <f>'Q100a-geral'!MCX887</f>
        <v>0</v>
      </c>
      <c r="MCY364" s="373">
        <f>'Q100a-geral'!MCY887</f>
        <v>0</v>
      </c>
      <c r="MCZ364" s="373">
        <f>'Q100a-geral'!MCZ887</f>
        <v>0</v>
      </c>
      <c r="MDA364" s="373">
        <f>'Q100a-geral'!MDA887</f>
        <v>0</v>
      </c>
      <c r="MDB364" s="373">
        <f>'Q100a-geral'!MDB887</f>
        <v>0</v>
      </c>
      <c r="MDC364" s="373">
        <f>'Q100a-geral'!MDC887</f>
        <v>0</v>
      </c>
      <c r="MDD364" s="373">
        <f>'Q100a-geral'!MDD887</f>
        <v>0</v>
      </c>
      <c r="MDE364" s="373">
        <f>'Q100a-geral'!MDE887</f>
        <v>0</v>
      </c>
      <c r="MDF364" s="373">
        <f>'Q100a-geral'!MDF887</f>
        <v>0</v>
      </c>
      <c r="MDG364" s="373">
        <f>'Q100a-geral'!MDG887</f>
        <v>0</v>
      </c>
      <c r="MDH364" s="373">
        <f>'Q100a-geral'!MDH887</f>
        <v>0</v>
      </c>
      <c r="MDI364" s="373">
        <f>'Q100a-geral'!MDI887</f>
        <v>0</v>
      </c>
      <c r="MDJ364" s="373">
        <f>'Q100a-geral'!MDJ887</f>
        <v>0</v>
      </c>
      <c r="MDK364" s="373">
        <f>'Q100a-geral'!MDK887</f>
        <v>0</v>
      </c>
      <c r="MDL364" s="373">
        <f>'Q100a-geral'!MDL887</f>
        <v>0</v>
      </c>
      <c r="MDM364" s="373">
        <f>'Q100a-geral'!MDM887</f>
        <v>0</v>
      </c>
      <c r="MDN364" s="373">
        <f>'Q100a-geral'!MDN887</f>
        <v>0</v>
      </c>
      <c r="MDO364" s="373">
        <f>'Q100a-geral'!MDO887</f>
        <v>0</v>
      </c>
      <c r="MDP364" s="373">
        <f>'Q100a-geral'!MDP887</f>
        <v>0</v>
      </c>
      <c r="MDQ364" s="373">
        <f>'Q100a-geral'!MDQ887</f>
        <v>0</v>
      </c>
      <c r="MDR364" s="373">
        <f>'Q100a-geral'!MDR887</f>
        <v>0</v>
      </c>
      <c r="MDS364" s="373">
        <f>'Q100a-geral'!MDS887</f>
        <v>0</v>
      </c>
      <c r="MDT364" s="373">
        <f>'Q100a-geral'!MDT887</f>
        <v>0</v>
      </c>
      <c r="MDU364" s="373">
        <f>'Q100a-geral'!MDU887</f>
        <v>0</v>
      </c>
      <c r="MDV364" s="373">
        <f>'Q100a-geral'!MDV887</f>
        <v>0</v>
      </c>
      <c r="MDW364" s="373">
        <f>'Q100a-geral'!MDW887</f>
        <v>0</v>
      </c>
      <c r="MDX364" s="373">
        <f>'Q100a-geral'!MDX887</f>
        <v>0</v>
      </c>
      <c r="MDY364" s="373">
        <f>'Q100a-geral'!MDY887</f>
        <v>0</v>
      </c>
      <c r="MDZ364" s="373">
        <f>'Q100a-geral'!MDZ887</f>
        <v>0</v>
      </c>
      <c r="MEA364" s="373">
        <f>'Q100a-geral'!MEA887</f>
        <v>0</v>
      </c>
      <c r="MEB364" s="373">
        <f>'Q100a-geral'!MEB887</f>
        <v>0</v>
      </c>
      <c r="MEC364" s="373">
        <f>'Q100a-geral'!MEC887</f>
        <v>0</v>
      </c>
      <c r="MED364" s="373">
        <f>'Q100a-geral'!MED887</f>
        <v>0</v>
      </c>
      <c r="MEE364" s="373">
        <f>'Q100a-geral'!MEE887</f>
        <v>0</v>
      </c>
      <c r="MEF364" s="373">
        <f>'Q100a-geral'!MEF887</f>
        <v>0</v>
      </c>
      <c r="MEG364" s="373">
        <f>'Q100a-geral'!MEG887</f>
        <v>0</v>
      </c>
      <c r="MEH364" s="373">
        <f>'Q100a-geral'!MEH887</f>
        <v>0</v>
      </c>
      <c r="MEI364" s="373">
        <f>'Q100a-geral'!MEI887</f>
        <v>0</v>
      </c>
      <c r="MEJ364" s="373">
        <f>'Q100a-geral'!MEJ887</f>
        <v>0</v>
      </c>
      <c r="MEK364" s="373">
        <f>'Q100a-geral'!MEK887</f>
        <v>0</v>
      </c>
      <c r="MEL364" s="373">
        <f>'Q100a-geral'!MEL887</f>
        <v>0</v>
      </c>
      <c r="MEM364" s="373">
        <f>'Q100a-geral'!MEM887</f>
        <v>0</v>
      </c>
      <c r="MEN364" s="373">
        <f>'Q100a-geral'!MEN887</f>
        <v>0</v>
      </c>
      <c r="MEO364" s="373">
        <f>'Q100a-geral'!MEO887</f>
        <v>0</v>
      </c>
      <c r="MEP364" s="373">
        <f>'Q100a-geral'!MEP887</f>
        <v>0</v>
      </c>
      <c r="MEQ364" s="373">
        <f>'Q100a-geral'!MEQ887</f>
        <v>0</v>
      </c>
      <c r="MER364" s="373">
        <f>'Q100a-geral'!MER887</f>
        <v>0</v>
      </c>
      <c r="MES364" s="373">
        <f>'Q100a-geral'!MES887</f>
        <v>0</v>
      </c>
      <c r="MET364" s="373">
        <f>'Q100a-geral'!MET887</f>
        <v>0</v>
      </c>
      <c r="MEU364" s="373">
        <f>'Q100a-geral'!MEU887</f>
        <v>0</v>
      </c>
      <c r="MEV364" s="373">
        <f>'Q100a-geral'!MEV887</f>
        <v>0</v>
      </c>
      <c r="MEW364" s="373">
        <f>'Q100a-geral'!MEW887</f>
        <v>0</v>
      </c>
      <c r="MEX364" s="373">
        <f>'Q100a-geral'!MEX887</f>
        <v>0</v>
      </c>
      <c r="MEY364" s="373">
        <f>'Q100a-geral'!MEY887</f>
        <v>0</v>
      </c>
      <c r="MEZ364" s="373">
        <f>'Q100a-geral'!MEZ887</f>
        <v>0</v>
      </c>
      <c r="MFA364" s="373">
        <f>'Q100a-geral'!MFA887</f>
        <v>0</v>
      </c>
      <c r="MFB364" s="373">
        <f>'Q100a-geral'!MFB887</f>
        <v>0</v>
      </c>
      <c r="MFC364" s="373">
        <f>'Q100a-geral'!MFC887</f>
        <v>0</v>
      </c>
      <c r="MFD364" s="373">
        <f>'Q100a-geral'!MFD887</f>
        <v>0</v>
      </c>
      <c r="MFE364" s="373">
        <f>'Q100a-geral'!MFE887</f>
        <v>0</v>
      </c>
      <c r="MFF364" s="373">
        <f>'Q100a-geral'!MFF887</f>
        <v>0</v>
      </c>
      <c r="MFG364" s="373">
        <f>'Q100a-geral'!MFG887</f>
        <v>0</v>
      </c>
      <c r="MFH364" s="373">
        <f>'Q100a-geral'!MFH887</f>
        <v>0</v>
      </c>
      <c r="MFI364" s="373">
        <f>'Q100a-geral'!MFI887</f>
        <v>0</v>
      </c>
      <c r="MFJ364" s="373">
        <f>'Q100a-geral'!MFJ887</f>
        <v>0</v>
      </c>
      <c r="MFK364" s="373">
        <f>'Q100a-geral'!MFK887</f>
        <v>0</v>
      </c>
      <c r="MFL364" s="373">
        <f>'Q100a-geral'!MFL887</f>
        <v>0</v>
      </c>
      <c r="MFM364" s="373">
        <f>'Q100a-geral'!MFM887</f>
        <v>0</v>
      </c>
      <c r="MFN364" s="373">
        <f>'Q100a-geral'!MFN887</f>
        <v>0</v>
      </c>
      <c r="MFO364" s="373">
        <f>'Q100a-geral'!MFO887</f>
        <v>0</v>
      </c>
      <c r="MFP364" s="373">
        <f>'Q100a-geral'!MFP887</f>
        <v>0</v>
      </c>
      <c r="MFQ364" s="373">
        <f>'Q100a-geral'!MFQ887</f>
        <v>0</v>
      </c>
      <c r="MFR364" s="373">
        <f>'Q100a-geral'!MFR887</f>
        <v>0</v>
      </c>
      <c r="MFS364" s="373">
        <f>'Q100a-geral'!MFS887</f>
        <v>0</v>
      </c>
      <c r="MFT364" s="373">
        <f>'Q100a-geral'!MFT887</f>
        <v>0</v>
      </c>
      <c r="MFU364" s="373">
        <f>'Q100a-geral'!MFU887</f>
        <v>0</v>
      </c>
      <c r="MFV364" s="373">
        <f>'Q100a-geral'!MFV887</f>
        <v>0</v>
      </c>
      <c r="MFW364" s="373">
        <f>'Q100a-geral'!MFW887</f>
        <v>0</v>
      </c>
      <c r="MFX364" s="373">
        <f>'Q100a-geral'!MFX887</f>
        <v>0</v>
      </c>
      <c r="MFY364" s="373">
        <f>'Q100a-geral'!MFY887</f>
        <v>0</v>
      </c>
      <c r="MFZ364" s="373">
        <f>'Q100a-geral'!MFZ887</f>
        <v>0</v>
      </c>
      <c r="MGA364" s="373">
        <f>'Q100a-geral'!MGA887</f>
        <v>0</v>
      </c>
      <c r="MGB364" s="373">
        <f>'Q100a-geral'!MGB887</f>
        <v>0</v>
      </c>
      <c r="MGC364" s="373">
        <f>'Q100a-geral'!MGC887</f>
        <v>0</v>
      </c>
      <c r="MGD364" s="373">
        <f>'Q100a-geral'!MGD887</f>
        <v>0</v>
      </c>
      <c r="MGE364" s="373">
        <f>'Q100a-geral'!MGE887</f>
        <v>0</v>
      </c>
      <c r="MGF364" s="373">
        <f>'Q100a-geral'!MGF887</f>
        <v>0</v>
      </c>
      <c r="MGG364" s="373">
        <f>'Q100a-geral'!MGG887</f>
        <v>0</v>
      </c>
      <c r="MGH364" s="373">
        <f>'Q100a-geral'!MGH887</f>
        <v>0</v>
      </c>
      <c r="MGI364" s="373">
        <f>'Q100a-geral'!MGI887</f>
        <v>0</v>
      </c>
      <c r="MGJ364" s="373">
        <f>'Q100a-geral'!MGJ887</f>
        <v>0</v>
      </c>
      <c r="MGK364" s="373">
        <f>'Q100a-geral'!MGK887</f>
        <v>0</v>
      </c>
      <c r="MGL364" s="373">
        <f>'Q100a-geral'!MGL887</f>
        <v>0</v>
      </c>
      <c r="MGM364" s="373">
        <f>'Q100a-geral'!MGM887</f>
        <v>0</v>
      </c>
      <c r="MGN364" s="373">
        <f>'Q100a-geral'!MGN887</f>
        <v>0</v>
      </c>
      <c r="MGO364" s="373">
        <f>'Q100a-geral'!MGO887</f>
        <v>0</v>
      </c>
      <c r="MGP364" s="373">
        <f>'Q100a-geral'!MGP887</f>
        <v>0</v>
      </c>
      <c r="MGQ364" s="373">
        <f>'Q100a-geral'!MGQ887</f>
        <v>0</v>
      </c>
      <c r="MGR364" s="373">
        <f>'Q100a-geral'!MGR887</f>
        <v>0</v>
      </c>
      <c r="MGS364" s="373">
        <f>'Q100a-geral'!MGS887</f>
        <v>0</v>
      </c>
      <c r="MGT364" s="373">
        <f>'Q100a-geral'!MGT887</f>
        <v>0</v>
      </c>
      <c r="MGU364" s="373">
        <f>'Q100a-geral'!MGU887</f>
        <v>0</v>
      </c>
      <c r="MGV364" s="373">
        <f>'Q100a-geral'!MGV887</f>
        <v>0</v>
      </c>
      <c r="MGW364" s="373">
        <f>'Q100a-geral'!MGW887</f>
        <v>0</v>
      </c>
      <c r="MGX364" s="373">
        <f>'Q100a-geral'!MGX887</f>
        <v>0</v>
      </c>
      <c r="MGY364" s="373">
        <f>'Q100a-geral'!MGY887</f>
        <v>0</v>
      </c>
      <c r="MGZ364" s="373">
        <f>'Q100a-geral'!MGZ887</f>
        <v>0</v>
      </c>
      <c r="MHA364" s="373">
        <f>'Q100a-geral'!MHA887</f>
        <v>0</v>
      </c>
      <c r="MHB364" s="373">
        <f>'Q100a-geral'!MHB887</f>
        <v>0</v>
      </c>
      <c r="MHC364" s="373">
        <f>'Q100a-geral'!MHC887</f>
        <v>0</v>
      </c>
      <c r="MHD364" s="373">
        <f>'Q100a-geral'!MHD887</f>
        <v>0</v>
      </c>
      <c r="MHE364" s="373">
        <f>'Q100a-geral'!MHE887</f>
        <v>0</v>
      </c>
      <c r="MHF364" s="373">
        <f>'Q100a-geral'!MHF887</f>
        <v>0</v>
      </c>
      <c r="MHG364" s="373">
        <f>'Q100a-geral'!MHG887</f>
        <v>0</v>
      </c>
      <c r="MHH364" s="373">
        <f>'Q100a-geral'!MHH887</f>
        <v>0</v>
      </c>
      <c r="MHI364" s="373">
        <f>'Q100a-geral'!MHI887</f>
        <v>0</v>
      </c>
      <c r="MHJ364" s="373">
        <f>'Q100a-geral'!MHJ887</f>
        <v>0</v>
      </c>
      <c r="MHK364" s="373">
        <f>'Q100a-geral'!MHK887</f>
        <v>0</v>
      </c>
      <c r="MHL364" s="373">
        <f>'Q100a-geral'!MHL887</f>
        <v>0</v>
      </c>
      <c r="MHM364" s="373">
        <f>'Q100a-geral'!MHM887</f>
        <v>0</v>
      </c>
      <c r="MHN364" s="373">
        <f>'Q100a-geral'!MHN887</f>
        <v>0</v>
      </c>
      <c r="MHO364" s="373">
        <f>'Q100a-geral'!MHO887</f>
        <v>0</v>
      </c>
      <c r="MHP364" s="373">
        <f>'Q100a-geral'!MHP887</f>
        <v>0</v>
      </c>
      <c r="MHQ364" s="373">
        <f>'Q100a-geral'!MHQ887</f>
        <v>0</v>
      </c>
      <c r="MHR364" s="373">
        <f>'Q100a-geral'!MHR887</f>
        <v>0</v>
      </c>
      <c r="MHS364" s="373">
        <f>'Q100a-geral'!MHS887</f>
        <v>0</v>
      </c>
      <c r="MHT364" s="373">
        <f>'Q100a-geral'!MHT887</f>
        <v>0</v>
      </c>
      <c r="MHU364" s="373">
        <f>'Q100a-geral'!MHU887</f>
        <v>0</v>
      </c>
      <c r="MHV364" s="373">
        <f>'Q100a-geral'!MHV887</f>
        <v>0</v>
      </c>
      <c r="MHW364" s="373">
        <f>'Q100a-geral'!MHW887</f>
        <v>0</v>
      </c>
      <c r="MHX364" s="373">
        <f>'Q100a-geral'!MHX887</f>
        <v>0</v>
      </c>
      <c r="MHY364" s="373">
        <f>'Q100a-geral'!MHY887</f>
        <v>0</v>
      </c>
      <c r="MHZ364" s="373">
        <f>'Q100a-geral'!MHZ887</f>
        <v>0</v>
      </c>
      <c r="MIA364" s="373">
        <f>'Q100a-geral'!MIA887</f>
        <v>0</v>
      </c>
      <c r="MIB364" s="373">
        <f>'Q100a-geral'!MIB887</f>
        <v>0</v>
      </c>
      <c r="MIC364" s="373">
        <f>'Q100a-geral'!MIC887</f>
        <v>0</v>
      </c>
      <c r="MID364" s="373">
        <f>'Q100a-geral'!MID887</f>
        <v>0</v>
      </c>
      <c r="MIE364" s="373">
        <f>'Q100a-geral'!MIE887</f>
        <v>0</v>
      </c>
      <c r="MIF364" s="373">
        <f>'Q100a-geral'!MIF887</f>
        <v>0</v>
      </c>
      <c r="MIG364" s="373">
        <f>'Q100a-geral'!MIG887</f>
        <v>0</v>
      </c>
      <c r="MIH364" s="373">
        <f>'Q100a-geral'!MIH887</f>
        <v>0</v>
      </c>
      <c r="MII364" s="373">
        <f>'Q100a-geral'!MII887</f>
        <v>0</v>
      </c>
      <c r="MIJ364" s="373">
        <f>'Q100a-geral'!MIJ887</f>
        <v>0</v>
      </c>
      <c r="MIK364" s="373">
        <f>'Q100a-geral'!MIK887</f>
        <v>0</v>
      </c>
      <c r="MIL364" s="373">
        <f>'Q100a-geral'!MIL887</f>
        <v>0</v>
      </c>
      <c r="MIM364" s="373">
        <f>'Q100a-geral'!MIM887</f>
        <v>0</v>
      </c>
      <c r="MIN364" s="373">
        <f>'Q100a-geral'!MIN887</f>
        <v>0</v>
      </c>
      <c r="MIO364" s="373">
        <f>'Q100a-geral'!MIO887</f>
        <v>0</v>
      </c>
      <c r="MIP364" s="373">
        <f>'Q100a-geral'!MIP887</f>
        <v>0</v>
      </c>
      <c r="MIQ364" s="373">
        <f>'Q100a-geral'!MIQ887</f>
        <v>0</v>
      </c>
      <c r="MIR364" s="373">
        <f>'Q100a-geral'!MIR887</f>
        <v>0</v>
      </c>
      <c r="MIS364" s="373">
        <f>'Q100a-geral'!MIS887</f>
        <v>0</v>
      </c>
      <c r="MIT364" s="373">
        <f>'Q100a-geral'!MIT887</f>
        <v>0</v>
      </c>
      <c r="MIU364" s="373">
        <f>'Q100a-geral'!MIU887</f>
        <v>0</v>
      </c>
      <c r="MIV364" s="373">
        <f>'Q100a-geral'!MIV887</f>
        <v>0</v>
      </c>
      <c r="MIW364" s="373">
        <f>'Q100a-geral'!MIW887</f>
        <v>0</v>
      </c>
      <c r="MIX364" s="373">
        <f>'Q100a-geral'!MIX887</f>
        <v>0</v>
      </c>
      <c r="MIY364" s="373">
        <f>'Q100a-geral'!MIY887</f>
        <v>0</v>
      </c>
      <c r="MIZ364" s="373">
        <f>'Q100a-geral'!MIZ887</f>
        <v>0</v>
      </c>
      <c r="MJA364" s="373">
        <f>'Q100a-geral'!MJA887</f>
        <v>0</v>
      </c>
      <c r="MJB364" s="373">
        <f>'Q100a-geral'!MJB887</f>
        <v>0</v>
      </c>
      <c r="MJC364" s="373">
        <f>'Q100a-geral'!MJC887</f>
        <v>0</v>
      </c>
      <c r="MJD364" s="373">
        <f>'Q100a-geral'!MJD887</f>
        <v>0</v>
      </c>
      <c r="MJE364" s="373">
        <f>'Q100a-geral'!MJE887</f>
        <v>0</v>
      </c>
      <c r="MJF364" s="373">
        <f>'Q100a-geral'!MJF887</f>
        <v>0</v>
      </c>
      <c r="MJG364" s="373">
        <f>'Q100a-geral'!MJG887</f>
        <v>0</v>
      </c>
      <c r="MJH364" s="373">
        <f>'Q100a-geral'!MJH887</f>
        <v>0</v>
      </c>
      <c r="MJI364" s="373">
        <f>'Q100a-geral'!MJI887</f>
        <v>0</v>
      </c>
      <c r="MJJ364" s="373">
        <f>'Q100a-geral'!MJJ887</f>
        <v>0</v>
      </c>
      <c r="MJK364" s="373">
        <f>'Q100a-geral'!MJK887</f>
        <v>0</v>
      </c>
      <c r="MJL364" s="373">
        <f>'Q100a-geral'!MJL887</f>
        <v>0</v>
      </c>
      <c r="MJM364" s="373">
        <f>'Q100a-geral'!MJM887</f>
        <v>0</v>
      </c>
      <c r="MJN364" s="373">
        <f>'Q100a-geral'!MJN887</f>
        <v>0</v>
      </c>
      <c r="MJO364" s="373">
        <f>'Q100a-geral'!MJO887</f>
        <v>0</v>
      </c>
      <c r="MJP364" s="373">
        <f>'Q100a-geral'!MJP887</f>
        <v>0</v>
      </c>
      <c r="MJQ364" s="373">
        <f>'Q100a-geral'!MJQ887</f>
        <v>0</v>
      </c>
      <c r="MJR364" s="373">
        <f>'Q100a-geral'!MJR887</f>
        <v>0</v>
      </c>
      <c r="MJS364" s="373">
        <f>'Q100a-geral'!MJS887</f>
        <v>0</v>
      </c>
      <c r="MJT364" s="373">
        <f>'Q100a-geral'!MJT887</f>
        <v>0</v>
      </c>
      <c r="MJU364" s="373">
        <f>'Q100a-geral'!MJU887</f>
        <v>0</v>
      </c>
      <c r="MJV364" s="373">
        <f>'Q100a-geral'!MJV887</f>
        <v>0</v>
      </c>
      <c r="MJW364" s="373">
        <f>'Q100a-geral'!MJW887</f>
        <v>0</v>
      </c>
      <c r="MJX364" s="373">
        <f>'Q100a-geral'!MJX887</f>
        <v>0</v>
      </c>
      <c r="MJY364" s="373">
        <f>'Q100a-geral'!MJY887</f>
        <v>0</v>
      </c>
      <c r="MJZ364" s="373">
        <f>'Q100a-geral'!MJZ887</f>
        <v>0</v>
      </c>
      <c r="MKA364" s="373">
        <f>'Q100a-geral'!MKA887</f>
        <v>0</v>
      </c>
      <c r="MKB364" s="373">
        <f>'Q100a-geral'!MKB887</f>
        <v>0</v>
      </c>
      <c r="MKC364" s="373">
        <f>'Q100a-geral'!MKC887</f>
        <v>0</v>
      </c>
      <c r="MKD364" s="373">
        <f>'Q100a-geral'!MKD887</f>
        <v>0</v>
      </c>
      <c r="MKE364" s="373">
        <f>'Q100a-geral'!MKE887</f>
        <v>0</v>
      </c>
      <c r="MKF364" s="373">
        <f>'Q100a-geral'!MKF887</f>
        <v>0</v>
      </c>
      <c r="MKG364" s="373">
        <f>'Q100a-geral'!MKG887</f>
        <v>0</v>
      </c>
      <c r="MKH364" s="373">
        <f>'Q100a-geral'!MKH887</f>
        <v>0</v>
      </c>
      <c r="MKI364" s="373">
        <f>'Q100a-geral'!MKI887</f>
        <v>0</v>
      </c>
      <c r="MKJ364" s="373">
        <f>'Q100a-geral'!MKJ887</f>
        <v>0</v>
      </c>
      <c r="MKK364" s="373">
        <f>'Q100a-geral'!MKK887</f>
        <v>0</v>
      </c>
      <c r="MKL364" s="373">
        <f>'Q100a-geral'!MKL887</f>
        <v>0</v>
      </c>
      <c r="MKM364" s="373">
        <f>'Q100a-geral'!MKM887</f>
        <v>0</v>
      </c>
      <c r="MKN364" s="373">
        <f>'Q100a-geral'!MKN887</f>
        <v>0</v>
      </c>
      <c r="MKO364" s="373">
        <f>'Q100a-geral'!MKO887</f>
        <v>0</v>
      </c>
      <c r="MKP364" s="373">
        <f>'Q100a-geral'!MKP887</f>
        <v>0</v>
      </c>
      <c r="MKQ364" s="373">
        <f>'Q100a-geral'!MKQ887</f>
        <v>0</v>
      </c>
      <c r="MKR364" s="373">
        <f>'Q100a-geral'!MKR887</f>
        <v>0</v>
      </c>
      <c r="MKS364" s="373">
        <f>'Q100a-geral'!MKS887</f>
        <v>0</v>
      </c>
      <c r="MKT364" s="373">
        <f>'Q100a-geral'!MKT887</f>
        <v>0</v>
      </c>
      <c r="MKU364" s="373">
        <f>'Q100a-geral'!MKU887</f>
        <v>0</v>
      </c>
      <c r="MKV364" s="373">
        <f>'Q100a-geral'!MKV887</f>
        <v>0</v>
      </c>
      <c r="MKW364" s="373">
        <f>'Q100a-geral'!MKW887</f>
        <v>0</v>
      </c>
      <c r="MKX364" s="373">
        <f>'Q100a-geral'!MKX887</f>
        <v>0</v>
      </c>
      <c r="MKY364" s="373">
        <f>'Q100a-geral'!MKY887</f>
        <v>0</v>
      </c>
      <c r="MKZ364" s="373">
        <f>'Q100a-geral'!MKZ887</f>
        <v>0</v>
      </c>
      <c r="MLA364" s="373">
        <f>'Q100a-geral'!MLA887</f>
        <v>0</v>
      </c>
      <c r="MLB364" s="373">
        <f>'Q100a-geral'!MLB887</f>
        <v>0</v>
      </c>
      <c r="MLC364" s="373">
        <f>'Q100a-geral'!MLC887</f>
        <v>0</v>
      </c>
      <c r="MLD364" s="373">
        <f>'Q100a-geral'!MLD887</f>
        <v>0</v>
      </c>
      <c r="MLE364" s="373">
        <f>'Q100a-geral'!MLE887</f>
        <v>0</v>
      </c>
      <c r="MLF364" s="373">
        <f>'Q100a-geral'!MLF887</f>
        <v>0</v>
      </c>
      <c r="MLG364" s="373">
        <f>'Q100a-geral'!MLG887</f>
        <v>0</v>
      </c>
      <c r="MLH364" s="373">
        <f>'Q100a-geral'!MLH887</f>
        <v>0</v>
      </c>
      <c r="MLI364" s="373">
        <f>'Q100a-geral'!MLI887</f>
        <v>0</v>
      </c>
      <c r="MLJ364" s="373">
        <f>'Q100a-geral'!MLJ887</f>
        <v>0</v>
      </c>
      <c r="MLK364" s="373">
        <f>'Q100a-geral'!MLK887</f>
        <v>0</v>
      </c>
      <c r="MLL364" s="373">
        <f>'Q100a-geral'!MLL887</f>
        <v>0</v>
      </c>
      <c r="MLM364" s="373">
        <f>'Q100a-geral'!MLM887</f>
        <v>0</v>
      </c>
      <c r="MLN364" s="373">
        <f>'Q100a-geral'!MLN887</f>
        <v>0</v>
      </c>
      <c r="MLO364" s="373">
        <f>'Q100a-geral'!MLO887</f>
        <v>0</v>
      </c>
      <c r="MLP364" s="373">
        <f>'Q100a-geral'!MLP887</f>
        <v>0</v>
      </c>
      <c r="MLQ364" s="373">
        <f>'Q100a-geral'!MLQ887</f>
        <v>0</v>
      </c>
      <c r="MLR364" s="373">
        <f>'Q100a-geral'!MLR887</f>
        <v>0</v>
      </c>
      <c r="MLS364" s="373">
        <f>'Q100a-geral'!MLS887</f>
        <v>0</v>
      </c>
      <c r="MLT364" s="373">
        <f>'Q100a-geral'!MLT887</f>
        <v>0</v>
      </c>
      <c r="MLU364" s="373">
        <f>'Q100a-geral'!MLU887</f>
        <v>0</v>
      </c>
      <c r="MLV364" s="373">
        <f>'Q100a-geral'!MLV887</f>
        <v>0</v>
      </c>
      <c r="MLW364" s="373">
        <f>'Q100a-geral'!MLW887</f>
        <v>0</v>
      </c>
      <c r="MLX364" s="373">
        <f>'Q100a-geral'!MLX887</f>
        <v>0</v>
      </c>
      <c r="MLY364" s="373">
        <f>'Q100a-geral'!MLY887</f>
        <v>0</v>
      </c>
      <c r="MLZ364" s="373">
        <f>'Q100a-geral'!MLZ887</f>
        <v>0</v>
      </c>
      <c r="MMA364" s="373">
        <f>'Q100a-geral'!MMA887</f>
        <v>0</v>
      </c>
      <c r="MMB364" s="373">
        <f>'Q100a-geral'!MMB887</f>
        <v>0</v>
      </c>
      <c r="MMC364" s="373">
        <f>'Q100a-geral'!MMC887</f>
        <v>0</v>
      </c>
      <c r="MMD364" s="373">
        <f>'Q100a-geral'!MMD887</f>
        <v>0</v>
      </c>
      <c r="MME364" s="373">
        <f>'Q100a-geral'!MME887</f>
        <v>0</v>
      </c>
      <c r="MMF364" s="373">
        <f>'Q100a-geral'!MMF887</f>
        <v>0</v>
      </c>
      <c r="MMG364" s="373">
        <f>'Q100a-geral'!MMG887</f>
        <v>0</v>
      </c>
      <c r="MMH364" s="373">
        <f>'Q100a-geral'!MMH887</f>
        <v>0</v>
      </c>
      <c r="MMI364" s="373">
        <f>'Q100a-geral'!MMI887</f>
        <v>0</v>
      </c>
      <c r="MMJ364" s="373">
        <f>'Q100a-geral'!MMJ887</f>
        <v>0</v>
      </c>
      <c r="MMK364" s="373">
        <f>'Q100a-geral'!MMK887</f>
        <v>0</v>
      </c>
      <c r="MML364" s="373">
        <f>'Q100a-geral'!MML887</f>
        <v>0</v>
      </c>
      <c r="MMM364" s="373">
        <f>'Q100a-geral'!MMM887</f>
        <v>0</v>
      </c>
      <c r="MMN364" s="373">
        <f>'Q100a-geral'!MMN887</f>
        <v>0</v>
      </c>
      <c r="MMO364" s="373">
        <f>'Q100a-geral'!MMO887</f>
        <v>0</v>
      </c>
      <c r="MMP364" s="373">
        <f>'Q100a-geral'!MMP887</f>
        <v>0</v>
      </c>
      <c r="MMQ364" s="373">
        <f>'Q100a-geral'!MMQ887</f>
        <v>0</v>
      </c>
      <c r="MMR364" s="373">
        <f>'Q100a-geral'!MMR887</f>
        <v>0</v>
      </c>
      <c r="MMS364" s="373">
        <f>'Q100a-geral'!MMS887</f>
        <v>0</v>
      </c>
      <c r="MMT364" s="373">
        <f>'Q100a-geral'!MMT887</f>
        <v>0</v>
      </c>
      <c r="MMU364" s="373">
        <f>'Q100a-geral'!MMU887</f>
        <v>0</v>
      </c>
      <c r="MMV364" s="373">
        <f>'Q100a-geral'!MMV887</f>
        <v>0</v>
      </c>
      <c r="MMW364" s="373">
        <f>'Q100a-geral'!MMW887</f>
        <v>0</v>
      </c>
      <c r="MMX364" s="373">
        <f>'Q100a-geral'!MMX887</f>
        <v>0</v>
      </c>
      <c r="MMY364" s="373">
        <f>'Q100a-geral'!MMY887</f>
        <v>0</v>
      </c>
      <c r="MMZ364" s="373">
        <f>'Q100a-geral'!MMZ887</f>
        <v>0</v>
      </c>
      <c r="MNA364" s="373">
        <f>'Q100a-geral'!MNA887</f>
        <v>0</v>
      </c>
      <c r="MNB364" s="373">
        <f>'Q100a-geral'!MNB887</f>
        <v>0</v>
      </c>
      <c r="MNC364" s="373">
        <f>'Q100a-geral'!MNC887</f>
        <v>0</v>
      </c>
      <c r="MND364" s="373">
        <f>'Q100a-geral'!MND887</f>
        <v>0</v>
      </c>
      <c r="MNE364" s="373">
        <f>'Q100a-geral'!MNE887</f>
        <v>0</v>
      </c>
      <c r="MNF364" s="373">
        <f>'Q100a-geral'!MNF887</f>
        <v>0</v>
      </c>
      <c r="MNG364" s="373">
        <f>'Q100a-geral'!MNG887</f>
        <v>0</v>
      </c>
      <c r="MNH364" s="373">
        <f>'Q100a-geral'!MNH887</f>
        <v>0</v>
      </c>
      <c r="MNI364" s="373">
        <f>'Q100a-geral'!MNI887</f>
        <v>0</v>
      </c>
      <c r="MNJ364" s="373">
        <f>'Q100a-geral'!MNJ887</f>
        <v>0</v>
      </c>
      <c r="MNK364" s="373">
        <f>'Q100a-geral'!MNK887</f>
        <v>0</v>
      </c>
      <c r="MNL364" s="373">
        <f>'Q100a-geral'!MNL887</f>
        <v>0</v>
      </c>
      <c r="MNM364" s="373">
        <f>'Q100a-geral'!MNM887</f>
        <v>0</v>
      </c>
      <c r="MNN364" s="373">
        <f>'Q100a-geral'!MNN887</f>
        <v>0</v>
      </c>
      <c r="MNO364" s="373">
        <f>'Q100a-geral'!MNO887</f>
        <v>0</v>
      </c>
      <c r="MNP364" s="373">
        <f>'Q100a-geral'!MNP887</f>
        <v>0</v>
      </c>
      <c r="MNQ364" s="373">
        <f>'Q100a-geral'!MNQ887</f>
        <v>0</v>
      </c>
      <c r="MNR364" s="373">
        <f>'Q100a-geral'!MNR887</f>
        <v>0</v>
      </c>
      <c r="MNS364" s="373">
        <f>'Q100a-geral'!MNS887</f>
        <v>0</v>
      </c>
      <c r="MNT364" s="373">
        <f>'Q100a-geral'!MNT887</f>
        <v>0</v>
      </c>
      <c r="MNU364" s="373">
        <f>'Q100a-geral'!MNU887</f>
        <v>0</v>
      </c>
      <c r="MNV364" s="373">
        <f>'Q100a-geral'!MNV887</f>
        <v>0</v>
      </c>
      <c r="MNW364" s="373">
        <f>'Q100a-geral'!MNW887</f>
        <v>0</v>
      </c>
      <c r="MNX364" s="373">
        <f>'Q100a-geral'!MNX887</f>
        <v>0</v>
      </c>
      <c r="MNY364" s="373">
        <f>'Q100a-geral'!MNY887</f>
        <v>0</v>
      </c>
      <c r="MNZ364" s="373">
        <f>'Q100a-geral'!MNZ887</f>
        <v>0</v>
      </c>
      <c r="MOA364" s="373">
        <f>'Q100a-geral'!MOA887</f>
        <v>0</v>
      </c>
      <c r="MOB364" s="373">
        <f>'Q100a-geral'!MOB887</f>
        <v>0</v>
      </c>
      <c r="MOC364" s="373">
        <f>'Q100a-geral'!MOC887</f>
        <v>0</v>
      </c>
      <c r="MOD364" s="373">
        <f>'Q100a-geral'!MOD887</f>
        <v>0</v>
      </c>
      <c r="MOE364" s="373">
        <f>'Q100a-geral'!MOE887</f>
        <v>0</v>
      </c>
      <c r="MOF364" s="373">
        <f>'Q100a-geral'!MOF887</f>
        <v>0</v>
      </c>
      <c r="MOG364" s="373">
        <f>'Q100a-geral'!MOG887</f>
        <v>0</v>
      </c>
      <c r="MOH364" s="373">
        <f>'Q100a-geral'!MOH887</f>
        <v>0</v>
      </c>
      <c r="MOI364" s="373">
        <f>'Q100a-geral'!MOI887</f>
        <v>0</v>
      </c>
      <c r="MOJ364" s="373">
        <f>'Q100a-geral'!MOJ887</f>
        <v>0</v>
      </c>
      <c r="MOK364" s="373">
        <f>'Q100a-geral'!MOK887</f>
        <v>0</v>
      </c>
      <c r="MOL364" s="373">
        <f>'Q100a-geral'!MOL887</f>
        <v>0</v>
      </c>
      <c r="MOM364" s="373">
        <f>'Q100a-geral'!MOM887</f>
        <v>0</v>
      </c>
      <c r="MON364" s="373">
        <f>'Q100a-geral'!MON887</f>
        <v>0</v>
      </c>
      <c r="MOO364" s="373">
        <f>'Q100a-geral'!MOO887</f>
        <v>0</v>
      </c>
      <c r="MOP364" s="373">
        <f>'Q100a-geral'!MOP887</f>
        <v>0</v>
      </c>
      <c r="MOQ364" s="373">
        <f>'Q100a-geral'!MOQ887</f>
        <v>0</v>
      </c>
      <c r="MOR364" s="373">
        <f>'Q100a-geral'!MOR887</f>
        <v>0</v>
      </c>
      <c r="MOS364" s="373">
        <f>'Q100a-geral'!MOS887</f>
        <v>0</v>
      </c>
      <c r="MOT364" s="373">
        <f>'Q100a-geral'!MOT887</f>
        <v>0</v>
      </c>
      <c r="MOU364" s="373">
        <f>'Q100a-geral'!MOU887</f>
        <v>0</v>
      </c>
      <c r="MOV364" s="373">
        <f>'Q100a-geral'!MOV887</f>
        <v>0</v>
      </c>
      <c r="MOW364" s="373">
        <f>'Q100a-geral'!MOW887</f>
        <v>0</v>
      </c>
      <c r="MOX364" s="373">
        <f>'Q100a-geral'!MOX887</f>
        <v>0</v>
      </c>
      <c r="MOY364" s="373">
        <f>'Q100a-geral'!MOY887</f>
        <v>0</v>
      </c>
      <c r="MOZ364" s="373">
        <f>'Q100a-geral'!MOZ887</f>
        <v>0</v>
      </c>
      <c r="MPA364" s="373">
        <f>'Q100a-geral'!MPA887</f>
        <v>0</v>
      </c>
      <c r="MPB364" s="373">
        <f>'Q100a-geral'!MPB887</f>
        <v>0</v>
      </c>
      <c r="MPC364" s="373">
        <f>'Q100a-geral'!MPC887</f>
        <v>0</v>
      </c>
      <c r="MPD364" s="373">
        <f>'Q100a-geral'!MPD887</f>
        <v>0</v>
      </c>
      <c r="MPE364" s="373">
        <f>'Q100a-geral'!MPE887</f>
        <v>0</v>
      </c>
      <c r="MPF364" s="373">
        <f>'Q100a-geral'!MPF887</f>
        <v>0</v>
      </c>
      <c r="MPG364" s="373">
        <f>'Q100a-geral'!MPG887</f>
        <v>0</v>
      </c>
      <c r="MPH364" s="373">
        <f>'Q100a-geral'!MPH887</f>
        <v>0</v>
      </c>
      <c r="MPI364" s="373">
        <f>'Q100a-geral'!MPI887</f>
        <v>0</v>
      </c>
      <c r="MPJ364" s="373">
        <f>'Q100a-geral'!MPJ887</f>
        <v>0</v>
      </c>
      <c r="MPK364" s="373">
        <f>'Q100a-geral'!MPK887</f>
        <v>0</v>
      </c>
      <c r="MPL364" s="373">
        <f>'Q100a-geral'!MPL887</f>
        <v>0</v>
      </c>
      <c r="MPM364" s="373">
        <f>'Q100a-geral'!MPM887</f>
        <v>0</v>
      </c>
      <c r="MPN364" s="373">
        <f>'Q100a-geral'!MPN887</f>
        <v>0</v>
      </c>
      <c r="MPO364" s="373">
        <f>'Q100a-geral'!MPO887</f>
        <v>0</v>
      </c>
      <c r="MPP364" s="373">
        <f>'Q100a-geral'!MPP887</f>
        <v>0</v>
      </c>
      <c r="MPQ364" s="373">
        <f>'Q100a-geral'!MPQ887</f>
        <v>0</v>
      </c>
      <c r="MPR364" s="373">
        <f>'Q100a-geral'!MPR887</f>
        <v>0</v>
      </c>
      <c r="MPS364" s="373">
        <f>'Q100a-geral'!MPS887</f>
        <v>0</v>
      </c>
      <c r="MPT364" s="373">
        <f>'Q100a-geral'!MPT887</f>
        <v>0</v>
      </c>
      <c r="MPU364" s="373">
        <f>'Q100a-geral'!MPU887</f>
        <v>0</v>
      </c>
      <c r="MPV364" s="373">
        <f>'Q100a-geral'!MPV887</f>
        <v>0</v>
      </c>
      <c r="MPW364" s="373">
        <f>'Q100a-geral'!MPW887</f>
        <v>0</v>
      </c>
      <c r="MPX364" s="373">
        <f>'Q100a-geral'!MPX887</f>
        <v>0</v>
      </c>
      <c r="MPY364" s="373">
        <f>'Q100a-geral'!MPY887</f>
        <v>0</v>
      </c>
      <c r="MPZ364" s="373">
        <f>'Q100a-geral'!MPZ887</f>
        <v>0</v>
      </c>
      <c r="MQA364" s="373">
        <f>'Q100a-geral'!MQA887</f>
        <v>0</v>
      </c>
      <c r="MQB364" s="373">
        <f>'Q100a-geral'!MQB887</f>
        <v>0</v>
      </c>
      <c r="MQC364" s="373">
        <f>'Q100a-geral'!MQC887</f>
        <v>0</v>
      </c>
      <c r="MQD364" s="373">
        <f>'Q100a-geral'!MQD887</f>
        <v>0</v>
      </c>
      <c r="MQE364" s="373">
        <f>'Q100a-geral'!MQE887</f>
        <v>0</v>
      </c>
      <c r="MQF364" s="373">
        <f>'Q100a-geral'!MQF887</f>
        <v>0</v>
      </c>
      <c r="MQG364" s="373">
        <f>'Q100a-geral'!MQG887</f>
        <v>0</v>
      </c>
      <c r="MQH364" s="373">
        <f>'Q100a-geral'!MQH887</f>
        <v>0</v>
      </c>
      <c r="MQI364" s="373">
        <f>'Q100a-geral'!MQI887</f>
        <v>0</v>
      </c>
      <c r="MQJ364" s="373">
        <f>'Q100a-geral'!MQJ887</f>
        <v>0</v>
      </c>
      <c r="MQK364" s="373">
        <f>'Q100a-geral'!MQK887</f>
        <v>0</v>
      </c>
      <c r="MQL364" s="373">
        <f>'Q100a-geral'!MQL887</f>
        <v>0</v>
      </c>
      <c r="MQM364" s="373">
        <f>'Q100a-geral'!MQM887</f>
        <v>0</v>
      </c>
      <c r="MQN364" s="373">
        <f>'Q100a-geral'!MQN887</f>
        <v>0</v>
      </c>
      <c r="MQO364" s="373">
        <f>'Q100a-geral'!MQO887</f>
        <v>0</v>
      </c>
      <c r="MQP364" s="373">
        <f>'Q100a-geral'!MQP887</f>
        <v>0</v>
      </c>
      <c r="MQQ364" s="373">
        <f>'Q100a-geral'!MQQ887</f>
        <v>0</v>
      </c>
      <c r="MQR364" s="373">
        <f>'Q100a-geral'!MQR887</f>
        <v>0</v>
      </c>
      <c r="MQS364" s="373">
        <f>'Q100a-geral'!MQS887</f>
        <v>0</v>
      </c>
      <c r="MQT364" s="373">
        <f>'Q100a-geral'!MQT887</f>
        <v>0</v>
      </c>
      <c r="MQU364" s="373">
        <f>'Q100a-geral'!MQU887</f>
        <v>0</v>
      </c>
      <c r="MQV364" s="373">
        <f>'Q100a-geral'!MQV887</f>
        <v>0</v>
      </c>
      <c r="MQW364" s="373">
        <f>'Q100a-geral'!MQW887</f>
        <v>0</v>
      </c>
      <c r="MQX364" s="373">
        <f>'Q100a-geral'!MQX887</f>
        <v>0</v>
      </c>
      <c r="MQY364" s="373">
        <f>'Q100a-geral'!MQY887</f>
        <v>0</v>
      </c>
      <c r="MQZ364" s="373">
        <f>'Q100a-geral'!MQZ887</f>
        <v>0</v>
      </c>
      <c r="MRA364" s="373">
        <f>'Q100a-geral'!MRA887</f>
        <v>0</v>
      </c>
      <c r="MRB364" s="373">
        <f>'Q100a-geral'!MRB887</f>
        <v>0</v>
      </c>
      <c r="MRC364" s="373">
        <f>'Q100a-geral'!MRC887</f>
        <v>0</v>
      </c>
      <c r="MRD364" s="373">
        <f>'Q100a-geral'!MRD887</f>
        <v>0</v>
      </c>
      <c r="MRE364" s="373">
        <f>'Q100a-geral'!MRE887</f>
        <v>0</v>
      </c>
      <c r="MRF364" s="373">
        <f>'Q100a-geral'!MRF887</f>
        <v>0</v>
      </c>
      <c r="MRG364" s="373">
        <f>'Q100a-geral'!MRG887</f>
        <v>0</v>
      </c>
      <c r="MRH364" s="373">
        <f>'Q100a-geral'!MRH887</f>
        <v>0</v>
      </c>
      <c r="MRI364" s="373">
        <f>'Q100a-geral'!MRI887</f>
        <v>0</v>
      </c>
      <c r="MRJ364" s="373">
        <f>'Q100a-geral'!MRJ887</f>
        <v>0</v>
      </c>
      <c r="MRK364" s="373">
        <f>'Q100a-geral'!MRK887</f>
        <v>0</v>
      </c>
      <c r="MRL364" s="373">
        <f>'Q100a-geral'!MRL887</f>
        <v>0</v>
      </c>
      <c r="MRM364" s="373">
        <f>'Q100a-geral'!MRM887</f>
        <v>0</v>
      </c>
      <c r="MRN364" s="373">
        <f>'Q100a-geral'!MRN887</f>
        <v>0</v>
      </c>
      <c r="MRO364" s="373">
        <f>'Q100a-geral'!MRO887</f>
        <v>0</v>
      </c>
      <c r="MRP364" s="373">
        <f>'Q100a-geral'!MRP887</f>
        <v>0</v>
      </c>
      <c r="MRQ364" s="373">
        <f>'Q100a-geral'!MRQ887</f>
        <v>0</v>
      </c>
      <c r="MRR364" s="373">
        <f>'Q100a-geral'!MRR887</f>
        <v>0</v>
      </c>
      <c r="MRS364" s="373">
        <f>'Q100a-geral'!MRS887</f>
        <v>0</v>
      </c>
      <c r="MRT364" s="373">
        <f>'Q100a-geral'!MRT887</f>
        <v>0</v>
      </c>
      <c r="MRU364" s="373">
        <f>'Q100a-geral'!MRU887</f>
        <v>0</v>
      </c>
      <c r="MRV364" s="373">
        <f>'Q100a-geral'!MRV887</f>
        <v>0</v>
      </c>
      <c r="MRW364" s="373">
        <f>'Q100a-geral'!MRW887</f>
        <v>0</v>
      </c>
      <c r="MRX364" s="373">
        <f>'Q100a-geral'!MRX887</f>
        <v>0</v>
      </c>
      <c r="MRY364" s="373">
        <f>'Q100a-geral'!MRY887</f>
        <v>0</v>
      </c>
      <c r="MRZ364" s="373">
        <f>'Q100a-geral'!MRZ887</f>
        <v>0</v>
      </c>
      <c r="MSA364" s="373">
        <f>'Q100a-geral'!MSA887</f>
        <v>0</v>
      </c>
      <c r="MSB364" s="373">
        <f>'Q100a-geral'!MSB887</f>
        <v>0</v>
      </c>
      <c r="MSC364" s="373">
        <f>'Q100a-geral'!MSC887</f>
        <v>0</v>
      </c>
      <c r="MSD364" s="373">
        <f>'Q100a-geral'!MSD887</f>
        <v>0</v>
      </c>
      <c r="MSE364" s="373">
        <f>'Q100a-geral'!MSE887</f>
        <v>0</v>
      </c>
      <c r="MSF364" s="373">
        <f>'Q100a-geral'!MSF887</f>
        <v>0</v>
      </c>
      <c r="MSG364" s="373">
        <f>'Q100a-geral'!MSG887</f>
        <v>0</v>
      </c>
      <c r="MSH364" s="373">
        <f>'Q100a-geral'!MSH887</f>
        <v>0</v>
      </c>
      <c r="MSI364" s="373">
        <f>'Q100a-geral'!MSI887</f>
        <v>0</v>
      </c>
      <c r="MSJ364" s="373">
        <f>'Q100a-geral'!MSJ887</f>
        <v>0</v>
      </c>
      <c r="MSK364" s="373">
        <f>'Q100a-geral'!MSK887</f>
        <v>0</v>
      </c>
      <c r="MSL364" s="373">
        <f>'Q100a-geral'!MSL887</f>
        <v>0</v>
      </c>
      <c r="MSM364" s="373">
        <f>'Q100a-geral'!MSM887</f>
        <v>0</v>
      </c>
      <c r="MSN364" s="373">
        <f>'Q100a-geral'!MSN887</f>
        <v>0</v>
      </c>
      <c r="MSO364" s="373">
        <f>'Q100a-geral'!MSO887</f>
        <v>0</v>
      </c>
      <c r="MSP364" s="373">
        <f>'Q100a-geral'!MSP887</f>
        <v>0</v>
      </c>
      <c r="MSQ364" s="373">
        <f>'Q100a-geral'!MSQ887</f>
        <v>0</v>
      </c>
      <c r="MSR364" s="373">
        <f>'Q100a-geral'!MSR887</f>
        <v>0</v>
      </c>
      <c r="MSS364" s="373">
        <f>'Q100a-geral'!MSS887</f>
        <v>0</v>
      </c>
      <c r="MST364" s="373">
        <f>'Q100a-geral'!MST887</f>
        <v>0</v>
      </c>
      <c r="MSU364" s="373">
        <f>'Q100a-geral'!MSU887</f>
        <v>0</v>
      </c>
      <c r="MSV364" s="373">
        <f>'Q100a-geral'!MSV887</f>
        <v>0</v>
      </c>
      <c r="MSW364" s="373">
        <f>'Q100a-geral'!MSW887</f>
        <v>0</v>
      </c>
      <c r="MSX364" s="373">
        <f>'Q100a-geral'!MSX887</f>
        <v>0</v>
      </c>
      <c r="MSY364" s="373">
        <f>'Q100a-geral'!MSY887</f>
        <v>0</v>
      </c>
      <c r="MSZ364" s="373">
        <f>'Q100a-geral'!MSZ887</f>
        <v>0</v>
      </c>
      <c r="MTA364" s="373">
        <f>'Q100a-geral'!MTA887</f>
        <v>0</v>
      </c>
      <c r="MTB364" s="373">
        <f>'Q100a-geral'!MTB887</f>
        <v>0</v>
      </c>
      <c r="MTC364" s="373">
        <f>'Q100a-geral'!MTC887</f>
        <v>0</v>
      </c>
      <c r="MTD364" s="373">
        <f>'Q100a-geral'!MTD887</f>
        <v>0</v>
      </c>
      <c r="MTE364" s="373">
        <f>'Q100a-geral'!MTE887</f>
        <v>0</v>
      </c>
      <c r="MTF364" s="373">
        <f>'Q100a-geral'!MTF887</f>
        <v>0</v>
      </c>
      <c r="MTG364" s="373">
        <f>'Q100a-geral'!MTG887</f>
        <v>0</v>
      </c>
      <c r="MTH364" s="373">
        <f>'Q100a-geral'!MTH887</f>
        <v>0</v>
      </c>
      <c r="MTI364" s="373">
        <f>'Q100a-geral'!MTI887</f>
        <v>0</v>
      </c>
      <c r="MTJ364" s="373">
        <f>'Q100a-geral'!MTJ887</f>
        <v>0</v>
      </c>
      <c r="MTK364" s="373">
        <f>'Q100a-geral'!MTK887</f>
        <v>0</v>
      </c>
      <c r="MTL364" s="373">
        <f>'Q100a-geral'!MTL887</f>
        <v>0</v>
      </c>
      <c r="MTM364" s="373">
        <f>'Q100a-geral'!MTM887</f>
        <v>0</v>
      </c>
      <c r="MTN364" s="373">
        <f>'Q100a-geral'!MTN887</f>
        <v>0</v>
      </c>
      <c r="MTO364" s="373">
        <f>'Q100a-geral'!MTO887</f>
        <v>0</v>
      </c>
      <c r="MTP364" s="373">
        <f>'Q100a-geral'!MTP887</f>
        <v>0</v>
      </c>
      <c r="MTQ364" s="373">
        <f>'Q100a-geral'!MTQ887</f>
        <v>0</v>
      </c>
      <c r="MTR364" s="373">
        <f>'Q100a-geral'!MTR887</f>
        <v>0</v>
      </c>
      <c r="MTS364" s="373">
        <f>'Q100a-geral'!MTS887</f>
        <v>0</v>
      </c>
      <c r="MTT364" s="373">
        <f>'Q100a-geral'!MTT887</f>
        <v>0</v>
      </c>
      <c r="MTU364" s="373">
        <f>'Q100a-geral'!MTU887</f>
        <v>0</v>
      </c>
      <c r="MTV364" s="373">
        <f>'Q100a-geral'!MTV887</f>
        <v>0</v>
      </c>
      <c r="MTW364" s="373">
        <f>'Q100a-geral'!MTW887</f>
        <v>0</v>
      </c>
      <c r="MTX364" s="373">
        <f>'Q100a-geral'!MTX887</f>
        <v>0</v>
      </c>
      <c r="MTY364" s="373">
        <f>'Q100a-geral'!MTY887</f>
        <v>0</v>
      </c>
      <c r="MTZ364" s="373">
        <f>'Q100a-geral'!MTZ887</f>
        <v>0</v>
      </c>
      <c r="MUA364" s="373">
        <f>'Q100a-geral'!MUA887</f>
        <v>0</v>
      </c>
      <c r="MUB364" s="373">
        <f>'Q100a-geral'!MUB887</f>
        <v>0</v>
      </c>
      <c r="MUC364" s="373">
        <f>'Q100a-geral'!MUC887</f>
        <v>0</v>
      </c>
      <c r="MUD364" s="373">
        <f>'Q100a-geral'!MUD887</f>
        <v>0</v>
      </c>
      <c r="MUE364" s="373">
        <f>'Q100a-geral'!MUE887</f>
        <v>0</v>
      </c>
      <c r="MUF364" s="373">
        <f>'Q100a-geral'!MUF887</f>
        <v>0</v>
      </c>
      <c r="MUG364" s="373">
        <f>'Q100a-geral'!MUG887</f>
        <v>0</v>
      </c>
      <c r="MUH364" s="373">
        <f>'Q100a-geral'!MUH887</f>
        <v>0</v>
      </c>
      <c r="MUI364" s="373">
        <f>'Q100a-geral'!MUI887</f>
        <v>0</v>
      </c>
      <c r="MUJ364" s="373">
        <f>'Q100a-geral'!MUJ887</f>
        <v>0</v>
      </c>
      <c r="MUK364" s="373">
        <f>'Q100a-geral'!MUK887</f>
        <v>0</v>
      </c>
      <c r="MUL364" s="373">
        <f>'Q100a-geral'!MUL887</f>
        <v>0</v>
      </c>
      <c r="MUM364" s="373">
        <f>'Q100a-geral'!MUM887</f>
        <v>0</v>
      </c>
      <c r="MUN364" s="373">
        <f>'Q100a-geral'!MUN887</f>
        <v>0</v>
      </c>
      <c r="MUO364" s="373">
        <f>'Q100a-geral'!MUO887</f>
        <v>0</v>
      </c>
      <c r="MUP364" s="373">
        <f>'Q100a-geral'!MUP887</f>
        <v>0</v>
      </c>
      <c r="MUQ364" s="373">
        <f>'Q100a-geral'!MUQ887</f>
        <v>0</v>
      </c>
      <c r="MUR364" s="373">
        <f>'Q100a-geral'!MUR887</f>
        <v>0</v>
      </c>
      <c r="MUS364" s="373">
        <f>'Q100a-geral'!MUS887</f>
        <v>0</v>
      </c>
      <c r="MUT364" s="373">
        <f>'Q100a-geral'!MUT887</f>
        <v>0</v>
      </c>
      <c r="MUU364" s="373">
        <f>'Q100a-geral'!MUU887</f>
        <v>0</v>
      </c>
      <c r="MUV364" s="373">
        <f>'Q100a-geral'!MUV887</f>
        <v>0</v>
      </c>
      <c r="MUW364" s="373">
        <f>'Q100a-geral'!MUW887</f>
        <v>0</v>
      </c>
      <c r="MUX364" s="373">
        <f>'Q100a-geral'!MUX887</f>
        <v>0</v>
      </c>
      <c r="MUY364" s="373">
        <f>'Q100a-geral'!MUY887</f>
        <v>0</v>
      </c>
      <c r="MUZ364" s="373">
        <f>'Q100a-geral'!MUZ887</f>
        <v>0</v>
      </c>
      <c r="MVA364" s="373">
        <f>'Q100a-geral'!MVA887</f>
        <v>0</v>
      </c>
      <c r="MVB364" s="373">
        <f>'Q100a-geral'!MVB887</f>
        <v>0</v>
      </c>
      <c r="MVC364" s="373">
        <f>'Q100a-geral'!MVC887</f>
        <v>0</v>
      </c>
      <c r="MVD364" s="373">
        <f>'Q100a-geral'!MVD887</f>
        <v>0</v>
      </c>
      <c r="MVE364" s="373">
        <f>'Q100a-geral'!MVE887</f>
        <v>0</v>
      </c>
      <c r="MVF364" s="373">
        <f>'Q100a-geral'!MVF887</f>
        <v>0</v>
      </c>
      <c r="MVG364" s="373">
        <f>'Q100a-geral'!MVG887</f>
        <v>0</v>
      </c>
      <c r="MVH364" s="373">
        <f>'Q100a-geral'!MVH887</f>
        <v>0</v>
      </c>
      <c r="MVI364" s="373">
        <f>'Q100a-geral'!MVI887</f>
        <v>0</v>
      </c>
      <c r="MVJ364" s="373">
        <f>'Q100a-geral'!MVJ887</f>
        <v>0</v>
      </c>
      <c r="MVK364" s="373">
        <f>'Q100a-geral'!MVK887</f>
        <v>0</v>
      </c>
      <c r="MVL364" s="373">
        <f>'Q100a-geral'!MVL887</f>
        <v>0</v>
      </c>
      <c r="MVM364" s="373">
        <f>'Q100a-geral'!MVM887</f>
        <v>0</v>
      </c>
      <c r="MVN364" s="373">
        <f>'Q100a-geral'!MVN887</f>
        <v>0</v>
      </c>
      <c r="MVO364" s="373">
        <f>'Q100a-geral'!MVO887</f>
        <v>0</v>
      </c>
      <c r="MVP364" s="373">
        <f>'Q100a-geral'!MVP887</f>
        <v>0</v>
      </c>
      <c r="MVQ364" s="373">
        <f>'Q100a-geral'!MVQ887</f>
        <v>0</v>
      </c>
      <c r="MVR364" s="373">
        <f>'Q100a-geral'!MVR887</f>
        <v>0</v>
      </c>
      <c r="MVS364" s="373">
        <f>'Q100a-geral'!MVS887</f>
        <v>0</v>
      </c>
      <c r="MVT364" s="373">
        <f>'Q100a-geral'!MVT887</f>
        <v>0</v>
      </c>
      <c r="MVU364" s="373">
        <f>'Q100a-geral'!MVU887</f>
        <v>0</v>
      </c>
      <c r="MVV364" s="373">
        <f>'Q100a-geral'!MVV887</f>
        <v>0</v>
      </c>
      <c r="MVW364" s="373">
        <f>'Q100a-geral'!MVW887</f>
        <v>0</v>
      </c>
      <c r="MVX364" s="373">
        <f>'Q100a-geral'!MVX887</f>
        <v>0</v>
      </c>
      <c r="MVY364" s="373">
        <f>'Q100a-geral'!MVY887</f>
        <v>0</v>
      </c>
      <c r="MVZ364" s="373">
        <f>'Q100a-geral'!MVZ887</f>
        <v>0</v>
      </c>
      <c r="MWA364" s="373">
        <f>'Q100a-geral'!MWA887</f>
        <v>0</v>
      </c>
      <c r="MWB364" s="373">
        <f>'Q100a-geral'!MWB887</f>
        <v>0</v>
      </c>
      <c r="MWC364" s="373">
        <f>'Q100a-geral'!MWC887</f>
        <v>0</v>
      </c>
      <c r="MWD364" s="373">
        <f>'Q100a-geral'!MWD887</f>
        <v>0</v>
      </c>
      <c r="MWE364" s="373">
        <f>'Q100a-geral'!MWE887</f>
        <v>0</v>
      </c>
      <c r="MWF364" s="373">
        <f>'Q100a-geral'!MWF887</f>
        <v>0</v>
      </c>
      <c r="MWG364" s="373">
        <f>'Q100a-geral'!MWG887</f>
        <v>0</v>
      </c>
      <c r="MWH364" s="373">
        <f>'Q100a-geral'!MWH887</f>
        <v>0</v>
      </c>
      <c r="MWI364" s="373">
        <f>'Q100a-geral'!MWI887</f>
        <v>0</v>
      </c>
      <c r="MWJ364" s="373">
        <f>'Q100a-geral'!MWJ887</f>
        <v>0</v>
      </c>
      <c r="MWK364" s="373">
        <f>'Q100a-geral'!MWK887</f>
        <v>0</v>
      </c>
      <c r="MWL364" s="373">
        <f>'Q100a-geral'!MWL887</f>
        <v>0</v>
      </c>
      <c r="MWM364" s="373">
        <f>'Q100a-geral'!MWM887</f>
        <v>0</v>
      </c>
      <c r="MWN364" s="373">
        <f>'Q100a-geral'!MWN887</f>
        <v>0</v>
      </c>
      <c r="MWO364" s="373">
        <f>'Q100a-geral'!MWO887</f>
        <v>0</v>
      </c>
      <c r="MWP364" s="373">
        <f>'Q100a-geral'!MWP887</f>
        <v>0</v>
      </c>
      <c r="MWQ364" s="373">
        <f>'Q100a-geral'!MWQ887</f>
        <v>0</v>
      </c>
      <c r="MWR364" s="373">
        <f>'Q100a-geral'!MWR887</f>
        <v>0</v>
      </c>
      <c r="MWS364" s="373">
        <f>'Q100a-geral'!MWS887</f>
        <v>0</v>
      </c>
      <c r="MWT364" s="373">
        <f>'Q100a-geral'!MWT887</f>
        <v>0</v>
      </c>
      <c r="MWU364" s="373">
        <f>'Q100a-geral'!MWU887</f>
        <v>0</v>
      </c>
      <c r="MWV364" s="373">
        <f>'Q100a-geral'!MWV887</f>
        <v>0</v>
      </c>
      <c r="MWW364" s="373">
        <f>'Q100a-geral'!MWW887</f>
        <v>0</v>
      </c>
      <c r="MWX364" s="373">
        <f>'Q100a-geral'!MWX887</f>
        <v>0</v>
      </c>
      <c r="MWY364" s="373">
        <f>'Q100a-geral'!MWY887</f>
        <v>0</v>
      </c>
      <c r="MWZ364" s="373">
        <f>'Q100a-geral'!MWZ887</f>
        <v>0</v>
      </c>
      <c r="MXA364" s="373">
        <f>'Q100a-geral'!MXA887</f>
        <v>0</v>
      </c>
      <c r="MXB364" s="373">
        <f>'Q100a-geral'!MXB887</f>
        <v>0</v>
      </c>
      <c r="MXC364" s="373">
        <f>'Q100a-geral'!MXC887</f>
        <v>0</v>
      </c>
      <c r="MXD364" s="373">
        <f>'Q100a-geral'!MXD887</f>
        <v>0</v>
      </c>
      <c r="MXE364" s="373">
        <f>'Q100a-geral'!MXE887</f>
        <v>0</v>
      </c>
      <c r="MXF364" s="373">
        <f>'Q100a-geral'!MXF887</f>
        <v>0</v>
      </c>
      <c r="MXG364" s="373">
        <f>'Q100a-geral'!MXG887</f>
        <v>0</v>
      </c>
      <c r="MXH364" s="373">
        <f>'Q100a-geral'!MXH887</f>
        <v>0</v>
      </c>
      <c r="MXI364" s="373">
        <f>'Q100a-geral'!MXI887</f>
        <v>0</v>
      </c>
      <c r="MXJ364" s="373">
        <f>'Q100a-geral'!MXJ887</f>
        <v>0</v>
      </c>
      <c r="MXK364" s="373">
        <f>'Q100a-geral'!MXK887</f>
        <v>0</v>
      </c>
      <c r="MXL364" s="373">
        <f>'Q100a-geral'!MXL887</f>
        <v>0</v>
      </c>
      <c r="MXM364" s="373">
        <f>'Q100a-geral'!MXM887</f>
        <v>0</v>
      </c>
      <c r="MXN364" s="373">
        <f>'Q100a-geral'!MXN887</f>
        <v>0</v>
      </c>
      <c r="MXO364" s="373">
        <f>'Q100a-geral'!MXO887</f>
        <v>0</v>
      </c>
      <c r="MXP364" s="373">
        <f>'Q100a-geral'!MXP887</f>
        <v>0</v>
      </c>
      <c r="MXQ364" s="373">
        <f>'Q100a-geral'!MXQ887</f>
        <v>0</v>
      </c>
      <c r="MXR364" s="373">
        <f>'Q100a-geral'!MXR887</f>
        <v>0</v>
      </c>
      <c r="MXS364" s="373">
        <f>'Q100a-geral'!MXS887</f>
        <v>0</v>
      </c>
      <c r="MXT364" s="373">
        <f>'Q100a-geral'!MXT887</f>
        <v>0</v>
      </c>
      <c r="MXU364" s="373">
        <f>'Q100a-geral'!MXU887</f>
        <v>0</v>
      </c>
      <c r="MXV364" s="373">
        <f>'Q100a-geral'!MXV887</f>
        <v>0</v>
      </c>
      <c r="MXW364" s="373">
        <f>'Q100a-geral'!MXW887</f>
        <v>0</v>
      </c>
      <c r="MXX364" s="373">
        <f>'Q100a-geral'!MXX887</f>
        <v>0</v>
      </c>
      <c r="MXY364" s="373">
        <f>'Q100a-geral'!MXY887</f>
        <v>0</v>
      </c>
      <c r="MXZ364" s="373">
        <f>'Q100a-geral'!MXZ887</f>
        <v>0</v>
      </c>
      <c r="MYA364" s="373">
        <f>'Q100a-geral'!MYA887</f>
        <v>0</v>
      </c>
      <c r="MYB364" s="373">
        <f>'Q100a-geral'!MYB887</f>
        <v>0</v>
      </c>
      <c r="MYC364" s="373">
        <f>'Q100a-geral'!MYC887</f>
        <v>0</v>
      </c>
      <c r="MYD364" s="373">
        <f>'Q100a-geral'!MYD887</f>
        <v>0</v>
      </c>
      <c r="MYE364" s="373">
        <f>'Q100a-geral'!MYE887</f>
        <v>0</v>
      </c>
      <c r="MYF364" s="373">
        <f>'Q100a-geral'!MYF887</f>
        <v>0</v>
      </c>
      <c r="MYG364" s="373">
        <f>'Q100a-geral'!MYG887</f>
        <v>0</v>
      </c>
      <c r="MYH364" s="373">
        <f>'Q100a-geral'!MYH887</f>
        <v>0</v>
      </c>
      <c r="MYI364" s="373">
        <f>'Q100a-geral'!MYI887</f>
        <v>0</v>
      </c>
      <c r="MYJ364" s="373">
        <f>'Q100a-geral'!MYJ887</f>
        <v>0</v>
      </c>
      <c r="MYK364" s="373">
        <f>'Q100a-geral'!MYK887</f>
        <v>0</v>
      </c>
      <c r="MYL364" s="373">
        <f>'Q100a-geral'!MYL887</f>
        <v>0</v>
      </c>
      <c r="MYM364" s="373">
        <f>'Q100a-geral'!MYM887</f>
        <v>0</v>
      </c>
      <c r="MYN364" s="373">
        <f>'Q100a-geral'!MYN887</f>
        <v>0</v>
      </c>
      <c r="MYO364" s="373">
        <f>'Q100a-geral'!MYO887</f>
        <v>0</v>
      </c>
      <c r="MYP364" s="373">
        <f>'Q100a-geral'!MYP887</f>
        <v>0</v>
      </c>
      <c r="MYQ364" s="373">
        <f>'Q100a-geral'!MYQ887</f>
        <v>0</v>
      </c>
      <c r="MYR364" s="373">
        <f>'Q100a-geral'!MYR887</f>
        <v>0</v>
      </c>
      <c r="MYS364" s="373">
        <f>'Q100a-geral'!MYS887</f>
        <v>0</v>
      </c>
      <c r="MYT364" s="373">
        <f>'Q100a-geral'!MYT887</f>
        <v>0</v>
      </c>
      <c r="MYU364" s="373">
        <f>'Q100a-geral'!MYU887</f>
        <v>0</v>
      </c>
      <c r="MYV364" s="373">
        <f>'Q100a-geral'!MYV887</f>
        <v>0</v>
      </c>
      <c r="MYW364" s="373">
        <f>'Q100a-geral'!MYW887</f>
        <v>0</v>
      </c>
      <c r="MYX364" s="373">
        <f>'Q100a-geral'!MYX887</f>
        <v>0</v>
      </c>
      <c r="MYY364" s="373">
        <f>'Q100a-geral'!MYY887</f>
        <v>0</v>
      </c>
      <c r="MYZ364" s="373">
        <f>'Q100a-geral'!MYZ887</f>
        <v>0</v>
      </c>
      <c r="MZA364" s="373">
        <f>'Q100a-geral'!MZA887</f>
        <v>0</v>
      </c>
      <c r="MZB364" s="373">
        <f>'Q100a-geral'!MZB887</f>
        <v>0</v>
      </c>
      <c r="MZC364" s="373">
        <f>'Q100a-geral'!MZC887</f>
        <v>0</v>
      </c>
      <c r="MZD364" s="373">
        <f>'Q100a-geral'!MZD887</f>
        <v>0</v>
      </c>
      <c r="MZE364" s="373">
        <f>'Q100a-geral'!MZE887</f>
        <v>0</v>
      </c>
      <c r="MZF364" s="373">
        <f>'Q100a-geral'!MZF887</f>
        <v>0</v>
      </c>
      <c r="MZG364" s="373">
        <f>'Q100a-geral'!MZG887</f>
        <v>0</v>
      </c>
      <c r="MZH364" s="373">
        <f>'Q100a-geral'!MZH887</f>
        <v>0</v>
      </c>
      <c r="MZI364" s="373">
        <f>'Q100a-geral'!MZI887</f>
        <v>0</v>
      </c>
      <c r="MZJ364" s="373">
        <f>'Q100a-geral'!MZJ887</f>
        <v>0</v>
      </c>
      <c r="MZK364" s="373">
        <f>'Q100a-geral'!MZK887</f>
        <v>0</v>
      </c>
      <c r="MZL364" s="373">
        <f>'Q100a-geral'!MZL887</f>
        <v>0</v>
      </c>
      <c r="MZM364" s="373">
        <f>'Q100a-geral'!MZM887</f>
        <v>0</v>
      </c>
      <c r="MZN364" s="373">
        <f>'Q100a-geral'!MZN887</f>
        <v>0</v>
      </c>
      <c r="MZO364" s="373">
        <f>'Q100a-geral'!MZO887</f>
        <v>0</v>
      </c>
      <c r="MZP364" s="373">
        <f>'Q100a-geral'!MZP887</f>
        <v>0</v>
      </c>
      <c r="MZQ364" s="373">
        <f>'Q100a-geral'!MZQ887</f>
        <v>0</v>
      </c>
      <c r="MZR364" s="373">
        <f>'Q100a-geral'!MZR887</f>
        <v>0</v>
      </c>
      <c r="MZS364" s="373">
        <f>'Q100a-geral'!MZS887</f>
        <v>0</v>
      </c>
      <c r="MZT364" s="373">
        <f>'Q100a-geral'!MZT887</f>
        <v>0</v>
      </c>
      <c r="MZU364" s="373">
        <f>'Q100a-geral'!MZU887</f>
        <v>0</v>
      </c>
      <c r="MZV364" s="373">
        <f>'Q100a-geral'!MZV887</f>
        <v>0</v>
      </c>
      <c r="MZW364" s="373">
        <f>'Q100a-geral'!MZW887</f>
        <v>0</v>
      </c>
      <c r="MZX364" s="373">
        <f>'Q100a-geral'!MZX887</f>
        <v>0</v>
      </c>
      <c r="MZY364" s="373">
        <f>'Q100a-geral'!MZY887</f>
        <v>0</v>
      </c>
      <c r="MZZ364" s="373">
        <f>'Q100a-geral'!MZZ887</f>
        <v>0</v>
      </c>
      <c r="NAA364" s="373">
        <f>'Q100a-geral'!NAA887</f>
        <v>0</v>
      </c>
      <c r="NAB364" s="373">
        <f>'Q100a-geral'!NAB887</f>
        <v>0</v>
      </c>
      <c r="NAC364" s="373">
        <f>'Q100a-geral'!NAC887</f>
        <v>0</v>
      </c>
      <c r="NAD364" s="373">
        <f>'Q100a-geral'!NAD887</f>
        <v>0</v>
      </c>
      <c r="NAE364" s="373">
        <f>'Q100a-geral'!NAE887</f>
        <v>0</v>
      </c>
      <c r="NAF364" s="373">
        <f>'Q100a-geral'!NAF887</f>
        <v>0</v>
      </c>
      <c r="NAG364" s="373">
        <f>'Q100a-geral'!NAG887</f>
        <v>0</v>
      </c>
      <c r="NAH364" s="373">
        <f>'Q100a-geral'!NAH887</f>
        <v>0</v>
      </c>
      <c r="NAI364" s="373">
        <f>'Q100a-geral'!NAI887</f>
        <v>0</v>
      </c>
      <c r="NAJ364" s="373">
        <f>'Q100a-geral'!NAJ887</f>
        <v>0</v>
      </c>
      <c r="NAK364" s="373">
        <f>'Q100a-geral'!NAK887</f>
        <v>0</v>
      </c>
      <c r="NAL364" s="373">
        <f>'Q100a-geral'!NAL887</f>
        <v>0</v>
      </c>
      <c r="NAM364" s="373">
        <f>'Q100a-geral'!NAM887</f>
        <v>0</v>
      </c>
      <c r="NAN364" s="373">
        <f>'Q100a-geral'!NAN887</f>
        <v>0</v>
      </c>
      <c r="NAO364" s="373">
        <f>'Q100a-geral'!NAO887</f>
        <v>0</v>
      </c>
      <c r="NAP364" s="373">
        <f>'Q100a-geral'!NAP887</f>
        <v>0</v>
      </c>
      <c r="NAQ364" s="373">
        <f>'Q100a-geral'!NAQ887</f>
        <v>0</v>
      </c>
      <c r="NAR364" s="373">
        <f>'Q100a-geral'!NAR887</f>
        <v>0</v>
      </c>
      <c r="NAS364" s="373">
        <f>'Q100a-geral'!NAS887</f>
        <v>0</v>
      </c>
      <c r="NAT364" s="373">
        <f>'Q100a-geral'!NAT887</f>
        <v>0</v>
      </c>
      <c r="NAU364" s="373">
        <f>'Q100a-geral'!NAU887</f>
        <v>0</v>
      </c>
      <c r="NAV364" s="373">
        <f>'Q100a-geral'!NAV887</f>
        <v>0</v>
      </c>
      <c r="NAW364" s="373">
        <f>'Q100a-geral'!NAW887</f>
        <v>0</v>
      </c>
      <c r="NAX364" s="373">
        <f>'Q100a-geral'!NAX887</f>
        <v>0</v>
      </c>
      <c r="NAY364" s="373">
        <f>'Q100a-geral'!NAY887</f>
        <v>0</v>
      </c>
      <c r="NAZ364" s="373">
        <f>'Q100a-geral'!NAZ887</f>
        <v>0</v>
      </c>
      <c r="NBA364" s="373">
        <f>'Q100a-geral'!NBA887</f>
        <v>0</v>
      </c>
      <c r="NBB364" s="373">
        <f>'Q100a-geral'!NBB887</f>
        <v>0</v>
      </c>
      <c r="NBC364" s="373">
        <f>'Q100a-geral'!NBC887</f>
        <v>0</v>
      </c>
      <c r="NBD364" s="373">
        <f>'Q100a-geral'!NBD887</f>
        <v>0</v>
      </c>
      <c r="NBE364" s="373">
        <f>'Q100a-geral'!NBE887</f>
        <v>0</v>
      </c>
      <c r="NBF364" s="373">
        <f>'Q100a-geral'!NBF887</f>
        <v>0</v>
      </c>
      <c r="NBG364" s="373">
        <f>'Q100a-geral'!NBG887</f>
        <v>0</v>
      </c>
      <c r="NBH364" s="373">
        <f>'Q100a-geral'!NBH887</f>
        <v>0</v>
      </c>
      <c r="NBI364" s="373">
        <f>'Q100a-geral'!NBI887</f>
        <v>0</v>
      </c>
      <c r="NBJ364" s="373">
        <f>'Q100a-geral'!NBJ887</f>
        <v>0</v>
      </c>
      <c r="NBK364" s="373">
        <f>'Q100a-geral'!NBK887</f>
        <v>0</v>
      </c>
      <c r="NBL364" s="373">
        <f>'Q100a-geral'!NBL887</f>
        <v>0</v>
      </c>
      <c r="NBM364" s="373">
        <f>'Q100a-geral'!NBM887</f>
        <v>0</v>
      </c>
      <c r="NBN364" s="373">
        <f>'Q100a-geral'!NBN887</f>
        <v>0</v>
      </c>
      <c r="NBO364" s="373">
        <f>'Q100a-geral'!NBO887</f>
        <v>0</v>
      </c>
      <c r="NBP364" s="373">
        <f>'Q100a-geral'!NBP887</f>
        <v>0</v>
      </c>
      <c r="NBQ364" s="373">
        <f>'Q100a-geral'!NBQ887</f>
        <v>0</v>
      </c>
      <c r="NBR364" s="373">
        <f>'Q100a-geral'!NBR887</f>
        <v>0</v>
      </c>
      <c r="NBS364" s="373">
        <f>'Q100a-geral'!NBS887</f>
        <v>0</v>
      </c>
      <c r="NBT364" s="373">
        <f>'Q100a-geral'!NBT887</f>
        <v>0</v>
      </c>
      <c r="NBU364" s="373">
        <f>'Q100a-geral'!NBU887</f>
        <v>0</v>
      </c>
      <c r="NBV364" s="373">
        <f>'Q100a-geral'!NBV887</f>
        <v>0</v>
      </c>
      <c r="NBW364" s="373">
        <f>'Q100a-geral'!NBW887</f>
        <v>0</v>
      </c>
      <c r="NBX364" s="373">
        <f>'Q100a-geral'!NBX887</f>
        <v>0</v>
      </c>
      <c r="NBY364" s="373">
        <f>'Q100a-geral'!NBY887</f>
        <v>0</v>
      </c>
      <c r="NBZ364" s="373">
        <f>'Q100a-geral'!NBZ887</f>
        <v>0</v>
      </c>
      <c r="NCA364" s="373">
        <f>'Q100a-geral'!NCA887</f>
        <v>0</v>
      </c>
      <c r="NCB364" s="373">
        <f>'Q100a-geral'!NCB887</f>
        <v>0</v>
      </c>
      <c r="NCC364" s="373">
        <f>'Q100a-geral'!NCC887</f>
        <v>0</v>
      </c>
      <c r="NCD364" s="373">
        <f>'Q100a-geral'!NCD887</f>
        <v>0</v>
      </c>
      <c r="NCE364" s="373">
        <f>'Q100a-geral'!NCE887</f>
        <v>0</v>
      </c>
      <c r="NCF364" s="373">
        <f>'Q100a-geral'!NCF887</f>
        <v>0</v>
      </c>
      <c r="NCG364" s="373">
        <f>'Q100a-geral'!NCG887</f>
        <v>0</v>
      </c>
      <c r="NCH364" s="373">
        <f>'Q100a-geral'!NCH887</f>
        <v>0</v>
      </c>
      <c r="NCI364" s="373">
        <f>'Q100a-geral'!NCI887</f>
        <v>0</v>
      </c>
      <c r="NCJ364" s="373">
        <f>'Q100a-geral'!NCJ887</f>
        <v>0</v>
      </c>
      <c r="NCK364" s="373">
        <f>'Q100a-geral'!NCK887</f>
        <v>0</v>
      </c>
      <c r="NCL364" s="373">
        <f>'Q100a-geral'!NCL887</f>
        <v>0</v>
      </c>
      <c r="NCM364" s="373">
        <f>'Q100a-geral'!NCM887</f>
        <v>0</v>
      </c>
      <c r="NCN364" s="373">
        <f>'Q100a-geral'!NCN887</f>
        <v>0</v>
      </c>
      <c r="NCO364" s="373">
        <f>'Q100a-geral'!NCO887</f>
        <v>0</v>
      </c>
      <c r="NCP364" s="373">
        <f>'Q100a-geral'!NCP887</f>
        <v>0</v>
      </c>
      <c r="NCQ364" s="373">
        <f>'Q100a-geral'!NCQ887</f>
        <v>0</v>
      </c>
      <c r="NCR364" s="373">
        <f>'Q100a-geral'!NCR887</f>
        <v>0</v>
      </c>
      <c r="NCS364" s="373">
        <f>'Q100a-geral'!NCS887</f>
        <v>0</v>
      </c>
      <c r="NCT364" s="373">
        <f>'Q100a-geral'!NCT887</f>
        <v>0</v>
      </c>
      <c r="NCU364" s="373">
        <f>'Q100a-geral'!NCU887</f>
        <v>0</v>
      </c>
      <c r="NCV364" s="373">
        <f>'Q100a-geral'!NCV887</f>
        <v>0</v>
      </c>
      <c r="NCW364" s="373">
        <f>'Q100a-geral'!NCW887</f>
        <v>0</v>
      </c>
      <c r="NCX364" s="373">
        <f>'Q100a-geral'!NCX887</f>
        <v>0</v>
      </c>
      <c r="NCY364" s="373">
        <f>'Q100a-geral'!NCY887</f>
        <v>0</v>
      </c>
      <c r="NCZ364" s="373">
        <f>'Q100a-geral'!NCZ887</f>
        <v>0</v>
      </c>
      <c r="NDA364" s="373">
        <f>'Q100a-geral'!NDA887</f>
        <v>0</v>
      </c>
      <c r="NDB364" s="373">
        <f>'Q100a-geral'!NDB887</f>
        <v>0</v>
      </c>
      <c r="NDC364" s="373">
        <f>'Q100a-geral'!NDC887</f>
        <v>0</v>
      </c>
      <c r="NDD364" s="373">
        <f>'Q100a-geral'!NDD887</f>
        <v>0</v>
      </c>
      <c r="NDE364" s="373">
        <f>'Q100a-geral'!NDE887</f>
        <v>0</v>
      </c>
      <c r="NDF364" s="373">
        <f>'Q100a-geral'!NDF887</f>
        <v>0</v>
      </c>
      <c r="NDG364" s="373">
        <f>'Q100a-geral'!NDG887</f>
        <v>0</v>
      </c>
      <c r="NDH364" s="373">
        <f>'Q100a-geral'!NDH887</f>
        <v>0</v>
      </c>
      <c r="NDI364" s="373">
        <f>'Q100a-geral'!NDI887</f>
        <v>0</v>
      </c>
      <c r="NDJ364" s="373">
        <f>'Q100a-geral'!NDJ887</f>
        <v>0</v>
      </c>
      <c r="NDK364" s="373">
        <f>'Q100a-geral'!NDK887</f>
        <v>0</v>
      </c>
      <c r="NDL364" s="373">
        <f>'Q100a-geral'!NDL887</f>
        <v>0</v>
      </c>
      <c r="NDM364" s="373">
        <f>'Q100a-geral'!NDM887</f>
        <v>0</v>
      </c>
      <c r="NDN364" s="373">
        <f>'Q100a-geral'!NDN887</f>
        <v>0</v>
      </c>
      <c r="NDO364" s="373">
        <f>'Q100a-geral'!NDO887</f>
        <v>0</v>
      </c>
      <c r="NDP364" s="373">
        <f>'Q100a-geral'!NDP887</f>
        <v>0</v>
      </c>
      <c r="NDQ364" s="373">
        <f>'Q100a-geral'!NDQ887</f>
        <v>0</v>
      </c>
      <c r="NDR364" s="373">
        <f>'Q100a-geral'!NDR887</f>
        <v>0</v>
      </c>
      <c r="NDS364" s="373">
        <f>'Q100a-geral'!NDS887</f>
        <v>0</v>
      </c>
      <c r="NDT364" s="373">
        <f>'Q100a-geral'!NDT887</f>
        <v>0</v>
      </c>
      <c r="NDU364" s="373">
        <f>'Q100a-geral'!NDU887</f>
        <v>0</v>
      </c>
      <c r="NDV364" s="373">
        <f>'Q100a-geral'!NDV887</f>
        <v>0</v>
      </c>
      <c r="NDW364" s="373">
        <f>'Q100a-geral'!NDW887</f>
        <v>0</v>
      </c>
      <c r="NDX364" s="373">
        <f>'Q100a-geral'!NDX887</f>
        <v>0</v>
      </c>
      <c r="NDY364" s="373">
        <f>'Q100a-geral'!NDY887</f>
        <v>0</v>
      </c>
      <c r="NDZ364" s="373">
        <f>'Q100a-geral'!NDZ887</f>
        <v>0</v>
      </c>
      <c r="NEA364" s="373">
        <f>'Q100a-geral'!NEA887</f>
        <v>0</v>
      </c>
      <c r="NEB364" s="373">
        <f>'Q100a-geral'!NEB887</f>
        <v>0</v>
      </c>
      <c r="NEC364" s="373">
        <f>'Q100a-geral'!NEC887</f>
        <v>0</v>
      </c>
      <c r="NED364" s="373">
        <f>'Q100a-geral'!NED887</f>
        <v>0</v>
      </c>
      <c r="NEE364" s="373">
        <f>'Q100a-geral'!NEE887</f>
        <v>0</v>
      </c>
      <c r="NEF364" s="373">
        <f>'Q100a-geral'!NEF887</f>
        <v>0</v>
      </c>
      <c r="NEG364" s="373">
        <f>'Q100a-geral'!NEG887</f>
        <v>0</v>
      </c>
      <c r="NEH364" s="373">
        <f>'Q100a-geral'!NEH887</f>
        <v>0</v>
      </c>
      <c r="NEI364" s="373">
        <f>'Q100a-geral'!NEI887</f>
        <v>0</v>
      </c>
      <c r="NEJ364" s="373">
        <f>'Q100a-geral'!NEJ887</f>
        <v>0</v>
      </c>
      <c r="NEK364" s="373">
        <f>'Q100a-geral'!NEK887</f>
        <v>0</v>
      </c>
      <c r="NEL364" s="373">
        <f>'Q100a-geral'!NEL887</f>
        <v>0</v>
      </c>
      <c r="NEM364" s="373">
        <f>'Q100a-geral'!NEM887</f>
        <v>0</v>
      </c>
      <c r="NEN364" s="373">
        <f>'Q100a-geral'!NEN887</f>
        <v>0</v>
      </c>
      <c r="NEO364" s="373">
        <f>'Q100a-geral'!NEO887</f>
        <v>0</v>
      </c>
      <c r="NEP364" s="373">
        <f>'Q100a-geral'!NEP887</f>
        <v>0</v>
      </c>
      <c r="NEQ364" s="373">
        <f>'Q100a-geral'!NEQ887</f>
        <v>0</v>
      </c>
      <c r="NER364" s="373">
        <f>'Q100a-geral'!NER887</f>
        <v>0</v>
      </c>
      <c r="NES364" s="373">
        <f>'Q100a-geral'!NES887</f>
        <v>0</v>
      </c>
      <c r="NET364" s="373">
        <f>'Q100a-geral'!NET887</f>
        <v>0</v>
      </c>
      <c r="NEU364" s="373">
        <f>'Q100a-geral'!NEU887</f>
        <v>0</v>
      </c>
      <c r="NEV364" s="373">
        <f>'Q100a-geral'!NEV887</f>
        <v>0</v>
      </c>
      <c r="NEW364" s="373">
        <f>'Q100a-geral'!NEW887</f>
        <v>0</v>
      </c>
      <c r="NEX364" s="373">
        <f>'Q100a-geral'!NEX887</f>
        <v>0</v>
      </c>
      <c r="NEY364" s="373">
        <f>'Q100a-geral'!NEY887</f>
        <v>0</v>
      </c>
      <c r="NEZ364" s="373">
        <f>'Q100a-geral'!NEZ887</f>
        <v>0</v>
      </c>
      <c r="NFA364" s="373">
        <f>'Q100a-geral'!NFA887</f>
        <v>0</v>
      </c>
      <c r="NFB364" s="373">
        <f>'Q100a-geral'!NFB887</f>
        <v>0</v>
      </c>
      <c r="NFC364" s="373">
        <f>'Q100a-geral'!NFC887</f>
        <v>0</v>
      </c>
      <c r="NFD364" s="373">
        <f>'Q100a-geral'!NFD887</f>
        <v>0</v>
      </c>
      <c r="NFE364" s="373">
        <f>'Q100a-geral'!NFE887</f>
        <v>0</v>
      </c>
      <c r="NFF364" s="373">
        <f>'Q100a-geral'!NFF887</f>
        <v>0</v>
      </c>
      <c r="NFG364" s="373">
        <f>'Q100a-geral'!NFG887</f>
        <v>0</v>
      </c>
      <c r="NFH364" s="373">
        <f>'Q100a-geral'!NFH887</f>
        <v>0</v>
      </c>
      <c r="NFI364" s="373">
        <f>'Q100a-geral'!NFI887</f>
        <v>0</v>
      </c>
      <c r="NFJ364" s="373">
        <f>'Q100a-geral'!NFJ887</f>
        <v>0</v>
      </c>
      <c r="NFK364" s="373">
        <f>'Q100a-geral'!NFK887</f>
        <v>0</v>
      </c>
      <c r="NFL364" s="373">
        <f>'Q100a-geral'!NFL887</f>
        <v>0</v>
      </c>
      <c r="NFM364" s="373">
        <f>'Q100a-geral'!NFM887</f>
        <v>0</v>
      </c>
      <c r="NFN364" s="373">
        <f>'Q100a-geral'!NFN887</f>
        <v>0</v>
      </c>
      <c r="NFO364" s="373">
        <f>'Q100a-geral'!NFO887</f>
        <v>0</v>
      </c>
      <c r="NFP364" s="373">
        <f>'Q100a-geral'!NFP887</f>
        <v>0</v>
      </c>
      <c r="NFQ364" s="373">
        <f>'Q100a-geral'!NFQ887</f>
        <v>0</v>
      </c>
      <c r="NFR364" s="373">
        <f>'Q100a-geral'!NFR887</f>
        <v>0</v>
      </c>
      <c r="NFS364" s="373">
        <f>'Q100a-geral'!NFS887</f>
        <v>0</v>
      </c>
      <c r="NFT364" s="373">
        <f>'Q100a-geral'!NFT887</f>
        <v>0</v>
      </c>
      <c r="NFU364" s="373">
        <f>'Q100a-geral'!NFU887</f>
        <v>0</v>
      </c>
      <c r="NFV364" s="373">
        <f>'Q100a-geral'!NFV887</f>
        <v>0</v>
      </c>
      <c r="NFW364" s="373">
        <f>'Q100a-geral'!NFW887</f>
        <v>0</v>
      </c>
      <c r="NFX364" s="373">
        <f>'Q100a-geral'!NFX887</f>
        <v>0</v>
      </c>
      <c r="NFY364" s="373">
        <f>'Q100a-geral'!NFY887</f>
        <v>0</v>
      </c>
      <c r="NFZ364" s="373">
        <f>'Q100a-geral'!NFZ887</f>
        <v>0</v>
      </c>
      <c r="NGA364" s="373">
        <f>'Q100a-geral'!NGA887</f>
        <v>0</v>
      </c>
      <c r="NGB364" s="373">
        <f>'Q100a-geral'!NGB887</f>
        <v>0</v>
      </c>
      <c r="NGC364" s="373">
        <f>'Q100a-geral'!NGC887</f>
        <v>0</v>
      </c>
      <c r="NGD364" s="373">
        <f>'Q100a-geral'!NGD887</f>
        <v>0</v>
      </c>
      <c r="NGE364" s="373">
        <f>'Q100a-geral'!NGE887</f>
        <v>0</v>
      </c>
      <c r="NGF364" s="373">
        <f>'Q100a-geral'!NGF887</f>
        <v>0</v>
      </c>
      <c r="NGG364" s="373">
        <f>'Q100a-geral'!NGG887</f>
        <v>0</v>
      </c>
      <c r="NGH364" s="373">
        <f>'Q100a-geral'!NGH887</f>
        <v>0</v>
      </c>
      <c r="NGI364" s="373">
        <f>'Q100a-geral'!NGI887</f>
        <v>0</v>
      </c>
      <c r="NGJ364" s="373">
        <f>'Q100a-geral'!NGJ887</f>
        <v>0</v>
      </c>
      <c r="NGK364" s="373">
        <f>'Q100a-geral'!NGK887</f>
        <v>0</v>
      </c>
      <c r="NGL364" s="373">
        <f>'Q100a-geral'!NGL887</f>
        <v>0</v>
      </c>
      <c r="NGM364" s="373">
        <f>'Q100a-geral'!NGM887</f>
        <v>0</v>
      </c>
      <c r="NGN364" s="373">
        <f>'Q100a-geral'!NGN887</f>
        <v>0</v>
      </c>
      <c r="NGO364" s="373">
        <f>'Q100a-geral'!NGO887</f>
        <v>0</v>
      </c>
      <c r="NGP364" s="373">
        <f>'Q100a-geral'!NGP887</f>
        <v>0</v>
      </c>
      <c r="NGQ364" s="373">
        <f>'Q100a-geral'!NGQ887</f>
        <v>0</v>
      </c>
      <c r="NGR364" s="373">
        <f>'Q100a-geral'!NGR887</f>
        <v>0</v>
      </c>
      <c r="NGS364" s="373">
        <f>'Q100a-geral'!NGS887</f>
        <v>0</v>
      </c>
      <c r="NGT364" s="373">
        <f>'Q100a-geral'!NGT887</f>
        <v>0</v>
      </c>
      <c r="NGU364" s="373">
        <f>'Q100a-geral'!NGU887</f>
        <v>0</v>
      </c>
      <c r="NGV364" s="373">
        <f>'Q100a-geral'!NGV887</f>
        <v>0</v>
      </c>
      <c r="NGW364" s="373">
        <f>'Q100a-geral'!NGW887</f>
        <v>0</v>
      </c>
      <c r="NGX364" s="373">
        <f>'Q100a-geral'!NGX887</f>
        <v>0</v>
      </c>
      <c r="NGY364" s="373">
        <f>'Q100a-geral'!NGY887</f>
        <v>0</v>
      </c>
      <c r="NGZ364" s="373">
        <f>'Q100a-geral'!NGZ887</f>
        <v>0</v>
      </c>
      <c r="NHA364" s="373">
        <f>'Q100a-geral'!NHA887</f>
        <v>0</v>
      </c>
      <c r="NHB364" s="373">
        <f>'Q100a-geral'!NHB887</f>
        <v>0</v>
      </c>
      <c r="NHC364" s="373">
        <f>'Q100a-geral'!NHC887</f>
        <v>0</v>
      </c>
      <c r="NHD364" s="373">
        <f>'Q100a-geral'!NHD887</f>
        <v>0</v>
      </c>
      <c r="NHE364" s="373">
        <f>'Q100a-geral'!NHE887</f>
        <v>0</v>
      </c>
      <c r="NHF364" s="373">
        <f>'Q100a-geral'!NHF887</f>
        <v>0</v>
      </c>
      <c r="NHG364" s="373">
        <f>'Q100a-geral'!NHG887</f>
        <v>0</v>
      </c>
      <c r="NHH364" s="373">
        <f>'Q100a-geral'!NHH887</f>
        <v>0</v>
      </c>
      <c r="NHI364" s="373">
        <f>'Q100a-geral'!NHI887</f>
        <v>0</v>
      </c>
      <c r="NHJ364" s="373">
        <f>'Q100a-geral'!NHJ887</f>
        <v>0</v>
      </c>
      <c r="NHK364" s="373">
        <f>'Q100a-geral'!NHK887</f>
        <v>0</v>
      </c>
      <c r="NHL364" s="373">
        <f>'Q100a-geral'!NHL887</f>
        <v>0</v>
      </c>
      <c r="NHM364" s="373">
        <f>'Q100a-geral'!NHM887</f>
        <v>0</v>
      </c>
      <c r="NHN364" s="373">
        <f>'Q100a-geral'!NHN887</f>
        <v>0</v>
      </c>
      <c r="NHO364" s="373">
        <f>'Q100a-geral'!NHO887</f>
        <v>0</v>
      </c>
      <c r="NHP364" s="373">
        <f>'Q100a-geral'!NHP887</f>
        <v>0</v>
      </c>
      <c r="NHQ364" s="373">
        <f>'Q100a-geral'!NHQ887</f>
        <v>0</v>
      </c>
      <c r="NHR364" s="373">
        <f>'Q100a-geral'!NHR887</f>
        <v>0</v>
      </c>
      <c r="NHS364" s="373">
        <f>'Q100a-geral'!NHS887</f>
        <v>0</v>
      </c>
      <c r="NHT364" s="373">
        <f>'Q100a-geral'!NHT887</f>
        <v>0</v>
      </c>
      <c r="NHU364" s="373">
        <f>'Q100a-geral'!NHU887</f>
        <v>0</v>
      </c>
      <c r="NHV364" s="373">
        <f>'Q100a-geral'!NHV887</f>
        <v>0</v>
      </c>
      <c r="NHW364" s="373">
        <f>'Q100a-geral'!NHW887</f>
        <v>0</v>
      </c>
      <c r="NHX364" s="373">
        <f>'Q100a-geral'!NHX887</f>
        <v>0</v>
      </c>
      <c r="NHY364" s="373">
        <f>'Q100a-geral'!NHY887</f>
        <v>0</v>
      </c>
      <c r="NHZ364" s="373">
        <f>'Q100a-geral'!NHZ887</f>
        <v>0</v>
      </c>
      <c r="NIA364" s="373">
        <f>'Q100a-geral'!NIA887</f>
        <v>0</v>
      </c>
      <c r="NIB364" s="373">
        <f>'Q100a-geral'!NIB887</f>
        <v>0</v>
      </c>
      <c r="NIC364" s="373">
        <f>'Q100a-geral'!NIC887</f>
        <v>0</v>
      </c>
      <c r="NID364" s="373">
        <f>'Q100a-geral'!NID887</f>
        <v>0</v>
      </c>
      <c r="NIE364" s="373">
        <f>'Q100a-geral'!NIE887</f>
        <v>0</v>
      </c>
      <c r="NIF364" s="373">
        <f>'Q100a-geral'!NIF887</f>
        <v>0</v>
      </c>
      <c r="NIG364" s="373">
        <f>'Q100a-geral'!NIG887</f>
        <v>0</v>
      </c>
      <c r="NIH364" s="373">
        <f>'Q100a-geral'!NIH887</f>
        <v>0</v>
      </c>
      <c r="NII364" s="373">
        <f>'Q100a-geral'!NII887</f>
        <v>0</v>
      </c>
      <c r="NIJ364" s="373">
        <f>'Q100a-geral'!NIJ887</f>
        <v>0</v>
      </c>
      <c r="NIK364" s="373">
        <f>'Q100a-geral'!NIK887</f>
        <v>0</v>
      </c>
      <c r="NIL364" s="373">
        <f>'Q100a-geral'!NIL887</f>
        <v>0</v>
      </c>
      <c r="NIM364" s="373">
        <f>'Q100a-geral'!NIM887</f>
        <v>0</v>
      </c>
      <c r="NIN364" s="373">
        <f>'Q100a-geral'!NIN887</f>
        <v>0</v>
      </c>
      <c r="NIO364" s="373">
        <f>'Q100a-geral'!NIO887</f>
        <v>0</v>
      </c>
      <c r="NIP364" s="373">
        <f>'Q100a-geral'!NIP887</f>
        <v>0</v>
      </c>
      <c r="NIQ364" s="373">
        <f>'Q100a-geral'!NIQ887</f>
        <v>0</v>
      </c>
      <c r="NIR364" s="373">
        <f>'Q100a-geral'!NIR887</f>
        <v>0</v>
      </c>
      <c r="NIS364" s="373">
        <f>'Q100a-geral'!NIS887</f>
        <v>0</v>
      </c>
      <c r="NIT364" s="373">
        <f>'Q100a-geral'!NIT887</f>
        <v>0</v>
      </c>
      <c r="NIU364" s="373">
        <f>'Q100a-geral'!NIU887</f>
        <v>0</v>
      </c>
      <c r="NIV364" s="373">
        <f>'Q100a-geral'!NIV887</f>
        <v>0</v>
      </c>
      <c r="NIW364" s="373">
        <f>'Q100a-geral'!NIW887</f>
        <v>0</v>
      </c>
      <c r="NIX364" s="373">
        <f>'Q100a-geral'!NIX887</f>
        <v>0</v>
      </c>
      <c r="NIY364" s="373">
        <f>'Q100a-geral'!NIY887</f>
        <v>0</v>
      </c>
      <c r="NIZ364" s="373">
        <f>'Q100a-geral'!NIZ887</f>
        <v>0</v>
      </c>
      <c r="NJA364" s="373">
        <f>'Q100a-geral'!NJA887</f>
        <v>0</v>
      </c>
      <c r="NJB364" s="373">
        <f>'Q100a-geral'!NJB887</f>
        <v>0</v>
      </c>
      <c r="NJC364" s="373">
        <f>'Q100a-geral'!NJC887</f>
        <v>0</v>
      </c>
      <c r="NJD364" s="373">
        <f>'Q100a-geral'!NJD887</f>
        <v>0</v>
      </c>
      <c r="NJE364" s="373">
        <f>'Q100a-geral'!NJE887</f>
        <v>0</v>
      </c>
      <c r="NJF364" s="373">
        <f>'Q100a-geral'!NJF887</f>
        <v>0</v>
      </c>
      <c r="NJG364" s="373">
        <f>'Q100a-geral'!NJG887</f>
        <v>0</v>
      </c>
      <c r="NJH364" s="373">
        <f>'Q100a-geral'!NJH887</f>
        <v>0</v>
      </c>
      <c r="NJI364" s="373">
        <f>'Q100a-geral'!NJI887</f>
        <v>0</v>
      </c>
      <c r="NJJ364" s="373">
        <f>'Q100a-geral'!NJJ887</f>
        <v>0</v>
      </c>
      <c r="NJK364" s="373">
        <f>'Q100a-geral'!NJK887</f>
        <v>0</v>
      </c>
      <c r="NJL364" s="373">
        <f>'Q100a-geral'!NJL887</f>
        <v>0</v>
      </c>
      <c r="NJM364" s="373">
        <f>'Q100a-geral'!NJM887</f>
        <v>0</v>
      </c>
      <c r="NJN364" s="373">
        <f>'Q100a-geral'!NJN887</f>
        <v>0</v>
      </c>
      <c r="NJO364" s="373">
        <f>'Q100a-geral'!NJO887</f>
        <v>0</v>
      </c>
      <c r="NJP364" s="373">
        <f>'Q100a-geral'!NJP887</f>
        <v>0</v>
      </c>
      <c r="NJQ364" s="373">
        <f>'Q100a-geral'!NJQ887</f>
        <v>0</v>
      </c>
      <c r="NJR364" s="373">
        <f>'Q100a-geral'!NJR887</f>
        <v>0</v>
      </c>
      <c r="NJS364" s="373">
        <f>'Q100a-geral'!NJS887</f>
        <v>0</v>
      </c>
      <c r="NJT364" s="373">
        <f>'Q100a-geral'!NJT887</f>
        <v>0</v>
      </c>
      <c r="NJU364" s="373">
        <f>'Q100a-geral'!NJU887</f>
        <v>0</v>
      </c>
      <c r="NJV364" s="373">
        <f>'Q100a-geral'!NJV887</f>
        <v>0</v>
      </c>
      <c r="NJW364" s="373">
        <f>'Q100a-geral'!NJW887</f>
        <v>0</v>
      </c>
      <c r="NJX364" s="373">
        <f>'Q100a-geral'!NJX887</f>
        <v>0</v>
      </c>
      <c r="NJY364" s="373">
        <f>'Q100a-geral'!NJY887</f>
        <v>0</v>
      </c>
      <c r="NJZ364" s="373">
        <f>'Q100a-geral'!NJZ887</f>
        <v>0</v>
      </c>
      <c r="NKA364" s="373">
        <f>'Q100a-geral'!NKA887</f>
        <v>0</v>
      </c>
      <c r="NKB364" s="373">
        <f>'Q100a-geral'!NKB887</f>
        <v>0</v>
      </c>
      <c r="NKC364" s="373">
        <f>'Q100a-geral'!NKC887</f>
        <v>0</v>
      </c>
      <c r="NKD364" s="373">
        <f>'Q100a-geral'!NKD887</f>
        <v>0</v>
      </c>
      <c r="NKE364" s="373">
        <f>'Q100a-geral'!NKE887</f>
        <v>0</v>
      </c>
      <c r="NKF364" s="373">
        <f>'Q100a-geral'!NKF887</f>
        <v>0</v>
      </c>
      <c r="NKG364" s="373">
        <f>'Q100a-geral'!NKG887</f>
        <v>0</v>
      </c>
      <c r="NKH364" s="373">
        <f>'Q100a-geral'!NKH887</f>
        <v>0</v>
      </c>
      <c r="NKI364" s="373">
        <f>'Q100a-geral'!NKI887</f>
        <v>0</v>
      </c>
      <c r="NKJ364" s="373">
        <f>'Q100a-geral'!NKJ887</f>
        <v>0</v>
      </c>
      <c r="NKK364" s="373">
        <f>'Q100a-geral'!NKK887</f>
        <v>0</v>
      </c>
      <c r="NKL364" s="373">
        <f>'Q100a-geral'!NKL887</f>
        <v>0</v>
      </c>
      <c r="NKM364" s="373">
        <f>'Q100a-geral'!NKM887</f>
        <v>0</v>
      </c>
      <c r="NKN364" s="373">
        <f>'Q100a-geral'!NKN887</f>
        <v>0</v>
      </c>
      <c r="NKO364" s="373">
        <f>'Q100a-geral'!NKO887</f>
        <v>0</v>
      </c>
      <c r="NKP364" s="373">
        <f>'Q100a-geral'!NKP887</f>
        <v>0</v>
      </c>
      <c r="NKQ364" s="373">
        <f>'Q100a-geral'!NKQ887</f>
        <v>0</v>
      </c>
      <c r="NKR364" s="373">
        <f>'Q100a-geral'!NKR887</f>
        <v>0</v>
      </c>
      <c r="NKS364" s="373">
        <f>'Q100a-geral'!NKS887</f>
        <v>0</v>
      </c>
      <c r="NKT364" s="373">
        <f>'Q100a-geral'!NKT887</f>
        <v>0</v>
      </c>
      <c r="NKU364" s="373">
        <f>'Q100a-geral'!NKU887</f>
        <v>0</v>
      </c>
      <c r="NKV364" s="373">
        <f>'Q100a-geral'!NKV887</f>
        <v>0</v>
      </c>
      <c r="NKW364" s="373">
        <f>'Q100a-geral'!NKW887</f>
        <v>0</v>
      </c>
      <c r="NKX364" s="373">
        <f>'Q100a-geral'!NKX887</f>
        <v>0</v>
      </c>
      <c r="NKY364" s="373">
        <f>'Q100a-geral'!NKY887</f>
        <v>0</v>
      </c>
      <c r="NKZ364" s="373">
        <f>'Q100a-geral'!NKZ887</f>
        <v>0</v>
      </c>
      <c r="NLA364" s="373">
        <f>'Q100a-geral'!NLA887</f>
        <v>0</v>
      </c>
      <c r="NLB364" s="373">
        <f>'Q100a-geral'!NLB887</f>
        <v>0</v>
      </c>
      <c r="NLC364" s="373">
        <f>'Q100a-geral'!NLC887</f>
        <v>0</v>
      </c>
      <c r="NLD364" s="373">
        <f>'Q100a-geral'!NLD887</f>
        <v>0</v>
      </c>
      <c r="NLE364" s="373">
        <f>'Q100a-geral'!NLE887</f>
        <v>0</v>
      </c>
      <c r="NLF364" s="373">
        <f>'Q100a-geral'!NLF887</f>
        <v>0</v>
      </c>
      <c r="NLG364" s="373">
        <f>'Q100a-geral'!NLG887</f>
        <v>0</v>
      </c>
      <c r="NLH364" s="373">
        <f>'Q100a-geral'!NLH887</f>
        <v>0</v>
      </c>
      <c r="NLI364" s="373">
        <f>'Q100a-geral'!NLI887</f>
        <v>0</v>
      </c>
      <c r="NLJ364" s="373">
        <f>'Q100a-geral'!NLJ887</f>
        <v>0</v>
      </c>
      <c r="NLK364" s="373">
        <f>'Q100a-geral'!NLK887</f>
        <v>0</v>
      </c>
      <c r="NLL364" s="373">
        <f>'Q100a-geral'!NLL887</f>
        <v>0</v>
      </c>
      <c r="NLM364" s="373">
        <f>'Q100a-geral'!NLM887</f>
        <v>0</v>
      </c>
      <c r="NLN364" s="373">
        <f>'Q100a-geral'!NLN887</f>
        <v>0</v>
      </c>
      <c r="NLO364" s="373">
        <f>'Q100a-geral'!NLO887</f>
        <v>0</v>
      </c>
      <c r="NLP364" s="373">
        <f>'Q100a-geral'!NLP887</f>
        <v>0</v>
      </c>
      <c r="NLQ364" s="373">
        <f>'Q100a-geral'!NLQ887</f>
        <v>0</v>
      </c>
      <c r="NLR364" s="373">
        <f>'Q100a-geral'!NLR887</f>
        <v>0</v>
      </c>
      <c r="NLS364" s="373">
        <f>'Q100a-geral'!NLS887</f>
        <v>0</v>
      </c>
      <c r="NLT364" s="373">
        <f>'Q100a-geral'!NLT887</f>
        <v>0</v>
      </c>
      <c r="NLU364" s="373">
        <f>'Q100a-geral'!NLU887</f>
        <v>0</v>
      </c>
      <c r="NLV364" s="373">
        <f>'Q100a-geral'!NLV887</f>
        <v>0</v>
      </c>
      <c r="NLW364" s="373">
        <f>'Q100a-geral'!NLW887</f>
        <v>0</v>
      </c>
      <c r="NLX364" s="373">
        <f>'Q100a-geral'!NLX887</f>
        <v>0</v>
      </c>
      <c r="NLY364" s="373">
        <f>'Q100a-geral'!NLY887</f>
        <v>0</v>
      </c>
      <c r="NLZ364" s="373">
        <f>'Q100a-geral'!NLZ887</f>
        <v>0</v>
      </c>
      <c r="NMA364" s="373">
        <f>'Q100a-geral'!NMA887</f>
        <v>0</v>
      </c>
      <c r="NMB364" s="373">
        <f>'Q100a-geral'!NMB887</f>
        <v>0</v>
      </c>
      <c r="NMC364" s="373">
        <f>'Q100a-geral'!NMC887</f>
        <v>0</v>
      </c>
      <c r="NMD364" s="373">
        <f>'Q100a-geral'!NMD887</f>
        <v>0</v>
      </c>
      <c r="NME364" s="373">
        <f>'Q100a-geral'!NME887</f>
        <v>0</v>
      </c>
      <c r="NMF364" s="373">
        <f>'Q100a-geral'!NMF887</f>
        <v>0</v>
      </c>
      <c r="NMG364" s="373">
        <f>'Q100a-geral'!NMG887</f>
        <v>0</v>
      </c>
      <c r="NMH364" s="373">
        <f>'Q100a-geral'!NMH887</f>
        <v>0</v>
      </c>
      <c r="NMI364" s="373">
        <f>'Q100a-geral'!NMI887</f>
        <v>0</v>
      </c>
      <c r="NMJ364" s="373">
        <f>'Q100a-geral'!NMJ887</f>
        <v>0</v>
      </c>
      <c r="NMK364" s="373">
        <f>'Q100a-geral'!NMK887</f>
        <v>0</v>
      </c>
      <c r="NML364" s="373">
        <f>'Q100a-geral'!NML887</f>
        <v>0</v>
      </c>
      <c r="NMM364" s="373">
        <f>'Q100a-geral'!NMM887</f>
        <v>0</v>
      </c>
      <c r="NMN364" s="373">
        <f>'Q100a-geral'!NMN887</f>
        <v>0</v>
      </c>
      <c r="NMO364" s="373">
        <f>'Q100a-geral'!NMO887</f>
        <v>0</v>
      </c>
      <c r="NMP364" s="373">
        <f>'Q100a-geral'!NMP887</f>
        <v>0</v>
      </c>
      <c r="NMQ364" s="373">
        <f>'Q100a-geral'!NMQ887</f>
        <v>0</v>
      </c>
      <c r="NMR364" s="373">
        <f>'Q100a-geral'!NMR887</f>
        <v>0</v>
      </c>
      <c r="NMS364" s="373">
        <f>'Q100a-geral'!NMS887</f>
        <v>0</v>
      </c>
      <c r="NMT364" s="373">
        <f>'Q100a-geral'!NMT887</f>
        <v>0</v>
      </c>
      <c r="NMU364" s="373">
        <f>'Q100a-geral'!NMU887</f>
        <v>0</v>
      </c>
      <c r="NMV364" s="373">
        <f>'Q100a-geral'!NMV887</f>
        <v>0</v>
      </c>
      <c r="NMW364" s="373">
        <f>'Q100a-geral'!NMW887</f>
        <v>0</v>
      </c>
      <c r="NMX364" s="373">
        <f>'Q100a-geral'!NMX887</f>
        <v>0</v>
      </c>
      <c r="NMY364" s="373">
        <f>'Q100a-geral'!NMY887</f>
        <v>0</v>
      </c>
      <c r="NMZ364" s="373">
        <f>'Q100a-geral'!NMZ887</f>
        <v>0</v>
      </c>
      <c r="NNA364" s="373">
        <f>'Q100a-geral'!NNA887</f>
        <v>0</v>
      </c>
      <c r="NNB364" s="373">
        <f>'Q100a-geral'!NNB887</f>
        <v>0</v>
      </c>
      <c r="NNC364" s="373">
        <f>'Q100a-geral'!NNC887</f>
        <v>0</v>
      </c>
      <c r="NND364" s="373">
        <f>'Q100a-geral'!NND887</f>
        <v>0</v>
      </c>
      <c r="NNE364" s="373">
        <f>'Q100a-geral'!NNE887</f>
        <v>0</v>
      </c>
      <c r="NNF364" s="373">
        <f>'Q100a-geral'!NNF887</f>
        <v>0</v>
      </c>
      <c r="NNG364" s="373">
        <f>'Q100a-geral'!NNG887</f>
        <v>0</v>
      </c>
      <c r="NNH364" s="373">
        <f>'Q100a-geral'!NNH887</f>
        <v>0</v>
      </c>
      <c r="NNI364" s="373">
        <f>'Q100a-geral'!NNI887</f>
        <v>0</v>
      </c>
      <c r="NNJ364" s="373">
        <f>'Q100a-geral'!NNJ887</f>
        <v>0</v>
      </c>
      <c r="NNK364" s="373">
        <f>'Q100a-geral'!NNK887</f>
        <v>0</v>
      </c>
      <c r="NNL364" s="373">
        <f>'Q100a-geral'!NNL887</f>
        <v>0</v>
      </c>
      <c r="NNM364" s="373">
        <f>'Q100a-geral'!NNM887</f>
        <v>0</v>
      </c>
      <c r="NNN364" s="373">
        <f>'Q100a-geral'!NNN887</f>
        <v>0</v>
      </c>
      <c r="NNO364" s="373">
        <f>'Q100a-geral'!NNO887</f>
        <v>0</v>
      </c>
      <c r="NNP364" s="373">
        <f>'Q100a-geral'!NNP887</f>
        <v>0</v>
      </c>
      <c r="NNQ364" s="373">
        <f>'Q100a-geral'!NNQ887</f>
        <v>0</v>
      </c>
      <c r="NNR364" s="373">
        <f>'Q100a-geral'!NNR887</f>
        <v>0</v>
      </c>
      <c r="NNS364" s="373">
        <f>'Q100a-geral'!NNS887</f>
        <v>0</v>
      </c>
      <c r="NNT364" s="373">
        <f>'Q100a-geral'!NNT887</f>
        <v>0</v>
      </c>
      <c r="NNU364" s="373">
        <f>'Q100a-geral'!NNU887</f>
        <v>0</v>
      </c>
      <c r="NNV364" s="373">
        <f>'Q100a-geral'!NNV887</f>
        <v>0</v>
      </c>
      <c r="NNW364" s="373">
        <f>'Q100a-geral'!NNW887</f>
        <v>0</v>
      </c>
      <c r="NNX364" s="373">
        <f>'Q100a-geral'!NNX887</f>
        <v>0</v>
      </c>
      <c r="NNY364" s="373">
        <f>'Q100a-geral'!NNY887</f>
        <v>0</v>
      </c>
      <c r="NNZ364" s="373">
        <f>'Q100a-geral'!NNZ887</f>
        <v>0</v>
      </c>
      <c r="NOA364" s="373">
        <f>'Q100a-geral'!NOA887</f>
        <v>0</v>
      </c>
      <c r="NOB364" s="373">
        <f>'Q100a-geral'!NOB887</f>
        <v>0</v>
      </c>
      <c r="NOC364" s="373">
        <f>'Q100a-geral'!NOC887</f>
        <v>0</v>
      </c>
      <c r="NOD364" s="373">
        <f>'Q100a-geral'!NOD887</f>
        <v>0</v>
      </c>
      <c r="NOE364" s="373">
        <f>'Q100a-geral'!NOE887</f>
        <v>0</v>
      </c>
      <c r="NOF364" s="373">
        <f>'Q100a-geral'!NOF887</f>
        <v>0</v>
      </c>
      <c r="NOG364" s="373">
        <f>'Q100a-geral'!NOG887</f>
        <v>0</v>
      </c>
      <c r="NOH364" s="373">
        <f>'Q100a-geral'!NOH887</f>
        <v>0</v>
      </c>
      <c r="NOI364" s="373">
        <f>'Q100a-geral'!NOI887</f>
        <v>0</v>
      </c>
      <c r="NOJ364" s="373">
        <f>'Q100a-geral'!NOJ887</f>
        <v>0</v>
      </c>
      <c r="NOK364" s="373">
        <f>'Q100a-geral'!NOK887</f>
        <v>0</v>
      </c>
      <c r="NOL364" s="373">
        <f>'Q100a-geral'!NOL887</f>
        <v>0</v>
      </c>
      <c r="NOM364" s="373">
        <f>'Q100a-geral'!NOM887</f>
        <v>0</v>
      </c>
      <c r="NON364" s="373">
        <f>'Q100a-geral'!NON887</f>
        <v>0</v>
      </c>
      <c r="NOO364" s="373">
        <f>'Q100a-geral'!NOO887</f>
        <v>0</v>
      </c>
      <c r="NOP364" s="373">
        <f>'Q100a-geral'!NOP887</f>
        <v>0</v>
      </c>
      <c r="NOQ364" s="373">
        <f>'Q100a-geral'!NOQ887</f>
        <v>0</v>
      </c>
      <c r="NOR364" s="373">
        <f>'Q100a-geral'!NOR887</f>
        <v>0</v>
      </c>
      <c r="NOS364" s="373">
        <f>'Q100a-geral'!NOS887</f>
        <v>0</v>
      </c>
      <c r="NOT364" s="373">
        <f>'Q100a-geral'!NOT887</f>
        <v>0</v>
      </c>
      <c r="NOU364" s="373">
        <f>'Q100a-geral'!NOU887</f>
        <v>0</v>
      </c>
      <c r="NOV364" s="373">
        <f>'Q100a-geral'!NOV887</f>
        <v>0</v>
      </c>
      <c r="NOW364" s="373">
        <f>'Q100a-geral'!NOW887</f>
        <v>0</v>
      </c>
      <c r="NOX364" s="373">
        <f>'Q100a-geral'!NOX887</f>
        <v>0</v>
      </c>
      <c r="NOY364" s="373">
        <f>'Q100a-geral'!NOY887</f>
        <v>0</v>
      </c>
      <c r="NOZ364" s="373">
        <f>'Q100a-geral'!NOZ887</f>
        <v>0</v>
      </c>
      <c r="NPA364" s="373">
        <f>'Q100a-geral'!NPA887</f>
        <v>0</v>
      </c>
      <c r="NPB364" s="373">
        <f>'Q100a-geral'!NPB887</f>
        <v>0</v>
      </c>
      <c r="NPC364" s="373">
        <f>'Q100a-geral'!NPC887</f>
        <v>0</v>
      </c>
      <c r="NPD364" s="373">
        <f>'Q100a-geral'!NPD887</f>
        <v>0</v>
      </c>
      <c r="NPE364" s="373">
        <f>'Q100a-geral'!NPE887</f>
        <v>0</v>
      </c>
      <c r="NPF364" s="373">
        <f>'Q100a-geral'!NPF887</f>
        <v>0</v>
      </c>
      <c r="NPG364" s="373">
        <f>'Q100a-geral'!NPG887</f>
        <v>0</v>
      </c>
      <c r="NPH364" s="373">
        <f>'Q100a-geral'!NPH887</f>
        <v>0</v>
      </c>
      <c r="NPI364" s="373">
        <f>'Q100a-geral'!NPI887</f>
        <v>0</v>
      </c>
      <c r="NPJ364" s="373">
        <f>'Q100a-geral'!NPJ887</f>
        <v>0</v>
      </c>
      <c r="NPK364" s="373">
        <f>'Q100a-geral'!NPK887</f>
        <v>0</v>
      </c>
      <c r="NPL364" s="373">
        <f>'Q100a-geral'!NPL887</f>
        <v>0</v>
      </c>
      <c r="NPM364" s="373">
        <f>'Q100a-geral'!NPM887</f>
        <v>0</v>
      </c>
      <c r="NPN364" s="373">
        <f>'Q100a-geral'!NPN887</f>
        <v>0</v>
      </c>
      <c r="NPO364" s="373">
        <f>'Q100a-geral'!NPO887</f>
        <v>0</v>
      </c>
      <c r="NPP364" s="373">
        <f>'Q100a-geral'!NPP887</f>
        <v>0</v>
      </c>
      <c r="NPQ364" s="373">
        <f>'Q100a-geral'!NPQ887</f>
        <v>0</v>
      </c>
      <c r="NPR364" s="373">
        <f>'Q100a-geral'!NPR887</f>
        <v>0</v>
      </c>
      <c r="NPS364" s="373">
        <f>'Q100a-geral'!NPS887</f>
        <v>0</v>
      </c>
      <c r="NPT364" s="373">
        <f>'Q100a-geral'!NPT887</f>
        <v>0</v>
      </c>
      <c r="NPU364" s="373">
        <f>'Q100a-geral'!NPU887</f>
        <v>0</v>
      </c>
      <c r="NPV364" s="373">
        <f>'Q100a-geral'!NPV887</f>
        <v>0</v>
      </c>
      <c r="NPW364" s="373">
        <f>'Q100a-geral'!NPW887</f>
        <v>0</v>
      </c>
      <c r="NPX364" s="373">
        <f>'Q100a-geral'!NPX887</f>
        <v>0</v>
      </c>
      <c r="NPY364" s="373">
        <f>'Q100a-geral'!NPY887</f>
        <v>0</v>
      </c>
      <c r="NPZ364" s="373">
        <f>'Q100a-geral'!NPZ887</f>
        <v>0</v>
      </c>
      <c r="NQA364" s="373">
        <f>'Q100a-geral'!NQA887</f>
        <v>0</v>
      </c>
      <c r="NQB364" s="373">
        <f>'Q100a-geral'!NQB887</f>
        <v>0</v>
      </c>
      <c r="NQC364" s="373">
        <f>'Q100a-geral'!NQC887</f>
        <v>0</v>
      </c>
      <c r="NQD364" s="373">
        <f>'Q100a-geral'!NQD887</f>
        <v>0</v>
      </c>
      <c r="NQE364" s="373">
        <f>'Q100a-geral'!NQE887</f>
        <v>0</v>
      </c>
      <c r="NQF364" s="373">
        <f>'Q100a-geral'!NQF887</f>
        <v>0</v>
      </c>
      <c r="NQG364" s="373">
        <f>'Q100a-geral'!NQG887</f>
        <v>0</v>
      </c>
      <c r="NQH364" s="373">
        <f>'Q100a-geral'!NQH887</f>
        <v>0</v>
      </c>
      <c r="NQI364" s="373">
        <f>'Q100a-geral'!NQI887</f>
        <v>0</v>
      </c>
      <c r="NQJ364" s="373">
        <f>'Q100a-geral'!NQJ887</f>
        <v>0</v>
      </c>
      <c r="NQK364" s="373">
        <f>'Q100a-geral'!NQK887</f>
        <v>0</v>
      </c>
      <c r="NQL364" s="373">
        <f>'Q100a-geral'!NQL887</f>
        <v>0</v>
      </c>
      <c r="NQM364" s="373">
        <f>'Q100a-geral'!NQM887</f>
        <v>0</v>
      </c>
      <c r="NQN364" s="373">
        <f>'Q100a-geral'!NQN887</f>
        <v>0</v>
      </c>
      <c r="NQO364" s="373">
        <f>'Q100a-geral'!NQO887</f>
        <v>0</v>
      </c>
      <c r="NQP364" s="373">
        <f>'Q100a-geral'!NQP887</f>
        <v>0</v>
      </c>
      <c r="NQQ364" s="373">
        <f>'Q100a-geral'!NQQ887</f>
        <v>0</v>
      </c>
      <c r="NQR364" s="373">
        <f>'Q100a-geral'!NQR887</f>
        <v>0</v>
      </c>
      <c r="NQS364" s="373">
        <f>'Q100a-geral'!NQS887</f>
        <v>0</v>
      </c>
      <c r="NQT364" s="373">
        <f>'Q100a-geral'!NQT887</f>
        <v>0</v>
      </c>
      <c r="NQU364" s="373">
        <f>'Q100a-geral'!NQU887</f>
        <v>0</v>
      </c>
      <c r="NQV364" s="373">
        <f>'Q100a-geral'!NQV887</f>
        <v>0</v>
      </c>
      <c r="NQW364" s="373">
        <f>'Q100a-geral'!NQW887</f>
        <v>0</v>
      </c>
      <c r="NQX364" s="373">
        <f>'Q100a-geral'!NQX887</f>
        <v>0</v>
      </c>
      <c r="NQY364" s="373">
        <f>'Q100a-geral'!NQY887</f>
        <v>0</v>
      </c>
      <c r="NQZ364" s="373">
        <f>'Q100a-geral'!NQZ887</f>
        <v>0</v>
      </c>
      <c r="NRA364" s="373">
        <f>'Q100a-geral'!NRA887</f>
        <v>0</v>
      </c>
      <c r="NRB364" s="373">
        <f>'Q100a-geral'!NRB887</f>
        <v>0</v>
      </c>
      <c r="NRC364" s="373">
        <f>'Q100a-geral'!NRC887</f>
        <v>0</v>
      </c>
      <c r="NRD364" s="373">
        <f>'Q100a-geral'!NRD887</f>
        <v>0</v>
      </c>
      <c r="NRE364" s="373">
        <f>'Q100a-geral'!NRE887</f>
        <v>0</v>
      </c>
      <c r="NRF364" s="373">
        <f>'Q100a-geral'!NRF887</f>
        <v>0</v>
      </c>
      <c r="NRG364" s="373">
        <f>'Q100a-geral'!NRG887</f>
        <v>0</v>
      </c>
      <c r="NRH364" s="373">
        <f>'Q100a-geral'!NRH887</f>
        <v>0</v>
      </c>
      <c r="NRI364" s="373">
        <f>'Q100a-geral'!NRI887</f>
        <v>0</v>
      </c>
      <c r="NRJ364" s="373">
        <f>'Q100a-geral'!NRJ887</f>
        <v>0</v>
      </c>
      <c r="NRK364" s="373">
        <f>'Q100a-geral'!NRK887</f>
        <v>0</v>
      </c>
      <c r="NRL364" s="373">
        <f>'Q100a-geral'!NRL887</f>
        <v>0</v>
      </c>
      <c r="NRM364" s="373">
        <f>'Q100a-geral'!NRM887</f>
        <v>0</v>
      </c>
      <c r="NRN364" s="373">
        <f>'Q100a-geral'!NRN887</f>
        <v>0</v>
      </c>
      <c r="NRO364" s="373">
        <f>'Q100a-geral'!NRO887</f>
        <v>0</v>
      </c>
      <c r="NRP364" s="373">
        <f>'Q100a-geral'!NRP887</f>
        <v>0</v>
      </c>
      <c r="NRQ364" s="373">
        <f>'Q100a-geral'!NRQ887</f>
        <v>0</v>
      </c>
      <c r="NRR364" s="373">
        <f>'Q100a-geral'!NRR887</f>
        <v>0</v>
      </c>
      <c r="NRS364" s="373">
        <f>'Q100a-geral'!NRS887</f>
        <v>0</v>
      </c>
      <c r="NRT364" s="373">
        <f>'Q100a-geral'!NRT887</f>
        <v>0</v>
      </c>
      <c r="NRU364" s="373">
        <f>'Q100a-geral'!NRU887</f>
        <v>0</v>
      </c>
      <c r="NRV364" s="373">
        <f>'Q100a-geral'!NRV887</f>
        <v>0</v>
      </c>
      <c r="NRW364" s="373">
        <f>'Q100a-geral'!NRW887</f>
        <v>0</v>
      </c>
      <c r="NRX364" s="373">
        <f>'Q100a-geral'!NRX887</f>
        <v>0</v>
      </c>
      <c r="NRY364" s="373">
        <f>'Q100a-geral'!NRY887</f>
        <v>0</v>
      </c>
      <c r="NRZ364" s="373">
        <f>'Q100a-geral'!NRZ887</f>
        <v>0</v>
      </c>
      <c r="NSA364" s="373">
        <f>'Q100a-geral'!NSA887</f>
        <v>0</v>
      </c>
      <c r="NSB364" s="373">
        <f>'Q100a-geral'!NSB887</f>
        <v>0</v>
      </c>
      <c r="NSC364" s="373">
        <f>'Q100a-geral'!NSC887</f>
        <v>0</v>
      </c>
      <c r="NSD364" s="373">
        <f>'Q100a-geral'!NSD887</f>
        <v>0</v>
      </c>
      <c r="NSE364" s="373">
        <f>'Q100a-geral'!NSE887</f>
        <v>0</v>
      </c>
      <c r="NSF364" s="373">
        <f>'Q100a-geral'!NSF887</f>
        <v>0</v>
      </c>
      <c r="NSG364" s="373">
        <f>'Q100a-geral'!NSG887</f>
        <v>0</v>
      </c>
      <c r="NSH364" s="373">
        <f>'Q100a-geral'!NSH887</f>
        <v>0</v>
      </c>
      <c r="NSI364" s="373">
        <f>'Q100a-geral'!NSI887</f>
        <v>0</v>
      </c>
      <c r="NSJ364" s="373">
        <f>'Q100a-geral'!NSJ887</f>
        <v>0</v>
      </c>
      <c r="NSK364" s="373">
        <f>'Q100a-geral'!NSK887</f>
        <v>0</v>
      </c>
      <c r="NSL364" s="373">
        <f>'Q100a-geral'!NSL887</f>
        <v>0</v>
      </c>
      <c r="NSM364" s="373">
        <f>'Q100a-geral'!NSM887</f>
        <v>0</v>
      </c>
      <c r="NSN364" s="373">
        <f>'Q100a-geral'!NSN887</f>
        <v>0</v>
      </c>
      <c r="NSO364" s="373">
        <f>'Q100a-geral'!NSO887</f>
        <v>0</v>
      </c>
      <c r="NSP364" s="373">
        <f>'Q100a-geral'!NSP887</f>
        <v>0</v>
      </c>
      <c r="NSQ364" s="373">
        <f>'Q100a-geral'!NSQ887</f>
        <v>0</v>
      </c>
      <c r="NSR364" s="373">
        <f>'Q100a-geral'!NSR887</f>
        <v>0</v>
      </c>
      <c r="NSS364" s="373">
        <f>'Q100a-geral'!NSS887</f>
        <v>0</v>
      </c>
      <c r="NST364" s="373">
        <f>'Q100a-geral'!NST887</f>
        <v>0</v>
      </c>
      <c r="NSU364" s="373">
        <f>'Q100a-geral'!NSU887</f>
        <v>0</v>
      </c>
      <c r="NSV364" s="373">
        <f>'Q100a-geral'!NSV887</f>
        <v>0</v>
      </c>
      <c r="NSW364" s="373">
        <f>'Q100a-geral'!NSW887</f>
        <v>0</v>
      </c>
      <c r="NSX364" s="373">
        <f>'Q100a-geral'!NSX887</f>
        <v>0</v>
      </c>
      <c r="NSY364" s="373">
        <f>'Q100a-geral'!NSY887</f>
        <v>0</v>
      </c>
      <c r="NSZ364" s="373">
        <f>'Q100a-geral'!NSZ887</f>
        <v>0</v>
      </c>
      <c r="NTA364" s="373">
        <f>'Q100a-geral'!NTA887</f>
        <v>0</v>
      </c>
      <c r="NTB364" s="373">
        <f>'Q100a-geral'!NTB887</f>
        <v>0</v>
      </c>
      <c r="NTC364" s="373">
        <f>'Q100a-geral'!NTC887</f>
        <v>0</v>
      </c>
      <c r="NTD364" s="373">
        <f>'Q100a-geral'!NTD887</f>
        <v>0</v>
      </c>
      <c r="NTE364" s="373">
        <f>'Q100a-geral'!NTE887</f>
        <v>0</v>
      </c>
      <c r="NTF364" s="373">
        <f>'Q100a-geral'!NTF887</f>
        <v>0</v>
      </c>
      <c r="NTG364" s="373">
        <f>'Q100a-geral'!NTG887</f>
        <v>0</v>
      </c>
      <c r="NTH364" s="373">
        <f>'Q100a-geral'!NTH887</f>
        <v>0</v>
      </c>
      <c r="NTI364" s="373">
        <f>'Q100a-geral'!NTI887</f>
        <v>0</v>
      </c>
      <c r="NTJ364" s="373">
        <f>'Q100a-geral'!NTJ887</f>
        <v>0</v>
      </c>
      <c r="NTK364" s="373">
        <f>'Q100a-geral'!NTK887</f>
        <v>0</v>
      </c>
      <c r="NTL364" s="373">
        <f>'Q100a-geral'!NTL887</f>
        <v>0</v>
      </c>
      <c r="NTM364" s="373">
        <f>'Q100a-geral'!NTM887</f>
        <v>0</v>
      </c>
      <c r="NTN364" s="373">
        <f>'Q100a-geral'!NTN887</f>
        <v>0</v>
      </c>
      <c r="NTO364" s="373">
        <f>'Q100a-geral'!NTO887</f>
        <v>0</v>
      </c>
      <c r="NTP364" s="373">
        <f>'Q100a-geral'!NTP887</f>
        <v>0</v>
      </c>
      <c r="NTQ364" s="373">
        <f>'Q100a-geral'!NTQ887</f>
        <v>0</v>
      </c>
      <c r="NTR364" s="373">
        <f>'Q100a-geral'!NTR887</f>
        <v>0</v>
      </c>
      <c r="NTS364" s="373">
        <f>'Q100a-geral'!NTS887</f>
        <v>0</v>
      </c>
      <c r="NTT364" s="373">
        <f>'Q100a-geral'!NTT887</f>
        <v>0</v>
      </c>
      <c r="NTU364" s="373">
        <f>'Q100a-geral'!NTU887</f>
        <v>0</v>
      </c>
      <c r="NTV364" s="373">
        <f>'Q100a-geral'!NTV887</f>
        <v>0</v>
      </c>
      <c r="NTW364" s="373">
        <f>'Q100a-geral'!NTW887</f>
        <v>0</v>
      </c>
      <c r="NTX364" s="373">
        <f>'Q100a-geral'!NTX887</f>
        <v>0</v>
      </c>
      <c r="NTY364" s="373">
        <f>'Q100a-geral'!NTY887</f>
        <v>0</v>
      </c>
      <c r="NTZ364" s="373">
        <f>'Q100a-geral'!NTZ887</f>
        <v>0</v>
      </c>
      <c r="NUA364" s="373">
        <f>'Q100a-geral'!NUA887</f>
        <v>0</v>
      </c>
      <c r="NUB364" s="373">
        <f>'Q100a-geral'!NUB887</f>
        <v>0</v>
      </c>
      <c r="NUC364" s="373">
        <f>'Q100a-geral'!NUC887</f>
        <v>0</v>
      </c>
      <c r="NUD364" s="373">
        <f>'Q100a-geral'!NUD887</f>
        <v>0</v>
      </c>
      <c r="NUE364" s="373">
        <f>'Q100a-geral'!NUE887</f>
        <v>0</v>
      </c>
      <c r="NUF364" s="373">
        <f>'Q100a-geral'!NUF887</f>
        <v>0</v>
      </c>
      <c r="NUG364" s="373">
        <f>'Q100a-geral'!NUG887</f>
        <v>0</v>
      </c>
      <c r="NUH364" s="373">
        <f>'Q100a-geral'!NUH887</f>
        <v>0</v>
      </c>
      <c r="NUI364" s="373">
        <f>'Q100a-geral'!NUI887</f>
        <v>0</v>
      </c>
      <c r="NUJ364" s="373">
        <f>'Q100a-geral'!NUJ887</f>
        <v>0</v>
      </c>
      <c r="NUK364" s="373">
        <f>'Q100a-geral'!NUK887</f>
        <v>0</v>
      </c>
      <c r="NUL364" s="373">
        <f>'Q100a-geral'!NUL887</f>
        <v>0</v>
      </c>
      <c r="NUM364" s="373">
        <f>'Q100a-geral'!NUM887</f>
        <v>0</v>
      </c>
      <c r="NUN364" s="373">
        <f>'Q100a-geral'!NUN887</f>
        <v>0</v>
      </c>
      <c r="NUO364" s="373">
        <f>'Q100a-geral'!NUO887</f>
        <v>0</v>
      </c>
      <c r="NUP364" s="373">
        <f>'Q100a-geral'!NUP887</f>
        <v>0</v>
      </c>
      <c r="NUQ364" s="373">
        <f>'Q100a-geral'!NUQ887</f>
        <v>0</v>
      </c>
      <c r="NUR364" s="373">
        <f>'Q100a-geral'!NUR887</f>
        <v>0</v>
      </c>
      <c r="NUS364" s="373">
        <f>'Q100a-geral'!NUS887</f>
        <v>0</v>
      </c>
      <c r="NUT364" s="373">
        <f>'Q100a-geral'!NUT887</f>
        <v>0</v>
      </c>
      <c r="NUU364" s="373">
        <f>'Q100a-geral'!NUU887</f>
        <v>0</v>
      </c>
      <c r="NUV364" s="373">
        <f>'Q100a-geral'!NUV887</f>
        <v>0</v>
      </c>
      <c r="NUW364" s="373">
        <f>'Q100a-geral'!NUW887</f>
        <v>0</v>
      </c>
      <c r="NUX364" s="373">
        <f>'Q100a-geral'!NUX887</f>
        <v>0</v>
      </c>
      <c r="NUY364" s="373">
        <f>'Q100a-geral'!NUY887</f>
        <v>0</v>
      </c>
      <c r="NUZ364" s="373">
        <f>'Q100a-geral'!NUZ887</f>
        <v>0</v>
      </c>
      <c r="NVA364" s="373">
        <f>'Q100a-geral'!NVA887</f>
        <v>0</v>
      </c>
      <c r="NVB364" s="373">
        <f>'Q100a-geral'!NVB887</f>
        <v>0</v>
      </c>
      <c r="NVC364" s="373">
        <f>'Q100a-geral'!NVC887</f>
        <v>0</v>
      </c>
      <c r="NVD364" s="373">
        <f>'Q100a-geral'!NVD887</f>
        <v>0</v>
      </c>
      <c r="NVE364" s="373">
        <f>'Q100a-geral'!NVE887</f>
        <v>0</v>
      </c>
      <c r="NVF364" s="373">
        <f>'Q100a-geral'!NVF887</f>
        <v>0</v>
      </c>
      <c r="NVG364" s="373">
        <f>'Q100a-geral'!NVG887</f>
        <v>0</v>
      </c>
      <c r="NVH364" s="373">
        <f>'Q100a-geral'!NVH887</f>
        <v>0</v>
      </c>
      <c r="NVI364" s="373">
        <f>'Q100a-geral'!NVI887</f>
        <v>0</v>
      </c>
      <c r="NVJ364" s="373">
        <f>'Q100a-geral'!NVJ887</f>
        <v>0</v>
      </c>
      <c r="NVK364" s="373">
        <f>'Q100a-geral'!NVK887</f>
        <v>0</v>
      </c>
      <c r="NVL364" s="373">
        <f>'Q100a-geral'!NVL887</f>
        <v>0</v>
      </c>
      <c r="NVM364" s="373">
        <f>'Q100a-geral'!NVM887</f>
        <v>0</v>
      </c>
      <c r="NVN364" s="373">
        <f>'Q100a-geral'!NVN887</f>
        <v>0</v>
      </c>
      <c r="NVO364" s="373">
        <f>'Q100a-geral'!NVO887</f>
        <v>0</v>
      </c>
      <c r="NVP364" s="373">
        <f>'Q100a-geral'!NVP887</f>
        <v>0</v>
      </c>
      <c r="NVQ364" s="373">
        <f>'Q100a-geral'!NVQ887</f>
        <v>0</v>
      </c>
      <c r="NVR364" s="373">
        <f>'Q100a-geral'!NVR887</f>
        <v>0</v>
      </c>
      <c r="NVS364" s="373">
        <f>'Q100a-geral'!NVS887</f>
        <v>0</v>
      </c>
      <c r="NVT364" s="373">
        <f>'Q100a-geral'!NVT887</f>
        <v>0</v>
      </c>
      <c r="NVU364" s="373">
        <f>'Q100a-geral'!NVU887</f>
        <v>0</v>
      </c>
      <c r="NVV364" s="373">
        <f>'Q100a-geral'!NVV887</f>
        <v>0</v>
      </c>
      <c r="NVW364" s="373">
        <f>'Q100a-geral'!NVW887</f>
        <v>0</v>
      </c>
      <c r="NVX364" s="373">
        <f>'Q100a-geral'!NVX887</f>
        <v>0</v>
      </c>
      <c r="NVY364" s="373">
        <f>'Q100a-geral'!NVY887</f>
        <v>0</v>
      </c>
      <c r="NVZ364" s="373">
        <f>'Q100a-geral'!NVZ887</f>
        <v>0</v>
      </c>
      <c r="NWA364" s="373">
        <f>'Q100a-geral'!NWA887</f>
        <v>0</v>
      </c>
      <c r="NWB364" s="373">
        <f>'Q100a-geral'!NWB887</f>
        <v>0</v>
      </c>
      <c r="NWC364" s="373">
        <f>'Q100a-geral'!NWC887</f>
        <v>0</v>
      </c>
      <c r="NWD364" s="373">
        <f>'Q100a-geral'!NWD887</f>
        <v>0</v>
      </c>
      <c r="NWE364" s="373">
        <f>'Q100a-geral'!NWE887</f>
        <v>0</v>
      </c>
      <c r="NWF364" s="373">
        <f>'Q100a-geral'!NWF887</f>
        <v>0</v>
      </c>
      <c r="NWG364" s="373">
        <f>'Q100a-geral'!NWG887</f>
        <v>0</v>
      </c>
      <c r="NWH364" s="373">
        <f>'Q100a-geral'!NWH887</f>
        <v>0</v>
      </c>
      <c r="NWI364" s="373">
        <f>'Q100a-geral'!NWI887</f>
        <v>0</v>
      </c>
      <c r="NWJ364" s="373">
        <f>'Q100a-geral'!NWJ887</f>
        <v>0</v>
      </c>
      <c r="NWK364" s="373">
        <f>'Q100a-geral'!NWK887</f>
        <v>0</v>
      </c>
      <c r="NWL364" s="373">
        <f>'Q100a-geral'!NWL887</f>
        <v>0</v>
      </c>
      <c r="NWM364" s="373">
        <f>'Q100a-geral'!NWM887</f>
        <v>0</v>
      </c>
      <c r="NWN364" s="373">
        <f>'Q100a-geral'!NWN887</f>
        <v>0</v>
      </c>
      <c r="NWO364" s="373">
        <f>'Q100a-geral'!NWO887</f>
        <v>0</v>
      </c>
      <c r="NWP364" s="373">
        <f>'Q100a-geral'!NWP887</f>
        <v>0</v>
      </c>
      <c r="NWQ364" s="373">
        <f>'Q100a-geral'!NWQ887</f>
        <v>0</v>
      </c>
      <c r="NWR364" s="373">
        <f>'Q100a-geral'!NWR887</f>
        <v>0</v>
      </c>
      <c r="NWS364" s="373">
        <f>'Q100a-geral'!NWS887</f>
        <v>0</v>
      </c>
      <c r="NWT364" s="373">
        <f>'Q100a-geral'!NWT887</f>
        <v>0</v>
      </c>
      <c r="NWU364" s="373">
        <f>'Q100a-geral'!NWU887</f>
        <v>0</v>
      </c>
      <c r="NWV364" s="373">
        <f>'Q100a-geral'!NWV887</f>
        <v>0</v>
      </c>
      <c r="NWW364" s="373">
        <f>'Q100a-geral'!NWW887</f>
        <v>0</v>
      </c>
      <c r="NWX364" s="373">
        <f>'Q100a-geral'!NWX887</f>
        <v>0</v>
      </c>
      <c r="NWY364" s="373">
        <f>'Q100a-geral'!NWY887</f>
        <v>0</v>
      </c>
      <c r="NWZ364" s="373">
        <f>'Q100a-geral'!NWZ887</f>
        <v>0</v>
      </c>
      <c r="NXA364" s="373">
        <f>'Q100a-geral'!NXA887</f>
        <v>0</v>
      </c>
      <c r="NXB364" s="373">
        <f>'Q100a-geral'!NXB887</f>
        <v>0</v>
      </c>
      <c r="NXC364" s="373">
        <f>'Q100a-geral'!NXC887</f>
        <v>0</v>
      </c>
      <c r="NXD364" s="373">
        <f>'Q100a-geral'!NXD887</f>
        <v>0</v>
      </c>
      <c r="NXE364" s="373">
        <f>'Q100a-geral'!NXE887</f>
        <v>0</v>
      </c>
      <c r="NXF364" s="373">
        <f>'Q100a-geral'!NXF887</f>
        <v>0</v>
      </c>
      <c r="NXG364" s="373">
        <f>'Q100a-geral'!NXG887</f>
        <v>0</v>
      </c>
      <c r="NXH364" s="373">
        <f>'Q100a-geral'!NXH887</f>
        <v>0</v>
      </c>
      <c r="NXI364" s="373">
        <f>'Q100a-geral'!NXI887</f>
        <v>0</v>
      </c>
      <c r="NXJ364" s="373">
        <f>'Q100a-geral'!NXJ887</f>
        <v>0</v>
      </c>
      <c r="NXK364" s="373">
        <f>'Q100a-geral'!NXK887</f>
        <v>0</v>
      </c>
      <c r="NXL364" s="373">
        <f>'Q100a-geral'!NXL887</f>
        <v>0</v>
      </c>
      <c r="NXM364" s="373">
        <f>'Q100a-geral'!NXM887</f>
        <v>0</v>
      </c>
      <c r="NXN364" s="373">
        <f>'Q100a-geral'!NXN887</f>
        <v>0</v>
      </c>
      <c r="NXO364" s="373">
        <f>'Q100a-geral'!NXO887</f>
        <v>0</v>
      </c>
      <c r="NXP364" s="373">
        <f>'Q100a-geral'!NXP887</f>
        <v>0</v>
      </c>
      <c r="NXQ364" s="373">
        <f>'Q100a-geral'!NXQ887</f>
        <v>0</v>
      </c>
      <c r="NXR364" s="373">
        <f>'Q100a-geral'!NXR887</f>
        <v>0</v>
      </c>
      <c r="NXS364" s="373">
        <f>'Q100a-geral'!NXS887</f>
        <v>0</v>
      </c>
      <c r="NXT364" s="373">
        <f>'Q100a-geral'!NXT887</f>
        <v>0</v>
      </c>
      <c r="NXU364" s="373">
        <f>'Q100a-geral'!NXU887</f>
        <v>0</v>
      </c>
      <c r="NXV364" s="373">
        <f>'Q100a-geral'!NXV887</f>
        <v>0</v>
      </c>
      <c r="NXW364" s="373">
        <f>'Q100a-geral'!NXW887</f>
        <v>0</v>
      </c>
      <c r="NXX364" s="373">
        <f>'Q100a-geral'!NXX887</f>
        <v>0</v>
      </c>
      <c r="NXY364" s="373">
        <f>'Q100a-geral'!NXY887</f>
        <v>0</v>
      </c>
      <c r="NXZ364" s="373">
        <f>'Q100a-geral'!NXZ887</f>
        <v>0</v>
      </c>
      <c r="NYA364" s="373">
        <f>'Q100a-geral'!NYA887</f>
        <v>0</v>
      </c>
      <c r="NYB364" s="373">
        <f>'Q100a-geral'!NYB887</f>
        <v>0</v>
      </c>
      <c r="NYC364" s="373">
        <f>'Q100a-geral'!NYC887</f>
        <v>0</v>
      </c>
      <c r="NYD364" s="373">
        <f>'Q100a-geral'!NYD887</f>
        <v>0</v>
      </c>
      <c r="NYE364" s="373">
        <f>'Q100a-geral'!NYE887</f>
        <v>0</v>
      </c>
      <c r="NYF364" s="373">
        <f>'Q100a-geral'!NYF887</f>
        <v>0</v>
      </c>
      <c r="NYG364" s="373">
        <f>'Q100a-geral'!NYG887</f>
        <v>0</v>
      </c>
      <c r="NYH364" s="373">
        <f>'Q100a-geral'!NYH887</f>
        <v>0</v>
      </c>
      <c r="NYI364" s="373">
        <f>'Q100a-geral'!NYI887</f>
        <v>0</v>
      </c>
      <c r="NYJ364" s="373">
        <f>'Q100a-geral'!NYJ887</f>
        <v>0</v>
      </c>
      <c r="NYK364" s="373">
        <f>'Q100a-geral'!NYK887</f>
        <v>0</v>
      </c>
      <c r="NYL364" s="373">
        <f>'Q100a-geral'!NYL887</f>
        <v>0</v>
      </c>
      <c r="NYM364" s="373">
        <f>'Q100a-geral'!NYM887</f>
        <v>0</v>
      </c>
      <c r="NYN364" s="373">
        <f>'Q100a-geral'!NYN887</f>
        <v>0</v>
      </c>
      <c r="NYO364" s="373">
        <f>'Q100a-geral'!NYO887</f>
        <v>0</v>
      </c>
      <c r="NYP364" s="373">
        <f>'Q100a-geral'!NYP887</f>
        <v>0</v>
      </c>
      <c r="NYQ364" s="373">
        <f>'Q100a-geral'!NYQ887</f>
        <v>0</v>
      </c>
      <c r="NYR364" s="373">
        <f>'Q100a-geral'!NYR887</f>
        <v>0</v>
      </c>
      <c r="NYS364" s="373">
        <f>'Q100a-geral'!NYS887</f>
        <v>0</v>
      </c>
      <c r="NYT364" s="373">
        <f>'Q100a-geral'!NYT887</f>
        <v>0</v>
      </c>
      <c r="NYU364" s="373">
        <f>'Q100a-geral'!NYU887</f>
        <v>0</v>
      </c>
      <c r="NYV364" s="373">
        <f>'Q100a-geral'!NYV887</f>
        <v>0</v>
      </c>
      <c r="NYW364" s="373">
        <f>'Q100a-geral'!NYW887</f>
        <v>0</v>
      </c>
      <c r="NYX364" s="373">
        <f>'Q100a-geral'!NYX887</f>
        <v>0</v>
      </c>
      <c r="NYY364" s="373">
        <f>'Q100a-geral'!NYY887</f>
        <v>0</v>
      </c>
      <c r="NYZ364" s="373">
        <f>'Q100a-geral'!NYZ887</f>
        <v>0</v>
      </c>
      <c r="NZA364" s="373">
        <f>'Q100a-geral'!NZA887</f>
        <v>0</v>
      </c>
      <c r="NZB364" s="373">
        <f>'Q100a-geral'!NZB887</f>
        <v>0</v>
      </c>
      <c r="NZC364" s="373">
        <f>'Q100a-geral'!NZC887</f>
        <v>0</v>
      </c>
      <c r="NZD364" s="373">
        <f>'Q100a-geral'!NZD887</f>
        <v>0</v>
      </c>
      <c r="NZE364" s="373">
        <f>'Q100a-geral'!NZE887</f>
        <v>0</v>
      </c>
      <c r="NZF364" s="373">
        <f>'Q100a-geral'!NZF887</f>
        <v>0</v>
      </c>
      <c r="NZG364" s="373">
        <f>'Q100a-geral'!NZG887</f>
        <v>0</v>
      </c>
      <c r="NZH364" s="373">
        <f>'Q100a-geral'!NZH887</f>
        <v>0</v>
      </c>
      <c r="NZI364" s="373">
        <f>'Q100a-geral'!NZI887</f>
        <v>0</v>
      </c>
      <c r="NZJ364" s="373">
        <f>'Q100a-geral'!NZJ887</f>
        <v>0</v>
      </c>
      <c r="NZK364" s="373">
        <f>'Q100a-geral'!NZK887</f>
        <v>0</v>
      </c>
      <c r="NZL364" s="373">
        <f>'Q100a-geral'!NZL887</f>
        <v>0</v>
      </c>
      <c r="NZM364" s="373">
        <f>'Q100a-geral'!NZM887</f>
        <v>0</v>
      </c>
      <c r="NZN364" s="373">
        <f>'Q100a-geral'!NZN887</f>
        <v>0</v>
      </c>
      <c r="NZO364" s="373">
        <f>'Q100a-geral'!NZO887</f>
        <v>0</v>
      </c>
      <c r="NZP364" s="373">
        <f>'Q100a-geral'!NZP887</f>
        <v>0</v>
      </c>
      <c r="NZQ364" s="373">
        <f>'Q100a-geral'!NZQ887</f>
        <v>0</v>
      </c>
      <c r="NZR364" s="373">
        <f>'Q100a-geral'!NZR887</f>
        <v>0</v>
      </c>
      <c r="NZS364" s="373">
        <f>'Q100a-geral'!NZS887</f>
        <v>0</v>
      </c>
      <c r="NZT364" s="373">
        <f>'Q100a-geral'!NZT887</f>
        <v>0</v>
      </c>
      <c r="NZU364" s="373">
        <f>'Q100a-geral'!NZU887</f>
        <v>0</v>
      </c>
      <c r="NZV364" s="373">
        <f>'Q100a-geral'!NZV887</f>
        <v>0</v>
      </c>
      <c r="NZW364" s="373">
        <f>'Q100a-geral'!NZW887</f>
        <v>0</v>
      </c>
      <c r="NZX364" s="373">
        <f>'Q100a-geral'!NZX887</f>
        <v>0</v>
      </c>
      <c r="NZY364" s="373">
        <f>'Q100a-geral'!NZY887</f>
        <v>0</v>
      </c>
      <c r="NZZ364" s="373">
        <f>'Q100a-geral'!NZZ887</f>
        <v>0</v>
      </c>
      <c r="OAA364" s="373">
        <f>'Q100a-geral'!OAA887</f>
        <v>0</v>
      </c>
      <c r="OAB364" s="373">
        <f>'Q100a-geral'!OAB887</f>
        <v>0</v>
      </c>
      <c r="OAC364" s="373">
        <f>'Q100a-geral'!OAC887</f>
        <v>0</v>
      </c>
      <c r="OAD364" s="373">
        <f>'Q100a-geral'!OAD887</f>
        <v>0</v>
      </c>
      <c r="OAE364" s="373">
        <f>'Q100a-geral'!OAE887</f>
        <v>0</v>
      </c>
      <c r="OAF364" s="373">
        <f>'Q100a-geral'!OAF887</f>
        <v>0</v>
      </c>
      <c r="OAG364" s="373">
        <f>'Q100a-geral'!OAG887</f>
        <v>0</v>
      </c>
      <c r="OAH364" s="373">
        <f>'Q100a-geral'!OAH887</f>
        <v>0</v>
      </c>
      <c r="OAI364" s="373">
        <f>'Q100a-geral'!OAI887</f>
        <v>0</v>
      </c>
      <c r="OAJ364" s="373">
        <f>'Q100a-geral'!OAJ887</f>
        <v>0</v>
      </c>
      <c r="OAK364" s="373">
        <f>'Q100a-geral'!OAK887</f>
        <v>0</v>
      </c>
      <c r="OAL364" s="373">
        <f>'Q100a-geral'!OAL887</f>
        <v>0</v>
      </c>
      <c r="OAM364" s="373">
        <f>'Q100a-geral'!OAM887</f>
        <v>0</v>
      </c>
      <c r="OAN364" s="373">
        <f>'Q100a-geral'!OAN887</f>
        <v>0</v>
      </c>
      <c r="OAO364" s="373">
        <f>'Q100a-geral'!OAO887</f>
        <v>0</v>
      </c>
      <c r="OAP364" s="373">
        <f>'Q100a-geral'!OAP887</f>
        <v>0</v>
      </c>
      <c r="OAQ364" s="373">
        <f>'Q100a-geral'!OAQ887</f>
        <v>0</v>
      </c>
      <c r="OAR364" s="373">
        <f>'Q100a-geral'!OAR887</f>
        <v>0</v>
      </c>
      <c r="OAS364" s="373">
        <f>'Q100a-geral'!OAS887</f>
        <v>0</v>
      </c>
      <c r="OAT364" s="373">
        <f>'Q100a-geral'!OAT887</f>
        <v>0</v>
      </c>
      <c r="OAU364" s="373">
        <f>'Q100a-geral'!OAU887</f>
        <v>0</v>
      </c>
      <c r="OAV364" s="373">
        <f>'Q100a-geral'!OAV887</f>
        <v>0</v>
      </c>
      <c r="OAW364" s="373">
        <f>'Q100a-geral'!OAW887</f>
        <v>0</v>
      </c>
      <c r="OAX364" s="373">
        <f>'Q100a-geral'!OAX887</f>
        <v>0</v>
      </c>
      <c r="OAY364" s="373">
        <f>'Q100a-geral'!OAY887</f>
        <v>0</v>
      </c>
      <c r="OAZ364" s="373">
        <f>'Q100a-geral'!OAZ887</f>
        <v>0</v>
      </c>
      <c r="OBA364" s="373">
        <f>'Q100a-geral'!OBA887</f>
        <v>0</v>
      </c>
      <c r="OBB364" s="373">
        <f>'Q100a-geral'!OBB887</f>
        <v>0</v>
      </c>
      <c r="OBC364" s="373">
        <f>'Q100a-geral'!OBC887</f>
        <v>0</v>
      </c>
      <c r="OBD364" s="373">
        <f>'Q100a-geral'!OBD887</f>
        <v>0</v>
      </c>
      <c r="OBE364" s="373">
        <f>'Q100a-geral'!OBE887</f>
        <v>0</v>
      </c>
      <c r="OBF364" s="373">
        <f>'Q100a-geral'!OBF887</f>
        <v>0</v>
      </c>
      <c r="OBG364" s="373">
        <f>'Q100a-geral'!OBG887</f>
        <v>0</v>
      </c>
      <c r="OBH364" s="373">
        <f>'Q100a-geral'!OBH887</f>
        <v>0</v>
      </c>
      <c r="OBI364" s="373">
        <f>'Q100a-geral'!OBI887</f>
        <v>0</v>
      </c>
      <c r="OBJ364" s="373">
        <f>'Q100a-geral'!OBJ887</f>
        <v>0</v>
      </c>
      <c r="OBK364" s="373">
        <f>'Q100a-geral'!OBK887</f>
        <v>0</v>
      </c>
      <c r="OBL364" s="373">
        <f>'Q100a-geral'!OBL887</f>
        <v>0</v>
      </c>
      <c r="OBM364" s="373">
        <f>'Q100a-geral'!OBM887</f>
        <v>0</v>
      </c>
      <c r="OBN364" s="373">
        <f>'Q100a-geral'!OBN887</f>
        <v>0</v>
      </c>
      <c r="OBO364" s="373">
        <f>'Q100a-geral'!OBO887</f>
        <v>0</v>
      </c>
      <c r="OBP364" s="373">
        <f>'Q100a-geral'!OBP887</f>
        <v>0</v>
      </c>
      <c r="OBQ364" s="373">
        <f>'Q100a-geral'!OBQ887</f>
        <v>0</v>
      </c>
      <c r="OBR364" s="373">
        <f>'Q100a-geral'!OBR887</f>
        <v>0</v>
      </c>
      <c r="OBS364" s="373">
        <f>'Q100a-geral'!OBS887</f>
        <v>0</v>
      </c>
      <c r="OBT364" s="373">
        <f>'Q100a-geral'!OBT887</f>
        <v>0</v>
      </c>
      <c r="OBU364" s="373">
        <f>'Q100a-geral'!OBU887</f>
        <v>0</v>
      </c>
      <c r="OBV364" s="373">
        <f>'Q100a-geral'!OBV887</f>
        <v>0</v>
      </c>
      <c r="OBW364" s="373">
        <f>'Q100a-geral'!OBW887</f>
        <v>0</v>
      </c>
      <c r="OBX364" s="373">
        <f>'Q100a-geral'!OBX887</f>
        <v>0</v>
      </c>
      <c r="OBY364" s="373">
        <f>'Q100a-geral'!OBY887</f>
        <v>0</v>
      </c>
      <c r="OBZ364" s="373">
        <f>'Q100a-geral'!OBZ887</f>
        <v>0</v>
      </c>
      <c r="OCA364" s="373">
        <f>'Q100a-geral'!OCA887</f>
        <v>0</v>
      </c>
      <c r="OCB364" s="373">
        <f>'Q100a-geral'!OCB887</f>
        <v>0</v>
      </c>
      <c r="OCC364" s="373">
        <f>'Q100a-geral'!OCC887</f>
        <v>0</v>
      </c>
      <c r="OCD364" s="373">
        <f>'Q100a-geral'!OCD887</f>
        <v>0</v>
      </c>
      <c r="OCE364" s="373">
        <f>'Q100a-geral'!OCE887</f>
        <v>0</v>
      </c>
      <c r="OCF364" s="373">
        <f>'Q100a-geral'!OCF887</f>
        <v>0</v>
      </c>
      <c r="OCG364" s="373">
        <f>'Q100a-geral'!OCG887</f>
        <v>0</v>
      </c>
      <c r="OCH364" s="373">
        <f>'Q100a-geral'!OCH887</f>
        <v>0</v>
      </c>
      <c r="OCI364" s="373">
        <f>'Q100a-geral'!OCI887</f>
        <v>0</v>
      </c>
      <c r="OCJ364" s="373">
        <f>'Q100a-geral'!OCJ887</f>
        <v>0</v>
      </c>
      <c r="OCK364" s="373">
        <f>'Q100a-geral'!OCK887</f>
        <v>0</v>
      </c>
      <c r="OCL364" s="373">
        <f>'Q100a-geral'!OCL887</f>
        <v>0</v>
      </c>
      <c r="OCM364" s="373">
        <f>'Q100a-geral'!OCM887</f>
        <v>0</v>
      </c>
      <c r="OCN364" s="373">
        <f>'Q100a-geral'!OCN887</f>
        <v>0</v>
      </c>
      <c r="OCO364" s="373">
        <f>'Q100a-geral'!OCO887</f>
        <v>0</v>
      </c>
      <c r="OCP364" s="373">
        <f>'Q100a-geral'!OCP887</f>
        <v>0</v>
      </c>
      <c r="OCQ364" s="373">
        <f>'Q100a-geral'!OCQ887</f>
        <v>0</v>
      </c>
      <c r="OCR364" s="373">
        <f>'Q100a-geral'!OCR887</f>
        <v>0</v>
      </c>
      <c r="OCS364" s="373">
        <f>'Q100a-geral'!OCS887</f>
        <v>0</v>
      </c>
      <c r="OCT364" s="373">
        <f>'Q100a-geral'!OCT887</f>
        <v>0</v>
      </c>
      <c r="OCU364" s="373">
        <f>'Q100a-geral'!OCU887</f>
        <v>0</v>
      </c>
      <c r="OCV364" s="373">
        <f>'Q100a-geral'!OCV887</f>
        <v>0</v>
      </c>
      <c r="OCW364" s="373">
        <f>'Q100a-geral'!OCW887</f>
        <v>0</v>
      </c>
      <c r="OCX364" s="373">
        <f>'Q100a-geral'!OCX887</f>
        <v>0</v>
      </c>
      <c r="OCY364" s="373">
        <f>'Q100a-geral'!OCY887</f>
        <v>0</v>
      </c>
      <c r="OCZ364" s="373">
        <f>'Q100a-geral'!OCZ887</f>
        <v>0</v>
      </c>
      <c r="ODA364" s="373">
        <f>'Q100a-geral'!ODA887</f>
        <v>0</v>
      </c>
      <c r="ODB364" s="373">
        <f>'Q100a-geral'!ODB887</f>
        <v>0</v>
      </c>
      <c r="ODC364" s="373">
        <f>'Q100a-geral'!ODC887</f>
        <v>0</v>
      </c>
      <c r="ODD364" s="373">
        <f>'Q100a-geral'!ODD887</f>
        <v>0</v>
      </c>
      <c r="ODE364" s="373">
        <f>'Q100a-geral'!ODE887</f>
        <v>0</v>
      </c>
      <c r="ODF364" s="373">
        <f>'Q100a-geral'!ODF887</f>
        <v>0</v>
      </c>
      <c r="ODG364" s="373">
        <f>'Q100a-geral'!ODG887</f>
        <v>0</v>
      </c>
      <c r="ODH364" s="373">
        <f>'Q100a-geral'!ODH887</f>
        <v>0</v>
      </c>
      <c r="ODI364" s="373">
        <f>'Q100a-geral'!ODI887</f>
        <v>0</v>
      </c>
      <c r="ODJ364" s="373">
        <f>'Q100a-geral'!ODJ887</f>
        <v>0</v>
      </c>
      <c r="ODK364" s="373">
        <f>'Q100a-geral'!ODK887</f>
        <v>0</v>
      </c>
      <c r="ODL364" s="373">
        <f>'Q100a-geral'!ODL887</f>
        <v>0</v>
      </c>
      <c r="ODM364" s="373">
        <f>'Q100a-geral'!ODM887</f>
        <v>0</v>
      </c>
      <c r="ODN364" s="373">
        <f>'Q100a-geral'!ODN887</f>
        <v>0</v>
      </c>
      <c r="ODO364" s="373">
        <f>'Q100a-geral'!ODO887</f>
        <v>0</v>
      </c>
      <c r="ODP364" s="373">
        <f>'Q100a-geral'!ODP887</f>
        <v>0</v>
      </c>
      <c r="ODQ364" s="373">
        <f>'Q100a-geral'!ODQ887</f>
        <v>0</v>
      </c>
      <c r="ODR364" s="373">
        <f>'Q100a-geral'!ODR887</f>
        <v>0</v>
      </c>
      <c r="ODS364" s="373">
        <f>'Q100a-geral'!ODS887</f>
        <v>0</v>
      </c>
      <c r="ODT364" s="373">
        <f>'Q100a-geral'!ODT887</f>
        <v>0</v>
      </c>
      <c r="ODU364" s="373">
        <f>'Q100a-geral'!ODU887</f>
        <v>0</v>
      </c>
      <c r="ODV364" s="373">
        <f>'Q100a-geral'!ODV887</f>
        <v>0</v>
      </c>
      <c r="ODW364" s="373">
        <f>'Q100a-geral'!ODW887</f>
        <v>0</v>
      </c>
      <c r="ODX364" s="373">
        <f>'Q100a-geral'!ODX887</f>
        <v>0</v>
      </c>
      <c r="ODY364" s="373">
        <f>'Q100a-geral'!ODY887</f>
        <v>0</v>
      </c>
      <c r="ODZ364" s="373">
        <f>'Q100a-geral'!ODZ887</f>
        <v>0</v>
      </c>
      <c r="OEA364" s="373">
        <f>'Q100a-geral'!OEA887</f>
        <v>0</v>
      </c>
      <c r="OEB364" s="373">
        <f>'Q100a-geral'!OEB887</f>
        <v>0</v>
      </c>
      <c r="OEC364" s="373">
        <f>'Q100a-geral'!OEC887</f>
        <v>0</v>
      </c>
      <c r="OED364" s="373">
        <f>'Q100a-geral'!OED887</f>
        <v>0</v>
      </c>
      <c r="OEE364" s="373">
        <f>'Q100a-geral'!OEE887</f>
        <v>0</v>
      </c>
      <c r="OEF364" s="373">
        <f>'Q100a-geral'!OEF887</f>
        <v>0</v>
      </c>
      <c r="OEG364" s="373">
        <f>'Q100a-geral'!OEG887</f>
        <v>0</v>
      </c>
      <c r="OEH364" s="373">
        <f>'Q100a-geral'!OEH887</f>
        <v>0</v>
      </c>
      <c r="OEI364" s="373">
        <f>'Q100a-geral'!OEI887</f>
        <v>0</v>
      </c>
      <c r="OEJ364" s="373">
        <f>'Q100a-geral'!OEJ887</f>
        <v>0</v>
      </c>
      <c r="OEK364" s="373">
        <f>'Q100a-geral'!OEK887</f>
        <v>0</v>
      </c>
      <c r="OEL364" s="373">
        <f>'Q100a-geral'!OEL887</f>
        <v>0</v>
      </c>
      <c r="OEM364" s="373">
        <f>'Q100a-geral'!OEM887</f>
        <v>0</v>
      </c>
      <c r="OEN364" s="373">
        <f>'Q100a-geral'!OEN887</f>
        <v>0</v>
      </c>
      <c r="OEO364" s="373">
        <f>'Q100a-geral'!OEO887</f>
        <v>0</v>
      </c>
      <c r="OEP364" s="373">
        <f>'Q100a-geral'!OEP887</f>
        <v>0</v>
      </c>
      <c r="OEQ364" s="373">
        <f>'Q100a-geral'!OEQ887</f>
        <v>0</v>
      </c>
      <c r="OER364" s="373">
        <f>'Q100a-geral'!OER887</f>
        <v>0</v>
      </c>
      <c r="OES364" s="373">
        <f>'Q100a-geral'!OES887</f>
        <v>0</v>
      </c>
      <c r="OET364" s="373">
        <f>'Q100a-geral'!OET887</f>
        <v>0</v>
      </c>
      <c r="OEU364" s="373">
        <f>'Q100a-geral'!OEU887</f>
        <v>0</v>
      </c>
      <c r="OEV364" s="373">
        <f>'Q100a-geral'!OEV887</f>
        <v>0</v>
      </c>
      <c r="OEW364" s="373">
        <f>'Q100a-geral'!OEW887</f>
        <v>0</v>
      </c>
      <c r="OEX364" s="373">
        <f>'Q100a-geral'!OEX887</f>
        <v>0</v>
      </c>
      <c r="OEY364" s="373">
        <f>'Q100a-geral'!OEY887</f>
        <v>0</v>
      </c>
      <c r="OEZ364" s="373">
        <f>'Q100a-geral'!OEZ887</f>
        <v>0</v>
      </c>
      <c r="OFA364" s="373">
        <f>'Q100a-geral'!OFA887</f>
        <v>0</v>
      </c>
      <c r="OFB364" s="373">
        <f>'Q100a-geral'!OFB887</f>
        <v>0</v>
      </c>
      <c r="OFC364" s="373">
        <f>'Q100a-geral'!OFC887</f>
        <v>0</v>
      </c>
      <c r="OFD364" s="373">
        <f>'Q100a-geral'!OFD887</f>
        <v>0</v>
      </c>
      <c r="OFE364" s="373">
        <f>'Q100a-geral'!OFE887</f>
        <v>0</v>
      </c>
      <c r="OFF364" s="373">
        <f>'Q100a-geral'!OFF887</f>
        <v>0</v>
      </c>
      <c r="OFG364" s="373">
        <f>'Q100a-geral'!OFG887</f>
        <v>0</v>
      </c>
      <c r="OFH364" s="373">
        <f>'Q100a-geral'!OFH887</f>
        <v>0</v>
      </c>
      <c r="OFI364" s="373">
        <f>'Q100a-geral'!OFI887</f>
        <v>0</v>
      </c>
      <c r="OFJ364" s="373">
        <f>'Q100a-geral'!OFJ887</f>
        <v>0</v>
      </c>
      <c r="OFK364" s="373">
        <f>'Q100a-geral'!OFK887</f>
        <v>0</v>
      </c>
      <c r="OFL364" s="373">
        <f>'Q100a-geral'!OFL887</f>
        <v>0</v>
      </c>
      <c r="OFM364" s="373">
        <f>'Q100a-geral'!OFM887</f>
        <v>0</v>
      </c>
      <c r="OFN364" s="373">
        <f>'Q100a-geral'!OFN887</f>
        <v>0</v>
      </c>
      <c r="OFO364" s="373">
        <f>'Q100a-geral'!OFO887</f>
        <v>0</v>
      </c>
      <c r="OFP364" s="373">
        <f>'Q100a-geral'!OFP887</f>
        <v>0</v>
      </c>
      <c r="OFQ364" s="373">
        <f>'Q100a-geral'!OFQ887</f>
        <v>0</v>
      </c>
      <c r="OFR364" s="373">
        <f>'Q100a-geral'!OFR887</f>
        <v>0</v>
      </c>
      <c r="OFS364" s="373">
        <f>'Q100a-geral'!OFS887</f>
        <v>0</v>
      </c>
      <c r="OFT364" s="373">
        <f>'Q100a-geral'!OFT887</f>
        <v>0</v>
      </c>
      <c r="OFU364" s="373">
        <f>'Q100a-geral'!OFU887</f>
        <v>0</v>
      </c>
      <c r="OFV364" s="373">
        <f>'Q100a-geral'!OFV887</f>
        <v>0</v>
      </c>
      <c r="OFW364" s="373">
        <f>'Q100a-geral'!OFW887</f>
        <v>0</v>
      </c>
      <c r="OFX364" s="373">
        <f>'Q100a-geral'!OFX887</f>
        <v>0</v>
      </c>
      <c r="OFY364" s="373">
        <f>'Q100a-geral'!OFY887</f>
        <v>0</v>
      </c>
      <c r="OFZ364" s="373">
        <f>'Q100a-geral'!OFZ887</f>
        <v>0</v>
      </c>
      <c r="OGA364" s="373">
        <f>'Q100a-geral'!OGA887</f>
        <v>0</v>
      </c>
      <c r="OGB364" s="373">
        <f>'Q100a-geral'!OGB887</f>
        <v>0</v>
      </c>
      <c r="OGC364" s="373">
        <f>'Q100a-geral'!OGC887</f>
        <v>0</v>
      </c>
      <c r="OGD364" s="373">
        <f>'Q100a-geral'!OGD887</f>
        <v>0</v>
      </c>
      <c r="OGE364" s="373">
        <f>'Q100a-geral'!OGE887</f>
        <v>0</v>
      </c>
      <c r="OGF364" s="373">
        <f>'Q100a-geral'!OGF887</f>
        <v>0</v>
      </c>
      <c r="OGG364" s="373">
        <f>'Q100a-geral'!OGG887</f>
        <v>0</v>
      </c>
      <c r="OGH364" s="373">
        <f>'Q100a-geral'!OGH887</f>
        <v>0</v>
      </c>
      <c r="OGI364" s="373">
        <f>'Q100a-geral'!OGI887</f>
        <v>0</v>
      </c>
      <c r="OGJ364" s="373">
        <f>'Q100a-geral'!OGJ887</f>
        <v>0</v>
      </c>
      <c r="OGK364" s="373">
        <f>'Q100a-geral'!OGK887</f>
        <v>0</v>
      </c>
      <c r="OGL364" s="373">
        <f>'Q100a-geral'!OGL887</f>
        <v>0</v>
      </c>
      <c r="OGM364" s="373">
        <f>'Q100a-geral'!OGM887</f>
        <v>0</v>
      </c>
      <c r="OGN364" s="373">
        <f>'Q100a-geral'!OGN887</f>
        <v>0</v>
      </c>
      <c r="OGO364" s="373">
        <f>'Q100a-geral'!OGO887</f>
        <v>0</v>
      </c>
      <c r="OGP364" s="373">
        <f>'Q100a-geral'!OGP887</f>
        <v>0</v>
      </c>
      <c r="OGQ364" s="373">
        <f>'Q100a-geral'!OGQ887</f>
        <v>0</v>
      </c>
      <c r="OGR364" s="373">
        <f>'Q100a-geral'!OGR887</f>
        <v>0</v>
      </c>
      <c r="OGS364" s="373">
        <f>'Q100a-geral'!OGS887</f>
        <v>0</v>
      </c>
      <c r="OGT364" s="373">
        <f>'Q100a-geral'!OGT887</f>
        <v>0</v>
      </c>
      <c r="OGU364" s="373">
        <f>'Q100a-geral'!OGU887</f>
        <v>0</v>
      </c>
      <c r="OGV364" s="373">
        <f>'Q100a-geral'!OGV887</f>
        <v>0</v>
      </c>
      <c r="OGW364" s="373">
        <f>'Q100a-geral'!OGW887</f>
        <v>0</v>
      </c>
      <c r="OGX364" s="373">
        <f>'Q100a-geral'!OGX887</f>
        <v>0</v>
      </c>
      <c r="OGY364" s="373">
        <f>'Q100a-geral'!OGY887</f>
        <v>0</v>
      </c>
      <c r="OGZ364" s="373">
        <f>'Q100a-geral'!OGZ887</f>
        <v>0</v>
      </c>
      <c r="OHA364" s="373">
        <f>'Q100a-geral'!OHA887</f>
        <v>0</v>
      </c>
      <c r="OHB364" s="373">
        <f>'Q100a-geral'!OHB887</f>
        <v>0</v>
      </c>
      <c r="OHC364" s="373">
        <f>'Q100a-geral'!OHC887</f>
        <v>0</v>
      </c>
      <c r="OHD364" s="373">
        <f>'Q100a-geral'!OHD887</f>
        <v>0</v>
      </c>
      <c r="OHE364" s="373">
        <f>'Q100a-geral'!OHE887</f>
        <v>0</v>
      </c>
      <c r="OHF364" s="373">
        <f>'Q100a-geral'!OHF887</f>
        <v>0</v>
      </c>
      <c r="OHG364" s="373">
        <f>'Q100a-geral'!OHG887</f>
        <v>0</v>
      </c>
      <c r="OHH364" s="373">
        <f>'Q100a-geral'!OHH887</f>
        <v>0</v>
      </c>
      <c r="OHI364" s="373">
        <f>'Q100a-geral'!OHI887</f>
        <v>0</v>
      </c>
      <c r="OHJ364" s="373">
        <f>'Q100a-geral'!OHJ887</f>
        <v>0</v>
      </c>
      <c r="OHK364" s="373">
        <f>'Q100a-geral'!OHK887</f>
        <v>0</v>
      </c>
      <c r="OHL364" s="373">
        <f>'Q100a-geral'!OHL887</f>
        <v>0</v>
      </c>
      <c r="OHM364" s="373">
        <f>'Q100a-geral'!OHM887</f>
        <v>0</v>
      </c>
      <c r="OHN364" s="373">
        <f>'Q100a-geral'!OHN887</f>
        <v>0</v>
      </c>
      <c r="OHO364" s="373">
        <f>'Q100a-geral'!OHO887</f>
        <v>0</v>
      </c>
      <c r="OHP364" s="373">
        <f>'Q100a-geral'!OHP887</f>
        <v>0</v>
      </c>
      <c r="OHQ364" s="373">
        <f>'Q100a-geral'!OHQ887</f>
        <v>0</v>
      </c>
      <c r="OHR364" s="373">
        <f>'Q100a-geral'!OHR887</f>
        <v>0</v>
      </c>
      <c r="OHS364" s="373">
        <f>'Q100a-geral'!OHS887</f>
        <v>0</v>
      </c>
      <c r="OHT364" s="373">
        <f>'Q100a-geral'!OHT887</f>
        <v>0</v>
      </c>
      <c r="OHU364" s="373">
        <f>'Q100a-geral'!OHU887</f>
        <v>0</v>
      </c>
      <c r="OHV364" s="373">
        <f>'Q100a-geral'!OHV887</f>
        <v>0</v>
      </c>
      <c r="OHW364" s="373">
        <f>'Q100a-geral'!OHW887</f>
        <v>0</v>
      </c>
      <c r="OHX364" s="373">
        <f>'Q100a-geral'!OHX887</f>
        <v>0</v>
      </c>
      <c r="OHY364" s="373">
        <f>'Q100a-geral'!OHY887</f>
        <v>0</v>
      </c>
      <c r="OHZ364" s="373">
        <f>'Q100a-geral'!OHZ887</f>
        <v>0</v>
      </c>
      <c r="OIA364" s="373">
        <f>'Q100a-geral'!OIA887</f>
        <v>0</v>
      </c>
      <c r="OIB364" s="373">
        <f>'Q100a-geral'!OIB887</f>
        <v>0</v>
      </c>
      <c r="OIC364" s="373">
        <f>'Q100a-geral'!OIC887</f>
        <v>0</v>
      </c>
      <c r="OID364" s="373">
        <f>'Q100a-geral'!OID887</f>
        <v>0</v>
      </c>
      <c r="OIE364" s="373">
        <f>'Q100a-geral'!OIE887</f>
        <v>0</v>
      </c>
      <c r="OIF364" s="373">
        <f>'Q100a-geral'!OIF887</f>
        <v>0</v>
      </c>
      <c r="OIG364" s="373">
        <f>'Q100a-geral'!OIG887</f>
        <v>0</v>
      </c>
      <c r="OIH364" s="373">
        <f>'Q100a-geral'!OIH887</f>
        <v>0</v>
      </c>
      <c r="OII364" s="373">
        <f>'Q100a-geral'!OII887</f>
        <v>0</v>
      </c>
      <c r="OIJ364" s="373">
        <f>'Q100a-geral'!OIJ887</f>
        <v>0</v>
      </c>
      <c r="OIK364" s="373">
        <f>'Q100a-geral'!OIK887</f>
        <v>0</v>
      </c>
      <c r="OIL364" s="373">
        <f>'Q100a-geral'!OIL887</f>
        <v>0</v>
      </c>
      <c r="OIM364" s="373">
        <f>'Q100a-geral'!OIM887</f>
        <v>0</v>
      </c>
      <c r="OIN364" s="373">
        <f>'Q100a-geral'!OIN887</f>
        <v>0</v>
      </c>
      <c r="OIO364" s="373">
        <f>'Q100a-geral'!OIO887</f>
        <v>0</v>
      </c>
      <c r="OIP364" s="373">
        <f>'Q100a-geral'!OIP887</f>
        <v>0</v>
      </c>
      <c r="OIQ364" s="373">
        <f>'Q100a-geral'!OIQ887</f>
        <v>0</v>
      </c>
      <c r="OIR364" s="373">
        <f>'Q100a-geral'!OIR887</f>
        <v>0</v>
      </c>
      <c r="OIS364" s="373">
        <f>'Q100a-geral'!OIS887</f>
        <v>0</v>
      </c>
      <c r="OIT364" s="373">
        <f>'Q100a-geral'!OIT887</f>
        <v>0</v>
      </c>
      <c r="OIU364" s="373">
        <f>'Q100a-geral'!OIU887</f>
        <v>0</v>
      </c>
      <c r="OIV364" s="373">
        <f>'Q100a-geral'!OIV887</f>
        <v>0</v>
      </c>
      <c r="OIW364" s="373">
        <f>'Q100a-geral'!OIW887</f>
        <v>0</v>
      </c>
      <c r="OIX364" s="373">
        <f>'Q100a-geral'!OIX887</f>
        <v>0</v>
      </c>
      <c r="OIY364" s="373">
        <f>'Q100a-geral'!OIY887</f>
        <v>0</v>
      </c>
      <c r="OIZ364" s="373">
        <f>'Q100a-geral'!OIZ887</f>
        <v>0</v>
      </c>
      <c r="OJA364" s="373">
        <f>'Q100a-geral'!OJA887</f>
        <v>0</v>
      </c>
      <c r="OJB364" s="373">
        <f>'Q100a-geral'!OJB887</f>
        <v>0</v>
      </c>
      <c r="OJC364" s="373">
        <f>'Q100a-geral'!OJC887</f>
        <v>0</v>
      </c>
      <c r="OJD364" s="373">
        <f>'Q100a-geral'!OJD887</f>
        <v>0</v>
      </c>
      <c r="OJE364" s="373">
        <f>'Q100a-geral'!OJE887</f>
        <v>0</v>
      </c>
      <c r="OJF364" s="373">
        <f>'Q100a-geral'!OJF887</f>
        <v>0</v>
      </c>
      <c r="OJG364" s="373">
        <f>'Q100a-geral'!OJG887</f>
        <v>0</v>
      </c>
      <c r="OJH364" s="373">
        <f>'Q100a-geral'!OJH887</f>
        <v>0</v>
      </c>
      <c r="OJI364" s="373">
        <f>'Q100a-geral'!OJI887</f>
        <v>0</v>
      </c>
      <c r="OJJ364" s="373">
        <f>'Q100a-geral'!OJJ887</f>
        <v>0</v>
      </c>
      <c r="OJK364" s="373">
        <f>'Q100a-geral'!OJK887</f>
        <v>0</v>
      </c>
      <c r="OJL364" s="373">
        <f>'Q100a-geral'!OJL887</f>
        <v>0</v>
      </c>
      <c r="OJM364" s="373">
        <f>'Q100a-geral'!OJM887</f>
        <v>0</v>
      </c>
      <c r="OJN364" s="373">
        <f>'Q100a-geral'!OJN887</f>
        <v>0</v>
      </c>
      <c r="OJO364" s="373">
        <f>'Q100a-geral'!OJO887</f>
        <v>0</v>
      </c>
      <c r="OJP364" s="373">
        <f>'Q100a-geral'!OJP887</f>
        <v>0</v>
      </c>
      <c r="OJQ364" s="373">
        <f>'Q100a-geral'!OJQ887</f>
        <v>0</v>
      </c>
      <c r="OJR364" s="373">
        <f>'Q100a-geral'!OJR887</f>
        <v>0</v>
      </c>
      <c r="OJS364" s="373">
        <f>'Q100a-geral'!OJS887</f>
        <v>0</v>
      </c>
      <c r="OJT364" s="373">
        <f>'Q100a-geral'!OJT887</f>
        <v>0</v>
      </c>
      <c r="OJU364" s="373">
        <f>'Q100a-geral'!OJU887</f>
        <v>0</v>
      </c>
      <c r="OJV364" s="373">
        <f>'Q100a-geral'!OJV887</f>
        <v>0</v>
      </c>
      <c r="OJW364" s="373">
        <f>'Q100a-geral'!OJW887</f>
        <v>0</v>
      </c>
      <c r="OJX364" s="373">
        <f>'Q100a-geral'!OJX887</f>
        <v>0</v>
      </c>
      <c r="OJY364" s="373">
        <f>'Q100a-geral'!OJY887</f>
        <v>0</v>
      </c>
      <c r="OJZ364" s="373">
        <f>'Q100a-geral'!OJZ887</f>
        <v>0</v>
      </c>
      <c r="OKA364" s="373">
        <f>'Q100a-geral'!OKA887</f>
        <v>0</v>
      </c>
      <c r="OKB364" s="373">
        <f>'Q100a-geral'!OKB887</f>
        <v>0</v>
      </c>
      <c r="OKC364" s="373">
        <f>'Q100a-geral'!OKC887</f>
        <v>0</v>
      </c>
      <c r="OKD364" s="373">
        <f>'Q100a-geral'!OKD887</f>
        <v>0</v>
      </c>
      <c r="OKE364" s="373">
        <f>'Q100a-geral'!OKE887</f>
        <v>0</v>
      </c>
      <c r="OKF364" s="373">
        <f>'Q100a-geral'!OKF887</f>
        <v>0</v>
      </c>
      <c r="OKG364" s="373">
        <f>'Q100a-geral'!OKG887</f>
        <v>0</v>
      </c>
      <c r="OKH364" s="373">
        <f>'Q100a-geral'!OKH887</f>
        <v>0</v>
      </c>
      <c r="OKI364" s="373">
        <f>'Q100a-geral'!OKI887</f>
        <v>0</v>
      </c>
      <c r="OKJ364" s="373">
        <f>'Q100a-geral'!OKJ887</f>
        <v>0</v>
      </c>
      <c r="OKK364" s="373">
        <f>'Q100a-geral'!OKK887</f>
        <v>0</v>
      </c>
      <c r="OKL364" s="373">
        <f>'Q100a-geral'!OKL887</f>
        <v>0</v>
      </c>
      <c r="OKM364" s="373">
        <f>'Q100a-geral'!OKM887</f>
        <v>0</v>
      </c>
      <c r="OKN364" s="373">
        <f>'Q100a-geral'!OKN887</f>
        <v>0</v>
      </c>
      <c r="OKO364" s="373">
        <f>'Q100a-geral'!OKO887</f>
        <v>0</v>
      </c>
      <c r="OKP364" s="373">
        <f>'Q100a-geral'!OKP887</f>
        <v>0</v>
      </c>
      <c r="OKQ364" s="373">
        <f>'Q100a-geral'!OKQ887</f>
        <v>0</v>
      </c>
      <c r="OKR364" s="373">
        <f>'Q100a-geral'!OKR887</f>
        <v>0</v>
      </c>
      <c r="OKS364" s="373">
        <f>'Q100a-geral'!OKS887</f>
        <v>0</v>
      </c>
      <c r="OKT364" s="373">
        <f>'Q100a-geral'!OKT887</f>
        <v>0</v>
      </c>
      <c r="OKU364" s="373">
        <f>'Q100a-geral'!OKU887</f>
        <v>0</v>
      </c>
      <c r="OKV364" s="373">
        <f>'Q100a-geral'!OKV887</f>
        <v>0</v>
      </c>
      <c r="OKW364" s="373">
        <f>'Q100a-geral'!OKW887</f>
        <v>0</v>
      </c>
      <c r="OKX364" s="373">
        <f>'Q100a-geral'!OKX887</f>
        <v>0</v>
      </c>
      <c r="OKY364" s="373">
        <f>'Q100a-geral'!OKY887</f>
        <v>0</v>
      </c>
      <c r="OKZ364" s="373">
        <f>'Q100a-geral'!OKZ887</f>
        <v>0</v>
      </c>
      <c r="OLA364" s="373">
        <f>'Q100a-geral'!OLA887</f>
        <v>0</v>
      </c>
      <c r="OLB364" s="373">
        <f>'Q100a-geral'!OLB887</f>
        <v>0</v>
      </c>
      <c r="OLC364" s="373">
        <f>'Q100a-geral'!OLC887</f>
        <v>0</v>
      </c>
      <c r="OLD364" s="373">
        <f>'Q100a-geral'!OLD887</f>
        <v>0</v>
      </c>
      <c r="OLE364" s="373">
        <f>'Q100a-geral'!OLE887</f>
        <v>0</v>
      </c>
      <c r="OLF364" s="373">
        <f>'Q100a-geral'!OLF887</f>
        <v>0</v>
      </c>
      <c r="OLG364" s="373">
        <f>'Q100a-geral'!OLG887</f>
        <v>0</v>
      </c>
      <c r="OLH364" s="373">
        <f>'Q100a-geral'!OLH887</f>
        <v>0</v>
      </c>
      <c r="OLI364" s="373">
        <f>'Q100a-geral'!OLI887</f>
        <v>0</v>
      </c>
      <c r="OLJ364" s="373">
        <f>'Q100a-geral'!OLJ887</f>
        <v>0</v>
      </c>
      <c r="OLK364" s="373">
        <f>'Q100a-geral'!OLK887</f>
        <v>0</v>
      </c>
      <c r="OLL364" s="373">
        <f>'Q100a-geral'!OLL887</f>
        <v>0</v>
      </c>
      <c r="OLM364" s="373">
        <f>'Q100a-geral'!OLM887</f>
        <v>0</v>
      </c>
      <c r="OLN364" s="373">
        <f>'Q100a-geral'!OLN887</f>
        <v>0</v>
      </c>
      <c r="OLO364" s="373">
        <f>'Q100a-geral'!OLO887</f>
        <v>0</v>
      </c>
      <c r="OLP364" s="373">
        <f>'Q100a-geral'!OLP887</f>
        <v>0</v>
      </c>
      <c r="OLQ364" s="373">
        <f>'Q100a-geral'!OLQ887</f>
        <v>0</v>
      </c>
      <c r="OLR364" s="373">
        <f>'Q100a-geral'!OLR887</f>
        <v>0</v>
      </c>
      <c r="OLS364" s="373">
        <f>'Q100a-geral'!OLS887</f>
        <v>0</v>
      </c>
      <c r="OLT364" s="373">
        <f>'Q100a-geral'!OLT887</f>
        <v>0</v>
      </c>
      <c r="OLU364" s="373">
        <f>'Q100a-geral'!OLU887</f>
        <v>0</v>
      </c>
      <c r="OLV364" s="373">
        <f>'Q100a-geral'!OLV887</f>
        <v>0</v>
      </c>
      <c r="OLW364" s="373">
        <f>'Q100a-geral'!OLW887</f>
        <v>0</v>
      </c>
      <c r="OLX364" s="373">
        <f>'Q100a-geral'!OLX887</f>
        <v>0</v>
      </c>
      <c r="OLY364" s="373">
        <f>'Q100a-geral'!OLY887</f>
        <v>0</v>
      </c>
      <c r="OLZ364" s="373">
        <f>'Q100a-geral'!OLZ887</f>
        <v>0</v>
      </c>
      <c r="OMA364" s="373">
        <f>'Q100a-geral'!OMA887</f>
        <v>0</v>
      </c>
      <c r="OMB364" s="373">
        <f>'Q100a-geral'!OMB887</f>
        <v>0</v>
      </c>
      <c r="OMC364" s="373">
        <f>'Q100a-geral'!OMC887</f>
        <v>0</v>
      </c>
      <c r="OMD364" s="373">
        <f>'Q100a-geral'!OMD887</f>
        <v>0</v>
      </c>
      <c r="OME364" s="373">
        <f>'Q100a-geral'!OME887</f>
        <v>0</v>
      </c>
      <c r="OMF364" s="373">
        <f>'Q100a-geral'!OMF887</f>
        <v>0</v>
      </c>
      <c r="OMG364" s="373">
        <f>'Q100a-geral'!OMG887</f>
        <v>0</v>
      </c>
      <c r="OMH364" s="373">
        <f>'Q100a-geral'!OMH887</f>
        <v>0</v>
      </c>
      <c r="OMI364" s="373">
        <f>'Q100a-geral'!OMI887</f>
        <v>0</v>
      </c>
      <c r="OMJ364" s="373">
        <f>'Q100a-geral'!OMJ887</f>
        <v>0</v>
      </c>
      <c r="OMK364" s="373">
        <f>'Q100a-geral'!OMK887</f>
        <v>0</v>
      </c>
      <c r="OML364" s="373">
        <f>'Q100a-geral'!OML887</f>
        <v>0</v>
      </c>
      <c r="OMM364" s="373">
        <f>'Q100a-geral'!OMM887</f>
        <v>0</v>
      </c>
      <c r="OMN364" s="373">
        <f>'Q100a-geral'!OMN887</f>
        <v>0</v>
      </c>
      <c r="OMO364" s="373">
        <f>'Q100a-geral'!OMO887</f>
        <v>0</v>
      </c>
      <c r="OMP364" s="373">
        <f>'Q100a-geral'!OMP887</f>
        <v>0</v>
      </c>
      <c r="OMQ364" s="373">
        <f>'Q100a-geral'!OMQ887</f>
        <v>0</v>
      </c>
      <c r="OMR364" s="373">
        <f>'Q100a-geral'!OMR887</f>
        <v>0</v>
      </c>
      <c r="OMS364" s="373">
        <f>'Q100a-geral'!OMS887</f>
        <v>0</v>
      </c>
      <c r="OMT364" s="373">
        <f>'Q100a-geral'!OMT887</f>
        <v>0</v>
      </c>
      <c r="OMU364" s="373">
        <f>'Q100a-geral'!OMU887</f>
        <v>0</v>
      </c>
      <c r="OMV364" s="373">
        <f>'Q100a-geral'!OMV887</f>
        <v>0</v>
      </c>
      <c r="OMW364" s="373">
        <f>'Q100a-geral'!OMW887</f>
        <v>0</v>
      </c>
      <c r="OMX364" s="373">
        <f>'Q100a-geral'!OMX887</f>
        <v>0</v>
      </c>
      <c r="OMY364" s="373">
        <f>'Q100a-geral'!OMY887</f>
        <v>0</v>
      </c>
      <c r="OMZ364" s="373">
        <f>'Q100a-geral'!OMZ887</f>
        <v>0</v>
      </c>
      <c r="ONA364" s="373">
        <f>'Q100a-geral'!ONA887</f>
        <v>0</v>
      </c>
      <c r="ONB364" s="373">
        <f>'Q100a-geral'!ONB887</f>
        <v>0</v>
      </c>
      <c r="ONC364" s="373">
        <f>'Q100a-geral'!ONC887</f>
        <v>0</v>
      </c>
      <c r="OND364" s="373">
        <f>'Q100a-geral'!OND887</f>
        <v>0</v>
      </c>
      <c r="ONE364" s="373">
        <f>'Q100a-geral'!ONE887</f>
        <v>0</v>
      </c>
      <c r="ONF364" s="373">
        <f>'Q100a-geral'!ONF887</f>
        <v>0</v>
      </c>
      <c r="ONG364" s="373">
        <f>'Q100a-geral'!ONG887</f>
        <v>0</v>
      </c>
      <c r="ONH364" s="373">
        <f>'Q100a-geral'!ONH887</f>
        <v>0</v>
      </c>
      <c r="ONI364" s="373">
        <f>'Q100a-geral'!ONI887</f>
        <v>0</v>
      </c>
      <c r="ONJ364" s="373">
        <f>'Q100a-geral'!ONJ887</f>
        <v>0</v>
      </c>
      <c r="ONK364" s="373">
        <f>'Q100a-geral'!ONK887</f>
        <v>0</v>
      </c>
      <c r="ONL364" s="373">
        <f>'Q100a-geral'!ONL887</f>
        <v>0</v>
      </c>
      <c r="ONM364" s="373">
        <f>'Q100a-geral'!ONM887</f>
        <v>0</v>
      </c>
      <c r="ONN364" s="373">
        <f>'Q100a-geral'!ONN887</f>
        <v>0</v>
      </c>
      <c r="ONO364" s="373">
        <f>'Q100a-geral'!ONO887</f>
        <v>0</v>
      </c>
      <c r="ONP364" s="373">
        <f>'Q100a-geral'!ONP887</f>
        <v>0</v>
      </c>
      <c r="ONQ364" s="373">
        <f>'Q100a-geral'!ONQ887</f>
        <v>0</v>
      </c>
      <c r="ONR364" s="373">
        <f>'Q100a-geral'!ONR887</f>
        <v>0</v>
      </c>
      <c r="ONS364" s="373">
        <f>'Q100a-geral'!ONS887</f>
        <v>0</v>
      </c>
      <c r="ONT364" s="373">
        <f>'Q100a-geral'!ONT887</f>
        <v>0</v>
      </c>
      <c r="ONU364" s="373">
        <f>'Q100a-geral'!ONU887</f>
        <v>0</v>
      </c>
      <c r="ONV364" s="373">
        <f>'Q100a-geral'!ONV887</f>
        <v>0</v>
      </c>
      <c r="ONW364" s="373">
        <f>'Q100a-geral'!ONW887</f>
        <v>0</v>
      </c>
      <c r="ONX364" s="373">
        <f>'Q100a-geral'!ONX887</f>
        <v>0</v>
      </c>
      <c r="ONY364" s="373">
        <f>'Q100a-geral'!ONY887</f>
        <v>0</v>
      </c>
      <c r="ONZ364" s="373">
        <f>'Q100a-geral'!ONZ887</f>
        <v>0</v>
      </c>
      <c r="OOA364" s="373">
        <f>'Q100a-geral'!OOA887</f>
        <v>0</v>
      </c>
      <c r="OOB364" s="373">
        <f>'Q100a-geral'!OOB887</f>
        <v>0</v>
      </c>
      <c r="OOC364" s="373">
        <f>'Q100a-geral'!OOC887</f>
        <v>0</v>
      </c>
      <c r="OOD364" s="373">
        <f>'Q100a-geral'!OOD887</f>
        <v>0</v>
      </c>
      <c r="OOE364" s="373">
        <f>'Q100a-geral'!OOE887</f>
        <v>0</v>
      </c>
      <c r="OOF364" s="373">
        <f>'Q100a-geral'!OOF887</f>
        <v>0</v>
      </c>
      <c r="OOG364" s="373">
        <f>'Q100a-geral'!OOG887</f>
        <v>0</v>
      </c>
      <c r="OOH364" s="373">
        <f>'Q100a-geral'!OOH887</f>
        <v>0</v>
      </c>
      <c r="OOI364" s="373">
        <f>'Q100a-geral'!OOI887</f>
        <v>0</v>
      </c>
      <c r="OOJ364" s="373">
        <f>'Q100a-geral'!OOJ887</f>
        <v>0</v>
      </c>
      <c r="OOK364" s="373">
        <f>'Q100a-geral'!OOK887</f>
        <v>0</v>
      </c>
      <c r="OOL364" s="373">
        <f>'Q100a-geral'!OOL887</f>
        <v>0</v>
      </c>
      <c r="OOM364" s="373">
        <f>'Q100a-geral'!OOM887</f>
        <v>0</v>
      </c>
      <c r="OON364" s="373">
        <f>'Q100a-geral'!OON887</f>
        <v>0</v>
      </c>
      <c r="OOO364" s="373">
        <f>'Q100a-geral'!OOO887</f>
        <v>0</v>
      </c>
      <c r="OOP364" s="373">
        <f>'Q100a-geral'!OOP887</f>
        <v>0</v>
      </c>
      <c r="OOQ364" s="373">
        <f>'Q100a-geral'!OOQ887</f>
        <v>0</v>
      </c>
      <c r="OOR364" s="373">
        <f>'Q100a-geral'!OOR887</f>
        <v>0</v>
      </c>
      <c r="OOS364" s="373">
        <f>'Q100a-geral'!OOS887</f>
        <v>0</v>
      </c>
      <c r="OOT364" s="373">
        <f>'Q100a-geral'!OOT887</f>
        <v>0</v>
      </c>
      <c r="OOU364" s="373">
        <f>'Q100a-geral'!OOU887</f>
        <v>0</v>
      </c>
      <c r="OOV364" s="373">
        <f>'Q100a-geral'!OOV887</f>
        <v>0</v>
      </c>
      <c r="OOW364" s="373">
        <f>'Q100a-geral'!OOW887</f>
        <v>0</v>
      </c>
      <c r="OOX364" s="373">
        <f>'Q100a-geral'!OOX887</f>
        <v>0</v>
      </c>
      <c r="OOY364" s="373">
        <f>'Q100a-geral'!OOY887</f>
        <v>0</v>
      </c>
      <c r="OOZ364" s="373">
        <f>'Q100a-geral'!OOZ887</f>
        <v>0</v>
      </c>
      <c r="OPA364" s="373">
        <f>'Q100a-geral'!OPA887</f>
        <v>0</v>
      </c>
      <c r="OPB364" s="373">
        <f>'Q100a-geral'!OPB887</f>
        <v>0</v>
      </c>
      <c r="OPC364" s="373">
        <f>'Q100a-geral'!OPC887</f>
        <v>0</v>
      </c>
      <c r="OPD364" s="373">
        <f>'Q100a-geral'!OPD887</f>
        <v>0</v>
      </c>
      <c r="OPE364" s="373">
        <f>'Q100a-geral'!OPE887</f>
        <v>0</v>
      </c>
      <c r="OPF364" s="373">
        <f>'Q100a-geral'!OPF887</f>
        <v>0</v>
      </c>
      <c r="OPG364" s="373">
        <f>'Q100a-geral'!OPG887</f>
        <v>0</v>
      </c>
      <c r="OPH364" s="373">
        <f>'Q100a-geral'!OPH887</f>
        <v>0</v>
      </c>
      <c r="OPI364" s="373">
        <f>'Q100a-geral'!OPI887</f>
        <v>0</v>
      </c>
      <c r="OPJ364" s="373">
        <f>'Q100a-geral'!OPJ887</f>
        <v>0</v>
      </c>
      <c r="OPK364" s="373">
        <f>'Q100a-geral'!OPK887</f>
        <v>0</v>
      </c>
      <c r="OPL364" s="373">
        <f>'Q100a-geral'!OPL887</f>
        <v>0</v>
      </c>
      <c r="OPM364" s="373">
        <f>'Q100a-geral'!OPM887</f>
        <v>0</v>
      </c>
      <c r="OPN364" s="373">
        <f>'Q100a-geral'!OPN887</f>
        <v>0</v>
      </c>
      <c r="OPO364" s="373">
        <f>'Q100a-geral'!OPO887</f>
        <v>0</v>
      </c>
      <c r="OPP364" s="373">
        <f>'Q100a-geral'!OPP887</f>
        <v>0</v>
      </c>
      <c r="OPQ364" s="373">
        <f>'Q100a-geral'!OPQ887</f>
        <v>0</v>
      </c>
      <c r="OPR364" s="373">
        <f>'Q100a-geral'!OPR887</f>
        <v>0</v>
      </c>
      <c r="OPS364" s="373">
        <f>'Q100a-geral'!OPS887</f>
        <v>0</v>
      </c>
      <c r="OPT364" s="373">
        <f>'Q100a-geral'!OPT887</f>
        <v>0</v>
      </c>
      <c r="OPU364" s="373">
        <f>'Q100a-geral'!OPU887</f>
        <v>0</v>
      </c>
      <c r="OPV364" s="373">
        <f>'Q100a-geral'!OPV887</f>
        <v>0</v>
      </c>
      <c r="OPW364" s="373">
        <f>'Q100a-geral'!OPW887</f>
        <v>0</v>
      </c>
      <c r="OPX364" s="373">
        <f>'Q100a-geral'!OPX887</f>
        <v>0</v>
      </c>
      <c r="OPY364" s="373">
        <f>'Q100a-geral'!OPY887</f>
        <v>0</v>
      </c>
      <c r="OPZ364" s="373">
        <f>'Q100a-geral'!OPZ887</f>
        <v>0</v>
      </c>
      <c r="OQA364" s="373">
        <f>'Q100a-geral'!OQA887</f>
        <v>0</v>
      </c>
      <c r="OQB364" s="373">
        <f>'Q100a-geral'!OQB887</f>
        <v>0</v>
      </c>
      <c r="OQC364" s="373">
        <f>'Q100a-geral'!OQC887</f>
        <v>0</v>
      </c>
      <c r="OQD364" s="373">
        <f>'Q100a-geral'!OQD887</f>
        <v>0</v>
      </c>
      <c r="OQE364" s="373">
        <f>'Q100a-geral'!OQE887</f>
        <v>0</v>
      </c>
      <c r="OQF364" s="373">
        <f>'Q100a-geral'!OQF887</f>
        <v>0</v>
      </c>
      <c r="OQG364" s="373">
        <f>'Q100a-geral'!OQG887</f>
        <v>0</v>
      </c>
      <c r="OQH364" s="373">
        <f>'Q100a-geral'!OQH887</f>
        <v>0</v>
      </c>
      <c r="OQI364" s="373">
        <f>'Q100a-geral'!OQI887</f>
        <v>0</v>
      </c>
      <c r="OQJ364" s="373">
        <f>'Q100a-geral'!OQJ887</f>
        <v>0</v>
      </c>
      <c r="OQK364" s="373">
        <f>'Q100a-geral'!OQK887</f>
        <v>0</v>
      </c>
      <c r="OQL364" s="373">
        <f>'Q100a-geral'!OQL887</f>
        <v>0</v>
      </c>
      <c r="OQM364" s="373">
        <f>'Q100a-geral'!OQM887</f>
        <v>0</v>
      </c>
      <c r="OQN364" s="373">
        <f>'Q100a-geral'!OQN887</f>
        <v>0</v>
      </c>
      <c r="OQO364" s="373">
        <f>'Q100a-geral'!OQO887</f>
        <v>0</v>
      </c>
      <c r="OQP364" s="373">
        <f>'Q100a-geral'!OQP887</f>
        <v>0</v>
      </c>
      <c r="OQQ364" s="373">
        <f>'Q100a-geral'!OQQ887</f>
        <v>0</v>
      </c>
      <c r="OQR364" s="373">
        <f>'Q100a-geral'!OQR887</f>
        <v>0</v>
      </c>
      <c r="OQS364" s="373">
        <f>'Q100a-geral'!OQS887</f>
        <v>0</v>
      </c>
      <c r="OQT364" s="373">
        <f>'Q100a-geral'!OQT887</f>
        <v>0</v>
      </c>
      <c r="OQU364" s="373">
        <f>'Q100a-geral'!OQU887</f>
        <v>0</v>
      </c>
      <c r="OQV364" s="373">
        <f>'Q100a-geral'!OQV887</f>
        <v>0</v>
      </c>
      <c r="OQW364" s="373">
        <f>'Q100a-geral'!OQW887</f>
        <v>0</v>
      </c>
      <c r="OQX364" s="373">
        <f>'Q100a-geral'!OQX887</f>
        <v>0</v>
      </c>
      <c r="OQY364" s="373">
        <f>'Q100a-geral'!OQY887</f>
        <v>0</v>
      </c>
      <c r="OQZ364" s="373">
        <f>'Q100a-geral'!OQZ887</f>
        <v>0</v>
      </c>
      <c r="ORA364" s="373">
        <f>'Q100a-geral'!ORA887</f>
        <v>0</v>
      </c>
      <c r="ORB364" s="373">
        <f>'Q100a-geral'!ORB887</f>
        <v>0</v>
      </c>
      <c r="ORC364" s="373">
        <f>'Q100a-geral'!ORC887</f>
        <v>0</v>
      </c>
      <c r="ORD364" s="373">
        <f>'Q100a-geral'!ORD887</f>
        <v>0</v>
      </c>
      <c r="ORE364" s="373">
        <f>'Q100a-geral'!ORE887</f>
        <v>0</v>
      </c>
      <c r="ORF364" s="373">
        <f>'Q100a-geral'!ORF887</f>
        <v>0</v>
      </c>
      <c r="ORG364" s="373">
        <f>'Q100a-geral'!ORG887</f>
        <v>0</v>
      </c>
      <c r="ORH364" s="373">
        <f>'Q100a-geral'!ORH887</f>
        <v>0</v>
      </c>
      <c r="ORI364" s="373">
        <f>'Q100a-geral'!ORI887</f>
        <v>0</v>
      </c>
      <c r="ORJ364" s="373">
        <f>'Q100a-geral'!ORJ887</f>
        <v>0</v>
      </c>
      <c r="ORK364" s="373">
        <f>'Q100a-geral'!ORK887</f>
        <v>0</v>
      </c>
      <c r="ORL364" s="373">
        <f>'Q100a-geral'!ORL887</f>
        <v>0</v>
      </c>
      <c r="ORM364" s="373">
        <f>'Q100a-geral'!ORM887</f>
        <v>0</v>
      </c>
      <c r="ORN364" s="373">
        <f>'Q100a-geral'!ORN887</f>
        <v>0</v>
      </c>
      <c r="ORO364" s="373">
        <f>'Q100a-geral'!ORO887</f>
        <v>0</v>
      </c>
      <c r="ORP364" s="373">
        <f>'Q100a-geral'!ORP887</f>
        <v>0</v>
      </c>
      <c r="ORQ364" s="373">
        <f>'Q100a-geral'!ORQ887</f>
        <v>0</v>
      </c>
      <c r="ORR364" s="373">
        <f>'Q100a-geral'!ORR887</f>
        <v>0</v>
      </c>
      <c r="ORS364" s="373">
        <f>'Q100a-geral'!ORS887</f>
        <v>0</v>
      </c>
      <c r="ORT364" s="373">
        <f>'Q100a-geral'!ORT887</f>
        <v>0</v>
      </c>
      <c r="ORU364" s="373">
        <f>'Q100a-geral'!ORU887</f>
        <v>0</v>
      </c>
      <c r="ORV364" s="373">
        <f>'Q100a-geral'!ORV887</f>
        <v>0</v>
      </c>
      <c r="ORW364" s="373">
        <f>'Q100a-geral'!ORW887</f>
        <v>0</v>
      </c>
      <c r="ORX364" s="373">
        <f>'Q100a-geral'!ORX887</f>
        <v>0</v>
      </c>
      <c r="ORY364" s="373">
        <f>'Q100a-geral'!ORY887</f>
        <v>0</v>
      </c>
      <c r="ORZ364" s="373">
        <f>'Q100a-geral'!ORZ887</f>
        <v>0</v>
      </c>
      <c r="OSA364" s="373">
        <f>'Q100a-geral'!OSA887</f>
        <v>0</v>
      </c>
      <c r="OSB364" s="373">
        <f>'Q100a-geral'!OSB887</f>
        <v>0</v>
      </c>
      <c r="OSC364" s="373">
        <f>'Q100a-geral'!OSC887</f>
        <v>0</v>
      </c>
      <c r="OSD364" s="373">
        <f>'Q100a-geral'!OSD887</f>
        <v>0</v>
      </c>
      <c r="OSE364" s="373">
        <f>'Q100a-geral'!OSE887</f>
        <v>0</v>
      </c>
      <c r="OSF364" s="373">
        <f>'Q100a-geral'!OSF887</f>
        <v>0</v>
      </c>
      <c r="OSG364" s="373">
        <f>'Q100a-geral'!OSG887</f>
        <v>0</v>
      </c>
      <c r="OSH364" s="373">
        <f>'Q100a-geral'!OSH887</f>
        <v>0</v>
      </c>
      <c r="OSI364" s="373">
        <f>'Q100a-geral'!OSI887</f>
        <v>0</v>
      </c>
      <c r="OSJ364" s="373">
        <f>'Q100a-geral'!OSJ887</f>
        <v>0</v>
      </c>
      <c r="OSK364" s="373">
        <f>'Q100a-geral'!OSK887</f>
        <v>0</v>
      </c>
      <c r="OSL364" s="373">
        <f>'Q100a-geral'!OSL887</f>
        <v>0</v>
      </c>
      <c r="OSM364" s="373">
        <f>'Q100a-geral'!OSM887</f>
        <v>0</v>
      </c>
      <c r="OSN364" s="373">
        <f>'Q100a-geral'!OSN887</f>
        <v>0</v>
      </c>
      <c r="OSO364" s="373">
        <f>'Q100a-geral'!OSO887</f>
        <v>0</v>
      </c>
      <c r="OSP364" s="373">
        <f>'Q100a-geral'!OSP887</f>
        <v>0</v>
      </c>
      <c r="OSQ364" s="373">
        <f>'Q100a-geral'!OSQ887</f>
        <v>0</v>
      </c>
      <c r="OSR364" s="373">
        <f>'Q100a-geral'!OSR887</f>
        <v>0</v>
      </c>
      <c r="OSS364" s="373">
        <f>'Q100a-geral'!OSS887</f>
        <v>0</v>
      </c>
      <c r="OST364" s="373">
        <f>'Q100a-geral'!OST887</f>
        <v>0</v>
      </c>
      <c r="OSU364" s="373">
        <f>'Q100a-geral'!OSU887</f>
        <v>0</v>
      </c>
      <c r="OSV364" s="373">
        <f>'Q100a-geral'!OSV887</f>
        <v>0</v>
      </c>
      <c r="OSW364" s="373">
        <f>'Q100a-geral'!OSW887</f>
        <v>0</v>
      </c>
      <c r="OSX364" s="373">
        <f>'Q100a-geral'!OSX887</f>
        <v>0</v>
      </c>
      <c r="OSY364" s="373">
        <f>'Q100a-geral'!OSY887</f>
        <v>0</v>
      </c>
      <c r="OSZ364" s="373">
        <f>'Q100a-geral'!OSZ887</f>
        <v>0</v>
      </c>
      <c r="OTA364" s="373">
        <f>'Q100a-geral'!OTA887</f>
        <v>0</v>
      </c>
      <c r="OTB364" s="373">
        <f>'Q100a-geral'!OTB887</f>
        <v>0</v>
      </c>
      <c r="OTC364" s="373">
        <f>'Q100a-geral'!OTC887</f>
        <v>0</v>
      </c>
      <c r="OTD364" s="373">
        <f>'Q100a-geral'!OTD887</f>
        <v>0</v>
      </c>
      <c r="OTE364" s="373">
        <f>'Q100a-geral'!OTE887</f>
        <v>0</v>
      </c>
      <c r="OTF364" s="373">
        <f>'Q100a-geral'!OTF887</f>
        <v>0</v>
      </c>
      <c r="OTG364" s="373">
        <f>'Q100a-geral'!OTG887</f>
        <v>0</v>
      </c>
      <c r="OTH364" s="373">
        <f>'Q100a-geral'!OTH887</f>
        <v>0</v>
      </c>
      <c r="OTI364" s="373">
        <f>'Q100a-geral'!OTI887</f>
        <v>0</v>
      </c>
      <c r="OTJ364" s="373">
        <f>'Q100a-geral'!OTJ887</f>
        <v>0</v>
      </c>
      <c r="OTK364" s="373">
        <f>'Q100a-geral'!OTK887</f>
        <v>0</v>
      </c>
      <c r="OTL364" s="373">
        <f>'Q100a-geral'!OTL887</f>
        <v>0</v>
      </c>
      <c r="OTM364" s="373">
        <f>'Q100a-geral'!OTM887</f>
        <v>0</v>
      </c>
      <c r="OTN364" s="373">
        <f>'Q100a-geral'!OTN887</f>
        <v>0</v>
      </c>
      <c r="OTO364" s="373">
        <f>'Q100a-geral'!OTO887</f>
        <v>0</v>
      </c>
      <c r="OTP364" s="373">
        <f>'Q100a-geral'!OTP887</f>
        <v>0</v>
      </c>
      <c r="OTQ364" s="373">
        <f>'Q100a-geral'!OTQ887</f>
        <v>0</v>
      </c>
      <c r="OTR364" s="373">
        <f>'Q100a-geral'!OTR887</f>
        <v>0</v>
      </c>
      <c r="OTS364" s="373">
        <f>'Q100a-geral'!OTS887</f>
        <v>0</v>
      </c>
      <c r="OTT364" s="373">
        <f>'Q100a-geral'!OTT887</f>
        <v>0</v>
      </c>
      <c r="OTU364" s="373">
        <f>'Q100a-geral'!OTU887</f>
        <v>0</v>
      </c>
      <c r="OTV364" s="373">
        <f>'Q100a-geral'!OTV887</f>
        <v>0</v>
      </c>
      <c r="OTW364" s="373">
        <f>'Q100a-geral'!OTW887</f>
        <v>0</v>
      </c>
      <c r="OTX364" s="373">
        <f>'Q100a-geral'!OTX887</f>
        <v>0</v>
      </c>
      <c r="OTY364" s="373">
        <f>'Q100a-geral'!OTY887</f>
        <v>0</v>
      </c>
      <c r="OTZ364" s="373">
        <f>'Q100a-geral'!OTZ887</f>
        <v>0</v>
      </c>
      <c r="OUA364" s="373">
        <f>'Q100a-geral'!OUA887</f>
        <v>0</v>
      </c>
      <c r="OUB364" s="373">
        <f>'Q100a-geral'!OUB887</f>
        <v>0</v>
      </c>
      <c r="OUC364" s="373">
        <f>'Q100a-geral'!OUC887</f>
        <v>0</v>
      </c>
      <c r="OUD364" s="373">
        <f>'Q100a-geral'!OUD887</f>
        <v>0</v>
      </c>
      <c r="OUE364" s="373">
        <f>'Q100a-geral'!OUE887</f>
        <v>0</v>
      </c>
      <c r="OUF364" s="373">
        <f>'Q100a-geral'!OUF887</f>
        <v>0</v>
      </c>
      <c r="OUG364" s="373">
        <f>'Q100a-geral'!OUG887</f>
        <v>0</v>
      </c>
      <c r="OUH364" s="373">
        <f>'Q100a-geral'!OUH887</f>
        <v>0</v>
      </c>
      <c r="OUI364" s="373">
        <f>'Q100a-geral'!OUI887</f>
        <v>0</v>
      </c>
      <c r="OUJ364" s="373">
        <f>'Q100a-geral'!OUJ887</f>
        <v>0</v>
      </c>
      <c r="OUK364" s="373">
        <f>'Q100a-geral'!OUK887</f>
        <v>0</v>
      </c>
      <c r="OUL364" s="373">
        <f>'Q100a-geral'!OUL887</f>
        <v>0</v>
      </c>
      <c r="OUM364" s="373">
        <f>'Q100a-geral'!OUM887</f>
        <v>0</v>
      </c>
      <c r="OUN364" s="373">
        <f>'Q100a-geral'!OUN887</f>
        <v>0</v>
      </c>
      <c r="OUO364" s="373">
        <f>'Q100a-geral'!OUO887</f>
        <v>0</v>
      </c>
      <c r="OUP364" s="373">
        <f>'Q100a-geral'!OUP887</f>
        <v>0</v>
      </c>
      <c r="OUQ364" s="373">
        <f>'Q100a-geral'!OUQ887</f>
        <v>0</v>
      </c>
      <c r="OUR364" s="373">
        <f>'Q100a-geral'!OUR887</f>
        <v>0</v>
      </c>
      <c r="OUS364" s="373">
        <f>'Q100a-geral'!OUS887</f>
        <v>0</v>
      </c>
      <c r="OUT364" s="373">
        <f>'Q100a-geral'!OUT887</f>
        <v>0</v>
      </c>
      <c r="OUU364" s="373">
        <f>'Q100a-geral'!OUU887</f>
        <v>0</v>
      </c>
      <c r="OUV364" s="373">
        <f>'Q100a-geral'!OUV887</f>
        <v>0</v>
      </c>
      <c r="OUW364" s="373">
        <f>'Q100a-geral'!OUW887</f>
        <v>0</v>
      </c>
      <c r="OUX364" s="373">
        <f>'Q100a-geral'!OUX887</f>
        <v>0</v>
      </c>
      <c r="OUY364" s="373">
        <f>'Q100a-geral'!OUY887</f>
        <v>0</v>
      </c>
      <c r="OUZ364" s="373">
        <f>'Q100a-geral'!OUZ887</f>
        <v>0</v>
      </c>
      <c r="OVA364" s="373">
        <f>'Q100a-geral'!OVA887</f>
        <v>0</v>
      </c>
      <c r="OVB364" s="373">
        <f>'Q100a-geral'!OVB887</f>
        <v>0</v>
      </c>
      <c r="OVC364" s="373">
        <f>'Q100a-geral'!OVC887</f>
        <v>0</v>
      </c>
      <c r="OVD364" s="373">
        <f>'Q100a-geral'!OVD887</f>
        <v>0</v>
      </c>
      <c r="OVE364" s="373">
        <f>'Q100a-geral'!OVE887</f>
        <v>0</v>
      </c>
      <c r="OVF364" s="373">
        <f>'Q100a-geral'!OVF887</f>
        <v>0</v>
      </c>
      <c r="OVG364" s="373">
        <f>'Q100a-geral'!OVG887</f>
        <v>0</v>
      </c>
      <c r="OVH364" s="373">
        <f>'Q100a-geral'!OVH887</f>
        <v>0</v>
      </c>
      <c r="OVI364" s="373">
        <f>'Q100a-geral'!OVI887</f>
        <v>0</v>
      </c>
      <c r="OVJ364" s="373">
        <f>'Q100a-geral'!OVJ887</f>
        <v>0</v>
      </c>
      <c r="OVK364" s="373">
        <f>'Q100a-geral'!OVK887</f>
        <v>0</v>
      </c>
      <c r="OVL364" s="373">
        <f>'Q100a-geral'!OVL887</f>
        <v>0</v>
      </c>
      <c r="OVM364" s="373">
        <f>'Q100a-geral'!OVM887</f>
        <v>0</v>
      </c>
      <c r="OVN364" s="373">
        <f>'Q100a-geral'!OVN887</f>
        <v>0</v>
      </c>
      <c r="OVO364" s="373">
        <f>'Q100a-geral'!OVO887</f>
        <v>0</v>
      </c>
      <c r="OVP364" s="373">
        <f>'Q100a-geral'!OVP887</f>
        <v>0</v>
      </c>
      <c r="OVQ364" s="373">
        <f>'Q100a-geral'!OVQ887</f>
        <v>0</v>
      </c>
      <c r="OVR364" s="373">
        <f>'Q100a-geral'!OVR887</f>
        <v>0</v>
      </c>
      <c r="OVS364" s="373">
        <f>'Q100a-geral'!OVS887</f>
        <v>0</v>
      </c>
      <c r="OVT364" s="373">
        <f>'Q100a-geral'!OVT887</f>
        <v>0</v>
      </c>
      <c r="OVU364" s="373">
        <f>'Q100a-geral'!OVU887</f>
        <v>0</v>
      </c>
      <c r="OVV364" s="373">
        <f>'Q100a-geral'!OVV887</f>
        <v>0</v>
      </c>
      <c r="OVW364" s="373">
        <f>'Q100a-geral'!OVW887</f>
        <v>0</v>
      </c>
      <c r="OVX364" s="373">
        <f>'Q100a-geral'!OVX887</f>
        <v>0</v>
      </c>
      <c r="OVY364" s="373">
        <f>'Q100a-geral'!OVY887</f>
        <v>0</v>
      </c>
      <c r="OVZ364" s="373">
        <f>'Q100a-geral'!OVZ887</f>
        <v>0</v>
      </c>
      <c r="OWA364" s="373">
        <f>'Q100a-geral'!OWA887</f>
        <v>0</v>
      </c>
      <c r="OWB364" s="373">
        <f>'Q100a-geral'!OWB887</f>
        <v>0</v>
      </c>
      <c r="OWC364" s="373">
        <f>'Q100a-geral'!OWC887</f>
        <v>0</v>
      </c>
      <c r="OWD364" s="373">
        <f>'Q100a-geral'!OWD887</f>
        <v>0</v>
      </c>
      <c r="OWE364" s="373">
        <f>'Q100a-geral'!OWE887</f>
        <v>0</v>
      </c>
      <c r="OWF364" s="373">
        <f>'Q100a-geral'!OWF887</f>
        <v>0</v>
      </c>
      <c r="OWG364" s="373">
        <f>'Q100a-geral'!OWG887</f>
        <v>0</v>
      </c>
      <c r="OWH364" s="373">
        <f>'Q100a-geral'!OWH887</f>
        <v>0</v>
      </c>
      <c r="OWI364" s="373">
        <f>'Q100a-geral'!OWI887</f>
        <v>0</v>
      </c>
      <c r="OWJ364" s="373">
        <f>'Q100a-geral'!OWJ887</f>
        <v>0</v>
      </c>
      <c r="OWK364" s="373">
        <f>'Q100a-geral'!OWK887</f>
        <v>0</v>
      </c>
      <c r="OWL364" s="373">
        <f>'Q100a-geral'!OWL887</f>
        <v>0</v>
      </c>
      <c r="OWM364" s="373">
        <f>'Q100a-geral'!OWM887</f>
        <v>0</v>
      </c>
      <c r="OWN364" s="373">
        <f>'Q100a-geral'!OWN887</f>
        <v>0</v>
      </c>
      <c r="OWO364" s="373">
        <f>'Q100a-geral'!OWO887</f>
        <v>0</v>
      </c>
      <c r="OWP364" s="373">
        <f>'Q100a-geral'!OWP887</f>
        <v>0</v>
      </c>
      <c r="OWQ364" s="373">
        <f>'Q100a-geral'!OWQ887</f>
        <v>0</v>
      </c>
      <c r="OWR364" s="373">
        <f>'Q100a-geral'!OWR887</f>
        <v>0</v>
      </c>
      <c r="OWS364" s="373">
        <f>'Q100a-geral'!OWS887</f>
        <v>0</v>
      </c>
      <c r="OWT364" s="373">
        <f>'Q100a-geral'!OWT887</f>
        <v>0</v>
      </c>
      <c r="OWU364" s="373">
        <f>'Q100a-geral'!OWU887</f>
        <v>0</v>
      </c>
      <c r="OWV364" s="373">
        <f>'Q100a-geral'!OWV887</f>
        <v>0</v>
      </c>
      <c r="OWW364" s="373">
        <f>'Q100a-geral'!OWW887</f>
        <v>0</v>
      </c>
      <c r="OWX364" s="373">
        <f>'Q100a-geral'!OWX887</f>
        <v>0</v>
      </c>
      <c r="OWY364" s="373">
        <f>'Q100a-geral'!OWY887</f>
        <v>0</v>
      </c>
      <c r="OWZ364" s="373">
        <f>'Q100a-geral'!OWZ887</f>
        <v>0</v>
      </c>
      <c r="OXA364" s="373">
        <f>'Q100a-geral'!OXA887</f>
        <v>0</v>
      </c>
      <c r="OXB364" s="373">
        <f>'Q100a-geral'!OXB887</f>
        <v>0</v>
      </c>
      <c r="OXC364" s="373">
        <f>'Q100a-geral'!OXC887</f>
        <v>0</v>
      </c>
      <c r="OXD364" s="373">
        <f>'Q100a-geral'!OXD887</f>
        <v>0</v>
      </c>
      <c r="OXE364" s="373">
        <f>'Q100a-geral'!OXE887</f>
        <v>0</v>
      </c>
      <c r="OXF364" s="373">
        <f>'Q100a-geral'!OXF887</f>
        <v>0</v>
      </c>
      <c r="OXG364" s="373">
        <f>'Q100a-geral'!OXG887</f>
        <v>0</v>
      </c>
      <c r="OXH364" s="373">
        <f>'Q100a-geral'!OXH887</f>
        <v>0</v>
      </c>
      <c r="OXI364" s="373">
        <f>'Q100a-geral'!OXI887</f>
        <v>0</v>
      </c>
      <c r="OXJ364" s="373">
        <f>'Q100a-geral'!OXJ887</f>
        <v>0</v>
      </c>
      <c r="OXK364" s="373">
        <f>'Q100a-geral'!OXK887</f>
        <v>0</v>
      </c>
      <c r="OXL364" s="373">
        <f>'Q100a-geral'!OXL887</f>
        <v>0</v>
      </c>
      <c r="OXM364" s="373">
        <f>'Q100a-geral'!OXM887</f>
        <v>0</v>
      </c>
      <c r="OXN364" s="373">
        <f>'Q100a-geral'!OXN887</f>
        <v>0</v>
      </c>
      <c r="OXO364" s="373">
        <f>'Q100a-geral'!OXO887</f>
        <v>0</v>
      </c>
      <c r="OXP364" s="373">
        <f>'Q100a-geral'!OXP887</f>
        <v>0</v>
      </c>
      <c r="OXQ364" s="373">
        <f>'Q100a-geral'!OXQ887</f>
        <v>0</v>
      </c>
      <c r="OXR364" s="373">
        <f>'Q100a-geral'!OXR887</f>
        <v>0</v>
      </c>
      <c r="OXS364" s="373">
        <f>'Q100a-geral'!OXS887</f>
        <v>0</v>
      </c>
      <c r="OXT364" s="373">
        <f>'Q100a-geral'!OXT887</f>
        <v>0</v>
      </c>
      <c r="OXU364" s="373">
        <f>'Q100a-geral'!OXU887</f>
        <v>0</v>
      </c>
      <c r="OXV364" s="373">
        <f>'Q100a-geral'!OXV887</f>
        <v>0</v>
      </c>
      <c r="OXW364" s="373">
        <f>'Q100a-geral'!OXW887</f>
        <v>0</v>
      </c>
      <c r="OXX364" s="373">
        <f>'Q100a-geral'!OXX887</f>
        <v>0</v>
      </c>
      <c r="OXY364" s="373">
        <f>'Q100a-geral'!OXY887</f>
        <v>0</v>
      </c>
      <c r="OXZ364" s="373">
        <f>'Q100a-geral'!OXZ887</f>
        <v>0</v>
      </c>
      <c r="OYA364" s="373">
        <f>'Q100a-geral'!OYA887</f>
        <v>0</v>
      </c>
      <c r="OYB364" s="373">
        <f>'Q100a-geral'!OYB887</f>
        <v>0</v>
      </c>
      <c r="OYC364" s="373">
        <f>'Q100a-geral'!OYC887</f>
        <v>0</v>
      </c>
      <c r="OYD364" s="373">
        <f>'Q100a-geral'!OYD887</f>
        <v>0</v>
      </c>
      <c r="OYE364" s="373">
        <f>'Q100a-geral'!OYE887</f>
        <v>0</v>
      </c>
      <c r="OYF364" s="373">
        <f>'Q100a-geral'!OYF887</f>
        <v>0</v>
      </c>
      <c r="OYG364" s="373">
        <f>'Q100a-geral'!OYG887</f>
        <v>0</v>
      </c>
      <c r="OYH364" s="373">
        <f>'Q100a-geral'!OYH887</f>
        <v>0</v>
      </c>
      <c r="OYI364" s="373">
        <f>'Q100a-geral'!OYI887</f>
        <v>0</v>
      </c>
      <c r="OYJ364" s="373">
        <f>'Q100a-geral'!OYJ887</f>
        <v>0</v>
      </c>
      <c r="OYK364" s="373">
        <f>'Q100a-geral'!OYK887</f>
        <v>0</v>
      </c>
      <c r="OYL364" s="373">
        <f>'Q100a-geral'!OYL887</f>
        <v>0</v>
      </c>
      <c r="OYM364" s="373">
        <f>'Q100a-geral'!OYM887</f>
        <v>0</v>
      </c>
      <c r="OYN364" s="373">
        <f>'Q100a-geral'!OYN887</f>
        <v>0</v>
      </c>
      <c r="OYO364" s="373">
        <f>'Q100a-geral'!OYO887</f>
        <v>0</v>
      </c>
      <c r="OYP364" s="373">
        <f>'Q100a-geral'!OYP887</f>
        <v>0</v>
      </c>
      <c r="OYQ364" s="373">
        <f>'Q100a-geral'!OYQ887</f>
        <v>0</v>
      </c>
      <c r="OYR364" s="373">
        <f>'Q100a-geral'!OYR887</f>
        <v>0</v>
      </c>
      <c r="OYS364" s="373">
        <f>'Q100a-geral'!OYS887</f>
        <v>0</v>
      </c>
      <c r="OYT364" s="373">
        <f>'Q100a-geral'!OYT887</f>
        <v>0</v>
      </c>
      <c r="OYU364" s="373">
        <f>'Q100a-geral'!OYU887</f>
        <v>0</v>
      </c>
      <c r="OYV364" s="373">
        <f>'Q100a-geral'!OYV887</f>
        <v>0</v>
      </c>
      <c r="OYW364" s="373">
        <f>'Q100a-geral'!OYW887</f>
        <v>0</v>
      </c>
      <c r="OYX364" s="373">
        <f>'Q100a-geral'!OYX887</f>
        <v>0</v>
      </c>
      <c r="OYY364" s="373">
        <f>'Q100a-geral'!OYY887</f>
        <v>0</v>
      </c>
      <c r="OYZ364" s="373">
        <f>'Q100a-geral'!OYZ887</f>
        <v>0</v>
      </c>
      <c r="OZA364" s="373">
        <f>'Q100a-geral'!OZA887</f>
        <v>0</v>
      </c>
      <c r="OZB364" s="373">
        <f>'Q100a-geral'!OZB887</f>
        <v>0</v>
      </c>
      <c r="OZC364" s="373">
        <f>'Q100a-geral'!OZC887</f>
        <v>0</v>
      </c>
      <c r="OZD364" s="373">
        <f>'Q100a-geral'!OZD887</f>
        <v>0</v>
      </c>
      <c r="OZE364" s="373">
        <f>'Q100a-geral'!OZE887</f>
        <v>0</v>
      </c>
      <c r="OZF364" s="373">
        <f>'Q100a-geral'!OZF887</f>
        <v>0</v>
      </c>
      <c r="OZG364" s="373">
        <f>'Q100a-geral'!OZG887</f>
        <v>0</v>
      </c>
      <c r="OZH364" s="373">
        <f>'Q100a-geral'!OZH887</f>
        <v>0</v>
      </c>
      <c r="OZI364" s="373">
        <f>'Q100a-geral'!OZI887</f>
        <v>0</v>
      </c>
      <c r="OZJ364" s="373">
        <f>'Q100a-geral'!OZJ887</f>
        <v>0</v>
      </c>
      <c r="OZK364" s="373">
        <f>'Q100a-geral'!OZK887</f>
        <v>0</v>
      </c>
      <c r="OZL364" s="373">
        <f>'Q100a-geral'!OZL887</f>
        <v>0</v>
      </c>
      <c r="OZM364" s="373">
        <f>'Q100a-geral'!OZM887</f>
        <v>0</v>
      </c>
      <c r="OZN364" s="373">
        <f>'Q100a-geral'!OZN887</f>
        <v>0</v>
      </c>
      <c r="OZO364" s="373">
        <f>'Q100a-geral'!OZO887</f>
        <v>0</v>
      </c>
      <c r="OZP364" s="373">
        <f>'Q100a-geral'!OZP887</f>
        <v>0</v>
      </c>
      <c r="OZQ364" s="373">
        <f>'Q100a-geral'!OZQ887</f>
        <v>0</v>
      </c>
      <c r="OZR364" s="373">
        <f>'Q100a-geral'!OZR887</f>
        <v>0</v>
      </c>
      <c r="OZS364" s="373">
        <f>'Q100a-geral'!OZS887</f>
        <v>0</v>
      </c>
      <c r="OZT364" s="373">
        <f>'Q100a-geral'!OZT887</f>
        <v>0</v>
      </c>
      <c r="OZU364" s="373">
        <f>'Q100a-geral'!OZU887</f>
        <v>0</v>
      </c>
      <c r="OZV364" s="373">
        <f>'Q100a-geral'!OZV887</f>
        <v>0</v>
      </c>
      <c r="OZW364" s="373">
        <f>'Q100a-geral'!OZW887</f>
        <v>0</v>
      </c>
      <c r="OZX364" s="373">
        <f>'Q100a-geral'!OZX887</f>
        <v>0</v>
      </c>
      <c r="OZY364" s="373">
        <f>'Q100a-geral'!OZY887</f>
        <v>0</v>
      </c>
      <c r="OZZ364" s="373">
        <f>'Q100a-geral'!OZZ887</f>
        <v>0</v>
      </c>
      <c r="PAA364" s="373">
        <f>'Q100a-geral'!PAA887</f>
        <v>0</v>
      </c>
      <c r="PAB364" s="373">
        <f>'Q100a-geral'!PAB887</f>
        <v>0</v>
      </c>
      <c r="PAC364" s="373">
        <f>'Q100a-geral'!PAC887</f>
        <v>0</v>
      </c>
      <c r="PAD364" s="373">
        <f>'Q100a-geral'!PAD887</f>
        <v>0</v>
      </c>
      <c r="PAE364" s="373">
        <f>'Q100a-geral'!PAE887</f>
        <v>0</v>
      </c>
      <c r="PAF364" s="373">
        <f>'Q100a-geral'!PAF887</f>
        <v>0</v>
      </c>
      <c r="PAG364" s="373">
        <f>'Q100a-geral'!PAG887</f>
        <v>0</v>
      </c>
      <c r="PAH364" s="373">
        <f>'Q100a-geral'!PAH887</f>
        <v>0</v>
      </c>
      <c r="PAI364" s="373">
        <f>'Q100a-geral'!PAI887</f>
        <v>0</v>
      </c>
      <c r="PAJ364" s="373">
        <f>'Q100a-geral'!PAJ887</f>
        <v>0</v>
      </c>
      <c r="PAK364" s="373">
        <f>'Q100a-geral'!PAK887</f>
        <v>0</v>
      </c>
      <c r="PAL364" s="373">
        <f>'Q100a-geral'!PAL887</f>
        <v>0</v>
      </c>
      <c r="PAM364" s="373">
        <f>'Q100a-geral'!PAM887</f>
        <v>0</v>
      </c>
      <c r="PAN364" s="373">
        <f>'Q100a-geral'!PAN887</f>
        <v>0</v>
      </c>
      <c r="PAO364" s="373">
        <f>'Q100a-geral'!PAO887</f>
        <v>0</v>
      </c>
      <c r="PAP364" s="373">
        <f>'Q100a-geral'!PAP887</f>
        <v>0</v>
      </c>
      <c r="PAQ364" s="373">
        <f>'Q100a-geral'!PAQ887</f>
        <v>0</v>
      </c>
      <c r="PAR364" s="373">
        <f>'Q100a-geral'!PAR887</f>
        <v>0</v>
      </c>
      <c r="PAS364" s="373">
        <f>'Q100a-geral'!PAS887</f>
        <v>0</v>
      </c>
      <c r="PAT364" s="373">
        <f>'Q100a-geral'!PAT887</f>
        <v>0</v>
      </c>
      <c r="PAU364" s="373">
        <f>'Q100a-geral'!PAU887</f>
        <v>0</v>
      </c>
      <c r="PAV364" s="373">
        <f>'Q100a-geral'!PAV887</f>
        <v>0</v>
      </c>
      <c r="PAW364" s="373">
        <f>'Q100a-geral'!PAW887</f>
        <v>0</v>
      </c>
      <c r="PAX364" s="373">
        <f>'Q100a-geral'!PAX887</f>
        <v>0</v>
      </c>
      <c r="PAY364" s="373">
        <f>'Q100a-geral'!PAY887</f>
        <v>0</v>
      </c>
      <c r="PAZ364" s="373">
        <f>'Q100a-geral'!PAZ887</f>
        <v>0</v>
      </c>
      <c r="PBA364" s="373">
        <f>'Q100a-geral'!PBA887</f>
        <v>0</v>
      </c>
      <c r="PBB364" s="373">
        <f>'Q100a-geral'!PBB887</f>
        <v>0</v>
      </c>
      <c r="PBC364" s="373">
        <f>'Q100a-geral'!PBC887</f>
        <v>0</v>
      </c>
      <c r="PBD364" s="373">
        <f>'Q100a-geral'!PBD887</f>
        <v>0</v>
      </c>
      <c r="PBE364" s="373">
        <f>'Q100a-geral'!PBE887</f>
        <v>0</v>
      </c>
      <c r="PBF364" s="373">
        <f>'Q100a-geral'!PBF887</f>
        <v>0</v>
      </c>
      <c r="PBG364" s="373">
        <f>'Q100a-geral'!PBG887</f>
        <v>0</v>
      </c>
      <c r="PBH364" s="373">
        <f>'Q100a-geral'!PBH887</f>
        <v>0</v>
      </c>
      <c r="PBI364" s="373">
        <f>'Q100a-geral'!PBI887</f>
        <v>0</v>
      </c>
      <c r="PBJ364" s="373">
        <f>'Q100a-geral'!PBJ887</f>
        <v>0</v>
      </c>
      <c r="PBK364" s="373">
        <f>'Q100a-geral'!PBK887</f>
        <v>0</v>
      </c>
      <c r="PBL364" s="373">
        <f>'Q100a-geral'!PBL887</f>
        <v>0</v>
      </c>
      <c r="PBM364" s="373">
        <f>'Q100a-geral'!PBM887</f>
        <v>0</v>
      </c>
      <c r="PBN364" s="373">
        <f>'Q100a-geral'!PBN887</f>
        <v>0</v>
      </c>
      <c r="PBO364" s="373">
        <f>'Q100a-geral'!PBO887</f>
        <v>0</v>
      </c>
      <c r="PBP364" s="373">
        <f>'Q100a-geral'!PBP887</f>
        <v>0</v>
      </c>
      <c r="PBQ364" s="373">
        <f>'Q100a-geral'!PBQ887</f>
        <v>0</v>
      </c>
      <c r="PBR364" s="373">
        <f>'Q100a-geral'!PBR887</f>
        <v>0</v>
      </c>
      <c r="PBS364" s="373">
        <f>'Q100a-geral'!PBS887</f>
        <v>0</v>
      </c>
      <c r="PBT364" s="373">
        <f>'Q100a-geral'!PBT887</f>
        <v>0</v>
      </c>
      <c r="PBU364" s="373">
        <f>'Q100a-geral'!PBU887</f>
        <v>0</v>
      </c>
      <c r="PBV364" s="373">
        <f>'Q100a-geral'!PBV887</f>
        <v>0</v>
      </c>
      <c r="PBW364" s="373">
        <f>'Q100a-geral'!PBW887</f>
        <v>0</v>
      </c>
      <c r="PBX364" s="373">
        <f>'Q100a-geral'!PBX887</f>
        <v>0</v>
      </c>
      <c r="PBY364" s="373">
        <f>'Q100a-geral'!PBY887</f>
        <v>0</v>
      </c>
      <c r="PBZ364" s="373">
        <f>'Q100a-geral'!PBZ887</f>
        <v>0</v>
      </c>
      <c r="PCA364" s="373">
        <f>'Q100a-geral'!PCA887</f>
        <v>0</v>
      </c>
      <c r="PCB364" s="373">
        <f>'Q100a-geral'!PCB887</f>
        <v>0</v>
      </c>
      <c r="PCC364" s="373">
        <f>'Q100a-geral'!PCC887</f>
        <v>0</v>
      </c>
      <c r="PCD364" s="373">
        <f>'Q100a-geral'!PCD887</f>
        <v>0</v>
      </c>
      <c r="PCE364" s="373">
        <f>'Q100a-geral'!PCE887</f>
        <v>0</v>
      </c>
      <c r="PCF364" s="373">
        <f>'Q100a-geral'!PCF887</f>
        <v>0</v>
      </c>
      <c r="PCG364" s="373">
        <f>'Q100a-geral'!PCG887</f>
        <v>0</v>
      </c>
      <c r="PCH364" s="373">
        <f>'Q100a-geral'!PCH887</f>
        <v>0</v>
      </c>
      <c r="PCI364" s="373">
        <f>'Q100a-geral'!PCI887</f>
        <v>0</v>
      </c>
      <c r="PCJ364" s="373">
        <f>'Q100a-geral'!PCJ887</f>
        <v>0</v>
      </c>
      <c r="PCK364" s="373">
        <f>'Q100a-geral'!PCK887</f>
        <v>0</v>
      </c>
      <c r="PCL364" s="373">
        <f>'Q100a-geral'!PCL887</f>
        <v>0</v>
      </c>
      <c r="PCM364" s="373">
        <f>'Q100a-geral'!PCM887</f>
        <v>0</v>
      </c>
      <c r="PCN364" s="373">
        <f>'Q100a-geral'!PCN887</f>
        <v>0</v>
      </c>
      <c r="PCO364" s="373">
        <f>'Q100a-geral'!PCO887</f>
        <v>0</v>
      </c>
      <c r="PCP364" s="373">
        <f>'Q100a-geral'!PCP887</f>
        <v>0</v>
      </c>
      <c r="PCQ364" s="373">
        <f>'Q100a-geral'!PCQ887</f>
        <v>0</v>
      </c>
      <c r="PCR364" s="373">
        <f>'Q100a-geral'!PCR887</f>
        <v>0</v>
      </c>
      <c r="PCS364" s="373">
        <f>'Q100a-geral'!PCS887</f>
        <v>0</v>
      </c>
      <c r="PCT364" s="373">
        <f>'Q100a-geral'!PCT887</f>
        <v>0</v>
      </c>
      <c r="PCU364" s="373">
        <f>'Q100a-geral'!PCU887</f>
        <v>0</v>
      </c>
      <c r="PCV364" s="373">
        <f>'Q100a-geral'!PCV887</f>
        <v>0</v>
      </c>
      <c r="PCW364" s="373">
        <f>'Q100a-geral'!PCW887</f>
        <v>0</v>
      </c>
      <c r="PCX364" s="373">
        <f>'Q100a-geral'!PCX887</f>
        <v>0</v>
      </c>
      <c r="PCY364" s="373">
        <f>'Q100a-geral'!PCY887</f>
        <v>0</v>
      </c>
      <c r="PCZ364" s="373">
        <f>'Q100a-geral'!PCZ887</f>
        <v>0</v>
      </c>
      <c r="PDA364" s="373">
        <f>'Q100a-geral'!PDA887</f>
        <v>0</v>
      </c>
      <c r="PDB364" s="373">
        <f>'Q100a-geral'!PDB887</f>
        <v>0</v>
      </c>
      <c r="PDC364" s="373">
        <f>'Q100a-geral'!PDC887</f>
        <v>0</v>
      </c>
      <c r="PDD364" s="373">
        <f>'Q100a-geral'!PDD887</f>
        <v>0</v>
      </c>
      <c r="PDE364" s="373">
        <f>'Q100a-geral'!PDE887</f>
        <v>0</v>
      </c>
      <c r="PDF364" s="373">
        <f>'Q100a-geral'!PDF887</f>
        <v>0</v>
      </c>
      <c r="PDG364" s="373">
        <f>'Q100a-geral'!PDG887</f>
        <v>0</v>
      </c>
      <c r="PDH364" s="373">
        <f>'Q100a-geral'!PDH887</f>
        <v>0</v>
      </c>
      <c r="PDI364" s="373">
        <f>'Q100a-geral'!PDI887</f>
        <v>0</v>
      </c>
      <c r="PDJ364" s="373">
        <f>'Q100a-geral'!PDJ887</f>
        <v>0</v>
      </c>
      <c r="PDK364" s="373">
        <f>'Q100a-geral'!PDK887</f>
        <v>0</v>
      </c>
      <c r="PDL364" s="373">
        <f>'Q100a-geral'!PDL887</f>
        <v>0</v>
      </c>
      <c r="PDM364" s="373">
        <f>'Q100a-geral'!PDM887</f>
        <v>0</v>
      </c>
      <c r="PDN364" s="373">
        <f>'Q100a-geral'!PDN887</f>
        <v>0</v>
      </c>
      <c r="PDO364" s="373">
        <f>'Q100a-geral'!PDO887</f>
        <v>0</v>
      </c>
      <c r="PDP364" s="373">
        <f>'Q100a-geral'!PDP887</f>
        <v>0</v>
      </c>
      <c r="PDQ364" s="373">
        <f>'Q100a-geral'!PDQ887</f>
        <v>0</v>
      </c>
      <c r="PDR364" s="373">
        <f>'Q100a-geral'!PDR887</f>
        <v>0</v>
      </c>
      <c r="PDS364" s="373">
        <f>'Q100a-geral'!PDS887</f>
        <v>0</v>
      </c>
      <c r="PDT364" s="373">
        <f>'Q100a-geral'!PDT887</f>
        <v>0</v>
      </c>
      <c r="PDU364" s="373">
        <f>'Q100a-geral'!PDU887</f>
        <v>0</v>
      </c>
      <c r="PDV364" s="373">
        <f>'Q100a-geral'!PDV887</f>
        <v>0</v>
      </c>
      <c r="PDW364" s="373">
        <f>'Q100a-geral'!PDW887</f>
        <v>0</v>
      </c>
      <c r="PDX364" s="373">
        <f>'Q100a-geral'!PDX887</f>
        <v>0</v>
      </c>
      <c r="PDY364" s="373">
        <f>'Q100a-geral'!PDY887</f>
        <v>0</v>
      </c>
      <c r="PDZ364" s="373">
        <f>'Q100a-geral'!PDZ887</f>
        <v>0</v>
      </c>
      <c r="PEA364" s="373">
        <f>'Q100a-geral'!PEA887</f>
        <v>0</v>
      </c>
      <c r="PEB364" s="373">
        <f>'Q100a-geral'!PEB887</f>
        <v>0</v>
      </c>
      <c r="PEC364" s="373">
        <f>'Q100a-geral'!PEC887</f>
        <v>0</v>
      </c>
      <c r="PED364" s="373">
        <f>'Q100a-geral'!PED887</f>
        <v>0</v>
      </c>
      <c r="PEE364" s="373">
        <f>'Q100a-geral'!PEE887</f>
        <v>0</v>
      </c>
      <c r="PEF364" s="373">
        <f>'Q100a-geral'!PEF887</f>
        <v>0</v>
      </c>
      <c r="PEG364" s="373">
        <f>'Q100a-geral'!PEG887</f>
        <v>0</v>
      </c>
      <c r="PEH364" s="373">
        <f>'Q100a-geral'!PEH887</f>
        <v>0</v>
      </c>
      <c r="PEI364" s="373">
        <f>'Q100a-geral'!PEI887</f>
        <v>0</v>
      </c>
      <c r="PEJ364" s="373">
        <f>'Q100a-geral'!PEJ887</f>
        <v>0</v>
      </c>
      <c r="PEK364" s="373">
        <f>'Q100a-geral'!PEK887</f>
        <v>0</v>
      </c>
      <c r="PEL364" s="373">
        <f>'Q100a-geral'!PEL887</f>
        <v>0</v>
      </c>
      <c r="PEM364" s="373">
        <f>'Q100a-geral'!PEM887</f>
        <v>0</v>
      </c>
      <c r="PEN364" s="373">
        <f>'Q100a-geral'!PEN887</f>
        <v>0</v>
      </c>
      <c r="PEO364" s="373">
        <f>'Q100a-geral'!PEO887</f>
        <v>0</v>
      </c>
      <c r="PEP364" s="373">
        <f>'Q100a-geral'!PEP887</f>
        <v>0</v>
      </c>
      <c r="PEQ364" s="373">
        <f>'Q100a-geral'!PEQ887</f>
        <v>0</v>
      </c>
      <c r="PER364" s="373">
        <f>'Q100a-geral'!PER887</f>
        <v>0</v>
      </c>
      <c r="PES364" s="373">
        <f>'Q100a-geral'!PES887</f>
        <v>0</v>
      </c>
      <c r="PET364" s="373">
        <f>'Q100a-geral'!PET887</f>
        <v>0</v>
      </c>
      <c r="PEU364" s="373">
        <f>'Q100a-geral'!PEU887</f>
        <v>0</v>
      </c>
      <c r="PEV364" s="373">
        <f>'Q100a-geral'!PEV887</f>
        <v>0</v>
      </c>
      <c r="PEW364" s="373">
        <f>'Q100a-geral'!PEW887</f>
        <v>0</v>
      </c>
      <c r="PEX364" s="373">
        <f>'Q100a-geral'!PEX887</f>
        <v>0</v>
      </c>
      <c r="PEY364" s="373">
        <f>'Q100a-geral'!PEY887</f>
        <v>0</v>
      </c>
      <c r="PEZ364" s="373">
        <f>'Q100a-geral'!PEZ887</f>
        <v>0</v>
      </c>
      <c r="PFA364" s="373">
        <f>'Q100a-geral'!PFA887</f>
        <v>0</v>
      </c>
      <c r="PFB364" s="373">
        <f>'Q100a-geral'!PFB887</f>
        <v>0</v>
      </c>
      <c r="PFC364" s="373">
        <f>'Q100a-geral'!PFC887</f>
        <v>0</v>
      </c>
      <c r="PFD364" s="373">
        <f>'Q100a-geral'!PFD887</f>
        <v>0</v>
      </c>
      <c r="PFE364" s="373">
        <f>'Q100a-geral'!PFE887</f>
        <v>0</v>
      </c>
      <c r="PFF364" s="373">
        <f>'Q100a-geral'!PFF887</f>
        <v>0</v>
      </c>
      <c r="PFG364" s="373">
        <f>'Q100a-geral'!PFG887</f>
        <v>0</v>
      </c>
      <c r="PFH364" s="373">
        <f>'Q100a-geral'!PFH887</f>
        <v>0</v>
      </c>
      <c r="PFI364" s="373">
        <f>'Q100a-geral'!PFI887</f>
        <v>0</v>
      </c>
      <c r="PFJ364" s="373">
        <f>'Q100a-geral'!PFJ887</f>
        <v>0</v>
      </c>
      <c r="PFK364" s="373">
        <f>'Q100a-geral'!PFK887</f>
        <v>0</v>
      </c>
      <c r="PFL364" s="373">
        <f>'Q100a-geral'!PFL887</f>
        <v>0</v>
      </c>
      <c r="PFM364" s="373">
        <f>'Q100a-geral'!PFM887</f>
        <v>0</v>
      </c>
      <c r="PFN364" s="373">
        <f>'Q100a-geral'!PFN887</f>
        <v>0</v>
      </c>
      <c r="PFO364" s="373">
        <f>'Q100a-geral'!PFO887</f>
        <v>0</v>
      </c>
      <c r="PFP364" s="373">
        <f>'Q100a-geral'!PFP887</f>
        <v>0</v>
      </c>
      <c r="PFQ364" s="373">
        <f>'Q100a-geral'!PFQ887</f>
        <v>0</v>
      </c>
      <c r="PFR364" s="373">
        <f>'Q100a-geral'!PFR887</f>
        <v>0</v>
      </c>
      <c r="PFS364" s="373">
        <f>'Q100a-geral'!PFS887</f>
        <v>0</v>
      </c>
      <c r="PFT364" s="373">
        <f>'Q100a-geral'!PFT887</f>
        <v>0</v>
      </c>
      <c r="PFU364" s="373">
        <f>'Q100a-geral'!PFU887</f>
        <v>0</v>
      </c>
      <c r="PFV364" s="373">
        <f>'Q100a-geral'!PFV887</f>
        <v>0</v>
      </c>
      <c r="PFW364" s="373">
        <f>'Q100a-geral'!PFW887</f>
        <v>0</v>
      </c>
      <c r="PFX364" s="373">
        <f>'Q100a-geral'!PFX887</f>
        <v>0</v>
      </c>
      <c r="PFY364" s="373">
        <f>'Q100a-geral'!PFY887</f>
        <v>0</v>
      </c>
      <c r="PFZ364" s="373">
        <f>'Q100a-geral'!PFZ887</f>
        <v>0</v>
      </c>
      <c r="PGA364" s="373">
        <f>'Q100a-geral'!PGA887</f>
        <v>0</v>
      </c>
      <c r="PGB364" s="373">
        <f>'Q100a-geral'!PGB887</f>
        <v>0</v>
      </c>
      <c r="PGC364" s="373">
        <f>'Q100a-geral'!PGC887</f>
        <v>0</v>
      </c>
      <c r="PGD364" s="373">
        <f>'Q100a-geral'!PGD887</f>
        <v>0</v>
      </c>
      <c r="PGE364" s="373">
        <f>'Q100a-geral'!PGE887</f>
        <v>0</v>
      </c>
      <c r="PGF364" s="373">
        <f>'Q100a-geral'!PGF887</f>
        <v>0</v>
      </c>
      <c r="PGG364" s="373">
        <f>'Q100a-geral'!PGG887</f>
        <v>0</v>
      </c>
      <c r="PGH364" s="373">
        <f>'Q100a-geral'!PGH887</f>
        <v>0</v>
      </c>
      <c r="PGI364" s="373">
        <f>'Q100a-geral'!PGI887</f>
        <v>0</v>
      </c>
      <c r="PGJ364" s="373">
        <f>'Q100a-geral'!PGJ887</f>
        <v>0</v>
      </c>
      <c r="PGK364" s="373">
        <f>'Q100a-geral'!PGK887</f>
        <v>0</v>
      </c>
      <c r="PGL364" s="373">
        <f>'Q100a-geral'!PGL887</f>
        <v>0</v>
      </c>
      <c r="PGM364" s="373">
        <f>'Q100a-geral'!PGM887</f>
        <v>0</v>
      </c>
      <c r="PGN364" s="373">
        <f>'Q100a-geral'!PGN887</f>
        <v>0</v>
      </c>
      <c r="PGO364" s="373">
        <f>'Q100a-geral'!PGO887</f>
        <v>0</v>
      </c>
      <c r="PGP364" s="373">
        <f>'Q100a-geral'!PGP887</f>
        <v>0</v>
      </c>
      <c r="PGQ364" s="373">
        <f>'Q100a-geral'!PGQ887</f>
        <v>0</v>
      </c>
      <c r="PGR364" s="373">
        <f>'Q100a-geral'!PGR887</f>
        <v>0</v>
      </c>
      <c r="PGS364" s="373">
        <f>'Q100a-geral'!PGS887</f>
        <v>0</v>
      </c>
      <c r="PGT364" s="373">
        <f>'Q100a-geral'!PGT887</f>
        <v>0</v>
      </c>
      <c r="PGU364" s="373">
        <f>'Q100a-geral'!PGU887</f>
        <v>0</v>
      </c>
      <c r="PGV364" s="373">
        <f>'Q100a-geral'!PGV887</f>
        <v>0</v>
      </c>
      <c r="PGW364" s="373">
        <f>'Q100a-geral'!PGW887</f>
        <v>0</v>
      </c>
      <c r="PGX364" s="373">
        <f>'Q100a-geral'!PGX887</f>
        <v>0</v>
      </c>
      <c r="PGY364" s="373">
        <f>'Q100a-geral'!PGY887</f>
        <v>0</v>
      </c>
      <c r="PGZ364" s="373">
        <f>'Q100a-geral'!PGZ887</f>
        <v>0</v>
      </c>
      <c r="PHA364" s="373">
        <f>'Q100a-geral'!PHA887</f>
        <v>0</v>
      </c>
      <c r="PHB364" s="373">
        <f>'Q100a-geral'!PHB887</f>
        <v>0</v>
      </c>
      <c r="PHC364" s="373">
        <f>'Q100a-geral'!PHC887</f>
        <v>0</v>
      </c>
      <c r="PHD364" s="373">
        <f>'Q100a-geral'!PHD887</f>
        <v>0</v>
      </c>
      <c r="PHE364" s="373">
        <f>'Q100a-geral'!PHE887</f>
        <v>0</v>
      </c>
      <c r="PHF364" s="373">
        <f>'Q100a-geral'!PHF887</f>
        <v>0</v>
      </c>
      <c r="PHG364" s="373">
        <f>'Q100a-geral'!PHG887</f>
        <v>0</v>
      </c>
      <c r="PHH364" s="373">
        <f>'Q100a-geral'!PHH887</f>
        <v>0</v>
      </c>
      <c r="PHI364" s="373">
        <f>'Q100a-geral'!PHI887</f>
        <v>0</v>
      </c>
      <c r="PHJ364" s="373">
        <f>'Q100a-geral'!PHJ887</f>
        <v>0</v>
      </c>
      <c r="PHK364" s="373">
        <f>'Q100a-geral'!PHK887</f>
        <v>0</v>
      </c>
      <c r="PHL364" s="373">
        <f>'Q100a-geral'!PHL887</f>
        <v>0</v>
      </c>
      <c r="PHM364" s="373">
        <f>'Q100a-geral'!PHM887</f>
        <v>0</v>
      </c>
      <c r="PHN364" s="373">
        <f>'Q100a-geral'!PHN887</f>
        <v>0</v>
      </c>
      <c r="PHO364" s="373">
        <f>'Q100a-geral'!PHO887</f>
        <v>0</v>
      </c>
      <c r="PHP364" s="373">
        <f>'Q100a-geral'!PHP887</f>
        <v>0</v>
      </c>
      <c r="PHQ364" s="373">
        <f>'Q100a-geral'!PHQ887</f>
        <v>0</v>
      </c>
      <c r="PHR364" s="373">
        <f>'Q100a-geral'!PHR887</f>
        <v>0</v>
      </c>
      <c r="PHS364" s="373">
        <f>'Q100a-geral'!PHS887</f>
        <v>0</v>
      </c>
      <c r="PHT364" s="373">
        <f>'Q100a-geral'!PHT887</f>
        <v>0</v>
      </c>
      <c r="PHU364" s="373">
        <f>'Q100a-geral'!PHU887</f>
        <v>0</v>
      </c>
      <c r="PHV364" s="373">
        <f>'Q100a-geral'!PHV887</f>
        <v>0</v>
      </c>
      <c r="PHW364" s="373">
        <f>'Q100a-geral'!PHW887</f>
        <v>0</v>
      </c>
      <c r="PHX364" s="373">
        <f>'Q100a-geral'!PHX887</f>
        <v>0</v>
      </c>
      <c r="PHY364" s="373">
        <f>'Q100a-geral'!PHY887</f>
        <v>0</v>
      </c>
      <c r="PHZ364" s="373">
        <f>'Q100a-geral'!PHZ887</f>
        <v>0</v>
      </c>
      <c r="PIA364" s="373">
        <f>'Q100a-geral'!PIA887</f>
        <v>0</v>
      </c>
      <c r="PIB364" s="373">
        <f>'Q100a-geral'!PIB887</f>
        <v>0</v>
      </c>
      <c r="PIC364" s="373">
        <f>'Q100a-geral'!PIC887</f>
        <v>0</v>
      </c>
      <c r="PID364" s="373">
        <f>'Q100a-geral'!PID887</f>
        <v>0</v>
      </c>
      <c r="PIE364" s="373">
        <f>'Q100a-geral'!PIE887</f>
        <v>0</v>
      </c>
      <c r="PIF364" s="373">
        <f>'Q100a-geral'!PIF887</f>
        <v>0</v>
      </c>
      <c r="PIG364" s="373">
        <f>'Q100a-geral'!PIG887</f>
        <v>0</v>
      </c>
      <c r="PIH364" s="373">
        <f>'Q100a-geral'!PIH887</f>
        <v>0</v>
      </c>
      <c r="PII364" s="373">
        <f>'Q100a-geral'!PII887</f>
        <v>0</v>
      </c>
      <c r="PIJ364" s="373">
        <f>'Q100a-geral'!PIJ887</f>
        <v>0</v>
      </c>
      <c r="PIK364" s="373">
        <f>'Q100a-geral'!PIK887</f>
        <v>0</v>
      </c>
      <c r="PIL364" s="373">
        <f>'Q100a-geral'!PIL887</f>
        <v>0</v>
      </c>
      <c r="PIM364" s="373">
        <f>'Q100a-geral'!PIM887</f>
        <v>0</v>
      </c>
      <c r="PIN364" s="373">
        <f>'Q100a-geral'!PIN887</f>
        <v>0</v>
      </c>
      <c r="PIO364" s="373">
        <f>'Q100a-geral'!PIO887</f>
        <v>0</v>
      </c>
      <c r="PIP364" s="373">
        <f>'Q100a-geral'!PIP887</f>
        <v>0</v>
      </c>
      <c r="PIQ364" s="373">
        <f>'Q100a-geral'!PIQ887</f>
        <v>0</v>
      </c>
      <c r="PIR364" s="373">
        <f>'Q100a-geral'!PIR887</f>
        <v>0</v>
      </c>
      <c r="PIS364" s="373">
        <f>'Q100a-geral'!PIS887</f>
        <v>0</v>
      </c>
      <c r="PIT364" s="373">
        <f>'Q100a-geral'!PIT887</f>
        <v>0</v>
      </c>
      <c r="PIU364" s="373">
        <f>'Q100a-geral'!PIU887</f>
        <v>0</v>
      </c>
      <c r="PIV364" s="373">
        <f>'Q100a-geral'!PIV887</f>
        <v>0</v>
      </c>
      <c r="PIW364" s="373">
        <f>'Q100a-geral'!PIW887</f>
        <v>0</v>
      </c>
      <c r="PIX364" s="373">
        <f>'Q100a-geral'!PIX887</f>
        <v>0</v>
      </c>
      <c r="PIY364" s="373">
        <f>'Q100a-geral'!PIY887</f>
        <v>0</v>
      </c>
      <c r="PIZ364" s="373">
        <f>'Q100a-geral'!PIZ887</f>
        <v>0</v>
      </c>
      <c r="PJA364" s="373">
        <f>'Q100a-geral'!PJA887</f>
        <v>0</v>
      </c>
      <c r="PJB364" s="373">
        <f>'Q100a-geral'!PJB887</f>
        <v>0</v>
      </c>
      <c r="PJC364" s="373">
        <f>'Q100a-geral'!PJC887</f>
        <v>0</v>
      </c>
      <c r="PJD364" s="373">
        <f>'Q100a-geral'!PJD887</f>
        <v>0</v>
      </c>
      <c r="PJE364" s="373">
        <f>'Q100a-geral'!PJE887</f>
        <v>0</v>
      </c>
      <c r="PJF364" s="373">
        <f>'Q100a-geral'!PJF887</f>
        <v>0</v>
      </c>
      <c r="PJG364" s="373">
        <f>'Q100a-geral'!PJG887</f>
        <v>0</v>
      </c>
      <c r="PJH364" s="373">
        <f>'Q100a-geral'!PJH887</f>
        <v>0</v>
      </c>
      <c r="PJI364" s="373">
        <f>'Q100a-geral'!PJI887</f>
        <v>0</v>
      </c>
      <c r="PJJ364" s="373">
        <f>'Q100a-geral'!PJJ887</f>
        <v>0</v>
      </c>
      <c r="PJK364" s="373">
        <f>'Q100a-geral'!PJK887</f>
        <v>0</v>
      </c>
      <c r="PJL364" s="373">
        <f>'Q100a-geral'!PJL887</f>
        <v>0</v>
      </c>
      <c r="PJM364" s="373">
        <f>'Q100a-geral'!PJM887</f>
        <v>0</v>
      </c>
      <c r="PJN364" s="373">
        <f>'Q100a-geral'!PJN887</f>
        <v>0</v>
      </c>
      <c r="PJO364" s="373">
        <f>'Q100a-geral'!PJO887</f>
        <v>0</v>
      </c>
      <c r="PJP364" s="373">
        <f>'Q100a-geral'!PJP887</f>
        <v>0</v>
      </c>
      <c r="PJQ364" s="373">
        <f>'Q100a-geral'!PJQ887</f>
        <v>0</v>
      </c>
      <c r="PJR364" s="373">
        <f>'Q100a-geral'!PJR887</f>
        <v>0</v>
      </c>
      <c r="PJS364" s="373">
        <f>'Q100a-geral'!PJS887</f>
        <v>0</v>
      </c>
      <c r="PJT364" s="373">
        <f>'Q100a-geral'!PJT887</f>
        <v>0</v>
      </c>
      <c r="PJU364" s="373">
        <f>'Q100a-geral'!PJU887</f>
        <v>0</v>
      </c>
      <c r="PJV364" s="373">
        <f>'Q100a-geral'!PJV887</f>
        <v>0</v>
      </c>
      <c r="PJW364" s="373">
        <f>'Q100a-geral'!PJW887</f>
        <v>0</v>
      </c>
      <c r="PJX364" s="373">
        <f>'Q100a-geral'!PJX887</f>
        <v>0</v>
      </c>
      <c r="PJY364" s="373">
        <f>'Q100a-geral'!PJY887</f>
        <v>0</v>
      </c>
      <c r="PJZ364" s="373">
        <f>'Q100a-geral'!PJZ887</f>
        <v>0</v>
      </c>
      <c r="PKA364" s="373">
        <f>'Q100a-geral'!PKA887</f>
        <v>0</v>
      </c>
      <c r="PKB364" s="373">
        <f>'Q100a-geral'!PKB887</f>
        <v>0</v>
      </c>
      <c r="PKC364" s="373">
        <f>'Q100a-geral'!PKC887</f>
        <v>0</v>
      </c>
      <c r="PKD364" s="373">
        <f>'Q100a-geral'!PKD887</f>
        <v>0</v>
      </c>
      <c r="PKE364" s="373">
        <f>'Q100a-geral'!PKE887</f>
        <v>0</v>
      </c>
      <c r="PKF364" s="373">
        <f>'Q100a-geral'!PKF887</f>
        <v>0</v>
      </c>
      <c r="PKG364" s="373">
        <f>'Q100a-geral'!PKG887</f>
        <v>0</v>
      </c>
      <c r="PKH364" s="373">
        <f>'Q100a-geral'!PKH887</f>
        <v>0</v>
      </c>
      <c r="PKI364" s="373">
        <f>'Q100a-geral'!PKI887</f>
        <v>0</v>
      </c>
      <c r="PKJ364" s="373">
        <f>'Q100a-geral'!PKJ887</f>
        <v>0</v>
      </c>
      <c r="PKK364" s="373">
        <f>'Q100a-geral'!PKK887</f>
        <v>0</v>
      </c>
      <c r="PKL364" s="373">
        <f>'Q100a-geral'!PKL887</f>
        <v>0</v>
      </c>
      <c r="PKM364" s="373">
        <f>'Q100a-geral'!PKM887</f>
        <v>0</v>
      </c>
      <c r="PKN364" s="373">
        <f>'Q100a-geral'!PKN887</f>
        <v>0</v>
      </c>
      <c r="PKO364" s="373">
        <f>'Q100a-geral'!PKO887</f>
        <v>0</v>
      </c>
      <c r="PKP364" s="373">
        <f>'Q100a-geral'!PKP887</f>
        <v>0</v>
      </c>
      <c r="PKQ364" s="373">
        <f>'Q100a-geral'!PKQ887</f>
        <v>0</v>
      </c>
      <c r="PKR364" s="373">
        <f>'Q100a-geral'!PKR887</f>
        <v>0</v>
      </c>
      <c r="PKS364" s="373">
        <f>'Q100a-geral'!PKS887</f>
        <v>0</v>
      </c>
      <c r="PKT364" s="373">
        <f>'Q100a-geral'!PKT887</f>
        <v>0</v>
      </c>
      <c r="PKU364" s="373">
        <f>'Q100a-geral'!PKU887</f>
        <v>0</v>
      </c>
      <c r="PKV364" s="373">
        <f>'Q100a-geral'!PKV887</f>
        <v>0</v>
      </c>
      <c r="PKW364" s="373">
        <f>'Q100a-geral'!PKW887</f>
        <v>0</v>
      </c>
      <c r="PKX364" s="373">
        <f>'Q100a-geral'!PKX887</f>
        <v>0</v>
      </c>
      <c r="PKY364" s="373">
        <f>'Q100a-geral'!PKY887</f>
        <v>0</v>
      </c>
      <c r="PKZ364" s="373">
        <f>'Q100a-geral'!PKZ887</f>
        <v>0</v>
      </c>
      <c r="PLA364" s="373">
        <f>'Q100a-geral'!PLA887</f>
        <v>0</v>
      </c>
      <c r="PLB364" s="373">
        <f>'Q100a-geral'!PLB887</f>
        <v>0</v>
      </c>
      <c r="PLC364" s="373">
        <f>'Q100a-geral'!PLC887</f>
        <v>0</v>
      </c>
      <c r="PLD364" s="373">
        <f>'Q100a-geral'!PLD887</f>
        <v>0</v>
      </c>
      <c r="PLE364" s="373">
        <f>'Q100a-geral'!PLE887</f>
        <v>0</v>
      </c>
      <c r="PLF364" s="373">
        <f>'Q100a-geral'!PLF887</f>
        <v>0</v>
      </c>
      <c r="PLG364" s="373">
        <f>'Q100a-geral'!PLG887</f>
        <v>0</v>
      </c>
      <c r="PLH364" s="373">
        <f>'Q100a-geral'!PLH887</f>
        <v>0</v>
      </c>
      <c r="PLI364" s="373">
        <f>'Q100a-geral'!PLI887</f>
        <v>0</v>
      </c>
      <c r="PLJ364" s="373">
        <f>'Q100a-geral'!PLJ887</f>
        <v>0</v>
      </c>
      <c r="PLK364" s="373">
        <f>'Q100a-geral'!PLK887</f>
        <v>0</v>
      </c>
      <c r="PLL364" s="373">
        <f>'Q100a-geral'!PLL887</f>
        <v>0</v>
      </c>
      <c r="PLM364" s="373">
        <f>'Q100a-geral'!PLM887</f>
        <v>0</v>
      </c>
      <c r="PLN364" s="373">
        <f>'Q100a-geral'!PLN887</f>
        <v>0</v>
      </c>
      <c r="PLO364" s="373">
        <f>'Q100a-geral'!PLO887</f>
        <v>0</v>
      </c>
      <c r="PLP364" s="373">
        <f>'Q100a-geral'!PLP887</f>
        <v>0</v>
      </c>
      <c r="PLQ364" s="373">
        <f>'Q100a-geral'!PLQ887</f>
        <v>0</v>
      </c>
      <c r="PLR364" s="373">
        <f>'Q100a-geral'!PLR887</f>
        <v>0</v>
      </c>
      <c r="PLS364" s="373">
        <f>'Q100a-geral'!PLS887</f>
        <v>0</v>
      </c>
      <c r="PLT364" s="373">
        <f>'Q100a-geral'!PLT887</f>
        <v>0</v>
      </c>
      <c r="PLU364" s="373">
        <f>'Q100a-geral'!PLU887</f>
        <v>0</v>
      </c>
      <c r="PLV364" s="373">
        <f>'Q100a-geral'!PLV887</f>
        <v>0</v>
      </c>
      <c r="PLW364" s="373">
        <f>'Q100a-geral'!PLW887</f>
        <v>0</v>
      </c>
      <c r="PLX364" s="373">
        <f>'Q100a-geral'!PLX887</f>
        <v>0</v>
      </c>
      <c r="PLY364" s="373">
        <f>'Q100a-geral'!PLY887</f>
        <v>0</v>
      </c>
      <c r="PLZ364" s="373">
        <f>'Q100a-geral'!PLZ887</f>
        <v>0</v>
      </c>
      <c r="PMA364" s="373">
        <f>'Q100a-geral'!PMA887</f>
        <v>0</v>
      </c>
      <c r="PMB364" s="373">
        <f>'Q100a-geral'!PMB887</f>
        <v>0</v>
      </c>
      <c r="PMC364" s="373">
        <f>'Q100a-geral'!PMC887</f>
        <v>0</v>
      </c>
      <c r="PMD364" s="373">
        <f>'Q100a-geral'!PMD887</f>
        <v>0</v>
      </c>
      <c r="PME364" s="373">
        <f>'Q100a-geral'!PME887</f>
        <v>0</v>
      </c>
      <c r="PMF364" s="373">
        <f>'Q100a-geral'!PMF887</f>
        <v>0</v>
      </c>
      <c r="PMG364" s="373">
        <f>'Q100a-geral'!PMG887</f>
        <v>0</v>
      </c>
      <c r="PMH364" s="373">
        <f>'Q100a-geral'!PMH887</f>
        <v>0</v>
      </c>
      <c r="PMI364" s="373">
        <f>'Q100a-geral'!PMI887</f>
        <v>0</v>
      </c>
      <c r="PMJ364" s="373">
        <f>'Q100a-geral'!PMJ887</f>
        <v>0</v>
      </c>
      <c r="PMK364" s="373">
        <f>'Q100a-geral'!PMK887</f>
        <v>0</v>
      </c>
      <c r="PML364" s="373">
        <f>'Q100a-geral'!PML887</f>
        <v>0</v>
      </c>
      <c r="PMM364" s="373">
        <f>'Q100a-geral'!PMM887</f>
        <v>0</v>
      </c>
      <c r="PMN364" s="373">
        <f>'Q100a-geral'!PMN887</f>
        <v>0</v>
      </c>
      <c r="PMO364" s="373">
        <f>'Q100a-geral'!PMO887</f>
        <v>0</v>
      </c>
      <c r="PMP364" s="373">
        <f>'Q100a-geral'!PMP887</f>
        <v>0</v>
      </c>
      <c r="PMQ364" s="373">
        <f>'Q100a-geral'!PMQ887</f>
        <v>0</v>
      </c>
      <c r="PMR364" s="373">
        <f>'Q100a-geral'!PMR887</f>
        <v>0</v>
      </c>
      <c r="PMS364" s="373">
        <f>'Q100a-geral'!PMS887</f>
        <v>0</v>
      </c>
      <c r="PMT364" s="373">
        <f>'Q100a-geral'!PMT887</f>
        <v>0</v>
      </c>
      <c r="PMU364" s="373">
        <f>'Q100a-geral'!PMU887</f>
        <v>0</v>
      </c>
      <c r="PMV364" s="373">
        <f>'Q100a-geral'!PMV887</f>
        <v>0</v>
      </c>
      <c r="PMW364" s="373">
        <f>'Q100a-geral'!PMW887</f>
        <v>0</v>
      </c>
      <c r="PMX364" s="373">
        <f>'Q100a-geral'!PMX887</f>
        <v>0</v>
      </c>
      <c r="PMY364" s="373">
        <f>'Q100a-geral'!PMY887</f>
        <v>0</v>
      </c>
      <c r="PMZ364" s="373">
        <f>'Q100a-geral'!PMZ887</f>
        <v>0</v>
      </c>
      <c r="PNA364" s="373">
        <f>'Q100a-geral'!PNA887</f>
        <v>0</v>
      </c>
      <c r="PNB364" s="373">
        <f>'Q100a-geral'!PNB887</f>
        <v>0</v>
      </c>
      <c r="PNC364" s="373">
        <f>'Q100a-geral'!PNC887</f>
        <v>0</v>
      </c>
      <c r="PND364" s="373">
        <f>'Q100a-geral'!PND887</f>
        <v>0</v>
      </c>
      <c r="PNE364" s="373">
        <f>'Q100a-geral'!PNE887</f>
        <v>0</v>
      </c>
      <c r="PNF364" s="373">
        <f>'Q100a-geral'!PNF887</f>
        <v>0</v>
      </c>
      <c r="PNG364" s="373">
        <f>'Q100a-geral'!PNG887</f>
        <v>0</v>
      </c>
      <c r="PNH364" s="373">
        <f>'Q100a-geral'!PNH887</f>
        <v>0</v>
      </c>
      <c r="PNI364" s="373">
        <f>'Q100a-geral'!PNI887</f>
        <v>0</v>
      </c>
      <c r="PNJ364" s="373">
        <f>'Q100a-geral'!PNJ887</f>
        <v>0</v>
      </c>
      <c r="PNK364" s="373">
        <f>'Q100a-geral'!PNK887</f>
        <v>0</v>
      </c>
      <c r="PNL364" s="373">
        <f>'Q100a-geral'!PNL887</f>
        <v>0</v>
      </c>
      <c r="PNM364" s="373">
        <f>'Q100a-geral'!PNM887</f>
        <v>0</v>
      </c>
      <c r="PNN364" s="373">
        <f>'Q100a-geral'!PNN887</f>
        <v>0</v>
      </c>
      <c r="PNO364" s="373">
        <f>'Q100a-geral'!PNO887</f>
        <v>0</v>
      </c>
      <c r="PNP364" s="373">
        <f>'Q100a-geral'!PNP887</f>
        <v>0</v>
      </c>
      <c r="PNQ364" s="373">
        <f>'Q100a-geral'!PNQ887</f>
        <v>0</v>
      </c>
      <c r="PNR364" s="373">
        <f>'Q100a-geral'!PNR887</f>
        <v>0</v>
      </c>
      <c r="PNS364" s="373">
        <f>'Q100a-geral'!PNS887</f>
        <v>0</v>
      </c>
      <c r="PNT364" s="373">
        <f>'Q100a-geral'!PNT887</f>
        <v>0</v>
      </c>
      <c r="PNU364" s="373">
        <f>'Q100a-geral'!PNU887</f>
        <v>0</v>
      </c>
      <c r="PNV364" s="373">
        <f>'Q100a-geral'!PNV887</f>
        <v>0</v>
      </c>
      <c r="PNW364" s="373">
        <f>'Q100a-geral'!PNW887</f>
        <v>0</v>
      </c>
      <c r="PNX364" s="373">
        <f>'Q100a-geral'!PNX887</f>
        <v>0</v>
      </c>
      <c r="PNY364" s="373">
        <f>'Q100a-geral'!PNY887</f>
        <v>0</v>
      </c>
      <c r="PNZ364" s="373">
        <f>'Q100a-geral'!PNZ887</f>
        <v>0</v>
      </c>
      <c r="POA364" s="373">
        <f>'Q100a-geral'!POA887</f>
        <v>0</v>
      </c>
      <c r="POB364" s="373">
        <f>'Q100a-geral'!POB887</f>
        <v>0</v>
      </c>
      <c r="POC364" s="373">
        <f>'Q100a-geral'!POC887</f>
        <v>0</v>
      </c>
      <c r="POD364" s="373">
        <f>'Q100a-geral'!POD887</f>
        <v>0</v>
      </c>
      <c r="POE364" s="373">
        <f>'Q100a-geral'!POE887</f>
        <v>0</v>
      </c>
      <c r="POF364" s="373">
        <f>'Q100a-geral'!POF887</f>
        <v>0</v>
      </c>
      <c r="POG364" s="373">
        <f>'Q100a-geral'!POG887</f>
        <v>0</v>
      </c>
      <c r="POH364" s="373">
        <f>'Q100a-geral'!POH887</f>
        <v>0</v>
      </c>
      <c r="POI364" s="373">
        <f>'Q100a-geral'!POI887</f>
        <v>0</v>
      </c>
      <c r="POJ364" s="373">
        <f>'Q100a-geral'!POJ887</f>
        <v>0</v>
      </c>
      <c r="POK364" s="373">
        <f>'Q100a-geral'!POK887</f>
        <v>0</v>
      </c>
      <c r="POL364" s="373">
        <f>'Q100a-geral'!POL887</f>
        <v>0</v>
      </c>
      <c r="POM364" s="373">
        <f>'Q100a-geral'!POM887</f>
        <v>0</v>
      </c>
      <c r="PON364" s="373">
        <f>'Q100a-geral'!PON887</f>
        <v>0</v>
      </c>
      <c r="POO364" s="373">
        <f>'Q100a-geral'!POO887</f>
        <v>0</v>
      </c>
      <c r="POP364" s="373">
        <f>'Q100a-geral'!POP887</f>
        <v>0</v>
      </c>
      <c r="POQ364" s="373">
        <f>'Q100a-geral'!POQ887</f>
        <v>0</v>
      </c>
      <c r="POR364" s="373">
        <f>'Q100a-geral'!POR887</f>
        <v>0</v>
      </c>
      <c r="POS364" s="373">
        <f>'Q100a-geral'!POS887</f>
        <v>0</v>
      </c>
      <c r="POT364" s="373">
        <f>'Q100a-geral'!POT887</f>
        <v>0</v>
      </c>
      <c r="POU364" s="373">
        <f>'Q100a-geral'!POU887</f>
        <v>0</v>
      </c>
      <c r="POV364" s="373">
        <f>'Q100a-geral'!POV887</f>
        <v>0</v>
      </c>
      <c r="POW364" s="373">
        <f>'Q100a-geral'!POW887</f>
        <v>0</v>
      </c>
      <c r="POX364" s="373">
        <f>'Q100a-geral'!POX887</f>
        <v>0</v>
      </c>
      <c r="POY364" s="373">
        <f>'Q100a-geral'!POY887</f>
        <v>0</v>
      </c>
      <c r="POZ364" s="373">
        <f>'Q100a-geral'!POZ887</f>
        <v>0</v>
      </c>
      <c r="PPA364" s="373">
        <f>'Q100a-geral'!PPA887</f>
        <v>0</v>
      </c>
      <c r="PPB364" s="373">
        <f>'Q100a-geral'!PPB887</f>
        <v>0</v>
      </c>
      <c r="PPC364" s="373">
        <f>'Q100a-geral'!PPC887</f>
        <v>0</v>
      </c>
      <c r="PPD364" s="373">
        <f>'Q100a-geral'!PPD887</f>
        <v>0</v>
      </c>
      <c r="PPE364" s="373">
        <f>'Q100a-geral'!PPE887</f>
        <v>0</v>
      </c>
      <c r="PPF364" s="373">
        <f>'Q100a-geral'!PPF887</f>
        <v>0</v>
      </c>
      <c r="PPG364" s="373">
        <f>'Q100a-geral'!PPG887</f>
        <v>0</v>
      </c>
      <c r="PPH364" s="373">
        <f>'Q100a-geral'!PPH887</f>
        <v>0</v>
      </c>
      <c r="PPI364" s="373">
        <f>'Q100a-geral'!PPI887</f>
        <v>0</v>
      </c>
      <c r="PPJ364" s="373">
        <f>'Q100a-geral'!PPJ887</f>
        <v>0</v>
      </c>
      <c r="PPK364" s="373">
        <f>'Q100a-geral'!PPK887</f>
        <v>0</v>
      </c>
      <c r="PPL364" s="373">
        <f>'Q100a-geral'!PPL887</f>
        <v>0</v>
      </c>
      <c r="PPM364" s="373">
        <f>'Q100a-geral'!PPM887</f>
        <v>0</v>
      </c>
      <c r="PPN364" s="373">
        <f>'Q100a-geral'!PPN887</f>
        <v>0</v>
      </c>
      <c r="PPO364" s="373">
        <f>'Q100a-geral'!PPO887</f>
        <v>0</v>
      </c>
      <c r="PPP364" s="373">
        <f>'Q100a-geral'!PPP887</f>
        <v>0</v>
      </c>
      <c r="PPQ364" s="373">
        <f>'Q100a-geral'!PPQ887</f>
        <v>0</v>
      </c>
      <c r="PPR364" s="373">
        <f>'Q100a-geral'!PPR887</f>
        <v>0</v>
      </c>
      <c r="PPS364" s="373">
        <f>'Q100a-geral'!PPS887</f>
        <v>0</v>
      </c>
      <c r="PPT364" s="373">
        <f>'Q100a-geral'!PPT887</f>
        <v>0</v>
      </c>
      <c r="PPU364" s="373">
        <f>'Q100a-geral'!PPU887</f>
        <v>0</v>
      </c>
      <c r="PPV364" s="373">
        <f>'Q100a-geral'!PPV887</f>
        <v>0</v>
      </c>
      <c r="PPW364" s="373">
        <f>'Q100a-geral'!PPW887</f>
        <v>0</v>
      </c>
      <c r="PPX364" s="373">
        <f>'Q100a-geral'!PPX887</f>
        <v>0</v>
      </c>
      <c r="PPY364" s="373">
        <f>'Q100a-geral'!PPY887</f>
        <v>0</v>
      </c>
      <c r="PPZ364" s="373">
        <f>'Q100a-geral'!PPZ887</f>
        <v>0</v>
      </c>
      <c r="PQA364" s="373">
        <f>'Q100a-geral'!PQA887</f>
        <v>0</v>
      </c>
      <c r="PQB364" s="373">
        <f>'Q100a-geral'!PQB887</f>
        <v>0</v>
      </c>
      <c r="PQC364" s="373">
        <f>'Q100a-geral'!PQC887</f>
        <v>0</v>
      </c>
      <c r="PQD364" s="373">
        <f>'Q100a-geral'!PQD887</f>
        <v>0</v>
      </c>
      <c r="PQE364" s="373">
        <f>'Q100a-geral'!PQE887</f>
        <v>0</v>
      </c>
      <c r="PQF364" s="373">
        <f>'Q100a-geral'!PQF887</f>
        <v>0</v>
      </c>
      <c r="PQG364" s="373">
        <f>'Q100a-geral'!PQG887</f>
        <v>0</v>
      </c>
      <c r="PQH364" s="373">
        <f>'Q100a-geral'!PQH887</f>
        <v>0</v>
      </c>
      <c r="PQI364" s="373">
        <f>'Q100a-geral'!PQI887</f>
        <v>0</v>
      </c>
      <c r="PQJ364" s="373">
        <f>'Q100a-geral'!PQJ887</f>
        <v>0</v>
      </c>
      <c r="PQK364" s="373">
        <f>'Q100a-geral'!PQK887</f>
        <v>0</v>
      </c>
      <c r="PQL364" s="373">
        <f>'Q100a-geral'!PQL887</f>
        <v>0</v>
      </c>
      <c r="PQM364" s="373">
        <f>'Q100a-geral'!PQM887</f>
        <v>0</v>
      </c>
      <c r="PQN364" s="373">
        <f>'Q100a-geral'!PQN887</f>
        <v>0</v>
      </c>
      <c r="PQO364" s="373">
        <f>'Q100a-geral'!PQO887</f>
        <v>0</v>
      </c>
      <c r="PQP364" s="373">
        <f>'Q100a-geral'!PQP887</f>
        <v>0</v>
      </c>
      <c r="PQQ364" s="373">
        <f>'Q100a-geral'!PQQ887</f>
        <v>0</v>
      </c>
      <c r="PQR364" s="373">
        <f>'Q100a-geral'!PQR887</f>
        <v>0</v>
      </c>
      <c r="PQS364" s="373">
        <f>'Q100a-geral'!PQS887</f>
        <v>0</v>
      </c>
      <c r="PQT364" s="373">
        <f>'Q100a-geral'!PQT887</f>
        <v>0</v>
      </c>
      <c r="PQU364" s="373">
        <f>'Q100a-geral'!PQU887</f>
        <v>0</v>
      </c>
      <c r="PQV364" s="373">
        <f>'Q100a-geral'!PQV887</f>
        <v>0</v>
      </c>
      <c r="PQW364" s="373">
        <f>'Q100a-geral'!PQW887</f>
        <v>0</v>
      </c>
      <c r="PQX364" s="373">
        <f>'Q100a-geral'!PQX887</f>
        <v>0</v>
      </c>
      <c r="PQY364" s="373">
        <f>'Q100a-geral'!PQY887</f>
        <v>0</v>
      </c>
      <c r="PQZ364" s="373">
        <f>'Q100a-geral'!PQZ887</f>
        <v>0</v>
      </c>
      <c r="PRA364" s="373">
        <f>'Q100a-geral'!PRA887</f>
        <v>0</v>
      </c>
      <c r="PRB364" s="373">
        <f>'Q100a-geral'!PRB887</f>
        <v>0</v>
      </c>
      <c r="PRC364" s="373">
        <f>'Q100a-geral'!PRC887</f>
        <v>0</v>
      </c>
      <c r="PRD364" s="373">
        <f>'Q100a-geral'!PRD887</f>
        <v>0</v>
      </c>
      <c r="PRE364" s="373">
        <f>'Q100a-geral'!PRE887</f>
        <v>0</v>
      </c>
      <c r="PRF364" s="373">
        <f>'Q100a-geral'!PRF887</f>
        <v>0</v>
      </c>
      <c r="PRG364" s="373">
        <f>'Q100a-geral'!PRG887</f>
        <v>0</v>
      </c>
      <c r="PRH364" s="373">
        <f>'Q100a-geral'!PRH887</f>
        <v>0</v>
      </c>
      <c r="PRI364" s="373">
        <f>'Q100a-geral'!PRI887</f>
        <v>0</v>
      </c>
      <c r="PRJ364" s="373">
        <f>'Q100a-geral'!PRJ887</f>
        <v>0</v>
      </c>
      <c r="PRK364" s="373">
        <f>'Q100a-geral'!PRK887</f>
        <v>0</v>
      </c>
      <c r="PRL364" s="373">
        <f>'Q100a-geral'!PRL887</f>
        <v>0</v>
      </c>
      <c r="PRM364" s="373">
        <f>'Q100a-geral'!PRM887</f>
        <v>0</v>
      </c>
      <c r="PRN364" s="373">
        <f>'Q100a-geral'!PRN887</f>
        <v>0</v>
      </c>
      <c r="PRO364" s="373">
        <f>'Q100a-geral'!PRO887</f>
        <v>0</v>
      </c>
      <c r="PRP364" s="373">
        <f>'Q100a-geral'!PRP887</f>
        <v>0</v>
      </c>
      <c r="PRQ364" s="373">
        <f>'Q100a-geral'!PRQ887</f>
        <v>0</v>
      </c>
      <c r="PRR364" s="373">
        <f>'Q100a-geral'!PRR887</f>
        <v>0</v>
      </c>
      <c r="PRS364" s="373">
        <f>'Q100a-geral'!PRS887</f>
        <v>0</v>
      </c>
      <c r="PRT364" s="373">
        <f>'Q100a-geral'!PRT887</f>
        <v>0</v>
      </c>
      <c r="PRU364" s="373">
        <f>'Q100a-geral'!PRU887</f>
        <v>0</v>
      </c>
      <c r="PRV364" s="373">
        <f>'Q100a-geral'!PRV887</f>
        <v>0</v>
      </c>
      <c r="PRW364" s="373">
        <f>'Q100a-geral'!PRW887</f>
        <v>0</v>
      </c>
      <c r="PRX364" s="373">
        <f>'Q100a-geral'!PRX887</f>
        <v>0</v>
      </c>
      <c r="PRY364" s="373">
        <f>'Q100a-geral'!PRY887</f>
        <v>0</v>
      </c>
      <c r="PRZ364" s="373">
        <f>'Q100a-geral'!PRZ887</f>
        <v>0</v>
      </c>
      <c r="PSA364" s="373">
        <f>'Q100a-geral'!PSA887</f>
        <v>0</v>
      </c>
      <c r="PSB364" s="373">
        <f>'Q100a-geral'!PSB887</f>
        <v>0</v>
      </c>
      <c r="PSC364" s="373">
        <f>'Q100a-geral'!PSC887</f>
        <v>0</v>
      </c>
      <c r="PSD364" s="373">
        <f>'Q100a-geral'!PSD887</f>
        <v>0</v>
      </c>
      <c r="PSE364" s="373">
        <f>'Q100a-geral'!PSE887</f>
        <v>0</v>
      </c>
      <c r="PSF364" s="373">
        <f>'Q100a-geral'!PSF887</f>
        <v>0</v>
      </c>
      <c r="PSG364" s="373">
        <f>'Q100a-geral'!PSG887</f>
        <v>0</v>
      </c>
      <c r="PSH364" s="373">
        <f>'Q100a-geral'!PSH887</f>
        <v>0</v>
      </c>
      <c r="PSI364" s="373">
        <f>'Q100a-geral'!PSI887</f>
        <v>0</v>
      </c>
      <c r="PSJ364" s="373">
        <f>'Q100a-geral'!PSJ887</f>
        <v>0</v>
      </c>
      <c r="PSK364" s="373">
        <f>'Q100a-geral'!PSK887</f>
        <v>0</v>
      </c>
      <c r="PSL364" s="373">
        <f>'Q100a-geral'!PSL887</f>
        <v>0</v>
      </c>
      <c r="PSM364" s="373">
        <f>'Q100a-geral'!PSM887</f>
        <v>0</v>
      </c>
      <c r="PSN364" s="373">
        <f>'Q100a-geral'!PSN887</f>
        <v>0</v>
      </c>
      <c r="PSO364" s="373">
        <f>'Q100a-geral'!PSO887</f>
        <v>0</v>
      </c>
      <c r="PSP364" s="373">
        <f>'Q100a-geral'!PSP887</f>
        <v>0</v>
      </c>
      <c r="PSQ364" s="373">
        <f>'Q100a-geral'!PSQ887</f>
        <v>0</v>
      </c>
      <c r="PSR364" s="373">
        <f>'Q100a-geral'!PSR887</f>
        <v>0</v>
      </c>
      <c r="PSS364" s="373">
        <f>'Q100a-geral'!PSS887</f>
        <v>0</v>
      </c>
      <c r="PST364" s="373">
        <f>'Q100a-geral'!PST887</f>
        <v>0</v>
      </c>
      <c r="PSU364" s="373">
        <f>'Q100a-geral'!PSU887</f>
        <v>0</v>
      </c>
      <c r="PSV364" s="373">
        <f>'Q100a-geral'!PSV887</f>
        <v>0</v>
      </c>
      <c r="PSW364" s="373">
        <f>'Q100a-geral'!PSW887</f>
        <v>0</v>
      </c>
      <c r="PSX364" s="373">
        <f>'Q100a-geral'!PSX887</f>
        <v>0</v>
      </c>
      <c r="PSY364" s="373">
        <f>'Q100a-geral'!PSY887</f>
        <v>0</v>
      </c>
      <c r="PSZ364" s="373">
        <f>'Q100a-geral'!PSZ887</f>
        <v>0</v>
      </c>
      <c r="PTA364" s="373">
        <f>'Q100a-geral'!PTA887</f>
        <v>0</v>
      </c>
      <c r="PTB364" s="373">
        <f>'Q100a-geral'!PTB887</f>
        <v>0</v>
      </c>
      <c r="PTC364" s="373">
        <f>'Q100a-geral'!PTC887</f>
        <v>0</v>
      </c>
      <c r="PTD364" s="373">
        <f>'Q100a-geral'!PTD887</f>
        <v>0</v>
      </c>
      <c r="PTE364" s="373">
        <f>'Q100a-geral'!PTE887</f>
        <v>0</v>
      </c>
      <c r="PTF364" s="373">
        <f>'Q100a-geral'!PTF887</f>
        <v>0</v>
      </c>
      <c r="PTG364" s="373">
        <f>'Q100a-geral'!PTG887</f>
        <v>0</v>
      </c>
      <c r="PTH364" s="373">
        <f>'Q100a-geral'!PTH887</f>
        <v>0</v>
      </c>
      <c r="PTI364" s="373">
        <f>'Q100a-geral'!PTI887</f>
        <v>0</v>
      </c>
      <c r="PTJ364" s="373">
        <f>'Q100a-geral'!PTJ887</f>
        <v>0</v>
      </c>
      <c r="PTK364" s="373">
        <f>'Q100a-geral'!PTK887</f>
        <v>0</v>
      </c>
      <c r="PTL364" s="373">
        <f>'Q100a-geral'!PTL887</f>
        <v>0</v>
      </c>
      <c r="PTM364" s="373">
        <f>'Q100a-geral'!PTM887</f>
        <v>0</v>
      </c>
      <c r="PTN364" s="373">
        <f>'Q100a-geral'!PTN887</f>
        <v>0</v>
      </c>
      <c r="PTO364" s="373">
        <f>'Q100a-geral'!PTO887</f>
        <v>0</v>
      </c>
      <c r="PTP364" s="373">
        <f>'Q100a-geral'!PTP887</f>
        <v>0</v>
      </c>
      <c r="PTQ364" s="373">
        <f>'Q100a-geral'!PTQ887</f>
        <v>0</v>
      </c>
      <c r="PTR364" s="373">
        <f>'Q100a-geral'!PTR887</f>
        <v>0</v>
      </c>
      <c r="PTS364" s="373">
        <f>'Q100a-geral'!PTS887</f>
        <v>0</v>
      </c>
      <c r="PTT364" s="373">
        <f>'Q100a-geral'!PTT887</f>
        <v>0</v>
      </c>
      <c r="PTU364" s="373">
        <f>'Q100a-geral'!PTU887</f>
        <v>0</v>
      </c>
      <c r="PTV364" s="373">
        <f>'Q100a-geral'!PTV887</f>
        <v>0</v>
      </c>
      <c r="PTW364" s="373">
        <f>'Q100a-geral'!PTW887</f>
        <v>0</v>
      </c>
      <c r="PTX364" s="373">
        <f>'Q100a-geral'!PTX887</f>
        <v>0</v>
      </c>
      <c r="PTY364" s="373">
        <f>'Q100a-geral'!PTY887</f>
        <v>0</v>
      </c>
      <c r="PTZ364" s="373">
        <f>'Q100a-geral'!PTZ887</f>
        <v>0</v>
      </c>
      <c r="PUA364" s="373">
        <f>'Q100a-geral'!PUA887</f>
        <v>0</v>
      </c>
      <c r="PUB364" s="373">
        <f>'Q100a-geral'!PUB887</f>
        <v>0</v>
      </c>
      <c r="PUC364" s="373">
        <f>'Q100a-geral'!PUC887</f>
        <v>0</v>
      </c>
      <c r="PUD364" s="373">
        <f>'Q100a-geral'!PUD887</f>
        <v>0</v>
      </c>
      <c r="PUE364" s="373">
        <f>'Q100a-geral'!PUE887</f>
        <v>0</v>
      </c>
      <c r="PUF364" s="373">
        <f>'Q100a-geral'!PUF887</f>
        <v>0</v>
      </c>
      <c r="PUG364" s="373">
        <f>'Q100a-geral'!PUG887</f>
        <v>0</v>
      </c>
      <c r="PUH364" s="373">
        <f>'Q100a-geral'!PUH887</f>
        <v>0</v>
      </c>
      <c r="PUI364" s="373">
        <f>'Q100a-geral'!PUI887</f>
        <v>0</v>
      </c>
      <c r="PUJ364" s="373">
        <f>'Q100a-geral'!PUJ887</f>
        <v>0</v>
      </c>
      <c r="PUK364" s="373">
        <f>'Q100a-geral'!PUK887</f>
        <v>0</v>
      </c>
      <c r="PUL364" s="373">
        <f>'Q100a-geral'!PUL887</f>
        <v>0</v>
      </c>
      <c r="PUM364" s="373">
        <f>'Q100a-geral'!PUM887</f>
        <v>0</v>
      </c>
      <c r="PUN364" s="373">
        <f>'Q100a-geral'!PUN887</f>
        <v>0</v>
      </c>
      <c r="PUO364" s="373">
        <f>'Q100a-geral'!PUO887</f>
        <v>0</v>
      </c>
      <c r="PUP364" s="373">
        <f>'Q100a-geral'!PUP887</f>
        <v>0</v>
      </c>
      <c r="PUQ364" s="373">
        <f>'Q100a-geral'!PUQ887</f>
        <v>0</v>
      </c>
      <c r="PUR364" s="373">
        <f>'Q100a-geral'!PUR887</f>
        <v>0</v>
      </c>
      <c r="PUS364" s="373">
        <f>'Q100a-geral'!PUS887</f>
        <v>0</v>
      </c>
      <c r="PUT364" s="373">
        <f>'Q100a-geral'!PUT887</f>
        <v>0</v>
      </c>
      <c r="PUU364" s="373">
        <f>'Q100a-geral'!PUU887</f>
        <v>0</v>
      </c>
      <c r="PUV364" s="373">
        <f>'Q100a-geral'!PUV887</f>
        <v>0</v>
      </c>
      <c r="PUW364" s="373">
        <f>'Q100a-geral'!PUW887</f>
        <v>0</v>
      </c>
      <c r="PUX364" s="373">
        <f>'Q100a-geral'!PUX887</f>
        <v>0</v>
      </c>
      <c r="PUY364" s="373">
        <f>'Q100a-geral'!PUY887</f>
        <v>0</v>
      </c>
      <c r="PUZ364" s="373">
        <f>'Q100a-geral'!PUZ887</f>
        <v>0</v>
      </c>
      <c r="PVA364" s="373">
        <f>'Q100a-geral'!PVA887</f>
        <v>0</v>
      </c>
      <c r="PVB364" s="373">
        <f>'Q100a-geral'!PVB887</f>
        <v>0</v>
      </c>
      <c r="PVC364" s="373">
        <f>'Q100a-geral'!PVC887</f>
        <v>0</v>
      </c>
      <c r="PVD364" s="373">
        <f>'Q100a-geral'!PVD887</f>
        <v>0</v>
      </c>
      <c r="PVE364" s="373">
        <f>'Q100a-geral'!PVE887</f>
        <v>0</v>
      </c>
      <c r="PVF364" s="373">
        <f>'Q100a-geral'!PVF887</f>
        <v>0</v>
      </c>
      <c r="PVG364" s="373">
        <f>'Q100a-geral'!PVG887</f>
        <v>0</v>
      </c>
      <c r="PVH364" s="373">
        <f>'Q100a-geral'!PVH887</f>
        <v>0</v>
      </c>
      <c r="PVI364" s="373">
        <f>'Q100a-geral'!PVI887</f>
        <v>0</v>
      </c>
      <c r="PVJ364" s="373">
        <f>'Q100a-geral'!PVJ887</f>
        <v>0</v>
      </c>
      <c r="PVK364" s="373">
        <f>'Q100a-geral'!PVK887</f>
        <v>0</v>
      </c>
      <c r="PVL364" s="373">
        <f>'Q100a-geral'!PVL887</f>
        <v>0</v>
      </c>
      <c r="PVM364" s="373">
        <f>'Q100a-geral'!PVM887</f>
        <v>0</v>
      </c>
      <c r="PVN364" s="373">
        <f>'Q100a-geral'!PVN887</f>
        <v>0</v>
      </c>
      <c r="PVO364" s="373">
        <f>'Q100a-geral'!PVO887</f>
        <v>0</v>
      </c>
      <c r="PVP364" s="373">
        <f>'Q100a-geral'!PVP887</f>
        <v>0</v>
      </c>
      <c r="PVQ364" s="373">
        <f>'Q100a-geral'!PVQ887</f>
        <v>0</v>
      </c>
      <c r="PVR364" s="373">
        <f>'Q100a-geral'!PVR887</f>
        <v>0</v>
      </c>
      <c r="PVS364" s="373">
        <f>'Q100a-geral'!PVS887</f>
        <v>0</v>
      </c>
      <c r="PVT364" s="373">
        <f>'Q100a-geral'!PVT887</f>
        <v>0</v>
      </c>
      <c r="PVU364" s="373">
        <f>'Q100a-geral'!PVU887</f>
        <v>0</v>
      </c>
      <c r="PVV364" s="373">
        <f>'Q100a-geral'!PVV887</f>
        <v>0</v>
      </c>
      <c r="PVW364" s="373">
        <f>'Q100a-geral'!PVW887</f>
        <v>0</v>
      </c>
      <c r="PVX364" s="373">
        <f>'Q100a-geral'!PVX887</f>
        <v>0</v>
      </c>
      <c r="PVY364" s="373">
        <f>'Q100a-geral'!PVY887</f>
        <v>0</v>
      </c>
      <c r="PVZ364" s="373">
        <f>'Q100a-geral'!PVZ887</f>
        <v>0</v>
      </c>
      <c r="PWA364" s="373">
        <f>'Q100a-geral'!PWA887</f>
        <v>0</v>
      </c>
      <c r="PWB364" s="373">
        <f>'Q100a-geral'!PWB887</f>
        <v>0</v>
      </c>
      <c r="PWC364" s="373">
        <f>'Q100a-geral'!PWC887</f>
        <v>0</v>
      </c>
      <c r="PWD364" s="373">
        <f>'Q100a-geral'!PWD887</f>
        <v>0</v>
      </c>
      <c r="PWE364" s="373">
        <f>'Q100a-geral'!PWE887</f>
        <v>0</v>
      </c>
      <c r="PWF364" s="373">
        <f>'Q100a-geral'!PWF887</f>
        <v>0</v>
      </c>
      <c r="PWG364" s="373">
        <f>'Q100a-geral'!PWG887</f>
        <v>0</v>
      </c>
      <c r="PWH364" s="373">
        <f>'Q100a-geral'!PWH887</f>
        <v>0</v>
      </c>
      <c r="PWI364" s="373">
        <f>'Q100a-geral'!PWI887</f>
        <v>0</v>
      </c>
      <c r="PWJ364" s="373">
        <f>'Q100a-geral'!PWJ887</f>
        <v>0</v>
      </c>
      <c r="PWK364" s="373">
        <f>'Q100a-geral'!PWK887</f>
        <v>0</v>
      </c>
      <c r="PWL364" s="373">
        <f>'Q100a-geral'!PWL887</f>
        <v>0</v>
      </c>
      <c r="PWM364" s="373">
        <f>'Q100a-geral'!PWM887</f>
        <v>0</v>
      </c>
      <c r="PWN364" s="373">
        <f>'Q100a-geral'!PWN887</f>
        <v>0</v>
      </c>
      <c r="PWO364" s="373">
        <f>'Q100a-geral'!PWO887</f>
        <v>0</v>
      </c>
      <c r="PWP364" s="373">
        <f>'Q100a-geral'!PWP887</f>
        <v>0</v>
      </c>
      <c r="PWQ364" s="373">
        <f>'Q100a-geral'!PWQ887</f>
        <v>0</v>
      </c>
      <c r="PWR364" s="373">
        <f>'Q100a-geral'!PWR887</f>
        <v>0</v>
      </c>
      <c r="PWS364" s="373">
        <f>'Q100a-geral'!PWS887</f>
        <v>0</v>
      </c>
      <c r="PWT364" s="373">
        <f>'Q100a-geral'!PWT887</f>
        <v>0</v>
      </c>
      <c r="PWU364" s="373">
        <f>'Q100a-geral'!PWU887</f>
        <v>0</v>
      </c>
      <c r="PWV364" s="373">
        <f>'Q100a-geral'!PWV887</f>
        <v>0</v>
      </c>
      <c r="PWW364" s="373">
        <f>'Q100a-geral'!PWW887</f>
        <v>0</v>
      </c>
      <c r="PWX364" s="373">
        <f>'Q100a-geral'!PWX887</f>
        <v>0</v>
      </c>
      <c r="PWY364" s="373">
        <f>'Q100a-geral'!PWY887</f>
        <v>0</v>
      </c>
      <c r="PWZ364" s="373">
        <f>'Q100a-geral'!PWZ887</f>
        <v>0</v>
      </c>
      <c r="PXA364" s="373">
        <f>'Q100a-geral'!PXA887</f>
        <v>0</v>
      </c>
      <c r="PXB364" s="373">
        <f>'Q100a-geral'!PXB887</f>
        <v>0</v>
      </c>
      <c r="PXC364" s="373">
        <f>'Q100a-geral'!PXC887</f>
        <v>0</v>
      </c>
      <c r="PXD364" s="373">
        <f>'Q100a-geral'!PXD887</f>
        <v>0</v>
      </c>
      <c r="PXE364" s="373">
        <f>'Q100a-geral'!PXE887</f>
        <v>0</v>
      </c>
      <c r="PXF364" s="373">
        <f>'Q100a-geral'!PXF887</f>
        <v>0</v>
      </c>
      <c r="PXG364" s="373">
        <f>'Q100a-geral'!PXG887</f>
        <v>0</v>
      </c>
      <c r="PXH364" s="373">
        <f>'Q100a-geral'!PXH887</f>
        <v>0</v>
      </c>
      <c r="PXI364" s="373">
        <f>'Q100a-geral'!PXI887</f>
        <v>0</v>
      </c>
      <c r="PXJ364" s="373">
        <f>'Q100a-geral'!PXJ887</f>
        <v>0</v>
      </c>
      <c r="PXK364" s="373">
        <f>'Q100a-geral'!PXK887</f>
        <v>0</v>
      </c>
      <c r="PXL364" s="373">
        <f>'Q100a-geral'!PXL887</f>
        <v>0</v>
      </c>
      <c r="PXM364" s="373">
        <f>'Q100a-geral'!PXM887</f>
        <v>0</v>
      </c>
      <c r="PXN364" s="373">
        <f>'Q100a-geral'!PXN887</f>
        <v>0</v>
      </c>
      <c r="PXO364" s="373">
        <f>'Q100a-geral'!PXO887</f>
        <v>0</v>
      </c>
      <c r="PXP364" s="373">
        <f>'Q100a-geral'!PXP887</f>
        <v>0</v>
      </c>
      <c r="PXQ364" s="373">
        <f>'Q100a-geral'!PXQ887</f>
        <v>0</v>
      </c>
      <c r="PXR364" s="373">
        <f>'Q100a-geral'!PXR887</f>
        <v>0</v>
      </c>
      <c r="PXS364" s="373">
        <f>'Q100a-geral'!PXS887</f>
        <v>0</v>
      </c>
      <c r="PXT364" s="373">
        <f>'Q100a-geral'!PXT887</f>
        <v>0</v>
      </c>
      <c r="PXU364" s="373">
        <f>'Q100a-geral'!PXU887</f>
        <v>0</v>
      </c>
      <c r="PXV364" s="373">
        <f>'Q100a-geral'!PXV887</f>
        <v>0</v>
      </c>
      <c r="PXW364" s="373">
        <f>'Q100a-geral'!PXW887</f>
        <v>0</v>
      </c>
      <c r="PXX364" s="373">
        <f>'Q100a-geral'!PXX887</f>
        <v>0</v>
      </c>
      <c r="PXY364" s="373">
        <f>'Q100a-geral'!PXY887</f>
        <v>0</v>
      </c>
      <c r="PXZ364" s="373">
        <f>'Q100a-geral'!PXZ887</f>
        <v>0</v>
      </c>
      <c r="PYA364" s="373">
        <f>'Q100a-geral'!PYA887</f>
        <v>0</v>
      </c>
      <c r="PYB364" s="373">
        <f>'Q100a-geral'!PYB887</f>
        <v>0</v>
      </c>
      <c r="PYC364" s="373">
        <f>'Q100a-geral'!PYC887</f>
        <v>0</v>
      </c>
      <c r="PYD364" s="373">
        <f>'Q100a-geral'!PYD887</f>
        <v>0</v>
      </c>
      <c r="PYE364" s="373">
        <f>'Q100a-geral'!PYE887</f>
        <v>0</v>
      </c>
      <c r="PYF364" s="373">
        <f>'Q100a-geral'!PYF887</f>
        <v>0</v>
      </c>
      <c r="PYG364" s="373">
        <f>'Q100a-geral'!PYG887</f>
        <v>0</v>
      </c>
      <c r="PYH364" s="373">
        <f>'Q100a-geral'!PYH887</f>
        <v>0</v>
      </c>
      <c r="PYI364" s="373">
        <f>'Q100a-geral'!PYI887</f>
        <v>0</v>
      </c>
      <c r="PYJ364" s="373">
        <f>'Q100a-geral'!PYJ887</f>
        <v>0</v>
      </c>
      <c r="PYK364" s="373">
        <f>'Q100a-geral'!PYK887</f>
        <v>0</v>
      </c>
      <c r="PYL364" s="373">
        <f>'Q100a-geral'!PYL887</f>
        <v>0</v>
      </c>
      <c r="PYM364" s="373">
        <f>'Q100a-geral'!PYM887</f>
        <v>0</v>
      </c>
      <c r="PYN364" s="373">
        <f>'Q100a-geral'!PYN887</f>
        <v>0</v>
      </c>
      <c r="PYO364" s="373">
        <f>'Q100a-geral'!PYO887</f>
        <v>0</v>
      </c>
      <c r="PYP364" s="373">
        <f>'Q100a-geral'!PYP887</f>
        <v>0</v>
      </c>
      <c r="PYQ364" s="373">
        <f>'Q100a-geral'!PYQ887</f>
        <v>0</v>
      </c>
      <c r="PYR364" s="373">
        <f>'Q100a-geral'!PYR887</f>
        <v>0</v>
      </c>
      <c r="PYS364" s="373">
        <f>'Q100a-geral'!PYS887</f>
        <v>0</v>
      </c>
      <c r="PYT364" s="373">
        <f>'Q100a-geral'!PYT887</f>
        <v>0</v>
      </c>
      <c r="PYU364" s="373">
        <f>'Q100a-geral'!PYU887</f>
        <v>0</v>
      </c>
      <c r="PYV364" s="373">
        <f>'Q100a-geral'!PYV887</f>
        <v>0</v>
      </c>
      <c r="PYW364" s="373">
        <f>'Q100a-geral'!PYW887</f>
        <v>0</v>
      </c>
      <c r="PYX364" s="373">
        <f>'Q100a-geral'!PYX887</f>
        <v>0</v>
      </c>
      <c r="PYY364" s="373">
        <f>'Q100a-geral'!PYY887</f>
        <v>0</v>
      </c>
      <c r="PYZ364" s="373">
        <f>'Q100a-geral'!PYZ887</f>
        <v>0</v>
      </c>
      <c r="PZA364" s="373">
        <f>'Q100a-geral'!PZA887</f>
        <v>0</v>
      </c>
      <c r="PZB364" s="373">
        <f>'Q100a-geral'!PZB887</f>
        <v>0</v>
      </c>
      <c r="PZC364" s="373">
        <f>'Q100a-geral'!PZC887</f>
        <v>0</v>
      </c>
      <c r="PZD364" s="373">
        <f>'Q100a-geral'!PZD887</f>
        <v>0</v>
      </c>
      <c r="PZE364" s="373">
        <f>'Q100a-geral'!PZE887</f>
        <v>0</v>
      </c>
      <c r="PZF364" s="373">
        <f>'Q100a-geral'!PZF887</f>
        <v>0</v>
      </c>
      <c r="PZG364" s="373">
        <f>'Q100a-geral'!PZG887</f>
        <v>0</v>
      </c>
      <c r="PZH364" s="373">
        <f>'Q100a-geral'!PZH887</f>
        <v>0</v>
      </c>
      <c r="PZI364" s="373">
        <f>'Q100a-geral'!PZI887</f>
        <v>0</v>
      </c>
      <c r="PZJ364" s="373">
        <f>'Q100a-geral'!PZJ887</f>
        <v>0</v>
      </c>
      <c r="PZK364" s="373">
        <f>'Q100a-geral'!PZK887</f>
        <v>0</v>
      </c>
      <c r="PZL364" s="373">
        <f>'Q100a-geral'!PZL887</f>
        <v>0</v>
      </c>
      <c r="PZM364" s="373">
        <f>'Q100a-geral'!PZM887</f>
        <v>0</v>
      </c>
      <c r="PZN364" s="373">
        <f>'Q100a-geral'!PZN887</f>
        <v>0</v>
      </c>
      <c r="PZO364" s="373">
        <f>'Q100a-geral'!PZO887</f>
        <v>0</v>
      </c>
      <c r="PZP364" s="373">
        <f>'Q100a-geral'!PZP887</f>
        <v>0</v>
      </c>
      <c r="PZQ364" s="373">
        <f>'Q100a-geral'!PZQ887</f>
        <v>0</v>
      </c>
      <c r="PZR364" s="373">
        <f>'Q100a-geral'!PZR887</f>
        <v>0</v>
      </c>
      <c r="PZS364" s="373">
        <f>'Q100a-geral'!PZS887</f>
        <v>0</v>
      </c>
      <c r="PZT364" s="373">
        <f>'Q100a-geral'!PZT887</f>
        <v>0</v>
      </c>
      <c r="PZU364" s="373">
        <f>'Q100a-geral'!PZU887</f>
        <v>0</v>
      </c>
      <c r="PZV364" s="373">
        <f>'Q100a-geral'!PZV887</f>
        <v>0</v>
      </c>
      <c r="PZW364" s="373">
        <f>'Q100a-geral'!PZW887</f>
        <v>0</v>
      </c>
      <c r="PZX364" s="373">
        <f>'Q100a-geral'!PZX887</f>
        <v>0</v>
      </c>
      <c r="PZY364" s="373">
        <f>'Q100a-geral'!PZY887</f>
        <v>0</v>
      </c>
      <c r="PZZ364" s="373">
        <f>'Q100a-geral'!PZZ887</f>
        <v>0</v>
      </c>
      <c r="QAA364" s="373">
        <f>'Q100a-geral'!QAA887</f>
        <v>0</v>
      </c>
      <c r="QAB364" s="373">
        <f>'Q100a-geral'!QAB887</f>
        <v>0</v>
      </c>
      <c r="QAC364" s="373">
        <f>'Q100a-geral'!QAC887</f>
        <v>0</v>
      </c>
      <c r="QAD364" s="373">
        <f>'Q100a-geral'!QAD887</f>
        <v>0</v>
      </c>
      <c r="QAE364" s="373">
        <f>'Q100a-geral'!QAE887</f>
        <v>0</v>
      </c>
      <c r="QAF364" s="373">
        <f>'Q100a-geral'!QAF887</f>
        <v>0</v>
      </c>
      <c r="QAG364" s="373">
        <f>'Q100a-geral'!QAG887</f>
        <v>0</v>
      </c>
      <c r="QAH364" s="373">
        <f>'Q100a-geral'!QAH887</f>
        <v>0</v>
      </c>
      <c r="QAI364" s="373">
        <f>'Q100a-geral'!QAI887</f>
        <v>0</v>
      </c>
      <c r="QAJ364" s="373">
        <f>'Q100a-geral'!QAJ887</f>
        <v>0</v>
      </c>
      <c r="QAK364" s="373">
        <f>'Q100a-geral'!QAK887</f>
        <v>0</v>
      </c>
      <c r="QAL364" s="373">
        <f>'Q100a-geral'!QAL887</f>
        <v>0</v>
      </c>
      <c r="QAM364" s="373">
        <f>'Q100a-geral'!QAM887</f>
        <v>0</v>
      </c>
      <c r="QAN364" s="373">
        <f>'Q100a-geral'!QAN887</f>
        <v>0</v>
      </c>
      <c r="QAO364" s="373">
        <f>'Q100a-geral'!QAO887</f>
        <v>0</v>
      </c>
      <c r="QAP364" s="373">
        <f>'Q100a-geral'!QAP887</f>
        <v>0</v>
      </c>
      <c r="QAQ364" s="373">
        <f>'Q100a-geral'!QAQ887</f>
        <v>0</v>
      </c>
      <c r="QAR364" s="373">
        <f>'Q100a-geral'!QAR887</f>
        <v>0</v>
      </c>
      <c r="QAS364" s="373">
        <f>'Q100a-geral'!QAS887</f>
        <v>0</v>
      </c>
      <c r="QAT364" s="373">
        <f>'Q100a-geral'!QAT887</f>
        <v>0</v>
      </c>
      <c r="QAU364" s="373">
        <f>'Q100a-geral'!QAU887</f>
        <v>0</v>
      </c>
      <c r="QAV364" s="373">
        <f>'Q100a-geral'!QAV887</f>
        <v>0</v>
      </c>
      <c r="QAW364" s="373">
        <f>'Q100a-geral'!QAW887</f>
        <v>0</v>
      </c>
      <c r="QAX364" s="373">
        <f>'Q100a-geral'!QAX887</f>
        <v>0</v>
      </c>
      <c r="QAY364" s="373">
        <f>'Q100a-geral'!QAY887</f>
        <v>0</v>
      </c>
      <c r="QAZ364" s="373">
        <f>'Q100a-geral'!QAZ887</f>
        <v>0</v>
      </c>
      <c r="QBA364" s="373">
        <f>'Q100a-geral'!QBA887</f>
        <v>0</v>
      </c>
      <c r="QBB364" s="373">
        <f>'Q100a-geral'!QBB887</f>
        <v>0</v>
      </c>
      <c r="QBC364" s="373">
        <f>'Q100a-geral'!QBC887</f>
        <v>0</v>
      </c>
      <c r="QBD364" s="373">
        <f>'Q100a-geral'!QBD887</f>
        <v>0</v>
      </c>
      <c r="QBE364" s="373">
        <f>'Q100a-geral'!QBE887</f>
        <v>0</v>
      </c>
      <c r="QBF364" s="373">
        <f>'Q100a-geral'!QBF887</f>
        <v>0</v>
      </c>
      <c r="QBG364" s="373">
        <f>'Q100a-geral'!QBG887</f>
        <v>0</v>
      </c>
      <c r="QBH364" s="373">
        <f>'Q100a-geral'!QBH887</f>
        <v>0</v>
      </c>
      <c r="QBI364" s="373">
        <f>'Q100a-geral'!QBI887</f>
        <v>0</v>
      </c>
      <c r="QBJ364" s="373">
        <f>'Q100a-geral'!QBJ887</f>
        <v>0</v>
      </c>
      <c r="QBK364" s="373">
        <f>'Q100a-geral'!QBK887</f>
        <v>0</v>
      </c>
      <c r="QBL364" s="373">
        <f>'Q100a-geral'!QBL887</f>
        <v>0</v>
      </c>
      <c r="QBM364" s="373">
        <f>'Q100a-geral'!QBM887</f>
        <v>0</v>
      </c>
      <c r="QBN364" s="373">
        <f>'Q100a-geral'!QBN887</f>
        <v>0</v>
      </c>
      <c r="QBO364" s="373">
        <f>'Q100a-geral'!QBO887</f>
        <v>0</v>
      </c>
      <c r="QBP364" s="373">
        <f>'Q100a-geral'!QBP887</f>
        <v>0</v>
      </c>
      <c r="QBQ364" s="373">
        <f>'Q100a-geral'!QBQ887</f>
        <v>0</v>
      </c>
      <c r="QBR364" s="373">
        <f>'Q100a-geral'!QBR887</f>
        <v>0</v>
      </c>
      <c r="QBS364" s="373">
        <f>'Q100a-geral'!QBS887</f>
        <v>0</v>
      </c>
      <c r="QBT364" s="373">
        <f>'Q100a-geral'!QBT887</f>
        <v>0</v>
      </c>
      <c r="QBU364" s="373">
        <f>'Q100a-geral'!QBU887</f>
        <v>0</v>
      </c>
      <c r="QBV364" s="373">
        <f>'Q100a-geral'!QBV887</f>
        <v>0</v>
      </c>
      <c r="QBW364" s="373">
        <f>'Q100a-geral'!QBW887</f>
        <v>0</v>
      </c>
      <c r="QBX364" s="373">
        <f>'Q100a-geral'!QBX887</f>
        <v>0</v>
      </c>
      <c r="QBY364" s="373">
        <f>'Q100a-geral'!QBY887</f>
        <v>0</v>
      </c>
      <c r="QBZ364" s="373">
        <f>'Q100a-geral'!QBZ887</f>
        <v>0</v>
      </c>
      <c r="QCA364" s="373">
        <f>'Q100a-geral'!QCA887</f>
        <v>0</v>
      </c>
      <c r="QCB364" s="373">
        <f>'Q100a-geral'!QCB887</f>
        <v>0</v>
      </c>
      <c r="QCC364" s="373">
        <f>'Q100a-geral'!QCC887</f>
        <v>0</v>
      </c>
      <c r="QCD364" s="373">
        <f>'Q100a-geral'!QCD887</f>
        <v>0</v>
      </c>
      <c r="QCE364" s="373">
        <f>'Q100a-geral'!QCE887</f>
        <v>0</v>
      </c>
      <c r="QCF364" s="373">
        <f>'Q100a-geral'!QCF887</f>
        <v>0</v>
      </c>
      <c r="QCG364" s="373">
        <f>'Q100a-geral'!QCG887</f>
        <v>0</v>
      </c>
      <c r="QCH364" s="373">
        <f>'Q100a-geral'!QCH887</f>
        <v>0</v>
      </c>
      <c r="QCI364" s="373">
        <f>'Q100a-geral'!QCI887</f>
        <v>0</v>
      </c>
      <c r="QCJ364" s="373">
        <f>'Q100a-geral'!QCJ887</f>
        <v>0</v>
      </c>
      <c r="QCK364" s="373">
        <f>'Q100a-geral'!QCK887</f>
        <v>0</v>
      </c>
      <c r="QCL364" s="373">
        <f>'Q100a-geral'!QCL887</f>
        <v>0</v>
      </c>
      <c r="QCM364" s="373">
        <f>'Q100a-geral'!QCM887</f>
        <v>0</v>
      </c>
      <c r="QCN364" s="373">
        <f>'Q100a-geral'!QCN887</f>
        <v>0</v>
      </c>
      <c r="QCO364" s="373">
        <f>'Q100a-geral'!QCO887</f>
        <v>0</v>
      </c>
      <c r="QCP364" s="373">
        <f>'Q100a-geral'!QCP887</f>
        <v>0</v>
      </c>
      <c r="QCQ364" s="373">
        <f>'Q100a-geral'!QCQ887</f>
        <v>0</v>
      </c>
      <c r="QCR364" s="373">
        <f>'Q100a-geral'!QCR887</f>
        <v>0</v>
      </c>
      <c r="QCS364" s="373">
        <f>'Q100a-geral'!QCS887</f>
        <v>0</v>
      </c>
      <c r="QCT364" s="373">
        <f>'Q100a-geral'!QCT887</f>
        <v>0</v>
      </c>
      <c r="QCU364" s="373">
        <f>'Q100a-geral'!QCU887</f>
        <v>0</v>
      </c>
      <c r="QCV364" s="373">
        <f>'Q100a-geral'!QCV887</f>
        <v>0</v>
      </c>
      <c r="QCW364" s="373">
        <f>'Q100a-geral'!QCW887</f>
        <v>0</v>
      </c>
      <c r="QCX364" s="373">
        <f>'Q100a-geral'!QCX887</f>
        <v>0</v>
      </c>
      <c r="QCY364" s="373">
        <f>'Q100a-geral'!QCY887</f>
        <v>0</v>
      </c>
      <c r="QCZ364" s="373">
        <f>'Q100a-geral'!QCZ887</f>
        <v>0</v>
      </c>
      <c r="QDA364" s="373">
        <f>'Q100a-geral'!QDA887</f>
        <v>0</v>
      </c>
      <c r="QDB364" s="373">
        <f>'Q100a-geral'!QDB887</f>
        <v>0</v>
      </c>
      <c r="QDC364" s="373">
        <f>'Q100a-geral'!QDC887</f>
        <v>0</v>
      </c>
      <c r="QDD364" s="373">
        <f>'Q100a-geral'!QDD887</f>
        <v>0</v>
      </c>
      <c r="QDE364" s="373">
        <f>'Q100a-geral'!QDE887</f>
        <v>0</v>
      </c>
      <c r="QDF364" s="373">
        <f>'Q100a-geral'!QDF887</f>
        <v>0</v>
      </c>
      <c r="QDG364" s="373">
        <f>'Q100a-geral'!QDG887</f>
        <v>0</v>
      </c>
      <c r="QDH364" s="373">
        <f>'Q100a-geral'!QDH887</f>
        <v>0</v>
      </c>
      <c r="QDI364" s="373">
        <f>'Q100a-geral'!QDI887</f>
        <v>0</v>
      </c>
      <c r="QDJ364" s="373">
        <f>'Q100a-geral'!QDJ887</f>
        <v>0</v>
      </c>
      <c r="QDK364" s="373">
        <f>'Q100a-geral'!QDK887</f>
        <v>0</v>
      </c>
      <c r="QDL364" s="373">
        <f>'Q100a-geral'!QDL887</f>
        <v>0</v>
      </c>
      <c r="QDM364" s="373">
        <f>'Q100a-geral'!QDM887</f>
        <v>0</v>
      </c>
      <c r="QDN364" s="373">
        <f>'Q100a-geral'!QDN887</f>
        <v>0</v>
      </c>
      <c r="QDO364" s="373">
        <f>'Q100a-geral'!QDO887</f>
        <v>0</v>
      </c>
      <c r="QDP364" s="373">
        <f>'Q100a-geral'!QDP887</f>
        <v>0</v>
      </c>
      <c r="QDQ364" s="373">
        <f>'Q100a-geral'!QDQ887</f>
        <v>0</v>
      </c>
      <c r="QDR364" s="373">
        <f>'Q100a-geral'!QDR887</f>
        <v>0</v>
      </c>
      <c r="QDS364" s="373">
        <f>'Q100a-geral'!QDS887</f>
        <v>0</v>
      </c>
      <c r="QDT364" s="373">
        <f>'Q100a-geral'!QDT887</f>
        <v>0</v>
      </c>
      <c r="QDU364" s="373">
        <f>'Q100a-geral'!QDU887</f>
        <v>0</v>
      </c>
      <c r="QDV364" s="373">
        <f>'Q100a-geral'!QDV887</f>
        <v>0</v>
      </c>
      <c r="QDW364" s="373">
        <f>'Q100a-geral'!QDW887</f>
        <v>0</v>
      </c>
      <c r="QDX364" s="373">
        <f>'Q100a-geral'!QDX887</f>
        <v>0</v>
      </c>
      <c r="QDY364" s="373">
        <f>'Q100a-geral'!QDY887</f>
        <v>0</v>
      </c>
      <c r="QDZ364" s="373">
        <f>'Q100a-geral'!QDZ887</f>
        <v>0</v>
      </c>
      <c r="QEA364" s="373">
        <f>'Q100a-geral'!QEA887</f>
        <v>0</v>
      </c>
      <c r="QEB364" s="373">
        <f>'Q100a-geral'!QEB887</f>
        <v>0</v>
      </c>
      <c r="QEC364" s="373">
        <f>'Q100a-geral'!QEC887</f>
        <v>0</v>
      </c>
      <c r="QED364" s="373">
        <f>'Q100a-geral'!QED887</f>
        <v>0</v>
      </c>
      <c r="QEE364" s="373">
        <f>'Q100a-geral'!QEE887</f>
        <v>0</v>
      </c>
      <c r="QEF364" s="373">
        <f>'Q100a-geral'!QEF887</f>
        <v>0</v>
      </c>
      <c r="QEG364" s="373">
        <f>'Q100a-geral'!QEG887</f>
        <v>0</v>
      </c>
      <c r="QEH364" s="373">
        <f>'Q100a-geral'!QEH887</f>
        <v>0</v>
      </c>
      <c r="QEI364" s="373">
        <f>'Q100a-geral'!QEI887</f>
        <v>0</v>
      </c>
      <c r="QEJ364" s="373">
        <f>'Q100a-geral'!QEJ887</f>
        <v>0</v>
      </c>
      <c r="QEK364" s="373">
        <f>'Q100a-geral'!QEK887</f>
        <v>0</v>
      </c>
      <c r="QEL364" s="373">
        <f>'Q100a-geral'!QEL887</f>
        <v>0</v>
      </c>
      <c r="QEM364" s="373">
        <f>'Q100a-geral'!QEM887</f>
        <v>0</v>
      </c>
      <c r="QEN364" s="373">
        <f>'Q100a-geral'!QEN887</f>
        <v>0</v>
      </c>
      <c r="QEO364" s="373">
        <f>'Q100a-geral'!QEO887</f>
        <v>0</v>
      </c>
      <c r="QEP364" s="373">
        <f>'Q100a-geral'!QEP887</f>
        <v>0</v>
      </c>
      <c r="QEQ364" s="373">
        <f>'Q100a-geral'!QEQ887</f>
        <v>0</v>
      </c>
      <c r="QER364" s="373">
        <f>'Q100a-geral'!QER887</f>
        <v>0</v>
      </c>
      <c r="QES364" s="373">
        <f>'Q100a-geral'!QES887</f>
        <v>0</v>
      </c>
      <c r="QET364" s="373">
        <f>'Q100a-geral'!QET887</f>
        <v>0</v>
      </c>
      <c r="QEU364" s="373">
        <f>'Q100a-geral'!QEU887</f>
        <v>0</v>
      </c>
      <c r="QEV364" s="373">
        <f>'Q100a-geral'!QEV887</f>
        <v>0</v>
      </c>
      <c r="QEW364" s="373">
        <f>'Q100a-geral'!QEW887</f>
        <v>0</v>
      </c>
      <c r="QEX364" s="373">
        <f>'Q100a-geral'!QEX887</f>
        <v>0</v>
      </c>
      <c r="QEY364" s="373">
        <f>'Q100a-geral'!QEY887</f>
        <v>0</v>
      </c>
      <c r="QEZ364" s="373">
        <f>'Q100a-geral'!QEZ887</f>
        <v>0</v>
      </c>
      <c r="QFA364" s="373">
        <f>'Q100a-geral'!QFA887</f>
        <v>0</v>
      </c>
      <c r="QFB364" s="373">
        <f>'Q100a-geral'!QFB887</f>
        <v>0</v>
      </c>
      <c r="QFC364" s="373">
        <f>'Q100a-geral'!QFC887</f>
        <v>0</v>
      </c>
      <c r="QFD364" s="373">
        <f>'Q100a-geral'!QFD887</f>
        <v>0</v>
      </c>
      <c r="QFE364" s="373">
        <f>'Q100a-geral'!QFE887</f>
        <v>0</v>
      </c>
      <c r="QFF364" s="373">
        <f>'Q100a-geral'!QFF887</f>
        <v>0</v>
      </c>
      <c r="QFG364" s="373">
        <f>'Q100a-geral'!QFG887</f>
        <v>0</v>
      </c>
      <c r="QFH364" s="373">
        <f>'Q100a-geral'!QFH887</f>
        <v>0</v>
      </c>
      <c r="QFI364" s="373">
        <f>'Q100a-geral'!QFI887</f>
        <v>0</v>
      </c>
      <c r="QFJ364" s="373">
        <f>'Q100a-geral'!QFJ887</f>
        <v>0</v>
      </c>
      <c r="QFK364" s="373">
        <f>'Q100a-geral'!QFK887</f>
        <v>0</v>
      </c>
      <c r="QFL364" s="373">
        <f>'Q100a-geral'!QFL887</f>
        <v>0</v>
      </c>
      <c r="QFM364" s="373">
        <f>'Q100a-geral'!QFM887</f>
        <v>0</v>
      </c>
      <c r="QFN364" s="373">
        <f>'Q100a-geral'!QFN887</f>
        <v>0</v>
      </c>
      <c r="QFO364" s="373">
        <f>'Q100a-geral'!QFO887</f>
        <v>0</v>
      </c>
      <c r="QFP364" s="373">
        <f>'Q100a-geral'!QFP887</f>
        <v>0</v>
      </c>
      <c r="QFQ364" s="373">
        <f>'Q100a-geral'!QFQ887</f>
        <v>0</v>
      </c>
      <c r="QFR364" s="373">
        <f>'Q100a-geral'!QFR887</f>
        <v>0</v>
      </c>
      <c r="QFS364" s="373">
        <f>'Q100a-geral'!QFS887</f>
        <v>0</v>
      </c>
      <c r="QFT364" s="373">
        <f>'Q100a-geral'!QFT887</f>
        <v>0</v>
      </c>
      <c r="QFU364" s="373">
        <f>'Q100a-geral'!QFU887</f>
        <v>0</v>
      </c>
      <c r="QFV364" s="373">
        <f>'Q100a-geral'!QFV887</f>
        <v>0</v>
      </c>
      <c r="QFW364" s="373">
        <f>'Q100a-geral'!QFW887</f>
        <v>0</v>
      </c>
      <c r="QFX364" s="373">
        <f>'Q100a-geral'!QFX887</f>
        <v>0</v>
      </c>
      <c r="QFY364" s="373">
        <f>'Q100a-geral'!QFY887</f>
        <v>0</v>
      </c>
      <c r="QFZ364" s="373">
        <f>'Q100a-geral'!QFZ887</f>
        <v>0</v>
      </c>
      <c r="QGA364" s="373">
        <f>'Q100a-geral'!QGA887</f>
        <v>0</v>
      </c>
      <c r="QGB364" s="373">
        <f>'Q100a-geral'!QGB887</f>
        <v>0</v>
      </c>
      <c r="QGC364" s="373">
        <f>'Q100a-geral'!QGC887</f>
        <v>0</v>
      </c>
      <c r="QGD364" s="373">
        <f>'Q100a-geral'!QGD887</f>
        <v>0</v>
      </c>
      <c r="QGE364" s="373">
        <f>'Q100a-geral'!QGE887</f>
        <v>0</v>
      </c>
      <c r="QGF364" s="373">
        <f>'Q100a-geral'!QGF887</f>
        <v>0</v>
      </c>
      <c r="QGG364" s="373">
        <f>'Q100a-geral'!QGG887</f>
        <v>0</v>
      </c>
      <c r="QGH364" s="373">
        <f>'Q100a-geral'!QGH887</f>
        <v>0</v>
      </c>
      <c r="QGI364" s="373">
        <f>'Q100a-geral'!QGI887</f>
        <v>0</v>
      </c>
      <c r="QGJ364" s="373">
        <f>'Q100a-geral'!QGJ887</f>
        <v>0</v>
      </c>
      <c r="QGK364" s="373">
        <f>'Q100a-geral'!QGK887</f>
        <v>0</v>
      </c>
      <c r="QGL364" s="373">
        <f>'Q100a-geral'!QGL887</f>
        <v>0</v>
      </c>
      <c r="QGM364" s="373">
        <f>'Q100a-geral'!QGM887</f>
        <v>0</v>
      </c>
      <c r="QGN364" s="373">
        <f>'Q100a-geral'!QGN887</f>
        <v>0</v>
      </c>
      <c r="QGO364" s="373">
        <f>'Q100a-geral'!QGO887</f>
        <v>0</v>
      </c>
      <c r="QGP364" s="373">
        <f>'Q100a-geral'!QGP887</f>
        <v>0</v>
      </c>
      <c r="QGQ364" s="373">
        <f>'Q100a-geral'!QGQ887</f>
        <v>0</v>
      </c>
      <c r="QGR364" s="373">
        <f>'Q100a-geral'!QGR887</f>
        <v>0</v>
      </c>
      <c r="QGS364" s="373">
        <f>'Q100a-geral'!QGS887</f>
        <v>0</v>
      </c>
      <c r="QGT364" s="373">
        <f>'Q100a-geral'!QGT887</f>
        <v>0</v>
      </c>
      <c r="QGU364" s="373">
        <f>'Q100a-geral'!QGU887</f>
        <v>0</v>
      </c>
      <c r="QGV364" s="373">
        <f>'Q100a-geral'!QGV887</f>
        <v>0</v>
      </c>
      <c r="QGW364" s="373">
        <f>'Q100a-geral'!QGW887</f>
        <v>0</v>
      </c>
      <c r="QGX364" s="373">
        <f>'Q100a-geral'!QGX887</f>
        <v>0</v>
      </c>
      <c r="QGY364" s="373">
        <f>'Q100a-geral'!QGY887</f>
        <v>0</v>
      </c>
      <c r="QGZ364" s="373">
        <f>'Q100a-geral'!QGZ887</f>
        <v>0</v>
      </c>
      <c r="QHA364" s="373">
        <f>'Q100a-geral'!QHA887</f>
        <v>0</v>
      </c>
      <c r="QHB364" s="373">
        <f>'Q100a-geral'!QHB887</f>
        <v>0</v>
      </c>
      <c r="QHC364" s="373">
        <f>'Q100a-geral'!QHC887</f>
        <v>0</v>
      </c>
      <c r="QHD364" s="373">
        <f>'Q100a-geral'!QHD887</f>
        <v>0</v>
      </c>
      <c r="QHE364" s="373">
        <f>'Q100a-geral'!QHE887</f>
        <v>0</v>
      </c>
      <c r="QHF364" s="373">
        <f>'Q100a-geral'!QHF887</f>
        <v>0</v>
      </c>
      <c r="QHG364" s="373">
        <f>'Q100a-geral'!QHG887</f>
        <v>0</v>
      </c>
      <c r="QHH364" s="373">
        <f>'Q100a-geral'!QHH887</f>
        <v>0</v>
      </c>
      <c r="QHI364" s="373">
        <f>'Q100a-geral'!QHI887</f>
        <v>0</v>
      </c>
      <c r="QHJ364" s="373">
        <f>'Q100a-geral'!QHJ887</f>
        <v>0</v>
      </c>
      <c r="QHK364" s="373">
        <f>'Q100a-geral'!QHK887</f>
        <v>0</v>
      </c>
      <c r="QHL364" s="373">
        <f>'Q100a-geral'!QHL887</f>
        <v>0</v>
      </c>
      <c r="QHM364" s="373">
        <f>'Q100a-geral'!QHM887</f>
        <v>0</v>
      </c>
      <c r="QHN364" s="373">
        <f>'Q100a-geral'!QHN887</f>
        <v>0</v>
      </c>
      <c r="QHO364" s="373">
        <f>'Q100a-geral'!QHO887</f>
        <v>0</v>
      </c>
      <c r="QHP364" s="373">
        <f>'Q100a-geral'!QHP887</f>
        <v>0</v>
      </c>
      <c r="QHQ364" s="373">
        <f>'Q100a-geral'!QHQ887</f>
        <v>0</v>
      </c>
      <c r="QHR364" s="373">
        <f>'Q100a-geral'!QHR887</f>
        <v>0</v>
      </c>
      <c r="QHS364" s="373">
        <f>'Q100a-geral'!QHS887</f>
        <v>0</v>
      </c>
      <c r="QHT364" s="373">
        <f>'Q100a-geral'!QHT887</f>
        <v>0</v>
      </c>
      <c r="QHU364" s="373">
        <f>'Q100a-geral'!QHU887</f>
        <v>0</v>
      </c>
      <c r="QHV364" s="373">
        <f>'Q100a-geral'!QHV887</f>
        <v>0</v>
      </c>
      <c r="QHW364" s="373">
        <f>'Q100a-geral'!QHW887</f>
        <v>0</v>
      </c>
      <c r="QHX364" s="373">
        <f>'Q100a-geral'!QHX887</f>
        <v>0</v>
      </c>
      <c r="QHY364" s="373">
        <f>'Q100a-geral'!QHY887</f>
        <v>0</v>
      </c>
      <c r="QHZ364" s="373">
        <f>'Q100a-geral'!QHZ887</f>
        <v>0</v>
      </c>
      <c r="QIA364" s="373">
        <f>'Q100a-geral'!QIA887</f>
        <v>0</v>
      </c>
      <c r="QIB364" s="373">
        <f>'Q100a-geral'!QIB887</f>
        <v>0</v>
      </c>
      <c r="QIC364" s="373">
        <f>'Q100a-geral'!QIC887</f>
        <v>0</v>
      </c>
      <c r="QID364" s="373">
        <f>'Q100a-geral'!QID887</f>
        <v>0</v>
      </c>
      <c r="QIE364" s="373">
        <f>'Q100a-geral'!QIE887</f>
        <v>0</v>
      </c>
      <c r="QIF364" s="373">
        <f>'Q100a-geral'!QIF887</f>
        <v>0</v>
      </c>
      <c r="QIG364" s="373">
        <f>'Q100a-geral'!QIG887</f>
        <v>0</v>
      </c>
      <c r="QIH364" s="373">
        <f>'Q100a-geral'!QIH887</f>
        <v>0</v>
      </c>
      <c r="QII364" s="373">
        <f>'Q100a-geral'!QII887</f>
        <v>0</v>
      </c>
      <c r="QIJ364" s="373">
        <f>'Q100a-geral'!QIJ887</f>
        <v>0</v>
      </c>
      <c r="QIK364" s="373">
        <f>'Q100a-geral'!QIK887</f>
        <v>0</v>
      </c>
      <c r="QIL364" s="373">
        <f>'Q100a-geral'!QIL887</f>
        <v>0</v>
      </c>
      <c r="QIM364" s="373">
        <f>'Q100a-geral'!QIM887</f>
        <v>0</v>
      </c>
      <c r="QIN364" s="373">
        <f>'Q100a-geral'!QIN887</f>
        <v>0</v>
      </c>
      <c r="QIO364" s="373">
        <f>'Q100a-geral'!QIO887</f>
        <v>0</v>
      </c>
      <c r="QIP364" s="373">
        <f>'Q100a-geral'!QIP887</f>
        <v>0</v>
      </c>
      <c r="QIQ364" s="373">
        <f>'Q100a-geral'!QIQ887</f>
        <v>0</v>
      </c>
      <c r="QIR364" s="373">
        <f>'Q100a-geral'!QIR887</f>
        <v>0</v>
      </c>
      <c r="QIS364" s="373">
        <f>'Q100a-geral'!QIS887</f>
        <v>0</v>
      </c>
      <c r="QIT364" s="373">
        <f>'Q100a-geral'!QIT887</f>
        <v>0</v>
      </c>
      <c r="QIU364" s="373">
        <f>'Q100a-geral'!QIU887</f>
        <v>0</v>
      </c>
      <c r="QIV364" s="373">
        <f>'Q100a-geral'!QIV887</f>
        <v>0</v>
      </c>
      <c r="QIW364" s="373">
        <f>'Q100a-geral'!QIW887</f>
        <v>0</v>
      </c>
      <c r="QIX364" s="373">
        <f>'Q100a-geral'!QIX887</f>
        <v>0</v>
      </c>
      <c r="QIY364" s="373">
        <f>'Q100a-geral'!QIY887</f>
        <v>0</v>
      </c>
      <c r="QIZ364" s="373">
        <f>'Q100a-geral'!QIZ887</f>
        <v>0</v>
      </c>
      <c r="QJA364" s="373">
        <f>'Q100a-geral'!QJA887</f>
        <v>0</v>
      </c>
      <c r="QJB364" s="373">
        <f>'Q100a-geral'!QJB887</f>
        <v>0</v>
      </c>
      <c r="QJC364" s="373">
        <f>'Q100a-geral'!QJC887</f>
        <v>0</v>
      </c>
      <c r="QJD364" s="373">
        <f>'Q100a-geral'!QJD887</f>
        <v>0</v>
      </c>
      <c r="QJE364" s="373">
        <f>'Q100a-geral'!QJE887</f>
        <v>0</v>
      </c>
      <c r="QJF364" s="373">
        <f>'Q100a-geral'!QJF887</f>
        <v>0</v>
      </c>
      <c r="QJG364" s="373">
        <f>'Q100a-geral'!QJG887</f>
        <v>0</v>
      </c>
      <c r="QJH364" s="373">
        <f>'Q100a-geral'!QJH887</f>
        <v>0</v>
      </c>
      <c r="QJI364" s="373">
        <f>'Q100a-geral'!QJI887</f>
        <v>0</v>
      </c>
      <c r="QJJ364" s="373">
        <f>'Q100a-geral'!QJJ887</f>
        <v>0</v>
      </c>
      <c r="QJK364" s="373">
        <f>'Q100a-geral'!QJK887</f>
        <v>0</v>
      </c>
      <c r="QJL364" s="373">
        <f>'Q100a-geral'!QJL887</f>
        <v>0</v>
      </c>
      <c r="QJM364" s="373">
        <f>'Q100a-geral'!QJM887</f>
        <v>0</v>
      </c>
      <c r="QJN364" s="373">
        <f>'Q100a-geral'!QJN887</f>
        <v>0</v>
      </c>
      <c r="QJO364" s="373">
        <f>'Q100a-geral'!QJO887</f>
        <v>0</v>
      </c>
      <c r="QJP364" s="373">
        <f>'Q100a-geral'!QJP887</f>
        <v>0</v>
      </c>
      <c r="QJQ364" s="373">
        <f>'Q100a-geral'!QJQ887</f>
        <v>0</v>
      </c>
      <c r="QJR364" s="373">
        <f>'Q100a-geral'!QJR887</f>
        <v>0</v>
      </c>
      <c r="QJS364" s="373">
        <f>'Q100a-geral'!QJS887</f>
        <v>0</v>
      </c>
      <c r="QJT364" s="373">
        <f>'Q100a-geral'!QJT887</f>
        <v>0</v>
      </c>
      <c r="QJU364" s="373">
        <f>'Q100a-geral'!QJU887</f>
        <v>0</v>
      </c>
      <c r="QJV364" s="373">
        <f>'Q100a-geral'!QJV887</f>
        <v>0</v>
      </c>
      <c r="QJW364" s="373">
        <f>'Q100a-geral'!QJW887</f>
        <v>0</v>
      </c>
      <c r="QJX364" s="373">
        <f>'Q100a-geral'!QJX887</f>
        <v>0</v>
      </c>
      <c r="QJY364" s="373">
        <f>'Q100a-geral'!QJY887</f>
        <v>0</v>
      </c>
      <c r="QJZ364" s="373">
        <f>'Q100a-geral'!QJZ887</f>
        <v>0</v>
      </c>
      <c r="QKA364" s="373">
        <f>'Q100a-geral'!QKA887</f>
        <v>0</v>
      </c>
      <c r="QKB364" s="373">
        <f>'Q100a-geral'!QKB887</f>
        <v>0</v>
      </c>
      <c r="QKC364" s="373">
        <f>'Q100a-geral'!QKC887</f>
        <v>0</v>
      </c>
      <c r="QKD364" s="373">
        <f>'Q100a-geral'!QKD887</f>
        <v>0</v>
      </c>
      <c r="QKE364" s="373">
        <f>'Q100a-geral'!QKE887</f>
        <v>0</v>
      </c>
      <c r="QKF364" s="373">
        <f>'Q100a-geral'!QKF887</f>
        <v>0</v>
      </c>
      <c r="QKG364" s="373">
        <f>'Q100a-geral'!QKG887</f>
        <v>0</v>
      </c>
      <c r="QKH364" s="373">
        <f>'Q100a-geral'!QKH887</f>
        <v>0</v>
      </c>
      <c r="QKI364" s="373">
        <f>'Q100a-geral'!QKI887</f>
        <v>0</v>
      </c>
      <c r="QKJ364" s="373">
        <f>'Q100a-geral'!QKJ887</f>
        <v>0</v>
      </c>
      <c r="QKK364" s="373">
        <f>'Q100a-geral'!QKK887</f>
        <v>0</v>
      </c>
      <c r="QKL364" s="373">
        <f>'Q100a-geral'!QKL887</f>
        <v>0</v>
      </c>
      <c r="QKM364" s="373">
        <f>'Q100a-geral'!QKM887</f>
        <v>0</v>
      </c>
      <c r="QKN364" s="373">
        <f>'Q100a-geral'!QKN887</f>
        <v>0</v>
      </c>
      <c r="QKO364" s="373">
        <f>'Q100a-geral'!QKO887</f>
        <v>0</v>
      </c>
      <c r="QKP364" s="373">
        <f>'Q100a-geral'!QKP887</f>
        <v>0</v>
      </c>
      <c r="QKQ364" s="373">
        <f>'Q100a-geral'!QKQ887</f>
        <v>0</v>
      </c>
      <c r="QKR364" s="373">
        <f>'Q100a-geral'!QKR887</f>
        <v>0</v>
      </c>
      <c r="QKS364" s="373">
        <f>'Q100a-geral'!QKS887</f>
        <v>0</v>
      </c>
      <c r="QKT364" s="373">
        <f>'Q100a-geral'!QKT887</f>
        <v>0</v>
      </c>
      <c r="QKU364" s="373">
        <f>'Q100a-geral'!QKU887</f>
        <v>0</v>
      </c>
      <c r="QKV364" s="373">
        <f>'Q100a-geral'!QKV887</f>
        <v>0</v>
      </c>
      <c r="QKW364" s="373">
        <f>'Q100a-geral'!QKW887</f>
        <v>0</v>
      </c>
      <c r="QKX364" s="373">
        <f>'Q100a-geral'!QKX887</f>
        <v>0</v>
      </c>
      <c r="QKY364" s="373">
        <f>'Q100a-geral'!QKY887</f>
        <v>0</v>
      </c>
      <c r="QKZ364" s="373">
        <f>'Q100a-geral'!QKZ887</f>
        <v>0</v>
      </c>
      <c r="QLA364" s="373">
        <f>'Q100a-geral'!QLA887</f>
        <v>0</v>
      </c>
      <c r="QLB364" s="373">
        <f>'Q100a-geral'!QLB887</f>
        <v>0</v>
      </c>
      <c r="QLC364" s="373">
        <f>'Q100a-geral'!QLC887</f>
        <v>0</v>
      </c>
      <c r="QLD364" s="373">
        <f>'Q100a-geral'!QLD887</f>
        <v>0</v>
      </c>
      <c r="QLE364" s="373">
        <f>'Q100a-geral'!QLE887</f>
        <v>0</v>
      </c>
      <c r="QLF364" s="373">
        <f>'Q100a-geral'!QLF887</f>
        <v>0</v>
      </c>
      <c r="QLG364" s="373">
        <f>'Q100a-geral'!QLG887</f>
        <v>0</v>
      </c>
      <c r="QLH364" s="373">
        <f>'Q100a-geral'!QLH887</f>
        <v>0</v>
      </c>
      <c r="QLI364" s="373">
        <f>'Q100a-geral'!QLI887</f>
        <v>0</v>
      </c>
      <c r="QLJ364" s="373">
        <f>'Q100a-geral'!QLJ887</f>
        <v>0</v>
      </c>
      <c r="QLK364" s="373">
        <f>'Q100a-geral'!QLK887</f>
        <v>0</v>
      </c>
      <c r="QLL364" s="373">
        <f>'Q100a-geral'!QLL887</f>
        <v>0</v>
      </c>
      <c r="QLM364" s="373">
        <f>'Q100a-geral'!QLM887</f>
        <v>0</v>
      </c>
      <c r="QLN364" s="373">
        <f>'Q100a-geral'!QLN887</f>
        <v>0</v>
      </c>
      <c r="QLO364" s="373">
        <f>'Q100a-geral'!QLO887</f>
        <v>0</v>
      </c>
      <c r="QLP364" s="373">
        <f>'Q100a-geral'!QLP887</f>
        <v>0</v>
      </c>
      <c r="QLQ364" s="373">
        <f>'Q100a-geral'!QLQ887</f>
        <v>0</v>
      </c>
      <c r="QLR364" s="373">
        <f>'Q100a-geral'!QLR887</f>
        <v>0</v>
      </c>
      <c r="QLS364" s="373">
        <f>'Q100a-geral'!QLS887</f>
        <v>0</v>
      </c>
      <c r="QLT364" s="373">
        <f>'Q100a-geral'!QLT887</f>
        <v>0</v>
      </c>
      <c r="QLU364" s="373">
        <f>'Q100a-geral'!QLU887</f>
        <v>0</v>
      </c>
      <c r="QLV364" s="373">
        <f>'Q100a-geral'!QLV887</f>
        <v>0</v>
      </c>
      <c r="QLW364" s="373">
        <f>'Q100a-geral'!QLW887</f>
        <v>0</v>
      </c>
      <c r="QLX364" s="373">
        <f>'Q100a-geral'!QLX887</f>
        <v>0</v>
      </c>
      <c r="QLY364" s="373">
        <f>'Q100a-geral'!QLY887</f>
        <v>0</v>
      </c>
      <c r="QLZ364" s="373">
        <f>'Q100a-geral'!QLZ887</f>
        <v>0</v>
      </c>
      <c r="QMA364" s="373">
        <f>'Q100a-geral'!QMA887</f>
        <v>0</v>
      </c>
      <c r="QMB364" s="373">
        <f>'Q100a-geral'!QMB887</f>
        <v>0</v>
      </c>
      <c r="QMC364" s="373">
        <f>'Q100a-geral'!QMC887</f>
        <v>0</v>
      </c>
      <c r="QMD364" s="373">
        <f>'Q100a-geral'!QMD887</f>
        <v>0</v>
      </c>
      <c r="QME364" s="373">
        <f>'Q100a-geral'!QME887</f>
        <v>0</v>
      </c>
      <c r="QMF364" s="373">
        <f>'Q100a-geral'!QMF887</f>
        <v>0</v>
      </c>
      <c r="QMG364" s="373">
        <f>'Q100a-geral'!QMG887</f>
        <v>0</v>
      </c>
      <c r="QMH364" s="373">
        <f>'Q100a-geral'!QMH887</f>
        <v>0</v>
      </c>
      <c r="QMI364" s="373">
        <f>'Q100a-geral'!QMI887</f>
        <v>0</v>
      </c>
      <c r="QMJ364" s="373">
        <f>'Q100a-geral'!QMJ887</f>
        <v>0</v>
      </c>
      <c r="QMK364" s="373">
        <f>'Q100a-geral'!QMK887</f>
        <v>0</v>
      </c>
      <c r="QML364" s="373">
        <f>'Q100a-geral'!QML887</f>
        <v>0</v>
      </c>
      <c r="QMM364" s="373">
        <f>'Q100a-geral'!QMM887</f>
        <v>0</v>
      </c>
      <c r="QMN364" s="373">
        <f>'Q100a-geral'!QMN887</f>
        <v>0</v>
      </c>
      <c r="QMO364" s="373">
        <f>'Q100a-geral'!QMO887</f>
        <v>0</v>
      </c>
      <c r="QMP364" s="373">
        <f>'Q100a-geral'!QMP887</f>
        <v>0</v>
      </c>
      <c r="QMQ364" s="373">
        <f>'Q100a-geral'!QMQ887</f>
        <v>0</v>
      </c>
      <c r="QMR364" s="373">
        <f>'Q100a-geral'!QMR887</f>
        <v>0</v>
      </c>
      <c r="QMS364" s="373">
        <f>'Q100a-geral'!QMS887</f>
        <v>0</v>
      </c>
      <c r="QMT364" s="373">
        <f>'Q100a-geral'!QMT887</f>
        <v>0</v>
      </c>
      <c r="QMU364" s="373">
        <f>'Q100a-geral'!QMU887</f>
        <v>0</v>
      </c>
      <c r="QMV364" s="373">
        <f>'Q100a-geral'!QMV887</f>
        <v>0</v>
      </c>
      <c r="QMW364" s="373">
        <f>'Q100a-geral'!QMW887</f>
        <v>0</v>
      </c>
      <c r="QMX364" s="373">
        <f>'Q100a-geral'!QMX887</f>
        <v>0</v>
      </c>
      <c r="QMY364" s="373">
        <f>'Q100a-geral'!QMY887</f>
        <v>0</v>
      </c>
      <c r="QMZ364" s="373">
        <f>'Q100a-geral'!QMZ887</f>
        <v>0</v>
      </c>
      <c r="QNA364" s="373">
        <f>'Q100a-geral'!QNA887</f>
        <v>0</v>
      </c>
      <c r="QNB364" s="373">
        <f>'Q100a-geral'!QNB887</f>
        <v>0</v>
      </c>
      <c r="QNC364" s="373">
        <f>'Q100a-geral'!QNC887</f>
        <v>0</v>
      </c>
      <c r="QND364" s="373">
        <f>'Q100a-geral'!QND887</f>
        <v>0</v>
      </c>
      <c r="QNE364" s="373">
        <f>'Q100a-geral'!QNE887</f>
        <v>0</v>
      </c>
      <c r="QNF364" s="373">
        <f>'Q100a-geral'!QNF887</f>
        <v>0</v>
      </c>
      <c r="QNG364" s="373">
        <f>'Q100a-geral'!QNG887</f>
        <v>0</v>
      </c>
      <c r="QNH364" s="373">
        <f>'Q100a-geral'!QNH887</f>
        <v>0</v>
      </c>
      <c r="QNI364" s="373">
        <f>'Q100a-geral'!QNI887</f>
        <v>0</v>
      </c>
      <c r="QNJ364" s="373">
        <f>'Q100a-geral'!QNJ887</f>
        <v>0</v>
      </c>
      <c r="QNK364" s="373">
        <f>'Q100a-geral'!QNK887</f>
        <v>0</v>
      </c>
      <c r="QNL364" s="373">
        <f>'Q100a-geral'!QNL887</f>
        <v>0</v>
      </c>
      <c r="QNM364" s="373">
        <f>'Q100a-geral'!QNM887</f>
        <v>0</v>
      </c>
      <c r="QNN364" s="373">
        <f>'Q100a-geral'!QNN887</f>
        <v>0</v>
      </c>
      <c r="QNO364" s="373">
        <f>'Q100a-geral'!QNO887</f>
        <v>0</v>
      </c>
      <c r="QNP364" s="373">
        <f>'Q100a-geral'!QNP887</f>
        <v>0</v>
      </c>
      <c r="QNQ364" s="373">
        <f>'Q100a-geral'!QNQ887</f>
        <v>0</v>
      </c>
      <c r="QNR364" s="373">
        <f>'Q100a-geral'!QNR887</f>
        <v>0</v>
      </c>
      <c r="QNS364" s="373">
        <f>'Q100a-geral'!QNS887</f>
        <v>0</v>
      </c>
      <c r="QNT364" s="373">
        <f>'Q100a-geral'!QNT887</f>
        <v>0</v>
      </c>
      <c r="QNU364" s="373">
        <f>'Q100a-geral'!QNU887</f>
        <v>0</v>
      </c>
      <c r="QNV364" s="373">
        <f>'Q100a-geral'!QNV887</f>
        <v>0</v>
      </c>
      <c r="QNW364" s="373">
        <f>'Q100a-geral'!QNW887</f>
        <v>0</v>
      </c>
      <c r="QNX364" s="373">
        <f>'Q100a-geral'!QNX887</f>
        <v>0</v>
      </c>
      <c r="QNY364" s="373">
        <f>'Q100a-geral'!QNY887</f>
        <v>0</v>
      </c>
      <c r="QNZ364" s="373">
        <f>'Q100a-geral'!QNZ887</f>
        <v>0</v>
      </c>
      <c r="QOA364" s="373">
        <f>'Q100a-geral'!QOA887</f>
        <v>0</v>
      </c>
      <c r="QOB364" s="373">
        <f>'Q100a-geral'!QOB887</f>
        <v>0</v>
      </c>
      <c r="QOC364" s="373">
        <f>'Q100a-geral'!QOC887</f>
        <v>0</v>
      </c>
      <c r="QOD364" s="373">
        <f>'Q100a-geral'!QOD887</f>
        <v>0</v>
      </c>
      <c r="QOE364" s="373">
        <f>'Q100a-geral'!QOE887</f>
        <v>0</v>
      </c>
      <c r="QOF364" s="373">
        <f>'Q100a-geral'!QOF887</f>
        <v>0</v>
      </c>
      <c r="QOG364" s="373">
        <f>'Q100a-geral'!QOG887</f>
        <v>0</v>
      </c>
      <c r="QOH364" s="373">
        <f>'Q100a-geral'!QOH887</f>
        <v>0</v>
      </c>
      <c r="QOI364" s="373">
        <f>'Q100a-geral'!QOI887</f>
        <v>0</v>
      </c>
      <c r="QOJ364" s="373">
        <f>'Q100a-geral'!QOJ887</f>
        <v>0</v>
      </c>
      <c r="QOK364" s="373">
        <f>'Q100a-geral'!QOK887</f>
        <v>0</v>
      </c>
      <c r="QOL364" s="373">
        <f>'Q100a-geral'!QOL887</f>
        <v>0</v>
      </c>
      <c r="QOM364" s="373">
        <f>'Q100a-geral'!QOM887</f>
        <v>0</v>
      </c>
      <c r="QON364" s="373">
        <f>'Q100a-geral'!QON887</f>
        <v>0</v>
      </c>
      <c r="QOO364" s="373">
        <f>'Q100a-geral'!QOO887</f>
        <v>0</v>
      </c>
      <c r="QOP364" s="373">
        <f>'Q100a-geral'!QOP887</f>
        <v>0</v>
      </c>
      <c r="QOQ364" s="373">
        <f>'Q100a-geral'!QOQ887</f>
        <v>0</v>
      </c>
      <c r="QOR364" s="373">
        <f>'Q100a-geral'!QOR887</f>
        <v>0</v>
      </c>
      <c r="QOS364" s="373">
        <f>'Q100a-geral'!QOS887</f>
        <v>0</v>
      </c>
      <c r="QOT364" s="373">
        <f>'Q100a-geral'!QOT887</f>
        <v>0</v>
      </c>
      <c r="QOU364" s="373">
        <f>'Q100a-geral'!QOU887</f>
        <v>0</v>
      </c>
      <c r="QOV364" s="373">
        <f>'Q100a-geral'!QOV887</f>
        <v>0</v>
      </c>
      <c r="QOW364" s="373">
        <f>'Q100a-geral'!QOW887</f>
        <v>0</v>
      </c>
      <c r="QOX364" s="373">
        <f>'Q100a-geral'!QOX887</f>
        <v>0</v>
      </c>
      <c r="QOY364" s="373">
        <f>'Q100a-geral'!QOY887</f>
        <v>0</v>
      </c>
      <c r="QOZ364" s="373">
        <f>'Q100a-geral'!QOZ887</f>
        <v>0</v>
      </c>
      <c r="QPA364" s="373">
        <f>'Q100a-geral'!QPA887</f>
        <v>0</v>
      </c>
      <c r="QPB364" s="373">
        <f>'Q100a-geral'!QPB887</f>
        <v>0</v>
      </c>
      <c r="QPC364" s="373">
        <f>'Q100a-geral'!QPC887</f>
        <v>0</v>
      </c>
      <c r="QPD364" s="373">
        <f>'Q100a-geral'!QPD887</f>
        <v>0</v>
      </c>
      <c r="QPE364" s="373">
        <f>'Q100a-geral'!QPE887</f>
        <v>0</v>
      </c>
      <c r="QPF364" s="373">
        <f>'Q100a-geral'!QPF887</f>
        <v>0</v>
      </c>
      <c r="QPG364" s="373">
        <f>'Q100a-geral'!QPG887</f>
        <v>0</v>
      </c>
      <c r="QPH364" s="373">
        <f>'Q100a-geral'!QPH887</f>
        <v>0</v>
      </c>
      <c r="QPI364" s="373">
        <f>'Q100a-geral'!QPI887</f>
        <v>0</v>
      </c>
      <c r="QPJ364" s="373">
        <f>'Q100a-geral'!QPJ887</f>
        <v>0</v>
      </c>
      <c r="QPK364" s="373">
        <f>'Q100a-geral'!QPK887</f>
        <v>0</v>
      </c>
      <c r="QPL364" s="373">
        <f>'Q100a-geral'!QPL887</f>
        <v>0</v>
      </c>
      <c r="QPM364" s="373">
        <f>'Q100a-geral'!QPM887</f>
        <v>0</v>
      </c>
      <c r="QPN364" s="373">
        <f>'Q100a-geral'!QPN887</f>
        <v>0</v>
      </c>
      <c r="QPO364" s="373">
        <f>'Q100a-geral'!QPO887</f>
        <v>0</v>
      </c>
      <c r="QPP364" s="373">
        <f>'Q100a-geral'!QPP887</f>
        <v>0</v>
      </c>
      <c r="QPQ364" s="373">
        <f>'Q100a-geral'!QPQ887</f>
        <v>0</v>
      </c>
      <c r="QPR364" s="373">
        <f>'Q100a-geral'!QPR887</f>
        <v>0</v>
      </c>
      <c r="QPS364" s="373">
        <f>'Q100a-geral'!QPS887</f>
        <v>0</v>
      </c>
      <c r="QPT364" s="373">
        <f>'Q100a-geral'!QPT887</f>
        <v>0</v>
      </c>
      <c r="QPU364" s="373">
        <f>'Q100a-geral'!QPU887</f>
        <v>0</v>
      </c>
      <c r="QPV364" s="373">
        <f>'Q100a-geral'!QPV887</f>
        <v>0</v>
      </c>
      <c r="QPW364" s="373">
        <f>'Q100a-geral'!QPW887</f>
        <v>0</v>
      </c>
      <c r="QPX364" s="373">
        <f>'Q100a-geral'!QPX887</f>
        <v>0</v>
      </c>
      <c r="QPY364" s="373">
        <f>'Q100a-geral'!QPY887</f>
        <v>0</v>
      </c>
      <c r="QPZ364" s="373">
        <f>'Q100a-geral'!QPZ887</f>
        <v>0</v>
      </c>
      <c r="QQA364" s="373">
        <f>'Q100a-geral'!QQA887</f>
        <v>0</v>
      </c>
      <c r="QQB364" s="373">
        <f>'Q100a-geral'!QQB887</f>
        <v>0</v>
      </c>
      <c r="QQC364" s="373">
        <f>'Q100a-geral'!QQC887</f>
        <v>0</v>
      </c>
      <c r="QQD364" s="373">
        <f>'Q100a-geral'!QQD887</f>
        <v>0</v>
      </c>
      <c r="QQE364" s="373">
        <f>'Q100a-geral'!QQE887</f>
        <v>0</v>
      </c>
      <c r="QQF364" s="373">
        <f>'Q100a-geral'!QQF887</f>
        <v>0</v>
      </c>
      <c r="QQG364" s="373">
        <f>'Q100a-geral'!QQG887</f>
        <v>0</v>
      </c>
      <c r="QQH364" s="373">
        <f>'Q100a-geral'!QQH887</f>
        <v>0</v>
      </c>
      <c r="QQI364" s="373">
        <f>'Q100a-geral'!QQI887</f>
        <v>0</v>
      </c>
      <c r="QQJ364" s="373">
        <f>'Q100a-geral'!QQJ887</f>
        <v>0</v>
      </c>
      <c r="QQK364" s="373">
        <f>'Q100a-geral'!QQK887</f>
        <v>0</v>
      </c>
      <c r="QQL364" s="373">
        <f>'Q100a-geral'!QQL887</f>
        <v>0</v>
      </c>
      <c r="QQM364" s="373">
        <f>'Q100a-geral'!QQM887</f>
        <v>0</v>
      </c>
      <c r="QQN364" s="373">
        <f>'Q100a-geral'!QQN887</f>
        <v>0</v>
      </c>
      <c r="QQO364" s="373">
        <f>'Q100a-geral'!QQO887</f>
        <v>0</v>
      </c>
      <c r="QQP364" s="373">
        <f>'Q100a-geral'!QQP887</f>
        <v>0</v>
      </c>
      <c r="QQQ364" s="373">
        <f>'Q100a-geral'!QQQ887</f>
        <v>0</v>
      </c>
      <c r="QQR364" s="373">
        <f>'Q100a-geral'!QQR887</f>
        <v>0</v>
      </c>
      <c r="QQS364" s="373">
        <f>'Q100a-geral'!QQS887</f>
        <v>0</v>
      </c>
      <c r="QQT364" s="373">
        <f>'Q100a-geral'!QQT887</f>
        <v>0</v>
      </c>
      <c r="QQU364" s="373">
        <f>'Q100a-geral'!QQU887</f>
        <v>0</v>
      </c>
      <c r="QQV364" s="373">
        <f>'Q100a-geral'!QQV887</f>
        <v>0</v>
      </c>
      <c r="QQW364" s="373">
        <f>'Q100a-geral'!QQW887</f>
        <v>0</v>
      </c>
      <c r="QQX364" s="373">
        <f>'Q100a-geral'!QQX887</f>
        <v>0</v>
      </c>
      <c r="QQY364" s="373">
        <f>'Q100a-geral'!QQY887</f>
        <v>0</v>
      </c>
      <c r="QQZ364" s="373">
        <f>'Q100a-geral'!QQZ887</f>
        <v>0</v>
      </c>
      <c r="QRA364" s="373">
        <f>'Q100a-geral'!QRA887</f>
        <v>0</v>
      </c>
      <c r="QRB364" s="373">
        <f>'Q100a-geral'!QRB887</f>
        <v>0</v>
      </c>
      <c r="QRC364" s="373">
        <f>'Q100a-geral'!QRC887</f>
        <v>0</v>
      </c>
      <c r="QRD364" s="373">
        <f>'Q100a-geral'!QRD887</f>
        <v>0</v>
      </c>
      <c r="QRE364" s="373">
        <f>'Q100a-geral'!QRE887</f>
        <v>0</v>
      </c>
      <c r="QRF364" s="373">
        <f>'Q100a-geral'!QRF887</f>
        <v>0</v>
      </c>
      <c r="QRG364" s="373">
        <f>'Q100a-geral'!QRG887</f>
        <v>0</v>
      </c>
      <c r="QRH364" s="373">
        <f>'Q100a-geral'!QRH887</f>
        <v>0</v>
      </c>
      <c r="QRI364" s="373">
        <f>'Q100a-geral'!QRI887</f>
        <v>0</v>
      </c>
      <c r="QRJ364" s="373">
        <f>'Q100a-geral'!QRJ887</f>
        <v>0</v>
      </c>
      <c r="QRK364" s="373">
        <f>'Q100a-geral'!QRK887</f>
        <v>0</v>
      </c>
      <c r="QRL364" s="373">
        <f>'Q100a-geral'!QRL887</f>
        <v>0</v>
      </c>
      <c r="QRM364" s="373">
        <f>'Q100a-geral'!QRM887</f>
        <v>0</v>
      </c>
      <c r="QRN364" s="373">
        <f>'Q100a-geral'!QRN887</f>
        <v>0</v>
      </c>
      <c r="QRO364" s="373">
        <f>'Q100a-geral'!QRO887</f>
        <v>0</v>
      </c>
      <c r="QRP364" s="373">
        <f>'Q100a-geral'!QRP887</f>
        <v>0</v>
      </c>
      <c r="QRQ364" s="373">
        <f>'Q100a-geral'!QRQ887</f>
        <v>0</v>
      </c>
      <c r="QRR364" s="373">
        <f>'Q100a-geral'!QRR887</f>
        <v>0</v>
      </c>
      <c r="QRS364" s="373">
        <f>'Q100a-geral'!QRS887</f>
        <v>0</v>
      </c>
      <c r="QRT364" s="373">
        <f>'Q100a-geral'!QRT887</f>
        <v>0</v>
      </c>
      <c r="QRU364" s="373">
        <f>'Q100a-geral'!QRU887</f>
        <v>0</v>
      </c>
      <c r="QRV364" s="373">
        <f>'Q100a-geral'!QRV887</f>
        <v>0</v>
      </c>
      <c r="QRW364" s="373">
        <f>'Q100a-geral'!QRW887</f>
        <v>0</v>
      </c>
      <c r="QRX364" s="373">
        <f>'Q100a-geral'!QRX887</f>
        <v>0</v>
      </c>
      <c r="QRY364" s="373">
        <f>'Q100a-geral'!QRY887</f>
        <v>0</v>
      </c>
      <c r="QRZ364" s="373">
        <f>'Q100a-geral'!QRZ887</f>
        <v>0</v>
      </c>
      <c r="QSA364" s="373">
        <f>'Q100a-geral'!QSA887</f>
        <v>0</v>
      </c>
      <c r="QSB364" s="373">
        <f>'Q100a-geral'!QSB887</f>
        <v>0</v>
      </c>
      <c r="QSC364" s="373">
        <f>'Q100a-geral'!QSC887</f>
        <v>0</v>
      </c>
      <c r="QSD364" s="373">
        <f>'Q100a-geral'!QSD887</f>
        <v>0</v>
      </c>
      <c r="QSE364" s="373">
        <f>'Q100a-geral'!QSE887</f>
        <v>0</v>
      </c>
      <c r="QSF364" s="373">
        <f>'Q100a-geral'!QSF887</f>
        <v>0</v>
      </c>
      <c r="QSG364" s="373">
        <f>'Q100a-geral'!QSG887</f>
        <v>0</v>
      </c>
      <c r="QSH364" s="373">
        <f>'Q100a-geral'!QSH887</f>
        <v>0</v>
      </c>
      <c r="QSI364" s="373">
        <f>'Q100a-geral'!QSI887</f>
        <v>0</v>
      </c>
      <c r="QSJ364" s="373">
        <f>'Q100a-geral'!QSJ887</f>
        <v>0</v>
      </c>
      <c r="QSK364" s="373">
        <f>'Q100a-geral'!QSK887</f>
        <v>0</v>
      </c>
      <c r="QSL364" s="373">
        <f>'Q100a-geral'!QSL887</f>
        <v>0</v>
      </c>
      <c r="QSM364" s="373">
        <f>'Q100a-geral'!QSM887</f>
        <v>0</v>
      </c>
      <c r="QSN364" s="373">
        <f>'Q100a-geral'!QSN887</f>
        <v>0</v>
      </c>
      <c r="QSO364" s="373">
        <f>'Q100a-geral'!QSO887</f>
        <v>0</v>
      </c>
      <c r="QSP364" s="373">
        <f>'Q100a-geral'!QSP887</f>
        <v>0</v>
      </c>
      <c r="QSQ364" s="373">
        <f>'Q100a-geral'!QSQ887</f>
        <v>0</v>
      </c>
      <c r="QSR364" s="373">
        <f>'Q100a-geral'!QSR887</f>
        <v>0</v>
      </c>
      <c r="QSS364" s="373">
        <f>'Q100a-geral'!QSS887</f>
        <v>0</v>
      </c>
      <c r="QST364" s="373">
        <f>'Q100a-geral'!QST887</f>
        <v>0</v>
      </c>
      <c r="QSU364" s="373">
        <f>'Q100a-geral'!QSU887</f>
        <v>0</v>
      </c>
      <c r="QSV364" s="373">
        <f>'Q100a-geral'!QSV887</f>
        <v>0</v>
      </c>
      <c r="QSW364" s="373">
        <f>'Q100a-geral'!QSW887</f>
        <v>0</v>
      </c>
      <c r="QSX364" s="373">
        <f>'Q100a-geral'!QSX887</f>
        <v>0</v>
      </c>
      <c r="QSY364" s="373">
        <f>'Q100a-geral'!QSY887</f>
        <v>0</v>
      </c>
      <c r="QSZ364" s="373">
        <f>'Q100a-geral'!QSZ887</f>
        <v>0</v>
      </c>
      <c r="QTA364" s="373">
        <f>'Q100a-geral'!QTA887</f>
        <v>0</v>
      </c>
      <c r="QTB364" s="373">
        <f>'Q100a-geral'!QTB887</f>
        <v>0</v>
      </c>
      <c r="QTC364" s="373">
        <f>'Q100a-geral'!QTC887</f>
        <v>0</v>
      </c>
      <c r="QTD364" s="373">
        <f>'Q100a-geral'!QTD887</f>
        <v>0</v>
      </c>
      <c r="QTE364" s="373">
        <f>'Q100a-geral'!QTE887</f>
        <v>0</v>
      </c>
      <c r="QTF364" s="373">
        <f>'Q100a-geral'!QTF887</f>
        <v>0</v>
      </c>
      <c r="QTG364" s="373">
        <f>'Q100a-geral'!QTG887</f>
        <v>0</v>
      </c>
      <c r="QTH364" s="373">
        <f>'Q100a-geral'!QTH887</f>
        <v>0</v>
      </c>
      <c r="QTI364" s="373">
        <f>'Q100a-geral'!QTI887</f>
        <v>0</v>
      </c>
      <c r="QTJ364" s="373">
        <f>'Q100a-geral'!QTJ887</f>
        <v>0</v>
      </c>
      <c r="QTK364" s="373">
        <f>'Q100a-geral'!QTK887</f>
        <v>0</v>
      </c>
      <c r="QTL364" s="373">
        <f>'Q100a-geral'!QTL887</f>
        <v>0</v>
      </c>
      <c r="QTM364" s="373">
        <f>'Q100a-geral'!QTM887</f>
        <v>0</v>
      </c>
      <c r="QTN364" s="373">
        <f>'Q100a-geral'!QTN887</f>
        <v>0</v>
      </c>
      <c r="QTO364" s="373">
        <f>'Q100a-geral'!QTO887</f>
        <v>0</v>
      </c>
      <c r="QTP364" s="373">
        <f>'Q100a-geral'!QTP887</f>
        <v>0</v>
      </c>
      <c r="QTQ364" s="373">
        <f>'Q100a-geral'!QTQ887</f>
        <v>0</v>
      </c>
      <c r="QTR364" s="373">
        <f>'Q100a-geral'!QTR887</f>
        <v>0</v>
      </c>
      <c r="QTS364" s="373">
        <f>'Q100a-geral'!QTS887</f>
        <v>0</v>
      </c>
      <c r="QTT364" s="373">
        <f>'Q100a-geral'!QTT887</f>
        <v>0</v>
      </c>
      <c r="QTU364" s="373">
        <f>'Q100a-geral'!QTU887</f>
        <v>0</v>
      </c>
      <c r="QTV364" s="373">
        <f>'Q100a-geral'!QTV887</f>
        <v>0</v>
      </c>
      <c r="QTW364" s="373">
        <f>'Q100a-geral'!QTW887</f>
        <v>0</v>
      </c>
      <c r="QTX364" s="373">
        <f>'Q100a-geral'!QTX887</f>
        <v>0</v>
      </c>
      <c r="QTY364" s="373">
        <f>'Q100a-geral'!QTY887</f>
        <v>0</v>
      </c>
      <c r="QTZ364" s="373">
        <f>'Q100a-geral'!QTZ887</f>
        <v>0</v>
      </c>
      <c r="QUA364" s="373">
        <f>'Q100a-geral'!QUA887</f>
        <v>0</v>
      </c>
      <c r="QUB364" s="373">
        <f>'Q100a-geral'!QUB887</f>
        <v>0</v>
      </c>
      <c r="QUC364" s="373">
        <f>'Q100a-geral'!QUC887</f>
        <v>0</v>
      </c>
      <c r="QUD364" s="373">
        <f>'Q100a-geral'!QUD887</f>
        <v>0</v>
      </c>
      <c r="QUE364" s="373">
        <f>'Q100a-geral'!QUE887</f>
        <v>0</v>
      </c>
      <c r="QUF364" s="373">
        <f>'Q100a-geral'!QUF887</f>
        <v>0</v>
      </c>
      <c r="QUG364" s="373">
        <f>'Q100a-geral'!QUG887</f>
        <v>0</v>
      </c>
      <c r="QUH364" s="373">
        <f>'Q100a-geral'!QUH887</f>
        <v>0</v>
      </c>
      <c r="QUI364" s="373">
        <f>'Q100a-geral'!QUI887</f>
        <v>0</v>
      </c>
      <c r="QUJ364" s="373">
        <f>'Q100a-geral'!QUJ887</f>
        <v>0</v>
      </c>
      <c r="QUK364" s="373">
        <f>'Q100a-geral'!QUK887</f>
        <v>0</v>
      </c>
      <c r="QUL364" s="373">
        <f>'Q100a-geral'!QUL887</f>
        <v>0</v>
      </c>
      <c r="QUM364" s="373">
        <f>'Q100a-geral'!QUM887</f>
        <v>0</v>
      </c>
      <c r="QUN364" s="373">
        <f>'Q100a-geral'!QUN887</f>
        <v>0</v>
      </c>
      <c r="QUO364" s="373">
        <f>'Q100a-geral'!QUO887</f>
        <v>0</v>
      </c>
      <c r="QUP364" s="373">
        <f>'Q100a-geral'!QUP887</f>
        <v>0</v>
      </c>
      <c r="QUQ364" s="373">
        <f>'Q100a-geral'!QUQ887</f>
        <v>0</v>
      </c>
      <c r="QUR364" s="373">
        <f>'Q100a-geral'!QUR887</f>
        <v>0</v>
      </c>
      <c r="QUS364" s="373">
        <f>'Q100a-geral'!QUS887</f>
        <v>0</v>
      </c>
      <c r="QUT364" s="373">
        <f>'Q100a-geral'!QUT887</f>
        <v>0</v>
      </c>
      <c r="QUU364" s="373">
        <f>'Q100a-geral'!QUU887</f>
        <v>0</v>
      </c>
      <c r="QUV364" s="373">
        <f>'Q100a-geral'!QUV887</f>
        <v>0</v>
      </c>
      <c r="QUW364" s="373">
        <f>'Q100a-geral'!QUW887</f>
        <v>0</v>
      </c>
      <c r="QUX364" s="373">
        <f>'Q100a-geral'!QUX887</f>
        <v>0</v>
      </c>
      <c r="QUY364" s="373">
        <f>'Q100a-geral'!QUY887</f>
        <v>0</v>
      </c>
      <c r="QUZ364" s="373">
        <f>'Q100a-geral'!QUZ887</f>
        <v>0</v>
      </c>
      <c r="QVA364" s="373">
        <f>'Q100a-geral'!QVA887</f>
        <v>0</v>
      </c>
      <c r="QVB364" s="373">
        <f>'Q100a-geral'!QVB887</f>
        <v>0</v>
      </c>
      <c r="QVC364" s="373">
        <f>'Q100a-geral'!QVC887</f>
        <v>0</v>
      </c>
      <c r="QVD364" s="373">
        <f>'Q100a-geral'!QVD887</f>
        <v>0</v>
      </c>
      <c r="QVE364" s="373">
        <f>'Q100a-geral'!QVE887</f>
        <v>0</v>
      </c>
      <c r="QVF364" s="373">
        <f>'Q100a-geral'!QVF887</f>
        <v>0</v>
      </c>
      <c r="QVG364" s="373">
        <f>'Q100a-geral'!QVG887</f>
        <v>0</v>
      </c>
      <c r="QVH364" s="373">
        <f>'Q100a-geral'!QVH887</f>
        <v>0</v>
      </c>
      <c r="QVI364" s="373">
        <f>'Q100a-geral'!QVI887</f>
        <v>0</v>
      </c>
      <c r="QVJ364" s="373">
        <f>'Q100a-geral'!QVJ887</f>
        <v>0</v>
      </c>
      <c r="QVK364" s="373">
        <f>'Q100a-geral'!QVK887</f>
        <v>0</v>
      </c>
      <c r="QVL364" s="373">
        <f>'Q100a-geral'!QVL887</f>
        <v>0</v>
      </c>
      <c r="QVM364" s="373">
        <f>'Q100a-geral'!QVM887</f>
        <v>0</v>
      </c>
      <c r="QVN364" s="373">
        <f>'Q100a-geral'!QVN887</f>
        <v>0</v>
      </c>
      <c r="QVO364" s="373">
        <f>'Q100a-geral'!QVO887</f>
        <v>0</v>
      </c>
      <c r="QVP364" s="373">
        <f>'Q100a-geral'!QVP887</f>
        <v>0</v>
      </c>
      <c r="QVQ364" s="373">
        <f>'Q100a-geral'!QVQ887</f>
        <v>0</v>
      </c>
      <c r="QVR364" s="373">
        <f>'Q100a-geral'!QVR887</f>
        <v>0</v>
      </c>
      <c r="QVS364" s="373">
        <f>'Q100a-geral'!QVS887</f>
        <v>0</v>
      </c>
      <c r="QVT364" s="373">
        <f>'Q100a-geral'!QVT887</f>
        <v>0</v>
      </c>
      <c r="QVU364" s="373">
        <f>'Q100a-geral'!QVU887</f>
        <v>0</v>
      </c>
      <c r="QVV364" s="373">
        <f>'Q100a-geral'!QVV887</f>
        <v>0</v>
      </c>
      <c r="QVW364" s="373">
        <f>'Q100a-geral'!QVW887</f>
        <v>0</v>
      </c>
      <c r="QVX364" s="373">
        <f>'Q100a-geral'!QVX887</f>
        <v>0</v>
      </c>
      <c r="QVY364" s="373">
        <f>'Q100a-geral'!QVY887</f>
        <v>0</v>
      </c>
      <c r="QVZ364" s="373">
        <f>'Q100a-geral'!QVZ887</f>
        <v>0</v>
      </c>
      <c r="QWA364" s="373">
        <f>'Q100a-geral'!QWA887</f>
        <v>0</v>
      </c>
      <c r="QWB364" s="373">
        <f>'Q100a-geral'!QWB887</f>
        <v>0</v>
      </c>
      <c r="QWC364" s="373">
        <f>'Q100a-geral'!QWC887</f>
        <v>0</v>
      </c>
      <c r="QWD364" s="373">
        <f>'Q100a-geral'!QWD887</f>
        <v>0</v>
      </c>
      <c r="QWE364" s="373">
        <f>'Q100a-geral'!QWE887</f>
        <v>0</v>
      </c>
      <c r="QWF364" s="373">
        <f>'Q100a-geral'!QWF887</f>
        <v>0</v>
      </c>
      <c r="QWG364" s="373">
        <f>'Q100a-geral'!QWG887</f>
        <v>0</v>
      </c>
      <c r="QWH364" s="373">
        <f>'Q100a-geral'!QWH887</f>
        <v>0</v>
      </c>
      <c r="QWI364" s="373">
        <f>'Q100a-geral'!QWI887</f>
        <v>0</v>
      </c>
      <c r="QWJ364" s="373">
        <f>'Q100a-geral'!QWJ887</f>
        <v>0</v>
      </c>
      <c r="QWK364" s="373">
        <f>'Q100a-geral'!QWK887</f>
        <v>0</v>
      </c>
      <c r="QWL364" s="373">
        <f>'Q100a-geral'!QWL887</f>
        <v>0</v>
      </c>
      <c r="QWM364" s="373">
        <f>'Q100a-geral'!QWM887</f>
        <v>0</v>
      </c>
      <c r="QWN364" s="373">
        <f>'Q100a-geral'!QWN887</f>
        <v>0</v>
      </c>
      <c r="QWO364" s="373">
        <f>'Q100a-geral'!QWO887</f>
        <v>0</v>
      </c>
      <c r="QWP364" s="373">
        <f>'Q100a-geral'!QWP887</f>
        <v>0</v>
      </c>
      <c r="QWQ364" s="373">
        <f>'Q100a-geral'!QWQ887</f>
        <v>0</v>
      </c>
      <c r="QWR364" s="373">
        <f>'Q100a-geral'!QWR887</f>
        <v>0</v>
      </c>
      <c r="QWS364" s="373">
        <f>'Q100a-geral'!QWS887</f>
        <v>0</v>
      </c>
      <c r="QWT364" s="373">
        <f>'Q100a-geral'!QWT887</f>
        <v>0</v>
      </c>
      <c r="QWU364" s="373">
        <f>'Q100a-geral'!QWU887</f>
        <v>0</v>
      </c>
      <c r="QWV364" s="373">
        <f>'Q100a-geral'!QWV887</f>
        <v>0</v>
      </c>
      <c r="QWW364" s="373">
        <f>'Q100a-geral'!QWW887</f>
        <v>0</v>
      </c>
      <c r="QWX364" s="373">
        <f>'Q100a-geral'!QWX887</f>
        <v>0</v>
      </c>
      <c r="QWY364" s="373">
        <f>'Q100a-geral'!QWY887</f>
        <v>0</v>
      </c>
      <c r="QWZ364" s="373">
        <f>'Q100a-geral'!QWZ887</f>
        <v>0</v>
      </c>
      <c r="QXA364" s="373">
        <f>'Q100a-geral'!QXA887</f>
        <v>0</v>
      </c>
      <c r="QXB364" s="373">
        <f>'Q100a-geral'!QXB887</f>
        <v>0</v>
      </c>
      <c r="QXC364" s="373">
        <f>'Q100a-geral'!QXC887</f>
        <v>0</v>
      </c>
      <c r="QXD364" s="373">
        <f>'Q100a-geral'!QXD887</f>
        <v>0</v>
      </c>
      <c r="QXE364" s="373">
        <f>'Q100a-geral'!QXE887</f>
        <v>0</v>
      </c>
      <c r="QXF364" s="373">
        <f>'Q100a-geral'!QXF887</f>
        <v>0</v>
      </c>
      <c r="QXG364" s="373">
        <f>'Q100a-geral'!QXG887</f>
        <v>0</v>
      </c>
      <c r="QXH364" s="373">
        <f>'Q100a-geral'!QXH887</f>
        <v>0</v>
      </c>
      <c r="QXI364" s="373">
        <f>'Q100a-geral'!QXI887</f>
        <v>0</v>
      </c>
      <c r="QXJ364" s="373">
        <f>'Q100a-geral'!QXJ887</f>
        <v>0</v>
      </c>
      <c r="QXK364" s="373">
        <f>'Q100a-geral'!QXK887</f>
        <v>0</v>
      </c>
      <c r="QXL364" s="373">
        <f>'Q100a-geral'!QXL887</f>
        <v>0</v>
      </c>
      <c r="QXM364" s="373">
        <f>'Q100a-geral'!QXM887</f>
        <v>0</v>
      </c>
      <c r="QXN364" s="373">
        <f>'Q100a-geral'!QXN887</f>
        <v>0</v>
      </c>
      <c r="QXO364" s="373">
        <f>'Q100a-geral'!QXO887</f>
        <v>0</v>
      </c>
      <c r="QXP364" s="373">
        <f>'Q100a-geral'!QXP887</f>
        <v>0</v>
      </c>
      <c r="QXQ364" s="373">
        <f>'Q100a-geral'!QXQ887</f>
        <v>0</v>
      </c>
      <c r="QXR364" s="373">
        <f>'Q100a-geral'!QXR887</f>
        <v>0</v>
      </c>
      <c r="QXS364" s="373">
        <f>'Q100a-geral'!QXS887</f>
        <v>0</v>
      </c>
      <c r="QXT364" s="373">
        <f>'Q100a-geral'!QXT887</f>
        <v>0</v>
      </c>
      <c r="QXU364" s="373">
        <f>'Q100a-geral'!QXU887</f>
        <v>0</v>
      </c>
      <c r="QXV364" s="373">
        <f>'Q100a-geral'!QXV887</f>
        <v>0</v>
      </c>
      <c r="QXW364" s="373">
        <f>'Q100a-geral'!QXW887</f>
        <v>0</v>
      </c>
      <c r="QXX364" s="373">
        <f>'Q100a-geral'!QXX887</f>
        <v>0</v>
      </c>
      <c r="QXY364" s="373">
        <f>'Q100a-geral'!QXY887</f>
        <v>0</v>
      </c>
      <c r="QXZ364" s="373">
        <f>'Q100a-geral'!QXZ887</f>
        <v>0</v>
      </c>
      <c r="QYA364" s="373">
        <f>'Q100a-geral'!QYA887</f>
        <v>0</v>
      </c>
      <c r="QYB364" s="373">
        <f>'Q100a-geral'!QYB887</f>
        <v>0</v>
      </c>
      <c r="QYC364" s="373">
        <f>'Q100a-geral'!QYC887</f>
        <v>0</v>
      </c>
      <c r="QYD364" s="373">
        <f>'Q100a-geral'!QYD887</f>
        <v>0</v>
      </c>
      <c r="QYE364" s="373">
        <f>'Q100a-geral'!QYE887</f>
        <v>0</v>
      </c>
      <c r="QYF364" s="373">
        <f>'Q100a-geral'!QYF887</f>
        <v>0</v>
      </c>
      <c r="QYG364" s="373">
        <f>'Q100a-geral'!QYG887</f>
        <v>0</v>
      </c>
      <c r="QYH364" s="373">
        <f>'Q100a-geral'!QYH887</f>
        <v>0</v>
      </c>
      <c r="QYI364" s="373">
        <f>'Q100a-geral'!QYI887</f>
        <v>0</v>
      </c>
      <c r="QYJ364" s="373">
        <f>'Q100a-geral'!QYJ887</f>
        <v>0</v>
      </c>
      <c r="QYK364" s="373">
        <f>'Q100a-geral'!QYK887</f>
        <v>0</v>
      </c>
      <c r="QYL364" s="373">
        <f>'Q100a-geral'!QYL887</f>
        <v>0</v>
      </c>
      <c r="QYM364" s="373">
        <f>'Q100a-geral'!QYM887</f>
        <v>0</v>
      </c>
      <c r="QYN364" s="373">
        <f>'Q100a-geral'!QYN887</f>
        <v>0</v>
      </c>
      <c r="QYO364" s="373">
        <f>'Q100a-geral'!QYO887</f>
        <v>0</v>
      </c>
      <c r="QYP364" s="373">
        <f>'Q100a-geral'!QYP887</f>
        <v>0</v>
      </c>
      <c r="QYQ364" s="373">
        <f>'Q100a-geral'!QYQ887</f>
        <v>0</v>
      </c>
      <c r="QYR364" s="373">
        <f>'Q100a-geral'!QYR887</f>
        <v>0</v>
      </c>
      <c r="QYS364" s="373">
        <f>'Q100a-geral'!QYS887</f>
        <v>0</v>
      </c>
      <c r="QYT364" s="373">
        <f>'Q100a-geral'!QYT887</f>
        <v>0</v>
      </c>
      <c r="QYU364" s="373">
        <f>'Q100a-geral'!QYU887</f>
        <v>0</v>
      </c>
      <c r="QYV364" s="373">
        <f>'Q100a-geral'!QYV887</f>
        <v>0</v>
      </c>
      <c r="QYW364" s="373">
        <f>'Q100a-geral'!QYW887</f>
        <v>0</v>
      </c>
      <c r="QYX364" s="373">
        <f>'Q100a-geral'!QYX887</f>
        <v>0</v>
      </c>
      <c r="QYY364" s="373">
        <f>'Q100a-geral'!QYY887</f>
        <v>0</v>
      </c>
      <c r="QYZ364" s="373">
        <f>'Q100a-geral'!QYZ887</f>
        <v>0</v>
      </c>
      <c r="QZA364" s="373">
        <f>'Q100a-geral'!QZA887</f>
        <v>0</v>
      </c>
      <c r="QZB364" s="373">
        <f>'Q100a-geral'!QZB887</f>
        <v>0</v>
      </c>
      <c r="QZC364" s="373">
        <f>'Q100a-geral'!QZC887</f>
        <v>0</v>
      </c>
      <c r="QZD364" s="373">
        <f>'Q100a-geral'!QZD887</f>
        <v>0</v>
      </c>
      <c r="QZE364" s="373">
        <f>'Q100a-geral'!QZE887</f>
        <v>0</v>
      </c>
      <c r="QZF364" s="373">
        <f>'Q100a-geral'!QZF887</f>
        <v>0</v>
      </c>
      <c r="QZG364" s="373">
        <f>'Q100a-geral'!QZG887</f>
        <v>0</v>
      </c>
      <c r="QZH364" s="373">
        <f>'Q100a-geral'!QZH887</f>
        <v>0</v>
      </c>
      <c r="QZI364" s="373">
        <f>'Q100a-geral'!QZI887</f>
        <v>0</v>
      </c>
      <c r="QZJ364" s="373">
        <f>'Q100a-geral'!QZJ887</f>
        <v>0</v>
      </c>
      <c r="QZK364" s="373">
        <f>'Q100a-geral'!QZK887</f>
        <v>0</v>
      </c>
      <c r="QZL364" s="373">
        <f>'Q100a-geral'!QZL887</f>
        <v>0</v>
      </c>
      <c r="QZM364" s="373">
        <f>'Q100a-geral'!QZM887</f>
        <v>0</v>
      </c>
      <c r="QZN364" s="373">
        <f>'Q100a-geral'!QZN887</f>
        <v>0</v>
      </c>
      <c r="QZO364" s="373">
        <f>'Q100a-geral'!QZO887</f>
        <v>0</v>
      </c>
      <c r="QZP364" s="373">
        <f>'Q100a-geral'!QZP887</f>
        <v>0</v>
      </c>
      <c r="QZQ364" s="373">
        <f>'Q100a-geral'!QZQ887</f>
        <v>0</v>
      </c>
      <c r="QZR364" s="373">
        <f>'Q100a-geral'!QZR887</f>
        <v>0</v>
      </c>
      <c r="QZS364" s="373">
        <f>'Q100a-geral'!QZS887</f>
        <v>0</v>
      </c>
      <c r="QZT364" s="373">
        <f>'Q100a-geral'!QZT887</f>
        <v>0</v>
      </c>
      <c r="QZU364" s="373">
        <f>'Q100a-geral'!QZU887</f>
        <v>0</v>
      </c>
      <c r="QZV364" s="373">
        <f>'Q100a-geral'!QZV887</f>
        <v>0</v>
      </c>
      <c r="QZW364" s="373">
        <f>'Q100a-geral'!QZW887</f>
        <v>0</v>
      </c>
      <c r="QZX364" s="373">
        <f>'Q100a-geral'!QZX887</f>
        <v>0</v>
      </c>
      <c r="QZY364" s="373">
        <f>'Q100a-geral'!QZY887</f>
        <v>0</v>
      </c>
      <c r="QZZ364" s="373">
        <f>'Q100a-geral'!QZZ887</f>
        <v>0</v>
      </c>
      <c r="RAA364" s="373">
        <f>'Q100a-geral'!RAA887</f>
        <v>0</v>
      </c>
      <c r="RAB364" s="373">
        <f>'Q100a-geral'!RAB887</f>
        <v>0</v>
      </c>
      <c r="RAC364" s="373">
        <f>'Q100a-geral'!RAC887</f>
        <v>0</v>
      </c>
      <c r="RAD364" s="373">
        <f>'Q100a-geral'!RAD887</f>
        <v>0</v>
      </c>
      <c r="RAE364" s="373">
        <f>'Q100a-geral'!RAE887</f>
        <v>0</v>
      </c>
      <c r="RAF364" s="373">
        <f>'Q100a-geral'!RAF887</f>
        <v>0</v>
      </c>
      <c r="RAG364" s="373">
        <f>'Q100a-geral'!RAG887</f>
        <v>0</v>
      </c>
      <c r="RAH364" s="373">
        <f>'Q100a-geral'!RAH887</f>
        <v>0</v>
      </c>
      <c r="RAI364" s="373">
        <f>'Q100a-geral'!RAI887</f>
        <v>0</v>
      </c>
      <c r="RAJ364" s="373">
        <f>'Q100a-geral'!RAJ887</f>
        <v>0</v>
      </c>
      <c r="RAK364" s="373">
        <f>'Q100a-geral'!RAK887</f>
        <v>0</v>
      </c>
      <c r="RAL364" s="373">
        <f>'Q100a-geral'!RAL887</f>
        <v>0</v>
      </c>
      <c r="RAM364" s="373">
        <f>'Q100a-geral'!RAM887</f>
        <v>0</v>
      </c>
      <c r="RAN364" s="373">
        <f>'Q100a-geral'!RAN887</f>
        <v>0</v>
      </c>
      <c r="RAO364" s="373">
        <f>'Q100a-geral'!RAO887</f>
        <v>0</v>
      </c>
      <c r="RAP364" s="373">
        <f>'Q100a-geral'!RAP887</f>
        <v>0</v>
      </c>
      <c r="RAQ364" s="373">
        <f>'Q100a-geral'!RAQ887</f>
        <v>0</v>
      </c>
      <c r="RAR364" s="373">
        <f>'Q100a-geral'!RAR887</f>
        <v>0</v>
      </c>
      <c r="RAS364" s="373">
        <f>'Q100a-geral'!RAS887</f>
        <v>0</v>
      </c>
      <c r="RAT364" s="373">
        <f>'Q100a-geral'!RAT887</f>
        <v>0</v>
      </c>
      <c r="RAU364" s="373">
        <f>'Q100a-geral'!RAU887</f>
        <v>0</v>
      </c>
      <c r="RAV364" s="373">
        <f>'Q100a-geral'!RAV887</f>
        <v>0</v>
      </c>
      <c r="RAW364" s="373">
        <f>'Q100a-geral'!RAW887</f>
        <v>0</v>
      </c>
      <c r="RAX364" s="373">
        <f>'Q100a-geral'!RAX887</f>
        <v>0</v>
      </c>
      <c r="RAY364" s="373">
        <f>'Q100a-geral'!RAY887</f>
        <v>0</v>
      </c>
      <c r="RAZ364" s="373">
        <f>'Q100a-geral'!RAZ887</f>
        <v>0</v>
      </c>
      <c r="RBA364" s="373">
        <f>'Q100a-geral'!RBA887</f>
        <v>0</v>
      </c>
      <c r="RBB364" s="373">
        <f>'Q100a-geral'!RBB887</f>
        <v>0</v>
      </c>
      <c r="RBC364" s="373">
        <f>'Q100a-geral'!RBC887</f>
        <v>0</v>
      </c>
      <c r="RBD364" s="373">
        <f>'Q100a-geral'!RBD887</f>
        <v>0</v>
      </c>
      <c r="RBE364" s="373">
        <f>'Q100a-geral'!RBE887</f>
        <v>0</v>
      </c>
      <c r="RBF364" s="373">
        <f>'Q100a-geral'!RBF887</f>
        <v>0</v>
      </c>
      <c r="RBG364" s="373">
        <f>'Q100a-geral'!RBG887</f>
        <v>0</v>
      </c>
      <c r="RBH364" s="373">
        <f>'Q100a-geral'!RBH887</f>
        <v>0</v>
      </c>
      <c r="RBI364" s="373">
        <f>'Q100a-geral'!RBI887</f>
        <v>0</v>
      </c>
      <c r="RBJ364" s="373">
        <f>'Q100a-geral'!RBJ887</f>
        <v>0</v>
      </c>
      <c r="RBK364" s="373">
        <f>'Q100a-geral'!RBK887</f>
        <v>0</v>
      </c>
      <c r="RBL364" s="373">
        <f>'Q100a-geral'!RBL887</f>
        <v>0</v>
      </c>
      <c r="RBM364" s="373">
        <f>'Q100a-geral'!RBM887</f>
        <v>0</v>
      </c>
      <c r="RBN364" s="373">
        <f>'Q100a-geral'!RBN887</f>
        <v>0</v>
      </c>
      <c r="RBO364" s="373">
        <f>'Q100a-geral'!RBO887</f>
        <v>0</v>
      </c>
      <c r="RBP364" s="373">
        <f>'Q100a-geral'!RBP887</f>
        <v>0</v>
      </c>
      <c r="RBQ364" s="373">
        <f>'Q100a-geral'!RBQ887</f>
        <v>0</v>
      </c>
      <c r="RBR364" s="373">
        <f>'Q100a-geral'!RBR887</f>
        <v>0</v>
      </c>
      <c r="RBS364" s="373">
        <f>'Q100a-geral'!RBS887</f>
        <v>0</v>
      </c>
      <c r="RBT364" s="373">
        <f>'Q100a-geral'!RBT887</f>
        <v>0</v>
      </c>
      <c r="RBU364" s="373">
        <f>'Q100a-geral'!RBU887</f>
        <v>0</v>
      </c>
      <c r="RBV364" s="373">
        <f>'Q100a-geral'!RBV887</f>
        <v>0</v>
      </c>
      <c r="RBW364" s="373">
        <f>'Q100a-geral'!RBW887</f>
        <v>0</v>
      </c>
      <c r="RBX364" s="373">
        <f>'Q100a-geral'!RBX887</f>
        <v>0</v>
      </c>
      <c r="RBY364" s="373">
        <f>'Q100a-geral'!RBY887</f>
        <v>0</v>
      </c>
      <c r="RBZ364" s="373">
        <f>'Q100a-geral'!RBZ887</f>
        <v>0</v>
      </c>
      <c r="RCA364" s="373">
        <f>'Q100a-geral'!RCA887</f>
        <v>0</v>
      </c>
      <c r="RCB364" s="373">
        <f>'Q100a-geral'!RCB887</f>
        <v>0</v>
      </c>
      <c r="RCC364" s="373">
        <f>'Q100a-geral'!RCC887</f>
        <v>0</v>
      </c>
      <c r="RCD364" s="373">
        <f>'Q100a-geral'!RCD887</f>
        <v>0</v>
      </c>
      <c r="RCE364" s="373">
        <f>'Q100a-geral'!RCE887</f>
        <v>0</v>
      </c>
      <c r="RCF364" s="373">
        <f>'Q100a-geral'!RCF887</f>
        <v>0</v>
      </c>
      <c r="RCG364" s="373">
        <f>'Q100a-geral'!RCG887</f>
        <v>0</v>
      </c>
      <c r="RCH364" s="373">
        <f>'Q100a-geral'!RCH887</f>
        <v>0</v>
      </c>
      <c r="RCI364" s="373">
        <f>'Q100a-geral'!RCI887</f>
        <v>0</v>
      </c>
      <c r="RCJ364" s="373">
        <f>'Q100a-geral'!RCJ887</f>
        <v>0</v>
      </c>
      <c r="RCK364" s="373">
        <f>'Q100a-geral'!RCK887</f>
        <v>0</v>
      </c>
      <c r="RCL364" s="373">
        <f>'Q100a-geral'!RCL887</f>
        <v>0</v>
      </c>
      <c r="RCM364" s="373">
        <f>'Q100a-geral'!RCM887</f>
        <v>0</v>
      </c>
      <c r="RCN364" s="373">
        <f>'Q100a-geral'!RCN887</f>
        <v>0</v>
      </c>
      <c r="RCO364" s="373">
        <f>'Q100a-geral'!RCO887</f>
        <v>0</v>
      </c>
      <c r="RCP364" s="373">
        <f>'Q100a-geral'!RCP887</f>
        <v>0</v>
      </c>
      <c r="RCQ364" s="373">
        <f>'Q100a-geral'!RCQ887</f>
        <v>0</v>
      </c>
      <c r="RCR364" s="373">
        <f>'Q100a-geral'!RCR887</f>
        <v>0</v>
      </c>
      <c r="RCS364" s="373">
        <f>'Q100a-geral'!RCS887</f>
        <v>0</v>
      </c>
      <c r="RCT364" s="373">
        <f>'Q100a-geral'!RCT887</f>
        <v>0</v>
      </c>
      <c r="RCU364" s="373">
        <f>'Q100a-geral'!RCU887</f>
        <v>0</v>
      </c>
      <c r="RCV364" s="373">
        <f>'Q100a-geral'!RCV887</f>
        <v>0</v>
      </c>
      <c r="RCW364" s="373">
        <f>'Q100a-geral'!RCW887</f>
        <v>0</v>
      </c>
      <c r="RCX364" s="373">
        <f>'Q100a-geral'!RCX887</f>
        <v>0</v>
      </c>
      <c r="RCY364" s="373">
        <f>'Q100a-geral'!RCY887</f>
        <v>0</v>
      </c>
      <c r="RCZ364" s="373">
        <f>'Q100a-geral'!RCZ887</f>
        <v>0</v>
      </c>
      <c r="RDA364" s="373">
        <f>'Q100a-geral'!RDA887</f>
        <v>0</v>
      </c>
      <c r="RDB364" s="373">
        <f>'Q100a-geral'!RDB887</f>
        <v>0</v>
      </c>
      <c r="RDC364" s="373">
        <f>'Q100a-geral'!RDC887</f>
        <v>0</v>
      </c>
      <c r="RDD364" s="373">
        <f>'Q100a-geral'!RDD887</f>
        <v>0</v>
      </c>
      <c r="RDE364" s="373">
        <f>'Q100a-geral'!RDE887</f>
        <v>0</v>
      </c>
      <c r="RDF364" s="373">
        <f>'Q100a-geral'!RDF887</f>
        <v>0</v>
      </c>
      <c r="RDG364" s="373">
        <f>'Q100a-geral'!RDG887</f>
        <v>0</v>
      </c>
      <c r="RDH364" s="373">
        <f>'Q100a-geral'!RDH887</f>
        <v>0</v>
      </c>
      <c r="RDI364" s="373">
        <f>'Q100a-geral'!RDI887</f>
        <v>0</v>
      </c>
      <c r="RDJ364" s="373">
        <f>'Q100a-geral'!RDJ887</f>
        <v>0</v>
      </c>
      <c r="RDK364" s="373">
        <f>'Q100a-geral'!RDK887</f>
        <v>0</v>
      </c>
      <c r="RDL364" s="373">
        <f>'Q100a-geral'!RDL887</f>
        <v>0</v>
      </c>
      <c r="RDM364" s="373">
        <f>'Q100a-geral'!RDM887</f>
        <v>0</v>
      </c>
      <c r="RDN364" s="373">
        <f>'Q100a-geral'!RDN887</f>
        <v>0</v>
      </c>
      <c r="RDO364" s="373">
        <f>'Q100a-geral'!RDO887</f>
        <v>0</v>
      </c>
      <c r="RDP364" s="373">
        <f>'Q100a-geral'!RDP887</f>
        <v>0</v>
      </c>
      <c r="RDQ364" s="373">
        <f>'Q100a-geral'!RDQ887</f>
        <v>0</v>
      </c>
      <c r="RDR364" s="373">
        <f>'Q100a-geral'!RDR887</f>
        <v>0</v>
      </c>
      <c r="RDS364" s="373">
        <f>'Q100a-geral'!RDS887</f>
        <v>0</v>
      </c>
      <c r="RDT364" s="373">
        <f>'Q100a-geral'!RDT887</f>
        <v>0</v>
      </c>
      <c r="RDU364" s="373">
        <f>'Q100a-geral'!RDU887</f>
        <v>0</v>
      </c>
      <c r="RDV364" s="373">
        <f>'Q100a-geral'!RDV887</f>
        <v>0</v>
      </c>
      <c r="RDW364" s="373">
        <f>'Q100a-geral'!RDW887</f>
        <v>0</v>
      </c>
      <c r="RDX364" s="373">
        <f>'Q100a-geral'!RDX887</f>
        <v>0</v>
      </c>
      <c r="RDY364" s="373">
        <f>'Q100a-geral'!RDY887</f>
        <v>0</v>
      </c>
      <c r="RDZ364" s="373">
        <f>'Q100a-geral'!RDZ887</f>
        <v>0</v>
      </c>
      <c r="REA364" s="373">
        <f>'Q100a-geral'!REA887</f>
        <v>0</v>
      </c>
      <c r="REB364" s="373">
        <f>'Q100a-geral'!REB887</f>
        <v>0</v>
      </c>
      <c r="REC364" s="373">
        <f>'Q100a-geral'!REC887</f>
        <v>0</v>
      </c>
      <c r="RED364" s="373">
        <f>'Q100a-geral'!RED887</f>
        <v>0</v>
      </c>
      <c r="REE364" s="373">
        <f>'Q100a-geral'!REE887</f>
        <v>0</v>
      </c>
      <c r="REF364" s="373">
        <f>'Q100a-geral'!REF887</f>
        <v>0</v>
      </c>
      <c r="REG364" s="373">
        <f>'Q100a-geral'!REG887</f>
        <v>0</v>
      </c>
      <c r="REH364" s="373">
        <f>'Q100a-geral'!REH887</f>
        <v>0</v>
      </c>
      <c r="REI364" s="373">
        <f>'Q100a-geral'!REI887</f>
        <v>0</v>
      </c>
      <c r="REJ364" s="373">
        <f>'Q100a-geral'!REJ887</f>
        <v>0</v>
      </c>
      <c r="REK364" s="373">
        <f>'Q100a-geral'!REK887</f>
        <v>0</v>
      </c>
      <c r="REL364" s="373">
        <f>'Q100a-geral'!REL887</f>
        <v>0</v>
      </c>
      <c r="REM364" s="373">
        <f>'Q100a-geral'!REM887</f>
        <v>0</v>
      </c>
      <c r="REN364" s="373">
        <f>'Q100a-geral'!REN887</f>
        <v>0</v>
      </c>
      <c r="REO364" s="373">
        <f>'Q100a-geral'!REO887</f>
        <v>0</v>
      </c>
      <c r="REP364" s="373">
        <f>'Q100a-geral'!REP887</f>
        <v>0</v>
      </c>
      <c r="REQ364" s="373">
        <f>'Q100a-geral'!REQ887</f>
        <v>0</v>
      </c>
      <c r="RER364" s="373">
        <f>'Q100a-geral'!RER887</f>
        <v>0</v>
      </c>
      <c r="RES364" s="373">
        <f>'Q100a-geral'!RES887</f>
        <v>0</v>
      </c>
      <c r="RET364" s="373">
        <f>'Q100a-geral'!RET887</f>
        <v>0</v>
      </c>
      <c r="REU364" s="373">
        <f>'Q100a-geral'!REU887</f>
        <v>0</v>
      </c>
      <c r="REV364" s="373">
        <f>'Q100a-geral'!REV887</f>
        <v>0</v>
      </c>
      <c r="REW364" s="373">
        <f>'Q100a-geral'!REW887</f>
        <v>0</v>
      </c>
      <c r="REX364" s="373">
        <f>'Q100a-geral'!REX887</f>
        <v>0</v>
      </c>
      <c r="REY364" s="373">
        <f>'Q100a-geral'!REY887</f>
        <v>0</v>
      </c>
      <c r="REZ364" s="373">
        <f>'Q100a-geral'!REZ887</f>
        <v>0</v>
      </c>
      <c r="RFA364" s="373">
        <f>'Q100a-geral'!RFA887</f>
        <v>0</v>
      </c>
      <c r="RFB364" s="373">
        <f>'Q100a-geral'!RFB887</f>
        <v>0</v>
      </c>
      <c r="RFC364" s="373">
        <f>'Q100a-geral'!RFC887</f>
        <v>0</v>
      </c>
      <c r="RFD364" s="373">
        <f>'Q100a-geral'!RFD887</f>
        <v>0</v>
      </c>
      <c r="RFE364" s="373">
        <f>'Q100a-geral'!RFE887</f>
        <v>0</v>
      </c>
      <c r="RFF364" s="373">
        <f>'Q100a-geral'!RFF887</f>
        <v>0</v>
      </c>
      <c r="RFG364" s="373">
        <f>'Q100a-geral'!RFG887</f>
        <v>0</v>
      </c>
      <c r="RFH364" s="373">
        <f>'Q100a-geral'!RFH887</f>
        <v>0</v>
      </c>
      <c r="RFI364" s="373">
        <f>'Q100a-geral'!RFI887</f>
        <v>0</v>
      </c>
      <c r="RFJ364" s="373">
        <f>'Q100a-geral'!RFJ887</f>
        <v>0</v>
      </c>
      <c r="RFK364" s="373">
        <f>'Q100a-geral'!RFK887</f>
        <v>0</v>
      </c>
      <c r="RFL364" s="373">
        <f>'Q100a-geral'!RFL887</f>
        <v>0</v>
      </c>
      <c r="RFM364" s="373">
        <f>'Q100a-geral'!RFM887</f>
        <v>0</v>
      </c>
      <c r="RFN364" s="373">
        <f>'Q100a-geral'!RFN887</f>
        <v>0</v>
      </c>
      <c r="RFO364" s="373">
        <f>'Q100a-geral'!RFO887</f>
        <v>0</v>
      </c>
      <c r="RFP364" s="373">
        <f>'Q100a-geral'!RFP887</f>
        <v>0</v>
      </c>
      <c r="RFQ364" s="373">
        <f>'Q100a-geral'!RFQ887</f>
        <v>0</v>
      </c>
      <c r="RFR364" s="373">
        <f>'Q100a-geral'!RFR887</f>
        <v>0</v>
      </c>
      <c r="RFS364" s="373">
        <f>'Q100a-geral'!RFS887</f>
        <v>0</v>
      </c>
      <c r="RFT364" s="373">
        <f>'Q100a-geral'!RFT887</f>
        <v>0</v>
      </c>
      <c r="RFU364" s="373">
        <f>'Q100a-geral'!RFU887</f>
        <v>0</v>
      </c>
      <c r="RFV364" s="373">
        <f>'Q100a-geral'!RFV887</f>
        <v>0</v>
      </c>
      <c r="RFW364" s="373">
        <f>'Q100a-geral'!RFW887</f>
        <v>0</v>
      </c>
      <c r="RFX364" s="373">
        <f>'Q100a-geral'!RFX887</f>
        <v>0</v>
      </c>
      <c r="RFY364" s="373">
        <f>'Q100a-geral'!RFY887</f>
        <v>0</v>
      </c>
      <c r="RFZ364" s="373">
        <f>'Q100a-geral'!RFZ887</f>
        <v>0</v>
      </c>
      <c r="RGA364" s="373">
        <f>'Q100a-geral'!RGA887</f>
        <v>0</v>
      </c>
      <c r="RGB364" s="373">
        <f>'Q100a-geral'!RGB887</f>
        <v>0</v>
      </c>
      <c r="RGC364" s="373">
        <f>'Q100a-geral'!RGC887</f>
        <v>0</v>
      </c>
      <c r="RGD364" s="373">
        <f>'Q100a-geral'!RGD887</f>
        <v>0</v>
      </c>
      <c r="RGE364" s="373">
        <f>'Q100a-geral'!RGE887</f>
        <v>0</v>
      </c>
      <c r="RGF364" s="373">
        <f>'Q100a-geral'!RGF887</f>
        <v>0</v>
      </c>
      <c r="RGG364" s="373">
        <f>'Q100a-geral'!RGG887</f>
        <v>0</v>
      </c>
      <c r="RGH364" s="373">
        <f>'Q100a-geral'!RGH887</f>
        <v>0</v>
      </c>
      <c r="RGI364" s="373">
        <f>'Q100a-geral'!RGI887</f>
        <v>0</v>
      </c>
      <c r="RGJ364" s="373">
        <f>'Q100a-geral'!RGJ887</f>
        <v>0</v>
      </c>
      <c r="RGK364" s="373">
        <f>'Q100a-geral'!RGK887</f>
        <v>0</v>
      </c>
      <c r="RGL364" s="373">
        <f>'Q100a-geral'!RGL887</f>
        <v>0</v>
      </c>
      <c r="RGM364" s="373">
        <f>'Q100a-geral'!RGM887</f>
        <v>0</v>
      </c>
      <c r="RGN364" s="373">
        <f>'Q100a-geral'!RGN887</f>
        <v>0</v>
      </c>
      <c r="RGO364" s="373">
        <f>'Q100a-geral'!RGO887</f>
        <v>0</v>
      </c>
      <c r="RGP364" s="373">
        <f>'Q100a-geral'!RGP887</f>
        <v>0</v>
      </c>
      <c r="RGQ364" s="373">
        <f>'Q100a-geral'!RGQ887</f>
        <v>0</v>
      </c>
      <c r="RGR364" s="373">
        <f>'Q100a-geral'!RGR887</f>
        <v>0</v>
      </c>
      <c r="RGS364" s="373">
        <f>'Q100a-geral'!RGS887</f>
        <v>0</v>
      </c>
      <c r="RGT364" s="373">
        <f>'Q100a-geral'!RGT887</f>
        <v>0</v>
      </c>
      <c r="RGU364" s="373">
        <f>'Q100a-geral'!RGU887</f>
        <v>0</v>
      </c>
      <c r="RGV364" s="373">
        <f>'Q100a-geral'!RGV887</f>
        <v>0</v>
      </c>
      <c r="RGW364" s="373">
        <f>'Q100a-geral'!RGW887</f>
        <v>0</v>
      </c>
      <c r="RGX364" s="373">
        <f>'Q100a-geral'!RGX887</f>
        <v>0</v>
      </c>
      <c r="RGY364" s="373">
        <f>'Q100a-geral'!RGY887</f>
        <v>0</v>
      </c>
      <c r="RGZ364" s="373">
        <f>'Q100a-geral'!RGZ887</f>
        <v>0</v>
      </c>
      <c r="RHA364" s="373">
        <f>'Q100a-geral'!RHA887</f>
        <v>0</v>
      </c>
      <c r="RHB364" s="373">
        <f>'Q100a-geral'!RHB887</f>
        <v>0</v>
      </c>
      <c r="RHC364" s="373">
        <f>'Q100a-geral'!RHC887</f>
        <v>0</v>
      </c>
      <c r="RHD364" s="373">
        <f>'Q100a-geral'!RHD887</f>
        <v>0</v>
      </c>
      <c r="RHE364" s="373">
        <f>'Q100a-geral'!RHE887</f>
        <v>0</v>
      </c>
      <c r="RHF364" s="373">
        <f>'Q100a-geral'!RHF887</f>
        <v>0</v>
      </c>
      <c r="RHG364" s="373">
        <f>'Q100a-geral'!RHG887</f>
        <v>0</v>
      </c>
      <c r="RHH364" s="373">
        <f>'Q100a-geral'!RHH887</f>
        <v>0</v>
      </c>
      <c r="RHI364" s="373">
        <f>'Q100a-geral'!RHI887</f>
        <v>0</v>
      </c>
      <c r="RHJ364" s="373">
        <f>'Q100a-geral'!RHJ887</f>
        <v>0</v>
      </c>
      <c r="RHK364" s="373">
        <f>'Q100a-geral'!RHK887</f>
        <v>0</v>
      </c>
      <c r="RHL364" s="373">
        <f>'Q100a-geral'!RHL887</f>
        <v>0</v>
      </c>
      <c r="RHM364" s="373">
        <f>'Q100a-geral'!RHM887</f>
        <v>0</v>
      </c>
      <c r="RHN364" s="373">
        <f>'Q100a-geral'!RHN887</f>
        <v>0</v>
      </c>
      <c r="RHO364" s="373">
        <f>'Q100a-geral'!RHO887</f>
        <v>0</v>
      </c>
      <c r="RHP364" s="373">
        <f>'Q100a-geral'!RHP887</f>
        <v>0</v>
      </c>
      <c r="RHQ364" s="373">
        <f>'Q100a-geral'!RHQ887</f>
        <v>0</v>
      </c>
      <c r="RHR364" s="373">
        <f>'Q100a-geral'!RHR887</f>
        <v>0</v>
      </c>
      <c r="RHS364" s="373">
        <f>'Q100a-geral'!RHS887</f>
        <v>0</v>
      </c>
      <c r="RHT364" s="373">
        <f>'Q100a-geral'!RHT887</f>
        <v>0</v>
      </c>
      <c r="RHU364" s="373">
        <f>'Q100a-geral'!RHU887</f>
        <v>0</v>
      </c>
      <c r="RHV364" s="373">
        <f>'Q100a-geral'!RHV887</f>
        <v>0</v>
      </c>
      <c r="RHW364" s="373">
        <f>'Q100a-geral'!RHW887</f>
        <v>0</v>
      </c>
      <c r="RHX364" s="373">
        <f>'Q100a-geral'!RHX887</f>
        <v>0</v>
      </c>
      <c r="RHY364" s="373">
        <f>'Q100a-geral'!RHY887</f>
        <v>0</v>
      </c>
      <c r="RHZ364" s="373">
        <f>'Q100a-geral'!RHZ887</f>
        <v>0</v>
      </c>
      <c r="RIA364" s="373">
        <f>'Q100a-geral'!RIA887</f>
        <v>0</v>
      </c>
      <c r="RIB364" s="373">
        <f>'Q100a-geral'!RIB887</f>
        <v>0</v>
      </c>
      <c r="RIC364" s="373">
        <f>'Q100a-geral'!RIC887</f>
        <v>0</v>
      </c>
      <c r="RID364" s="373">
        <f>'Q100a-geral'!RID887</f>
        <v>0</v>
      </c>
      <c r="RIE364" s="373">
        <f>'Q100a-geral'!RIE887</f>
        <v>0</v>
      </c>
      <c r="RIF364" s="373">
        <f>'Q100a-geral'!RIF887</f>
        <v>0</v>
      </c>
      <c r="RIG364" s="373">
        <f>'Q100a-geral'!RIG887</f>
        <v>0</v>
      </c>
      <c r="RIH364" s="373">
        <f>'Q100a-geral'!RIH887</f>
        <v>0</v>
      </c>
      <c r="RII364" s="373">
        <f>'Q100a-geral'!RII887</f>
        <v>0</v>
      </c>
      <c r="RIJ364" s="373">
        <f>'Q100a-geral'!RIJ887</f>
        <v>0</v>
      </c>
      <c r="RIK364" s="373">
        <f>'Q100a-geral'!RIK887</f>
        <v>0</v>
      </c>
      <c r="RIL364" s="373">
        <f>'Q100a-geral'!RIL887</f>
        <v>0</v>
      </c>
      <c r="RIM364" s="373">
        <f>'Q100a-geral'!RIM887</f>
        <v>0</v>
      </c>
      <c r="RIN364" s="373">
        <f>'Q100a-geral'!RIN887</f>
        <v>0</v>
      </c>
      <c r="RIO364" s="373">
        <f>'Q100a-geral'!RIO887</f>
        <v>0</v>
      </c>
      <c r="RIP364" s="373">
        <f>'Q100a-geral'!RIP887</f>
        <v>0</v>
      </c>
      <c r="RIQ364" s="373">
        <f>'Q100a-geral'!RIQ887</f>
        <v>0</v>
      </c>
      <c r="RIR364" s="373">
        <f>'Q100a-geral'!RIR887</f>
        <v>0</v>
      </c>
      <c r="RIS364" s="373">
        <f>'Q100a-geral'!RIS887</f>
        <v>0</v>
      </c>
      <c r="RIT364" s="373">
        <f>'Q100a-geral'!RIT887</f>
        <v>0</v>
      </c>
      <c r="RIU364" s="373">
        <f>'Q100a-geral'!RIU887</f>
        <v>0</v>
      </c>
      <c r="RIV364" s="373">
        <f>'Q100a-geral'!RIV887</f>
        <v>0</v>
      </c>
      <c r="RIW364" s="373">
        <f>'Q100a-geral'!RIW887</f>
        <v>0</v>
      </c>
      <c r="RIX364" s="373">
        <f>'Q100a-geral'!RIX887</f>
        <v>0</v>
      </c>
      <c r="RIY364" s="373">
        <f>'Q100a-geral'!RIY887</f>
        <v>0</v>
      </c>
      <c r="RIZ364" s="373">
        <f>'Q100a-geral'!RIZ887</f>
        <v>0</v>
      </c>
      <c r="RJA364" s="373">
        <f>'Q100a-geral'!RJA887</f>
        <v>0</v>
      </c>
      <c r="RJB364" s="373">
        <f>'Q100a-geral'!RJB887</f>
        <v>0</v>
      </c>
      <c r="RJC364" s="373">
        <f>'Q100a-geral'!RJC887</f>
        <v>0</v>
      </c>
      <c r="RJD364" s="373">
        <f>'Q100a-geral'!RJD887</f>
        <v>0</v>
      </c>
      <c r="RJE364" s="373">
        <f>'Q100a-geral'!RJE887</f>
        <v>0</v>
      </c>
      <c r="RJF364" s="373">
        <f>'Q100a-geral'!RJF887</f>
        <v>0</v>
      </c>
      <c r="RJG364" s="373">
        <f>'Q100a-geral'!RJG887</f>
        <v>0</v>
      </c>
      <c r="RJH364" s="373">
        <f>'Q100a-geral'!RJH887</f>
        <v>0</v>
      </c>
      <c r="RJI364" s="373">
        <f>'Q100a-geral'!RJI887</f>
        <v>0</v>
      </c>
      <c r="RJJ364" s="373">
        <f>'Q100a-geral'!RJJ887</f>
        <v>0</v>
      </c>
      <c r="RJK364" s="373">
        <f>'Q100a-geral'!RJK887</f>
        <v>0</v>
      </c>
      <c r="RJL364" s="373">
        <f>'Q100a-geral'!RJL887</f>
        <v>0</v>
      </c>
      <c r="RJM364" s="373">
        <f>'Q100a-geral'!RJM887</f>
        <v>0</v>
      </c>
      <c r="RJN364" s="373">
        <f>'Q100a-geral'!RJN887</f>
        <v>0</v>
      </c>
      <c r="RJO364" s="373">
        <f>'Q100a-geral'!RJO887</f>
        <v>0</v>
      </c>
      <c r="RJP364" s="373">
        <f>'Q100a-geral'!RJP887</f>
        <v>0</v>
      </c>
      <c r="RJQ364" s="373">
        <f>'Q100a-geral'!RJQ887</f>
        <v>0</v>
      </c>
      <c r="RJR364" s="373">
        <f>'Q100a-geral'!RJR887</f>
        <v>0</v>
      </c>
      <c r="RJS364" s="373">
        <f>'Q100a-geral'!RJS887</f>
        <v>0</v>
      </c>
      <c r="RJT364" s="373">
        <f>'Q100a-geral'!RJT887</f>
        <v>0</v>
      </c>
      <c r="RJU364" s="373">
        <f>'Q100a-geral'!RJU887</f>
        <v>0</v>
      </c>
      <c r="RJV364" s="373">
        <f>'Q100a-geral'!RJV887</f>
        <v>0</v>
      </c>
      <c r="RJW364" s="373">
        <f>'Q100a-geral'!RJW887</f>
        <v>0</v>
      </c>
      <c r="RJX364" s="373">
        <f>'Q100a-geral'!RJX887</f>
        <v>0</v>
      </c>
      <c r="RJY364" s="373">
        <f>'Q100a-geral'!RJY887</f>
        <v>0</v>
      </c>
      <c r="RJZ364" s="373">
        <f>'Q100a-geral'!RJZ887</f>
        <v>0</v>
      </c>
      <c r="RKA364" s="373">
        <f>'Q100a-geral'!RKA887</f>
        <v>0</v>
      </c>
      <c r="RKB364" s="373">
        <f>'Q100a-geral'!RKB887</f>
        <v>0</v>
      </c>
      <c r="RKC364" s="373">
        <f>'Q100a-geral'!RKC887</f>
        <v>0</v>
      </c>
      <c r="RKD364" s="373">
        <f>'Q100a-geral'!RKD887</f>
        <v>0</v>
      </c>
      <c r="RKE364" s="373">
        <f>'Q100a-geral'!RKE887</f>
        <v>0</v>
      </c>
      <c r="RKF364" s="373">
        <f>'Q100a-geral'!RKF887</f>
        <v>0</v>
      </c>
      <c r="RKG364" s="373">
        <f>'Q100a-geral'!RKG887</f>
        <v>0</v>
      </c>
      <c r="RKH364" s="373">
        <f>'Q100a-geral'!RKH887</f>
        <v>0</v>
      </c>
      <c r="RKI364" s="373">
        <f>'Q100a-geral'!RKI887</f>
        <v>0</v>
      </c>
      <c r="RKJ364" s="373">
        <f>'Q100a-geral'!RKJ887</f>
        <v>0</v>
      </c>
      <c r="RKK364" s="373">
        <f>'Q100a-geral'!RKK887</f>
        <v>0</v>
      </c>
      <c r="RKL364" s="373">
        <f>'Q100a-geral'!RKL887</f>
        <v>0</v>
      </c>
      <c r="RKM364" s="373">
        <f>'Q100a-geral'!RKM887</f>
        <v>0</v>
      </c>
      <c r="RKN364" s="373">
        <f>'Q100a-geral'!RKN887</f>
        <v>0</v>
      </c>
      <c r="RKO364" s="373">
        <f>'Q100a-geral'!RKO887</f>
        <v>0</v>
      </c>
      <c r="RKP364" s="373">
        <f>'Q100a-geral'!RKP887</f>
        <v>0</v>
      </c>
      <c r="RKQ364" s="373">
        <f>'Q100a-geral'!RKQ887</f>
        <v>0</v>
      </c>
      <c r="RKR364" s="373">
        <f>'Q100a-geral'!RKR887</f>
        <v>0</v>
      </c>
      <c r="RKS364" s="373">
        <f>'Q100a-geral'!RKS887</f>
        <v>0</v>
      </c>
      <c r="RKT364" s="373">
        <f>'Q100a-geral'!RKT887</f>
        <v>0</v>
      </c>
      <c r="RKU364" s="373">
        <f>'Q100a-geral'!RKU887</f>
        <v>0</v>
      </c>
      <c r="RKV364" s="373">
        <f>'Q100a-geral'!RKV887</f>
        <v>0</v>
      </c>
      <c r="RKW364" s="373">
        <f>'Q100a-geral'!RKW887</f>
        <v>0</v>
      </c>
      <c r="RKX364" s="373">
        <f>'Q100a-geral'!RKX887</f>
        <v>0</v>
      </c>
      <c r="RKY364" s="373">
        <f>'Q100a-geral'!RKY887</f>
        <v>0</v>
      </c>
      <c r="RKZ364" s="373">
        <f>'Q100a-geral'!RKZ887</f>
        <v>0</v>
      </c>
      <c r="RLA364" s="373">
        <f>'Q100a-geral'!RLA887</f>
        <v>0</v>
      </c>
      <c r="RLB364" s="373">
        <f>'Q100a-geral'!RLB887</f>
        <v>0</v>
      </c>
      <c r="RLC364" s="373">
        <f>'Q100a-geral'!RLC887</f>
        <v>0</v>
      </c>
      <c r="RLD364" s="373">
        <f>'Q100a-geral'!RLD887</f>
        <v>0</v>
      </c>
      <c r="RLE364" s="373">
        <f>'Q100a-geral'!RLE887</f>
        <v>0</v>
      </c>
      <c r="RLF364" s="373">
        <f>'Q100a-geral'!RLF887</f>
        <v>0</v>
      </c>
      <c r="RLG364" s="373">
        <f>'Q100a-geral'!RLG887</f>
        <v>0</v>
      </c>
      <c r="RLH364" s="373">
        <f>'Q100a-geral'!RLH887</f>
        <v>0</v>
      </c>
      <c r="RLI364" s="373">
        <f>'Q100a-geral'!RLI887</f>
        <v>0</v>
      </c>
      <c r="RLJ364" s="373">
        <f>'Q100a-geral'!RLJ887</f>
        <v>0</v>
      </c>
      <c r="RLK364" s="373">
        <f>'Q100a-geral'!RLK887</f>
        <v>0</v>
      </c>
      <c r="RLL364" s="373">
        <f>'Q100a-geral'!RLL887</f>
        <v>0</v>
      </c>
      <c r="RLM364" s="373">
        <f>'Q100a-geral'!RLM887</f>
        <v>0</v>
      </c>
      <c r="RLN364" s="373">
        <f>'Q100a-geral'!RLN887</f>
        <v>0</v>
      </c>
      <c r="RLO364" s="373">
        <f>'Q100a-geral'!RLO887</f>
        <v>0</v>
      </c>
      <c r="RLP364" s="373">
        <f>'Q100a-geral'!RLP887</f>
        <v>0</v>
      </c>
      <c r="RLQ364" s="373">
        <f>'Q100a-geral'!RLQ887</f>
        <v>0</v>
      </c>
      <c r="RLR364" s="373">
        <f>'Q100a-geral'!RLR887</f>
        <v>0</v>
      </c>
      <c r="RLS364" s="373">
        <f>'Q100a-geral'!RLS887</f>
        <v>0</v>
      </c>
      <c r="RLT364" s="373">
        <f>'Q100a-geral'!RLT887</f>
        <v>0</v>
      </c>
      <c r="RLU364" s="373">
        <f>'Q100a-geral'!RLU887</f>
        <v>0</v>
      </c>
      <c r="RLV364" s="373">
        <f>'Q100a-geral'!RLV887</f>
        <v>0</v>
      </c>
      <c r="RLW364" s="373">
        <f>'Q100a-geral'!RLW887</f>
        <v>0</v>
      </c>
      <c r="RLX364" s="373">
        <f>'Q100a-geral'!RLX887</f>
        <v>0</v>
      </c>
      <c r="RLY364" s="373">
        <f>'Q100a-geral'!RLY887</f>
        <v>0</v>
      </c>
      <c r="RLZ364" s="373">
        <f>'Q100a-geral'!RLZ887</f>
        <v>0</v>
      </c>
      <c r="RMA364" s="373">
        <f>'Q100a-geral'!RMA887</f>
        <v>0</v>
      </c>
      <c r="RMB364" s="373">
        <f>'Q100a-geral'!RMB887</f>
        <v>0</v>
      </c>
      <c r="RMC364" s="373">
        <f>'Q100a-geral'!RMC887</f>
        <v>0</v>
      </c>
      <c r="RMD364" s="373">
        <f>'Q100a-geral'!RMD887</f>
        <v>0</v>
      </c>
      <c r="RME364" s="373">
        <f>'Q100a-geral'!RME887</f>
        <v>0</v>
      </c>
      <c r="RMF364" s="373">
        <f>'Q100a-geral'!RMF887</f>
        <v>0</v>
      </c>
      <c r="RMG364" s="373">
        <f>'Q100a-geral'!RMG887</f>
        <v>0</v>
      </c>
      <c r="RMH364" s="373">
        <f>'Q100a-geral'!RMH887</f>
        <v>0</v>
      </c>
      <c r="RMI364" s="373">
        <f>'Q100a-geral'!RMI887</f>
        <v>0</v>
      </c>
      <c r="RMJ364" s="373">
        <f>'Q100a-geral'!RMJ887</f>
        <v>0</v>
      </c>
      <c r="RMK364" s="373">
        <f>'Q100a-geral'!RMK887</f>
        <v>0</v>
      </c>
      <c r="RML364" s="373">
        <f>'Q100a-geral'!RML887</f>
        <v>0</v>
      </c>
      <c r="RMM364" s="373">
        <f>'Q100a-geral'!RMM887</f>
        <v>0</v>
      </c>
      <c r="RMN364" s="373">
        <f>'Q100a-geral'!RMN887</f>
        <v>0</v>
      </c>
      <c r="RMO364" s="373">
        <f>'Q100a-geral'!RMO887</f>
        <v>0</v>
      </c>
      <c r="RMP364" s="373">
        <f>'Q100a-geral'!RMP887</f>
        <v>0</v>
      </c>
      <c r="RMQ364" s="373">
        <f>'Q100a-geral'!RMQ887</f>
        <v>0</v>
      </c>
      <c r="RMR364" s="373">
        <f>'Q100a-geral'!RMR887</f>
        <v>0</v>
      </c>
      <c r="RMS364" s="373">
        <f>'Q100a-geral'!RMS887</f>
        <v>0</v>
      </c>
      <c r="RMT364" s="373">
        <f>'Q100a-geral'!RMT887</f>
        <v>0</v>
      </c>
      <c r="RMU364" s="373">
        <f>'Q100a-geral'!RMU887</f>
        <v>0</v>
      </c>
      <c r="RMV364" s="373">
        <f>'Q100a-geral'!RMV887</f>
        <v>0</v>
      </c>
      <c r="RMW364" s="373">
        <f>'Q100a-geral'!RMW887</f>
        <v>0</v>
      </c>
      <c r="RMX364" s="373">
        <f>'Q100a-geral'!RMX887</f>
        <v>0</v>
      </c>
      <c r="RMY364" s="373">
        <f>'Q100a-geral'!RMY887</f>
        <v>0</v>
      </c>
      <c r="RMZ364" s="373">
        <f>'Q100a-geral'!RMZ887</f>
        <v>0</v>
      </c>
      <c r="RNA364" s="373">
        <f>'Q100a-geral'!RNA887</f>
        <v>0</v>
      </c>
      <c r="RNB364" s="373">
        <f>'Q100a-geral'!RNB887</f>
        <v>0</v>
      </c>
      <c r="RNC364" s="373">
        <f>'Q100a-geral'!RNC887</f>
        <v>0</v>
      </c>
      <c r="RND364" s="373">
        <f>'Q100a-geral'!RND887</f>
        <v>0</v>
      </c>
      <c r="RNE364" s="373">
        <f>'Q100a-geral'!RNE887</f>
        <v>0</v>
      </c>
      <c r="RNF364" s="373">
        <f>'Q100a-geral'!RNF887</f>
        <v>0</v>
      </c>
      <c r="RNG364" s="373">
        <f>'Q100a-geral'!RNG887</f>
        <v>0</v>
      </c>
      <c r="RNH364" s="373">
        <f>'Q100a-geral'!RNH887</f>
        <v>0</v>
      </c>
      <c r="RNI364" s="373">
        <f>'Q100a-geral'!RNI887</f>
        <v>0</v>
      </c>
      <c r="RNJ364" s="373">
        <f>'Q100a-geral'!RNJ887</f>
        <v>0</v>
      </c>
      <c r="RNK364" s="373">
        <f>'Q100a-geral'!RNK887</f>
        <v>0</v>
      </c>
      <c r="RNL364" s="373">
        <f>'Q100a-geral'!RNL887</f>
        <v>0</v>
      </c>
      <c r="RNM364" s="373">
        <f>'Q100a-geral'!RNM887</f>
        <v>0</v>
      </c>
      <c r="RNN364" s="373">
        <f>'Q100a-geral'!RNN887</f>
        <v>0</v>
      </c>
      <c r="RNO364" s="373">
        <f>'Q100a-geral'!RNO887</f>
        <v>0</v>
      </c>
      <c r="RNP364" s="373">
        <f>'Q100a-geral'!RNP887</f>
        <v>0</v>
      </c>
      <c r="RNQ364" s="373">
        <f>'Q100a-geral'!RNQ887</f>
        <v>0</v>
      </c>
      <c r="RNR364" s="373">
        <f>'Q100a-geral'!RNR887</f>
        <v>0</v>
      </c>
      <c r="RNS364" s="373">
        <f>'Q100a-geral'!RNS887</f>
        <v>0</v>
      </c>
      <c r="RNT364" s="373">
        <f>'Q100a-geral'!RNT887</f>
        <v>0</v>
      </c>
      <c r="RNU364" s="373">
        <f>'Q100a-geral'!RNU887</f>
        <v>0</v>
      </c>
      <c r="RNV364" s="373">
        <f>'Q100a-geral'!RNV887</f>
        <v>0</v>
      </c>
      <c r="RNW364" s="373">
        <f>'Q100a-geral'!RNW887</f>
        <v>0</v>
      </c>
      <c r="RNX364" s="373">
        <f>'Q100a-geral'!RNX887</f>
        <v>0</v>
      </c>
      <c r="RNY364" s="373">
        <f>'Q100a-geral'!RNY887</f>
        <v>0</v>
      </c>
      <c r="RNZ364" s="373">
        <f>'Q100a-geral'!RNZ887</f>
        <v>0</v>
      </c>
      <c r="ROA364" s="373">
        <f>'Q100a-geral'!ROA887</f>
        <v>0</v>
      </c>
      <c r="ROB364" s="373">
        <f>'Q100a-geral'!ROB887</f>
        <v>0</v>
      </c>
      <c r="ROC364" s="373">
        <f>'Q100a-geral'!ROC887</f>
        <v>0</v>
      </c>
      <c r="ROD364" s="373">
        <f>'Q100a-geral'!ROD887</f>
        <v>0</v>
      </c>
      <c r="ROE364" s="373">
        <f>'Q100a-geral'!ROE887</f>
        <v>0</v>
      </c>
      <c r="ROF364" s="373">
        <f>'Q100a-geral'!ROF887</f>
        <v>0</v>
      </c>
      <c r="ROG364" s="373">
        <f>'Q100a-geral'!ROG887</f>
        <v>0</v>
      </c>
      <c r="ROH364" s="373">
        <f>'Q100a-geral'!ROH887</f>
        <v>0</v>
      </c>
      <c r="ROI364" s="373">
        <f>'Q100a-geral'!ROI887</f>
        <v>0</v>
      </c>
      <c r="ROJ364" s="373">
        <f>'Q100a-geral'!ROJ887</f>
        <v>0</v>
      </c>
      <c r="ROK364" s="373">
        <f>'Q100a-geral'!ROK887</f>
        <v>0</v>
      </c>
      <c r="ROL364" s="373">
        <f>'Q100a-geral'!ROL887</f>
        <v>0</v>
      </c>
      <c r="ROM364" s="373">
        <f>'Q100a-geral'!ROM887</f>
        <v>0</v>
      </c>
      <c r="RON364" s="373">
        <f>'Q100a-geral'!RON887</f>
        <v>0</v>
      </c>
      <c r="ROO364" s="373">
        <f>'Q100a-geral'!ROO887</f>
        <v>0</v>
      </c>
      <c r="ROP364" s="373">
        <f>'Q100a-geral'!ROP887</f>
        <v>0</v>
      </c>
      <c r="ROQ364" s="373">
        <f>'Q100a-geral'!ROQ887</f>
        <v>0</v>
      </c>
      <c r="ROR364" s="373">
        <f>'Q100a-geral'!ROR887</f>
        <v>0</v>
      </c>
      <c r="ROS364" s="373">
        <f>'Q100a-geral'!ROS887</f>
        <v>0</v>
      </c>
      <c r="ROT364" s="373">
        <f>'Q100a-geral'!ROT887</f>
        <v>0</v>
      </c>
      <c r="ROU364" s="373">
        <f>'Q100a-geral'!ROU887</f>
        <v>0</v>
      </c>
      <c r="ROV364" s="373">
        <f>'Q100a-geral'!ROV887</f>
        <v>0</v>
      </c>
      <c r="ROW364" s="373">
        <f>'Q100a-geral'!ROW887</f>
        <v>0</v>
      </c>
      <c r="ROX364" s="373">
        <f>'Q100a-geral'!ROX887</f>
        <v>0</v>
      </c>
      <c r="ROY364" s="373">
        <f>'Q100a-geral'!ROY887</f>
        <v>0</v>
      </c>
      <c r="ROZ364" s="373">
        <f>'Q100a-geral'!ROZ887</f>
        <v>0</v>
      </c>
      <c r="RPA364" s="373">
        <f>'Q100a-geral'!RPA887</f>
        <v>0</v>
      </c>
      <c r="RPB364" s="373">
        <f>'Q100a-geral'!RPB887</f>
        <v>0</v>
      </c>
      <c r="RPC364" s="373">
        <f>'Q100a-geral'!RPC887</f>
        <v>0</v>
      </c>
      <c r="RPD364" s="373">
        <f>'Q100a-geral'!RPD887</f>
        <v>0</v>
      </c>
      <c r="RPE364" s="373">
        <f>'Q100a-geral'!RPE887</f>
        <v>0</v>
      </c>
      <c r="RPF364" s="373">
        <f>'Q100a-geral'!RPF887</f>
        <v>0</v>
      </c>
      <c r="RPG364" s="373">
        <f>'Q100a-geral'!RPG887</f>
        <v>0</v>
      </c>
      <c r="RPH364" s="373">
        <f>'Q100a-geral'!RPH887</f>
        <v>0</v>
      </c>
      <c r="RPI364" s="373">
        <f>'Q100a-geral'!RPI887</f>
        <v>0</v>
      </c>
      <c r="RPJ364" s="373">
        <f>'Q100a-geral'!RPJ887</f>
        <v>0</v>
      </c>
      <c r="RPK364" s="373">
        <f>'Q100a-geral'!RPK887</f>
        <v>0</v>
      </c>
      <c r="RPL364" s="373">
        <f>'Q100a-geral'!RPL887</f>
        <v>0</v>
      </c>
      <c r="RPM364" s="373">
        <f>'Q100a-geral'!RPM887</f>
        <v>0</v>
      </c>
      <c r="RPN364" s="373">
        <f>'Q100a-geral'!RPN887</f>
        <v>0</v>
      </c>
      <c r="RPO364" s="373">
        <f>'Q100a-geral'!RPO887</f>
        <v>0</v>
      </c>
      <c r="RPP364" s="373">
        <f>'Q100a-geral'!RPP887</f>
        <v>0</v>
      </c>
      <c r="RPQ364" s="373">
        <f>'Q100a-geral'!RPQ887</f>
        <v>0</v>
      </c>
      <c r="RPR364" s="373">
        <f>'Q100a-geral'!RPR887</f>
        <v>0</v>
      </c>
      <c r="RPS364" s="373">
        <f>'Q100a-geral'!RPS887</f>
        <v>0</v>
      </c>
      <c r="RPT364" s="373">
        <f>'Q100a-geral'!RPT887</f>
        <v>0</v>
      </c>
      <c r="RPU364" s="373">
        <f>'Q100a-geral'!RPU887</f>
        <v>0</v>
      </c>
      <c r="RPV364" s="373">
        <f>'Q100a-geral'!RPV887</f>
        <v>0</v>
      </c>
      <c r="RPW364" s="373">
        <f>'Q100a-geral'!RPW887</f>
        <v>0</v>
      </c>
      <c r="RPX364" s="373">
        <f>'Q100a-geral'!RPX887</f>
        <v>0</v>
      </c>
      <c r="RPY364" s="373">
        <f>'Q100a-geral'!RPY887</f>
        <v>0</v>
      </c>
      <c r="RPZ364" s="373">
        <f>'Q100a-geral'!RPZ887</f>
        <v>0</v>
      </c>
      <c r="RQA364" s="373">
        <f>'Q100a-geral'!RQA887</f>
        <v>0</v>
      </c>
      <c r="RQB364" s="373">
        <f>'Q100a-geral'!RQB887</f>
        <v>0</v>
      </c>
      <c r="RQC364" s="373">
        <f>'Q100a-geral'!RQC887</f>
        <v>0</v>
      </c>
      <c r="RQD364" s="373">
        <f>'Q100a-geral'!RQD887</f>
        <v>0</v>
      </c>
      <c r="RQE364" s="373">
        <f>'Q100a-geral'!RQE887</f>
        <v>0</v>
      </c>
      <c r="RQF364" s="373">
        <f>'Q100a-geral'!RQF887</f>
        <v>0</v>
      </c>
      <c r="RQG364" s="373">
        <f>'Q100a-geral'!RQG887</f>
        <v>0</v>
      </c>
      <c r="RQH364" s="373">
        <f>'Q100a-geral'!RQH887</f>
        <v>0</v>
      </c>
      <c r="RQI364" s="373">
        <f>'Q100a-geral'!RQI887</f>
        <v>0</v>
      </c>
      <c r="RQJ364" s="373">
        <f>'Q100a-geral'!RQJ887</f>
        <v>0</v>
      </c>
      <c r="RQK364" s="373">
        <f>'Q100a-geral'!RQK887</f>
        <v>0</v>
      </c>
      <c r="RQL364" s="373">
        <f>'Q100a-geral'!RQL887</f>
        <v>0</v>
      </c>
      <c r="RQM364" s="373">
        <f>'Q100a-geral'!RQM887</f>
        <v>0</v>
      </c>
      <c r="RQN364" s="373">
        <f>'Q100a-geral'!RQN887</f>
        <v>0</v>
      </c>
      <c r="RQO364" s="373">
        <f>'Q100a-geral'!RQO887</f>
        <v>0</v>
      </c>
      <c r="RQP364" s="373">
        <f>'Q100a-geral'!RQP887</f>
        <v>0</v>
      </c>
      <c r="RQQ364" s="373">
        <f>'Q100a-geral'!RQQ887</f>
        <v>0</v>
      </c>
      <c r="RQR364" s="373">
        <f>'Q100a-geral'!RQR887</f>
        <v>0</v>
      </c>
      <c r="RQS364" s="373">
        <f>'Q100a-geral'!RQS887</f>
        <v>0</v>
      </c>
      <c r="RQT364" s="373">
        <f>'Q100a-geral'!RQT887</f>
        <v>0</v>
      </c>
      <c r="RQU364" s="373">
        <f>'Q100a-geral'!RQU887</f>
        <v>0</v>
      </c>
      <c r="RQV364" s="373">
        <f>'Q100a-geral'!RQV887</f>
        <v>0</v>
      </c>
      <c r="RQW364" s="373">
        <f>'Q100a-geral'!RQW887</f>
        <v>0</v>
      </c>
      <c r="RQX364" s="373">
        <f>'Q100a-geral'!RQX887</f>
        <v>0</v>
      </c>
      <c r="RQY364" s="373">
        <f>'Q100a-geral'!RQY887</f>
        <v>0</v>
      </c>
      <c r="RQZ364" s="373">
        <f>'Q100a-geral'!RQZ887</f>
        <v>0</v>
      </c>
      <c r="RRA364" s="373">
        <f>'Q100a-geral'!RRA887</f>
        <v>0</v>
      </c>
      <c r="RRB364" s="373">
        <f>'Q100a-geral'!RRB887</f>
        <v>0</v>
      </c>
      <c r="RRC364" s="373">
        <f>'Q100a-geral'!RRC887</f>
        <v>0</v>
      </c>
      <c r="RRD364" s="373">
        <f>'Q100a-geral'!RRD887</f>
        <v>0</v>
      </c>
      <c r="RRE364" s="373">
        <f>'Q100a-geral'!RRE887</f>
        <v>0</v>
      </c>
      <c r="RRF364" s="373">
        <f>'Q100a-geral'!RRF887</f>
        <v>0</v>
      </c>
      <c r="RRG364" s="373">
        <f>'Q100a-geral'!RRG887</f>
        <v>0</v>
      </c>
      <c r="RRH364" s="373">
        <f>'Q100a-geral'!RRH887</f>
        <v>0</v>
      </c>
      <c r="RRI364" s="373">
        <f>'Q100a-geral'!RRI887</f>
        <v>0</v>
      </c>
      <c r="RRJ364" s="373">
        <f>'Q100a-geral'!RRJ887</f>
        <v>0</v>
      </c>
      <c r="RRK364" s="373">
        <f>'Q100a-geral'!RRK887</f>
        <v>0</v>
      </c>
      <c r="RRL364" s="373">
        <f>'Q100a-geral'!RRL887</f>
        <v>0</v>
      </c>
      <c r="RRM364" s="373">
        <f>'Q100a-geral'!RRM887</f>
        <v>0</v>
      </c>
      <c r="RRN364" s="373">
        <f>'Q100a-geral'!RRN887</f>
        <v>0</v>
      </c>
      <c r="RRO364" s="373">
        <f>'Q100a-geral'!RRO887</f>
        <v>0</v>
      </c>
      <c r="RRP364" s="373">
        <f>'Q100a-geral'!RRP887</f>
        <v>0</v>
      </c>
      <c r="RRQ364" s="373">
        <f>'Q100a-geral'!RRQ887</f>
        <v>0</v>
      </c>
      <c r="RRR364" s="373">
        <f>'Q100a-geral'!RRR887</f>
        <v>0</v>
      </c>
      <c r="RRS364" s="373">
        <f>'Q100a-geral'!RRS887</f>
        <v>0</v>
      </c>
      <c r="RRT364" s="373">
        <f>'Q100a-geral'!RRT887</f>
        <v>0</v>
      </c>
      <c r="RRU364" s="373">
        <f>'Q100a-geral'!RRU887</f>
        <v>0</v>
      </c>
      <c r="RRV364" s="373">
        <f>'Q100a-geral'!RRV887</f>
        <v>0</v>
      </c>
      <c r="RRW364" s="373">
        <f>'Q100a-geral'!RRW887</f>
        <v>0</v>
      </c>
      <c r="RRX364" s="373">
        <f>'Q100a-geral'!RRX887</f>
        <v>0</v>
      </c>
      <c r="RRY364" s="373">
        <f>'Q100a-geral'!RRY887</f>
        <v>0</v>
      </c>
      <c r="RRZ364" s="373">
        <f>'Q100a-geral'!RRZ887</f>
        <v>0</v>
      </c>
      <c r="RSA364" s="373">
        <f>'Q100a-geral'!RSA887</f>
        <v>0</v>
      </c>
      <c r="RSB364" s="373">
        <f>'Q100a-geral'!RSB887</f>
        <v>0</v>
      </c>
      <c r="RSC364" s="373">
        <f>'Q100a-geral'!RSC887</f>
        <v>0</v>
      </c>
      <c r="RSD364" s="373">
        <f>'Q100a-geral'!RSD887</f>
        <v>0</v>
      </c>
      <c r="RSE364" s="373">
        <f>'Q100a-geral'!RSE887</f>
        <v>0</v>
      </c>
      <c r="RSF364" s="373">
        <f>'Q100a-geral'!RSF887</f>
        <v>0</v>
      </c>
      <c r="RSG364" s="373">
        <f>'Q100a-geral'!RSG887</f>
        <v>0</v>
      </c>
      <c r="RSH364" s="373">
        <f>'Q100a-geral'!RSH887</f>
        <v>0</v>
      </c>
      <c r="RSI364" s="373">
        <f>'Q100a-geral'!RSI887</f>
        <v>0</v>
      </c>
      <c r="RSJ364" s="373">
        <f>'Q100a-geral'!RSJ887</f>
        <v>0</v>
      </c>
      <c r="RSK364" s="373">
        <f>'Q100a-geral'!RSK887</f>
        <v>0</v>
      </c>
      <c r="RSL364" s="373">
        <f>'Q100a-geral'!RSL887</f>
        <v>0</v>
      </c>
      <c r="RSM364" s="373">
        <f>'Q100a-geral'!RSM887</f>
        <v>0</v>
      </c>
      <c r="RSN364" s="373">
        <f>'Q100a-geral'!RSN887</f>
        <v>0</v>
      </c>
      <c r="RSO364" s="373">
        <f>'Q100a-geral'!RSO887</f>
        <v>0</v>
      </c>
      <c r="RSP364" s="373">
        <f>'Q100a-geral'!RSP887</f>
        <v>0</v>
      </c>
      <c r="RSQ364" s="373">
        <f>'Q100a-geral'!RSQ887</f>
        <v>0</v>
      </c>
      <c r="RSR364" s="373">
        <f>'Q100a-geral'!RSR887</f>
        <v>0</v>
      </c>
      <c r="RSS364" s="373">
        <f>'Q100a-geral'!RSS887</f>
        <v>0</v>
      </c>
      <c r="RST364" s="373">
        <f>'Q100a-geral'!RST887</f>
        <v>0</v>
      </c>
      <c r="RSU364" s="373">
        <f>'Q100a-geral'!RSU887</f>
        <v>0</v>
      </c>
      <c r="RSV364" s="373">
        <f>'Q100a-geral'!RSV887</f>
        <v>0</v>
      </c>
      <c r="RSW364" s="373">
        <f>'Q100a-geral'!RSW887</f>
        <v>0</v>
      </c>
      <c r="RSX364" s="373">
        <f>'Q100a-geral'!RSX887</f>
        <v>0</v>
      </c>
      <c r="RSY364" s="373">
        <f>'Q100a-geral'!RSY887</f>
        <v>0</v>
      </c>
      <c r="RSZ364" s="373">
        <f>'Q100a-geral'!RSZ887</f>
        <v>0</v>
      </c>
      <c r="RTA364" s="373">
        <f>'Q100a-geral'!RTA887</f>
        <v>0</v>
      </c>
      <c r="RTB364" s="373">
        <f>'Q100a-geral'!RTB887</f>
        <v>0</v>
      </c>
      <c r="RTC364" s="373">
        <f>'Q100a-geral'!RTC887</f>
        <v>0</v>
      </c>
      <c r="RTD364" s="373">
        <f>'Q100a-geral'!RTD887</f>
        <v>0</v>
      </c>
      <c r="RTE364" s="373">
        <f>'Q100a-geral'!RTE887</f>
        <v>0</v>
      </c>
      <c r="RTF364" s="373">
        <f>'Q100a-geral'!RTF887</f>
        <v>0</v>
      </c>
      <c r="RTG364" s="373">
        <f>'Q100a-geral'!RTG887</f>
        <v>0</v>
      </c>
      <c r="RTH364" s="373">
        <f>'Q100a-geral'!RTH887</f>
        <v>0</v>
      </c>
      <c r="RTI364" s="373">
        <f>'Q100a-geral'!RTI887</f>
        <v>0</v>
      </c>
      <c r="RTJ364" s="373">
        <f>'Q100a-geral'!RTJ887</f>
        <v>0</v>
      </c>
      <c r="RTK364" s="373">
        <f>'Q100a-geral'!RTK887</f>
        <v>0</v>
      </c>
      <c r="RTL364" s="373">
        <f>'Q100a-geral'!RTL887</f>
        <v>0</v>
      </c>
      <c r="RTM364" s="373">
        <f>'Q100a-geral'!RTM887</f>
        <v>0</v>
      </c>
      <c r="RTN364" s="373">
        <f>'Q100a-geral'!RTN887</f>
        <v>0</v>
      </c>
      <c r="RTO364" s="373">
        <f>'Q100a-geral'!RTO887</f>
        <v>0</v>
      </c>
      <c r="RTP364" s="373">
        <f>'Q100a-geral'!RTP887</f>
        <v>0</v>
      </c>
      <c r="RTQ364" s="373">
        <f>'Q100a-geral'!RTQ887</f>
        <v>0</v>
      </c>
      <c r="RTR364" s="373">
        <f>'Q100a-geral'!RTR887</f>
        <v>0</v>
      </c>
      <c r="RTS364" s="373">
        <f>'Q100a-geral'!RTS887</f>
        <v>0</v>
      </c>
      <c r="RTT364" s="373">
        <f>'Q100a-geral'!RTT887</f>
        <v>0</v>
      </c>
      <c r="RTU364" s="373">
        <f>'Q100a-geral'!RTU887</f>
        <v>0</v>
      </c>
      <c r="RTV364" s="373">
        <f>'Q100a-geral'!RTV887</f>
        <v>0</v>
      </c>
      <c r="RTW364" s="373">
        <f>'Q100a-geral'!RTW887</f>
        <v>0</v>
      </c>
      <c r="RTX364" s="373">
        <f>'Q100a-geral'!RTX887</f>
        <v>0</v>
      </c>
      <c r="RTY364" s="373">
        <f>'Q100a-geral'!RTY887</f>
        <v>0</v>
      </c>
      <c r="RTZ364" s="373">
        <f>'Q100a-geral'!RTZ887</f>
        <v>0</v>
      </c>
      <c r="RUA364" s="373">
        <f>'Q100a-geral'!RUA887</f>
        <v>0</v>
      </c>
      <c r="RUB364" s="373">
        <f>'Q100a-geral'!RUB887</f>
        <v>0</v>
      </c>
      <c r="RUC364" s="373">
        <f>'Q100a-geral'!RUC887</f>
        <v>0</v>
      </c>
      <c r="RUD364" s="373">
        <f>'Q100a-geral'!RUD887</f>
        <v>0</v>
      </c>
      <c r="RUE364" s="373">
        <f>'Q100a-geral'!RUE887</f>
        <v>0</v>
      </c>
      <c r="RUF364" s="373">
        <f>'Q100a-geral'!RUF887</f>
        <v>0</v>
      </c>
      <c r="RUG364" s="373">
        <f>'Q100a-geral'!RUG887</f>
        <v>0</v>
      </c>
      <c r="RUH364" s="373">
        <f>'Q100a-geral'!RUH887</f>
        <v>0</v>
      </c>
      <c r="RUI364" s="373">
        <f>'Q100a-geral'!RUI887</f>
        <v>0</v>
      </c>
      <c r="RUJ364" s="373">
        <f>'Q100a-geral'!RUJ887</f>
        <v>0</v>
      </c>
      <c r="RUK364" s="373">
        <f>'Q100a-geral'!RUK887</f>
        <v>0</v>
      </c>
      <c r="RUL364" s="373">
        <f>'Q100a-geral'!RUL887</f>
        <v>0</v>
      </c>
      <c r="RUM364" s="373">
        <f>'Q100a-geral'!RUM887</f>
        <v>0</v>
      </c>
      <c r="RUN364" s="373">
        <f>'Q100a-geral'!RUN887</f>
        <v>0</v>
      </c>
      <c r="RUO364" s="373">
        <f>'Q100a-geral'!RUO887</f>
        <v>0</v>
      </c>
      <c r="RUP364" s="373">
        <f>'Q100a-geral'!RUP887</f>
        <v>0</v>
      </c>
      <c r="RUQ364" s="373">
        <f>'Q100a-geral'!RUQ887</f>
        <v>0</v>
      </c>
      <c r="RUR364" s="373">
        <f>'Q100a-geral'!RUR887</f>
        <v>0</v>
      </c>
      <c r="RUS364" s="373">
        <f>'Q100a-geral'!RUS887</f>
        <v>0</v>
      </c>
      <c r="RUT364" s="373">
        <f>'Q100a-geral'!RUT887</f>
        <v>0</v>
      </c>
      <c r="RUU364" s="373">
        <f>'Q100a-geral'!RUU887</f>
        <v>0</v>
      </c>
      <c r="RUV364" s="373">
        <f>'Q100a-geral'!RUV887</f>
        <v>0</v>
      </c>
      <c r="RUW364" s="373">
        <f>'Q100a-geral'!RUW887</f>
        <v>0</v>
      </c>
      <c r="RUX364" s="373">
        <f>'Q100a-geral'!RUX887</f>
        <v>0</v>
      </c>
      <c r="RUY364" s="373">
        <f>'Q100a-geral'!RUY887</f>
        <v>0</v>
      </c>
      <c r="RUZ364" s="373">
        <f>'Q100a-geral'!RUZ887</f>
        <v>0</v>
      </c>
      <c r="RVA364" s="373">
        <f>'Q100a-geral'!RVA887</f>
        <v>0</v>
      </c>
      <c r="RVB364" s="373">
        <f>'Q100a-geral'!RVB887</f>
        <v>0</v>
      </c>
      <c r="RVC364" s="373">
        <f>'Q100a-geral'!RVC887</f>
        <v>0</v>
      </c>
      <c r="RVD364" s="373">
        <f>'Q100a-geral'!RVD887</f>
        <v>0</v>
      </c>
      <c r="RVE364" s="373">
        <f>'Q100a-geral'!RVE887</f>
        <v>0</v>
      </c>
      <c r="RVF364" s="373">
        <f>'Q100a-geral'!RVF887</f>
        <v>0</v>
      </c>
      <c r="RVG364" s="373">
        <f>'Q100a-geral'!RVG887</f>
        <v>0</v>
      </c>
      <c r="RVH364" s="373">
        <f>'Q100a-geral'!RVH887</f>
        <v>0</v>
      </c>
      <c r="RVI364" s="373">
        <f>'Q100a-geral'!RVI887</f>
        <v>0</v>
      </c>
      <c r="RVJ364" s="373">
        <f>'Q100a-geral'!RVJ887</f>
        <v>0</v>
      </c>
      <c r="RVK364" s="373">
        <f>'Q100a-geral'!RVK887</f>
        <v>0</v>
      </c>
      <c r="RVL364" s="373">
        <f>'Q100a-geral'!RVL887</f>
        <v>0</v>
      </c>
      <c r="RVM364" s="373">
        <f>'Q100a-geral'!RVM887</f>
        <v>0</v>
      </c>
      <c r="RVN364" s="373">
        <f>'Q100a-geral'!RVN887</f>
        <v>0</v>
      </c>
      <c r="RVO364" s="373">
        <f>'Q100a-geral'!RVO887</f>
        <v>0</v>
      </c>
      <c r="RVP364" s="373">
        <f>'Q100a-geral'!RVP887</f>
        <v>0</v>
      </c>
      <c r="RVQ364" s="373">
        <f>'Q100a-geral'!RVQ887</f>
        <v>0</v>
      </c>
      <c r="RVR364" s="373">
        <f>'Q100a-geral'!RVR887</f>
        <v>0</v>
      </c>
      <c r="RVS364" s="373">
        <f>'Q100a-geral'!RVS887</f>
        <v>0</v>
      </c>
      <c r="RVT364" s="373">
        <f>'Q100a-geral'!RVT887</f>
        <v>0</v>
      </c>
      <c r="RVU364" s="373">
        <f>'Q100a-geral'!RVU887</f>
        <v>0</v>
      </c>
      <c r="RVV364" s="373">
        <f>'Q100a-geral'!RVV887</f>
        <v>0</v>
      </c>
      <c r="RVW364" s="373">
        <f>'Q100a-geral'!RVW887</f>
        <v>0</v>
      </c>
      <c r="RVX364" s="373">
        <f>'Q100a-geral'!RVX887</f>
        <v>0</v>
      </c>
      <c r="RVY364" s="373">
        <f>'Q100a-geral'!RVY887</f>
        <v>0</v>
      </c>
      <c r="RVZ364" s="373">
        <f>'Q100a-geral'!RVZ887</f>
        <v>0</v>
      </c>
      <c r="RWA364" s="373">
        <f>'Q100a-geral'!RWA887</f>
        <v>0</v>
      </c>
      <c r="RWB364" s="373">
        <f>'Q100a-geral'!RWB887</f>
        <v>0</v>
      </c>
      <c r="RWC364" s="373">
        <f>'Q100a-geral'!RWC887</f>
        <v>0</v>
      </c>
      <c r="RWD364" s="373">
        <f>'Q100a-geral'!RWD887</f>
        <v>0</v>
      </c>
      <c r="RWE364" s="373">
        <f>'Q100a-geral'!RWE887</f>
        <v>0</v>
      </c>
      <c r="RWF364" s="373">
        <f>'Q100a-geral'!RWF887</f>
        <v>0</v>
      </c>
      <c r="RWG364" s="373">
        <f>'Q100a-geral'!RWG887</f>
        <v>0</v>
      </c>
      <c r="RWH364" s="373">
        <f>'Q100a-geral'!RWH887</f>
        <v>0</v>
      </c>
      <c r="RWI364" s="373">
        <f>'Q100a-geral'!RWI887</f>
        <v>0</v>
      </c>
      <c r="RWJ364" s="373">
        <f>'Q100a-geral'!RWJ887</f>
        <v>0</v>
      </c>
      <c r="RWK364" s="373">
        <f>'Q100a-geral'!RWK887</f>
        <v>0</v>
      </c>
      <c r="RWL364" s="373">
        <f>'Q100a-geral'!RWL887</f>
        <v>0</v>
      </c>
      <c r="RWM364" s="373">
        <f>'Q100a-geral'!RWM887</f>
        <v>0</v>
      </c>
      <c r="RWN364" s="373">
        <f>'Q100a-geral'!RWN887</f>
        <v>0</v>
      </c>
      <c r="RWO364" s="373">
        <f>'Q100a-geral'!RWO887</f>
        <v>0</v>
      </c>
      <c r="RWP364" s="373">
        <f>'Q100a-geral'!RWP887</f>
        <v>0</v>
      </c>
      <c r="RWQ364" s="373">
        <f>'Q100a-geral'!RWQ887</f>
        <v>0</v>
      </c>
      <c r="RWR364" s="373">
        <f>'Q100a-geral'!RWR887</f>
        <v>0</v>
      </c>
      <c r="RWS364" s="373">
        <f>'Q100a-geral'!RWS887</f>
        <v>0</v>
      </c>
      <c r="RWT364" s="373">
        <f>'Q100a-geral'!RWT887</f>
        <v>0</v>
      </c>
      <c r="RWU364" s="373">
        <f>'Q100a-geral'!RWU887</f>
        <v>0</v>
      </c>
      <c r="RWV364" s="373">
        <f>'Q100a-geral'!RWV887</f>
        <v>0</v>
      </c>
      <c r="RWW364" s="373">
        <f>'Q100a-geral'!RWW887</f>
        <v>0</v>
      </c>
      <c r="RWX364" s="373">
        <f>'Q100a-geral'!RWX887</f>
        <v>0</v>
      </c>
      <c r="RWY364" s="373">
        <f>'Q100a-geral'!RWY887</f>
        <v>0</v>
      </c>
      <c r="RWZ364" s="373">
        <f>'Q100a-geral'!RWZ887</f>
        <v>0</v>
      </c>
      <c r="RXA364" s="373">
        <f>'Q100a-geral'!RXA887</f>
        <v>0</v>
      </c>
      <c r="RXB364" s="373">
        <f>'Q100a-geral'!RXB887</f>
        <v>0</v>
      </c>
      <c r="RXC364" s="373">
        <f>'Q100a-geral'!RXC887</f>
        <v>0</v>
      </c>
      <c r="RXD364" s="373">
        <f>'Q100a-geral'!RXD887</f>
        <v>0</v>
      </c>
      <c r="RXE364" s="373">
        <f>'Q100a-geral'!RXE887</f>
        <v>0</v>
      </c>
      <c r="RXF364" s="373">
        <f>'Q100a-geral'!RXF887</f>
        <v>0</v>
      </c>
      <c r="RXG364" s="373">
        <f>'Q100a-geral'!RXG887</f>
        <v>0</v>
      </c>
      <c r="RXH364" s="373">
        <f>'Q100a-geral'!RXH887</f>
        <v>0</v>
      </c>
      <c r="RXI364" s="373">
        <f>'Q100a-geral'!RXI887</f>
        <v>0</v>
      </c>
      <c r="RXJ364" s="373">
        <f>'Q100a-geral'!RXJ887</f>
        <v>0</v>
      </c>
      <c r="RXK364" s="373">
        <f>'Q100a-geral'!RXK887</f>
        <v>0</v>
      </c>
      <c r="RXL364" s="373">
        <f>'Q100a-geral'!RXL887</f>
        <v>0</v>
      </c>
      <c r="RXM364" s="373">
        <f>'Q100a-geral'!RXM887</f>
        <v>0</v>
      </c>
      <c r="RXN364" s="373">
        <f>'Q100a-geral'!RXN887</f>
        <v>0</v>
      </c>
      <c r="RXO364" s="373">
        <f>'Q100a-geral'!RXO887</f>
        <v>0</v>
      </c>
      <c r="RXP364" s="373">
        <f>'Q100a-geral'!RXP887</f>
        <v>0</v>
      </c>
      <c r="RXQ364" s="373">
        <f>'Q100a-geral'!RXQ887</f>
        <v>0</v>
      </c>
      <c r="RXR364" s="373">
        <f>'Q100a-geral'!RXR887</f>
        <v>0</v>
      </c>
      <c r="RXS364" s="373">
        <f>'Q100a-geral'!RXS887</f>
        <v>0</v>
      </c>
      <c r="RXT364" s="373">
        <f>'Q100a-geral'!RXT887</f>
        <v>0</v>
      </c>
      <c r="RXU364" s="373">
        <f>'Q100a-geral'!RXU887</f>
        <v>0</v>
      </c>
      <c r="RXV364" s="373">
        <f>'Q100a-geral'!RXV887</f>
        <v>0</v>
      </c>
      <c r="RXW364" s="373">
        <f>'Q100a-geral'!RXW887</f>
        <v>0</v>
      </c>
      <c r="RXX364" s="373">
        <f>'Q100a-geral'!RXX887</f>
        <v>0</v>
      </c>
      <c r="RXY364" s="373">
        <f>'Q100a-geral'!RXY887</f>
        <v>0</v>
      </c>
      <c r="RXZ364" s="373">
        <f>'Q100a-geral'!RXZ887</f>
        <v>0</v>
      </c>
      <c r="RYA364" s="373">
        <f>'Q100a-geral'!RYA887</f>
        <v>0</v>
      </c>
      <c r="RYB364" s="373">
        <f>'Q100a-geral'!RYB887</f>
        <v>0</v>
      </c>
      <c r="RYC364" s="373">
        <f>'Q100a-geral'!RYC887</f>
        <v>0</v>
      </c>
      <c r="RYD364" s="373">
        <f>'Q100a-geral'!RYD887</f>
        <v>0</v>
      </c>
      <c r="RYE364" s="373">
        <f>'Q100a-geral'!RYE887</f>
        <v>0</v>
      </c>
      <c r="RYF364" s="373">
        <f>'Q100a-geral'!RYF887</f>
        <v>0</v>
      </c>
      <c r="RYG364" s="373">
        <f>'Q100a-geral'!RYG887</f>
        <v>0</v>
      </c>
      <c r="RYH364" s="373">
        <f>'Q100a-geral'!RYH887</f>
        <v>0</v>
      </c>
      <c r="RYI364" s="373">
        <f>'Q100a-geral'!RYI887</f>
        <v>0</v>
      </c>
      <c r="RYJ364" s="373">
        <f>'Q100a-geral'!RYJ887</f>
        <v>0</v>
      </c>
      <c r="RYK364" s="373">
        <f>'Q100a-geral'!RYK887</f>
        <v>0</v>
      </c>
      <c r="RYL364" s="373">
        <f>'Q100a-geral'!RYL887</f>
        <v>0</v>
      </c>
      <c r="RYM364" s="373">
        <f>'Q100a-geral'!RYM887</f>
        <v>0</v>
      </c>
      <c r="RYN364" s="373">
        <f>'Q100a-geral'!RYN887</f>
        <v>0</v>
      </c>
      <c r="RYO364" s="373">
        <f>'Q100a-geral'!RYO887</f>
        <v>0</v>
      </c>
      <c r="RYP364" s="373">
        <f>'Q100a-geral'!RYP887</f>
        <v>0</v>
      </c>
      <c r="RYQ364" s="373">
        <f>'Q100a-geral'!RYQ887</f>
        <v>0</v>
      </c>
      <c r="RYR364" s="373">
        <f>'Q100a-geral'!RYR887</f>
        <v>0</v>
      </c>
      <c r="RYS364" s="373">
        <f>'Q100a-geral'!RYS887</f>
        <v>0</v>
      </c>
      <c r="RYT364" s="373">
        <f>'Q100a-geral'!RYT887</f>
        <v>0</v>
      </c>
      <c r="RYU364" s="373">
        <f>'Q100a-geral'!RYU887</f>
        <v>0</v>
      </c>
      <c r="RYV364" s="373">
        <f>'Q100a-geral'!RYV887</f>
        <v>0</v>
      </c>
      <c r="RYW364" s="373">
        <f>'Q100a-geral'!RYW887</f>
        <v>0</v>
      </c>
      <c r="RYX364" s="373">
        <f>'Q100a-geral'!RYX887</f>
        <v>0</v>
      </c>
      <c r="RYY364" s="373">
        <f>'Q100a-geral'!RYY887</f>
        <v>0</v>
      </c>
      <c r="RYZ364" s="373">
        <f>'Q100a-geral'!RYZ887</f>
        <v>0</v>
      </c>
      <c r="RZA364" s="373">
        <f>'Q100a-geral'!RZA887</f>
        <v>0</v>
      </c>
      <c r="RZB364" s="373">
        <f>'Q100a-geral'!RZB887</f>
        <v>0</v>
      </c>
      <c r="RZC364" s="373">
        <f>'Q100a-geral'!RZC887</f>
        <v>0</v>
      </c>
      <c r="RZD364" s="373">
        <f>'Q100a-geral'!RZD887</f>
        <v>0</v>
      </c>
      <c r="RZE364" s="373">
        <f>'Q100a-geral'!RZE887</f>
        <v>0</v>
      </c>
      <c r="RZF364" s="373">
        <f>'Q100a-geral'!RZF887</f>
        <v>0</v>
      </c>
      <c r="RZG364" s="373">
        <f>'Q100a-geral'!RZG887</f>
        <v>0</v>
      </c>
      <c r="RZH364" s="373">
        <f>'Q100a-geral'!RZH887</f>
        <v>0</v>
      </c>
      <c r="RZI364" s="373">
        <f>'Q100a-geral'!RZI887</f>
        <v>0</v>
      </c>
      <c r="RZJ364" s="373">
        <f>'Q100a-geral'!RZJ887</f>
        <v>0</v>
      </c>
      <c r="RZK364" s="373">
        <f>'Q100a-geral'!RZK887</f>
        <v>0</v>
      </c>
      <c r="RZL364" s="373">
        <f>'Q100a-geral'!RZL887</f>
        <v>0</v>
      </c>
      <c r="RZM364" s="373">
        <f>'Q100a-geral'!RZM887</f>
        <v>0</v>
      </c>
      <c r="RZN364" s="373">
        <f>'Q100a-geral'!RZN887</f>
        <v>0</v>
      </c>
      <c r="RZO364" s="373">
        <f>'Q100a-geral'!RZO887</f>
        <v>0</v>
      </c>
      <c r="RZP364" s="373">
        <f>'Q100a-geral'!RZP887</f>
        <v>0</v>
      </c>
      <c r="RZQ364" s="373">
        <f>'Q100a-geral'!RZQ887</f>
        <v>0</v>
      </c>
      <c r="RZR364" s="373">
        <f>'Q100a-geral'!RZR887</f>
        <v>0</v>
      </c>
      <c r="RZS364" s="373">
        <f>'Q100a-geral'!RZS887</f>
        <v>0</v>
      </c>
      <c r="RZT364" s="373">
        <f>'Q100a-geral'!RZT887</f>
        <v>0</v>
      </c>
      <c r="RZU364" s="373">
        <f>'Q100a-geral'!RZU887</f>
        <v>0</v>
      </c>
      <c r="RZV364" s="373">
        <f>'Q100a-geral'!RZV887</f>
        <v>0</v>
      </c>
      <c r="RZW364" s="373">
        <f>'Q100a-geral'!RZW887</f>
        <v>0</v>
      </c>
      <c r="RZX364" s="373">
        <f>'Q100a-geral'!RZX887</f>
        <v>0</v>
      </c>
      <c r="RZY364" s="373">
        <f>'Q100a-geral'!RZY887</f>
        <v>0</v>
      </c>
      <c r="RZZ364" s="373">
        <f>'Q100a-geral'!RZZ887</f>
        <v>0</v>
      </c>
      <c r="SAA364" s="373">
        <f>'Q100a-geral'!SAA887</f>
        <v>0</v>
      </c>
      <c r="SAB364" s="373">
        <f>'Q100a-geral'!SAB887</f>
        <v>0</v>
      </c>
      <c r="SAC364" s="373">
        <f>'Q100a-geral'!SAC887</f>
        <v>0</v>
      </c>
      <c r="SAD364" s="373">
        <f>'Q100a-geral'!SAD887</f>
        <v>0</v>
      </c>
      <c r="SAE364" s="373">
        <f>'Q100a-geral'!SAE887</f>
        <v>0</v>
      </c>
      <c r="SAF364" s="373">
        <f>'Q100a-geral'!SAF887</f>
        <v>0</v>
      </c>
      <c r="SAG364" s="373">
        <f>'Q100a-geral'!SAG887</f>
        <v>0</v>
      </c>
      <c r="SAH364" s="373">
        <f>'Q100a-geral'!SAH887</f>
        <v>0</v>
      </c>
      <c r="SAI364" s="373">
        <f>'Q100a-geral'!SAI887</f>
        <v>0</v>
      </c>
      <c r="SAJ364" s="373">
        <f>'Q100a-geral'!SAJ887</f>
        <v>0</v>
      </c>
      <c r="SAK364" s="373">
        <f>'Q100a-geral'!SAK887</f>
        <v>0</v>
      </c>
      <c r="SAL364" s="373">
        <f>'Q100a-geral'!SAL887</f>
        <v>0</v>
      </c>
      <c r="SAM364" s="373">
        <f>'Q100a-geral'!SAM887</f>
        <v>0</v>
      </c>
      <c r="SAN364" s="373">
        <f>'Q100a-geral'!SAN887</f>
        <v>0</v>
      </c>
      <c r="SAO364" s="373">
        <f>'Q100a-geral'!SAO887</f>
        <v>0</v>
      </c>
      <c r="SAP364" s="373">
        <f>'Q100a-geral'!SAP887</f>
        <v>0</v>
      </c>
      <c r="SAQ364" s="373">
        <f>'Q100a-geral'!SAQ887</f>
        <v>0</v>
      </c>
      <c r="SAR364" s="373">
        <f>'Q100a-geral'!SAR887</f>
        <v>0</v>
      </c>
      <c r="SAS364" s="373">
        <f>'Q100a-geral'!SAS887</f>
        <v>0</v>
      </c>
      <c r="SAT364" s="373">
        <f>'Q100a-geral'!SAT887</f>
        <v>0</v>
      </c>
      <c r="SAU364" s="373">
        <f>'Q100a-geral'!SAU887</f>
        <v>0</v>
      </c>
      <c r="SAV364" s="373">
        <f>'Q100a-geral'!SAV887</f>
        <v>0</v>
      </c>
      <c r="SAW364" s="373">
        <f>'Q100a-geral'!SAW887</f>
        <v>0</v>
      </c>
      <c r="SAX364" s="373">
        <f>'Q100a-geral'!SAX887</f>
        <v>0</v>
      </c>
      <c r="SAY364" s="373">
        <f>'Q100a-geral'!SAY887</f>
        <v>0</v>
      </c>
      <c r="SAZ364" s="373">
        <f>'Q100a-geral'!SAZ887</f>
        <v>0</v>
      </c>
      <c r="SBA364" s="373">
        <f>'Q100a-geral'!SBA887</f>
        <v>0</v>
      </c>
      <c r="SBB364" s="373">
        <f>'Q100a-geral'!SBB887</f>
        <v>0</v>
      </c>
      <c r="SBC364" s="373">
        <f>'Q100a-geral'!SBC887</f>
        <v>0</v>
      </c>
      <c r="SBD364" s="373">
        <f>'Q100a-geral'!SBD887</f>
        <v>0</v>
      </c>
      <c r="SBE364" s="373">
        <f>'Q100a-geral'!SBE887</f>
        <v>0</v>
      </c>
      <c r="SBF364" s="373">
        <f>'Q100a-geral'!SBF887</f>
        <v>0</v>
      </c>
      <c r="SBG364" s="373">
        <f>'Q100a-geral'!SBG887</f>
        <v>0</v>
      </c>
      <c r="SBH364" s="373">
        <f>'Q100a-geral'!SBH887</f>
        <v>0</v>
      </c>
      <c r="SBI364" s="373">
        <f>'Q100a-geral'!SBI887</f>
        <v>0</v>
      </c>
      <c r="SBJ364" s="373">
        <f>'Q100a-geral'!SBJ887</f>
        <v>0</v>
      </c>
      <c r="SBK364" s="373">
        <f>'Q100a-geral'!SBK887</f>
        <v>0</v>
      </c>
      <c r="SBL364" s="373">
        <f>'Q100a-geral'!SBL887</f>
        <v>0</v>
      </c>
      <c r="SBM364" s="373">
        <f>'Q100a-geral'!SBM887</f>
        <v>0</v>
      </c>
      <c r="SBN364" s="373">
        <f>'Q100a-geral'!SBN887</f>
        <v>0</v>
      </c>
      <c r="SBO364" s="373">
        <f>'Q100a-geral'!SBO887</f>
        <v>0</v>
      </c>
      <c r="SBP364" s="373">
        <f>'Q100a-geral'!SBP887</f>
        <v>0</v>
      </c>
      <c r="SBQ364" s="373">
        <f>'Q100a-geral'!SBQ887</f>
        <v>0</v>
      </c>
      <c r="SBR364" s="373">
        <f>'Q100a-geral'!SBR887</f>
        <v>0</v>
      </c>
      <c r="SBS364" s="373">
        <f>'Q100a-geral'!SBS887</f>
        <v>0</v>
      </c>
      <c r="SBT364" s="373">
        <f>'Q100a-geral'!SBT887</f>
        <v>0</v>
      </c>
      <c r="SBU364" s="373">
        <f>'Q100a-geral'!SBU887</f>
        <v>0</v>
      </c>
      <c r="SBV364" s="373">
        <f>'Q100a-geral'!SBV887</f>
        <v>0</v>
      </c>
      <c r="SBW364" s="373">
        <f>'Q100a-geral'!SBW887</f>
        <v>0</v>
      </c>
      <c r="SBX364" s="373">
        <f>'Q100a-geral'!SBX887</f>
        <v>0</v>
      </c>
      <c r="SBY364" s="373">
        <f>'Q100a-geral'!SBY887</f>
        <v>0</v>
      </c>
      <c r="SBZ364" s="373">
        <f>'Q100a-geral'!SBZ887</f>
        <v>0</v>
      </c>
      <c r="SCA364" s="373">
        <f>'Q100a-geral'!SCA887</f>
        <v>0</v>
      </c>
      <c r="SCB364" s="373">
        <f>'Q100a-geral'!SCB887</f>
        <v>0</v>
      </c>
      <c r="SCC364" s="373">
        <f>'Q100a-geral'!SCC887</f>
        <v>0</v>
      </c>
      <c r="SCD364" s="373">
        <f>'Q100a-geral'!SCD887</f>
        <v>0</v>
      </c>
      <c r="SCE364" s="373">
        <f>'Q100a-geral'!SCE887</f>
        <v>0</v>
      </c>
      <c r="SCF364" s="373">
        <f>'Q100a-geral'!SCF887</f>
        <v>0</v>
      </c>
      <c r="SCG364" s="373">
        <f>'Q100a-geral'!SCG887</f>
        <v>0</v>
      </c>
      <c r="SCH364" s="373">
        <f>'Q100a-geral'!SCH887</f>
        <v>0</v>
      </c>
      <c r="SCI364" s="373">
        <f>'Q100a-geral'!SCI887</f>
        <v>0</v>
      </c>
      <c r="SCJ364" s="373">
        <f>'Q100a-geral'!SCJ887</f>
        <v>0</v>
      </c>
      <c r="SCK364" s="373">
        <f>'Q100a-geral'!SCK887</f>
        <v>0</v>
      </c>
      <c r="SCL364" s="373">
        <f>'Q100a-geral'!SCL887</f>
        <v>0</v>
      </c>
      <c r="SCM364" s="373">
        <f>'Q100a-geral'!SCM887</f>
        <v>0</v>
      </c>
      <c r="SCN364" s="373">
        <f>'Q100a-geral'!SCN887</f>
        <v>0</v>
      </c>
      <c r="SCO364" s="373">
        <f>'Q100a-geral'!SCO887</f>
        <v>0</v>
      </c>
      <c r="SCP364" s="373">
        <f>'Q100a-geral'!SCP887</f>
        <v>0</v>
      </c>
      <c r="SCQ364" s="373">
        <f>'Q100a-geral'!SCQ887</f>
        <v>0</v>
      </c>
      <c r="SCR364" s="373">
        <f>'Q100a-geral'!SCR887</f>
        <v>0</v>
      </c>
      <c r="SCS364" s="373">
        <f>'Q100a-geral'!SCS887</f>
        <v>0</v>
      </c>
      <c r="SCT364" s="373">
        <f>'Q100a-geral'!SCT887</f>
        <v>0</v>
      </c>
      <c r="SCU364" s="373">
        <f>'Q100a-geral'!SCU887</f>
        <v>0</v>
      </c>
      <c r="SCV364" s="373">
        <f>'Q100a-geral'!SCV887</f>
        <v>0</v>
      </c>
      <c r="SCW364" s="373">
        <f>'Q100a-geral'!SCW887</f>
        <v>0</v>
      </c>
      <c r="SCX364" s="373">
        <f>'Q100a-geral'!SCX887</f>
        <v>0</v>
      </c>
      <c r="SCY364" s="373">
        <f>'Q100a-geral'!SCY887</f>
        <v>0</v>
      </c>
      <c r="SCZ364" s="373">
        <f>'Q100a-geral'!SCZ887</f>
        <v>0</v>
      </c>
      <c r="SDA364" s="373">
        <f>'Q100a-geral'!SDA887</f>
        <v>0</v>
      </c>
      <c r="SDB364" s="373">
        <f>'Q100a-geral'!SDB887</f>
        <v>0</v>
      </c>
      <c r="SDC364" s="373">
        <f>'Q100a-geral'!SDC887</f>
        <v>0</v>
      </c>
      <c r="SDD364" s="373">
        <f>'Q100a-geral'!SDD887</f>
        <v>0</v>
      </c>
      <c r="SDE364" s="373">
        <f>'Q100a-geral'!SDE887</f>
        <v>0</v>
      </c>
      <c r="SDF364" s="373">
        <f>'Q100a-geral'!SDF887</f>
        <v>0</v>
      </c>
      <c r="SDG364" s="373">
        <f>'Q100a-geral'!SDG887</f>
        <v>0</v>
      </c>
      <c r="SDH364" s="373">
        <f>'Q100a-geral'!SDH887</f>
        <v>0</v>
      </c>
      <c r="SDI364" s="373">
        <f>'Q100a-geral'!SDI887</f>
        <v>0</v>
      </c>
      <c r="SDJ364" s="373">
        <f>'Q100a-geral'!SDJ887</f>
        <v>0</v>
      </c>
      <c r="SDK364" s="373">
        <f>'Q100a-geral'!SDK887</f>
        <v>0</v>
      </c>
      <c r="SDL364" s="373">
        <f>'Q100a-geral'!SDL887</f>
        <v>0</v>
      </c>
      <c r="SDM364" s="373">
        <f>'Q100a-geral'!SDM887</f>
        <v>0</v>
      </c>
      <c r="SDN364" s="373">
        <f>'Q100a-geral'!SDN887</f>
        <v>0</v>
      </c>
      <c r="SDO364" s="373">
        <f>'Q100a-geral'!SDO887</f>
        <v>0</v>
      </c>
      <c r="SDP364" s="373">
        <f>'Q100a-geral'!SDP887</f>
        <v>0</v>
      </c>
      <c r="SDQ364" s="373">
        <f>'Q100a-geral'!SDQ887</f>
        <v>0</v>
      </c>
      <c r="SDR364" s="373">
        <f>'Q100a-geral'!SDR887</f>
        <v>0</v>
      </c>
      <c r="SDS364" s="373">
        <f>'Q100a-geral'!SDS887</f>
        <v>0</v>
      </c>
      <c r="SDT364" s="373">
        <f>'Q100a-geral'!SDT887</f>
        <v>0</v>
      </c>
      <c r="SDU364" s="373">
        <f>'Q100a-geral'!SDU887</f>
        <v>0</v>
      </c>
      <c r="SDV364" s="373">
        <f>'Q100a-geral'!SDV887</f>
        <v>0</v>
      </c>
      <c r="SDW364" s="373">
        <f>'Q100a-geral'!SDW887</f>
        <v>0</v>
      </c>
      <c r="SDX364" s="373">
        <f>'Q100a-geral'!SDX887</f>
        <v>0</v>
      </c>
      <c r="SDY364" s="373">
        <f>'Q100a-geral'!SDY887</f>
        <v>0</v>
      </c>
      <c r="SDZ364" s="373">
        <f>'Q100a-geral'!SDZ887</f>
        <v>0</v>
      </c>
      <c r="SEA364" s="373">
        <f>'Q100a-geral'!SEA887</f>
        <v>0</v>
      </c>
      <c r="SEB364" s="373">
        <f>'Q100a-geral'!SEB887</f>
        <v>0</v>
      </c>
      <c r="SEC364" s="373">
        <f>'Q100a-geral'!SEC887</f>
        <v>0</v>
      </c>
      <c r="SED364" s="373">
        <f>'Q100a-geral'!SED887</f>
        <v>0</v>
      </c>
      <c r="SEE364" s="373">
        <f>'Q100a-geral'!SEE887</f>
        <v>0</v>
      </c>
      <c r="SEF364" s="373">
        <f>'Q100a-geral'!SEF887</f>
        <v>0</v>
      </c>
      <c r="SEG364" s="373">
        <f>'Q100a-geral'!SEG887</f>
        <v>0</v>
      </c>
      <c r="SEH364" s="373">
        <f>'Q100a-geral'!SEH887</f>
        <v>0</v>
      </c>
      <c r="SEI364" s="373">
        <f>'Q100a-geral'!SEI887</f>
        <v>0</v>
      </c>
      <c r="SEJ364" s="373">
        <f>'Q100a-geral'!SEJ887</f>
        <v>0</v>
      </c>
      <c r="SEK364" s="373">
        <f>'Q100a-geral'!SEK887</f>
        <v>0</v>
      </c>
      <c r="SEL364" s="373">
        <f>'Q100a-geral'!SEL887</f>
        <v>0</v>
      </c>
      <c r="SEM364" s="373">
        <f>'Q100a-geral'!SEM887</f>
        <v>0</v>
      </c>
      <c r="SEN364" s="373">
        <f>'Q100a-geral'!SEN887</f>
        <v>0</v>
      </c>
      <c r="SEO364" s="373">
        <f>'Q100a-geral'!SEO887</f>
        <v>0</v>
      </c>
      <c r="SEP364" s="373">
        <f>'Q100a-geral'!SEP887</f>
        <v>0</v>
      </c>
      <c r="SEQ364" s="373">
        <f>'Q100a-geral'!SEQ887</f>
        <v>0</v>
      </c>
      <c r="SER364" s="373">
        <f>'Q100a-geral'!SER887</f>
        <v>0</v>
      </c>
      <c r="SES364" s="373">
        <f>'Q100a-geral'!SES887</f>
        <v>0</v>
      </c>
      <c r="SET364" s="373">
        <f>'Q100a-geral'!SET887</f>
        <v>0</v>
      </c>
      <c r="SEU364" s="373">
        <f>'Q100a-geral'!SEU887</f>
        <v>0</v>
      </c>
      <c r="SEV364" s="373">
        <f>'Q100a-geral'!SEV887</f>
        <v>0</v>
      </c>
      <c r="SEW364" s="373">
        <f>'Q100a-geral'!SEW887</f>
        <v>0</v>
      </c>
      <c r="SEX364" s="373">
        <f>'Q100a-geral'!SEX887</f>
        <v>0</v>
      </c>
      <c r="SEY364" s="373">
        <f>'Q100a-geral'!SEY887</f>
        <v>0</v>
      </c>
      <c r="SEZ364" s="373">
        <f>'Q100a-geral'!SEZ887</f>
        <v>0</v>
      </c>
      <c r="SFA364" s="373">
        <f>'Q100a-geral'!SFA887</f>
        <v>0</v>
      </c>
      <c r="SFB364" s="373">
        <f>'Q100a-geral'!SFB887</f>
        <v>0</v>
      </c>
      <c r="SFC364" s="373">
        <f>'Q100a-geral'!SFC887</f>
        <v>0</v>
      </c>
      <c r="SFD364" s="373">
        <f>'Q100a-geral'!SFD887</f>
        <v>0</v>
      </c>
      <c r="SFE364" s="373">
        <f>'Q100a-geral'!SFE887</f>
        <v>0</v>
      </c>
      <c r="SFF364" s="373">
        <f>'Q100a-geral'!SFF887</f>
        <v>0</v>
      </c>
      <c r="SFG364" s="373">
        <f>'Q100a-geral'!SFG887</f>
        <v>0</v>
      </c>
      <c r="SFH364" s="373">
        <f>'Q100a-geral'!SFH887</f>
        <v>0</v>
      </c>
      <c r="SFI364" s="373">
        <f>'Q100a-geral'!SFI887</f>
        <v>0</v>
      </c>
      <c r="SFJ364" s="373">
        <f>'Q100a-geral'!SFJ887</f>
        <v>0</v>
      </c>
      <c r="SFK364" s="373">
        <f>'Q100a-geral'!SFK887</f>
        <v>0</v>
      </c>
      <c r="SFL364" s="373">
        <f>'Q100a-geral'!SFL887</f>
        <v>0</v>
      </c>
      <c r="SFM364" s="373">
        <f>'Q100a-geral'!SFM887</f>
        <v>0</v>
      </c>
      <c r="SFN364" s="373">
        <f>'Q100a-geral'!SFN887</f>
        <v>0</v>
      </c>
      <c r="SFO364" s="373">
        <f>'Q100a-geral'!SFO887</f>
        <v>0</v>
      </c>
      <c r="SFP364" s="373">
        <f>'Q100a-geral'!SFP887</f>
        <v>0</v>
      </c>
      <c r="SFQ364" s="373">
        <f>'Q100a-geral'!SFQ887</f>
        <v>0</v>
      </c>
      <c r="SFR364" s="373">
        <f>'Q100a-geral'!SFR887</f>
        <v>0</v>
      </c>
      <c r="SFS364" s="373">
        <f>'Q100a-geral'!SFS887</f>
        <v>0</v>
      </c>
      <c r="SFT364" s="373">
        <f>'Q100a-geral'!SFT887</f>
        <v>0</v>
      </c>
      <c r="SFU364" s="373">
        <f>'Q100a-geral'!SFU887</f>
        <v>0</v>
      </c>
      <c r="SFV364" s="373">
        <f>'Q100a-geral'!SFV887</f>
        <v>0</v>
      </c>
      <c r="SFW364" s="373">
        <f>'Q100a-geral'!SFW887</f>
        <v>0</v>
      </c>
      <c r="SFX364" s="373">
        <f>'Q100a-geral'!SFX887</f>
        <v>0</v>
      </c>
      <c r="SFY364" s="373">
        <f>'Q100a-geral'!SFY887</f>
        <v>0</v>
      </c>
      <c r="SFZ364" s="373">
        <f>'Q100a-geral'!SFZ887</f>
        <v>0</v>
      </c>
      <c r="SGA364" s="373">
        <f>'Q100a-geral'!SGA887</f>
        <v>0</v>
      </c>
      <c r="SGB364" s="373">
        <f>'Q100a-geral'!SGB887</f>
        <v>0</v>
      </c>
      <c r="SGC364" s="373">
        <f>'Q100a-geral'!SGC887</f>
        <v>0</v>
      </c>
      <c r="SGD364" s="373">
        <f>'Q100a-geral'!SGD887</f>
        <v>0</v>
      </c>
      <c r="SGE364" s="373">
        <f>'Q100a-geral'!SGE887</f>
        <v>0</v>
      </c>
      <c r="SGF364" s="373">
        <f>'Q100a-geral'!SGF887</f>
        <v>0</v>
      </c>
      <c r="SGG364" s="373">
        <f>'Q100a-geral'!SGG887</f>
        <v>0</v>
      </c>
      <c r="SGH364" s="373">
        <f>'Q100a-geral'!SGH887</f>
        <v>0</v>
      </c>
      <c r="SGI364" s="373">
        <f>'Q100a-geral'!SGI887</f>
        <v>0</v>
      </c>
      <c r="SGJ364" s="373">
        <f>'Q100a-geral'!SGJ887</f>
        <v>0</v>
      </c>
      <c r="SGK364" s="373">
        <f>'Q100a-geral'!SGK887</f>
        <v>0</v>
      </c>
      <c r="SGL364" s="373">
        <f>'Q100a-geral'!SGL887</f>
        <v>0</v>
      </c>
      <c r="SGM364" s="373">
        <f>'Q100a-geral'!SGM887</f>
        <v>0</v>
      </c>
      <c r="SGN364" s="373">
        <f>'Q100a-geral'!SGN887</f>
        <v>0</v>
      </c>
      <c r="SGO364" s="373">
        <f>'Q100a-geral'!SGO887</f>
        <v>0</v>
      </c>
      <c r="SGP364" s="373">
        <f>'Q100a-geral'!SGP887</f>
        <v>0</v>
      </c>
      <c r="SGQ364" s="373">
        <f>'Q100a-geral'!SGQ887</f>
        <v>0</v>
      </c>
      <c r="SGR364" s="373">
        <f>'Q100a-geral'!SGR887</f>
        <v>0</v>
      </c>
      <c r="SGS364" s="373">
        <f>'Q100a-geral'!SGS887</f>
        <v>0</v>
      </c>
      <c r="SGT364" s="373">
        <f>'Q100a-geral'!SGT887</f>
        <v>0</v>
      </c>
      <c r="SGU364" s="373">
        <f>'Q100a-geral'!SGU887</f>
        <v>0</v>
      </c>
      <c r="SGV364" s="373">
        <f>'Q100a-geral'!SGV887</f>
        <v>0</v>
      </c>
      <c r="SGW364" s="373">
        <f>'Q100a-geral'!SGW887</f>
        <v>0</v>
      </c>
      <c r="SGX364" s="373">
        <f>'Q100a-geral'!SGX887</f>
        <v>0</v>
      </c>
      <c r="SGY364" s="373">
        <f>'Q100a-geral'!SGY887</f>
        <v>0</v>
      </c>
      <c r="SGZ364" s="373">
        <f>'Q100a-geral'!SGZ887</f>
        <v>0</v>
      </c>
      <c r="SHA364" s="373">
        <f>'Q100a-geral'!SHA887</f>
        <v>0</v>
      </c>
      <c r="SHB364" s="373">
        <f>'Q100a-geral'!SHB887</f>
        <v>0</v>
      </c>
      <c r="SHC364" s="373">
        <f>'Q100a-geral'!SHC887</f>
        <v>0</v>
      </c>
      <c r="SHD364" s="373">
        <f>'Q100a-geral'!SHD887</f>
        <v>0</v>
      </c>
      <c r="SHE364" s="373">
        <f>'Q100a-geral'!SHE887</f>
        <v>0</v>
      </c>
      <c r="SHF364" s="373">
        <f>'Q100a-geral'!SHF887</f>
        <v>0</v>
      </c>
      <c r="SHG364" s="373">
        <f>'Q100a-geral'!SHG887</f>
        <v>0</v>
      </c>
      <c r="SHH364" s="373">
        <f>'Q100a-geral'!SHH887</f>
        <v>0</v>
      </c>
      <c r="SHI364" s="373">
        <f>'Q100a-geral'!SHI887</f>
        <v>0</v>
      </c>
      <c r="SHJ364" s="373">
        <f>'Q100a-geral'!SHJ887</f>
        <v>0</v>
      </c>
      <c r="SHK364" s="373">
        <f>'Q100a-geral'!SHK887</f>
        <v>0</v>
      </c>
      <c r="SHL364" s="373">
        <f>'Q100a-geral'!SHL887</f>
        <v>0</v>
      </c>
      <c r="SHM364" s="373">
        <f>'Q100a-geral'!SHM887</f>
        <v>0</v>
      </c>
      <c r="SHN364" s="373">
        <f>'Q100a-geral'!SHN887</f>
        <v>0</v>
      </c>
      <c r="SHO364" s="373">
        <f>'Q100a-geral'!SHO887</f>
        <v>0</v>
      </c>
      <c r="SHP364" s="373">
        <f>'Q100a-geral'!SHP887</f>
        <v>0</v>
      </c>
      <c r="SHQ364" s="373">
        <f>'Q100a-geral'!SHQ887</f>
        <v>0</v>
      </c>
      <c r="SHR364" s="373">
        <f>'Q100a-geral'!SHR887</f>
        <v>0</v>
      </c>
      <c r="SHS364" s="373">
        <f>'Q100a-geral'!SHS887</f>
        <v>0</v>
      </c>
      <c r="SHT364" s="373">
        <f>'Q100a-geral'!SHT887</f>
        <v>0</v>
      </c>
      <c r="SHU364" s="373">
        <f>'Q100a-geral'!SHU887</f>
        <v>0</v>
      </c>
      <c r="SHV364" s="373">
        <f>'Q100a-geral'!SHV887</f>
        <v>0</v>
      </c>
      <c r="SHW364" s="373">
        <f>'Q100a-geral'!SHW887</f>
        <v>0</v>
      </c>
      <c r="SHX364" s="373">
        <f>'Q100a-geral'!SHX887</f>
        <v>0</v>
      </c>
      <c r="SHY364" s="373">
        <f>'Q100a-geral'!SHY887</f>
        <v>0</v>
      </c>
      <c r="SHZ364" s="373">
        <f>'Q100a-geral'!SHZ887</f>
        <v>0</v>
      </c>
      <c r="SIA364" s="373">
        <f>'Q100a-geral'!SIA887</f>
        <v>0</v>
      </c>
      <c r="SIB364" s="373">
        <f>'Q100a-geral'!SIB887</f>
        <v>0</v>
      </c>
      <c r="SIC364" s="373">
        <f>'Q100a-geral'!SIC887</f>
        <v>0</v>
      </c>
      <c r="SID364" s="373">
        <f>'Q100a-geral'!SID887</f>
        <v>0</v>
      </c>
      <c r="SIE364" s="373">
        <f>'Q100a-geral'!SIE887</f>
        <v>0</v>
      </c>
      <c r="SIF364" s="373">
        <f>'Q100a-geral'!SIF887</f>
        <v>0</v>
      </c>
      <c r="SIG364" s="373">
        <f>'Q100a-geral'!SIG887</f>
        <v>0</v>
      </c>
      <c r="SIH364" s="373">
        <f>'Q100a-geral'!SIH887</f>
        <v>0</v>
      </c>
      <c r="SII364" s="373">
        <f>'Q100a-geral'!SII887</f>
        <v>0</v>
      </c>
      <c r="SIJ364" s="373">
        <f>'Q100a-geral'!SIJ887</f>
        <v>0</v>
      </c>
      <c r="SIK364" s="373">
        <f>'Q100a-geral'!SIK887</f>
        <v>0</v>
      </c>
      <c r="SIL364" s="373">
        <f>'Q100a-geral'!SIL887</f>
        <v>0</v>
      </c>
      <c r="SIM364" s="373">
        <f>'Q100a-geral'!SIM887</f>
        <v>0</v>
      </c>
      <c r="SIN364" s="373">
        <f>'Q100a-geral'!SIN887</f>
        <v>0</v>
      </c>
      <c r="SIO364" s="373">
        <f>'Q100a-geral'!SIO887</f>
        <v>0</v>
      </c>
      <c r="SIP364" s="373">
        <f>'Q100a-geral'!SIP887</f>
        <v>0</v>
      </c>
      <c r="SIQ364" s="373">
        <f>'Q100a-geral'!SIQ887</f>
        <v>0</v>
      </c>
      <c r="SIR364" s="373">
        <f>'Q100a-geral'!SIR887</f>
        <v>0</v>
      </c>
      <c r="SIS364" s="373">
        <f>'Q100a-geral'!SIS887</f>
        <v>0</v>
      </c>
      <c r="SIT364" s="373">
        <f>'Q100a-geral'!SIT887</f>
        <v>0</v>
      </c>
      <c r="SIU364" s="373">
        <f>'Q100a-geral'!SIU887</f>
        <v>0</v>
      </c>
      <c r="SIV364" s="373">
        <f>'Q100a-geral'!SIV887</f>
        <v>0</v>
      </c>
      <c r="SIW364" s="373">
        <f>'Q100a-geral'!SIW887</f>
        <v>0</v>
      </c>
      <c r="SIX364" s="373">
        <f>'Q100a-geral'!SIX887</f>
        <v>0</v>
      </c>
      <c r="SIY364" s="373">
        <f>'Q100a-geral'!SIY887</f>
        <v>0</v>
      </c>
      <c r="SIZ364" s="373">
        <f>'Q100a-geral'!SIZ887</f>
        <v>0</v>
      </c>
      <c r="SJA364" s="373">
        <f>'Q100a-geral'!SJA887</f>
        <v>0</v>
      </c>
      <c r="SJB364" s="373">
        <f>'Q100a-geral'!SJB887</f>
        <v>0</v>
      </c>
      <c r="SJC364" s="373">
        <f>'Q100a-geral'!SJC887</f>
        <v>0</v>
      </c>
      <c r="SJD364" s="373">
        <f>'Q100a-geral'!SJD887</f>
        <v>0</v>
      </c>
      <c r="SJE364" s="373">
        <f>'Q100a-geral'!SJE887</f>
        <v>0</v>
      </c>
      <c r="SJF364" s="373">
        <f>'Q100a-geral'!SJF887</f>
        <v>0</v>
      </c>
      <c r="SJG364" s="373">
        <f>'Q100a-geral'!SJG887</f>
        <v>0</v>
      </c>
      <c r="SJH364" s="373">
        <f>'Q100a-geral'!SJH887</f>
        <v>0</v>
      </c>
      <c r="SJI364" s="373">
        <f>'Q100a-geral'!SJI887</f>
        <v>0</v>
      </c>
      <c r="SJJ364" s="373">
        <f>'Q100a-geral'!SJJ887</f>
        <v>0</v>
      </c>
      <c r="SJK364" s="373">
        <f>'Q100a-geral'!SJK887</f>
        <v>0</v>
      </c>
      <c r="SJL364" s="373">
        <f>'Q100a-geral'!SJL887</f>
        <v>0</v>
      </c>
      <c r="SJM364" s="373">
        <f>'Q100a-geral'!SJM887</f>
        <v>0</v>
      </c>
      <c r="SJN364" s="373">
        <f>'Q100a-geral'!SJN887</f>
        <v>0</v>
      </c>
      <c r="SJO364" s="373">
        <f>'Q100a-geral'!SJO887</f>
        <v>0</v>
      </c>
      <c r="SJP364" s="373">
        <f>'Q100a-geral'!SJP887</f>
        <v>0</v>
      </c>
      <c r="SJQ364" s="373">
        <f>'Q100a-geral'!SJQ887</f>
        <v>0</v>
      </c>
      <c r="SJR364" s="373">
        <f>'Q100a-geral'!SJR887</f>
        <v>0</v>
      </c>
      <c r="SJS364" s="373">
        <f>'Q100a-geral'!SJS887</f>
        <v>0</v>
      </c>
      <c r="SJT364" s="373">
        <f>'Q100a-geral'!SJT887</f>
        <v>0</v>
      </c>
      <c r="SJU364" s="373">
        <f>'Q100a-geral'!SJU887</f>
        <v>0</v>
      </c>
      <c r="SJV364" s="373">
        <f>'Q100a-geral'!SJV887</f>
        <v>0</v>
      </c>
      <c r="SJW364" s="373">
        <f>'Q100a-geral'!SJW887</f>
        <v>0</v>
      </c>
      <c r="SJX364" s="373">
        <f>'Q100a-geral'!SJX887</f>
        <v>0</v>
      </c>
      <c r="SJY364" s="373">
        <f>'Q100a-geral'!SJY887</f>
        <v>0</v>
      </c>
      <c r="SJZ364" s="373">
        <f>'Q100a-geral'!SJZ887</f>
        <v>0</v>
      </c>
      <c r="SKA364" s="373">
        <f>'Q100a-geral'!SKA887</f>
        <v>0</v>
      </c>
      <c r="SKB364" s="373">
        <f>'Q100a-geral'!SKB887</f>
        <v>0</v>
      </c>
      <c r="SKC364" s="373">
        <f>'Q100a-geral'!SKC887</f>
        <v>0</v>
      </c>
      <c r="SKD364" s="373">
        <f>'Q100a-geral'!SKD887</f>
        <v>0</v>
      </c>
      <c r="SKE364" s="373">
        <f>'Q100a-geral'!SKE887</f>
        <v>0</v>
      </c>
      <c r="SKF364" s="373">
        <f>'Q100a-geral'!SKF887</f>
        <v>0</v>
      </c>
      <c r="SKG364" s="373">
        <f>'Q100a-geral'!SKG887</f>
        <v>0</v>
      </c>
      <c r="SKH364" s="373">
        <f>'Q100a-geral'!SKH887</f>
        <v>0</v>
      </c>
      <c r="SKI364" s="373">
        <f>'Q100a-geral'!SKI887</f>
        <v>0</v>
      </c>
      <c r="SKJ364" s="373">
        <f>'Q100a-geral'!SKJ887</f>
        <v>0</v>
      </c>
      <c r="SKK364" s="373">
        <f>'Q100a-geral'!SKK887</f>
        <v>0</v>
      </c>
      <c r="SKL364" s="373">
        <f>'Q100a-geral'!SKL887</f>
        <v>0</v>
      </c>
      <c r="SKM364" s="373">
        <f>'Q100a-geral'!SKM887</f>
        <v>0</v>
      </c>
      <c r="SKN364" s="373">
        <f>'Q100a-geral'!SKN887</f>
        <v>0</v>
      </c>
      <c r="SKO364" s="373">
        <f>'Q100a-geral'!SKO887</f>
        <v>0</v>
      </c>
      <c r="SKP364" s="373">
        <f>'Q100a-geral'!SKP887</f>
        <v>0</v>
      </c>
      <c r="SKQ364" s="373">
        <f>'Q100a-geral'!SKQ887</f>
        <v>0</v>
      </c>
      <c r="SKR364" s="373">
        <f>'Q100a-geral'!SKR887</f>
        <v>0</v>
      </c>
      <c r="SKS364" s="373">
        <f>'Q100a-geral'!SKS887</f>
        <v>0</v>
      </c>
      <c r="SKT364" s="373">
        <f>'Q100a-geral'!SKT887</f>
        <v>0</v>
      </c>
      <c r="SKU364" s="373">
        <f>'Q100a-geral'!SKU887</f>
        <v>0</v>
      </c>
      <c r="SKV364" s="373">
        <f>'Q100a-geral'!SKV887</f>
        <v>0</v>
      </c>
      <c r="SKW364" s="373">
        <f>'Q100a-geral'!SKW887</f>
        <v>0</v>
      </c>
      <c r="SKX364" s="373">
        <f>'Q100a-geral'!SKX887</f>
        <v>0</v>
      </c>
      <c r="SKY364" s="373">
        <f>'Q100a-geral'!SKY887</f>
        <v>0</v>
      </c>
      <c r="SKZ364" s="373">
        <f>'Q100a-geral'!SKZ887</f>
        <v>0</v>
      </c>
      <c r="SLA364" s="373">
        <f>'Q100a-geral'!SLA887</f>
        <v>0</v>
      </c>
      <c r="SLB364" s="373">
        <f>'Q100a-geral'!SLB887</f>
        <v>0</v>
      </c>
      <c r="SLC364" s="373">
        <f>'Q100a-geral'!SLC887</f>
        <v>0</v>
      </c>
      <c r="SLD364" s="373">
        <f>'Q100a-geral'!SLD887</f>
        <v>0</v>
      </c>
      <c r="SLE364" s="373">
        <f>'Q100a-geral'!SLE887</f>
        <v>0</v>
      </c>
      <c r="SLF364" s="373">
        <f>'Q100a-geral'!SLF887</f>
        <v>0</v>
      </c>
      <c r="SLG364" s="373">
        <f>'Q100a-geral'!SLG887</f>
        <v>0</v>
      </c>
      <c r="SLH364" s="373">
        <f>'Q100a-geral'!SLH887</f>
        <v>0</v>
      </c>
      <c r="SLI364" s="373">
        <f>'Q100a-geral'!SLI887</f>
        <v>0</v>
      </c>
      <c r="SLJ364" s="373">
        <f>'Q100a-geral'!SLJ887</f>
        <v>0</v>
      </c>
      <c r="SLK364" s="373">
        <f>'Q100a-geral'!SLK887</f>
        <v>0</v>
      </c>
      <c r="SLL364" s="373">
        <f>'Q100a-geral'!SLL887</f>
        <v>0</v>
      </c>
      <c r="SLM364" s="373">
        <f>'Q100a-geral'!SLM887</f>
        <v>0</v>
      </c>
      <c r="SLN364" s="373">
        <f>'Q100a-geral'!SLN887</f>
        <v>0</v>
      </c>
      <c r="SLO364" s="373">
        <f>'Q100a-geral'!SLO887</f>
        <v>0</v>
      </c>
      <c r="SLP364" s="373">
        <f>'Q100a-geral'!SLP887</f>
        <v>0</v>
      </c>
      <c r="SLQ364" s="373">
        <f>'Q100a-geral'!SLQ887</f>
        <v>0</v>
      </c>
      <c r="SLR364" s="373">
        <f>'Q100a-geral'!SLR887</f>
        <v>0</v>
      </c>
      <c r="SLS364" s="373">
        <f>'Q100a-geral'!SLS887</f>
        <v>0</v>
      </c>
      <c r="SLT364" s="373">
        <f>'Q100a-geral'!SLT887</f>
        <v>0</v>
      </c>
      <c r="SLU364" s="373">
        <f>'Q100a-geral'!SLU887</f>
        <v>0</v>
      </c>
      <c r="SLV364" s="373">
        <f>'Q100a-geral'!SLV887</f>
        <v>0</v>
      </c>
      <c r="SLW364" s="373">
        <f>'Q100a-geral'!SLW887</f>
        <v>0</v>
      </c>
      <c r="SLX364" s="373">
        <f>'Q100a-geral'!SLX887</f>
        <v>0</v>
      </c>
      <c r="SLY364" s="373">
        <f>'Q100a-geral'!SLY887</f>
        <v>0</v>
      </c>
      <c r="SLZ364" s="373">
        <f>'Q100a-geral'!SLZ887</f>
        <v>0</v>
      </c>
      <c r="SMA364" s="373">
        <f>'Q100a-geral'!SMA887</f>
        <v>0</v>
      </c>
      <c r="SMB364" s="373">
        <f>'Q100a-geral'!SMB887</f>
        <v>0</v>
      </c>
      <c r="SMC364" s="373">
        <f>'Q100a-geral'!SMC887</f>
        <v>0</v>
      </c>
      <c r="SMD364" s="373">
        <f>'Q100a-geral'!SMD887</f>
        <v>0</v>
      </c>
      <c r="SME364" s="373">
        <f>'Q100a-geral'!SME887</f>
        <v>0</v>
      </c>
      <c r="SMF364" s="373">
        <f>'Q100a-geral'!SMF887</f>
        <v>0</v>
      </c>
      <c r="SMG364" s="373">
        <f>'Q100a-geral'!SMG887</f>
        <v>0</v>
      </c>
      <c r="SMH364" s="373">
        <f>'Q100a-geral'!SMH887</f>
        <v>0</v>
      </c>
      <c r="SMI364" s="373">
        <f>'Q100a-geral'!SMI887</f>
        <v>0</v>
      </c>
      <c r="SMJ364" s="373">
        <f>'Q100a-geral'!SMJ887</f>
        <v>0</v>
      </c>
      <c r="SMK364" s="373">
        <f>'Q100a-geral'!SMK887</f>
        <v>0</v>
      </c>
      <c r="SML364" s="373">
        <f>'Q100a-geral'!SML887</f>
        <v>0</v>
      </c>
      <c r="SMM364" s="373">
        <f>'Q100a-geral'!SMM887</f>
        <v>0</v>
      </c>
      <c r="SMN364" s="373">
        <f>'Q100a-geral'!SMN887</f>
        <v>0</v>
      </c>
      <c r="SMO364" s="373">
        <f>'Q100a-geral'!SMO887</f>
        <v>0</v>
      </c>
      <c r="SMP364" s="373">
        <f>'Q100a-geral'!SMP887</f>
        <v>0</v>
      </c>
      <c r="SMQ364" s="373">
        <f>'Q100a-geral'!SMQ887</f>
        <v>0</v>
      </c>
      <c r="SMR364" s="373">
        <f>'Q100a-geral'!SMR887</f>
        <v>0</v>
      </c>
      <c r="SMS364" s="373">
        <f>'Q100a-geral'!SMS887</f>
        <v>0</v>
      </c>
      <c r="SMT364" s="373">
        <f>'Q100a-geral'!SMT887</f>
        <v>0</v>
      </c>
      <c r="SMU364" s="373">
        <f>'Q100a-geral'!SMU887</f>
        <v>0</v>
      </c>
      <c r="SMV364" s="373">
        <f>'Q100a-geral'!SMV887</f>
        <v>0</v>
      </c>
      <c r="SMW364" s="373">
        <f>'Q100a-geral'!SMW887</f>
        <v>0</v>
      </c>
      <c r="SMX364" s="373">
        <f>'Q100a-geral'!SMX887</f>
        <v>0</v>
      </c>
      <c r="SMY364" s="373">
        <f>'Q100a-geral'!SMY887</f>
        <v>0</v>
      </c>
      <c r="SMZ364" s="373">
        <f>'Q100a-geral'!SMZ887</f>
        <v>0</v>
      </c>
      <c r="SNA364" s="373">
        <f>'Q100a-geral'!SNA887</f>
        <v>0</v>
      </c>
      <c r="SNB364" s="373">
        <f>'Q100a-geral'!SNB887</f>
        <v>0</v>
      </c>
      <c r="SNC364" s="373">
        <f>'Q100a-geral'!SNC887</f>
        <v>0</v>
      </c>
      <c r="SND364" s="373">
        <f>'Q100a-geral'!SND887</f>
        <v>0</v>
      </c>
      <c r="SNE364" s="373">
        <f>'Q100a-geral'!SNE887</f>
        <v>0</v>
      </c>
      <c r="SNF364" s="373">
        <f>'Q100a-geral'!SNF887</f>
        <v>0</v>
      </c>
      <c r="SNG364" s="373">
        <f>'Q100a-geral'!SNG887</f>
        <v>0</v>
      </c>
      <c r="SNH364" s="373">
        <f>'Q100a-geral'!SNH887</f>
        <v>0</v>
      </c>
      <c r="SNI364" s="373">
        <f>'Q100a-geral'!SNI887</f>
        <v>0</v>
      </c>
      <c r="SNJ364" s="373">
        <f>'Q100a-geral'!SNJ887</f>
        <v>0</v>
      </c>
      <c r="SNK364" s="373">
        <f>'Q100a-geral'!SNK887</f>
        <v>0</v>
      </c>
      <c r="SNL364" s="373">
        <f>'Q100a-geral'!SNL887</f>
        <v>0</v>
      </c>
      <c r="SNM364" s="373">
        <f>'Q100a-geral'!SNM887</f>
        <v>0</v>
      </c>
      <c r="SNN364" s="373">
        <f>'Q100a-geral'!SNN887</f>
        <v>0</v>
      </c>
      <c r="SNO364" s="373">
        <f>'Q100a-geral'!SNO887</f>
        <v>0</v>
      </c>
      <c r="SNP364" s="373">
        <f>'Q100a-geral'!SNP887</f>
        <v>0</v>
      </c>
      <c r="SNQ364" s="373">
        <f>'Q100a-geral'!SNQ887</f>
        <v>0</v>
      </c>
      <c r="SNR364" s="373">
        <f>'Q100a-geral'!SNR887</f>
        <v>0</v>
      </c>
      <c r="SNS364" s="373">
        <f>'Q100a-geral'!SNS887</f>
        <v>0</v>
      </c>
      <c r="SNT364" s="373">
        <f>'Q100a-geral'!SNT887</f>
        <v>0</v>
      </c>
      <c r="SNU364" s="373">
        <f>'Q100a-geral'!SNU887</f>
        <v>0</v>
      </c>
      <c r="SNV364" s="373">
        <f>'Q100a-geral'!SNV887</f>
        <v>0</v>
      </c>
      <c r="SNW364" s="373">
        <f>'Q100a-geral'!SNW887</f>
        <v>0</v>
      </c>
      <c r="SNX364" s="373">
        <f>'Q100a-geral'!SNX887</f>
        <v>0</v>
      </c>
      <c r="SNY364" s="373">
        <f>'Q100a-geral'!SNY887</f>
        <v>0</v>
      </c>
      <c r="SNZ364" s="373">
        <f>'Q100a-geral'!SNZ887</f>
        <v>0</v>
      </c>
      <c r="SOA364" s="373">
        <f>'Q100a-geral'!SOA887</f>
        <v>0</v>
      </c>
      <c r="SOB364" s="373">
        <f>'Q100a-geral'!SOB887</f>
        <v>0</v>
      </c>
      <c r="SOC364" s="373">
        <f>'Q100a-geral'!SOC887</f>
        <v>0</v>
      </c>
      <c r="SOD364" s="373">
        <f>'Q100a-geral'!SOD887</f>
        <v>0</v>
      </c>
      <c r="SOE364" s="373">
        <f>'Q100a-geral'!SOE887</f>
        <v>0</v>
      </c>
      <c r="SOF364" s="373">
        <f>'Q100a-geral'!SOF887</f>
        <v>0</v>
      </c>
      <c r="SOG364" s="373">
        <f>'Q100a-geral'!SOG887</f>
        <v>0</v>
      </c>
      <c r="SOH364" s="373">
        <f>'Q100a-geral'!SOH887</f>
        <v>0</v>
      </c>
      <c r="SOI364" s="373">
        <f>'Q100a-geral'!SOI887</f>
        <v>0</v>
      </c>
      <c r="SOJ364" s="373">
        <f>'Q100a-geral'!SOJ887</f>
        <v>0</v>
      </c>
      <c r="SOK364" s="373">
        <f>'Q100a-geral'!SOK887</f>
        <v>0</v>
      </c>
      <c r="SOL364" s="373">
        <f>'Q100a-geral'!SOL887</f>
        <v>0</v>
      </c>
      <c r="SOM364" s="373">
        <f>'Q100a-geral'!SOM887</f>
        <v>0</v>
      </c>
      <c r="SON364" s="373">
        <f>'Q100a-geral'!SON887</f>
        <v>0</v>
      </c>
      <c r="SOO364" s="373">
        <f>'Q100a-geral'!SOO887</f>
        <v>0</v>
      </c>
      <c r="SOP364" s="373">
        <f>'Q100a-geral'!SOP887</f>
        <v>0</v>
      </c>
      <c r="SOQ364" s="373">
        <f>'Q100a-geral'!SOQ887</f>
        <v>0</v>
      </c>
      <c r="SOR364" s="373">
        <f>'Q100a-geral'!SOR887</f>
        <v>0</v>
      </c>
      <c r="SOS364" s="373">
        <f>'Q100a-geral'!SOS887</f>
        <v>0</v>
      </c>
      <c r="SOT364" s="373">
        <f>'Q100a-geral'!SOT887</f>
        <v>0</v>
      </c>
      <c r="SOU364" s="373">
        <f>'Q100a-geral'!SOU887</f>
        <v>0</v>
      </c>
      <c r="SOV364" s="373">
        <f>'Q100a-geral'!SOV887</f>
        <v>0</v>
      </c>
      <c r="SOW364" s="373">
        <f>'Q100a-geral'!SOW887</f>
        <v>0</v>
      </c>
      <c r="SOX364" s="373">
        <f>'Q100a-geral'!SOX887</f>
        <v>0</v>
      </c>
      <c r="SOY364" s="373">
        <f>'Q100a-geral'!SOY887</f>
        <v>0</v>
      </c>
      <c r="SOZ364" s="373">
        <f>'Q100a-geral'!SOZ887</f>
        <v>0</v>
      </c>
      <c r="SPA364" s="373">
        <f>'Q100a-geral'!SPA887</f>
        <v>0</v>
      </c>
      <c r="SPB364" s="373">
        <f>'Q100a-geral'!SPB887</f>
        <v>0</v>
      </c>
      <c r="SPC364" s="373">
        <f>'Q100a-geral'!SPC887</f>
        <v>0</v>
      </c>
      <c r="SPD364" s="373">
        <f>'Q100a-geral'!SPD887</f>
        <v>0</v>
      </c>
      <c r="SPE364" s="373">
        <f>'Q100a-geral'!SPE887</f>
        <v>0</v>
      </c>
      <c r="SPF364" s="373">
        <f>'Q100a-geral'!SPF887</f>
        <v>0</v>
      </c>
      <c r="SPG364" s="373">
        <f>'Q100a-geral'!SPG887</f>
        <v>0</v>
      </c>
      <c r="SPH364" s="373">
        <f>'Q100a-geral'!SPH887</f>
        <v>0</v>
      </c>
      <c r="SPI364" s="373">
        <f>'Q100a-geral'!SPI887</f>
        <v>0</v>
      </c>
      <c r="SPJ364" s="373">
        <f>'Q100a-geral'!SPJ887</f>
        <v>0</v>
      </c>
      <c r="SPK364" s="373">
        <f>'Q100a-geral'!SPK887</f>
        <v>0</v>
      </c>
      <c r="SPL364" s="373">
        <f>'Q100a-geral'!SPL887</f>
        <v>0</v>
      </c>
      <c r="SPM364" s="373">
        <f>'Q100a-geral'!SPM887</f>
        <v>0</v>
      </c>
      <c r="SPN364" s="373">
        <f>'Q100a-geral'!SPN887</f>
        <v>0</v>
      </c>
      <c r="SPO364" s="373">
        <f>'Q100a-geral'!SPO887</f>
        <v>0</v>
      </c>
      <c r="SPP364" s="373">
        <f>'Q100a-geral'!SPP887</f>
        <v>0</v>
      </c>
      <c r="SPQ364" s="373">
        <f>'Q100a-geral'!SPQ887</f>
        <v>0</v>
      </c>
      <c r="SPR364" s="373">
        <f>'Q100a-geral'!SPR887</f>
        <v>0</v>
      </c>
      <c r="SPS364" s="373">
        <f>'Q100a-geral'!SPS887</f>
        <v>0</v>
      </c>
      <c r="SPT364" s="373">
        <f>'Q100a-geral'!SPT887</f>
        <v>0</v>
      </c>
      <c r="SPU364" s="373">
        <f>'Q100a-geral'!SPU887</f>
        <v>0</v>
      </c>
      <c r="SPV364" s="373">
        <f>'Q100a-geral'!SPV887</f>
        <v>0</v>
      </c>
      <c r="SPW364" s="373">
        <f>'Q100a-geral'!SPW887</f>
        <v>0</v>
      </c>
      <c r="SPX364" s="373">
        <f>'Q100a-geral'!SPX887</f>
        <v>0</v>
      </c>
      <c r="SPY364" s="373">
        <f>'Q100a-geral'!SPY887</f>
        <v>0</v>
      </c>
      <c r="SPZ364" s="373">
        <f>'Q100a-geral'!SPZ887</f>
        <v>0</v>
      </c>
      <c r="SQA364" s="373">
        <f>'Q100a-geral'!SQA887</f>
        <v>0</v>
      </c>
      <c r="SQB364" s="373">
        <f>'Q100a-geral'!SQB887</f>
        <v>0</v>
      </c>
      <c r="SQC364" s="373">
        <f>'Q100a-geral'!SQC887</f>
        <v>0</v>
      </c>
      <c r="SQD364" s="373">
        <f>'Q100a-geral'!SQD887</f>
        <v>0</v>
      </c>
      <c r="SQE364" s="373">
        <f>'Q100a-geral'!SQE887</f>
        <v>0</v>
      </c>
      <c r="SQF364" s="373">
        <f>'Q100a-geral'!SQF887</f>
        <v>0</v>
      </c>
      <c r="SQG364" s="373">
        <f>'Q100a-geral'!SQG887</f>
        <v>0</v>
      </c>
      <c r="SQH364" s="373">
        <f>'Q100a-geral'!SQH887</f>
        <v>0</v>
      </c>
      <c r="SQI364" s="373">
        <f>'Q100a-geral'!SQI887</f>
        <v>0</v>
      </c>
      <c r="SQJ364" s="373">
        <f>'Q100a-geral'!SQJ887</f>
        <v>0</v>
      </c>
      <c r="SQK364" s="373">
        <f>'Q100a-geral'!SQK887</f>
        <v>0</v>
      </c>
      <c r="SQL364" s="373">
        <f>'Q100a-geral'!SQL887</f>
        <v>0</v>
      </c>
      <c r="SQM364" s="373">
        <f>'Q100a-geral'!SQM887</f>
        <v>0</v>
      </c>
      <c r="SQN364" s="373">
        <f>'Q100a-geral'!SQN887</f>
        <v>0</v>
      </c>
      <c r="SQO364" s="373">
        <f>'Q100a-geral'!SQO887</f>
        <v>0</v>
      </c>
      <c r="SQP364" s="373">
        <f>'Q100a-geral'!SQP887</f>
        <v>0</v>
      </c>
      <c r="SQQ364" s="373">
        <f>'Q100a-geral'!SQQ887</f>
        <v>0</v>
      </c>
      <c r="SQR364" s="373">
        <f>'Q100a-geral'!SQR887</f>
        <v>0</v>
      </c>
      <c r="SQS364" s="373">
        <f>'Q100a-geral'!SQS887</f>
        <v>0</v>
      </c>
      <c r="SQT364" s="373">
        <f>'Q100a-geral'!SQT887</f>
        <v>0</v>
      </c>
      <c r="SQU364" s="373">
        <f>'Q100a-geral'!SQU887</f>
        <v>0</v>
      </c>
      <c r="SQV364" s="373">
        <f>'Q100a-geral'!SQV887</f>
        <v>0</v>
      </c>
      <c r="SQW364" s="373">
        <f>'Q100a-geral'!SQW887</f>
        <v>0</v>
      </c>
      <c r="SQX364" s="373">
        <f>'Q100a-geral'!SQX887</f>
        <v>0</v>
      </c>
      <c r="SQY364" s="373">
        <f>'Q100a-geral'!SQY887</f>
        <v>0</v>
      </c>
      <c r="SQZ364" s="373">
        <f>'Q100a-geral'!SQZ887</f>
        <v>0</v>
      </c>
      <c r="SRA364" s="373">
        <f>'Q100a-geral'!SRA887</f>
        <v>0</v>
      </c>
      <c r="SRB364" s="373">
        <f>'Q100a-geral'!SRB887</f>
        <v>0</v>
      </c>
      <c r="SRC364" s="373">
        <f>'Q100a-geral'!SRC887</f>
        <v>0</v>
      </c>
      <c r="SRD364" s="373">
        <f>'Q100a-geral'!SRD887</f>
        <v>0</v>
      </c>
      <c r="SRE364" s="373">
        <f>'Q100a-geral'!SRE887</f>
        <v>0</v>
      </c>
      <c r="SRF364" s="373">
        <f>'Q100a-geral'!SRF887</f>
        <v>0</v>
      </c>
      <c r="SRG364" s="373">
        <f>'Q100a-geral'!SRG887</f>
        <v>0</v>
      </c>
      <c r="SRH364" s="373">
        <f>'Q100a-geral'!SRH887</f>
        <v>0</v>
      </c>
      <c r="SRI364" s="373">
        <f>'Q100a-geral'!SRI887</f>
        <v>0</v>
      </c>
      <c r="SRJ364" s="373">
        <f>'Q100a-geral'!SRJ887</f>
        <v>0</v>
      </c>
      <c r="SRK364" s="373">
        <f>'Q100a-geral'!SRK887</f>
        <v>0</v>
      </c>
      <c r="SRL364" s="373">
        <f>'Q100a-geral'!SRL887</f>
        <v>0</v>
      </c>
      <c r="SRM364" s="373">
        <f>'Q100a-geral'!SRM887</f>
        <v>0</v>
      </c>
      <c r="SRN364" s="373">
        <f>'Q100a-geral'!SRN887</f>
        <v>0</v>
      </c>
      <c r="SRO364" s="373">
        <f>'Q100a-geral'!SRO887</f>
        <v>0</v>
      </c>
      <c r="SRP364" s="373">
        <f>'Q100a-geral'!SRP887</f>
        <v>0</v>
      </c>
      <c r="SRQ364" s="373">
        <f>'Q100a-geral'!SRQ887</f>
        <v>0</v>
      </c>
      <c r="SRR364" s="373">
        <f>'Q100a-geral'!SRR887</f>
        <v>0</v>
      </c>
      <c r="SRS364" s="373">
        <f>'Q100a-geral'!SRS887</f>
        <v>0</v>
      </c>
      <c r="SRT364" s="373">
        <f>'Q100a-geral'!SRT887</f>
        <v>0</v>
      </c>
      <c r="SRU364" s="373">
        <f>'Q100a-geral'!SRU887</f>
        <v>0</v>
      </c>
      <c r="SRV364" s="373">
        <f>'Q100a-geral'!SRV887</f>
        <v>0</v>
      </c>
      <c r="SRW364" s="373">
        <f>'Q100a-geral'!SRW887</f>
        <v>0</v>
      </c>
      <c r="SRX364" s="373">
        <f>'Q100a-geral'!SRX887</f>
        <v>0</v>
      </c>
      <c r="SRY364" s="373">
        <f>'Q100a-geral'!SRY887</f>
        <v>0</v>
      </c>
      <c r="SRZ364" s="373">
        <f>'Q100a-geral'!SRZ887</f>
        <v>0</v>
      </c>
      <c r="SSA364" s="373">
        <f>'Q100a-geral'!SSA887</f>
        <v>0</v>
      </c>
      <c r="SSB364" s="373">
        <f>'Q100a-geral'!SSB887</f>
        <v>0</v>
      </c>
      <c r="SSC364" s="373">
        <f>'Q100a-geral'!SSC887</f>
        <v>0</v>
      </c>
      <c r="SSD364" s="373">
        <f>'Q100a-geral'!SSD887</f>
        <v>0</v>
      </c>
      <c r="SSE364" s="373">
        <f>'Q100a-geral'!SSE887</f>
        <v>0</v>
      </c>
      <c r="SSF364" s="373">
        <f>'Q100a-geral'!SSF887</f>
        <v>0</v>
      </c>
      <c r="SSG364" s="373">
        <f>'Q100a-geral'!SSG887</f>
        <v>0</v>
      </c>
      <c r="SSH364" s="373">
        <f>'Q100a-geral'!SSH887</f>
        <v>0</v>
      </c>
      <c r="SSI364" s="373">
        <f>'Q100a-geral'!SSI887</f>
        <v>0</v>
      </c>
      <c r="SSJ364" s="373">
        <f>'Q100a-geral'!SSJ887</f>
        <v>0</v>
      </c>
      <c r="SSK364" s="373">
        <f>'Q100a-geral'!SSK887</f>
        <v>0</v>
      </c>
      <c r="SSL364" s="373">
        <f>'Q100a-geral'!SSL887</f>
        <v>0</v>
      </c>
      <c r="SSM364" s="373">
        <f>'Q100a-geral'!SSM887</f>
        <v>0</v>
      </c>
      <c r="SSN364" s="373">
        <f>'Q100a-geral'!SSN887</f>
        <v>0</v>
      </c>
      <c r="SSO364" s="373">
        <f>'Q100a-geral'!SSO887</f>
        <v>0</v>
      </c>
      <c r="SSP364" s="373">
        <f>'Q100a-geral'!SSP887</f>
        <v>0</v>
      </c>
      <c r="SSQ364" s="373">
        <f>'Q100a-geral'!SSQ887</f>
        <v>0</v>
      </c>
      <c r="SSR364" s="373">
        <f>'Q100a-geral'!SSR887</f>
        <v>0</v>
      </c>
      <c r="SSS364" s="373">
        <f>'Q100a-geral'!SSS887</f>
        <v>0</v>
      </c>
      <c r="SST364" s="373">
        <f>'Q100a-geral'!SST887</f>
        <v>0</v>
      </c>
      <c r="SSU364" s="373">
        <f>'Q100a-geral'!SSU887</f>
        <v>0</v>
      </c>
      <c r="SSV364" s="373">
        <f>'Q100a-geral'!SSV887</f>
        <v>0</v>
      </c>
      <c r="SSW364" s="373">
        <f>'Q100a-geral'!SSW887</f>
        <v>0</v>
      </c>
      <c r="SSX364" s="373">
        <f>'Q100a-geral'!SSX887</f>
        <v>0</v>
      </c>
      <c r="SSY364" s="373">
        <f>'Q100a-geral'!SSY887</f>
        <v>0</v>
      </c>
      <c r="SSZ364" s="373">
        <f>'Q100a-geral'!SSZ887</f>
        <v>0</v>
      </c>
      <c r="STA364" s="373">
        <f>'Q100a-geral'!STA887</f>
        <v>0</v>
      </c>
      <c r="STB364" s="373">
        <f>'Q100a-geral'!STB887</f>
        <v>0</v>
      </c>
      <c r="STC364" s="373">
        <f>'Q100a-geral'!STC887</f>
        <v>0</v>
      </c>
      <c r="STD364" s="373">
        <f>'Q100a-geral'!STD887</f>
        <v>0</v>
      </c>
      <c r="STE364" s="373">
        <f>'Q100a-geral'!STE887</f>
        <v>0</v>
      </c>
      <c r="STF364" s="373">
        <f>'Q100a-geral'!STF887</f>
        <v>0</v>
      </c>
      <c r="STG364" s="373">
        <f>'Q100a-geral'!STG887</f>
        <v>0</v>
      </c>
      <c r="STH364" s="373">
        <f>'Q100a-geral'!STH887</f>
        <v>0</v>
      </c>
      <c r="STI364" s="373">
        <f>'Q100a-geral'!STI887</f>
        <v>0</v>
      </c>
      <c r="STJ364" s="373">
        <f>'Q100a-geral'!STJ887</f>
        <v>0</v>
      </c>
      <c r="STK364" s="373">
        <f>'Q100a-geral'!STK887</f>
        <v>0</v>
      </c>
      <c r="STL364" s="373">
        <f>'Q100a-geral'!STL887</f>
        <v>0</v>
      </c>
      <c r="STM364" s="373">
        <f>'Q100a-geral'!STM887</f>
        <v>0</v>
      </c>
      <c r="STN364" s="373">
        <f>'Q100a-geral'!STN887</f>
        <v>0</v>
      </c>
      <c r="STO364" s="373">
        <f>'Q100a-geral'!STO887</f>
        <v>0</v>
      </c>
      <c r="STP364" s="373">
        <f>'Q100a-geral'!STP887</f>
        <v>0</v>
      </c>
      <c r="STQ364" s="373">
        <f>'Q100a-geral'!STQ887</f>
        <v>0</v>
      </c>
      <c r="STR364" s="373">
        <f>'Q100a-geral'!STR887</f>
        <v>0</v>
      </c>
      <c r="STS364" s="373">
        <f>'Q100a-geral'!STS887</f>
        <v>0</v>
      </c>
      <c r="STT364" s="373">
        <f>'Q100a-geral'!STT887</f>
        <v>0</v>
      </c>
      <c r="STU364" s="373">
        <f>'Q100a-geral'!STU887</f>
        <v>0</v>
      </c>
      <c r="STV364" s="373">
        <f>'Q100a-geral'!STV887</f>
        <v>0</v>
      </c>
      <c r="STW364" s="373">
        <f>'Q100a-geral'!STW887</f>
        <v>0</v>
      </c>
      <c r="STX364" s="373">
        <f>'Q100a-geral'!STX887</f>
        <v>0</v>
      </c>
      <c r="STY364" s="373">
        <f>'Q100a-geral'!STY887</f>
        <v>0</v>
      </c>
      <c r="STZ364" s="373">
        <f>'Q100a-geral'!STZ887</f>
        <v>0</v>
      </c>
      <c r="SUA364" s="373">
        <f>'Q100a-geral'!SUA887</f>
        <v>0</v>
      </c>
      <c r="SUB364" s="373">
        <f>'Q100a-geral'!SUB887</f>
        <v>0</v>
      </c>
      <c r="SUC364" s="373">
        <f>'Q100a-geral'!SUC887</f>
        <v>0</v>
      </c>
      <c r="SUD364" s="373">
        <f>'Q100a-geral'!SUD887</f>
        <v>0</v>
      </c>
      <c r="SUE364" s="373">
        <f>'Q100a-geral'!SUE887</f>
        <v>0</v>
      </c>
      <c r="SUF364" s="373">
        <f>'Q100a-geral'!SUF887</f>
        <v>0</v>
      </c>
      <c r="SUG364" s="373">
        <f>'Q100a-geral'!SUG887</f>
        <v>0</v>
      </c>
      <c r="SUH364" s="373">
        <f>'Q100a-geral'!SUH887</f>
        <v>0</v>
      </c>
      <c r="SUI364" s="373">
        <f>'Q100a-geral'!SUI887</f>
        <v>0</v>
      </c>
      <c r="SUJ364" s="373">
        <f>'Q100a-geral'!SUJ887</f>
        <v>0</v>
      </c>
      <c r="SUK364" s="373">
        <f>'Q100a-geral'!SUK887</f>
        <v>0</v>
      </c>
      <c r="SUL364" s="373">
        <f>'Q100a-geral'!SUL887</f>
        <v>0</v>
      </c>
      <c r="SUM364" s="373">
        <f>'Q100a-geral'!SUM887</f>
        <v>0</v>
      </c>
      <c r="SUN364" s="373">
        <f>'Q100a-geral'!SUN887</f>
        <v>0</v>
      </c>
      <c r="SUO364" s="373">
        <f>'Q100a-geral'!SUO887</f>
        <v>0</v>
      </c>
      <c r="SUP364" s="373">
        <f>'Q100a-geral'!SUP887</f>
        <v>0</v>
      </c>
      <c r="SUQ364" s="373">
        <f>'Q100a-geral'!SUQ887</f>
        <v>0</v>
      </c>
      <c r="SUR364" s="373">
        <f>'Q100a-geral'!SUR887</f>
        <v>0</v>
      </c>
      <c r="SUS364" s="373">
        <f>'Q100a-geral'!SUS887</f>
        <v>0</v>
      </c>
      <c r="SUT364" s="373">
        <f>'Q100a-geral'!SUT887</f>
        <v>0</v>
      </c>
      <c r="SUU364" s="373">
        <f>'Q100a-geral'!SUU887</f>
        <v>0</v>
      </c>
      <c r="SUV364" s="373">
        <f>'Q100a-geral'!SUV887</f>
        <v>0</v>
      </c>
      <c r="SUW364" s="373">
        <f>'Q100a-geral'!SUW887</f>
        <v>0</v>
      </c>
      <c r="SUX364" s="373">
        <f>'Q100a-geral'!SUX887</f>
        <v>0</v>
      </c>
      <c r="SUY364" s="373">
        <f>'Q100a-geral'!SUY887</f>
        <v>0</v>
      </c>
      <c r="SUZ364" s="373">
        <f>'Q100a-geral'!SUZ887</f>
        <v>0</v>
      </c>
      <c r="SVA364" s="373">
        <f>'Q100a-geral'!SVA887</f>
        <v>0</v>
      </c>
      <c r="SVB364" s="373">
        <f>'Q100a-geral'!SVB887</f>
        <v>0</v>
      </c>
      <c r="SVC364" s="373">
        <f>'Q100a-geral'!SVC887</f>
        <v>0</v>
      </c>
      <c r="SVD364" s="373">
        <f>'Q100a-geral'!SVD887</f>
        <v>0</v>
      </c>
      <c r="SVE364" s="373">
        <f>'Q100a-geral'!SVE887</f>
        <v>0</v>
      </c>
      <c r="SVF364" s="373">
        <f>'Q100a-geral'!SVF887</f>
        <v>0</v>
      </c>
      <c r="SVG364" s="373">
        <f>'Q100a-geral'!SVG887</f>
        <v>0</v>
      </c>
      <c r="SVH364" s="373">
        <f>'Q100a-geral'!SVH887</f>
        <v>0</v>
      </c>
      <c r="SVI364" s="373">
        <f>'Q100a-geral'!SVI887</f>
        <v>0</v>
      </c>
      <c r="SVJ364" s="373">
        <f>'Q100a-geral'!SVJ887</f>
        <v>0</v>
      </c>
      <c r="SVK364" s="373">
        <f>'Q100a-geral'!SVK887</f>
        <v>0</v>
      </c>
      <c r="SVL364" s="373">
        <f>'Q100a-geral'!SVL887</f>
        <v>0</v>
      </c>
      <c r="SVM364" s="373">
        <f>'Q100a-geral'!SVM887</f>
        <v>0</v>
      </c>
      <c r="SVN364" s="373">
        <f>'Q100a-geral'!SVN887</f>
        <v>0</v>
      </c>
      <c r="SVO364" s="373">
        <f>'Q100a-geral'!SVO887</f>
        <v>0</v>
      </c>
      <c r="SVP364" s="373">
        <f>'Q100a-geral'!SVP887</f>
        <v>0</v>
      </c>
      <c r="SVQ364" s="373">
        <f>'Q100a-geral'!SVQ887</f>
        <v>0</v>
      </c>
      <c r="SVR364" s="373">
        <f>'Q100a-geral'!SVR887</f>
        <v>0</v>
      </c>
      <c r="SVS364" s="373">
        <f>'Q100a-geral'!SVS887</f>
        <v>0</v>
      </c>
      <c r="SVT364" s="373">
        <f>'Q100a-geral'!SVT887</f>
        <v>0</v>
      </c>
      <c r="SVU364" s="373">
        <f>'Q100a-geral'!SVU887</f>
        <v>0</v>
      </c>
      <c r="SVV364" s="373">
        <f>'Q100a-geral'!SVV887</f>
        <v>0</v>
      </c>
      <c r="SVW364" s="373">
        <f>'Q100a-geral'!SVW887</f>
        <v>0</v>
      </c>
      <c r="SVX364" s="373">
        <f>'Q100a-geral'!SVX887</f>
        <v>0</v>
      </c>
      <c r="SVY364" s="373">
        <f>'Q100a-geral'!SVY887</f>
        <v>0</v>
      </c>
      <c r="SVZ364" s="373">
        <f>'Q100a-geral'!SVZ887</f>
        <v>0</v>
      </c>
      <c r="SWA364" s="373">
        <f>'Q100a-geral'!SWA887</f>
        <v>0</v>
      </c>
      <c r="SWB364" s="373">
        <f>'Q100a-geral'!SWB887</f>
        <v>0</v>
      </c>
      <c r="SWC364" s="373">
        <f>'Q100a-geral'!SWC887</f>
        <v>0</v>
      </c>
      <c r="SWD364" s="373">
        <f>'Q100a-geral'!SWD887</f>
        <v>0</v>
      </c>
      <c r="SWE364" s="373">
        <f>'Q100a-geral'!SWE887</f>
        <v>0</v>
      </c>
      <c r="SWF364" s="373">
        <f>'Q100a-geral'!SWF887</f>
        <v>0</v>
      </c>
      <c r="SWG364" s="373">
        <f>'Q100a-geral'!SWG887</f>
        <v>0</v>
      </c>
      <c r="SWH364" s="373">
        <f>'Q100a-geral'!SWH887</f>
        <v>0</v>
      </c>
      <c r="SWI364" s="373">
        <f>'Q100a-geral'!SWI887</f>
        <v>0</v>
      </c>
      <c r="SWJ364" s="373">
        <f>'Q100a-geral'!SWJ887</f>
        <v>0</v>
      </c>
      <c r="SWK364" s="373">
        <f>'Q100a-geral'!SWK887</f>
        <v>0</v>
      </c>
      <c r="SWL364" s="373">
        <f>'Q100a-geral'!SWL887</f>
        <v>0</v>
      </c>
      <c r="SWM364" s="373">
        <f>'Q100a-geral'!SWM887</f>
        <v>0</v>
      </c>
      <c r="SWN364" s="373">
        <f>'Q100a-geral'!SWN887</f>
        <v>0</v>
      </c>
      <c r="SWO364" s="373">
        <f>'Q100a-geral'!SWO887</f>
        <v>0</v>
      </c>
      <c r="SWP364" s="373">
        <f>'Q100a-geral'!SWP887</f>
        <v>0</v>
      </c>
      <c r="SWQ364" s="373">
        <f>'Q100a-geral'!SWQ887</f>
        <v>0</v>
      </c>
      <c r="SWR364" s="373">
        <f>'Q100a-geral'!SWR887</f>
        <v>0</v>
      </c>
      <c r="SWS364" s="373">
        <f>'Q100a-geral'!SWS887</f>
        <v>0</v>
      </c>
      <c r="SWT364" s="373">
        <f>'Q100a-geral'!SWT887</f>
        <v>0</v>
      </c>
      <c r="SWU364" s="373">
        <f>'Q100a-geral'!SWU887</f>
        <v>0</v>
      </c>
      <c r="SWV364" s="373">
        <f>'Q100a-geral'!SWV887</f>
        <v>0</v>
      </c>
      <c r="SWW364" s="373">
        <f>'Q100a-geral'!SWW887</f>
        <v>0</v>
      </c>
      <c r="SWX364" s="373">
        <f>'Q100a-geral'!SWX887</f>
        <v>0</v>
      </c>
      <c r="SWY364" s="373">
        <f>'Q100a-geral'!SWY887</f>
        <v>0</v>
      </c>
      <c r="SWZ364" s="373">
        <f>'Q100a-geral'!SWZ887</f>
        <v>0</v>
      </c>
      <c r="SXA364" s="373">
        <f>'Q100a-geral'!SXA887</f>
        <v>0</v>
      </c>
      <c r="SXB364" s="373">
        <f>'Q100a-geral'!SXB887</f>
        <v>0</v>
      </c>
      <c r="SXC364" s="373">
        <f>'Q100a-geral'!SXC887</f>
        <v>0</v>
      </c>
      <c r="SXD364" s="373">
        <f>'Q100a-geral'!SXD887</f>
        <v>0</v>
      </c>
      <c r="SXE364" s="373">
        <f>'Q100a-geral'!SXE887</f>
        <v>0</v>
      </c>
      <c r="SXF364" s="373">
        <f>'Q100a-geral'!SXF887</f>
        <v>0</v>
      </c>
      <c r="SXG364" s="373">
        <f>'Q100a-geral'!SXG887</f>
        <v>0</v>
      </c>
      <c r="SXH364" s="373">
        <f>'Q100a-geral'!SXH887</f>
        <v>0</v>
      </c>
      <c r="SXI364" s="373">
        <f>'Q100a-geral'!SXI887</f>
        <v>0</v>
      </c>
      <c r="SXJ364" s="373">
        <f>'Q100a-geral'!SXJ887</f>
        <v>0</v>
      </c>
      <c r="SXK364" s="373">
        <f>'Q100a-geral'!SXK887</f>
        <v>0</v>
      </c>
      <c r="SXL364" s="373">
        <f>'Q100a-geral'!SXL887</f>
        <v>0</v>
      </c>
      <c r="SXM364" s="373">
        <f>'Q100a-geral'!SXM887</f>
        <v>0</v>
      </c>
      <c r="SXN364" s="373">
        <f>'Q100a-geral'!SXN887</f>
        <v>0</v>
      </c>
      <c r="SXO364" s="373">
        <f>'Q100a-geral'!SXO887</f>
        <v>0</v>
      </c>
      <c r="SXP364" s="373">
        <f>'Q100a-geral'!SXP887</f>
        <v>0</v>
      </c>
      <c r="SXQ364" s="373">
        <f>'Q100a-geral'!SXQ887</f>
        <v>0</v>
      </c>
      <c r="SXR364" s="373">
        <f>'Q100a-geral'!SXR887</f>
        <v>0</v>
      </c>
      <c r="SXS364" s="373">
        <f>'Q100a-geral'!SXS887</f>
        <v>0</v>
      </c>
      <c r="SXT364" s="373">
        <f>'Q100a-geral'!SXT887</f>
        <v>0</v>
      </c>
      <c r="SXU364" s="373">
        <f>'Q100a-geral'!SXU887</f>
        <v>0</v>
      </c>
      <c r="SXV364" s="373">
        <f>'Q100a-geral'!SXV887</f>
        <v>0</v>
      </c>
      <c r="SXW364" s="373">
        <f>'Q100a-geral'!SXW887</f>
        <v>0</v>
      </c>
      <c r="SXX364" s="373">
        <f>'Q100a-geral'!SXX887</f>
        <v>0</v>
      </c>
      <c r="SXY364" s="373">
        <f>'Q100a-geral'!SXY887</f>
        <v>0</v>
      </c>
      <c r="SXZ364" s="373">
        <f>'Q100a-geral'!SXZ887</f>
        <v>0</v>
      </c>
      <c r="SYA364" s="373">
        <f>'Q100a-geral'!SYA887</f>
        <v>0</v>
      </c>
      <c r="SYB364" s="373">
        <f>'Q100a-geral'!SYB887</f>
        <v>0</v>
      </c>
      <c r="SYC364" s="373">
        <f>'Q100a-geral'!SYC887</f>
        <v>0</v>
      </c>
      <c r="SYD364" s="373">
        <f>'Q100a-geral'!SYD887</f>
        <v>0</v>
      </c>
      <c r="SYE364" s="373">
        <f>'Q100a-geral'!SYE887</f>
        <v>0</v>
      </c>
      <c r="SYF364" s="373">
        <f>'Q100a-geral'!SYF887</f>
        <v>0</v>
      </c>
      <c r="SYG364" s="373">
        <f>'Q100a-geral'!SYG887</f>
        <v>0</v>
      </c>
      <c r="SYH364" s="373">
        <f>'Q100a-geral'!SYH887</f>
        <v>0</v>
      </c>
      <c r="SYI364" s="373">
        <f>'Q100a-geral'!SYI887</f>
        <v>0</v>
      </c>
      <c r="SYJ364" s="373">
        <f>'Q100a-geral'!SYJ887</f>
        <v>0</v>
      </c>
      <c r="SYK364" s="373">
        <f>'Q100a-geral'!SYK887</f>
        <v>0</v>
      </c>
      <c r="SYL364" s="373">
        <f>'Q100a-geral'!SYL887</f>
        <v>0</v>
      </c>
      <c r="SYM364" s="373">
        <f>'Q100a-geral'!SYM887</f>
        <v>0</v>
      </c>
      <c r="SYN364" s="373">
        <f>'Q100a-geral'!SYN887</f>
        <v>0</v>
      </c>
      <c r="SYO364" s="373">
        <f>'Q100a-geral'!SYO887</f>
        <v>0</v>
      </c>
      <c r="SYP364" s="373">
        <f>'Q100a-geral'!SYP887</f>
        <v>0</v>
      </c>
      <c r="SYQ364" s="373">
        <f>'Q100a-geral'!SYQ887</f>
        <v>0</v>
      </c>
      <c r="SYR364" s="373">
        <f>'Q100a-geral'!SYR887</f>
        <v>0</v>
      </c>
      <c r="SYS364" s="373">
        <f>'Q100a-geral'!SYS887</f>
        <v>0</v>
      </c>
      <c r="SYT364" s="373">
        <f>'Q100a-geral'!SYT887</f>
        <v>0</v>
      </c>
      <c r="SYU364" s="373">
        <f>'Q100a-geral'!SYU887</f>
        <v>0</v>
      </c>
      <c r="SYV364" s="373">
        <f>'Q100a-geral'!SYV887</f>
        <v>0</v>
      </c>
      <c r="SYW364" s="373">
        <f>'Q100a-geral'!SYW887</f>
        <v>0</v>
      </c>
      <c r="SYX364" s="373">
        <f>'Q100a-geral'!SYX887</f>
        <v>0</v>
      </c>
      <c r="SYY364" s="373">
        <f>'Q100a-geral'!SYY887</f>
        <v>0</v>
      </c>
      <c r="SYZ364" s="373">
        <f>'Q100a-geral'!SYZ887</f>
        <v>0</v>
      </c>
      <c r="SZA364" s="373">
        <f>'Q100a-geral'!SZA887</f>
        <v>0</v>
      </c>
      <c r="SZB364" s="373">
        <f>'Q100a-geral'!SZB887</f>
        <v>0</v>
      </c>
      <c r="SZC364" s="373">
        <f>'Q100a-geral'!SZC887</f>
        <v>0</v>
      </c>
      <c r="SZD364" s="373">
        <f>'Q100a-geral'!SZD887</f>
        <v>0</v>
      </c>
      <c r="SZE364" s="373">
        <f>'Q100a-geral'!SZE887</f>
        <v>0</v>
      </c>
      <c r="SZF364" s="373">
        <f>'Q100a-geral'!SZF887</f>
        <v>0</v>
      </c>
      <c r="SZG364" s="373">
        <f>'Q100a-geral'!SZG887</f>
        <v>0</v>
      </c>
      <c r="SZH364" s="373">
        <f>'Q100a-geral'!SZH887</f>
        <v>0</v>
      </c>
      <c r="SZI364" s="373">
        <f>'Q100a-geral'!SZI887</f>
        <v>0</v>
      </c>
      <c r="SZJ364" s="373">
        <f>'Q100a-geral'!SZJ887</f>
        <v>0</v>
      </c>
      <c r="SZK364" s="373">
        <f>'Q100a-geral'!SZK887</f>
        <v>0</v>
      </c>
      <c r="SZL364" s="373">
        <f>'Q100a-geral'!SZL887</f>
        <v>0</v>
      </c>
      <c r="SZM364" s="373">
        <f>'Q100a-geral'!SZM887</f>
        <v>0</v>
      </c>
      <c r="SZN364" s="373">
        <f>'Q100a-geral'!SZN887</f>
        <v>0</v>
      </c>
      <c r="SZO364" s="373">
        <f>'Q100a-geral'!SZO887</f>
        <v>0</v>
      </c>
      <c r="SZP364" s="373">
        <f>'Q100a-geral'!SZP887</f>
        <v>0</v>
      </c>
      <c r="SZQ364" s="373">
        <f>'Q100a-geral'!SZQ887</f>
        <v>0</v>
      </c>
      <c r="SZR364" s="373">
        <f>'Q100a-geral'!SZR887</f>
        <v>0</v>
      </c>
      <c r="SZS364" s="373">
        <f>'Q100a-geral'!SZS887</f>
        <v>0</v>
      </c>
      <c r="SZT364" s="373">
        <f>'Q100a-geral'!SZT887</f>
        <v>0</v>
      </c>
      <c r="SZU364" s="373">
        <f>'Q100a-geral'!SZU887</f>
        <v>0</v>
      </c>
      <c r="SZV364" s="373">
        <f>'Q100a-geral'!SZV887</f>
        <v>0</v>
      </c>
      <c r="SZW364" s="373">
        <f>'Q100a-geral'!SZW887</f>
        <v>0</v>
      </c>
      <c r="SZX364" s="373">
        <f>'Q100a-geral'!SZX887</f>
        <v>0</v>
      </c>
      <c r="SZY364" s="373">
        <f>'Q100a-geral'!SZY887</f>
        <v>0</v>
      </c>
      <c r="SZZ364" s="373">
        <f>'Q100a-geral'!SZZ887</f>
        <v>0</v>
      </c>
      <c r="TAA364" s="373">
        <f>'Q100a-geral'!TAA887</f>
        <v>0</v>
      </c>
      <c r="TAB364" s="373">
        <f>'Q100a-geral'!TAB887</f>
        <v>0</v>
      </c>
      <c r="TAC364" s="373">
        <f>'Q100a-geral'!TAC887</f>
        <v>0</v>
      </c>
      <c r="TAD364" s="373">
        <f>'Q100a-geral'!TAD887</f>
        <v>0</v>
      </c>
      <c r="TAE364" s="373">
        <f>'Q100a-geral'!TAE887</f>
        <v>0</v>
      </c>
      <c r="TAF364" s="373">
        <f>'Q100a-geral'!TAF887</f>
        <v>0</v>
      </c>
      <c r="TAG364" s="373">
        <f>'Q100a-geral'!TAG887</f>
        <v>0</v>
      </c>
      <c r="TAH364" s="373">
        <f>'Q100a-geral'!TAH887</f>
        <v>0</v>
      </c>
      <c r="TAI364" s="373">
        <f>'Q100a-geral'!TAI887</f>
        <v>0</v>
      </c>
      <c r="TAJ364" s="373">
        <f>'Q100a-geral'!TAJ887</f>
        <v>0</v>
      </c>
      <c r="TAK364" s="373">
        <f>'Q100a-geral'!TAK887</f>
        <v>0</v>
      </c>
      <c r="TAL364" s="373">
        <f>'Q100a-geral'!TAL887</f>
        <v>0</v>
      </c>
      <c r="TAM364" s="373">
        <f>'Q100a-geral'!TAM887</f>
        <v>0</v>
      </c>
      <c r="TAN364" s="373">
        <f>'Q100a-geral'!TAN887</f>
        <v>0</v>
      </c>
      <c r="TAO364" s="373">
        <f>'Q100a-geral'!TAO887</f>
        <v>0</v>
      </c>
      <c r="TAP364" s="373">
        <f>'Q100a-geral'!TAP887</f>
        <v>0</v>
      </c>
      <c r="TAQ364" s="373">
        <f>'Q100a-geral'!TAQ887</f>
        <v>0</v>
      </c>
      <c r="TAR364" s="373">
        <f>'Q100a-geral'!TAR887</f>
        <v>0</v>
      </c>
      <c r="TAS364" s="373">
        <f>'Q100a-geral'!TAS887</f>
        <v>0</v>
      </c>
      <c r="TAT364" s="373">
        <f>'Q100a-geral'!TAT887</f>
        <v>0</v>
      </c>
      <c r="TAU364" s="373">
        <f>'Q100a-geral'!TAU887</f>
        <v>0</v>
      </c>
      <c r="TAV364" s="373">
        <f>'Q100a-geral'!TAV887</f>
        <v>0</v>
      </c>
      <c r="TAW364" s="373">
        <f>'Q100a-geral'!TAW887</f>
        <v>0</v>
      </c>
      <c r="TAX364" s="373">
        <f>'Q100a-geral'!TAX887</f>
        <v>0</v>
      </c>
      <c r="TAY364" s="373">
        <f>'Q100a-geral'!TAY887</f>
        <v>0</v>
      </c>
      <c r="TAZ364" s="373">
        <f>'Q100a-geral'!TAZ887</f>
        <v>0</v>
      </c>
      <c r="TBA364" s="373">
        <f>'Q100a-geral'!TBA887</f>
        <v>0</v>
      </c>
      <c r="TBB364" s="373">
        <f>'Q100a-geral'!TBB887</f>
        <v>0</v>
      </c>
      <c r="TBC364" s="373">
        <f>'Q100a-geral'!TBC887</f>
        <v>0</v>
      </c>
      <c r="TBD364" s="373">
        <f>'Q100a-geral'!TBD887</f>
        <v>0</v>
      </c>
      <c r="TBE364" s="373">
        <f>'Q100a-geral'!TBE887</f>
        <v>0</v>
      </c>
      <c r="TBF364" s="373">
        <f>'Q100a-geral'!TBF887</f>
        <v>0</v>
      </c>
      <c r="TBG364" s="373">
        <f>'Q100a-geral'!TBG887</f>
        <v>0</v>
      </c>
      <c r="TBH364" s="373">
        <f>'Q100a-geral'!TBH887</f>
        <v>0</v>
      </c>
      <c r="TBI364" s="373">
        <f>'Q100a-geral'!TBI887</f>
        <v>0</v>
      </c>
      <c r="TBJ364" s="373">
        <f>'Q100a-geral'!TBJ887</f>
        <v>0</v>
      </c>
      <c r="TBK364" s="373">
        <f>'Q100a-geral'!TBK887</f>
        <v>0</v>
      </c>
      <c r="TBL364" s="373">
        <f>'Q100a-geral'!TBL887</f>
        <v>0</v>
      </c>
      <c r="TBM364" s="373">
        <f>'Q100a-geral'!TBM887</f>
        <v>0</v>
      </c>
      <c r="TBN364" s="373">
        <f>'Q100a-geral'!TBN887</f>
        <v>0</v>
      </c>
      <c r="TBO364" s="373">
        <f>'Q100a-geral'!TBO887</f>
        <v>0</v>
      </c>
      <c r="TBP364" s="373">
        <f>'Q100a-geral'!TBP887</f>
        <v>0</v>
      </c>
      <c r="TBQ364" s="373">
        <f>'Q100a-geral'!TBQ887</f>
        <v>0</v>
      </c>
      <c r="TBR364" s="373">
        <f>'Q100a-geral'!TBR887</f>
        <v>0</v>
      </c>
      <c r="TBS364" s="373">
        <f>'Q100a-geral'!TBS887</f>
        <v>0</v>
      </c>
      <c r="TBT364" s="373">
        <f>'Q100a-geral'!TBT887</f>
        <v>0</v>
      </c>
      <c r="TBU364" s="373">
        <f>'Q100a-geral'!TBU887</f>
        <v>0</v>
      </c>
      <c r="TBV364" s="373">
        <f>'Q100a-geral'!TBV887</f>
        <v>0</v>
      </c>
      <c r="TBW364" s="373">
        <f>'Q100a-geral'!TBW887</f>
        <v>0</v>
      </c>
      <c r="TBX364" s="373">
        <f>'Q100a-geral'!TBX887</f>
        <v>0</v>
      </c>
      <c r="TBY364" s="373">
        <f>'Q100a-geral'!TBY887</f>
        <v>0</v>
      </c>
      <c r="TBZ364" s="373">
        <f>'Q100a-geral'!TBZ887</f>
        <v>0</v>
      </c>
      <c r="TCA364" s="373">
        <f>'Q100a-geral'!TCA887</f>
        <v>0</v>
      </c>
      <c r="TCB364" s="373">
        <f>'Q100a-geral'!TCB887</f>
        <v>0</v>
      </c>
      <c r="TCC364" s="373">
        <f>'Q100a-geral'!TCC887</f>
        <v>0</v>
      </c>
      <c r="TCD364" s="373">
        <f>'Q100a-geral'!TCD887</f>
        <v>0</v>
      </c>
      <c r="TCE364" s="373">
        <f>'Q100a-geral'!TCE887</f>
        <v>0</v>
      </c>
      <c r="TCF364" s="373">
        <f>'Q100a-geral'!TCF887</f>
        <v>0</v>
      </c>
      <c r="TCG364" s="373">
        <f>'Q100a-geral'!TCG887</f>
        <v>0</v>
      </c>
      <c r="TCH364" s="373">
        <f>'Q100a-geral'!TCH887</f>
        <v>0</v>
      </c>
      <c r="TCI364" s="373">
        <f>'Q100a-geral'!TCI887</f>
        <v>0</v>
      </c>
      <c r="TCJ364" s="373">
        <f>'Q100a-geral'!TCJ887</f>
        <v>0</v>
      </c>
      <c r="TCK364" s="373">
        <f>'Q100a-geral'!TCK887</f>
        <v>0</v>
      </c>
      <c r="TCL364" s="373">
        <f>'Q100a-geral'!TCL887</f>
        <v>0</v>
      </c>
      <c r="TCM364" s="373">
        <f>'Q100a-geral'!TCM887</f>
        <v>0</v>
      </c>
      <c r="TCN364" s="373">
        <f>'Q100a-geral'!TCN887</f>
        <v>0</v>
      </c>
      <c r="TCO364" s="373">
        <f>'Q100a-geral'!TCO887</f>
        <v>0</v>
      </c>
      <c r="TCP364" s="373">
        <f>'Q100a-geral'!TCP887</f>
        <v>0</v>
      </c>
      <c r="TCQ364" s="373">
        <f>'Q100a-geral'!TCQ887</f>
        <v>0</v>
      </c>
      <c r="TCR364" s="373">
        <f>'Q100a-geral'!TCR887</f>
        <v>0</v>
      </c>
      <c r="TCS364" s="373">
        <f>'Q100a-geral'!TCS887</f>
        <v>0</v>
      </c>
      <c r="TCT364" s="373">
        <f>'Q100a-geral'!TCT887</f>
        <v>0</v>
      </c>
      <c r="TCU364" s="373">
        <f>'Q100a-geral'!TCU887</f>
        <v>0</v>
      </c>
      <c r="TCV364" s="373">
        <f>'Q100a-geral'!TCV887</f>
        <v>0</v>
      </c>
      <c r="TCW364" s="373">
        <f>'Q100a-geral'!TCW887</f>
        <v>0</v>
      </c>
      <c r="TCX364" s="373">
        <f>'Q100a-geral'!TCX887</f>
        <v>0</v>
      </c>
      <c r="TCY364" s="373">
        <f>'Q100a-geral'!TCY887</f>
        <v>0</v>
      </c>
      <c r="TCZ364" s="373">
        <f>'Q100a-geral'!TCZ887</f>
        <v>0</v>
      </c>
      <c r="TDA364" s="373">
        <f>'Q100a-geral'!TDA887</f>
        <v>0</v>
      </c>
      <c r="TDB364" s="373">
        <f>'Q100a-geral'!TDB887</f>
        <v>0</v>
      </c>
      <c r="TDC364" s="373">
        <f>'Q100a-geral'!TDC887</f>
        <v>0</v>
      </c>
      <c r="TDD364" s="373">
        <f>'Q100a-geral'!TDD887</f>
        <v>0</v>
      </c>
      <c r="TDE364" s="373">
        <f>'Q100a-geral'!TDE887</f>
        <v>0</v>
      </c>
      <c r="TDF364" s="373">
        <f>'Q100a-geral'!TDF887</f>
        <v>0</v>
      </c>
      <c r="TDG364" s="373">
        <f>'Q100a-geral'!TDG887</f>
        <v>0</v>
      </c>
      <c r="TDH364" s="373">
        <f>'Q100a-geral'!TDH887</f>
        <v>0</v>
      </c>
      <c r="TDI364" s="373">
        <f>'Q100a-geral'!TDI887</f>
        <v>0</v>
      </c>
      <c r="TDJ364" s="373">
        <f>'Q100a-geral'!TDJ887</f>
        <v>0</v>
      </c>
      <c r="TDK364" s="373">
        <f>'Q100a-geral'!TDK887</f>
        <v>0</v>
      </c>
      <c r="TDL364" s="373">
        <f>'Q100a-geral'!TDL887</f>
        <v>0</v>
      </c>
      <c r="TDM364" s="373">
        <f>'Q100a-geral'!TDM887</f>
        <v>0</v>
      </c>
      <c r="TDN364" s="373">
        <f>'Q100a-geral'!TDN887</f>
        <v>0</v>
      </c>
      <c r="TDO364" s="373">
        <f>'Q100a-geral'!TDO887</f>
        <v>0</v>
      </c>
      <c r="TDP364" s="373">
        <f>'Q100a-geral'!TDP887</f>
        <v>0</v>
      </c>
      <c r="TDQ364" s="373">
        <f>'Q100a-geral'!TDQ887</f>
        <v>0</v>
      </c>
      <c r="TDR364" s="373">
        <f>'Q100a-geral'!TDR887</f>
        <v>0</v>
      </c>
      <c r="TDS364" s="373">
        <f>'Q100a-geral'!TDS887</f>
        <v>0</v>
      </c>
      <c r="TDT364" s="373">
        <f>'Q100a-geral'!TDT887</f>
        <v>0</v>
      </c>
      <c r="TDU364" s="373">
        <f>'Q100a-geral'!TDU887</f>
        <v>0</v>
      </c>
      <c r="TDV364" s="373">
        <f>'Q100a-geral'!TDV887</f>
        <v>0</v>
      </c>
      <c r="TDW364" s="373">
        <f>'Q100a-geral'!TDW887</f>
        <v>0</v>
      </c>
      <c r="TDX364" s="373">
        <f>'Q100a-geral'!TDX887</f>
        <v>0</v>
      </c>
      <c r="TDY364" s="373">
        <f>'Q100a-geral'!TDY887</f>
        <v>0</v>
      </c>
      <c r="TDZ364" s="373">
        <f>'Q100a-geral'!TDZ887</f>
        <v>0</v>
      </c>
      <c r="TEA364" s="373">
        <f>'Q100a-geral'!TEA887</f>
        <v>0</v>
      </c>
      <c r="TEB364" s="373">
        <f>'Q100a-geral'!TEB887</f>
        <v>0</v>
      </c>
      <c r="TEC364" s="373">
        <f>'Q100a-geral'!TEC887</f>
        <v>0</v>
      </c>
      <c r="TED364" s="373">
        <f>'Q100a-geral'!TED887</f>
        <v>0</v>
      </c>
      <c r="TEE364" s="373">
        <f>'Q100a-geral'!TEE887</f>
        <v>0</v>
      </c>
      <c r="TEF364" s="373">
        <f>'Q100a-geral'!TEF887</f>
        <v>0</v>
      </c>
      <c r="TEG364" s="373">
        <f>'Q100a-geral'!TEG887</f>
        <v>0</v>
      </c>
      <c r="TEH364" s="373">
        <f>'Q100a-geral'!TEH887</f>
        <v>0</v>
      </c>
      <c r="TEI364" s="373">
        <f>'Q100a-geral'!TEI887</f>
        <v>0</v>
      </c>
      <c r="TEJ364" s="373">
        <f>'Q100a-geral'!TEJ887</f>
        <v>0</v>
      </c>
      <c r="TEK364" s="373">
        <f>'Q100a-geral'!TEK887</f>
        <v>0</v>
      </c>
      <c r="TEL364" s="373">
        <f>'Q100a-geral'!TEL887</f>
        <v>0</v>
      </c>
      <c r="TEM364" s="373">
        <f>'Q100a-geral'!TEM887</f>
        <v>0</v>
      </c>
      <c r="TEN364" s="373">
        <f>'Q100a-geral'!TEN887</f>
        <v>0</v>
      </c>
      <c r="TEO364" s="373">
        <f>'Q100a-geral'!TEO887</f>
        <v>0</v>
      </c>
      <c r="TEP364" s="373">
        <f>'Q100a-geral'!TEP887</f>
        <v>0</v>
      </c>
      <c r="TEQ364" s="373">
        <f>'Q100a-geral'!TEQ887</f>
        <v>0</v>
      </c>
      <c r="TER364" s="373">
        <f>'Q100a-geral'!TER887</f>
        <v>0</v>
      </c>
      <c r="TES364" s="373">
        <f>'Q100a-geral'!TES887</f>
        <v>0</v>
      </c>
      <c r="TET364" s="373">
        <f>'Q100a-geral'!TET887</f>
        <v>0</v>
      </c>
      <c r="TEU364" s="373">
        <f>'Q100a-geral'!TEU887</f>
        <v>0</v>
      </c>
      <c r="TEV364" s="373">
        <f>'Q100a-geral'!TEV887</f>
        <v>0</v>
      </c>
      <c r="TEW364" s="373">
        <f>'Q100a-geral'!TEW887</f>
        <v>0</v>
      </c>
      <c r="TEX364" s="373">
        <f>'Q100a-geral'!TEX887</f>
        <v>0</v>
      </c>
      <c r="TEY364" s="373">
        <f>'Q100a-geral'!TEY887</f>
        <v>0</v>
      </c>
      <c r="TEZ364" s="373">
        <f>'Q100a-geral'!TEZ887</f>
        <v>0</v>
      </c>
      <c r="TFA364" s="373">
        <f>'Q100a-geral'!TFA887</f>
        <v>0</v>
      </c>
      <c r="TFB364" s="373">
        <f>'Q100a-geral'!TFB887</f>
        <v>0</v>
      </c>
      <c r="TFC364" s="373">
        <f>'Q100a-geral'!TFC887</f>
        <v>0</v>
      </c>
      <c r="TFD364" s="373">
        <f>'Q100a-geral'!TFD887</f>
        <v>0</v>
      </c>
      <c r="TFE364" s="373">
        <f>'Q100a-geral'!TFE887</f>
        <v>0</v>
      </c>
      <c r="TFF364" s="373">
        <f>'Q100a-geral'!TFF887</f>
        <v>0</v>
      </c>
      <c r="TFG364" s="373">
        <f>'Q100a-geral'!TFG887</f>
        <v>0</v>
      </c>
      <c r="TFH364" s="373">
        <f>'Q100a-geral'!TFH887</f>
        <v>0</v>
      </c>
      <c r="TFI364" s="373">
        <f>'Q100a-geral'!TFI887</f>
        <v>0</v>
      </c>
      <c r="TFJ364" s="373">
        <f>'Q100a-geral'!TFJ887</f>
        <v>0</v>
      </c>
      <c r="TFK364" s="373">
        <f>'Q100a-geral'!TFK887</f>
        <v>0</v>
      </c>
      <c r="TFL364" s="373">
        <f>'Q100a-geral'!TFL887</f>
        <v>0</v>
      </c>
      <c r="TFM364" s="373">
        <f>'Q100a-geral'!TFM887</f>
        <v>0</v>
      </c>
      <c r="TFN364" s="373">
        <f>'Q100a-geral'!TFN887</f>
        <v>0</v>
      </c>
      <c r="TFO364" s="373">
        <f>'Q100a-geral'!TFO887</f>
        <v>0</v>
      </c>
      <c r="TFP364" s="373">
        <f>'Q100a-geral'!TFP887</f>
        <v>0</v>
      </c>
      <c r="TFQ364" s="373">
        <f>'Q100a-geral'!TFQ887</f>
        <v>0</v>
      </c>
      <c r="TFR364" s="373">
        <f>'Q100a-geral'!TFR887</f>
        <v>0</v>
      </c>
      <c r="TFS364" s="373">
        <f>'Q100a-geral'!TFS887</f>
        <v>0</v>
      </c>
      <c r="TFT364" s="373">
        <f>'Q100a-geral'!TFT887</f>
        <v>0</v>
      </c>
      <c r="TFU364" s="373">
        <f>'Q100a-geral'!TFU887</f>
        <v>0</v>
      </c>
      <c r="TFV364" s="373">
        <f>'Q100a-geral'!TFV887</f>
        <v>0</v>
      </c>
      <c r="TFW364" s="373">
        <f>'Q100a-geral'!TFW887</f>
        <v>0</v>
      </c>
      <c r="TFX364" s="373">
        <f>'Q100a-geral'!TFX887</f>
        <v>0</v>
      </c>
      <c r="TFY364" s="373">
        <f>'Q100a-geral'!TFY887</f>
        <v>0</v>
      </c>
      <c r="TFZ364" s="373">
        <f>'Q100a-geral'!TFZ887</f>
        <v>0</v>
      </c>
      <c r="TGA364" s="373">
        <f>'Q100a-geral'!TGA887</f>
        <v>0</v>
      </c>
      <c r="TGB364" s="373">
        <f>'Q100a-geral'!TGB887</f>
        <v>0</v>
      </c>
      <c r="TGC364" s="373">
        <f>'Q100a-geral'!TGC887</f>
        <v>0</v>
      </c>
      <c r="TGD364" s="373">
        <f>'Q100a-geral'!TGD887</f>
        <v>0</v>
      </c>
      <c r="TGE364" s="373">
        <f>'Q100a-geral'!TGE887</f>
        <v>0</v>
      </c>
      <c r="TGF364" s="373">
        <f>'Q100a-geral'!TGF887</f>
        <v>0</v>
      </c>
      <c r="TGG364" s="373">
        <f>'Q100a-geral'!TGG887</f>
        <v>0</v>
      </c>
      <c r="TGH364" s="373">
        <f>'Q100a-geral'!TGH887</f>
        <v>0</v>
      </c>
      <c r="TGI364" s="373">
        <f>'Q100a-geral'!TGI887</f>
        <v>0</v>
      </c>
      <c r="TGJ364" s="373">
        <f>'Q100a-geral'!TGJ887</f>
        <v>0</v>
      </c>
      <c r="TGK364" s="373">
        <f>'Q100a-geral'!TGK887</f>
        <v>0</v>
      </c>
      <c r="TGL364" s="373">
        <f>'Q100a-geral'!TGL887</f>
        <v>0</v>
      </c>
      <c r="TGM364" s="373">
        <f>'Q100a-geral'!TGM887</f>
        <v>0</v>
      </c>
      <c r="TGN364" s="373">
        <f>'Q100a-geral'!TGN887</f>
        <v>0</v>
      </c>
      <c r="TGO364" s="373">
        <f>'Q100a-geral'!TGO887</f>
        <v>0</v>
      </c>
      <c r="TGP364" s="373">
        <f>'Q100a-geral'!TGP887</f>
        <v>0</v>
      </c>
      <c r="TGQ364" s="373">
        <f>'Q100a-geral'!TGQ887</f>
        <v>0</v>
      </c>
      <c r="TGR364" s="373">
        <f>'Q100a-geral'!TGR887</f>
        <v>0</v>
      </c>
      <c r="TGS364" s="373">
        <f>'Q100a-geral'!TGS887</f>
        <v>0</v>
      </c>
      <c r="TGT364" s="373">
        <f>'Q100a-geral'!TGT887</f>
        <v>0</v>
      </c>
      <c r="TGU364" s="373">
        <f>'Q100a-geral'!TGU887</f>
        <v>0</v>
      </c>
      <c r="TGV364" s="373">
        <f>'Q100a-geral'!TGV887</f>
        <v>0</v>
      </c>
      <c r="TGW364" s="373">
        <f>'Q100a-geral'!TGW887</f>
        <v>0</v>
      </c>
      <c r="TGX364" s="373">
        <f>'Q100a-geral'!TGX887</f>
        <v>0</v>
      </c>
      <c r="TGY364" s="373">
        <f>'Q100a-geral'!TGY887</f>
        <v>0</v>
      </c>
      <c r="TGZ364" s="373">
        <f>'Q100a-geral'!TGZ887</f>
        <v>0</v>
      </c>
      <c r="THA364" s="373">
        <f>'Q100a-geral'!THA887</f>
        <v>0</v>
      </c>
      <c r="THB364" s="373">
        <f>'Q100a-geral'!THB887</f>
        <v>0</v>
      </c>
      <c r="THC364" s="373">
        <f>'Q100a-geral'!THC887</f>
        <v>0</v>
      </c>
      <c r="THD364" s="373">
        <f>'Q100a-geral'!THD887</f>
        <v>0</v>
      </c>
      <c r="THE364" s="373">
        <f>'Q100a-geral'!THE887</f>
        <v>0</v>
      </c>
      <c r="THF364" s="373">
        <f>'Q100a-geral'!THF887</f>
        <v>0</v>
      </c>
      <c r="THG364" s="373">
        <f>'Q100a-geral'!THG887</f>
        <v>0</v>
      </c>
      <c r="THH364" s="373">
        <f>'Q100a-geral'!THH887</f>
        <v>0</v>
      </c>
      <c r="THI364" s="373">
        <f>'Q100a-geral'!THI887</f>
        <v>0</v>
      </c>
      <c r="THJ364" s="373">
        <f>'Q100a-geral'!THJ887</f>
        <v>0</v>
      </c>
      <c r="THK364" s="373">
        <f>'Q100a-geral'!THK887</f>
        <v>0</v>
      </c>
      <c r="THL364" s="373">
        <f>'Q100a-geral'!THL887</f>
        <v>0</v>
      </c>
      <c r="THM364" s="373">
        <f>'Q100a-geral'!THM887</f>
        <v>0</v>
      </c>
      <c r="THN364" s="373">
        <f>'Q100a-geral'!THN887</f>
        <v>0</v>
      </c>
      <c r="THO364" s="373">
        <f>'Q100a-geral'!THO887</f>
        <v>0</v>
      </c>
      <c r="THP364" s="373">
        <f>'Q100a-geral'!THP887</f>
        <v>0</v>
      </c>
      <c r="THQ364" s="373">
        <f>'Q100a-geral'!THQ887</f>
        <v>0</v>
      </c>
      <c r="THR364" s="373">
        <f>'Q100a-geral'!THR887</f>
        <v>0</v>
      </c>
      <c r="THS364" s="373">
        <f>'Q100a-geral'!THS887</f>
        <v>0</v>
      </c>
      <c r="THT364" s="373">
        <f>'Q100a-geral'!THT887</f>
        <v>0</v>
      </c>
      <c r="THU364" s="373">
        <f>'Q100a-geral'!THU887</f>
        <v>0</v>
      </c>
      <c r="THV364" s="373">
        <f>'Q100a-geral'!THV887</f>
        <v>0</v>
      </c>
      <c r="THW364" s="373">
        <f>'Q100a-geral'!THW887</f>
        <v>0</v>
      </c>
      <c r="THX364" s="373">
        <f>'Q100a-geral'!THX887</f>
        <v>0</v>
      </c>
      <c r="THY364" s="373">
        <f>'Q100a-geral'!THY887</f>
        <v>0</v>
      </c>
      <c r="THZ364" s="373">
        <f>'Q100a-geral'!THZ887</f>
        <v>0</v>
      </c>
      <c r="TIA364" s="373">
        <f>'Q100a-geral'!TIA887</f>
        <v>0</v>
      </c>
      <c r="TIB364" s="373">
        <f>'Q100a-geral'!TIB887</f>
        <v>0</v>
      </c>
      <c r="TIC364" s="373">
        <f>'Q100a-geral'!TIC887</f>
        <v>0</v>
      </c>
      <c r="TID364" s="373">
        <f>'Q100a-geral'!TID887</f>
        <v>0</v>
      </c>
      <c r="TIE364" s="373">
        <f>'Q100a-geral'!TIE887</f>
        <v>0</v>
      </c>
      <c r="TIF364" s="373">
        <f>'Q100a-geral'!TIF887</f>
        <v>0</v>
      </c>
      <c r="TIG364" s="373">
        <f>'Q100a-geral'!TIG887</f>
        <v>0</v>
      </c>
      <c r="TIH364" s="373">
        <f>'Q100a-geral'!TIH887</f>
        <v>0</v>
      </c>
      <c r="TII364" s="373">
        <f>'Q100a-geral'!TII887</f>
        <v>0</v>
      </c>
      <c r="TIJ364" s="373">
        <f>'Q100a-geral'!TIJ887</f>
        <v>0</v>
      </c>
      <c r="TIK364" s="373">
        <f>'Q100a-geral'!TIK887</f>
        <v>0</v>
      </c>
      <c r="TIL364" s="373">
        <f>'Q100a-geral'!TIL887</f>
        <v>0</v>
      </c>
      <c r="TIM364" s="373">
        <f>'Q100a-geral'!TIM887</f>
        <v>0</v>
      </c>
      <c r="TIN364" s="373">
        <f>'Q100a-geral'!TIN887</f>
        <v>0</v>
      </c>
      <c r="TIO364" s="373">
        <f>'Q100a-geral'!TIO887</f>
        <v>0</v>
      </c>
      <c r="TIP364" s="373">
        <f>'Q100a-geral'!TIP887</f>
        <v>0</v>
      </c>
      <c r="TIQ364" s="373">
        <f>'Q100a-geral'!TIQ887</f>
        <v>0</v>
      </c>
      <c r="TIR364" s="373">
        <f>'Q100a-geral'!TIR887</f>
        <v>0</v>
      </c>
      <c r="TIS364" s="373">
        <f>'Q100a-geral'!TIS887</f>
        <v>0</v>
      </c>
      <c r="TIT364" s="373">
        <f>'Q100a-geral'!TIT887</f>
        <v>0</v>
      </c>
      <c r="TIU364" s="373">
        <f>'Q100a-geral'!TIU887</f>
        <v>0</v>
      </c>
      <c r="TIV364" s="373">
        <f>'Q100a-geral'!TIV887</f>
        <v>0</v>
      </c>
      <c r="TIW364" s="373">
        <f>'Q100a-geral'!TIW887</f>
        <v>0</v>
      </c>
      <c r="TIX364" s="373">
        <f>'Q100a-geral'!TIX887</f>
        <v>0</v>
      </c>
      <c r="TIY364" s="373">
        <f>'Q100a-geral'!TIY887</f>
        <v>0</v>
      </c>
      <c r="TIZ364" s="373">
        <f>'Q100a-geral'!TIZ887</f>
        <v>0</v>
      </c>
      <c r="TJA364" s="373">
        <f>'Q100a-geral'!TJA887</f>
        <v>0</v>
      </c>
      <c r="TJB364" s="373">
        <f>'Q100a-geral'!TJB887</f>
        <v>0</v>
      </c>
      <c r="TJC364" s="373">
        <f>'Q100a-geral'!TJC887</f>
        <v>0</v>
      </c>
      <c r="TJD364" s="373">
        <f>'Q100a-geral'!TJD887</f>
        <v>0</v>
      </c>
      <c r="TJE364" s="373">
        <f>'Q100a-geral'!TJE887</f>
        <v>0</v>
      </c>
      <c r="TJF364" s="373">
        <f>'Q100a-geral'!TJF887</f>
        <v>0</v>
      </c>
      <c r="TJG364" s="373">
        <f>'Q100a-geral'!TJG887</f>
        <v>0</v>
      </c>
      <c r="TJH364" s="373">
        <f>'Q100a-geral'!TJH887</f>
        <v>0</v>
      </c>
      <c r="TJI364" s="373">
        <f>'Q100a-geral'!TJI887</f>
        <v>0</v>
      </c>
      <c r="TJJ364" s="373">
        <f>'Q100a-geral'!TJJ887</f>
        <v>0</v>
      </c>
      <c r="TJK364" s="373">
        <f>'Q100a-geral'!TJK887</f>
        <v>0</v>
      </c>
      <c r="TJL364" s="373">
        <f>'Q100a-geral'!TJL887</f>
        <v>0</v>
      </c>
      <c r="TJM364" s="373">
        <f>'Q100a-geral'!TJM887</f>
        <v>0</v>
      </c>
      <c r="TJN364" s="373">
        <f>'Q100a-geral'!TJN887</f>
        <v>0</v>
      </c>
      <c r="TJO364" s="373">
        <f>'Q100a-geral'!TJO887</f>
        <v>0</v>
      </c>
      <c r="TJP364" s="373">
        <f>'Q100a-geral'!TJP887</f>
        <v>0</v>
      </c>
      <c r="TJQ364" s="373">
        <f>'Q100a-geral'!TJQ887</f>
        <v>0</v>
      </c>
      <c r="TJR364" s="373">
        <f>'Q100a-geral'!TJR887</f>
        <v>0</v>
      </c>
      <c r="TJS364" s="373">
        <f>'Q100a-geral'!TJS887</f>
        <v>0</v>
      </c>
      <c r="TJT364" s="373">
        <f>'Q100a-geral'!TJT887</f>
        <v>0</v>
      </c>
      <c r="TJU364" s="373">
        <f>'Q100a-geral'!TJU887</f>
        <v>0</v>
      </c>
      <c r="TJV364" s="373">
        <f>'Q100a-geral'!TJV887</f>
        <v>0</v>
      </c>
      <c r="TJW364" s="373">
        <f>'Q100a-geral'!TJW887</f>
        <v>0</v>
      </c>
      <c r="TJX364" s="373">
        <f>'Q100a-geral'!TJX887</f>
        <v>0</v>
      </c>
      <c r="TJY364" s="373">
        <f>'Q100a-geral'!TJY887</f>
        <v>0</v>
      </c>
      <c r="TJZ364" s="373">
        <f>'Q100a-geral'!TJZ887</f>
        <v>0</v>
      </c>
      <c r="TKA364" s="373">
        <f>'Q100a-geral'!TKA887</f>
        <v>0</v>
      </c>
      <c r="TKB364" s="373">
        <f>'Q100a-geral'!TKB887</f>
        <v>0</v>
      </c>
      <c r="TKC364" s="373">
        <f>'Q100a-geral'!TKC887</f>
        <v>0</v>
      </c>
      <c r="TKD364" s="373">
        <f>'Q100a-geral'!TKD887</f>
        <v>0</v>
      </c>
      <c r="TKE364" s="373">
        <f>'Q100a-geral'!TKE887</f>
        <v>0</v>
      </c>
      <c r="TKF364" s="373">
        <f>'Q100a-geral'!TKF887</f>
        <v>0</v>
      </c>
      <c r="TKG364" s="373">
        <f>'Q100a-geral'!TKG887</f>
        <v>0</v>
      </c>
      <c r="TKH364" s="373">
        <f>'Q100a-geral'!TKH887</f>
        <v>0</v>
      </c>
      <c r="TKI364" s="373">
        <f>'Q100a-geral'!TKI887</f>
        <v>0</v>
      </c>
      <c r="TKJ364" s="373">
        <f>'Q100a-geral'!TKJ887</f>
        <v>0</v>
      </c>
      <c r="TKK364" s="373">
        <f>'Q100a-geral'!TKK887</f>
        <v>0</v>
      </c>
      <c r="TKL364" s="373">
        <f>'Q100a-geral'!TKL887</f>
        <v>0</v>
      </c>
      <c r="TKM364" s="373">
        <f>'Q100a-geral'!TKM887</f>
        <v>0</v>
      </c>
      <c r="TKN364" s="373">
        <f>'Q100a-geral'!TKN887</f>
        <v>0</v>
      </c>
      <c r="TKO364" s="373">
        <f>'Q100a-geral'!TKO887</f>
        <v>0</v>
      </c>
      <c r="TKP364" s="373">
        <f>'Q100a-geral'!TKP887</f>
        <v>0</v>
      </c>
      <c r="TKQ364" s="373">
        <f>'Q100a-geral'!TKQ887</f>
        <v>0</v>
      </c>
      <c r="TKR364" s="373">
        <f>'Q100a-geral'!TKR887</f>
        <v>0</v>
      </c>
      <c r="TKS364" s="373">
        <f>'Q100a-geral'!TKS887</f>
        <v>0</v>
      </c>
      <c r="TKT364" s="373">
        <f>'Q100a-geral'!TKT887</f>
        <v>0</v>
      </c>
      <c r="TKU364" s="373">
        <f>'Q100a-geral'!TKU887</f>
        <v>0</v>
      </c>
      <c r="TKV364" s="373">
        <f>'Q100a-geral'!TKV887</f>
        <v>0</v>
      </c>
      <c r="TKW364" s="373">
        <f>'Q100a-geral'!TKW887</f>
        <v>0</v>
      </c>
      <c r="TKX364" s="373">
        <f>'Q100a-geral'!TKX887</f>
        <v>0</v>
      </c>
      <c r="TKY364" s="373">
        <f>'Q100a-geral'!TKY887</f>
        <v>0</v>
      </c>
      <c r="TKZ364" s="373">
        <f>'Q100a-geral'!TKZ887</f>
        <v>0</v>
      </c>
      <c r="TLA364" s="373">
        <f>'Q100a-geral'!TLA887</f>
        <v>0</v>
      </c>
      <c r="TLB364" s="373">
        <f>'Q100a-geral'!TLB887</f>
        <v>0</v>
      </c>
      <c r="TLC364" s="373">
        <f>'Q100a-geral'!TLC887</f>
        <v>0</v>
      </c>
      <c r="TLD364" s="373">
        <f>'Q100a-geral'!TLD887</f>
        <v>0</v>
      </c>
      <c r="TLE364" s="373">
        <f>'Q100a-geral'!TLE887</f>
        <v>0</v>
      </c>
      <c r="TLF364" s="373">
        <f>'Q100a-geral'!TLF887</f>
        <v>0</v>
      </c>
      <c r="TLG364" s="373">
        <f>'Q100a-geral'!TLG887</f>
        <v>0</v>
      </c>
      <c r="TLH364" s="373">
        <f>'Q100a-geral'!TLH887</f>
        <v>0</v>
      </c>
      <c r="TLI364" s="373">
        <f>'Q100a-geral'!TLI887</f>
        <v>0</v>
      </c>
      <c r="TLJ364" s="373">
        <f>'Q100a-geral'!TLJ887</f>
        <v>0</v>
      </c>
      <c r="TLK364" s="373">
        <f>'Q100a-geral'!TLK887</f>
        <v>0</v>
      </c>
      <c r="TLL364" s="373">
        <f>'Q100a-geral'!TLL887</f>
        <v>0</v>
      </c>
      <c r="TLM364" s="373">
        <f>'Q100a-geral'!TLM887</f>
        <v>0</v>
      </c>
      <c r="TLN364" s="373">
        <f>'Q100a-geral'!TLN887</f>
        <v>0</v>
      </c>
      <c r="TLO364" s="373">
        <f>'Q100a-geral'!TLO887</f>
        <v>0</v>
      </c>
      <c r="TLP364" s="373">
        <f>'Q100a-geral'!TLP887</f>
        <v>0</v>
      </c>
      <c r="TLQ364" s="373">
        <f>'Q100a-geral'!TLQ887</f>
        <v>0</v>
      </c>
      <c r="TLR364" s="373">
        <f>'Q100a-geral'!TLR887</f>
        <v>0</v>
      </c>
      <c r="TLS364" s="373">
        <f>'Q100a-geral'!TLS887</f>
        <v>0</v>
      </c>
      <c r="TLT364" s="373">
        <f>'Q100a-geral'!TLT887</f>
        <v>0</v>
      </c>
      <c r="TLU364" s="373">
        <f>'Q100a-geral'!TLU887</f>
        <v>0</v>
      </c>
      <c r="TLV364" s="373">
        <f>'Q100a-geral'!TLV887</f>
        <v>0</v>
      </c>
      <c r="TLW364" s="373">
        <f>'Q100a-geral'!TLW887</f>
        <v>0</v>
      </c>
      <c r="TLX364" s="373">
        <f>'Q100a-geral'!TLX887</f>
        <v>0</v>
      </c>
      <c r="TLY364" s="373">
        <f>'Q100a-geral'!TLY887</f>
        <v>0</v>
      </c>
      <c r="TLZ364" s="373">
        <f>'Q100a-geral'!TLZ887</f>
        <v>0</v>
      </c>
      <c r="TMA364" s="373">
        <f>'Q100a-geral'!TMA887</f>
        <v>0</v>
      </c>
      <c r="TMB364" s="373">
        <f>'Q100a-geral'!TMB887</f>
        <v>0</v>
      </c>
      <c r="TMC364" s="373">
        <f>'Q100a-geral'!TMC887</f>
        <v>0</v>
      </c>
      <c r="TMD364" s="373">
        <f>'Q100a-geral'!TMD887</f>
        <v>0</v>
      </c>
      <c r="TME364" s="373">
        <f>'Q100a-geral'!TME887</f>
        <v>0</v>
      </c>
      <c r="TMF364" s="373">
        <f>'Q100a-geral'!TMF887</f>
        <v>0</v>
      </c>
      <c r="TMG364" s="373">
        <f>'Q100a-geral'!TMG887</f>
        <v>0</v>
      </c>
      <c r="TMH364" s="373">
        <f>'Q100a-geral'!TMH887</f>
        <v>0</v>
      </c>
      <c r="TMI364" s="373">
        <f>'Q100a-geral'!TMI887</f>
        <v>0</v>
      </c>
      <c r="TMJ364" s="373">
        <f>'Q100a-geral'!TMJ887</f>
        <v>0</v>
      </c>
      <c r="TMK364" s="373">
        <f>'Q100a-geral'!TMK887</f>
        <v>0</v>
      </c>
      <c r="TML364" s="373">
        <f>'Q100a-geral'!TML887</f>
        <v>0</v>
      </c>
      <c r="TMM364" s="373">
        <f>'Q100a-geral'!TMM887</f>
        <v>0</v>
      </c>
      <c r="TMN364" s="373">
        <f>'Q100a-geral'!TMN887</f>
        <v>0</v>
      </c>
      <c r="TMO364" s="373">
        <f>'Q100a-geral'!TMO887</f>
        <v>0</v>
      </c>
      <c r="TMP364" s="373">
        <f>'Q100a-geral'!TMP887</f>
        <v>0</v>
      </c>
      <c r="TMQ364" s="373">
        <f>'Q100a-geral'!TMQ887</f>
        <v>0</v>
      </c>
      <c r="TMR364" s="373">
        <f>'Q100a-geral'!TMR887</f>
        <v>0</v>
      </c>
      <c r="TMS364" s="373">
        <f>'Q100a-geral'!TMS887</f>
        <v>0</v>
      </c>
      <c r="TMT364" s="373">
        <f>'Q100a-geral'!TMT887</f>
        <v>0</v>
      </c>
      <c r="TMU364" s="373">
        <f>'Q100a-geral'!TMU887</f>
        <v>0</v>
      </c>
      <c r="TMV364" s="373">
        <f>'Q100a-geral'!TMV887</f>
        <v>0</v>
      </c>
      <c r="TMW364" s="373">
        <f>'Q100a-geral'!TMW887</f>
        <v>0</v>
      </c>
      <c r="TMX364" s="373">
        <f>'Q100a-geral'!TMX887</f>
        <v>0</v>
      </c>
      <c r="TMY364" s="373">
        <f>'Q100a-geral'!TMY887</f>
        <v>0</v>
      </c>
      <c r="TMZ364" s="373">
        <f>'Q100a-geral'!TMZ887</f>
        <v>0</v>
      </c>
      <c r="TNA364" s="373">
        <f>'Q100a-geral'!TNA887</f>
        <v>0</v>
      </c>
      <c r="TNB364" s="373">
        <f>'Q100a-geral'!TNB887</f>
        <v>0</v>
      </c>
      <c r="TNC364" s="373">
        <f>'Q100a-geral'!TNC887</f>
        <v>0</v>
      </c>
      <c r="TND364" s="373">
        <f>'Q100a-geral'!TND887</f>
        <v>0</v>
      </c>
      <c r="TNE364" s="373">
        <f>'Q100a-geral'!TNE887</f>
        <v>0</v>
      </c>
      <c r="TNF364" s="373">
        <f>'Q100a-geral'!TNF887</f>
        <v>0</v>
      </c>
      <c r="TNG364" s="373">
        <f>'Q100a-geral'!TNG887</f>
        <v>0</v>
      </c>
      <c r="TNH364" s="373">
        <f>'Q100a-geral'!TNH887</f>
        <v>0</v>
      </c>
      <c r="TNI364" s="373">
        <f>'Q100a-geral'!TNI887</f>
        <v>0</v>
      </c>
      <c r="TNJ364" s="373">
        <f>'Q100a-geral'!TNJ887</f>
        <v>0</v>
      </c>
      <c r="TNK364" s="373">
        <f>'Q100a-geral'!TNK887</f>
        <v>0</v>
      </c>
      <c r="TNL364" s="373">
        <f>'Q100a-geral'!TNL887</f>
        <v>0</v>
      </c>
      <c r="TNM364" s="373">
        <f>'Q100a-geral'!TNM887</f>
        <v>0</v>
      </c>
      <c r="TNN364" s="373">
        <f>'Q100a-geral'!TNN887</f>
        <v>0</v>
      </c>
      <c r="TNO364" s="373">
        <f>'Q100a-geral'!TNO887</f>
        <v>0</v>
      </c>
      <c r="TNP364" s="373">
        <f>'Q100a-geral'!TNP887</f>
        <v>0</v>
      </c>
      <c r="TNQ364" s="373">
        <f>'Q100a-geral'!TNQ887</f>
        <v>0</v>
      </c>
      <c r="TNR364" s="373">
        <f>'Q100a-geral'!TNR887</f>
        <v>0</v>
      </c>
      <c r="TNS364" s="373">
        <f>'Q100a-geral'!TNS887</f>
        <v>0</v>
      </c>
      <c r="TNT364" s="373">
        <f>'Q100a-geral'!TNT887</f>
        <v>0</v>
      </c>
      <c r="TNU364" s="373">
        <f>'Q100a-geral'!TNU887</f>
        <v>0</v>
      </c>
      <c r="TNV364" s="373">
        <f>'Q100a-geral'!TNV887</f>
        <v>0</v>
      </c>
      <c r="TNW364" s="373">
        <f>'Q100a-geral'!TNW887</f>
        <v>0</v>
      </c>
      <c r="TNX364" s="373">
        <f>'Q100a-geral'!TNX887</f>
        <v>0</v>
      </c>
      <c r="TNY364" s="373">
        <f>'Q100a-geral'!TNY887</f>
        <v>0</v>
      </c>
      <c r="TNZ364" s="373">
        <f>'Q100a-geral'!TNZ887</f>
        <v>0</v>
      </c>
      <c r="TOA364" s="373">
        <f>'Q100a-geral'!TOA887</f>
        <v>0</v>
      </c>
      <c r="TOB364" s="373">
        <f>'Q100a-geral'!TOB887</f>
        <v>0</v>
      </c>
      <c r="TOC364" s="373">
        <f>'Q100a-geral'!TOC887</f>
        <v>0</v>
      </c>
      <c r="TOD364" s="373">
        <f>'Q100a-geral'!TOD887</f>
        <v>0</v>
      </c>
      <c r="TOE364" s="373">
        <f>'Q100a-geral'!TOE887</f>
        <v>0</v>
      </c>
      <c r="TOF364" s="373">
        <f>'Q100a-geral'!TOF887</f>
        <v>0</v>
      </c>
      <c r="TOG364" s="373">
        <f>'Q100a-geral'!TOG887</f>
        <v>0</v>
      </c>
      <c r="TOH364" s="373">
        <f>'Q100a-geral'!TOH887</f>
        <v>0</v>
      </c>
      <c r="TOI364" s="373">
        <f>'Q100a-geral'!TOI887</f>
        <v>0</v>
      </c>
      <c r="TOJ364" s="373">
        <f>'Q100a-geral'!TOJ887</f>
        <v>0</v>
      </c>
      <c r="TOK364" s="373">
        <f>'Q100a-geral'!TOK887</f>
        <v>0</v>
      </c>
      <c r="TOL364" s="373">
        <f>'Q100a-geral'!TOL887</f>
        <v>0</v>
      </c>
      <c r="TOM364" s="373">
        <f>'Q100a-geral'!TOM887</f>
        <v>0</v>
      </c>
      <c r="TON364" s="373">
        <f>'Q100a-geral'!TON887</f>
        <v>0</v>
      </c>
      <c r="TOO364" s="373">
        <f>'Q100a-geral'!TOO887</f>
        <v>0</v>
      </c>
      <c r="TOP364" s="373">
        <f>'Q100a-geral'!TOP887</f>
        <v>0</v>
      </c>
      <c r="TOQ364" s="373">
        <f>'Q100a-geral'!TOQ887</f>
        <v>0</v>
      </c>
      <c r="TOR364" s="373">
        <f>'Q100a-geral'!TOR887</f>
        <v>0</v>
      </c>
      <c r="TOS364" s="373">
        <f>'Q100a-geral'!TOS887</f>
        <v>0</v>
      </c>
      <c r="TOT364" s="373">
        <f>'Q100a-geral'!TOT887</f>
        <v>0</v>
      </c>
      <c r="TOU364" s="373">
        <f>'Q100a-geral'!TOU887</f>
        <v>0</v>
      </c>
      <c r="TOV364" s="373">
        <f>'Q100a-geral'!TOV887</f>
        <v>0</v>
      </c>
      <c r="TOW364" s="373">
        <f>'Q100a-geral'!TOW887</f>
        <v>0</v>
      </c>
      <c r="TOX364" s="373">
        <f>'Q100a-geral'!TOX887</f>
        <v>0</v>
      </c>
      <c r="TOY364" s="373">
        <f>'Q100a-geral'!TOY887</f>
        <v>0</v>
      </c>
      <c r="TOZ364" s="373">
        <f>'Q100a-geral'!TOZ887</f>
        <v>0</v>
      </c>
      <c r="TPA364" s="373">
        <f>'Q100a-geral'!TPA887</f>
        <v>0</v>
      </c>
      <c r="TPB364" s="373">
        <f>'Q100a-geral'!TPB887</f>
        <v>0</v>
      </c>
      <c r="TPC364" s="373">
        <f>'Q100a-geral'!TPC887</f>
        <v>0</v>
      </c>
      <c r="TPD364" s="373">
        <f>'Q100a-geral'!TPD887</f>
        <v>0</v>
      </c>
      <c r="TPE364" s="373">
        <f>'Q100a-geral'!TPE887</f>
        <v>0</v>
      </c>
      <c r="TPF364" s="373">
        <f>'Q100a-geral'!TPF887</f>
        <v>0</v>
      </c>
      <c r="TPG364" s="373">
        <f>'Q100a-geral'!TPG887</f>
        <v>0</v>
      </c>
      <c r="TPH364" s="373">
        <f>'Q100a-geral'!TPH887</f>
        <v>0</v>
      </c>
      <c r="TPI364" s="373">
        <f>'Q100a-geral'!TPI887</f>
        <v>0</v>
      </c>
      <c r="TPJ364" s="373">
        <f>'Q100a-geral'!TPJ887</f>
        <v>0</v>
      </c>
      <c r="TPK364" s="373">
        <f>'Q100a-geral'!TPK887</f>
        <v>0</v>
      </c>
      <c r="TPL364" s="373">
        <f>'Q100a-geral'!TPL887</f>
        <v>0</v>
      </c>
      <c r="TPM364" s="373">
        <f>'Q100a-geral'!TPM887</f>
        <v>0</v>
      </c>
      <c r="TPN364" s="373">
        <f>'Q100a-geral'!TPN887</f>
        <v>0</v>
      </c>
      <c r="TPO364" s="373">
        <f>'Q100a-geral'!TPO887</f>
        <v>0</v>
      </c>
      <c r="TPP364" s="373">
        <f>'Q100a-geral'!TPP887</f>
        <v>0</v>
      </c>
      <c r="TPQ364" s="373">
        <f>'Q100a-geral'!TPQ887</f>
        <v>0</v>
      </c>
      <c r="TPR364" s="373">
        <f>'Q100a-geral'!TPR887</f>
        <v>0</v>
      </c>
      <c r="TPS364" s="373">
        <f>'Q100a-geral'!TPS887</f>
        <v>0</v>
      </c>
      <c r="TPT364" s="373">
        <f>'Q100a-geral'!TPT887</f>
        <v>0</v>
      </c>
      <c r="TPU364" s="373">
        <f>'Q100a-geral'!TPU887</f>
        <v>0</v>
      </c>
      <c r="TPV364" s="373">
        <f>'Q100a-geral'!TPV887</f>
        <v>0</v>
      </c>
      <c r="TPW364" s="373">
        <f>'Q100a-geral'!TPW887</f>
        <v>0</v>
      </c>
      <c r="TPX364" s="373">
        <f>'Q100a-geral'!TPX887</f>
        <v>0</v>
      </c>
      <c r="TPY364" s="373">
        <f>'Q100a-geral'!TPY887</f>
        <v>0</v>
      </c>
      <c r="TPZ364" s="373">
        <f>'Q100a-geral'!TPZ887</f>
        <v>0</v>
      </c>
      <c r="TQA364" s="373">
        <f>'Q100a-geral'!TQA887</f>
        <v>0</v>
      </c>
      <c r="TQB364" s="373">
        <f>'Q100a-geral'!TQB887</f>
        <v>0</v>
      </c>
      <c r="TQC364" s="373">
        <f>'Q100a-geral'!TQC887</f>
        <v>0</v>
      </c>
      <c r="TQD364" s="373">
        <f>'Q100a-geral'!TQD887</f>
        <v>0</v>
      </c>
      <c r="TQE364" s="373">
        <f>'Q100a-geral'!TQE887</f>
        <v>0</v>
      </c>
      <c r="TQF364" s="373">
        <f>'Q100a-geral'!TQF887</f>
        <v>0</v>
      </c>
      <c r="TQG364" s="373">
        <f>'Q100a-geral'!TQG887</f>
        <v>0</v>
      </c>
      <c r="TQH364" s="373">
        <f>'Q100a-geral'!TQH887</f>
        <v>0</v>
      </c>
      <c r="TQI364" s="373">
        <f>'Q100a-geral'!TQI887</f>
        <v>0</v>
      </c>
      <c r="TQJ364" s="373">
        <f>'Q100a-geral'!TQJ887</f>
        <v>0</v>
      </c>
      <c r="TQK364" s="373">
        <f>'Q100a-geral'!TQK887</f>
        <v>0</v>
      </c>
      <c r="TQL364" s="373">
        <f>'Q100a-geral'!TQL887</f>
        <v>0</v>
      </c>
      <c r="TQM364" s="373">
        <f>'Q100a-geral'!TQM887</f>
        <v>0</v>
      </c>
      <c r="TQN364" s="373">
        <f>'Q100a-geral'!TQN887</f>
        <v>0</v>
      </c>
      <c r="TQO364" s="373">
        <f>'Q100a-geral'!TQO887</f>
        <v>0</v>
      </c>
      <c r="TQP364" s="373">
        <f>'Q100a-geral'!TQP887</f>
        <v>0</v>
      </c>
      <c r="TQQ364" s="373">
        <f>'Q100a-geral'!TQQ887</f>
        <v>0</v>
      </c>
      <c r="TQR364" s="373">
        <f>'Q100a-geral'!TQR887</f>
        <v>0</v>
      </c>
      <c r="TQS364" s="373">
        <f>'Q100a-geral'!TQS887</f>
        <v>0</v>
      </c>
      <c r="TQT364" s="373">
        <f>'Q100a-geral'!TQT887</f>
        <v>0</v>
      </c>
      <c r="TQU364" s="373">
        <f>'Q100a-geral'!TQU887</f>
        <v>0</v>
      </c>
      <c r="TQV364" s="373">
        <f>'Q100a-geral'!TQV887</f>
        <v>0</v>
      </c>
      <c r="TQW364" s="373">
        <f>'Q100a-geral'!TQW887</f>
        <v>0</v>
      </c>
      <c r="TQX364" s="373">
        <f>'Q100a-geral'!TQX887</f>
        <v>0</v>
      </c>
      <c r="TQY364" s="373">
        <f>'Q100a-geral'!TQY887</f>
        <v>0</v>
      </c>
      <c r="TQZ364" s="373">
        <f>'Q100a-geral'!TQZ887</f>
        <v>0</v>
      </c>
      <c r="TRA364" s="373">
        <f>'Q100a-geral'!TRA887</f>
        <v>0</v>
      </c>
      <c r="TRB364" s="373">
        <f>'Q100a-geral'!TRB887</f>
        <v>0</v>
      </c>
      <c r="TRC364" s="373">
        <f>'Q100a-geral'!TRC887</f>
        <v>0</v>
      </c>
      <c r="TRD364" s="373">
        <f>'Q100a-geral'!TRD887</f>
        <v>0</v>
      </c>
      <c r="TRE364" s="373">
        <f>'Q100a-geral'!TRE887</f>
        <v>0</v>
      </c>
      <c r="TRF364" s="373">
        <f>'Q100a-geral'!TRF887</f>
        <v>0</v>
      </c>
      <c r="TRG364" s="373">
        <f>'Q100a-geral'!TRG887</f>
        <v>0</v>
      </c>
      <c r="TRH364" s="373">
        <f>'Q100a-geral'!TRH887</f>
        <v>0</v>
      </c>
      <c r="TRI364" s="373">
        <f>'Q100a-geral'!TRI887</f>
        <v>0</v>
      </c>
      <c r="TRJ364" s="373">
        <f>'Q100a-geral'!TRJ887</f>
        <v>0</v>
      </c>
      <c r="TRK364" s="373">
        <f>'Q100a-geral'!TRK887</f>
        <v>0</v>
      </c>
      <c r="TRL364" s="373">
        <f>'Q100a-geral'!TRL887</f>
        <v>0</v>
      </c>
      <c r="TRM364" s="373">
        <f>'Q100a-geral'!TRM887</f>
        <v>0</v>
      </c>
      <c r="TRN364" s="373">
        <f>'Q100a-geral'!TRN887</f>
        <v>0</v>
      </c>
      <c r="TRO364" s="373">
        <f>'Q100a-geral'!TRO887</f>
        <v>0</v>
      </c>
      <c r="TRP364" s="373">
        <f>'Q100a-geral'!TRP887</f>
        <v>0</v>
      </c>
      <c r="TRQ364" s="373">
        <f>'Q100a-geral'!TRQ887</f>
        <v>0</v>
      </c>
      <c r="TRR364" s="373">
        <f>'Q100a-geral'!TRR887</f>
        <v>0</v>
      </c>
      <c r="TRS364" s="373">
        <f>'Q100a-geral'!TRS887</f>
        <v>0</v>
      </c>
      <c r="TRT364" s="373">
        <f>'Q100a-geral'!TRT887</f>
        <v>0</v>
      </c>
      <c r="TRU364" s="373">
        <f>'Q100a-geral'!TRU887</f>
        <v>0</v>
      </c>
      <c r="TRV364" s="373">
        <f>'Q100a-geral'!TRV887</f>
        <v>0</v>
      </c>
      <c r="TRW364" s="373">
        <f>'Q100a-geral'!TRW887</f>
        <v>0</v>
      </c>
      <c r="TRX364" s="373">
        <f>'Q100a-geral'!TRX887</f>
        <v>0</v>
      </c>
      <c r="TRY364" s="373">
        <f>'Q100a-geral'!TRY887</f>
        <v>0</v>
      </c>
      <c r="TRZ364" s="373">
        <f>'Q100a-geral'!TRZ887</f>
        <v>0</v>
      </c>
      <c r="TSA364" s="373">
        <f>'Q100a-geral'!TSA887</f>
        <v>0</v>
      </c>
      <c r="TSB364" s="373">
        <f>'Q100a-geral'!TSB887</f>
        <v>0</v>
      </c>
      <c r="TSC364" s="373">
        <f>'Q100a-geral'!TSC887</f>
        <v>0</v>
      </c>
      <c r="TSD364" s="373">
        <f>'Q100a-geral'!TSD887</f>
        <v>0</v>
      </c>
      <c r="TSE364" s="373">
        <f>'Q100a-geral'!TSE887</f>
        <v>0</v>
      </c>
      <c r="TSF364" s="373">
        <f>'Q100a-geral'!TSF887</f>
        <v>0</v>
      </c>
      <c r="TSG364" s="373">
        <f>'Q100a-geral'!TSG887</f>
        <v>0</v>
      </c>
      <c r="TSH364" s="373">
        <f>'Q100a-geral'!TSH887</f>
        <v>0</v>
      </c>
      <c r="TSI364" s="373">
        <f>'Q100a-geral'!TSI887</f>
        <v>0</v>
      </c>
      <c r="TSJ364" s="373">
        <f>'Q100a-geral'!TSJ887</f>
        <v>0</v>
      </c>
      <c r="TSK364" s="373">
        <f>'Q100a-geral'!TSK887</f>
        <v>0</v>
      </c>
      <c r="TSL364" s="373">
        <f>'Q100a-geral'!TSL887</f>
        <v>0</v>
      </c>
      <c r="TSM364" s="373">
        <f>'Q100a-geral'!TSM887</f>
        <v>0</v>
      </c>
      <c r="TSN364" s="373">
        <f>'Q100a-geral'!TSN887</f>
        <v>0</v>
      </c>
      <c r="TSO364" s="373">
        <f>'Q100a-geral'!TSO887</f>
        <v>0</v>
      </c>
      <c r="TSP364" s="373">
        <f>'Q100a-geral'!TSP887</f>
        <v>0</v>
      </c>
      <c r="TSQ364" s="373">
        <f>'Q100a-geral'!TSQ887</f>
        <v>0</v>
      </c>
      <c r="TSR364" s="373">
        <f>'Q100a-geral'!TSR887</f>
        <v>0</v>
      </c>
      <c r="TSS364" s="373">
        <f>'Q100a-geral'!TSS887</f>
        <v>0</v>
      </c>
      <c r="TST364" s="373">
        <f>'Q100a-geral'!TST887</f>
        <v>0</v>
      </c>
      <c r="TSU364" s="373">
        <f>'Q100a-geral'!TSU887</f>
        <v>0</v>
      </c>
      <c r="TSV364" s="373">
        <f>'Q100a-geral'!TSV887</f>
        <v>0</v>
      </c>
      <c r="TSW364" s="373">
        <f>'Q100a-geral'!TSW887</f>
        <v>0</v>
      </c>
      <c r="TSX364" s="373">
        <f>'Q100a-geral'!TSX887</f>
        <v>0</v>
      </c>
      <c r="TSY364" s="373">
        <f>'Q100a-geral'!TSY887</f>
        <v>0</v>
      </c>
      <c r="TSZ364" s="373">
        <f>'Q100a-geral'!TSZ887</f>
        <v>0</v>
      </c>
      <c r="TTA364" s="373">
        <f>'Q100a-geral'!TTA887</f>
        <v>0</v>
      </c>
      <c r="TTB364" s="373">
        <f>'Q100a-geral'!TTB887</f>
        <v>0</v>
      </c>
      <c r="TTC364" s="373">
        <f>'Q100a-geral'!TTC887</f>
        <v>0</v>
      </c>
      <c r="TTD364" s="373">
        <f>'Q100a-geral'!TTD887</f>
        <v>0</v>
      </c>
      <c r="TTE364" s="373">
        <f>'Q100a-geral'!TTE887</f>
        <v>0</v>
      </c>
      <c r="TTF364" s="373">
        <f>'Q100a-geral'!TTF887</f>
        <v>0</v>
      </c>
      <c r="TTG364" s="373">
        <f>'Q100a-geral'!TTG887</f>
        <v>0</v>
      </c>
      <c r="TTH364" s="373">
        <f>'Q100a-geral'!TTH887</f>
        <v>0</v>
      </c>
      <c r="TTI364" s="373">
        <f>'Q100a-geral'!TTI887</f>
        <v>0</v>
      </c>
      <c r="TTJ364" s="373">
        <f>'Q100a-geral'!TTJ887</f>
        <v>0</v>
      </c>
      <c r="TTK364" s="373">
        <f>'Q100a-geral'!TTK887</f>
        <v>0</v>
      </c>
      <c r="TTL364" s="373">
        <f>'Q100a-geral'!TTL887</f>
        <v>0</v>
      </c>
      <c r="TTM364" s="373">
        <f>'Q100a-geral'!TTM887</f>
        <v>0</v>
      </c>
      <c r="TTN364" s="373">
        <f>'Q100a-geral'!TTN887</f>
        <v>0</v>
      </c>
      <c r="TTO364" s="373">
        <f>'Q100a-geral'!TTO887</f>
        <v>0</v>
      </c>
      <c r="TTP364" s="373">
        <f>'Q100a-geral'!TTP887</f>
        <v>0</v>
      </c>
      <c r="TTQ364" s="373">
        <f>'Q100a-geral'!TTQ887</f>
        <v>0</v>
      </c>
      <c r="TTR364" s="373">
        <f>'Q100a-geral'!TTR887</f>
        <v>0</v>
      </c>
      <c r="TTS364" s="373">
        <f>'Q100a-geral'!TTS887</f>
        <v>0</v>
      </c>
      <c r="TTT364" s="373">
        <f>'Q100a-geral'!TTT887</f>
        <v>0</v>
      </c>
      <c r="TTU364" s="373">
        <f>'Q100a-geral'!TTU887</f>
        <v>0</v>
      </c>
      <c r="TTV364" s="373">
        <f>'Q100a-geral'!TTV887</f>
        <v>0</v>
      </c>
      <c r="TTW364" s="373">
        <f>'Q100a-geral'!TTW887</f>
        <v>0</v>
      </c>
      <c r="TTX364" s="373">
        <f>'Q100a-geral'!TTX887</f>
        <v>0</v>
      </c>
      <c r="TTY364" s="373">
        <f>'Q100a-geral'!TTY887</f>
        <v>0</v>
      </c>
      <c r="TTZ364" s="373">
        <f>'Q100a-geral'!TTZ887</f>
        <v>0</v>
      </c>
      <c r="TUA364" s="373">
        <f>'Q100a-geral'!TUA887</f>
        <v>0</v>
      </c>
      <c r="TUB364" s="373">
        <f>'Q100a-geral'!TUB887</f>
        <v>0</v>
      </c>
      <c r="TUC364" s="373">
        <f>'Q100a-geral'!TUC887</f>
        <v>0</v>
      </c>
      <c r="TUD364" s="373">
        <f>'Q100a-geral'!TUD887</f>
        <v>0</v>
      </c>
      <c r="TUE364" s="373">
        <f>'Q100a-geral'!TUE887</f>
        <v>0</v>
      </c>
      <c r="TUF364" s="373">
        <f>'Q100a-geral'!TUF887</f>
        <v>0</v>
      </c>
      <c r="TUG364" s="373">
        <f>'Q100a-geral'!TUG887</f>
        <v>0</v>
      </c>
      <c r="TUH364" s="373">
        <f>'Q100a-geral'!TUH887</f>
        <v>0</v>
      </c>
      <c r="TUI364" s="373">
        <f>'Q100a-geral'!TUI887</f>
        <v>0</v>
      </c>
      <c r="TUJ364" s="373">
        <f>'Q100a-geral'!TUJ887</f>
        <v>0</v>
      </c>
      <c r="TUK364" s="373">
        <f>'Q100a-geral'!TUK887</f>
        <v>0</v>
      </c>
      <c r="TUL364" s="373">
        <f>'Q100a-geral'!TUL887</f>
        <v>0</v>
      </c>
      <c r="TUM364" s="373">
        <f>'Q100a-geral'!TUM887</f>
        <v>0</v>
      </c>
      <c r="TUN364" s="373">
        <f>'Q100a-geral'!TUN887</f>
        <v>0</v>
      </c>
      <c r="TUO364" s="373">
        <f>'Q100a-geral'!TUO887</f>
        <v>0</v>
      </c>
      <c r="TUP364" s="373">
        <f>'Q100a-geral'!TUP887</f>
        <v>0</v>
      </c>
      <c r="TUQ364" s="373">
        <f>'Q100a-geral'!TUQ887</f>
        <v>0</v>
      </c>
      <c r="TUR364" s="373">
        <f>'Q100a-geral'!TUR887</f>
        <v>0</v>
      </c>
      <c r="TUS364" s="373">
        <f>'Q100a-geral'!TUS887</f>
        <v>0</v>
      </c>
      <c r="TUT364" s="373">
        <f>'Q100a-geral'!TUT887</f>
        <v>0</v>
      </c>
      <c r="TUU364" s="373">
        <f>'Q100a-geral'!TUU887</f>
        <v>0</v>
      </c>
      <c r="TUV364" s="373">
        <f>'Q100a-geral'!TUV887</f>
        <v>0</v>
      </c>
      <c r="TUW364" s="373">
        <f>'Q100a-geral'!TUW887</f>
        <v>0</v>
      </c>
      <c r="TUX364" s="373">
        <f>'Q100a-geral'!TUX887</f>
        <v>0</v>
      </c>
      <c r="TUY364" s="373">
        <f>'Q100a-geral'!TUY887</f>
        <v>0</v>
      </c>
      <c r="TUZ364" s="373">
        <f>'Q100a-geral'!TUZ887</f>
        <v>0</v>
      </c>
      <c r="TVA364" s="373">
        <f>'Q100a-geral'!TVA887</f>
        <v>0</v>
      </c>
      <c r="TVB364" s="373">
        <f>'Q100a-geral'!TVB887</f>
        <v>0</v>
      </c>
      <c r="TVC364" s="373">
        <f>'Q100a-geral'!TVC887</f>
        <v>0</v>
      </c>
      <c r="TVD364" s="373">
        <f>'Q100a-geral'!TVD887</f>
        <v>0</v>
      </c>
      <c r="TVE364" s="373">
        <f>'Q100a-geral'!TVE887</f>
        <v>0</v>
      </c>
      <c r="TVF364" s="373">
        <f>'Q100a-geral'!TVF887</f>
        <v>0</v>
      </c>
      <c r="TVG364" s="373">
        <f>'Q100a-geral'!TVG887</f>
        <v>0</v>
      </c>
      <c r="TVH364" s="373">
        <f>'Q100a-geral'!TVH887</f>
        <v>0</v>
      </c>
      <c r="TVI364" s="373">
        <f>'Q100a-geral'!TVI887</f>
        <v>0</v>
      </c>
      <c r="TVJ364" s="373">
        <f>'Q100a-geral'!TVJ887</f>
        <v>0</v>
      </c>
      <c r="TVK364" s="373">
        <f>'Q100a-geral'!TVK887</f>
        <v>0</v>
      </c>
      <c r="TVL364" s="373">
        <f>'Q100a-geral'!TVL887</f>
        <v>0</v>
      </c>
      <c r="TVM364" s="373">
        <f>'Q100a-geral'!TVM887</f>
        <v>0</v>
      </c>
      <c r="TVN364" s="373">
        <f>'Q100a-geral'!TVN887</f>
        <v>0</v>
      </c>
      <c r="TVO364" s="373">
        <f>'Q100a-geral'!TVO887</f>
        <v>0</v>
      </c>
      <c r="TVP364" s="373">
        <f>'Q100a-geral'!TVP887</f>
        <v>0</v>
      </c>
      <c r="TVQ364" s="373">
        <f>'Q100a-geral'!TVQ887</f>
        <v>0</v>
      </c>
      <c r="TVR364" s="373">
        <f>'Q100a-geral'!TVR887</f>
        <v>0</v>
      </c>
      <c r="TVS364" s="373">
        <f>'Q100a-geral'!TVS887</f>
        <v>0</v>
      </c>
      <c r="TVT364" s="373">
        <f>'Q100a-geral'!TVT887</f>
        <v>0</v>
      </c>
      <c r="TVU364" s="373">
        <f>'Q100a-geral'!TVU887</f>
        <v>0</v>
      </c>
      <c r="TVV364" s="373">
        <f>'Q100a-geral'!TVV887</f>
        <v>0</v>
      </c>
      <c r="TVW364" s="373">
        <f>'Q100a-geral'!TVW887</f>
        <v>0</v>
      </c>
      <c r="TVX364" s="373">
        <f>'Q100a-geral'!TVX887</f>
        <v>0</v>
      </c>
      <c r="TVY364" s="373">
        <f>'Q100a-geral'!TVY887</f>
        <v>0</v>
      </c>
      <c r="TVZ364" s="373">
        <f>'Q100a-geral'!TVZ887</f>
        <v>0</v>
      </c>
      <c r="TWA364" s="373">
        <f>'Q100a-geral'!TWA887</f>
        <v>0</v>
      </c>
      <c r="TWB364" s="373">
        <f>'Q100a-geral'!TWB887</f>
        <v>0</v>
      </c>
      <c r="TWC364" s="373">
        <f>'Q100a-geral'!TWC887</f>
        <v>0</v>
      </c>
      <c r="TWD364" s="373">
        <f>'Q100a-geral'!TWD887</f>
        <v>0</v>
      </c>
      <c r="TWE364" s="373">
        <f>'Q100a-geral'!TWE887</f>
        <v>0</v>
      </c>
      <c r="TWF364" s="373">
        <f>'Q100a-geral'!TWF887</f>
        <v>0</v>
      </c>
      <c r="TWG364" s="373">
        <f>'Q100a-geral'!TWG887</f>
        <v>0</v>
      </c>
      <c r="TWH364" s="373">
        <f>'Q100a-geral'!TWH887</f>
        <v>0</v>
      </c>
      <c r="TWI364" s="373">
        <f>'Q100a-geral'!TWI887</f>
        <v>0</v>
      </c>
      <c r="TWJ364" s="373">
        <f>'Q100a-geral'!TWJ887</f>
        <v>0</v>
      </c>
      <c r="TWK364" s="373">
        <f>'Q100a-geral'!TWK887</f>
        <v>0</v>
      </c>
      <c r="TWL364" s="373">
        <f>'Q100a-geral'!TWL887</f>
        <v>0</v>
      </c>
      <c r="TWM364" s="373">
        <f>'Q100a-geral'!TWM887</f>
        <v>0</v>
      </c>
      <c r="TWN364" s="373">
        <f>'Q100a-geral'!TWN887</f>
        <v>0</v>
      </c>
      <c r="TWO364" s="373">
        <f>'Q100a-geral'!TWO887</f>
        <v>0</v>
      </c>
      <c r="TWP364" s="373">
        <f>'Q100a-geral'!TWP887</f>
        <v>0</v>
      </c>
      <c r="TWQ364" s="373">
        <f>'Q100a-geral'!TWQ887</f>
        <v>0</v>
      </c>
      <c r="TWR364" s="373">
        <f>'Q100a-geral'!TWR887</f>
        <v>0</v>
      </c>
      <c r="TWS364" s="373">
        <f>'Q100a-geral'!TWS887</f>
        <v>0</v>
      </c>
      <c r="TWT364" s="373">
        <f>'Q100a-geral'!TWT887</f>
        <v>0</v>
      </c>
      <c r="TWU364" s="373">
        <f>'Q100a-geral'!TWU887</f>
        <v>0</v>
      </c>
      <c r="TWV364" s="373">
        <f>'Q100a-geral'!TWV887</f>
        <v>0</v>
      </c>
      <c r="TWW364" s="373">
        <f>'Q100a-geral'!TWW887</f>
        <v>0</v>
      </c>
      <c r="TWX364" s="373">
        <f>'Q100a-geral'!TWX887</f>
        <v>0</v>
      </c>
      <c r="TWY364" s="373">
        <f>'Q100a-geral'!TWY887</f>
        <v>0</v>
      </c>
      <c r="TWZ364" s="373">
        <f>'Q100a-geral'!TWZ887</f>
        <v>0</v>
      </c>
      <c r="TXA364" s="373">
        <f>'Q100a-geral'!TXA887</f>
        <v>0</v>
      </c>
      <c r="TXB364" s="373">
        <f>'Q100a-geral'!TXB887</f>
        <v>0</v>
      </c>
      <c r="TXC364" s="373">
        <f>'Q100a-geral'!TXC887</f>
        <v>0</v>
      </c>
      <c r="TXD364" s="373">
        <f>'Q100a-geral'!TXD887</f>
        <v>0</v>
      </c>
      <c r="TXE364" s="373">
        <f>'Q100a-geral'!TXE887</f>
        <v>0</v>
      </c>
      <c r="TXF364" s="373">
        <f>'Q100a-geral'!TXF887</f>
        <v>0</v>
      </c>
      <c r="TXG364" s="373">
        <f>'Q100a-geral'!TXG887</f>
        <v>0</v>
      </c>
      <c r="TXH364" s="373">
        <f>'Q100a-geral'!TXH887</f>
        <v>0</v>
      </c>
      <c r="TXI364" s="373">
        <f>'Q100a-geral'!TXI887</f>
        <v>0</v>
      </c>
      <c r="TXJ364" s="373">
        <f>'Q100a-geral'!TXJ887</f>
        <v>0</v>
      </c>
      <c r="TXK364" s="373">
        <f>'Q100a-geral'!TXK887</f>
        <v>0</v>
      </c>
      <c r="TXL364" s="373">
        <f>'Q100a-geral'!TXL887</f>
        <v>0</v>
      </c>
      <c r="TXM364" s="373">
        <f>'Q100a-geral'!TXM887</f>
        <v>0</v>
      </c>
      <c r="TXN364" s="373">
        <f>'Q100a-geral'!TXN887</f>
        <v>0</v>
      </c>
      <c r="TXO364" s="373">
        <f>'Q100a-geral'!TXO887</f>
        <v>0</v>
      </c>
      <c r="TXP364" s="373">
        <f>'Q100a-geral'!TXP887</f>
        <v>0</v>
      </c>
      <c r="TXQ364" s="373">
        <f>'Q100a-geral'!TXQ887</f>
        <v>0</v>
      </c>
      <c r="TXR364" s="373">
        <f>'Q100a-geral'!TXR887</f>
        <v>0</v>
      </c>
      <c r="TXS364" s="373">
        <f>'Q100a-geral'!TXS887</f>
        <v>0</v>
      </c>
      <c r="TXT364" s="373">
        <f>'Q100a-geral'!TXT887</f>
        <v>0</v>
      </c>
      <c r="TXU364" s="373">
        <f>'Q100a-geral'!TXU887</f>
        <v>0</v>
      </c>
      <c r="TXV364" s="373">
        <f>'Q100a-geral'!TXV887</f>
        <v>0</v>
      </c>
      <c r="TXW364" s="373">
        <f>'Q100a-geral'!TXW887</f>
        <v>0</v>
      </c>
      <c r="TXX364" s="373">
        <f>'Q100a-geral'!TXX887</f>
        <v>0</v>
      </c>
      <c r="TXY364" s="373">
        <f>'Q100a-geral'!TXY887</f>
        <v>0</v>
      </c>
      <c r="TXZ364" s="373">
        <f>'Q100a-geral'!TXZ887</f>
        <v>0</v>
      </c>
      <c r="TYA364" s="373">
        <f>'Q100a-geral'!TYA887</f>
        <v>0</v>
      </c>
      <c r="TYB364" s="373">
        <f>'Q100a-geral'!TYB887</f>
        <v>0</v>
      </c>
      <c r="TYC364" s="373">
        <f>'Q100a-geral'!TYC887</f>
        <v>0</v>
      </c>
      <c r="TYD364" s="373">
        <f>'Q100a-geral'!TYD887</f>
        <v>0</v>
      </c>
      <c r="TYE364" s="373">
        <f>'Q100a-geral'!TYE887</f>
        <v>0</v>
      </c>
      <c r="TYF364" s="373">
        <f>'Q100a-geral'!TYF887</f>
        <v>0</v>
      </c>
      <c r="TYG364" s="373">
        <f>'Q100a-geral'!TYG887</f>
        <v>0</v>
      </c>
      <c r="TYH364" s="373">
        <f>'Q100a-geral'!TYH887</f>
        <v>0</v>
      </c>
      <c r="TYI364" s="373">
        <f>'Q100a-geral'!TYI887</f>
        <v>0</v>
      </c>
      <c r="TYJ364" s="373">
        <f>'Q100a-geral'!TYJ887</f>
        <v>0</v>
      </c>
      <c r="TYK364" s="373">
        <f>'Q100a-geral'!TYK887</f>
        <v>0</v>
      </c>
      <c r="TYL364" s="373">
        <f>'Q100a-geral'!TYL887</f>
        <v>0</v>
      </c>
      <c r="TYM364" s="373">
        <f>'Q100a-geral'!TYM887</f>
        <v>0</v>
      </c>
      <c r="TYN364" s="373">
        <f>'Q100a-geral'!TYN887</f>
        <v>0</v>
      </c>
      <c r="TYO364" s="373">
        <f>'Q100a-geral'!TYO887</f>
        <v>0</v>
      </c>
      <c r="TYP364" s="373">
        <f>'Q100a-geral'!TYP887</f>
        <v>0</v>
      </c>
      <c r="TYQ364" s="373">
        <f>'Q100a-geral'!TYQ887</f>
        <v>0</v>
      </c>
      <c r="TYR364" s="373">
        <f>'Q100a-geral'!TYR887</f>
        <v>0</v>
      </c>
      <c r="TYS364" s="373">
        <f>'Q100a-geral'!TYS887</f>
        <v>0</v>
      </c>
      <c r="TYT364" s="373">
        <f>'Q100a-geral'!TYT887</f>
        <v>0</v>
      </c>
      <c r="TYU364" s="373">
        <f>'Q100a-geral'!TYU887</f>
        <v>0</v>
      </c>
      <c r="TYV364" s="373">
        <f>'Q100a-geral'!TYV887</f>
        <v>0</v>
      </c>
      <c r="TYW364" s="373">
        <f>'Q100a-geral'!TYW887</f>
        <v>0</v>
      </c>
      <c r="TYX364" s="373">
        <f>'Q100a-geral'!TYX887</f>
        <v>0</v>
      </c>
      <c r="TYY364" s="373">
        <f>'Q100a-geral'!TYY887</f>
        <v>0</v>
      </c>
      <c r="TYZ364" s="373">
        <f>'Q100a-geral'!TYZ887</f>
        <v>0</v>
      </c>
      <c r="TZA364" s="373">
        <f>'Q100a-geral'!TZA887</f>
        <v>0</v>
      </c>
      <c r="TZB364" s="373">
        <f>'Q100a-geral'!TZB887</f>
        <v>0</v>
      </c>
      <c r="TZC364" s="373">
        <f>'Q100a-geral'!TZC887</f>
        <v>0</v>
      </c>
      <c r="TZD364" s="373">
        <f>'Q100a-geral'!TZD887</f>
        <v>0</v>
      </c>
      <c r="TZE364" s="373">
        <f>'Q100a-geral'!TZE887</f>
        <v>0</v>
      </c>
      <c r="TZF364" s="373">
        <f>'Q100a-geral'!TZF887</f>
        <v>0</v>
      </c>
      <c r="TZG364" s="373">
        <f>'Q100a-geral'!TZG887</f>
        <v>0</v>
      </c>
      <c r="TZH364" s="373">
        <f>'Q100a-geral'!TZH887</f>
        <v>0</v>
      </c>
      <c r="TZI364" s="373">
        <f>'Q100a-geral'!TZI887</f>
        <v>0</v>
      </c>
      <c r="TZJ364" s="373">
        <f>'Q100a-geral'!TZJ887</f>
        <v>0</v>
      </c>
      <c r="TZK364" s="373">
        <f>'Q100a-geral'!TZK887</f>
        <v>0</v>
      </c>
      <c r="TZL364" s="373">
        <f>'Q100a-geral'!TZL887</f>
        <v>0</v>
      </c>
      <c r="TZM364" s="373">
        <f>'Q100a-geral'!TZM887</f>
        <v>0</v>
      </c>
      <c r="TZN364" s="373">
        <f>'Q100a-geral'!TZN887</f>
        <v>0</v>
      </c>
      <c r="TZO364" s="373">
        <f>'Q100a-geral'!TZO887</f>
        <v>0</v>
      </c>
      <c r="TZP364" s="373">
        <f>'Q100a-geral'!TZP887</f>
        <v>0</v>
      </c>
      <c r="TZQ364" s="373">
        <f>'Q100a-geral'!TZQ887</f>
        <v>0</v>
      </c>
      <c r="TZR364" s="373">
        <f>'Q100a-geral'!TZR887</f>
        <v>0</v>
      </c>
      <c r="TZS364" s="373">
        <f>'Q100a-geral'!TZS887</f>
        <v>0</v>
      </c>
      <c r="TZT364" s="373">
        <f>'Q100a-geral'!TZT887</f>
        <v>0</v>
      </c>
      <c r="TZU364" s="373">
        <f>'Q100a-geral'!TZU887</f>
        <v>0</v>
      </c>
      <c r="TZV364" s="373">
        <f>'Q100a-geral'!TZV887</f>
        <v>0</v>
      </c>
      <c r="TZW364" s="373">
        <f>'Q100a-geral'!TZW887</f>
        <v>0</v>
      </c>
      <c r="TZX364" s="373">
        <f>'Q100a-geral'!TZX887</f>
        <v>0</v>
      </c>
      <c r="TZY364" s="373">
        <f>'Q100a-geral'!TZY887</f>
        <v>0</v>
      </c>
      <c r="TZZ364" s="373">
        <f>'Q100a-geral'!TZZ887</f>
        <v>0</v>
      </c>
      <c r="UAA364" s="373">
        <f>'Q100a-geral'!UAA887</f>
        <v>0</v>
      </c>
      <c r="UAB364" s="373">
        <f>'Q100a-geral'!UAB887</f>
        <v>0</v>
      </c>
      <c r="UAC364" s="373">
        <f>'Q100a-geral'!UAC887</f>
        <v>0</v>
      </c>
      <c r="UAD364" s="373">
        <f>'Q100a-geral'!UAD887</f>
        <v>0</v>
      </c>
      <c r="UAE364" s="373">
        <f>'Q100a-geral'!UAE887</f>
        <v>0</v>
      </c>
      <c r="UAF364" s="373">
        <f>'Q100a-geral'!UAF887</f>
        <v>0</v>
      </c>
      <c r="UAG364" s="373">
        <f>'Q100a-geral'!UAG887</f>
        <v>0</v>
      </c>
      <c r="UAH364" s="373">
        <f>'Q100a-geral'!UAH887</f>
        <v>0</v>
      </c>
      <c r="UAI364" s="373">
        <f>'Q100a-geral'!UAI887</f>
        <v>0</v>
      </c>
      <c r="UAJ364" s="373">
        <f>'Q100a-geral'!UAJ887</f>
        <v>0</v>
      </c>
      <c r="UAK364" s="373">
        <f>'Q100a-geral'!UAK887</f>
        <v>0</v>
      </c>
      <c r="UAL364" s="373">
        <f>'Q100a-geral'!UAL887</f>
        <v>0</v>
      </c>
      <c r="UAM364" s="373">
        <f>'Q100a-geral'!UAM887</f>
        <v>0</v>
      </c>
      <c r="UAN364" s="373">
        <f>'Q100a-geral'!UAN887</f>
        <v>0</v>
      </c>
      <c r="UAO364" s="373">
        <f>'Q100a-geral'!UAO887</f>
        <v>0</v>
      </c>
      <c r="UAP364" s="373">
        <f>'Q100a-geral'!UAP887</f>
        <v>0</v>
      </c>
      <c r="UAQ364" s="373">
        <f>'Q100a-geral'!UAQ887</f>
        <v>0</v>
      </c>
      <c r="UAR364" s="373">
        <f>'Q100a-geral'!UAR887</f>
        <v>0</v>
      </c>
      <c r="UAS364" s="373">
        <f>'Q100a-geral'!UAS887</f>
        <v>0</v>
      </c>
      <c r="UAT364" s="373">
        <f>'Q100a-geral'!UAT887</f>
        <v>0</v>
      </c>
      <c r="UAU364" s="373">
        <f>'Q100a-geral'!UAU887</f>
        <v>0</v>
      </c>
      <c r="UAV364" s="373">
        <f>'Q100a-geral'!UAV887</f>
        <v>0</v>
      </c>
      <c r="UAW364" s="373">
        <f>'Q100a-geral'!UAW887</f>
        <v>0</v>
      </c>
      <c r="UAX364" s="373">
        <f>'Q100a-geral'!UAX887</f>
        <v>0</v>
      </c>
      <c r="UAY364" s="373">
        <f>'Q100a-geral'!UAY887</f>
        <v>0</v>
      </c>
      <c r="UAZ364" s="373">
        <f>'Q100a-geral'!UAZ887</f>
        <v>0</v>
      </c>
      <c r="UBA364" s="373">
        <f>'Q100a-geral'!UBA887</f>
        <v>0</v>
      </c>
      <c r="UBB364" s="373">
        <f>'Q100a-geral'!UBB887</f>
        <v>0</v>
      </c>
      <c r="UBC364" s="373">
        <f>'Q100a-geral'!UBC887</f>
        <v>0</v>
      </c>
      <c r="UBD364" s="373">
        <f>'Q100a-geral'!UBD887</f>
        <v>0</v>
      </c>
      <c r="UBE364" s="373">
        <f>'Q100a-geral'!UBE887</f>
        <v>0</v>
      </c>
      <c r="UBF364" s="373">
        <f>'Q100a-geral'!UBF887</f>
        <v>0</v>
      </c>
      <c r="UBG364" s="373">
        <f>'Q100a-geral'!UBG887</f>
        <v>0</v>
      </c>
      <c r="UBH364" s="373">
        <f>'Q100a-geral'!UBH887</f>
        <v>0</v>
      </c>
      <c r="UBI364" s="373">
        <f>'Q100a-geral'!UBI887</f>
        <v>0</v>
      </c>
      <c r="UBJ364" s="373">
        <f>'Q100a-geral'!UBJ887</f>
        <v>0</v>
      </c>
      <c r="UBK364" s="373">
        <f>'Q100a-geral'!UBK887</f>
        <v>0</v>
      </c>
      <c r="UBL364" s="373">
        <f>'Q100a-geral'!UBL887</f>
        <v>0</v>
      </c>
      <c r="UBM364" s="373">
        <f>'Q100a-geral'!UBM887</f>
        <v>0</v>
      </c>
      <c r="UBN364" s="373">
        <f>'Q100a-geral'!UBN887</f>
        <v>0</v>
      </c>
      <c r="UBO364" s="373">
        <f>'Q100a-geral'!UBO887</f>
        <v>0</v>
      </c>
      <c r="UBP364" s="373">
        <f>'Q100a-geral'!UBP887</f>
        <v>0</v>
      </c>
      <c r="UBQ364" s="373">
        <f>'Q100a-geral'!UBQ887</f>
        <v>0</v>
      </c>
      <c r="UBR364" s="373">
        <f>'Q100a-geral'!UBR887</f>
        <v>0</v>
      </c>
      <c r="UBS364" s="373">
        <f>'Q100a-geral'!UBS887</f>
        <v>0</v>
      </c>
      <c r="UBT364" s="373">
        <f>'Q100a-geral'!UBT887</f>
        <v>0</v>
      </c>
      <c r="UBU364" s="373">
        <f>'Q100a-geral'!UBU887</f>
        <v>0</v>
      </c>
      <c r="UBV364" s="373">
        <f>'Q100a-geral'!UBV887</f>
        <v>0</v>
      </c>
      <c r="UBW364" s="373">
        <f>'Q100a-geral'!UBW887</f>
        <v>0</v>
      </c>
      <c r="UBX364" s="373">
        <f>'Q100a-geral'!UBX887</f>
        <v>0</v>
      </c>
      <c r="UBY364" s="373">
        <f>'Q100a-geral'!UBY887</f>
        <v>0</v>
      </c>
      <c r="UBZ364" s="373">
        <f>'Q100a-geral'!UBZ887</f>
        <v>0</v>
      </c>
      <c r="UCA364" s="373">
        <f>'Q100a-geral'!UCA887</f>
        <v>0</v>
      </c>
      <c r="UCB364" s="373">
        <f>'Q100a-geral'!UCB887</f>
        <v>0</v>
      </c>
      <c r="UCC364" s="373">
        <f>'Q100a-geral'!UCC887</f>
        <v>0</v>
      </c>
      <c r="UCD364" s="373">
        <f>'Q100a-geral'!UCD887</f>
        <v>0</v>
      </c>
      <c r="UCE364" s="373">
        <f>'Q100a-geral'!UCE887</f>
        <v>0</v>
      </c>
      <c r="UCF364" s="373">
        <f>'Q100a-geral'!UCF887</f>
        <v>0</v>
      </c>
      <c r="UCG364" s="373">
        <f>'Q100a-geral'!UCG887</f>
        <v>0</v>
      </c>
      <c r="UCH364" s="373">
        <f>'Q100a-geral'!UCH887</f>
        <v>0</v>
      </c>
      <c r="UCI364" s="373">
        <f>'Q100a-geral'!UCI887</f>
        <v>0</v>
      </c>
      <c r="UCJ364" s="373">
        <f>'Q100a-geral'!UCJ887</f>
        <v>0</v>
      </c>
      <c r="UCK364" s="373">
        <f>'Q100a-geral'!UCK887</f>
        <v>0</v>
      </c>
      <c r="UCL364" s="373">
        <f>'Q100a-geral'!UCL887</f>
        <v>0</v>
      </c>
      <c r="UCM364" s="373">
        <f>'Q100a-geral'!UCM887</f>
        <v>0</v>
      </c>
      <c r="UCN364" s="373">
        <f>'Q100a-geral'!UCN887</f>
        <v>0</v>
      </c>
      <c r="UCO364" s="373">
        <f>'Q100a-geral'!UCO887</f>
        <v>0</v>
      </c>
      <c r="UCP364" s="373">
        <f>'Q100a-geral'!UCP887</f>
        <v>0</v>
      </c>
      <c r="UCQ364" s="373">
        <f>'Q100a-geral'!UCQ887</f>
        <v>0</v>
      </c>
      <c r="UCR364" s="373">
        <f>'Q100a-geral'!UCR887</f>
        <v>0</v>
      </c>
      <c r="UCS364" s="373">
        <f>'Q100a-geral'!UCS887</f>
        <v>0</v>
      </c>
      <c r="UCT364" s="373">
        <f>'Q100a-geral'!UCT887</f>
        <v>0</v>
      </c>
      <c r="UCU364" s="373">
        <f>'Q100a-geral'!UCU887</f>
        <v>0</v>
      </c>
      <c r="UCV364" s="373">
        <f>'Q100a-geral'!UCV887</f>
        <v>0</v>
      </c>
      <c r="UCW364" s="373">
        <f>'Q100a-geral'!UCW887</f>
        <v>0</v>
      </c>
      <c r="UCX364" s="373">
        <f>'Q100a-geral'!UCX887</f>
        <v>0</v>
      </c>
      <c r="UCY364" s="373">
        <f>'Q100a-geral'!UCY887</f>
        <v>0</v>
      </c>
      <c r="UCZ364" s="373">
        <f>'Q100a-geral'!UCZ887</f>
        <v>0</v>
      </c>
      <c r="UDA364" s="373">
        <f>'Q100a-geral'!UDA887</f>
        <v>0</v>
      </c>
      <c r="UDB364" s="373">
        <f>'Q100a-geral'!UDB887</f>
        <v>0</v>
      </c>
      <c r="UDC364" s="373">
        <f>'Q100a-geral'!UDC887</f>
        <v>0</v>
      </c>
      <c r="UDD364" s="373">
        <f>'Q100a-geral'!UDD887</f>
        <v>0</v>
      </c>
      <c r="UDE364" s="373">
        <f>'Q100a-geral'!UDE887</f>
        <v>0</v>
      </c>
      <c r="UDF364" s="373">
        <f>'Q100a-geral'!UDF887</f>
        <v>0</v>
      </c>
      <c r="UDG364" s="373">
        <f>'Q100a-geral'!UDG887</f>
        <v>0</v>
      </c>
      <c r="UDH364" s="373">
        <f>'Q100a-geral'!UDH887</f>
        <v>0</v>
      </c>
      <c r="UDI364" s="373">
        <f>'Q100a-geral'!UDI887</f>
        <v>0</v>
      </c>
      <c r="UDJ364" s="373">
        <f>'Q100a-geral'!UDJ887</f>
        <v>0</v>
      </c>
      <c r="UDK364" s="373">
        <f>'Q100a-geral'!UDK887</f>
        <v>0</v>
      </c>
      <c r="UDL364" s="373">
        <f>'Q100a-geral'!UDL887</f>
        <v>0</v>
      </c>
      <c r="UDM364" s="373">
        <f>'Q100a-geral'!UDM887</f>
        <v>0</v>
      </c>
      <c r="UDN364" s="373">
        <f>'Q100a-geral'!UDN887</f>
        <v>0</v>
      </c>
      <c r="UDO364" s="373">
        <f>'Q100a-geral'!UDO887</f>
        <v>0</v>
      </c>
      <c r="UDP364" s="373">
        <f>'Q100a-geral'!UDP887</f>
        <v>0</v>
      </c>
      <c r="UDQ364" s="373">
        <f>'Q100a-geral'!UDQ887</f>
        <v>0</v>
      </c>
      <c r="UDR364" s="373">
        <f>'Q100a-geral'!UDR887</f>
        <v>0</v>
      </c>
      <c r="UDS364" s="373">
        <f>'Q100a-geral'!UDS887</f>
        <v>0</v>
      </c>
      <c r="UDT364" s="373">
        <f>'Q100a-geral'!UDT887</f>
        <v>0</v>
      </c>
      <c r="UDU364" s="373">
        <f>'Q100a-geral'!UDU887</f>
        <v>0</v>
      </c>
      <c r="UDV364" s="373">
        <f>'Q100a-geral'!UDV887</f>
        <v>0</v>
      </c>
      <c r="UDW364" s="373">
        <f>'Q100a-geral'!UDW887</f>
        <v>0</v>
      </c>
      <c r="UDX364" s="373">
        <f>'Q100a-geral'!UDX887</f>
        <v>0</v>
      </c>
      <c r="UDY364" s="373">
        <f>'Q100a-geral'!UDY887</f>
        <v>0</v>
      </c>
      <c r="UDZ364" s="373">
        <f>'Q100a-geral'!UDZ887</f>
        <v>0</v>
      </c>
      <c r="UEA364" s="373">
        <f>'Q100a-geral'!UEA887</f>
        <v>0</v>
      </c>
      <c r="UEB364" s="373">
        <f>'Q100a-geral'!UEB887</f>
        <v>0</v>
      </c>
      <c r="UEC364" s="373">
        <f>'Q100a-geral'!UEC887</f>
        <v>0</v>
      </c>
      <c r="UED364" s="373">
        <f>'Q100a-geral'!UED887</f>
        <v>0</v>
      </c>
      <c r="UEE364" s="373">
        <f>'Q100a-geral'!UEE887</f>
        <v>0</v>
      </c>
      <c r="UEF364" s="373">
        <f>'Q100a-geral'!UEF887</f>
        <v>0</v>
      </c>
      <c r="UEG364" s="373">
        <f>'Q100a-geral'!UEG887</f>
        <v>0</v>
      </c>
      <c r="UEH364" s="373">
        <f>'Q100a-geral'!UEH887</f>
        <v>0</v>
      </c>
      <c r="UEI364" s="373">
        <f>'Q100a-geral'!UEI887</f>
        <v>0</v>
      </c>
      <c r="UEJ364" s="373">
        <f>'Q100a-geral'!UEJ887</f>
        <v>0</v>
      </c>
      <c r="UEK364" s="373">
        <f>'Q100a-geral'!UEK887</f>
        <v>0</v>
      </c>
      <c r="UEL364" s="373">
        <f>'Q100a-geral'!UEL887</f>
        <v>0</v>
      </c>
      <c r="UEM364" s="373">
        <f>'Q100a-geral'!UEM887</f>
        <v>0</v>
      </c>
      <c r="UEN364" s="373">
        <f>'Q100a-geral'!UEN887</f>
        <v>0</v>
      </c>
      <c r="UEO364" s="373">
        <f>'Q100a-geral'!UEO887</f>
        <v>0</v>
      </c>
      <c r="UEP364" s="373">
        <f>'Q100a-geral'!UEP887</f>
        <v>0</v>
      </c>
      <c r="UEQ364" s="373">
        <f>'Q100a-geral'!UEQ887</f>
        <v>0</v>
      </c>
      <c r="UER364" s="373">
        <f>'Q100a-geral'!UER887</f>
        <v>0</v>
      </c>
      <c r="UES364" s="373">
        <f>'Q100a-geral'!UES887</f>
        <v>0</v>
      </c>
      <c r="UET364" s="373">
        <f>'Q100a-geral'!UET887</f>
        <v>0</v>
      </c>
      <c r="UEU364" s="373">
        <f>'Q100a-geral'!UEU887</f>
        <v>0</v>
      </c>
      <c r="UEV364" s="373">
        <f>'Q100a-geral'!UEV887</f>
        <v>0</v>
      </c>
      <c r="UEW364" s="373">
        <f>'Q100a-geral'!UEW887</f>
        <v>0</v>
      </c>
      <c r="UEX364" s="373">
        <f>'Q100a-geral'!UEX887</f>
        <v>0</v>
      </c>
      <c r="UEY364" s="373">
        <f>'Q100a-geral'!UEY887</f>
        <v>0</v>
      </c>
      <c r="UEZ364" s="373">
        <f>'Q100a-geral'!UEZ887</f>
        <v>0</v>
      </c>
      <c r="UFA364" s="373">
        <f>'Q100a-geral'!UFA887</f>
        <v>0</v>
      </c>
      <c r="UFB364" s="373">
        <f>'Q100a-geral'!UFB887</f>
        <v>0</v>
      </c>
      <c r="UFC364" s="373">
        <f>'Q100a-geral'!UFC887</f>
        <v>0</v>
      </c>
      <c r="UFD364" s="373">
        <f>'Q100a-geral'!UFD887</f>
        <v>0</v>
      </c>
      <c r="UFE364" s="373">
        <f>'Q100a-geral'!UFE887</f>
        <v>0</v>
      </c>
      <c r="UFF364" s="373">
        <f>'Q100a-geral'!UFF887</f>
        <v>0</v>
      </c>
      <c r="UFG364" s="373">
        <f>'Q100a-geral'!UFG887</f>
        <v>0</v>
      </c>
      <c r="UFH364" s="373">
        <f>'Q100a-geral'!UFH887</f>
        <v>0</v>
      </c>
      <c r="UFI364" s="373">
        <f>'Q100a-geral'!UFI887</f>
        <v>0</v>
      </c>
      <c r="UFJ364" s="373">
        <f>'Q100a-geral'!UFJ887</f>
        <v>0</v>
      </c>
      <c r="UFK364" s="373">
        <f>'Q100a-geral'!UFK887</f>
        <v>0</v>
      </c>
      <c r="UFL364" s="373">
        <f>'Q100a-geral'!UFL887</f>
        <v>0</v>
      </c>
      <c r="UFM364" s="373">
        <f>'Q100a-geral'!UFM887</f>
        <v>0</v>
      </c>
      <c r="UFN364" s="373">
        <f>'Q100a-geral'!UFN887</f>
        <v>0</v>
      </c>
      <c r="UFO364" s="373">
        <f>'Q100a-geral'!UFO887</f>
        <v>0</v>
      </c>
      <c r="UFP364" s="373">
        <f>'Q100a-geral'!UFP887</f>
        <v>0</v>
      </c>
      <c r="UFQ364" s="373">
        <f>'Q100a-geral'!UFQ887</f>
        <v>0</v>
      </c>
      <c r="UFR364" s="373">
        <f>'Q100a-geral'!UFR887</f>
        <v>0</v>
      </c>
      <c r="UFS364" s="373">
        <f>'Q100a-geral'!UFS887</f>
        <v>0</v>
      </c>
      <c r="UFT364" s="373">
        <f>'Q100a-geral'!UFT887</f>
        <v>0</v>
      </c>
      <c r="UFU364" s="373">
        <f>'Q100a-geral'!UFU887</f>
        <v>0</v>
      </c>
      <c r="UFV364" s="373">
        <f>'Q100a-geral'!UFV887</f>
        <v>0</v>
      </c>
      <c r="UFW364" s="373">
        <f>'Q100a-geral'!UFW887</f>
        <v>0</v>
      </c>
      <c r="UFX364" s="373">
        <f>'Q100a-geral'!UFX887</f>
        <v>0</v>
      </c>
      <c r="UFY364" s="373">
        <f>'Q100a-geral'!UFY887</f>
        <v>0</v>
      </c>
      <c r="UFZ364" s="373">
        <f>'Q100a-geral'!UFZ887</f>
        <v>0</v>
      </c>
      <c r="UGA364" s="373">
        <f>'Q100a-geral'!UGA887</f>
        <v>0</v>
      </c>
      <c r="UGB364" s="373">
        <f>'Q100a-geral'!UGB887</f>
        <v>0</v>
      </c>
      <c r="UGC364" s="373">
        <f>'Q100a-geral'!UGC887</f>
        <v>0</v>
      </c>
      <c r="UGD364" s="373">
        <f>'Q100a-geral'!UGD887</f>
        <v>0</v>
      </c>
      <c r="UGE364" s="373">
        <f>'Q100a-geral'!UGE887</f>
        <v>0</v>
      </c>
      <c r="UGF364" s="373">
        <f>'Q100a-geral'!UGF887</f>
        <v>0</v>
      </c>
      <c r="UGG364" s="373">
        <f>'Q100a-geral'!UGG887</f>
        <v>0</v>
      </c>
      <c r="UGH364" s="373">
        <f>'Q100a-geral'!UGH887</f>
        <v>0</v>
      </c>
      <c r="UGI364" s="373">
        <f>'Q100a-geral'!UGI887</f>
        <v>0</v>
      </c>
      <c r="UGJ364" s="373">
        <f>'Q100a-geral'!UGJ887</f>
        <v>0</v>
      </c>
      <c r="UGK364" s="373">
        <f>'Q100a-geral'!UGK887</f>
        <v>0</v>
      </c>
      <c r="UGL364" s="373">
        <f>'Q100a-geral'!UGL887</f>
        <v>0</v>
      </c>
      <c r="UGM364" s="373">
        <f>'Q100a-geral'!UGM887</f>
        <v>0</v>
      </c>
      <c r="UGN364" s="373">
        <f>'Q100a-geral'!UGN887</f>
        <v>0</v>
      </c>
      <c r="UGO364" s="373">
        <f>'Q100a-geral'!UGO887</f>
        <v>0</v>
      </c>
      <c r="UGP364" s="373">
        <f>'Q100a-geral'!UGP887</f>
        <v>0</v>
      </c>
      <c r="UGQ364" s="373">
        <f>'Q100a-geral'!UGQ887</f>
        <v>0</v>
      </c>
      <c r="UGR364" s="373">
        <f>'Q100a-geral'!UGR887</f>
        <v>0</v>
      </c>
      <c r="UGS364" s="373">
        <f>'Q100a-geral'!UGS887</f>
        <v>0</v>
      </c>
      <c r="UGT364" s="373">
        <f>'Q100a-geral'!UGT887</f>
        <v>0</v>
      </c>
      <c r="UGU364" s="373">
        <f>'Q100a-geral'!UGU887</f>
        <v>0</v>
      </c>
      <c r="UGV364" s="373">
        <f>'Q100a-geral'!UGV887</f>
        <v>0</v>
      </c>
      <c r="UGW364" s="373">
        <f>'Q100a-geral'!UGW887</f>
        <v>0</v>
      </c>
      <c r="UGX364" s="373">
        <f>'Q100a-geral'!UGX887</f>
        <v>0</v>
      </c>
      <c r="UGY364" s="373">
        <f>'Q100a-geral'!UGY887</f>
        <v>0</v>
      </c>
      <c r="UGZ364" s="373">
        <f>'Q100a-geral'!UGZ887</f>
        <v>0</v>
      </c>
      <c r="UHA364" s="373">
        <f>'Q100a-geral'!UHA887</f>
        <v>0</v>
      </c>
      <c r="UHB364" s="373">
        <f>'Q100a-geral'!UHB887</f>
        <v>0</v>
      </c>
      <c r="UHC364" s="373">
        <f>'Q100a-geral'!UHC887</f>
        <v>0</v>
      </c>
      <c r="UHD364" s="373">
        <f>'Q100a-geral'!UHD887</f>
        <v>0</v>
      </c>
      <c r="UHE364" s="373">
        <f>'Q100a-geral'!UHE887</f>
        <v>0</v>
      </c>
      <c r="UHF364" s="373">
        <f>'Q100a-geral'!UHF887</f>
        <v>0</v>
      </c>
      <c r="UHG364" s="373">
        <f>'Q100a-geral'!UHG887</f>
        <v>0</v>
      </c>
      <c r="UHH364" s="373">
        <f>'Q100a-geral'!UHH887</f>
        <v>0</v>
      </c>
      <c r="UHI364" s="373">
        <f>'Q100a-geral'!UHI887</f>
        <v>0</v>
      </c>
      <c r="UHJ364" s="373">
        <f>'Q100a-geral'!UHJ887</f>
        <v>0</v>
      </c>
      <c r="UHK364" s="373">
        <f>'Q100a-geral'!UHK887</f>
        <v>0</v>
      </c>
      <c r="UHL364" s="373">
        <f>'Q100a-geral'!UHL887</f>
        <v>0</v>
      </c>
      <c r="UHM364" s="373">
        <f>'Q100a-geral'!UHM887</f>
        <v>0</v>
      </c>
      <c r="UHN364" s="373">
        <f>'Q100a-geral'!UHN887</f>
        <v>0</v>
      </c>
      <c r="UHO364" s="373">
        <f>'Q100a-geral'!UHO887</f>
        <v>0</v>
      </c>
      <c r="UHP364" s="373">
        <f>'Q100a-geral'!UHP887</f>
        <v>0</v>
      </c>
      <c r="UHQ364" s="373">
        <f>'Q100a-geral'!UHQ887</f>
        <v>0</v>
      </c>
      <c r="UHR364" s="373">
        <f>'Q100a-geral'!UHR887</f>
        <v>0</v>
      </c>
      <c r="UHS364" s="373">
        <f>'Q100a-geral'!UHS887</f>
        <v>0</v>
      </c>
      <c r="UHT364" s="373">
        <f>'Q100a-geral'!UHT887</f>
        <v>0</v>
      </c>
      <c r="UHU364" s="373">
        <f>'Q100a-geral'!UHU887</f>
        <v>0</v>
      </c>
      <c r="UHV364" s="373">
        <f>'Q100a-geral'!UHV887</f>
        <v>0</v>
      </c>
      <c r="UHW364" s="373">
        <f>'Q100a-geral'!UHW887</f>
        <v>0</v>
      </c>
      <c r="UHX364" s="373">
        <f>'Q100a-geral'!UHX887</f>
        <v>0</v>
      </c>
      <c r="UHY364" s="373">
        <f>'Q100a-geral'!UHY887</f>
        <v>0</v>
      </c>
      <c r="UHZ364" s="373">
        <f>'Q100a-geral'!UHZ887</f>
        <v>0</v>
      </c>
      <c r="UIA364" s="373">
        <f>'Q100a-geral'!UIA887</f>
        <v>0</v>
      </c>
      <c r="UIB364" s="373">
        <f>'Q100a-geral'!UIB887</f>
        <v>0</v>
      </c>
      <c r="UIC364" s="373">
        <f>'Q100a-geral'!UIC887</f>
        <v>0</v>
      </c>
      <c r="UID364" s="373">
        <f>'Q100a-geral'!UID887</f>
        <v>0</v>
      </c>
      <c r="UIE364" s="373">
        <f>'Q100a-geral'!UIE887</f>
        <v>0</v>
      </c>
      <c r="UIF364" s="373">
        <f>'Q100a-geral'!UIF887</f>
        <v>0</v>
      </c>
      <c r="UIG364" s="373">
        <f>'Q100a-geral'!UIG887</f>
        <v>0</v>
      </c>
      <c r="UIH364" s="373">
        <f>'Q100a-geral'!UIH887</f>
        <v>0</v>
      </c>
      <c r="UII364" s="373">
        <f>'Q100a-geral'!UII887</f>
        <v>0</v>
      </c>
      <c r="UIJ364" s="373">
        <f>'Q100a-geral'!UIJ887</f>
        <v>0</v>
      </c>
      <c r="UIK364" s="373">
        <f>'Q100a-geral'!UIK887</f>
        <v>0</v>
      </c>
      <c r="UIL364" s="373">
        <f>'Q100a-geral'!UIL887</f>
        <v>0</v>
      </c>
      <c r="UIM364" s="373">
        <f>'Q100a-geral'!UIM887</f>
        <v>0</v>
      </c>
      <c r="UIN364" s="373">
        <f>'Q100a-geral'!UIN887</f>
        <v>0</v>
      </c>
      <c r="UIO364" s="373">
        <f>'Q100a-geral'!UIO887</f>
        <v>0</v>
      </c>
      <c r="UIP364" s="373">
        <f>'Q100a-geral'!UIP887</f>
        <v>0</v>
      </c>
      <c r="UIQ364" s="373">
        <f>'Q100a-geral'!UIQ887</f>
        <v>0</v>
      </c>
      <c r="UIR364" s="373">
        <f>'Q100a-geral'!UIR887</f>
        <v>0</v>
      </c>
      <c r="UIS364" s="373">
        <f>'Q100a-geral'!UIS887</f>
        <v>0</v>
      </c>
      <c r="UIT364" s="373">
        <f>'Q100a-geral'!UIT887</f>
        <v>0</v>
      </c>
      <c r="UIU364" s="373">
        <f>'Q100a-geral'!UIU887</f>
        <v>0</v>
      </c>
      <c r="UIV364" s="373">
        <f>'Q100a-geral'!UIV887</f>
        <v>0</v>
      </c>
      <c r="UIW364" s="373">
        <f>'Q100a-geral'!UIW887</f>
        <v>0</v>
      </c>
      <c r="UIX364" s="373">
        <f>'Q100a-geral'!UIX887</f>
        <v>0</v>
      </c>
      <c r="UIY364" s="373">
        <f>'Q100a-geral'!UIY887</f>
        <v>0</v>
      </c>
      <c r="UIZ364" s="373">
        <f>'Q100a-geral'!UIZ887</f>
        <v>0</v>
      </c>
      <c r="UJA364" s="373">
        <f>'Q100a-geral'!UJA887</f>
        <v>0</v>
      </c>
      <c r="UJB364" s="373">
        <f>'Q100a-geral'!UJB887</f>
        <v>0</v>
      </c>
      <c r="UJC364" s="373">
        <f>'Q100a-geral'!UJC887</f>
        <v>0</v>
      </c>
      <c r="UJD364" s="373">
        <f>'Q100a-geral'!UJD887</f>
        <v>0</v>
      </c>
      <c r="UJE364" s="373">
        <f>'Q100a-geral'!UJE887</f>
        <v>0</v>
      </c>
      <c r="UJF364" s="373">
        <f>'Q100a-geral'!UJF887</f>
        <v>0</v>
      </c>
      <c r="UJG364" s="373">
        <f>'Q100a-geral'!UJG887</f>
        <v>0</v>
      </c>
      <c r="UJH364" s="373">
        <f>'Q100a-geral'!UJH887</f>
        <v>0</v>
      </c>
      <c r="UJI364" s="373">
        <f>'Q100a-geral'!UJI887</f>
        <v>0</v>
      </c>
      <c r="UJJ364" s="373">
        <f>'Q100a-geral'!UJJ887</f>
        <v>0</v>
      </c>
      <c r="UJK364" s="373">
        <f>'Q100a-geral'!UJK887</f>
        <v>0</v>
      </c>
      <c r="UJL364" s="373">
        <f>'Q100a-geral'!UJL887</f>
        <v>0</v>
      </c>
      <c r="UJM364" s="373">
        <f>'Q100a-geral'!UJM887</f>
        <v>0</v>
      </c>
      <c r="UJN364" s="373">
        <f>'Q100a-geral'!UJN887</f>
        <v>0</v>
      </c>
      <c r="UJO364" s="373">
        <f>'Q100a-geral'!UJO887</f>
        <v>0</v>
      </c>
      <c r="UJP364" s="373">
        <f>'Q100a-geral'!UJP887</f>
        <v>0</v>
      </c>
      <c r="UJQ364" s="373">
        <f>'Q100a-geral'!UJQ887</f>
        <v>0</v>
      </c>
      <c r="UJR364" s="373">
        <f>'Q100a-geral'!UJR887</f>
        <v>0</v>
      </c>
      <c r="UJS364" s="373">
        <f>'Q100a-geral'!UJS887</f>
        <v>0</v>
      </c>
      <c r="UJT364" s="373">
        <f>'Q100a-geral'!UJT887</f>
        <v>0</v>
      </c>
      <c r="UJU364" s="373">
        <f>'Q100a-geral'!UJU887</f>
        <v>0</v>
      </c>
      <c r="UJV364" s="373">
        <f>'Q100a-geral'!UJV887</f>
        <v>0</v>
      </c>
      <c r="UJW364" s="373">
        <f>'Q100a-geral'!UJW887</f>
        <v>0</v>
      </c>
      <c r="UJX364" s="373">
        <f>'Q100a-geral'!UJX887</f>
        <v>0</v>
      </c>
      <c r="UJY364" s="373">
        <f>'Q100a-geral'!UJY887</f>
        <v>0</v>
      </c>
      <c r="UJZ364" s="373">
        <f>'Q100a-geral'!UJZ887</f>
        <v>0</v>
      </c>
      <c r="UKA364" s="373">
        <f>'Q100a-geral'!UKA887</f>
        <v>0</v>
      </c>
      <c r="UKB364" s="373">
        <f>'Q100a-geral'!UKB887</f>
        <v>0</v>
      </c>
      <c r="UKC364" s="373">
        <f>'Q100a-geral'!UKC887</f>
        <v>0</v>
      </c>
      <c r="UKD364" s="373">
        <f>'Q100a-geral'!UKD887</f>
        <v>0</v>
      </c>
      <c r="UKE364" s="373">
        <f>'Q100a-geral'!UKE887</f>
        <v>0</v>
      </c>
      <c r="UKF364" s="373">
        <f>'Q100a-geral'!UKF887</f>
        <v>0</v>
      </c>
      <c r="UKG364" s="373">
        <f>'Q100a-geral'!UKG887</f>
        <v>0</v>
      </c>
      <c r="UKH364" s="373">
        <f>'Q100a-geral'!UKH887</f>
        <v>0</v>
      </c>
      <c r="UKI364" s="373">
        <f>'Q100a-geral'!UKI887</f>
        <v>0</v>
      </c>
      <c r="UKJ364" s="373">
        <f>'Q100a-geral'!UKJ887</f>
        <v>0</v>
      </c>
      <c r="UKK364" s="373">
        <f>'Q100a-geral'!UKK887</f>
        <v>0</v>
      </c>
      <c r="UKL364" s="373">
        <f>'Q100a-geral'!UKL887</f>
        <v>0</v>
      </c>
      <c r="UKM364" s="373">
        <f>'Q100a-geral'!UKM887</f>
        <v>0</v>
      </c>
      <c r="UKN364" s="373">
        <f>'Q100a-geral'!UKN887</f>
        <v>0</v>
      </c>
      <c r="UKO364" s="373">
        <f>'Q100a-geral'!UKO887</f>
        <v>0</v>
      </c>
      <c r="UKP364" s="373">
        <f>'Q100a-geral'!UKP887</f>
        <v>0</v>
      </c>
      <c r="UKQ364" s="373">
        <f>'Q100a-geral'!UKQ887</f>
        <v>0</v>
      </c>
      <c r="UKR364" s="373">
        <f>'Q100a-geral'!UKR887</f>
        <v>0</v>
      </c>
      <c r="UKS364" s="373">
        <f>'Q100a-geral'!UKS887</f>
        <v>0</v>
      </c>
      <c r="UKT364" s="373">
        <f>'Q100a-geral'!UKT887</f>
        <v>0</v>
      </c>
      <c r="UKU364" s="373">
        <f>'Q100a-geral'!UKU887</f>
        <v>0</v>
      </c>
      <c r="UKV364" s="373">
        <f>'Q100a-geral'!UKV887</f>
        <v>0</v>
      </c>
      <c r="UKW364" s="373">
        <f>'Q100a-geral'!UKW887</f>
        <v>0</v>
      </c>
      <c r="UKX364" s="373">
        <f>'Q100a-geral'!UKX887</f>
        <v>0</v>
      </c>
      <c r="UKY364" s="373">
        <f>'Q100a-geral'!UKY887</f>
        <v>0</v>
      </c>
      <c r="UKZ364" s="373">
        <f>'Q100a-geral'!UKZ887</f>
        <v>0</v>
      </c>
      <c r="ULA364" s="373">
        <f>'Q100a-geral'!ULA887</f>
        <v>0</v>
      </c>
      <c r="ULB364" s="373">
        <f>'Q100a-geral'!ULB887</f>
        <v>0</v>
      </c>
      <c r="ULC364" s="373">
        <f>'Q100a-geral'!ULC887</f>
        <v>0</v>
      </c>
      <c r="ULD364" s="373">
        <f>'Q100a-geral'!ULD887</f>
        <v>0</v>
      </c>
      <c r="ULE364" s="373">
        <f>'Q100a-geral'!ULE887</f>
        <v>0</v>
      </c>
      <c r="ULF364" s="373">
        <f>'Q100a-geral'!ULF887</f>
        <v>0</v>
      </c>
      <c r="ULG364" s="373">
        <f>'Q100a-geral'!ULG887</f>
        <v>0</v>
      </c>
      <c r="ULH364" s="373">
        <f>'Q100a-geral'!ULH887</f>
        <v>0</v>
      </c>
      <c r="ULI364" s="373">
        <f>'Q100a-geral'!ULI887</f>
        <v>0</v>
      </c>
      <c r="ULJ364" s="373">
        <f>'Q100a-geral'!ULJ887</f>
        <v>0</v>
      </c>
      <c r="ULK364" s="373">
        <f>'Q100a-geral'!ULK887</f>
        <v>0</v>
      </c>
      <c r="ULL364" s="373">
        <f>'Q100a-geral'!ULL887</f>
        <v>0</v>
      </c>
      <c r="ULM364" s="373">
        <f>'Q100a-geral'!ULM887</f>
        <v>0</v>
      </c>
      <c r="ULN364" s="373">
        <f>'Q100a-geral'!ULN887</f>
        <v>0</v>
      </c>
      <c r="ULO364" s="373">
        <f>'Q100a-geral'!ULO887</f>
        <v>0</v>
      </c>
      <c r="ULP364" s="373">
        <f>'Q100a-geral'!ULP887</f>
        <v>0</v>
      </c>
      <c r="ULQ364" s="373">
        <f>'Q100a-geral'!ULQ887</f>
        <v>0</v>
      </c>
      <c r="ULR364" s="373">
        <f>'Q100a-geral'!ULR887</f>
        <v>0</v>
      </c>
      <c r="ULS364" s="373">
        <f>'Q100a-geral'!ULS887</f>
        <v>0</v>
      </c>
      <c r="ULT364" s="373">
        <f>'Q100a-geral'!ULT887</f>
        <v>0</v>
      </c>
      <c r="ULU364" s="373">
        <f>'Q100a-geral'!ULU887</f>
        <v>0</v>
      </c>
      <c r="ULV364" s="373">
        <f>'Q100a-geral'!ULV887</f>
        <v>0</v>
      </c>
      <c r="ULW364" s="373">
        <f>'Q100a-geral'!ULW887</f>
        <v>0</v>
      </c>
      <c r="ULX364" s="373">
        <f>'Q100a-geral'!ULX887</f>
        <v>0</v>
      </c>
      <c r="ULY364" s="373">
        <f>'Q100a-geral'!ULY887</f>
        <v>0</v>
      </c>
      <c r="ULZ364" s="373">
        <f>'Q100a-geral'!ULZ887</f>
        <v>0</v>
      </c>
      <c r="UMA364" s="373">
        <f>'Q100a-geral'!UMA887</f>
        <v>0</v>
      </c>
      <c r="UMB364" s="373">
        <f>'Q100a-geral'!UMB887</f>
        <v>0</v>
      </c>
      <c r="UMC364" s="373">
        <f>'Q100a-geral'!UMC887</f>
        <v>0</v>
      </c>
      <c r="UMD364" s="373">
        <f>'Q100a-geral'!UMD887</f>
        <v>0</v>
      </c>
      <c r="UME364" s="373">
        <f>'Q100a-geral'!UME887</f>
        <v>0</v>
      </c>
      <c r="UMF364" s="373">
        <f>'Q100a-geral'!UMF887</f>
        <v>0</v>
      </c>
      <c r="UMG364" s="373">
        <f>'Q100a-geral'!UMG887</f>
        <v>0</v>
      </c>
      <c r="UMH364" s="373">
        <f>'Q100a-geral'!UMH887</f>
        <v>0</v>
      </c>
      <c r="UMI364" s="373">
        <f>'Q100a-geral'!UMI887</f>
        <v>0</v>
      </c>
      <c r="UMJ364" s="373">
        <f>'Q100a-geral'!UMJ887</f>
        <v>0</v>
      </c>
      <c r="UMK364" s="373">
        <f>'Q100a-geral'!UMK887</f>
        <v>0</v>
      </c>
      <c r="UML364" s="373">
        <f>'Q100a-geral'!UML887</f>
        <v>0</v>
      </c>
      <c r="UMM364" s="373">
        <f>'Q100a-geral'!UMM887</f>
        <v>0</v>
      </c>
      <c r="UMN364" s="373">
        <f>'Q100a-geral'!UMN887</f>
        <v>0</v>
      </c>
      <c r="UMO364" s="373">
        <f>'Q100a-geral'!UMO887</f>
        <v>0</v>
      </c>
      <c r="UMP364" s="373">
        <f>'Q100a-geral'!UMP887</f>
        <v>0</v>
      </c>
      <c r="UMQ364" s="373">
        <f>'Q100a-geral'!UMQ887</f>
        <v>0</v>
      </c>
      <c r="UMR364" s="373">
        <f>'Q100a-geral'!UMR887</f>
        <v>0</v>
      </c>
      <c r="UMS364" s="373">
        <f>'Q100a-geral'!UMS887</f>
        <v>0</v>
      </c>
      <c r="UMT364" s="373">
        <f>'Q100a-geral'!UMT887</f>
        <v>0</v>
      </c>
      <c r="UMU364" s="373">
        <f>'Q100a-geral'!UMU887</f>
        <v>0</v>
      </c>
      <c r="UMV364" s="373">
        <f>'Q100a-geral'!UMV887</f>
        <v>0</v>
      </c>
      <c r="UMW364" s="373">
        <f>'Q100a-geral'!UMW887</f>
        <v>0</v>
      </c>
      <c r="UMX364" s="373">
        <f>'Q100a-geral'!UMX887</f>
        <v>0</v>
      </c>
      <c r="UMY364" s="373">
        <f>'Q100a-geral'!UMY887</f>
        <v>0</v>
      </c>
      <c r="UMZ364" s="373">
        <f>'Q100a-geral'!UMZ887</f>
        <v>0</v>
      </c>
      <c r="UNA364" s="373">
        <f>'Q100a-geral'!UNA887</f>
        <v>0</v>
      </c>
      <c r="UNB364" s="373">
        <f>'Q100a-geral'!UNB887</f>
        <v>0</v>
      </c>
      <c r="UNC364" s="373">
        <f>'Q100a-geral'!UNC887</f>
        <v>0</v>
      </c>
      <c r="UND364" s="373">
        <f>'Q100a-geral'!UND887</f>
        <v>0</v>
      </c>
      <c r="UNE364" s="373">
        <f>'Q100a-geral'!UNE887</f>
        <v>0</v>
      </c>
      <c r="UNF364" s="373">
        <f>'Q100a-geral'!UNF887</f>
        <v>0</v>
      </c>
      <c r="UNG364" s="373">
        <f>'Q100a-geral'!UNG887</f>
        <v>0</v>
      </c>
      <c r="UNH364" s="373">
        <f>'Q100a-geral'!UNH887</f>
        <v>0</v>
      </c>
      <c r="UNI364" s="373">
        <f>'Q100a-geral'!UNI887</f>
        <v>0</v>
      </c>
      <c r="UNJ364" s="373">
        <f>'Q100a-geral'!UNJ887</f>
        <v>0</v>
      </c>
      <c r="UNK364" s="373">
        <f>'Q100a-geral'!UNK887</f>
        <v>0</v>
      </c>
      <c r="UNL364" s="373">
        <f>'Q100a-geral'!UNL887</f>
        <v>0</v>
      </c>
      <c r="UNM364" s="373">
        <f>'Q100a-geral'!UNM887</f>
        <v>0</v>
      </c>
      <c r="UNN364" s="373">
        <f>'Q100a-geral'!UNN887</f>
        <v>0</v>
      </c>
      <c r="UNO364" s="373">
        <f>'Q100a-geral'!UNO887</f>
        <v>0</v>
      </c>
      <c r="UNP364" s="373">
        <f>'Q100a-geral'!UNP887</f>
        <v>0</v>
      </c>
      <c r="UNQ364" s="373">
        <f>'Q100a-geral'!UNQ887</f>
        <v>0</v>
      </c>
      <c r="UNR364" s="373">
        <f>'Q100a-geral'!UNR887</f>
        <v>0</v>
      </c>
      <c r="UNS364" s="373">
        <f>'Q100a-geral'!UNS887</f>
        <v>0</v>
      </c>
      <c r="UNT364" s="373">
        <f>'Q100a-geral'!UNT887</f>
        <v>0</v>
      </c>
      <c r="UNU364" s="373">
        <f>'Q100a-geral'!UNU887</f>
        <v>0</v>
      </c>
      <c r="UNV364" s="373">
        <f>'Q100a-geral'!UNV887</f>
        <v>0</v>
      </c>
      <c r="UNW364" s="373">
        <f>'Q100a-geral'!UNW887</f>
        <v>0</v>
      </c>
      <c r="UNX364" s="373">
        <f>'Q100a-geral'!UNX887</f>
        <v>0</v>
      </c>
      <c r="UNY364" s="373">
        <f>'Q100a-geral'!UNY887</f>
        <v>0</v>
      </c>
      <c r="UNZ364" s="373">
        <f>'Q100a-geral'!UNZ887</f>
        <v>0</v>
      </c>
      <c r="UOA364" s="373">
        <f>'Q100a-geral'!UOA887</f>
        <v>0</v>
      </c>
      <c r="UOB364" s="373">
        <f>'Q100a-geral'!UOB887</f>
        <v>0</v>
      </c>
      <c r="UOC364" s="373">
        <f>'Q100a-geral'!UOC887</f>
        <v>0</v>
      </c>
      <c r="UOD364" s="373">
        <f>'Q100a-geral'!UOD887</f>
        <v>0</v>
      </c>
      <c r="UOE364" s="373">
        <f>'Q100a-geral'!UOE887</f>
        <v>0</v>
      </c>
      <c r="UOF364" s="373">
        <f>'Q100a-geral'!UOF887</f>
        <v>0</v>
      </c>
      <c r="UOG364" s="373">
        <f>'Q100a-geral'!UOG887</f>
        <v>0</v>
      </c>
      <c r="UOH364" s="373">
        <f>'Q100a-geral'!UOH887</f>
        <v>0</v>
      </c>
      <c r="UOI364" s="373">
        <f>'Q100a-geral'!UOI887</f>
        <v>0</v>
      </c>
      <c r="UOJ364" s="373">
        <f>'Q100a-geral'!UOJ887</f>
        <v>0</v>
      </c>
      <c r="UOK364" s="373">
        <f>'Q100a-geral'!UOK887</f>
        <v>0</v>
      </c>
      <c r="UOL364" s="373">
        <f>'Q100a-geral'!UOL887</f>
        <v>0</v>
      </c>
      <c r="UOM364" s="373">
        <f>'Q100a-geral'!UOM887</f>
        <v>0</v>
      </c>
      <c r="UON364" s="373">
        <f>'Q100a-geral'!UON887</f>
        <v>0</v>
      </c>
      <c r="UOO364" s="373">
        <f>'Q100a-geral'!UOO887</f>
        <v>0</v>
      </c>
      <c r="UOP364" s="373">
        <f>'Q100a-geral'!UOP887</f>
        <v>0</v>
      </c>
      <c r="UOQ364" s="373">
        <f>'Q100a-geral'!UOQ887</f>
        <v>0</v>
      </c>
      <c r="UOR364" s="373">
        <f>'Q100a-geral'!UOR887</f>
        <v>0</v>
      </c>
      <c r="UOS364" s="373">
        <f>'Q100a-geral'!UOS887</f>
        <v>0</v>
      </c>
      <c r="UOT364" s="373">
        <f>'Q100a-geral'!UOT887</f>
        <v>0</v>
      </c>
      <c r="UOU364" s="373">
        <f>'Q100a-geral'!UOU887</f>
        <v>0</v>
      </c>
      <c r="UOV364" s="373">
        <f>'Q100a-geral'!UOV887</f>
        <v>0</v>
      </c>
      <c r="UOW364" s="373">
        <f>'Q100a-geral'!UOW887</f>
        <v>0</v>
      </c>
      <c r="UOX364" s="373">
        <f>'Q100a-geral'!UOX887</f>
        <v>0</v>
      </c>
      <c r="UOY364" s="373">
        <f>'Q100a-geral'!UOY887</f>
        <v>0</v>
      </c>
      <c r="UOZ364" s="373">
        <f>'Q100a-geral'!UOZ887</f>
        <v>0</v>
      </c>
      <c r="UPA364" s="373">
        <f>'Q100a-geral'!UPA887</f>
        <v>0</v>
      </c>
      <c r="UPB364" s="373">
        <f>'Q100a-geral'!UPB887</f>
        <v>0</v>
      </c>
      <c r="UPC364" s="373">
        <f>'Q100a-geral'!UPC887</f>
        <v>0</v>
      </c>
      <c r="UPD364" s="373">
        <f>'Q100a-geral'!UPD887</f>
        <v>0</v>
      </c>
      <c r="UPE364" s="373">
        <f>'Q100a-geral'!UPE887</f>
        <v>0</v>
      </c>
      <c r="UPF364" s="373">
        <f>'Q100a-geral'!UPF887</f>
        <v>0</v>
      </c>
      <c r="UPG364" s="373">
        <f>'Q100a-geral'!UPG887</f>
        <v>0</v>
      </c>
      <c r="UPH364" s="373">
        <f>'Q100a-geral'!UPH887</f>
        <v>0</v>
      </c>
      <c r="UPI364" s="373">
        <f>'Q100a-geral'!UPI887</f>
        <v>0</v>
      </c>
      <c r="UPJ364" s="373">
        <f>'Q100a-geral'!UPJ887</f>
        <v>0</v>
      </c>
      <c r="UPK364" s="373">
        <f>'Q100a-geral'!UPK887</f>
        <v>0</v>
      </c>
      <c r="UPL364" s="373">
        <f>'Q100a-geral'!UPL887</f>
        <v>0</v>
      </c>
      <c r="UPM364" s="373">
        <f>'Q100a-geral'!UPM887</f>
        <v>0</v>
      </c>
      <c r="UPN364" s="373">
        <f>'Q100a-geral'!UPN887</f>
        <v>0</v>
      </c>
      <c r="UPO364" s="373">
        <f>'Q100a-geral'!UPO887</f>
        <v>0</v>
      </c>
      <c r="UPP364" s="373">
        <f>'Q100a-geral'!UPP887</f>
        <v>0</v>
      </c>
      <c r="UPQ364" s="373">
        <f>'Q100a-geral'!UPQ887</f>
        <v>0</v>
      </c>
      <c r="UPR364" s="373">
        <f>'Q100a-geral'!UPR887</f>
        <v>0</v>
      </c>
      <c r="UPS364" s="373">
        <f>'Q100a-geral'!UPS887</f>
        <v>0</v>
      </c>
      <c r="UPT364" s="373">
        <f>'Q100a-geral'!UPT887</f>
        <v>0</v>
      </c>
      <c r="UPU364" s="373">
        <f>'Q100a-geral'!UPU887</f>
        <v>0</v>
      </c>
      <c r="UPV364" s="373">
        <f>'Q100a-geral'!UPV887</f>
        <v>0</v>
      </c>
      <c r="UPW364" s="373">
        <f>'Q100a-geral'!UPW887</f>
        <v>0</v>
      </c>
      <c r="UPX364" s="373">
        <f>'Q100a-geral'!UPX887</f>
        <v>0</v>
      </c>
      <c r="UPY364" s="373">
        <f>'Q100a-geral'!UPY887</f>
        <v>0</v>
      </c>
      <c r="UPZ364" s="373">
        <f>'Q100a-geral'!UPZ887</f>
        <v>0</v>
      </c>
      <c r="UQA364" s="373">
        <f>'Q100a-geral'!UQA887</f>
        <v>0</v>
      </c>
      <c r="UQB364" s="373">
        <f>'Q100a-geral'!UQB887</f>
        <v>0</v>
      </c>
      <c r="UQC364" s="373">
        <f>'Q100a-geral'!UQC887</f>
        <v>0</v>
      </c>
      <c r="UQD364" s="373">
        <f>'Q100a-geral'!UQD887</f>
        <v>0</v>
      </c>
      <c r="UQE364" s="373">
        <f>'Q100a-geral'!UQE887</f>
        <v>0</v>
      </c>
      <c r="UQF364" s="373">
        <f>'Q100a-geral'!UQF887</f>
        <v>0</v>
      </c>
      <c r="UQG364" s="373">
        <f>'Q100a-geral'!UQG887</f>
        <v>0</v>
      </c>
      <c r="UQH364" s="373">
        <f>'Q100a-geral'!UQH887</f>
        <v>0</v>
      </c>
      <c r="UQI364" s="373">
        <f>'Q100a-geral'!UQI887</f>
        <v>0</v>
      </c>
      <c r="UQJ364" s="373">
        <f>'Q100a-geral'!UQJ887</f>
        <v>0</v>
      </c>
      <c r="UQK364" s="373">
        <f>'Q100a-geral'!UQK887</f>
        <v>0</v>
      </c>
      <c r="UQL364" s="373">
        <f>'Q100a-geral'!UQL887</f>
        <v>0</v>
      </c>
      <c r="UQM364" s="373">
        <f>'Q100a-geral'!UQM887</f>
        <v>0</v>
      </c>
      <c r="UQN364" s="373">
        <f>'Q100a-geral'!UQN887</f>
        <v>0</v>
      </c>
      <c r="UQO364" s="373">
        <f>'Q100a-geral'!UQO887</f>
        <v>0</v>
      </c>
      <c r="UQP364" s="373">
        <f>'Q100a-geral'!UQP887</f>
        <v>0</v>
      </c>
      <c r="UQQ364" s="373">
        <f>'Q100a-geral'!UQQ887</f>
        <v>0</v>
      </c>
      <c r="UQR364" s="373">
        <f>'Q100a-geral'!UQR887</f>
        <v>0</v>
      </c>
      <c r="UQS364" s="373">
        <f>'Q100a-geral'!UQS887</f>
        <v>0</v>
      </c>
      <c r="UQT364" s="373">
        <f>'Q100a-geral'!UQT887</f>
        <v>0</v>
      </c>
      <c r="UQU364" s="373">
        <f>'Q100a-geral'!UQU887</f>
        <v>0</v>
      </c>
      <c r="UQV364" s="373">
        <f>'Q100a-geral'!UQV887</f>
        <v>0</v>
      </c>
      <c r="UQW364" s="373">
        <f>'Q100a-geral'!UQW887</f>
        <v>0</v>
      </c>
      <c r="UQX364" s="373">
        <f>'Q100a-geral'!UQX887</f>
        <v>0</v>
      </c>
      <c r="UQY364" s="373">
        <f>'Q100a-geral'!UQY887</f>
        <v>0</v>
      </c>
      <c r="UQZ364" s="373">
        <f>'Q100a-geral'!UQZ887</f>
        <v>0</v>
      </c>
      <c r="URA364" s="373">
        <f>'Q100a-geral'!URA887</f>
        <v>0</v>
      </c>
      <c r="URB364" s="373">
        <f>'Q100a-geral'!URB887</f>
        <v>0</v>
      </c>
      <c r="URC364" s="373">
        <f>'Q100a-geral'!URC887</f>
        <v>0</v>
      </c>
      <c r="URD364" s="373">
        <f>'Q100a-geral'!URD887</f>
        <v>0</v>
      </c>
      <c r="URE364" s="373">
        <f>'Q100a-geral'!URE887</f>
        <v>0</v>
      </c>
      <c r="URF364" s="373">
        <f>'Q100a-geral'!URF887</f>
        <v>0</v>
      </c>
      <c r="URG364" s="373">
        <f>'Q100a-geral'!URG887</f>
        <v>0</v>
      </c>
      <c r="URH364" s="373">
        <f>'Q100a-geral'!URH887</f>
        <v>0</v>
      </c>
      <c r="URI364" s="373">
        <f>'Q100a-geral'!URI887</f>
        <v>0</v>
      </c>
      <c r="URJ364" s="373">
        <f>'Q100a-geral'!URJ887</f>
        <v>0</v>
      </c>
      <c r="URK364" s="373">
        <f>'Q100a-geral'!URK887</f>
        <v>0</v>
      </c>
      <c r="URL364" s="373">
        <f>'Q100a-geral'!URL887</f>
        <v>0</v>
      </c>
      <c r="URM364" s="373">
        <f>'Q100a-geral'!URM887</f>
        <v>0</v>
      </c>
      <c r="URN364" s="373">
        <f>'Q100a-geral'!URN887</f>
        <v>0</v>
      </c>
      <c r="URO364" s="373">
        <f>'Q100a-geral'!URO887</f>
        <v>0</v>
      </c>
      <c r="URP364" s="373">
        <f>'Q100a-geral'!URP887</f>
        <v>0</v>
      </c>
      <c r="URQ364" s="373">
        <f>'Q100a-geral'!URQ887</f>
        <v>0</v>
      </c>
      <c r="URR364" s="373">
        <f>'Q100a-geral'!URR887</f>
        <v>0</v>
      </c>
      <c r="URS364" s="373">
        <f>'Q100a-geral'!URS887</f>
        <v>0</v>
      </c>
      <c r="URT364" s="373">
        <f>'Q100a-geral'!URT887</f>
        <v>0</v>
      </c>
      <c r="URU364" s="373">
        <f>'Q100a-geral'!URU887</f>
        <v>0</v>
      </c>
      <c r="URV364" s="373">
        <f>'Q100a-geral'!URV887</f>
        <v>0</v>
      </c>
      <c r="URW364" s="373">
        <f>'Q100a-geral'!URW887</f>
        <v>0</v>
      </c>
      <c r="URX364" s="373">
        <f>'Q100a-geral'!URX887</f>
        <v>0</v>
      </c>
      <c r="URY364" s="373">
        <f>'Q100a-geral'!URY887</f>
        <v>0</v>
      </c>
      <c r="URZ364" s="373">
        <f>'Q100a-geral'!URZ887</f>
        <v>0</v>
      </c>
      <c r="USA364" s="373">
        <f>'Q100a-geral'!USA887</f>
        <v>0</v>
      </c>
      <c r="USB364" s="373">
        <f>'Q100a-geral'!USB887</f>
        <v>0</v>
      </c>
      <c r="USC364" s="373">
        <f>'Q100a-geral'!USC887</f>
        <v>0</v>
      </c>
      <c r="USD364" s="373">
        <f>'Q100a-geral'!USD887</f>
        <v>0</v>
      </c>
      <c r="USE364" s="373">
        <f>'Q100a-geral'!USE887</f>
        <v>0</v>
      </c>
      <c r="USF364" s="373">
        <f>'Q100a-geral'!USF887</f>
        <v>0</v>
      </c>
      <c r="USG364" s="373">
        <f>'Q100a-geral'!USG887</f>
        <v>0</v>
      </c>
      <c r="USH364" s="373">
        <f>'Q100a-geral'!USH887</f>
        <v>0</v>
      </c>
      <c r="USI364" s="373">
        <f>'Q100a-geral'!USI887</f>
        <v>0</v>
      </c>
      <c r="USJ364" s="373">
        <f>'Q100a-geral'!USJ887</f>
        <v>0</v>
      </c>
      <c r="USK364" s="373">
        <f>'Q100a-geral'!USK887</f>
        <v>0</v>
      </c>
      <c r="USL364" s="373">
        <f>'Q100a-geral'!USL887</f>
        <v>0</v>
      </c>
      <c r="USM364" s="373">
        <f>'Q100a-geral'!USM887</f>
        <v>0</v>
      </c>
      <c r="USN364" s="373">
        <f>'Q100a-geral'!USN887</f>
        <v>0</v>
      </c>
      <c r="USO364" s="373">
        <f>'Q100a-geral'!USO887</f>
        <v>0</v>
      </c>
      <c r="USP364" s="373">
        <f>'Q100a-geral'!USP887</f>
        <v>0</v>
      </c>
      <c r="USQ364" s="373">
        <f>'Q100a-geral'!USQ887</f>
        <v>0</v>
      </c>
      <c r="USR364" s="373">
        <f>'Q100a-geral'!USR887</f>
        <v>0</v>
      </c>
      <c r="USS364" s="373">
        <f>'Q100a-geral'!USS887</f>
        <v>0</v>
      </c>
      <c r="UST364" s="373">
        <f>'Q100a-geral'!UST887</f>
        <v>0</v>
      </c>
      <c r="USU364" s="373">
        <f>'Q100a-geral'!USU887</f>
        <v>0</v>
      </c>
      <c r="USV364" s="373">
        <f>'Q100a-geral'!USV887</f>
        <v>0</v>
      </c>
      <c r="USW364" s="373">
        <f>'Q100a-geral'!USW887</f>
        <v>0</v>
      </c>
      <c r="USX364" s="373">
        <f>'Q100a-geral'!USX887</f>
        <v>0</v>
      </c>
      <c r="USY364" s="373">
        <f>'Q100a-geral'!USY887</f>
        <v>0</v>
      </c>
      <c r="USZ364" s="373">
        <f>'Q100a-geral'!USZ887</f>
        <v>0</v>
      </c>
      <c r="UTA364" s="373">
        <f>'Q100a-geral'!UTA887</f>
        <v>0</v>
      </c>
      <c r="UTB364" s="373">
        <f>'Q100a-geral'!UTB887</f>
        <v>0</v>
      </c>
      <c r="UTC364" s="373">
        <f>'Q100a-geral'!UTC887</f>
        <v>0</v>
      </c>
      <c r="UTD364" s="373">
        <f>'Q100a-geral'!UTD887</f>
        <v>0</v>
      </c>
      <c r="UTE364" s="373">
        <f>'Q100a-geral'!UTE887</f>
        <v>0</v>
      </c>
      <c r="UTF364" s="373">
        <f>'Q100a-geral'!UTF887</f>
        <v>0</v>
      </c>
      <c r="UTG364" s="373">
        <f>'Q100a-geral'!UTG887</f>
        <v>0</v>
      </c>
      <c r="UTH364" s="373">
        <f>'Q100a-geral'!UTH887</f>
        <v>0</v>
      </c>
      <c r="UTI364" s="373">
        <f>'Q100a-geral'!UTI887</f>
        <v>0</v>
      </c>
      <c r="UTJ364" s="373">
        <f>'Q100a-geral'!UTJ887</f>
        <v>0</v>
      </c>
      <c r="UTK364" s="373">
        <f>'Q100a-geral'!UTK887</f>
        <v>0</v>
      </c>
      <c r="UTL364" s="373">
        <f>'Q100a-geral'!UTL887</f>
        <v>0</v>
      </c>
      <c r="UTM364" s="373">
        <f>'Q100a-geral'!UTM887</f>
        <v>0</v>
      </c>
      <c r="UTN364" s="373">
        <f>'Q100a-geral'!UTN887</f>
        <v>0</v>
      </c>
      <c r="UTO364" s="373">
        <f>'Q100a-geral'!UTO887</f>
        <v>0</v>
      </c>
      <c r="UTP364" s="373">
        <f>'Q100a-geral'!UTP887</f>
        <v>0</v>
      </c>
      <c r="UTQ364" s="373">
        <f>'Q100a-geral'!UTQ887</f>
        <v>0</v>
      </c>
      <c r="UTR364" s="373">
        <f>'Q100a-geral'!UTR887</f>
        <v>0</v>
      </c>
      <c r="UTS364" s="373">
        <f>'Q100a-geral'!UTS887</f>
        <v>0</v>
      </c>
      <c r="UTT364" s="373">
        <f>'Q100a-geral'!UTT887</f>
        <v>0</v>
      </c>
      <c r="UTU364" s="373">
        <f>'Q100a-geral'!UTU887</f>
        <v>0</v>
      </c>
      <c r="UTV364" s="373">
        <f>'Q100a-geral'!UTV887</f>
        <v>0</v>
      </c>
      <c r="UTW364" s="373">
        <f>'Q100a-geral'!UTW887</f>
        <v>0</v>
      </c>
      <c r="UTX364" s="373">
        <f>'Q100a-geral'!UTX887</f>
        <v>0</v>
      </c>
      <c r="UTY364" s="373">
        <f>'Q100a-geral'!UTY887</f>
        <v>0</v>
      </c>
      <c r="UTZ364" s="373">
        <f>'Q100a-geral'!UTZ887</f>
        <v>0</v>
      </c>
      <c r="UUA364" s="373">
        <f>'Q100a-geral'!UUA887</f>
        <v>0</v>
      </c>
      <c r="UUB364" s="373">
        <f>'Q100a-geral'!UUB887</f>
        <v>0</v>
      </c>
      <c r="UUC364" s="373">
        <f>'Q100a-geral'!UUC887</f>
        <v>0</v>
      </c>
      <c r="UUD364" s="373">
        <f>'Q100a-geral'!UUD887</f>
        <v>0</v>
      </c>
      <c r="UUE364" s="373">
        <f>'Q100a-geral'!UUE887</f>
        <v>0</v>
      </c>
      <c r="UUF364" s="373">
        <f>'Q100a-geral'!UUF887</f>
        <v>0</v>
      </c>
      <c r="UUG364" s="373">
        <f>'Q100a-geral'!UUG887</f>
        <v>0</v>
      </c>
      <c r="UUH364" s="373">
        <f>'Q100a-geral'!UUH887</f>
        <v>0</v>
      </c>
      <c r="UUI364" s="373">
        <f>'Q100a-geral'!UUI887</f>
        <v>0</v>
      </c>
      <c r="UUJ364" s="373">
        <f>'Q100a-geral'!UUJ887</f>
        <v>0</v>
      </c>
      <c r="UUK364" s="373">
        <f>'Q100a-geral'!UUK887</f>
        <v>0</v>
      </c>
      <c r="UUL364" s="373">
        <f>'Q100a-geral'!UUL887</f>
        <v>0</v>
      </c>
      <c r="UUM364" s="373">
        <f>'Q100a-geral'!UUM887</f>
        <v>0</v>
      </c>
      <c r="UUN364" s="373">
        <f>'Q100a-geral'!UUN887</f>
        <v>0</v>
      </c>
      <c r="UUO364" s="373">
        <f>'Q100a-geral'!UUO887</f>
        <v>0</v>
      </c>
      <c r="UUP364" s="373">
        <f>'Q100a-geral'!UUP887</f>
        <v>0</v>
      </c>
      <c r="UUQ364" s="373">
        <f>'Q100a-geral'!UUQ887</f>
        <v>0</v>
      </c>
      <c r="UUR364" s="373">
        <f>'Q100a-geral'!UUR887</f>
        <v>0</v>
      </c>
      <c r="UUS364" s="373">
        <f>'Q100a-geral'!UUS887</f>
        <v>0</v>
      </c>
      <c r="UUT364" s="373">
        <f>'Q100a-geral'!UUT887</f>
        <v>0</v>
      </c>
      <c r="UUU364" s="373">
        <f>'Q100a-geral'!UUU887</f>
        <v>0</v>
      </c>
      <c r="UUV364" s="373">
        <f>'Q100a-geral'!UUV887</f>
        <v>0</v>
      </c>
      <c r="UUW364" s="373">
        <f>'Q100a-geral'!UUW887</f>
        <v>0</v>
      </c>
      <c r="UUX364" s="373">
        <f>'Q100a-geral'!UUX887</f>
        <v>0</v>
      </c>
      <c r="UUY364" s="373">
        <f>'Q100a-geral'!UUY887</f>
        <v>0</v>
      </c>
      <c r="UUZ364" s="373">
        <f>'Q100a-geral'!UUZ887</f>
        <v>0</v>
      </c>
      <c r="UVA364" s="373">
        <f>'Q100a-geral'!UVA887</f>
        <v>0</v>
      </c>
      <c r="UVB364" s="373">
        <f>'Q100a-geral'!UVB887</f>
        <v>0</v>
      </c>
      <c r="UVC364" s="373">
        <f>'Q100a-geral'!UVC887</f>
        <v>0</v>
      </c>
      <c r="UVD364" s="373">
        <f>'Q100a-geral'!UVD887</f>
        <v>0</v>
      </c>
      <c r="UVE364" s="373">
        <f>'Q100a-geral'!UVE887</f>
        <v>0</v>
      </c>
      <c r="UVF364" s="373">
        <f>'Q100a-geral'!UVF887</f>
        <v>0</v>
      </c>
      <c r="UVG364" s="373">
        <f>'Q100a-geral'!UVG887</f>
        <v>0</v>
      </c>
      <c r="UVH364" s="373">
        <f>'Q100a-geral'!UVH887</f>
        <v>0</v>
      </c>
      <c r="UVI364" s="373">
        <f>'Q100a-geral'!UVI887</f>
        <v>0</v>
      </c>
      <c r="UVJ364" s="373">
        <f>'Q100a-geral'!UVJ887</f>
        <v>0</v>
      </c>
      <c r="UVK364" s="373">
        <f>'Q100a-geral'!UVK887</f>
        <v>0</v>
      </c>
      <c r="UVL364" s="373">
        <f>'Q100a-geral'!UVL887</f>
        <v>0</v>
      </c>
      <c r="UVM364" s="373">
        <f>'Q100a-geral'!UVM887</f>
        <v>0</v>
      </c>
      <c r="UVN364" s="373">
        <f>'Q100a-geral'!UVN887</f>
        <v>0</v>
      </c>
      <c r="UVO364" s="373">
        <f>'Q100a-geral'!UVO887</f>
        <v>0</v>
      </c>
      <c r="UVP364" s="373">
        <f>'Q100a-geral'!UVP887</f>
        <v>0</v>
      </c>
      <c r="UVQ364" s="373">
        <f>'Q100a-geral'!UVQ887</f>
        <v>0</v>
      </c>
      <c r="UVR364" s="373">
        <f>'Q100a-geral'!UVR887</f>
        <v>0</v>
      </c>
      <c r="UVS364" s="373">
        <f>'Q100a-geral'!UVS887</f>
        <v>0</v>
      </c>
      <c r="UVT364" s="373">
        <f>'Q100a-geral'!UVT887</f>
        <v>0</v>
      </c>
      <c r="UVU364" s="373">
        <f>'Q100a-geral'!UVU887</f>
        <v>0</v>
      </c>
      <c r="UVV364" s="373">
        <f>'Q100a-geral'!UVV887</f>
        <v>0</v>
      </c>
      <c r="UVW364" s="373">
        <f>'Q100a-geral'!UVW887</f>
        <v>0</v>
      </c>
      <c r="UVX364" s="373">
        <f>'Q100a-geral'!UVX887</f>
        <v>0</v>
      </c>
      <c r="UVY364" s="373">
        <f>'Q100a-geral'!UVY887</f>
        <v>0</v>
      </c>
      <c r="UVZ364" s="373">
        <f>'Q100a-geral'!UVZ887</f>
        <v>0</v>
      </c>
      <c r="UWA364" s="373">
        <f>'Q100a-geral'!UWA887</f>
        <v>0</v>
      </c>
      <c r="UWB364" s="373">
        <f>'Q100a-geral'!UWB887</f>
        <v>0</v>
      </c>
      <c r="UWC364" s="373">
        <f>'Q100a-geral'!UWC887</f>
        <v>0</v>
      </c>
      <c r="UWD364" s="373">
        <f>'Q100a-geral'!UWD887</f>
        <v>0</v>
      </c>
      <c r="UWE364" s="373">
        <f>'Q100a-geral'!UWE887</f>
        <v>0</v>
      </c>
      <c r="UWF364" s="373">
        <f>'Q100a-geral'!UWF887</f>
        <v>0</v>
      </c>
      <c r="UWG364" s="373">
        <f>'Q100a-geral'!UWG887</f>
        <v>0</v>
      </c>
      <c r="UWH364" s="373">
        <f>'Q100a-geral'!UWH887</f>
        <v>0</v>
      </c>
      <c r="UWI364" s="373">
        <f>'Q100a-geral'!UWI887</f>
        <v>0</v>
      </c>
      <c r="UWJ364" s="373">
        <f>'Q100a-geral'!UWJ887</f>
        <v>0</v>
      </c>
      <c r="UWK364" s="373">
        <f>'Q100a-geral'!UWK887</f>
        <v>0</v>
      </c>
      <c r="UWL364" s="373">
        <f>'Q100a-geral'!UWL887</f>
        <v>0</v>
      </c>
      <c r="UWM364" s="373">
        <f>'Q100a-geral'!UWM887</f>
        <v>0</v>
      </c>
      <c r="UWN364" s="373">
        <f>'Q100a-geral'!UWN887</f>
        <v>0</v>
      </c>
      <c r="UWO364" s="373">
        <f>'Q100a-geral'!UWO887</f>
        <v>0</v>
      </c>
      <c r="UWP364" s="373">
        <f>'Q100a-geral'!UWP887</f>
        <v>0</v>
      </c>
      <c r="UWQ364" s="373">
        <f>'Q100a-geral'!UWQ887</f>
        <v>0</v>
      </c>
      <c r="UWR364" s="373">
        <f>'Q100a-geral'!UWR887</f>
        <v>0</v>
      </c>
      <c r="UWS364" s="373">
        <f>'Q100a-geral'!UWS887</f>
        <v>0</v>
      </c>
      <c r="UWT364" s="373">
        <f>'Q100a-geral'!UWT887</f>
        <v>0</v>
      </c>
      <c r="UWU364" s="373">
        <f>'Q100a-geral'!UWU887</f>
        <v>0</v>
      </c>
      <c r="UWV364" s="373">
        <f>'Q100a-geral'!UWV887</f>
        <v>0</v>
      </c>
      <c r="UWW364" s="373">
        <f>'Q100a-geral'!UWW887</f>
        <v>0</v>
      </c>
      <c r="UWX364" s="373">
        <f>'Q100a-geral'!UWX887</f>
        <v>0</v>
      </c>
      <c r="UWY364" s="373">
        <f>'Q100a-geral'!UWY887</f>
        <v>0</v>
      </c>
      <c r="UWZ364" s="373">
        <f>'Q100a-geral'!UWZ887</f>
        <v>0</v>
      </c>
      <c r="UXA364" s="373">
        <f>'Q100a-geral'!UXA887</f>
        <v>0</v>
      </c>
      <c r="UXB364" s="373">
        <f>'Q100a-geral'!UXB887</f>
        <v>0</v>
      </c>
      <c r="UXC364" s="373">
        <f>'Q100a-geral'!UXC887</f>
        <v>0</v>
      </c>
      <c r="UXD364" s="373">
        <f>'Q100a-geral'!UXD887</f>
        <v>0</v>
      </c>
      <c r="UXE364" s="373">
        <f>'Q100a-geral'!UXE887</f>
        <v>0</v>
      </c>
      <c r="UXF364" s="373">
        <f>'Q100a-geral'!UXF887</f>
        <v>0</v>
      </c>
      <c r="UXG364" s="373">
        <f>'Q100a-geral'!UXG887</f>
        <v>0</v>
      </c>
      <c r="UXH364" s="373">
        <f>'Q100a-geral'!UXH887</f>
        <v>0</v>
      </c>
      <c r="UXI364" s="373">
        <f>'Q100a-geral'!UXI887</f>
        <v>0</v>
      </c>
      <c r="UXJ364" s="373">
        <f>'Q100a-geral'!UXJ887</f>
        <v>0</v>
      </c>
      <c r="UXK364" s="373">
        <f>'Q100a-geral'!UXK887</f>
        <v>0</v>
      </c>
      <c r="UXL364" s="373">
        <f>'Q100a-geral'!UXL887</f>
        <v>0</v>
      </c>
      <c r="UXM364" s="373">
        <f>'Q100a-geral'!UXM887</f>
        <v>0</v>
      </c>
      <c r="UXN364" s="373">
        <f>'Q100a-geral'!UXN887</f>
        <v>0</v>
      </c>
      <c r="UXO364" s="373">
        <f>'Q100a-geral'!UXO887</f>
        <v>0</v>
      </c>
      <c r="UXP364" s="373">
        <f>'Q100a-geral'!UXP887</f>
        <v>0</v>
      </c>
      <c r="UXQ364" s="373">
        <f>'Q100a-geral'!UXQ887</f>
        <v>0</v>
      </c>
      <c r="UXR364" s="373">
        <f>'Q100a-geral'!UXR887</f>
        <v>0</v>
      </c>
      <c r="UXS364" s="373">
        <f>'Q100a-geral'!UXS887</f>
        <v>0</v>
      </c>
      <c r="UXT364" s="373">
        <f>'Q100a-geral'!UXT887</f>
        <v>0</v>
      </c>
      <c r="UXU364" s="373">
        <f>'Q100a-geral'!UXU887</f>
        <v>0</v>
      </c>
      <c r="UXV364" s="373">
        <f>'Q100a-geral'!UXV887</f>
        <v>0</v>
      </c>
      <c r="UXW364" s="373">
        <f>'Q100a-geral'!UXW887</f>
        <v>0</v>
      </c>
      <c r="UXX364" s="373">
        <f>'Q100a-geral'!UXX887</f>
        <v>0</v>
      </c>
      <c r="UXY364" s="373">
        <f>'Q100a-geral'!UXY887</f>
        <v>0</v>
      </c>
      <c r="UXZ364" s="373">
        <f>'Q100a-geral'!UXZ887</f>
        <v>0</v>
      </c>
      <c r="UYA364" s="373">
        <f>'Q100a-geral'!UYA887</f>
        <v>0</v>
      </c>
      <c r="UYB364" s="373">
        <f>'Q100a-geral'!UYB887</f>
        <v>0</v>
      </c>
      <c r="UYC364" s="373">
        <f>'Q100a-geral'!UYC887</f>
        <v>0</v>
      </c>
      <c r="UYD364" s="373">
        <f>'Q100a-geral'!UYD887</f>
        <v>0</v>
      </c>
      <c r="UYE364" s="373">
        <f>'Q100a-geral'!UYE887</f>
        <v>0</v>
      </c>
      <c r="UYF364" s="373">
        <f>'Q100a-geral'!UYF887</f>
        <v>0</v>
      </c>
      <c r="UYG364" s="373">
        <f>'Q100a-geral'!UYG887</f>
        <v>0</v>
      </c>
      <c r="UYH364" s="373">
        <f>'Q100a-geral'!UYH887</f>
        <v>0</v>
      </c>
      <c r="UYI364" s="373">
        <f>'Q100a-geral'!UYI887</f>
        <v>0</v>
      </c>
      <c r="UYJ364" s="373">
        <f>'Q100a-geral'!UYJ887</f>
        <v>0</v>
      </c>
      <c r="UYK364" s="373">
        <f>'Q100a-geral'!UYK887</f>
        <v>0</v>
      </c>
      <c r="UYL364" s="373">
        <f>'Q100a-geral'!UYL887</f>
        <v>0</v>
      </c>
      <c r="UYM364" s="373">
        <f>'Q100a-geral'!UYM887</f>
        <v>0</v>
      </c>
      <c r="UYN364" s="373">
        <f>'Q100a-geral'!UYN887</f>
        <v>0</v>
      </c>
      <c r="UYO364" s="373">
        <f>'Q100a-geral'!UYO887</f>
        <v>0</v>
      </c>
      <c r="UYP364" s="373">
        <f>'Q100a-geral'!UYP887</f>
        <v>0</v>
      </c>
      <c r="UYQ364" s="373">
        <f>'Q100a-geral'!UYQ887</f>
        <v>0</v>
      </c>
      <c r="UYR364" s="373">
        <f>'Q100a-geral'!UYR887</f>
        <v>0</v>
      </c>
      <c r="UYS364" s="373">
        <f>'Q100a-geral'!UYS887</f>
        <v>0</v>
      </c>
      <c r="UYT364" s="373">
        <f>'Q100a-geral'!UYT887</f>
        <v>0</v>
      </c>
      <c r="UYU364" s="373">
        <f>'Q100a-geral'!UYU887</f>
        <v>0</v>
      </c>
      <c r="UYV364" s="373">
        <f>'Q100a-geral'!UYV887</f>
        <v>0</v>
      </c>
      <c r="UYW364" s="373">
        <f>'Q100a-geral'!UYW887</f>
        <v>0</v>
      </c>
      <c r="UYX364" s="373">
        <f>'Q100a-geral'!UYX887</f>
        <v>0</v>
      </c>
      <c r="UYY364" s="373">
        <f>'Q100a-geral'!UYY887</f>
        <v>0</v>
      </c>
      <c r="UYZ364" s="373">
        <f>'Q100a-geral'!UYZ887</f>
        <v>0</v>
      </c>
      <c r="UZA364" s="373">
        <f>'Q100a-geral'!UZA887</f>
        <v>0</v>
      </c>
      <c r="UZB364" s="373">
        <f>'Q100a-geral'!UZB887</f>
        <v>0</v>
      </c>
      <c r="UZC364" s="373">
        <f>'Q100a-geral'!UZC887</f>
        <v>0</v>
      </c>
      <c r="UZD364" s="373">
        <f>'Q100a-geral'!UZD887</f>
        <v>0</v>
      </c>
      <c r="UZE364" s="373">
        <f>'Q100a-geral'!UZE887</f>
        <v>0</v>
      </c>
      <c r="UZF364" s="373">
        <f>'Q100a-geral'!UZF887</f>
        <v>0</v>
      </c>
      <c r="UZG364" s="373">
        <f>'Q100a-geral'!UZG887</f>
        <v>0</v>
      </c>
      <c r="UZH364" s="373">
        <f>'Q100a-geral'!UZH887</f>
        <v>0</v>
      </c>
      <c r="UZI364" s="373">
        <f>'Q100a-geral'!UZI887</f>
        <v>0</v>
      </c>
      <c r="UZJ364" s="373">
        <f>'Q100a-geral'!UZJ887</f>
        <v>0</v>
      </c>
      <c r="UZK364" s="373">
        <f>'Q100a-geral'!UZK887</f>
        <v>0</v>
      </c>
      <c r="UZL364" s="373">
        <f>'Q100a-geral'!UZL887</f>
        <v>0</v>
      </c>
      <c r="UZM364" s="373">
        <f>'Q100a-geral'!UZM887</f>
        <v>0</v>
      </c>
      <c r="UZN364" s="373">
        <f>'Q100a-geral'!UZN887</f>
        <v>0</v>
      </c>
      <c r="UZO364" s="373">
        <f>'Q100a-geral'!UZO887</f>
        <v>0</v>
      </c>
      <c r="UZP364" s="373">
        <f>'Q100a-geral'!UZP887</f>
        <v>0</v>
      </c>
      <c r="UZQ364" s="373">
        <f>'Q100a-geral'!UZQ887</f>
        <v>0</v>
      </c>
      <c r="UZR364" s="373">
        <f>'Q100a-geral'!UZR887</f>
        <v>0</v>
      </c>
      <c r="UZS364" s="373">
        <f>'Q100a-geral'!UZS887</f>
        <v>0</v>
      </c>
      <c r="UZT364" s="373">
        <f>'Q100a-geral'!UZT887</f>
        <v>0</v>
      </c>
      <c r="UZU364" s="373">
        <f>'Q100a-geral'!UZU887</f>
        <v>0</v>
      </c>
      <c r="UZV364" s="373">
        <f>'Q100a-geral'!UZV887</f>
        <v>0</v>
      </c>
      <c r="UZW364" s="373">
        <f>'Q100a-geral'!UZW887</f>
        <v>0</v>
      </c>
      <c r="UZX364" s="373">
        <f>'Q100a-geral'!UZX887</f>
        <v>0</v>
      </c>
      <c r="UZY364" s="373">
        <f>'Q100a-geral'!UZY887</f>
        <v>0</v>
      </c>
      <c r="UZZ364" s="373">
        <f>'Q100a-geral'!UZZ887</f>
        <v>0</v>
      </c>
      <c r="VAA364" s="373">
        <f>'Q100a-geral'!VAA887</f>
        <v>0</v>
      </c>
      <c r="VAB364" s="373">
        <f>'Q100a-geral'!VAB887</f>
        <v>0</v>
      </c>
      <c r="VAC364" s="373">
        <f>'Q100a-geral'!VAC887</f>
        <v>0</v>
      </c>
      <c r="VAD364" s="373">
        <f>'Q100a-geral'!VAD887</f>
        <v>0</v>
      </c>
      <c r="VAE364" s="373">
        <f>'Q100a-geral'!VAE887</f>
        <v>0</v>
      </c>
      <c r="VAF364" s="373">
        <f>'Q100a-geral'!VAF887</f>
        <v>0</v>
      </c>
      <c r="VAG364" s="373">
        <f>'Q100a-geral'!VAG887</f>
        <v>0</v>
      </c>
      <c r="VAH364" s="373">
        <f>'Q100a-geral'!VAH887</f>
        <v>0</v>
      </c>
      <c r="VAI364" s="373">
        <f>'Q100a-geral'!VAI887</f>
        <v>0</v>
      </c>
      <c r="VAJ364" s="373">
        <f>'Q100a-geral'!VAJ887</f>
        <v>0</v>
      </c>
      <c r="VAK364" s="373">
        <f>'Q100a-geral'!VAK887</f>
        <v>0</v>
      </c>
      <c r="VAL364" s="373">
        <f>'Q100a-geral'!VAL887</f>
        <v>0</v>
      </c>
      <c r="VAM364" s="373">
        <f>'Q100a-geral'!VAM887</f>
        <v>0</v>
      </c>
      <c r="VAN364" s="373">
        <f>'Q100a-geral'!VAN887</f>
        <v>0</v>
      </c>
      <c r="VAO364" s="373">
        <f>'Q100a-geral'!VAO887</f>
        <v>0</v>
      </c>
      <c r="VAP364" s="373">
        <f>'Q100a-geral'!VAP887</f>
        <v>0</v>
      </c>
      <c r="VAQ364" s="373">
        <f>'Q100a-geral'!VAQ887</f>
        <v>0</v>
      </c>
      <c r="VAR364" s="373">
        <f>'Q100a-geral'!VAR887</f>
        <v>0</v>
      </c>
      <c r="VAS364" s="373">
        <f>'Q100a-geral'!VAS887</f>
        <v>0</v>
      </c>
      <c r="VAT364" s="373">
        <f>'Q100a-geral'!VAT887</f>
        <v>0</v>
      </c>
      <c r="VAU364" s="373">
        <f>'Q100a-geral'!VAU887</f>
        <v>0</v>
      </c>
      <c r="VAV364" s="373">
        <f>'Q100a-geral'!VAV887</f>
        <v>0</v>
      </c>
      <c r="VAW364" s="373">
        <f>'Q100a-geral'!VAW887</f>
        <v>0</v>
      </c>
      <c r="VAX364" s="373">
        <f>'Q100a-geral'!VAX887</f>
        <v>0</v>
      </c>
      <c r="VAY364" s="373">
        <f>'Q100a-geral'!VAY887</f>
        <v>0</v>
      </c>
      <c r="VAZ364" s="373">
        <f>'Q100a-geral'!VAZ887</f>
        <v>0</v>
      </c>
      <c r="VBA364" s="373">
        <f>'Q100a-geral'!VBA887</f>
        <v>0</v>
      </c>
      <c r="VBB364" s="373">
        <f>'Q100a-geral'!VBB887</f>
        <v>0</v>
      </c>
      <c r="VBC364" s="373">
        <f>'Q100a-geral'!VBC887</f>
        <v>0</v>
      </c>
      <c r="VBD364" s="373">
        <f>'Q100a-geral'!VBD887</f>
        <v>0</v>
      </c>
      <c r="VBE364" s="373">
        <f>'Q100a-geral'!VBE887</f>
        <v>0</v>
      </c>
      <c r="VBF364" s="373">
        <f>'Q100a-geral'!VBF887</f>
        <v>0</v>
      </c>
      <c r="VBG364" s="373">
        <f>'Q100a-geral'!VBG887</f>
        <v>0</v>
      </c>
      <c r="VBH364" s="373">
        <f>'Q100a-geral'!VBH887</f>
        <v>0</v>
      </c>
      <c r="VBI364" s="373">
        <f>'Q100a-geral'!VBI887</f>
        <v>0</v>
      </c>
      <c r="VBJ364" s="373">
        <f>'Q100a-geral'!VBJ887</f>
        <v>0</v>
      </c>
      <c r="VBK364" s="373">
        <f>'Q100a-geral'!VBK887</f>
        <v>0</v>
      </c>
      <c r="VBL364" s="373">
        <f>'Q100a-geral'!VBL887</f>
        <v>0</v>
      </c>
      <c r="VBM364" s="373">
        <f>'Q100a-geral'!VBM887</f>
        <v>0</v>
      </c>
      <c r="VBN364" s="373">
        <f>'Q100a-geral'!VBN887</f>
        <v>0</v>
      </c>
      <c r="VBO364" s="373">
        <f>'Q100a-geral'!VBO887</f>
        <v>0</v>
      </c>
      <c r="VBP364" s="373">
        <f>'Q100a-geral'!VBP887</f>
        <v>0</v>
      </c>
      <c r="VBQ364" s="373">
        <f>'Q100a-geral'!VBQ887</f>
        <v>0</v>
      </c>
      <c r="VBR364" s="373">
        <f>'Q100a-geral'!VBR887</f>
        <v>0</v>
      </c>
      <c r="VBS364" s="373">
        <f>'Q100a-geral'!VBS887</f>
        <v>0</v>
      </c>
      <c r="VBT364" s="373">
        <f>'Q100a-geral'!VBT887</f>
        <v>0</v>
      </c>
      <c r="VBU364" s="373">
        <f>'Q100a-geral'!VBU887</f>
        <v>0</v>
      </c>
      <c r="VBV364" s="373">
        <f>'Q100a-geral'!VBV887</f>
        <v>0</v>
      </c>
      <c r="VBW364" s="373">
        <f>'Q100a-geral'!VBW887</f>
        <v>0</v>
      </c>
      <c r="VBX364" s="373">
        <f>'Q100a-geral'!VBX887</f>
        <v>0</v>
      </c>
      <c r="VBY364" s="373">
        <f>'Q100a-geral'!VBY887</f>
        <v>0</v>
      </c>
      <c r="VBZ364" s="373">
        <f>'Q100a-geral'!VBZ887</f>
        <v>0</v>
      </c>
      <c r="VCA364" s="373">
        <f>'Q100a-geral'!VCA887</f>
        <v>0</v>
      </c>
      <c r="VCB364" s="373">
        <f>'Q100a-geral'!VCB887</f>
        <v>0</v>
      </c>
      <c r="VCC364" s="373">
        <f>'Q100a-geral'!VCC887</f>
        <v>0</v>
      </c>
      <c r="VCD364" s="373">
        <f>'Q100a-geral'!VCD887</f>
        <v>0</v>
      </c>
      <c r="VCE364" s="373">
        <f>'Q100a-geral'!VCE887</f>
        <v>0</v>
      </c>
      <c r="VCF364" s="373">
        <f>'Q100a-geral'!VCF887</f>
        <v>0</v>
      </c>
      <c r="VCG364" s="373">
        <f>'Q100a-geral'!VCG887</f>
        <v>0</v>
      </c>
      <c r="VCH364" s="373">
        <f>'Q100a-geral'!VCH887</f>
        <v>0</v>
      </c>
      <c r="VCI364" s="373">
        <f>'Q100a-geral'!VCI887</f>
        <v>0</v>
      </c>
      <c r="VCJ364" s="373">
        <f>'Q100a-geral'!VCJ887</f>
        <v>0</v>
      </c>
      <c r="VCK364" s="373">
        <f>'Q100a-geral'!VCK887</f>
        <v>0</v>
      </c>
      <c r="VCL364" s="373">
        <f>'Q100a-geral'!VCL887</f>
        <v>0</v>
      </c>
      <c r="VCM364" s="373">
        <f>'Q100a-geral'!VCM887</f>
        <v>0</v>
      </c>
      <c r="VCN364" s="373">
        <f>'Q100a-geral'!VCN887</f>
        <v>0</v>
      </c>
      <c r="VCO364" s="373">
        <f>'Q100a-geral'!VCO887</f>
        <v>0</v>
      </c>
      <c r="VCP364" s="373">
        <f>'Q100a-geral'!VCP887</f>
        <v>0</v>
      </c>
      <c r="VCQ364" s="373">
        <f>'Q100a-geral'!VCQ887</f>
        <v>0</v>
      </c>
      <c r="VCR364" s="373">
        <f>'Q100a-geral'!VCR887</f>
        <v>0</v>
      </c>
      <c r="VCS364" s="373">
        <f>'Q100a-geral'!VCS887</f>
        <v>0</v>
      </c>
      <c r="VCT364" s="373">
        <f>'Q100a-geral'!VCT887</f>
        <v>0</v>
      </c>
      <c r="VCU364" s="373">
        <f>'Q100a-geral'!VCU887</f>
        <v>0</v>
      </c>
      <c r="VCV364" s="373">
        <f>'Q100a-geral'!VCV887</f>
        <v>0</v>
      </c>
      <c r="VCW364" s="373">
        <f>'Q100a-geral'!VCW887</f>
        <v>0</v>
      </c>
      <c r="VCX364" s="373">
        <f>'Q100a-geral'!VCX887</f>
        <v>0</v>
      </c>
      <c r="VCY364" s="373">
        <f>'Q100a-geral'!VCY887</f>
        <v>0</v>
      </c>
      <c r="VCZ364" s="373">
        <f>'Q100a-geral'!VCZ887</f>
        <v>0</v>
      </c>
      <c r="VDA364" s="373">
        <f>'Q100a-geral'!VDA887</f>
        <v>0</v>
      </c>
      <c r="VDB364" s="373">
        <f>'Q100a-geral'!VDB887</f>
        <v>0</v>
      </c>
      <c r="VDC364" s="373">
        <f>'Q100a-geral'!VDC887</f>
        <v>0</v>
      </c>
      <c r="VDD364" s="373">
        <f>'Q100a-geral'!VDD887</f>
        <v>0</v>
      </c>
      <c r="VDE364" s="373">
        <f>'Q100a-geral'!VDE887</f>
        <v>0</v>
      </c>
      <c r="VDF364" s="373">
        <f>'Q100a-geral'!VDF887</f>
        <v>0</v>
      </c>
      <c r="VDG364" s="373">
        <f>'Q100a-geral'!VDG887</f>
        <v>0</v>
      </c>
      <c r="VDH364" s="373">
        <f>'Q100a-geral'!VDH887</f>
        <v>0</v>
      </c>
      <c r="VDI364" s="373">
        <f>'Q100a-geral'!VDI887</f>
        <v>0</v>
      </c>
      <c r="VDJ364" s="373">
        <f>'Q100a-geral'!VDJ887</f>
        <v>0</v>
      </c>
      <c r="VDK364" s="373">
        <f>'Q100a-geral'!VDK887</f>
        <v>0</v>
      </c>
      <c r="VDL364" s="373">
        <f>'Q100a-geral'!VDL887</f>
        <v>0</v>
      </c>
      <c r="VDM364" s="373">
        <f>'Q100a-geral'!VDM887</f>
        <v>0</v>
      </c>
      <c r="VDN364" s="373">
        <f>'Q100a-geral'!VDN887</f>
        <v>0</v>
      </c>
      <c r="VDO364" s="373">
        <f>'Q100a-geral'!VDO887</f>
        <v>0</v>
      </c>
      <c r="VDP364" s="373">
        <f>'Q100a-geral'!VDP887</f>
        <v>0</v>
      </c>
      <c r="VDQ364" s="373">
        <f>'Q100a-geral'!VDQ887</f>
        <v>0</v>
      </c>
      <c r="VDR364" s="373">
        <f>'Q100a-geral'!VDR887</f>
        <v>0</v>
      </c>
      <c r="VDS364" s="373">
        <f>'Q100a-geral'!VDS887</f>
        <v>0</v>
      </c>
      <c r="VDT364" s="373">
        <f>'Q100a-geral'!VDT887</f>
        <v>0</v>
      </c>
      <c r="VDU364" s="373">
        <f>'Q100a-geral'!VDU887</f>
        <v>0</v>
      </c>
      <c r="VDV364" s="373">
        <f>'Q100a-geral'!VDV887</f>
        <v>0</v>
      </c>
      <c r="VDW364" s="373">
        <f>'Q100a-geral'!VDW887</f>
        <v>0</v>
      </c>
      <c r="VDX364" s="373">
        <f>'Q100a-geral'!VDX887</f>
        <v>0</v>
      </c>
      <c r="VDY364" s="373">
        <f>'Q100a-geral'!VDY887</f>
        <v>0</v>
      </c>
      <c r="VDZ364" s="373">
        <f>'Q100a-geral'!VDZ887</f>
        <v>0</v>
      </c>
      <c r="VEA364" s="373">
        <f>'Q100a-geral'!VEA887</f>
        <v>0</v>
      </c>
      <c r="VEB364" s="373">
        <f>'Q100a-geral'!VEB887</f>
        <v>0</v>
      </c>
      <c r="VEC364" s="373">
        <f>'Q100a-geral'!VEC887</f>
        <v>0</v>
      </c>
      <c r="VED364" s="373">
        <f>'Q100a-geral'!VED887</f>
        <v>0</v>
      </c>
      <c r="VEE364" s="373">
        <f>'Q100a-geral'!VEE887</f>
        <v>0</v>
      </c>
      <c r="VEF364" s="373">
        <f>'Q100a-geral'!VEF887</f>
        <v>0</v>
      </c>
      <c r="VEG364" s="373">
        <f>'Q100a-geral'!VEG887</f>
        <v>0</v>
      </c>
      <c r="VEH364" s="373">
        <f>'Q100a-geral'!VEH887</f>
        <v>0</v>
      </c>
      <c r="VEI364" s="373">
        <f>'Q100a-geral'!VEI887</f>
        <v>0</v>
      </c>
      <c r="VEJ364" s="373">
        <f>'Q100a-geral'!VEJ887</f>
        <v>0</v>
      </c>
      <c r="VEK364" s="373">
        <f>'Q100a-geral'!VEK887</f>
        <v>0</v>
      </c>
      <c r="VEL364" s="373">
        <f>'Q100a-geral'!VEL887</f>
        <v>0</v>
      </c>
      <c r="VEM364" s="373">
        <f>'Q100a-geral'!VEM887</f>
        <v>0</v>
      </c>
      <c r="VEN364" s="373">
        <f>'Q100a-geral'!VEN887</f>
        <v>0</v>
      </c>
      <c r="VEO364" s="373">
        <f>'Q100a-geral'!VEO887</f>
        <v>0</v>
      </c>
      <c r="VEP364" s="373">
        <f>'Q100a-geral'!VEP887</f>
        <v>0</v>
      </c>
      <c r="VEQ364" s="373">
        <f>'Q100a-geral'!VEQ887</f>
        <v>0</v>
      </c>
      <c r="VER364" s="373">
        <f>'Q100a-geral'!VER887</f>
        <v>0</v>
      </c>
      <c r="VES364" s="373">
        <f>'Q100a-geral'!VES887</f>
        <v>0</v>
      </c>
      <c r="VET364" s="373">
        <f>'Q100a-geral'!VET887</f>
        <v>0</v>
      </c>
      <c r="VEU364" s="373">
        <f>'Q100a-geral'!VEU887</f>
        <v>0</v>
      </c>
      <c r="VEV364" s="373">
        <f>'Q100a-geral'!VEV887</f>
        <v>0</v>
      </c>
      <c r="VEW364" s="373">
        <f>'Q100a-geral'!VEW887</f>
        <v>0</v>
      </c>
      <c r="VEX364" s="373">
        <f>'Q100a-geral'!VEX887</f>
        <v>0</v>
      </c>
      <c r="VEY364" s="373">
        <f>'Q100a-geral'!VEY887</f>
        <v>0</v>
      </c>
      <c r="VEZ364" s="373">
        <f>'Q100a-geral'!VEZ887</f>
        <v>0</v>
      </c>
      <c r="VFA364" s="373">
        <f>'Q100a-geral'!VFA887</f>
        <v>0</v>
      </c>
      <c r="VFB364" s="373">
        <f>'Q100a-geral'!VFB887</f>
        <v>0</v>
      </c>
      <c r="VFC364" s="373">
        <f>'Q100a-geral'!VFC887</f>
        <v>0</v>
      </c>
      <c r="VFD364" s="373">
        <f>'Q100a-geral'!VFD887</f>
        <v>0</v>
      </c>
      <c r="VFE364" s="373">
        <f>'Q100a-geral'!VFE887</f>
        <v>0</v>
      </c>
      <c r="VFF364" s="373">
        <f>'Q100a-geral'!VFF887</f>
        <v>0</v>
      </c>
      <c r="VFG364" s="373">
        <f>'Q100a-geral'!VFG887</f>
        <v>0</v>
      </c>
      <c r="VFH364" s="373">
        <f>'Q100a-geral'!VFH887</f>
        <v>0</v>
      </c>
      <c r="VFI364" s="373">
        <f>'Q100a-geral'!VFI887</f>
        <v>0</v>
      </c>
      <c r="VFJ364" s="373">
        <f>'Q100a-geral'!VFJ887</f>
        <v>0</v>
      </c>
      <c r="VFK364" s="373">
        <f>'Q100a-geral'!VFK887</f>
        <v>0</v>
      </c>
      <c r="VFL364" s="373">
        <f>'Q100a-geral'!VFL887</f>
        <v>0</v>
      </c>
      <c r="VFM364" s="373">
        <f>'Q100a-geral'!VFM887</f>
        <v>0</v>
      </c>
      <c r="VFN364" s="373">
        <f>'Q100a-geral'!VFN887</f>
        <v>0</v>
      </c>
      <c r="VFO364" s="373">
        <f>'Q100a-geral'!VFO887</f>
        <v>0</v>
      </c>
      <c r="VFP364" s="373">
        <f>'Q100a-geral'!VFP887</f>
        <v>0</v>
      </c>
      <c r="VFQ364" s="373">
        <f>'Q100a-geral'!VFQ887</f>
        <v>0</v>
      </c>
      <c r="VFR364" s="373">
        <f>'Q100a-geral'!VFR887</f>
        <v>0</v>
      </c>
      <c r="VFS364" s="373">
        <f>'Q100a-geral'!VFS887</f>
        <v>0</v>
      </c>
      <c r="VFT364" s="373">
        <f>'Q100a-geral'!VFT887</f>
        <v>0</v>
      </c>
      <c r="VFU364" s="373">
        <f>'Q100a-geral'!VFU887</f>
        <v>0</v>
      </c>
      <c r="VFV364" s="373">
        <f>'Q100a-geral'!VFV887</f>
        <v>0</v>
      </c>
      <c r="VFW364" s="373">
        <f>'Q100a-geral'!VFW887</f>
        <v>0</v>
      </c>
      <c r="VFX364" s="373">
        <f>'Q100a-geral'!VFX887</f>
        <v>0</v>
      </c>
      <c r="VFY364" s="373">
        <f>'Q100a-geral'!VFY887</f>
        <v>0</v>
      </c>
      <c r="VFZ364" s="373">
        <f>'Q100a-geral'!VFZ887</f>
        <v>0</v>
      </c>
      <c r="VGA364" s="373">
        <f>'Q100a-geral'!VGA887</f>
        <v>0</v>
      </c>
      <c r="VGB364" s="373">
        <f>'Q100a-geral'!VGB887</f>
        <v>0</v>
      </c>
      <c r="VGC364" s="373">
        <f>'Q100a-geral'!VGC887</f>
        <v>0</v>
      </c>
      <c r="VGD364" s="373">
        <f>'Q100a-geral'!VGD887</f>
        <v>0</v>
      </c>
      <c r="VGE364" s="373">
        <f>'Q100a-geral'!VGE887</f>
        <v>0</v>
      </c>
      <c r="VGF364" s="373">
        <f>'Q100a-geral'!VGF887</f>
        <v>0</v>
      </c>
      <c r="VGG364" s="373">
        <f>'Q100a-geral'!VGG887</f>
        <v>0</v>
      </c>
      <c r="VGH364" s="373">
        <f>'Q100a-geral'!VGH887</f>
        <v>0</v>
      </c>
      <c r="VGI364" s="373">
        <f>'Q100a-geral'!VGI887</f>
        <v>0</v>
      </c>
      <c r="VGJ364" s="373">
        <f>'Q100a-geral'!VGJ887</f>
        <v>0</v>
      </c>
      <c r="VGK364" s="373">
        <f>'Q100a-geral'!VGK887</f>
        <v>0</v>
      </c>
      <c r="VGL364" s="373">
        <f>'Q100a-geral'!VGL887</f>
        <v>0</v>
      </c>
      <c r="VGM364" s="373">
        <f>'Q100a-geral'!VGM887</f>
        <v>0</v>
      </c>
      <c r="VGN364" s="373">
        <f>'Q100a-geral'!VGN887</f>
        <v>0</v>
      </c>
      <c r="VGO364" s="373">
        <f>'Q100a-geral'!VGO887</f>
        <v>0</v>
      </c>
      <c r="VGP364" s="373">
        <f>'Q100a-geral'!VGP887</f>
        <v>0</v>
      </c>
      <c r="VGQ364" s="373">
        <f>'Q100a-geral'!VGQ887</f>
        <v>0</v>
      </c>
      <c r="VGR364" s="373">
        <f>'Q100a-geral'!VGR887</f>
        <v>0</v>
      </c>
      <c r="VGS364" s="373">
        <f>'Q100a-geral'!VGS887</f>
        <v>0</v>
      </c>
      <c r="VGT364" s="373">
        <f>'Q100a-geral'!VGT887</f>
        <v>0</v>
      </c>
      <c r="VGU364" s="373">
        <f>'Q100a-geral'!VGU887</f>
        <v>0</v>
      </c>
      <c r="VGV364" s="373">
        <f>'Q100a-geral'!VGV887</f>
        <v>0</v>
      </c>
      <c r="VGW364" s="373">
        <f>'Q100a-geral'!VGW887</f>
        <v>0</v>
      </c>
      <c r="VGX364" s="373">
        <f>'Q100a-geral'!VGX887</f>
        <v>0</v>
      </c>
      <c r="VGY364" s="373">
        <f>'Q100a-geral'!VGY887</f>
        <v>0</v>
      </c>
      <c r="VGZ364" s="373">
        <f>'Q100a-geral'!VGZ887</f>
        <v>0</v>
      </c>
      <c r="VHA364" s="373">
        <f>'Q100a-geral'!VHA887</f>
        <v>0</v>
      </c>
      <c r="VHB364" s="373">
        <f>'Q100a-geral'!VHB887</f>
        <v>0</v>
      </c>
      <c r="VHC364" s="373">
        <f>'Q100a-geral'!VHC887</f>
        <v>0</v>
      </c>
      <c r="VHD364" s="373">
        <f>'Q100a-geral'!VHD887</f>
        <v>0</v>
      </c>
      <c r="VHE364" s="373">
        <f>'Q100a-geral'!VHE887</f>
        <v>0</v>
      </c>
      <c r="VHF364" s="373">
        <f>'Q100a-geral'!VHF887</f>
        <v>0</v>
      </c>
      <c r="VHG364" s="373">
        <f>'Q100a-geral'!VHG887</f>
        <v>0</v>
      </c>
      <c r="VHH364" s="373">
        <f>'Q100a-geral'!VHH887</f>
        <v>0</v>
      </c>
      <c r="VHI364" s="373">
        <f>'Q100a-geral'!VHI887</f>
        <v>0</v>
      </c>
      <c r="VHJ364" s="373">
        <f>'Q100a-geral'!VHJ887</f>
        <v>0</v>
      </c>
      <c r="VHK364" s="373">
        <f>'Q100a-geral'!VHK887</f>
        <v>0</v>
      </c>
      <c r="VHL364" s="373">
        <f>'Q100a-geral'!VHL887</f>
        <v>0</v>
      </c>
      <c r="VHM364" s="373">
        <f>'Q100a-geral'!VHM887</f>
        <v>0</v>
      </c>
      <c r="VHN364" s="373">
        <f>'Q100a-geral'!VHN887</f>
        <v>0</v>
      </c>
      <c r="VHO364" s="373">
        <f>'Q100a-geral'!VHO887</f>
        <v>0</v>
      </c>
      <c r="VHP364" s="373">
        <f>'Q100a-geral'!VHP887</f>
        <v>0</v>
      </c>
      <c r="VHQ364" s="373">
        <f>'Q100a-geral'!VHQ887</f>
        <v>0</v>
      </c>
      <c r="VHR364" s="373">
        <f>'Q100a-geral'!VHR887</f>
        <v>0</v>
      </c>
      <c r="VHS364" s="373">
        <f>'Q100a-geral'!VHS887</f>
        <v>0</v>
      </c>
      <c r="VHT364" s="373">
        <f>'Q100a-geral'!VHT887</f>
        <v>0</v>
      </c>
      <c r="VHU364" s="373">
        <f>'Q100a-geral'!VHU887</f>
        <v>0</v>
      </c>
      <c r="VHV364" s="373">
        <f>'Q100a-geral'!VHV887</f>
        <v>0</v>
      </c>
      <c r="VHW364" s="373">
        <f>'Q100a-geral'!VHW887</f>
        <v>0</v>
      </c>
      <c r="VHX364" s="373">
        <f>'Q100a-geral'!VHX887</f>
        <v>0</v>
      </c>
      <c r="VHY364" s="373">
        <f>'Q100a-geral'!VHY887</f>
        <v>0</v>
      </c>
      <c r="VHZ364" s="373">
        <f>'Q100a-geral'!VHZ887</f>
        <v>0</v>
      </c>
      <c r="VIA364" s="373">
        <f>'Q100a-geral'!VIA887</f>
        <v>0</v>
      </c>
      <c r="VIB364" s="373">
        <f>'Q100a-geral'!VIB887</f>
        <v>0</v>
      </c>
      <c r="VIC364" s="373">
        <f>'Q100a-geral'!VIC887</f>
        <v>0</v>
      </c>
      <c r="VID364" s="373">
        <f>'Q100a-geral'!VID887</f>
        <v>0</v>
      </c>
      <c r="VIE364" s="373">
        <f>'Q100a-geral'!VIE887</f>
        <v>0</v>
      </c>
      <c r="VIF364" s="373">
        <f>'Q100a-geral'!VIF887</f>
        <v>0</v>
      </c>
      <c r="VIG364" s="373">
        <f>'Q100a-geral'!VIG887</f>
        <v>0</v>
      </c>
      <c r="VIH364" s="373">
        <f>'Q100a-geral'!VIH887</f>
        <v>0</v>
      </c>
      <c r="VII364" s="373">
        <f>'Q100a-geral'!VII887</f>
        <v>0</v>
      </c>
      <c r="VIJ364" s="373">
        <f>'Q100a-geral'!VIJ887</f>
        <v>0</v>
      </c>
      <c r="VIK364" s="373">
        <f>'Q100a-geral'!VIK887</f>
        <v>0</v>
      </c>
      <c r="VIL364" s="373">
        <f>'Q100a-geral'!VIL887</f>
        <v>0</v>
      </c>
      <c r="VIM364" s="373">
        <f>'Q100a-geral'!VIM887</f>
        <v>0</v>
      </c>
      <c r="VIN364" s="373">
        <f>'Q100a-geral'!VIN887</f>
        <v>0</v>
      </c>
      <c r="VIO364" s="373">
        <f>'Q100a-geral'!VIO887</f>
        <v>0</v>
      </c>
      <c r="VIP364" s="373">
        <f>'Q100a-geral'!VIP887</f>
        <v>0</v>
      </c>
      <c r="VIQ364" s="373">
        <f>'Q100a-geral'!VIQ887</f>
        <v>0</v>
      </c>
      <c r="VIR364" s="373">
        <f>'Q100a-geral'!VIR887</f>
        <v>0</v>
      </c>
      <c r="VIS364" s="373">
        <f>'Q100a-geral'!VIS887</f>
        <v>0</v>
      </c>
      <c r="VIT364" s="373">
        <f>'Q100a-geral'!VIT887</f>
        <v>0</v>
      </c>
      <c r="VIU364" s="373">
        <f>'Q100a-geral'!VIU887</f>
        <v>0</v>
      </c>
      <c r="VIV364" s="373">
        <f>'Q100a-geral'!VIV887</f>
        <v>0</v>
      </c>
      <c r="VIW364" s="373">
        <f>'Q100a-geral'!VIW887</f>
        <v>0</v>
      </c>
      <c r="VIX364" s="373">
        <f>'Q100a-geral'!VIX887</f>
        <v>0</v>
      </c>
      <c r="VIY364" s="373">
        <f>'Q100a-geral'!VIY887</f>
        <v>0</v>
      </c>
      <c r="VIZ364" s="373">
        <f>'Q100a-geral'!VIZ887</f>
        <v>0</v>
      </c>
      <c r="VJA364" s="373">
        <f>'Q100a-geral'!VJA887</f>
        <v>0</v>
      </c>
      <c r="VJB364" s="373">
        <f>'Q100a-geral'!VJB887</f>
        <v>0</v>
      </c>
      <c r="VJC364" s="373">
        <f>'Q100a-geral'!VJC887</f>
        <v>0</v>
      </c>
      <c r="VJD364" s="373">
        <f>'Q100a-geral'!VJD887</f>
        <v>0</v>
      </c>
      <c r="VJE364" s="373">
        <f>'Q100a-geral'!VJE887</f>
        <v>0</v>
      </c>
      <c r="VJF364" s="373">
        <f>'Q100a-geral'!VJF887</f>
        <v>0</v>
      </c>
      <c r="VJG364" s="373">
        <f>'Q100a-geral'!VJG887</f>
        <v>0</v>
      </c>
      <c r="VJH364" s="373">
        <f>'Q100a-geral'!VJH887</f>
        <v>0</v>
      </c>
      <c r="VJI364" s="373">
        <f>'Q100a-geral'!VJI887</f>
        <v>0</v>
      </c>
      <c r="VJJ364" s="373">
        <f>'Q100a-geral'!VJJ887</f>
        <v>0</v>
      </c>
      <c r="VJK364" s="373">
        <f>'Q100a-geral'!VJK887</f>
        <v>0</v>
      </c>
      <c r="VJL364" s="373">
        <f>'Q100a-geral'!VJL887</f>
        <v>0</v>
      </c>
      <c r="VJM364" s="373">
        <f>'Q100a-geral'!VJM887</f>
        <v>0</v>
      </c>
      <c r="VJN364" s="373">
        <f>'Q100a-geral'!VJN887</f>
        <v>0</v>
      </c>
      <c r="VJO364" s="373">
        <f>'Q100a-geral'!VJO887</f>
        <v>0</v>
      </c>
      <c r="VJP364" s="373">
        <f>'Q100a-geral'!VJP887</f>
        <v>0</v>
      </c>
      <c r="VJQ364" s="373">
        <f>'Q100a-geral'!VJQ887</f>
        <v>0</v>
      </c>
      <c r="VJR364" s="373">
        <f>'Q100a-geral'!VJR887</f>
        <v>0</v>
      </c>
      <c r="VJS364" s="373">
        <f>'Q100a-geral'!VJS887</f>
        <v>0</v>
      </c>
      <c r="VJT364" s="373">
        <f>'Q100a-geral'!VJT887</f>
        <v>0</v>
      </c>
      <c r="VJU364" s="373">
        <f>'Q100a-geral'!VJU887</f>
        <v>0</v>
      </c>
      <c r="VJV364" s="373">
        <f>'Q100a-geral'!VJV887</f>
        <v>0</v>
      </c>
      <c r="VJW364" s="373">
        <f>'Q100a-geral'!VJW887</f>
        <v>0</v>
      </c>
      <c r="VJX364" s="373">
        <f>'Q100a-geral'!VJX887</f>
        <v>0</v>
      </c>
      <c r="VJY364" s="373">
        <f>'Q100a-geral'!VJY887</f>
        <v>0</v>
      </c>
      <c r="VJZ364" s="373">
        <f>'Q100a-geral'!VJZ887</f>
        <v>0</v>
      </c>
      <c r="VKA364" s="373">
        <f>'Q100a-geral'!VKA887</f>
        <v>0</v>
      </c>
      <c r="VKB364" s="373">
        <f>'Q100a-geral'!VKB887</f>
        <v>0</v>
      </c>
      <c r="VKC364" s="373">
        <f>'Q100a-geral'!VKC887</f>
        <v>0</v>
      </c>
      <c r="VKD364" s="373">
        <f>'Q100a-geral'!VKD887</f>
        <v>0</v>
      </c>
      <c r="VKE364" s="373">
        <f>'Q100a-geral'!VKE887</f>
        <v>0</v>
      </c>
      <c r="VKF364" s="373">
        <f>'Q100a-geral'!VKF887</f>
        <v>0</v>
      </c>
      <c r="VKG364" s="373">
        <f>'Q100a-geral'!VKG887</f>
        <v>0</v>
      </c>
      <c r="VKH364" s="373">
        <f>'Q100a-geral'!VKH887</f>
        <v>0</v>
      </c>
      <c r="VKI364" s="373">
        <f>'Q100a-geral'!VKI887</f>
        <v>0</v>
      </c>
      <c r="VKJ364" s="373">
        <f>'Q100a-geral'!VKJ887</f>
        <v>0</v>
      </c>
      <c r="VKK364" s="373">
        <f>'Q100a-geral'!VKK887</f>
        <v>0</v>
      </c>
      <c r="VKL364" s="373">
        <f>'Q100a-geral'!VKL887</f>
        <v>0</v>
      </c>
      <c r="VKM364" s="373">
        <f>'Q100a-geral'!VKM887</f>
        <v>0</v>
      </c>
      <c r="VKN364" s="373">
        <f>'Q100a-geral'!VKN887</f>
        <v>0</v>
      </c>
      <c r="VKO364" s="373">
        <f>'Q100a-geral'!VKO887</f>
        <v>0</v>
      </c>
      <c r="VKP364" s="373">
        <f>'Q100a-geral'!VKP887</f>
        <v>0</v>
      </c>
      <c r="VKQ364" s="373">
        <f>'Q100a-geral'!VKQ887</f>
        <v>0</v>
      </c>
      <c r="VKR364" s="373">
        <f>'Q100a-geral'!VKR887</f>
        <v>0</v>
      </c>
      <c r="VKS364" s="373">
        <f>'Q100a-geral'!VKS887</f>
        <v>0</v>
      </c>
      <c r="VKT364" s="373">
        <f>'Q100a-geral'!VKT887</f>
        <v>0</v>
      </c>
      <c r="VKU364" s="373">
        <f>'Q100a-geral'!VKU887</f>
        <v>0</v>
      </c>
      <c r="VKV364" s="373">
        <f>'Q100a-geral'!VKV887</f>
        <v>0</v>
      </c>
      <c r="VKW364" s="373">
        <f>'Q100a-geral'!VKW887</f>
        <v>0</v>
      </c>
      <c r="VKX364" s="373">
        <f>'Q100a-geral'!VKX887</f>
        <v>0</v>
      </c>
      <c r="VKY364" s="373">
        <f>'Q100a-geral'!VKY887</f>
        <v>0</v>
      </c>
      <c r="VKZ364" s="373">
        <f>'Q100a-geral'!VKZ887</f>
        <v>0</v>
      </c>
      <c r="VLA364" s="373">
        <f>'Q100a-geral'!VLA887</f>
        <v>0</v>
      </c>
      <c r="VLB364" s="373">
        <f>'Q100a-geral'!VLB887</f>
        <v>0</v>
      </c>
      <c r="VLC364" s="373">
        <f>'Q100a-geral'!VLC887</f>
        <v>0</v>
      </c>
      <c r="VLD364" s="373">
        <f>'Q100a-geral'!VLD887</f>
        <v>0</v>
      </c>
      <c r="VLE364" s="373">
        <f>'Q100a-geral'!VLE887</f>
        <v>0</v>
      </c>
      <c r="VLF364" s="373">
        <f>'Q100a-geral'!VLF887</f>
        <v>0</v>
      </c>
      <c r="VLG364" s="373">
        <f>'Q100a-geral'!VLG887</f>
        <v>0</v>
      </c>
      <c r="VLH364" s="373">
        <f>'Q100a-geral'!VLH887</f>
        <v>0</v>
      </c>
      <c r="VLI364" s="373">
        <f>'Q100a-geral'!VLI887</f>
        <v>0</v>
      </c>
      <c r="VLJ364" s="373">
        <f>'Q100a-geral'!VLJ887</f>
        <v>0</v>
      </c>
      <c r="VLK364" s="373">
        <f>'Q100a-geral'!VLK887</f>
        <v>0</v>
      </c>
      <c r="VLL364" s="373">
        <f>'Q100a-geral'!VLL887</f>
        <v>0</v>
      </c>
      <c r="VLM364" s="373">
        <f>'Q100a-geral'!VLM887</f>
        <v>0</v>
      </c>
      <c r="VLN364" s="373">
        <f>'Q100a-geral'!VLN887</f>
        <v>0</v>
      </c>
      <c r="VLO364" s="373">
        <f>'Q100a-geral'!VLO887</f>
        <v>0</v>
      </c>
      <c r="VLP364" s="373">
        <f>'Q100a-geral'!VLP887</f>
        <v>0</v>
      </c>
      <c r="VLQ364" s="373">
        <f>'Q100a-geral'!VLQ887</f>
        <v>0</v>
      </c>
      <c r="VLR364" s="373">
        <f>'Q100a-geral'!VLR887</f>
        <v>0</v>
      </c>
      <c r="VLS364" s="373">
        <f>'Q100a-geral'!VLS887</f>
        <v>0</v>
      </c>
      <c r="VLT364" s="373">
        <f>'Q100a-geral'!VLT887</f>
        <v>0</v>
      </c>
      <c r="VLU364" s="373">
        <f>'Q100a-geral'!VLU887</f>
        <v>0</v>
      </c>
      <c r="VLV364" s="373">
        <f>'Q100a-geral'!VLV887</f>
        <v>0</v>
      </c>
      <c r="VLW364" s="373">
        <f>'Q100a-geral'!VLW887</f>
        <v>0</v>
      </c>
      <c r="VLX364" s="373">
        <f>'Q100a-geral'!VLX887</f>
        <v>0</v>
      </c>
      <c r="VLY364" s="373">
        <f>'Q100a-geral'!VLY887</f>
        <v>0</v>
      </c>
      <c r="VLZ364" s="373">
        <f>'Q100a-geral'!VLZ887</f>
        <v>0</v>
      </c>
      <c r="VMA364" s="373">
        <f>'Q100a-geral'!VMA887</f>
        <v>0</v>
      </c>
      <c r="VMB364" s="373">
        <f>'Q100a-geral'!VMB887</f>
        <v>0</v>
      </c>
      <c r="VMC364" s="373">
        <f>'Q100a-geral'!VMC887</f>
        <v>0</v>
      </c>
      <c r="VMD364" s="373">
        <f>'Q100a-geral'!VMD887</f>
        <v>0</v>
      </c>
      <c r="VME364" s="373">
        <f>'Q100a-geral'!VME887</f>
        <v>0</v>
      </c>
      <c r="VMF364" s="373">
        <f>'Q100a-geral'!VMF887</f>
        <v>0</v>
      </c>
      <c r="VMG364" s="373">
        <f>'Q100a-geral'!VMG887</f>
        <v>0</v>
      </c>
      <c r="VMH364" s="373">
        <f>'Q100a-geral'!VMH887</f>
        <v>0</v>
      </c>
      <c r="VMI364" s="373">
        <f>'Q100a-geral'!VMI887</f>
        <v>0</v>
      </c>
      <c r="VMJ364" s="373">
        <f>'Q100a-geral'!VMJ887</f>
        <v>0</v>
      </c>
      <c r="VMK364" s="373">
        <f>'Q100a-geral'!VMK887</f>
        <v>0</v>
      </c>
      <c r="VML364" s="373">
        <f>'Q100a-geral'!VML887</f>
        <v>0</v>
      </c>
      <c r="VMM364" s="373">
        <f>'Q100a-geral'!VMM887</f>
        <v>0</v>
      </c>
      <c r="VMN364" s="373">
        <f>'Q100a-geral'!VMN887</f>
        <v>0</v>
      </c>
      <c r="VMO364" s="373">
        <f>'Q100a-geral'!VMO887</f>
        <v>0</v>
      </c>
      <c r="VMP364" s="373">
        <f>'Q100a-geral'!VMP887</f>
        <v>0</v>
      </c>
      <c r="VMQ364" s="373">
        <f>'Q100a-geral'!VMQ887</f>
        <v>0</v>
      </c>
      <c r="VMR364" s="373">
        <f>'Q100a-geral'!VMR887</f>
        <v>0</v>
      </c>
      <c r="VMS364" s="373">
        <f>'Q100a-geral'!VMS887</f>
        <v>0</v>
      </c>
      <c r="VMT364" s="373">
        <f>'Q100a-geral'!VMT887</f>
        <v>0</v>
      </c>
      <c r="VMU364" s="373">
        <f>'Q100a-geral'!VMU887</f>
        <v>0</v>
      </c>
      <c r="VMV364" s="373">
        <f>'Q100a-geral'!VMV887</f>
        <v>0</v>
      </c>
      <c r="VMW364" s="373">
        <f>'Q100a-geral'!VMW887</f>
        <v>0</v>
      </c>
      <c r="VMX364" s="373">
        <f>'Q100a-geral'!VMX887</f>
        <v>0</v>
      </c>
      <c r="VMY364" s="373">
        <f>'Q100a-geral'!VMY887</f>
        <v>0</v>
      </c>
      <c r="VMZ364" s="373">
        <f>'Q100a-geral'!VMZ887</f>
        <v>0</v>
      </c>
      <c r="VNA364" s="373">
        <f>'Q100a-geral'!VNA887</f>
        <v>0</v>
      </c>
      <c r="VNB364" s="373">
        <f>'Q100a-geral'!VNB887</f>
        <v>0</v>
      </c>
      <c r="VNC364" s="373">
        <f>'Q100a-geral'!VNC887</f>
        <v>0</v>
      </c>
      <c r="VND364" s="373">
        <f>'Q100a-geral'!VND887</f>
        <v>0</v>
      </c>
      <c r="VNE364" s="373">
        <f>'Q100a-geral'!VNE887</f>
        <v>0</v>
      </c>
      <c r="VNF364" s="373">
        <f>'Q100a-geral'!VNF887</f>
        <v>0</v>
      </c>
      <c r="VNG364" s="373">
        <f>'Q100a-geral'!VNG887</f>
        <v>0</v>
      </c>
      <c r="VNH364" s="373">
        <f>'Q100a-geral'!VNH887</f>
        <v>0</v>
      </c>
      <c r="VNI364" s="373">
        <f>'Q100a-geral'!VNI887</f>
        <v>0</v>
      </c>
      <c r="VNJ364" s="373">
        <f>'Q100a-geral'!VNJ887</f>
        <v>0</v>
      </c>
      <c r="VNK364" s="373">
        <f>'Q100a-geral'!VNK887</f>
        <v>0</v>
      </c>
      <c r="VNL364" s="373">
        <f>'Q100a-geral'!VNL887</f>
        <v>0</v>
      </c>
      <c r="VNM364" s="373">
        <f>'Q100a-geral'!VNM887</f>
        <v>0</v>
      </c>
      <c r="VNN364" s="373">
        <f>'Q100a-geral'!VNN887</f>
        <v>0</v>
      </c>
      <c r="VNO364" s="373">
        <f>'Q100a-geral'!VNO887</f>
        <v>0</v>
      </c>
      <c r="VNP364" s="373">
        <f>'Q100a-geral'!VNP887</f>
        <v>0</v>
      </c>
      <c r="VNQ364" s="373">
        <f>'Q100a-geral'!VNQ887</f>
        <v>0</v>
      </c>
      <c r="VNR364" s="373">
        <f>'Q100a-geral'!VNR887</f>
        <v>0</v>
      </c>
      <c r="VNS364" s="373">
        <f>'Q100a-geral'!VNS887</f>
        <v>0</v>
      </c>
      <c r="VNT364" s="373">
        <f>'Q100a-geral'!VNT887</f>
        <v>0</v>
      </c>
      <c r="VNU364" s="373">
        <f>'Q100a-geral'!VNU887</f>
        <v>0</v>
      </c>
      <c r="VNV364" s="373">
        <f>'Q100a-geral'!VNV887</f>
        <v>0</v>
      </c>
      <c r="VNW364" s="373">
        <f>'Q100a-geral'!VNW887</f>
        <v>0</v>
      </c>
      <c r="VNX364" s="373">
        <f>'Q100a-geral'!VNX887</f>
        <v>0</v>
      </c>
      <c r="VNY364" s="373">
        <f>'Q100a-geral'!VNY887</f>
        <v>0</v>
      </c>
      <c r="VNZ364" s="373">
        <f>'Q100a-geral'!VNZ887</f>
        <v>0</v>
      </c>
      <c r="VOA364" s="373">
        <f>'Q100a-geral'!VOA887</f>
        <v>0</v>
      </c>
      <c r="VOB364" s="373">
        <f>'Q100a-geral'!VOB887</f>
        <v>0</v>
      </c>
      <c r="VOC364" s="373">
        <f>'Q100a-geral'!VOC887</f>
        <v>0</v>
      </c>
      <c r="VOD364" s="373">
        <f>'Q100a-geral'!VOD887</f>
        <v>0</v>
      </c>
      <c r="VOE364" s="373">
        <f>'Q100a-geral'!VOE887</f>
        <v>0</v>
      </c>
      <c r="VOF364" s="373">
        <f>'Q100a-geral'!VOF887</f>
        <v>0</v>
      </c>
      <c r="VOG364" s="373">
        <f>'Q100a-geral'!VOG887</f>
        <v>0</v>
      </c>
      <c r="VOH364" s="373">
        <f>'Q100a-geral'!VOH887</f>
        <v>0</v>
      </c>
      <c r="VOI364" s="373">
        <f>'Q100a-geral'!VOI887</f>
        <v>0</v>
      </c>
      <c r="VOJ364" s="373">
        <f>'Q100a-geral'!VOJ887</f>
        <v>0</v>
      </c>
      <c r="VOK364" s="373">
        <f>'Q100a-geral'!VOK887</f>
        <v>0</v>
      </c>
      <c r="VOL364" s="373">
        <f>'Q100a-geral'!VOL887</f>
        <v>0</v>
      </c>
      <c r="VOM364" s="373">
        <f>'Q100a-geral'!VOM887</f>
        <v>0</v>
      </c>
      <c r="VON364" s="373">
        <f>'Q100a-geral'!VON887</f>
        <v>0</v>
      </c>
      <c r="VOO364" s="373">
        <f>'Q100a-geral'!VOO887</f>
        <v>0</v>
      </c>
      <c r="VOP364" s="373">
        <f>'Q100a-geral'!VOP887</f>
        <v>0</v>
      </c>
      <c r="VOQ364" s="373">
        <f>'Q100a-geral'!VOQ887</f>
        <v>0</v>
      </c>
      <c r="VOR364" s="373">
        <f>'Q100a-geral'!VOR887</f>
        <v>0</v>
      </c>
      <c r="VOS364" s="373">
        <f>'Q100a-geral'!VOS887</f>
        <v>0</v>
      </c>
      <c r="VOT364" s="373">
        <f>'Q100a-geral'!VOT887</f>
        <v>0</v>
      </c>
      <c r="VOU364" s="373">
        <f>'Q100a-geral'!VOU887</f>
        <v>0</v>
      </c>
      <c r="VOV364" s="373">
        <f>'Q100a-geral'!VOV887</f>
        <v>0</v>
      </c>
      <c r="VOW364" s="373">
        <f>'Q100a-geral'!VOW887</f>
        <v>0</v>
      </c>
      <c r="VOX364" s="373">
        <f>'Q100a-geral'!VOX887</f>
        <v>0</v>
      </c>
      <c r="VOY364" s="373">
        <f>'Q100a-geral'!VOY887</f>
        <v>0</v>
      </c>
      <c r="VOZ364" s="373">
        <f>'Q100a-geral'!VOZ887</f>
        <v>0</v>
      </c>
      <c r="VPA364" s="373">
        <f>'Q100a-geral'!VPA887</f>
        <v>0</v>
      </c>
      <c r="VPB364" s="373">
        <f>'Q100a-geral'!VPB887</f>
        <v>0</v>
      </c>
      <c r="VPC364" s="373">
        <f>'Q100a-geral'!VPC887</f>
        <v>0</v>
      </c>
      <c r="VPD364" s="373">
        <f>'Q100a-geral'!VPD887</f>
        <v>0</v>
      </c>
      <c r="VPE364" s="373">
        <f>'Q100a-geral'!VPE887</f>
        <v>0</v>
      </c>
      <c r="VPF364" s="373">
        <f>'Q100a-geral'!VPF887</f>
        <v>0</v>
      </c>
      <c r="VPG364" s="373">
        <f>'Q100a-geral'!VPG887</f>
        <v>0</v>
      </c>
      <c r="VPH364" s="373">
        <f>'Q100a-geral'!VPH887</f>
        <v>0</v>
      </c>
      <c r="VPI364" s="373">
        <f>'Q100a-geral'!VPI887</f>
        <v>0</v>
      </c>
      <c r="VPJ364" s="373">
        <f>'Q100a-geral'!VPJ887</f>
        <v>0</v>
      </c>
      <c r="VPK364" s="373">
        <f>'Q100a-geral'!VPK887</f>
        <v>0</v>
      </c>
      <c r="VPL364" s="373">
        <f>'Q100a-geral'!VPL887</f>
        <v>0</v>
      </c>
      <c r="VPM364" s="373">
        <f>'Q100a-geral'!VPM887</f>
        <v>0</v>
      </c>
      <c r="VPN364" s="373">
        <f>'Q100a-geral'!VPN887</f>
        <v>0</v>
      </c>
      <c r="VPO364" s="373">
        <f>'Q100a-geral'!VPO887</f>
        <v>0</v>
      </c>
      <c r="VPP364" s="373">
        <f>'Q100a-geral'!VPP887</f>
        <v>0</v>
      </c>
      <c r="VPQ364" s="373">
        <f>'Q100a-geral'!VPQ887</f>
        <v>0</v>
      </c>
      <c r="VPR364" s="373">
        <f>'Q100a-geral'!VPR887</f>
        <v>0</v>
      </c>
      <c r="VPS364" s="373">
        <f>'Q100a-geral'!VPS887</f>
        <v>0</v>
      </c>
      <c r="VPT364" s="373">
        <f>'Q100a-geral'!VPT887</f>
        <v>0</v>
      </c>
      <c r="VPU364" s="373">
        <f>'Q100a-geral'!VPU887</f>
        <v>0</v>
      </c>
      <c r="VPV364" s="373">
        <f>'Q100a-geral'!VPV887</f>
        <v>0</v>
      </c>
      <c r="VPW364" s="373">
        <f>'Q100a-geral'!VPW887</f>
        <v>0</v>
      </c>
      <c r="VPX364" s="373">
        <f>'Q100a-geral'!VPX887</f>
        <v>0</v>
      </c>
      <c r="VPY364" s="373">
        <f>'Q100a-geral'!VPY887</f>
        <v>0</v>
      </c>
      <c r="VPZ364" s="373">
        <f>'Q100a-geral'!VPZ887</f>
        <v>0</v>
      </c>
      <c r="VQA364" s="373">
        <f>'Q100a-geral'!VQA887</f>
        <v>0</v>
      </c>
      <c r="VQB364" s="373">
        <f>'Q100a-geral'!VQB887</f>
        <v>0</v>
      </c>
      <c r="VQC364" s="373">
        <f>'Q100a-geral'!VQC887</f>
        <v>0</v>
      </c>
      <c r="VQD364" s="373">
        <f>'Q100a-geral'!VQD887</f>
        <v>0</v>
      </c>
      <c r="VQE364" s="373">
        <f>'Q100a-geral'!VQE887</f>
        <v>0</v>
      </c>
      <c r="VQF364" s="373">
        <f>'Q100a-geral'!VQF887</f>
        <v>0</v>
      </c>
      <c r="VQG364" s="373">
        <f>'Q100a-geral'!VQG887</f>
        <v>0</v>
      </c>
      <c r="VQH364" s="373">
        <f>'Q100a-geral'!VQH887</f>
        <v>0</v>
      </c>
      <c r="VQI364" s="373">
        <f>'Q100a-geral'!VQI887</f>
        <v>0</v>
      </c>
      <c r="VQJ364" s="373">
        <f>'Q100a-geral'!VQJ887</f>
        <v>0</v>
      </c>
      <c r="VQK364" s="373">
        <f>'Q100a-geral'!VQK887</f>
        <v>0</v>
      </c>
      <c r="VQL364" s="373">
        <f>'Q100a-geral'!VQL887</f>
        <v>0</v>
      </c>
      <c r="VQM364" s="373">
        <f>'Q100a-geral'!VQM887</f>
        <v>0</v>
      </c>
      <c r="VQN364" s="373">
        <f>'Q100a-geral'!VQN887</f>
        <v>0</v>
      </c>
      <c r="VQO364" s="373">
        <f>'Q100a-geral'!VQO887</f>
        <v>0</v>
      </c>
      <c r="VQP364" s="373">
        <f>'Q100a-geral'!VQP887</f>
        <v>0</v>
      </c>
      <c r="VQQ364" s="373">
        <f>'Q100a-geral'!VQQ887</f>
        <v>0</v>
      </c>
      <c r="VQR364" s="373">
        <f>'Q100a-geral'!VQR887</f>
        <v>0</v>
      </c>
      <c r="VQS364" s="373">
        <f>'Q100a-geral'!VQS887</f>
        <v>0</v>
      </c>
      <c r="VQT364" s="373">
        <f>'Q100a-geral'!VQT887</f>
        <v>0</v>
      </c>
      <c r="VQU364" s="373">
        <f>'Q100a-geral'!VQU887</f>
        <v>0</v>
      </c>
      <c r="VQV364" s="373">
        <f>'Q100a-geral'!VQV887</f>
        <v>0</v>
      </c>
      <c r="VQW364" s="373">
        <f>'Q100a-geral'!VQW887</f>
        <v>0</v>
      </c>
      <c r="VQX364" s="373">
        <f>'Q100a-geral'!VQX887</f>
        <v>0</v>
      </c>
      <c r="VQY364" s="373">
        <f>'Q100a-geral'!VQY887</f>
        <v>0</v>
      </c>
      <c r="VQZ364" s="373">
        <f>'Q100a-geral'!VQZ887</f>
        <v>0</v>
      </c>
      <c r="VRA364" s="373">
        <f>'Q100a-geral'!VRA887</f>
        <v>0</v>
      </c>
      <c r="VRB364" s="373">
        <f>'Q100a-geral'!VRB887</f>
        <v>0</v>
      </c>
      <c r="VRC364" s="373">
        <f>'Q100a-geral'!VRC887</f>
        <v>0</v>
      </c>
      <c r="VRD364" s="373">
        <f>'Q100a-geral'!VRD887</f>
        <v>0</v>
      </c>
      <c r="VRE364" s="373">
        <f>'Q100a-geral'!VRE887</f>
        <v>0</v>
      </c>
      <c r="VRF364" s="373">
        <f>'Q100a-geral'!VRF887</f>
        <v>0</v>
      </c>
      <c r="VRG364" s="373">
        <f>'Q100a-geral'!VRG887</f>
        <v>0</v>
      </c>
      <c r="VRH364" s="373">
        <f>'Q100a-geral'!VRH887</f>
        <v>0</v>
      </c>
      <c r="VRI364" s="373">
        <f>'Q100a-geral'!VRI887</f>
        <v>0</v>
      </c>
      <c r="VRJ364" s="373">
        <f>'Q100a-geral'!VRJ887</f>
        <v>0</v>
      </c>
      <c r="VRK364" s="373">
        <f>'Q100a-geral'!VRK887</f>
        <v>0</v>
      </c>
      <c r="VRL364" s="373">
        <f>'Q100a-geral'!VRL887</f>
        <v>0</v>
      </c>
      <c r="VRM364" s="373">
        <f>'Q100a-geral'!VRM887</f>
        <v>0</v>
      </c>
      <c r="VRN364" s="373">
        <f>'Q100a-geral'!VRN887</f>
        <v>0</v>
      </c>
      <c r="VRO364" s="373">
        <f>'Q100a-geral'!VRO887</f>
        <v>0</v>
      </c>
      <c r="VRP364" s="373">
        <f>'Q100a-geral'!VRP887</f>
        <v>0</v>
      </c>
      <c r="VRQ364" s="373">
        <f>'Q100a-geral'!VRQ887</f>
        <v>0</v>
      </c>
      <c r="VRR364" s="373">
        <f>'Q100a-geral'!VRR887</f>
        <v>0</v>
      </c>
      <c r="VRS364" s="373">
        <f>'Q100a-geral'!VRS887</f>
        <v>0</v>
      </c>
      <c r="VRT364" s="373">
        <f>'Q100a-geral'!VRT887</f>
        <v>0</v>
      </c>
      <c r="VRU364" s="373">
        <f>'Q100a-geral'!VRU887</f>
        <v>0</v>
      </c>
      <c r="VRV364" s="373">
        <f>'Q100a-geral'!VRV887</f>
        <v>0</v>
      </c>
      <c r="VRW364" s="373">
        <f>'Q100a-geral'!VRW887</f>
        <v>0</v>
      </c>
      <c r="VRX364" s="373">
        <f>'Q100a-geral'!VRX887</f>
        <v>0</v>
      </c>
      <c r="VRY364" s="373">
        <f>'Q100a-geral'!VRY887</f>
        <v>0</v>
      </c>
      <c r="VRZ364" s="373">
        <f>'Q100a-geral'!VRZ887</f>
        <v>0</v>
      </c>
      <c r="VSA364" s="373">
        <f>'Q100a-geral'!VSA887</f>
        <v>0</v>
      </c>
      <c r="VSB364" s="373">
        <f>'Q100a-geral'!VSB887</f>
        <v>0</v>
      </c>
      <c r="VSC364" s="373">
        <f>'Q100a-geral'!VSC887</f>
        <v>0</v>
      </c>
      <c r="VSD364" s="373">
        <f>'Q100a-geral'!VSD887</f>
        <v>0</v>
      </c>
      <c r="VSE364" s="373">
        <f>'Q100a-geral'!VSE887</f>
        <v>0</v>
      </c>
      <c r="VSF364" s="373">
        <f>'Q100a-geral'!VSF887</f>
        <v>0</v>
      </c>
      <c r="VSG364" s="373">
        <f>'Q100a-geral'!VSG887</f>
        <v>0</v>
      </c>
      <c r="VSH364" s="373">
        <f>'Q100a-geral'!VSH887</f>
        <v>0</v>
      </c>
      <c r="VSI364" s="373">
        <f>'Q100a-geral'!VSI887</f>
        <v>0</v>
      </c>
      <c r="VSJ364" s="373">
        <f>'Q100a-geral'!VSJ887</f>
        <v>0</v>
      </c>
      <c r="VSK364" s="373">
        <f>'Q100a-geral'!VSK887</f>
        <v>0</v>
      </c>
      <c r="VSL364" s="373">
        <f>'Q100a-geral'!VSL887</f>
        <v>0</v>
      </c>
      <c r="VSM364" s="373">
        <f>'Q100a-geral'!VSM887</f>
        <v>0</v>
      </c>
      <c r="VSN364" s="373">
        <f>'Q100a-geral'!VSN887</f>
        <v>0</v>
      </c>
      <c r="VSO364" s="373">
        <f>'Q100a-geral'!VSO887</f>
        <v>0</v>
      </c>
      <c r="VSP364" s="373">
        <f>'Q100a-geral'!VSP887</f>
        <v>0</v>
      </c>
      <c r="VSQ364" s="373">
        <f>'Q100a-geral'!VSQ887</f>
        <v>0</v>
      </c>
      <c r="VSR364" s="373">
        <f>'Q100a-geral'!VSR887</f>
        <v>0</v>
      </c>
      <c r="VSS364" s="373">
        <f>'Q100a-geral'!VSS887</f>
        <v>0</v>
      </c>
      <c r="VST364" s="373">
        <f>'Q100a-geral'!VST887</f>
        <v>0</v>
      </c>
      <c r="VSU364" s="373">
        <f>'Q100a-geral'!VSU887</f>
        <v>0</v>
      </c>
      <c r="VSV364" s="373">
        <f>'Q100a-geral'!VSV887</f>
        <v>0</v>
      </c>
      <c r="VSW364" s="373">
        <f>'Q100a-geral'!VSW887</f>
        <v>0</v>
      </c>
      <c r="VSX364" s="373">
        <f>'Q100a-geral'!VSX887</f>
        <v>0</v>
      </c>
      <c r="VSY364" s="373">
        <f>'Q100a-geral'!VSY887</f>
        <v>0</v>
      </c>
      <c r="VSZ364" s="373">
        <f>'Q100a-geral'!VSZ887</f>
        <v>0</v>
      </c>
      <c r="VTA364" s="373">
        <f>'Q100a-geral'!VTA887</f>
        <v>0</v>
      </c>
      <c r="VTB364" s="373">
        <f>'Q100a-geral'!VTB887</f>
        <v>0</v>
      </c>
      <c r="VTC364" s="373">
        <f>'Q100a-geral'!VTC887</f>
        <v>0</v>
      </c>
      <c r="VTD364" s="373">
        <f>'Q100a-geral'!VTD887</f>
        <v>0</v>
      </c>
      <c r="VTE364" s="373">
        <f>'Q100a-geral'!VTE887</f>
        <v>0</v>
      </c>
      <c r="VTF364" s="373">
        <f>'Q100a-geral'!VTF887</f>
        <v>0</v>
      </c>
      <c r="VTG364" s="373">
        <f>'Q100a-geral'!VTG887</f>
        <v>0</v>
      </c>
      <c r="VTH364" s="373">
        <f>'Q100a-geral'!VTH887</f>
        <v>0</v>
      </c>
      <c r="VTI364" s="373">
        <f>'Q100a-geral'!VTI887</f>
        <v>0</v>
      </c>
      <c r="VTJ364" s="373">
        <f>'Q100a-geral'!VTJ887</f>
        <v>0</v>
      </c>
      <c r="VTK364" s="373">
        <f>'Q100a-geral'!VTK887</f>
        <v>0</v>
      </c>
      <c r="VTL364" s="373">
        <f>'Q100a-geral'!VTL887</f>
        <v>0</v>
      </c>
      <c r="VTM364" s="373">
        <f>'Q100a-geral'!VTM887</f>
        <v>0</v>
      </c>
      <c r="VTN364" s="373">
        <f>'Q100a-geral'!VTN887</f>
        <v>0</v>
      </c>
      <c r="VTO364" s="373">
        <f>'Q100a-geral'!VTO887</f>
        <v>0</v>
      </c>
      <c r="VTP364" s="373">
        <f>'Q100a-geral'!VTP887</f>
        <v>0</v>
      </c>
      <c r="VTQ364" s="373">
        <f>'Q100a-geral'!VTQ887</f>
        <v>0</v>
      </c>
      <c r="VTR364" s="373">
        <f>'Q100a-geral'!VTR887</f>
        <v>0</v>
      </c>
      <c r="VTS364" s="373">
        <f>'Q100a-geral'!VTS887</f>
        <v>0</v>
      </c>
      <c r="VTT364" s="373">
        <f>'Q100a-geral'!VTT887</f>
        <v>0</v>
      </c>
      <c r="VTU364" s="373">
        <f>'Q100a-geral'!VTU887</f>
        <v>0</v>
      </c>
      <c r="VTV364" s="373">
        <f>'Q100a-geral'!VTV887</f>
        <v>0</v>
      </c>
      <c r="VTW364" s="373">
        <f>'Q100a-geral'!VTW887</f>
        <v>0</v>
      </c>
      <c r="VTX364" s="373">
        <f>'Q100a-geral'!VTX887</f>
        <v>0</v>
      </c>
      <c r="VTY364" s="373">
        <f>'Q100a-geral'!VTY887</f>
        <v>0</v>
      </c>
      <c r="VTZ364" s="373">
        <f>'Q100a-geral'!VTZ887</f>
        <v>0</v>
      </c>
      <c r="VUA364" s="373">
        <f>'Q100a-geral'!VUA887</f>
        <v>0</v>
      </c>
      <c r="VUB364" s="373">
        <f>'Q100a-geral'!VUB887</f>
        <v>0</v>
      </c>
      <c r="VUC364" s="373">
        <f>'Q100a-geral'!VUC887</f>
        <v>0</v>
      </c>
      <c r="VUD364" s="373">
        <f>'Q100a-geral'!VUD887</f>
        <v>0</v>
      </c>
      <c r="VUE364" s="373">
        <f>'Q100a-geral'!VUE887</f>
        <v>0</v>
      </c>
      <c r="VUF364" s="373">
        <f>'Q100a-geral'!VUF887</f>
        <v>0</v>
      </c>
      <c r="VUG364" s="373">
        <f>'Q100a-geral'!VUG887</f>
        <v>0</v>
      </c>
      <c r="VUH364" s="373">
        <f>'Q100a-geral'!VUH887</f>
        <v>0</v>
      </c>
      <c r="VUI364" s="373">
        <f>'Q100a-geral'!VUI887</f>
        <v>0</v>
      </c>
      <c r="VUJ364" s="373">
        <f>'Q100a-geral'!VUJ887</f>
        <v>0</v>
      </c>
      <c r="VUK364" s="373">
        <f>'Q100a-geral'!VUK887</f>
        <v>0</v>
      </c>
      <c r="VUL364" s="373">
        <f>'Q100a-geral'!VUL887</f>
        <v>0</v>
      </c>
      <c r="VUM364" s="373">
        <f>'Q100a-geral'!VUM887</f>
        <v>0</v>
      </c>
      <c r="VUN364" s="373">
        <f>'Q100a-geral'!VUN887</f>
        <v>0</v>
      </c>
      <c r="VUO364" s="373">
        <f>'Q100a-geral'!VUO887</f>
        <v>0</v>
      </c>
      <c r="VUP364" s="373">
        <f>'Q100a-geral'!VUP887</f>
        <v>0</v>
      </c>
      <c r="VUQ364" s="373">
        <f>'Q100a-geral'!VUQ887</f>
        <v>0</v>
      </c>
      <c r="VUR364" s="373">
        <f>'Q100a-geral'!VUR887</f>
        <v>0</v>
      </c>
      <c r="VUS364" s="373">
        <f>'Q100a-geral'!VUS887</f>
        <v>0</v>
      </c>
      <c r="VUT364" s="373">
        <f>'Q100a-geral'!VUT887</f>
        <v>0</v>
      </c>
      <c r="VUU364" s="373">
        <f>'Q100a-geral'!VUU887</f>
        <v>0</v>
      </c>
      <c r="VUV364" s="373">
        <f>'Q100a-geral'!VUV887</f>
        <v>0</v>
      </c>
      <c r="VUW364" s="373">
        <f>'Q100a-geral'!VUW887</f>
        <v>0</v>
      </c>
      <c r="VUX364" s="373">
        <f>'Q100a-geral'!VUX887</f>
        <v>0</v>
      </c>
      <c r="VUY364" s="373">
        <f>'Q100a-geral'!VUY887</f>
        <v>0</v>
      </c>
      <c r="VUZ364" s="373">
        <f>'Q100a-geral'!VUZ887</f>
        <v>0</v>
      </c>
      <c r="VVA364" s="373">
        <f>'Q100a-geral'!VVA887</f>
        <v>0</v>
      </c>
      <c r="VVB364" s="373">
        <f>'Q100a-geral'!VVB887</f>
        <v>0</v>
      </c>
      <c r="VVC364" s="373">
        <f>'Q100a-geral'!VVC887</f>
        <v>0</v>
      </c>
      <c r="VVD364" s="373">
        <f>'Q100a-geral'!VVD887</f>
        <v>0</v>
      </c>
      <c r="VVE364" s="373">
        <f>'Q100a-geral'!VVE887</f>
        <v>0</v>
      </c>
      <c r="VVF364" s="373">
        <f>'Q100a-geral'!VVF887</f>
        <v>0</v>
      </c>
      <c r="VVG364" s="373">
        <f>'Q100a-geral'!VVG887</f>
        <v>0</v>
      </c>
      <c r="VVH364" s="373">
        <f>'Q100a-geral'!VVH887</f>
        <v>0</v>
      </c>
      <c r="VVI364" s="373">
        <f>'Q100a-geral'!VVI887</f>
        <v>0</v>
      </c>
      <c r="VVJ364" s="373">
        <f>'Q100a-geral'!VVJ887</f>
        <v>0</v>
      </c>
      <c r="VVK364" s="373">
        <f>'Q100a-geral'!VVK887</f>
        <v>0</v>
      </c>
      <c r="VVL364" s="373">
        <f>'Q100a-geral'!VVL887</f>
        <v>0</v>
      </c>
      <c r="VVM364" s="373">
        <f>'Q100a-geral'!VVM887</f>
        <v>0</v>
      </c>
      <c r="VVN364" s="373">
        <f>'Q100a-geral'!VVN887</f>
        <v>0</v>
      </c>
      <c r="VVO364" s="373">
        <f>'Q100a-geral'!VVO887</f>
        <v>0</v>
      </c>
      <c r="VVP364" s="373">
        <f>'Q100a-geral'!VVP887</f>
        <v>0</v>
      </c>
      <c r="VVQ364" s="373">
        <f>'Q100a-geral'!VVQ887</f>
        <v>0</v>
      </c>
      <c r="VVR364" s="373">
        <f>'Q100a-geral'!VVR887</f>
        <v>0</v>
      </c>
      <c r="VVS364" s="373">
        <f>'Q100a-geral'!VVS887</f>
        <v>0</v>
      </c>
      <c r="VVT364" s="373">
        <f>'Q100a-geral'!VVT887</f>
        <v>0</v>
      </c>
      <c r="VVU364" s="373">
        <f>'Q100a-geral'!VVU887</f>
        <v>0</v>
      </c>
      <c r="VVV364" s="373">
        <f>'Q100a-geral'!VVV887</f>
        <v>0</v>
      </c>
      <c r="VVW364" s="373">
        <f>'Q100a-geral'!VVW887</f>
        <v>0</v>
      </c>
      <c r="VVX364" s="373">
        <f>'Q100a-geral'!VVX887</f>
        <v>0</v>
      </c>
      <c r="VVY364" s="373">
        <f>'Q100a-geral'!VVY887</f>
        <v>0</v>
      </c>
      <c r="VVZ364" s="373">
        <f>'Q100a-geral'!VVZ887</f>
        <v>0</v>
      </c>
      <c r="VWA364" s="373">
        <f>'Q100a-geral'!VWA887</f>
        <v>0</v>
      </c>
      <c r="VWB364" s="373">
        <f>'Q100a-geral'!VWB887</f>
        <v>0</v>
      </c>
      <c r="VWC364" s="373">
        <f>'Q100a-geral'!VWC887</f>
        <v>0</v>
      </c>
      <c r="VWD364" s="373">
        <f>'Q100a-geral'!VWD887</f>
        <v>0</v>
      </c>
      <c r="VWE364" s="373">
        <f>'Q100a-geral'!VWE887</f>
        <v>0</v>
      </c>
      <c r="VWF364" s="373">
        <f>'Q100a-geral'!VWF887</f>
        <v>0</v>
      </c>
      <c r="VWG364" s="373">
        <f>'Q100a-geral'!VWG887</f>
        <v>0</v>
      </c>
      <c r="VWH364" s="373">
        <f>'Q100a-geral'!VWH887</f>
        <v>0</v>
      </c>
      <c r="VWI364" s="373">
        <f>'Q100a-geral'!VWI887</f>
        <v>0</v>
      </c>
      <c r="VWJ364" s="373">
        <f>'Q100a-geral'!VWJ887</f>
        <v>0</v>
      </c>
      <c r="VWK364" s="373">
        <f>'Q100a-geral'!VWK887</f>
        <v>0</v>
      </c>
      <c r="VWL364" s="373">
        <f>'Q100a-geral'!VWL887</f>
        <v>0</v>
      </c>
      <c r="VWM364" s="373">
        <f>'Q100a-geral'!VWM887</f>
        <v>0</v>
      </c>
      <c r="VWN364" s="373">
        <f>'Q100a-geral'!VWN887</f>
        <v>0</v>
      </c>
      <c r="VWO364" s="373">
        <f>'Q100a-geral'!VWO887</f>
        <v>0</v>
      </c>
      <c r="VWP364" s="373">
        <f>'Q100a-geral'!VWP887</f>
        <v>0</v>
      </c>
      <c r="VWQ364" s="373">
        <f>'Q100a-geral'!VWQ887</f>
        <v>0</v>
      </c>
      <c r="VWR364" s="373">
        <f>'Q100a-geral'!VWR887</f>
        <v>0</v>
      </c>
      <c r="VWS364" s="373">
        <f>'Q100a-geral'!VWS887</f>
        <v>0</v>
      </c>
      <c r="VWT364" s="373">
        <f>'Q100a-geral'!VWT887</f>
        <v>0</v>
      </c>
      <c r="VWU364" s="373">
        <f>'Q100a-geral'!VWU887</f>
        <v>0</v>
      </c>
      <c r="VWV364" s="373">
        <f>'Q100a-geral'!VWV887</f>
        <v>0</v>
      </c>
      <c r="VWW364" s="373">
        <f>'Q100a-geral'!VWW887</f>
        <v>0</v>
      </c>
      <c r="VWX364" s="373">
        <f>'Q100a-geral'!VWX887</f>
        <v>0</v>
      </c>
      <c r="VWY364" s="373">
        <f>'Q100a-geral'!VWY887</f>
        <v>0</v>
      </c>
      <c r="VWZ364" s="373">
        <f>'Q100a-geral'!VWZ887</f>
        <v>0</v>
      </c>
      <c r="VXA364" s="373">
        <f>'Q100a-geral'!VXA887</f>
        <v>0</v>
      </c>
      <c r="VXB364" s="373">
        <f>'Q100a-geral'!VXB887</f>
        <v>0</v>
      </c>
      <c r="VXC364" s="373">
        <f>'Q100a-geral'!VXC887</f>
        <v>0</v>
      </c>
      <c r="VXD364" s="373">
        <f>'Q100a-geral'!VXD887</f>
        <v>0</v>
      </c>
      <c r="VXE364" s="373">
        <f>'Q100a-geral'!VXE887</f>
        <v>0</v>
      </c>
      <c r="VXF364" s="373">
        <f>'Q100a-geral'!VXF887</f>
        <v>0</v>
      </c>
      <c r="VXG364" s="373">
        <f>'Q100a-geral'!VXG887</f>
        <v>0</v>
      </c>
      <c r="VXH364" s="373">
        <f>'Q100a-geral'!VXH887</f>
        <v>0</v>
      </c>
      <c r="VXI364" s="373">
        <f>'Q100a-geral'!VXI887</f>
        <v>0</v>
      </c>
      <c r="VXJ364" s="373">
        <f>'Q100a-geral'!VXJ887</f>
        <v>0</v>
      </c>
      <c r="VXK364" s="373">
        <f>'Q100a-geral'!VXK887</f>
        <v>0</v>
      </c>
      <c r="VXL364" s="373">
        <f>'Q100a-geral'!VXL887</f>
        <v>0</v>
      </c>
      <c r="VXM364" s="373">
        <f>'Q100a-geral'!VXM887</f>
        <v>0</v>
      </c>
      <c r="VXN364" s="373">
        <f>'Q100a-geral'!VXN887</f>
        <v>0</v>
      </c>
      <c r="VXO364" s="373">
        <f>'Q100a-geral'!VXO887</f>
        <v>0</v>
      </c>
      <c r="VXP364" s="373">
        <f>'Q100a-geral'!VXP887</f>
        <v>0</v>
      </c>
      <c r="VXQ364" s="373">
        <f>'Q100a-geral'!VXQ887</f>
        <v>0</v>
      </c>
      <c r="VXR364" s="373">
        <f>'Q100a-geral'!VXR887</f>
        <v>0</v>
      </c>
      <c r="VXS364" s="373">
        <f>'Q100a-geral'!VXS887</f>
        <v>0</v>
      </c>
      <c r="VXT364" s="373">
        <f>'Q100a-geral'!VXT887</f>
        <v>0</v>
      </c>
      <c r="VXU364" s="373">
        <f>'Q100a-geral'!VXU887</f>
        <v>0</v>
      </c>
      <c r="VXV364" s="373">
        <f>'Q100a-geral'!VXV887</f>
        <v>0</v>
      </c>
      <c r="VXW364" s="373">
        <f>'Q100a-geral'!VXW887</f>
        <v>0</v>
      </c>
      <c r="VXX364" s="373">
        <f>'Q100a-geral'!VXX887</f>
        <v>0</v>
      </c>
      <c r="VXY364" s="373">
        <f>'Q100a-geral'!VXY887</f>
        <v>0</v>
      </c>
      <c r="VXZ364" s="373">
        <f>'Q100a-geral'!VXZ887</f>
        <v>0</v>
      </c>
      <c r="VYA364" s="373">
        <f>'Q100a-geral'!VYA887</f>
        <v>0</v>
      </c>
      <c r="VYB364" s="373">
        <f>'Q100a-geral'!VYB887</f>
        <v>0</v>
      </c>
      <c r="VYC364" s="373">
        <f>'Q100a-geral'!VYC887</f>
        <v>0</v>
      </c>
      <c r="VYD364" s="373">
        <f>'Q100a-geral'!VYD887</f>
        <v>0</v>
      </c>
      <c r="VYE364" s="373">
        <f>'Q100a-geral'!VYE887</f>
        <v>0</v>
      </c>
      <c r="VYF364" s="373">
        <f>'Q100a-geral'!VYF887</f>
        <v>0</v>
      </c>
      <c r="VYG364" s="373">
        <f>'Q100a-geral'!VYG887</f>
        <v>0</v>
      </c>
      <c r="VYH364" s="373">
        <f>'Q100a-geral'!VYH887</f>
        <v>0</v>
      </c>
      <c r="VYI364" s="373">
        <f>'Q100a-geral'!VYI887</f>
        <v>0</v>
      </c>
      <c r="VYJ364" s="373">
        <f>'Q100a-geral'!VYJ887</f>
        <v>0</v>
      </c>
      <c r="VYK364" s="373">
        <f>'Q100a-geral'!VYK887</f>
        <v>0</v>
      </c>
      <c r="VYL364" s="373">
        <f>'Q100a-geral'!VYL887</f>
        <v>0</v>
      </c>
      <c r="VYM364" s="373">
        <f>'Q100a-geral'!VYM887</f>
        <v>0</v>
      </c>
      <c r="VYN364" s="373">
        <f>'Q100a-geral'!VYN887</f>
        <v>0</v>
      </c>
      <c r="VYO364" s="373">
        <f>'Q100a-geral'!VYO887</f>
        <v>0</v>
      </c>
      <c r="VYP364" s="373">
        <f>'Q100a-geral'!VYP887</f>
        <v>0</v>
      </c>
      <c r="VYQ364" s="373">
        <f>'Q100a-geral'!VYQ887</f>
        <v>0</v>
      </c>
      <c r="VYR364" s="373">
        <f>'Q100a-geral'!VYR887</f>
        <v>0</v>
      </c>
      <c r="VYS364" s="373">
        <f>'Q100a-geral'!VYS887</f>
        <v>0</v>
      </c>
      <c r="VYT364" s="373">
        <f>'Q100a-geral'!VYT887</f>
        <v>0</v>
      </c>
      <c r="VYU364" s="373">
        <f>'Q100a-geral'!VYU887</f>
        <v>0</v>
      </c>
      <c r="VYV364" s="373">
        <f>'Q100a-geral'!VYV887</f>
        <v>0</v>
      </c>
      <c r="VYW364" s="373">
        <f>'Q100a-geral'!VYW887</f>
        <v>0</v>
      </c>
      <c r="VYX364" s="373">
        <f>'Q100a-geral'!VYX887</f>
        <v>0</v>
      </c>
      <c r="VYY364" s="373">
        <f>'Q100a-geral'!VYY887</f>
        <v>0</v>
      </c>
      <c r="VYZ364" s="373">
        <f>'Q100a-geral'!VYZ887</f>
        <v>0</v>
      </c>
      <c r="VZA364" s="373">
        <f>'Q100a-geral'!VZA887</f>
        <v>0</v>
      </c>
      <c r="VZB364" s="373">
        <f>'Q100a-geral'!VZB887</f>
        <v>0</v>
      </c>
      <c r="VZC364" s="373">
        <f>'Q100a-geral'!VZC887</f>
        <v>0</v>
      </c>
      <c r="VZD364" s="373">
        <f>'Q100a-geral'!VZD887</f>
        <v>0</v>
      </c>
      <c r="VZE364" s="373">
        <f>'Q100a-geral'!VZE887</f>
        <v>0</v>
      </c>
      <c r="VZF364" s="373">
        <f>'Q100a-geral'!VZF887</f>
        <v>0</v>
      </c>
      <c r="VZG364" s="373">
        <f>'Q100a-geral'!VZG887</f>
        <v>0</v>
      </c>
      <c r="VZH364" s="373">
        <f>'Q100a-geral'!VZH887</f>
        <v>0</v>
      </c>
      <c r="VZI364" s="373">
        <f>'Q100a-geral'!VZI887</f>
        <v>0</v>
      </c>
      <c r="VZJ364" s="373">
        <f>'Q100a-geral'!VZJ887</f>
        <v>0</v>
      </c>
      <c r="VZK364" s="373">
        <f>'Q100a-geral'!VZK887</f>
        <v>0</v>
      </c>
      <c r="VZL364" s="373">
        <f>'Q100a-geral'!VZL887</f>
        <v>0</v>
      </c>
      <c r="VZM364" s="373">
        <f>'Q100a-geral'!VZM887</f>
        <v>0</v>
      </c>
      <c r="VZN364" s="373">
        <f>'Q100a-geral'!VZN887</f>
        <v>0</v>
      </c>
      <c r="VZO364" s="373">
        <f>'Q100a-geral'!VZO887</f>
        <v>0</v>
      </c>
      <c r="VZP364" s="373">
        <f>'Q100a-geral'!VZP887</f>
        <v>0</v>
      </c>
      <c r="VZQ364" s="373">
        <f>'Q100a-geral'!VZQ887</f>
        <v>0</v>
      </c>
      <c r="VZR364" s="373">
        <f>'Q100a-geral'!VZR887</f>
        <v>0</v>
      </c>
      <c r="VZS364" s="373">
        <f>'Q100a-geral'!VZS887</f>
        <v>0</v>
      </c>
      <c r="VZT364" s="373">
        <f>'Q100a-geral'!VZT887</f>
        <v>0</v>
      </c>
      <c r="VZU364" s="373">
        <f>'Q100a-geral'!VZU887</f>
        <v>0</v>
      </c>
      <c r="VZV364" s="373">
        <f>'Q100a-geral'!VZV887</f>
        <v>0</v>
      </c>
      <c r="VZW364" s="373">
        <f>'Q100a-geral'!VZW887</f>
        <v>0</v>
      </c>
      <c r="VZX364" s="373">
        <f>'Q100a-geral'!VZX887</f>
        <v>0</v>
      </c>
      <c r="VZY364" s="373">
        <f>'Q100a-geral'!VZY887</f>
        <v>0</v>
      </c>
      <c r="VZZ364" s="373">
        <f>'Q100a-geral'!VZZ887</f>
        <v>0</v>
      </c>
      <c r="WAA364" s="373">
        <f>'Q100a-geral'!WAA887</f>
        <v>0</v>
      </c>
      <c r="WAB364" s="373">
        <f>'Q100a-geral'!WAB887</f>
        <v>0</v>
      </c>
      <c r="WAC364" s="373">
        <f>'Q100a-geral'!WAC887</f>
        <v>0</v>
      </c>
      <c r="WAD364" s="373">
        <f>'Q100a-geral'!WAD887</f>
        <v>0</v>
      </c>
      <c r="WAE364" s="373">
        <f>'Q100a-geral'!WAE887</f>
        <v>0</v>
      </c>
      <c r="WAF364" s="373">
        <f>'Q100a-geral'!WAF887</f>
        <v>0</v>
      </c>
      <c r="WAG364" s="373">
        <f>'Q100a-geral'!WAG887</f>
        <v>0</v>
      </c>
      <c r="WAH364" s="373">
        <f>'Q100a-geral'!WAH887</f>
        <v>0</v>
      </c>
      <c r="WAI364" s="373">
        <f>'Q100a-geral'!WAI887</f>
        <v>0</v>
      </c>
      <c r="WAJ364" s="373">
        <f>'Q100a-geral'!WAJ887</f>
        <v>0</v>
      </c>
      <c r="WAK364" s="373">
        <f>'Q100a-geral'!WAK887</f>
        <v>0</v>
      </c>
      <c r="WAL364" s="373">
        <f>'Q100a-geral'!WAL887</f>
        <v>0</v>
      </c>
      <c r="WAM364" s="373">
        <f>'Q100a-geral'!WAM887</f>
        <v>0</v>
      </c>
      <c r="WAN364" s="373">
        <f>'Q100a-geral'!WAN887</f>
        <v>0</v>
      </c>
      <c r="WAO364" s="373">
        <f>'Q100a-geral'!WAO887</f>
        <v>0</v>
      </c>
      <c r="WAP364" s="373">
        <f>'Q100a-geral'!WAP887</f>
        <v>0</v>
      </c>
      <c r="WAQ364" s="373">
        <f>'Q100a-geral'!WAQ887</f>
        <v>0</v>
      </c>
      <c r="WAR364" s="373">
        <f>'Q100a-geral'!WAR887</f>
        <v>0</v>
      </c>
      <c r="WAS364" s="373">
        <f>'Q100a-geral'!WAS887</f>
        <v>0</v>
      </c>
      <c r="WAT364" s="373">
        <f>'Q100a-geral'!WAT887</f>
        <v>0</v>
      </c>
      <c r="WAU364" s="373">
        <f>'Q100a-geral'!WAU887</f>
        <v>0</v>
      </c>
      <c r="WAV364" s="373">
        <f>'Q100a-geral'!WAV887</f>
        <v>0</v>
      </c>
      <c r="WAW364" s="373">
        <f>'Q100a-geral'!WAW887</f>
        <v>0</v>
      </c>
      <c r="WAX364" s="373">
        <f>'Q100a-geral'!WAX887</f>
        <v>0</v>
      </c>
      <c r="WAY364" s="373">
        <f>'Q100a-geral'!WAY887</f>
        <v>0</v>
      </c>
      <c r="WAZ364" s="373">
        <f>'Q100a-geral'!WAZ887</f>
        <v>0</v>
      </c>
      <c r="WBA364" s="373">
        <f>'Q100a-geral'!WBA887</f>
        <v>0</v>
      </c>
      <c r="WBB364" s="373">
        <f>'Q100a-geral'!WBB887</f>
        <v>0</v>
      </c>
      <c r="WBC364" s="373">
        <f>'Q100a-geral'!WBC887</f>
        <v>0</v>
      </c>
      <c r="WBD364" s="373">
        <f>'Q100a-geral'!WBD887</f>
        <v>0</v>
      </c>
      <c r="WBE364" s="373">
        <f>'Q100a-geral'!WBE887</f>
        <v>0</v>
      </c>
      <c r="WBF364" s="373">
        <f>'Q100a-geral'!WBF887</f>
        <v>0</v>
      </c>
      <c r="WBG364" s="373">
        <f>'Q100a-geral'!WBG887</f>
        <v>0</v>
      </c>
      <c r="WBH364" s="373">
        <f>'Q100a-geral'!WBH887</f>
        <v>0</v>
      </c>
      <c r="WBI364" s="373">
        <f>'Q100a-geral'!WBI887</f>
        <v>0</v>
      </c>
      <c r="WBJ364" s="373">
        <f>'Q100a-geral'!WBJ887</f>
        <v>0</v>
      </c>
      <c r="WBK364" s="373">
        <f>'Q100a-geral'!WBK887</f>
        <v>0</v>
      </c>
      <c r="WBL364" s="373">
        <f>'Q100a-geral'!WBL887</f>
        <v>0</v>
      </c>
      <c r="WBM364" s="373">
        <f>'Q100a-geral'!WBM887</f>
        <v>0</v>
      </c>
      <c r="WBN364" s="373">
        <f>'Q100a-geral'!WBN887</f>
        <v>0</v>
      </c>
      <c r="WBO364" s="373">
        <f>'Q100a-geral'!WBO887</f>
        <v>0</v>
      </c>
      <c r="WBP364" s="373">
        <f>'Q100a-geral'!WBP887</f>
        <v>0</v>
      </c>
      <c r="WBQ364" s="373">
        <f>'Q100a-geral'!WBQ887</f>
        <v>0</v>
      </c>
      <c r="WBR364" s="373">
        <f>'Q100a-geral'!WBR887</f>
        <v>0</v>
      </c>
      <c r="WBS364" s="373">
        <f>'Q100a-geral'!WBS887</f>
        <v>0</v>
      </c>
      <c r="WBT364" s="373">
        <f>'Q100a-geral'!WBT887</f>
        <v>0</v>
      </c>
      <c r="WBU364" s="373">
        <f>'Q100a-geral'!WBU887</f>
        <v>0</v>
      </c>
      <c r="WBV364" s="373">
        <f>'Q100a-geral'!WBV887</f>
        <v>0</v>
      </c>
      <c r="WBW364" s="373">
        <f>'Q100a-geral'!WBW887</f>
        <v>0</v>
      </c>
      <c r="WBX364" s="373">
        <f>'Q100a-geral'!WBX887</f>
        <v>0</v>
      </c>
      <c r="WBY364" s="373">
        <f>'Q100a-geral'!WBY887</f>
        <v>0</v>
      </c>
      <c r="WBZ364" s="373">
        <f>'Q100a-geral'!WBZ887</f>
        <v>0</v>
      </c>
      <c r="WCA364" s="373">
        <f>'Q100a-geral'!WCA887</f>
        <v>0</v>
      </c>
      <c r="WCB364" s="373">
        <f>'Q100a-geral'!WCB887</f>
        <v>0</v>
      </c>
      <c r="WCC364" s="373">
        <f>'Q100a-geral'!WCC887</f>
        <v>0</v>
      </c>
      <c r="WCD364" s="373">
        <f>'Q100a-geral'!WCD887</f>
        <v>0</v>
      </c>
      <c r="WCE364" s="373">
        <f>'Q100a-geral'!WCE887</f>
        <v>0</v>
      </c>
      <c r="WCF364" s="373">
        <f>'Q100a-geral'!WCF887</f>
        <v>0</v>
      </c>
      <c r="WCG364" s="373">
        <f>'Q100a-geral'!WCG887</f>
        <v>0</v>
      </c>
      <c r="WCH364" s="373">
        <f>'Q100a-geral'!WCH887</f>
        <v>0</v>
      </c>
      <c r="WCI364" s="373">
        <f>'Q100a-geral'!WCI887</f>
        <v>0</v>
      </c>
      <c r="WCJ364" s="373">
        <f>'Q100a-geral'!WCJ887</f>
        <v>0</v>
      </c>
      <c r="WCK364" s="373">
        <f>'Q100a-geral'!WCK887</f>
        <v>0</v>
      </c>
      <c r="WCL364" s="373">
        <f>'Q100a-geral'!WCL887</f>
        <v>0</v>
      </c>
      <c r="WCM364" s="373">
        <f>'Q100a-geral'!WCM887</f>
        <v>0</v>
      </c>
      <c r="WCN364" s="373">
        <f>'Q100a-geral'!WCN887</f>
        <v>0</v>
      </c>
      <c r="WCO364" s="373">
        <f>'Q100a-geral'!WCO887</f>
        <v>0</v>
      </c>
      <c r="WCP364" s="373">
        <f>'Q100a-geral'!WCP887</f>
        <v>0</v>
      </c>
      <c r="WCQ364" s="373">
        <f>'Q100a-geral'!WCQ887</f>
        <v>0</v>
      </c>
      <c r="WCR364" s="373">
        <f>'Q100a-geral'!WCR887</f>
        <v>0</v>
      </c>
      <c r="WCS364" s="373">
        <f>'Q100a-geral'!WCS887</f>
        <v>0</v>
      </c>
      <c r="WCT364" s="373">
        <f>'Q100a-geral'!WCT887</f>
        <v>0</v>
      </c>
      <c r="WCU364" s="373">
        <f>'Q100a-geral'!WCU887</f>
        <v>0</v>
      </c>
      <c r="WCV364" s="373">
        <f>'Q100a-geral'!WCV887</f>
        <v>0</v>
      </c>
      <c r="WCW364" s="373">
        <f>'Q100a-geral'!WCW887</f>
        <v>0</v>
      </c>
      <c r="WCX364" s="373">
        <f>'Q100a-geral'!WCX887</f>
        <v>0</v>
      </c>
      <c r="WCY364" s="373">
        <f>'Q100a-geral'!WCY887</f>
        <v>0</v>
      </c>
      <c r="WCZ364" s="373">
        <f>'Q100a-geral'!WCZ887</f>
        <v>0</v>
      </c>
      <c r="WDA364" s="373">
        <f>'Q100a-geral'!WDA887</f>
        <v>0</v>
      </c>
      <c r="WDB364" s="373">
        <f>'Q100a-geral'!WDB887</f>
        <v>0</v>
      </c>
      <c r="WDC364" s="373">
        <f>'Q100a-geral'!WDC887</f>
        <v>0</v>
      </c>
      <c r="WDD364" s="373">
        <f>'Q100a-geral'!WDD887</f>
        <v>0</v>
      </c>
      <c r="WDE364" s="373">
        <f>'Q100a-geral'!WDE887</f>
        <v>0</v>
      </c>
      <c r="WDF364" s="373">
        <f>'Q100a-geral'!WDF887</f>
        <v>0</v>
      </c>
      <c r="WDG364" s="373">
        <f>'Q100a-geral'!WDG887</f>
        <v>0</v>
      </c>
      <c r="WDH364" s="373">
        <f>'Q100a-geral'!WDH887</f>
        <v>0</v>
      </c>
      <c r="WDI364" s="373">
        <f>'Q100a-geral'!WDI887</f>
        <v>0</v>
      </c>
      <c r="WDJ364" s="373">
        <f>'Q100a-geral'!WDJ887</f>
        <v>0</v>
      </c>
      <c r="WDK364" s="373">
        <f>'Q100a-geral'!WDK887</f>
        <v>0</v>
      </c>
      <c r="WDL364" s="373">
        <f>'Q100a-geral'!WDL887</f>
        <v>0</v>
      </c>
      <c r="WDM364" s="373">
        <f>'Q100a-geral'!WDM887</f>
        <v>0</v>
      </c>
      <c r="WDN364" s="373">
        <f>'Q100a-geral'!WDN887</f>
        <v>0</v>
      </c>
      <c r="WDO364" s="373">
        <f>'Q100a-geral'!WDO887</f>
        <v>0</v>
      </c>
      <c r="WDP364" s="373">
        <f>'Q100a-geral'!WDP887</f>
        <v>0</v>
      </c>
      <c r="WDQ364" s="373">
        <f>'Q100a-geral'!WDQ887</f>
        <v>0</v>
      </c>
      <c r="WDR364" s="373">
        <f>'Q100a-geral'!WDR887</f>
        <v>0</v>
      </c>
      <c r="WDS364" s="373">
        <f>'Q100a-geral'!WDS887</f>
        <v>0</v>
      </c>
      <c r="WDT364" s="373">
        <f>'Q100a-geral'!WDT887</f>
        <v>0</v>
      </c>
      <c r="WDU364" s="373">
        <f>'Q100a-geral'!WDU887</f>
        <v>0</v>
      </c>
      <c r="WDV364" s="373">
        <f>'Q100a-geral'!WDV887</f>
        <v>0</v>
      </c>
      <c r="WDW364" s="373">
        <f>'Q100a-geral'!WDW887</f>
        <v>0</v>
      </c>
      <c r="WDX364" s="373">
        <f>'Q100a-geral'!WDX887</f>
        <v>0</v>
      </c>
      <c r="WDY364" s="373">
        <f>'Q100a-geral'!WDY887</f>
        <v>0</v>
      </c>
      <c r="WDZ364" s="373">
        <f>'Q100a-geral'!WDZ887</f>
        <v>0</v>
      </c>
      <c r="WEA364" s="373">
        <f>'Q100a-geral'!WEA887</f>
        <v>0</v>
      </c>
      <c r="WEB364" s="373">
        <f>'Q100a-geral'!WEB887</f>
        <v>0</v>
      </c>
      <c r="WEC364" s="373">
        <f>'Q100a-geral'!WEC887</f>
        <v>0</v>
      </c>
      <c r="WED364" s="373">
        <f>'Q100a-geral'!WED887</f>
        <v>0</v>
      </c>
      <c r="WEE364" s="373">
        <f>'Q100a-geral'!WEE887</f>
        <v>0</v>
      </c>
      <c r="WEF364" s="373">
        <f>'Q100a-geral'!WEF887</f>
        <v>0</v>
      </c>
      <c r="WEG364" s="373">
        <f>'Q100a-geral'!WEG887</f>
        <v>0</v>
      </c>
      <c r="WEH364" s="373">
        <f>'Q100a-geral'!WEH887</f>
        <v>0</v>
      </c>
      <c r="WEI364" s="373">
        <f>'Q100a-geral'!WEI887</f>
        <v>0</v>
      </c>
      <c r="WEJ364" s="373">
        <f>'Q100a-geral'!WEJ887</f>
        <v>0</v>
      </c>
      <c r="WEK364" s="373">
        <f>'Q100a-geral'!WEK887</f>
        <v>0</v>
      </c>
      <c r="WEL364" s="373">
        <f>'Q100a-geral'!WEL887</f>
        <v>0</v>
      </c>
      <c r="WEM364" s="373">
        <f>'Q100a-geral'!WEM887</f>
        <v>0</v>
      </c>
      <c r="WEN364" s="373">
        <f>'Q100a-geral'!WEN887</f>
        <v>0</v>
      </c>
      <c r="WEO364" s="373">
        <f>'Q100a-geral'!WEO887</f>
        <v>0</v>
      </c>
      <c r="WEP364" s="373">
        <f>'Q100a-geral'!WEP887</f>
        <v>0</v>
      </c>
      <c r="WEQ364" s="373">
        <f>'Q100a-geral'!WEQ887</f>
        <v>0</v>
      </c>
      <c r="WER364" s="373">
        <f>'Q100a-geral'!WER887</f>
        <v>0</v>
      </c>
      <c r="WES364" s="373">
        <f>'Q100a-geral'!WES887</f>
        <v>0</v>
      </c>
      <c r="WET364" s="373">
        <f>'Q100a-geral'!WET887</f>
        <v>0</v>
      </c>
      <c r="WEU364" s="373">
        <f>'Q100a-geral'!WEU887</f>
        <v>0</v>
      </c>
      <c r="WEV364" s="373">
        <f>'Q100a-geral'!WEV887</f>
        <v>0</v>
      </c>
      <c r="WEW364" s="373">
        <f>'Q100a-geral'!WEW887</f>
        <v>0</v>
      </c>
      <c r="WEX364" s="373">
        <f>'Q100a-geral'!WEX887</f>
        <v>0</v>
      </c>
      <c r="WEY364" s="373">
        <f>'Q100a-geral'!WEY887</f>
        <v>0</v>
      </c>
      <c r="WEZ364" s="373">
        <f>'Q100a-geral'!WEZ887</f>
        <v>0</v>
      </c>
      <c r="WFA364" s="373">
        <f>'Q100a-geral'!WFA887</f>
        <v>0</v>
      </c>
      <c r="WFB364" s="373">
        <f>'Q100a-geral'!WFB887</f>
        <v>0</v>
      </c>
      <c r="WFC364" s="373">
        <f>'Q100a-geral'!WFC887</f>
        <v>0</v>
      </c>
      <c r="WFD364" s="373">
        <f>'Q100a-geral'!WFD887</f>
        <v>0</v>
      </c>
      <c r="WFE364" s="373">
        <f>'Q100a-geral'!WFE887</f>
        <v>0</v>
      </c>
      <c r="WFF364" s="373">
        <f>'Q100a-geral'!WFF887</f>
        <v>0</v>
      </c>
      <c r="WFG364" s="373">
        <f>'Q100a-geral'!WFG887</f>
        <v>0</v>
      </c>
      <c r="WFH364" s="373">
        <f>'Q100a-geral'!WFH887</f>
        <v>0</v>
      </c>
      <c r="WFI364" s="373">
        <f>'Q100a-geral'!WFI887</f>
        <v>0</v>
      </c>
      <c r="WFJ364" s="373">
        <f>'Q100a-geral'!WFJ887</f>
        <v>0</v>
      </c>
      <c r="WFK364" s="373">
        <f>'Q100a-geral'!WFK887</f>
        <v>0</v>
      </c>
      <c r="WFL364" s="373">
        <f>'Q100a-geral'!WFL887</f>
        <v>0</v>
      </c>
      <c r="WFM364" s="373">
        <f>'Q100a-geral'!WFM887</f>
        <v>0</v>
      </c>
      <c r="WFN364" s="373">
        <f>'Q100a-geral'!WFN887</f>
        <v>0</v>
      </c>
      <c r="WFO364" s="373">
        <f>'Q100a-geral'!WFO887</f>
        <v>0</v>
      </c>
      <c r="WFP364" s="373">
        <f>'Q100a-geral'!WFP887</f>
        <v>0</v>
      </c>
      <c r="WFQ364" s="373">
        <f>'Q100a-geral'!WFQ887</f>
        <v>0</v>
      </c>
      <c r="WFR364" s="373">
        <f>'Q100a-geral'!WFR887</f>
        <v>0</v>
      </c>
      <c r="WFS364" s="373">
        <f>'Q100a-geral'!WFS887</f>
        <v>0</v>
      </c>
      <c r="WFT364" s="373">
        <f>'Q100a-geral'!WFT887</f>
        <v>0</v>
      </c>
      <c r="WFU364" s="373">
        <f>'Q100a-geral'!WFU887</f>
        <v>0</v>
      </c>
      <c r="WFV364" s="373">
        <f>'Q100a-geral'!WFV887</f>
        <v>0</v>
      </c>
      <c r="WFW364" s="373">
        <f>'Q100a-geral'!WFW887</f>
        <v>0</v>
      </c>
      <c r="WFX364" s="373">
        <f>'Q100a-geral'!WFX887</f>
        <v>0</v>
      </c>
      <c r="WFY364" s="373">
        <f>'Q100a-geral'!WFY887</f>
        <v>0</v>
      </c>
      <c r="WFZ364" s="373">
        <f>'Q100a-geral'!WFZ887</f>
        <v>0</v>
      </c>
      <c r="WGA364" s="373">
        <f>'Q100a-geral'!WGA887</f>
        <v>0</v>
      </c>
      <c r="WGB364" s="373">
        <f>'Q100a-geral'!WGB887</f>
        <v>0</v>
      </c>
      <c r="WGC364" s="373">
        <f>'Q100a-geral'!WGC887</f>
        <v>0</v>
      </c>
      <c r="WGD364" s="373">
        <f>'Q100a-geral'!WGD887</f>
        <v>0</v>
      </c>
      <c r="WGE364" s="373">
        <f>'Q100a-geral'!WGE887</f>
        <v>0</v>
      </c>
      <c r="WGF364" s="373">
        <f>'Q100a-geral'!WGF887</f>
        <v>0</v>
      </c>
      <c r="WGG364" s="373">
        <f>'Q100a-geral'!WGG887</f>
        <v>0</v>
      </c>
      <c r="WGH364" s="373">
        <f>'Q100a-geral'!WGH887</f>
        <v>0</v>
      </c>
      <c r="WGI364" s="373">
        <f>'Q100a-geral'!WGI887</f>
        <v>0</v>
      </c>
      <c r="WGJ364" s="373">
        <f>'Q100a-geral'!WGJ887</f>
        <v>0</v>
      </c>
      <c r="WGK364" s="373">
        <f>'Q100a-geral'!WGK887</f>
        <v>0</v>
      </c>
      <c r="WGL364" s="373">
        <f>'Q100a-geral'!WGL887</f>
        <v>0</v>
      </c>
      <c r="WGM364" s="373">
        <f>'Q100a-geral'!WGM887</f>
        <v>0</v>
      </c>
      <c r="WGN364" s="373">
        <f>'Q100a-geral'!WGN887</f>
        <v>0</v>
      </c>
      <c r="WGO364" s="373">
        <f>'Q100a-geral'!WGO887</f>
        <v>0</v>
      </c>
      <c r="WGP364" s="373">
        <f>'Q100a-geral'!WGP887</f>
        <v>0</v>
      </c>
      <c r="WGQ364" s="373">
        <f>'Q100a-geral'!WGQ887</f>
        <v>0</v>
      </c>
      <c r="WGR364" s="373">
        <f>'Q100a-geral'!WGR887</f>
        <v>0</v>
      </c>
      <c r="WGS364" s="373">
        <f>'Q100a-geral'!WGS887</f>
        <v>0</v>
      </c>
      <c r="WGT364" s="373">
        <f>'Q100a-geral'!WGT887</f>
        <v>0</v>
      </c>
      <c r="WGU364" s="373">
        <f>'Q100a-geral'!WGU887</f>
        <v>0</v>
      </c>
      <c r="WGV364" s="373">
        <f>'Q100a-geral'!WGV887</f>
        <v>0</v>
      </c>
      <c r="WGW364" s="373">
        <f>'Q100a-geral'!WGW887</f>
        <v>0</v>
      </c>
      <c r="WGX364" s="373">
        <f>'Q100a-geral'!WGX887</f>
        <v>0</v>
      </c>
      <c r="WGY364" s="373">
        <f>'Q100a-geral'!WGY887</f>
        <v>0</v>
      </c>
      <c r="WGZ364" s="373">
        <f>'Q100a-geral'!WGZ887</f>
        <v>0</v>
      </c>
      <c r="WHA364" s="373">
        <f>'Q100a-geral'!WHA887</f>
        <v>0</v>
      </c>
      <c r="WHB364" s="373">
        <f>'Q100a-geral'!WHB887</f>
        <v>0</v>
      </c>
      <c r="WHC364" s="373">
        <f>'Q100a-geral'!WHC887</f>
        <v>0</v>
      </c>
      <c r="WHD364" s="373">
        <f>'Q100a-geral'!WHD887</f>
        <v>0</v>
      </c>
      <c r="WHE364" s="373">
        <f>'Q100a-geral'!WHE887</f>
        <v>0</v>
      </c>
      <c r="WHF364" s="373">
        <f>'Q100a-geral'!WHF887</f>
        <v>0</v>
      </c>
      <c r="WHG364" s="373">
        <f>'Q100a-geral'!WHG887</f>
        <v>0</v>
      </c>
      <c r="WHH364" s="373">
        <f>'Q100a-geral'!WHH887</f>
        <v>0</v>
      </c>
      <c r="WHI364" s="373">
        <f>'Q100a-geral'!WHI887</f>
        <v>0</v>
      </c>
      <c r="WHJ364" s="373">
        <f>'Q100a-geral'!WHJ887</f>
        <v>0</v>
      </c>
      <c r="WHK364" s="373">
        <f>'Q100a-geral'!WHK887</f>
        <v>0</v>
      </c>
      <c r="WHL364" s="373">
        <f>'Q100a-geral'!WHL887</f>
        <v>0</v>
      </c>
      <c r="WHM364" s="373">
        <f>'Q100a-geral'!WHM887</f>
        <v>0</v>
      </c>
      <c r="WHN364" s="373">
        <f>'Q100a-geral'!WHN887</f>
        <v>0</v>
      </c>
      <c r="WHO364" s="373">
        <f>'Q100a-geral'!WHO887</f>
        <v>0</v>
      </c>
      <c r="WHP364" s="373">
        <f>'Q100a-geral'!WHP887</f>
        <v>0</v>
      </c>
      <c r="WHQ364" s="373">
        <f>'Q100a-geral'!WHQ887</f>
        <v>0</v>
      </c>
      <c r="WHR364" s="373">
        <f>'Q100a-geral'!WHR887</f>
        <v>0</v>
      </c>
      <c r="WHS364" s="373">
        <f>'Q100a-geral'!WHS887</f>
        <v>0</v>
      </c>
      <c r="WHT364" s="373">
        <f>'Q100a-geral'!WHT887</f>
        <v>0</v>
      </c>
      <c r="WHU364" s="373">
        <f>'Q100a-geral'!WHU887</f>
        <v>0</v>
      </c>
      <c r="WHV364" s="373">
        <f>'Q100a-geral'!WHV887</f>
        <v>0</v>
      </c>
      <c r="WHW364" s="373">
        <f>'Q100a-geral'!WHW887</f>
        <v>0</v>
      </c>
      <c r="WHX364" s="373">
        <f>'Q100a-geral'!WHX887</f>
        <v>0</v>
      </c>
      <c r="WHY364" s="373">
        <f>'Q100a-geral'!WHY887</f>
        <v>0</v>
      </c>
      <c r="WHZ364" s="373">
        <f>'Q100a-geral'!WHZ887</f>
        <v>0</v>
      </c>
      <c r="WIA364" s="373">
        <f>'Q100a-geral'!WIA887</f>
        <v>0</v>
      </c>
      <c r="WIB364" s="373">
        <f>'Q100a-geral'!WIB887</f>
        <v>0</v>
      </c>
      <c r="WIC364" s="373">
        <f>'Q100a-geral'!WIC887</f>
        <v>0</v>
      </c>
      <c r="WID364" s="373">
        <f>'Q100a-geral'!WID887</f>
        <v>0</v>
      </c>
      <c r="WIE364" s="373">
        <f>'Q100a-geral'!WIE887</f>
        <v>0</v>
      </c>
      <c r="WIF364" s="373">
        <f>'Q100a-geral'!WIF887</f>
        <v>0</v>
      </c>
      <c r="WIG364" s="373">
        <f>'Q100a-geral'!WIG887</f>
        <v>0</v>
      </c>
      <c r="WIH364" s="373">
        <f>'Q100a-geral'!WIH887</f>
        <v>0</v>
      </c>
      <c r="WII364" s="373">
        <f>'Q100a-geral'!WII887</f>
        <v>0</v>
      </c>
      <c r="WIJ364" s="373">
        <f>'Q100a-geral'!WIJ887</f>
        <v>0</v>
      </c>
      <c r="WIK364" s="373">
        <f>'Q100a-geral'!WIK887</f>
        <v>0</v>
      </c>
      <c r="WIL364" s="373">
        <f>'Q100a-geral'!WIL887</f>
        <v>0</v>
      </c>
      <c r="WIM364" s="373">
        <f>'Q100a-geral'!WIM887</f>
        <v>0</v>
      </c>
      <c r="WIN364" s="373">
        <f>'Q100a-geral'!WIN887</f>
        <v>0</v>
      </c>
      <c r="WIO364" s="373">
        <f>'Q100a-geral'!WIO887</f>
        <v>0</v>
      </c>
      <c r="WIP364" s="373">
        <f>'Q100a-geral'!WIP887</f>
        <v>0</v>
      </c>
      <c r="WIQ364" s="373">
        <f>'Q100a-geral'!WIQ887</f>
        <v>0</v>
      </c>
      <c r="WIR364" s="373">
        <f>'Q100a-geral'!WIR887</f>
        <v>0</v>
      </c>
      <c r="WIS364" s="373">
        <f>'Q100a-geral'!WIS887</f>
        <v>0</v>
      </c>
      <c r="WIT364" s="373">
        <f>'Q100a-geral'!WIT887</f>
        <v>0</v>
      </c>
      <c r="WIU364" s="373">
        <f>'Q100a-geral'!WIU887</f>
        <v>0</v>
      </c>
      <c r="WIV364" s="373">
        <f>'Q100a-geral'!WIV887</f>
        <v>0</v>
      </c>
      <c r="WIW364" s="373">
        <f>'Q100a-geral'!WIW887</f>
        <v>0</v>
      </c>
      <c r="WIX364" s="373">
        <f>'Q100a-geral'!WIX887</f>
        <v>0</v>
      </c>
      <c r="WIY364" s="373">
        <f>'Q100a-geral'!WIY887</f>
        <v>0</v>
      </c>
      <c r="WIZ364" s="373">
        <f>'Q100a-geral'!WIZ887</f>
        <v>0</v>
      </c>
      <c r="WJA364" s="373">
        <f>'Q100a-geral'!WJA887</f>
        <v>0</v>
      </c>
      <c r="WJB364" s="373">
        <f>'Q100a-geral'!WJB887</f>
        <v>0</v>
      </c>
      <c r="WJC364" s="373">
        <f>'Q100a-geral'!WJC887</f>
        <v>0</v>
      </c>
      <c r="WJD364" s="373">
        <f>'Q100a-geral'!WJD887</f>
        <v>0</v>
      </c>
      <c r="WJE364" s="373">
        <f>'Q100a-geral'!WJE887</f>
        <v>0</v>
      </c>
      <c r="WJF364" s="373">
        <f>'Q100a-geral'!WJF887</f>
        <v>0</v>
      </c>
      <c r="WJG364" s="373">
        <f>'Q100a-geral'!WJG887</f>
        <v>0</v>
      </c>
      <c r="WJH364" s="373">
        <f>'Q100a-geral'!WJH887</f>
        <v>0</v>
      </c>
      <c r="WJI364" s="373">
        <f>'Q100a-geral'!WJI887</f>
        <v>0</v>
      </c>
      <c r="WJJ364" s="373">
        <f>'Q100a-geral'!WJJ887</f>
        <v>0</v>
      </c>
      <c r="WJK364" s="373">
        <f>'Q100a-geral'!WJK887</f>
        <v>0</v>
      </c>
      <c r="WJL364" s="373">
        <f>'Q100a-geral'!WJL887</f>
        <v>0</v>
      </c>
      <c r="WJM364" s="373">
        <f>'Q100a-geral'!WJM887</f>
        <v>0</v>
      </c>
      <c r="WJN364" s="373">
        <f>'Q100a-geral'!WJN887</f>
        <v>0</v>
      </c>
      <c r="WJO364" s="373">
        <f>'Q100a-geral'!WJO887</f>
        <v>0</v>
      </c>
      <c r="WJP364" s="373">
        <f>'Q100a-geral'!WJP887</f>
        <v>0</v>
      </c>
      <c r="WJQ364" s="373">
        <f>'Q100a-geral'!WJQ887</f>
        <v>0</v>
      </c>
      <c r="WJR364" s="373">
        <f>'Q100a-geral'!WJR887</f>
        <v>0</v>
      </c>
      <c r="WJS364" s="373">
        <f>'Q100a-geral'!WJS887</f>
        <v>0</v>
      </c>
      <c r="WJT364" s="373">
        <f>'Q100a-geral'!WJT887</f>
        <v>0</v>
      </c>
      <c r="WJU364" s="373">
        <f>'Q100a-geral'!WJU887</f>
        <v>0</v>
      </c>
      <c r="WJV364" s="373">
        <f>'Q100a-geral'!WJV887</f>
        <v>0</v>
      </c>
      <c r="WJW364" s="373">
        <f>'Q100a-geral'!WJW887</f>
        <v>0</v>
      </c>
      <c r="WJX364" s="373">
        <f>'Q100a-geral'!WJX887</f>
        <v>0</v>
      </c>
      <c r="WJY364" s="373">
        <f>'Q100a-geral'!WJY887</f>
        <v>0</v>
      </c>
      <c r="WJZ364" s="373">
        <f>'Q100a-geral'!WJZ887</f>
        <v>0</v>
      </c>
      <c r="WKA364" s="373">
        <f>'Q100a-geral'!WKA887</f>
        <v>0</v>
      </c>
      <c r="WKB364" s="373">
        <f>'Q100a-geral'!WKB887</f>
        <v>0</v>
      </c>
      <c r="WKC364" s="373">
        <f>'Q100a-geral'!WKC887</f>
        <v>0</v>
      </c>
      <c r="WKD364" s="373">
        <f>'Q100a-geral'!WKD887</f>
        <v>0</v>
      </c>
      <c r="WKE364" s="373">
        <f>'Q100a-geral'!WKE887</f>
        <v>0</v>
      </c>
      <c r="WKF364" s="373">
        <f>'Q100a-geral'!WKF887</f>
        <v>0</v>
      </c>
      <c r="WKG364" s="373">
        <f>'Q100a-geral'!WKG887</f>
        <v>0</v>
      </c>
      <c r="WKH364" s="373">
        <f>'Q100a-geral'!WKH887</f>
        <v>0</v>
      </c>
      <c r="WKI364" s="373">
        <f>'Q100a-geral'!WKI887</f>
        <v>0</v>
      </c>
      <c r="WKJ364" s="373">
        <f>'Q100a-geral'!WKJ887</f>
        <v>0</v>
      </c>
      <c r="WKK364" s="373">
        <f>'Q100a-geral'!WKK887</f>
        <v>0</v>
      </c>
      <c r="WKL364" s="373">
        <f>'Q100a-geral'!WKL887</f>
        <v>0</v>
      </c>
      <c r="WKM364" s="373">
        <f>'Q100a-geral'!WKM887</f>
        <v>0</v>
      </c>
      <c r="WKN364" s="373">
        <f>'Q100a-geral'!WKN887</f>
        <v>0</v>
      </c>
      <c r="WKO364" s="373">
        <f>'Q100a-geral'!WKO887</f>
        <v>0</v>
      </c>
      <c r="WKP364" s="373">
        <f>'Q100a-geral'!WKP887</f>
        <v>0</v>
      </c>
      <c r="WKQ364" s="373">
        <f>'Q100a-geral'!WKQ887</f>
        <v>0</v>
      </c>
      <c r="WKR364" s="373">
        <f>'Q100a-geral'!WKR887</f>
        <v>0</v>
      </c>
      <c r="WKS364" s="373">
        <f>'Q100a-geral'!WKS887</f>
        <v>0</v>
      </c>
      <c r="WKT364" s="373">
        <f>'Q100a-geral'!WKT887</f>
        <v>0</v>
      </c>
      <c r="WKU364" s="373">
        <f>'Q100a-geral'!WKU887</f>
        <v>0</v>
      </c>
      <c r="WKV364" s="373">
        <f>'Q100a-geral'!WKV887</f>
        <v>0</v>
      </c>
      <c r="WKW364" s="373">
        <f>'Q100a-geral'!WKW887</f>
        <v>0</v>
      </c>
      <c r="WKX364" s="373">
        <f>'Q100a-geral'!WKX887</f>
        <v>0</v>
      </c>
      <c r="WKY364" s="373">
        <f>'Q100a-geral'!WKY887</f>
        <v>0</v>
      </c>
      <c r="WKZ364" s="373">
        <f>'Q100a-geral'!WKZ887</f>
        <v>0</v>
      </c>
      <c r="WLA364" s="373">
        <f>'Q100a-geral'!WLA887</f>
        <v>0</v>
      </c>
      <c r="WLB364" s="373">
        <f>'Q100a-geral'!WLB887</f>
        <v>0</v>
      </c>
      <c r="WLC364" s="373">
        <f>'Q100a-geral'!WLC887</f>
        <v>0</v>
      </c>
      <c r="WLD364" s="373">
        <f>'Q100a-geral'!WLD887</f>
        <v>0</v>
      </c>
      <c r="WLE364" s="373">
        <f>'Q100a-geral'!WLE887</f>
        <v>0</v>
      </c>
      <c r="WLF364" s="373">
        <f>'Q100a-geral'!WLF887</f>
        <v>0</v>
      </c>
      <c r="WLG364" s="373">
        <f>'Q100a-geral'!WLG887</f>
        <v>0</v>
      </c>
      <c r="WLH364" s="373">
        <f>'Q100a-geral'!WLH887</f>
        <v>0</v>
      </c>
      <c r="WLI364" s="373">
        <f>'Q100a-geral'!WLI887</f>
        <v>0</v>
      </c>
      <c r="WLJ364" s="373">
        <f>'Q100a-geral'!WLJ887</f>
        <v>0</v>
      </c>
      <c r="WLK364" s="373">
        <f>'Q100a-geral'!WLK887</f>
        <v>0</v>
      </c>
      <c r="WLL364" s="373">
        <f>'Q100a-geral'!WLL887</f>
        <v>0</v>
      </c>
      <c r="WLM364" s="373">
        <f>'Q100a-geral'!WLM887</f>
        <v>0</v>
      </c>
      <c r="WLN364" s="373">
        <f>'Q100a-geral'!WLN887</f>
        <v>0</v>
      </c>
      <c r="WLO364" s="373">
        <f>'Q100a-geral'!WLO887</f>
        <v>0</v>
      </c>
      <c r="WLP364" s="373">
        <f>'Q100a-geral'!WLP887</f>
        <v>0</v>
      </c>
      <c r="WLQ364" s="373">
        <f>'Q100a-geral'!WLQ887</f>
        <v>0</v>
      </c>
      <c r="WLR364" s="373">
        <f>'Q100a-geral'!WLR887</f>
        <v>0</v>
      </c>
      <c r="WLS364" s="373">
        <f>'Q100a-geral'!WLS887</f>
        <v>0</v>
      </c>
      <c r="WLT364" s="373">
        <f>'Q100a-geral'!WLT887</f>
        <v>0</v>
      </c>
      <c r="WLU364" s="373">
        <f>'Q100a-geral'!WLU887</f>
        <v>0</v>
      </c>
      <c r="WLV364" s="373">
        <f>'Q100a-geral'!WLV887</f>
        <v>0</v>
      </c>
      <c r="WLW364" s="373">
        <f>'Q100a-geral'!WLW887</f>
        <v>0</v>
      </c>
      <c r="WLX364" s="373">
        <f>'Q100a-geral'!WLX887</f>
        <v>0</v>
      </c>
      <c r="WLY364" s="373">
        <f>'Q100a-geral'!WLY887</f>
        <v>0</v>
      </c>
      <c r="WLZ364" s="373">
        <f>'Q100a-geral'!WLZ887</f>
        <v>0</v>
      </c>
      <c r="WMA364" s="373">
        <f>'Q100a-geral'!WMA887</f>
        <v>0</v>
      </c>
      <c r="WMB364" s="373">
        <f>'Q100a-geral'!WMB887</f>
        <v>0</v>
      </c>
      <c r="WMC364" s="373">
        <f>'Q100a-geral'!WMC887</f>
        <v>0</v>
      </c>
      <c r="WMD364" s="373">
        <f>'Q100a-geral'!WMD887</f>
        <v>0</v>
      </c>
      <c r="WME364" s="373">
        <f>'Q100a-geral'!WME887</f>
        <v>0</v>
      </c>
      <c r="WMF364" s="373">
        <f>'Q100a-geral'!WMF887</f>
        <v>0</v>
      </c>
      <c r="WMG364" s="373">
        <f>'Q100a-geral'!WMG887</f>
        <v>0</v>
      </c>
      <c r="WMH364" s="373">
        <f>'Q100a-geral'!WMH887</f>
        <v>0</v>
      </c>
      <c r="WMI364" s="373">
        <f>'Q100a-geral'!WMI887</f>
        <v>0</v>
      </c>
      <c r="WMJ364" s="373">
        <f>'Q100a-geral'!WMJ887</f>
        <v>0</v>
      </c>
      <c r="WMK364" s="373">
        <f>'Q100a-geral'!WMK887</f>
        <v>0</v>
      </c>
      <c r="WML364" s="373">
        <f>'Q100a-geral'!WML887</f>
        <v>0</v>
      </c>
      <c r="WMM364" s="373">
        <f>'Q100a-geral'!WMM887</f>
        <v>0</v>
      </c>
      <c r="WMN364" s="373">
        <f>'Q100a-geral'!WMN887</f>
        <v>0</v>
      </c>
      <c r="WMO364" s="373">
        <f>'Q100a-geral'!WMO887</f>
        <v>0</v>
      </c>
      <c r="WMP364" s="373">
        <f>'Q100a-geral'!WMP887</f>
        <v>0</v>
      </c>
      <c r="WMQ364" s="373">
        <f>'Q100a-geral'!WMQ887</f>
        <v>0</v>
      </c>
      <c r="WMR364" s="373">
        <f>'Q100a-geral'!WMR887</f>
        <v>0</v>
      </c>
      <c r="WMS364" s="373">
        <f>'Q100a-geral'!WMS887</f>
        <v>0</v>
      </c>
      <c r="WMT364" s="373">
        <f>'Q100a-geral'!WMT887</f>
        <v>0</v>
      </c>
      <c r="WMU364" s="373">
        <f>'Q100a-geral'!WMU887</f>
        <v>0</v>
      </c>
      <c r="WMV364" s="373">
        <f>'Q100a-geral'!WMV887</f>
        <v>0</v>
      </c>
      <c r="WMW364" s="373">
        <f>'Q100a-geral'!WMW887</f>
        <v>0</v>
      </c>
      <c r="WMX364" s="373">
        <f>'Q100a-geral'!WMX887</f>
        <v>0</v>
      </c>
      <c r="WMY364" s="373">
        <f>'Q100a-geral'!WMY887</f>
        <v>0</v>
      </c>
      <c r="WMZ364" s="373">
        <f>'Q100a-geral'!WMZ887</f>
        <v>0</v>
      </c>
      <c r="WNA364" s="373">
        <f>'Q100a-geral'!WNA887</f>
        <v>0</v>
      </c>
      <c r="WNB364" s="373">
        <f>'Q100a-geral'!WNB887</f>
        <v>0</v>
      </c>
      <c r="WNC364" s="373">
        <f>'Q100a-geral'!WNC887</f>
        <v>0</v>
      </c>
      <c r="WND364" s="373">
        <f>'Q100a-geral'!WND887</f>
        <v>0</v>
      </c>
      <c r="WNE364" s="373">
        <f>'Q100a-geral'!WNE887</f>
        <v>0</v>
      </c>
      <c r="WNF364" s="373">
        <f>'Q100a-geral'!WNF887</f>
        <v>0</v>
      </c>
      <c r="WNG364" s="373">
        <f>'Q100a-geral'!WNG887</f>
        <v>0</v>
      </c>
      <c r="WNH364" s="373">
        <f>'Q100a-geral'!WNH887</f>
        <v>0</v>
      </c>
      <c r="WNI364" s="373">
        <f>'Q100a-geral'!WNI887</f>
        <v>0</v>
      </c>
      <c r="WNJ364" s="373">
        <f>'Q100a-geral'!WNJ887</f>
        <v>0</v>
      </c>
      <c r="WNK364" s="373">
        <f>'Q100a-geral'!WNK887</f>
        <v>0</v>
      </c>
      <c r="WNL364" s="373">
        <f>'Q100a-geral'!WNL887</f>
        <v>0</v>
      </c>
      <c r="WNM364" s="373">
        <f>'Q100a-geral'!WNM887</f>
        <v>0</v>
      </c>
      <c r="WNN364" s="373">
        <f>'Q100a-geral'!WNN887</f>
        <v>0</v>
      </c>
      <c r="WNO364" s="373">
        <f>'Q100a-geral'!WNO887</f>
        <v>0</v>
      </c>
      <c r="WNP364" s="373">
        <f>'Q100a-geral'!WNP887</f>
        <v>0</v>
      </c>
      <c r="WNQ364" s="373">
        <f>'Q100a-geral'!WNQ887</f>
        <v>0</v>
      </c>
      <c r="WNR364" s="373">
        <f>'Q100a-geral'!WNR887</f>
        <v>0</v>
      </c>
      <c r="WNS364" s="373">
        <f>'Q100a-geral'!WNS887</f>
        <v>0</v>
      </c>
      <c r="WNT364" s="373">
        <f>'Q100a-geral'!WNT887</f>
        <v>0</v>
      </c>
      <c r="WNU364" s="373">
        <f>'Q100a-geral'!WNU887</f>
        <v>0</v>
      </c>
      <c r="WNV364" s="373">
        <f>'Q100a-geral'!WNV887</f>
        <v>0</v>
      </c>
      <c r="WNW364" s="373">
        <f>'Q100a-geral'!WNW887</f>
        <v>0</v>
      </c>
      <c r="WNX364" s="373">
        <f>'Q100a-geral'!WNX887</f>
        <v>0</v>
      </c>
      <c r="WNY364" s="373">
        <f>'Q100a-geral'!WNY887</f>
        <v>0</v>
      </c>
      <c r="WNZ364" s="373">
        <f>'Q100a-geral'!WNZ887</f>
        <v>0</v>
      </c>
      <c r="WOA364" s="373">
        <f>'Q100a-geral'!WOA887</f>
        <v>0</v>
      </c>
      <c r="WOB364" s="373">
        <f>'Q100a-geral'!WOB887</f>
        <v>0</v>
      </c>
      <c r="WOC364" s="373">
        <f>'Q100a-geral'!WOC887</f>
        <v>0</v>
      </c>
      <c r="WOD364" s="373">
        <f>'Q100a-geral'!WOD887</f>
        <v>0</v>
      </c>
      <c r="WOE364" s="373">
        <f>'Q100a-geral'!WOE887</f>
        <v>0</v>
      </c>
      <c r="WOF364" s="373">
        <f>'Q100a-geral'!WOF887</f>
        <v>0</v>
      </c>
      <c r="WOG364" s="373">
        <f>'Q100a-geral'!WOG887</f>
        <v>0</v>
      </c>
      <c r="WOH364" s="373">
        <f>'Q100a-geral'!WOH887</f>
        <v>0</v>
      </c>
      <c r="WOI364" s="373">
        <f>'Q100a-geral'!WOI887</f>
        <v>0</v>
      </c>
      <c r="WOJ364" s="373">
        <f>'Q100a-geral'!WOJ887</f>
        <v>0</v>
      </c>
      <c r="WOK364" s="373">
        <f>'Q100a-geral'!WOK887</f>
        <v>0</v>
      </c>
      <c r="WOL364" s="373">
        <f>'Q100a-geral'!WOL887</f>
        <v>0</v>
      </c>
      <c r="WOM364" s="373">
        <f>'Q100a-geral'!WOM887</f>
        <v>0</v>
      </c>
      <c r="WON364" s="373">
        <f>'Q100a-geral'!WON887</f>
        <v>0</v>
      </c>
      <c r="WOO364" s="373">
        <f>'Q100a-geral'!WOO887</f>
        <v>0</v>
      </c>
      <c r="WOP364" s="373">
        <f>'Q100a-geral'!WOP887</f>
        <v>0</v>
      </c>
      <c r="WOQ364" s="373">
        <f>'Q100a-geral'!WOQ887</f>
        <v>0</v>
      </c>
      <c r="WOR364" s="373">
        <f>'Q100a-geral'!WOR887</f>
        <v>0</v>
      </c>
      <c r="WOS364" s="373">
        <f>'Q100a-geral'!WOS887</f>
        <v>0</v>
      </c>
      <c r="WOT364" s="373">
        <f>'Q100a-geral'!WOT887</f>
        <v>0</v>
      </c>
      <c r="WOU364" s="373">
        <f>'Q100a-geral'!WOU887</f>
        <v>0</v>
      </c>
      <c r="WOV364" s="373">
        <f>'Q100a-geral'!WOV887</f>
        <v>0</v>
      </c>
      <c r="WOW364" s="373">
        <f>'Q100a-geral'!WOW887</f>
        <v>0</v>
      </c>
      <c r="WOX364" s="373">
        <f>'Q100a-geral'!WOX887</f>
        <v>0</v>
      </c>
      <c r="WOY364" s="373">
        <f>'Q100a-geral'!WOY887</f>
        <v>0</v>
      </c>
      <c r="WOZ364" s="373">
        <f>'Q100a-geral'!WOZ887</f>
        <v>0</v>
      </c>
      <c r="WPA364" s="373">
        <f>'Q100a-geral'!WPA887</f>
        <v>0</v>
      </c>
      <c r="WPB364" s="373">
        <f>'Q100a-geral'!WPB887</f>
        <v>0</v>
      </c>
      <c r="WPC364" s="373">
        <f>'Q100a-geral'!WPC887</f>
        <v>0</v>
      </c>
      <c r="WPD364" s="373">
        <f>'Q100a-geral'!WPD887</f>
        <v>0</v>
      </c>
      <c r="WPE364" s="373">
        <f>'Q100a-geral'!WPE887</f>
        <v>0</v>
      </c>
      <c r="WPF364" s="373">
        <f>'Q100a-geral'!WPF887</f>
        <v>0</v>
      </c>
      <c r="WPG364" s="373">
        <f>'Q100a-geral'!WPG887</f>
        <v>0</v>
      </c>
      <c r="WPH364" s="373">
        <f>'Q100a-geral'!WPH887</f>
        <v>0</v>
      </c>
      <c r="WPI364" s="373">
        <f>'Q100a-geral'!WPI887</f>
        <v>0</v>
      </c>
      <c r="WPJ364" s="373">
        <f>'Q100a-geral'!WPJ887</f>
        <v>0</v>
      </c>
      <c r="WPK364" s="373">
        <f>'Q100a-geral'!WPK887</f>
        <v>0</v>
      </c>
      <c r="WPL364" s="373">
        <f>'Q100a-geral'!WPL887</f>
        <v>0</v>
      </c>
      <c r="WPM364" s="373">
        <f>'Q100a-geral'!WPM887</f>
        <v>0</v>
      </c>
      <c r="WPN364" s="373">
        <f>'Q100a-geral'!WPN887</f>
        <v>0</v>
      </c>
      <c r="WPO364" s="373">
        <f>'Q100a-geral'!WPO887</f>
        <v>0</v>
      </c>
      <c r="WPP364" s="373">
        <f>'Q100a-geral'!WPP887</f>
        <v>0</v>
      </c>
      <c r="WPQ364" s="373">
        <f>'Q100a-geral'!WPQ887</f>
        <v>0</v>
      </c>
      <c r="WPR364" s="373">
        <f>'Q100a-geral'!WPR887</f>
        <v>0</v>
      </c>
      <c r="WPS364" s="373">
        <f>'Q100a-geral'!WPS887</f>
        <v>0</v>
      </c>
      <c r="WPT364" s="373">
        <f>'Q100a-geral'!WPT887</f>
        <v>0</v>
      </c>
      <c r="WPU364" s="373">
        <f>'Q100a-geral'!WPU887</f>
        <v>0</v>
      </c>
      <c r="WPV364" s="373">
        <f>'Q100a-geral'!WPV887</f>
        <v>0</v>
      </c>
      <c r="WPW364" s="373">
        <f>'Q100a-geral'!WPW887</f>
        <v>0</v>
      </c>
      <c r="WPX364" s="373">
        <f>'Q100a-geral'!WPX887</f>
        <v>0</v>
      </c>
      <c r="WPY364" s="373">
        <f>'Q100a-geral'!WPY887</f>
        <v>0</v>
      </c>
      <c r="WPZ364" s="373">
        <f>'Q100a-geral'!WPZ887</f>
        <v>0</v>
      </c>
      <c r="WQA364" s="373">
        <f>'Q100a-geral'!WQA887</f>
        <v>0</v>
      </c>
      <c r="WQB364" s="373">
        <f>'Q100a-geral'!WQB887</f>
        <v>0</v>
      </c>
      <c r="WQC364" s="373">
        <f>'Q100a-geral'!WQC887</f>
        <v>0</v>
      </c>
      <c r="WQD364" s="373">
        <f>'Q100a-geral'!WQD887</f>
        <v>0</v>
      </c>
      <c r="WQE364" s="373">
        <f>'Q100a-geral'!WQE887</f>
        <v>0</v>
      </c>
      <c r="WQF364" s="373">
        <f>'Q100a-geral'!WQF887</f>
        <v>0</v>
      </c>
      <c r="WQG364" s="373">
        <f>'Q100a-geral'!WQG887</f>
        <v>0</v>
      </c>
      <c r="WQH364" s="373">
        <f>'Q100a-geral'!WQH887</f>
        <v>0</v>
      </c>
      <c r="WQI364" s="373">
        <f>'Q100a-geral'!WQI887</f>
        <v>0</v>
      </c>
      <c r="WQJ364" s="373">
        <f>'Q100a-geral'!WQJ887</f>
        <v>0</v>
      </c>
      <c r="WQK364" s="373">
        <f>'Q100a-geral'!WQK887</f>
        <v>0</v>
      </c>
      <c r="WQL364" s="373">
        <f>'Q100a-geral'!WQL887</f>
        <v>0</v>
      </c>
      <c r="WQM364" s="373">
        <f>'Q100a-geral'!WQM887</f>
        <v>0</v>
      </c>
      <c r="WQN364" s="373">
        <f>'Q100a-geral'!WQN887</f>
        <v>0</v>
      </c>
      <c r="WQO364" s="373">
        <f>'Q100a-geral'!WQO887</f>
        <v>0</v>
      </c>
      <c r="WQP364" s="373">
        <f>'Q100a-geral'!WQP887</f>
        <v>0</v>
      </c>
      <c r="WQQ364" s="373">
        <f>'Q100a-geral'!WQQ887</f>
        <v>0</v>
      </c>
      <c r="WQR364" s="373">
        <f>'Q100a-geral'!WQR887</f>
        <v>0</v>
      </c>
      <c r="WQS364" s="373">
        <f>'Q100a-geral'!WQS887</f>
        <v>0</v>
      </c>
      <c r="WQT364" s="373">
        <f>'Q100a-geral'!WQT887</f>
        <v>0</v>
      </c>
      <c r="WQU364" s="373">
        <f>'Q100a-geral'!WQU887</f>
        <v>0</v>
      </c>
      <c r="WQV364" s="373">
        <f>'Q100a-geral'!WQV887</f>
        <v>0</v>
      </c>
      <c r="WQW364" s="373">
        <f>'Q100a-geral'!WQW887</f>
        <v>0</v>
      </c>
      <c r="WQX364" s="373">
        <f>'Q100a-geral'!WQX887</f>
        <v>0</v>
      </c>
      <c r="WQY364" s="373">
        <f>'Q100a-geral'!WQY887</f>
        <v>0</v>
      </c>
      <c r="WQZ364" s="373">
        <f>'Q100a-geral'!WQZ887</f>
        <v>0</v>
      </c>
      <c r="WRA364" s="373">
        <f>'Q100a-geral'!WRA887</f>
        <v>0</v>
      </c>
      <c r="WRB364" s="373">
        <f>'Q100a-geral'!WRB887</f>
        <v>0</v>
      </c>
      <c r="WRC364" s="373">
        <f>'Q100a-geral'!WRC887</f>
        <v>0</v>
      </c>
      <c r="WRD364" s="373">
        <f>'Q100a-geral'!WRD887</f>
        <v>0</v>
      </c>
      <c r="WRE364" s="373">
        <f>'Q100a-geral'!WRE887</f>
        <v>0</v>
      </c>
      <c r="WRF364" s="373">
        <f>'Q100a-geral'!WRF887</f>
        <v>0</v>
      </c>
      <c r="WRG364" s="373">
        <f>'Q100a-geral'!WRG887</f>
        <v>0</v>
      </c>
      <c r="WRH364" s="373">
        <f>'Q100a-geral'!WRH887</f>
        <v>0</v>
      </c>
      <c r="WRI364" s="373">
        <f>'Q100a-geral'!WRI887</f>
        <v>0</v>
      </c>
      <c r="WRJ364" s="373">
        <f>'Q100a-geral'!WRJ887</f>
        <v>0</v>
      </c>
      <c r="WRK364" s="373">
        <f>'Q100a-geral'!WRK887</f>
        <v>0</v>
      </c>
      <c r="WRL364" s="373">
        <f>'Q100a-geral'!WRL887</f>
        <v>0</v>
      </c>
      <c r="WRM364" s="373">
        <f>'Q100a-geral'!WRM887</f>
        <v>0</v>
      </c>
      <c r="WRN364" s="373">
        <f>'Q100a-geral'!WRN887</f>
        <v>0</v>
      </c>
      <c r="WRO364" s="373">
        <f>'Q100a-geral'!WRO887</f>
        <v>0</v>
      </c>
      <c r="WRP364" s="373">
        <f>'Q100a-geral'!WRP887</f>
        <v>0</v>
      </c>
      <c r="WRQ364" s="373">
        <f>'Q100a-geral'!WRQ887</f>
        <v>0</v>
      </c>
      <c r="WRR364" s="373">
        <f>'Q100a-geral'!WRR887</f>
        <v>0</v>
      </c>
      <c r="WRS364" s="373">
        <f>'Q100a-geral'!WRS887</f>
        <v>0</v>
      </c>
      <c r="WRT364" s="373">
        <f>'Q100a-geral'!WRT887</f>
        <v>0</v>
      </c>
      <c r="WRU364" s="373">
        <f>'Q100a-geral'!WRU887</f>
        <v>0</v>
      </c>
      <c r="WRV364" s="373">
        <f>'Q100a-geral'!WRV887</f>
        <v>0</v>
      </c>
      <c r="WRW364" s="373">
        <f>'Q100a-geral'!WRW887</f>
        <v>0</v>
      </c>
      <c r="WRX364" s="373">
        <f>'Q100a-geral'!WRX887</f>
        <v>0</v>
      </c>
      <c r="WRY364" s="373">
        <f>'Q100a-geral'!WRY887</f>
        <v>0</v>
      </c>
      <c r="WRZ364" s="373">
        <f>'Q100a-geral'!WRZ887</f>
        <v>0</v>
      </c>
      <c r="WSA364" s="373">
        <f>'Q100a-geral'!WSA887</f>
        <v>0</v>
      </c>
      <c r="WSB364" s="373">
        <f>'Q100a-geral'!WSB887</f>
        <v>0</v>
      </c>
      <c r="WSC364" s="373">
        <f>'Q100a-geral'!WSC887</f>
        <v>0</v>
      </c>
      <c r="WSD364" s="373">
        <f>'Q100a-geral'!WSD887</f>
        <v>0</v>
      </c>
      <c r="WSE364" s="373">
        <f>'Q100a-geral'!WSE887</f>
        <v>0</v>
      </c>
      <c r="WSF364" s="373">
        <f>'Q100a-geral'!WSF887</f>
        <v>0</v>
      </c>
      <c r="WSG364" s="373">
        <f>'Q100a-geral'!WSG887</f>
        <v>0</v>
      </c>
      <c r="WSH364" s="373">
        <f>'Q100a-geral'!WSH887</f>
        <v>0</v>
      </c>
      <c r="WSI364" s="373">
        <f>'Q100a-geral'!WSI887</f>
        <v>0</v>
      </c>
      <c r="WSJ364" s="373">
        <f>'Q100a-geral'!WSJ887</f>
        <v>0</v>
      </c>
      <c r="WSK364" s="373">
        <f>'Q100a-geral'!WSK887</f>
        <v>0</v>
      </c>
      <c r="WSL364" s="373">
        <f>'Q100a-geral'!WSL887</f>
        <v>0</v>
      </c>
      <c r="WSM364" s="373">
        <f>'Q100a-geral'!WSM887</f>
        <v>0</v>
      </c>
      <c r="WSN364" s="373">
        <f>'Q100a-geral'!WSN887</f>
        <v>0</v>
      </c>
      <c r="WSO364" s="373">
        <f>'Q100a-geral'!WSO887</f>
        <v>0</v>
      </c>
      <c r="WSP364" s="373">
        <f>'Q100a-geral'!WSP887</f>
        <v>0</v>
      </c>
      <c r="WSQ364" s="373">
        <f>'Q100a-geral'!WSQ887</f>
        <v>0</v>
      </c>
      <c r="WSR364" s="373">
        <f>'Q100a-geral'!WSR887</f>
        <v>0</v>
      </c>
      <c r="WSS364" s="373">
        <f>'Q100a-geral'!WSS887</f>
        <v>0</v>
      </c>
      <c r="WST364" s="373">
        <f>'Q100a-geral'!WST887</f>
        <v>0</v>
      </c>
      <c r="WSU364" s="373">
        <f>'Q100a-geral'!WSU887</f>
        <v>0</v>
      </c>
      <c r="WSV364" s="373">
        <f>'Q100a-geral'!WSV887</f>
        <v>0</v>
      </c>
      <c r="WSW364" s="373">
        <f>'Q100a-geral'!WSW887</f>
        <v>0</v>
      </c>
      <c r="WSX364" s="373">
        <f>'Q100a-geral'!WSX887</f>
        <v>0</v>
      </c>
      <c r="WSY364" s="373">
        <f>'Q100a-geral'!WSY887</f>
        <v>0</v>
      </c>
      <c r="WSZ364" s="373">
        <f>'Q100a-geral'!WSZ887</f>
        <v>0</v>
      </c>
      <c r="WTA364" s="373">
        <f>'Q100a-geral'!WTA887</f>
        <v>0</v>
      </c>
      <c r="WTB364" s="373">
        <f>'Q100a-geral'!WTB887</f>
        <v>0</v>
      </c>
      <c r="WTC364" s="373">
        <f>'Q100a-geral'!WTC887</f>
        <v>0</v>
      </c>
      <c r="WTD364" s="373">
        <f>'Q100a-geral'!WTD887</f>
        <v>0</v>
      </c>
      <c r="WTE364" s="373">
        <f>'Q100a-geral'!WTE887</f>
        <v>0</v>
      </c>
      <c r="WTF364" s="373">
        <f>'Q100a-geral'!WTF887</f>
        <v>0</v>
      </c>
      <c r="WTG364" s="373">
        <f>'Q100a-geral'!WTG887</f>
        <v>0</v>
      </c>
      <c r="WTH364" s="373">
        <f>'Q100a-geral'!WTH887</f>
        <v>0</v>
      </c>
      <c r="WTI364" s="373">
        <f>'Q100a-geral'!WTI887</f>
        <v>0</v>
      </c>
      <c r="WTJ364" s="373">
        <f>'Q100a-geral'!WTJ887</f>
        <v>0</v>
      </c>
      <c r="WTK364" s="373">
        <f>'Q100a-geral'!WTK887</f>
        <v>0</v>
      </c>
      <c r="WTL364" s="373">
        <f>'Q100a-geral'!WTL887</f>
        <v>0</v>
      </c>
      <c r="WTM364" s="373">
        <f>'Q100a-geral'!WTM887</f>
        <v>0</v>
      </c>
      <c r="WTN364" s="373">
        <f>'Q100a-geral'!WTN887</f>
        <v>0</v>
      </c>
      <c r="WTO364" s="373">
        <f>'Q100a-geral'!WTO887</f>
        <v>0</v>
      </c>
      <c r="WTP364" s="373">
        <f>'Q100a-geral'!WTP887</f>
        <v>0</v>
      </c>
      <c r="WTQ364" s="373">
        <f>'Q100a-geral'!WTQ887</f>
        <v>0</v>
      </c>
      <c r="WTR364" s="373">
        <f>'Q100a-geral'!WTR887</f>
        <v>0</v>
      </c>
      <c r="WTS364" s="373">
        <f>'Q100a-geral'!WTS887</f>
        <v>0</v>
      </c>
      <c r="WTT364" s="373">
        <f>'Q100a-geral'!WTT887</f>
        <v>0</v>
      </c>
      <c r="WTU364" s="373">
        <f>'Q100a-geral'!WTU887</f>
        <v>0</v>
      </c>
      <c r="WTV364" s="373">
        <f>'Q100a-geral'!WTV887</f>
        <v>0</v>
      </c>
      <c r="WTW364" s="373">
        <f>'Q100a-geral'!WTW887</f>
        <v>0</v>
      </c>
      <c r="WTX364" s="373">
        <f>'Q100a-geral'!WTX887</f>
        <v>0</v>
      </c>
      <c r="WTY364" s="373">
        <f>'Q100a-geral'!WTY887</f>
        <v>0</v>
      </c>
      <c r="WTZ364" s="373">
        <f>'Q100a-geral'!WTZ887</f>
        <v>0</v>
      </c>
      <c r="WUA364" s="373">
        <f>'Q100a-geral'!WUA887</f>
        <v>0</v>
      </c>
      <c r="WUB364" s="373">
        <f>'Q100a-geral'!WUB887</f>
        <v>0</v>
      </c>
      <c r="WUC364" s="373">
        <f>'Q100a-geral'!WUC887</f>
        <v>0</v>
      </c>
      <c r="WUD364" s="373">
        <f>'Q100a-geral'!WUD887</f>
        <v>0</v>
      </c>
      <c r="WUE364" s="373">
        <f>'Q100a-geral'!WUE887</f>
        <v>0</v>
      </c>
      <c r="WUF364" s="373">
        <f>'Q100a-geral'!WUF887</f>
        <v>0</v>
      </c>
      <c r="WUG364" s="373">
        <f>'Q100a-geral'!WUG887</f>
        <v>0</v>
      </c>
      <c r="WUH364" s="373">
        <f>'Q100a-geral'!WUH887</f>
        <v>0</v>
      </c>
      <c r="WUI364" s="373">
        <f>'Q100a-geral'!WUI887</f>
        <v>0</v>
      </c>
      <c r="WUJ364" s="373">
        <f>'Q100a-geral'!WUJ887</f>
        <v>0</v>
      </c>
      <c r="WUK364" s="373">
        <f>'Q100a-geral'!WUK887</f>
        <v>0</v>
      </c>
      <c r="WUL364" s="373">
        <f>'Q100a-geral'!WUL887</f>
        <v>0</v>
      </c>
      <c r="WUM364" s="373">
        <f>'Q100a-geral'!WUM887</f>
        <v>0</v>
      </c>
      <c r="WUN364" s="373">
        <f>'Q100a-geral'!WUN887</f>
        <v>0</v>
      </c>
      <c r="WUO364" s="373">
        <f>'Q100a-geral'!WUO887</f>
        <v>0</v>
      </c>
      <c r="WUP364" s="373">
        <f>'Q100a-geral'!WUP887</f>
        <v>0</v>
      </c>
      <c r="WUQ364" s="373">
        <f>'Q100a-geral'!WUQ887</f>
        <v>0</v>
      </c>
      <c r="WUR364" s="373">
        <f>'Q100a-geral'!WUR887</f>
        <v>0</v>
      </c>
      <c r="WUS364" s="373">
        <f>'Q100a-geral'!WUS887</f>
        <v>0</v>
      </c>
      <c r="WUT364" s="373">
        <f>'Q100a-geral'!WUT887</f>
        <v>0</v>
      </c>
      <c r="WUU364" s="373">
        <f>'Q100a-geral'!WUU887</f>
        <v>0</v>
      </c>
      <c r="WUV364" s="373">
        <f>'Q100a-geral'!WUV887</f>
        <v>0</v>
      </c>
      <c r="WUW364" s="373">
        <f>'Q100a-geral'!WUW887</f>
        <v>0</v>
      </c>
      <c r="WUX364" s="373">
        <f>'Q100a-geral'!WUX887</f>
        <v>0</v>
      </c>
      <c r="WUY364" s="373">
        <f>'Q100a-geral'!WUY887</f>
        <v>0</v>
      </c>
      <c r="WUZ364" s="373">
        <f>'Q100a-geral'!WUZ887</f>
        <v>0</v>
      </c>
      <c r="WVA364" s="373">
        <f>'Q100a-geral'!WVA887</f>
        <v>0</v>
      </c>
      <c r="WVB364" s="373">
        <f>'Q100a-geral'!WVB887</f>
        <v>0</v>
      </c>
      <c r="WVC364" s="373">
        <f>'Q100a-geral'!WVC887</f>
        <v>0</v>
      </c>
      <c r="WVD364" s="373">
        <f>'Q100a-geral'!WVD887</f>
        <v>0</v>
      </c>
      <c r="WVE364" s="373">
        <f>'Q100a-geral'!WVE887</f>
        <v>0</v>
      </c>
      <c r="WVF364" s="373">
        <f>'Q100a-geral'!WVF887</f>
        <v>0</v>
      </c>
      <c r="WVG364" s="373">
        <f>'Q100a-geral'!WVG887</f>
        <v>0</v>
      </c>
      <c r="WVH364" s="373">
        <f>'Q100a-geral'!WVH887</f>
        <v>0</v>
      </c>
      <c r="WVI364" s="373">
        <f>'Q100a-geral'!WVI887</f>
        <v>0</v>
      </c>
      <c r="WVJ364" s="373">
        <f>'Q100a-geral'!WVJ887</f>
        <v>0</v>
      </c>
      <c r="WVK364" s="373">
        <f>'Q100a-geral'!WVK887</f>
        <v>0</v>
      </c>
      <c r="WVL364" s="373">
        <f>'Q100a-geral'!WVL887</f>
        <v>0</v>
      </c>
      <c r="WVM364" s="373">
        <f>'Q100a-geral'!WVM887</f>
        <v>0</v>
      </c>
      <c r="WVN364" s="373">
        <f>'Q100a-geral'!WVN887</f>
        <v>0</v>
      </c>
      <c r="WVO364" s="373">
        <f>'Q100a-geral'!WVO887</f>
        <v>0</v>
      </c>
      <c r="WVP364" s="373">
        <f>'Q100a-geral'!WVP887</f>
        <v>0</v>
      </c>
      <c r="WVQ364" s="373">
        <f>'Q100a-geral'!WVQ887</f>
        <v>0</v>
      </c>
      <c r="WVR364" s="373">
        <f>'Q100a-geral'!WVR887</f>
        <v>0</v>
      </c>
      <c r="WVS364" s="373">
        <f>'Q100a-geral'!WVS887</f>
        <v>0</v>
      </c>
      <c r="WVT364" s="373">
        <f>'Q100a-geral'!WVT887</f>
        <v>0</v>
      </c>
      <c r="WVU364" s="373">
        <f>'Q100a-geral'!WVU887</f>
        <v>0</v>
      </c>
      <c r="WVV364" s="373">
        <f>'Q100a-geral'!WVV887</f>
        <v>0</v>
      </c>
      <c r="WVW364" s="373">
        <f>'Q100a-geral'!WVW887</f>
        <v>0</v>
      </c>
      <c r="WVX364" s="373">
        <f>'Q100a-geral'!WVX887</f>
        <v>0</v>
      </c>
      <c r="WVY364" s="373">
        <f>'Q100a-geral'!WVY887</f>
        <v>0</v>
      </c>
      <c r="WVZ364" s="373">
        <f>'Q100a-geral'!WVZ887</f>
        <v>0</v>
      </c>
      <c r="WWA364" s="373">
        <f>'Q100a-geral'!WWA887</f>
        <v>0</v>
      </c>
      <c r="WWB364" s="373">
        <f>'Q100a-geral'!WWB887</f>
        <v>0</v>
      </c>
      <c r="WWC364" s="373">
        <f>'Q100a-geral'!WWC887</f>
        <v>0</v>
      </c>
      <c r="WWD364" s="373">
        <f>'Q100a-geral'!WWD887</f>
        <v>0</v>
      </c>
      <c r="WWE364" s="373">
        <f>'Q100a-geral'!WWE887</f>
        <v>0</v>
      </c>
      <c r="WWF364" s="373">
        <f>'Q100a-geral'!WWF887</f>
        <v>0</v>
      </c>
      <c r="WWG364" s="373">
        <f>'Q100a-geral'!WWG887</f>
        <v>0</v>
      </c>
      <c r="WWH364" s="373">
        <f>'Q100a-geral'!WWH887</f>
        <v>0</v>
      </c>
      <c r="WWI364" s="373">
        <f>'Q100a-geral'!WWI887</f>
        <v>0</v>
      </c>
      <c r="WWJ364" s="373">
        <f>'Q100a-geral'!WWJ887</f>
        <v>0</v>
      </c>
      <c r="WWK364" s="373">
        <f>'Q100a-geral'!WWK887</f>
        <v>0</v>
      </c>
      <c r="WWL364" s="373">
        <f>'Q100a-geral'!WWL887</f>
        <v>0</v>
      </c>
      <c r="WWM364" s="373">
        <f>'Q100a-geral'!WWM887</f>
        <v>0</v>
      </c>
      <c r="WWN364" s="373">
        <f>'Q100a-geral'!WWN887</f>
        <v>0</v>
      </c>
      <c r="WWO364" s="373">
        <f>'Q100a-geral'!WWO887</f>
        <v>0</v>
      </c>
      <c r="WWP364" s="373">
        <f>'Q100a-geral'!WWP887</f>
        <v>0</v>
      </c>
      <c r="WWQ364" s="373">
        <f>'Q100a-geral'!WWQ887</f>
        <v>0</v>
      </c>
      <c r="WWR364" s="373">
        <f>'Q100a-geral'!WWR887</f>
        <v>0</v>
      </c>
      <c r="WWS364" s="373">
        <f>'Q100a-geral'!WWS887</f>
        <v>0</v>
      </c>
      <c r="WWT364" s="373">
        <f>'Q100a-geral'!WWT887</f>
        <v>0</v>
      </c>
      <c r="WWU364" s="373">
        <f>'Q100a-geral'!WWU887</f>
        <v>0</v>
      </c>
      <c r="WWV364" s="373">
        <f>'Q100a-geral'!WWV887</f>
        <v>0</v>
      </c>
      <c r="WWW364" s="373">
        <f>'Q100a-geral'!WWW887</f>
        <v>0</v>
      </c>
      <c r="WWX364" s="373">
        <f>'Q100a-geral'!WWX887</f>
        <v>0</v>
      </c>
      <c r="WWY364" s="373">
        <f>'Q100a-geral'!WWY887</f>
        <v>0</v>
      </c>
      <c r="WWZ364" s="373">
        <f>'Q100a-geral'!WWZ887</f>
        <v>0</v>
      </c>
      <c r="WXA364" s="373">
        <f>'Q100a-geral'!WXA887</f>
        <v>0</v>
      </c>
      <c r="WXB364" s="373">
        <f>'Q100a-geral'!WXB887</f>
        <v>0</v>
      </c>
      <c r="WXC364" s="373">
        <f>'Q100a-geral'!WXC887</f>
        <v>0</v>
      </c>
      <c r="WXD364" s="373">
        <f>'Q100a-geral'!WXD887</f>
        <v>0</v>
      </c>
      <c r="WXE364" s="373">
        <f>'Q100a-geral'!WXE887</f>
        <v>0</v>
      </c>
      <c r="WXF364" s="373">
        <f>'Q100a-geral'!WXF887</f>
        <v>0</v>
      </c>
      <c r="WXG364" s="373">
        <f>'Q100a-geral'!WXG887</f>
        <v>0</v>
      </c>
      <c r="WXH364" s="373">
        <f>'Q100a-geral'!WXH887</f>
        <v>0</v>
      </c>
      <c r="WXI364" s="373">
        <f>'Q100a-geral'!WXI887</f>
        <v>0</v>
      </c>
      <c r="WXJ364" s="373">
        <f>'Q100a-geral'!WXJ887</f>
        <v>0</v>
      </c>
      <c r="WXK364" s="373">
        <f>'Q100a-geral'!WXK887</f>
        <v>0</v>
      </c>
      <c r="WXL364" s="373">
        <f>'Q100a-geral'!WXL887</f>
        <v>0</v>
      </c>
      <c r="WXM364" s="373">
        <f>'Q100a-geral'!WXM887</f>
        <v>0</v>
      </c>
      <c r="WXN364" s="373">
        <f>'Q100a-geral'!WXN887</f>
        <v>0</v>
      </c>
      <c r="WXO364" s="373">
        <f>'Q100a-geral'!WXO887</f>
        <v>0</v>
      </c>
      <c r="WXP364" s="373">
        <f>'Q100a-geral'!WXP887</f>
        <v>0</v>
      </c>
      <c r="WXQ364" s="373">
        <f>'Q100a-geral'!WXQ887</f>
        <v>0</v>
      </c>
      <c r="WXR364" s="373">
        <f>'Q100a-geral'!WXR887</f>
        <v>0</v>
      </c>
      <c r="WXS364" s="373">
        <f>'Q100a-geral'!WXS887</f>
        <v>0</v>
      </c>
      <c r="WXT364" s="373">
        <f>'Q100a-geral'!WXT887</f>
        <v>0</v>
      </c>
      <c r="WXU364" s="373">
        <f>'Q100a-geral'!WXU887</f>
        <v>0</v>
      </c>
      <c r="WXV364" s="373">
        <f>'Q100a-geral'!WXV887</f>
        <v>0</v>
      </c>
      <c r="WXW364" s="373">
        <f>'Q100a-geral'!WXW887</f>
        <v>0</v>
      </c>
      <c r="WXX364" s="373">
        <f>'Q100a-geral'!WXX887</f>
        <v>0</v>
      </c>
      <c r="WXY364" s="373">
        <f>'Q100a-geral'!WXY887</f>
        <v>0</v>
      </c>
      <c r="WXZ364" s="373">
        <f>'Q100a-geral'!WXZ887</f>
        <v>0</v>
      </c>
      <c r="WYA364" s="373">
        <f>'Q100a-geral'!WYA887</f>
        <v>0</v>
      </c>
      <c r="WYB364" s="373">
        <f>'Q100a-geral'!WYB887</f>
        <v>0</v>
      </c>
      <c r="WYC364" s="373">
        <f>'Q100a-geral'!WYC887</f>
        <v>0</v>
      </c>
      <c r="WYD364" s="373">
        <f>'Q100a-geral'!WYD887</f>
        <v>0</v>
      </c>
      <c r="WYE364" s="373">
        <f>'Q100a-geral'!WYE887</f>
        <v>0</v>
      </c>
      <c r="WYF364" s="373">
        <f>'Q100a-geral'!WYF887</f>
        <v>0</v>
      </c>
      <c r="WYG364" s="373">
        <f>'Q100a-geral'!WYG887</f>
        <v>0</v>
      </c>
      <c r="WYH364" s="373">
        <f>'Q100a-geral'!WYH887</f>
        <v>0</v>
      </c>
      <c r="WYI364" s="373">
        <f>'Q100a-geral'!WYI887</f>
        <v>0</v>
      </c>
      <c r="WYJ364" s="373">
        <f>'Q100a-geral'!WYJ887</f>
        <v>0</v>
      </c>
      <c r="WYK364" s="373">
        <f>'Q100a-geral'!WYK887</f>
        <v>0</v>
      </c>
      <c r="WYL364" s="373">
        <f>'Q100a-geral'!WYL887</f>
        <v>0</v>
      </c>
      <c r="WYM364" s="373">
        <f>'Q100a-geral'!WYM887</f>
        <v>0</v>
      </c>
      <c r="WYN364" s="373">
        <f>'Q100a-geral'!WYN887</f>
        <v>0</v>
      </c>
      <c r="WYO364" s="373">
        <f>'Q100a-geral'!WYO887</f>
        <v>0</v>
      </c>
      <c r="WYP364" s="373">
        <f>'Q100a-geral'!WYP887</f>
        <v>0</v>
      </c>
      <c r="WYQ364" s="373">
        <f>'Q100a-geral'!WYQ887</f>
        <v>0</v>
      </c>
      <c r="WYR364" s="373">
        <f>'Q100a-geral'!WYR887</f>
        <v>0</v>
      </c>
      <c r="WYS364" s="373">
        <f>'Q100a-geral'!WYS887</f>
        <v>0</v>
      </c>
      <c r="WYT364" s="373">
        <f>'Q100a-geral'!WYT887</f>
        <v>0</v>
      </c>
      <c r="WYU364" s="373">
        <f>'Q100a-geral'!WYU887</f>
        <v>0</v>
      </c>
      <c r="WYV364" s="373">
        <f>'Q100a-geral'!WYV887</f>
        <v>0</v>
      </c>
      <c r="WYW364" s="373">
        <f>'Q100a-geral'!WYW887</f>
        <v>0</v>
      </c>
      <c r="WYX364" s="373">
        <f>'Q100a-geral'!WYX887</f>
        <v>0</v>
      </c>
      <c r="WYY364" s="373">
        <f>'Q100a-geral'!WYY887</f>
        <v>0</v>
      </c>
      <c r="WYZ364" s="373">
        <f>'Q100a-geral'!WYZ887</f>
        <v>0</v>
      </c>
      <c r="WZA364" s="373">
        <f>'Q100a-geral'!WZA887</f>
        <v>0</v>
      </c>
      <c r="WZB364" s="373">
        <f>'Q100a-geral'!WZB887</f>
        <v>0</v>
      </c>
      <c r="WZC364" s="373">
        <f>'Q100a-geral'!WZC887</f>
        <v>0</v>
      </c>
      <c r="WZD364" s="373">
        <f>'Q100a-geral'!WZD887</f>
        <v>0</v>
      </c>
      <c r="WZE364" s="373">
        <f>'Q100a-geral'!WZE887</f>
        <v>0</v>
      </c>
      <c r="WZF364" s="373">
        <f>'Q100a-geral'!WZF887</f>
        <v>0</v>
      </c>
      <c r="WZG364" s="373">
        <f>'Q100a-geral'!WZG887</f>
        <v>0</v>
      </c>
      <c r="WZH364" s="373">
        <f>'Q100a-geral'!WZH887</f>
        <v>0</v>
      </c>
      <c r="WZI364" s="373">
        <f>'Q100a-geral'!WZI887</f>
        <v>0</v>
      </c>
      <c r="WZJ364" s="373">
        <f>'Q100a-geral'!WZJ887</f>
        <v>0</v>
      </c>
      <c r="WZK364" s="373">
        <f>'Q100a-geral'!WZK887</f>
        <v>0</v>
      </c>
      <c r="WZL364" s="373">
        <f>'Q100a-geral'!WZL887</f>
        <v>0</v>
      </c>
      <c r="WZM364" s="373">
        <f>'Q100a-geral'!WZM887</f>
        <v>0</v>
      </c>
      <c r="WZN364" s="373">
        <f>'Q100a-geral'!WZN887</f>
        <v>0</v>
      </c>
      <c r="WZO364" s="373">
        <f>'Q100a-geral'!WZO887</f>
        <v>0</v>
      </c>
      <c r="WZP364" s="373">
        <f>'Q100a-geral'!WZP887</f>
        <v>0</v>
      </c>
      <c r="WZQ364" s="373">
        <f>'Q100a-geral'!WZQ887</f>
        <v>0</v>
      </c>
      <c r="WZR364" s="373">
        <f>'Q100a-geral'!WZR887</f>
        <v>0</v>
      </c>
      <c r="WZS364" s="373">
        <f>'Q100a-geral'!WZS887</f>
        <v>0</v>
      </c>
      <c r="WZT364" s="373">
        <f>'Q100a-geral'!WZT887</f>
        <v>0</v>
      </c>
      <c r="WZU364" s="373">
        <f>'Q100a-geral'!WZU887</f>
        <v>0</v>
      </c>
      <c r="WZV364" s="373">
        <f>'Q100a-geral'!WZV887</f>
        <v>0</v>
      </c>
      <c r="WZW364" s="373">
        <f>'Q100a-geral'!WZW887</f>
        <v>0</v>
      </c>
      <c r="WZX364" s="373">
        <f>'Q100a-geral'!WZX887</f>
        <v>0</v>
      </c>
      <c r="WZY364" s="373">
        <f>'Q100a-geral'!WZY887</f>
        <v>0</v>
      </c>
      <c r="WZZ364" s="373">
        <f>'Q100a-geral'!WZZ887</f>
        <v>0</v>
      </c>
      <c r="XAA364" s="373">
        <f>'Q100a-geral'!XAA887</f>
        <v>0</v>
      </c>
      <c r="XAB364" s="373">
        <f>'Q100a-geral'!XAB887</f>
        <v>0</v>
      </c>
      <c r="XAC364" s="373">
        <f>'Q100a-geral'!XAC887</f>
        <v>0</v>
      </c>
      <c r="XAD364" s="373">
        <f>'Q100a-geral'!XAD887</f>
        <v>0</v>
      </c>
      <c r="XAE364" s="373">
        <f>'Q100a-geral'!XAE887</f>
        <v>0</v>
      </c>
      <c r="XAF364" s="373">
        <f>'Q100a-geral'!XAF887</f>
        <v>0</v>
      </c>
      <c r="XAG364" s="373">
        <f>'Q100a-geral'!XAG887</f>
        <v>0</v>
      </c>
      <c r="XAH364" s="373">
        <f>'Q100a-geral'!XAH887</f>
        <v>0</v>
      </c>
      <c r="XAI364" s="373">
        <f>'Q100a-geral'!XAI887</f>
        <v>0</v>
      </c>
      <c r="XAJ364" s="373">
        <f>'Q100a-geral'!XAJ887</f>
        <v>0</v>
      </c>
      <c r="XAK364" s="373">
        <f>'Q100a-geral'!XAK887</f>
        <v>0</v>
      </c>
      <c r="XAL364" s="373">
        <f>'Q100a-geral'!XAL887</f>
        <v>0</v>
      </c>
      <c r="XAM364" s="373">
        <f>'Q100a-geral'!XAM887</f>
        <v>0</v>
      </c>
      <c r="XAN364" s="373">
        <f>'Q100a-geral'!XAN887</f>
        <v>0</v>
      </c>
      <c r="XAO364" s="373">
        <f>'Q100a-geral'!XAO887</f>
        <v>0</v>
      </c>
      <c r="XAP364" s="373">
        <f>'Q100a-geral'!XAP887</f>
        <v>0</v>
      </c>
      <c r="XAQ364" s="373">
        <f>'Q100a-geral'!XAQ887</f>
        <v>0</v>
      </c>
      <c r="XAR364" s="373">
        <f>'Q100a-geral'!XAR887</f>
        <v>0</v>
      </c>
      <c r="XAS364" s="373">
        <f>'Q100a-geral'!XAS887</f>
        <v>0</v>
      </c>
      <c r="XAT364" s="373">
        <f>'Q100a-geral'!XAT887</f>
        <v>0</v>
      </c>
      <c r="XAU364" s="373">
        <f>'Q100a-geral'!XAU887</f>
        <v>0</v>
      </c>
      <c r="XAV364" s="373">
        <f>'Q100a-geral'!XAV887</f>
        <v>0</v>
      </c>
      <c r="XAW364" s="373">
        <f>'Q100a-geral'!XAW887</f>
        <v>0</v>
      </c>
      <c r="XAX364" s="373">
        <f>'Q100a-geral'!XAX887</f>
        <v>0</v>
      </c>
      <c r="XAY364" s="373">
        <f>'Q100a-geral'!XAY887</f>
        <v>0</v>
      </c>
      <c r="XAZ364" s="373">
        <f>'Q100a-geral'!XAZ887</f>
        <v>0</v>
      </c>
      <c r="XBA364" s="373">
        <f>'Q100a-geral'!XBA887</f>
        <v>0</v>
      </c>
      <c r="XBB364" s="373">
        <f>'Q100a-geral'!XBB887</f>
        <v>0</v>
      </c>
      <c r="XBC364" s="373">
        <f>'Q100a-geral'!XBC887</f>
        <v>0</v>
      </c>
      <c r="XBD364" s="373">
        <f>'Q100a-geral'!XBD887</f>
        <v>0</v>
      </c>
      <c r="XBE364" s="373">
        <f>'Q100a-geral'!XBE887</f>
        <v>0</v>
      </c>
      <c r="XBF364" s="373">
        <f>'Q100a-geral'!XBF887</f>
        <v>0</v>
      </c>
      <c r="XBG364" s="373">
        <f>'Q100a-geral'!XBG887</f>
        <v>0</v>
      </c>
      <c r="XBH364" s="373">
        <f>'Q100a-geral'!XBH887</f>
        <v>0</v>
      </c>
      <c r="XBI364" s="373">
        <f>'Q100a-geral'!XBI887</f>
        <v>0</v>
      </c>
      <c r="XBJ364" s="373">
        <f>'Q100a-geral'!XBJ887</f>
        <v>0</v>
      </c>
      <c r="XBK364" s="373">
        <f>'Q100a-geral'!XBK887</f>
        <v>0</v>
      </c>
      <c r="XBL364" s="373">
        <f>'Q100a-geral'!XBL887</f>
        <v>0</v>
      </c>
      <c r="XBM364" s="373">
        <f>'Q100a-geral'!XBM887</f>
        <v>0</v>
      </c>
      <c r="XBN364" s="373">
        <f>'Q100a-geral'!XBN887</f>
        <v>0</v>
      </c>
      <c r="XBO364" s="373">
        <f>'Q100a-geral'!XBO887</f>
        <v>0</v>
      </c>
      <c r="XBP364" s="373">
        <f>'Q100a-geral'!XBP887</f>
        <v>0</v>
      </c>
      <c r="XBQ364" s="373">
        <f>'Q100a-geral'!XBQ887</f>
        <v>0</v>
      </c>
      <c r="XBR364" s="373">
        <f>'Q100a-geral'!XBR887</f>
        <v>0</v>
      </c>
      <c r="XBS364" s="373">
        <f>'Q100a-geral'!XBS887</f>
        <v>0</v>
      </c>
      <c r="XBT364" s="373">
        <f>'Q100a-geral'!XBT887</f>
        <v>0</v>
      </c>
      <c r="XBU364" s="373">
        <f>'Q100a-geral'!XBU887</f>
        <v>0</v>
      </c>
      <c r="XBV364" s="373">
        <f>'Q100a-geral'!XBV887</f>
        <v>0</v>
      </c>
      <c r="XBW364" s="373">
        <f>'Q100a-geral'!XBW887</f>
        <v>0</v>
      </c>
      <c r="XBX364" s="373">
        <f>'Q100a-geral'!XBX887</f>
        <v>0</v>
      </c>
      <c r="XBY364" s="373">
        <f>'Q100a-geral'!XBY887</f>
        <v>0</v>
      </c>
      <c r="XBZ364" s="373">
        <f>'Q100a-geral'!XBZ887</f>
        <v>0</v>
      </c>
      <c r="XCA364" s="373">
        <f>'Q100a-geral'!XCA887</f>
        <v>0</v>
      </c>
      <c r="XCB364" s="373">
        <f>'Q100a-geral'!XCB887</f>
        <v>0</v>
      </c>
      <c r="XCC364" s="373">
        <f>'Q100a-geral'!XCC887</f>
        <v>0</v>
      </c>
      <c r="XCD364" s="373">
        <f>'Q100a-geral'!XCD887</f>
        <v>0</v>
      </c>
      <c r="XCE364" s="373">
        <f>'Q100a-geral'!XCE887</f>
        <v>0</v>
      </c>
      <c r="XCF364" s="373">
        <f>'Q100a-geral'!XCF887</f>
        <v>0</v>
      </c>
      <c r="XCG364" s="373">
        <f>'Q100a-geral'!XCG887</f>
        <v>0</v>
      </c>
      <c r="XCH364" s="373">
        <f>'Q100a-geral'!XCH887</f>
        <v>0</v>
      </c>
      <c r="XCI364" s="373">
        <f>'Q100a-geral'!XCI887</f>
        <v>0</v>
      </c>
      <c r="XCJ364" s="373">
        <f>'Q100a-geral'!XCJ887</f>
        <v>0</v>
      </c>
      <c r="XCK364" s="373">
        <f>'Q100a-geral'!XCK887</f>
        <v>0</v>
      </c>
      <c r="XCL364" s="373">
        <f>'Q100a-geral'!XCL887</f>
        <v>0</v>
      </c>
      <c r="XCM364" s="373">
        <f>'Q100a-geral'!XCM887</f>
        <v>0</v>
      </c>
      <c r="XCN364" s="373">
        <f>'Q100a-geral'!XCN887</f>
        <v>0</v>
      </c>
      <c r="XCO364" s="373">
        <f>'Q100a-geral'!XCO887</f>
        <v>0</v>
      </c>
      <c r="XCP364" s="373">
        <f>'Q100a-geral'!XCP887</f>
        <v>0</v>
      </c>
      <c r="XCQ364" s="373">
        <f>'Q100a-geral'!XCQ887</f>
        <v>0</v>
      </c>
      <c r="XCR364" s="373">
        <f>'Q100a-geral'!XCR887</f>
        <v>0</v>
      </c>
      <c r="XCS364" s="373">
        <f>'Q100a-geral'!XCS887</f>
        <v>0</v>
      </c>
      <c r="XCT364" s="373">
        <f>'Q100a-geral'!XCT887</f>
        <v>0</v>
      </c>
      <c r="XCU364" s="373">
        <f>'Q100a-geral'!XCU887</f>
        <v>0</v>
      </c>
      <c r="XCV364" s="373">
        <f>'Q100a-geral'!XCV887</f>
        <v>0</v>
      </c>
      <c r="XCW364" s="373">
        <f>'Q100a-geral'!XCW887</f>
        <v>0</v>
      </c>
      <c r="XCX364" s="373">
        <f>'Q100a-geral'!XCX887</f>
        <v>0</v>
      </c>
      <c r="XCY364" s="373">
        <f>'Q100a-geral'!XCY887</f>
        <v>0</v>
      </c>
      <c r="XCZ364" s="373">
        <f>'Q100a-geral'!XCZ887</f>
        <v>0</v>
      </c>
      <c r="XDA364" s="373">
        <f>'Q100a-geral'!XDA887</f>
        <v>0</v>
      </c>
      <c r="XDB364" s="373">
        <f>'Q100a-geral'!XDB887</f>
        <v>0</v>
      </c>
      <c r="XDC364" s="373">
        <f>'Q100a-geral'!XDC887</f>
        <v>0</v>
      </c>
      <c r="XDD364" s="373">
        <f>'Q100a-geral'!XDD887</f>
        <v>0</v>
      </c>
      <c r="XDE364" s="373">
        <f>'Q100a-geral'!XDE887</f>
        <v>0</v>
      </c>
      <c r="XDF364" s="373">
        <f>'Q100a-geral'!XDF887</f>
        <v>0</v>
      </c>
      <c r="XDG364" s="373">
        <f>'Q100a-geral'!XDG887</f>
        <v>0</v>
      </c>
      <c r="XDH364" s="373">
        <f>'Q100a-geral'!XDH887</f>
        <v>0</v>
      </c>
      <c r="XDI364" s="373">
        <f>'Q100a-geral'!XDI887</f>
        <v>0</v>
      </c>
      <c r="XDJ364" s="373">
        <f>'Q100a-geral'!XDJ887</f>
        <v>0</v>
      </c>
      <c r="XDK364" s="373">
        <f>'Q100a-geral'!XDK887</f>
        <v>0</v>
      </c>
      <c r="XDL364" s="373">
        <f>'Q100a-geral'!XDL887</f>
        <v>0</v>
      </c>
      <c r="XDM364" s="373">
        <f>'Q100a-geral'!XDM887</f>
        <v>0</v>
      </c>
      <c r="XDN364" s="373">
        <f>'Q100a-geral'!XDN887</f>
        <v>0</v>
      </c>
      <c r="XDO364" s="373">
        <f>'Q100a-geral'!XDO887</f>
        <v>0</v>
      </c>
      <c r="XDP364" s="373">
        <f>'Q100a-geral'!XDP887</f>
        <v>0</v>
      </c>
      <c r="XDQ364" s="373">
        <f>'Q100a-geral'!XDQ887</f>
        <v>0</v>
      </c>
      <c r="XDR364" s="373">
        <f>'Q100a-geral'!XDR887</f>
        <v>0</v>
      </c>
      <c r="XDS364" s="373">
        <f>'Q100a-geral'!XDS887</f>
        <v>0</v>
      </c>
      <c r="XDT364" s="373">
        <f>'Q100a-geral'!XDT887</f>
        <v>0</v>
      </c>
      <c r="XDU364" s="373">
        <f>'Q100a-geral'!XDU887</f>
        <v>0</v>
      </c>
      <c r="XDV364" s="373">
        <f>'Q100a-geral'!XDV887</f>
        <v>0</v>
      </c>
      <c r="XDW364" s="373">
        <f>'Q100a-geral'!XDW887</f>
        <v>0</v>
      </c>
      <c r="XDX364" s="373">
        <f>'Q100a-geral'!XDX887</f>
        <v>0</v>
      </c>
      <c r="XDY364" s="373">
        <f>'Q100a-geral'!XDY887</f>
        <v>0</v>
      </c>
      <c r="XDZ364" s="373">
        <f>'Q100a-geral'!XDZ887</f>
        <v>0</v>
      </c>
      <c r="XEA364" s="373">
        <f>'Q100a-geral'!XEA887</f>
        <v>0</v>
      </c>
      <c r="XEB364" s="373">
        <f>'Q100a-geral'!XEB887</f>
        <v>0</v>
      </c>
      <c r="XEC364" s="373">
        <f>'Q100a-geral'!XEC887</f>
        <v>0</v>
      </c>
      <c r="XED364" s="373">
        <f>'Q100a-geral'!XED887</f>
        <v>0</v>
      </c>
      <c r="XEE364" s="373">
        <f>'Q100a-geral'!XEE887</f>
        <v>0</v>
      </c>
      <c r="XEF364" s="373">
        <f>'Q100a-geral'!XEF887</f>
        <v>0</v>
      </c>
      <c r="XEG364" s="373">
        <f>'Q100a-geral'!XEG887</f>
        <v>0</v>
      </c>
      <c r="XEH364" s="373">
        <f>'Q100a-geral'!XEH887</f>
        <v>0</v>
      </c>
      <c r="XEI364" s="373">
        <f>'Q100a-geral'!XEI887</f>
        <v>0</v>
      </c>
      <c r="XEJ364" s="373">
        <f>'Q100a-geral'!XEJ887</f>
        <v>0</v>
      </c>
      <c r="XEK364" s="373">
        <f>'Q100a-geral'!XEK887</f>
        <v>0</v>
      </c>
      <c r="XEL364" s="373">
        <f>'Q100a-geral'!XEL887</f>
        <v>0</v>
      </c>
      <c r="XEM364" s="373">
        <f>'Q100a-geral'!XEM887</f>
        <v>0</v>
      </c>
      <c r="XEN364" s="373">
        <f>'Q100a-geral'!XEN887</f>
        <v>0</v>
      </c>
      <c r="XEO364" s="373">
        <f>'Q100a-geral'!XEO887</f>
        <v>0</v>
      </c>
      <c r="XEP364" s="373">
        <f>'Q100a-geral'!XEP887</f>
        <v>0</v>
      </c>
      <c r="XEQ364" s="373">
        <f>'Q100a-geral'!XEQ887</f>
        <v>0</v>
      </c>
      <c r="XER364" s="373">
        <f>'Q100a-geral'!XER887</f>
        <v>0</v>
      </c>
      <c r="XES364" s="373">
        <f>'Q100a-geral'!XES887</f>
        <v>0</v>
      </c>
      <c r="XET364" s="373">
        <f>'Q100a-geral'!XET887</f>
        <v>0</v>
      </c>
      <c r="XEU364" s="373">
        <f>'Q100a-geral'!XEU887</f>
        <v>0</v>
      </c>
    </row>
    <row r="365" spans="1:16375" s="1" customFormat="1" ht="87" customHeight="1" x14ac:dyDescent="0.25">
      <c r="A365" s="275" t="str">
        <f>'Q100a-geral'!A893</f>
        <v>8.10</v>
      </c>
      <c r="B365" s="11" t="str">
        <f>'Q100a-geral'!B893</f>
        <v>Sistema de transporte coletivo com um todo</v>
      </c>
      <c r="C365" s="57" t="str">
        <f>'Q100a-geral'!C893</f>
        <v>acessibilidade</v>
      </c>
      <c r="D365" s="362" t="str">
        <f>'Q100a-geral'!D893</f>
        <v>F tc BRTmisto eh ecp</v>
      </c>
      <c r="E365" s="488" t="str">
        <f>'Q100a-geral'!E893</f>
        <v>x</v>
      </c>
      <c r="F365" s="490" t="str">
        <f>'Q100a-geral'!F893</f>
        <v>frota em n.º de ônibus do transporte público coletivo de uma cidade/região com operação diferente em cada um dos lados: do lado esquerdo operação em corredor de BRT com plataforma elevada e embarque/desembarque em nível com o apoio de plataforma manual em uma das portas; do lado direito operação em vias comuns fora do corredor de BRT, equipados com elevador hidráulico em uma das portas que permite embarque/desembarque não exclusivo de usuários cadeirantes (pessoas em pé podem utilizar o equipamento caso se sintam seguras)
obs.1: os veículos desta categoria recebem peso 5, numa escala de 1 a 10, na classificação definida pelo SisMob-BH para classificar a acessibilidade - acesse "acessibilidade em ônibus urbano (escala)"
obs.2: acesse informações quantitativas relativas ao indicador "IAED" das cidades/regiões já incorporadas ao SisMob-BH</v>
      </c>
      <c r="G365" s="57" t="str">
        <f>'Q100a-geral'!G893</f>
        <v>verbete
MFO</v>
      </c>
      <c r="H365" s="167" t="str">
        <f>'Q100a-geral'!H893</f>
        <v>sigla/verbete</v>
      </c>
      <c r="I365" s="167" t="str">
        <f>'Q100a-geral'!I893</f>
        <v>x</v>
      </c>
      <c r="J365" s="107" t="str">
        <f>'Q100a-geral'!J893</f>
        <v>x</v>
      </c>
      <c r="K365" s="107" t="str">
        <f>'Q100a-geral'!K893</f>
        <v>x</v>
      </c>
      <c r="L365" s="107" t="str">
        <f>'Q100a-geral'!L893</f>
        <v>x</v>
      </c>
      <c r="M365" s="107" t="str">
        <f>'Q100a-geral'!M893</f>
        <v>x</v>
      </c>
      <c r="N365" s="107" t="str">
        <f>'Q100a-geral'!N893</f>
        <v>x</v>
      </c>
      <c r="O365" s="107" t="str">
        <f>'Q100a-geral'!O893</f>
        <v>x</v>
      </c>
      <c r="P365" s="107" t="str">
        <f>'Q100a-geral'!P893</f>
        <v>x</v>
      </c>
      <c r="Q365" s="107" t="str">
        <f>'Q100a-geral'!Q893</f>
        <v>x</v>
      </c>
      <c r="R365" s="107" t="str">
        <f>'Q100a-geral'!R893</f>
        <v>x</v>
      </c>
      <c r="S365" s="109" t="str">
        <f>'Q100a-geral'!S893</f>
        <v>só para pesquisa</v>
      </c>
      <c r="T365" s="108" t="str">
        <f>'Q100a-geral'!T893</f>
        <v>x</v>
      </c>
      <c r="U365" s="108" t="str">
        <f>'Q100a-geral'!U893</f>
        <v>x</v>
      </c>
      <c r="V365" s="109" t="str">
        <f>'Q100a-geral'!V893</f>
        <v>só para pesquisa</v>
      </c>
      <c r="W365" s="108" t="str">
        <f>'Q100a-geral'!W893</f>
        <v>x</v>
      </c>
      <c r="X365" s="108" t="str">
        <f>'Q100a-geral'!X893</f>
        <v>x</v>
      </c>
      <c r="Y365" s="108" t="str">
        <f>'Q100a-geral'!Y893</f>
        <v>x</v>
      </c>
      <c r="Z365" s="108" t="str">
        <f>'Q100a-geral'!Z893</f>
        <v>x</v>
      </c>
      <c r="AA365" s="108" t="str">
        <f>'Q100a-geral'!AA893</f>
        <v>x</v>
      </c>
      <c r="AB365" s="108" t="str">
        <f>'Q100a-geral'!AB893</f>
        <v>x</v>
      </c>
      <c r="AC365" s="108" t="str">
        <f>'Q100a-geral'!AC893</f>
        <v>x</v>
      </c>
      <c r="AD365" s="108" t="str">
        <f>'Q100a-geral'!AD893</f>
        <v>x</v>
      </c>
      <c r="AE365" s="108" t="str">
        <f>'Q100a-geral'!AE893</f>
        <v>x</v>
      </c>
      <c r="AF365" s="108" t="str">
        <f>'Q100a-geral'!AF893</f>
        <v>x</v>
      </c>
      <c r="AG365" s="108" t="str">
        <f>'Q100a-geral'!AG893</f>
        <v>x</v>
      </c>
      <c r="AH365" s="108" t="str">
        <f>'Q100a-geral'!AH893</f>
        <v>x</v>
      </c>
      <c r="AI365" s="108" t="str">
        <f>'Q100a-geral'!AI893</f>
        <v>x</v>
      </c>
      <c r="AJ365" s="108" t="str">
        <f>'Q100a-geral'!AJ893</f>
        <v>x</v>
      </c>
      <c r="AK365" s="108" t="str">
        <f>'Q100a-geral'!AK893</f>
        <v>x</v>
      </c>
      <c r="AL365" s="601" t="str">
        <f>'Q100a-geral'!AL893</f>
        <v>x</v>
      </c>
      <c r="AM365" s="137" t="str">
        <f>'Q100a-geral'!AM893</f>
        <v>x</v>
      </c>
      <c r="AN365" s="137" t="str">
        <f>'Q100a-geral'!AN893</f>
        <v>x</v>
      </c>
      <c r="AO365" s="137" t="str">
        <f>'Q100a-geral'!AO893</f>
        <v>x</v>
      </c>
      <c r="AP365" s="137" t="str">
        <f>'Q100a-geral'!AP893</f>
        <v>x</v>
      </c>
      <c r="AQ365" s="137" t="str">
        <f>'Q100a-geral'!AQ893</f>
        <v>x</v>
      </c>
      <c r="AR365" s="137"/>
      <c r="AS365" s="137"/>
      <c r="AT365" s="137"/>
      <c r="AU365" s="137"/>
      <c r="AV365" s="137" t="str">
        <f>'Q100a-geral'!AV893</f>
        <v>x</v>
      </c>
      <c r="AW365" s="137"/>
      <c r="AX365" s="137"/>
      <c r="AY365" s="137"/>
      <c r="AZ365" s="137"/>
      <c r="BA365" s="137" t="str">
        <f>'Q100a-geral'!BA893</f>
        <v>x</v>
      </c>
      <c r="BB365" s="239" t="str">
        <f>'Q100a-geral'!BB893</f>
        <v>Sistema de transporte coletivo com um todoacessibilidade</v>
      </c>
      <c r="BC365" s="239" t="str">
        <f>'Q100a-geral'!BC893</f>
        <v>Sistema de transporte coletivo com um todoacessibilidadesigla/verbete</v>
      </c>
      <c r="BD365" s="239" t="str">
        <f>'Q100a-geral'!BD893</f>
        <v>Sistema de transporte coletivo com um todosigla/verbete</v>
      </c>
      <c r="BE365" s="814" t="s">
        <v>4108</v>
      </c>
      <c r="BF365" s="421">
        <v>5</v>
      </c>
    </row>
    <row r="366" spans="1:16375" s="1" customFormat="1" ht="90" x14ac:dyDescent="0.25">
      <c r="A366" s="413" t="str">
        <f>'Q100a-geral'!A991</f>
        <v>8.10</v>
      </c>
      <c r="B366" s="11" t="str">
        <f>'Q100a-geral'!B991</f>
        <v>Sistema de transporte coletivo com um todo</v>
      </c>
      <c r="C366" s="173" t="str">
        <f>'Q100a-geral'!C991</f>
        <v>acessibilidade</v>
      </c>
      <c r="D366" s="377" t="str">
        <f>'Q100a-geral'!D991</f>
        <v>F tc en s/rampa</v>
      </c>
      <c r="E366" s="355" t="str">
        <f>'Q100a-geral'!E991</f>
        <v>x</v>
      </c>
      <c r="F366" s="486" t="str">
        <f>'Q100a-geral'!F991</f>
        <v>frota em n.º de ônibus do transporte público coletivo de uma cidade/região de piso alto operando com embarque/desembarque apenas em plataformas elevadas (BRT, por exemplo) ou veículos de piso baixo dianteiro, traseiro ou central, em ambos os casos sem rampa veicular (com embarque/desembarque podendo acontecer em nível em todas as portas ou em parte das portas, embora sem o apoio de uma rampa e dependente no motorista estacionar rente à plataforma ou rente à plataforma, sempre sem garantia de fronteira máxima conforme normas brasileiras vigentes
obs.1: os veículos desta categoria recebem peso 6, numa escala de 1 a 10, na classificação definida pelo SisMob-BH para classificar a acessibilidade - acesse "acessibilidade em ônibus urbano (escala)"
obs.2: acesse informações quantitativas relativas ao indicador "IAED" das cidades/regiões já incorporadas ao SisMob-BH</v>
      </c>
      <c r="G366" s="529" t="str">
        <f>'Q100a-geral'!G991</f>
        <v>verbete
MFO</v>
      </c>
      <c r="H366" s="167" t="str">
        <f>'Q100a-geral'!H991</f>
        <v>meta/RPI</v>
      </c>
      <c r="I366" s="167" t="str">
        <f>'Q100a-geral'!I991</f>
        <v>x</v>
      </c>
      <c r="J366" s="107" t="str">
        <f>'Q100a-geral'!J991</f>
        <v>x</v>
      </c>
      <c r="K366" s="107" t="str">
        <f>'Q100a-geral'!K991</f>
        <v>x</v>
      </c>
      <c r="L366" s="107" t="str">
        <f>'Q100a-geral'!L991</f>
        <v>x</v>
      </c>
      <c r="M366" s="371" t="str">
        <f>'Q100a-geral'!M991</f>
        <v>x</v>
      </c>
      <c r="N366" s="371" t="str">
        <f>'Q100a-geral'!N991</f>
        <v>x</v>
      </c>
      <c r="O366" s="371" t="str">
        <f>'Q100a-geral'!O991</f>
        <v>x</v>
      </c>
      <c r="P366" s="371" t="str">
        <f>'Q100a-geral'!P991</f>
        <v>x</v>
      </c>
      <c r="Q366" s="371" t="str">
        <f>'Q100a-geral'!Q991</f>
        <v>x</v>
      </c>
      <c r="R366" s="371" t="str">
        <f>'Q100a-geral'!R991</f>
        <v>x</v>
      </c>
      <c r="S366" s="109" t="str">
        <f>'Q100a-geral'!S991</f>
        <v>só para pesquisa</v>
      </c>
      <c r="T366" s="419" t="str">
        <f>'Q100a-geral'!T991</f>
        <v>x</v>
      </c>
      <c r="U366" s="419" t="str">
        <f>'Q100a-geral'!U991</f>
        <v>x</v>
      </c>
      <c r="V366" s="109" t="str">
        <f>'Q100a-geral'!V991</f>
        <v>só para pesquisa</v>
      </c>
      <c r="W366" s="109" t="str">
        <f>'Q100a-geral'!W991</f>
        <v>x</v>
      </c>
      <c r="X366" s="109" t="str">
        <f>'Q100a-geral'!X991</f>
        <v>x</v>
      </c>
      <c r="Y366" s="109" t="str">
        <f>'Q100a-geral'!Y991</f>
        <v>x</v>
      </c>
      <c r="Z366" s="109" t="str">
        <f>'Q100a-geral'!Z991</f>
        <v>x</v>
      </c>
      <c r="AA366" s="109" t="str">
        <f>'Q100a-geral'!AA991</f>
        <v>x</v>
      </c>
      <c r="AB366" s="109" t="str">
        <f>'Q100a-geral'!AB991</f>
        <v>x</v>
      </c>
      <c r="AC366" s="109" t="str">
        <f>'Q100a-geral'!AC991</f>
        <v>x</v>
      </c>
      <c r="AD366" s="109" t="str">
        <f>'Q100a-geral'!AD991</f>
        <v>x</v>
      </c>
      <c r="AE366" s="109" t="str">
        <f>'Q100a-geral'!AE991</f>
        <v>x</v>
      </c>
      <c r="AF366" s="109" t="str">
        <f>'Q100a-geral'!AF991</f>
        <v>x</v>
      </c>
      <c r="AG366" s="109" t="str">
        <f>'Q100a-geral'!AG991</f>
        <v>x</v>
      </c>
      <c r="AH366" s="109" t="str">
        <f>'Q100a-geral'!AH991</f>
        <v>x</v>
      </c>
      <c r="AI366" s="109" t="str">
        <f>'Q100a-geral'!AI991</f>
        <v>x</v>
      </c>
      <c r="AJ366" s="109" t="str">
        <f>'Q100a-geral'!AJ991</f>
        <v>x</v>
      </c>
      <c r="AK366" s="109" t="str">
        <f>'Q100a-geral'!AK991</f>
        <v>x</v>
      </c>
      <c r="AL366" s="601" t="str">
        <f>'Q100a-geral'!AL991</f>
        <v>x</v>
      </c>
      <c r="AM366" s="137" t="str">
        <f>'Q100a-geral'!AM991</f>
        <v>x</v>
      </c>
      <c r="AN366" s="137" t="str">
        <f>'Q100a-geral'!AN991</f>
        <v>x</v>
      </c>
      <c r="AO366" s="137" t="str">
        <f>'Q100a-geral'!AO991</f>
        <v>x</v>
      </c>
      <c r="AP366" s="137" t="str">
        <f>'Q100a-geral'!AP991</f>
        <v>x</v>
      </c>
      <c r="AQ366" s="137" t="str">
        <f>'Q100a-geral'!AQ991</f>
        <v>x</v>
      </c>
      <c r="AR366" s="137"/>
      <c r="AS366" s="137"/>
      <c r="AT366" s="137"/>
      <c r="AU366" s="137"/>
      <c r="AV366" s="137" t="str">
        <f>'Q100a-geral'!AV991</f>
        <v>x</v>
      </c>
      <c r="AW366" s="137"/>
      <c r="AX366" s="137"/>
      <c r="AY366" s="137"/>
      <c r="AZ366" s="137"/>
      <c r="BA366" s="137" t="str">
        <f>'Q100a-geral'!BA991</f>
        <v>x</v>
      </c>
      <c r="BB366" s="239" t="str">
        <f>'Q100a-geral'!BB991</f>
        <v>Sistema de transporte coletivo com um todoacessibilidade</v>
      </c>
      <c r="BC366" s="239" t="str">
        <f>'Q100a-geral'!BC991</f>
        <v>Sistema de transporte coletivo com um todoacessibilidademeta/RPI</v>
      </c>
      <c r="BD366" s="239" t="str">
        <f>'Q100a-geral'!BD991</f>
        <v>Sistema de transporte coletivo com um todometa/RPI</v>
      </c>
      <c r="BE366" s="358" t="s">
        <v>2353</v>
      </c>
      <c r="BF366" s="421">
        <v>6</v>
      </c>
    </row>
    <row r="367" spans="1:16375" s="1" customFormat="1" ht="87" customHeight="1" x14ac:dyDescent="0.25">
      <c r="A367" s="413" t="str">
        <f>'Q100a-geral'!A996</f>
        <v>8.10</v>
      </c>
      <c r="B367" s="11" t="str">
        <f>'Q100a-geral'!B996</f>
        <v>Sistema de transporte coletivo com um todo</v>
      </c>
      <c r="C367" s="173" t="str">
        <f>'Q100a-geral'!C996</f>
        <v>acessibilidade</v>
      </c>
      <c r="D367" s="377" t="str">
        <f>'Q100a-geral'!D996</f>
        <v>F tc ent s/rampa</v>
      </c>
      <c r="E367" s="355" t="str">
        <f>'Q100a-geral'!E996</f>
        <v>x</v>
      </c>
      <c r="F367" s="486" t="str">
        <f>'Q100a-geral'!F996</f>
        <v>frota em n.º de ônibus do transporte público coletivo de uma cidade/região de piso-baixo total sem rampa veicular (com embarque/desembarque podendo acontecer sempre em nível e em qualquer porta, mas sem o apoio de uma rampa e dependente no motorista estacionar rente ao meio-fio)
obs.1: os veículos desta categoria recebem peso 7, numa escala de 1 a 10, na classificação definida pelo SisMob-BH para classificar a acessibilidade - acesse "acessibilidade em ônibus urbano (escala)"
obs.2: acesse informações quantitativas relativas ao indicador "IAED" das cidades/regiões já incorporadas ao SisMob-BH</v>
      </c>
      <c r="G367" s="167" t="str">
        <f>'Q100a-geral'!G996</f>
        <v>verbete
MFO</v>
      </c>
      <c r="H367" s="167" t="str">
        <f>'Q100a-geral'!H996</f>
        <v>meta/RPI</v>
      </c>
      <c r="I367" s="167" t="str">
        <f>'Q100a-geral'!I996</f>
        <v>x</v>
      </c>
      <c r="J367" s="107" t="str">
        <f>'Q100a-geral'!J996</f>
        <v>x</v>
      </c>
      <c r="K367" s="107" t="str">
        <f>'Q100a-geral'!K996</f>
        <v>x</v>
      </c>
      <c r="L367" s="107" t="str">
        <f>'Q100a-geral'!L996</f>
        <v>x</v>
      </c>
      <c r="M367" s="107" t="str">
        <f>'Q100a-geral'!M996</f>
        <v>x</v>
      </c>
      <c r="N367" s="107" t="str">
        <f>'Q100a-geral'!N996</f>
        <v>x</v>
      </c>
      <c r="O367" s="107" t="str">
        <f>'Q100a-geral'!O996</f>
        <v>x</v>
      </c>
      <c r="P367" s="107" t="str">
        <f>'Q100a-geral'!P996</f>
        <v>x</v>
      </c>
      <c r="Q367" s="107" t="str">
        <f>'Q100a-geral'!Q996</f>
        <v>x</v>
      </c>
      <c r="R367" s="107" t="str">
        <f>'Q100a-geral'!R996</f>
        <v>x</v>
      </c>
      <c r="S367" s="109" t="str">
        <f>'Q100a-geral'!S996</f>
        <v>só para pesquisa</v>
      </c>
      <c r="T367" s="108" t="str">
        <f>'Q100a-geral'!T996</f>
        <v>x</v>
      </c>
      <c r="U367" s="108" t="str">
        <f>'Q100a-geral'!U996</f>
        <v>x</v>
      </c>
      <c r="V367" s="109" t="str">
        <f>'Q100a-geral'!V996</f>
        <v>só para pesquisa</v>
      </c>
      <c r="W367" s="108" t="str">
        <f>'Q100a-geral'!W996</f>
        <v>x</v>
      </c>
      <c r="X367" s="108" t="str">
        <f>'Q100a-geral'!X996</f>
        <v>x</v>
      </c>
      <c r="Y367" s="108" t="str">
        <f>'Q100a-geral'!Y996</f>
        <v>x</v>
      </c>
      <c r="Z367" s="108" t="str">
        <f>'Q100a-geral'!Z996</f>
        <v>x</v>
      </c>
      <c r="AA367" s="108" t="str">
        <f>'Q100a-geral'!AA996</f>
        <v>x</v>
      </c>
      <c r="AB367" s="108" t="str">
        <f>'Q100a-geral'!AB996</f>
        <v>x</v>
      </c>
      <c r="AC367" s="108" t="str">
        <f>'Q100a-geral'!AC996</f>
        <v>x</v>
      </c>
      <c r="AD367" s="108" t="str">
        <f>'Q100a-geral'!AD996</f>
        <v>x</v>
      </c>
      <c r="AE367" s="108" t="str">
        <f>'Q100a-geral'!AE996</f>
        <v>x</v>
      </c>
      <c r="AF367" s="108" t="str">
        <f>'Q100a-geral'!AF996</f>
        <v>x</v>
      </c>
      <c r="AG367" s="108" t="str">
        <f>'Q100a-geral'!AG996</f>
        <v>x</v>
      </c>
      <c r="AH367" s="108" t="str">
        <f>'Q100a-geral'!AH996</f>
        <v>x</v>
      </c>
      <c r="AI367" s="108" t="str">
        <f>'Q100a-geral'!AI996</f>
        <v>x</v>
      </c>
      <c r="AJ367" s="108" t="str">
        <f>'Q100a-geral'!AJ996</f>
        <v>x</v>
      </c>
      <c r="AK367" s="108" t="str">
        <f>'Q100a-geral'!AK996</f>
        <v>x</v>
      </c>
      <c r="AL367" s="601" t="str">
        <f>'Q100a-geral'!AL996</f>
        <v>x</v>
      </c>
      <c r="AM367" s="137" t="str">
        <f>'Q100a-geral'!AM996</f>
        <v>x</v>
      </c>
      <c r="AN367" s="137" t="str">
        <f>'Q100a-geral'!AN996</f>
        <v>x</v>
      </c>
      <c r="AO367" s="137" t="str">
        <f>'Q100a-geral'!AO996</f>
        <v>x</v>
      </c>
      <c r="AP367" s="137" t="str">
        <f>'Q100a-geral'!AP996</f>
        <v>x</v>
      </c>
      <c r="AQ367" s="137" t="str">
        <f>'Q100a-geral'!AQ996</f>
        <v>x</v>
      </c>
      <c r="AR367" s="137"/>
      <c r="AS367" s="137"/>
      <c r="AT367" s="137"/>
      <c r="AU367" s="137"/>
      <c r="AV367" s="137" t="str">
        <f>'Q100a-geral'!AV996</f>
        <v>x</v>
      </c>
      <c r="AW367" s="137"/>
      <c r="AX367" s="137"/>
      <c r="AY367" s="137"/>
      <c r="AZ367" s="137"/>
      <c r="BA367" s="137" t="str">
        <f>'Q100a-geral'!BA996</f>
        <v>x</v>
      </c>
      <c r="BB367" s="239" t="str">
        <f>'Q100a-geral'!BB996</f>
        <v>Sistema de transporte coletivo com um todoacessibilidade</v>
      </c>
      <c r="BC367" s="239" t="str">
        <f>'Q100a-geral'!BC996</f>
        <v>Sistema de transporte coletivo com um todoacessibilidademeta/RPI</v>
      </c>
      <c r="BD367" s="239" t="str">
        <f>'Q100a-geral'!BD996</f>
        <v>Sistema de transporte coletivo com um todometa/RPI</v>
      </c>
      <c r="BE367" s="358" t="s">
        <v>2354</v>
      </c>
      <c r="BF367" s="421">
        <v>7</v>
      </c>
    </row>
    <row r="368" spans="1:16375" s="1" customFormat="1" ht="78.75" x14ac:dyDescent="0.25">
      <c r="A368" s="413" t="str">
        <f>'Q100a-geral'!A970</f>
        <v>8.10</v>
      </c>
      <c r="B368" s="11" t="str">
        <f>'Q100a-geral'!B970</f>
        <v>Sistema de transporte coletivo com um todo</v>
      </c>
      <c r="C368" s="173" t="str">
        <f>'Q100a-geral'!C970</f>
        <v>acessibilidade</v>
      </c>
      <c r="D368" s="377" t="str">
        <f>'Q100a-geral'!D970</f>
        <v>F tc en c/rampa manual</v>
      </c>
      <c r="E368" s="355" t="str">
        <f>'Q100a-geral'!E970</f>
        <v>x</v>
      </c>
      <c r="F368" s="486" t="str">
        <f>'Q100a-geral'!F970</f>
        <v xml:space="preserve">frota em n.º de ônibus do transporte público coletivo de uma cidade/região de piso baixo (dianteiro, traseiro, central ou total) ou piso alto com rampa veicular não automática em pelo menos uma das portas (com embarque/desembarque sempre em nível, mas dependente da abertura manual da rampa)
obs.1: os veículos desta categoria recebem peso 8, numa escala de 1 a 10, na classificação definida pelo SisMob-BH para classificar a acessibilidade - acesse "acessibilidade em ônibus urbano (escala)"
obs.2: acesse informações quantitativas relativas ao indicador "IAED" das cidades/regiões já incorporadas ao SisMob-BH
</v>
      </c>
      <c r="G368" s="529" t="str">
        <f>'Q100a-geral'!G970</f>
        <v>verbete
MFO</v>
      </c>
      <c r="H368" s="167" t="str">
        <f>'Q100a-geral'!H970</f>
        <v>meta/RPI</v>
      </c>
      <c r="I368" s="167" t="str">
        <f>'Q100a-geral'!I970</f>
        <v>x</v>
      </c>
      <c r="J368" s="107" t="str">
        <f>'Q100a-geral'!J970</f>
        <v>x</v>
      </c>
      <c r="K368" s="107" t="str">
        <f>'Q100a-geral'!K970</f>
        <v>x</v>
      </c>
      <c r="L368" s="107" t="str">
        <f>'Q100a-geral'!L970</f>
        <v>x</v>
      </c>
      <c r="M368" s="107" t="str">
        <f>'Q100a-geral'!M970</f>
        <v>x</v>
      </c>
      <c r="N368" s="107" t="str">
        <f>'Q100a-geral'!N970</f>
        <v>x</v>
      </c>
      <c r="O368" s="107" t="str">
        <f>'Q100a-geral'!O970</f>
        <v>x</v>
      </c>
      <c r="P368" s="107" t="str">
        <f>'Q100a-geral'!P970</f>
        <v>x</v>
      </c>
      <c r="Q368" s="107" t="str">
        <f>'Q100a-geral'!Q970</f>
        <v>x</v>
      </c>
      <c r="R368" s="107" t="str">
        <f>'Q100a-geral'!R970</f>
        <v>x</v>
      </c>
      <c r="S368" s="109" t="str">
        <f>'Q100a-geral'!S970</f>
        <v>só para pesquisa</v>
      </c>
      <c r="T368" s="108" t="str">
        <f>'Q100a-geral'!T970</f>
        <v>x</v>
      </c>
      <c r="U368" s="108" t="str">
        <f>'Q100a-geral'!U970</f>
        <v>x</v>
      </c>
      <c r="V368" s="109" t="str">
        <f>'Q100a-geral'!V970</f>
        <v>só para pesquisa</v>
      </c>
      <c r="W368" s="108" t="str">
        <f>'Q100a-geral'!W970</f>
        <v>x</v>
      </c>
      <c r="X368" s="108" t="str">
        <f>'Q100a-geral'!X970</f>
        <v>x</v>
      </c>
      <c r="Y368" s="108" t="str">
        <f>'Q100a-geral'!Y970</f>
        <v>x</v>
      </c>
      <c r="Z368" s="108" t="str">
        <f>'Q100a-geral'!Z970</f>
        <v>x</v>
      </c>
      <c r="AA368" s="108" t="str">
        <f>'Q100a-geral'!AA970</f>
        <v>x</v>
      </c>
      <c r="AB368" s="108" t="str">
        <f>'Q100a-geral'!AB970</f>
        <v>x</v>
      </c>
      <c r="AC368" s="108" t="str">
        <f>'Q100a-geral'!AC970</f>
        <v>x</v>
      </c>
      <c r="AD368" s="108" t="str">
        <f>'Q100a-geral'!AD970</f>
        <v>x</v>
      </c>
      <c r="AE368" s="108" t="str">
        <f>'Q100a-geral'!AE970</f>
        <v>x</v>
      </c>
      <c r="AF368" s="108" t="str">
        <f>'Q100a-geral'!AF970</f>
        <v>x</v>
      </c>
      <c r="AG368" s="108" t="str">
        <f>'Q100a-geral'!AG970</f>
        <v>x</v>
      </c>
      <c r="AH368" s="108" t="str">
        <f>'Q100a-geral'!AH970</f>
        <v>x</v>
      </c>
      <c r="AI368" s="108" t="str">
        <f>'Q100a-geral'!AI970</f>
        <v>x</v>
      </c>
      <c r="AJ368" s="108" t="str">
        <f>'Q100a-geral'!AJ970</f>
        <v>x</v>
      </c>
      <c r="AK368" s="108" t="str">
        <f>'Q100a-geral'!AK970</f>
        <v>x</v>
      </c>
      <c r="AL368" s="601" t="str">
        <f>'Q100a-geral'!AL970</f>
        <v>x</v>
      </c>
      <c r="AM368" s="137" t="str">
        <f>'Q100a-geral'!AM970</f>
        <v>x</v>
      </c>
      <c r="AN368" s="137" t="str">
        <f>'Q100a-geral'!AN970</f>
        <v>x</v>
      </c>
      <c r="AO368" s="137" t="str">
        <f>'Q100a-geral'!AO970</f>
        <v>x</v>
      </c>
      <c r="AP368" s="137" t="str">
        <f>'Q100a-geral'!AP970</f>
        <v>x</v>
      </c>
      <c r="AQ368" s="137" t="str">
        <f>'Q100a-geral'!AQ970</f>
        <v>x</v>
      </c>
      <c r="AR368" s="137"/>
      <c r="AS368" s="137"/>
      <c r="AT368" s="137"/>
      <c r="AU368" s="137"/>
      <c r="AV368" s="137" t="str">
        <f>'Q100a-geral'!AV970</f>
        <v>x</v>
      </c>
      <c r="AW368" s="137"/>
      <c r="AX368" s="137"/>
      <c r="AY368" s="137"/>
      <c r="AZ368" s="137"/>
      <c r="BA368" s="137" t="str">
        <f>'Q100a-geral'!BA970</f>
        <v>x</v>
      </c>
      <c r="BB368" s="239" t="str">
        <f>'Q100a-geral'!BB970</f>
        <v>Sistema de transporte coletivo com um todoacessibilidade</v>
      </c>
      <c r="BC368" s="239" t="str">
        <f>'Q100a-geral'!BC970</f>
        <v>Sistema de transporte coletivo com um todoacessibilidademeta/RPI</v>
      </c>
      <c r="BD368" s="239" t="str">
        <f>'Q100a-geral'!BD970</f>
        <v>Sistema de transporte coletivo com um todometa/RPI</v>
      </c>
      <c r="BE368" s="358" t="s">
        <v>2355</v>
      </c>
      <c r="BF368" s="421">
        <v>8</v>
      </c>
    </row>
    <row r="369" spans="1:59" s="1" customFormat="1" ht="67.5" x14ac:dyDescent="0.25">
      <c r="A369" s="413" t="str">
        <f>'Q100a-geral'!A985</f>
        <v>8.10</v>
      </c>
      <c r="B369" s="11" t="str">
        <f>'Q100a-geral'!B985</f>
        <v>Sistema de transporte coletivo com um todo</v>
      </c>
      <c r="C369" s="173" t="str">
        <f>'Q100a-geral'!C985</f>
        <v>acessibilidade</v>
      </c>
      <c r="D369" s="377" t="str">
        <f>'Q100a-geral'!D985</f>
        <v>F tc en c/uma rampa aut.</v>
      </c>
      <c r="E369" s="355" t="str">
        <f>'Q100a-geral'!E985</f>
        <v>x</v>
      </c>
      <c r="F369" s="486" t="str">
        <f>'Q100a-geral'!F985</f>
        <v>frota em n.º de ônibus do transporte público coletivo de uma cidade/região de piso baixo (dianteiro, traseiro, central ou total) ou piso alto com rampa veicular automática em parte das portas (com embarque/desembarque sempre em nível e autonomia garantida desde que se utilize a porta certa)
obs.1: os veículos desta categoria recebem peso 9, numa escala de 1 a 10, na classificação definida pelo SisMob-BH para classificar a acessibilidade - acesse "acessibilidade em ônibus urbano (escala)"
obs.2: acesse informações quantitativas relativas ao indicador "IAED" das cidades/regiões já incorporadas ao SisMob-BH</v>
      </c>
      <c r="G369" s="529" t="str">
        <f>'Q100a-geral'!G985</f>
        <v>verbete
MFO</v>
      </c>
      <c r="H369" s="167" t="str">
        <f>'Q100a-geral'!H985</f>
        <v>meta/RPI</v>
      </c>
      <c r="I369" s="167" t="str">
        <f>'Q100a-geral'!I985</f>
        <v>x</v>
      </c>
      <c r="J369" s="107" t="str">
        <f>'Q100a-geral'!J985</f>
        <v>x</v>
      </c>
      <c r="K369" s="107" t="str">
        <f>'Q100a-geral'!K985</f>
        <v>x</v>
      </c>
      <c r="L369" s="107" t="str">
        <f>'Q100a-geral'!L985</f>
        <v>x</v>
      </c>
      <c r="M369" s="107" t="str">
        <f>'Q100a-geral'!M985</f>
        <v>x</v>
      </c>
      <c r="N369" s="107" t="str">
        <f>'Q100a-geral'!N985</f>
        <v>x</v>
      </c>
      <c r="O369" s="107" t="str">
        <f>'Q100a-geral'!O985</f>
        <v>x</v>
      </c>
      <c r="P369" s="107" t="str">
        <f>'Q100a-geral'!P985</f>
        <v>x</v>
      </c>
      <c r="Q369" s="107" t="str">
        <f>'Q100a-geral'!Q985</f>
        <v>x</v>
      </c>
      <c r="R369" s="107" t="str">
        <f>'Q100a-geral'!R985</f>
        <v>x</v>
      </c>
      <c r="S369" s="109" t="str">
        <f>'Q100a-geral'!S985</f>
        <v>só para pesquisa</v>
      </c>
      <c r="T369" s="108" t="str">
        <f>'Q100a-geral'!T985</f>
        <v>x</v>
      </c>
      <c r="U369" s="108" t="str">
        <f>'Q100a-geral'!U985</f>
        <v>x</v>
      </c>
      <c r="V369" s="109" t="str">
        <f>'Q100a-geral'!V985</f>
        <v>só para pesquisa</v>
      </c>
      <c r="W369" s="108" t="str">
        <f>'Q100a-geral'!W985</f>
        <v>x</v>
      </c>
      <c r="X369" s="108" t="str">
        <f>'Q100a-geral'!X985</f>
        <v>x</v>
      </c>
      <c r="Y369" s="108" t="str">
        <f>'Q100a-geral'!Y985</f>
        <v>x</v>
      </c>
      <c r="Z369" s="108" t="str">
        <f>'Q100a-geral'!Z985</f>
        <v>x</v>
      </c>
      <c r="AA369" s="108" t="str">
        <f>'Q100a-geral'!AA985</f>
        <v>x</v>
      </c>
      <c r="AB369" s="108" t="str">
        <f>'Q100a-geral'!AB985</f>
        <v>x</v>
      </c>
      <c r="AC369" s="108" t="str">
        <f>'Q100a-geral'!AC985</f>
        <v>x</v>
      </c>
      <c r="AD369" s="108" t="str">
        <f>'Q100a-geral'!AD985</f>
        <v>x</v>
      </c>
      <c r="AE369" s="108" t="str">
        <f>'Q100a-geral'!AE985</f>
        <v>x</v>
      </c>
      <c r="AF369" s="108" t="str">
        <f>'Q100a-geral'!AF985</f>
        <v>x</v>
      </c>
      <c r="AG369" s="108" t="str">
        <f>'Q100a-geral'!AG985</f>
        <v>x</v>
      </c>
      <c r="AH369" s="108" t="str">
        <f>'Q100a-geral'!AH985</f>
        <v>x</v>
      </c>
      <c r="AI369" s="108" t="str">
        <f>'Q100a-geral'!AI985</f>
        <v>x</v>
      </c>
      <c r="AJ369" s="108" t="str">
        <f>'Q100a-geral'!AJ985</f>
        <v>x</v>
      </c>
      <c r="AK369" s="108" t="str">
        <f>'Q100a-geral'!AK985</f>
        <v>x</v>
      </c>
      <c r="AL369" s="601" t="str">
        <f>'Q100a-geral'!AL985</f>
        <v>x</v>
      </c>
      <c r="AM369" s="137" t="str">
        <f>'Q100a-geral'!AM985</f>
        <v>x</v>
      </c>
      <c r="AN369" s="137" t="str">
        <f>'Q100a-geral'!AN985</f>
        <v>x</v>
      </c>
      <c r="AO369" s="137" t="str">
        <f>'Q100a-geral'!AO985</f>
        <v>x</v>
      </c>
      <c r="AP369" s="137" t="str">
        <f>'Q100a-geral'!AP985</f>
        <v>x</v>
      </c>
      <c r="AQ369" s="137" t="str">
        <f>'Q100a-geral'!AQ985</f>
        <v>x</v>
      </c>
      <c r="AR369" s="137"/>
      <c r="AS369" s="137"/>
      <c r="AT369" s="137"/>
      <c r="AU369" s="137"/>
      <c r="AV369" s="137" t="str">
        <f>'Q100a-geral'!AV985</f>
        <v>x</v>
      </c>
      <c r="AW369" s="137"/>
      <c r="AX369" s="137"/>
      <c r="AY369" s="137"/>
      <c r="AZ369" s="137"/>
      <c r="BA369" s="137" t="str">
        <f>'Q100a-geral'!BA985</f>
        <v>x</v>
      </c>
      <c r="BB369" s="239" t="str">
        <f>'Q100a-geral'!BB985</f>
        <v>Sistema de transporte coletivo com um todoacessibilidade</v>
      </c>
      <c r="BC369" s="239" t="str">
        <f>'Q100a-geral'!BC985</f>
        <v>Sistema de transporte coletivo com um todoacessibilidademeta/RPI</v>
      </c>
      <c r="BD369" s="239" t="str">
        <f>'Q100a-geral'!BD985</f>
        <v>Sistema de transporte coletivo com um todometa/RPI</v>
      </c>
      <c r="BE369" s="358" t="s">
        <v>2356</v>
      </c>
      <c r="BF369" s="421">
        <v>9</v>
      </c>
    </row>
    <row r="370" spans="1:59" s="1" customFormat="1" ht="101.25" x14ac:dyDescent="0.25">
      <c r="A370" s="413" t="str">
        <f>'Q100a-geral'!A999</f>
        <v>8.10</v>
      </c>
      <c r="B370" s="11" t="str">
        <f>'Q100a-geral'!B999</f>
        <v>Sistema de transporte coletivo com um todo</v>
      </c>
      <c r="C370" s="173" t="str">
        <f>'Q100a-geral'!C999</f>
        <v>acessibilidade</v>
      </c>
      <c r="D370" s="377" t="str">
        <f>'Q100a-geral'!D999</f>
        <v>F tc enu</v>
      </c>
      <c r="E370" s="355" t="str">
        <f>'Q100a-geral'!E999</f>
        <v>x</v>
      </c>
      <c r="F370" s="486" t="str">
        <f>'Q100a-geral'!F999</f>
        <v>frota em n.º de ônibus com desenho universal no embarque/desembarque
obs.: trata-se da frota em n.º de ônibus do transporte público coletivo de uma cidade/região de piso baixo ou piso alto com embarque exclusivo em nível com fronteira máxima conforme normas brasileiras vigentes ou com rampa veicular automática em todas as portas, ou seja, com embarque/desembarque sempre em nível e autonomia garantida em todas as portas proporcionando acessibilidade universal
obs.1: os veículos desta categoria recebem peso 10, numa escala de 1 a 10, na classificação definida pelo SisMob-BH para classificar a acessibilidade - acesse "acessibilidade em ônibus urbano (escala)"
obs.2: acesse informações quantitativas e/ou qualitativas relativas ao indicador "IAED" das cidades/regiões já incorporadas ao SisMob-BH (Curitiba e Quito)</v>
      </c>
      <c r="G370" s="167" t="str">
        <f>'Q100a-geral'!G999</f>
        <v>verbete
MFO</v>
      </c>
      <c r="H370" s="167" t="str">
        <f>'Q100a-geral'!H999</f>
        <v>sigla/verbete</v>
      </c>
      <c r="I370" s="167" t="str">
        <f>'Q100a-geral'!I999</f>
        <v>x</v>
      </c>
      <c r="J370" s="107" t="str">
        <f>'Q100a-geral'!J999</f>
        <v>x</v>
      </c>
      <c r="K370" s="107" t="str">
        <f>'Q100a-geral'!K999</f>
        <v>x</v>
      </c>
      <c r="L370" s="107" t="str">
        <f>'Q100a-geral'!L999</f>
        <v>x</v>
      </c>
      <c r="M370" s="107" t="str">
        <f>'Q100a-geral'!M999</f>
        <v>x</v>
      </c>
      <c r="N370" s="107" t="str">
        <f>'Q100a-geral'!N999</f>
        <v>x</v>
      </c>
      <c r="O370" s="107" t="str">
        <f>'Q100a-geral'!O999</f>
        <v>x</v>
      </c>
      <c r="P370" s="107" t="str">
        <f>'Q100a-geral'!P999</f>
        <v>x</v>
      </c>
      <c r="Q370" s="107" t="str">
        <f>'Q100a-geral'!Q999</f>
        <v>x</v>
      </c>
      <c r="R370" s="107" t="str">
        <f>'Q100a-geral'!R999</f>
        <v>x</v>
      </c>
      <c r="S370" s="107" t="str">
        <f>'Q100a-geral'!S999</f>
        <v>só para pesquisa</v>
      </c>
      <c r="T370" s="107" t="str">
        <f>'Q100a-geral'!T999</f>
        <v>x</v>
      </c>
      <c r="U370" s="107" t="str">
        <f>'Q100a-geral'!U999</f>
        <v>x</v>
      </c>
      <c r="V370" s="107" t="str">
        <f>'Q100a-geral'!V999</f>
        <v>só para pesquisa</v>
      </c>
      <c r="W370" s="107" t="str">
        <f>'Q100a-geral'!W999</f>
        <v>x</v>
      </c>
      <c r="X370" s="107" t="str">
        <f>'Q100a-geral'!X999</f>
        <v>x</v>
      </c>
      <c r="Y370" s="107" t="str">
        <f>'Q100a-geral'!Y999</f>
        <v>x</v>
      </c>
      <c r="Z370" s="107" t="str">
        <f>'Q100a-geral'!Z999</f>
        <v>x</v>
      </c>
      <c r="AA370" s="107" t="str">
        <f>'Q100a-geral'!AA999</f>
        <v>x</v>
      </c>
      <c r="AB370" s="107" t="str">
        <f>'Q100a-geral'!AB999</f>
        <v>x</v>
      </c>
      <c r="AC370" s="107" t="str">
        <f>'Q100a-geral'!AC999</f>
        <v>x</v>
      </c>
      <c r="AD370" s="107" t="str">
        <f>'Q100a-geral'!AD999</f>
        <v>x</v>
      </c>
      <c r="AE370" s="107" t="str">
        <f>'Q100a-geral'!AE999</f>
        <v>x</v>
      </c>
      <c r="AF370" s="107" t="str">
        <f>'Q100a-geral'!AF999</f>
        <v>x</v>
      </c>
      <c r="AG370" s="107" t="str">
        <f>'Q100a-geral'!AG999</f>
        <v>x</v>
      </c>
      <c r="AH370" s="107" t="str">
        <f>'Q100a-geral'!AH999</f>
        <v>x</v>
      </c>
      <c r="AI370" s="107" t="str">
        <f>'Q100a-geral'!AI999</f>
        <v>x</v>
      </c>
      <c r="AJ370" s="107" t="str">
        <f>'Q100a-geral'!AJ999</f>
        <v>x</v>
      </c>
      <c r="AK370" s="107" t="str">
        <f>'Q100a-geral'!AK999</f>
        <v>x</v>
      </c>
      <c r="AL370" s="601" t="str">
        <f>'Q100a-geral'!AL999</f>
        <v>x</v>
      </c>
      <c r="AM370" s="137" t="str">
        <f>'Q100a-geral'!AM999</f>
        <v>x</v>
      </c>
      <c r="AN370" s="137" t="str">
        <f>'Q100a-geral'!AN999</f>
        <v>x</v>
      </c>
      <c r="AO370" s="137" t="str">
        <f>'Q100a-geral'!AO999</f>
        <v>x</v>
      </c>
      <c r="AP370" s="137" t="str">
        <f>'Q100a-geral'!AP999</f>
        <v>x</v>
      </c>
      <c r="AQ370" s="137" t="str">
        <f>'Q100a-geral'!AQ999</f>
        <v>x</v>
      </c>
      <c r="AR370" s="137"/>
      <c r="AS370" s="137"/>
      <c r="AT370" s="137"/>
      <c r="AU370" s="137"/>
      <c r="AV370" s="137" t="str">
        <f>'Q100a-geral'!AV999</f>
        <v>x</v>
      </c>
      <c r="AW370" s="137"/>
      <c r="AX370" s="137"/>
      <c r="AY370" s="137"/>
      <c r="AZ370" s="137"/>
      <c r="BA370" s="137" t="str">
        <f>'Q100a-geral'!BA999</f>
        <v>x</v>
      </c>
      <c r="BB370" s="239" t="str">
        <f>'Q100a-geral'!BB999</f>
        <v>Sistema de transporte coletivo com um todoacessibilidade</v>
      </c>
      <c r="BC370" s="239" t="str">
        <f>'Q100a-geral'!BC999</f>
        <v>Sistema de transporte coletivo com um todoacessibilidadesigla/verbete</v>
      </c>
      <c r="BD370" s="239" t="str">
        <f>'Q100a-geral'!BD999</f>
        <v>Sistema de transporte coletivo com um todosigla/verbete</v>
      </c>
      <c r="BE370" s="358" t="s">
        <v>2022</v>
      </c>
      <c r="BF370" s="421">
        <v>10</v>
      </c>
    </row>
    <row r="371" spans="1:59" s="1" customFormat="1" ht="112.5" x14ac:dyDescent="0.25">
      <c r="A371" s="275" t="str">
        <f>'Q100a-geral'!A865</f>
        <v>8.5</v>
      </c>
      <c r="B371" s="11" t="str">
        <f>'Q100a-geral'!B865</f>
        <v>Transporte convencional</v>
      </c>
      <c r="C371" s="57" t="str">
        <f>'Q100a-geral'!C865</f>
        <v>x</v>
      </c>
      <c r="D371" s="715" t="str">
        <f>'Q100a-geral'!D865</f>
        <v>F tcc
(n.º)</v>
      </c>
      <c r="E371" s="488" t="str">
        <f>'Q100a-geral'!E865</f>
        <v>Belo Horizonte</v>
      </c>
      <c r="F371" s="486" t="str">
        <f>'Q100a-geral'!F865</f>
        <v>frota total em n.º de ônibus do transporte coletivo convencional de Belo Horizonte gerenciado pela BHTrans (operado por empresas concessionárias, inclui as linhas de BRT e as linhas de vilas e favelas)
obs.1: "Em julho de 1993, quando a Prefeitura municipalizou o transporte coletivo ed Belo Horizonte, tínhamos 2.460 veículos compondo a frota [...]" conforme BHTRANS(1996a, p.3)
obs.2: mês de dezembro tomado como representativo do ano, com resultados de 1993 e 1994 conforme BHTRANS(1995a, p.3); de 1995 conforme BHTRANS(1996a, p.2); de 1999 conforme BHTRANS(2000a, p.35); de 2000 relativo a outubro conforme BHTRANS(2016e); de 2001 conforme BHTRANS(2005a); de 2002-2004 conforme BHTRANS(2007a); BHTRANS(2005 a 2007) conforme BHTRANS(2011b); de 2008 conforme BHTRANS(2011b); de 2009 a 2016 conforme fórmula
obs.: resultado de 2016 (fórmula) confere com BHTRANS(2017c2)</v>
      </c>
      <c r="G371" s="111" t="str">
        <f>'Q100a-geral'!G865</f>
        <v>∑ (n.º de veículos por categoria na escala "acessibilidade em ônibus urbano")</v>
      </c>
      <c r="H371" s="57" t="str">
        <f>'Q100a-geral'!H865</f>
        <v>x</v>
      </c>
      <c r="I371" s="167">
        <f>'Q100a-geral'!I865</f>
        <v>1</v>
      </c>
      <c r="J371" s="107" t="str">
        <f>'Q100a-geral'!J865</f>
        <v>não gerenciado pela BHTrans</v>
      </c>
      <c r="K371" s="107" t="str">
        <f>'Q100a-geral'!K865</f>
        <v>não gerenciado pela BHTrans</v>
      </c>
      <c r="L371" s="107" t="str">
        <f>'Q100a-geral'!L865</f>
        <v>não gerenciado pela BHTrans</v>
      </c>
      <c r="M371" s="92">
        <f>'Q100a-geral'!M865</f>
        <v>2491</v>
      </c>
      <c r="N371" s="92">
        <f>'Q100a-geral'!N865</f>
        <v>2574</v>
      </c>
      <c r="O371" s="92">
        <f>'Q100a-geral'!O865</f>
        <v>2670</v>
      </c>
      <c r="P371" s="647"/>
      <c r="Q371" s="647"/>
      <c r="R371" s="647"/>
      <c r="S371" s="539" t="str">
        <f>'Q100a-geral'!S865</f>
        <v>só para pesquisa</v>
      </c>
      <c r="T371" s="92">
        <f>'Q100a-geral'!T865</f>
        <v>2927</v>
      </c>
      <c r="U371" s="92">
        <f>'Q100a-geral'!U865</f>
        <v>2986</v>
      </c>
      <c r="V371" s="109" t="str">
        <f>'Q100a-geral'!V865</f>
        <v>só para pesquisa</v>
      </c>
      <c r="W371" s="86">
        <f>'Q100a-geral'!W865</f>
        <v>2912</v>
      </c>
      <c r="X371" s="86">
        <f>'Q100a-geral'!X865</f>
        <v>2849</v>
      </c>
      <c r="Y371" s="86">
        <f>'Q100a-geral'!Y865</f>
        <v>2863</v>
      </c>
      <c r="Z371" s="86">
        <f>'Q100a-geral'!Z865</f>
        <v>2819</v>
      </c>
      <c r="AA371" s="86">
        <f>'Q100a-geral'!AA865</f>
        <v>2819</v>
      </c>
      <c r="AB371" s="86">
        <f>'Q100a-geral'!AB865</f>
        <v>2821</v>
      </c>
      <c r="AC371" s="86">
        <f>'Q100a-geral'!AC865</f>
        <v>2823</v>
      </c>
      <c r="AD371" s="87">
        <f>'Q100a-geral'!AD865</f>
        <v>2849</v>
      </c>
      <c r="AE371" s="20">
        <f>'Q100a-geral'!AE865</f>
        <v>2854</v>
      </c>
      <c r="AF371" s="20">
        <f>'Q100a-geral'!AF865</f>
        <v>2832</v>
      </c>
      <c r="AG371" s="20">
        <f>'Q100a-geral'!AG865</f>
        <v>3010</v>
      </c>
      <c r="AH371" s="20">
        <f>'Q100a-geral'!AH865</f>
        <v>3038</v>
      </c>
      <c r="AI371" s="20">
        <f>'Q100a-geral'!AI865</f>
        <v>3041</v>
      </c>
      <c r="AJ371" s="20">
        <f>'Q100a-geral'!AJ865</f>
        <v>3023</v>
      </c>
      <c r="AK371" s="20">
        <f>'Q100a-geral'!AK865</f>
        <v>2960</v>
      </c>
      <c r="AL371" s="601" t="str">
        <f>'Q100a-geral'!AL865</f>
        <v>x</v>
      </c>
      <c r="AM371" s="20">
        <f>'Q100a-geral'!AM865</f>
        <v>2951</v>
      </c>
      <c r="AN371" s="137" t="str">
        <f>'Q100a-geral'!AN865</f>
        <v>x</v>
      </c>
      <c r="AO371" s="137" t="str">
        <f>'Q100a-geral'!AO865</f>
        <v>x</v>
      </c>
      <c r="AP371" s="137" t="str">
        <f>'Q100a-geral'!AP865</f>
        <v>x</v>
      </c>
      <c r="AQ371" s="137" t="str">
        <f>'Q100a-geral'!AQ865</f>
        <v>x</v>
      </c>
      <c r="AR371" s="137"/>
      <c r="AS371" s="137"/>
      <c r="AT371" s="137"/>
      <c r="AU371" s="137"/>
      <c r="AV371" s="137" t="str">
        <f>'Q100a-geral'!AV865</f>
        <v>x</v>
      </c>
      <c r="AW371" s="137"/>
      <c r="AX371" s="137"/>
      <c r="AY371" s="137"/>
      <c r="AZ371" s="137"/>
      <c r="BA371" s="137" t="str">
        <f>'Q100a-geral'!BA865</f>
        <v>x</v>
      </c>
      <c r="BB371" s="239" t="str">
        <f>'Q100a-geral'!BB865</f>
        <v>Transporte convencionalx</v>
      </c>
      <c r="BC371" s="239" t="str">
        <f>'Q100a-geral'!BC865</f>
        <v>Transporte convencionalxx</v>
      </c>
      <c r="BD371" s="239" t="str">
        <f>'Q100a-geral'!BD865</f>
        <v>Transporte convencionalx</v>
      </c>
    </row>
    <row r="372" spans="1:59" s="1" customFormat="1" ht="180" x14ac:dyDescent="0.25">
      <c r="A372" s="275" t="str">
        <f>'Q100a-geral'!A1043</f>
        <v>8.5</v>
      </c>
      <c r="B372" s="54" t="str">
        <f>'Q100a-geral'!B1043</f>
        <v>Transporte convencional</v>
      </c>
      <c r="C372" s="230" t="str">
        <f>'Q100a-geral'!C1043</f>
        <v>acessibilidade</v>
      </c>
      <c r="D372" s="362" t="str">
        <f>'Q100a-geral'!D1043</f>
        <v>F tcc nac</v>
      </c>
      <c r="E372" s="488" t="str">
        <f>'Q100a-geral'!E1043</f>
        <v>Belo Horizonte</v>
      </c>
      <c r="F372" s="486" t="str">
        <f>'Q100a-geral'!F1043</f>
        <v>frota em n.º de ônibus do transporte coletivo convencional de Belo Horizonte gerenciado pela BHTrans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esta categoria recebe peso 1, numa escala de 1 a 10, na classificação definida pelo SisMob-BH para classificar a acessibilidade - acesse "acessibilidade em ônibus urbano (escala)"
obs.2: de 1993 a 1997 todos os veículos "F tcc" são desta categoria conforme "F tcc histórico"
obs.3: para períodos anteriores a 2008 utiliza-se a fórmula (F tc - ∑ (n.º de veículos das demais categorias da escala "acessibilidade em ônibus urbano"))
obs.4: mês de dezembro tomado como referência anual, com resultados de 2009 a 2014 conforme BHTRANS(2015c) e de 2015 conforme BHTRANS(2016c)
obs.5: resultados de 2015 por ano de fabricação (2005 a 2008) conforme BHTRANS(2016m)
obs.6: foi anunciado em maio/2016 que as empresas operadoras de Belo Horizonte substituirão todos os veículos sem facilidade (F tcc sfc) por veículos com elevador (F tcc eh) até dezembro/2016 conforme 340 ÔNIBUS(2016); BH TERÁ(2016)</v>
      </c>
      <c r="G372" s="110" t="str">
        <f>'Q100a-geral'!G1043</f>
        <v>1993 a 1995: registro na fonte
1996 a 2008: fórmula
2009 a 2014: registro na fonte
2015: ∑F tcc sfc (2005 a 2008)</v>
      </c>
      <c r="H372" s="173" t="str">
        <f>'Q100a-geral'!H1043</f>
        <v>x</v>
      </c>
      <c r="I372" s="167">
        <f>'Q100a-geral'!I1043</f>
        <v>1</v>
      </c>
      <c r="J372" s="107" t="str">
        <f>'Q100a-geral'!J1043</f>
        <v>não gerenciado pela BHTrans</v>
      </c>
      <c r="K372" s="107" t="str">
        <f>'Q100a-geral'!K1043</f>
        <v>não gerenciado pela BHTrans</v>
      </c>
      <c r="L372" s="107" t="str">
        <f>'Q100a-geral'!L1043</f>
        <v>não gerenciado pela BHTrans</v>
      </c>
      <c r="M372" s="87">
        <f>'Q100a-geral'!M1043</f>
        <v>2491</v>
      </c>
      <c r="N372" s="87">
        <f>'Q100a-geral'!N1043</f>
        <v>2574</v>
      </c>
      <c r="O372" s="87">
        <f>'Q100a-geral'!O1043</f>
        <v>2670</v>
      </c>
      <c r="P372" s="647"/>
      <c r="Q372" s="647"/>
      <c r="R372" s="647"/>
      <c r="S372" s="109" t="str">
        <f>'Q100a-geral'!S1043</f>
        <v>só para pesquisa</v>
      </c>
      <c r="T372" s="420"/>
      <c r="U372" s="420"/>
      <c r="V372" s="109" t="str">
        <f>'Q100a-geral'!V1043</f>
        <v>só para pesquisa</v>
      </c>
      <c r="W372" s="420"/>
      <c r="X372" s="420"/>
      <c r="Y372" s="420"/>
      <c r="Z372" s="420"/>
      <c r="AA372" s="420"/>
      <c r="AB372" s="420"/>
      <c r="AC372" s="420"/>
      <c r="AD372" s="420"/>
      <c r="AE372" s="87">
        <f>'Q100a-geral'!AE1043</f>
        <v>1329</v>
      </c>
      <c r="AF372" s="87">
        <f>'Q100a-geral'!AF1043</f>
        <v>1024</v>
      </c>
      <c r="AG372" s="87">
        <f>'Q100a-geral'!AG1043</f>
        <v>793</v>
      </c>
      <c r="AH372" s="87">
        <f>'Q100a-geral'!AH1043</f>
        <v>697</v>
      </c>
      <c r="AI372" s="84">
        <f>'Q100a-geral'!AI1043</f>
        <v>585</v>
      </c>
      <c r="AJ372" s="84">
        <f>'Q100a-geral'!AJ1043</f>
        <v>302</v>
      </c>
      <c r="AK372" s="84">
        <f>'Q100a-geral'!AK1043</f>
        <v>244</v>
      </c>
      <c r="AL372" s="601" t="str">
        <f>'Q100a-geral'!AL1043</f>
        <v>x</v>
      </c>
      <c r="AM372" s="84">
        <f>'Q100a-geral'!AM1043</f>
        <v>99</v>
      </c>
      <c r="AN372" s="137" t="str">
        <f>'Q100a-geral'!AN1043</f>
        <v>x</v>
      </c>
      <c r="AO372" s="137" t="str">
        <f>'Q100a-geral'!AO1043</f>
        <v>x</v>
      </c>
      <c r="AP372" s="137" t="str">
        <f>'Q100a-geral'!AP1043</f>
        <v>x</v>
      </c>
      <c r="AQ372" s="137" t="str">
        <f>'Q100a-geral'!AQ1043</f>
        <v>x</v>
      </c>
      <c r="AR372" s="137"/>
      <c r="AS372" s="137"/>
      <c r="AT372" s="137"/>
      <c r="AU372" s="137"/>
      <c r="AV372" s="137" t="str">
        <f>'Q100a-geral'!AV1043</f>
        <v>x</v>
      </c>
      <c r="AW372" s="137"/>
      <c r="AX372" s="137"/>
      <c r="AY372" s="137"/>
      <c r="AZ372" s="137"/>
      <c r="BA372" s="137" t="str">
        <f>'Q100a-geral'!BA1043</f>
        <v>x</v>
      </c>
      <c r="BB372" s="239" t="str">
        <f>'Q100a-geral'!BB1043</f>
        <v>Transporte convencionalacessibilidade</v>
      </c>
      <c r="BC372" s="239" t="str">
        <f>'Q100a-geral'!BC1043</f>
        <v>Transporte convencionalacessibilidadex</v>
      </c>
      <c r="BD372" s="239" t="str">
        <f>'Q100a-geral'!BD1043</f>
        <v>Transporte convencionalx</v>
      </c>
      <c r="BE372" s="658" t="s">
        <v>4115</v>
      </c>
      <c r="BF372" s="84">
        <f>$AM$372</f>
        <v>99</v>
      </c>
      <c r="BG372" s="1808">
        <f>SUM(BF372:BF377)</f>
        <v>2951</v>
      </c>
    </row>
    <row r="373" spans="1:59" s="1" customFormat="1" ht="123.75" x14ac:dyDescent="0.25">
      <c r="A373" s="275" t="str">
        <f>'Q100a-geral'!A922</f>
        <v>8.5</v>
      </c>
      <c r="B373" s="11" t="str">
        <f>'Q100a-geral'!B922</f>
        <v>Transporte convencional</v>
      </c>
      <c r="C373" s="57" t="str">
        <f>'Q100a-geral'!C922</f>
        <v>acessibilidade</v>
      </c>
      <c r="D373" s="362" t="str">
        <f>'Q100a-geral'!D922</f>
        <v>F tcc eh ec</v>
      </c>
      <c r="E373" s="488" t="str">
        <f>'Q100a-geral'!E922</f>
        <v>Belo Horizonte</v>
      </c>
      <c r="F373" s="751" t="str">
        <f>'Q100a-geral'!F922</f>
        <v>frota em n.º de ônibus do transporte coletivo convencional de Belo Horizonte gerenciado pela BHTrans equipados com elevador hidráulico acionado exclusivamente para embarque/desembarque de pessoas em cadeira de rodas , que tenham chassis fabricados até 2008 (inclusive) e que não operam em plataforma elevada (o embarque/desembarque nunca acontece em nível)
obs.1: esta categoria recebe peso 2, numa escala de 1 a 10, na classificação definida pelo SisMob-BH para classificar a acessibilidade - acesse "acessibilidade em ônibus urbano (escala)"
obs.2: para 2003 foi desconsiderado resultado de 11 veículos conforme BH(2003a) e adotado resultado de 21 veículos conforme BHTRANS(2003c)
obs.3: não existem veículos desta categoria de 1993 a 1997 conforme "F tcc histórico"
obs.4: mês de dezembro tomado como referência anual, com resultados de 2009 a 2014 conforme BHTRANS(2015c) e de 2015 conforme BHTRANS(2016c)</v>
      </c>
      <c r="G373" s="110" t="str">
        <f>'Q100a-geral'!G922</f>
        <v>registro na fonte</v>
      </c>
      <c r="H373" s="173" t="str">
        <f>'Q100a-geral'!H922</f>
        <v>x</v>
      </c>
      <c r="I373" s="167">
        <f>'Q100a-geral'!I922</f>
        <v>1</v>
      </c>
      <c r="J373" s="109" t="str">
        <f>'Q100a-geral'!J922</f>
        <v>não gerenciado pela BHTrans</v>
      </c>
      <c r="K373" s="109" t="str">
        <f>'Q100a-geral'!K922</f>
        <v>não gerenciado pela BHTrans</v>
      </c>
      <c r="L373" s="109" t="str">
        <f>'Q100a-geral'!L922</f>
        <v>não gerenciado pela BHTrans</v>
      </c>
      <c r="M373" s="86">
        <f>'Q100a-geral'!M922</f>
        <v>0</v>
      </c>
      <c r="N373" s="86">
        <f>'Q100a-geral'!N922</f>
        <v>0</v>
      </c>
      <c r="O373" s="86">
        <f>'Q100a-geral'!O922</f>
        <v>0</v>
      </c>
      <c r="P373" s="86">
        <f>'Q100a-geral'!P922</f>
        <v>0</v>
      </c>
      <c r="Q373" s="86">
        <f>'Q100a-geral'!Q922</f>
        <v>0</v>
      </c>
      <c r="R373" s="420"/>
      <c r="S373" s="109" t="str">
        <f>'Q100a-geral'!S922</f>
        <v>só para pesquisa</v>
      </c>
      <c r="T373" s="420"/>
      <c r="U373" s="420"/>
      <c r="V373" s="109" t="str">
        <f>'Q100a-geral'!V922</f>
        <v>só para pesquisa</v>
      </c>
      <c r="W373" s="420"/>
      <c r="X373" s="420"/>
      <c r="Y373" s="86">
        <f>'Q100a-geral'!Y922</f>
        <v>21</v>
      </c>
      <c r="Z373" s="420"/>
      <c r="AA373" s="420"/>
      <c r="AB373" s="420"/>
      <c r="AC373" s="420"/>
      <c r="AD373" s="420"/>
      <c r="AE373" s="86">
        <f>'Q100a-geral'!AE922</f>
        <v>1120</v>
      </c>
      <c r="AF373" s="86">
        <f>'Q100a-geral'!AF922</f>
        <v>1017</v>
      </c>
      <c r="AG373" s="86">
        <f>'Q100a-geral'!AG922</f>
        <v>913</v>
      </c>
      <c r="AH373" s="86">
        <f>'Q100a-geral'!AH922</f>
        <v>834</v>
      </c>
      <c r="AI373" s="93">
        <f>'Q100a-geral'!AI922</f>
        <v>741</v>
      </c>
      <c r="AJ373" s="84">
        <f>'Q100a-geral'!AJ922</f>
        <v>459</v>
      </c>
      <c r="AK373" s="84">
        <f>'Q100a-geral'!AK922</f>
        <v>382</v>
      </c>
      <c r="AL373" s="601" t="str">
        <f>'Q100a-geral'!AL922</f>
        <v>x</v>
      </c>
      <c r="AM373" s="84">
        <f>'Q100a-geral'!AM922</f>
        <v>201</v>
      </c>
      <c r="AN373" s="137" t="str">
        <f>'Q100a-geral'!AN922</f>
        <v>x</v>
      </c>
      <c r="AO373" s="137" t="str">
        <f>'Q100a-geral'!AO922</f>
        <v>x</v>
      </c>
      <c r="AP373" s="137" t="str">
        <f>'Q100a-geral'!AP922</f>
        <v>x</v>
      </c>
      <c r="AQ373" s="137" t="str">
        <f>'Q100a-geral'!AQ922</f>
        <v>x</v>
      </c>
      <c r="AR373" s="137"/>
      <c r="AS373" s="137"/>
      <c r="AT373" s="137"/>
      <c r="AU373" s="137"/>
      <c r="AV373" s="137" t="str">
        <f>'Q100a-geral'!AV922</f>
        <v>x</v>
      </c>
      <c r="AW373" s="137"/>
      <c r="AX373" s="137"/>
      <c r="AY373" s="137"/>
      <c r="AZ373" s="137"/>
      <c r="BA373" s="137" t="str">
        <f>'Q100a-geral'!BA922</f>
        <v>x</v>
      </c>
      <c r="BB373" s="239" t="str">
        <f>'Q100a-geral'!BB922</f>
        <v>Transporte convencionalacessibilidade</v>
      </c>
      <c r="BC373" s="239" t="str">
        <f>'Q100a-geral'!BC922</f>
        <v>Transporte convencionalacessibilidadex</v>
      </c>
      <c r="BD373" s="239" t="str">
        <f>'Q100a-geral'!BD922</f>
        <v>Transporte convencionalx</v>
      </c>
      <c r="BE373" s="358" t="s">
        <v>2329</v>
      </c>
      <c r="BF373" s="84">
        <f>AM373</f>
        <v>201</v>
      </c>
      <c r="BG373" s="1809"/>
    </row>
    <row r="374" spans="1:59" s="1" customFormat="1" ht="137.25" customHeight="1" x14ac:dyDescent="0.25">
      <c r="A374" s="275" t="str">
        <f>'Q100a-geral'!A937</f>
        <v>8.5</v>
      </c>
      <c r="B374" s="11" t="str">
        <f>'Q100a-geral'!B937</f>
        <v>Transporte convencional</v>
      </c>
      <c r="C374" s="57" t="str">
        <f>'Q100a-geral'!C937</f>
        <v>acessibilidade</v>
      </c>
      <c r="D374" s="362" t="str">
        <f>'Q100a-geral'!D937</f>
        <v>F tcc eh ecp</v>
      </c>
      <c r="E374" s="488" t="str">
        <f>'Q100a-geral'!E937</f>
        <v>Belo Horizonte</v>
      </c>
      <c r="F374" s="486" t="str">
        <f>'Q100a-geral'!F937</f>
        <v>frota em n.º de ônibus do transporte coletivo convencional de Belo Horizonte gerenciado pela BHTrans equipados com elevador hidráulico, que tenham chassis fabricado a partir de 2009 (inclusive) e que não operam em plataformas elevadas (o embarque/desembarque nunca acontece em nível e pessoas em pé podem utilizar o elevador para embarque/desembarque caso se sintam seguras e o operador permita)
obs.1: em Belo Horizonte o uso de elevador hidráulico para embarque/desembarque não exclusivo de cadeirantes está definido em portaria (BH,2011a)
obs.2: esta categoria recebe peso 3, numa escala de 1 a 10, na classificação definida pelo SisMob-BH para classificar a acessibilidade - acesse "acessibilidade em ônibus urbano (escala)"
obs.3: de 1993 a 1997 pode-se afirmar que esta quantidade é zero pois a BHTrans determinou em 1997 a retirada dos dividores de fluxo das portas traseiras conforme BHTRANS(1997a/b)  
obs.3: mês de dezembro tomado como referência anual, com resultados de 2009 a 2014 conforme BHTRANS(2015c) e de 2015 conforme BHTRANS(2016c)
obs.4: este tipo de veículo não existia antes de 2009 e, portanto, não há resultadospara esta categoria de 1993 a 2008</v>
      </c>
      <c r="G374" s="110" t="str">
        <f>'Q100a-geral'!G937</f>
        <v>registro na fonte</v>
      </c>
      <c r="H374" s="173" t="str">
        <f>'Q100a-geral'!H937</f>
        <v>x</v>
      </c>
      <c r="I374" s="167">
        <f>'Q100a-geral'!I937</f>
        <v>1</v>
      </c>
      <c r="J374" s="87" t="str">
        <f>'Q100a-geral'!J937</f>
        <v>não gerenciado pela BHTrans</v>
      </c>
      <c r="K374" s="87" t="str">
        <f>'Q100a-geral'!K937</f>
        <v>não gerenciado pela BHTrans</v>
      </c>
      <c r="L374" s="87" t="str">
        <f>'Q100a-geral'!L937</f>
        <v>não gerenciado pela BHTrans</v>
      </c>
      <c r="M374" s="87">
        <f>'Q100a-geral'!M937</f>
        <v>0</v>
      </c>
      <c r="N374" s="87">
        <f>'Q100a-geral'!N937</f>
        <v>0</v>
      </c>
      <c r="O374" s="87">
        <f>'Q100a-geral'!O937</f>
        <v>0</v>
      </c>
      <c r="P374" s="87">
        <f>'Q100a-geral'!P937</f>
        <v>0</v>
      </c>
      <c r="Q374" s="87">
        <f>'Q100a-geral'!Q937</f>
        <v>0</v>
      </c>
      <c r="R374" s="87">
        <f>'Q100a-geral'!R937</f>
        <v>0</v>
      </c>
      <c r="S374" s="649" t="str">
        <f>'Q100a-geral'!S937</f>
        <v>só para pesquisa</v>
      </c>
      <c r="T374" s="87">
        <f>'Q100a-geral'!T937</f>
        <v>0</v>
      </c>
      <c r="U374" s="87">
        <f>'Q100a-geral'!U937</f>
        <v>0</v>
      </c>
      <c r="V374" s="649" t="str">
        <f>'Q100a-geral'!V937</f>
        <v>só para pesquisa</v>
      </c>
      <c r="W374" s="87">
        <f>'Q100a-geral'!W937</f>
        <v>0</v>
      </c>
      <c r="X374" s="87">
        <f>'Q100a-geral'!X937</f>
        <v>0</v>
      </c>
      <c r="Y374" s="87">
        <f>'Q100a-geral'!Y937</f>
        <v>0</v>
      </c>
      <c r="Z374" s="87">
        <f>'Q100a-geral'!Z937</f>
        <v>0</v>
      </c>
      <c r="AA374" s="87">
        <f>'Q100a-geral'!AA937</f>
        <v>0</v>
      </c>
      <c r="AB374" s="87">
        <f>'Q100a-geral'!AB937</f>
        <v>0</v>
      </c>
      <c r="AC374" s="87">
        <f>'Q100a-geral'!AC937</f>
        <v>0</v>
      </c>
      <c r="AD374" s="87">
        <f>'Q100a-geral'!AD937</f>
        <v>0</v>
      </c>
      <c r="AE374" s="87">
        <f>'Q100a-geral'!AE937</f>
        <v>253</v>
      </c>
      <c r="AF374" s="87">
        <f>'Q100a-geral'!AF937</f>
        <v>708</v>
      </c>
      <c r="AG374" s="87">
        <f>'Q100a-geral'!AG937</f>
        <v>1303</v>
      </c>
      <c r="AH374" s="87">
        <f>'Q100a-geral'!AH937</f>
        <v>1507</v>
      </c>
      <c r="AI374" s="84">
        <f>'Q100a-geral'!AI937</f>
        <v>1715</v>
      </c>
      <c r="AJ374" s="87">
        <f>'Q100a-geral'!AJ937</f>
        <v>1834</v>
      </c>
      <c r="AK374" s="87">
        <f>'Q100a-geral'!AK937</f>
        <v>1906</v>
      </c>
      <c r="AL374" s="601" t="str">
        <f>'Q100a-geral'!AL937</f>
        <v>x</v>
      </c>
      <c r="AM374" s="84">
        <f>'Q100a-geral'!AM937</f>
        <v>2224</v>
      </c>
      <c r="AN374" s="137" t="str">
        <f>'Q100a-geral'!AN937</f>
        <v>x</v>
      </c>
      <c r="AO374" s="137" t="str">
        <f>'Q100a-geral'!AO937</f>
        <v>x</v>
      </c>
      <c r="AP374" s="137" t="str">
        <f>'Q100a-geral'!AP937</f>
        <v>x</v>
      </c>
      <c r="AQ374" s="137" t="str">
        <f>'Q100a-geral'!AQ937</f>
        <v>x</v>
      </c>
      <c r="AR374" s="137"/>
      <c r="AS374" s="137"/>
      <c r="AT374" s="137"/>
      <c r="AU374" s="137"/>
      <c r="AV374" s="137" t="str">
        <f>'Q100a-geral'!AV937</f>
        <v>x</v>
      </c>
      <c r="AW374" s="137"/>
      <c r="AX374" s="137"/>
      <c r="AY374" s="137"/>
      <c r="AZ374" s="137"/>
      <c r="BA374" s="137" t="str">
        <f>'Q100a-geral'!BA937</f>
        <v>x</v>
      </c>
      <c r="BB374" s="239" t="str">
        <f>'Q100a-geral'!BB937</f>
        <v>Transporte convencionalacessibilidade</v>
      </c>
      <c r="BC374" s="239" t="str">
        <f>'Q100a-geral'!BC937</f>
        <v>Transporte convencionalacessibilidadex</v>
      </c>
      <c r="BD374" s="239" t="str">
        <f>'Q100a-geral'!BD937</f>
        <v>Transporte convencionalx</v>
      </c>
      <c r="BE374" s="358" t="s">
        <v>2330</v>
      </c>
      <c r="BF374" s="87">
        <f>AM374</f>
        <v>2224</v>
      </c>
      <c r="BG374" s="1809"/>
    </row>
    <row r="375" spans="1:59" s="1" customFormat="1" ht="146.25" x14ac:dyDescent="0.25">
      <c r="A375" s="275" t="str">
        <f>'Q100a-geral'!A897</f>
        <v>8.5</v>
      </c>
      <c r="B375" s="11" t="str">
        <f>'Q100a-geral'!B897</f>
        <v>Transporte convencional</v>
      </c>
      <c r="C375" s="57" t="str">
        <f>'Q100a-geral'!C897</f>
        <v>acessibilidade</v>
      </c>
      <c r="D375" s="362" t="str">
        <f>'Q100a-geral'!D897</f>
        <v>F tcc BRTmisto eh ecp</v>
      </c>
      <c r="E375" s="488" t="str">
        <f>'Q100a-geral'!E897</f>
        <v>Belo Horizonte</v>
      </c>
      <c r="F375" s="486" t="str">
        <f>'Q100a-geral'!F897</f>
        <v>frota em n.º de ônibus do transporte coletivo convencional de Belo Horizonte gerenciado pela BHTrans, especificamente do sub-sistema BRT, equipados com elevador hidráulico, com chassis fabricados a partir de 2009 (inclusive), que operam em parte do itinerário no corredor de BRT (com embarque/desembarque em nível) e em parte do itinerário operam fora do corredor (usuários em pé podem utilizar o elevador para embarque/desembarque caso se sintam seguros)
obs.1: esta categoria recebe peso 5, numa escala de 1 a 10, na classificação definida pelo SisMob-BH para classificar a acessibilidade - acesse "acessibilidade em ônibus urbano (escala)"
obs.2: em Belo Horizonte o uso de elevador hidráulico para embarque/desembarque não exclusivo de cadeirantes está definida em portaria (BH,2011a)
obs.3: em Belo Horizonte todos os ônibus do BRT misto são desta categoria (elevadores fabricados a partir de 2009/inclusive) pois o BRT foi inaugurado em 2014
obs.4: mês de dezembro tomado como referência anual, com resultados de 2009 a 2014 conforme BHTRANS(2015c) e de 2015 conforme BHTRANS(2016c)</v>
      </c>
      <c r="G375" s="110" t="str">
        <f>'Q100a-geral'!G897</f>
        <v>registro na fonte</v>
      </c>
      <c r="H375" s="173" t="str">
        <f>'Q100a-geral'!H897</f>
        <v>x</v>
      </c>
      <c r="I375" s="167">
        <f>'Q100a-geral'!I897</f>
        <v>1</v>
      </c>
      <c r="J375" s="107" t="str">
        <f>'Q100a-geral'!J897</f>
        <v>não gerenciado pela BHTrans</v>
      </c>
      <c r="K375" s="107" t="str">
        <f>'Q100a-geral'!K897</f>
        <v>não gerenciado pela BHTrans</v>
      </c>
      <c r="L375" s="107" t="str">
        <f>'Q100a-geral'!L897</f>
        <v>não gerenciado pela BHTrans</v>
      </c>
      <c r="M375" s="420"/>
      <c r="N375" s="420"/>
      <c r="O375" s="420"/>
      <c r="P375" s="420"/>
      <c r="Q375" s="420"/>
      <c r="R375" s="420"/>
      <c r="S375" s="109" t="str">
        <f>'Q100a-geral'!S897</f>
        <v>só para pesquisa</v>
      </c>
      <c r="T375" s="420"/>
      <c r="U375" s="420"/>
      <c r="V375" s="109" t="str">
        <f>'Q100a-geral'!V897</f>
        <v>só para pesquisa</v>
      </c>
      <c r="W375" s="420"/>
      <c r="X375" s="420"/>
      <c r="Y375" s="420"/>
      <c r="Z375" s="420"/>
      <c r="AA375" s="420"/>
      <c r="AB375" s="420"/>
      <c r="AC375" s="420"/>
      <c r="AD375" s="420"/>
      <c r="AE375" s="420"/>
      <c r="AF375" s="420"/>
      <c r="AG375" s="645"/>
      <c r="AH375" s="645"/>
      <c r="AI375" s="420"/>
      <c r="AJ375" s="93">
        <f>'Q100a-geral'!AJ897</f>
        <v>318</v>
      </c>
      <c r="AK375" s="84">
        <f>'Q100a-geral'!AK897</f>
        <v>318</v>
      </c>
      <c r="AL375" s="601" t="str">
        <f>'Q100a-geral'!AL897</f>
        <v>x</v>
      </c>
      <c r="AM375" s="84">
        <f>'Q100a-geral'!AM897</f>
        <v>317</v>
      </c>
      <c r="AN375" s="137" t="str">
        <f>'Q100a-geral'!AN897</f>
        <v>x</v>
      </c>
      <c r="AO375" s="137" t="str">
        <f>'Q100a-geral'!AO897</f>
        <v>x</v>
      </c>
      <c r="AP375" s="137" t="str">
        <f>'Q100a-geral'!AP897</f>
        <v>x</v>
      </c>
      <c r="AQ375" s="137" t="str">
        <f>'Q100a-geral'!AQ897</f>
        <v>x</v>
      </c>
      <c r="AR375" s="137"/>
      <c r="AS375" s="137"/>
      <c r="AT375" s="137"/>
      <c r="AU375" s="137"/>
      <c r="AV375" s="137" t="str">
        <f>'Q100a-geral'!AV897</f>
        <v>x</v>
      </c>
      <c r="AW375" s="137"/>
      <c r="AX375" s="137"/>
      <c r="AY375" s="137"/>
      <c r="AZ375" s="137"/>
      <c r="BA375" s="137" t="str">
        <f>'Q100a-geral'!BA897</f>
        <v>x</v>
      </c>
      <c r="BB375" s="239" t="str">
        <f>'Q100a-geral'!BB897</f>
        <v>Transporte convencionalacessibilidade</v>
      </c>
      <c r="BC375" s="239" t="str">
        <f>'Q100a-geral'!BC897</f>
        <v>Transporte convencionalacessibilidadex</v>
      </c>
      <c r="BD375" s="239" t="str">
        <f>'Q100a-geral'!BD897</f>
        <v>Transporte convencionalx</v>
      </c>
      <c r="BE375" s="814" t="s">
        <v>2331</v>
      </c>
      <c r="BF375" s="84">
        <f>$AM$375</f>
        <v>317</v>
      </c>
      <c r="BG375" s="1809"/>
    </row>
    <row r="376" spans="1:59" s="1" customFormat="1" ht="112.5" x14ac:dyDescent="0.25">
      <c r="A376" s="275" t="str">
        <f>'Q100a-geral'!A994</f>
        <v>8.5</v>
      </c>
      <c r="B376" s="11" t="str">
        <f>'Q100a-geral'!B994</f>
        <v>Transporte convencional</v>
      </c>
      <c r="C376" s="57" t="str">
        <f>'Q100a-geral'!C994</f>
        <v>acessibilidade</v>
      </c>
      <c r="D376" s="362" t="str">
        <f>'Q100a-geral'!D994</f>
        <v>F tcc en s/rampa</v>
      </c>
      <c r="E376" s="488" t="str">
        <f>'Q100a-geral'!E994</f>
        <v>Belo Horizonte</v>
      </c>
      <c r="F376" s="486" t="str">
        <f>'Q100a-geral'!F994</f>
        <v>frota em n.º de ônibus do transporte coletivo convencional de Belo Horizonte gerenciado pela BHTrans com piso-baixo dianteiro sem rampa veicular (com embarque/desembarque podendo acontecer em nível na porta central e na porta dianteira, mas sem o apoio de uma rampa e dependente no motorista estacionar rente ao meio-fio)
obs.1: esta categoria recebe peso 6, numa escala de 1 a 10, na classificação definida pelo SisMob-BH para classificar a acessibilidade - acesse "acessibilidade em ônibus urbano (escala)"
obs.2: em Belo Horizonte pelo menos até 2015 os veículos de piso baixo nunca tiveram rampa instalada em porta (todos "sem rampa")
obs.3: mês de dezembro tomado como referência anual, com resultado de 1999 conforme BHTRANS(2000b, p.19); de 2000(outubro)  a 2007 conforme BHTRANS(2016e); 2008 adotando resultado de 2007 e 2009; de 2009 a 2014 conforme BHTRANS(2015c) e de 2015 conforme BHTRANS(2016c)</v>
      </c>
      <c r="G376" s="110" t="str">
        <f>'Q100a-geral'!G994</f>
        <v>registro na fonte</v>
      </c>
      <c r="H376" s="173" t="str">
        <f>'Q100a-geral'!H994</f>
        <v>x</v>
      </c>
      <c r="I376" s="167">
        <f>'Q100a-geral'!I994</f>
        <v>1</v>
      </c>
      <c r="J376" s="107" t="str">
        <f>'Q100a-geral'!J994</f>
        <v>não gerenciado pela BHTrans</v>
      </c>
      <c r="K376" s="107" t="str">
        <f>'Q100a-geral'!K994</f>
        <v>não gerenciado pela BHTrans</v>
      </c>
      <c r="L376" s="107" t="str">
        <f>'Q100a-geral'!L994</f>
        <v>não gerenciado pela BHTrans</v>
      </c>
      <c r="M376" s="84">
        <f>'Q100a-geral'!M994</f>
        <v>0</v>
      </c>
      <c r="N376" s="84">
        <f>'Q100a-geral'!N994</f>
        <v>0</v>
      </c>
      <c r="O376" s="84">
        <f>'Q100a-geral'!O994</f>
        <v>0</v>
      </c>
      <c r="P376" s="84">
        <f>'Q100a-geral'!P994</f>
        <v>0</v>
      </c>
      <c r="Q376" s="84">
        <f>'Q100a-geral'!Q994</f>
        <v>0</v>
      </c>
      <c r="R376" s="84">
        <f>'Q100a-geral'!R994</f>
        <v>0</v>
      </c>
      <c r="S376" s="109" t="str">
        <f>'Q100a-geral'!S994</f>
        <v>só para pesquisa</v>
      </c>
      <c r="T376" s="84">
        <f>'Q100a-geral'!T994</f>
        <v>83</v>
      </c>
      <c r="U376" s="646"/>
      <c r="V376" s="109" t="str">
        <f>'Q100a-geral'!V994</f>
        <v>só para pesquisa</v>
      </c>
      <c r="W376" s="110">
        <f>'Q100a-geral'!W994</f>
        <v>153</v>
      </c>
      <c r="X376" s="110">
        <f>'Q100a-geral'!X994</f>
        <v>152</v>
      </c>
      <c r="Y376" s="110">
        <f>'Q100a-geral'!Y994</f>
        <v>152</v>
      </c>
      <c r="Z376" s="110">
        <f>'Q100a-geral'!Z994</f>
        <v>152</v>
      </c>
      <c r="AA376" s="110">
        <f>'Q100a-geral'!AA994</f>
        <v>152</v>
      </c>
      <c r="AB376" s="110">
        <f>'Q100a-geral'!AB994</f>
        <v>152</v>
      </c>
      <c r="AC376" s="110">
        <f>'Q100a-geral'!AC994</f>
        <v>152</v>
      </c>
      <c r="AD376" s="110">
        <f>'Q100a-geral'!AD994</f>
        <v>152</v>
      </c>
      <c r="AE376" s="87">
        <f>'Q100a-geral'!AE994</f>
        <v>152</v>
      </c>
      <c r="AF376" s="87">
        <f>'Q100a-geral'!AF994</f>
        <v>83</v>
      </c>
      <c r="AG376" s="87">
        <f>'Q100a-geral'!AG994</f>
        <v>1</v>
      </c>
      <c r="AH376" s="87">
        <f>'Q100a-geral'!AH994</f>
        <v>0</v>
      </c>
      <c r="AI376" s="84">
        <f>'Q100a-geral'!AI994</f>
        <v>0</v>
      </c>
      <c r="AJ376" s="84">
        <f>'Q100a-geral'!AJ994</f>
        <v>0</v>
      </c>
      <c r="AK376" s="84">
        <f>'Q100a-geral'!AK994</f>
        <v>0</v>
      </c>
      <c r="AL376" s="601" t="str">
        <f>'Q100a-geral'!AL994</f>
        <v>x</v>
      </c>
      <c r="AM376" s="84">
        <f>'Q100a-geral'!AM994</f>
        <v>0</v>
      </c>
      <c r="AN376" s="137" t="str">
        <f>'Q100a-geral'!AN994</f>
        <v>x</v>
      </c>
      <c r="AO376" s="137" t="str">
        <f>'Q100a-geral'!AO994</f>
        <v>x</v>
      </c>
      <c r="AP376" s="137" t="str">
        <f>'Q100a-geral'!AP994</f>
        <v>x</v>
      </c>
      <c r="AQ376" s="137" t="str">
        <f>'Q100a-geral'!AQ994</f>
        <v>x</v>
      </c>
      <c r="AR376" s="137"/>
      <c r="AS376" s="137"/>
      <c r="AT376" s="137"/>
      <c r="AU376" s="137"/>
      <c r="AV376" s="137" t="str">
        <f>'Q100a-geral'!AV994</f>
        <v>x</v>
      </c>
      <c r="AW376" s="137"/>
      <c r="AX376" s="137"/>
      <c r="AY376" s="137"/>
      <c r="AZ376" s="137"/>
      <c r="BA376" s="137" t="str">
        <f>'Q100a-geral'!BA994</f>
        <v>x</v>
      </c>
      <c r="BB376" s="239" t="str">
        <f>'Q100a-geral'!BB994</f>
        <v>Transporte convencionalacessibilidade</v>
      </c>
      <c r="BC376" s="239" t="str">
        <f>'Q100a-geral'!BC994</f>
        <v>Transporte convencionalacessibilidadex</v>
      </c>
      <c r="BD376" s="239" t="str">
        <f>'Q100a-geral'!BD994</f>
        <v>Transporte convencionalx</v>
      </c>
      <c r="BE376" s="358" t="s">
        <v>2332</v>
      </c>
      <c r="BF376" s="84">
        <f>AM376</f>
        <v>0</v>
      </c>
      <c r="BG376" s="1809"/>
    </row>
    <row r="377" spans="1:59" s="1" customFormat="1" ht="90" x14ac:dyDescent="0.25">
      <c r="A377" s="275" t="str">
        <f>'Q100a-geral'!A971</f>
        <v>8.5</v>
      </c>
      <c r="B377" s="11" t="str">
        <f>'Q100a-geral'!B971</f>
        <v>Transporte convencional</v>
      </c>
      <c r="C377" s="57" t="str">
        <f>'Q100a-geral'!C971</f>
        <v>acessibilidade</v>
      </c>
      <c r="D377" s="362" t="str">
        <f>'Q100a-geral'!D971</f>
        <v>F tcc en c/rampa manual</v>
      </c>
      <c r="E377" s="488" t="str">
        <f>'Q100a-geral'!E971</f>
        <v>Belo Horizonte</v>
      </c>
      <c r="F377" s="486" t="str">
        <f>'Q100a-geral'!F971</f>
        <v>frota em n.º de ônibus do transporte coletivo convencional de Belo Horizonte gerenciado pela BHTrans com piso-alto e com rampa veicular manual em uma das portas (com embarque/desembarque em nível apenas nessa porta com o usuário dependente da abertura manual da rampa)
obs.1: esta categoria recebe peso 8, numa escala de 1 a 10, na classificação definida pelo SisMob-BH para classificar a acessibilidade - acesse "acessibilidade em ônibus urbano (escala)"
obs.2: em Belo Horizonte pelo menos até 2015 os veículos de piso alto com rampa operam apenas no sub-sistema BRT
obs.3: mês de dezembro tomado como referência anual, com resultados de 2014 conforme BHTRANS(2015c) e de 2015 conforme BHTRANS(2016c)</v>
      </c>
      <c r="G377" s="110" t="str">
        <f>'Q100a-geral'!G971</f>
        <v>registro na fonte</v>
      </c>
      <c r="H377" s="173" t="str">
        <f>'Q100a-geral'!H971</f>
        <v>x</v>
      </c>
      <c r="I377" s="167">
        <f>'Q100a-geral'!I971</f>
        <v>1</v>
      </c>
      <c r="J377" s="107" t="str">
        <f>'Q100a-geral'!J971</f>
        <v>não gerenciado pela BHTrans</v>
      </c>
      <c r="K377" s="107" t="str">
        <f>'Q100a-geral'!K971</f>
        <v>não gerenciado pela BHTrans</v>
      </c>
      <c r="L377" s="107" t="str">
        <f>'Q100a-geral'!L971</f>
        <v>não gerenciado pela BHTrans</v>
      </c>
      <c r="M377" s="371"/>
      <c r="N377" s="371"/>
      <c r="O377" s="371"/>
      <c r="P377" s="371"/>
      <c r="Q377" s="371"/>
      <c r="R377" s="371"/>
      <c r="S377" s="109" t="str">
        <f>'Q100a-geral'!S971</f>
        <v>só para pesquisa</v>
      </c>
      <c r="T377" s="646"/>
      <c r="U377" s="646"/>
      <c r="V377" s="109" t="str">
        <f>'Q100a-geral'!V971</f>
        <v>só para pesquisa</v>
      </c>
      <c r="W377" s="646"/>
      <c r="X377" s="646"/>
      <c r="Y377" s="646"/>
      <c r="Z377" s="646"/>
      <c r="AA377" s="646"/>
      <c r="AB377" s="646"/>
      <c r="AC377" s="646"/>
      <c r="AD377" s="646"/>
      <c r="AE377" s="646"/>
      <c r="AF377" s="646"/>
      <c r="AG377" s="646"/>
      <c r="AH377" s="646"/>
      <c r="AI377" s="646"/>
      <c r="AJ377" s="84">
        <f>'Q100a-geral'!AJ971</f>
        <v>110</v>
      </c>
      <c r="AK377" s="84">
        <f>'Q100a-geral'!AK971</f>
        <v>110</v>
      </c>
      <c r="AL377" s="601" t="str">
        <f>'Q100a-geral'!AL971</f>
        <v>x</v>
      </c>
      <c r="AM377" s="84">
        <f>'Q100a-geral'!AM971</f>
        <v>110</v>
      </c>
      <c r="AN377" s="137" t="str">
        <f>'Q100a-geral'!AN971</f>
        <v>x</v>
      </c>
      <c r="AO377" s="137" t="str">
        <f>'Q100a-geral'!AO971</f>
        <v>x</v>
      </c>
      <c r="AP377" s="137" t="str">
        <f>'Q100a-geral'!AP971</f>
        <v>x</v>
      </c>
      <c r="AQ377" s="137" t="str">
        <f>'Q100a-geral'!AQ971</f>
        <v>x</v>
      </c>
      <c r="AR377" s="137"/>
      <c r="AS377" s="137"/>
      <c r="AT377" s="137"/>
      <c r="AU377" s="137"/>
      <c r="AV377" s="137" t="str">
        <f>'Q100a-geral'!AV971</f>
        <v>x</v>
      </c>
      <c r="AW377" s="137"/>
      <c r="AX377" s="137"/>
      <c r="AY377" s="137"/>
      <c r="AZ377" s="137"/>
      <c r="BA377" s="137" t="str">
        <f>'Q100a-geral'!BA971</f>
        <v>x</v>
      </c>
      <c r="BB377" s="239" t="str">
        <f>'Q100a-geral'!BB971</f>
        <v>Transporte convencionalacessibilidade</v>
      </c>
      <c r="BC377" s="239" t="str">
        <f>'Q100a-geral'!BC971</f>
        <v>Transporte convencionalacessibilidadex</v>
      </c>
      <c r="BD377" s="239" t="str">
        <f>'Q100a-geral'!BD971</f>
        <v>Transporte convencionalx</v>
      </c>
      <c r="BE377" s="358" t="s">
        <v>2333</v>
      </c>
      <c r="BF377" s="84">
        <f>AM377</f>
        <v>110</v>
      </c>
      <c r="BG377" s="1810"/>
    </row>
    <row r="378" spans="1:59" s="1" customFormat="1" ht="51" x14ac:dyDescent="0.25">
      <c r="A378" s="275" t="str">
        <f>'Q100a-geral'!A1015</f>
        <v>8.10</v>
      </c>
      <c r="B378" s="11" t="str">
        <f>'Q100a-geral'!B1015</f>
        <v>Sistema de transporte coletivo com um todo</v>
      </c>
      <c r="C378" s="57" t="str">
        <f>'Q100a-geral'!C1015</f>
        <v>acessibilidade</v>
      </c>
      <c r="D378" s="715" t="str">
        <f>'Q100a-geral'!D1015</f>
        <v>F tc fc
(%)</v>
      </c>
      <c r="E378" s="488" t="str">
        <f>'Q100a-geral'!E1015</f>
        <v>Belo Horizonte</v>
      </c>
      <c r="F378" s="355" t="str">
        <f>'Q100a-geral'!F1015</f>
        <v>percentual da frota de ônibus do transporte coletivo (convencional e suplementar) de Belo Horizonte com alguma facilidade no embarque/desembarque de pessoas com mobilidade física reduzida</v>
      </c>
      <c r="G378" s="111" t="str">
        <f>'Q100a-geral'!G1015</f>
        <v>(F tc fc / F tc) x 100</v>
      </c>
      <c r="H378" s="57" t="str">
        <f>'Q100a-geral'!H1015</f>
        <v>x</v>
      </c>
      <c r="I378" s="167">
        <f>'Q100a-geral'!I1015</f>
        <v>1</v>
      </c>
      <c r="J378" s="109" t="str">
        <f>'Q100a-geral'!J1015</f>
        <v>não gerenciado pela BHTrans</v>
      </c>
      <c r="K378" s="109" t="str">
        <f>'Q100a-geral'!K1015</f>
        <v>não gerenciado pela BHTrans</v>
      </c>
      <c r="L378" s="109" t="str">
        <f>'Q100a-geral'!L1015</f>
        <v>não gerenciado pela BHTrans</v>
      </c>
      <c r="M378" s="112" t="e">
        <f>'Q100a-geral'!M1015</f>
        <v>#VALUE!</v>
      </c>
      <c r="N378" s="112" t="e">
        <f>'Q100a-geral'!N1015</f>
        <v>#VALUE!</v>
      </c>
      <c r="O378" s="112" t="e">
        <f>'Q100a-geral'!O1015</f>
        <v>#VALUE!</v>
      </c>
      <c r="P378" s="112" t="e">
        <f>'Q100a-geral'!P1015</f>
        <v>#VALUE!</v>
      </c>
      <c r="Q378" s="112" t="e">
        <f>'Q100a-geral'!Q1015</f>
        <v>#VALUE!</v>
      </c>
      <c r="R378" s="112" t="e">
        <f>'Q100a-geral'!R1015</f>
        <v>#VALUE!</v>
      </c>
      <c r="S378" s="109" t="str">
        <f>'Q100a-geral'!S1015</f>
        <v>só para pesquisa</v>
      </c>
      <c r="T378" s="112" t="e">
        <f>'Q100a-geral'!T1015</f>
        <v>#VALUE!</v>
      </c>
      <c r="U378" s="112" t="e">
        <f>'Q100a-geral'!U1015</f>
        <v>#VALUE!</v>
      </c>
      <c r="V378" s="109" t="str">
        <f>'Q100a-geral'!V1015</f>
        <v>só para pesquisa</v>
      </c>
      <c r="W378" s="112" t="e">
        <f>'Q100a-geral'!W1015</f>
        <v>#VALUE!</v>
      </c>
      <c r="X378" s="112" t="e">
        <f>'Q100a-geral'!X1015</f>
        <v>#VALUE!</v>
      </c>
      <c r="Y378" s="112">
        <f>'Q100a-geral'!Y1015</f>
        <v>5.4920634920634918E-2</v>
      </c>
      <c r="Z378" s="112" t="e">
        <f>'Q100a-geral'!Z1015</f>
        <v>#VALUE!</v>
      </c>
      <c r="AA378" s="112" t="e">
        <f>'Q100a-geral'!AA1015</f>
        <v>#VALUE!</v>
      </c>
      <c r="AB378" s="112" t="e">
        <f>'Q100a-geral'!AB1015</f>
        <v>#VALUE!</v>
      </c>
      <c r="AC378" s="112" t="e">
        <f>'Q100a-geral'!AC1015</f>
        <v>#VALUE!</v>
      </c>
      <c r="AD378" s="112" t="e">
        <f>'Q100a-geral'!AD1015</f>
        <v>#VALUE!</v>
      </c>
      <c r="AE378" s="646"/>
      <c r="AF378" s="646"/>
      <c r="AG378" s="646"/>
      <c r="AH378" s="646"/>
      <c r="AI378" s="646"/>
      <c r="AJ378" s="507">
        <f>'Q100a-geral'!AJ1015</f>
        <v>0.90636363636363637</v>
      </c>
      <c r="AK378" s="507">
        <f>'Q100a-geral'!AK1015</f>
        <v>0.92300556586270877</v>
      </c>
      <c r="AL378" s="601" t="str">
        <f>'Q100a-geral'!AL1015</f>
        <v>x</v>
      </c>
      <c r="AM378" s="137" t="str">
        <f>'Q100a-geral'!AM1015</f>
        <v>x</v>
      </c>
      <c r="AN378" s="137" t="str">
        <f>'Q100a-geral'!AN1015</f>
        <v>x</v>
      </c>
      <c r="AO378" s="137" t="str">
        <f>'Q100a-geral'!AO1015</f>
        <v>x</v>
      </c>
      <c r="AP378" s="137" t="str">
        <f>'Q100a-geral'!AP1015</f>
        <v>x</v>
      </c>
      <c r="AQ378" s="137" t="str">
        <f>'Q100a-geral'!AQ1015</f>
        <v>x</v>
      </c>
      <c r="AR378" s="137"/>
      <c r="AS378" s="137"/>
      <c r="AT378" s="137"/>
      <c r="AU378" s="137"/>
      <c r="AV378" s="137" t="str">
        <f>'Q100a-geral'!AV1015</f>
        <v>x</v>
      </c>
      <c r="AW378" s="137"/>
      <c r="AX378" s="137"/>
      <c r="AY378" s="137"/>
      <c r="AZ378" s="137"/>
      <c r="BA378" s="137" t="str">
        <f>'Q100a-geral'!BA1015</f>
        <v>x</v>
      </c>
      <c r="BB378" s="239" t="str">
        <f>'Q100a-geral'!BB1015</f>
        <v>Sistema de transporte coletivo com um todoacessibilidade</v>
      </c>
      <c r="BC378" s="239" t="str">
        <f>'Q100a-geral'!BC1015</f>
        <v>Sistema de transporte coletivo com um todoacessibilidadex</v>
      </c>
      <c r="BD378" s="239" t="str">
        <f>'Q100a-geral'!BD1015</f>
        <v>Sistema de transporte coletivo com um todox</v>
      </c>
    </row>
    <row r="379" spans="1:59" s="1" customFormat="1" ht="78.75" x14ac:dyDescent="0.25">
      <c r="A379" s="275" t="str">
        <f>'Q100a-geral'!A1016</f>
        <v>8.5</v>
      </c>
      <c r="B379" s="54" t="str">
        <f>'Q100a-geral'!B1016</f>
        <v>Transporte convencional</v>
      </c>
      <c r="C379" s="230" t="str">
        <f>'Q100a-geral'!C1016</f>
        <v>acessibilidade</v>
      </c>
      <c r="D379" s="362" t="str">
        <f>'Q100a-geral'!D1016</f>
        <v>F tcc fc
(n.º)</v>
      </c>
      <c r="E379" s="488" t="str">
        <f>'Q100a-geral'!E1016</f>
        <v>Belo Horizonte</v>
      </c>
      <c r="F379" s="486" t="str">
        <f>'Q100a-geral'!F1016</f>
        <v>frota em n.º de ônibus do transporte coletivo convencional de Belo Horizonte gerenciado pela BHTrans com alguma facilidade para o embarque/desembarque de pessoas com mobilidade física reduzida mesmo que essa facilidade não permita classificar a viagem ofertada como acessível
obs.1: acesse as definições de "acessível, ônibus" e "alguma facilidade"
obs.2: no transporte coletivo convencional de Belo Horizonte pelo menos até 2015 a frota com facilidade é composta pelos ônibus com elevador e os com embarque em nível, ou seja, apenas os considerados "sem faciidade" não são considerados e a tendência é que sua quantidade aumente ano a ano por força apenas das renovações</v>
      </c>
      <c r="G379" s="524" t="str">
        <f>'Q100a-geral'!G1016</f>
        <v xml:space="preserve">até 2015:
F tcc - F tcc sfc </v>
      </c>
      <c r="H379" s="173" t="str">
        <f>'Q100a-geral'!H1016</f>
        <v>x</v>
      </c>
      <c r="I379" s="167">
        <f>'Q100a-geral'!I1016</f>
        <v>1</v>
      </c>
      <c r="J379" s="109" t="str">
        <f>'Q100a-geral'!J1016</f>
        <v>não gerenciado pela BHTrans</v>
      </c>
      <c r="K379" s="109" t="str">
        <f>'Q100a-geral'!K1016</f>
        <v>não gerenciado pela BHTrans</v>
      </c>
      <c r="L379" s="109" t="str">
        <f>'Q100a-geral'!L1016</f>
        <v>não gerenciado pela BHTrans</v>
      </c>
      <c r="M379" s="356">
        <f>'Q100a-geral'!M1016</f>
        <v>0</v>
      </c>
      <c r="N379" s="356">
        <f>'Q100a-geral'!N1016</f>
        <v>0</v>
      </c>
      <c r="O379" s="356">
        <f>'Q100a-geral'!O1016</f>
        <v>0</v>
      </c>
      <c r="P379" s="356" t="e">
        <f>'Q100a-geral'!P1016</f>
        <v>#VALUE!</v>
      </c>
      <c r="Q379" s="356" t="e">
        <f>'Q100a-geral'!Q1016</f>
        <v>#VALUE!</v>
      </c>
      <c r="R379" s="371"/>
      <c r="S379" s="109" t="str">
        <f>'Q100a-geral'!S1016</f>
        <v>só para pesquisa</v>
      </c>
      <c r="T379" s="646"/>
      <c r="U379" s="646"/>
      <c r="V379" s="109" t="str">
        <f>'Q100a-geral'!V1016</f>
        <v>só para pesquisa</v>
      </c>
      <c r="W379" s="646"/>
      <c r="X379" s="646"/>
      <c r="Y379" s="646"/>
      <c r="Z379" s="646"/>
      <c r="AA379" s="646"/>
      <c r="AB379" s="646"/>
      <c r="AC379" s="646"/>
      <c r="AD379" s="646"/>
      <c r="AE379" s="356">
        <f>'Q100a-geral'!AE1016</f>
        <v>1525</v>
      </c>
      <c r="AF379" s="356">
        <f>'Q100a-geral'!AF1016</f>
        <v>1808</v>
      </c>
      <c r="AG379" s="356">
        <f>'Q100a-geral'!AG1016</f>
        <v>2217</v>
      </c>
      <c r="AH379" s="356">
        <f>'Q100a-geral'!AH1016</f>
        <v>2341</v>
      </c>
      <c r="AI379" s="356">
        <f>'Q100a-geral'!AI1016</f>
        <v>2456</v>
      </c>
      <c r="AJ379" s="356">
        <f>'Q100a-geral'!AJ1016</f>
        <v>2721</v>
      </c>
      <c r="AK379" s="356">
        <f>'Q100a-geral'!AK1016</f>
        <v>2716</v>
      </c>
      <c r="AL379" s="601" t="str">
        <f>'Q100a-geral'!AL1016</f>
        <v>x</v>
      </c>
      <c r="AM379" s="20">
        <f>'Q100a-geral'!AM1016</f>
        <v>2852</v>
      </c>
      <c r="AN379" s="137" t="str">
        <f>'Q100a-geral'!AN1016</f>
        <v>x</v>
      </c>
      <c r="AO379" s="137" t="str">
        <f>'Q100a-geral'!AO1016</f>
        <v>x</v>
      </c>
      <c r="AP379" s="137" t="str">
        <f>'Q100a-geral'!AP1016</f>
        <v>x</v>
      </c>
      <c r="AQ379" s="137" t="str">
        <f>'Q100a-geral'!AQ1016</f>
        <v>x</v>
      </c>
      <c r="AR379" s="137"/>
      <c r="AS379" s="137"/>
      <c r="AT379" s="137"/>
      <c r="AU379" s="137"/>
      <c r="AV379" s="137" t="str">
        <f>'Q100a-geral'!AV1016</f>
        <v>x</v>
      </c>
      <c r="AW379" s="137"/>
      <c r="AX379" s="137"/>
      <c r="AY379" s="137"/>
      <c r="AZ379" s="137"/>
      <c r="BA379" s="137" t="str">
        <f>'Q100a-geral'!BA1016</f>
        <v>x</v>
      </c>
      <c r="BB379" s="239" t="str">
        <f>'Q100a-geral'!BB1016</f>
        <v>Transporte convencionalacessibilidade</v>
      </c>
      <c r="BC379" s="239" t="str">
        <f>'Q100a-geral'!BC1016</f>
        <v>Transporte convencionalacessibilidadex</v>
      </c>
      <c r="BD379" s="239" t="str">
        <f>'Q100a-geral'!BD1016</f>
        <v>Transporte convencionalx</v>
      </c>
      <c r="BE379" s="658" t="s">
        <v>2328</v>
      </c>
    </row>
    <row r="380" spans="1:59" s="1" customFormat="1" ht="79.5" customHeight="1" x14ac:dyDescent="0.25">
      <c r="A380" s="275" t="str">
        <f>'Q100a-geral'!A1017</f>
        <v>8.5</v>
      </c>
      <c r="B380" s="54" t="str">
        <f>'Q100a-geral'!B1017</f>
        <v>Transporte convencional</v>
      </c>
      <c r="C380" s="230" t="str">
        <f>'Q100a-geral'!C1017</f>
        <v>acessibilidade</v>
      </c>
      <c r="D380" s="362" t="str">
        <f>'Q100a-geral'!D1017</f>
        <v>F tcc fc
(%)</v>
      </c>
      <c r="E380" s="488" t="str">
        <f>'Q100a-geral'!E1017</f>
        <v>Belo Horizonte</v>
      </c>
      <c r="F380" s="486" t="str">
        <f>'Q100a-geral'!F1017</f>
        <v>percentual da frota de ônibus do transporte coletivo convencional de Belo Horizonte gerenciado pela BHTrans com alguma facilidade para o embarque/desembarque de pessoas com mobilidade física reduzida
obs.1: no transporte coletivo convencional de Belo Horizonte pelo menos até 2015 a frota com facilidade é composta pelos ônibus com elevador e os com embarque em nível, ou seja, apenas os considerados "sem faciidade" não são considerados e a tendência é que sua participação percentual aumente ano a ano por força apenas das renovações
obs.2: consulte também "NVR tcc fc (Belo Horizonte)" que, espera-se, apresenta resultados próximos (considerando-se que os veículos que oferecem “alguma facilidade” em uma frota urbana de ônibus são os de fabricação mais recente, o esperado é que eles façam mais viagens que os veículos mais antigos. Isto leva à hipótese de que os resultados do indicador “viagens acessíveis” devem ser superiores aos do indicador “frota com alguma facilidade”)</v>
      </c>
      <c r="G380" s="524" t="str">
        <f>'Q100a-geral'!G1017</f>
        <v>até 2015:
(n.º F tcc fc / n.º F tcc) x 100</v>
      </c>
      <c r="H380" s="173" t="str">
        <f>'Q100a-geral'!H1017</f>
        <v>x</v>
      </c>
      <c r="I380" s="167">
        <f>'Q100a-geral'!I1017</f>
        <v>1</v>
      </c>
      <c r="J380" s="109" t="str">
        <f>'Q100a-geral'!J1017</f>
        <v>não gerenciado pela BHTrans</v>
      </c>
      <c r="K380" s="109" t="str">
        <f>'Q100a-geral'!K1017</f>
        <v>não gerenciado pela BHTrans</v>
      </c>
      <c r="L380" s="109" t="str">
        <f>'Q100a-geral'!L1017</f>
        <v>não gerenciado pela BHTrans</v>
      </c>
      <c r="M380" s="371"/>
      <c r="N380" s="371"/>
      <c r="O380" s="371"/>
      <c r="P380" s="371"/>
      <c r="Q380" s="371"/>
      <c r="R380" s="371"/>
      <c r="S380" s="109" t="str">
        <f>'Q100a-geral'!S1017</f>
        <v>só para pesquisa</v>
      </c>
      <c r="T380" s="646"/>
      <c r="U380" s="646"/>
      <c r="V380" s="109" t="str">
        <f>'Q100a-geral'!V1017</f>
        <v>só para pesquisa</v>
      </c>
      <c r="W380" s="646"/>
      <c r="X380" s="646"/>
      <c r="Y380" s="646"/>
      <c r="Z380" s="646"/>
      <c r="AA380" s="646"/>
      <c r="AB380" s="646"/>
      <c r="AC380" s="646"/>
      <c r="AD380" s="646"/>
      <c r="AE380" s="112">
        <f>'Q100a-geral'!AE1017</f>
        <v>0.53433777154870354</v>
      </c>
      <c r="AF380" s="112">
        <f>'Q100a-geral'!AF1017</f>
        <v>0.6384180790960452</v>
      </c>
      <c r="AG380" s="112">
        <f>'Q100a-geral'!AG1017</f>
        <v>0.73654485049833884</v>
      </c>
      <c r="AH380" s="112">
        <f>'Q100a-geral'!AH1017</f>
        <v>0.77057274522712316</v>
      </c>
      <c r="AI380" s="112">
        <f>'Q100a-geral'!AI1017</f>
        <v>0.80762906938507073</v>
      </c>
      <c r="AJ380" s="507">
        <f>'Q100a-geral'!AJ1017</f>
        <v>0.90009923916639101</v>
      </c>
      <c r="AK380" s="507">
        <f>'Q100a-geral'!AK1017</f>
        <v>0.91756756756756752</v>
      </c>
      <c r="AL380" s="601" t="str">
        <f>'Q100a-geral'!AL1017</f>
        <v>x</v>
      </c>
      <c r="AM380" s="21">
        <f>'Q100a-geral'!AM1017</f>
        <v>0.96645205015249069</v>
      </c>
      <c r="AN380" s="137" t="str">
        <f>'Q100a-geral'!AN1017</f>
        <v>x</v>
      </c>
      <c r="AO380" s="137" t="str">
        <f>'Q100a-geral'!AO1017</f>
        <v>x</v>
      </c>
      <c r="AP380" s="137" t="str">
        <f>'Q100a-geral'!AP1017</f>
        <v>x</v>
      </c>
      <c r="AQ380" s="137" t="str">
        <f>'Q100a-geral'!AQ1017</f>
        <v>x</v>
      </c>
      <c r="AR380" s="137"/>
      <c r="AS380" s="137"/>
      <c r="AT380" s="137"/>
      <c r="AU380" s="137"/>
      <c r="AV380" s="137" t="str">
        <f>'Q100a-geral'!AV1017</f>
        <v>x</v>
      </c>
      <c r="AW380" s="137"/>
      <c r="AX380" s="137"/>
      <c r="AY380" s="137"/>
      <c r="AZ380" s="137"/>
      <c r="BA380" s="137" t="str">
        <f>'Q100a-geral'!BA1017</f>
        <v>x</v>
      </c>
      <c r="BB380" s="239" t="str">
        <f>'Q100a-geral'!BB1017</f>
        <v>Transporte convencionalacessibilidade</v>
      </c>
      <c r="BC380" s="239" t="str">
        <f>'Q100a-geral'!BC1017</f>
        <v>Transporte convencionalacessibilidadex</v>
      </c>
      <c r="BD380" s="239" t="str">
        <f>'Q100a-geral'!BD1017</f>
        <v>Transporte convencionalx</v>
      </c>
    </row>
    <row r="381" spans="1:59" s="1" customFormat="1" ht="79.5" customHeight="1" x14ac:dyDescent="0.25">
      <c r="A381" s="275" t="str">
        <f>'Q100a-geral'!A1020</f>
        <v>8.7</v>
      </c>
      <c r="B381" s="252" t="str">
        <f>'Q100a-geral'!B1020</f>
        <v>Transporte de baixa capacidade</v>
      </c>
      <c r="C381" s="167" t="str">
        <f>'Q100a-geral'!C1020</f>
        <v>acessibilidade</v>
      </c>
      <c r="D381" s="714" t="str">
        <f>'Q100a-geral'!D1020</f>
        <v>F tcs fc
(n.º)</v>
      </c>
      <c r="E381" s="445" t="str">
        <f>'Q100a-geral'!E1020</f>
        <v>Belo Horizonte</v>
      </c>
      <c r="F381" s="449" t="str">
        <f>'Q100a-geral'!F1020</f>
        <v>frota em n.º de ônibus do transporte coletivo suplementar de Belo Horizonte com alguma facilidade para o embarque/desembarque de pessoas com mobilidade física reduzida mesmo que essa facilidade não permita classificar a viagem ofertada como acessível
obs.1: acesse as definições de "acessível, ônibus" e "alguma facilidade"
obs.2: em Belo Horizonte pelo menos até 2015 este indicador tem resultados idênticos ao da frota de ônibus com elevador pois, criado em 2001, o serviço suplementar nunca operou com embarque em nível, seja com ônibus de piso baixo, seja com plataforma elevada (esta frota com facilidade é, portanto, composta apenas por ônibus com elevador)
obs.3: licitação para todo o serviço lançada em 2016 conforme BHTRANS(2016h) quando se considerou que todos os veículos do serviço "são acessíveis à [sic] pessoas com mobilidade reduzida" conforme BHTRANS(2016i)</v>
      </c>
      <c r="G381" s="111" t="str">
        <f>'Q100a-geral'!G1020</f>
        <v>até 2015:
F tcs eh</v>
      </c>
      <c r="H381" s="167" t="str">
        <f>'Q100a-geral'!H1020</f>
        <v>x</v>
      </c>
      <c r="I381" s="167">
        <f>'Q100a-geral'!I1020</f>
        <v>1</v>
      </c>
      <c r="J381" s="137" t="str">
        <f>'Q100a-geral'!J1020</f>
        <v>serviço não existia antes de 2001</v>
      </c>
      <c r="K381" s="137" t="str">
        <f>'Q100a-geral'!K1020</f>
        <v>serviço não existia antes de 2001</v>
      </c>
      <c r="L381" s="137" t="str">
        <f>'Q100a-geral'!L1020</f>
        <v>serviço não existia antes de 2001</v>
      </c>
      <c r="M381" s="107" t="str">
        <f>'Q100a-geral'!M1020</f>
        <v>serviço não existia antes de 2001</v>
      </c>
      <c r="N381" s="107" t="str">
        <f>'Q100a-geral'!N1020</f>
        <v>serviço não existia antes de 2001</v>
      </c>
      <c r="O381" s="107" t="str">
        <f>'Q100a-geral'!O1020</f>
        <v>serviço não existia antes de 2001</v>
      </c>
      <c r="P381" s="107" t="str">
        <f>'Q100a-geral'!P1020</f>
        <v>serviço não existia antes de 2001</v>
      </c>
      <c r="Q381" s="107" t="str">
        <f>'Q100a-geral'!Q1020</f>
        <v>serviço não existia antes de 2001</v>
      </c>
      <c r="R381" s="107" t="str">
        <f>'Q100a-geral'!R1020</f>
        <v>serviço não existia antes de 2001</v>
      </c>
      <c r="S381" s="109" t="str">
        <f>'Q100a-geral'!S1020</f>
        <v>só para pesquisa</v>
      </c>
      <c r="T381" s="107" t="str">
        <f>'Q100a-geral'!T1020</f>
        <v>serviço não existia antes de 2001</v>
      </c>
      <c r="U381" s="107" t="str">
        <f>'Q100a-geral'!U1020</f>
        <v>serviço não existia antes de 2001</v>
      </c>
      <c r="V381" s="109" t="str">
        <f>'Q100a-geral'!V1020</f>
        <v>só para pesquisa</v>
      </c>
      <c r="W381" s="622" t="str">
        <f>'Q100a-geral'!W1020</f>
        <v>ainda não encontrado</v>
      </c>
      <c r="X381" s="622" t="str">
        <f>'Q100a-geral'!X1020</f>
        <v>ainda não encontrado</v>
      </c>
      <c r="Y381" s="622" t="str">
        <f>'Q100a-geral'!Y1020</f>
        <v>ainda não encontrado</v>
      </c>
      <c r="Z381" s="622" t="str">
        <f>'Q100a-geral'!Z1020</f>
        <v>ainda não encontrado</v>
      </c>
      <c r="AA381" s="622" t="str">
        <f>'Q100a-geral'!AA1020</f>
        <v>ainda não encontrado</v>
      </c>
      <c r="AB381" s="622" t="str">
        <f>'Q100a-geral'!AB1020</f>
        <v>ainda não encontrado</v>
      </c>
      <c r="AC381" s="622" t="str">
        <f>'Q100a-geral'!AC1020</f>
        <v>ainda não encontrado</v>
      </c>
      <c r="AD381" s="622" t="str">
        <f>'Q100a-geral'!AD1020</f>
        <v>ainda não encontrado</v>
      </c>
      <c r="AE381" s="646"/>
      <c r="AF381" s="646"/>
      <c r="AG381" s="646"/>
      <c r="AH381" s="646"/>
      <c r="AI381" s="646"/>
      <c r="AJ381" s="613">
        <f>'Q100a-geral'!AJ1020</f>
        <v>270</v>
      </c>
      <c r="AK381" s="613">
        <f>'Q100a-geral'!AK1020</f>
        <v>269</v>
      </c>
      <c r="AL381" s="601" t="str">
        <f>'Q100a-geral'!AL1020</f>
        <v>x</v>
      </c>
      <c r="AM381" s="137" t="str">
        <f>'Q100a-geral'!AM1020</f>
        <v>x</v>
      </c>
      <c r="AN381" s="137" t="str">
        <f>'Q100a-geral'!AN1020</f>
        <v>x</v>
      </c>
      <c r="AO381" s="137" t="str">
        <f>'Q100a-geral'!AO1020</f>
        <v>x</v>
      </c>
      <c r="AP381" s="137" t="str">
        <f>'Q100a-geral'!AP1020</f>
        <v>x</v>
      </c>
      <c r="AQ381" s="137" t="str">
        <f>'Q100a-geral'!AQ1020</f>
        <v>x</v>
      </c>
      <c r="AR381" s="137"/>
      <c r="AS381" s="137"/>
      <c r="AT381" s="137"/>
      <c r="AU381" s="137"/>
      <c r="AV381" s="137" t="str">
        <f>'Q100a-geral'!AV1020</f>
        <v>x</v>
      </c>
      <c r="AW381" s="137"/>
      <c r="AX381" s="137"/>
      <c r="AY381" s="137"/>
      <c r="AZ381" s="137"/>
      <c r="BA381" s="137" t="str">
        <f>'Q100a-geral'!BA1020</f>
        <v>x</v>
      </c>
      <c r="BB381" s="239" t="str">
        <f>'Q100a-geral'!BB1020</f>
        <v>Transporte de baixa capacidadeacessibilidade</v>
      </c>
      <c r="BC381" s="239" t="str">
        <f>'Q100a-geral'!BC1020</f>
        <v>Transporte de baixa capacidadeacessibilidadex</v>
      </c>
      <c r="BD381" s="239" t="str">
        <f>'Q100a-geral'!BD1020</f>
        <v>Transporte de baixa capacidadex</v>
      </c>
    </row>
    <row r="382" spans="1:59" s="1" customFormat="1" ht="56.25" x14ac:dyDescent="0.25">
      <c r="A382" s="275" t="str">
        <f>'Q100a-geral'!A1021</f>
        <v>8.7</v>
      </c>
      <c r="B382" s="252" t="str">
        <f>'Q100a-geral'!B1021</f>
        <v>Transporte de baixa capacidade</v>
      </c>
      <c r="C382" s="167" t="str">
        <f>'Q100a-geral'!C1021</f>
        <v>acessibilidade</v>
      </c>
      <c r="D382" s="715" t="str">
        <f>'Q100a-geral'!D1021</f>
        <v>F tcs fc
(%)</v>
      </c>
      <c r="E382" s="488" t="str">
        <f>'Q100a-geral'!E1021</f>
        <v>Belo Horizonte</v>
      </c>
      <c r="F382" s="486" t="str">
        <f>'Q100a-geral'!F1021</f>
        <v xml:space="preserve">percentual da frota de ônibus do transporte coletivo suplementar de Belo Horizonte com alguma facilidade no embarque/desembarque de pessoas com mobilidade física reduzida
obs.: em Belo Horizonte pelo menos até 2015 este indicador tem resultados idênticos ao "% de supementar com elevador (Belo Horizonte)" pois, criado em 2001, o serviço nunca operou com embarque em nível (seja com ônibus de piso baixo, seja com plataforma elevada) </v>
      </c>
      <c r="G382" s="111" t="str">
        <f>'Q100a-geral'!G1021</f>
        <v>(F tcs fc / F tcs) x 100</v>
      </c>
      <c r="H382" s="167" t="str">
        <f>'Q100a-geral'!H1021</f>
        <v>x</v>
      </c>
      <c r="I382" s="167">
        <f>'Q100a-geral'!I1021</f>
        <v>1</v>
      </c>
      <c r="J382" s="137" t="str">
        <f>'Q100a-geral'!J1021</f>
        <v>serviço não existia antes de 2001</v>
      </c>
      <c r="K382" s="137" t="str">
        <f>'Q100a-geral'!K1021</f>
        <v>serviço não existia antes de 2001</v>
      </c>
      <c r="L382" s="137" t="str">
        <f>'Q100a-geral'!L1021</f>
        <v>serviço não existia antes de 2001</v>
      </c>
      <c r="M382" s="107" t="str">
        <f>'Q100a-geral'!M1021</f>
        <v>serviço não existia antes de 2001</v>
      </c>
      <c r="N382" s="107" t="str">
        <f>'Q100a-geral'!N1021</f>
        <v>serviço não existia antes de 2001</v>
      </c>
      <c r="O382" s="107" t="str">
        <f>'Q100a-geral'!O1021</f>
        <v>serviço não existia antes de 2001</v>
      </c>
      <c r="P382" s="107" t="str">
        <f>'Q100a-geral'!P1021</f>
        <v>serviço não existia antes de 2001</v>
      </c>
      <c r="Q382" s="107" t="str">
        <f>'Q100a-geral'!Q1021</f>
        <v>serviço não existia antes de 2001</v>
      </c>
      <c r="R382" s="107" t="str">
        <f>'Q100a-geral'!R1021</f>
        <v>serviço não existia antes de 2001</v>
      </c>
      <c r="S382" s="109" t="str">
        <f>'Q100a-geral'!S1021</f>
        <v>só para pesquisa</v>
      </c>
      <c r="T382" s="107" t="str">
        <f>'Q100a-geral'!T1021</f>
        <v>serviço não existia antes de 2001</v>
      </c>
      <c r="U382" s="107" t="str">
        <f>'Q100a-geral'!U1021</f>
        <v>serviço não existia antes de 2001</v>
      </c>
      <c r="V382" s="109" t="str">
        <f>'Q100a-geral'!V1021</f>
        <v>só para pesquisa</v>
      </c>
      <c r="W382" s="622" t="str">
        <f>'Q100a-geral'!W1021</f>
        <v>ainda não encontrado</v>
      </c>
      <c r="X382" s="622" t="str">
        <f>'Q100a-geral'!X1021</f>
        <v>ainda não encontrado</v>
      </c>
      <c r="Y382" s="622" t="str">
        <f>'Q100a-geral'!Y1021</f>
        <v>ainda não encontrado</v>
      </c>
      <c r="Z382" s="622" t="str">
        <f>'Q100a-geral'!Z1021</f>
        <v>ainda não encontrado</v>
      </c>
      <c r="AA382" s="622" t="str">
        <f>'Q100a-geral'!AA1021</f>
        <v>ainda não encontrado</v>
      </c>
      <c r="AB382" s="622" t="str">
        <f>'Q100a-geral'!AB1021</f>
        <v>ainda não encontrado</v>
      </c>
      <c r="AC382" s="622" t="str">
        <f>'Q100a-geral'!AC1021</f>
        <v>ainda não encontrado</v>
      </c>
      <c r="AD382" s="622" t="str">
        <f>'Q100a-geral'!AD1021</f>
        <v>ainda não encontrado</v>
      </c>
      <c r="AE382" s="646"/>
      <c r="AF382" s="646"/>
      <c r="AG382" s="646"/>
      <c r="AH382" s="646"/>
      <c r="AI382" s="646"/>
      <c r="AJ382" s="805">
        <f>'Q100a-geral'!AJ1021</f>
        <v>0.97472924187725629</v>
      </c>
      <c r="AK382" s="805">
        <f>'Q100a-geral'!AK1021</f>
        <v>0.98175182481751821</v>
      </c>
      <c r="AL382" s="601" t="str">
        <f>'Q100a-geral'!AL1021</f>
        <v>x</v>
      </c>
      <c r="AM382" s="137" t="str">
        <f>'Q100a-geral'!AM1021</f>
        <v>x</v>
      </c>
      <c r="AN382" s="137" t="str">
        <f>'Q100a-geral'!AN1021</f>
        <v>x</v>
      </c>
      <c r="AO382" s="137" t="str">
        <f>'Q100a-geral'!AO1021</f>
        <v>x</v>
      </c>
      <c r="AP382" s="137" t="str">
        <f>'Q100a-geral'!AP1021</f>
        <v>x</v>
      </c>
      <c r="AQ382" s="137" t="str">
        <f>'Q100a-geral'!AQ1021</f>
        <v>x</v>
      </c>
      <c r="AR382" s="137"/>
      <c r="AS382" s="137"/>
      <c r="AT382" s="137"/>
      <c r="AU382" s="137"/>
      <c r="AV382" s="137" t="str">
        <f>'Q100a-geral'!AV1021</f>
        <v>x</v>
      </c>
      <c r="AW382" s="137"/>
      <c r="AX382" s="137"/>
      <c r="AY382" s="137"/>
      <c r="AZ382" s="137"/>
      <c r="BA382" s="137" t="str">
        <f>'Q100a-geral'!BA1021</f>
        <v>x</v>
      </c>
      <c r="BB382" s="239" t="str">
        <f>'Q100a-geral'!BB1021</f>
        <v>Transporte de baixa capacidadeacessibilidade</v>
      </c>
      <c r="BC382" s="239" t="str">
        <f>'Q100a-geral'!BC1021</f>
        <v>Transporte de baixa capacidadeacessibilidadex</v>
      </c>
      <c r="BD382" s="239" t="str">
        <f>'Q100a-geral'!BD1021</f>
        <v>Transporte de baixa capacidadex</v>
      </c>
    </row>
    <row r="383" spans="1:59" s="1" customFormat="1" ht="76.5" customHeight="1" x14ac:dyDescent="0.25">
      <c r="A383" s="390" t="str">
        <f>'Q100a-geral'!A1023</f>
        <v>8.10</v>
      </c>
      <c r="B383" s="70" t="str">
        <f>'Q100a-geral'!B1023</f>
        <v>Sistema de transporte coletivo com um todo</v>
      </c>
      <c r="C383" s="391" t="str">
        <f>'Q100a-geral'!C1023</f>
        <v>acessibilidade</v>
      </c>
      <c r="D383" s="748" t="str">
        <f>'Q100a-geral'!D1023</f>
        <v>F tc fc
(%)</v>
      </c>
      <c r="E383" s="749" t="str">
        <f>'Q100a-geral'!E1023</f>
        <v>Contagem</v>
      </c>
      <c r="F383" s="752" t="str">
        <f>'Q100a-geral'!F1023</f>
        <v>percentual da frota de ônibus do transporte coletivo de Contagem com alguma facilidade no embarque/desembarque de pessoas com mobilidade física reduzida
obs.1: segundo o PlanMob Contagem os veículos com elevador hidráulico instalado "são considerados acessíveis" (VERTRAN, 2005a, p.60)
obs.2: em Contagem, pelo menos até 2014 não existem veículos com embarque em nível e, por isto, este indicador tem resultados idênticos ao "% de frota com elevador (Contagem)"</v>
      </c>
      <c r="G383" s="392" t="str">
        <f>'Q100a-geral'!G1023</f>
        <v>até 2014:
(F tc eh / F tc) x 100</v>
      </c>
      <c r="H383" s="391" t="str">
        <f>'Q100a-geral'!H1023</f>
        <v>RMBH</v>
      </c>
      <c r="I383" s="393">
        <f>'Q100a-geral'!I1023</f>
        <v>1</v>
      </c>
      <c r="J383" s="343" t="str">
        <f>'Q100a-geral'!J1023</f>
        <v>resultado não encontrado</v>
      </c>
      <c r="K383" s="343" t="str">
        <f>'Q100a-geral'!K1023</f>
        <v>resultado não encontrado</v>
      </c>
      <c r="L383" s="343" t="str">
        <f>'Q100a-geral'!L1023</f>
        <v>resultado não encontrado</v>
      </c>
      <c r="M383" s="394" t="str">
        <f>'Q100a-geral'!M1023</f>
        <v>resultado não encontrado</v>
      </c>
      <c r="N383" s="394" t="str">
        <f>'Q100a-geral'!N1023</f>
        <v>resultado não encontrado</v>
      </c>
      <c r="O383" s="394" t="str">
        <f>'Q100a-geral'!O1023</f>
        <v>resultado não encontrado</v>
      </c>
      <c r="P383" s="394" t="str">
        <f>'Q100a-geral'!P1023</f>
        <v>resultado não encontrado</v>
      </c>
      <c r="Q383" s="394" t="str">
        <f>'Q100a-geral'!Q1023</f>
        <v>resultado não encontrado</v>
      </c>
      <c r="R383" s="394" t="str">
        <f>'Q100a-geral'!R1023</f>
        <v>resultado não encontrado</v>
      </c>
      <c r="S383" s="109" t="str">
        <f>'Q100a-geral'!S1023</f>
        <v>só para pesquisa</v>
      </c>
      <c r="T383" s="394" t="str">
        <f>'Q100a-geral'!T1023</f>
        <v>resultado não encontrado</v>
      </c>
      <c r="U383" s="394" t="str">
        <f>'Q100a-geral'!U1023</f>
        <v>resultado não encontrado</v>
      </c>
      <c r="V383" s="109" t="str">
        <f>'Q100a-geral'!V1023</f>
        <v>só para pesquisa</v>
      </c>
      <c r="W383" s="107" t="str">
        <f>'Q100a-geral'!W1023</f>
        <v>resultado não encontrado</v>
      </c>
      <c r="X383" s="107" t="str">
        <f>'Q100a-geral'!X1023</f>
        <v>resultado não encontrado</v>
      </c>
      <c r="Y383" s="107" t="str">
        <f>'Q100a-geral'!Y1023</f>
        <v>resultado não encontrado</v>
      </c>
      <c r="Z383" s="107" t="str">
        <f>'Q100a-geral'!Z1023</f>
        <v>resultado não encontrado</v>
      </c>
      <c r="AA383" s="107" t="str">
        <f>'Q100a-geral'!AA1023</f>
        <v>resultado não encontrado</v>
      </c>
      <c r="AB383" s="107" t="str">
        <f>'Q100a-geral'!AB1023</f>
        <v>resultado não encontrado</v>
      </c>
      <c r="AC383" s="107" t="str">
        <f>'Q100a-geral'!AC1023</f>
        <v>resultado não encontrado</v>
      </c>
      <c r="AD383" s="107" t="str">
        <f>'Q100a-geral'!AD1023</f>
        <v>resultado não encontrado</v>
      </c>
      <c r="AE383" s="107" t="str">
        <f>'Q100a-geral'!AE1023</f>
        <v>resultado não encontrado</v>
      </c>
      <c r="AF383" s="107" t="str">
        <f>'Q100a-geral'!AF1023</f>
        <v>resultado não encontrado</v>
      </c>
      <c r="AG383" s="107" t="str">
        <f>'Q100a-geral'!AG1023</f>
        <v>resultado não encontrado</v>
      </c>
      <c r="AH383" s="107" t="str">
        <f>'Q100a-geral'!AH1023</f>
        <v>resultado não encontrado</v>
      </c>
      <c r="AI383" s="107" t="str">
        <f>'Q100a-geral'!AI1023</f>
        <v>resultado não encontrado</v>
      </c>
      <c r="AJ383" s="757">
        <f>'Q100a-geral'!AJ1023</f>
        <v>0.90419161676646709</v>
      </c>
      <c r="AK383" s="107" t="str">
        <f>'Q100a-geral'!AK1023</f>
        <v>resultado não encontrado</v>
      </c>
      <c r="AL383" s="601" t="str">
        <f>'Q100a-geral'!AL1023</f>
        <v>x</v>
      </c>
      <c r="AM383" s="395" t="str">
        <f>'Q100a-geral'!AM1023</f>
        <v>x</v>
      </c>
      <c r="AN383" s="395" t="str">
        <f>'Q100a-geral'!AN1023</f>
        <v>x</v>
      </c>
      <c r="AO383" s="395" t="str">
        <f>'Q100a-geral'!AO1023</f>
        <v>x</v>
      </c>
      <c r="AP383" s="395" t="str">
        <f>'Q100a-geral'!AP1023</f>
        <v>x</v>
      </c>
      <c r="AQ383" s="395" t="str">
        <f>'Q100a-geral'!AQ1023</f>
        <v>x</v>
      </c>
      <c r="AR383" s="395"/>
      <c r="AS383" s="395"/>
      <c r="AT383" s="395"/>
      <c r="AU383" s="395"/>
      <c r="AV383" s="395" t="str">
        <f>'Q100a-geral'!AV1023</f>
        <v>x</v>
      </c>
      <c r="AW383" s="395"/>
      <c r="AX383" s="395"/>
      <c r="AY383" s="395"/>
      <c r="AZ383" s="395"/>
      <c r="BA383" s="395" t="str">
        <f>'Q100a-geral'!BA1023</f>
        <v>x</v>
      </c>
      <c r="BB383" s="396" t="str">
        <f>'Q100a-geral'!BB1023</f>
        <v>Sistema de transporte coletivo com um todoacessibilidade</v>
      </c>
      <c r="BC383" s="396" t="str">
        <f>'Q100a-geral'!BC1023</f>
        <v>Sistema de transporte coletivo com um todoacessibilidadeRMBH</v>
      </c>
      <c r="BD383" s="396" t="str">
        <f>'Q100a-geral'!BD1023</f>
        <v>Sistema de transporte coletivo com um todoRMBH</v>
      </c>
    </row>
    <row r="384" spans="1:59" s="1" customFormat="1" ht="141" customHeight="1" x14ac:dyDescent="0.25">
      <c r="A384" s="275" t="str">
        <f>'Q100a-geral'!A1025</f>
        <v>8.10</v>
      </c>
      <c r="B384" s="11" t="str">
        <f>'Q100a-geral'!B1025</f>
        <v>Sistema de transporte coletivo com um todo</v>
      </c>
      <c r="C384" s="57" t="str">
        <f>'Q100a-geral'!C1025</f>
        <v>acessibilidade</v>
      </c>
      <c r="D384" s="715" t="str">
        <f>'Q100a-geral'!D1025</f>
        <v>F tc fc
(%)</v>
      </c>
      <c r="E384" s="495" t="str">
        <f>'Q100a-geral'!E1025</f>
        <v>Curitiba</v>
      </c>
      <c r="F384" s="486" t="str">
        <f>'Q100a-geral'!F1025</f>
        <v>percentual da frota de ônibus do transporte coletivo de Curitiba com alguma facilidade no embarque/desembarque de pessoas com mobilidade física reduzida
obs.1: mesmo que essa facilidade não permita classificar a viagem ofertada como acessível, por meio de embarque em nível (desenho universal) ou de elevador hidráulico instalado no veículo (de uso exclusivo ou não para cadeirantes)
obs.2: o resultado 92,69% obtido com a fórmula "(n.º F tc fc / F tc) x 100" é diferente dos informados em URBS(2015c; 2016d1) de 92,66% e 93,73%
obs.3: na home page da URBS fica claro que em Curitiba o conceito de acessibilidade não é o mesmo adotado no SisMob-BH: "Como parte da política de melhoria da acessibilidade no sistema de transporte, até junho de 2015, 92,66% da frota operante de veículos do transporte coletivo possuía acessibilidade total, com elevadores nas linhas alimentadoras, interbairros, troncais e convencionais, assim como embarque em nível nos expressos e ligeirinhos. Desta forma, mais de 90% linhas da RIT - Rede Integrada de Transporte garantem a acessibilidade de cadeirantes e pessoas com mobilidade reduzida, com espaço e equipamentos para sua segurança no interior dos ônibus." conforme URBS(2015)
obs.4: "Como parte da política de melhoria da acessibilidade no sistema de transporte, até dezembro de 2015, 93,73% da frota operante de veículos do transporte coletivo possuía acessibilidade total, com elevadores nas linhas alimentadoras, interbairros, troncais e convencionais, assim como embarque em nível nos expressos e ligeirinhos. Desta forma, mais de 90% linhas da RIT - Rede Integrada de Transporte garantem a acessibilidade de cadeirantes e pessoas com mobilidade reduzida, com espaço e equipamentos para sua segurança no interior dos ônibus." conforme URBS(2015c)
obs.5: "Ainda em relação à acessibilidade, as estações tubo equipadas com elevadores ou rampas representam mais de 85% da quantidade total existente." conforme URBS(2015)</v>
      </c>
      <c r="G384" s="110" t="str">
        <f>'Q100a-geral'!G1025</f>
        <v>(n.º F tc fc / F tc) x 100</v>
      </c>
      <c r="H384" s="57" t="str">
        <f>'Q100a-geral'!H1025</f>
        <v>benchmarking</v>
      </c>
      <c r="I384" s="167" t="str">
        <f>'Q100a-geral'!I1025</f>
        <v>x</v>
      </c>
      <c r="J384" s="109" t="str">
        <f>'Q100a-geral'!J1025</f>
        <v>x</v>
      </c>
      <c r="K384" s="109" t="str">
        <f>'Q100a-geral'!K1025</f>
        <v>x</v>
      </c>
      <c r="L384" s="109" t="str">
        <f>'Q100a-geral'!L1025</f>
        <v>x</v>
      </c>
      <c r="M384" s="109" t="str">
        <f>'Q100a-geral'!M1025</f>
        <v>x</v>
      </c>
      <c r="N384" s="109" t="str">
        <f>'Q100a-geral'!N1025</f>
        <v>x</v>
      </c>
      <c r="O384" s="109" t="str">
        <f>'Q100a-geral'!O1025</f>
        <v>x</v>
      </c>
      <c r="P384" s="109" t="str">
        <f>'Q100a-geral'!P1025</f>
        <v>x</v>
      </c>
      <c r="Q384" s="109" t="str">
        <f>'Q100a-geral'!Q1025</f>
        <v>x</v>
      </c>
      <c r="R384" s="109" t="str">
        <f>'Q100a-geral'!R1025</f>
        <v>x</v>
      </c>
      <c r="S384" s="109" t="str">
        <f>'Q100a-geral'!S1025</f>
        <v>só para pesquisa</v>
      </c>
      <c r="T384" s="109" t="str">
        <f>'Q100a-geral'!T1025</f>
        <v>x</v>
      </c>
      <c r="U384" s="109" t="str">
        <f>'Q100a-geral'!U1025</f>
        <v>x</v>
      </c>
      <c r="V384" s="109" t="str">
        <f>'Q100a-geral'!V1025</f>
        <v>só para pesquisa</v>
      </c>
      <c r="W384" s="109" t="str">
        <f>'Q100a-geral'!W1025</f>
        <v>x</v>
      </c>
      <c r="X384" s="109" t="str">
        <f>'Q100a-geral'!X1025</f>
        <v>x</v>
      </c>
      <c r="Y384" s="109" t="str">
        <f>'Q100a-geral'!Y1025</f>
        <v>x</v>
      </c>
      <c r="Z384" s="109" t="str">
        <f>'Q100a-geral'!Z1025</f>
        <v>x</v>
      </c>
      <c r="AA384" s="109" t="str">
        <f>'Q100a-geral'!AA1025</f>
        <v>x</v>
      </c>
      <c r="AB384" s="109" t="str">
        <f>'Q100a-geral'!AB1025</f>
        <v>x</v>
      </c>
      <c r="AC384" s="109" t="str">
        <f>'Q100a-geral'!AC1025</f>
        <v>x</v>
      </c>
      <c r="AD384" s="109" t="str">
        <f>'Q100a-geral'!AD1025</f>
        <v>x</v>
      </c>
      <c r="AE384" s="109" t="str">
        <f>'Q100a-geral'!AE1025</f>
        <v>x</v>
      </c>
      <c r="AF384" s="109" t="str">
        <f>'Q100a-geral'!AF1025</f>
        <v>x</v>
      </c>
      <c r="AG384" s="109" t="str">
        <f>'Q100a-geral'!AG1025</f>
        <v>x</v>
      </c>
      <c r="AH384" s="109" t="str">
        <f>'Q100a-geral'!AH1025</f>
        <v>x</v>
      </c>
      <c r="AI384" s="109" t="str">
        <f>'Q100a-geral'!AI1025</f>
        <v>x</v>
      </c>
      <c r="AJ384" s="109" t="str">
        <f>'Q100a-geral'!AJ1025</f>
        <v>x</v>
      </c>
      <c r="AK384" s="756">
        <f>'Q100a-geral'!AK1025</f>
        <v>0.92690058479532167</v>
      </c>
      <c r="AL384" s="601" t="str">
        <f>'Q100a-geral'!AL1025</f>
        <v>x</v>
      </c>
      <c r="AM384" s="137" t="str">
        <f>'Q100a-geral'!AM1025</f>
        <v>x</v>
      </c>
      <c r="AN384" s="137" t="str">
        <f>'Q100a-geral'!AN1025</f>
        <v>x</v>
      </c>
      <c r="AO384" s="137" t="str">
        <f>'Q100a-geral'!AO1025</f>
        <v>x</v>
      </c>
      <c r="AP384" s="137" t="str">
        <f>'Q100a-geral'!AP1025</f>
        <v>x</v>
      </c>
      <c r="AQ384" s="137" t="str">
        <f>'Q100a-geral'!AQ1025</f>
        <v>x</v>
      </c>
      <c r="AR384" s="137"/>
      <c r="AS384" s="137"/>
      <c r="AT384" s="137"/>
      <c r="AU384" s="137"/>
      <c r="AV384" s="137" t="str">
        <f>'Q100a-geral'!AV1025</f>
        <v>x</v>
      </c>
      <c r="AW384" s="137"/>
      <c r="AX384" s="137"/>
      <c r="AY384" s="137"/>
      <c r="AZ384" s="137"/>
      <c r="BA384" s="137" t="str">
        <f>'Q100a-geral'!BA1025</f>
        <v>x</v>
      </c>
      <c r="BB384" s="239" t="str">
        <f>'Q100a-geral'!BB1025</f>
        <v>Sistema de transporte coletivo com um todoacessibilidade</v>
      </c>
      <c r="BC384" s="239" t="str">
        <f>'Q100a-geral'!BC1025</f>
        <v>Sistema de transporte coletivo com um todoacessibilidadebenchmarking</v>
      </c>
      <c r="BD384" s="239" t="str">
        <f>'Q100a-geral'!BD1025</f>
        <v>Sistema de transporte coletivo com um todobenchmarking</v>
      </c>
    </row>
    <row r="385" spans="1:56" s="1" customFormat="1" ht="90" x14ac:dyDescent="0.25">
      <c r="A385" s="275" t="str">
        <f>'Q100a-geral'!A1027</f>
        <v>8.10</v>
      </c>
      <c r="B385" s="11" t="str">
        <f>'Q100a-geral'!B1027</f>
        <v>Sistema de transporte coletivo com um todo</v>
      </c>
      <c r="C385" s="57" t="str">
        <f>'Q100a-geral'!C1027</f>
        <v>acessibilidade</v>
      </c>
      <c r="D385" s="715" t="str">
        <f>'Q100a-geral'!D1027</f>
        <v>F tc fc
(%)</v>
      </c>
      <c r="E385" s="495" t="str">
        <f>'Q100a-geral'!E1027</f>
        <v>Joinville</v>
      </c>
      <c r="F385" s="486" t="str">
        <f>'Q100a-geral'!F1027</f>
        <v>percentual da frota de ônibus do transporte coletivo de Joinville com alguma facilidade no embarque/desembarque para pessoas com mobilidade física reduzida
obs.1: esse indicador é denominado "percentual da frota de ônibus com acessibilidade para pessoas com deficiência" pelo Programa Cidades Sustentáveis conforme PROGRAMA(2016a) que, no caso de Joinville, incluiu os veículos da "F tes" conforme JOINVELLE(2016a)
obs.2: os resultados de 2012a 2015 apresentados no SisMob-BH foram calculados conforme JOINVILLE(2016a) e não são os resultados apresentados em PROGRAMA(2016a), ou seja: 52% para o ano 2012 em vez de 56%; 76% para os anos 2013 e 2014 em vez de 80% para o ano 2013; 79% para o ano 2014; 76% para o ano 2015 em vez de 80%</v>
      </c>
      <c r="G385" s="111" t="str">
        <f>'Q100a-geral'!G1027</f>
        <v>(F tc fc / F tc) x 100</v>
      </c>
      <c r="H385" s="57" t="str">
        <f>'Q100a-geral'!H1027</f>
        <v>benchmarking</v>
      </c>
      <c r="I385" s="167" t="str">
        <f>'Q100a-geral'!I1027</f>
        <v>x</v>
      </c>
      <c r="J385" s="109" t="str">
        <f>'Q100a-geral'!J1027</f>
        <v>x</v>
      </c>
      <c r="K385" s="109" t="str">
        <f>'Q100a-geral'!K1027</f>
        <v>x</v>
      </c>
      <c r="L385" s="109" t="str">
        <f>'Q100a-geral'!L1027</f>
        <v>x</v>
      </c>
      <c r="M385" s="109" t="str">
        <f>'Q100a-geral'!M1027</f>
        <v>x</v>
      </c>
      <c r="N385" s="109" t="str">
        <f>'Q100a-geral'!N1027</f>
        <v>x</v>
      </c>
      <c r="O385" s="109" t="str">
        <f>'Q100a-geral'!O1027</f>
        <v>x</v>
      </c>
      <c r="P385" s="109" t="str">
        <f>'Q100a-geral'!P1027</f>
        <v>x</v>
      </c>
      <c r="Q385" s="109" t="str">
        <f>'Q100a-geral'!Q1027</f>
        <v>x</v>
      </c>
      <c r="R385" s="109" t="str">
        <f>'Q100a-geral'!R1027</f>
        <v>x</v>
      </c>
      <c r="S385" s="109" t="str">
        <f>'Q100a-geral'!S1027</f>
        <v>só para pesquisa</v>
      </c>
      <c r="T385" s="109" t="str">
        <f>'Q100a-geral'!T1027</f>
        <v>x</v>
      </c>
      <c r="U385" s="109" t="str">
        <f>'Q100a-geral'!U1027</f>
        <v>x</v>
      </c>
      <c r="V385" s="109" t="str">
        <f>'Q100a-geral'!V1027</f>
        <v>só para pesquisa</v>
      </c>
      <c r="W385" s="109" t="str">
        <f>'Q100a-geral'!W1027</f>
        <v>x</v>
      </c>
      <c r="X385" s="109" t="str">
        <f>'Q100a-geral'!X1027</f>
        <v>x</v>
      </c>
      <c r="Y385" s="109" t="str">
        <f>'Q100a-geral'!Y1027</f>
        <v>x</v>
      </c>
      <c r="Z385" s="109" t="str">
        <f>'Q100a-geral'!Z1027</f>
        <v>x</v>
      </c>
      <c r="AA385" s="109" t="str">
        <f>'Q100a-geral'!AA1027</f>
        <v>x</v>
      </c>
      <c r="AB385" s="109" t="str">
        <f>'Q100a-geral'!AB1027</f>
        <v>x</v>
      </c>
      <c r="AC385" s="109" t="str">
        <f>'Q100a-geral'!AC1027</f>
        <v>x</v>
      </c>
      <c r="AD385" s="109" t="str">
        <f>'Q100a-geral'!AD1027</f>
        <v>x</v>
      </c>
      <c r="AE385" s="109" t="str">
        <f>'Q100a-geral'!AE1027</f>
        <v>x</v>
      </c>
      <c r="AF385" s="109" t="str">
        <f>'Q100a-geral'!AF1027</f>
        <v>x</v>
      </c>
      <c r="AG385" s="109" t="str">
        <f>'Q100a-geral'!AG1027</f>
        <v>x</v>
      </c>
      <c r="AH385" s="525">
        <f>'Q100a-geral'!AH1027</f>
        <v>0.52542372881355937</v>
      </c>
      <c r="AI385" s="525">
        <f>'Q100a-geral'!AI1027</f>
        <v>0.75966850828729282</v>
      </c>
      <c r="AJ385" s="507">
        <f>'Q100a-geral'!AJ1027</f>
        <v>0.75549450549450547</v>
      </c>
      <c r="AK385" s="507">
        <f>'Q100a-geral'!AK1027</f>
        <v>0.76454293628808867</v>
      </c>
      <c r="AL385" s="601" t="str">
        <f>'Q100a-geral'!AL1027</f>
        <v>x</v>
      </c>
      <c r="AM385" s="137" t="str">
        <f>'Q100a-geral'!AM1027</f>
        <v>x</v>
      </c>
      <c r="AN385" s="137" t="str">
        <f>'Q100a-geral'!AN1027</f>
        <v>x</v>
      </c>
      <c r="AO385" s="137" t="str">
        <f>'Q100a-geral'!AO1027</f>
        <v>x</v>
      </c>
      <c r="AP385" s="137" t="str">
        <f>'Q100a-geral'!AP1027</f>
        <v>x</v>
      </c>
      <c r="AQ385" s="137" t="str">
        <f>'Q100a-geral'!AQ1027</f>
        <v>x</v>
      </c>
      <c r="AR385" s="137"/>
      <c r="AS385" s="137"/>
      <c r="AT385" s="137"/>
      <c r="AU385" s="137"/>
      <c r="AV385" s="137" t="str">
        <f>'Q100a-geral'!AV1027</f>
        <v>x</v>
      </c>
      <c r="AW385" s="137"/>
      <c r="AX385" s="137"/>
      <c r="AY385" s="137"/>
      <c r="AZ385" s="137"/>
      <c r="BA385" s="137" t="str">
        <f>'Q100a-geral'!BA1027</f>
        <v>x</v>
      </c>
      <c r="BB385" s="239" t="str">
        <f>'Q100a-geral'!BB1027</f>
        <v>Sistema de transporte coletivo com um todoacessibilidade</v>
      </c>
      <c r="BC385" s="239" t="str">
        <f>'Q100a-geral'!BC1027</f>
        <v>Sistema de transporte coletivo com um todoacessibilidadebenchmarking</v>
      </c>
      <c r="BD385" s="239" t="str">
        <f>'Q100a-geral'!BD1027</f>
        <v>Sistema de transporte coletivo com um todobenchmarking</v>
      </c>
    </row>
    <row r="386" spans="1:56" s="1" customFormat="1" ht="63.75" x14ac:dyDescent="0.25">
      <c r="A386" s="275" t="str">
        <f>'Q100a-geral'!A1029</f>
        <v>8.10</v>
      </c>
      <c r="B386" s="54" t="str">
        <f>'Q100a-geral'!B1029</f>
        <v>Sistema de transporte coletivo com um todo</v>
      </c>
      <c r="C386" s="57" t="str">
        <f>'Q100a-geral'!C1029</f>
        <v>acessibilidade</v>
      </c>
      <c r="D386" s="377" t="str">
        <f>'Q100a-geral'!D1029</f>
        <v>F tc fc
(%)</v>
      </c>
      <c r="E386" s="486" t="str">
        <f>'Q100a-geral'!E1029</f>
        <v>Porto Alegre</v>
      </c>
      <c r="F386" s="355" t="str">
        <f>'Q100a-geral'!F1029</f>
        <v>percentual da frota de ônibus do transporte coletivo de Porto Alegre com alguma facilidade no embarque/desembarque para pessoas com mobilidade física reduzida
obs.1: esse indicador é denominado "percentual da frota de ônibus com acessibilidade para pessoas com deficiência" pelo Programa Cidades Sustentáveis conforme PROGRAMA(2016b)
obs.2: os resultados de 2001 a 2015 conforme fórmula e confirmados em PROGRAMA(2016b)</v>
      </c>
      <c r="G386" s="111" t="str">
        <f>'Q100a-geral'!G1029</f>
        <v>(n.º F tc fc / F tc) x 100</v>
      </c>
      <c r="H386" s="57" t="str">
        <f>'Q100a-geral'!H1029</f>
        <v>benchmarking</v>
      </c>
      <c r="I386" s="167" t="str">
        <f>'Q100a-geral'!I1029</f>
        <v>x</v>
      </c>
      <c r="J386" s="111" t="str">
        <f>'Q100a-geral'!J1029</f>
        <v>não encontrado</v>
      </c>
      <c r="K386" s="111" t="str">
        <f>'Q100a-geral'!K1029</f>
        <v>não encontrado</v>
      </c>
      <c r="L386" s="111" t="str">
        <f>'Q100a-geral'!L1029</f>
        <v>não encontrado</v>
      </c>
      <c r="M386" s="111" t="str">
        <f>'Q100a-geral'!M1029</f>
        <v>não encontrado</v>
      </c>
      <c r="N386" s="111" t="str">
        <f>'Q100a-geral'!N1029</f>
        <v>não encontrado</v>
      </c>
      <c r="O386" s="111" t="str">
        <f>'Q100a-geral'!O1029</f>
        <v>não encontrado</v>
      </c>
      <c r="P386" s="111" t="str">
        <f>'Q100a-geral'!P1029</f>
        <v>não encontrado</v>
      </c>
      <c r="Q386" s="111" t="str">
        <f>'Q100a-geral'!Q1029</f>
        <v>não encontrado</v>
      </c>
      <c r="R386" s="111" t="str">
        <f>'Q100a-geral'!R1029</f>
        <v>não encontrado</v>
      </c>
      <c r="S386" s="109" t="str">
        <f>'Q100a-geral'!S1029</f>
        <v>só para pesquisa</v>
      </c>
      <c r="T386" s="111" t="str">
        <f>'Q100a-geral'!T1029</f>
        <v>não encontrado</v>
      </c>
      <c r="U386" s="111" t="str">
        <f>'Q100a-geral'!U1029</f>
        <v>não encontrado</v>
      </c>
      <c r="V386" s="109" t="str">
        <f>'Q100a-geral'!V1029</f>
        <v>só para pesquisa</v>
      </c>
      <c r="W386" s="112">
        <f>'Q100a-geral'!W1029</f>
        <v>0.13819095477386933</v>
      </c>
      <c r="X386" s="112">
        <f>'Q100a-geral'!X1029</f>
        <v>0.15056461731493098</v>
      </c>
      <c r="Y386" s="112">
        <f>'Q100a-geral'!Y1029</f>
        <v>0.19385194479297366</v>
      </c>
      <c r="Z386" s="112">
        <f>'Q100a-geral'!Z1029</f>
        <v>0.19949811794228356</v>
      </c>
      <c r="AA386" s="112">
        <f>'Q100a-geral'!AA1029</f>
        <v>0.20464532328939108</v>
      </c>
      <c r="AB386" s="112">
        <f>'Q100a-geral'!AB1029</f>
        <v>0.21518193224592222</v>
      </c>
      <c r="AC386" s="112">
        <f>'Q100a-geral'!AC1029</f>
        <v>0.23727735368956743</v>
      </c>
      <c r="AD386" s="112">
        <f>'Q100a-geral'!AD1029</f>
        <v>0.25318066157760816</v>
      </c>
      <c r="AE386" s="112">
        <f>'Q100a-geral'!AE1029</f>
        <v>0.31532663316582915</v>
      </c>
      <c r="AF386" s="112">
        <f>'Q100a-geral'!AF1029</f>
        <v>0.39939393939393941</v>
      </c>
      <c r="AG386" s="112">
        <f>'Q100a-geral'!AG1029</f>
        <v>0.50693188667872213</v>
      </c>
      <c r="AH386" s="112">
        <f>'Q100a-geral'!AH1029</f>
        <v>0.58553791887125217</v>
      </c>
      <c r="AI386" s="112">
        <f>'Q100a-geral'!AI1029</f>
        <v>0.58568075117370888</v>
      </c>
      <c r="AJ386" s="112">
        <f>'Q100a-geral'!AJ1029</f>
        <v>0.58691809074837953</v>
      </c>
      <c r="AK386" s="112">
        <f>'Q100a-geral'!AK1029</f>
        <v>0.51673517322372287</v>
      </c>
      <c r="AL386" s="601" t="str">
        <f>'Q100a-geral'!AL1029</f>
        <v>x</v>
      </c>
      <c r="AM386" s="137" t="str">
        <f>'Q100a-geral'!AM1029</f>
        <v>x</v>
      </c>
      <c r="AN386" s="137" t="str">
        <f>'Q100a-geral'!AN1029</f>
        <v>x</v>
      </c>
      <c r="AO386" s="137" t="str">
        <f>'Q100a-geral'!AO1029</f>
        <v>x</v>
      </c>
      <c r="AP386" s="137" t="str">
        <f>'Q100a-geral'!AP1029</f>
        <v>x</v>
      </c>
      <c r="AQ386" s="137" t="str">
        <f>'Q100a-geral'!AQ1029</f>
        <v>x</v>
      </c>
      <c r="AR386" s="137"/>
      <c r="AS386" s="137"/>
      <c r="AT386" s="137"/>
      <c r="AU386" s="137"/>
      <c r="AV386" s="137" t="str">
        <f>'Q100a-geral'!AV1029</f>
        <v>x</v>
      </c>
      <c r="AW386" s="137"/>
      <c r="AX386" s="137"/>
      <c r="AY386" s="137"/>
      <c r="AZ386" s="137"/>
      <c r="BA386" s="137" t="str">
        <f>'Q100a-geral'!BA1029</f>
        <v>x</v>
      </c>
      <c r="BB386" s="239" t="str">
        <f>'Q100a-geral'!BB1029</f>
        <v>Sistema de transporte coletivo com um todoacessibilidade</v>
      </c>
      <c r="BC386" s="239" t="str">
        <f>'Q100a-geral'!BC1029</f>
        <v>Sistema de transporte coletivo com um todoacessibilidadebenchmarking</v>
      </c>
      <c r="BD386" s="239" t="str">
        <f>'Q100a-geral'!BD1029</f>
        <v>Sistema de transporte coletivo com um todobenchmarking</v>
      </c>
    </row>
    <row r="387" spans="1:56" s="1" customFormat="1" ht="51" x14ac:dyDescent="0.25">
      <c r="A387" s="275" t="str">
        <f>'Q100a-geral'!A1031</f>
        <v>8.10</v>
      </c>
      <c r="B387" s="54" t="str">
        <f>'Q100a-geral'!B1031</f>
        <v>Sistema de transporte coletivo com um todo</v>
      </c>
      <c r="C387" s="57" t="str">
        <f>'Q100a-geral'!C1031</f>
        <v>acessibilidade</v>
      </c>
      <c r="D387" s="377" t="str">
        <f>'Q100a-geral'!D1031</f>
        <v>F tc fc
(%)</v>
      </c>
      <c r="E387" s="486" t="str">
        <f>'Q100a-geral'!E1031</f>
        <v>RMBH metropolitano</v>
      </c>
      <c r="F387" s="355" t="str">
        <f>'Q100a-geral'!F1031</f>
        <v>percentual da frota de ônibus do transporte coletivo na RMBH do serviço gerenciado pela Setop-MG com alguma facilidade no embarque/desembarque para pessoas com mobilidade física reduzida</v>
      </c>
      <c r="G387" s="111" t="str">
        <f>'Q100a-geral'!G1031</f>
        <v>(F tc fc / F tc) x 100</v>
      </c>
      <c r="H387" s="221" t="str">
        <f>'Q100a-geral'!H1031</f>
        <v>RMBH</v>
      </c>
      <c r="I387" s="167">
        <f>'Q100a-geral'!I1031</f>
        <v>1</v>
      </c>
      <c r="J387" s="111" t="str">
        <f>'Q100a-geral'!J1031</f>
        <v>não encontrado</v>
      </c>
      <c r="K387" s="111" t="str">
        <f>'Q100a-geral'!K1031</f>
        <v>não encontrado</v>
      </c>
      <c r="L387" s="111" t="str">
        <f>'Q100a-geral'!L1031</f>
        <v>não encontrado</v>
      </c>
      <c r="M387" s="111" t="str">
        <f>'Q100a-geral'!M1031</f>
        <v>não encontrado</v>
      </c>
      <c r="N387" s="111" t="str">
        <f>'Q100a-geral'!N1031</f>
        <v>não encontrado</v>
      </c>
      <c r="O387" s="111" t="str">
        <f>'Q100a-geral'!O1031</f>
        <v>não encontrado</v>
      </c>
      <c r="P387" s="111" t="str">
        <f>'Q100a-geral'!P1031</f>
        <v>não encontrado</v>
      </c>
      <c r="Q387" s="111" t="str">
        <f>'Q100a-geral'!Q1031</f>
        <v>não encontrado</v>
      </c>
      <c r="R387" s="111" t="str">
        <f>'Q100a-geral'!R1031</f>
        <v>não encontrado</v>
      </c>
      <c r="S387" s="109" t="str">
        <f>'Q100a-geral'!S1031</f>
        <v>só para pesquisa</v>
      </c>
      <c r="T387" s="111" t="str">
        <f>'Q100a-geral'!T1031</f>
        <v>não encontrado</v>
      </c>
      <c r="U387" s="111" t="str">
        <f>'Q100a-geral'!U1031</f>
        <v>não encontrado</v>
      </c>
      <c r="V387" s="109" t="str">
        <f>'Q100a-geral'!V1031</f>
        <v>só para pesquisa</v>
      </c>
      <c r="W387" s="111" t="str">
        <f>'Q100a-geral'!W1031</f>
        <v>não encontrado</v>
      </c>
      <c r="X387" s="111" t="str">
        <f>'Q100a-geral'!X1031</f>
        <v>não encontrado</v>
      </c>
      <c r="Y387" s="111" t="str">
        <f>'Q100a-geral'!Y1031</f>
        <v>não encontrado</v>
      </c>
      <c r="Z387" s="111" t="str">
        <f>'Q100a-geral'!Z1031</f>
        <v>não encontrado</v>
      </c>
      <c r="AA387" s="111" t="str">
        <f>'Q100a-geral'!AA1031</f>
        <v>não encontrado</v>
      </c>
      <c r="AB387" s="111" t="str">
        <f>'Q100a-geral'!AB1031</f>
        <v>não encontrado</v>
      </c>
      <c r="AC387" s="111" t="str">
        <f>'Q100a-geral'!AC1031</f>
        <v>não encontrado</v>
      </c>
      <c r="AD387" s="111" t="str">
        <f>'Q100a-geral'!AD1031</f>
        <v>não encontrado</v>
      </c>
      <c r="AE387" s="111" t="str">
        <f>'Q100a-geral'!AE1031</f>
        <v>não encontrado</v>
      </c>
      <c r="AF387" s="111" t="str">
        <f>'Q100a-geral'!AF1031</f>
        <v>não encontrado</v>
      </c>
      <c r="AG387" s="111" t="str">
        <f>'Q100a-geral'!AG1031</f>
        <v>não encontrado</v>
      </c>
      <c r="AH387" s="111" t="str">
        <f>'Q100a-geral'!AH1031</f>
        <v>não encontrado</v>
      </c>
      <c r="AI387" s="111" t="str">
        <f>'Q100a-geral'!AI1031</f>
        <v>não encontrado</v>
      </c>
      <c r="AJ387" s="111" t="str">
        <f>'Q100a-geral'!AJ1031</f>
        <v>não encontrado</v>
      </c>
      <c r="AK387" s="112">
        <f>'Q100a-geral'!AK1031</f>
        <v>0.75779376498800954</v>
      </c>
      <c r="AL387" s="601" t="str">
        <f>'Q100a-geral'!AL1031</f>
        <v>x</v>
      </c>
      <c r="AM387" s="137" t="str">
        <f>'Q100a-geral'!AM1031</f>
        <v>x</v>
      </c>
      <c r="AN387" s="137" t="str">
        <f>'Q100a-geral'!AN1031</f>
        <v>x</v>
      </c>
      <c r="AO387" s="137" t="str">
        <f>'Q100a-geral'!AO1031</f>
        <v>x</v>
      </c>
      <c r="AP387" s="137" t="str">
        <f>'Q100a-geral'!AP1031</f>
        <v>x</v>
      </c>
      <c r="AQ387" s="137" t="str">
        <f>'Q100a-geral'!AQ1031</f>
        <v>x</v>
      </c>
      <c r="AR387" s="137"/>
      <c r="AS387" s="137"/>
      <c r="AT387" s="137"/>
      <c r="AU387" s="137"/>
      <c r="AV387" s="137" t="str">
        <f>'Q100a-geral'!AV1031</f>
        <v>x</v>
      </c>
      <c r="AW387" s="137"/>
      <c r="AX387" s="137"/>
      <c r="AY387" s="137"/>
      <c r="AZ387" s="137"/>
      <c r="BA387" s="137" t="str">
        <f>'Q100a-geral'!BA1031</f>
        <v>x</v>
      </c>
      <c r="BB387" s="239" t="str">
        <f>'Q100a-geral'!BB1031</f>
        <v>Sistema de transporte coletivo com um todoacessibilidade</v>
      </c>
      <c r="BC387" s="239" t="str">
        <f>'Q100a-geral'!BC1031</f>
        <v>Sistema de transporte coletivo com um todoacessibilidadeRMBH</v>
      </c>
      <c r="BD387" s="239" t="str">
        <f>'Q100a-geral'!BD1031</f>
        <v>Sistema de transporte coletivo com um todoRMBH</v>
      </c>
    </row>
    <row r="388" spans="1:56" s="1" customFormat="1" ht="135" x14ac:dyDescent="0.25">
      <c r="A388" s="275" t="str">
        <f>'Q100a-geral'!A1035</f>
        <v>8.10</v>
      </c>
      <c r="B388" s="11" t="str">
        <f>'Q100a-geral'!B1035</f>
        <v>Sistema de transporte coletivo com um todo</v>
      </c>
      <c r="C388" s="57" t="str">
        <f>'Q100a-geral'!C1035</f>
        <v>acessibilidade</v>
      </c>
      <c r="D388" s="715" t="str">
        <f>'Q100a-geral'!D1035</f>
        <v>F tc fc
(%)</v>
      </c>
      <c r="E388" s="495" t="str">
        <f>'Q100a-geral'!E1035</f>
        <v>São Paulo</v>
      </c>
      <c r="F388" s="486" t="str">
        <f>'Q100a-geral'!F1035</f>
        <v>percentual da frota de ônibus do transporte coletivo da cidade de São Paulo com alguma facilidade no embarque/desembarque para pessoas com mobilidade física reduzida, mesmo que essa facilidade não permita classificar a viagem como acessível, por meio de embarque em nível (desenho universal), de elevador hidráulico instalado no veículo (de uso exclusivo ou não para cadeirantes) 
obs.1: esse indicador é denominado "frota de ônibus com acessibilidade para pessoas com mobilidade reduzida (%)" pelo Observatório de Indicadores da Cidade de São Paulo (ObservaSampa)
obs.2: na fonte consultada para 2014 (ObservaSampa), os resultados desse indicador tiveram arredondamentos abandonando os resultados a partir da terceira casa decimal (diferente do arredondamento-padrão que é adotado no SisMob-BH): por isso aqui encontra-se 78,96% em vez de 78,95% ou 78,9%
obs.3: os resultados de 2012 das duas fontes consultadas são diferentes, aqui optando-se pelo informado no ObservaSampa
obs.4: deve-se comparar o resultado de 2015 aqui calculado com o informado no Observa Sampa</v>
      </c>
      <c r="G388" s="111" t="str">
        <f>'Q100a-geral'!G1035</f>
        <v>(F tc fc / F tc) x 100</v>
      </c>
      <c r="H388" s="57" t="str">
        <f>'Q100a-geral'!H1035</f>
        <v>benchmarking</v>
      </c>
      <c r="I388" s="167" t="str">
        <f>'Q100a-geral'!I1035</f>
        <v>x</v>
      </c>
      <c r="J388" s="109" t="str">
        <f>'Q100a-geral'!J1035</f>
        <v>x</v>
      </c>
      <c r="K388" s="109" t="str">
        <f>'Q100a-geral'!K1035</f>
        <v>x</v>
      </c>
      <c r="L388" s="109" t="str">
        <f>'Q100a-geral'!L1035</f>
        <v>x</v>
      </c>
      <c r="M388" s="109" t="str">
        <f>'Q100a-geral'!M1035</f>
        <v>x</v>
      </c>
      <c r="N388" s="109" t="str">
        <f>'Q100a-geral'!N1035</f>
        <v>x</v>
      </c>
      <c r="O388" s="109" t="str">
        <f>'Q100a-geral'!O1035</f>
        <v>x</v>
      </c>
      <c r="P388" s="109" t="str">
        <f>'Q100a-geral'!P1035</f>
        <v>x</v>
      </c>
      <c r="Q388" s="109" t="str">
        <f>'Q100a-geral'!Q1035</f>
        <v>x</v>
      </c>
      <c r="R388" s="109" t="str">
        <f>'Q100a-geral'!R1035</f>
        <v>x</v>
      </c>
      <c r="S388" s="109" t="str">
        <f>'Q100a-geral'!S1035</f>
        <v>só para pesquisa</v>
      </c>
      <c r="T388" s="109" t="str">
        <f>'Q100a-geral'!T1035</f>
        <v>x</v>
      </c>
      <c r="U388" s="109" t="str">
        <f>'Q100a-geral'!U1035</f>
        <v>x</v>
      </c>
      <c r="V388" s="109" t="str">
        <f>'Q100a-geral'!V1035</f>
        <v>só para pesquisa</v>
      </c>
      <c r="W388" s="109" t="str">
        <f>'Q100a-geral'!W1035</f>
        <v>x</v>
      </c>
      <c r="X388" s="109" t="str">
        <f>'Q100a-geral'!X1035</f>
        <v>x</v>
      </c>
      <c r="Y388" s="109" t="str">
        <f>'Q100a-geral'!Y1035</f>
        <v>x</v>
      </c>
      <c r="Z388" s="109" t="str">
        <f>'Q100a-geral'!Z1035</f>
        <v>x</v>
      </c>
      <c r="AA388" s="109" t="str">
        <f>'Q100a-geral'!AA1035</f>
        <v>x</v>
      </c>
      <c r="AB388" s="109" t="str">
        <f>'Q100a-geral'!AB1035</f>
        <v>x</v>
      </c>
      <c r="AC388" s="109" t="str">
        <f>'Q100a-geral'!AC1035</f>
        <v>x</v>
      </c>
      <c r="AD388" s="109" t="str">
        <f>'Q100a-geral'!AD1035</f>
        <v>x</v>
      </c>
      <c r="AE388" s="112">
        <f>'Q100a-geral'!AE1035</f>
        <v>0.26359496383605679</v>
      </c>
      <c r="AF388" s="112">
        <f>'Q100a-geral'!AF1035</f>
        <v>0.34646404052522828</v>
      </c>
      <c r="AG388" s="112">
        <f>'Q100a-geral'!AG1035</f>
        <v>0.5020123423665146</v>
      </c>
      <c r="AH388" s="112">
        <f>'Q100a-geral'!AH1035</f>
        <v>0.59532085561497328</v>
      </c>
      <c r="AI388" s="112">
        <f>'Q100a-geral'!AI1035</f>
        <v>0.66050010164667616</v>
      </c>
      <c r="AJ388" s="507">
        <f>'Q100a-geral'!AJ1035</f>
        <v>0.78959138036186216</v>
      </c>
      <c r="AK388" s="754"/>
      <c r="AL388" s="601" t="str">
        <f>'Q100a-geral'!AL1035</f>
        <v>x</v>
      </c>
      <c r="AM388" s="137" t="str">
        <f>'Q100a-geral'!AM1035</f>
        <v>x</v>
      </c>
      <c r="AN388" s="137" t="str">
        <f>'Q100a-geral'!AN1035</f>
        <v>x</v>
      </c>
      <c r="AO388" s="137" t="str">
        <f>'Q100a-geral'!AO1035</f>
        <v>x</v>
      </c>
      <c r="AP388" s="137" t="str">
        <f>'Q100a-geral'!AP1035</f>
        <v>x</v>
      </c>
      <c r="AQ388" s="137" t="str">
        <f>'Q100a-geral'!AQ1035</f>
        <v>x</v>
      </c>
      <c r="AR388" s="137"/>
      <c r="AS388" s="137"/>
      <c r="AT388" s="137"/>
      <c r="AU388" s="137"/>
      <c r="AV388" s="137" t="str">
        <f>'Q100a-geral'!AV1035</f>
        <v>x</v>
      </c>
      <c r="AW388" s="137"/>
      <c r="AX388" s="137"/>
      <c r="AY388" s="137"/>
      <c r="AZ388" s="137"/>
      <c r="BA388" s="137" t="str">
        <f>'Q100a-geral'!BA1035</f>
        <v>x</v>
      </c>
      <c r="BB388" s="239" t="str">
        <f>'Q100a-geral'!BB1035</f>
        <v>Sistema de transporte coletivo com um todoacessibilidade</v>
      </c>
      <c r="BC388" s="239" t="str">
        <f>'Q100a-geral'!BC1035</f>
        <v>Sistema de transporte coletivo com um todoacessibilidadebenchmarking</v>
      </c>
      <c r="BD388" s="239" t="str">
        <f>'Q100a-geral'!BD1035</f>
        <v>Sistema de transporte coletivo com um todobenchmarking</v>
      </c>
    </row>
    <row r="389" spans="1:56" s="1" customFormat="1" ht="94.5" customHeight="1" x14ac:dyDescent="0.25">
      <c r="A389" s="275" t="str">
        <f>'Q100a-geral'!A1165</f>
        <v>1.3</v>
      </c>
      <c r="B389" s="54" t="str">
        <f>'Q100a-geral'!B1165</f>
        <v>Gratuidades e descontos</v>
      </c>
      <c r="C389" s="167" t="str">
        <f>'Q100a-geral'!C1165</f>
        <v>acessibilidade</v>
      </c>
      <c r="D389" s="326" t="str">
        <f>'Q100a-geral'!D1165</f>
        <v>GR da</v>
      </c>
      <c r="E389" s="465" t="str">
        <f>'Q100a-geral'!E1165</f>
        <v>Belo Horizonte</v>
      </c>
      <c r="F389" s="634" t="str">
        <f>'Q100a-geral'!F1165</f>
        <v>n.º de pessoas com deficiência auditiva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obs.1: resultado de 1999 sem fórmula direto na fonte em OLIVEIRA (2002, p.118/Tabela 3.2;
obs.2: resultados em dezembro de cada ano, à exceção dos resultados de 2015 que foram extraídos do banco de dados do CIT Bus às 09h21 de 27/08/2015</v>
      </c>
      <c r="G389" s="252" t="str">
        <f>'Q100a-geral'!G1165</f>
        <v>registro na fonte
ou
GR da ca cr + GR da sa cr + GR da ca sr + GR da sa sr</v>
      </c>
      <c r="H389" s="168" t="str">
        <f>'Q100a-geral'!H1165</f>
        <v>x</v>
      </c>
      <c r="I389" s="167">
        <f>'Q100a-geral'!I1165</f>
        <v>1</v>
      </c>
      <c r="J389" s="109" t="str">
        <f>'Q100a-geral'!J1165</f>
        <v>x</v>
      </c>
      <c r="K389" s="109" t="str">
        <f>'Q100a-geral'!K1165</f>
        <v>x</v>
      </c>
      <c r="L389" s="109" t="str">
        <f>'Q100a-geral'!L1165</f>
        <v>x</v>
      </c>
      <c r="M389" s="109" t="str">
        <f>'Q100a-geral'!M1165</f>
        <v>x</v>
      </c>
      <c r="N389" s="109" t="str">
        <f>'Q100a-geral'!N1165</f>
        <v>x</v>
      </c>
      <c r="O389" s="93" t="str">
        <f>'Q100a-geral'!O1165</f>
        <v>x</v>
      </c>
      <c r="P389" s="93" t="str">
        <f>'Q100a-geral'!P1165</f>
        <v>x</v>
      </c>
      <c r="Q389" s="93" t="str">
        <f>'Q100a-geral'!Q1165</f>
        <v>x</v>
      </c>
      <c r="R389" s="132"/>
      <c r="S389" s="649" t="str">
        <f>'Q100a-geral'!S1165</f>
        <v>só para pesquisa</v>
      </c>
      <c r="T389" s="86">
        <f>'Q100a-geral'!T1165</f>
        <v>2279</v>
      </c>
      <c r="U389" s="132"/>
      <c r="V389" s="107" t="str">
        <f>'Q100a-geral'!V1165</f>
        <v>só para pesquisa</v>
      </c>
      <c r="W389" s="132"/>
      <c r="X389" s="132"/>
      <c r="Y389" s="132"/>
      <c r="Z389" s="132"/>
      <c r="AA389" s="132"/>
      <c r="AB389" s="132"/>
      <c r="AC389" s="132"/>
      <c r="AD389" s="132"/>
      <c r="AE389" s="132"/>
      <c r="AF389" s="132"/>
      <c r="AG389" s="132"/>
      <c r="AH389" s="132"/>
      <c r="AI389" s="132"/>
      <c r="AJ389" s="132"/>
      <c r="AK389" s="20">
        <f>'Q100a-geral'!AK1165</f>
        <v>3424</v>
      </c>
      <c r="AL389" s="222" t="str">
        <f>'Q100a-geral'!AL1165</f>
        <v>x</v>
      </c>
      <c r="AM389" s="137" t="str">
        <f>'Q100a-geral'!AM1165</f>
        <v>x</v>
      </c>
      <c r="AN389" s="137" t="str">
        <f>'Q100a-geral'!AN1165</f>
        <v>x</v>
      </c>
      <c r="AO389" s="137" t="str">
        <f>'Q100a-geral'!AO1165</f>
        <v>x</v>
      </c>
      <c r="AP389" s="137" t="str">
        <f>'Q100a-geral'!AP1165</f>
        <v>x</v>
      </c>
      <c r="AQ389" s="137" t="str">
        <f>'Q100a-geral'!AQ1165</f>
        <v>x</v>
      </c>
      <c r="AR389" s="137"/>
      <c r="AS389" s="137"/>
      <c r="AT389" s="137"/>
      <c r="AU389" s="137"/>
      <c r="AV389" s="137" t="str">
        <f>'Q100a-geral'!AV1165</f>
        <v>x</v>
      </c>
      <c r="AW389" s="137"/>
      <c r="AX389" s="137"/>
      <c r="AY389" s="137"/>
      <c r="AZ389" s="137"/>
      <c r="BA389" s="137" t="str">
        <f>'Q100a-geral'!BA1165</f>
        <v>x</v>
      </c>
      <c r="BB389" s="239" t="str">
        <f>'Q100a-geral'!BB1165</f>
        <v>Gratuidades e descontosacessibilidade</v>
      </c>
      <c r="BC389" s="239" t="str">
        <f>'Q100a-geral'!BC1165</f>
        <v>Gratuidades e descontosacessibilidadex</v>
      </c>
      <c r="BD389" s="239" t="str">
        <f>'Q100a-geral'!BD1165</f>
        <v>Gratuidades e descontosx</v>
      </c>
    </row>
    <row r="390" spans="1:56" s="1" customFormat="1" ht="25.5" x14ac:dyDescent="0.25">
      <c r="A390" s="275" t="str">
        <f>'Q100a-geral'!A1166</f>
        <v>1.3</v>
      </c>
      <c r="B390" s="54" t="str">
        <f>'Q100a-geral'!B1166</f>
        <v>Gratuidades e descontos</v>
      </c>
      <c r="C390" s="167" t="str">
        <f>'Q100a-geral'!C1166</f>
        <v>acessibilidade</v>
      </c>
      <c r="D390" s="36" t="str">
        <f>'Q100a-geral'!D1166</f>
        <v>GR da ca cr</v>
      </c>
      <c r="E390" s="464" t="str">
        <f>'Q100a-geral'!E1166</f>
        <v>Belo Horizonte</v>
      </c>
      <c r="F390" s="635" t="str">
        <f>'Q100a-geral'!F1166</f>
        <v>"GR da" com acompanhante e com passagem pela roleta
obs.: resultado de 2015 em BHTRANS(2015s)</v>
      </c>
      <c r="G390" s="252" t="str">
        <f>'Q100a-geral'!G1166</f>
        <v>registro na fonte</v>
      </c>
      <c r="H390" s="168" t="str">
        <f>'Q100a-geral'!H1166</f>
        <v>x</v>
      </c>
      <c r="I390" s="167">
        <f>'Q100a-geral'!I1166</f>
        <v>1</v>
      </c>
      <c r="J390" s="109" t="str">
        <f>'Q100a-geral'!J1166</f>
        <v>x</v>
      </c>
      <c r="K390" s="109" t="str">
        <f>'Q100a-geral'!K1166</f>
        <v>x</v>
      </c>
      <c r="L390" s="109" t="str">
        <f>'Q100a-geral'!L1166</f>
        <v>x</v>
      </c>
      <c r="M390" s="109" t="str">
        <f>'Q100a-geral'!M1166</f>
        <v>x</v>
      </c>
      <c r="N390" s="109" t="str">
        <f>'Q100a-geral'!N1166</f>
        <v>x</v>
      </c>
      <c r="O390" s="93" t="str">
        <f>'Q100a-geral'!O1166</f>
        <v>x</v>
      </c>
      <c r="P390" s="93" t="str">
        <f>'Q100a-geral'!P1166</f>
        <v>x</v>
      </c>
      <c r="Q390" s="93" t="str">
        <f>'Q100a-geral'!Q1166</f>
        <v>x</v>
      </c>
      <c r="R390" s="93" t="str">
        <f>'Q100a-geral'!R1166</f>
        <v>x</v>
      </c>
      <c r="S390" s="649" t="str">
        <f>'Q100a-geral'!S1166</f>
        <v>só para pesquisa</v>
      </c>
      <c r="T390" s="86" t="str">
        <f>'Q100a-geral'!T1166</f>
        <v>x</v>
      </c>
      <c r="U390" s="93" t="str">
        <f>'Q100a-geral'!U1166</f>
        <v>x</v>
      </c>
      <c r="V390" s="107" t="str">
        <f>'Q100a-geral'!V1166</f>
        <v>só para pesquisa</v>
      </c>
      <c r="W390" s="93" t="str">
        <f>'Q100a-geral'!W1166</f>
        <v>x</v>
      </c>
      <c r="X390" s="93" t="str">
        <f>'Q100a-geral'!X1166</f>
        <v>x</v>
      </c>
      <c r="Y390" s="93" t="str">
        <f>'Q100a-geral'!Y1166</f>
        <v>x</v>
      </c>
      <c r="Z390" s="93" t="str">
        <f>'Q100a-geral'!Z1166</f>
        <v>x</v>
      </c>
      <c r="AA390" s="93" t="str">
        <f>'Q100a-geral'!AA1166</f>
        <v>x</v>
      </c>
      <c r="AB390" s="93" t="str">
        <f>'Q100a-geral'!AB1166</f>
        <v>x</v>
      </c>
      <c r="AC390" s="93" t="str">
        <f>'Q100a-geral'!AC1166</f>
        <v>x</v>
      </c>
      <c r="AD390" s="93" t="str">
        <f>'Q100a-geral'!AD1166</f>
        <v>x</v>
      </c>
      <c r="AE390" s="93" t="str">
        <f>'Q100a-geral'!AE1166</f>
        <v>x</v>
      </c>
      <c r="AF390" s="93" t="str">
        <f>'Q100a-geral'!AF1166</f>
        <v>x</v>
      </c>
      <c r="AG390" s="93" t="str">
        <f>'Q100a-geral'!AG1166</f>
        <v>x</v>
      </c>
      <c r="AH390" s="93" t="str">
        <f>'Q100a-geral'!AH1166</f>
        <v>x</v>
      </c>
      <c r="AI390" s="93" t="str">
        <f>'Q100a-geral'!AI1166</f>
        <v>x</v>
      </c>
      <c r="AJ390" s="93" t="str">
        <f>'Q100a-geral'!AJ1166</f>
        <v>x</v>
      </c>
      <c r="AK390" s="84">
        <f>'Q100a-geral'!AK1166</f>
        <v>609</v>
      </c>
      <c r="AL390" s="222" t="str">
        <f>'Q100a-geral'!AL1166</f>
        <v>x</v>
      </c>
      <c r="AM390" s="137" t="str">
        <f>'Q100a-geral'!AM1166</f>
        <v>x</v>
      </c>
      <c r="AN390" s="137" t="str">
        <f>'Q100a-geral'!AN1166</f>
        <v>x</v>
      </c>
      <c r="AO390" s="137" t="str">
        <f>'Q100a-geral'!AO1166</f>
        <v>x</v>
      </c>
      <c r="AP390" s="137" t="str">
        <f>'Q100a-geral'!AP1166</f>
        <v>x</v>
      </c>
      <c r="AQ390" s="137" t="str">
        <f>'Q100a-geral'!AQ1166</f>
        <v>x</v>
      </c>
      <c r="AR390" s="137"/>
      <c r="AS390" s="137"/>
      <c r="AT390" s="137"/>
      <c r="AU390" s="137"/>
      <c r="AV390" s="137" t="str">
        <f>'Q100a-geral'!AV1166</f>
        <v>x</v>
      </c>
      <c r="AW390" s="137"/>
      <c r="AX390" s="137"/>
      <c r="AY390" s="137"/>
      <c r="AZ390" s="137"/>
      <c r="BA390" s="137" t="str">
        <f>'Q100a-geral'!BA1166</f>
        <v>x</v>
      </c>
      <c r="BB390" s="239" t="str">
        <f>'Q100a-geral'!BB1166</f>
        <v>Gratuidades e descontosacessibilidade</v>
      </c>
      <c r="BC390" s="239" t="str">
        <f>'Q100a-geral'!BC1166</f>
        <v>Gratuidades e descontosacessibilidadex</v>
      </c>
      <c r="BD390" s="239" t="str">
        <f>'Q100a-geral'!BD1166</f>
        <v>Gratuidades e descontosx</v>
      </c>
    </row>
    <row r="391" spans="1:56" s="1" customFormat="1" ht="25.5" x14ac:dyDescent="0.25">
      <c r="A391" s="275" t="str">
        <f>'Q100a-geral'!A1167</f>
        <v>1.3</v>
      </c>
      <c r="B391" s="54" t="str">
        <f>'Q100a-geral'!B1167</f>
        <v>Gratuidades e descontos</v>
      </c>
      <c r="C391" s="167" t="str">
        <f>'Q100a-geral'!C1167</f>
        <v>acessibilidade</v>
      </c>
      <c r="D391" s="36" t="str">
        <f>'Q100a-geral'!D1167</f>
        <v>GR da sa cr</v>
      </c>
      <c r="E391" s="464" t="str">
        <f>'Q100a-geral'!E1167</f>
        <v>Belo Horizonte</v>
      </c>
      <c r="F391" s="635" t="str">
        <f>'Q100a-geral'!F1167</f>
        <v>"GR da" sem acompanhante e com passagem pela roleta
obs.: resultado de 2015 em BHTRANS(2015s)</v>
      </c>
      <c r="G391" s="252" t="str">
        <f>'Q100a-geral'!G1167</f>
        <v>registro na fonte</v>
      </c>
      <c r="H391" s="168" t="str">
        <f>'Q100a-geral'!H1167</f>
        <v>x</v>
      </c>
      <c r="I391" s="167">
        <f>'Q100a-geral'!I1167</f>
        <v>1</v>
      </c>
      <c r="J391" s="109" t="str">
        <f>'Q100a-geral'!J1167</f>
        <v>x</v>
      </c>
      <c r="K391" s="109" t="str">
        <f>'Q100a-geral'!K1167</f>
        <v>x</v>
      </c>
      <c r="L391" s="109" t="str">
        <f>'Q100a-geral'!L1167</f>
        <v>x</v>
      </c>
      <c r="M391" s="109" t="str">
        <f>'Q100a-geral'!M1167</f>
        <v>x</v>
      </c>
      <c r="N391" s="109" t="str">
        <f>'Q100a-geral'!N1167</f>
        <v>x</v>
      </c>
      <c r="O391" s="93" t="str">
        <f>'Q100a-geral'!O1167</f>
        <v>x</v>
      </c>
      <c r="P391" s="93" t="str">
        <f>'Q100a-geral'!P1167</f>
        <v>x</v>
      </c>
      <c r="Q391" s="93" t="str">
        <f>'Q100a-geral'!Q1167</f>
        <v>x</v>
      </c>
      <c r="R391" s="93" t="str">
        <f>'Q100a-geral'!R1167</f>
        <v>x</v>
      </c>
      <c r="S391" s="649" t="str">
        <f>'Q100a-geral'!S1167</f>
        <v>só para pesquisa</v>
      </c>
      <c r="T391" s="86" t="str">
        <f>'Q100a-geral'!T1167</f>
        <v>x</v>
      </c>
      <c r="U391" s="93" t="str">
        <f>'Q100a-geral'!U1167</f>
        <v>x</v>
      </c>
      <c r="V391" s="107" t="str">
        <f>'Q100a-geral'!V1167</f>
        <v>só para pesquisa</v>
      </c>
      <c r="W391" s="93" t="str">
        <f>'Q100a-geral'!W1167</f>
        <v>x</v>
      </c>
      <c r="X391" s="93" t="str">
        <f>'Q100a-geral'!X1167</f>
        <v>x</v>
      </c>
      <c r="Y391" s="93" t="str">
        <f>'Q100a-geral'!Y1167</f>
        <v>x</v>
      </c>
      <c r="Z391" s="93" t="str">
        <f>'Q100a-geral'!Z1167</f>
        <v>x</v>
      </c>
      <c r="AA391" s="93" t="str">
        <f>'Q100a-geral'!AA1167</f>
        <v>x</v>
      </c>
      <c r="AB391" s="93" t="str">
        <f>'Q100a-geral'!AB1167</f>
        <v>x</v>
      </c>
      <c r="AC391" s="93" t="str">
        <f>'Q100a-geral'!AC1167</f>
        <v>x</v>
      </c>
      <c r="AD391" s="93" t="str">
        <f>'Q100a-geral'!AD1167</f>
        <v>x</v>
      </c>
      <c r="AE391" s="93" t="str">
        <f>'Q100a-geral'!AE1167</f>
        <v>x</v>
      </c>
      <c r="AF391" s="93" t="str">
        <f>'Q100a-geral'!AF1167</f>
        <v>x</v>
      </c>
      <c r="AG391" s="93" t="str">
        <f>'Q100a-geral'!AG1167</f>
        <v>x</v>
      </c>
      <c r="AH391" s="93" t="str">
        <f>'Q100a-geral'!AH1167</f>
        <v>x</v>
      </c>
      <c r="AI391" s="93" t="str">
        <f>'Q100a-geral'!AI1167</f>
        <v>x</v>
      </c>
      <c r="AJ391" s="93" t="str">
        <f>'Q100a-geral'!AJ1167</f>
        <v>x</v>
      </c>
      <c r="AK391" s="84">
        <f>'Q100a-geral'!AK1167</f>
        <v>2798</v>
      </c>
      <c r="AL391" s="222" t="str">
        <f>'Q100a-geral'!AL1167</f>
        <v>x</v>
      </c>
      <c r="AM391" s="137" t="str">
        <f>'Q100a-geral'!AM1167</f>
        <v>x</v>
      </c>
      <c r="AN391" s="137" t="str">
        <f>'Q100a-geral'!AN1167</f>
        <v>x</v>
      </c>
      <c r="AO391" s="137" t="str">
        <f>'Q100a-geral'!AO1167</f>
        <v>x</v>
      </c>
      <c r="AP391" s="137" t="str">
        <f>'Q100a-geral'!AP1167</f>
        <v>x</v>
      </c>
      <c r="AQ391" s="137" t="str">
        <f>'Q100a-geral'!AQ1167</f>
        <v>x</v>
      </c>
      <c r="AR391" s="137"/>
      <c r="AS391" s="137"/>
      <c r="AT391" s="137"/>
      <c r="AU391" s="137"/>
      <c r="AV391" s="137" t="str">
        <f>'Q100a-geral'!AV1167</f>
        <v>x</v>
      </c>
      <c r="AW391" s="137"/>
      <c r="AX391" s="137"/>
      <c r="AY391" s="137"/>
      <c r="AZ391" s="137"/>
      <c r="BA391" s="137" t="str">
        <f>'Q100a-geral'!BA1167</f>
        <v>x</v>
      </c>
      <c r="BB391" s="239" t="str">
        <f>'Q100a-geral'!BB1167</f>
        <v>Gratuidades e descontosacessibilidade</v>
      </c>
      <c r="BC391" s="239" t="str">
        <f>'Q100a-geral'!BC1167</f>
        <v>Gratuidades e descontosacessibilidadex</v>
      </c>
      <c r="BD391" s="239" t="str">
        <f>'Q100a-geral'!BD1167</f>
        <v>Gratuidades e descontosx</v>
      </c>
    </row>
    <row r="392" spans="1:56" s="1" customFormat="1" ht="25.5" x14ac:dyDescent="0.25">
      <c r="A392" s="275" t="str">
        <f>'Q100a-geral'!A1168</f>
        <v>1.3</v>
      </c>
      <c r="B392" s="54" t="str">
        <f>'Q100a-geral'!B1168</f>
        <v>Gratuidades e descontos</v>
      </c>
      <c r="C392" s="167" t="str">
        <f>'Q100a-geral'!C1168</f>
        <v>acessibilidade</v>
      </c>
      <c r="D392" s="36" t="str">
        <f>'Q100a-geral'!D1168</f>
        <v>GR da ca sr</v>
      </c>
      <c r="E392" s="464" t="str">
        <f>'Q100a-geral'!E1168</f>
        <v>Belo Horizonte</v>
      </c>
      <c r="F392" s="635" t="str">
        <f>'Q100a-geral'!F1168</f>
        <v>"GR da" com acompanhante e sem passagem pela roleta
obs.: resultado de 2015 em BHTRANS(2015s)</v>
      </c>
      <c r="G392" s="252" t="str">
        <f>'Q100a-geral'!G1168</f>
        <v>registro na fonte</v>
      </c>
      <c r="H392" s="168" t="str">
        <f>'Q100a-geral'!H1168</f>
        <v>x</v>
      </c>
      <c r="I392" s="167">
        <f>'Q100a-geral'!I1168</f>
        <v>1</v>
      </c>
      <c r="J392" s="109" t="str">
        <f>'Q100a-geral'!J1168</f>
        <v>x</v>
      </c>
      <c r="K392" s="109" t="str">
        <f>'Q100a-geral'!K1168</f>
        <v>x</v>
      </c>
      <c r="L392" s="109" t="str">
        <f>'Q100a-geral'!L1168</f>
        <v>x</v>
      </c>
      <c r="M392" s="109" t="str">
        <f>'Q100a-geral'!M1168</f>
        <v>x</v>
      </c>
      <c r="N392" s="109" t="str">
        <f>'Q100a-geral'!N1168</f>
        <v>x</v>
      </c>
      <c r="O392" s="93" t="str">
        <f>'Q100a-geral'!O1168</f>
        <v>x</v>
      </c>
      <c r="P392" s="93" t="str">
        <f>'Q100a-geral'!P1168</f>
        <v>x</v>
      </c>
      <c r="Q392" s="93" t="str">
        <f>'Q100a-geral'!Q1168</f>
        <v>x</v>
      </c>
      <c r="R392" s="93" t="str">
        <f>'Q100a-geral'!R1168</f>
        <v>x</v>
      </c>
      <c r="S392" s="649" t="str">
        <f>'Q100a-geral'!S1168</f>
        <v>só para pesquisa</v>
      </c>
      <c r="T392" s="86" t="str">
        <f>'Q100a-geral'!T1168</f>
        <v>x</v>
      </c>
      <c r="U392" s="93" t="str">
        <f>'Q100a-geral'!U1168</f>
        <v>x</v>
      </c>
      <c r="V392" s="107" t="str">
        <f>'Q100a-geral'!V1168</f>
        <v>só para pesquisa</v>
      </c>
      <c r="W392" s="93" t="str">
        <f>'Q100a-geral'!W1168</f>
        <v>x</v>
      </c>
      <c r="X392" s="93" t="str">
        <f>'Q100a-geral'!X1168</f>
        <v>x</v>
      </c>
      <c r="Y392" s="93" t="str">
        <f>'Q100a-geral'!Y1168</f>
        <v>x</v>
      </c>
      <c r="Z392" s="93" t="str">
        <f>'Q100a-geral'!Z1168</f>
        <v>x</v>
      </c>
      <c r="AA392" s="93" t="str">
        <f>'Q100a-geral'!AA1168</f>
        <v>x</v>
      </c>
      <c r="AB392" s="93" t="str">
        <f>'Q100a-geral'!AB1168</f>
        <v>x</v>
      </c>
      <c r="AC392" s="93" t="str">
        <f>'Q100a-geral'!AC1168</f>
        <v>x</v>
      </c>
      <c r="AD392" s="93" t="str">
        <f>'Q100a-geral'!AD1168</f>
        <v>x</v>
      </c>
      <c r="AE392" s="93" t="str">
        <f>'Q100a-geral'!AE1168</f>
        <v>x</v>
      </c>
      <c r="AF392" s="93" t="str">
        <f>'Q100a-geral'!AF1168</f>
        <v>x</v>
      </c>
      <c r="AG392" s="93" t="str">
        <f>'Q100a-geral'!AG1168</f>
        <v>x</v>
      </c>
      <c r="AH392" s="93" t="str">
        <f>'Q100a-geral'!AH1168</f>
        <v>x</v>
      </c>
      <c r="AI392" s="93" t="str">
        <f>'Q100a-geral'!AI1168</f>
        <v>x</v>
      </c>
      <c r="AJ392" s="93" t="str">
        <f>'Q100a-geral'!AJ1168</f>
        <v>x</v>
      </c>
      <c r="AK392" s="84">
        <f>'Q100a-geral'!AK1168</f>
        <v>11</v>
      </c>
      <c r="AL392" s="222" t="str">
        <f>'Q100a-geral'!AL1168</f>
        <v>x</v>
      </c>
      <c r="AM392" s="137" t="str">
        <f>'Q100a-geral'!AM1168</f>
        <v>x</v>
      </c>
      <c r="AN392" s="137" t="str">
        <f>'Q100a-geral'!AN1168</f>
        <v>x</v>
      </c>
      <c r="AO392" s="137" t="str">
        <f>'Q100a-geral'!AO1168</f>
        <v>x</v>
      </c>
      <c r="AP392" s="137" t="str">
        <f>'Q100a-geral'!AP1168</f>
        <v>x</v>
      </c>
      <c r="AQ392" s="137" t="str">
        <f>'Q100a-geral'!AQ1168</f>
        <v>x</v>
      </c>
      <c r="AR392" s="137"/>
      <c r="AS392" s="137"/>
      <c r="AT392" s="137"/>
      <c r="AU392" s="137"/>
      <c r="AV392" s="137" t="str">
        <f>'Q100a-geral'!AV1168</f>
        <v>x</v>
      </c>
      <c r="AW392" s="137"/>
      <c r="AX392" s="137"/>
      <c r="AY392" s="137"/>
      <c r="AZ392" s="137"/>
      <c r="BA392" s="137" t="str">
        <f>'Q100a-geral'!BA1168</f>
        <v>x</v>
      </c>
      <c r="BB392" s="239" t="str">
        <f>'Q100a-geral'!BB1168</f>
        <v>Gratuidades e descontosacessibilidade</v>
      </c>
      <c r="BC392" s="239" t="str">
        <f>'Q100a-geral'!BC1168</f>
        <v>Gratuidades e descontosacessibilidadex</v>
      </c>
      <c r="BD392" s="239" t="str">
        <f>'Q100a-geral'!BD1168</f>
        <v>Gratuidades e descontosx</v>
      </c>
    </row>
    <row r="393" spans="1:56" s="1" customFormat="1" ht="25.5" x14ac:dyDescent="0.25">
      <c r="A393" s="275" t="str">
        <f>'Q100a-geral'!A1169</f>
        <v>1.3</v>
      </c>
      <c r="B393" s="54" t="str">
        <f>'Q100a-geral'!B1169</f>
        <v>Gratuidades e descontos</v>
      </c>
      <c r="C393" s="167" t="str">
        <f>'Q100a-geral'!C1169</f>
        <v>acessibilidade</v>
      </c>
      <c r="D393" s="36" t="str">
        <f>'Q100a-geral'!D1169</f>
        <v>GR da sa sr</v>
      </c>
      <c r="E393" s="464" t="str">
        <f>'Q100a-geral'!E1169</f>
        <v>Belo Horizonte</v>
      </c>
      <c r="F393" s="635" t="str">
        <f>'Q100a-geral'!F1169</f>
        <v>"GR da" sem acompanhante e sem passagem pela roleta
obs.: resultado de 2015 em BHTRANS(2015s)</v>
      </c>
      <c r="G393" s="252" t="str">
        <f>'Q100a-geral'!G1169</f>
        <v>registro na fonte</v>
      </c>
      <c r="H393" s="168" t="str">
        <f>'Q100a-geral'!H1169</f>
        <v>x</v>
      </c>
      <c r="I393" s="167">
        <f>'Q100a-geral'!I1169</f>
        <v>1</v>
      </c>
      <c r="J393" s="109" t="str">
        <f>'Q100a-geral'!J1169</f>
        <v>x</v>
      </c>
      <c r="K393" s="109" t="str">
        <f>'Q100a-geral'!K1169</f>
        <v>x</v>
      </c>
      <c r="L393" s="109" t="str">
        <f>'Q100a-geral'!L1169</f>
        <v>x</v>
      </c>
      <c r="M393" s="109" t="str">
        <f>'Q100a-geral'!M1169</f>
        <v>x</v>
      </c>
      <c r="N393" s="109" t="str">
        <f>'Q100a-geral'!N1169</f>
        <v>x</v>
      </c>
      <c r="O393" s="93" t="str">
        <f>'Q100a-geral'!O1169</f>
        <v>x</v>
      </c>
      <c r="P393" s="93" t="str">
        <f>'Q100a-geral'!P1169</f>
        <v>x</v>
      </c>
      <c r="Q393" s="93" t="str">
        <f>'Q100a-geral'!Q1169</f>
        <v>x</v>
      </c>
      <c r="R393" s="93" t="str">
        <f>'Q100a-geral'!R1169</f>
        <v>x</v>
      </c>
      <c r="S393" s="649" t="str">
        <f>'Q100a-geral'!S1169</f>
        <v>só para pesquisa</v>
      </c>
      <c r="T393" s="86" t="str">
        <f>'Q100a-geral'!T1169</f>
        <v>x</v>
      </c>
      <c r="U393" s="93" t="str">
        <f>'Q100a-geral'!U1169</f>
        <v>x</v>
      </c>
      <c r="V393" s="107" t="str">
        <f>'Q100a-geral'!V1169</f>
        <v>só para pesquisa</v>
      </c>
      <c r="W393" s="93" t="str">
        <f>'Q100a-geral'!W1169</f>
        <v>x</v>
      </c>
      <c r="X393" s="93" t="str">
        <f>'Q100a-geral'!X1169</f>
        <v>x</v>
      </c>
      <c r="Y393" s="93" t="str">
        <f>'Q100a-geral'!Y1169</f>
        <v>x</v>
      </c>
      <c r="Z393" s="93" t="str">
        <f>'Q100a-geral'!Z1169</f>
        <v>x</v>
      </c>
      <c r="AA393" s="93" t="str">
        <f>'Q100a-geral'!AA1169</f>
        <v>x</v>
      </c>
      <c r="AB393" s="93" t="str">
        <f>'Q100a-geral'!AB1169</f>
        <v>x</v>
      </c>
      <c r="AC393" s="93" t="str">
        <f>'Q100a-geral'!AC1169</f>
        <v>x</v>
      </c>
      <c r="AD393" s="93" t="str">
        <f>'Q100a-geral'!AD1169</f>
        <v>x</v>
      </c>
      <c r="AE393" s="93" t="str">
        <f>'Q100a-geral'!AE1169</f>
        <v>x</v>
      </c>
      <c r="AF393" s="93" t="str">
        <f>'Q100a-geral'!AF1169</f>
        <v>x</v>
      </c>
      <c r="AG393" s="93" t="str">
        <f>'Q100a-geral'!AG1169</f>
        <v>x</v>
      </c>
      <c r="AH393" s="93" t="str">
        <f>'Q100a-geral'!AH1169</f>
        <v>x</v>
      </c>
      <c r="AI393" s="93" t="str">
        <f>'Q100a-geral'!AI1169</f>
        <v>x</v>
      </c>
      <c r="AJ393" s="93" t="str">
        <f>'Q100a-geral'!AJ1169</f>
        <v>x</v>
      </c>
      <c r="AK393" s="84">
        <f>'Q100a-geral'!AK1169</f>
        <v>6</v>
      </c>
      <c r="AL393" s="222" t="str">
        <f>'Q100a-geral'!AL1169</f>
        <v>x</v>
      </c>
      <c r="AM393" s="137" t="str">
        <f>'Q100a-geral'!AM1169</f>
        <v>x</v>
      </c>
      <c r="AN393" s="137" t="str">
        <f>'Q100a-geral'!AN1169</f>
        <v>x</v>
      </c>
      <c r="AO393" s="137" t="str">
        <f>'Q100a-geral'!AO1169</f>
        <v>x</v>
      </c>
      <c r="AP393" s="137" t="str">
        <f>'Q100a-geral'!AP1169</f>
        <v>x</v>
      </c>
      <c r="AQ393" s="137" t="str">
        <f>'Q100a-geral'!AQ1169</f>
        <v>x</v>
      </c>
      <c r="AR393" s="137"/>
      <c r="AS393" s="137"/>
      <c r="AT393" s="137"/>
      <c r="AU393" s="137"/>
      <c r="AV393" s="137" t="str">
        <f>'Q100a-geral'!AV1169</f>
        <v>x</v>
      </c>
      <c r="AW393" s="137"/>
      <c r="AX393" s="137"/>
      <c r="AY393" s="137"/>
      <c r="AZ393" s="137"/>
      <c r="BA393" s="137" t="str">
        <f>'Q100a-geral'!BA1169</f>
        <v>x</v>
      </c>
      <c r="BB393" s="239" t="str">
        <f>'Q100a-geral'!BB1169</f>
        <v>Gratuidades e descontosacessibilidade</v>
      </c>
      <c r="BC393" s="239" t="str">
        <f>'Q100a-geral'!BC1169</f>
        <v>Gratuidades e descontosacessibilidadex</v>
      </c>
      <c r="BD393" s="239" t="str">
        <f>'Q100a-geral'!BD1169</f>
        <v>Gratuidades e descontosx</v>
      </c>
    </row>
    <row r="394" spans="1:56" s="1" customFormat="1" ht="94.5" customHeight="1" x14ac:dyDescent="0.25">
      <c r="A394" s="275" t="str">
        <f>'Q100a-geral'!A1170</f>
        <v>1.3</v>
      </c>
      <c r="B394" s="54" t="str">
        <f>'Q100a-geral'!B1170</f>
        <v>Gratuidades e descontos</v>
      </c>
      <c r="C394" s="167" t="str">
        <f>'Q100a-geral'!C1170</f>
        <v>acessibilidade</v>
      </c>
      <c r="D394" s="326" t="str">
        <f>'Q100a-geral'!D1170</f>
        <v>GR df</v>
      </c>
      <c r="E394" s="465" t="str">
        <f>'Q100a-geral'!E1170</f>
        <v>Belo Horizonte</v>
      </c>
      <c r="F394" s="634" t="str">
        <f>'Q100a-geral'!F1170</f>
        <v>n.º de pessoas com deficiência física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obs.1: resultado de 1999 sem fórmula direto na fonte em OLIVEIRA (2002, p.118/Tabela 3.2
obs.2: resultados em dezembro de cada ano, à exceção dos resultados de 2015 que foram extraídos do banco de dados do CIT Bus às 09h21 de 27/08/2015</v>
      </c>
      <c r="G394" s="252" t="str">
        <f>'Q100a-geral'!G1170</f>
        <v>registro na fonte
ou
GR df ca cr + GR df sa cr + GR df ca sr + GR df sa sr</v>
      </c>
      <c r="H394" s="168" t="str">
        <f>'Q100a-geral'!H1170</f>
        <v>x</v>
      </c>
      <c r="I394" s="167">
        <f>'Q100a-geral'!I1170</f>
        <v>1</v>
      </c>
      <c r="J394" s="109" t="str">
        <f>'Q100a-geral'!J1170</f>
        <v>x</v>
      </c>
      <c r="K394" s="109" t="str">
        <f>'Q100a-geral'!K1170</f>
        <v>x</v>
      </c>
      <c r="L394" s="109" t="str">
        <f>'Q100a-geral'!L1170</f>
        <v>x</v>
      </c>
      <c r="M394" s="109" t="str">
        <f>'Q100a-geral'!M1170</f>
        <v>x</v>
      </c>
      <c r="N394" s="109" t="str">
        <f>'Q100a-geral'!N1170</f>
        <v>x</v>
      </c>
      <c r="O394" s="93" t="str">
        <f>'Q100a-geral'!O1170</f>
        <v>x</v>
      </c>
      <c r="P394" s="93" t="str">
        <f>'Q100a-geral'!P1170</f>
        <v>x</v>
      </c>
      <c r="Q394" s="93" t="str">
        <f>'Q100a-geral'!Q1170</f>
        <v>x</v>
      </c>
      <c r="R394" s="132"/>
      <c r="S394" s="649" t="str">
        <f>'Q100a-geral'!S1170</f>
        <v>só para pesquisa</v>
      </c>
      <c r="T394" s="86">
        <f>'Q100a-geral'!T1170</f>
        <v>14680</v>
      </c>
      <c r="U394" s="132"/>
      <c r="V394" s="107" t="str">
        <f>'Q100a-geral'!V1170</f>
        <v>só para pesquisa</v>
      </c>
      <c r="W394" s="132"/>
      <c r="X394" s="132"/>
      <c r="Y394" s="132"/>
      <c r="Z394" s="132"/>
      <c r="AA394" s="132"/>
      <c r="AB394" s="132"/>
      <c r="AC394" s="132"/>
      <c r="AD394" s="132"/>
      <c r="AE394" s="132"/>
      <c r="AF394" s="132"/>
      <c r="AG394" s="132"/>
      <c r="AH394" s="132"/>
      <c r="AI394" s="132"/>
      <c r="AJ394" s="132"/>
      <c r="AK394" s="23">
        <f>'Q100a-geral'!AK1170</f>
        <v>11648</v>
      </c>
      <c r="AL394" s="222" t="str">
        <f>'Q100a-geral'!AL1170</f>
        <v>x</v>
      </c>
      <c r="AM394" s="137" t="str">
        <f>'Q100a-geral'!AM1170</f>
        <v>x</v>
      </c>
      <c r="AN394" s="137" t="str">
        <f>'Q100a-geral'!AN1170</f>
        <v>x</v>
      </c>
      <c r="AO394" s="137" t="str">
        <f>'Q100a-geral'!AO1170</f>
        <v>x</v>
      </c>
      <c r="AP394" s="137" t="str">
        <f>'Q100a-geral'!AP1170</f>
        <v>x</v>
      </c>
      <c r="AQ394" s="137" t="str">
        <f>'Q100a-geral'!AQ1170</f>
        <v>x</v>
      </c>
      <c r="AR394" s="137"/>
      <c r="AS394" s="137"/>
      <c r="AT394" s="137"/>
      <c r="AU394" s="137"/>
      <c r="AV394" s="137" t="str">
        <f>'Q100a-geral'!AV1170</f>
        <v>x</v>
      </c>
      <c r="AW394" s="137"/>
      <c r="AX394" s="137"/>
      <c r="AY394" s="137"/>
      <c r="AZ394" s="137"/>
      <c r="BA394" s="137" t="str">
        <f>'Q100a-geral'!BA1170</f>
        <v>x</v>
      </c>
      <c r="BB394" s="239" t="str">
        <f>'Q100a-geral'!BB1170</f>
        <v>Gratuidades e descontosacessibilidade</v>
      </c>
      <c r="BC394" s="239" t="str">
        <f>'Q100a-geral'!BC1170</f>
        <v>Gratuidades e descontosacessibilidadex</v>
      </c>
      <c r="BD394" s="239" t="str">
        <f>'Q100a-geral'!BD1170</f>
        <v>Gratuidades e descontosx</v>
      </c>
    </row>
    <row r="395" spans="1:56" s="1" customFormat="1" ht="25.5" x14ac:dyDescent="0.25">
      <c r="A395" s="275" t="str">
        <f>'Q100a-geral'!A1171</f>
        <v>1.3</v>
      </c>
      <c r="B395" s="54" t="str">
        <f>'Q100a-geral'!B1171</f>
        <v>Gratuidades e descontos</v>
      </c>
      <c r="C395" s="167" t="str">
        <f>'Q100a-geral'!C1171</f>
        <v>acessibilidade</v>
      </c>
      <c r="D395" s="36" t="str">
        <f>'Q100a-geral'!D1171</f>
        <v>GR df ca cr</v>
      </c>
      <c r="E395" s="464" t="str">
        <f>'Q100a-geral'!E1171</f>
        <v>Belo Horizonte</v>
      </c>
      <c r="F395" s="635" t="str">
        <f>'Q100a-geral'!F1171</f>
        <v>"GR df" com acompanhante e com passagem pela roleta
obs.: resultado de 2015 em BHTRANS(2015s)</v>
      </c>
      <c r="G395" s="252" t="str">
        <f>'Q100a-geral'!G1171</f>
        <v>registro na fonte</v>
      </c>
      <c r="H395" s="168" t="str">
        <f>'Q100a-geral'!H1171</f>
        <v>x</v>
      </c>
      <c r="I395" s="167">
        <f>'Q100a-geral'!I1171</f>
        <v>1</v>
      </c>
      <c r="J395" s="109" t="str">
        <f>'Q100a-geral'!J1171</f>
        <v>x</v>
      </c>
      <c r="K395" s="109" t="str">
        <f>'Q100a-geral'!K1171</f>
        <v>x</v>
      </c>
      <c r="L395" s="109" t="str">
        <f>'Q100a-geral'!L1171</f>
        <v>x</v>
      </c>
      <c r="M395" s="109" t="str">
        <f>'Q100a-geral'!M1171</f>
        <v>x</v>
      </c>
      <c r="N395" s="109" t="str">
        <f>'Q100a-geral'!N1171</f>
        <v>x</v>
      </c>
      <c r="O395" s="93" t="str">
        <f>'Q100a-geral'!O1171</f>
        <v>x</v>
      </c>
      <c r="P395" s="93" t="str">
        <f>'Q100a-geral'!P1171</f>
        <v>x</v>
      </c>
      <c r="Q395" s="93" t="str">
        <f>'Q100a-geral'!Q1171</f>
        <v>x</v>
      </c>
      <c r="R395" s="93" t="str">
        <f>'Q100a-geral'!R1171</f>
        <v>x</v>
      </c>
      <c r="S395" s="649" t="str">
        <f>'Q100a-geral'!S1171</f>
        <v>só para pesquisa</v>
      </c>
      <c r="T395" s="86" t="str">
        <f>'Q100a-geral'!T1171</f>
        <v>x</v>
      </c>
      <c r="U395" s="93" t="str">
        <f>'Q100a-geral'!U1171</f>
        <v>x</v>
      </c>
      <c r="V395" s="107" t="str">
        <f>'Q100a-geral'!V1171</f>
        <v>só para pesquisa</v>
      </c>
      <c r="W395" s="93" t="str">
        <f>'Q100a-geral'!W1171</f>
        <v>x</v>
      </c>
      <c r="X395" s="93" t="str">
        <f>'Q100a-geral'!X1171</f>
        <v>x</v>
      </c>
      <c r="Y395" s="93" t="str">
        <f>'Q100a-geral'!Y1171</f>
        <v>x</v>
      </c>
      <c r="Z395" s="93" t="str">
        <f>'Q100a-geral'!Z1171</f>
        <v>x</v>
      </c>
      <c r="AA395" s="93" t="str">
        <f>'Q100a-geral'!AA1171</f>
        <v>x</v>
      </c>
      <c r="AB395" s="93" t="str">
        <f>'Q100a-geral'!AB1171</f>
        <v>x</v>
      </c>
      <c r="AC395" s="93" t="str">
        <f>'Q100a-geral'!AC1171</f>
        <v>x</v>
      </c>
      <c r="AD395" s="93" t="str">
        <f>'Q100a-geral'!AD1171</f>
        <v>x</v>
      </c>
      <c r="AE395" s="93" t="str">
        <f>'Q100a-geral'!AE1171</f>
        <v>x</v>
      </c>
      <c r="AF395" s="93" t="str">
        <f>'Q100a-geral'!AF1171</f>
        <v>x</v>
      </c>
      <c r="AG395" s="93" t="str">
        <f>'Q100a-geral'!AG1171</f>
        <v>x</v>
      </c>
      <c r="AH395" s="93" t="str">
        <f>'Q100a-geral'!AH1171</f>
        <v>x</v>
      </c>
      <c r="AI395" s="93" t="str">
        <f>'Q100a-geral'!AI1171</f>
        <v>x</v>
      </c>
      <c r="AJ395" s="93" t="str">
        <f>'Q100a-geral'!AJ1171</f>
        <v>x</v>
      </c>
      <c r="AK395" s="84">
        <f>'Q100a-geral'!AK1171</f>
        <v>678</v>
      </c>
      <c r="AL395" s="222" t="str">
        <f>'Q100a-geral'!AL1171</f>
        <v>x</v>
      </c>
      <c r="AM395" s="137" t="str">
        <f>'Q100a-geral'!AM1171</f>
        <v>x</v>
      </c>
      <c r="AN395" s="137" t="str">
        <f>'Q100a-geral'!AN1171</f>
        <v>x</v>
      </c>
      <c r="AO395" s="137" t="str">
        <f>'Q100a-geral'!AO1171</f>
        <v>x</v>
      </c>
      <c r="AP395" s="137" t="str">
        <f>'Q100a-geral'!AP1171</f>
        <v>x</v>
      </c>
      <c r="AQ395" s="137" t="str">
        <f>'Q100a-geral'!AQ1171</f>
        <v>x</v>
      </c>
      <c r="AR395" s="137"/>
      <c r="AS395" s="137"/>
      <c r="AT395" s="137"/>
      <c r="AU395" s="137"/>
      <c r="AV395" s="137" t="str">
        <f>'Q100a-geral'!AV1171</f>
        <v>x</v>
      </c>
      <c r="AW395" s="137"/>
      <c r="AX395" s="137"/>
      <c r="AY395" s="137"/>
      <c r="AZ395" s="137"/>
      <c r="BA395" s="137" t="str">
        <f>'Q100a-geral'!BA1171</f>
        <v>x</v>
      </c>
      <c r="BB395" s="239" t="str">
        <f>'Q100a-geral'!BB1171</f>
        <v>Gratuidades e descontosacessibilidade</v>
      </c>
      <c r="BC395" s="239" t="str">
        <f>'Q100a-geral'!BC1171</f>
        <v>Gratuidades e descontosacessibilidadex</v>
      </c>
      <c r="BD395" s="239" t="str">
        <f>'Q100a-geral'!BD1171</f>
        <v>Gratuidades e descontosx</v>
      </c>
    </row>
    <row r="396" spans="1:56" s="1" customFormat="1" ht="25.5" x14ac:dyDescent="0.25">
      <c r="A396" s="275" t="str">
        <f>'Q100a-geral'!A1172</f>
        <v>1.3</v>
      </c>
      <c r="B396" s="54" t="str">
        <f>'Q100a-geral'!B1172</f>
        <v>Gratuidades e descontos</v>
      </c>
      <c r="C396" s="167" t="str">
        <f>'Q100a-geral'!C1172</f>
        <v>acessibilidade</v>
      </c>
      <c r="D396" s="36" t="str">
        <f>'Q100a-geral'!D1172</f>
        <v>GR df sa cr</v>
      </c>
      <c r="E396" s="464" t="str">
        <f>'Q100a-geral'!E1172</f>
        <v>Belo Horizonte</v>
      </c>
      <c r="F396" s="635" t="str">
        <f>'Q100a-geral'!F1172</f>
        <v>"GR df" sem acompanhante e com passagem pela roleta
obs.: resultado de 2015 em BHTRANS(2015s)</v>
      </c>
      <c r="G396" s="252" t="str">
        <f>'Q100a-geral'!G1172</f>
        <v>registro na fonte</v>
      </c>
      <c r="H396" s="168" t="str">
        <f>'Q100a-geral'!H1172</f>
        <v>x</v>
      </c>
      <c r="I396" s="167">
        <f>'Q100a-geral'!I1172</f>
        <v>1</v>
      </c>
      <c r="J396" s="109" t="str">
        <f>'Q100a-geral'!J1172</f>
        <v>x</v>
      </c>
      <c r="K396" s="109" t="str">
        <f>'Q100a-geral'!K1172</f>
        <v>x</v>
      </c>
      <c r="L396" s="109" t="str">
        <f>'Q100a-geral'!L1172</f>
        <v>x</v>
      </c>
      <c r="M396" s="109" t="str">
        <f>'Q100a-geral'!M1172</f>
        <v>x</v>
      </c>
      <c r="N396" s="109" t="str">
        <f>'Q100a-geral'!N1172</f>
        <v>x</v>
      </c>
      <c r="O396" s="93" t="str">
        <f>'Q100a-geral'!O1172</f>
        <v>x</v>
      </c>
      <c r="P396" s="93" t="str">
        <f>'Q100a-geral'!P1172</f>
        <v>x</v>
      </c>
      <c r="Q396" s="93" t="str">
        <f>'Q100a-geral'!Q1172</f>
        <v>x</v>
      </c>
      <c r="R396" s="93" t="str">
        <f>'Q100a-geral'!R1172</f>
        <v>x</v>
      </c>
      <c r="S396" s="649" t="str">
        <f>'Q100a-geral'!S1172</f>
        <v>só para pesquisa</v>
      </c>
      <c r="T396" s="86" t="str">
        <f>'Q100a-geral'!T1172</f>
        <v>x</v>
      </c>
      <c r="U396" s="93" t="str">
        <f>'Q100a-geral'!U1172</f>
        <v>x</v>
      </c>
      <c r="V396" s="107" t="str">
        <f>'Q100a-geral'!V1172</f>
        <v>só para pesquisa</v>
      </c>
      <c r="W396" s="93" t="str">
        <f>'Q100a-geral'!W1172</f>
        <v>x</v>
      </c>
      <c r="X396" s="93" t="str">
        <f>'Q100a-geral'!X1172</f>
        <v>x</v>
      </c>
      <c r="Y396" s="93" t="str">
        <f>'Q100a-geral'!Y1172</f>
        <v>x</v>
      </c>
      <c r="Z396" s="93" t="str">
        <f>'Q100a-geral'!Z1172</f>
        <v>x</v>
      </c>
      <c r="AA396" s="93" t="str">
        <f>'Q100a-geral'!AA1172</f>
        <v>x</v>
      </c>
      <c r="AB396" s="93" t="str">
        <f>'Q100a-geral'!AB1172</f>
        <v>x</v>
      </c>
      <c r="AC396" s="93" t="str">
        <f>'Q100a-geral'!AC1172</f>
        <v>x</v>
      </c>
      <c r="AD396" s="93" t="str">
        <f>'Q100a-geral'!AD1172</f>
        <v>x</v>
      </c>
      <c r="AE396" s="93" t="str">
        <f>'Q100a-geral'!AE1172</f>
        <v>x</v>
      </c>
      <c r="AF396" s="93" t="str">
        <f>'Q100a-geral'!AF1172</f>
        <v>x</v>
      </c>
      <c r="AG396" s="93" t="str">
        <f>'Q100a-geral'!AG1172</f>
        <v>x</v>
      </c>
      <c r="AH396" s="93" t="str">
        <f>'Q100a-geral'!AH1172</f>
        <v>x</v>
      </c>
      <c r="AI396" s="93" t="str">
        <f>'Q100a-geral'!AI1172</f>
        <v>x</v>
      </c>
      <c r="AJ396" s="93" t="str">
        <f>'Q100a-geral'!AJ1172</f>
        <v>x</v>
      </c>
      <c r="AK396" s="84">
        <f>'Q100a-geral'!AK1172</f>
        <v>3068</v>
      </c>
      <c r="AL396" s="222" t="str">
        <f>'Q100a-geral'!AL1172</f>
        <v>x</v>
      </c>
      <c r="AM396" s="137" t="str">
        <f>'Q100a-geral'!AM1172</f>
        <v>x</v>
      </c>
      <c r="AN396" s="137" t="str">
        <f>'Q100a-geral'!AN1172</f>
        <v>x</v>
      </c>
      <c r="AO396" s="137" t="str">
        <f>'Q100a-geral'!AO1172</f>
        <v>x</v>
      </c>
      <c r="AP396" s="137" t="str">
        <f>'Q100a-geral'!AP1172</f>
        <v>x</v>
      </c>
      <c r="AQ396" s="137" t="str">
        <f>'Q100a-geral'!AQ1172</f>
        <v>x</v>
      </c>
      <c r="AR396" s="137"/>
      <c r="AS396" s="137"/>
      <c r="AT396" s="137"/>
      <c r="AU396" s="137"/>
      <c r="AV396" s="137" t="str">
        <f>'Q100a-geral'!AV1172</f>
        <v>x</v>
      </c>
      <c r="AW396" s="137"/>
      <c r="AX396" s="137"/>
      <c r="AY396" s="137"/>
      <c r="AZ396" s="137"/>
      <c r="BA396" s="137" t="str">
        <f>'Q100a-geral'!BA1172</f>
        <v>x</v>
      </c>
      <c r="BB396" s="239" t="str">
        <f>'Q100a-geral'!BB1172</f>
        <v>Gratuidades e descontosacessibilidade</v>
      </c>
      <c r="BC396" s="239" t="str">
        <f>'Q100a-geral'!BC1172</f>
        <v>Gratuidades e descontosacessibilidadex</v>
      </c>
      <c r="BD396" s="239" t="str">
        <f>'Q100a-geral'!BD1172</f>
        <v>Gratuidades e descontosx</v>
      </c>
    </row>
    <row r="397" spans="1:56" s="1" customFormat="1" ht="25.5" x14ac:dyDescent="0.25">
      <c r="A397" s="275" t="str">
        <f>'Q100a-geral'!A1173</f>
        <v>1.3</v>
      </c>
      <c r="B397" s="54" t="str">
        <f>'Q100a-geral'!B1173</f>
        <v>Gratuidades e descontos</v>
      </c>
      <c r="C397" s="167" t="str">
        <f>'Q100a-geral'!C1173</f>
        <v>acessibilidade</v>
      </c>
      <c r="D397" s="36" t="str">
        <f>'Q100a-geral'!D1173</f>
        <v>GR df ca sr</v>
      </c>
      <c r="E397" s="464" t="str">
        <f>'Q100a-geral'!E1173</f>
        <v>Belo Horizonte</v>
      </c>
      <c r="F397" s="635" t="str">
        <f>'Q100a-geral'!F1173</f>
        <v>"GR df" com acompanhante e sem passagem pela roleta
obs.: resultado de 2015 em BHTRANS(2015s)</v>
      </c>
      <c r="G397" s="252" t="str">
        <f>'Q100a-geral'!G1173</f>
        <v>registro na fonte</v>
      </c>
      <c r="H397" s="168" t="str">
        <f>'Q100a-geral'!H1173</f>
        <v>x</v>
      </c>
      <c r="I397" s="167">
        <f>'Q100a-geral'!I1173</f>
        <v>1</v>
      </c>
      <c r="J397" s="109" t="str">
        <f>'Q100a-geral'!J1173</f>
        <v>x</v>
      </c>
      <c r="K397" s="109" t="str">
        <f>'Q100a-geral'!K1173</f>
        <v>x</v>
      </c>
      <c r="L397" s="109" t="str">
        <f>'Q100a-geral'!L1173</f>
        <v>x</v>
      </c>
      <c r="M397" s="109" t="str">
        <f>'Q100a-geral'!M1173</f>
        <v>x</v>
      </c>
      <c r="N397" s="109" t="str">
        <f>'Q100a-geral'!N1173</f>
        <v>x</v>
      </c>
      <c r="O397" s="93" t="str">
        <f>'Q100a-geral'!O1173</f>
        <v>x</v>
      </c>
      <c r="P397" s="93" t="str">
        <f>'Q100a-geral'!P1173</f>
        <v>x</v>
      </c>
      <c r="Q397" s="93" t="str">
        <f>'Q100a-geral'!Q1173</f>
        <v>x</v>
      </c>
      <c r="R397" s="93" t="str">
        <f>'Q100a-geral'!R1173</f>
        <v>x</v>
      </c>
      <c r="S397" s="649" t="str">
        <f>'Q100a-geral'!S1173</f>
        <v>só para pesquisa</v>
      </c>
      <c r="T397" s="86" t="str">
        <f>'Q100a-geral'!T1173</f>
        <v>x</v>
      </c>
      <c r="U397" s="93" t="str">
        <f>'Q100a-geral'!U1173</f>
        <v>x</v>
      </c>
      <c r="V397" s="107" t="str">
        <f>'Q100a-geral'!V1173</f>
        <v>só para pesquisa</v>
      </c>
      <c r="W397" s="93" t="str">
        <f>'Q100a-geral'!W1173</f>
        <v>x</v>
      </c>
      <c r="X397" s="93" t="str">
        <f>'Q100a-geral'!X1173</f>
        <v>x</v>
      </c>
      <c r="Y397" s="93" t="str">
        <f>'Q100a-geral'!Y1173</f>
        <v>x</v>
      </c>
      <c r="Z397" s="93" t="str">
        <f>'Q100a-geral'!Z1173</f>
        <v>x</v>
      </c>
      <c r="AA397" s="93" t="str">
        <f>'Q100a-geral'!AA1173</f>
        <v>x</v>
      </c>
      <c r="AB397" s="93" t="str">
        <f>'Q100a-geral'!AB1173</f>
        <v>x</v>
      </c>
      <c r="AC397" s="93" t="str">
        <f>'Q100a-geral'!AC1173</f>
        <v>x</v>
      </c>
      <c r="AD397" s="93" t="str">
        <f>'Q100a-geral'!AD1173</f>
        <v>x</v>
      </c>
      <c r="AE397" s="93" t="str">
        <f>'Q100a-geral'!AE1173</f>
        <v>x</v>
      </c>
      <c r="AF397" s="93" t="str">
        <f>'Q100a-geral'!AF1173</f>
        <v>x</v>
      </c>
      <c r="AG397" s="93" t="str">
        <f>'Q100a-geral'!AG1173</f>
        <v>x</v>
      </c>
      <c r="AH397" s="93" t="str">
        <f>'Q100a-geral'!AH1173</f>
        <v>x</v>
      </c>
      <c r="AI397" s="93" t="str">
        <f>'Q100a-geral'!AI1173</f>
        <v>x</v>
      </c>
      <c r="AJ397" s="93" t="str">
        <f>'Q100a-geral'!AJ1173</f>
        <v>x</v>
      </c>
      <c r="AK397" s="84">
        <f>'Q100a-geral'!AK1173</f>
        <v>3096</v>
      </c>
      <c r="AL397" s="222" t="str">
        <f>'Q100a-geral'!AL1173</f>
        <v>x</v>
      </c>
      <c r="AM397" s="137" t="str">
        <f>'Q100a-geral'!AM1173</f>
        <v>x</v>
      </c>
      <c r="AN397" s="137" t="str">
        <f>'Q100a-geral'!AN1173</f>
        <v>x</v>
      </c>
      <c r="AO397" s="137" t="str">
        <f>'Q100a-geral'!AO1173</f>
        <v>x</v>
      </c>
      <c r="AP397" s="137" t="str">
        <f>'Q100a-geral'!AP1173</f>
        <v>x</v>
      </c>
      <c r="AQ397" s="137" t="str">
        <f>'Q100a-geral'!AQ1173</f>
        <v>x</v>
      </c>
      <c r="AR397" s="137"/>
      <c r="AS397" s="137"/>
      <c r="AT397" s="137"/>
      <c r="AU397" s="137"/>
      <c r="AV397" s="137" t="str">
        <f>'Q100a-geral'!AV1173</f>
        <v>x</v>
      </c>
      <c r="AW397" s="137"/>
      <c r="AX397" s="137"/>
      <c r="AY397" s="137"/>
      <c r="AZ397" s="137"/>
      <c r="BA397" s="137" t="str">
        <f>'Q100a-geral'!BA1173</f>
        <v>x</v>
      </c>
      <c r="BB397" s="239" t="str">
        <f>'Q100a-geral'!BB1173</f>
        <v>Gratuidades e descontosacessibilidade</v>
      </c>
      <c r="BC397" s="239" t="str">
        <f>'Q100a-geral'!BC1173</f>
        <v>Gratuidades e descontosacessibilidadex</v>
      </c>
      <c r="BD397" s="239" t="str">
        <f>'Q100a-geral'!BD1173</f>
        <v>Gratuidades e descontosx</v>
      </c>
    </row>
    <row r="398" spans="1:56" s="1" customFormat="1" ht="25.5" x14ac:dyDescent="0.25">
      <c r="A398" s="275" t="str">
        <f>'Q100a-geral'!A1174</f>
        <v>1.3</v>
      </c>
      <c r="B398" s="54" t="str">
        <f>'Q100a-geral'!B1174</f>
        <v>Gratuidades e descontos</v>
      </c>
      <c r="C398" s="167" t="str">
        <f>'Q100a-geral'!C1174</f>
        <v>acessibilidade</v>
      </c>
      <c r="D398" s="36" t="str">
        <f>'Q100a-geral'!D1174</f>
        <v>GR df sa sr</v>
      </c>
      <c r="E398" s="464" t="str">
        <f>'Q100a-geral'!E1174</f>
        <v>Belo Horizonte</v>
      </c>
      <c r="F398" s="635" t="str">
        <f>'Q100a-geral'!F1174</f>
        <v>"GR df" sem acompanhante e sem passagem pela roleta
obs.: resultado de 2015 em BHTRANS(2015s)</v>
      </c>
      <c r="G398" s="252" t="str">
        <f>'Q100a-geral'!G1174</f>
        <v>registro na fonte</v>
      </c>
      <c r="H398" s="168" t="str">
        <f>'Q100a-geral'!H1174</f>
        <v>x</v>
      </c>
      <c r="I398" s="167">
        <f>'Q100a-geral'!I1174</f>
        <v>1</v>
      </c>
      <c r="J398" s="109" t="str">
        <f>'Q100a-geral'!J1174</f>
        <v>x</v>
      </c>
      <c r="K398" s="109" t="str">
        <f>'Q100a-geral'!K1174</f>
        <v>x</v>
      </c>
      <c r="L398" s="109" t="str">
        <f>'Q100a-geral'!L1174</f>
        <v>x</v>
      </c>
      <c r="M398" s="109" t="str">
        <f>'Q100a-geral'!M1174</f>
        <v>x</v>
      </c>
      <c r="N398" s="109" t="str">
        <f>'Q100a-geral'!N1174</f>
        <v>x</v>
      </c>
      <c r="O398" s="93" t="str">
        <f>'Q100a-geral'!O1174</f>
        <v>x</v>
      </c>
      <c r="P398" s="93" t="str">
        <f>'Q100a-geral'!P1174</f>
        <v>x</v>
      </c>
      <c r="Q398" s="93" t="str">
        <f>'Q100a-geral'!Q1174</f>
        <v>x</v>
      </c>
      <c r="R398" s="93" t="str">
        <f>'Q100a-geral'!R1174</f>
        <v>x</v>
      </c>
      <c r="S398" s="649" t="str">
        <f>'Q100a-geral'!S1174</f>
        <v>só para pesquisa</v>
      </c>
      <c r="T398" s="86" t="str">
        <f>'Q100a-geral'!T1174</f>
        <v>x</v>
      </c>
      <c r="U398" s="93" t="str">
        <f>'Q100a-geral'!U1174</f>
        <v>x</v>
      </c>
      <c r="V398" s="107" t="str">
        <f>'Q100a-geral'!V1174</f>
        <v>só para pesquisa</v>
      </c>
      <c r="W398" s="93" t="str">
        <f>'Q100a-geral'!W1174</f>
        <v>x</v>
      </c>
      <c r="X398" s="93" t="str">
        <f>'Q100a-geral'!X1174</f>
        <v>x</v>
      </c>
      <c r="Y398" s="93" t="str">
        <f>'Q100a-geral'!Y1174</f>
        <v>x</v>
      </c>
      <c r="Z398" s="93" t="str">
        <f>'Q100a-geral'!Z1174</f>
        <v>x</v>
      </c>
      <c r="AA398" s="93" t="str">
        <f>'Q100a-geral'!AA1174</f>
        <v>x</v>
      </c>
      <c r="AB398" s="93" t="str">
        <f>'Q100a-geral'!AB1174</f>
        <v>x</v>
      </c>
      <c r="AC398" s="93" t="str">
        <f>'Q100a-geral'!AC1174</f>
        <v>x</v>
      </c>
      <c r="AD398" s="93" t="str">
        <f>'Q100a-geral'!AD1174</f>
        <v>x</v>
      </c>
      <c r="AE398" s="93" t="str">
        <f>'Q100a-geral'!AE1174</f>
        <v>x</v>
      </c>
      <c r="AF398" s="93" t="str">
        <f>'Q100a-geral'!AF1174</f>
        <v>x</v>
      </c>
      <c r="AG398" s="93" t="str">
        <f>'Q100a-geral'!AG1174</f>
        <v>x</v>
      </c>
      <c r="AH398" s="93" t="str">
        <f>'Q100a-geral'!AH1174</f>
        <v>x</v>
      </c>
      <c r="AI398" s="93" t="str">
        <f>'Q100a-geral'!AI1174</f>
        <v>x</v>
      </c>
      <c r="AJ398" s="93" t="str">
        <f>'Q100a-geral'!AJ1174</f>
        <v>x</v>
      </c>
      <c r="AK398" s="84">
        <f>'Q100a-geral'!AK1174</f>
        <v>4806</v>
      </c>
      <c r="AL398" s="222" t="str">
        <f>'Q100a-geral'!AL1174</f>
        <v>x</v>
      </c>
      <c r="AM398" s="137" t="str">
        <f>'Q100a-geral'!AM1174</f>
        <v>x</v>
      </c>
      <c r="AN398" s="137" t="str">
        <f>'Q100a-geral'!AN1174</f>
        <v>x</v>
      </c>
      <c r="AO398" s="137" t="str">
        <f>'Q100a-geral'!AO1174</f>
        <v>x</v>
      </c>
      <c r="AP398" s="137" t="str">
        <f>'Q100a-geral'!AP1174</f>
        <v>x</v>
      </c>
      <c r="AQ398" s="137" t="str">
        <f>'Q100a-geral'!AQ1174</f>
        <v>x</v>
      </c>
      <c r="AR398" s="137"/>
      <c r="AS398" s="137"/>
      <c r="AT398" s="137"/>
      <c r="AU398" s="137"/>
      <c r="AV398" s="137" t="str">
        <f>'Q100a-geral'!AV1174</f>
        <v>x</v>
      </c>
      <c r="AW398" s="137"/>
      <c r="AX398" s="137"/>
      <c r="AY398" s="137"/>
      <c r="AZ398" s="137"/>
      <c r="BA398" s="137" t="str">
        <f>'Q100a-geral'!BA1174</f>
        <v>x</v>
      </c>
      <c r="BB398" s="239" t="str">
        <f>'Q100a-geral'!BB1174</f>
        <v>Gratuidades e descontosacessibilidade</v>
      </c>
      <c r="BC398" s="239" t="str">
        <f>'Q100a-geral'!BC1174</f>
        <v>Gratuidades e descontosacessibilidadex</v>
      </c>
      <c r="BD398" s="239" t="str">
        <f>'Q100a-geral'!BD1174</f>
        <v>Gratuidades e descontosx</v>
      </c>
    </row>
    <row r="399" spans="1:56" s="1" customFormat="1" ht="90" x14ac:dyDescent="0.25">
      <c r="A399" s="275" t="str">
        <f>'Q100a-geral'!A1175</f>
        <v>1.3</v>
      </c>
      <c r="B399" s="54" t="str">
        <f>'Q100a-geral'!B1175</f>
        <v>Gratuidades e descontos</v>
      </c>
      <c r="C399" s="167" t="str">
        <f>'Q100a-geral'!C1175</f>
        <v>acessibilidade</v>
      </c>
      <c r="D399" s="326" t="str">
        <f>'Q100a-geral'!D1175</f>
        <v>GR dm</v>
      </c>
      <c r="E399" s="465" t="str">
        <f>'Q100a-geral'!E1175</f>
        <v>Belo Horizonte</v>
      </c>
      <c r="F399" s="634" t="str">
        <f>'Q100a-geral'!F1175</f>
        <v>n.º de pessoas com deficiência mental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obs.1: resultados em dezembro de cada ano, à exceção dos resultados de 2015 que foram extraídos do banco de dados do CIT Bus às 09h21 de 27/08/2015
obs.2: resultado de 1999 sem fórmula direto na fonte em OLIVEIRA (2002, p.118/Tabela 3.2 (na base de dados há resultados separados para "def.mental" e "def.mental moderado", que são aqui somados)</v>
      </c>
      <c r="G399" s="252" t="str">
        <f>'Q100a-geral'!G1175</f>
        <v>registro na fonte
ou
GR dm ca cr + GR dm sa cr + GR dm ca sr + GR dm sa sr</v>
      </c>
      <c r="H399" s="168" t="str">
        <f>'Q100a-geral'!H1175</f>
        <v>x</v>
      </c>
      <c r="I399" s="167">
        <f>'Q100a-geral'!I1175</f>
        <v>1</v>
      </c>
      <c r="J399" s="109" t="str">
        <f>'Q100a-geral'!J1175</f>
        <v>x</v>
      </c>
      <c r="K399" s="109" t="str">
        <f>'Q100a-geral'!K1175</f>
        <v>x</v>
      </c>
      <c r="L399" s="109" t="str">
        <f>'Q100a-geral'!L1175</f>
        <v>x</v>
      </c>
      <c r="M399" s="109" t="str">
        <f>'Q100a-geral'!M1175</f>
        <v>x</v>
      </c>
      <c r="N399" s="109" t="str">
        <f>'Q100a-geral'!N1175</f>
        <v>x</v>
      </c>
      <c r="O399" s="93" t="str">
        <f>'Q100a-geral'!O1175</f>
        <v>x</v>
      </c>
      <c r="P399" s="93" t="str">
        <f>'Q100a-geral'!P1175</f>
        <v>x</v>
      </c>
      <c r="Q399" s="93" t="str">
        <f>'Q100a-geral'!Q1175</f>
        <v>x</v>
      </c>
      <c r="R399" s="132"/>
      <c r="S399" s="649" t="str">
        <f>'Q100a-geral'!S1175</f>
        <v>só para pesquisa</v>
      </c>
      <c r="T399" s="86">
        <f>'Q100a-geral'!T1175</f>
        <v>15186</v>
      </c>
      <c r="U399" s="132"/>
      <c r="V399" s="107" t="str">
        <f>'Q100a-geral'!V1175</f>
        <v>só para pesquisa</v>
      </c>
      <c r="W399" s="132"/>
      <c r="X399" s="132"/>
      <c r="Y399" s="132"/>
      <c r="Z399" s="132"/>
      <c r="AA399" s="132"/>
      <c r="AB399" s="132"/>
      <c r="AC399" s="132"/>
      <c r="AD399" s="132"/>
      <c r="AE399" s="132"/>
      <c r="AF399" s="132"/>
      <c r="AG399" s="132"/>
      <c r="AH399" s="132"/>
      <c r="AI399" s="132"/>
      <c r="AJ399" s="132"/>
      <c r="AK399" s="23">
        <f>'Q100a-geral'!AK1175</f>
        <v>7797</v>
      </c>
      <c r="AL399" s="222" t="str">
        <f>'Q100a-geral'!AL1175</f>
        <v>x</v>
      </c>
      <c r="AM399" s="137" t="str">
        <f>'Q100a-geral'!AM1175</f>
        <v>x</v>
      </c>
      <c r="AN399" s="137" t="str">
        <f>'Q100a-geral'!AN1175</f>
        <v>x</v>
      </c>
      <c r="AO399" s="137" t="str">
        <f>'Q100a-geral'!AO1175</f>
        <v>x</v>
      </c>
      <c r="AP399" s="137" t="str">
        <f>'Q100a-geral'!AP1175</f>
        <v>x</v>
      </c>
      <c r="AQ399" s="137" t="str">
        <f>'Q100a-geral'!AQ1175</f>
        <v>x</v>
      </c>
      <c r="AR399" s="137"/>
      <c r="AS399" s="137"/>
      <c r="AT399" s="137"/>
      <c r="AU399" s="137"/>
      <c r="AV399" s="137" t="str">
        <f>'Q100a-geral'!AV1175</f>
        <v>x</v>
      </c>
      <c r="AW399" s="137"/>
      <c r="AX399" s="137"/>
      <c r="AY399" s="137"/>
      <c r="AZ399" s="137"/>
      <c r="BA399" s="137" t="str">
        <f>'Q100a-geral'!BA1175</f>
        <v>x</v>
      </c>
      <c r="BB399" s="239" t="str">
        <f>'Q100a-geral'!BB1175</f>
        <v>Gratuidades e descontosacessibilidade</v>
      </c>
      <c r="BC399" s="239" t="str">
        <f>'Q100a-geral'!BC1175</f>
        <v>Gratuidades e descontosacessibilidadex</v>
      </c>
      <c r="BD399" s="239" t="str">
        <f>'Q100a-geral'!BD1175</f>
        <v>Gratuidades e descontosx</v>
      </c>
    </row>
    <row r="400" spans="1:56" s="1" customFormat="1" ht="25.5" x14ac:dyDescent="0.25">
      <c r="A400" s="275" t="str">
        <f>'Q100a-geral'!A1176</f>
        <v>1.3</v>
      </c>
      <c r="B400" s="54" t="str">
        <f>'Q100a-geral'!B1176</f>
        <v>Gratuidades e descontos</v>
      </c>
      <c r="C400" s="167" t="str">
        <f>'Q100a-geral'!C1176</f>
        <v>acessibilidade</v>
      </c>
      <c r="D400" s="36" t="str">
        <f>'Q100a-geral'!D1176</f>
        <v>GR dm ca cr</v>
      </c>
      <c r="E400" s="464" t="str">
        <f>'Q100a-geral'!E1176</f>
        <v>Belo Horizonte</v>
      </c>
      <c r="F400" s="635" t="str">
        <f>'Q100a-geral'!F1176</f>
        <v>"GR dm" com acompanhante e com passagem pela roleta
obs.: resultado de 2015 em BHTRANS(2015s)</v>
      </c>
      <c r="G400" s="252" t="str">
        <f>'Q100a-geral'!G1176</f>
        <v>registro na fonte</v>
      </c>
      <c r="H400" s="168" t="str">
        <f>'Q100a-geral'!H1176</f>
        <v>x</v>
      </c>
      <c r="I400" s="167">
        <f>'Q100a-geral'!I1176</f>
        <v>1</v>
      </c>
      <c r="J400" s="109" t="str">
        <f>'Q100a-geral'!J1176</f>
        <v>x</v>
      </c>
      <c r="K400" s="109" t="str">
        <f>'Q100a-geral'!K1176</f>
        <v>x</v>
      </c>
      <c r="L400" s="109" t="str">
        <f>'Q100a-geral'!L1176</f>
        <v>x</v>
      </c>
      <c r="M400" s="109" t="str">
        <f>'Q100a-geral'!M1176</f>
        <v>x</v>
      </c>
      <c r="N400" s="109" t="str">
        <f>'Q100a-geral'!N1176</f>
        <v>x</v>
      </c>
      <c r="O400" s="93" t="str">
        <f>'Q100a-geral'!O1176</f>
        <v>x</v>
      </c>
      <c r="P400" s="93" t="str">
        <f>'Q100a-geral'!P1176</f>
        <v>x</v>
      </c>
      <c r="Q400" s="93" t="str">
        <f>'Q100a-geral'!Q1176</f>
        <v>x</v>
      </c>
      <c r="R400" s="93" t="str">
        <f>'Q100a-geral'!R1176</f>
        <v>x</v>
      </c>
      <c r="S400" s="649" t="str">
        <f>'Q100a-geral'!S1176</f>
        <v>só para pesquisa</v>
      </c>
      <c r="T400" s="86" t="str">
        <f>'Q100a-geral'!T1176</f>
        <v>x</v>
      </c>
      <c r="U400" s="93" t="str">
        <f>'Q100a-geral'!U1176</f>
        <v>x</v>
      </c>
      <c r="V400" s="107" t="str">
        <f>'Q100a-geral'!V1176</f>
        <v>só para pesquisa</v>
      </c>
      <c r="W400" s="93" t="str">
        <f>'Q100a-geral'!W1176</f>
        <v>x</v>
      </c>
      <c r="X400" s="93" t="str">
        <f>'Q100a-geral'!X1176</f>
        <v>x</v>
      </c>
      <c r="Y400" s="93" t="str">
        <f>'Q100a-geral'!Y1176</f>
        <v>x</v>
      </c>
      <c r="Z400" s="93" t="str">
        <f>'Q100a-geral'!Z1176</f>
        <v>x</v>
      </c>
      <c r="AA400" s="93" t="str">
        <f>'Q100a-geral'!AA1176</f>
        <v>x</v>
      </c>
      <c r="AB400" s="93" t="str">
        <f>'Q100a-geral'!AB1176</f>
        <v>x</v>
      </c>
      <c r="AC400" s="93" t="str">
        <f>'Q100a-geral'!AC1176</f>
        <v>x</v>
      </c>
      <c r="AD400" s="93" t="str">
        <f>'Q100a-geral'!AD1176</f>
        <v>x</v>
      </c>
      <c r="AE400" s="93" t="str">
        <f>'Q100a-geral'!AE1176</f>
        <v>x</v>
      </c>
      <c r="AF400" s="93" t="str">
        <f>'Q100a-geral'!AF1176</f>
        <v>x</v>
      </c>
      <c r="AG400" s="93" t="str">
        <f>'Q100a-geral'!AG1176</f>
        <v>x</v>
      </c>
      <c r="AH400" s="93" t="str">
        <f>'Q100a-geral'!AH1176</f>
        <v>x</v>
      </c>
      <c r="AI400" s="93" t="str">
        <f>'Q100a-geral'!AI1176</f>
        <v>x</v>
      </c>
      <c r="AJ400" s="93" t="str">
        <f>'Q100a-geral'!AJ1176</f>
        <v>x</v>
      </c>
      <c r="AK400" s="84">
        <f>'Q100a-geral'!AK1176</f>
        <v>5269</v>
      </c>
      <c r="AL400" s="222" t="str">
        <f>'Q100a-geral'!AL1176</f>
        <v>x</v>
      </c>
      <c r="AM400" s="137" t="str">
        <f>'Q100a-geral'!AM1176</f>
        <v>x</v>
      </c>
      <c r="AN400" s="137" t="str">
        <f>'Q100a-geral'!AN1176</f>
        <v>x</v>
      </c>
      <c r="AO400" s="137" t="str">
        <f>'Q100a-geral'!AO1176</f>
        <v>x</v>
      </c>
      <c r="AP400" s="137" t="str">
        <f>'Q100a-geral'!AP1176</f>
        <v>x</v>
      </c>
      <c r="AQ400" s="137" t="str">
        <f>'Q100a-geral'!AQ1176</f>
        <v>x</v>
      </c>
      <c r="AR400" s="137"/>
      <c r="AS400" s="137"/>
      <c r="AT400" s="137"/>
      <c r="AU400" s="137"/>
      <c r="AV400" s="137" t="str">
        <f>'Q100a-geral'!AV1176</f>
        <v>x</v>
      </c>
      <c r="AW400" s="137"/>
      <c r="AX400" s="137"/>
      <c r="AY400" s="137"/>
      <c r="AZ400" s="137"/>
      <c r="BA400" s="137" t="str">
        <f>'Q100a-geral'!BA1176</f>
        <v>x</v>
      </c>
      <c r="BB400" s="239" t="str">
        <f>'Q100a-geral'!BB1176</f>
        <v>Gratuidades e descontosacessibilidade</v>
      </c>
      <c r="BC400" s="239" t="str">
        <f>'Q100a-geral'!BC1176</f>
        <v>Gratuidades e descontosacessibilidadex</v>
      </c>
      <c r="BD400" s="239" t="str">
        <f>'Q100a-geral'!BD1176</f>
        <v>Gratuidades e descontosx</v>
      </c>
    </row>
    <row r="401" spans="1:56" s="1" customFormat="1" ht="25.5" x14ac:dyDescent="0.25">
      <c r="A401" s="275" t="str">
        <f>'Q100a-geral'!A1177</f>
        <v>1.3</v>
      </c>
      <c r="B401" s="54" t="str">
        <f>'Q100a-geral'!B1177</f>
        <v>Gratuidades e descontos</v>
      </c>
      <c r="C401" s="167" t="str">
        <f>'Q100a-geral'!C1177</f>
        <v>acessibilidade</v>
      </c>
      <c r="D401" s="36" t="str">
        <f>'Q100a-geral'!D1177</f>
        <v>GR dm sa cr</v>
      </c>
      <c r="E401" s="464" t="str">
        <f>'Q100a-geral'!E1177</f>
        <v>Belo Horizonte</v>
      </c>
      <c r="F401" s="635" t="str">
        <f>'Q100a-geral'!F1177</f>
        <v>"GR dm" sem acompanhante e com passagem pela roleta
obs.: resultado de 2015 em BHTRANS(2015s)</v>
      </c>
      <c r="G401" s="252" t="str">
        <f>'Q100a-geral'!G1177</f>
        <v>registro na fonte</v>
      </c>
      <c r="H401" s="168" t="str">
        <f>'Q100a-geral'!H1177</f>
        <v>x</v>
      </c>
      <c r="I401" s="167">
        <f>'Q100a-geral'!I1177</f>
        <v>1</v>
      </c>
      <c r="J401" s="109" t="str">
        <f>'Q100a-geral'!J1177</f>
        <v>x</v>
      </c>
      <c r="K401" s="109" t="str">
        <f>'Q100a-geral'!K1177</f>
        <v>x</v>
      </c>
      <c r="L401" s="109" t="str">
        <f>'Q100a-geral'!L1177</f>
        <v>x</v>
      </c>
      <c r="M401" s="109" t="str">
        <f>'Q100a-geral'!M1177</f>
        <v>x</v>
      </c>
      <c r="N401" s="109" t="str">
        <f>'Q100a-geral'!N1177</f>
        <v>x</v>
      </c>
      <c r="O401" s="93" t="str">
        <f>'Q100a-geral'!O1177</f>
        <v>x</v>
      </c>
      <c r="P401" s="93" t="str">
        <f>'Q100a-geral'!P1177</f>
        <v>x</v>
      </c>
      <c r="Q401" s="93" t="str">
        <f>'Q100a-geral'!Q1177</f>
        <v>x</v>
      </c>
      <c r="R401" s="93" t="str">
        <f>'Q100a-geral'!R1177</f>
        <v>x</v>
      </c>
      <c r="S401" s="649" t="str">
        <f>'Q100a-geral'!S1177</f>
        <v>só para pesquisa</v>
      </c>
      <c r="T401" s="86" t="str">
        <f>'Q100a-geral'!T1177</f>
        <v>x</v>
      </c>
      <c r="U401" s="93" t="str">
        <f>'Q100a-geral'!U1177</f>
        <v>x</v>
      </c>
      <c r="V401" s="107" t="str">
        <f>'Q100a-geral'!V1177</f>
        <v>só para pesquisa</v>
      </c>
      <c r="W401" s="93" t="str">
        <f>'Q100a-geral'!W1177</f>
        <v>x</v>
      </c>
      <c r="X401" s="93" t="str">
        <f>'Q100a-geral'!X1177</f>
        <v>x</v>
      </c>
      <c r="Y401" s="93" t="str">
        <f>'Q100a-geral'!Y1177</f>
        <v>x</v>
      </c>
      <c r="Z401" s="93" t="str">
        <f>'Q100a-geral'!Z1177</f>
        <v>x</v>
      </c>
      <c r="AA401" s="93" t="str">
        <f>'Q100a-geral'!AA1177</f>
        <v>x</v>
      </c>
      <c r="AB401" s="93" t="str">
        <f>'Q100a-geral'!AB1177</f>
        <v>x</v>
      </c>
      <c r="AC401" s="93" t="str">
        <f>'Q100a-geral'!AC1177</f>
        <v>x</v>
      </c>
      <c r="AD401" s="93" t="str">
        <f>'Q100a-geral'!AD1177</f>
        <v>x</v>
      </c>
      <c r="AE401" s="93" t="str">
        <f>'Q100a-geral'!AE1177</f>
        <v>x</v>
      </c>
      <c r="AF401" s="93" t="str">
        <f>'Q100a-geral'!AF1177</f>
        <v>x</v>
      </c>
      <c r="AG401" s="93" t="str">
        <f>'Q100a-geral'!AG1177</f>
        <v>x</v>
      </c>
      <c r="AH401" s="93" t="str">
        <f>'Q100a-geral'!AH1177</f>
        <v>x</v>
      </c>
      <c r="AI401" s="93" t="str">
        <f>'Q100a-geral'!AI1177</f>
        <v>x</v>
      </c>
      <c r="AJ401" s="93" t="str">
        <f>'Q100a-geral'!AJ1177</f>
        <v>x</v>
      </c>
      <c r="AK401" s="84">
        <f>'Q100a-geral'!AK1177</f>
        <v>594</v>
      </c>
      <c r="AL401" s="222" t="str">
        <f>'Q100a-geral'!AL1177</f>
        <v>x</v>
      </c>
      <c r="AM401" s="137" t="str">
        <f>'Q100a-geral'!AM1177</f>
        <v>x</v>
      </c>
      <c r="AN401" s="137" t="str">
        <f>'Q100a-geral'!AN1177</f>
        <v>x</v>
      </c>
      <c r="AO401" s="137" t="str">
        <f>'Q100a-geral'!AO1177</f>
        <v>x</v>
      </c>
      <c r="AP401" s="137" t="str">
        <f>'Q100a-geral'!AP1177</f>
        <v>x</v>
      </c>
      <c r="AQ401" s="137" t="str">
        <f>'Q100a-geral'!AQ1177</f>
        <v>x</v>
      </c>
      <c r="AR401" s="137"/>
      <c r="AS401" s="137"/>
      <c r="AT401" s="137"/>
      <c r="AU401" s="137"/>
      <c r="AV401" s="137" t="str">
        <f>'Q100a-geral'!AV1177</f>
        <v>x</v>
      </c>
      <c r="AW401" s="137"/>
      <c r="AX401" s="137"/>
      <c r="AY401" s="137"/>
      <c r="AZ401" s="137"/>
      <c r="BA401" s="137" t="str">
        <f>'Q100a-geral'!BA1177</f>
        <v>x</v>
      </c>
      <c r="BB401" s="239" t="str">
        <f>'Q100a-geral'!BB1177</f>
        <v>Gratuidades e descontosacessibilidade</v>
      </c>
      <c r="BC401" s="239" t="str">
        <f>'Q100a-geral'!BC1177</f>
        <v>Gratuidades e descontosacessibilidadex</v>
      </c>
      <c r="BD401" s="239" t="str">
        <f>'Q100a-geral'!BD1177</f>
        <v>Gratuidades e descontosx</v>
      </c>
    </row>
    <row r="402" spans="1:56" s="1" customFormat="1" ht="25.5" x14ac:dyDescent="0.25">
      <c r="A402" s="275" t="str">
        <f>'Q100a-geral'!A1178</f>
        <v>1.3</v>
      </c>
      <c r="B402" s="54" t="str">
        <f>'Q100a-geral'!B1178</f>
        <v>Gratuidades e descontos</v>
      </c>
      <c r="C402" s="167" t="str">
        <f>'Q100a-geral'!C1178</f>
        <v>acessibilidade</v>
      </c>
      <c r="D402" s="36" t="str">
        <f>'Q100a-geral'!D1178</f>
        <v>GR dm ca sr</v>
      </c>
      <c r="E402" s="464" t="str">
        <f>'Q100a-geral'!E1178</f>
        <v>Belo Horizonte</v>
      </c>
      <c r="F402" s="635" t="str">
        <f>'Q100a-geral'!F1178</f>
        <v>"GR dm" com acompanhante e sem passagem pela roleta
obs.: resultado de 2015 em BHTRANS(2015s)</v>
      </c>
      <c r="G402" s="252" t="str">
        <f>'Q100a-geral'!G1178</f>
        <v>registro na fonte</v>
      </c>
      <c r="H402" s="168" t="str">
        <f>'Q100a-geral'!H1178</f>
        <v>x</v>
      </c>
      <c r="I402" s="167">
        <f>'Q100a-geral'!I1178</f>
        <v>1</v>
      </c>
      <c r="J402" s="109" t="str">
        <f>'Q100a-geral'!J1178</f>
        <v>x</v>
      </c>
      <c r="K402" s="109" t="str">
        <f>'Q100a-geral'!K1178</f>
        <v>x</v>
      </c>
      <c r="L402" s="109" t="str">
        <f>'Q100a-geral'!L1178</f>
        <v>x</v>
      </c>
      <c r="M402" s="109" t="str">
        <f>'Q100a-geral'!M1178</f>
        <v>x</v>
      </c>
      <c r="N402" s="109" t="str">
        <f>'Q100a-geral'!N1178</f>
        <v>x</v>
      </c>
      <c r="O402" s="93" t="str">
        <f>'Q100a-geral'!O1178</f>
        <v>x</v>
      </c>
      <c r="P402" s="93" t="str">
        <f>'Q100a-geral'!P1178</f>
        <v>x</v>
      </c>
      <c r="Q402" s="93" t="str">
        <f>'Q100a-geral'!Q1178</f>
        <v>x</v>
      </c>
      <c r="R402" s="93" t="str">
        <f>'Q100a-geral'!R1178</f>
        <v>x</v>
      </c>
      <c r="S402" s="649" t="str">
        <f>'Q100a-geral'!S1178</f>
        <v>só para pesquisa</v>
      </c>
      <c r="T402" s="86" t="str">
        <f>'Q100a-geral'!T1178</f>
        <v>x</v>
      </c>
      <c r="U402" s="93" t="str">
        <f>'Q100a-geral'!U1178</f>
        <v>x</v>
      </c>
      <c r="V402" s="107" t="str">
        <f>'Q100a-geral'!V1178</f>
        <v>só para pesquisa</v>
      </c>
      <c r="W402" s="93" t="str">
        <f>'Q100a-geral'!W1178</f>
        <v>x</v>
      </c>
      <c r="X402" s="93" t="str">
        <f>'Q100a-geral'!X1178</f>
        <v>x</v>
      </c>
      <c r="Y402" s="93" t="str">
        <f>'Q100a-geral'!Y1178</f>
        <v>x</v>
      </c>
      <c r="Z402" s="93" t="str">
        <f>'Q100a-geral'!Z1178</f>
        <v>x</v>
      </c>
      <c r="AA402" s="93" t="str">
        <f>'Q100a-geral'!AA1178</f>
        <v>x</v>
      </c>
      <c r="AB402" s="93" t="str">
        <f>'Q100a-geral'!AB1178</f>
        <v>x</v>
      </c>
      <c r="AC402" s="93" t="str">
        <f>'Q100a-geral'!AC1178</f>
        <v>x</v>
      </c>
      <c r="AD402" s="93" t="str">
        <f>'Q100a-geral'!AD1178</f>
        <v>x</v>
      </c>
      <c r="AE402" s="93" t="str">
        <f>'Q100a-geral'!AE1178</f>
        <v>x</v>
      </c>
      <c r="AF402" s="93" t="str">
        <f>'Q100a-geral'!AF1178</f>
        <v>x</v>
      </c>
      <c r="AG402" s="93" t="str">
        <f>'Q100a-geral'!AG1178</f>
        <v>x</v>
      </c>
      <c r="AH402" s="93" t="str">
        <f>'Q100a-geral'!AH1178</f>
        <v>x</v>
      </c>
      <c r="AI402" s="93" t="str">
        <f>'Q100a-geral'!AI1178</f>
        <v>x</v>
      </c>
      <c r="AJ402" s="93" t="str">
        <f>'Q100a-geral'!AJ1178</f>
        <v>x</v>
      </c>
      <c r="AK402" s="84">
        <f>'Q100a-geral'!AK1178</f>
        <v>1895</v>
      </c>
      <c r="AL402" s="222" t="str">
        <f>'Q100a-geral'!AL1178</f>
        <v>x</v>
      </c>
      <c r="AM402" s="137" t="str">
        <f>'Q100a-geral'!AM1178</f>
        <v>x</v>
      </c>
      <c r="AN402" s="137" t="str">
        <f>'Q100a-geral'!AN1178</f>
        <v>x</v>
      </c>
      <c r="AO402" s="137" t="str">
        <f>'Q100a-geral'!AO1178</f>
        <v>x</v>
      </c>
      <c r="AP402" s="137" t="str">
        <f>'Q100a-geral'!AP1178</f>
        <v>x</v>
      </c>
      <c r="AQ402" s="137" t="str">
        <f>'Q100a-geral'!AQ1178</f>
        <v>x</v>
      </c>
      <c r="AR402" s="137"/>
      <c r="AS402" s="137"/>
      <c r="AT402" s="137"/>
      <c r="AU402" s="137"/>
      <c r="AV402" s="137" t="str">
        <f>'Q100a-geral'!AV1178</f>
        <v>x</v>
      </c>
      <c r="AW402" s="137"/>
      <c r="AX402" s="137"/>
      <c r="AY402" s="137"/>
      <c r="AZ402" s="137"/>
      <c r="BA402" s="137" t="str">
        <f>'Q100a-geral'!BA1178</f>
        <v>x</v>
      </c>
      <c r="BB402" s="239" t="str">
        <f>'Q100a-geral'!BB1178</f>
        <v>Gratuidades e descontosacessibilidade</v>
      </c>
      <c r="BC402" s="239" t="str">
        <f>'Q100a-geral'!BC1178</f>
        <v>Gratuidades e descontosacessibilidadex</v>
      </c>
      <c r="BD402" s="239" t="str">
        <f>'Q100a-geral'!BD1178</f>
        <v>Gratuidades e descontosx</v>
      </c>
    </row>
    <row r="403" spans="1:56" s="1" customFormat="1" ht="25.5" x14ac:dyDescent="0.25">
      <c r="A403" s="275" t="str">
        <f>'Q100a-geral'!A1179</f>
        <v>1.3</v>
      </c>
      <c r="B403" s="54" t="str">
        <f>'Q100a-geral'!B1179</f>
        <v>Gratuidades e descontos</v>
      </c>
      <c r="C403" s="167" t="str">
        <f>'Q100a-geral'!C1179</f>
        <v>acessibilidade</v>
      </c>
      <c r="D403" s="36" t="str">
        <f>'Q100a-geral'!D1179</f>
        <v>GR dm sa sr</v>
      </c>
      <c r="E403" s="464" t="str">
        <f>'Q100a-geral'!E1179</f>
        <v>Belo Horizonte</v>
      </c>
      <c r="F403" s="635" t="str">
        <f>'Q100a-geral'!F1179</f>
        <v>"GR dm" sem acompanhante e sem passagem pela roleta
obs.: resultado de 2015 em BHTRANS(2015s)</v>
      </c>
      <c r="G403" s="252" t="str">
        <f>'Q100a-geral'!G1179</f>
        <v>registro na fonte</v>
      </c>
      <c r="H403" s="168" t="str">
        <f>'Q100a-geral'!H1179</f>
        <v>x</v>
      </c>
      <c r="I403" s="167">
        <f>'Q100a-geral'!I1179</f>
        <v>1</v>
      </c>
      <c r="J403" s="109" t="str">
        <f>'Q100a-geral'!J1179</f>
        <v>x</v>
      </c>
      <c r="K403" s="109" t="str">
        <f>'Q100a-geral'!K1179</f>
        <v>x</v>
      </c>
      <c r="L403" s="109" t="str">
        <f>'Q100a-geral'!L1179</f>
        <v>x</v>
      </c>
      <c r="M403" s="109" t="str">
        <f>'Q100a-geral'!M1179</f>
        <v>x</v>
      </c>
      <c r="N403" s="109" t="str">
        <f>'Q100a-geral'!N1179</f>
        <v>x</v>
      </c>
      <c r="O403" s="93" t="str">
        <f>'Q100a-geral'!O1179</f>
        <v>x</v>
      </c>
      <c r="P403" s="93" t="str">
        <f>'Q100a-geral'!P1179</f>
        <v>x</v>
      </c>
      <c r="Q403" s="93" t="str">
        <f>'Q100a-geral'!Q1179</f>
        <v>x</v>
      </c>
      <c r="R403" s="93" t="str">
        <f>'Q100a-geral'!R1179</f>
        <v>x</v>
      </c>
      <c r="S403" s="649" t="str">
        <f>'Q100a-geral'!S1179</f>
        <v>só para pesquisa</v>
      </c>
      <c r="T403" s="86" t="str">
        <f>'Q100a-geral'!T1179</f>
        <v>x</v>
      </c>
      <c r="U403" s="93" t="str">
        <f>'Q100a-geral'!U1179</f>
        <v>x</v>
      </c>
      <c r="V403" s="107" t="str">
        <f>'Q100a-geral'!V1179</f>
        <v>só para pesquisa</v>
      </c>
      <c r="W403" s="93" t="str">
        <f>'Q100a-geral'!W1179</f>
        <v>x</v>
      </c>
      <c r="X403" s="93" t="str">
        <f>'Q100a-geral'!X1179</f>
        <v>x</v>
      </c>
      <c r="Y403" s="93" t="str">
        <f>'Q100a-geral'!Y1179</f>
        <v>x</v>
      </c>
      <c r="Z403" s="93" t="str">
        <f>'Q100a-geral'!Z1179</f>
        <v>x</v>
      </c>
      <c r="AA403" s="93" t="str">
        <f>'Q100a-geral'!AA1179</f>
        <v>x</v>
      </c>
      <c r="AB403" s="93" t="str">
        <f>'Q100a-geral'!AB1179</f>
        <v>x</v>
      </c>
      <c r="AC403" s="93" t="str">
        <f>'Q100a-geral'!AC1179</f>
        <v>x</v>
      </c>
      <c r="AD403" s="93" t="str">
        <f>'Q100a-geral'!AD1179</f>
        <v>x</v>
      </c>
      <c r="AE403" s="93" t="str">
        <f>'Q100a-geral'!AE1179</f>
        <v>x</v>
      </c>
      <c r="AF403" s="93" t="str">
        <f>'Q100a-geral'!AF1179</f>
        <v>x</v>
      </c>
      <c r="AG403" s="93" t="str">
        <f>'Q100a-geral'!AG1179</f>
        <v>x</v>
      </c>
      <c r="AH403" s="93" t="str">
        <f>'Q100a-geral'!AH1179</f>
        <v>x</v>
      </c>
      <c r="AI403" s="93" t="str">
        <f>'Q100a-geral'!AI1179</f>
        <v>x</v>
      </c>
      <c r="AJ403" s="93" t="str">
        <f>'Q100a-geral'!AJ1179</f>
        <v>x</v>
      </c>
      <c r="AK403" s="84">
        <f>'Q100a-geral'!AK1179</f>
        <v>39</v>
      </c>
      <c r="AL403" s="222" t="str">
        <f>'Q100a-geral'!AL1179</f>
        <v>x</v>
      </c>
      <c r="AM403" s="137" t="str">
        <f>'Q100a-geral'!AM1179</f>
        <v>x</v>
      </c>
      <c r="AN403" s="137" t="str">
        <f>'Q100a-geral'!AN1179</f>
        <v>x</v>
      </c>
      <c r="AO403" s="137" t="str">
        <f>'Q100a-geral'!AO1179</f>
        <v>x</v>
      </c>
      <c r="AP403" s="137" t="str">
        <f>'Q100a-geral'!AP1179</f>
        <v>x</v>
      </c>
      <c r="AQ403" s="137" t="str">
        <f>'Q100a-geral'!AQ1179</f>
        <v>x</v>
      </c>
      <c r="AR403" s="137"/>
      <c r="AS403" s="137"/>
      <c r="AT403" s="137"/>
      <c r="AU403" s="137"/>
      <c r="AV403" s="137" t="str">
        <f>'Q100a-geral'!AV1179</f>
        <v>x</v>
      </c>
      <c r="AW403" s="137"/>
      <c r="AX403" s="137"/>
      <c r="AY403" s="137"/>
      <c r="AZ403" s="137"/>
      <c r="BA403" s="137" t="str">
        <f>'Q100a-geral'!BA1179</f>
        <v>x</v>
      </c>
      <c r="BB403" s="239" t="str">
        <f>'Q100a-geral'!BB1179</f>
        <v>Gratuidades e descontosacessibilidade</v>
      </c>
      <c r="BC403" s="239" t="str">
        <f>'Q100a-geral'!BC1179</f>
        <v>Gratuidades e descontosacessibilidadex</v>
      </c>
      <c r="BD403" s="239" t="str">
        <f>'Q100a-geral'!BD1179</f>
        <v>Gratuidades e descontosx</v>
      </c>
    </row>
    <row r="404" spans="1:56" s="1" customFormat="1" ht="78.75" x14ac:dyDescent="0.25">
      <c r="A404" s="275" t="str">
        <f>'Q100a-geral'!A1180</f>
        <v>1.3</v>
      </c>
      <c r="B404" s="54" t="str">
        <f>'Q100a-geral'!B1180</f>
        <v>Gratuidades e descontos</v>
      </c>
      <c r="C404" s="167" t="str">
        <f>'Q100a-geral'!C1180</f>
        <v>acessibilidade</v>
      </c>
      <c r="D404" s="326" t="str">
        <f>'Q100a-geral'!D1180</f>
        <v>GR drc</v>
      </c>
      <c r="E404" s="465" t="str">
        <f>'Q100a-geral'!E1180</f>
        <v>Belo Horizonte</v>
      </c>
      <c r="F404" s="634" t="str">
        <f>'Q100a-geral'!F1180</f>
        <v>n.º de pessoas com doença renal crônica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obs.1: resultado de 1999 sem fórmula direto na fonte em OLIVEIRA (2002, p.118/Tabela 3.2
obs.2: resultados em dezembro de cada ano, à exceção dos resultados de 2015 que foram extraídos do banco de dados do CIT Bus às 09h21 de 27/08/2015</v>
      </c>
      <c r="G404" s="252" t="str">
        <f>'Q100a-geral'!G1180</f>
        <v>registro na fonte
ou
GR drc ca cr + GR drc sa cr + GR drc ca sr + GR drc sa sr</v>
      </c>
      <c r="H404" s="168" t="str">
        <f>'Q100a-geral'!H1180</f>
        <v>x</v>
      </c>
      <c r="I404" s="167">
        <f>'Q100a-geral'!I1180</f>
        <v>1</v>
      </c>
      <c r="J404" s="109" t="str">
        <f>'Q100a-geral'!J1180</f>
        <v>x</v>
      </c>
      <c r="K404" s="109" t="str">
        <f>'Q100a-geral'!K1180</f>
        <v>x</v>
      </c>
      <c r="L404" s="109" t="str">
        <f>'Q100a-geral'!L1180</f>
        <v>x</v>
      </c>
      <c r="M404" s="109" t="str">
        <f>'Q100a-geral'!M1180</f>
        <v>x</v>
      </c>
      <c r="N404" s="109" t="str">
        <f>'Q100a-geral'!N1180</f>
        <v>x</v>
      </c>
      <c r="O404" s="93" t="str">
        <f>'Q100a-geral'!O1180</f>
        <v>x</v>
      </c>
      <c r="P404" s="93" t="str">
        <f>'Q100a-geral'!P1180</f>
        <v>x</v>
      </c>
      <c r="Q404" s="93" t="str">
        <f>'Q100a-geral'!Q1180</f>
        <v>x</v>
      </c>
      <c r="R404" s="132"/>
      <c r="S404" s="649" t="str">
        <f>'Q100a-geral'!S1180</f>
        <v>só para pesquisa</v>
      </c>
      <c r="T404" s="86">
        <f>'Q100a-geral'!T1180</f>
        <v>1471</v>
      </c>
      <c r="U404" s="132"/>
      <c r="V404" s="107" t="str">
        <f>'Q100a-geral'!V1180</f>
        <v>só para pesquisa</v>
      </c>
      <c r="W404" s="132"/>
      <c r="X404" s="132"/>
      <c r="Y404" s="132"/>
      <c r="Z404" s="132"/>
      <c r="AA404" s="132"/>
      <c r="AB404" s="132"/>
      <c r="AC404" s="132"/>
      <c r="AD404" s="132"/>
      <c r="AE404" s="132"/>
      <c r="AF404" s="132"/>
      <c r="AG404" s="132"/>
      <c r="AH404" s="132"/>
      <c r="AI404" s="132"/>
      <c r="AJ404" s="132"/>
      <c r="AK404" s="23">
        <f>'Q100a-geral'!AK1180</f>
        <v>982</v>
      </c>
      <c r="AL404" s="222" t="str">
        <f>'Q100a-geral'!AL1180</f>
        <v>x</v>
      </c>
      <c r="AM404" s="137" t="str">
        <f>'Q100a-geral'!AM1180</f>
        <v>x</v>
      </c>
      <c r="AN404" s="137" t="str">
        <f>'Q100a-geral'!AN1180</f>
        <v>x</v>
      </c>
      <c r="AO404" s="137" t="str">
        <f>'Q100a-geral'!AO1180</f>
        <v>x</v>
      </c>
      <c r="AP404" s="137" t="str">
        <f>'Q100a-geral'!AP1180</f>
        <v>x</v>
      </c>
      <c r="AQ404" s="137" t="str">
        <f>'Q100a-geral'!AQ1180</f>
        <v>x</v>
      </c>
      <c r="AR404" s="137"/>
      <c r="AS404" s="137"/>
      <c r="AT404" s="137"/>
      <c r="AU404" s="137"/>
      <c r="AV404" s="137" t="str">
        <f>'Q100a-geral'!AV1180</f>
        <v>x</v>
      </c>
      <c r="AW404" s="137"/>
      <c r="AX404" s="137"/>
      <c r="AY404" s="137"/>
      <c r="AZ404" s="137"/>
      <c r="BA404" s="137" t="str">
        <f>'Q100a-geral'!BA1180</f>
        <v>x</v>
      </c>
      <c r="BB404" s="239" t="str">
        <f>'Q100a-geral'!BB1180</f>
        <v>Gratuidades e descontosacessibilidade</v>
      </c>
      <c r="BC404" s="239" t="str">
        <f>'Q100a-geral'!BC1180</f>
        <v>Gratuidades e descontosacessibilidadex</v>
      </c>
      <c r="BD404" s="239" t="str">
        <f>'Q100a-geral'!BD1180</f>
        <v>Gratuidades e descontosx</v>
      </c>
    </row>
    <row r="405" spans="1:56" s="1" customFormat="1" ht="25.5" x14ac:dyDescent="0.25">
      <c r="A405" s="275" t="str">
        <f>'Q100a-geral'!A1181</f>
        <v>1.3</v>
      </c>
      <c r="B405" s="54" t="str">
        <f>'Q100a-geral'!B1181</f>
        <v>Gratuidades e descontos</v>
      </c>
      <c r="C405" s="167" t="str">
        <f>'Q100a-geral'!C1181</f>
        <v>acessibilidade</v>
      </c>
      <c r="D405" s="36" t="str">
        <f>'Q100a-geral'!D1181</f>
        <v>GR drc ca cr</v>
      </c>
      <c r="E405" s="464" t="str">
        <f>'Q100a-geral'!E1181</f>
        <v>Belo Horizonte</v>
      </c>
      <c r="F405" s="635" t="str">
        <f>'Q100a-geral'!F1181</f>
        <v>"GR drc" com acompanhante e com passagem pela roleta
obs.: resultado de 2015 em BHTRANS(2015s)</v>
      </c>
      <c r="G405" s="252" t="str">
        <f>'Q100a-geral'!G1181</f>
        <v>registro na fonte</v>
      </c>
      <c r="H405" s="168" t="str">
        <f>'Q100a-geral'!H1181</f>
        <v>x</v>
      </c>
      <c r="I405" s="167">
        <f>'Q100a-geral'!I1181</f>
        <v>1</v>
      </c>
      <c r="J405" s="109" t="str">
        <f>'Q100a-geral'!J1181</f>
        <v>x</v>
      </c>
      <c r="K405" s="109" t="str">
        <f>'Q100a-geral'!K1181</f>
        <v>x</v>
      </c>
      <c r="L405" s="109" t="str">
        <f>'Q100a-geral'!L1181</f>
        <v>x</v>
      </c>
      <c r="M405" s="109" t="str">
        <f>'Q100a-geral'!M1181</f>
        <v>x</v>
      </c>
      <c r="N405" s="109" t="str">
        <f>'Q100a-geral'!N1181</f>
        <v>x</v>
      </c>
      <c r="O405" s="93" t="str">
        <f>'Q100a-geral'!O1181</f>
        <v>x</v>
      </c>
      <c r="P405" s="93" t="str">
        <f>'Q100a-geral'!P1181</f>
        <v>x</v>
      </c>
      <c r="Q405" s="93" t="str">
        <f>'Q100a-geral'!Q1181</f>
        <v>x</v>
      </c>
      <c r="R405" s="93" t="str">
        <f>'Q100a-geral'!R1181</f>
        <v>x</v>
      </c>
      <c r="S405" s="649" t="str">
        <f>'Q100a-geral'!S1181</f>
        <v>só para pesquisa</v>
      </c>
      <c r="T405" s="86" t="str">
        <f>'Q100a-geral'!T1181</f>
        <v>x</v>
      </c>
      <c r="U405" s="93" t="str">
        <f>'Q100a-geral'!U1181</f>
        <v>x</v>
      </c>
      <c r="V405" s="107" t="str">
        <f>'Q100a-geral'!V1181</f>
        <v>só para pesquisa</v>
      </c>
      <c r="W405" s="93" t="str">
        <f>'Q100a-geral'!W1181</f>
        <v>x</v>
      </c>
      <c r="X405" s="93" t="str">
        <f>'Q100a-geral'!X1181</f>
        <v>x</v>
      </c>
      <c r="Y405" s="93" t="str">
        <f>'Q100a-geral'!Y1181</f>
        <v>x</v>
      </c>
      <c r="Z405" s="93" t="str">
        <f>'Q100a-geral'!Z1181</f>
        <v>x</v>
      </c>
      <c r="AA405" s="93" t="str">
        <f>'Q100a-geral'!AA1181</f>
        <v>x</v>
      </c>
      <c r="AB405" s="93" t="str">
        <f>'Q100a-geral'!AB1181</f>
        <v>x</v>
      </c>
      <c r="AC405" s="93" t="str">
        <f>'Q100a-geral'!AC1181</f>
        <v>x</v>
      </c>
      <c r="AD405" s="93" t="str">
        <f>'Q100a-geral'!AD1181</f>
        <v>x</v>
      </c>
      <c r="AE405" s="93" t="str">
        <f>'Q100a-geral'!AE1181</f>
        <v>x</v>
      </c>
      <c r="AF405" s="93" t="str">
        <f>'Q100a-geral'!AF1181</f>
        <v>x</v>
      </c>
      <c r="AG405" s="93" t="str">
        <f>'Q100a-geral'!AG1181</f>
        <v>x</v>
      </c>
      <c r="AH405" s="93" t="str">
        <f>'Q100a-geral'!AH1181</f>
        <v>x</v>
      </c>
      <c r="AI405" s="93" t="str">
        <f>'Q100a-geral'!AI1181</f>
        <v>x</v>
      </c>
      <c r="AJ405" s="93" t="str">
        <f>'Q100a-geral'!AJ1181</f>
        <v>x</v>
      </c>
      <c r="AK405" s="84">
        <f>'Q100a-geral'!AK1181</f>
        <v>170</v>
      </c>
      <c r="AL405" s="222" t="str">
        <f>'Q100a-geral'!AL1181</f>
        <v>x</v>
      </c>
      <c r="AM405" s="137" t="str">
        <f>'Q100a-geral'!AM1181</f>
        <v>x</v>
      </c>
      <c r="AN405" s="137" t="str">
        <f>'Q100a-geral'!AN1181</f>
        <v>x</v>
      </c>
      <c r="AO405" s="137" t="str">
        <f>'Q100a-geral'!AO1181</f>
        <v>x</v>
      </c>
      <c r="AP405" s="137" t="str">
        <f>'Q100a-geral'!AP1181</f>
        <v>x</v>
      </c>
      <c r="AQ405" s="137" t="str">
        <f>'Q100a-geral'!AQ1181</f>
        <v>x</v>
      </c>
      <c r="AR405" s="137"/>
      <c r="AS405" s="137"/>
      <c r="AT405" s="137"/>
      <c r="AU405" s="137"/>
      <c r="AV405" s="137" t="str">
        <f>'Q100a-geral'!AV1181</f>
        <v>x</v>
      </c>
      <c r="AW405" s="137"/>
      <c r="AX405" s="137"/>
      <c r="AY405" s="137"/>
      <c r="AZ405" s="137"/>
      <c r="BA405" s="137" t="str">
        <f>'Q100a-geral'!BA1181</f>
        <v>x</v>
      </c>
      <c r="BB405" s="239" t="str">
        <f>'Q100a-geral'!BB1181</f>
        <v>Gratuidades e descontosacessibilidade</v>
      </c>
      <c r="BC405" s="239" t="str">
        <f>'Q100a-geral'!BC1181</f>
        <v>Gratuidades e descontosacessibilidadex</v>
      </c>
      <c r="BD405" s="239" t="str">
        <f>'Q100a-geral'!BD1181</f>
        <v>Gratuidades e descontosx</v>
      </c>
    </row>
    <row r="406" spans="1:56" s="1" customFormat="1" ht="25.5" x14ac:dyDescent="0.25">
      <c r="A406" s="275" t="str">
        <f>'Q100a-geral'!A1182</f>
        <v>1.3</v>
      </c>
      <c r="B406" s="54" t="str">
        <f>'Q100a-geral'!B1182</f>
        <v>Gratuidades e descontos</v>
      </c>
      <c r="C406" s="167" t="str">
        <f>'Q100a-geral'!C1182</f>
        <v>acessibilidade</v>
      </c>
      <c r="D406" s="36" t="str">
        <f>'Q100a-geral'!D1182</f>
        <v>GR drc sa cr</v>
      </c>
      <c r="E406" s="464" t="str">
        <f>'Q100a-geral'!E1182</f>
        <v>Belo Horizonte</v>
      </c>
      <c r="F406" s="635" t="str">
        <f>'Q100a-geral'!F1182</f>
        <v>"GR drc" sem acompanhante e com passagem pela roleta
obs.: resultado de 2015 em BHTRANS(2015s)</v>
      </c>
      <c r="G406" s="252" t="str">
        <f>'Q100a-geral'!G1182</f>
        <v>registro na fonte</v>
      </c>
      <c r="H406" s="168" t="str">
        <f>'Q100a-geral'!H1182</f>
        <v>x</v>
      </c>
      <c r="I406" s="167">
        <f>'Q100a-geral'!I1182</f>
        <v>1</v>
      </c>
      <c r="J406" s="109" t="str">
        <f>'Q100a-geral'!J1182</f>
        <v>x</v>
      </c>
      <c r="K406" s="109" t="str">
        <f>'Q100a-geral'!K1182</f>
        <v>x</v>
      </c>
      <c r="L406" s="109" t="str">
        <f>'Q100a-geral'!L1182</f>
        <v>x</v>
      </c>
      <c r="M406" s="109" t="str">
        <f>'Q100a-geral'!M1182</f>
        <v>x</v>
      </c>
      <c r="N406" s="109" t="str">
        <f>'Q100a-geral'!N1182</f>
        <v>x</v>
      </c>
      <c r="O406" s="93" t="str">
        <f>'Q100a-geral'!O1182</f>
        <v>x</v>
      </c>
      <c r="P406" s="93" t="str">
        <f>'Q100a-geral'!P1182</f>
        <v>x</v>
      </c>
      <c r="Q406" s="93" t="str">
        <f>'Q100a-geral'!Q1182</f>
        <v>x</v>
      </c>
      <c r="R406" s="93" t="str">
        <f>'Q100a-geral'!R1182</f>
        <v>x</v>
      </c>
      <c r="S406" s="649" t="str">
        <f>'Q100a-geral'!S1182</f>
        <v>só para pesquisa</v>
      </c>
      <c r="T406" s="86" t="str">
        <f>'Q100a-geral'!T1182</f>
        <v>x</v>
      </c>
      <c r="U406" s="93" t="str">
        <f>'Q100a-geral'!U1182</f>
        <v>x</v>
      </c>
      <c r="V406" s="107" t="str">
        <f>'Q100a-geral'!V1182</f>
        <v>só para pesquisa</v>
      </c>
      <c r="W406" s="93" t="str">
        <f>'Q100a-geral'!W1182</f>
        <v>x</v>
      </c>
      <c r="X406" s="93" t="str">
        <f>'Q100a-geral'!X1182</f>
        <v>x</v>
      </c>
      <c r="Y406" s="93" t="str">
        <f>'Q100a-geral'!Y1182</f>
        <v>x</v>
      </c>
      <c r="Z406" s="93" t="str">
        <f>'Q100a-geral'!Z1182</f>
        <v>x</v>
      </c>
      <c r="AA406" s="93" t="str">
        <f>'Q100a-geral'!AA1182</f>
        <v>x</v>
      </c>
      <c r="AB406" s="93" t="str">
        <f>'Q100a-geral'!AB1182</f>
        <v>x</v>
      </c>
      <c r="AC406" s="93" t="str">
        <f>'Q100a-geral'!AC1182</f>
        <v>x</v>
      </c>
      <c r="AD406" s="93" t="str">
        <f>'Q100a-geral'!AD1182</f>
        <v>x</v>
      </c>
      <c r="AE406" s="93" t="str">
        <f>'Q100a-geral'!AE1182</f>
        <v>x</v>
      </c>
      <c r="AF406" s="93" t="str">
        <f>'Q100a-geral'!AF1182</f>
        <v>x</v>
      </c>
      <c r="AG406" s="93" t="str">
        <f>'Q100a-geral'!AG1182</f>
        <v>x</v>
      </c>
      <c r="AH406" s="93" t="str">
        <f>'Q100a-geral'!AH1182</f>
        <v>x</v>
      </c>
      <c r="AI406" s="93" t="str">
        <f>'Q100a-geral'!AI1182</f>
        <v>x</v>
      </c>
      <c r="AJ406" s="93" t="str">
        <f>'Q100a-geral'!AJ1182</f>
        <v>x</v>
      </c>
      <c r="AK406" s="84">
        <f>'Q100a-geral'!AK1182</f>
        <v>779</v>
      </c>
      <c r="AL406" s="222" t="str">
        <f>'Q100a-geral'!AL1182</f>
        <v>x</v>
      </c>
      <c r="AM406" s="137" t="str">
        <f>'Q100a-geral'!AM1182</f>
        <v>x</v>
      </c>
      <c r="AN406" s="137" t="str">
        <f>'Q100a-geral'!AN1182</f>
        <v>x</v>
      </c>
      <c r="AO406" s="137" t="str">
        <f>'Q100a-geral'!AO1182</f>
        <v>x</v>
      </c>
      <c r="AP406" s="137" t="str">
        <f>'Q100a-geral'!AP1182</f>
        <v>x</v>
      </c>
      <c r="AQ406" s="137" t="str">
        <f>'Q100a-geral'!AQ1182</f>
        <v>x</v>
      </c>
      <c r="AR406" s="137"/>
      <c r="AS406" s="137"/>
      <c r="AT406" s="137"/>
      <c r="AU406" s="137"/>
      <c r="AV406" s="137" t="str">
        <f>'Q100a-geral'!AV1182</f>
        <v>x</v>
      </c>
      <c r="AW406" s="137"/>
      <c r="AX406" s="137"/>
      <c r="AY406" s="137"/>
      <c r="AZ406" s="137"/>
      <c r="BA406" s="137" t="str">
        <f>'Q100a-geral'!BA1182</f>
        <v>x</v>
      </c>
      <c r="BB406" s="239" t="str">
        <f>'Q100a-geral'!BB1182</f>
        <v>Gratuidades e descontosacessibilidade</v>
      </c>
      <c r="BC406" s="239" t="str">
        <f>'Q100a-geral'!BC1182</f>
        <v>Gratuidades e descontosacessibilidadex</v>
      </c>
      <c r="BD406" s="239" t="str">
        <f>'Q100a-geral'!BD1182</f>
        <v>Gratuidades e descontosx</v>
      </c>
    </row>
    <row r="407" spans="1:56" s="1" customFormat="1" ht="25.5" x14ac:dyDescent="0.25">
      <c r="A407" s="275" t="str">
        <f>'Q100a-geral'!A1183</f>
        <v>1.3</v>
      </c>
      <c r="B407" s="54" t="str">
        <f>'Q100a-geral'!B1183</f>
        <v>Gratuidades e descontos</v>
      </c>
      <c r="C407" s="167" t="str">
        <f>'Q100a-geral'!C1183</f>
        <v>acessibilidade</v>
      </c>
      <c r="D407" s="36" t="str">
        <f>'Q100a-geral'!D1183</f>
        <v>GR drc ca sr</v>
      </c>
      <c r="E407" s="464" t="str">
        <f>'Q100a-geral'!E1183</f>
        <v>Belo Horizonte</v>
      </c>
      <c r="F407" s="635" t="str">
        <f>'Q100a-geral'!F1183</f>
        <v>"GR drc" com acompanhante e sem passagem pela roleta
obs.: resultado de 2015 em BHTRANS(2015s)</v>
      </c>
      <c r="G407" s="252" t="str">
        <f>'Q100a-geral'!G1183</f>
        <v>registro na fonte</v>
      </c>
      <c r="H407" s="168" t="str">
        <f>'Q100a-geral'!H1183</f>
        <v>x</v>
      </c>
      <c r="I407" s="167">
        <f>'Q100a-geral'!I1183</f>
        <v>1</v>
      </c>
      <c r="J407" s="109" t="str">
        <f>'Q100a-geral'!J1183</f>
        <v>x</v>
      </c>
      <c r="K407" s="109" t="str">
        <f>'Q100a-geral'!K1183</f>
        <v>x</v>
      </c>
      <c r="L407" s="109" t="str">
        <f>'Q100a-geral'!L1183</f>
        <v>x</v>
      </c>
      <c r="M407" s="109" t="str">
        <f>'Q100a-geral'!M1183</f>
        <v>x</v>
      </c>
      <c r="N407" s="109" t="str">
        <f>'Q100a-geral'!N1183</f>
        <v>x</v>
      </c>
      <c r="O407" s="93" t="str">
        <f>'Q100a-geral'!O1183</f>
        <v>x</v>
      </c>
      <c r="P407" s="93" t="str">
        <f>'Q100a-geral'!P1183</f>
        <v>x</v>
      </c>
      <c r="Q407" s="93" t="str">
        <f>'Q100a-geral'!Q1183</f>
        <v>x</v>
      </c>
      <c r="R407" s="93" t="str">
        <f>'Q100a-geral'!R1183</f>
        <v>x</v>
      </c>
      <c r="S407" s="649" t="str">
        <f>'Q100a-geral'!S1183</f>
        <v>só para pesquisa</v>
      </c>
      <c r="T407" s="86" t="str">
        <f>'Q100a-geral'!T1183</f>
        <v>x</v>
      </c>
      <c r="U407" s="93" t="str">
        <f>'Q100a-geral'!U1183</f>
        <v>x</v>
      </c>
      <c r="V407" s="107" t="str">
        <f>'Q100a-geral'!V1183</f>
        <v>só para pesquisa</v>
      </c>
      <c r="W407" s="93" t="str">
        <f>'Q100a-geral'!W1183</f>
        <v>x</v>
      </c>
      <c r="X407" s="93" t="str">
        <f>'Q100a-geral'!X1183</f>
        <v>x</v>
      </c>
      <c r="Y407" s="93" t="str">
        <f>'Q100a-geral'!Y1183</f>
        <v>x</v>
      </c>
      <c r="Z407" s="93" t="str">
        <f>'Q100a-geral'!Z1183</f>
        <v>x</v>
      </c>
      <c r="AA407" s="93" t="str">
        <f>'Q100a-geral'!AA1183</f>
        <v>x</v>
      </c>
      <c r="AB407" s="93" t="str">
        <f>'Q100a-geral'!AB1183</f>
        <v>x</v>
      </c>
      <c r="AC407" s="93" t="str">
        <f>'Q100a-geral'!AC1183</f>
        <v>x</v>
      </c>
      <c r="AD407" s="93" t="str">
        <f>'Q100a-geral'!AD1183</f>
        <v>x</v>
      </c>
      <c r="AE407" s="93" t="str">
        <f>'Q100a-geral'!AE1183</f>
        <v>x</v>
      </c>
      <c r="AF407" s="93" t="str">
        <f>'Q100a-geral'!AF1183</f>
        <v>x</v>
      </c>
      <c r="AG407" s="93" t="str">
        <f>'Q100a-geral'!AG1183</f>
        <v>x</v>
      </c>
      <c r="AH407" s="93" t="str">
        <f>'Q100a-geral'!AH1183</f>
        <v>x</v>
      </c>
      <c r="AI407" s="93" t="str">
        <f>'Q100a-geral'!AI1183</f>
        <v>x</v>
      </c>
      <c r="AJ407" s="93" t="str">
        <f>'Q100a-geral'!AJ1183</f>
        <v>x</v>
      </c>
      <c r="AK407" s="84">
        <f>'Q100a-geral'!AK1183</f>
        <v>19</v>
      </c>
      <c r="AL407" s="222" t="str">
        <f>'Q100a-geral'!AL1183</f>
        <v>x</v>
      </c>
      <c r="AM407" s="137" t="str">
        <f>'Q100a-geral'!AM1183</f>
        <v>x</v>
      </c>
      <c r="AN407" s="137" t="str">
        <f>'Q100a-geral'!AN1183</f>
        <v>x</v>
      </c>
      <c r="AO407" s="137" t="str">
        <f>'Q100a-geral'!AO1183</f>
        <v>x</v>
      </c>
      <c r="AP407" s="137" t="str">
        <f>'Q100a-geral'!AP1183</f>
        <v>x</v>
      </c>
      <c r="AQ407" s="137" t="str">
        <f>'Q100a-geral'!AQ1183</f>
        <v>x</v>
      </c>
      <c r="AR407" s="137"/>
      <c r="AS407" s="137"/>
      <c r="AT407" s="137"/>
      <c r="AU407" s="137"/>
      <c r="AV407" s="137" t="str">
        <f>'Q100a-geral'!AV1183</f>
        <v>x</v>
      </c>
      <c r="AW407" s="137"/>
      <c r="AX407" s="137"/>
      <c r="AY407" s="137"/>
      <c r="AZ407" s="137"/>
      <c r="BA407" s="137" t="str">
        <f>'Q100a-geral'!BA1183</f>
        <v>x</v>
      </c>
      <c r="BB407" s="239" t="str">
        <f>'Q100a-geral'!BB1183</f>
        <v>Gratuidades e descontosacessibilidade</v>
      </c>
      <c r="BC407" s="239" t="str">
        <f>'Q100a-geral'!BC1183</f>
        <v>Gratuidades e descontosacessibilidadex</v>
      </c>
      <c r="BD407" s="239" t="str">
        <f>'Q100a-geral'!BD1183</f>
        <v>Gratuidades e descontosx</v>
      </c>
    </row>
    <row r="408" spans="1:56" s="1" customFormat="1" ht="25.5" x14ac:dyDescent="0.25">
      <c r="A408" s="275" t="str">
        <f>'Q100a-geral'!A1184</f>
        <v>1.3</v>
      </c>
      <c r="B408" s="54" t="str">
        <f>'Q100a-geral'!B1184</f>
        <v>Gratuidades e descontos</v>
      </c>
      <c r="C408" s="167" t="str">
        <f>'Q100a-geral'!C1184</f>
        <v>acessibilidade</v>
      </c>
      <c r="D408" s="36" t="str">
        <f>'Q100a-geral'!D1184</f>
        <v>GR drc sa sr</v>
      </c>
      <c r="E408" s="464" t="str">
        <f>'Q100a-geral'!E1184</f>
        <v>Belo Horizonte</v>
      </c>
      <c r="F408" s="635" t="str">
        <f>'Q100a-geral'!F1184</f>
        <v>"GR drc" sem acompanhante e sem passagem pela roleta
obs.: resultado de 2015 em BHTRANS(2015s)</v>
      </c>
      <c r="G408" s="252" t="str">
        <f>'Q100a-geral'!G1184</f>
        <v>registro na fonte</v>
      </c>
      <c r="H408" s="168" t="str">
        <f>'Q100a-geral'!H1184</f>
        <v>x</v>
      </c>
      <c r="I408" s="167">
        <f>'Q100a-geral'!I1184</f>
        <v>1</v>
      </c>
      <c r="J408" s="109" t="str">
        <f>'Q100a-geral'!J1184</f>
        <v>x</v>
      </c>
      <c r="K408" s="109" t="str">
        <f>'Q100a-geral'!K1184</f>
        <v>x</v>
      </c>
      <c r="L408" s="109" t="str">
        <f>'Q100a-geral'!L1184</f>
        <v>x</v>
      </c>
      <c r="M408" s="109" t="str">
        <f>'Q100a-geral'!M1184</f>
        <v>x</v>
      </c>
      <c r="N408" s="109" t="str">
        <f>'Q100a-geral'!N1184</f>
        <v>x</v>
      </c>
      <c r="O408" s="93" t="str">
        <f>'Q100a-geral'!O1184</f>
        <v>x</v>
      </c>
      <c r="P408" s="93" t="str">
        <f>'Q100a-geral'!P1184</f>
        <v>x</v>
      </c>
      <c r="Q408" s="93" t="str">
        <f>'Q100a-geral'!Q1184</f>
        <v>x</v>
      </c>
      <c r="R408" s="93" t="str">
        <f>'Q100a-geral'!R1184</f>
        <v>x</v>
      </c>
      <c r="S408" s="649" t="str">
        <f>'Q100a-geral'!S1184</f>
        <v>só para pesquisa</v>
      </c>
      <c r="T408" s="86" t="str">
        <f>'Q100a-geral'!T1184</f>
        <v>x</v>
      </c>
      <c r="U408" s="93" t="str">
        <f>'Q100a-geral'!U1184</f>
        <v>x</v>
      </c>
      <c r="V408" s="107" t="str">
        <f>'Q100a-geral'!V1184</f>
        <v>só para pesquisa</v>
      </c>
      <c r="W408" s="93" t="str">
        <f>'Q100a-geral'!W1184</f>
        <v>x</v>
      </c>
      <c r="X408" s="93" t="str">
        <f>'Q100a-geral'!X1184</f>
        <v>x</v>
      </c>
      <c r="Y408" s="93" t="str">
        <f>'Q100a-geral'!Y1184</f>
        <v>x</v>
      </c>
      <c r="Z408" s="93" t="str">
        <f>'Q100a-geral'!Z1184</f>
        <v>x</v>
      </c>
      <c r="AA408" s="93" t="str">
        <f>'Q100a-geral'!AA1184</f>
        <v>x</v>
      </c>
      <c r="AB408" s="93" t="str">
        <f>'Q100a-geral'!AB1184</f>
        <v>x</v>
      </c>
      <c r="AC408" s="93" t="str">
        <f>'Q100a-geral'!AC1184</f>
        <v>x</v>
      </c>
      <c r="AD408" s="93" t="str">
        <f>'Q100a-geral'!AD1184</f>
        <v>x</v>
      </c>
      <c r="AE408" s="93" t="str">
        <f>'Q100a-geral'!AE1184</f>
        <v>x</v>
      </c>
      <c r="AF408" s="93" t="str">
        <f>'Q100a-geral'!AF1184</f>
        <v>x</v>
      </c>
      <c r="AG408" s="93" t="str">
        <f>'Q100a-geral'!AG1184</f>
        <v>x</v>
      </c>
      <c r="AH408" s="93" t="str">
        <f>'Q100a-geral'!AH1184</f>
        <v>x</v>
      </c>
      <c r="AI408" s="93" t="str">
        <f>'Q100a-geral'!AI1184</f>
        <v>x</v>
      </c>
      <c r="AJ408" s="93" t="str">
        <f>'Q100a-geral'!AJ1184</f>
        <v>x</v>
      </c>
      <c r="AK408" s="84">
        <f>'Q100a-geral'!AK1184</f>
        <v>14</v>
      </c>
      <c r="AL408" s="222" t="str">
        <f>'Q100a-geral'!AL1184</f>
        <v>x</v>
      </c>
      <c r="AM408" s="137" t="str">
        <f>'Q100a-geral'!AM1184</f>
        <v>x</v>
      </c>
      <c r="AN408" s="137" t="str">
        <f>'Q100a-geral'!AN1184</f>
        <v>x</v>
      </c>
      <c r="AO408" s="137" t="str">
        <f>'Q100a-geral'!AO1184</f>
        <v>x</v>
      </c>
      <c r="AP408" s="137" t="str">
        <f>'Q100a-geral'!AP1184</f>
        <v>x</v>
      </c>
      <c r="AQ408" s="137" t="str">
        <f>'Q100a-geral'!AQ1184</f>
        <v>x</v>
      </c>
      <c r="AR408" s="137"/>
      <c r="AS408" s="137"/>
      <c r="AT408" s="137"/>
      <c r="AU408" s="137"/>
      <c r="AV408" s="137" t="str">
        <f>'Q100a-geral'!AV1184</f>
        <v>x</v>
      </c>
      <c r="AW408" s="137"/>
      <c r="AX408" s="137"/>
      <c r="AY408" s="137"/>
      <c r="AZ408" s="137"/>
      <c r="BA408" s="137" t="str">
        <f>'Q100a-geral'!BA1184</f>
        <v>x</v>
      </c>
      <c r="BB408" s="239" t="str">
        <f>'Q100a-geral'!BB1184</f>
        <v>Gratuidades e descontosacessibilidade</v>
      </c>
      <c r="BC408" s="239" t="str">
        <f>'Q100a-geral'!BC1184</f>
        <v>Gratuidades e descontosacessibilidadex</v>
      </c>
      <c r="BD408" s="239" t="str">
        <f>'Q100a-geral'!BD1184</f>
        <v>Gratuidades e descontosx</v>
      </c>
    </row>
    <row r="409" spans="1:56" s="1" customFormat="1" ht="78.75" x14ac:dyDescent="0.25">
      <c r="A409" s="275" t="str">
        <f>'Q100a-geral'!A1185</f>
        <v>1.3</v>
      </c>
      <c r="B409" s="54" t="str">
        <f>'Q100a-geral'!B1185</f>
        <v>Gratuidades e descontos</v>
      </c>
      <c r="C409" s="167" t="str">
        <f>'Q100a-geral'!C1185</f>
        <v>acessibilidade</v>
      </c>
      <c r="D409" s="326" t="str">
        <f>'Q100a-geral'!D1185</f>
        <v>GR dv</v>
      </c>
      <c r="E409" s="465" t="str">
        <f>'Q100a-geral'!E1185</f>
        <v>Belo Horizonte</v>
      </c>
      <c r="F409" s="634" t="str">
        <f>'Q100a-geral'!F1185</f>
        <v>n.º de pessoas com deficiência visual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obs.1: resultado de 1999 sem fórmula direto na fonte em OLIVEIRA (2002, p.118/Tabela 3.2
obs.2: resultados em dezembro de cada ano, à exceção dos resultados de 2015 que foram extraídos do banco de dados do CIT Bus às 09h21 de 27/08/2015</v>
      </c>
      <c r="G409" s="252" t="str">
        <f>'Q100a-geral'!G1185</f>
        <v>registro na fonte
ou
GR dv ca cr + GR dv sa cr + GR dv ca sr + GR dv sa sr</v>
      </c>
      <c r="H409" s="168" t="str">
        <f>'Q100a-geral'!H1185</f>
        <v>x</v>
      </c>
      <c r="I409" s="167">
        <f>'Q100a-geral'!I1185</f>
        <v>1</v>
      </c>
      <c r="J409" s="109" t="str">
        <f>'Q100a-geral'!J1185</f>
        <v>x</v>
      </c>
      <c r="K409" s="109" t="str">
        <f>'Q100a-geral'!K1185</f>
        <v>x</v>
      </c>
      <c r="L409" s="109" t="str">
        <f>'Q100a-geral'!L1185</f>
        <v>x</v>
      </c>
      <c r="M409" s="109" t="str">
        <f>'Q100a-geral'!M1185</f>
        <v>x</v>
      </c>
      <c r="N409" s="109" t="str">
        <f>'Q100a-geral'!N1185</f>
        <v>x</v>
      </c>
      <c r="O409" s="93" t="str">
        <f>'Q100a-geral'!O1185</f>
        <v>x</v>
      </c>
      <c r="P409" s="93" t="str">
        <f>'Q100a-geral'!P1185</f>
        <v>x</v>
      </c>
      <c r="Q409" s="93" t="str">
        <f>'Q100a-geral'!Q1185</f>
        <v>x</v>
      </c>
      <c r="R409" s="132"/>
      <c r="S409" s="649" t="str">
        <f>'Q100a-geral'!S1185</f>
        <v>só para pesquisa</v>
      </c>
      <c r="T409" s="86">
        <f>'Q100a-geral'!T1185</f>
        <v>2186</v>
      </c>
      <c r="U409" s="132"/>
      <c r="V409" s="107" t="str">
        <f>'Q100a-geral'!V1185</f>
        <v>só para pesquisa</v>
      </c>
      <c r="W409" s="132"/>
      <c r="X409" s="132"/>
      <c r="Y409" s="132"/>
      <c r="Z409" s="132"/>
      <c r="AA409" s="132"/>
      <c r="AB409" s="132"/>
      <c r="AC409" s="132"/>
      <c r="AD409" s="132"/>
      <c r="AE409" s="132"/>
      <c r="AF409" s="132"/>
      <c r="AG409" s="132"/>
      <c r="AH409" s="132"/>
      <c r="AI409" s="132"/>
      <c r="AJ409" s="132"/>
      <c r="AK409" s="23">
        <f>'Q100a-geral'!AK1185</f>
        <v>3771</v>
      </c>
      <c r="AL409" s="222" t="str">
        <f>'Q100a-geral'!AL1185</f>
        <v>x</v>
      </c>
      <c r="AM409" s="137" t="str">
        <f>'Q100a-geral'!AM1185</f>
        <v>x</v>
      </c>
      <c r="AN409" s="137" t="str">
        <f>'Q100a-geral'!AN1185</f>
        <v>x</v>
      </c>
      <c r="AO409" s="137" t="str">
        <f>'Q100a-geral'!AO1185</f>
        <v>x</v>
      </c>
      <c r="AP409" s="137" t="str">
        <f>'Q100a-geral'!AP1185</f>
        <v>x</v>
      </c>
      <c r="AQ409" s="137" t="str">
        <f>'Q100a-geral'!AQ1185</f>
        <v>x</v>
      </c>
      <c r="AR409" s="137"/>
      <c r="AS409" s="137"/>
      <c r="AT409" s="137"/>
      <c r="AU409" s="137"/>
      <c r="AV409" s="137" t="str">
        <f>'Q100a-geral'!AV1185</f>
        <v>x</v>
      </c>
      <c r="AW409" s="137"/>
      <c r="AX409" s="137"/>
      <c r="AY409" s="137"/>
      <c r="AZ409" s="137"/>
      <c r="BA409" s="137" t="str">
        <f>'Q100a-geral'!BA1185</f>
        <v>x</v>
      </c>
      <c r="BB409" s="239" t="str">
        <f>'Q100a-geral'!BB1185</f>
        <v>Gratuidades e descontosacessibilidade</v>
      </c>
      <c r="BC409" s="239" t="str">
        <f>'Q100a-geral'!BC1185</f>
        <v>Gratuidades e descontosacessibilidadex</v>
      </c>
      <c r="BD409" s="239" t="str">
        <f>'Q100a-geral'!BD1185</f>
        <v>Gratuidades e descontosx</v>
      </c>
    </row>
    <row r="410" spans="1:56" s="1" customFormat="1" ht="25.5" x14ac:dyDescent="0.25">
      <c r="A410" s="275" t="str">
        <f>'Q100a-geral'!A1186</f>
        <v>1.3</v>
      </c>
      <c r="B410" s="54" t="str">
        <f>'Q100a-geral'!B1186</f>
        <v>Gratuidades e descontos</v>
      </c>
      <c r="C410" s="167" t="str">
        <f>'Q100a-geral'!C1186</f>
        <v>acessibilidade</v>
      </c>
      <c r="D410" s="36" t="str">
        <f>'Q100a-geral'!D1186</f>
        <v>GR dv ca cr</v>
      </c>
      <c r="E410" s="464" t="str">
        <f>'Q100a-geral'!E1186</f>
        <v>Belo Horizonte</v>
      </c>
      <c r="F410" s="635" t="str">
        <f>'Q100a-geral'!F1186</f>
        <v>"GR dv" com acompanhante e com passagem pela roleta
obs.: resultado de 2015 em BHTRANS(2015s)</v>
      </c>
      <c r="G410" s="252" t="str">
        <f>'Q100a-geral'!G1186</f>
        <v>registro na fonte</v>
      </c>
      <c r="H410" s="168" t="str">
        <f>'Q100a-geral'!H1186</f>
        <v>x</v>
      </c>
      <c r="I410" s="167">
        <f>'Q100a-geral'!I1186</f>
        <v>1</v>
      </c>
      <c r="J410" s="109" t="str">
        <f>'Q100a-geral'!J1186</f>
        <v>x</v>
      </c>
      <c r="K410" s="109" t="str">
        <f>'Q100a-geral'!K1186</f>
        <v>x</v>
      </c>
      <c r="L410" s="109" t="str">
        <f>'Q100a-geral'!L1186</f>
        <v>x</v>
      </c>
      <c r="M410" s="109" t="str">
        <f>'Q100a-geral'!M1186</f>
        <v>x</v>
      </c>
      <c r="N410" s="109" t="str">
        <f>'Q100a-geral'!N1186</f>
        <v>x</v>
      </c>
      <c r="O410" s="93" t="str">
        <f>'Q100a-geral'!O1186</f>
        <v>x</v>
      </c>
      <c r="P410" s="93" t="str">
        <f>'Q100a-geral'!P1186</f>
        <v>x</v>
      </c>
      <c r="Q410" s="93" t="str">
        <f>'Q100a-geral'!Q1186</f>
        <v>x</v>
      </c>
      <c r="R410" s="93" t="str">
        <f>'Q100a-geral'!R1186</f>
        <v>x</v>
      </c>
      <c r="S410" s="649" t="str">
        <f>'Q100a-geral'!S1186</f>
        <v>só para pesquisa</v>
      </c>
      <c r="T410" s="86" t="str">
        <f>'Q100a-geral'!T1186</f>
        <v>x</v>
      </c>
      <c r="U410" s="93" t="str">
        <f>'Q100a-geral'!U1186</f>
        <v>x</v>
      </c>
      <c r="V410" s="107" t="str">
        <f>'Q100a-geral'!V1186</f>
        <v>só para pesquisa</v>
      </c>
      <c r="W410" s="93" t="str">
        <f>'Q100a-geral'!W1186</f>
        <v>x</v>
      </c>
      <c r="X410" s="93" t="str">
        <f>'Q100a-geral'!X1186</f>
        <v>x</v>
      </c>
      <c r="Y410" s="93" t="str">
        <f>'Q100a-geral'!Y1186</f>
        <v>x</v>
      </c>
      <c r="Z410" s="93" t="str">
        <f>'Q100a-geral'!Z1186</f>
        <v>x</v>
      </c>
      <c r="AA410" s="93" t="str">
        <f>'Q100a-geral'!AA1186</f>
        <v>x</v>
      </c>
      <c r="AB410" s="93" t="str">
        <f>'Q100a-geral'!AB1186</f>
        <v>x</v>
      </c>
      <c r="AC410" s="93" t="str">
        <f>'Q100a-geral'!AC1186</f>
        <v>x</v>
      </c>
      <c r="AD410" s="93" t="str">
        <f>'Q100a-geral'!AD1186</f>
        <v>x</v>
      </c>
      <c r="AE410" s="93" t="str">
        <f>'Q100a-geral'!AE1186</f>
        <v>x</v>
      </c>
      <c r="AF410" s="93" t="str">
        <f>'Q100a-geral'!AF1186</f>
        <v>x</v>
      </c>
      <c r="AG410" s="93" t="str">
        <f>'Q100a-geral'!AG1186</f>
        <v>x</v>
      </c>
      <c r="AH410" s="93" t="str">
        <f>'Q100a-geral'!AH1186</f>
        <v>x</v>
      </c>
      <c r="AI410" s="93" t="str">
        <f>'Q100a-geral'!AI1186</f>
        <v>x</v>
      </c>
      <c r="AJ410" s="93" t="str">
        <f>'Q100a-geral'!AJ1186</f>
        <v>x</v>
      </c>
      <c r="AK410" s="84">
        <f>'Q100a-geral'!AK1186</f>
        <v>1191</v>
      </c>
      <c r="AL410" s="222" t="str">
        <f>'Q100a-geral'!AL1186</f>
        <v>x</v>
      </c>
      <c r="AM410" s="137" t="str">
        <f>'Q100a-geral'!AM1186</f>
        <v>x</v>
      </c>
      <c r="AN410" s="137" t="str">
        <f>'Q100a-geral'!AN1186</f>
        <v>x</v>
      </c>
      <c r="AO410" s="137" t="str">
        <f>'Q100a-geral'!AO1186</f>
        <v>x</v>
      </c>
      <c r="AP410" s="137" t="str">
        <f>'Q100a-geral'!AP1186</f>
        <v>x</v>
      </c>
      <c r="AQ410" s="137" t="str">
        <f>'Q100a-geral'!AQ1186</f>
        <v>x</v>
      </c>
      <c r="AR410" s="137"/>
      <c r="AS410" s="137"/>
      <c r="AT410" s="137"/>
      <c r="AU410" s="137"/>
      <c r="AV410" s="137" t="str">
        <f>'Q100a-geral'!AV1186</f>
        <v>x</v>
      </c>
      <c r="AW410" s="137"/>
      <c r="AX410" s="137"/>
      <c r="AY410" s="137"/>
      <c r="AZ410" s="137"/>
      <c r="BA410" s="137" t="str">
        <f>'Q100a-geral'!BA1186</f>
        <v>x</v>
      </c>
      <c r="BB410" s="239" t="str">
        <f>'Q100a-geral'!BB1186</f>
        <v>Gratuidades e descontosacessibilidade</v>
      </c>
      <c r="BC410" s="239" t="str">
        <f>'Q100a-geral'!BC1186</f>
        <v>Gratuidades e descontosacessibilidadex</v>
      </c>
      <c r="BD410" s="239" t="str">
        <f>'Q100a-geral'!BD1186</f>
        <v>Gratuidades e descontosx</v>
      </c>
    </row>
    <row r="411" spans="1:56" s="1" customFormat="1" ht="25.5" x14ac:dyDescent="0.25">
      <c r="A411" s="275" t="str">
        <f>'Q100a-geral'!A1187</f>
        <v>1.3</v>
      </c>
      <c r="B411" s="54" t="str">
        <f>'Q100a-geral'!B1187</f>
        <v>Gratuidades e descontos</v>
      </c>
      <c r="C411" s="167" t="str">
        <f>'Q100a-geral'!C1187</f>
        <v>acessibilidade</v>
      </c>
      <c r="D411" s="36" t="str">
        <f>'Q100a-geral'!D1187</f>
        <v>GR dv sa cr</v>
      </c>
      <c r="E411" s="464" t="str">
        <f>'Q100a-geral'!E1187</f>
        <v>Belo Horizonte</v>
      </c>
      <c r="F411" s="635" t="str">
        <f>'Q100a-geral'!F1187</f>
        <v>"GR dv" sem acompanhante e com passagem pela roleta
obs.: resultado de 2015 em BHTRANS(2015s)</v>
      </c>
      <c r="G411" s="252" t="str">
        <f>'Q100a-geral'!G1187</f>
        <v>registro na fonte</v>
      </c>
      <c r="H411" s="168" t="str">
        <f>'Q100a-geral'!H1187</f>
        <v>x</v>
      </c>
      <c r="I411" s="167">
        <f>'Q100a-geral'!I1187</f>
        <v>1</v>
      </c>
      <c r="J411" s="109" t="str">
        <f>'Q100a-geral'!J1187</f>
        <v>x</v>
      </c>
      <c r="K411" s="109" t="str">
        <f>'Q100a-geral'!K1187</f>
        <v>x</v>
      </c>
      <c r="L411" s="109" t="str">
        <f>'Q100a-geral'!L1187</f>
        <v>x</v>
      </c>
      <c r="M411" s="109" t="str">
        <f>'Q100a-geral'!M1187</f>
        <v>x</v>
      </c>
      <c r="N411" s="109" t="str">
        <f>'Q100a-geral'!N1187</f>
        <v>x</v>
      </c>
      <c r="O411" s="93" t="str">
        <f>'Q100a-geral'!O1187</f>
        <v>x</v>
      </c>
      <c r="P411" s="93" t="str">
        <f>'Q100a-geral'!P1187</f>
        <v>x</v>
      </c>
      <c r="Q411" s="93" t="str">
        <f>'Q100a-geral'!Q1187</f>
        <v>x</v>
      </c>
      <c r="R411" s="93" t="str">
        <f>'Q100a-geral'!R1187</f>
        <v>x</v>
      </c>
      <c r="S411" s="649" t="str">
        <f>'Q100a-geral'!S1187</f>
        <v>só para pesquisa</v>
      </c>
      <c r="T411" s="86" t="str">
        <f>'Q100a-geral'!T1187</f>
        <v>x</v>
      </c>
      <c r="U411" s="93" t="str">
        <f>'Q100a-geral'!U1187</f>
        <v>x</v>
      </c>
      <c r="V411" s="107" t="str">
        <f>'Q100a-geral'!V1187</f>
        <v>só para pesquisa</v>
      </c>
      <c r="W411" s="93" t="str">
        <f>'Q100a-geral'!W1187</f>
        <v>x</v>
      </c>
      <c r="X411" s="93" t="str">
        <f>'Q100a-geral'!X1187</f>
        <v>x</v>
      </c>
      <c r="Y411" s="93" t="str">
        <f>'Q100a-geral'!Y1187</f>
        <v>x</v>
      </c>
      <c r="Z411" s="93" t="str">
        <f>'Q100a-geral'!Z1187</f>
        <v>x</v>
      </c>
      <c r="AA411" s="93" t="str">
        <f>'Q100a-geral'!AA1187</f>
        <v>x</v>
      </c>
      <c r="AB411" s="93" t="str">
        <f>'Q100a-geral'!AB1187</f>
        <v>x</v>
      </c>
      <c r="AC411" s="93" t="str">
        <f>'Q100a-geral'!AC1187</f>
        <v>x</v>
      </c>
      <c r="AD411" s="93" t="str">
        <f>'Q100a-geral'!AD1187</f>
        <v>x</v>
      </c>
      <c r="AE411" s="93" t="str">
        <f>'Q100a-geral'!AE1187</f>
        <v>x</v>
      </c>
      <c r="AF411" s="93" t="str">
        <f>'Q100a-geral'!AF1187</f>
        <v>x</v>
      </c>
      <c r="AG411" s="93" t="str">
        <f>'Q100a-geral'!AG1187</f>
        <v>x</v>
      </c>
      <c r="AH411" s="93" t="str">
        <f>'Q100a-geral'!AH1187</f>
        <v>x</v>
      </c>
      <c r="AI411" s="93" t="str">
        <f>'Q100a-geral'!AI1187</f>
        <v>x</v>
      </c>
      <c r="AJ411" s="93" t="str">
        <f>'Q100a-geral'!AJ1187</f>
        <v>x</v>
      </c>
      <c r="AK411" s="84">
        <f>'Q100a-geral'!AK1187</f>
        <v>882</v>
      </c>
      <c r="AL411" s="222" t="str">
        <f>'Q100a-geral'!AL1187</f>
        <v>x</v>
      </c>
      <c r="AM411" s="137" t="str">
        <f>'Q100a-geral'!AM1187</f>
        <v>x</v>
      </c>
      <c r="AN411" s="137" t="str">
        <f>'Q100a-geral'!AN1187</f>
        <v>x</v>
      </c>
      <c r="AO411" s="137" t="str">
        <f>'Q100a-geral'!AO1187</f>
        <v>x</v>
      </c>
      <c r="AP411" s="137" t="str">
        <f>'Q100a-geral'!AP1187</f>
        <v>x</v>
      </c>
      <c r="AQ411" s="137" t="str">
        <f>'Q100a-geral'!AQ1187</f>
        <v>x</v>
      </c>
      <c r="AR411" s="137"/>
      <c r="AS411" s="137"/>
      <c r="AT411" s="137"/>
      <c r="AU411" s="137"/>
      <c r="AV411" s="137" t="str">
        <f>'Q100a-geral'!AV1187</f>
        <v>x</v>
      </c>
      <c r="AW411" s="137"/>
      <c r="AX411" s="137"/>
      <c r="AY411" s="137"/>
      <c r="AZ411" s="137"/>
      <c r="BA411" s="137" t="str">
        <f>'Q100a-geral'!BA1187</f>
        <v>x</v>
      </c>
      <c r="BB411" s="239" t="str">
        <f>'Q100a-geral'!BB1187</f>
        <v>Gratuidades e descontosacessibilidade</v>
      </c>
      <c r="BC411" s="239" t="str">
        <f>'Q100a-geral'!BC1187</f>
        <v>Gratuidades e descontosacessibilidadex</v>
      </c>
      <c r="BD411" s="239" t="str">
        <f>'Q100a-geral'!BD1187</f>
        <v>Gratuidades e descontosx</v>
      </c>
    </row>
    <row r="412" spans="1:56" s="1" customFormat="1" ht="25.5" x14ac:dyDescent="0.25">
      <c r="A412" s="275" t="str">
        <f>'Q100a-geral'!A1188</f>
        <v>1.3</v>
      </c>
      <c r="B412" s="54" t="str">
        <f>'Q100a-geral'!B1188</f>
        <v>Gratuidades e descontos</v>
      </c>
      <c r="C412" s="167" t="str">
        <f>'Q100a-geral'!C1188</f>
        <v>acessibilidade</v>
      </c>
      <c r="D412" s="36" t="str">
        <f>'Q100a-geral'!D1188</f>
        <v>GR dv ca sr</v>
      </c>
      <c r="E412" s="464" t="str">
        <f>'Q100a-geral'!E1188</f>
        <v>Belo Horizonte</v>
      </c>
      <c r="F412" s="635" t="str">
        <f>'Q100a-geral'!F1188</f>
        <v>"GR dv" com acompanhante e sem passagem pela roleta
obs.: resultado de 2015 em BHTRANS(2015s)</v>
      </c>
      <c r="G412" s="252" t="str">
        <f>'Q100a-geral'!G1188</f>
        <v>registro na fonte</v>
      </c>
      <c r="H412" s="168" t="str">
        <f>'Q100a-geral'!H1188</f>
        <v>x</v>
      </c>
      <c r="I412" s="167">
        <f>'Q100a-geral'!I1188</f>
        <v>1</v>
      </c>
      <c r="J412" s="109" t="str">
        <f>'Q100a-geral'!J1188</f>
        <v>x</v>
      </c>
      <c r="K412" s="109" t="str">
        <f>'Q100a-geral'!K1188</f>
        <v>x</v>
      </c>
      <c r="L412" s="109" t="str">
        <f>'Q100a-geral'!L1188</f>
        <v>x</v>
      </c>
      <c r="M412" s="109" t="str">
        <f>'Q100a-geral'!M1188</f>
        <v>x</v>
      </c>
      <c r="N412" s="109" t="str">
        <f>'Q100a-geral'!N1188</f>
        <v>x</v>
      </c>
      <c r="O412" s="93" t="str">
        <f>'Q100a-geral'!O1188</f>
        <v>x</v>
      </c>
      <c r="P412" s="93" t="str">
        <f>'Q100a-geral'!P1188</f>
        <v>x</v>
      </c>
      <c r="Q412" s="93" t="str">
        <f>'Q100a-geral'!Q1188</f>
        <v>x</v>
      </c>
      <c r="R412" s="93" t="str">
        <f>'Q100a-geral'!R1188</f>
        <v>x</v>
      </c>
      <c r="S412" s="649" t="str">
        <f>'Q100a-geral'!S1188</f>
        <v>só para pesquisa</v>
      </c>
      <c r="T412" s="86" t="str">
        <f>'Q100a-geral'!T1188</f>
        <v>x</v>
      </c>
      <c r="U412" s="93" t="str">
        <f>'Q100a-geral'!U1188</f>
        <v>x</v>
      </c>
      <c r="V412" s="107" t="str">
        <f>'Q100a-geral'!V1188</f>
        <v>só para pesquisa</v>
      </c>
      <c r="W412" s="93" t="str">
        <f>'Q100a-geral'!W1188</f>
        <v>x</v>
      </c>
      <c r="X412" s="93" t="str">
        <f>'Q100a-geral'!X1188</f>
        <v>x</v>
      </c>
      <c r="Y412" s="93" t="str">
        <f>'Q100a-geral'!Y1188</f>
        <v>x</v>
      </c>
      <c r="Z412" s="93" t="str">
        <f>'Q100a-geral'!Z1188</f>
        <v>x</v>
      </c>
      <c r="AA412" s="93" t="str">
        <f>'Q100a-geral'!AA1188</f>
        <v>x</v>
      </c>
      <c r="AB412" s="93" t="str">
        <f>'Q100a-geral'!AB1188</f>
        <v>x</v>
      </c>
      <c r="AC412" s="93" t="str">
        <f>'Q100a-geral'!AC1188</f>
        <v>x</v>
      </c>
      <c r="AD412" s="93" t="str">
        <f>'Q100a-geral'!AD1188</f>
        <v>x</v>
      </c>
      <c r="AE412" s="93" t="str">
        <f>'Q100a-geral'!AE1188</f>
        <v>x</v>
      </c>
      <c r="AF412" s="93" t="str">
        <f>'Q100a-geral'!AF1188</f>
        <v>x</v>
      </c>
      <c r="AG412" s="93" t="str">
        <f>'Q100a-geral'!AG1188</f>
        <v>x</v>
      </c>
      <c r="AH412" s="93" t="str">
        <f>'Q100a-geral'!AH1188</f>
        <v>x</v>
      </c>
      <c r="AI412" s="93" t="str">
        <f>'Q100a-geral'!AI1188</f>
        <v>x</v>
      </c>
      <c r="AJ412" s="93" t="str">
        <f>'Q100a-geral'!AJ1188</f>
        <v>x</v>
      </c>
      <c r="AK412" s="84">
        <f>'Q100a-geral'!AK1188</f>
        <v>1093</v>
      </c>
      <c r="AL412" s="222" t="str">
        <f>'Q100a-geral'!AL1188</f>
        <v>x</v>
      </c>
      <c r="AM412" s="137" t="str">
        <f>'Q100a-geral'!AM1188</f>
        <v>x</v>
      </c>
      <c r="AN412" s="137" t="str">
        <f>'Q100a-geral'!AN1188</f>
        <v>x</v>
      </c>
      <c r="AO412" s="137" t="str">
        <f>'Q100a-geral'!AO1188</f>
        <v>x</v>
      </c>
      <c r="AP412" s="137" t="str">
        <f>'Q100a-geral'!AP1188</f>
        <v>x</v>
      </c>
      <c r="AQ412" s="137" t="str">
        <f>'Q100a-geral'!AQ1188</f>
        <v>x</v>
      </c>
      <c r="AR412" s="137"/>
      <c r="AS412" s="137"/>
      <c r="AT412" s="137"/>
      <c r="AU412" s="137"/>
      <c r="AV412" s="137" t="str">
        <f>'Q100a-geral'!AV1188</f>
        <v>x</v>
      </c>
      <c r="AW412" s="137"/>
      <c r="AX412" s="137"/>
      <c r="AY412" s="137"/>
      <c r="AZ412" s="137"/>
      <c r="BA412" s="137" t="str">
        <f>'Q100a-geral'!BA1188</f>
        <v>x</v>
      </c>
      <c r="BB412" s="239" t="str">
        <f>'Q100a-geral'!BB1188</f>
        <v>Gratuidades e descontosacessibilidade</v>
      </c>
      <c r="BC412" s="239" t="str">
        <f>'Q100a-geral'!BC1188</f>
        <v>Gratuidades e descontosacessibilidadex</v>
      </c>
      <c r="BD412" s="239" t="str">
        <f>'Q100a-geral'!BD1188</f>
        <v>Gratuidades e descontosx</v>
      </c>
    </row>
    <row r="413" spans="1:56" s="1" customFormat="1" ht="25.5" x14ac:dyDescent="0.25">
      <c r="A413" s="275" t="str">
        <f>'Q100a-geral'!A1189</f>
        <v>1.3</v>
      </c>
      <c r="B413" s="54" t="str">
        <f>'Q100a-geral'!B1189</f>
        <v>Gratuidades e descontos</v>
      </c>
      <c r="C413" s="167" t="str">
        <f>'Q100a-geral'!C1189</f>
        <v>acessibilidade</v>
      </c>
      <c r="D413" s="36" t="str">
        <f>'Q100a-geral'!D1189</f>
        <v>GR dv sa sr</v>
      </c>
      <c r="E413" s="464" t="str">
        <f>'Q100a-geral'!E1189</f>
        <v>Belo Horizonte</v>
      </c>
      <c r="F413" s="635" t="str">
        <f>'Q100a-geral'!F1189</f>
        <v>"GR dv" sem acompanhante e sem passagem pela roleta
obs.: resultado de 2015 em BHTRANS(2015s)</v>
      </c>
      <c r="G413" s="252" t="str">
        <f>'Q100a-geral'!G1189</f>
        <v>registro na fonte</v>
      </c>
      <c r="H413" s="168" t="str">
        <f>'Q100a-geral'!H1189</f>
        <v>x</v>
      </c>
      <c r="I413" s="167">
        <f>'Q100a-geral'!I1189</f>
        <v>1</v>
      </c>
      <c r="J413" s="109" t="str">
        <f>'Q100a-geral'!J1189</f>
        <v>x</v>
      </c>
      <c r="K413" s="109" t="str">
        <f>'Q100a-geral'!K1189</f>
        <v>x</v>
      </c>
      <c r="L413" s="109" t="str">
        <f>'Q100a-geral'!L1189</f>
        <v>x</v>
      </c>
      <c r="M413" s="109" t="str">
        <f>'Q100a-geral'!M1189</f>
        <v>x</v>
      </c>
      <c r="N413" s="109" t="str">
        <f>'Q100a-geral'!N1189</f>
        <v>x</v>
      </c>
      <c r="O413" s="93" t="str">
        <f>'Q100a-geral'!O1189</f>
        <v>x</v>
      </c>
      <c r="P413" s="93" t="str">
        <f>'Q100a-geral'!P1189</f>
        <v>x</v>
      </c>
      <c r="Q413" s="93" t="str">
        <f>'Q100a-geral'!Q1189</f>
        <v>x</v>
      </c>
      <c r="R413" s="93" t="str">
        <f>'Q100a-geral'!R1189</f>
        <v>x</v>
      </c>
      <c r="S413" s="649" t="str">
        <f>'Q100a-geral'!S1189</f>
        <v>só para pesquisa</v>
      </c>
      <c r="T413" s="86" t="str">
        <f>'Q100a-geral'!T1189</f>
        <v>x</v>
      </c>
      <c r="U413" s="93" t="str">
        <f>'Q100a-geral'!U1189</f>
        <v>x</v>
      </c>
      <c r="V413" s="107" t="str">
        <f>'Q100a-geral'!V1189</f>
        <v>só para pesquisa</v>
      </c>
      <c r="W413" s="93" t="str">
        <f>'Q100a-geral'!W1189</f>
        <v>x</v>
      </c>
      <c r="X413" s="93" t="str">
        <f>'Q100a-geral'!X1189</f>
        <v>x</v>
      </c>
      <c r="Y413" s="93" t="str">
        <f>'Q100a-geral'!Y1189</f>
        <v>x</v>
      </c>
      <c r="Z413" s="93" t="str">
        <f>'Q100a-geral'!Z1189</f>
        <v>x</v>
      </c>
      <c r="AA413" s="93" t="str">
        <f>'Q100a-geral'!AA1189</f>
        <v>x</v>
      </c>
      <c r="AB413" s="93" t="str">
        <f>'Q100a-geral'!AB1189</f>
        <v>x</v>
      </c>
      <c r="AC413" s="93" t="str">
        <f>'Q100a-geral'!AC1189</f>
        <v>x</v>
      </c>
      <c r="AD413" s="93" t="str">
        <f>'Q100a-geral'!AD1189</f>
        <v>x</v>
      </c>
      <c r="AE413" s="93" t="str">
        <f>'Q100a-geral'!AE1189</f>
        <v>x</v>
      </c>
      <c r="AF413" s="93" t="str">
        <f>'Q100a-geral'!AF1189</f>
        <v>x</v>
      </c>
      <c r="AG413" s="93" t="str">
        <f>'Q100a-geral'!AG1189</f>
        <v>x</v>
      </c>
      <c r="AH413" s="93" t="str">
        <f>'Q100a-geral'!AH1189</f>
        <v>x</v>
      </c>
      <c r="AI413" s="93" t="str">
        <f>'Q100a-geral'!AI1189</f>
        <v>x</v>
      </c>
      <c r="AJ413" s="93" t="str">
        <f>'Q100a-geral'!AJ1189</f>
        <v>x</v>
      </c>
      <c r="AK413" s="84">
        <f>'Q100a-geral'!AK1189</f>
        <v>605</v>
      </c>
      <c r="AL413" s="222" t="str">
        <f>'Q100a-geral'!AL1189</f>
        <v>x</v>
      </c>
      <c r="AM413" s="137" t="str">
        <f>'Q100a-geral'!AM1189</f>
        <v>x</v>
      </c>
      <c r="AN413" s="137" t="str">
        <f>'Q100a-geral'!AN1189</f>
        <v>x</v>
      </c>
      <c r="AO413" s="137" t="str">
        <f>'Q100a-geral'!AO1189</f>
        <v>x</v>
      </c>
      <c r="AP413" s="137" t="str">
        <f>'Q100a-geral'!AP1189</f>
        <v>x</v>
      </c>
      <c r="AQ413" s="137" t="str">
        <f>'Q100a-geral'!AQ1189</f>
        <v>x</v>
      </c>
      <c r="AR413" s="137"/>
      <c r="AS413" s="137"/>
      <c r="AT413" s="137"/>
      <c r="AU413" s="137"/>
      <c r="AV413" s="137" t="str">
        <f>'Q100a-geral'!AV1189</f>
        <v>x</v>
      </c>
      <c r="AW413" s="137"/>
      <c r="AX413" s="137"/>
      <c r="AY413" s="137"/>
      <c r="AZ413" s="137"/>
      <c r="BA413" s="137" t="str">
        <f>'Q100a-geral'!BA1189</f>
        <v>x</v>
      </c>
      <c r="BB413" s="239" t="str">
        <f>'Q100a-geral'!BB1189</f>
        <v>Gratuidades e descontosacessibilidade</v>
      </c>
      <c r="BC413" s="239" t="str">
        <f>'Q100a-geral'!BC1189</f>
        <v>Gratuidades e descontosacessibilidadex</v>
      </c>
      <c r="BD413" s="239" t="str">
        <f>'Q100a-geral'!BD1189</f>
        <v>Gratuidades e descontosx</v>
      </c>
    </row>
    <row r="414" spans="1:56" s="1" customFormat="1" ht="114.75" x14ac:dyDescent="0.25">
      <c r="A414" s="275" t="str">
        <f>'Q100a-geral'!A1190</f>
        <v>1.3</v>
      </c>
      <c r="B414" s="54" t="str">
        <f>'Q100a-geral'!B1190</f>
        <v>Gratuidades e descontos</v>
      </c>
      <c r="C414" s="167" t="str">
        <f>'Q100a-geral'!C1190</f>
        <v>acessibilidade</v>
      </c>
      <c r="D414" s="326" t="str">
        <f>'Q100a-geral'!D1190</f>
        <v>GR</v>
      </c>
      <c r="E414" s="465" t="str">
        <f>'Q100a-geral'!E1190</f>
        <v>Belo Horizonte</v>
      </c>
      <c r="F414" s="634" t="str">
        <f>'Q100a-geral'!F1190</f>
        <v>n.º de pessoas com deficiência ou doença beneficiárias da gratuidade no transporte coletivo, para as quais foi emitida uma credencial denominada "Cartão Metropolitano de Transporte - CMT" pela BHTrans, DER-MG, Transbetim ou Prefeitura de Contagem ou uma credencial denominada "Cartão BHBUs Benefício" pela BHTrans a partir de outubro/2002
obs.1: resultado de 1995 sem fórmula direto na fonte em BHTRANS(1996a, p.9)
obs.2: resultados de 1999 e de 2015 como resultado de fórmula
obs.3: resultado de 2001 a 2005 sem fórmula direto na fonte em BHTRANS (2006a, p.42/Tabela 28)
obs.4: resultado de 2006 a 2009 sem fórmula direto na fonte em BHTRANS (2011b, [p.20[/Tabela 35)
obs.5: resultados em dezembro de cada ano, à exceção dos resultados de 2015 que foram extraídos do banco de dados do CIT Bus às 09h21 de 27/08/2015</v>
      </c>
      <c r="G414" s="11" t="str">
        <f>'Q100a-geral'!G1190</f>
        <v>GR da + GR drc + GR df + GR dm + GR dv
ou
GR ca + GR sa
ou
GR cr + GR sr
ou
GR ca cr + GR sa cr + GR ca sr + GR sa sr</v>
      </c>
      <c r="H414" s="168" t="str">
        <f>'Q100a-geral'!H1190</f>
        <v>x</v>
      </c>
      <c r="I414" s="167">
        <f>'Q100a-geral'!I1190</f>
        <v>1</v>
      </c>
      <c r="J414" s="109" t="str">
        <f>'Q100a-geral'!J1190</f>
        <v>x</v>
      </c>
      <c r="K414" s="109" t="str">
        <f>'Q100a-geral'!K1190</f>
        <v>x</v>
      </c>
      <c r="L414" s="109" t="str">
        <f>'Q100a-geral'!L1190</f>
        <v>x</v>
      </c>
      <c r="M414" s="109" t="str">
        <f>'Q100a-geral'!M1190</f>
        <v>x</v>
      </c>
      <c r="N414" s="109" t="str">
        <f>'Q100a-geral'!N1190</f>
        <v>x</v>
      </c>
      <c r="O414" s="251">
        <f>'Q100a-geral'!O1190</f>
        <v>25209</v>
      </c>
      <c r="P414" s="132"/>
      <c r="Q414" s="132"/>
      <c r="R414" s="132"/>
      <c r="S414" s="649" t="str">
        <f>'Q100a-geral'!S1190</f>
        <v>só para pesquisa</v>
      </c>
      <c r="T414" s="251">
        <f>'Q100a-geral'!T1190</f>
        <v>35802</v>
      </c>
      <c r="U414" s="132"/>
      <c r="V414" s="107" t="str">
        <f>'Q100a-geral'!V1190</f>
        <v>só para pesquisa</v>
      </c>
      <c r="W414" s="86">
        <f>'Q100a-geral'!W1190</f>
        <v>43645</v>
      </c>
      <c r="X414" s="86">
        <f>'Q100a-geral'!X1190</f>
        <v>45975</v>
      </c>
      <c r="Y414" s="86">
        <f>'Q100a-geral'!Y1190</f>
        <v>46995</v>
      </c>
      <c r="Z414" s="86">
        <f>'Q100a-geral'!Z1190</f>
        <v>41272</v>
      </c>
      <c r="AA414" s="86">
        <f>'Q100a-geral'!AA1190</f>
        <v>44090</v>
      </c>
      <c r="AB414" s="86">
        <f>'Q100a-geral'!AB1190</f>
        <v>46896</v>
      </c>
      <c r="AC414" s="86">
        <f>'Q100a-geral'!AC1190</f>
        <v>38926</v>
      </c>
      <c r="AD414" s="86">
        <f>'Q100a-geral'!AD1190</f>
        <v>34691</v>
      </c>
      <c r="AE414" s="86">
        <f>'Q100a-geral'!AE1190</f>
        <v>33830</v>
      </c>
      <c r="AF414" s="132"/>
      <c r="AG414" s="132"/>
      <c r="AH414" s="132"/>
      <c r="AI414" s="132"/>
      <c r="AJ414" s="132"/>
      <c r="AK414" s="20">
        <f>'Q100a-geral'!AK1190</f>
        <v>27622</v>
      </c>
      <c r="AL414" s="222" t="str">
        <f>'Q100a-geral'!AL1190</f>
        <v>x</v>
      </c>
      <c r="AM414" s="137" t="str">
        <f>'Q100a-geral'!AM1190</f>
        <v>x</v>
      </c>
      <c r="AN414" s="137" t="str">
        <f>'Q100a-geral'!AN1190</f>
        <v>x</v>
      </c>
      <c r="AO414" s="137" t="str">
        <f>'Q100a-geral'!AO1190</f>
        <v>x</v>
      </c>
      <c r="AP414" s="137" t="str">
        <f>'Q100a-geral'!AP1190</f>
        <v>x</v>
      </c>
      <c r="AQ414" s="137" t="str">
        <f>'Q100a-geral'!AQ1190</f>
        <v>x</v>
      </c>
      <c r="AR414" s="137"/>
      <c r="AS414" s="137"/>
      <c r="AT414" s="137"/>
      <c r="AU414" s="137"/>
      <c r="AV414" s="137" t="str">
        <f>'Q100a-geral'!AV1190</f>
        <v>x</v>
      </c>
      <c r="AW414" s="137"/>
      <c r="AX414" s="137"/>
      <c r="AY414" s="137"/>
      <c r="AZ414" s="137"/>
      <c r="BA414" s="137" t="str">
        <f>'Q100a-geral'!BA1190</f>
        <v>x</v>
      </c>
      <c r="BB414" s="239" t="str">
        <f>'Q100a-geral'!BB1190</f>
        <v>Gratuidades e descontosacessibilidade</v>
      </c>
      <c r="BC414" s="239" t="str">
        <f>'Q100a-geral'!BC1190</f>
        <v>Gratuidades e descontosacessibilidadex</v>
      </c>
      <c r="BD414" s="239" t="str">
        <f>'Q100a-geral'!BD1190</f>
        <v>Gratuidades e descontosx</v>
      </c>
    </row>
    <row r="415" spans="1:56" s="1" customFormat="1" ht="25.5" x14ac:dyDescent="0.25">
      <c r="A415" s="275" t="str">
        <f>'Q100a-geral'!A1191</f>
        <v>1.3</v>
      </c>
      <c r="B415" s="54" t="str">
        <f>'Q100a-geral'!B1191</f>
        <v>Gratuidades e descontos</v>
      </c>
      <c r="C415" s="167" t="str">
        <f>'Q100a-geral'!C1191</f>
        <v>acessibilidade</v>
      </c>
      <c r="D415" s="36" t="str">
        <f>'Q100a-geral'!D1191</f>
        <v>GR ca</v>
      </c>
      <c r="E415" s="464" t="str">
        <f>'Q100a-geral'!E1191</f>
        <v>Belo Horizonte</v>
      </c>
      <c r="F415" s="635" t="str">
        <f>'Q100a-geral'!F1191</f>
        <v>"GR" com acompanhante</v>
      </c>
      <c r="G415" s="11" t="str">
        <f>'Q100a-geral'!G1191</f>
        <v>GR ca cr + GR ca sr</v>
      </c>
      <c r="H415" s="168" t="str">
        <f>'Q100a-geral'!H1191</f>
        <v>x</v>
      </c>
      <c r="I415" s="167">
        <f>'Q100a-geral'!I1191</f>
        <v>1</v>
      </c>
      <c r="J415" s="109" t="str">
        <f>'Q100a-geral'!J1191</f>
        <v>x</v>
      </c>
      <c r="K415" s="109" t="str">
        <f>'Q100a-geral'!K1191</f>
        <v>x</v>
      </c>
      <c r="L415" s="109" t="str">
        <f>'Q100a-geral'!L1191</f>
        <v>x</v>
      </c>
      <c r="M415" s="109" t="str">
        <f>'Q100a-geral'!M1191</f>
        <v>x</v>
      </c>
      <c r="N415" s="109" t="str">
        <f>'Q100a-geral'!N1191</f>
        <v>x</v>
      </c>
      <c r="O415" s="58" t="str">
        <f>'Q100a-geral'!O1191</f>
        <v>x</v>
      </c>
      <c r="P415" s="58" t="str">
        <f>'Q100a-geral'!P1191</f>
        <v>x</v>
      </c>
      <c r="Q415" s="58" t="str">
        <f>'Q100a-geral'!Q1191</f>
        <v>x</v>
      </c>
      <c r="R415" s="58" t="str">
        <f>'Q100a-geral'!R1191</f>
        <v>x</v>
      </c>
      <c r="S415" s="649" t="str">
        <f>'Q100a-geral'!S1191</f>
        <v>só para pesquisa</v>
      </c>
      <c r="T415" s="251" t="str">
        <f>'Q100a-geral'!T1191</f>
        <v>x</v>
      </c>
      <c r="U415" s="132"/>
      <c r="V415" s="107" t="str">
        <f>'Q100a-geral'!V1191</f>
        <v>só para pesquisa</v>
      </c>
      <c r="W415" s="86" t="str">
        <f>'Q100a-geral'!W1191</f>
        <v>x</v>
      </c>
      <c r="X415" s="86" t="str">
        <f>'Q100a-geral'!X1191</f>
        <v>x</v>
      </c>
      <c r="Y415" s="86" t="str">
        <f>'Q100a-geral'!Y1191</f>
        <v>x</v>
      </c>
      <c r="Z415" s="86" t="str">
        <f>'Q100a-geral'!Z1191</f>
        <v>x</v>
      </c>
      <c r="AA415" s="86" t="str">
        <f>'Q100a-geral'!AA1191</f>
        <v>x</v>
      </c>
      <c r="AB415" s="86" t="str">
        <f>'Q100a-geral'!AB1191</f>
        <v>x</v>
      </c>
      <c r="AC415" s="86" t="str">
        <f>'Q100a-geral'!AC1191</f>
        <v>x</v>
      </c>
      <c r="AD415" s="86" t="str">
        <f>'Q100a-geral'!AD1191</f>
        <v>x</v>
      </c>
      <c r="AE415" s="86" t="str">
        <f>'Q100a-geral'!AE1191</f>
        <v>x</v>
      </c>
      <c r="AF415" s="132"/>
      <c r="AG415" s="132"/>
      <c r="AH415" s="132"/>
      <c r="AI415" s="132"/>
      <c r="AJ415" s="132"/>
      <c r="AK415" s="20">
        <f>'Q100a-geral'!AK1191</f>
        <v>14031</v>
      </c>
      <c r="AL415" s="222" t="str">
        <f>'Q100a-geral'!AL1191</f>
        <v>x</v>
      </c>
      <c r="AM415" s="137" t="str">
        <f>'Q100a-geral'!AM1191</f>
        <v>x</v>
      </c>
      <c r="AN415" s="137" t="str">
        <f>'Q100a-geral'!AN1191</f>
        <v>x</v>
      </c>
      <c r="AO415" s="137" t="str">
        <f>'Q100a-geral'!AO1191</f>
        <v>x</v>
      </c>
      <c r="AP415" s="137" t="str">
        <f>'Q100a-geral'!AP1191</f>
        <v>x</v>
      </c>
      <c r="AQ415" s="137" t="str">
        <f>'Q100a-geral'!AQ1191</f>
        <v>x</v>
      </c>
      <c r="AR415" s="137"/>
      <c r="AS415" s="137"/>
      <c r="AT415" s="137"/>
      <c r="AU415" s="137"/>
      <c r="AV415" s="137" t="str">
        <f>'Q100a-geral'!AV1191</f>
        <v>x</v>
      </c>
      <c r="AW415" s="137"/>
      <c r="AX415" s="137"/>
      <c r="AY415" s="137"/>
      <c r="AZ415" s="137"/>
      <c r="BA415" s="137" t="str">
        <f>'Q100a-geral'!BA1191</f>
        <v>x</v>
      </c>
      <c r="BB415" s="239" t="str">
        <f>'Q100a-geral'!BB1191</f>
        <v>Gratuidades e descontosacessibilidade</v>
      </c>
      <c r="BC415" s="239" t="str">
        <f>'Q100a-geral'!BC1191</f>
        <v>Gratuidades e descontosacessibilidadex</v>
      </c>
      <c r="BD415" s="239" t="str">
        <f>'Q100a-geral'!BD1191</f>
        <v>Gratuidades e descontosx</v>
      </c>
    </row>
    <row r="416" spans="1:56" s="1" customFormat="1" ht="25.5" x14ac:dyDescent="0.25">
      <c r="A416" s="275" t="str">
        <f>'Q100a-geral'!A1192</f>
        <v>1.3</v>
      </c>
      <c r="B416" s="54" t="str">
        <f>'Q100a-geral'!B1192</f>
        <v>Gratuidades e descontos</v>
      </c>
      <c r="C416" s="167" t="str">
        <f>'Q100a-geral'!C1192</f>
        <v>acessibilidade</v>
      </c>
      <c r="D416" s="36" t="str">
        <f>'Q100a-geral'!D1192</f>
        <v>GR cr</v>
      </c>
      <c r="E416" s="464" t="str">
        <f>'Q100a-geral'!E1192</f>
        <v>Belo Horizonte</v>
      </c>
      <c r="F416" s="635" t="str">
        <f>'Q100a-geral'!F1192</f>
        <v>"GR" com passagem pela roleta</v>
      </c>
      <c r="G416" s="11" t="str">
        <f>'Q100a-geral'!G1192</f>
        <v>GR ca cr + GR sa cr</v>
      </c>
      <c r="H416" s="168" t="str">
        <f>'Q100a-geral'!H1192</f>
        <v>x</v>
      </c>
      <c r="I416" s="167">
        <f>'Q100a-geral'!I1192</f>
        <v>1</v>
      </c>
      <c r="J416" s="109" t="str">
        <f>'Q100a-geral'!J1192</f>
        <v>x</v>
      </c>
      <c r="K416" s="109" t="str">
        <f>'Q100a-geral'!K1192</f>
        <v>x</v>
      </c>
      <c r="L416" s="109" t="str">
        <f>'Q100a-geral'!L1192</f>
        <v>x</v>
      </c>
      <c r="M416" s="109" t="str">
        <f>'Q100a-geral'!M1192</f>
        <v>x</v>
      </c>
      <c r="N416" s="109" t="str">
        <f>'Q100a-geral'!N1192</f>
        <v>x</v>
      </c>
      <c r="O416" s="58" t="str">
        <f>'Q100a-geral'!O1192</f>
        <v>x</v>
      </c>
      <c r="P416" s="58" t="str">
        <f>'Q100a-geral'!P1192</f>
        <v>x</v>
      </c>
      <c r="Q416" s="58" t="str">
        <f>'Q100a-geral'!Q1192</f>
        <v>x</v>
      </c>
      <c r="R416" s="58" t="str">
        <f>'Q100a-geral'!R1192</f>
        <v>x</v>
      </c>
      <c r="S416" s="649" t="str">
        <f>'Q100a-geral'!S1192</f>
        <v>só para pesquisa</v>
      </c>
      <c r="T416" s="251" t="str">
        <f>'Q100a-geral'!T1192</f>
        <v>x</v>
      </c>
      <c r="U416" s="132"/>
      <c r="V416" s="107" t="str">
        <f>'Q100a-geral'!V1192</f>
        <v>só para pesquisa</v>
      </c>
      <c r="W416" s="86" t="str">
        <f>'Q100a-geral'!W1192</f>
        <v>x</v>
      </c>
      <c r="X416" s="86" t="str">
        <f>'Q100a-geral'!X1192</f>
        <v>x</v>
      </c>
      <c r="Y416" s="86" t="str">
        <f>'Q100a-geral'!Y1192</f>
        <v>x</v>
      </c>
      <c r="Z416" s="86" t="str">
        <f>'Q100a-geral'!Z1192</f>
        <v>x</v>
      </c>
      <c r="AA416" s="86" t="str">
        <f>'Q100a-geral'!AA1192</f>
        <v>x</v>
      </c>
      <c r="AB416" s="86" t="str">
        <f>'Q100a-geral'!AB1192</f>
        <v>x</v>
      </c>
      <c r="AC416" s="86" t="str">
        <f>'Q100a-geral'!AC1192</f>
        <v>x</v>
      </c>
      <c r="AD416" s="86" t="str">
        <f>'Q100a-geral'!AD1192</f>
        <v>x</v>
      </c>
      <c r="AE416" s="86" t="str">
        <f>'Q100a-geral'!AE1192</f>
        <v>x</v>
      </c>
      <c r="AF416" s="132"/>
      <c r="AG416" s="132"/>
      <c r="AH416" s="132"/>
      <c r="AI416" s="132"/>
      <c r="AJ416" s="132"/>
      <c r="AK416" s="20">
        <f>'Q100a-geral'!AK1192</f>
        <v>16038</v>
      </c>
      <c r="AL416" s="222" t="str">
        <f>'Q100a-geral'!AL1192</f>
        <v>x</v>
      </c>
      <c r="AM416" s="137" t="str">
        <f>'Q100a-geral'!AM1192</f>
        <v>x</v>
      </c>
      <c r="AN416" s="137" t="str">
        <f>'Q100a-geral'!AN1192</f>
        <v>x</v>
      </c>
      <c r="AO416" s="137" t="str">
        <f>'Q100a-geral'!AO1192</f>
        <v>x</v>
      </c>
      <c r="AP416" s="137" t="str">
        <f>'Q100a-geral'!AP1192</f>
        <v>x</v>
      </c>
      <c r="AQ416" s="137" t="str">
        <f>'Q100a-geral'!AQ1192</f>
        <v>x</v>
      </c>
      <c r="AR416" s="137"/>
      <c r="AS416" s="137"/>
      <c r="AT416" s="137"/>
      <c r="AU416" s="137"/>
      <c r="AV416" s="137" t="str">
        <f>'Q100a-geral'!AV1192</f>
        <v>x</v>
      </c>
      <c r="AW416" s="137"/>
      <c r="AX416" s="137"/>
      <c r="AY416" s="137"/>
      <c r="AZ416" s="137"/>
      <c r="BA416" s="137" t="str">
        <f>'Q100a-geral'!BA1192</f>
        <v>x</v>
      </c>
      <c r="BB416" s="239" t="str">
        <f>'Q100a-geral'!BB1192</f>
        <v>Gratuidades e descontosacessibilidade</v>
      </c>
      <c r="BC416" s="239" t="str">
        <f>'Q100a-geral'!BC1192</f>
        <v>Gratuidades e descontosacessibilidadex</v>
      </c>
      <c r="BD416" s="239" t="str">
        <f>'Q100a-geral'!BD1192</f>
        <v>Gratuidades e descontosx</v>
      </c>
    </row>
    <row r="417" spans="1:56" s="1" customFormat="1" ht="25.5" x14ac:dyDescent="0.25">
      <c r="A417" s="275" t="str">
        <f>'Q100a-geral'!A1195</f>
        <v>1.3</v>
      </c>
      <c r="B417" s="54" t="str">
        <f>'Q100a-geral'!B1195</f>
        <v>Gratuidades e descontos</v>
      </c>
      <c r="C417" s="167" t="str">
        <f>'Q100a-geral'!C1195</f>
        <v>acessibilidade</v>
      </c>
      <c r="D417" s="36" t="str">
        <f>'Q100a-geral'!D1195</f>
        <v xml:space="preserve">GR sa </v>
      </c>
      <c r="E417" s="464" t="str">
        <f>'Q100a-geral'!E1195</f>
        <v>Belo Horizonte</v>
      </c>
      <c r="F417" s="635" t="str">
        <f>'Q100a-geral'!F1195</f>
        <v>"GR dv" sem acompanhante</v>
      </c>
      <c r="G417" s="11" t="str">
        <f>'Q100a-geral'!G1195</f>
        <v>GR sa cr + GR sa sr</v>
      </c>
      <c r="H417" s="168" t="str">
        <f>'Q100a-geral'!H1195</f>
        <v>x</v>
      </c>
      <c r="I417" s="167">
        <f>'Q100a-geral'!I1195</f>
        <v>1</v>
      </c>
      <c r="J417" s="109" t="str">
        <f>'Q100a-geral'!J1195</f>
        <v>x</v>
      </c>
      <c r="K417" s="109" t="str">
        <f>'Q100a-geral'!K1195</f>
        <v>x</v>
      </c>
      <c r="L417" s="109" t="str">
        <f>'Q100a-geral'!L1195</f>
        <v>x</v>
      </c>
      <c r="M417" s="109" t="str">
        <f>'Q100a-geral'!M1195</f>
        <v>x</v>
      </c>
      <c r="N417" s="109" t="str">
        <f>'Q100a-geral'!N1195</f>
        <v>x</v>
      </c>
      <c r="O417" s="58" t="str">
        <f>'Q100a-geral'!O1195</f>
        <v>x</v>
      </c>
      <c r="P417" s="58" t="str">
        <f>'Q100a-geral'!P1195</f>
        <v>x</v>
      </c>
      <c r="Q417" s="58" t="str">
        <f>'Q100a-geral'!Q1195</f>
        <v>x</v>
      </c>
      <c r="R417" s="58" t="str">
        <f>'Q100a-geral'!R1195</f>
        <v>x</v>
      </c>
      <c r="S417" s="649" t="str">
        <f>'Q100a-geral'!S1195</f>
        <v>só para pesquisa</v>
      </c>
      <c r="T417" s="251" t="str">
        <f>'Q100a-geral'!T1195</f>
        <v>x</v>
      </c>
      <c r="U417" s="132"/>
      <c r="V417" s="107" t="str">
        <f>'Q100a-geral'!V1195</f>
        <v>só para pesquisa</v>
      </c>
      <c r="W417" s="86" t="str">
        <f>'Q100a-geral'!W1195</f>
        <v>x</v>
      </c>
      <c r="X417" s="86" t="str">
        <f>'Q100a-geral'!X1195</f>
        <v>x</v>
      </c>
      <c r="Y417" s="86" t="str">
        <f>'Q100a-geral'!Y1195</f>
        <v>x</v>
      </c>
      <c r="Z417" s="86" t="str">
        <f>'Q100a-geral'!Z1195</f>
        <v>x</v>
      </c>
      <c r="AA417" s="86" t="str">
        <f>'Q100a-geral'!AA1195</f>
        <v>x</v>
      </c>
      <c r="AB417" s="86" t="str">
        <f>'Q100a-geral'!AB1195</f>
        <v>x</v>
      </c>
      <c r="AC417" s="86" t="str">
        <f>'Q100a-geral'!AC1195</f>
        <v>x</v>
      </c>
      <c r="AD417" s="86" t="str">
        <f>'Q100a-geral'!AD1195</f>
        <v>x</v>
      </c>
      <c r="AE417" s="86" t="str">
        <f>'Q100a-geral'!AE1195</f>
        <v>x</v>
      </c>
      <c r="AF417" s="132"/>
      <c r="AG417" s="132"/>
      <c r="AH417" s="132"/>
      <c r="AI417" s="132"/>
      <c r="AJ417" s="132"/>
      <c r="AK417" s="20">
        <f>'Q100a-geral'!AK1195</f>
        <v>13591</v>
      </c>
      <c r="AL417" s="222" t="str">
        <f>'Q100a-geral'!AL1195</f>
        <v>x</v>
      </c>
      <c r="AM417" s="137" t="str">
        <f>'Q100a-geral'!AM1195</f>
        <v>x</v>
      </c>
      <c r="AN417" s="137" t="str">
        <f>'Q100a-geral'!AN1195</f>
        <v>x</v>
      </c>
      <c r="AO417" s="137" t="str">
        <f>'Q100a-geral'!AO1195</f>
        <v>x</v>
      </c>
      <c r="AP417" s="137" t="str">
        <f>'Q100a-geral'!AP1195</f>
        <v>x</v>
      </c>
      <c r="AQ417" s="137" t="str">
        <f>'Q100a-geral'!AQ1195</f>
        <v>x</v>
      </c>
      <c r="AR417" s="137"/>
      <c r="AS417" s="137"/>
      <c r="AT417" s="137"/>
      <c r="AU417" s="137"/>
      <c r="AV417" s="137" t="str">
        <f>'Q100a-geral'!AV1195</f>
        <v>x</v>
      </c>
      <c r="AW417" s="137"/>
      <c r="AX417" s="137"/>
      <c r="AY417" s="137"/>
      <c r="AZ417" s="137"/>
      <c r="BA417" s="137" t="str">
        <f>'Q100a-geral'!BA1195</f>
        <v>x</v>
      </c>
      <c r="BB417" s="239" t="str">
        <f>'Q100a-geral'!BB1195</f>
        <v>Gratuidades e descontosacessibilidade</v>
      </c>
      <c r="BC417" s="239" t="str">
        <f>'Q100a-geral'!BC1195</f>
        <v>Gratuidades e descontosacessibilidadex</v>
      </c>
      <c r="BD417" s="239" t="str">
        <f>'Q100a-geral'!BD1195</f>
        <v>Gratuidades e descontosx</v>
      </c>
    </row>
    <row r="418" spans="1:56" s="1" customFormat="1" ht="25.5" x14ac:dyDescent="0.25">
      <c r="A418" s="275" t="str">
        <f>'Q100a-geral'!A1196</f>
        <v>1.3</v>
      </c>
      <c r="B418" s="54" t="str">
        <f>'Q100a-geral'!B1196</f>
        <v>Gratuidades e descontos</v>
      </c>
      <c r="C418" s="167" t="str">
        <f>'Q100a-geral'!C1196</f>
        <v>acessibilidade</v>
      </c>
      <c r="D418" s="36" t="str">
        <f>'Q100a-geral'!D1196</f>
        <v>GR sr</v>
      </c>
      <c r="E418" s="464" t="str">
        <f>'Q100a-geral'!E1196</f>
        <v>Belo Horizonte</v>
      </c>
      <c r="F418" s="635" t="str">
        <f>'Q100a-geral'!F1196</f>
        <v>"GR dv" sem passagem pela roleta</v>
      </c>
      <c r="G418" s="11" t="str">
        <f>'Q100a-geral'!G1196</f>
        <v>GR ca sr + GR sa sr</v>
      </c>
      <c r="H418" s="168" t="str">
        <f>'Q100a-geral'!H1196</f>
        <v>x</v>
      </c>
      <c r="I418" s="167">
        <f>'Q100a-geral'!I1196</f>
        <v>1</v>
      </c>
      <c r="J418" s="109" t="str">
        <f>'Q100a-geral'!J1196</f>
        <v>x</v>
      </c>
      <c r="K418" s="109" t="str">
        <f>'Q100a-geral'!K1196</f>
        <v>x</v>
      </c>
      <c r="L418" s="109" t="str">
        <f>'Q100a-geral'!L1196</f>
        <v>x</v>
      </c>
      <c r="M418" s="109" t="str">
        <f>'Q100a-geral'!M1196</f>
        <v>x</v>
      </c>
      <c r="N418" s="109" t="str">
        <f>'Q100a-geral'!N1196</f>
        <v>x</v>
      </c>
      <c r="O418" s="58" t="str">
        <f>'Q100a-geral'!O1196</f>
        <v>x</v>
      </c>
      <c r="P418" s="58" t="str">
        <f>'Q100a-geral'!P1196</f>
        <v>x</v>
      </c>
      <c r="Q418" s="58" t="str">
        <f>'Q100a-geral'!Q1196</f>
        <v>x</v>
      </c>
      <c r="R418" s="58" t="str">
        <f>'Q100a-geral'!R1196</f>
        <v>x</v>
      </c>
      <c r="S418" s="649" t="str">
        <f>'Q100a-geral'!S1196</f>
        <v>só para pesquisa</v>
      </c>
      <c r="T418" s="251" t="str">
        <f>'Q100a-geral'!T1196</f>
        <v>x</v>
      </c>
      <c r="U418" s="132"/>
      <c r="V418" s="107" t="str">
        <f>'Q100a-geral'!V1196</f>
        <v>só para pesquisa</v>
      </c>
      <c r="W418" s="86" t="str">
        <f>'Q100a-geral'!W1196</f>
        <v>x</v>
      </c>
      <c r="X418" s="86" t="str">
        <f>'Q100a-geral'!X1196</f>
        <v>x</v>
      </c>
      <c r="Y418" s="86" t="str">
        <f>'Q100a-geral'!Y1196</f>
        <v>x</v>
      </c>
      <c r="Z418" s="86" t="str">
        <f>'Q100a-geral'!Z1196</f>
        <v>x</v>
      </c>
      <c r="AA418" s="86" t="str">
        <f>'Q100a-geral'!AA1196</f>
        <v>x</v>
      </c>
      <c r="AB418" s="86" t="str">
        <f>'Q100a-geral'!AB1196</f>
        <v>x</v>
      </c>
      <c r="AC418" s="86" t="str">
        <f>'Q100a-geral'!AC1196</f>
        <v>x</v>
      </c>
      <c r="AD418" s="86" t="str">
        <f>'Q100a-geral'!AD1196</f>
        <v>x</v>
      </c>
      <c r="AE418" s="86" t="str">
        <f>'Q100a-geral'!AE1196</f>
        <v>x</v>
      </c>
      <c r="AF418" s="132"/>
      <c r="AG418" s="132"/>
      <c r="AH418" s="132"/>
      <c r="AI418" s="132"/>
      <c r="AJ418" s="132"/>
      <c r="AK418" s="20">
        <f>'Q100a-geral'!AK1196</f>
        <v>11584</v>
      </c>
      <c r="AL418" s="222" t="str">
        <f>'Q100a-geral'!AL1196</f>
        <v>x</v>
      </c>
      <c r="AM418" s="137" t="str">
        <f>'Q100a-geral'!AM1196</f>
        <v>x</v>
      </c>
      <c r="AN418" s="137" t="str">
        <f>'Q100a-geral'!AN1196</f>
        <v>x</v>
      </c>
      <c r="AO418" s="137" t="str">
        <f>'Q100a-geral'!AO1196</f>
        <v>x</v>
      </c>
      <c r="AP418" s="137" t="str">
        <f>'Q100a-geral'!AP1196</f>
        <v>x</v>
      </c>
      <c r="AQ418" s="137" t="str">
        <f>'Q100a-geral'!AQ1196</f>
        <v>x</v>
      </c>
      <c r="AR418" s="137"/>
      <c r="AS418" s="137"/>
      <c r="AT418" s="137"/>
      <c r="AU418" s="137"/>
      <c r="AV418" s="137" t="str">
        <f>'Q100a-geral'!AV1196</f>
        <v>x</v>
      </c>
      <c r="AW418" s="137"/>
      <c r="AX418" s="137"/>
      <c r="AY418" s="137"/>
      <c r="AZ418" s="137"/>
      <c r="BA418" s="137" t="str">
        <f>'Q100a-geral'!BA1196</f>
        <v>x</v>
      </c>
      <c r="BB418" s="239" t="str">
        <f>'Q100a-geral'!BB1196</f>
        <v>Gratuidades e descontosacessibilidade</v>
      </c>
      <c r="BC418" s="239" t="str">
        <f>'Q100a-geral'!BC1196</f>
        <v>Gratuidades e descontosacessibilidadex</v>
      </c>
      <c r="BD418" s="239" t="str">
        <f>'Q100a-geral'!BD1196</f>
        <v>Gratuidades e descontosx</v>
      </c>
    </row>
    <row r="419" spans="1:56" s="1" customFormat="1" ht="38.25" x14ac:dyDescent="0.25">
      <c r="A419" s="275" t="str">
        <f>'Q100a-geral'!A1197</f>
        <v>1.3</v>
      </c>
      <c r="B419" s="54" t="str">
        <f>'Q100a-geral'!B1197</f>
        <v>Gratuidades e descontos</v>
      </c>
      <c r="C419" s="167" t="str">
        <f>'Q100a-geral'!C1197</f>
        <v>acessibilidade</v>
      </c>
      <c r="D419" s="36" t="str">
        <f>'Q100a-geral'!D1197</f>
        <v>GR ca cr</v>
      </c>
      <c r="E419" s="464" t="str">
        <f>'Q100a-geral'!E1197</f>
        <v>Belo Horizonte</v>
      </c>
      <c r="F419" s="635" t="str">
        <f>'Q100a-geral'!F1197</f>
        <v>"GR" com acompanhante e com passagem pela roleta</v>
      </c>
      <c r="G419" s="11" t="str">
        <f>'Q100a-geral'!G1197</f>
        <v>GR da ca cr + GR df ca cr + GR dm ca cr + GR drc ca cr + GR dv ca cr</v>
      </c>
      <c r="H419" s="168" t="str">
        <f>'Q100a-geral'!H1197</f>
        <v>x</v>
      </c>
      <c r="I419" s="167">
        <f>'Q100a-geral'!I1197</f>
        <v>1</v>
      </c>
      <c r="J419" s="109" t="str">
        <f>'Q100a-geral'!J1197</f>
        <v>x</v>
      </c>
      <c r="K419" s="109" t="str">
        <f>'Q100a-geral'!K1197</f>
        <v>x</v>
      </c>
      <c r="L419" s="109" t="str">
        <f>'Q100a-geral'!L1197</f>
        <v>x</v>
      </c>
      <c r="M419" s="109" t="str">
        <f>'Q100a-geral'!M1197</f>
        <v>x</v>
      </c>
      <c r="N419" s="109" t="str">
        <f>'Q100a-geral'!N1197</f>
        <v>x</v>
      </c>
      <c r="O419" s="58" t="str">
        <f>'Q100a-geral'!O1197</f>
        <v>x</v>
      </c>
      <c r="P419" s="58" t="str">
        <f>'Q100a-geral'!P1197</f>
        <v>x</v>
      </c>
      <c r="Q419" s="58" t="str">
        <f>'Q100a-geral'!Q1197</f>
        <v>x</v>
      </c>
      <c r="R419" s="58" t="str">
        <f>'Q100a-geral'!R1197</f>
        <v>x</v>
      </c>
      <c r="S419" s="649" t="str">
        <f>'Q100a-geral'!S1197</f>
        <v>só para pesquisa</v>
      </c>
      <c r="T419" s="251" t="str">
        <f>'Q100a-geral'!T1197</f>
        <v>x</v>
      </c>
      <c r="U419" s="132"/>
      <c r="V419" s="107" t="str">
        <f>'Q100a-geral'!V1197</f>
        <v>só para pesquisa</v>
      </c>
      <c r="W419" s="86" t="str">
        <f>'Q100a-geral'!W1197</f>
        <v>x</v>
      </c>
      <c r="X419" s="86" t="str">
        <f>'Q100a-geral'!X1197</f>
        <v>x</v>
      </c>
      <c r="Y419" s="86" t="str">
        <f>'Q100a-geral'!Y1197</f>
        <v>x</v>
      </c>
      <c r="Z419" s="86" t="str">
        <f>'Q100a-geral'!Z1197</f>
        <v>x</v>
      </c>
      <c r="AA419" s="86" t="str">
        <f>'Q100a-geral'!AA1197</f>
        <v>x</v>
      </c>
      <c r="AB419" s="86" t="str">
        <f>'Q100a-geral'!AB1197</f>
        <v>x</v>
      </c>
      <c r="AC419" s="86" t="str">
        <f>'Q100a-geral'!AC1197</f>
        <v>x</v>
      </c>
      <c r="AD419" s="86" t="str">
        <f>'Q100a-geral'!AD1197</f>
        <v>x</v>
      </c>
      <c r="AE419" s="86" t="str">
        <f>'Q100a-geral'!AE1197</f>
        <v>x</v>
      </c>
      <c r="AF419" s="132"/>
      <c r="AG419" s="132"/>
      <c r="AH419" s="132"/>
      <c r="AI419" s="132"/>
      <c r="AJ419" s="132"/>
      <c r="AK419" s="20">
        <f>'Q100a-geral'!AK1197</f>
        <v>7917</v>
      </c>
      <c r="AL419" s="222" t="str">
        <f>'Q100a-geral'!AL1197</f>
        <v>x</v>
      </c>
      <c r="AM419" s="137" t="str">
        <f>'Q100a-geral'!AM1197</f>
        <v>x</v>
      </c>
      <c r="AN419" s="137" t="str">
        <f>'Q100a-geral'!AN1197</f>
        <v>x</v>
      </c>
      <c r="AO419" s="137" t="str">
        <f>'Q100a-geral'!AO1197</f>
        <v>x</v>
      </c>
      <c r="AP419" s="137" t="str">
        <f>'Q100a-geral'!AP1197</f>
        <v>x</v>
      </c>
      <c r="AQ419" s="137" t="str">
        <f>'Q100a-geral'!AQ1197</f>
        <v>x</v>
      </c>
      <c r="AR419" s="137"/>
      <c r="AS419" s="137"/>
      <c r="AT419" s="137"/>
      <c r="AU419" s="137"/>
      <c r="AV419" s="137" t="str">
        <f>'Q100a-geral'!AV1197</f>
        <v>x</v>
      </c>
      <c r="AW419" s="137"/>
      <c r="AX419" s="137"/>
      <c r="AY419" s="137"/>
      <c r="AZ419" s="137"/>
      <c r="BA419" s="137" t="str">
        <f>'Q100a-geral'!BA1197</f>
        <v>x</v>
      </c>
      <c r="BB419" s="239" t="str">
        <f>'Q100a-geral'!BB1197</f>
        <v>Gratuidades e descontosacessibilidade</v>
      </c>
      <c r="BC419" s="239" t="str">
        <f>'Q100a-geral'!BC1197</f>
        <v>Gratuidades e descontosacessibilidadex</v>
      </c>
      <c r="BD419" s="239" t="str">
        <f>'Q100a-geral'!BD1197</f>
        <v>Gratuidades e descontosx</v>
      </c>
    </row>
    <row r="420" spans="1:56" s="1" customFormat="1" ht="38.25" x14ac:dyDescent="0.25">
      <c r="A420" s="275" t="str">
        <f>'Q100a-geral'!A1198</f>
        <v>1.3</v>
      </c>
      <c r="B420" s="54" t="str">
        <f>'Q100a-geral'!B1198</f>
        <v>Gratuidades e descontos</v>
      </c>
      <c r="C420" s="167" t="str">
        <f>'Q100a-geral'!C1198</f>
        <v>acessibilidade</v>
      </c>
      <c r="D420" s="36" t="str">
        <f>'Q100a-geral'!D1198</f>
        <v>GR sa cr</v>
      </c>
      <c r="E420" s="464" t="str">
        <f>'Q100a-geral'!E1198</f>
        <v>Belo Horizonte</v>
      </c>
      <c r="F420" s="635" t="str">
        <f>'Q100a-geral'!F1198</f>
        <v>"GR" sem acompanhante e com passagem pela roleta</v>
      </c>
      <c r="G420" s="11" t="str">
        <f>'Q100a-geral'!G1198</f>
        <v>GR da sa cr + GR df sa cr + GR dm sa cr + GR drc sa cr + GR dv sa cr</v>
      </c>
      <c r="H420" s="168" t="str">
        <f>'Q100a-geral'!H1198</f>
        <v>x</v>
      </c>
      <c r="I420" s="167">
        <f>'Q100a-geral'!I1198</f>
        <v>1</v>
      </c>
      <c r="J420" s="109" t="str">
        <f>'Q100a-geral'!J1198</f>
        <v>x</v>
      </c>
      <c r="K420" s="109" t="str">
        <f>'Q100a-geral'!K1198</f>
        <v>x</v>
      </c>
      <c r="L420" s="109" t="str">
        <f>'Q100a-geral'!L1198</f>
        <v>x</v>
      </c>
      <c r="M420" s="109" t="str">
        <f>'Q100a-geral'!M1198</f>
        <v>x</v>
      </c>
      <c r="N420" s="109" t="str">
        <f>'Q100a-geral'!N1198</f>
        <v>x</v>
      </c>
      <c r="O420" s="58" t="str">
        <f>'Q100a-geral'!O1198</f>
        <v>x</v>
      </c>
      <c r="P420" s="58" t="str">
        <f>'Q100a-geral'!P1198</f>
        <v>x</v>
      </c>
      <c r="Q420" s="58" t="str">
        <f>'Q100a-geral'!Q1198</f>
        <v>x</v>
      </c>
      <c r="R420" s="58" t="str">
        <f>'Q100a-geral'!R1198</f>
        <v>x</v>
      </c>
      <c r="S420" s="649" t="str">
        <f>'Q100a-geral'!S1198</f>
        <v>só para pesquisa</v>
      </c>
      <c r="T420" s="251" t="str">
        <f>'Q100a-geral'!T1198</f>
        <v>x</v>
      </c>
      <c r="U420" s="132"/>
      <c r="V420" s="107" t="str">
        <f>'Q100a-geral'!V1198</f>
        <v>só para pesquisa</v>
      </c>
      <c r="W420" s="86" t="str">
        <f>'Q100a-geral'!W1198</f>
        <v>x</v>
      </c>
      <c r="X420" s="86" t="str">
        <f>'Q100a-geral'!X1198</f>
        <v>x</v>
      </c>
      <c r="Y420" s="86" t="str">
        <f>'Q100a-geral'!Y1198</f>
        <v>x</v>
      </c>
      <c r="Z420" s="86" t="str">
        <f>'Q100a-geral'!Z1198</f>
        <v>x</v>
      </c>
      <c r="AA420" s="86" t="str">
        <f>'Q100a-geral'!AA1198</f>
        <v>x</v>
      </c>
      <c r="AB420" s="86" t="str">
        <f>'Q100a-geral'!AB1198</f>
        <v>x</v>
      </c>
      <c r="AC420" s="86" t="str">
        <f>'Q100a-geral'!AC1198</f>
        <v>x</v>
      </c>
      <c r="AD420" s="86" t="str">
        <f>'Q100a-geral'!AD1198</f>
        <v>x</v>
      </c>
      <c r="AE420" s="86" t="str">
        <f>'Q100a-geral'!AE1198</f>
        <v>x</v>
      </c>
      <c r="AF420" s="132"/>
      <c r="AG420" s="132"/>
      <c r="AH420" s="132"/>
      <c r="AI420" s="132"/>
      <c r="AJ420" s="132"/>
      <c r="AK420" s="20">
        <f>'Q100a-geral'!AK1198</f>
        <v>8121</v>
      </c>
      <c r="AL420" s="222" t="str">
        <f>'Q100a-geral'!AL1198</f>
        <v>x</v>
      </c>
      <c r="AM420" s="137" t="str">
        <f>'Q100a-geral'!AM1198</f>
        <v>x</v>
      </c>
      <c r="AN420" s="137" t="str">
        <f>'Q100a-geral'!AN1198</f>
        <v>x</v>
      </c>
      <c r="AO420" s="137" t="str">
        <f>'Q100a-geral'!AO1198</f>
        <v>x</v>
      </c>
      <c r="AP420" s="137" t="str">
        <f>'Q100a-geral'!AP1198</f>
        <v>x</v>
      </c>
      <c r="AQ420" s="137" t="str">
        <f>'Q100a-geral'!AQ1198</f>
        <v>x</v>
      </c>
      <c r="AR420" s="137"/>
      <c r="AS420" s="137"/>
      <c r="AT420" s="137"/>
      <c r="AU420" s="137"/>
      <c r="AV420" s="137" t="str">
        <f>'Q100a-geral'!AV1198</f>
        <v>x</v>
      </c>
      <c r="AW420" s="137"/>
      <c r="AX420" s="137"/>
      <c r="AY420" s="137"/>
      <c r="AZ420" s="137"/>
      <c r="BA420" s="137" t="str">
        <f>'Q100a-geral'!BA1198</f>
        <v>x</v>
      </c>
      <c r="BB420" s="239" t="str">
        <f>'Q100a-geral'!BB1198</f>
        <v>Gratuidades e descontosacessibilidade</v>
      </c>
      <c r="BC420" s="239" t="str">
        <f>'Q100a-geral'!BC1198</f>
        <v>Gratuidades e descontosacessibilidadex</v>
      </c>
      <c r="BD420" s="239" t="str">
        <f>'Q100a-geral'!BD1198</f>
        <v>Gratuidades e descontosx</v>
      </c>
    </row>
    <row r="421" spans="1:56" s="1" customFormat="1" ht="38.25" x14ac:dyDescent="0.25">
      <c r="A421" s="275" t="str">
        <f>'Q100a-geral'!A1199</f>
        <v>1.3</v>
      </c>
      <c r="B421" s="54" t="str">
        <f>'Q100a-geral'!B1199</f>
        <v>Gratuidades e descontos</v>
      </c>
      <c r="C421" s="167" t="str">
        <f>'Q100a-geral'!C1199</f>
        <v>acessibilidade</v>
      </c>
      <c r="D421" s="36" t="str">
        <f>'Q100a-geral'!D1199</f>
        <v>GR ca sr</v>
      </c>
      <c r="E421" s="464" t="str">
        <f>'Q100a-geral'!E1199</f>
        <v>Belo Horizonte</v>
      </c>
      <c r="F421" s="635" t="str">
        <f>'Q100a-geral'!F1199</f>
        <v>"GR" com acompanhante e sem passagem pela roleta</v>
      </c>
      <c r="G421" s="11" t="str">
        <f>'Q100a-geral'!G1199</f>
        <v>GR da ca sr + GR df ca sr + GR dm ca sr + GR drc ca sr + GR dv ca sr</v>
      </c>
      <c r="H421" s="168" t="str">
        <f>'Q100a-geral'!H1199</f>
        <v>x</v>
      </c>
      <c r="I421" s="167">
        <f>'Q100a-geral'!I1199</f>
        <v>1</v>
      </c>
      <c r="J421" s="109" t="str">
        <f>'Q100a-geral'!J1199</f>
        <v>x</v>
      </c>
      <c r="K421" s="109" t="str">
        <f>'Q100a-geral'!K1199</f>
        <v>x</v>
      </c>
      <c r="L421" s="109" t="str">
        <f>'Q100a-geral'!L1199</f>
        <v>x</v>
      </c>
      <c r="M421" s="109" t="str">
        <f>'Q100a-geral'!M1199</f>
        <v>x</v>
      </c>
      <c r="N421" s="109" t="str">
        <f>'Q100a-geral'!N1199</f>
        <v>x</v>
      </c>
      <c r="O421" s="58" t="str">
        <f>'Q100a-geral'!O1199</f>
        <v>x</v>
      </c>
      <c r="P421" s="58" t="str">
        <f>'Q100a-geral'!P1199</f>
        <v>x</v>
      </c>
      <c r="Q421" s="58" t="str">
        <f>'Q100a-geral'!Q1199</f>
        <v>x</v>
      </c>
      <c r="R421" s="58" t="str">
        <f>'Q100a-geral'!R1199</f>
        <v>x</v>
      </c>
      <c r="S421" s="649" t="str">
        <f>'Q100a-geral'!S1199</f>
        <v>só para pesquisa</v>
      </c>
      <c r="T421" s="251" t="str">
        <f>'Q100a-geral'!T1199</f>
        <v>x</v>
      </c>
      <c r="U421" s="132"/>
      <c r="V421" s="107" t="str">
        <f>'Q100a-geral'!V1199</f>
        <v>só para pesquisa</v>
      </c>
      <c r="W421" s="86" t="str">
        <f>'Q100a-geral'!W1199</f>
        <v>x</v>
      </c>
      <c r="X421" s="86" t="str">
        <f>'Q100a-geral'!X1199</f>
        <v>x</v>
      </c>
      <c r="Y421" s="86" t="str">
        <f>'Q100a-geral'!Y1199</f>
        <v>x</v>
      </c>
      <c r="Z421" s="86" t="str">
        <f>'Q100a-geral'!Z1199</f>
        <v>x</v>
      </c>
      <c r="AA421" s="86" t="str">
        <f>'Q100a-geral'!AA1199</f>
        <v>x</v>
      </c>
      <c r="AB421" s="86" t="str">
        <f>'Q100a-geral'!AB1199</f>
        <v>x</v>
      </c>
      <c r="AC421" s="86" t="str">
        <f>'Q100a-geral'!AC1199</f>
        <v>x</v>
      </c>
      <c r="AD421" s="86" t="str">
        <f>'Q100a-geral'!AD1199</f>
        <v>x</v>
      </c>
      <c r="AE421" s="86" t="str">
        <f>'Q100a-geral'!AE1199</f>
        <v>x</v>
      </c>
      <c r="AF421" s="132"/>
      <c r="AG421" s="132"/>
      <c r="AH421" s="132"/>
      <c r="AI421" s="132"/>
      <c r="AJ421" s="132"/>
      <c r="AK421" s="20">
        <f>'Q100a-geral'!AK1199</f>
        <v>6114</v>
      </c>
      <c r="AL421" s="222" t="str">
        <f>'Q100a-geral'!AL1199</f>
        <v>x</v>
      </c>
      <c r="AM421" s="137" t="str">
        <f>'Q100a-geral'!AM1199</f>
        <v>x</v>
      </c>
      <c r="AN421" s="137" t="str">
        <f>'Q100a-geral'!AN1199</f>
        <v>x</v>
      </c>
      <c r="AO421" s="137" t="str">
        <f>'Q100a-geral'!AO1199</f>
        <v>x</v>
      </c>
      <c r="AP421" s="137" t="str">
        <f>'Q100a-geral'!AP1199</f>
        <v>x</v>
      </c>
      <c r="AQ421" s="137" t="str">
        <f>'Q100a-geral'!AQ1199</f>
        <v>x</v>
      </c>
      <c r="AR421" s="137"/>
      <c r="AS421" s="137"/>
      <c r="AT421" s="137"/>
      <c r="AU421" s="137"/>
      <c r="AV421" s="137" t="str">
        <f>'Q100a-geral'!AV1199</f>
        <v>x</v>
      </c>
      <c r="AW421" s="137"/>
      <c r="AX421" s="137"/>
      <c r="AY421" s="137"/>
      <c r="AZ421" s="137"/>
      <c r="BA421" s="137" t="str">
        <f>'Q100a-geral'!BA1199</f>
        <v>x</v>
      </c>
      <c r="BB421" s="239" t="str">
        <f>'Q100a-geral'!BB1199</f>
        <v>Gratuidades e descontosacessibilidade</v>
      </c>
      <c r="BC421" s="239" t="str">
        <f>'Q100a-geral'!BC1199</f>
        <v>Gratuidades e descontosacessibilidadex</v>
      </c>
      <c r="BD421" s="239" t="str">
        <f>'Q100a-geral'!BD1199</f>
        <v>Gratuidades e descontosx</v>
      </c>
    </row>
    <row r="422" spans="1:56" s="1" customFormat="1" ht="38.25" x14ac:dyDescent="0.25">
      <c r="A422" s="275" t="str">
        <f>'Q100a-geral'!A1200</f>
        <v>1.3</v>
      </c>
      <c r="B422" s="54" t="str">
        <f>'Q100a-geral'!B1200</f>
        <v>Gratuidades e descontos</v>
      </c>
      <c r="C422" s="167" t="str">
        <f>'Q100a-geral'!C1200</f>
        <v>acessibilidade</v>
      </c>
      <c r="D422" s="36" t="str">
        <f>'Q100a-geral'!D1200</f>
        <v>GR sa sr</v>
      </c>
      <c r="E422" s="464" t="str">
        <f>'Q100a-geral'!E1200</f>
        <v>Belo Horizonte</v>
      </c>
      <c r="F422" s="635" t="str">
        <f>'Q100a-geral'!F1200</f>
        <v>"GR" sem acompanhante e sem passagem pela roleta</v>
      </c>
      <c r="G422" s="11" t="str">
        <f>'Q100a-geral'!G1200</f>
        <v>GR da sa sr + GR df sa sr + GR dm sa sr + GR drc sa sr + GR dv sa sr</v>
      </c>
      <c r="H422" s="168" t="str">
        <f>'Q100a-geral'!H1200</f>
        <v>x</v>
      </c>
      <c r="I422" s="167">
        <f>'Q100a-geral'!I1200</f>
        <v>1</v>
      </c>
      <c r="J422" s="109" t="str">
        <f>'Q100a-geral'!J1200</f>
        <v>x</v>
      </c>
      <c r="K422" s="109" t="str">
        <f>'Q100a-geral'!K1200</f>
        <v>x</v>
      </c>
      <c r="L422" s="109" t="str">
        <f>'Q100a-geral'!L1200</f>
        <v>x</v>
      </c>
      <c r="M422" s="109" t="str">
        <f>'Q100a-geral'!M1200</f>
        <v>x</v>
      </c>
      <c r="N422" s="109" t="str">
        <f>'Q100a-geral'!N1200</f>
        <v>x</v>
      </c>
      <c r="O422" s="58" t="str">
        <f>'Q100a-geral'!O1200</f>
        <v>x</v>
      </c>
      <c r="P422" s="58" t="str">
        <f>'Q100a-geral'!P1200</f>
        <v>x</v>
      </c>
      <c r="Q422" s="58" t="str">
        <f>'Q100a-geral'!Q1200</f>
        <v>x</v>
      </c>
      <c r="R422" s="58" t="str">
        <f>'Q100a-geral'!R1200</f>
        <v>x</v>
      </c>
      <c r="S422" s="649" t="str">
        <f>'Q100a-geral'!S1200</f>
        <v>só para pesquisa</v>
      </c>
      <c r="T422" s="251" t="str">
        <f>'Q100a-geral'!T1200</f>
        <v>x</v>
      </c>
      <c r="U422" s="132"/>
      <c r="V422" s="107" t="str">
        <f>'Q100a-geral'!V1200</f>
        <v>só para pesquisa</v>
      </c>
      <c r="W422" s="86" t="str">
        <f>'Q100a-geral'!W1200</f>
        <v>x</v>
      </c>
      <c r="X422" s="86" t="str">
        <f>'Q100a-geral'!X1200</f>
        <v>x</v>
      </c>
      <c r="Y422" s="86" t="str">
        <f>'Q100a-geral'!Y1200</f>
        <v>x</v>
      </c>
      <c r="Z422" s="86" t="str">
        <f>'Q100a-geral'!Z1200</f>
        <v>x</v>
      </c>
      <c r="AA422" s="86" t="str">
        <f>'Q100a-geral'!AA1200</f>
        <v>x</v>
      </c>
      <c r="AB422" s="86" t="str">
        <f>'Q100a-geral'!AB1200</f>
        <v>x</v>
      </c>
      <c r="AC422" s="86" t="str">
        <f>'Q100a-geral'!AC1200</f>
        <v>x</v>
      </c>
      <c r="AD422" s="86" t="str">
        <f>'Q100a-geral'!AD1200</f>
        <v>x</v>
      </c>
      <c r="AE422" s="86" t="str">
        <f>'Q100a-geral'!AE1200</f>
        <v>x</v>
      </c>
      <c r="AF422" s="132"/>
      <c r="AG422" s="132"/>
      <c r="AH422" s="132"/>
      <c r="AI422" s="132"/>
      <c r="AJ422" s="132"/>
      <c r="AK422" s="20">
        <f>'Q100a-geral'!AK1200</f>
        <v>5470</v>
      </c>
      <c r="AL422" s="222" t="str">
        <f>'Q100a-geral'!AL1200</f>
        <v>x</v>
      </c>
      <c r="AM422" s="137" t="str">
        <f>'Q100a-geral'!AM1200</f>
        <v>x</v>
      </c>
      <c r="AN422" s="137" t="str">
        <f>'Q100a-geral'!AN1200</f>
        <v>x</v>
      </c>
      <c r="AO422" s="137" t="str">
        <f>'Q100a-geral'!AO1200</f>
        <v>x</v>
      </c>
      <c r="AP422" s="137" t="str">
        <f>'Q100a-geral'!AP1200</f>
        <v>x</v>
      </c>
      <c r="AQ422" s="137" t="str">
        <f>'Q100a-geral'!AQ1200</f>
        <v>x</v>
      </c>
      <c r="AR422" s="137"/>
      <c r="AS422" s="137"/>
      <c r="AT422" s="137"/>
      <c r="AU422" s="137"/>
      <c r="AV422" s="137" t="str">
        <f>'Q100a-geral'!AV1200</f>
        <v>x</v>
      </c>
      <c r="AW422" s="137"/>
      <c r="AX422" s="137"/>
      <c r="AY422" s="137"/>
      <c r="AZ422" s="137"/>
      <c r="BA422" s="137" t="str">
        <f>'Q100a-geral'!BA1200</f>
        <v>x</v>
      </c>
      <c r="BB422" s="239" t="str">
        <f>'Q100a-geral'!BB1200</f>
        <v>Gratuidades e descontosacessibilidade</v>
      </c>
      <c r="BC422" s="239" t="str">
        <f>'Q100a-geral'!BC1200</f>
        <v>Gratuidades e descontosacessibilidadex</v>
      </c>
      <c r="BD422" s="239" t="str">
        <f>'Q100a-geral'!BD1200</f>
        <v>Gratuidades e descontosx</v>
      </c>
    </row>
    <row r="423" spans="1:56" s="1" customFormat="1" ht="25.5" x14ac:dyDescent="0.25">
      <c r="A423" s="275" t="str">
        <f>'Q100a-geral'!A1226</f>
        <v>9.1</v>
      </c>
      <c r="B423" s="11" t="str">
        <f>'Q100a-geral'!B1226</f>
        <v>Acidentes de trânsito</v>
      </c>
      <c r="C423" s="57" t="str">
        <f>'Q100a-geral'!C1226</f>
        <v>x</v>
      </c>
      <c r="D423" s="9" t="str">
        <f>'Q100a-geral'!D1226</f>
        <v>IAF</v>
      </c>
      <c r="E423" s="5" t="str">
        <f>'Q100a-geral'!E1226</f>
        <v>x</v>
      </c>
      <c r="F423" s="448" t="str">
        <f>'Q100a-geral'!F1226</f>
        <v>índice de acidentes relativo à frota
obs.: indicador recomendado em ANTP(2011a, p.45)</v>
      </c>
      <c r="G423" s="5" t="str">
        <f>'Q100a-geral'!G1226</f>
        <v>consulte:
AV por 10 mil veículos</v>
      </c>
      <c r="H423" s="173" t="str">
        <f>'Q100a-geral'!H1226</f>
        <v>sigla/verbete</v>
      </c>
      <c r="I423" s="57" t="str">
        <f>'Q100a-geral'!I1226</f>
        <v>x</v>
      </c>
      <c r="J423" s="109" t="str">
        <f>'Q100a-geral'!J1226</f>
        <v>x</v>
      </c>
      <c r="K423" s="109" t="str">
        <f>'Q100a-geral'!K1226</f>
        <v>x</v>
      </c>
      <c r="L423" s="109" t="str">
        <f>'Q100a-geral'!L1226</f>
        <v>x</v>
      </c>
      <c r="M423" s="109" t="str">
        <f>'Q100a-geral'!M1226</f>
        <v>x</v>
      </c>
      <c r="N423" s="109" t="str">
        <f>'Q100a-geral'!N1226</f>
        <v>x</v>
      </c>
      <c r="O423" s="109" t="str">
        <f>'Q100a-geral'!O1226</f>
        <v>x</v>
      </c>
      <c r="P423" s="109" t="str">
        <f>'Q100a-geral'!P1226</f>
        <v>x</v>
      </c>
      <c r="Q423" s="109" t="str">
        <f>'Q100a-geral'!Q1226</f>
        <v>x</v>
      </c>
      <c r="R423" s="109" t="str">
        <f>'Q100a-geral'!R1226</f>
        <v>x</v>
      </c>
      <c r="S423" s="109" t="str">
        <f>'Q100a-geral'!S1226</f>
        <v>só para pesquisa</v>
      </c>
      <c r="T423" s="109" t="str">
        <f>'Q100a-geral'!T1226</f>
        <v>x</v>
      </c>
      <c r="U423" s="109" t="str">
        <f>'Q100a-geral'!U1226</f>
        <v>x</v>
      </c>
      <c r="V423" s="109" t="str">
        <f>'Q100a-geral'!V1226</f>
        <v>só para pesquisa</v>
      </c>
      <c r="W423" s="109" t="str">
        <f>'Q100a-geral'!W1226</f>
        <v>x</v>
      </c>
      <c r="X423" s="109" t="str">
        <f>'Q100a-geral'!X1226</f>
        <v>x</v>
      </c>
      <c r="Y423" s="109" t="str">
        <f>'Q100a-geral'!Y1226</f>
        <v>x</v>
      </c>
      <c r="Z423" s="109" t="str">
        <f>'Q100a-geral'!Z1226</f>
        <v>x</v>
      </c>
      <c r="AA423" s="109" t="str">
        <f>'Q100a-geral'!AA1226</f>
        <v>x</v>
      </c>
      <c r="AB423" s="109" t="str">
        <f>'Q100a-geral'!AB1226</f>
        <v>x</v>
      </c>
      <c r="AC423" s="109" t="str">
        <f>'Q100a-geral'!AC1226</f>
        <v>x</v>
      </c>
      <c r="AD423" s="109" t="str">
        <f>'Q100a-geral'!AD1226</f>
        <v>x</v>
      </c>
      <c r="AE423" s="109" t="str">
        <f>'Q100a-geral'!AE1226</f>
        <v>x</v>
      </c>
      <c r="AF423" s="109" t="str">
        <f>'Q100a-geral'!AF1226</f>
        <v>x</v>
      </c>
      <c r="AG423" s="109" t="str">
        <f>'Q100a-geral'!AG1226</f>
        <v>x</v>
      </c>
      <c r="AH423" s="109" t="str">
        <f>'Q100a-geral'!AH1226</f>
        <v>x</v>
      </c>
      <c r="AI423" s="109" t="str">
        <f>'Q100a-geral'!AI1226</f>
        <v>x</v>
      </c>
      <c r="AJ423" s="109" t="str">
        <f>'Q100a-geral'!AJ1226</f>
        <v>x</v>
      </c>
      <c r="AK423" s="137" t="str">
        <f>'Q100a-geral'!AK1226</f>
        <v>x</v>
      </c>
      <c r="AL423" s="167" t="str">
        <f>'Q100a-geral'!AL1226</f>
        <v>x</v>
      </c>
      <c r="AM423" s="137" t="str">
        <f>'Q100a-geral'!AM1226</f>
        <v>x</v>
      </c>
      <c r="AN423" s="137" t="str">
        <f>'Q100a-geral'!AN1226</f>
        <v>x</v>
      </c>
      <c r="AO423" s="137" t="str">
        <f>'Q100a-geral'!AO1226</f>
        <v>x</v>
      </c>
      <c r="AP423" s="137" t="str">
        <f>'Q100a-geral'!AP1226</f>
        <v>x</v>
      </c>
      <c r="AQ423" s="137" t="str">
        <f>'Q100a-geral'!AQ1226</f>
        <v>x</v>
      </c>
      <c r="AR423" s="137"/>
      <c r="AS423" s="137"/>
      <c r="AT423" s="137"/>
      <c r="AU423" s="137"/>
      <c r="AV423" s="137" t="str">
        <f>'Q100a-geral'!AV1226</f>
        <v>x</v>
      </c>
      <c r="AW423" s="137"/>
      <c r="AX423" s="137"/>
      <c r="AY423" s="137"/>
      <c r="AZ423" s="137"/>
      <c r="BA423" s="137" t="str">
        <f>'Q100a-geral'!BA1226</f>
        <v>x</v>
      </c>
      <c r="BB423" s="239" t="str">
        <f>'Q100a-geral'!BB1226</f>
        <v>Acidentes de trânsitox</v>
      </c>
      <c r="BC423" s="239" t="str">
        <f>'Q100a-geral'!BC1226</f>
        <v>Acidentes de trânsitoxsigla/verbete</v>
      </c>
      <c r="BD423" s="239" t="str">
        <f>'Q100a-geral'!BD1226</f>
        <v>Acidentes de trânsitosigla/verbete</v>
      </c>
    </row>
    <row r="424" spans="1:56" s="1" customFormat="1" ht="25.5" x14ac:dyDescent="0.25">
      <c r="A424" s="275" t="str">
        <f>'Q100a-geral'!A1345</f>
        <v>9.5</v>
      </c>
      <c r="B424" s="11" t="str">
        <f>'Q100a-geral'!B1345</f>
        <v>Sinalização semafórica</v>
      </c>
      <c r="C424" s="230" t="str">
        <f>'Q100a-geral'!C1345</f>
        <v>x</v>
      </c>
      <c r="D424" s="9" t="str">
        <f>'Q100a-geral'!D1345</f>
        <v>ICP</v>
      </c>
      <c r="E424" s="5" t="str">
        <f>'Q100a-geral'!E1345</f>
        <v>Belo Horizonte</v>
      </c>
      <c r="F424" s="448" t="str">
        <f>'Q100a-geral'!F1345</f>
        <v>n.º de interseções com pelo menos um foco de pedestres, ou seja, n.º total de interseções com semáforo para veículos onde em pelo menos um dos movimentos possíveis há foco específico para os pedestres</v>
      </c>
      <c r="G424" s="5" t="str">
        <f>'Q100a-geral'!G1345</f>
        <v>ITT + ITS + ITP</v>
      </c>
      <c r="H424" s="173" t="str">
        <f>'Q100a-geral'!H1345</f>
        <v>x</v>
      </c>
      <c r="I424" s="57">
        <f>'Q100a-geral'!I1345</f>
        <v>1</v>
      </c>
      <c r="J424" s="107" t="str">
        <f>'Q100a-geral'!J1345</f>
        <v>x</v>
      </c>
      <c r="K424" s="58" t="str">
        <f>'Q100a-geral'!K1345</f>
        <v>x</v>
      </c>
      <c r="L424" s="58" t="str">
        <f>'Q100a-geral'!L1345</f>
        <v>x</v>
      </c>
      <c r="M424" s="58" t="str">
        <f>'Q100a-geral'!M1345</f>
        <v>x</v>
      </c>
      <c r="N424" s="58" t="str">
        <f>'Q100a-geral'!N1345</f>
        <v>x</v>
      </c>
      <c r="O424" s="58" t="str">
        <f>'Q100a-geral'!O1345</f>
        <v>x</v>
      </c>
      <c r="P424" s="58" t="str">
        <f>'Q100a-geral'!P1345</f>
        <v>x</v>
      </c>
      <c r="Q424" s="58" t="str">
        <f>'Q100a-geral'!Q1345</f>
        <v>x</v>
      </c>
      <c r="R424" s="58" t="str">
        <f>'Q100a-geral'!R1345</f>
        <v>x</v>
      </c>
      <c r="S424" s="107" t="str">
        <f>'Q100a-geral'!S1345</f>
        <v>só para pesquisa</v>
      </c>
      <c r="T424" s="58" t="str">
        <f>'Q100a-geral'!T1345</f>
        <v>x</v>
      </c>
      <c r="U424" s="58" t="str">
        <f>'Q100a-geral'!U1345</f>
        <v>x</v>
      </c>
      <c r="V424" s="107" t="str">
        <f>'Q100a-geral'!V1345</f>
        <v>só para pesquisa</v>
      </c>
      <c r="W424" s="58" t="str">
        <f>'Q100a-geral'!W1345</f>
        <v>x</v>
      </c>
      <c r="X424" s="58" t="str">
        <f>'Q100a-geral'!X1345</f>
        <v>x</v>
      </c>
      <c r="Y424" s="72">
        <f>'Q100a-geral'!Y1345</f>
        <v>414</v>
      </c>
      <c r="Z424" s="72">
        <f>'Q100a-geral'!Z1345</f>
        <v>452</v>
      </c>
      <c r="AA424" s="72">
        <f>'Q100a-geral'!AA1345</f>
        <v>466</v>
      </c>
      <c r="AB424" s="72">
        <f>'Q100a-geral'!AB1345</f>
        <v>486</v>
      </c>
      <c r="AC424" s="72">
        <f>'Q100a-geral'!AC1345</f>
        <v>500</v>
      </c>
      <c r="AD424" s="72">
        <f>'Q100a-geral'!AD1345</f>
        <v>517</v>
      </c>
      <c r="AE424" s="72">
        <f>'Q100a-geral'!AE1345</f>
        <v>527</v>
      </c>
      <c r="AF424" s="72">
        <f>'Q100a-geral'!AF1345</f>
        <v>543</v>
      </c>
      <c r="AG424" s="72">
        <f>'Q100a-geral'!AG1345</f>
        <v>564</v>
      </c>
      <c r="AH424" s="72">
        <f>'Q100a-geral'!AH1345</f>
        <v>590</v>
      </c>
      <c r="AI424" s="72">
        <f>'Q100a-geral'!AI1345</f>
        <v>619</v>
      </c>
      <c r="AJ424" s="72">
        <f>'Q100a-geral'!AJ1345</f>
        <v>643</v>
      </c>
      <c r="AK424" s="137" t="str">
        <f>'Q100a-geral'!AK1345</f>
        <v>x</v>
      </c>
      <c r="AL424" s="212" t="str">
        <f>'Q100a-geral'!AL1345</f>
        <v>x</v>
      </c>
      <c r="AM424" s="137" t="str">
        <f>'Q100a-geral'!AM1345</f>
        <v>x</v>
      </c>
      <c r="AN424" s="137" t="str">
        <f>'Q100a-geral'!AN1345</f>
        <v>x</v>
      </c>
      <c r="AO424" s="137" t="str">
        <f>'Q100a-geral'!AO1345</f>
        <v>x</v>
      </c>
      <c r="AP424" s="137" t="str">
        <f>'Q100a-geral'!AP1345</f>
        <v>x</v>
      </c>
      <c r="AQ424" s="137" t="str">
        <f>'Q100a-geral'!AQ1345</f>
        <v>x</v>
      </c>
      <c r="AR424" s="137"/>
      <c r="AS424" s="137"/>
      <c r="AT424" s="137"/>
      <c r="AU424" s="137"/>
      <c r="AV424" s="137" t="str">
        <f>'Q100a-geral'!AV1345</f>
        <v>x</v>
      </c>
      <c r="AW424" s="137"/>
      <c r="AX424" s="137"/>
      <c r="AY424" s="137"/>
      <c r="AZ424" s="137"/>
      <c r="BA424" s="137" t="str">
        <f>'Q100a-geral'!BA1345</f>
        <v>x</v>
      </c>
      <c r="BB424" s="239" t="str">
        <f>'Q100a-geral'!BB1345</f>
        <v>Sinalização semafóricax</v>
      </c>
      <c r="BC424" s="239" t="str">
        <f>'Q100a-geral'!BC1345</f>
        <v>Sinalização semafóricaxx</v>
      </c>
      <c r="BD424" s="239" t="str">
        <f>'Q100a-geral'!BD1345</f>
        <v>Sinalização semafóricax</v>
      </c>
    </row>
    <row r="425" spans="1:56" s="1" customFormat="1" ht="94.5" customHeight="1" x14ac:dyDescent="0.25">
      <c r="A425" s="275" t="str">
        <f>'Q100a-geral'!A1346</f>
        <v>9.5</v>
      </c>
      <c r="B425" s="11" t="str">
        <f>'Q100a-geral'!B1346</f>
        <v>Sinalização semafórica</v>
      </c>
      <c r="C425" s="230" t="str">
        <f>'Q100a-geral'!C1346</f>
        <v>x</v>
      </c>
      <c r="D425" s="287" t="str">
        <f>'Q100a-geral'!D1346</f>
        <v>ICP / IS
% de interseções semaforizadas com foco de pedestres</v>
      </c>
      <c r="E425" s="458" t="str">
        <f>'Q100a-geral'!E1346</f>
        <v>Belo Horizonte</v>
      </c>
      <c r="F425" s="488" t="str">
        <f>'Q100a-geral'!F1346</f>
        <v>percentual de interseções semaforizadas com foco de pedestres em relação ao total de intervenções semaforizadas</v>
      </c>
      <c r="G425" s="11" t="str">
        <f>'Q100a-geral'!G1346</f>
        <v>(ICP/IS) x 100</v>
      </c>
      <c r="H425" s="173" t="str">
        <f>'Q100a-geral'!H1346</f>
        <v>x</v>
      </c>
      <c r="I425" s="57">
        <f>'Q100a-geral'!I1346</f>
        <v>1</v>
      </c>
      <c r="J425" s="107" t="str">
        <f>'Q100a-geral'!J1346</f>
        <v>x</v>
      </c>
      <c r="K425" s="58" t="str">
        <f>'Q100a-geral'!K1346</f>
        <v>x</v>
      </c>
      <c r="L425" s="58" t="str">
        <f>'Q100a-geral'!L1346</f>
        <v>x</v>
      </c>
      <c r="M425" s="58" t="str">
        <f>'Q100a-geral'!M1346</f>
        <v>x</v>
      </c>
      <c r="N425" s="58" t="str">
        <f>'Q100a-geral'!N1346</f>
        <v>x</v>
      </c>
      <c r="O425" s="58" t="str">
        <f>'Q100a-geral'!O1346</f>
        <v>x</v>
      </c>
      <c r="P425" s="58" t="str">
        <f>'Q100a-geral'!P1346</f>
        <v>x</v>
      </c>
      <c r="Q425" s="58" t="str">
        <f>'Q100a-geral'!Q1346</f>
        <v>x</v>
      </c>
      <c r="R425" s="58" t="str">
        <f>'Q100a-geral'!R1346</f>
        <v>x</v>
      </c>
      <c r="S425" s="649" t="str">
        <f>'Q100a-geral'!S1346</f>
        <v>só para pesquisa</v>
      </c>
      <c r="T425" s="58" t="str">
        <f>'Q100a-geral'!T1346</f>
        <v>x</v>
      </c>
      <c r="U425" s="58" t="str">
        <f>'Q100a-geral'!U1346</f>
        <v>x</v>
      </c>
      <c r="V425" s="107" t="str">
        <f>'Q100a-geral'!V1346</f>
        <v>só para pesquisa</v>
      </c>
      <c r="W425" s="58" t="str">
        <f>'Q100a-geral'!W1346</f>
        <v>x</v>
      </c>
      <c r="X425" s="58" t="str">
        <f>'Q100a-geral'!X1346</f>
        <v>x</v>
      </c>
      <c r="Y425" s="21">
        <f>'Q100a-geral'!Y1346</f>
        <v>0.73144876325088337</v>
      </c>
      <c r="Z425" s="21">
        <f>'Q100a-geral'!Z1346</f>
        <v>0.75083056478405319</v>
      </c>
      <c r="AA425" s="21">
        <f>'Q100a-geral'!AA1346</f>
        <v>0.76518883415435135</v>
      </c>
      <c r="AB425" s="21">
        <f>'Q100a-geral'!AB1346</f>
        <v>0.7665615141955836</v>
      </c>
      <c r="AC425" s="21">
        <f>'Q100a-geral'!AC1346</f>
        <v>0.77160493827160492</v>
      </c>
      <c r="AD425" s="21">
        <f>'Q100a-geral'!AD1346</f>
        <v>0.77627627627627627</v>
      </c>
      <c r="AE425" s="21">
        <f>'Q100a-geral'!AE1346</f>
        <v>0.78074074074074074</v>
      </c>
      <c r="AF425" s="21">
        <f>'Q100a-geral'!AF1346</f>
        <v>0.7858176555716353</v>
      </c>
      <c r="AG425" s="21">
        <f>'Q100a-geral'!AG1346</f>
        <v>0.78551532033426186</v>
      </c>
      <c r="AH425" s="21">
        <f>'Q100a-geral'!AH1346</f>
        <v>0.79407806191117092</v>
      </c>
      <c r="AI425" s="21">
        <f>'Q100a-geral'!AI1346</f>
        <v>0.8049414824447334</v>
      </c>
      <c r="AJ425" s="21">
        <f>'Q100a-geral'!AJ1346</f>
        <v>0.80074719800747196</v>
      </c>
      <c r="AK425" s="137" t="str">
        <f>'Q100a-geral'!AK1346</f>
        <v>x</v>
      </c>
      <c r="AL425" s="212" t="str">
        <f>'Q100a-geral'!AL1346</f>
        <v>x</v>
      </c>
      <c r="AM425" s="137" t="str">
        <f>'Q100a-geral'!AM1346</f>
        <v>x</v>
      </c>
      <c r="AN425" s="137" t="str">
        <f>'Q100a-geral'!AN1346</f>
        <v>x</v>
      </c>
      <c r="AO425" s="137" t="str">
        <f>'Q100a-geral'!AO1346</f>
        <v>x</v>
      </c>
      <c r="AP425" s="137" t="str">
        <f>'Q100a-geral'!AP1346</f>
        <v>x</v>
      </c>
      <c r="AQ425" s="137" t="str">
        <f>'Q100a-geral'!AQ1346</f>
        <v>x</v>
      </c>
      <c r="AR425" s="137"/>
      <c r="AS425" s="137"/>
      <c r="AT425" s="137"/>
      <c r="AU425" s="137"/>
      <c r="AV425" s="137" t="str">
        <f>'Q100a-geral'!AV1346</f>
        <v>x</v>
      </c>
      <c r="AW425" s="137"/>
      <c r="AX425" s="137"/>
      <c r="AY425" s="137"/>
      <c r="AZ425" s="137"/>
      <c r="BA425" s="137" t="str">
        <f>'Q100a-geral'!BA1346</f>
        <v>x</v>
      </c>
      <c r="BB425" s="239" t="str">
        <f>'Q100a-geral'!BB1346</f>
        <v>Sinalização semafóricax</v>
      </c>
      <c r="BC425" s="239" t="str">
        <f>'Q100a-geral'!BC1346</f>
        <v>Sinalização semafóricaxx</v>
      </c>
      <c r="BD425" s="239" t="str">
        <f>'Q100a-geral'!BD1346</f>
        <v>Sinalização semafóricax</v>
      </c>
    </row>
    <row r="426" spans="1:56" s="1" customFormat="1" ht="25.5" x14ac:dyDescent="0.25">
      <c r="A426" s="275" t="str">
        <f>'Q100a-geral'!A1347</f>
        <v>9.5</v>
      </c>
      <c r="B426" s="11" t="str">
        <f>'Q100a-geral'!B1347</f>
        <v>Sinalização semafórica</v>
      </c>
      <c r="C426" s="230" t="str">
        <f>'Q100a-geral'!C1347</f>
        <v>x</v>
      </c>
      <c r="D426" s="322" t="str">
        <f>'Q100a-geral'!D1347</f>
        <v>ICP em relação a LCP</v>
      </c>
      <c r="E426" s="11" t="str">
        <f>'Q100a-geral'!E1347</f>
        <v>Belo Horizonte</v>
      </c>
      <c r="F426" s="445" t="str">
        <f>'Q100a-geral'!F1347</f>
        <v>percentual de interseções semaforizadas com foco de pedestres em relação ao total de locais semaforizados com foco de pedestres</v>
      </c>
      <c r="G426" s="11" t="str">
        <f>'Q100a-geral'!G1347</f>
        <v>(ICP/LCP) x 100</v>
      </c>
      <c r="H426" s="173" t="str">
        <f>'Q100a-geral'!H1347</f>
        <v>x</v>
      </c>
      <c r="I426" s="57">
        <f>'Q100a-geral'!I1347</f>
        <v>1</v>
      </c>
      <c r="J426" s="107" t="str">
        <f>'Q100a-geral'!J1347</f>
        <v>x</v>
      </c>
      <c r="K426" s="58" t="str">
        <f>'Q100a-geral'!K1347</f>
        <v>x</v>
      </c>
      <c r="L426" s="58" t="str">
        <f>'Q100a-geral'!L1347</f>
        <v>x</v>
      </c>
      <c r="M426" s="58" t="str">
        <f>'Q100a-geral'!M1347</f>
        <v>x</v>
      </c>
      <c r="N426" s="58" t="str">
        <f>'Q100a-geral'!N1347</f>
        <v>x</v>
      </c>
      <c r="O426" s="58" t="str">
        <f>'Q100a-geral'!O1347</f>
        <v>x</v>
      </c>
      <c r="P426" s="58" t="str">
        <f>'Q100a-geral'!P1347</f>
        <v>x</v>
      </c>
      <c r="Q426" s="58" t="str">
        <f>'Q100a-geral'!Q1347</f>
        <v>x</v>
      </c>
      <c r="R426" s="58" t="str">
        <f>'Q100a-geral'!R1347</f>
        <v>x</v>
      </c>
      <c r="S426" s="649" t="str">
        <f>'Q100a-geral'!S1347</f>
        <v>só para pesquisa</v>
      </c>
      <c r="T426" s="58" t="str">
        <f>'Q100a-geral'!T1347</f>
        <v>x</v>
      </c>
      <c r="U426" s="58" t="str">
        <f>'Q100a-geral'!U1347</f>
        <v>x</v>
      </c>
      <c r="V426" s="107" t="str">
        <f>'Q100a-geral'!V1347</f>
        <v>só para pesquisa</v>
      </c>
      <c r="W426" s="58" t="str">
        <f>'Q100a-geral'!W1347</f>
        <v>x</v>
      </c>
      <c r="X426" s="58" t="str">
        <f>'Q100a-geral'!X1347</f>
        <v>x</v>
      </c>
      <c r="Y426" s="21">
        <f>'Q100a-geral'!Y1347</f>
        <v>0.84146341463414631</v>
      </c>
      <c r="Z426" s="21">
        <f>'Q100a-geral'!Z1347</f>
        <v>0.83241252302025781</v>
      </c>
      <c r="AA426" s="21">
        <f>'Q100a-geral'!AA1347</f>
        <v>0.82042253521126762</v>
      </c>
      <c r="AB426" s="21">
        <f>'Q100a-geral'!AB1347</f>
        <v>0.82233502538071068</v>
      </c>
      <c r="AC426" s="21">
        <f>'Q100a-geral'!AC1347</f>
        <v>0.81433224755700329</v>
      </c>
      <c r="AD426" s="21">
        <f>'Q100a-geral'!AD1347</f>
        <v>0.80655226209048358</v>
      </c>
      <c r="AE426" s="21">
        <f>'Q100a-geral'!AE1347</f>
        <v>0.79367469879518071</v>
      </c>
      <c r="AF426" s="21">
        <f>'Q100a-geral'!AF1347</f>
        <v>0.79039301310043664</v>
      </c>
      <c r="AG426" s="21">
        <f>'Q100a-geral'!AG1347</f>
        <v>0.79436619718309864</v>
      </c>
      <c r="AH426" s="21">
        <f>'Q100a-geral'!AH1347</f>
        <v>0.79088471849865949</v>
      </c>
      <c r="AI426" s="21">
        <f>'Q100a-geral'!AI1347</f>
        <v>0.79460847240051347</v>
      </c>
      <c r="AJ426" s="21">
        <f>'Q100a-geral'!AJ1347</f>
        <v>0.79187192118226601</v>
      </c>
      <c r="AK426" s="137" t="str">
        <f>'Q100a-geral'!AK1347</f>
        <v>x</v>
      </c>
      <c r="AL426" s="212" t="str">
        <f>'Q100a-geral'!AL1347</f>
        <v>x</v>
      </c>
      <c r="AM426" s="137" t="str">
        <f>'Q100a-geral'!AM1347</f>
        <v>x</v>
      </c>
      <c r="AN426" s="137" t="str">
        <f>'Q100a-geral'!AN1347</f>
        <v>x</v>
      </c>
      <c r="AO426" s="137" t="str">
        <f>'Q100a-geral'!AO1347</f>
        <v>x</v>
      </c>
      <c r="AP426" s="137" t="str">
        <f>'Q100a-geral'!AP1347</f>
        <v>x</v>
      </c>
      <c r="AQ426" s="137" t="str">
        <f>'Q100a-geral'!AQ1347</f>
        <v>x</v>
      </c>
      <c r="AR426" s="137"/>
      <c r="AS426" s="137"/>
      <c r="AT426" s="137"/>
      <c r="AU426" s="137"/>
      <c r="AV426" s="137" t="str">
        <f>'Q100a-geral'!AV1347</f>
        <v>x</v>
      </c>
      <c r="AW426" s="137"/>
      <c r="AX426" s="137"/>
      <c r="AY426" s="137"/>
      <c r="AZ426" s="137"/>
      <c r="BA426" s="137" t="str">
        <f>'Q100a-geral'!BA1347</f>
        <v>x</v>
      </c>
      <c r="BB426" s="239" t="str">
        <f>'Q100a-geral'!BB1347</f>
        <v>Sinalização semafóricax</v>
      </c>
      <c r="BC426" s="239" t="str">
        <f>'Q100a-geral'!BC1347</f>
        <v>Sinalização semafóricaxx</v>
      </c>
      <c r="BD426" s="239" t="str">
        <f>'Q100a-geral'!BD1347</f>
        <v>Sinalização semafóricax</v>
      </c>
    </row>
    <row r="427" spans="1:56" s="1" customFormat="1" ht="45" x14ac:dyDescent="0.25">
      <c r="A427" s="275" t="str">
        <f>'Q100a-geral'!A1349</f>
        <v>8.5</v>
      </c>
      <c r="B427" s="54" t="str">
        <f>'Q100a-geral'!B1349</f>
        <v>Transporte convencional</v>
      </c>
      <c r="C427" s="230" t="str">
        <f>'Q100a-geral'!C1349</f>
        <v>x</v>
      </c>
      <c r="D427" s="9" t="str">
        <f>'Q100a-geral'!D1349</f>
        <v>IDO tcc</v>
      </c>
      <c r="E427" s="5" t="str">
        <f>'Q100a-geral'!E1349</f>
        <v>Belo Horizonte</v>
      </c>
      <c r="F427" s="448" t="str">
        <f>'Q100a-geral'!F1349</f>
        <v>índice de desempenho operacional do transporte coletivo convencional
obs.1: o índice é calculado mensalmente (o SisMob-BH selecionou o mês de dezembro como representativo do ano)
obs.2: indicador estratégico da BHTrans (BHTRANS, 2015d)
obs.3: resultados mensais relativos ao período jan2012-dez2013 disponíveis em BHTRANS (2015e, p.46)</v>
      </c>
      <c r="G427" s="5" t="str">
        <f>'Q100a-geral'!G1349</f>
        <v>registro na fonte</v>
      </c>
      <c r="H427" s="173" t="str">
        <f>'Q100a-geral'!H1349</f>
        <v>x</v>
      </c>
      <c r="I427" s="57">
        <f>'Q100a-geral'!I1349</f>
        <v>1</v>
      </c>
      <c r="J427" s="107" t="str">
        <f>'Q100a-geral'!J1349</f>
        <v>x</v>
      </c>
      <c r="K427" s="107" t="str">
        <f>'Q100a-geral'!K1349</f>
        <v>x</v>
      </c>
      <c r="L427" s="107" t="str">
        <f>'Q100a-geral'!L1349</f>
        <v>x</v>
      </c>
      <c r="M427" s="84" t="str">
        <f>'Q100a-geral'!M1349</f>
        <v>x</v>
      </c>
      <c r="N427" s="84" t="str">
        <f>'Q100a-geral'!N1349</f>
        <v>x</v>
      </c>
      <c r="O427" s="84" t="str">
        <f>'Q100a-geral'!O1349</f>
        <v>x</v>
      </c>
      <c r="P427" s="84" t="str">
        <f>'Q100a-geral'!P1349</f>
        <v>x</v>
      </c>
      <c r="Q427" s="84" t="str">
        <f>'Q100a-geral'!Q1349</f>
        <v>x</v>
      </c>
      <c r="R427" s="84" t="str">
        <f>'Q100a-geral'!R1349</f>
        <v>x</v>
      </c>
      <c r="S427" s="649" t="str">
        <f>'Q100a-geral'!S1349</f>
        <v>só para pesquisa</v>
      </c>
      <c r="T427" s="84" t="str">
        <f>'Q100a-geral'!T1349</f>
        <v>x</v>
      </c>
      <c r="U427" s="84" t="str">
        <f>'Q100a-geral'!U1349</f>
        <v>x</v>
      </c>
      <c r="V427" s="107" t="str">
        <f>'Q100a-geral'!V1349</f>
        <v>só para pesquisa</v>
      </c>
      <c r="W427" s="84" t="str">
        <f>'Q100a-geral'!W1349</f>
        <v>x</v>
      </c>
      <c r="X427" s="84" t="str">
        <f>'Q100a-geral'!X1349</f>
        <v>x</v>
      </c>
      <c r="Y427" s="84" t="str">
        <f>'Q100a-geral'!Y1349</f>
        <v>x</v>
      </c>
      <c r="Z427" s="84" t="str">
        <f>'Q100a-geral'!Z1349</f>
        <v>x</v>
      </c>
      <c r="AA427" s="84" t="str">
        <f>'Q100a-geral'!AA1349</f>
        <v>x</v>
      </c>
      <c r="AB427" s="84" t="str">
        <f>'Q100a-geral'!AB1349</f>
        <v>x</v>
      </c>
      <c r="AC427" s="84" t="str">
        <f>'Q100a-geral'!AC1349</f>
        <v>x</v>
      </c>
      <c r="AD427" s="84" t="str">
        <f>'Q100a-geral'!AD1349</f>
        <v>x</v>
      </c>
      <c r="AE427" s="84" t="str">
        <f>'Q100a-geral'!AE1349</f>
        <v>x</v>
      </c>
      <c r="AF427" s="84" t="str">
        <f>'Q100a-geral'!AF1349</f>
        <v>x</v>
      </c>
      <c r="AG427" s="84" t="str">
        <f>'Q100a-geral'!AG1349</f>
        <v>x</v>
      </c>
      <c r="AH427" s="84">
        <f>'Q100a-geral'!AH1349</f>
        <v>75.7</v>
      </c>
      <c r="AI427" s="84">
        <f>'Q100a-geral'!AI1349</f>
        <v>69.8</v>
      </c>
      <c r="AJ427" s="84" t="str">
        <f>'Q100a-geral'!AJ1349</f>
        <v>aguardando atualização da fonte</v>
      </c>
      <c r="AK427" s="137" t="str">
        <f>'Q100a-geral'!AK1349</f>
        <v>aguardando atualização da fonte</v>
      </c>
      <c r="AL427" s="213" t="str">
        <f>'Q100a-geral'!AL1349</f>
        <v>x</v>
      </c>
      <c r="AM427" s="137" t="str">
        <f>'Q100a-geral'!AM1349</f>
        <v>x</v>
      </c>
      <c r="AN427" s="137" t="str">
        <f>'Q100a-geral'!AN1349</f>
        <v>x</v>
      </c>
      <c r="AO427" s="137" t="str">
        <f>'Q100a-geral'!AO1349</f>
        <v>x</v>
      </c>
      <c r="AP427" s="137" t="str">
        <f>'Q100a-geral'!AP1349</f>
        <v>x</v>
      </c>
      <c r="AQ427" s="137" t="str">
        <f>'Q100a-geral'!AQ1349</f>
        <v>x</v>
      </c>
      <c r="AR427" s="137"/>
      <c r="AS427" s="137"/>
      <c r="AT427" s="137"/>
      <c r="AU427" s="137"/>
      <c r="AV427" s="137" t="str">
        <f>'Q100a-geral'!AV1349</f>
        <v>x</v>
      </c>
      <c r="AW427" s="137"/>
      <c r="AX427" s="137"/>
      <c r="AY427" s="137"/>
      <c r="AZ427" s="137"/>
      <c r="BA427" s="137" t="str">
        <f>'Q100a-geral'!BA1349</f>
        <v>x</v>
      </c>
      <c r="BB427" s="239" t="str">
        <f>'Q100a-geral'!BB1349</f>
        <v>Transporte convencionalx</v>
      </c>
      <c r="BC427" s="239" t="str">
        <f>'Q100a-geral'!BC1349</f>
        <v>Transporte convencionalxx</v>
      </c>
      <c r="BD427" s="239" t="str">
        <f>'Q100a-geral'!BD1349</f>
        <v>Transporte convencionalx</v>
      </c>
    </row>
    <row r="428" spans="1:56" s="3" customFormat="1" ht="60" customHeight="1" x14ac:dyDescent="0.25">
      <c r="A428" s="275" t="str">
        <f>'Q100a-geral'!A1214</f>
        <v>8.10</v>
      </c>
      <c r="B428" s="11" t="str">
        <f>'Q100a-geral'!B1214</f>
        <v>Sistema de transporte coletivo com um todo</v>
      </c>
      <c r="C428" s="57" t="str">
        <f>'Q100a-geral'!C1214</f>
        <v>acessibilidade</v>
      </c>
      <c r="D428" s="336" t="str">
        <f>'Q100a-geral'!D1214</f>
        <v>IAED tc</v>
      </c>
      <c r="E428" s="355" t="str">
        <f>'Q100a-geral'!E1214</f>
        <v>Belo Horizonte</v>
      </c>
      <c r="F428" s="488" t="str">
        <f>'Q100a-geral'!F1214</f>
        <v>índice de acessibilidade do embarque/desembarque da frota de transporte coletivo (convencional e suplementar) de Belo Horizonte na escala de 1 a 10 definida pelo SisMob-BH (onde 1 é a pior situação, 6 é o "RPI de acessibilidade sem desenho universal" e 10 é a melhor situação como "RPI de desenho universal")
obs.: consulte "acessibilidade em ônibus urbano (escala)"</v>
      </c>
      <c r="G428" s="11" t="str">
        <f>'Q100a-geral'!G1214</f>
        <v>((IEAD tcc xF tcc) + (IEAD ts x F tcs)) / F tc</v>
      </c>
      <c r="H428" s="167" t="str">
        <f>'Q100a-geral'!H1214</f>
        <v>x</v>
      </c>
      <c r="I428" s="167">
        <f>'Q100a-geral'!I1214</f>
        <v>1</v>
      </c>
      <c r="J428" s="109" t="str">
        <f>'Q100a-geral'!J1214</f>
        <v>não gerenciado pela BHTrans</v>
      </c>
      <c r="K428" s="109" t="str">
        <f>'Q100a-geral'!K1214</f>
        <v>não gerenciado pela BHTrans</v>
      </c>
      <c r="L428" s="109" t="str">
        <f>'Q100a-geral'!L1214</f>
        <v>não gerenciado pela BHTrans</v>
      </c>
      <c r="M428" s="357">
        <f>'Q100a-geral'!M1214</f>
        <v>1</v>
      </c>
      <c r="N428" s="357">
        <f>'Q100a-geral'!N1214</f>
        <v>1</v>
      </c>
      <c r="O428" s="357">
        <f>'Q100a-geral'!O1214</f>
        <v>1</v>
      </c>
      <c r="P428" s="111" t="e">
        <f>'Q100a-geral'!P1214</f>
        <v>#VALUE!</v>
      </c>
      <c r="Q428" s="111" t="e">
        <f>'Q100a-geral'!Q1214</f>
        <v>#VALUE!</v>
      </c>
      <c r="R428" s="111" t="e">
        <f>'Q100a-geral'!R1214</f>
        <v>#VALUE!</v>
      </c>
      <c r="S428" s="109" t="str">
        <f>'Q100a-geral'!S1214</f>
        <v>só para pesquisa</v>
      </c>
      <c r="T428" s="111" t="e">
        <f>'Q100a-geral'!T1214</f>
        <v>#VALUE!</v>
      </c>
      <c r="U428" s="111" t="e">
        <f>'Q100a-geral'!U1214</f>
        <v>#VALUE!</v>
      </c>
      <c r="V428" s="109" t="str">
        <f>'Q100a-geral'!V1214</f>
        <v>só para pesquisa</v>
      </c>
      <c r="W428" s="357" t="e">
        <f>'Q100a-geral'!W1214</f>
        <v>#VALUE!</v>
      </c>
      <c r="X428" s="357" t="e">
        <f>'Q100a-geral'!X1214</f>
        <v>#VALUE!</v>
      </c>
      <c r="Y428" s="357" t="e">
        <f>'Q100a-geral'!Y1214</f>
        <v>#VALUE!</v>
      </c>
      <c r="Z428" s="357" t="e">
        <f>'Q100a-geral'!Z1214</f>
        <v>#VALUE!</v>
      </c>
      <c r="AA428" s="357" t="e">
        <f>'Q100a-geral'!AA1214</f>
        <v>#VALUE!</v>
      </c>
      <c r="AB428" s="357" t="e">
        <f>'Q100a-geral'!AB1214</f>
        <v>#VALUE!</v>
      </c>
      <c r="AC428" s="357" t="e">
        <f>'Q100a-geral'!AC1214</f>
        <v>#VALUE!</v>
      </c>
      <c r="AD428" s="357" t="e">
        <f>'Q100a-geral'!AD1214</f>
        <v>#VALUE!</v>
      </c>
      <c r="AE428" s="627"/>
      <c r="AF428" s="627"/>
      <c r="AG428" s="627"/>
      <c r="AH428" s="627"/>
      <c r="AI428" s="627"/>
      <c r="AJ428" s="357">
        <f>'Q100a-geral'!AJ1214</f>
        <v>3.0327272727272727</v>
      </c>
      <c r="AK428" s="627">
        <f>'Q100a-geral'!AK1214</f>
        <v>3.0946196660482377</v>
      </c>
      <c r="AL428" s="57" t="str">
        <f>'Q100a-geral'!AL1214</f>
        <v>x</v>
      </c>
      <c r="AM428" s="137" t="str">
        <f>'Q100a-geral'!AM1214</f>
        <v>x</v>
      </c>
      <c r="AN428" s="137" t="str">
        <f>'Q100a-geral'!AN1214</f>
        <v>x</v>
      </c>
      <c r="AO428" s="137" t="str">
        <f>'Q100a-geral'!AO1214</f>
        <v>x</v>
      </c>
      <c r="AP428" s="137" t="str">
        <f>'Q100a-geral'!AP1214</f>
        <v>x</v>
      </c>
      <c r="AQ428" s="137" t="str">
        <f>'Q100a-geral'!AQ1214</f>
        <v>x</v>
      </c>
      <c r="AR428" s="137"/>
      <c r="AS428" s="137"/>
      <c r="AT428" s="137"/>
      <c r="AU428" s="137"/>
      <c r="AV428" s="137" t="str">
        <f>'Q100a-geral'!AV1214</f>
        <v>x</v>
      </c>
      <c r="AW428" s="137"/>
      <c r="AX428" s="137"/>
      <c r="AY428" s="137"/>
      <c r="AZ428" s="137"/>
      <c r="BA428" s="137" t="str">
        <f>'Q100a-geral'!BA1214</f>
        <v>x</v>
      </c>
      <c r="BB428" s="239" t="str">
        <f>'Q100a-geral'!BB1214</f>
        <v>Sistema de transporte coletivo com um todoacessibilidade</v>
      </c>
      <c r="BC428" s="239" t="str">
        <f>'Q100a-geral'!BC1214</f>
        <v>Sistema de transporte coletivo com um todoacessibilidadex</v>
      </c>
      <c r="BD428" s="239" t="str">
        <f>'Q100a-geral'!BD1214</f>
        <v>Sistema de transporte coletivo com um todox</v>
      </c>
    </row>
    <row r="429" spans="1:56" s="3" customFormat="1" ht="81" customHeight="1" x14ac:dyDescent="0.25">
      <c r="A429" s="275" t="str">
        <f>'Q100a-geral'!A1215</f>
        <v>8.5</v>
      </c>
      <c r="B429" s="54" t="str">
        <f>'Q100a-geral'!B1215</f>
        <v>Transporte convencional</v>
      </c>
      <c r="C429" s="230" t="str">
        <f>'Q100a-geral'!C1215</f>
        <v>acessibilidade</v>
      </c>
      <c r="D429" s="361" t="str">
        <f>'Q100a-geral'!D1215</f>
        <v>IAED tcc</v>
      </c>
      <c r="E429" s="363" t="str">
        <f>'Q100a-geral'!E1215</f>
        <v>Belo Horizonte</v>
      </c>
      <c r="F429" s="630" t="str">
        <f>'Q100a-geral'!F1215</f>
        <v>índice de acessibilidade do embarque/desembarque da frota de transporte convencional de Belo Horizonte gerenciado pela BHTrans na escala de 1 a 10 definida pelo SisMob-BH (onde 1 é a pior situação, 6 é o "RPI de acessibilidade sem desenho universal" e 10 é a melhor situação como "RPI de desenho universal")
obs.1: consulte "acessibilidade em ônibus urbano (escala)"
obs.2: resultado de 2016 (fórmula) confere com BHTRANS(2017c2)</v>
      </c>
      <c r="G429" s="54" t="str">
        <f>'Q100a-geral'!G1215</f>
        <v>∑(n.º de veículos x nota) / n.º de veículos</v>
      </c>
      <c r="H429" s="167" t="str">
        <f>'Q100a-geral'!H1215</f>
        <v>x</v>
      </c>
      <c r="I429" s="167">
        <f>'Q100a-geral'!I1215</f>
        <v>1</v>
      </c>
      <c r="J429" s="109" t="str">
        <f>'Q100a-geral'!J1215</f>
        <v>não gerenciado pela BHTrans</v>
      </c>
      <c r="K429" s="109" t="str">
        <f>'Q100a-geral'!K1215</f>
        <v>não gerenciado pela BHTrans</v>
      </c>
      <c r="L429" s="109" t="str">
        <f>'Q100a-geral'!L1215</f>
        <v>não gerenciado pela BHTrans</v>
      </c>
      <c r="M429" s="357">
        <f>'Q100a-geral'!M1215</f>
        <v>1</v>
      </c>
      <c r="N429" s="357">
        <f>'Q100a-geral'!N1215</f>
        <v>1</v>
      </c>
      <c r="O429" s="357">
        <f>'Q100a-geral'!O1215</f>
        <v>1</v>
      </c>
      <c r="P429" s="478"/>
      <c r="Q429" s="478"/>
      <c r="R429" s="478"/>
      <c r="S429" s="109" t="str">
        <f>'Q100a-geral'!S1215</f>
        <v>só para pesquisa</v>
      </c>
      <c r="T429" s="478"/>
      <c r="U429" s="478"/>
      <c r="V429" s="109" t="str">
        <f>'Q100a-geral'!V1215</f>
        <v>só para pesquisa</v>
      </c>
      <c r="W429" s="478"/>
      <c r="X429" s="478"/>
      <c r="Y429" s="357">
        <f>'Q100a-geral'!Y1215</f>
        <v>1.2727907789032484</v>
      </c>
      <c r="Z429" s="478"/>
      <c r="AA429" s="478"/>
      <c r="AB429" s="478"/>
      <c r="AC429" s="478"/>
      <c r="AD429" s="627"/>
      <c r="AE429" s="357">
        <f>'Q100a-geral'!AE1215</f>
        <v>1.8360196215837421</v>
      </c>
      <c r="AF429" s="357">
        <f>'Q100a-geral'!AF1215</f>
        <v>2.0056497175141241</v>
      </c>
      <c r="AG429" s="357">
        <f>'Q100a-geral'!AG1215</f>
        <v>2.170764119601329</v>
      </c>
      <c r="AH429" s="357">
        <f>'Q100a-geral'!AH1215</f>
        <v>2.2666227781435153</v>
      </c>
      <c r="AI429" s="357">
        <f>'Q100a-geral'!AI1215</f>
        <v>2.3715882933245642</v>
      </c>
      <c r="AJ429" s="357">
        <f>'Q100a-geral'!AJ1215</f>
        <v>3.0406880582203111</v>
      </c>
      <c r="AK429" s="64">
        <f>'Q100a-geral'!AK1215</f>
        <v>3.1067567567567567</v>
      </c>
      <c r="AL429" s="173" t="str">
        <f>'Q100a-geral'!AL1215</f>
        <v>x</v>
      </c>
      <c r="AM429" s="64">
        <f>'Q100a-geral'!AM1215</f>
        <v>3.2660115215181293</v>
      </c>
      <c r="AN429" s="137" t="str">
        <f>'Q100a-geral'!AN1215</f>
        <v>x</v>
      </c>
      <c r="AO429" s="137" t="str">
        <f>'Q100a-geral'!AO1215</f>
        <v>x</v>
      </c>
      <c r="AP429" s="137" t="str">
        <f>'Q100a-geral'!AP1215</f>
        <v>x</v>
      </c>
      <c r="AQ429" s="137" t="str">
        <f>'Q100a-geral'!AQ1215</f>
        <v>x</v>
      </c>
      <c r="AR429" s="137"/>
      <c r="AS429" s="137"/>
      <c r="AT429" s="137"/>
      <c r="AU429" s="137"/>
      <c r="AV429" s="137" t="str">
        <f>'Q100a-geral'!AV1215</f>
        <v>x</v>
      </c>
      <c r="AW429" s="137"/>
      <c r="AX429" s="137"/>
      <c r="AY429" s="137"/>
      <c r="AZ429" s="137"/>
      <c r="BA429" s="137" t="str">
        <f>'Q100a-geral'!BA1215</f>
        <v>x</v>
      </c>
      <c r="BB429" s="239" t="str">
        <f>'Q100a-geral'!BB1215</f>
        <v>Transporte convencionalacessibilidade</v>
      </c>
      <c r="BC429" s="239" t="str">
        <f>'Q100a-geral'!BC1215</f>
        <v>Transporte convencionalacessibilidadex</v>
      </c>
      <c r="BD429" s="239" t="str">
        <f>'Q100a-geral'!BD1215</f>
        <v>Transporte convencionalx</v>
      </c>
    </row>
    <row r="430" spans="1:56" s="3" customFormat="1" ht="77.25" customHeight="1" x14ac:dyDescent="0.25">
      <c r="A430" s="262" t="str">
        <f>'Q100a-geral'!A1217</f>
        <v>8.7</v>
      </c>
      <c r="B430" s="252" t="str">
        <f>'Q100a-geral'!B1217</f>
        <v>Transporte de baixa capacidade</v>
      </c>
      <c r="C430" s="229" t="str">
        <f>'Q100a-geral'!C1217</f>
        <v>acessibilidade</v>
      </c>
      <c r="D430" s="361" t="str">
        <f>'Q100a-geral'!D1217</f>
        <v>IAED tcs</v>
      </c>
      <c r="E430" s="363" t="str">
        <f>'Q100a-geral'!E1217</f>
        <v>Belo Horizonte</v>
      </c>
      <c r="F430" s="485" t="str">
        <f>'Q100a-geral'!F1217</f>
        <v>índice de acessibilidade do embarque/desembarque da frota de transporte suplementar de Belo Horizonte na escala de 1 a 10 definida pelo SisMob-BH (onde 1 é a pior situação, 6 é o "RPI de acessibilidade sem desenho universal" e 10 é a melhor situação como "RPI de desenho universal") 
obs.: consulte "acessibilidade em ônibus urbano (escala)"</v>
      </c>
      <c r="G430" s="370" t="str">
        <f>'Q100a-geral'!G1217</f>
        <v>∑(n.º de veículos x nota) / n.º de veículos</v>
      </c>
      <c r="H430" s="167" t="str">
        <f>'Q100a-geral'!H1217</f>
        <v>x</v>
      </c>
      <c r="I430" s="167">
        <f>'Q100a-geral'!I1217</f>
        <v>1</v>
      </c>
      <c r="J430" s="109" t="str">
        <f>'Q100a-geral'!J1217</f>
        <v>não gerenciado pela BHTrans</v>
      </c>
      <c r="K430" s="109" t="str">
        <f>'Q100a-geral'!K1217</f>
        <v>não gerenciado pela BHTrans</v>
      </c>
      <c r="L430" s="109" t="str">
        <f>'Q100a-geral'!L1217</f>
        <v>não gerenciado pela BHTrans</v>
      </c>
      <c r="M430" s="109" t="str">
        <f>'Q100a-geral'!M1217</f>
        <v>serviço não existia antes de 2001</v>
      </c>
      <c r="N430" s="109" t="str">
        <f>'Q100a-geral'!N1217</f>
        <v>serviço não existia antes de 2001</v>
      </c>
      <c r="O430" s="109" t="str">
        <f>'Q100a-geral'!O1217</f>
        <v>serviço não existia antes de 2001</v>
      </c>
      <c r="P430" s="109" t="str">
        <f>'Q100a-geral'!P1217</f>
        <v>serviço não existia antes de 2001</v>
      </c>
      <c r="Q430" s="109" t="str">
        <f>'Q100a-geral'!Q1217</f>
        <v>serviço não existia antes de 2001</v>
      </c>
      <c r="R430" s="109" t="str">
        <f>'Q100a-geral'!R1217</f>
        <v>serviço não existia antes de 2001</v>
      </c>
      <c r="S430" s="109" t="str">
        <f>'Q100a-geral'!S1217</f>
        <v>só para pesquisa</v>
      </c>
      <c r="T430" s="109" t="str">
        <f>'Q100a-geral'!T1217</f>
        <v>serviço não existia antes de 2001</v>
      </c>
      <c r="U430" s="109" t="str">
        <f>'Q100a-geral'!U1217</f>
        <v>serviço não existia antes de 2001</v>
      </c>
      <c r="V430" s="109" t="str">
        <f>'Q100a-geral'!V1217</f>
        <v>só para pesquisa</v>
      </c>
      <c r="W430" s="109" t="str">
        <f>'Q100a-geral'!W1217</f>
        <v>x</v>
      </c>
      <c r="X430" s="109" t="str">
        <f>'Q100a-geral'!X1217</f>
        <v>x</v>
      </c>
      <c r="Y430" s="109" t="str">
        <f>'Q100a-geral'!Y1217</f>
        <v>x</v>
      </c>
      <c r="Z430" s="109" t="str">
        <f>'Q100a-geral'!Z1217</f>
        <v>x</v>
      </c>
      <c r="AA430" s="109" t="str">
        <f>'Q100a-geral'!AA1217</f>
        <v>x</v>
      </c>
      <c r="AB430" s="109" t="str">
        <f>'Q100a-geral'!AB1217</f>
        <v>x</v>
      </c>
      <c r="AC430" s="109" t="str">
        <f>'Q100a-geral'!AC1217</f>
        <v>x</v>
      </c>
      <c r="AD430" s="109" t="str">
        <f>'Q100a-geral'!AD1217</f>
        <v>x</v>
      </c>
      <c r="AE430" s="478"/>
      <c r="AF430" s="478"/>
      <c r="AG430" s="478"/>
      <c r="AH430" s="478"/>
      <c r="AI430" s="478"/>
      <c r="AJ430" s="357">
        <f>'Q100a-geral'!AJ1217</f>
        <v>2.9458483754512637</v>
      </c>
      <c r="AK430" s="627">
        <f>'Q100a-geral'!AK1217</f>
        <v>2.9635036496350367</v>
      </c>
      <c r="AL430" s="173" t="str">
        <f>'Q100a-geral'!AL1217</f>
        <v>x</v>
      </c>
      <c r="AM430" s="137" t="str">
        <f>'Q100a-geral'!AM1217</f>
        <v>x</v>
      </c>
      <c r="AN430" s="137" t="str">
        <f>'Q100a-geral'!AN1217</f>
        <v>x</v>
      </c>
      <c r="AO430" s="137" t="str">
        <f>'Q100a-geral'!AO1217</f>
        <v>x</v>
      </c>
      <c r="AP430" s="137" t="str">
        <f>'Q100a-geral'!AP1217</f>
        <v>x</v>
      </c>
      <c r="AQ430" s="137" t="str">
        <f>'Q100a-geral'!AQ1217</f>
        <v>x</v>
      </c>
      <c r="AR430" s="137"/>
      <c r="AS430" s="137"/>
      <c r="AT430" s="137"/>
      <c r="AU430" s="137"/>
      <c r="AV430" s="137" t="str">
        <f>'Q100a-geral'!AV1217</f>
        <v>x</v>
      </c>
      <c r="AW430" s="137"/>
      <c r="AX430" s="137"/>
      <c r="AY430" s="137"/>
      <c r="AZ430" s="137"/>
      <c r="BA430" s="137" t="str">
        <f>'Q100a-geral'!BA1217</f>
        <v>x</v>
      </c>
      <c r="BB430" s="239" t="str">
        <f>'Q100a-geral'!BB1217</f>
        <v>Transporte de baixa capacidadeacessibilidade</v>
      </c>
      <c r="BC430" s="239" t="str">
        <f>'Q100a-geral'!BC1217</f>
        <v>Transporte de baixa capacidadeacessibilidadex</v>
      </c>
      <c r="BD430" s="239" t="str">
        <f>'Q100a-geral'!BD1217</f>
        <v>Transporte de baixa capacidadex</v>
      </c>
    </row>
    <row r="431" spans="1:56" s="3" customFormat="1" ht="102" customHeight="1" x14ac:dyDescent="0.25">
      <c r="A431" s="262" t="str">
        <f>'Q100a-geral'!A1218</f>
        <v>8.10</v>
      </c>
      <c r="B431" s="252" t="str">
        <f>'Q100a-geral'!B1218</f>
        <v>Sistema de transporte coletivo com um todo</v>
      </c>
      <c r="C431" s="229" t="str">
        <f>'Q100a-geral'!C1218</f>
        <v>acessibilidade</v>
      </c>
      <c r="D431" s="361" t="str">
        <f>'Q100a-geral'!D1218</f>
        <v>IAED tc</v>
      </c>
      <c r="E431" s="363" t="str">
        <f>'Q100a-geral'!E1218</f>
        <v>Contagem</v>
      </c>
      <c r="F431" s="485" t="str">
        <f>'Q100a-geral'!F1218</f>
        <v>índice de acessibilidade do embarque/desembarque da frota de transporte coletivo por ônibus urbano de Contagem na escala de 1 a 10 definida pelo SisMob-BH (onde 1 é a pior situação, 6 é o "RPI de acessibilidade sem desenho universal" e 10 é a melhor situação como "RPI de desenho universal")
obs.1: consulte "acessibilidade em ônibus urbano (escala)"</v>
      </c>
      <c r="G431" s="370" t="str">
        <f>'Q100a-geral'!G1218</f>
        <v>∑(n.º de veículos x nota) / n.º de veículos</v>
      </c>
      <c r="H431" s="167" t="str">
        <f>'Q100a-geral'!H1218</f>
        <v>x</v>
      </c>
      <c r="I431" s="167">
        <f>'Q100a-geral'!I1218</f>
        <v>1</v>
      </c>
      <c r="J431" s="109" t="str">
        <f>'Q100a-geral'!J1218</f>
        <v>x</v>
      </c>
      <c r="K431" s="109" t="str">
        <f>'Q100a-geral'!K1218</f>
        <v>x</v>
      </c>
      <c r="L431" s="109" t="str">
        <f>'Q100a-geral'!L1218</f>
        <v>x</v>
      </c>
      <c r="M431" s="109" t="str">
        <f>'Q100a-geral'!M1218</f>
        <v>não encontrado</v>
      </c>
      <c r="N431" s="109" t="str">
        <f>'Q100a-geral'!N1218</f>
        <v>não encontrado</v>
      </c>
      <c r="O431" s="109" t="str">
        <f>'Q100a-geral'!O1218</f>
        <v>não encontrado</v>
      </c>
      <c r="P431" s="109" t="str">
        <f>'Q100a-geral'!P1218</f>
        <v>não encontrado</v>
      </c>
      <c r="Q431" s="109" t="str">
        <f>'Q100a-geral'!Q1218</f>
        <v>não encontrado</v>
      </c>
      <c r="R431" s="109" t="str">
        <f>'Q100a-geral'!R1218</f>
        <v>não encontrado</v>
      </c>
      <c r="S431" s="109" t="str">
        <f>'Q100a-geral'!S1218</f>
        <v>só para pesquisa</v>
      </c>
      <c r="T431" s="109" t="str">
        <f>'Q100a-geral'!T1218</f>
        <v>não encontrado</v>
      </c>
      <c r="U431" s="109" t="str">
        <f>'Q100a-geral'!U1218</f>
        <v>não encontrado</v>
      </c>
      <c r="V431" s="109" t="str">
        <f>'Q100a-geral'!V1218</f>
        <v>só para pesquisa</v>
      </c>
      <c r="W431" s="109" t="str">
        <f>'Q100a-geral'!W1218</f>
        <v>não encontrado</v>
      </c>
      <c r="X431" s="109" t="str">
        <f>'Q100a-geral'!X1218</f>
        <v>não encontrado</v>
      </c>
      <c r="Y431" s="109" t="str">
        <f>'Q100a-geral'!Y1218</f>
        <v>não encontrado</v>
      </c>
      <c r="Z431" s="109" t="str">
        <f>'Q100a-geral'!Z1218</f>
        <v>não encontrado</v>
      </c>
      <c r="AA431" s="109" t="str">
        <f>'Q100a-geral'!AA1218</f>
        <v>não encontrado</v>
      </c>
      <c r="AB431" s="109" t="str">
        <f>'Q100a-geral'!AB1218</f>
        <v>não encontrado</v>
      </c>
      <c r="AC431" s="109" t="str">
        <f>'Q100a-geral'!AC1218</f>
        <v>não encontrado</v>
      </c>
      <c r="AD431" s="109" t="str">
        <f>'Q100a-geral'!AD1218</f>
        <v>não encontrado</v>
      </c>
      <c r="AE431" s="478"/>
      <c r="AF431" s="478"/>
      <c r="AG431" s="478"/>
      <c r="AH431" s="478"/>
      <c r="AI431" s="478"/>
      <c r="AJ431" s="627"/>
      <c r="AK431" s="64">
        <f>'Q100a-geral'!AJ1218</f>
        <v>2.808383233532934</v>
      </c>
      <c r="AL431" s="173" t="str">
        <f>'Q100a-geral'!AL1218</f>
        <v>x</v>
      </c>
      <c r="AM431" s="137" t="str">
        <f>'Q100a-geral'!AM1218</f>
        <v>x</v>
      </c>
      <c r="AN431" s="137" t="str">
        <f>'Q100a-geral'!AN1218</f>
        <v>x</v>
      </c>
      <c r="AO431" s="137" t="str">
        <f>'Q100a-geral'!AO1218</f>
        <v>x</v>
      </c>
      <c r="AP431" s="137" t="str">
        <f>'Q100a-geral'!AP1218</f>
        <v>x</v>
      </c>
      <c r="AQ431" s="137" t="str">
        <f>'Q100a-geral'!AQ1218</f>
        <v>x</v>
      </c>
      <c r="AR431" s="137"/>
      <c r="AS431" s="137"/>
      <c r="AT431" s="137"/>
      <c r="AU431" s="137"/>
      <c r="AV431" s="137" t="str">
        <f>'Q100a-geral'!AV1218</f>
        <v>x</v>
      </c>
      <c r="AW431" s="137"/>
      <c r="AX431" s="137"/>
      <c r="AY431" s="137"/>
      <c r="AZ431" s="137"/>
      <c r="BA431" s="137" t="str">
        <f>'Q100a-geral'!BA1218</f>
        <v>x</v>
      </c>
      <c r="BB431" s="239" t="str">
        <f>'Q100a-geral'!BB1218</f>
        <v>Sistema de transporte coletivo com um todoacessibilidade</v>
      </c>
      <c r="BC431" s="239" t="str">
        <f>'Q100a-geral'!BC1218</f>
        <v>Sistema de transporte coletivo com um todoacessibilidadex</v>
      </c>
      <c r="BD431" s="239" t="str">
        <f>'Q100a-geral'!BD1218</f>
        <v>Sistema de transporte coletivo com um todox</v>
      </c>
    </row>
    <row r="432" spans="1:56" s="3" customFormat="1" ht="102" customHeight="1" x14ac:dyDescent="0.25">
      <c r="A432" s="262" t="str">
        <f>'Q100a-geral'!A1219</f>
        <v>8.10</v>
      </c>
      <c r="B432" s="252" t="str">
        <f>'Q100a-geral'!B1219</f>
        <v>Sistema de transporte coletivo com um todo</v>
      </c>
      <c r="C432" s="229" t="str">
        <f>'Q100a-geral'!C1219</f>
        <v>acessibilidade</v>
      </c>
      <c r="D432" s="361" t="str">
        <f>'Q100a-geral'!D1219</f>
        <v>IAED tc</v>
      </c>
      <c r="E432" s="485" t="str">
        <f>'Q100a-geral'!E1219</f>
        <v>Curitiba</v>
      </c>
      <c r="F432" s="363" t="str">
        <f>'Q100a-geral'!F1219</f>
        <v>índice de acessibilidade do embarque/desembarque da frota de transporte coletivo por ônibus urbano de Curitiba na escala de 1 a 10 definida pelo SisMob-BH (onde 1 é a pior situação e 10 é a melhor situação, com 6 sendo o RPI de acessibilidade sem desenho universal e 10 sendo o RPI de desenho universal) 
obs.: consulte "acessibilidade em ônibus urbano (escala)"</v>
      </c>
      <c r="G432" s="369" t="str">
        <f>'Q100a-geral'!G1219</f>
        <v>∑(n.º de veículos x nota) / n.º de veículos</v>
      </c>
      <c r="H432" s="167" t="str">
        <f>'Q100a-geral'!H1219</f>
        <v>benchmarking</v>
      </c>
      <c r="I432" s="167" t="str">
        <f>'Q100a-geral'!I1219</f>
        <v>x</v>
      </c>
      <c r="J432" s="109" t="str">
        <f>'Q100a-geral'!J1219</f>
        <v>x</v>
      </c>
      <c r="K432" s="109" t="str">
        <f>'Q100a-geral'!K1219</f>
        <v>x</v>
      </c>
      <c r="L432" s="109" t="str">
        <f>'Q100a-geral'!L1219</f>
        <v>x</v>
      </c>
      <c r="M432" s="109" t="str">
        <f>'Q100a-geral'!M1219</f>
        <v>x</v>
      </c>
      <c r="N432" s="109" t="str">
        <f>'Q100a-geral'!N1219</f>
        <v>x</v>
      </c>
      <c r="O432" s="109" t="str">
        <f>'Q100a-geral'!O1219</f>
        <v>x</v>
      </c>
      <c r="P432" s="109" t="str">
        <f>'Q100a-geral'!P1219</f>
        <v>x</v>
      </c>
      <c r="Q432" s="109" t="str">
        <f>'Q100a-geral'!Q1219</f>
        <v>x</v>
      </c>
      <c r="R432" s="109" t="str">
        <f>'Q100a-geral'!R1219</f>
        <v>x</v>
      </c>
      <c r="S432" s="109" t="str">
        <f>'Q100a-geral'!S1219</f>
        <v>só para pesquisa</v>
      </c>
      <c r="T432" s="109" t="str">
        <f>'Q100a-geral'!T1219</f>
        <v>x</v>
      </c>
      <c r="U432" s="109" t="str">
        <f>'Q100a-geral'!U1219</f>
        <v>x</v>
      </c>
      <c r="V432" s="109" t="str">
        <f>'Q100a-geral'!V1219</f>
        <v>só para pesquisa</v>
      </c>
      <c r="W432" s="109" t="str">
        <f>'Q100a-geral'!W1219</f>
        <v>x</v>
      </c>
      <c r="X432" s="109" t="str">
        <f>'Q100a-geral'!X1219</f>
        <v>x</v>
      </c>
      <c r="Y432" s="109" t="str">
        <f>'Q100a-geral'!Y1219</f>
        <v>x</v>
      </c>
      <c r="Z432" s="109" t="str">
        <f>'Q100a-geral'!Z1219</f>
        <v>x</v>
      </c>
      <c r="AA432" s="109" t="str">
        <f>'Q100a-geral'!AA1219</f>
        <v>x</v>
      </c>
      <c r="AB432" s="109" t="str">
        <f>'Q100a-geral'!AB1219</f>
        <v>x</v>
      </c>
      <c r="AC432" s="109" t="str">
        <f>'Q100a-geral'!AC1219</f>
        <v>x</v>
      </c>
      <c r="AD432" s="109" t="str">
        <f>'Q100a-geral'!AD1219</f>
        <v>x</v>
      </c>
      <c r="AE432" s="478"/>
      <c r="AF432" s="478"/>
      <c r="AG432" s="478"/>
      <c r="AH432" s="478"/>
      <c r="AI432" s="478"/>
      <c r="AJ432" s="627"/>
      <c r="AK432" s="357">
        <f>'Q100a-geral'!AK1219</f>
        <v>5.1169590643274852</v>
      </c>
      <c r="AL432" s="601" t="str">
        <f>'Q100a-geral'!AL1219</f>
        <v>x</v>
      </c>
      <c r="AM432" s="137" t="str">
        <f>'Q100a-geral'!AM1219</f>
        <v>x</v>
      </c>
      <c r="AN432" s="137" t="str">
        <f>'Q100a-geral'!AN1219</f>
        <v>x</v>
      </c>
      <c r="AO432" s="137" t="str">
        <f>'Q100a-geral'!AO1219</f>
        <v>x</v>
      </c>
      <c r="AP432" s="137" t="str">
        <f>'Q100a-geral'!AP1219</f>
        <v>x</v>
      </c>
      <c r="AQ432" s="137" t="str">
        <f>'Q100a-geral'!AQ1219</f>
        <v>x</v>
      </c>
      <c r="AR432" s="137"/>
      <c r="AS432" s="137"/>
      <c r="AT432" s="137"/>
      <c r="AU432" s="137"/>
      <c r="AV432" s="137" t="str">
        <f>'Q100a-geral'!AV1219</f>
        <v>x</v>
      </c>
      <c r="AW432" s="137"/>
      <c r="AX432" s="137"/>
      <c r="AY432" s="137"/>
      <c r="AZ432" s="137"/>
      <c r="BA432" s="137" t="str">
        <f>'Q100a-geral'!BA1219</f>
        <v>x</v>
      </c>
      <c r="BB432" s="239" t="str">
        <f>'Q100a-geral'!BB1219</f>
        <v>Sistema de transporte coletivo com um todoacessibilidade</v>
      </c>
      <c r="BC432" s="239" t="str">
        <f>'Q100a-geral'!BC1219</f>
        <v>Sistema de transporte coletivo com um todoacessibilidadebenchmarking</v>
      </c>
      <c r="BD432" s="239" t="str">
        <f>'Q100a-geral'!BD1219</f>
        <v>Sistema de transporte coletivo com um todobenchmarking</v>
      </c>
    </row>
    <row r="433" spans="1:57" s="3" customFormat="1" ht="60" customHeight="1" x14ac:dyDescent="0.25">
      <c r="A433" s="262" t="str">
        <f>'Q100a-geral'!A1220</f>
        <v>8.10</v>
      </c>
      <c r="B433" s="252" t="str">
        <f>'Q100a-geral'!B1220</f>
        <v>Sistema de transporte coletivo com um todo</v>
      </c>
      <c r="C433" s="229" t="str">
        <f>'Q100a-geral'!C1220</f>
        <v>acessibilidade</v>
      </c>
      <c r="D433" s="361" t="str">
        <f>'Q100a-geral'!D1220</f>
        <v>IAED tc</v>
      </c>
      <c r="E433" s="363" t="str">
        <f>'Q100a-geral'!E1220</f>
        <v>Joinville</v>
      </c>
      <c r="F433" s="485" t="str">
        <f>'Q100a-geral'!F1220</f>
        <v>índice de acessibilidade do embarque/desembarque da frota de transporte coletivo por ônibus urbano de Joinville na escala de 1 a 10 definida pelo SisMob-BH (onde 1 é a pior situação, 6 é o "RPI de acessibilidade sem desenho universal" e 10 é a melhor situação como "RPI de desenho universal")
obs.: consulte "acessibilidade em ônibus urbano (escala)"</v>
      </c>
      <c r="G433" s="370" t="str">
        <f>'Q100a-geral'!G1220</f>
        <v>∑(n.º de veículos x nota) / n.º de veículos</v>
      </c>
      <c r="H433" s="167" t="str">
        <f>'Q100a-geral'!H1220</f>
        <v>benchmarking</v>
      </c>
      <c r="I433" s="167" t="str">
        <f>'Q100a-geral'!I1220</f>
        <v>x</v>
      </c>
      <c r="J433" s="109" t="str">
        <f>'Q100a-geral'!J1220</f>
        <v>não encontrado</v>
      </c>
      <c r="K433" s="109" t="str">
        <f>'Q100a-geral'!K1220</f>
        <v>não encontrado</v>
      </c>
      <c r="L433" s="109" t="str">
        <f>'Q100a-geral'!L1220</f>
        <v>não encontrado</v>
      </c>
      <c r="M433" s="109" t="str">
        <f>'Q100a-geral'!M1220</f>
        <v>não encontrado</v>
      </c>
      <c r="N433" s="109" t="str">
        <f>'Q100a-geral'!N1220</f>
        <v>não encontrado</v>
      </c>
      <c r="O433" s="109" t="str">
        <f>'Q100a-geral'!O1220</f>
        <v>não encontrado</v>
      </c>
      <c r="P433" s="109" t="str">
        <f>'Q100a-geral'!P1220</f>
        <v>não encontrado</v>
      </c>
      <c r="Q433" s="109" t="str">
        <f>'Q100a-geral'!Q1220</f>
        <v>não encontrado</v>
      </c>
      <c r="R433" s="109" t="str">
        <f>'Q100a-geral'!R1220</f>
        <v>não encontrado</v>
      </c>
      <c r="S433" s="109" t="str">
        <f>'Q100a-geral'!S1220</f>
        <v>só para pesquisa</v>
      </c>
      <c r="T433" s="109" t="str">
        <f>'Q100a-geral'!T1220</f>
        <v>não encontrado</v>
      </c>
      <c r="U433" s="109" t="str">
        <f>'Q100a-geral'!U1220</f>
        <v>não encontrado</v>
      </c>
      <c r="V433" s="109" t="str">
        <f>'Q100a-geral'!V1220</f>
        <v>só para pesquisa</v>
      </c>
      <c r="W433" s="109" t="str">
        <f>'Q100a-geral'!W1220</f>
        <v>não encontrado</v>
      </c>
      <c r="X433" s="109" t="str">
        <f>'Q100a-geral'!X1220</f>
        <v>não encontrado</v>
      </c>
      <c r="Y433" s="109" t="str">
        <f>'Q100a-geral'!Y1220</f>
        <v>não encontrado</v>
      </c>
      <c r="Z433" s="109" t="str">
        <f>'Q100a-geral'!Z1220</f>
        <v>não encontrado</v>
      </c>
      <c r="AA433" s="109" t="str">
        <f>'Q100a-geral'!AA1220</f>
        <v>não encontrado</v>
      </c>
      <c r="AB433" s="109" t="str">
        <f>'Q100a-geral'!AB1220</f>
        <v>não encontrado</v>
      </c>
      <c r="AC433" s="109" t="str">
        <f>'Q100a-geral'!AC1220</f>
        <v>não encontrado</v>
      </c>
      <c r="AD433" s="109" t="str">
        <f>'Q100a-geral'!AD1220</f>
        <v>não encontrado</v>
      </c>
      <c r="AE433" s="478"/>
      <c r="AF433" s="478"/>
      <c r="AG433" s="478"/>
      <c r="AH433" s="478"/>
      <c r="AI433" s="478"/>
      <c r="AJ433" s="357">
        <f>'Q100a-geral'!AJ1220</f>
        <v>2.3159340659340661</v>
      </c>
      <c r="AK433" s="420"/>
      <c r="AL433" s="173" t="str">
        <f>'Q100a-geral'!AL1220</f>
        <v>x</v>
      </c>
      <c r="AM433" s="137" t="str">
        <f>'Q100a-geral'!AM1220</f>
        <v>x</v>
      </c>
      <c r="AN433" s="137" t="str">
        <f>'Q100a-geral'!AN1220</f>
        <v>x</v>
      </c>
      <c r="AO433" s="137" t="str">
        <f>'Q100a-geral'!AO1220</f>
        <v>x</v>
      </c>
      <c r="AP433" s="137" t="str">
        <f>'Q100a-geral'!AP1220</f>
        <v>x</v>
      </c>
      <c r="AQ433" s="137" t="str">
        <f>'Q100a-geral'!AQ1220</f>
        <v>x</v>
      </c>
      <c r="AR433" s="137"/>
      <c r="AS433" s="137"/>
      <c r="AT433" s="137"/>
      <c r="AU433" s="137"/>
      <c r="AV433" s="137" t="str">
        <f>'Q100a-geral'!AV1220</f>
        <v>x</v>
      </c>
      <c r="AW433" s="137"/>
      <c r="AX433" s="137"/>
      <c r="AY433" s="137"/>
      <c r="AZ433" s="137"/>
      <c r="BA433" s="137" t="str">
        <f>'Q100a-geral'!BA1220</f>
        <v>x</v>
      </c>
      <c r="BB433" s="239" t="str">
        <f>'Q100a-geral'!BB1220</f>
        <v>Sistema de transporte coletivo com um todoacessibilidade</v>
      </c>
      <c r="BC433" s="239" t="str">
        <f>'Q100a-geral'!BC1220</f>
        <v>Sistema de transporte coletivo com um todoacessibilidadebenchmarking</v>
      </c>
      <c r="BD433" s="239" t="str">
        <f>'Q100a-geral'!BD1220</f>
        <v>Sistema de transporte coletivo com um todobenchmarking</v>
      </c>
    </row>
    <row r="434" spans="1:57" s="3" customFormat="1" ht="60" customHeight="1" x14ac:dyDescent="0.25">
      <c r="A434" s="262" t="str">
        <f>'Q100a-geral'!A1221</f>
        <v>8.10</v>
      </c>
      <c r="B434" s="252" t="str">
        <f>'Q100a-geral'!B1221</f>
        <v>Sistema de transporte coletivo com um todo</v>
      </c>
      <c r="C434" s="229" t="str">
        <f>'Q100a-geral'!C1221</f>
        <v>acessibilidade</v>
      </c>
      <c r="D434" s="361" t="str">
        <f>'Q100a-geral'!D1221</f>
        <v>IAED tc</v>
      </c>
      <c r="E434" s="363" t="str">
        <f>'Q100a-geral'!E1221</f>
        <v>RMBH metropolitano</v>
      </c>
      <c r="F434" s="485" t="str">
        <f>'Q100a-geral'!F1221</f>
        <v>índice de acessibilidade do embarque/desembarque da frota de transporte coletivo por ônibus urbano na RMBH do serviço gerenciado pela Setop-MG na escala de 1 a 10 definida pelo SisMob-BH (onde 1 é a pior situação, 6 é o "RPI de acessibilidade sem desenho universal" e 10 é a melhor situação como "RPI de desenho universal")
obs.: consulte "acessibilidade em ônibus urbano (escala)"</v>
      </c>
      <c r="G434" s="370" t="str">
        <f>'Q100a-geral'!G1221</f>
        <v>∑(n.º de veículos x nota) / n.º de veículos</v>
      </c>
      <c r="H434" s="167" t="str">
        <f>'Q100a-geral'!H1221</f>
        <v>x</v>
      </c>
      <c r="I434" s="167">
        <f>'Q100a-geral'!I1221</f>
        <v>1</v>
      </c>
      <c r="J434" s="109" t="str">
        <f>'Q100a-geral'!J1221</f>
        <v>não encontrado</v>
      </c>
      <c r="K434" s="109" t="str">
        <f>'Q100a-geral'!K1221</f>
        <v>não encontrado</v>
      </c>
      <c r="L434" s="109" t="str">
        <f>'Q100a-geral'!L1221</f>
        <v>não encontrado</v>
      </c>
      <c r="M434" s="109" t="str">
        <f>'Q100a-geral'!M1221</f>
        <v>não encontrado</v>
      </c>
      <c r="N434" s="109" t="str">
        <f>'Q100a-geral'!N1221</f>
        <v>não encontrado</v>
      </c>
      <c r="O434" s="109" t="str">
        <f>'Q100a-geral'!O1221</f>
        <v>não encontrado</v>
      </c>
      <c r="P434" s="109" t="str">
        <f>'Q100a-geral'!P1221</f>
        <v>não encontrado</v>
      </c>
      <c r="Q434" s="109" t="str">
        <f>'Q100a-geral'!Q1221</f>
        <v>não encontrado</v>
      </c>
      <c r="R434" s="109" t="str">
        <f>'Q100a-geral'!R1221</f>
        <v>não encontrado</v>
      </c>
      <c r="S434" s="109" t="str">
        <f>'Q100a-geral'!S1221</f>
        <v>só para pesquisa</v>
      </c>
      <c r="T434" s="109" t="str">
        <f>'Q100a-geral'!T1221</f>
        <v>não encontrado</v>
      </c>
      <c r="U434" s="109" t="str">
        <f>'Q100a-geral'!U1221</f>
        <v>não encontrado</v>
      </c>
      <c r="V434" s="109" t="str">
        <f>'Q100a-geral'!V1221</f>
        <v>só para pesquisa</v>
      </c>
      <c r="W434" s="109" t="str">
        <f>'Q100a-geral'!W1221</f>
        <v>não encontrado</v>
      </c>
      <c r="X434" s="109" t="str">
        <f>'Q100a-geral'!X1221</f>
        <v>não encontrado</v>
      </c>
      <c r="Y434" s="109" t="str">
        <f>'Q100a-geral'!Y1221</f>
        <v>não encontrado</v>
      </c>
      <c r="Z434" s="109" t="str">
        <f>'Q100a-geral'!Z1221</f>
        <v>não encontrado</v>
      </c>
      <c r="AA434" s="109" t="str">
        <f>'Q100a-geral'!AA1221</f>
        <v>não encontrado</v>
      </c>
      <c r="AB434" s="109" t="str">
        <f>'Q100a-geral'!AB1221</f>
        <v>não encontrado</v>
      </c>
      <c r="AC434" s="109" t="str">
        <f>'Q100a-geral'!AC1221</f>
        <v>não encontrado</v>
      </c>
      <c r="AD434" s="109" t="str">
        <f>'Q100a-geral'!AD1221</f>
        <v>não encontrado</v>
      </c>
      <c r="AE434" s="478"/>
      <c r="AF434" s="478"/>
      <c r="AG434" s="478"/>
      <c r="AH434" s="478"/>
      <c r="AI434" s="478"/>
      <c r="AJ434" s="357" t="str">
        <f>'Q100a-geral'!AJ1221</f>
        <v>não encontrado</v>
      </c>
      <c r="AK434" s="357">
        <f>'Q100a-geral'!AK1221</f>
        <v>2.0558410414525521</v>
      </c>
      <c r="AL434" s="173" t="str">
        <f>'Q100a-geral'!AL1221</f>
        <v>x</v>
      </c>
      <c r="AM434" s="137" t="str">
        <f>'Q100a-geral'!AM1221</f>
        <v>x</v>
      </c>
      <c r="AN434" s="137" t="str">
        <f>'Q100a-geral'!AN1221</f>
        <v>x</v>
      </c>
      <c r="AO434" s="137" t="str">
        <f>'Q100a-geral'!AO1221</f>
        <v>x</v>
      </c>
      <c r="AP434" s="137" t="str">
        <f>'Q100a-geral'!AP1221</f>
        <v>x</v>
      </c>
      <c r="AQ434" s="137" t="str">
        <f>'Q100a-geral'!AQ1221</f>
        <v>x</v>
      </c>
      <c r="AR434" s="137"/>
      <c r="AS434" s="137"/>
      <c r="AT434" s="137"/>
      <c r="AU434" s="137"/>
      <c r="AV434" s="137" t="str">
        <f>'Q100a-geral'!AV1221</f>
        <v>x</v>
      </c>
      <c r="AW434" s="137"/>
      <c r="AX434" s="137"/>
      <c r="AY434" s="137"/>
      <c r="AZ434" s="137"/>
      <c r="BA434" s="137" t="str">
        <f>'Q100a-geral'!BA1221</f>
        <v>x</v>
      </c>
      <c r="BB434" s="239" t="str">
        <f>'Q100a-geral'!BB1221</f>
        <v>Sistema de transporte coletivo com um todoacessibilidade</v>
      </c>
      <c r="BC434" s="239" t="str">
        <f>'Q100a-geral'!BC1221</f>
        <v>Sistema de transporte coletivo com um todoacessibilidadex</v>
      </c>
      <c r="BD434" s="239" t="str">
        <f>'Q100a-geral'!BD1221</f>
        <v>Sistema de transporte coletivo com um todox</v>
      </c>
    </row>
    <row r="435" spans="1:57" s="1" customFormat="1" ht="114.75" x14ac:dyDescent="0.25">
      <c r="A435" s="275" t="str">
        <f>'Q100a-geral'!A1355</f>
        <v>5.4</v>
      </c>
      <c r="B435" s="54" t="str">
        <f>'Q100a-geral'!B1355</f>
        <v>Resíduos e efluentes</v>
      </c>
      <c r="C435" s="230" t="str">
        <f>'Q100a-geral'!C1355</f>
        <v>x</v>
      </c>
      <c r="D435" s="322" t="str">
        <f>'Q100a-geral'!D1355</f>
        <v>IEL</v>
      </c>
      <c r="E435" s="11" t="str">
        <f>'Q100a-geral'!E1355</f>
        <v>x</v>
      </c>
      <c r="F435" s="445" t="str">
        <f>'Q100a-geral'!F1355</f>
        <v>índice de disposição de efluentes líquidos
objetivo: avaliar o tratamento dados aos efluentes líquidos gerados pelos processos da organização.
observações: Exemplos: solventes utilizados em limpeza e manutenção, óleos lubrificantes utilizados, água contaminada por solventes ou óleos etc.
obs.: indicador recomendado em ANTP(2011b, p.34)</v>
      </c>
      <c r="G435" s="11" t="str">
        <f>'Q100a-geral'!G1355</f>
        <v>(massa em kg de efluentes dispostos de modo ambientalmente correto com destinação conforme legislação ambiental/massa total em kg de efluentes gerados pela organização) x 100</v>
      </c>
      <c r="H435" s="173" t="str">
        <f>'Q100a-geral'!H1355</f>
        <v>ainda não incorporado ao SisMob-BH</v>
      </c>
      <c r="I435" s="57" t="str">
        <f>'Q100a-geral'!I1355</f>
        <v>x</v>
      </c>
      <c r="J435" s="109" t="str">
        <f>'Q100a-geral'!J1355</f>
        <v>x</v>
      </c>
      <c r="K435" s="109" t="str">
        <f>'Q100a-geral'!K1355</f>
        <v>x</v>
      </c>
      <c r="L435" s="109" t="str">
        <f>'Q100a-geral'!L1355</f>
        <v>x</v>
      </c>
      <c r="M435" s="109" t="str">
        <f>'Q100a-geral'!M1355</f>
        <v>x</v>
      </c>
      <c r="N435" s="109" t="str">
        <f>'Q100a-geral'!N1355</f>
        <v>x</v>
      </c>
      <c r="O435" s="109" t="str">
        <f>'Q100a-geral'!O1355</f>
        <v>x</v>
      </c>
      <c r="P435" s="109" t="str">
        <f>'Q100a-geral'!P1355</f>
        <v>x</v>
      </c>
      <c r="Q435" s="109" t="str">
        <f>'Q100a-geral'!Q1355</f>
        <v>x</v>
      </c>
      <c r="R435" s="109" t="str">
        <f>'Q100a-geral'!R1355</f>
        <v>x</v>
      </c>
      <c r="S435" s="109" t="str">
        <f>'Q100a-geral'!S1355</f>
        <v>só para pesquisa</v>
      </c>
      <c r="T435" s="109" t="str">
        <f>'Q100a-geral'!T1355</f>
        <v>x</v>
      </c>
      <c r="U435" s="109" t="str">
        <f>'Q100a-geral'!U1355</f>
        <v>x</v>
      </c>
      <c r="V435" s="109" t="str">
        <f>'Q100a-geral'!V1355</f>
        <v>só para pesquisa</v>
      </c>
      <c r="W435" s="109" t="str">
        <f>'Q100a-geral'!W1355</f>
        <v>x</v>
      </c>
      <c r="X435" s="109" t="str">
        <f>'Q100a-geral'!X1355</f>
        <v>x</v>
      </c>
      <c r="Y435" s="109" t="str">
        <f>'Q100a-geral'!Y1355</f>
        <v>x</v>
      </c>
      <c r="Z435" s="109" t="str">
        <f>'Q100a-geral'!Z1355</f>
        <v>x</v>
      </c>
      <c r="AA435" s="109" t="str">
        <f>'Q100a-geral'!AA1355</f>
        <v>x</v>
      </c>
      <c r="AB435" s="109" t="str">
        <f>'Q100a-geral'!AB1355</f>
        <v>x</v>
      </c>
      <c r="AC435" s="109" t="str">
        <f>'Q100a-geral'!AC1355</f>
        <v>x</v>
      </c>
      <c r="AD435" s="109" t="str">
        <f>'Q100a-geral'!AD1355</f>
        <v>x</v>
      </c>
      <c r="AE435" s="109" t="str">
        <f>'Q100a-geral'!AE1355</f>
        <v>x</v>
      </c>
      <c r="AF435" s="109" t="str">
        <f>'Q100a-geral'!AF1355</f>
        <v>x</v>
      </c>
      <c r="AG435" s="109" t="str">
        <f>'Q100a-geral'!AG1355</f>
        <v>x</v>
      </c>
      <c r="AH435" s="109" t="str">
        <f>'Q100a-geral'!AH1355</f>
        <v>x</v>
      </c>
      <c r="AI435" s="109" t="str">
        <f>'Q100a-geral'!AI1355</f>
        <v>x</v>
      </c>
      <c r="AJ435" s="109" t="str">
        <f>'Q100a-geral'!AJ1355</f>
        <v>x</v>
      </c>
      <c r="AK435" s="137" t="str">
        <f>'Q100a-geral'!AK1355</f>
        <v>x</v>
      </c>
      <c r="AL435" s="167" t="str">
        <f>'Q100a-geral'!AL1355</f>
        <v>x</v>
      </c>
      <c r="AM435" s="137" t="str">
        <f>'Q100a-geral'!AM1355</f>
        <v>x</v>
      </c>
      <c r="AN435" s="137" t="str">
        <f>'Q100a-geral'!AN1355</f>
        <v>x</v>
      </c>
      <c r="AO435" s="137" t="str">
        <f>'Q100a-geral'!AO1355</f>
        <v>x</v>
      </c>
      <c r="AP435" s="137" t="str">
        <f>'Q100a-geral'!AP1355</f>
        <v>x</v>
      </c>
      <c r="AQ435" s="137" t="str">
        <f>'Q100a-geral'!AQ1355</f>
        <v>x</v>
      </c>
      <c r="AR435" s="137"/>
      <c r="AS435" s="137"/>
      <c r="AT435" s="137"/>
      <c r="AU435" s="137"/>
      <c r="AV435" s="137" t="str">
        <f>'Q100a-geral'!AV1355</f>
        <v>x</v>
      </c>
      <c r="AW435" s="137"/>
      <c r="AX435" s="137"/>
      <c r="AY435" s="137"/>
      <c r="AZ435" s="137"/>
      <c r="BA435" s="137" t="str">
        <f>'Q100a-geral'!BA1355</f>
        <v>x</v>
      </c>
      <c r="BB435" s="239" t="str">
        <f>'Q100a-geral'!BB1355</f>
        <v>Resíduos e efluentesx</v>
      </c>
      <c r="BC435" s="239" t="str">
        <f>'Q100a-geral'!BC1355</f>
        <v>Resíduos e efluentesxainda não incorporado ao SisMob-BH</v>
      </c>
      <c r="BD435" s="239" t="str">
        <f>'Q100a-geral'!BD1355</f>
        <v>Resíduos e efluentesainda não incorporado ao SisMob-BH</v>
      </c>
    </row>
    <row r="436" spans="1:57" ht="33.75" x14ac:dyDescent="0.25">
      <c r="A436" s="275" t="str">
        <f>'Q100a-geral'!A1356</f>
        <v>9.2</v>
      </c>
      <c r="B436" s="53" t="str">
        <f>'Q100a-geral'!B1356</f>
        <v>Estacionamento</v>
      </c>
      <c r="C436" s="229" t="str">
        <f>'Q100a-geral'!C1356</f>
        <v>x</v>
      </c>
      <c r="D436" s="240" t="str">
        <f>'Q100a-geral'!D1356</f>
        <v>IER</v>
      </c>
      <c r="E436" s="252" t="str">
        <f>'Q100a-geral'!E1356</f>
        <v>x</v>
      </c>
      <c r="F436" s="446" t="str">
        <f>'Q100a-geral'!F1356</f>
        <v>índice médio de veículos infratores no estacionamento rotativo, expresso em percentual de veículos infratores
obs.: "objetivo: medir a taxa de uso inadequado do comprovante de pagamento do estacionamento rotativo; fórmula = (n.º de veículos infratores / n.º de veículos [fiscalizados]) x 100 recomendado em ANTP(2011a, p.58)</v>
      </c>
      <c r="G436" s="188" t="str">
        <f>'Q100a-geral'!G1356</f>
        <v>consulte:
RT inf</v>
      </c>
      <c r="H436" s="168" t="str">
        <f>'Q100a-geral'!H1356</f>
        <v>sigla/verbete</v>
      </c>
      <c r="I436" s="167" t="str">
        <f>'Q100a-geral'!I1356</f>
        <v>x</v>
      </c>
      <c r="J436" s="107" t="str">
        <f>'Q100a-geral'!J1356</f>
        <v>x</v>
      </c>
      <c r="K436" s="11" t="str">
        <f>'Q100a-geral'!K1356</f>
        <v>x</v>
      </c>
      <c r="L436" s="11" t="str">
        <f>'Q100a-geral'!L1356</f>
        <v>x</v>
      </c>
      <c r="M436" s="11" t="str">
        <f>'Q100a-geral'!M1356</f>
        <v>x</v>
      </c>
      <c r="N436" s="11" t="str">
        <f>'Q100a-geral'!N1356</f>
        <v>x</v>
      </c>
      <c r="O436" s="11" t="str">
        <f>'Q100a-geral'!O1356</f>
        <v>x</v>
      </c>
      <c r="P436" s="11" t="str">
        <f>'Q100a-geral'!P1356</f>
        <v>x</v>
      </c>
      <c r="Q436" s="11" t="str">
        <f>'Q100a-geral'!Q1356</f>
        <v>x</v>
      </c>
      <c r="R436" s="11" t="str">
        <f>'Q100a-geral'!R1356</f>
        <v>x</v>
      </c>
      <c r="S436" s="107" t="str">
        <f>'Q100a-geral'!S1356</f>
        <v>só para pesquisa</v>
      </c>
      <c r="T436" s="11" t="str">
        <f>'Q100a-geral'!T1356</f>
        <v>x</v>
      </c>
      <c r="U436" s="11" t="str">
        <f>'Q100a-geral'!U1356</f>
        <v>x</v>
      </c>
      <c r="V436" s="107" t="str">
        <f>'Q100a-geral'!V1356</f>
        <v>só para pesquisa</v>
      </c>
      <c r="W436" s="11" t="str">
        <f>'Q100a-geral'!W1356</f>
        <v>x</v>
      </c>
      <c r="X436" s="11" t="str">
        <f>'Q100a-geral'!X1356</f>
        <v>x</v>
      </c>
      <c r="Y436" s="11" t="str">
        <f>'Q100a-geral'!Y1356</f>
        <v>x</v>
      </c>
      <c r="Z436" s="11" t="str">
        <f>'Q100a-geral'!Z1356</f>
        <v>x</v>
      </c>
      <c r="AA436" s="11" t="str">
        <f>'Q100a-geral'!AA1356</f>
        <v>x</v>
      </c>
      <c r="AB436" s="11" t="str">
        <f>'Q100a-geral'!AB1356</f>
        <v>x</v>
      </c>
      <c r="AC436" s="11" t="str">
        <f>'Q100a-geral'!AC1356</f>
        <v>x</v>
      </c>
      <c r="AD436" s="11" t="str">
        <f>'Q100a-geral'!AD1356</f>
        <v>x</v>
      </c>
      <c r="AE436" s="11" t="str">
        <f>'Q100a-geral'!AE1356</f>
        <v>x</v>
      </c>
      <c r="AF436" s="11" t="str">
        <f>'Q100a-geral'!AF1356</f>
        <v>x</v>
      </c>
      <c r="AG436" s="11" t="str">
        <f>'Q100a-geral'!AG1356</f>
        <v>x</v>
      </c>
      <c r="AH436" s="11" t="str">
        <f>'Q100a-geral'!AH1356</f>
        <v>x</v>
      </c>
      <c r="AI436" s="11" t="str">
        <f>'Q100a-geral'!AI1356</f>
        <v>x</v>
      </c>
      <c r="AJ436" s="11" t="str">
        <f>'Q100a-geral'!AJ1356</f>
        <v>x</v>
      </c>
      <c r="AK436" s="137" t="str">
        <f>'Q100a-geral'!AK1356</f>
        <v>x</v>
      </c>
      <c r="AL436" s="173" t="str">
        <f>'Q100a-geral'!AL1356</f>
        <v>x</v>
      </c>
      <c r="AM436" s="137" t="str">
        <f>'Q100a-geral'!AM1356</f>
        <v>x</v>
      </c>
      <c r="AN436" s="137" t="str">
        <f>'Q100a-geral'!AN1356</f>
        <v>x</v>
      </c>
      <c r="AO436" s="137" t="str">
        <f>'Q100a-geral'!AO1356</f>
        <v>x</v>
      </c>
      <c r="AP436" s="137" t="str">
        <f>'Q100a-geral'!AP1356</f>
        <v>x</v>
      </c>
      <c r="AQ436" s="137" t="str">
        <f>'Q100a-geral'!AQ1356</f>
        <v>x</v>
      </c>
      <c r="AR436" s="137"/>
      <c r="AS436" s="137"/>
      <c r="AT436" s="137"/>
      <c r="AU436" s="137"/>
      <c r="AV436" s="137" t="str">
        <f>'Q100a-geral'!AV1356</f>
        <v>x</v>
      </c>
      <c r="AW436" s="137"/>
      <c r="AX436" s="137"/>
      <c r="AY436" s="137"/>
      <c r="AZ436" s="137"/>
      <c r="BA436" s="137" t="str">
        <f>'Q100a-geral'!BA1356</f>
        <v>x</v>
      </c>
      <c r="BB436" s="239" t="str">
        <f>'Q100a-geral'!BB1356</f>
        <v>Estacionamentox</v>
      </c>
      <c r="BC436" s="239" t="str">
        <f>'Q100a-geral'!BC1356</f>
        <v>Estacionamentoxsigla/verbete</v>
      </c>
      <c r="BD436" s="239" t="str">
        <f>'Q100a-geral'!BD1356</f>
        <v>Estacionamentosigla/verbete</v>
      </c>
    </row>
    <row r="437" spans="1:57" s="3" customFormat="1" ht="76.5" x14ac:dyDescent="0.25">
      <c r="A437" s="275" t="str">
        <f>'Q100a-geral'!A1358</f>
        <v>8.6</v>
      </c>
      <c r="B437" s="54" t="str">
        <f>'Q100a-geral'!B1358</f>
        <v>Transporte escolar</v>
      </c>
      <c r="C437" s="230" t="str">
        <f>'Q100a-geral'!C1358</f>
        <v>x</v>
      </c>
      <c r="D437" s="380" t="str">
        <f>'Q100a-geral'!D1358</f>
        <v>IM escolar</v>
      </c>
      <c r="E437" s="475" t="str">
        <f>'Q100a-geral'!E1358</f>
        <v>Belo Horizonte</v>
      </c>
      <c r="F437" s="485" t="str">
        <f>'Q100a-geral'!F1358</f>
        <v>idade média da frota de transporte escolar</v>
      </c>
      <c r="G437" s="114" t="str">
        <f>'Q100a-geral'!G1358</f>
        <v>(IM escolar(k) x F escolar(k)) + (IM escolar(mv) x F escolar (mv))  (IM escolar(o) x F escolar (ok)) / F escolar</v>
      </c>
      <c r="H437" s="171" t="str">
        <f>'Q100a-geral'!H1358</f>
        <v>x</v>
      </c>
      <c r="I437" s="57">
        <f>'Q100a-geral'!I1358</f>
        <v>1</v>
      </c>
      <c r="J437" s="107" t="str">
        <f>'Q100a-geral'!J1358</f>
        <v>x</v>
      </c>
      <c r="K437" s="107" t="str">
        <f>'Q100a-geral'!K1358</f>
        <v>x</v>
      </c>
      <c r="L437" s="58" t="str">
        <f>'Q100a-geral'!L1358</f>
        <v>x</v>
      </c>
      <c r="M437" s="58" t="str">
        <f>'Q100a-geral'!M1358</f>
        <v>x</v>
      </c>
      <c r="N437" s="58" t="str">
        <f>'Q100a-geral'!N1358</f>
        <v>x</v>
      </c>
      <c r="O437" s="58" t="str">
        <f>'Q100a-geral'!O1358</f>
        <v>x</v>
      </c>
      <c r="P437" s="58" t="str">
        <f>'Q100a-geral'!P1358</f>
        <v>x</v>
      </c>
      <c r="Q437" s="58" t="str">
        <f>'Q100a-geral'!Q1358</f>
        <v>x</v>
      </c>
      <c r="R437" s="58" t="str">
        <f>'Q100a-geral'!R1358</f>
        <v>x</v>
      </c>
      <c r="S437" s="107" t="str">
        <f>'Q100a-geral'!S1358</f>
        <v>só para pesquisa</v>
      </c>
      <c r="T437" s="58" t="str">
        <f>'Q100a-geral'!T1358</f>
        <v>x</v>
      </c>
      <c r="U437" s="58" t="str">
        <f>'Q100a-geral'!U1358</f>
        <v>x</v>
      </c>
      <c r="V437" s="107" t="str">
        <f>'Q100a-geral'!V1358</f>
        <v>só para pesquisa</v>
      </c>
      <c r="W437" s="58" t="str">
        <f>'Q100a-geral'!W1358</f>
        <v>x</v>
      </c>
      <c r="X437" s="58" t="str">
        <f>'Q100a-geral'!X1358</f>
        <v>x</v>
      </c>
      <c r="Y437" s="58" t="str">
        <f>'Q100a-geral'!Y1358</f>
        <v>x</v>
      </c>
      <c r="Z437" s="58" t="str">
        <f>'Q100a-geral'!Z1358</f>
        <v>x</v>
      </c>
      <c r="AA437" s="58" t="str">
        <f>'Q100a-geral'!AA1358</f>
        <v>x</v>
      </c>
      <c r="AB437" s="64">
        <f>'Q100a-geral'!AB1358</f>
        <v>7.3862318840579713</v>
      </c>
      <c r="AC437" s="64">
        <f>'Q100a-geral'!AC1358</f>
        <v>7.8117902350813742</v>
      </c>
      <c r="AD437" s="64">
        <f>'Q100a-geral'!AD1358</f>
        <v>6.6297071129707117</v>
      </c>
      <c r="AE437" s="64">
        <f>'Q100a-geral'!AE1358</f>
        <v>6.4264656616415419</v>
      </c>
      <c r="AF437" s="64">
        <f>'Q100a-geral'!AF1358</f>
        <v>7.5231343283582088</v>
      </c>
      <c r="AG437" s="64">
        <f>'Q100a-geral'!AG1358</f>
        <v>6.3833333333333329</v>
      </c>
      <c r="AH437" s="64">
        <f>'Q100a-geral'!AH1358</f>
        <v>6.421528165086448</v>
      </c>
      <c r="AI437" s="64">
        <f>'Q100a-geral'!AI1358</f>
        <v>6.3656417764763304</v>
      </c>
      <c r="AJ437" s="64">
        <f>'Q100a-geral'!AJ1358</f>
        <v>5.295265370467682</v>
      </c>
      <c r="AK437" s="64">
        <f>'Q100a-geral'!AK1358</f>
        <v>5.7690700160342061</v>
      </c>
      <c r="AL437" s="220" t="str">
        <f>'Q100a-geral'!AL1358</f>
        <v>x</v>
      </c>
      <c r="AM437" s="137" t="str">
        <f>'Q100a-geral'!AM1358</f>
        <v>x</v>
      </c>
      <c r="AN437" s="137" t="str">
        <f>'Q100a-geral'!AN1358</f>
        <v>x</v>
      </c>
      <c r="AO437" s="137" t="str">
        <f>'Q100a-geral'!AO1358</f>
        <v>x</v>
      </c>
      <c r="AP437" s="137" t="str">
        <f>'Q100a-geral'!AP1358</f>
        <v>x</v>
      </c>
      <c r="AQ437" s="137" t="str">
        <f>'Q100a-geral'!AQ1358</f>
        <v>x</v>
      </c>
      <c r="AR437" s="137"/>
      <c r="AS437" s="137"/>
      <c r="AT437" s="137"/>
      <c r="AU437" s="137"/>
      <c r="AV437" s="137" t="str">
        <f>'Q100a-geral'!AV1358</f>
        <v>x</v>
      </c>
      <c r="AW437" s="137"/>
      <c r="AX437" s="137"/>
      <c r="AY437" s="137"/>
      <c r="AZ437" s="137"/>
      <c r="BA437" s="137" t="str">
        <f>'Q100a-geral'!BA1358</f>
        <v>x</v>
      </c>
      <c r="BB437" s="239" t="str">
        <f>'Q100a-geral'!BB1358</f>
        <v>Transporte escolarx</v>
      </c>
      <c r="BC437" s="239" t="str">
        <f>'Q100a-geral'!BC1358</f>
        <v>Transporte escolarxx</v>
      </c>
      <c r="BD437" s="239" t="str">
        <f>'Q100a-geral'!BD1358</f>
        <v>Transporte escolarx</v>
      </c>
    </row>
    <row r="438" spans="1:57" s="3" customFormat="1" ht="45" x14ac:dyDescent="0.25">
      <c r="A438" s="275" t="str">
        <f>'Q100a-geral'!A1359</f>
        <v>8.6</v>
      </c>
      <c r="B438" s="54" t="str">
        <f>'Q100a-geral'!B1359</f>
        <v>Transporte escolar</v>
      </c>
      <c r="C438" s="230" t="str">
        <f>'Q100a-geral'!C1359</f>
        <v>x</v>
      </c>
      <c r="D438" s="892" t="s">
        <v>2714</v>
      </c>
      <c r="E438" s="475" t="str">
        <f>'Q100a-geral'!E1359</f>
        <v>Belo Horizonte</v>
      </c>
      <c r="F438" s="485" t="str">
        <f>'Q100a-geral'!F1359</f>
        <v>idade média de veículos "kombi" do transporte escolar
obs.: valores de dezembro usados para representar cada ano ano, com resultados de 2006-2012 conforme BHTRANS(2013f); 2013 conforme BHTRANS(2014g); 2014 conforme BHTRANS(2015b); 2015 conforme BHTRANS(2016p3)</v>
      </c>
      <c r="G438" s="252" t="str">
        <f>'Q100a-geral'!G1359</f>
        <v>registro na fonte</v>
      </c>
      <c r="H438" s="171" t="str">
        <f>'Q100a-geral'!H1359</f>
        <v>x</v>
      </c>
      <c r="I438" s="57">
        <f>'Q100a-geral'!I1359</f>
        <v>1</v>
      </c>
      <c r="J438" s="107" t="str">
        <f>'Q100a-geral'!J1359</f>
        <v>x</v>
      </c>
      <c r="K438" s="107" t="str">
        <f>'Q100a-geral'!K1359</f>
        <v>x</v>
      </c>
      <c r="L438" s="93" t="str">
        <f>'Q100a-geral'!L1359</f>
        <v>x</v>
      </c>
      <c r="M438" s="93" t="str">
        <f>'Q100a-geral'!M1359</f>
        <v>x</v>
      </c>
      <c r="N438" s="93" t="str">
        <f>'Q100a-geral'!N1359</f>
        <v>x</v>
      </c>
      <c r="O438" s="93" t="str">
        <f>'Q100a-geral'!O1359</f>
        <v>x</v>
      </c>
      <c r="P438" s="93" t="str">
        <f>'Q100a-geral'!P1359</f>
        <v>x</v>
      </c>
      <c r="Q438" s="93" t="str">
        <f>'Q100a-geral'!Q1359</f>
        <v>x</v>
      </c>
      <c r="R438" s="93" t="str">
        <f>'Q100a-geral'!R1359</f>
        <v>x</v>
      </c>
      <c r="S438" s="107" t="str">
        <f>'Q100a-geral'!S1359</f>
        <v>só para pesquisa</v>
      </c>
      <c r="T438" s="93" t="str">
        <f>'Q100a-geral'!T1359</f>
        <v>x</v>
      </c>
      <c r="U438" s="93" t="str">
        <f>'Q100a-geral'!U1359</f>
        <v>x</v>
      </c>
      <c r="V438" s="107" t="str">
        <f>'Q100a-geral'!V1359</f>
        <v>só para pesquisa</v>
      </c>
      <c r="W438" s="93" t="str">
        <f>'Q100a-geral'!W1359</f>
        <v>x</v>
      </c>
      <c r="X438" s="93" t="str">
        <f>'Q100a-geral'!X1359</f>
        <v>x</v>
      </c>
      <c r="Y438" s="93" t="str">
        <f>'Q100a-geral'!Y1359</f>
        <v>x</v>
      </c>
      <c r="Z438" s="93" t="str">
        <f>'Q100a-geral'!Z1359</f>
        <v>x</v>
      </c>
      <c r="AA438" s="93" t="str">
        <f>'Q100a-geral'!AA1359</f>
        <v>x</v>
      </c>
      <c r="AB438" s="91">
        <f>'Q100a-geral'!AB1359</f>
        <v>3.7</v>
      </c>
      <c r="AC438" s="91">
        <f>'Q100a-geral'!AC1359</f>
        <v>7.12</v>
      </c>
      <c r="AD438" s="91">
        <f>'Q100a-geral'!AD1359</f>
        <v>7</v>
      </c>
      <c r="AE438" s="91">
        <f>'Q100a-geral'!AE1359</f>
        <v>7</v>
      </c>
      <c r="AF438" s="91">
        <f>'Q100a-geral'!AF1359</f>
        <v>8.5</v>
      </c>
      <c r="AG438" s="91">
        <f>'Q100a-geral'!AG1359</f>
        <v>7</v>
      </c>
      <c r="AH438" s="91">
        <f>'Q100a-geral'!AH1359</f>
        <v>7</v>
      </c>
      <c r="AI438" s="91">
        <f>'Q100a-geral'!AI1359</f>
        <v>7</v>
      </c>
      <c r="AJ438" s="91">
        <f>'Q100a-geral'!AJ1359</f>
        <v>6.33</v>
      </c>
      <c r="AK438" s="91">
        <f>'Q100a-geral'!AK1359</f>
        <v>6.75</v>
      </c>
      <c r="AL438" s="220" t="str">
        <f>'Q100a-geral'!AL1359</f>
        <v>x</v>
      </c>
      <c r="AM438" s="137" t="str">
        <f>'Q100a-geral'!AM1359</f>
        <v>x</v>
      </c>
      <c r="AN438" s="137" t="str">
        <f>'Q100a-geral'!AN1359</f>
        <v>x</v>
      </c>
      <c r="AO438" s="137" t="str">
        <f>'Q100a-geral'!AO1359</f>
        <v>x</v>
      </c>
      <c r="AP438" s="137" t="str">
        <f>'Q100a-geral'!AP1359</f>
        <v>x</v>
      </c>
      <c r="AQ438" s="137" t="str">
        <f>'Q100a-geral'!AQ1359</f>
        <v>x</v>
      </c>
      <c r="AR438" s="137"/>
      <c r="AS438" s="137"/>
      <c r="AT438" s="137"/>
      <c r="AU438" s="137"/>
      <c r="AV438" s="137" t="str">
        <f>'Q100a-geral'!AV1359</f>
        <v>x</v>
      </c>
      <c r="AW438" s="137"/>
      <c r="AX438" s="137"/>
      <c r="AY438" s="137"/>
      <c r="AZ438" s="137"/>
      <c r="BA438" s="137" t="str">
        <f>'Q100a-geral'!BA1359</f>
        <v>x</v>
      </c>
      <c r="BB438" s="239" t="str">
        <f>'Q100a-geral'!BB1359</f>
        <v>Transporte escolarx</v>
      </c>
      <c r="BC438" s="239" t="str">
        <f>'Q100a-geral'!BC1359</f>
        <v>Transporte escolarxx</v>
      </c>
      <c r="BD438" s="239" t="str">
        <f>'Q100a-geral'!BD1359</f>
        <v>Transporte escolarx</v>
      </c>
    </row>
    <row r="439" spans="1:57" s="3" customFormat="1" ht="45" x14ac:dyDescent="0.25">
      <c r="A439" s="275" t="str">
        <f>'Q100a-geral'!A1360</f>
        <v>8.6</v>
      </c>
      <c r="B439" s="54" t="str">
        <f>'Q100a-geral'!B1360</f>
        <v>Transporte escolar</v>
      </c>
      <c r="C439" s="230" t="str">
        <f>'Q100a-geral'!C1360</f>
        <v>x</v>
      </c>
      <c r="D439" s="892" t="s">
        <v>2715</v>
      </c>
      <c r="E439" s="475" t="str">
        <f>'Q100a-geral'!E1360</f>
        <v>Belo Horizonte</v>
      </c>
      <c r="F439" s="485" t="str">
        <f>'Q100a-geral'!F1360</f>
        <v>idade média de veículos "micro/van" do transporte escolar
obs.: valores de dezembro usados para representar cada ano ano, com resultados de 2006-2012 conforme BHTRANS(2013f); 2013 conforme BHTRANS(2014g); 2014 conforme BHTRANS(2015b); 2015 conforme BHTRANS(2016p3)</v>
      </c>
      <c r="G439" s="252" t="str">
        <f>'Q100a-geral'!G1360</f>
        <v>registro na fonte</v>
      </c>
      <c r="H439" s="171" t="str">
        <f>'Q100a-geral'!H1360</f>
        <v>x</v>
      </c>
      <c r="I439" s="57">
        <f>'Q100a-geral'!I1360</f>
        <v>1</v>
      </c>
      <c r="J439" s="107" t="str">
        <f>'Q100a-geral'!J1360</f>
        <v>x</v>
      </c>
      <c r="K439" s="107" t="str">
        <f>'Q100a-geral'!K1360</f>
        <v>x</v>
      </c>
      <c r="L439" s="93" t="str">
        <f>'Q100a-geral'!L1360</f>
        <v>x</v>
      </c>
      <c r="M439" s="93" t="str">
        <f>'Q100a-geral'!M1360</f>
        <v>x</v>
      </c>
      <c r="N439" s="93" t="str">
        <f>'Q100a-geral'!N1360</f>
        <v>x</v>
      </c>
      <c r="O439" s="93" t="str">
        <f>'Q100a-geral'!O1360</f>
        <v>x</v>
      </c>
      <c r="P439" s="93" t="str">
        <f>'Q100a-geral'!P1360</f>
        <v>x</v>
      </c>
      <c r="Q439" s="93" t="str">
        <f>'Q100a-geral'!Q1360</f>
        <v>x</v>
      </c>
      <c r="R439" s="93" t="str">
        <f>'Q100a-geral'!R1360</f>
        <v>x</v>
      </c>
      <c r="S439" s="107" t="str">
        <f>'Q100a-geral'!S1360</f>
        <v>só para pesquisa</v>
      </c>
      <c r="T439" s="93" t="str">
        <f>'Q100a-geral'!T1360</f>
        <v>x</v>
      </c>
      <c r="U439" s="93" t="str">
        <f>'Q100a-geral'!U1360</f>
        <v>x</v>
      </c>
      <c r="V439" s="107" t="str">
        <f>'Q100a-geral'!V1360</f>
        <v>só para pesquisa</v>
      </c>
      <c r="W439" s="93" t="str">
        <f>'Q100a-geral'!W1360</f>
        <v>x</v>
      </c>
      <c r="X439" s="93" t="str">
        <f>'Q100a-geral'!X1360</f>
        <v>x</v>
      </c>
      <c r="Y439" s="93" t="str">
        <f>'Q100a-geral'!Y1360</f>
        <v>x</v>
      </c>
      <c r="Z439" s="93" t="str">
        <f>'Q100a-geral'!Z1360</f>
        <v>x</v>
      </c>
      <c r="AA439" s="93" t="str">
        <f>'Q100a-geral'!AA1360</f>
        <v>x</v>
      </c>
      <c r="AB439" s="91">
        <f>'Q100a-geral'!AB1360</f>
        <v>5.7</v>
      </c>
      <c r="AC439" s="91">
        <f>'Q100a-geral'!AC1360</f>
        <v>6</v>
      </c>
      <c r="AD439" s="91">
        <f>'Q100a-geral'!AD1360</f>
        <v>5.2</v>
      </c>
      <c r="AE439" s="91">
        <f>'Q100a-geral'!AE1360</f>
        <v>5</v>
      </c>
      <c r="AF439" s="91">
        <f>'Q100a-geral'!AF1360</f>
        <v>6.5</v>
      </c>
      <c r="AG439" s="91">
        <f>'Q100a-geral'!AG1360</f>
        <v>5.4</v>
      </c>
      <c r="AH439" s="91">
        <f>'Q100a-geral'!AH1360</f>
        <v>5.4</v>
      </c>
      <c r="AI439" s="91">
        <f>'Q100a-geral'!AI1360</f>
        <v>5.4</v>
      </c>
      <c r="AJ439" s="91">
        <f>'Q100a-geral'!AJ1360</f>
        <v>4.43</v>
      </c>
      <c r="AK439" s="91">
        <f>'Q100a-geral'!AK1360</f>
        <v>4.92</v>
      </c>
      <c r="AL439" s="220" t="str">
        <f>'Q100a-geral'!AL1360</f>
        <v>x</v>
      </c>
      <c r="AM439" s="137" t="str">
        <f>'Q100a-geral'!AM1360</f>
        <v>x</v>
      </c>
      <c r="AN439" s="137" t="str">
        <f>'Q100a-geral'!AN1360</f>
        <v>x</v>
      </c>
      <c r="AO439" s="137" t="str">
        <f>'Q100a-geral'!AO1360</f>
        <v>x</v>
      </c>
      <c r="AP439" s="137" t="str">
        <f>'Q100a-geral'!AP1360</f>
        <v>x</v>
      </c>
      <c r="AQ439" s="137" t="str">
        <f>'Q100a-geral'!AQ1360</f>
        <v>x</v>
      </c>
      <c r="AR439" s="137"/>
      <c r="AS439" s="137"/>
      <c r="AT439" s="137"/>
      <c r="AU439" s="137"/>
      <c r="AV439" s="137" t="str">
        <f>'Q100a-geral'!AV1360</f>
        <v>x</v>
      </c>
      <c r="AW439" s="137"/>
      <c r="AX439" s="137"/>
      <c r="AY439" s="137"/>
      <c r="AZ439" s="137"/>
      <c r="BA439" s="137" t="str">
        <f>'Q100a-geral'!BA1360</f>
        <v>x</v>
      </c>
      <c r="BB439" s="239" t="str">
        <f>'Q100a-geral'!BB1360</f>
        <v>Transporte escolarx</v>
      </c>
      <c r="BC439" s="239" t="str">
        <f>'Q100a-geral'!BC1360</f>
        <v>Transporte escolarxx</v>
      </c>
      <c r="BD439" s="239" t="str">
        <f>'Q100a-geral'!BD1360</f>
        <v>Transporte escolarx</v>
      </c>
    </row>
    <row r="440" spans="1:57" s="3" customFormat="1" ht="45" x14ac:dyDescent="0.25">
      <c r="A440" s="275" t="str">
        <f>'Q100a-geral'!A1361</f>
        <v>8.6</v>
      </c>
      <c r="B440" s="54" t="str">
        <f>'Q100a-geral'!B1361</f>
        <v>Transporte escolar</v>
      </c>
      <c r="C440" s="230" t="str">
        <f>'Q100a-geral'!C1361</f>
        <v>x</v>
      </c>
      <c r="D440" s="892" t="s">
        <v>839</v>
      </c>
      <c r="E440" s="475" t="str">
        <f>'Q100a-geral'!E1361</f>
        <v>Belo Horizonte</v>
      </c>
      <c r="F440" s="485" t="str">
        <f>'Q100a-geral'!F1361</f>
        <v>idade média de veículos "ônibus" do transporte escolar
obs.: valores de dezembro usados para representar cada ano ano, com resultados de 2006-2012 conforme BHTRANS(2013f); 2013 conforme BHTRANS(2014g); 2014 conforme BHTRANS(2015b); 2015 conforme BHTRANS(2016p3)</v>
      </c>
      <c r="G440" s="252" t="str">
        <f>'Q100a-geral'!G1361</f>
        <v>registro na fonte</v>
      </c>
      <c r="H440" s="171" t="str">
        <f>'Q100a-geral'!H1361</f>
        <v>x</v>
      </c>
      <c r="I440" s="57">
        <f>'Q100a-geral'!I1361</f>
        <v>1</v>
      </c>
      <c r="J440" s="107" t="str">
        <f>'Q100a-geral'!J1361</f>
        <v>x</v>
      </c>
      <c r="K440" s="107" t="str">
        <f>'Q100a-geral'!K1361</f>
        <v>x</v>
      </c>
      <c r="L440" s="93" t="str">
        <f>'Q100a-geral'!L1361</f>
        <v>x</v>
      </c>
      <c r="M440" s="93" t="str">
        <f>'Q100a-geral'!M1361</f>
        <v>x</v>
      </c>
      <c r="N440" s="93" t="str">
        <f>'Q100a-geral'!N1361</f>
        <v>x</v>
      </c>
      <c r="O440" s="93" t="str">
        <f>'Q100a-geral'!O1361</f>
        <v>x</v>
      </c>
      <c r="P440" s="93" t="str">
        <f>'Q100a-geral'!P1361</f>
        <v>x</v>
      </c>
      <c r="Q440" s="93" t="str">
        <f>'Q100a-geral'!Q1361</f>
        <v>x</v>
      </c>
      <c r="R440" s="93" t="str">
        <f>'Q100a-geral'!R1361</f>
        <v>x</v>
      </c>
      <c r="S440" s="107" t="str">
        <f>'Q100a-geral'!S1361</f>
        <v>só para pesquisa</v>
      </c>
      <c r="T440" s="93" t="str">
        <f>'Q100a-geral'!T1361</f>
        <v>x</v>
      </c>
      <c r="U440" s="93" t="str">
        <f>'Q100a-geral'!U1361</f>
        <v>x</v>
      </c>
      <c r="V440" s="107" t="str">
        <f>'Q100a-geral'!V1361</f>
        <v>só para pesquisa</v>
      </c>
      <c r="W440" s="93" t="str">
        <f>'Q100a-geral'!W1361</f>
        <v>x</v>
      </c>
      <c r="X440" s="93" t="str">
        <f>'Q100a-geral'!X1361</f>
        <v>x</v>
      </c>
      <c r="Y440" s="93" t="str">
        <f>'Q100a-geral'!Y1361</f>
        <v>x</v>
      </c>
      <c r="Z440" s="93" t="str">
        <f>'Q100a-geral'!Z1361</f>
        <v>x</v>
      </c>
      <c r="AA440" s="93" t="str">
        <f>'Q100a-geral'!AA1361</f>
        <v>x</v>
      </c>
      <c r="AB440" s="91">
        <f>'Q100a-geral'!AB1361</f>
        <v>12.8</v>
      </c>
      <c r="AC440" s="91">
        <f>'Q100a-geral'!AC1361</f>
        <v>13.2</v>
      </c>
      <c r="AD440" s="91">
        <f>'Q100a-geral'!AD1361</f>
        <v>10.9</v>
      </c>
      <c r="AE440" s="91">
        <f>'Q100a-geral'!AE1361</f>
        <v>10.8</v>
      </c>
      <c r="AF440" s="91">
        <f>'Q100a-geral'!AF1361</f>
        <v>10.4</v>
      </c>
      <c r="AG440" s="91">
        <f>'Q100a-geral'!AG1361</f>
        <v>10.4</v>
      </c>
      <c r="AH440" s="91">
        <f>'Q100a-geral'!AH1361</f>
        <v>10.4</v>
      </c>
      <c r="AI440" s="91">
        <f>'Q100a-geral'!AI1361</f>
        <v>10.4</v>
      </c>
      <c r="AJ440" s="91">
        <f>'Q100a-geral'!AJ1361</f>
        <v>10.23</v>
      </c>
      <c r="AK440" s="91">
        <f>'Q100a-geral'!AK1361</f>
        <v>10.43</v>
      </c>
      <c r="AL440" s="220" t="str">
        <f>'Q100a-geral'!AL1361</f>
        <v>x</v>
      </c>
      <c r="AM440" s="137" t="str">
        <f>'Q100a-geral'!AM1361</f>
        <v>x</v>
      </c>
      <c r="AN440" s="137" t="str">
        <f>'Q100a-geral'!AN1361</f>
        <v>x</v>
      </c>
      <c r="AO440" s="137" t="str">
        <f>'Q100a-geral'!AO1361</f>
        <v>x</v>
      </c>
      <c r="AP440" s="137" t="str">
        <f>'Q100a-geral'!AP1361</f>
        <v>x</v>
      </c>
      <c r="AQ440" s="137" t="str">
        <f>'Q100a-geral'!AQ1361</f>
        <v>x</v>
      </c>
      <c r="AR440" s="137"/>
      <c r="AS440" s="137"/>
      <c r="AT440" s="137"/>
      <c r="AU440" s="137"/>
      <c r="AV440" s="137" t="str">
        <f>'Q100a-geral'!AV1361</f>
        <v>x</v>
      </c>
      <c r="AW440" s="137"/>
      <c r="AX440" s="137"/>
      <c r="AY440" s="137"/>
      <c r="AZ440" s="137"/>
      <c r="BA440" s="137" t="str">
        <f>'Q100a-geral'!BA1361</f>
        <v>x</v>
      </c>
      <c r="BB440" s="239" t="str">
        <f>'Q100a-geral'!BB1361</f>
        <v>Transporte escolarx</v>
      </c>
      <c r="BC440" s="239" t="str">
        <f>'Q100a-geral'!BC1361</f>
        <v>Transporte escolarxx</v>
      </c>
      <c r="BD440" s="239" t="str">
        <f>'Q100a-geral'!BD1361</f>
        <v>Transporte escolarx</v>
      </c>
    </row>
    <row r="441" spans="1:57" s="1" customFormat="1" ht="63.75" customHeight="1" x14ac:dyDescent="0.25">
      <c r="A441" s="275" t="str">
        <f>'Q100a-geral'!A1362</f>
        <v>9.6</v>
      </c>
      <c r="B441" s="252" t="str">
        <f>'Q100a-geral'!B1362</f>
        <v>Transporte de baixa capacidade</v>
      </c>
      <c r="C441" s="57" t="str">
        <f>'Q100a-geral'!C1362</f>
        <v>x</v>
      </c>
      <c r="D441" s="249" t="str">
        <f>'Q100a-geral'!D1362</f>
        <v>IMF suplementar</v>
      </c>
      <c r="E441" s="250" t="str">
        <f>'Q100a-geral'!E1362</f>
        <v>Belo Horizonte</v>
      </c>
      <c r="F441" s="632" t="str">
        <f>'Q100a-geral'!F1362</f>
        <v>idade média da frota do transporte suplementar (expressa em anos)
obs.: resultado de dezembro tomado como representativo do ano com com resultado de 2005 conforme BHTRANS(2009a, p.44); de 2006-2012 conforme BHTRANS(2013h); de 2013 conforme BHTRANS(2014b); de 2014 conforme BHTRANS(2015u); de 2015 conforme BHTRANS(2016p1)</v>
      </c>
      <c r="G441" s="252" t="str">
        <f>'Q100a-geral'!G1362</f>
        <v>registro na fonte</v>
      </c>
      <c r="H441" s="57" t="str">
        <f>'Q100a-geral'!H1362</f>
        <v>x</v>
      </c>
      <c r="I441" s="167">
        <f>'Q100a-geral'!I1362</f>
        <v>1</v>
      </c>
      <c r="J441" s="252" t="str">
        <f>'Q100a-geral'!J1362</f>
        <v>x</v>
      </c>
      <c r="K441" s="252" t="str">
        <f>'Q100a-geral'!K1362</f>
        <v>x</v>
      </c>
      <c r="L441" s="252" t="str">
        <f>'Q100a-geral'!L1362</f>
        <v>x</v>
      </c>
      <c r="M441" s="252" t="str">
        <f>'Q100a-geral'!M1362</f>
        <v>x</v>
      </c>
      <c r="N441" s="252" t="str">
        <f>'Q100a-geral'!N1362</f>
        <v>x</v>
      </c>
      <c r="O441" s="252" t="str">
        <f>'Q100a-geral'!O1362</f>
        <v>x</v>
      </c>
      <c r="P441" s="252" t="str">
        <f>'Q100a-geral'!P1362</f>
        <v>x</v>
      </c>
      <c r="Q441" s="252" t="str">
        <f>'Q100a-geral'!Q1362</f>
        <v>x</v>
      </c>
      <c r="R441" s="252" t="str">
        <f>'Q100a-geral'!R1362</f>
        <v>x</v>
      </c>
      <c r="S441" s="109" t="str">
        <f>'Q100a-geral'!S1362</f>
        <v>só para pesquisa</v>
      </c>
      <c r="T441" s="252" t="str">
        <f>'Q100a-geral'!T1362</f>
        <v>x</v>
      </c>
      <c r="U441" s="252" t="str">
        <f>'Q100a-geral'!U1362</f>
        <v>x</v>
      </c>
      <c r="V441" s="107" t="str">
        <f>'Q100a-geral'!V1362</f>
        <v>só para pesquisa</v>
      </c>
      <c r="W441" s="110" t="str">
        <f>'Q100a-geral'!W1362</f>
        <v>x</v>
      </c>
      <c r="X441" s="110" t="str">
        <f>'Q100a-geral'!X1362</f>
        <v>x</v>
      </c>
      <c r="Y441" s="110" t="str">
        <f>'Q100a-geral'!Y1362</f>
        <v>x</v>
      </c>
      <c r="Z441" s="110" t="str">
        <f>'Q100a-geral'!Z1362</f>
        <v>x</v>
      </c>
      <c r="AA441" s="110">
        <f>'Q100a-geral'!AA1362</f>
        <v>3.6</v>
      </c>
      <c r="AB441" s="83">
        <f>'Q100a-geral'!AB1362</f>
        <v>3.4</v>
      </c>
      <c r="AC441" s="83">
        <f>'Q100a-geral'!AC1362</f>
        <v>3.9</v>
      </c>
      <c r="AD441" s="83">
        <f>'Q100a-geral'!AD1362</f>
        <v>3.3</v>
      </c>
      <c r="AE441" s="83">
        <f>'Q100a-geral'!AE1362</f>
        <v>3</v>
      </c>
      <c r="AF441" s="83">
        <f>'Q100a-geral'!AF1362</f>
        <v>3.3</v>
      </c>
      <c r="AG441" s="83">
        <f>'Q100a-geral'!AG1362</f>
        <v>3.3</v>
      </c>
      <c r="AH441" s="83">
        <f>'Q100a-geral'!AH1362</f>
        <v>3</v>
      </c>
      <c r="AI441" s="83">
        <f>'Q100a-geral'!AI1362</f>
        <v>3</v>
      </c>
      <c r="AJ441" s="83">
        <f>'Q100a-geral'!AJ1362</f>
        <v>3.19</v>
      </c>
      <c r="AK441" s="137">
        <f>'Q100a-geral'!AK1362</f>
        <v>4.03</v>
      </c>
      <c r="AL441" s="215" t="str">
        <f>'Q100a-geral'!AL1362</f>
        <v>x</v>
      </c>
      <c r="AM441" s="137" t="str">
        <f>'Q100a-geral'!AM1362</f>
        <v>x</v>
      </c>
      <c r="AN441" s="137" t="str">
        <f>'Q100a-geral'!AN1362</f>
        <v>x</v>
      </c>
      <c r="AO441" s="137" t="str">
        <f>'Q100a-geral'!AO1362</f>
        <v>x</v>
      </c>
      <c r="AP441" s="137" t="str">
        <f>'Q100a-geral'!AP1362</f>
        <v>x</v>
      </c>
      <c r="AQ441" s="137" t="str">
        <f>'Q100a-geral'!AQ1362</f>
        <v>x</v>
      </c>
      <c r="AR441" s="137"/>
      <c r="AS441" s="137"/>
      <c r="AT441" s="137"/>
      <c r="AU441" s="137"/>
      <c r="AV441" s="137" t="str">
        <f>'Q100a-geral'!AV1362</f>
        <v>x</v>
      </c>
      <c r="AW441" s="137"/>
      <c r="AX441" s="137"/>
      <c r="AY441" s="137"/>
      <c r="AZ441" s="137"/>
      <c r="BA441" s="137" t="str">
        <f>'Q100a-geral'!BA1362</f>
        <v>x</v>
      </c>
      <c r="BB441" s="239" t="str">
        <f>'Q100a-geral'!BB1362</f>
        <v>Transporte de baixa capacidadex</v>
      </c>
      <c r="BC441" s="239" t="str">
        <f>'Q100a-geral'!BC1362</f>
        <v>Transporte de baixa capacidadexx</v>
      </c>
      <c r="BD441" s="239" t="str">
        <f>'Q100a-geral'!BD1362</f>
        <v>Transporte de baixa capacidadex</v>
      </c>
    </row>
    <row r="442" spans="1:57" s="1" customFormat="1" ht="67.5" x14ac:dyDescent="0.25">
      <c r="A442" s="275" t="str">
        <f>'Q100a-geral'!A1363</f>
        <v>8.5</v>
      </c>
      <c r="B442" s="54" t="str">
        <f>'Q100a-geral'!B1363</f>
        <v>Transporte convencional</v>
      </c>
      <c r="C442" s="230" t="str">
        <f>'Q100a-geral'!C1363</f>
        <v>x</v>
      </c>
      <c r="D442" s="37" t="str">
        <f>'Q100a-geral'!D1363</f>
        <v>IMF tcc</v>
      </c>
      <c r="E442" s="245" t="str">
        <f>'Q100a-geral'!E1363</f>
        <v>Belo Horizonte</v>
      </c>
      <c r="F442" s="632" t="str">
        <f>'Q100a-geral'!F1363</f>
        <v xml:space="preserve">idade média da frota do transporte coletivo convencional (em decimais com duas casas quando encontrado)
obs.1: mês de dezembro tomado como referência anual com resultados de 1993 e 1994 conforme BHTRANS(1995a, p.3); de 1995 conforme BHTRANS(1996a, p.2); de 1999 conforme BHTRANS(2000a, p.35); 2001 a 2005 conforme BHTRANS(2006a); de 2006 a 2008 conforme BHTRANS(2011b); de 2009 a 2012 conforme BHTRANS(2013e)
obs.2: há divergência no resultado de 2008 com 3,97 em BHTRANS(2013e) e 4,67 em BHTRANS(2011b) com o SisMob-BH adotando este último </v>
      </c>
      <c r="G442" s="252" t="str">
        <f>'Q100a-geral'!G1363</f>
        <v>registro na fonte</v>
      </c>
      <c r="H442" s="173" t="str">
        <f>'Q100a-geral'!H1363</f>
        <v>x</v>
      </c>
      <c r="I442" s="167">
        <f>'Q100a-geral'!I1363</f>
        <v>1</v>
      </c>
      <c r="J442" s="107" t="str">
        <f>'Q100a-geral'!J1363</f>
        <v>x</v>
      </c>
      <c r="K442" s="107" t="str">
        <f>'Q100a-geral'!K1363</f>
        <v>x</v>
      </c>
      <c r="L442" s="107" t="str">
        <f>'Q100a-geral'!L1363</f>
        <v>x</v>
      </c>
      <c r="M442" s="84">
        <f>'Q100a-geral'!M1363</f>
        <v>4.8</v>
      </c>
      <c r="N442" s="84">
        <f>'Q100a-geral'!N1363</f>
        <v>4</v>
      </c>
      <c r="O442" s="84">
        <f>'Q100a-geral'!O1363</f>
        <v>4</v>
      </c>
      <c r="P442" s="899" t="str">
        <f>'Q100a-geral'!P1363</f>
        <v>ainda não encontrado</v>
      </c>
      <c r="Q442" s="899" t="str">
        <f>'Q100a-geral'!Q1363</f>
        <v>ainda não encontrado</v>
      </c>
      <c r="R442" s="899" t="str">
        <f>'Q100a-geral'!R1363</f>
        <v>ainda não encontrado</v>
      </c>
      <c r="S442" s="649" t="str">
        <f>'Q100a-geral'!S1363</f>
        <v>só para pesquisa</v>
      </c>
      <c r="T442" s="899" t="str">
        <f>'Q100a-geral'!T1363</f>
        <v>ainda não encontrado</v>
      </c>
      <c r="U442" s="84">
        <f>'Q100a-geral'!U1363</f>
        <v>4.25</v>
      </c>
      <c r="V442" s="107" t="str">
        <f>'Q100a-geral'!V1363</f>
        <v>só para pesquisa</v>
      </c>
      <c r="W442" s="84" t="e">
        <f>'Q100a-geral'!#REF!</f>
        <v>#REF!</v>
      </c>
      <c r="X442" s="84" t="e">
        <f>'Q100a-geral'!#REF!</f>
        <v>#REF!</v>
      </c>
      <c r="Y442" s="84" t="e">
        <f>'Q100a-geral'!#REF!</f>
        <v>#REF!</v>
      </c>
      <c r="Z442" s="84" t="e">
        <f>'Q100a-geral'!#REF!</f>
        <v>#REF!</v>
      </c>
      <c r="AA442" s="84" t="e">
        <f>'Q100a-geral'!#REF!</f>
        <v>#REF!</v>
      </c>
      <c r="AB442" s="84">
        <f>'Q100a-geral'!AB1363</f>
        <v>4.67</v>
      </c>
      <c r="AC442" s="84">
        <f>'Q100a-geral'!AC1363</f>
        <v>4.63</v>
      </c>
      <c r="AD442" s="83">
        <f>'Q100a-geral'!AD1363</f>
        <v>4.67</v>
      </c>
      <c r="AE442" s="83">
        <f>'Q100a-geral'!AE1363</f>
        <v>3.92</v>
      </c>
      <c r="AF442" s="83">
        <f>'Q100a-geral'!AF1363</f>
        <v>3.67</v>
      </c>
      <c r="AG442" s="83">
        <f>'Q100a-geral'!AG1363</f>
        <v>3.42</v>
      </c>
      <c r="AH442" s="83">
        <f>'Q100a-geral'!AH1363</f>
        <v>4</v>
      </c>
      <c r="AI442" s="242" t="str">
        <f>'Q100a-geral'!AI1363</f>
        <v>aguardando atualização da fonte</v>
      </c>
      <c r="AJ442" s="242" t="str">
        <f>'Q100a-geral'!AJ1363</f>
        <v>aguardando atualização da fonte</v>
      </c>
      <c r="AK442" s="137" t="str">
        <f>'Q100a-geral'!AK1363</f>
        <v>aguardando atualização da fonte</v>
      </c>
      <c r="AL442" s="213" t="str">
        <f>'Q100a-geral'!AL1363</f>
        <v>x</v>
      </c>
      <c r="AM442" s="137" t="str">
        <f>'Q100a-geral'!AM1363</f>
        <v>x</v>
      </c>
      <c r="AN442" s="137" t="str">
        <f>'Q100a-geral'!AN1363</f>
        <v>x</v>
      </c>
      <c r="AO442" s="137" t="str">
        <f>'Q100a-geral'!AO1363</f>
        <v>x</v>
      </c>
      <c r="AP442" s="137" t="str">
        <f>'Q100a-geral'!AP1363</f>
        <v>x</v>
      </c>
      <c r="AQ442" s="137" t="str">
        <f>'Q100a-geral'!AQ1363</f>
        <v>x</v>
      </c>
      <c r="AR442" s="137"/>
      <c r="AS442" s="137"/>
      <c r="AT442" s="137"/>
      <c r="AU442" s="137"/>
      <c r="AV442" s="137" t="str">
        <f>'Q100a-geral'!AV1363</f>
        <v>x</v>
      </c>
      <c r="AW442" s="137"/>
      <c r="AX442" s="137"/>
      <c r="AY442" s="137"/>
      <c r="AZ442" s="137"/>
      <c r="BA442" s="137" t="str">
        <f>'Q100a-geral'!BA1363</f>
        <v>x</v>
      </c>
      <c r="BB442" s="239" t="str">
        <f>'Q100a-geral'!BB1363</f>
        <v>Transporte convencionalx</v>
      </c>
      <c r="BC442" s="239" t="str">
        <f>'Q100a-geral'!BC1363</f>
        <v>Transporte convencionalxx</v>
      </c>
      <c r="BD442" s="239" t="str">
        <f>'Q100a-geral'!BD1363</f>
        <v>Transporte convencionalx</v>
      </c>
    </row>
    <row r="443" spans="1:57" s="1" customFormat="1" ht="51" customHeight="1" x14ac:dyDescent="0.25">
      <c r="A443" s="275" t="str">
        <f>'Q100a-geral'!A1366</f>
        <v>9.1</v>
      </c>
      <c r="B443" s="11" t="str">
        <f>'Q100a-geral'!B1366</f>
        <v>Acidentes de trânsito</v>
      </c>
      <c r="C443" s="57" t="str">
        <f>'Q100a-geral'!C1366</f>
        <v>x</v>
      </c>
      <c r="D443" s="240" t="str">
        <f>'Q100a-geral'!D1366</f>
        <v>IMORT</v>
      </c>
      <c r="E443" s="252" t="str">
        <f>'Q100a-geral'!E1366</f>
        <v>x</v>
      </c>
      <c r="F443" s="445" t="str">
        <f>'Q100a-geral'!F1366</f>
        <v>índice de mortalidade
obs.: conforme BHTRANS(2011a, p.16)</v>
      </c>
      <c r="G443" s="11" t="str">
        <f>'Q100a-geral'!G1366</f>
        <v>consulte: 
M por 100 mil habitantes e 
M por 10 mil veículos</v>
      </c>
      <c r="H443" s="173" t="str">
        <f>'Q100a-geral'!H1366</f>
        <v>sigla/verbete</v>
      </c>
      <c r="I443" s="57" t="str">
        <f>'Q100a-geral'!I1366</f>
        <v>x</v>
      </c>
      <c r="J443" s="109" t="str">
        <f>'Q100a-geral'!J1366</f>
        <v>x</v>
      </c>
      <c r="K443" s="109" t="str">
        <f>'Q100a-geral'!K1366</f>
        <v>x</v>
      </c>
      <c r="L443" s="109" t="str">
        <f>'Q100a-geral'!L1366</f>
        <v>x</v>
      </c>
      <c r="M443" s="109" t="str">
        <f>'Q100a-geral'!M1366</f>
        <v>x</v>
      </c>
      <c r="N443" s="109" t="str">
        <f>'Q100a-geral'!N1366</f>
        <v>x</v>
      </c>
      <c r="O443" s="109" t="str">
        <f>'Q100a-geral'!O1366</f>
        <v>x</v>
      </c>
      <c r="P443" s="109" t="str">
        <f>'Q100a-geral'!P1366</f>
        <v>x</v>
      </c>
      <c r="Q443" s="109" t="str">
        <f>'Q100a-geral'!Q1366</f>
        <v>x</v>
      </c>
      <c r="R443" s="109" t="str">
        <f>'Q100a-geral'!R1366</f>
        <v>x</v>
      </c>
      <c r="S443" s="109" t="str">
        <f>'Q100a-geral'!S1366</f>
        <v>só para pesquisa</v>
      </c>
      <c r="T443" s="109" t="str">
        <f>'Q100a-geral'!T1366</f>
        <v>x</v>
      </c>
      <c r="U443" s="109" t="str">
        <f>'Q100a-geral'!U1366</f>
        <v>x</v>
      </c>
      <c r="V443" s="109" t="str">
        <f>'Q100a-geral'!V1366</f>
        <v>só para pesquisa</v>
      </c>
      <c r="W443" s="109">
        <f>'Q100a-geral'!W1363</f>
        <v>5.97</v>
      </c>
      <c r="X443" s="109">
        <f>'Q100a-geral'!X1363</f>
        <v>6.89</v>
      </c>
      <c r="Y443" s="109">
        <f>'Q100a-geral'!Y1363</f>
        <v>7.73</v>
      </c>
      <c r="Z443" s="109">
        <f>'Q100a-geral'!Z1363</f>
        <v>6.47</v>
      </c>
      <c r="AA443" s="109">
        <f>'Q100a-geral'!AA1363</f>
        <v>5.34</v>
      </c>
      <c r="AB443" s="109" t="str">
        <f>'Q100a-geral'!AB1366</f>
        <v>x</v>
      </c>
      <c r="AC443" s="109" t="str">
        <f>'Q100a-geral'!AC1366</f>
        <v>x</v>
      </c>
      <c r="AD443" s="109" t="str">
        <f>'Q100a-geral'!AD1366</f>
        <v>x</v>
      </c>
      <c r="AE443" s="109" t="str">
        <f>'Q100a-geral'!AE1366</f>
        <v>x</v>
      </c>
      <c r="AF443" s="109" t="str">
        <f>'Q100a-geral'!AF1366</f>
        <v>x</v>
      </c>
      <c r="AG443" s="109" t="str">
        <f>'Q100a-geral'!AG1366</f>
        <v>x</v>
      </c>
      <c r="AH443" s="109" t="str">
        <f>'Q100a-geral'!AH1366</f>
        <v>x</v>
      </c>
      <c r="AI443" s="109" t="str">
        <f>'Q100a-geral'!AI1366</f>
        <v>x</v>
      </c>
      <c r="AJ443" s="109" t="str">
        <f>'Q100a-geral'!AJ1366</f>
        <v>x</v>
      </c>
      <c r="AK443" s="137" t="str">
        <f>'Q100a-geral'!AK1366</f>
        <v>x</v>
      </c>
      <c r="AL443" s="167" t="str">
        <f>'Q100a-geral'!AL1366</f>
        <v>x</v>
      </c>
      <c r="AM443" s="137" t="str">
        <f>'Q100a-geral'!AM1366</f>
        <v>x</v>
      </c>
      <c r="AN443" s="137" t="str">
        <f>'Q100a-geral'!AN1366</f>
        <v>x</v>
      </c>
      <c r="AO443" s="137" t="str">
        <f>'Q100a-geral'!AO1366</f>
        <v>x</v>
      </c>
      <c r="AP443" s="137" t="str">
        <f>'Q100a-geral'!AP1366</f>
        <v>x</v>
      </c>
      <c r="AQ443" s="137" t="str">
        <f>'Q100a-geral'!AQ1366</f>
        <v>x</v>
      </c>
      <c r="AR443" s="137"/>
      <c r="AS443" s="137"/>
      <c r="AT443" s="137"/>
      <c r="AU443" s="137"/>
      <c r="AV443" s="137" t="str">
        <f>'Q100a-geral'!AV1366</f>
        <v>x</v>
      </c>
      <c r="AW443" s="137"/>
      <c r="AX443" s="137"/>
      <c r="AY443" s="137"/>
      <c r="AZ443" s="137"/>
      <c r="BA443" s="137" t="str">
        <f>'Q100a-geral'!BA1366</f>
        <v>x</v>
      </c>
      <c r="BB443" s="239" t="str">
        <f>'Q100a-geral'!BB1366</f>
        <v>Acidentes de trânsitox</v>
      </c>
      <c r="BC443" s="239" t="str">
        <f>'Q100a-geral'!BC1366</f>
        <v>Acidentes de trânsitoxsigla/verbete</v>
      </c>
      <c r="BD443" s="239" t="str">
        <f>'Q100a-geral'!BD1366</f>
        <v>Acidentes de trânsitosigla/verbete</v>
      </c>
    </row>
    <row r="444" spans="1:57" s="1" customFormat="1" ht="63.75" customHeight="1" x14ac:dyDescent="0.25">
      <c r="A444" s="275" t="str">
        <f>'Q100a-geral'!A1418</f>
        <v>9.5</v>
      </c>
      <c r="B444" s="11" t="str">
        <f>'Q100a-geral'!B1418</f>
        <v>Sinalização semafórica</v>
      </c>
      <c r="C444" s="167" t="str">
        <f>'Q100a-geral'!C1418</f>
        <v>x</v>
      </c>
      <c r="D444" s="322" t="str">
        <f>'Q100a-geral'!D1418</f>
        <v>interseção</v>
      </c>
      <c r="E444" s="11" t="str">
        <f>'Q100a-geral'!E1418</f>
        <v>x</v>
      </c>
      <c r="F444" s="445" t="str">
        <f>'Q100a-geral'!F1418</f>
        <v>"todo cruzamento em nível, entroncamento ou bifurcação, incluindo as áreas formadas por tais cruzamentos, entroncamentos ou bifurcações"
obs.: conforme BRASIL (1997a/Anexo I)</v>
      </c>
      <c r="G444" s="11" t="str">
        <f>'Q100a-geral'!G1418</f>
        <v>verbete
MFO</v>
      </c>
      <c r="H444" s="221" t="str">
        <f>'Q100a-geral'!H1418</f>
        <v>sigla/verbete</v>
      </c>
      <c r="I444" s="57" t="str">
        <f>'Q100a-geral'!I1418</f>
        <v>x</v>
      </c>
      <c r="J444" s="107" t="str">
        <f>'Q100a-geral'!J1418</f>
        <v>x</v>
      </c>
      <c r="K444" s="107" t="str">
        <f>'Q100a-geral'!K1418</f>
        <v>x</v>
      </c>
      <c r="L444" s="107" t="str">
        <f>'Q100a-geral'!L1418</f>
        <v>x</v>
      </c>
      <c r="M444" s="107" t="str">
        <f>'Q100a-geral'!M1418</f>
        <v>x</v>
      </c>
      <c r="N444" s="107" t="str">
        <f>'Q100a-geral'!N1418</f>
        <v>x</v>
      </c>
      <c r="O444" s="107" t="str">
        <f>'Q100a-geral'!O1418</f>
        <v>x</v>
      </c>
      <c r="P444" s="107" t="str">
        <f>'Q100a-geral'!P1418</f>
        <v>x</v>
      </c>
      <c r="Q444" s="107" t="str">
        <f>'Q100a-geral'!Q1418</f>
        <v>x</v>
      </c>
      <c r="R444" s="107" t="str">
        <f>'Q100a-geral'!R1418</f>
        <v>x</v>
      </c>
      <c r="S444" s="107" t="str">
        <f>'Q100a-geral'!S1418</f>
        <v>só para pesquisa</v>
      </c>
      <c r="T444" s="107" t="str">
        <f>'Q100a-geral'!T1418</f>
        <v>x</v>
      </c>
      <c r="U444" s="107" t="str">
        <f>'Q100a-geral'!U1418</f>
        <v>x</v>
      </c>
      <c r="V444" s="107" t="str">
        <f>'Q100a-geral'!V1418</f>
        <v>só para pesquisa</v>
      </c>
      <c r="W444" s="107" t="str">
        <f>'Q100a-geral'!W1418</f>
        <v>x</v>
      </c>
      <c r="X444" s="107" t="str">
        <f>'Q100a-geral'!X1418</f>
        <v>x</v>
      </c>
      <c r="Y444" s="107" t="str">
        <f>'Q100a-geral'!Y1418</f>
        <v>x</v>
      </c>
      <c r="Z444" s="107" t="str">
        <f>'Q100a-geral'!Z1418</f>
        <v>x</v>
      </c>
      <c r="AA444" s="107" t="str">
        <f>'Q100a-geral'!AA1418</f>
        <v>x</v>
      </c>
      <c r="AB444" s="107" t="str">
        <f>'Q100a-geral'!AB1418</f>
        <v>x</v>
      </c>
      <c r="AC444" s="107" t="str">
        <f>'Q100a-geral'!AC1418</f>
        <v>x</v>
      </c>
      <c r="AD444" s="107" t="str">
        <f>'Q100a-geral'!AD1418</f>
        <v>x</v>
      </c>
      <c r="AE444" s="107" t="str">
        <f>'Q100a-geral'!AE1418</f>
        <v>x</v>
      </c>
      <c r="AF444" s="107" t="str">
        <f>'Q100a-geral'!AF1418</f>
        <v>x</v>
      </c>
      <c r="AG444" s="107" t="str">
        <f>'Q100a-geral'!AG1418</f>
        <v>x</v>
      </c>
      <c r="AH444" s="107" t="str">
        <f>'Q100a-geral'!AH1418</f>
        <v>x</v>
      </c>
      <c r="AI444" s="107" t="str">
        <f>'Q100a-geral'!AI1418</f>
        <v>x</v>
      </c>
      <c r="AJ444" s="107" t="str">
        <f>'Q100a-geral'!AJ1418</f>
        <v>x</v>
      </c>
      <c r="AK444" s="137" t="str">
        <f>'Q100a-geral'!AK1418</f>
        <v>x</v>
      </c>
      <c r="AL444" s="57" t="str">
        <f>'Q100a-geral'!AL1418</f>
        <v>x</v>
      </c>
      <c r="AM444" s="137" t="str">
        <f>'Q100a-geral'!AM1418</f>
        <v>x</v>
      </c>
      <c r="AN444" s="137" t="str">
        <f>'Q100a-geral'!AN1418</f>
        <v>x</v>
      </c>
      <c r="AO444" s="137" t="str">
        <f>'Q100a-geral'!AO1418</f>
        <v>x</v>
      </c>
      <c r="AP444" s="137" t="str">
        <f>'Q100a-geral'!AP1418</f>
        <v>x</v>
      </c>
      <c r="AQ444" s="137" t="str">
        <f>'Q100a-geral'!AQ1418</f>
        <v>x</v>
      </c>
      <c r="AR444" s="137"/>
      <c r="AS444" s="137"/>
      <c r="AT444" s="137"/>
      <c r="AU444" s="137"/>
      <c r="AV444" s="137" t="str">
        <f>'Q100a-geral'!AV1418</f>
        <v>x</v>
      </c>
      <c r="AW444" s="137"/>
      <c r="AX444" s="137"/>
      <c r="AY444" s="137"/>
      <c r="AZ444" s="137"/>
      <c r="BA444" s="137" t="str">
        <f>'Q100a-geral'!BA1418</f>
        <v>x</v>
      </c>
      <c r="BB444" s="239" t="str">
        <f>'Q100a-geral'!BB1418</f>
        <v>Sinalização semafóricax</v>
      </c>
      <c r="BC444" s="239" t="str">
        <f>'Q100a-geral'!BC1418</f>
        <v>Sinalização semafóricaxsigla/verbete</v>
      </c>
      <c r="BD444" s="239" t="str">
        <f>'Q100a-geral'!BD1418</f>
        <v>Sinalização semafóricasigla/verbete</v>
      </c>
    </row>
    <row r="445" spans="1:57" s="1" customFormat="1" ht="51" customHeight="1" x14ac:dyDescent="0.25">
      <c r="A445" s="275" t="str">
        <f>'Q100a-geral'!A1435</f>
        <v>9.5</v>
      </c>
      <c r="B445" s="11" t="str">
        <f>'Q100a-geral'!B1435</f>
        <v>Sinalização semafórica</v>
      </c>
      <c r="C445" s="167" t="str">
        <f>'Q100a-geral'!C1435</f>
        <v>x</v>
      </c>
      <c r="D445" s="322" t="str">
        <f>'Q100a-geral'!D1435</f>
        <v>intersecciones con semáforos por milhão de habitantes</v>
      </c>
      <c r="E445" s="11" t="str">
        <f>'Q100a-geral'!E1435</f>
        <v>x</v>
      </c>
      <c r="F445" s="445" t="str">
        <f>'Q100a-geral'!F1435</f>
        <v>n.º de "intersecciones con semáforos" para cada milhão de habitantes da área metropolitana selecionada
obs.1: indicador tomado como referencial externo, construído com base nas variáveis "intersecciones con semáforos" e "población" coletadas e publicadas pelo Observatorio de Movilidad para América Latina da CAF 
obs.2: fórmula = (intersecciones con semáforos" / población) x 1.000.000</v>
      </c>
      <c r="G445" s="11" t="str">
        <f>'Q100a-geral'!G1435</f>
        <v>verbete
MFO</v>
      </c>
      <c r="H445" s="221" t="str">
        <f>'Q100a-geral'!H1435</f>
        <v>sigla/verbete</v>
      </c>
      <c r="I445" s="57" t="str">
        <f>'Q100a-geral'!I1435</f>
        <v>x</v>
      </c>
      <c r="J445" s="109" t="str">
        <f>'Q100a-geral'!J1435</f>
        <v>x</v>
      </c>
      <c r="K445" s="109" t="str">
        <f>'Q100a-geral'!K1435</f>
        <v>x</v>
      </c>
      <c r="L445" s="109" t="str">
        <f>'Q100a-geral'!L1435</f>
        <v>x</v>
      </c>
      <c r="M445" s="109" t="str">
        <f>'Q100a-geral'!M1435</f>
        <v>x</v>
      </c>
      <c r="N445" s="109" t="str">
        <f>'Q100a-geral'!N1435</f>
        <v>x</v>
      </c>
      <c r="O445" s="109" t="str">
        <f>'Q100a-geral'!O1435</f>
        <v>x</v>
      </c>
      <c r="P445" s="109" t="str">
        <f>'Q100a-geral'!P1435</f>
        <v>x</v>
      </c>
      <c r="Q445" s="109" t="str">
        <f>'Q100a-geral'!Q1435</f>
        <v>x</v>
      </c>
      <c r="R445" s="109" t="str">
        <f>'Q100a-geral'!R1435</f>
        <v>x</v>
      </c>
      <c r="S445" s="109" t="str">
        <f>'Q100a-geral'!S1435</f>
        <v>só para pesquisa</v>
      </c>
      <c r="T445" s="109" t="str">
        <f>'Q100a-geral'!T1435</f>
        <v>x</v>
      </c>
      <c r="U445" s="109" t="str">
        <f>'Q100a-geral'!U1435</f>
        <v>x</v>
      </c>
      <c r="V445" s="109" t="str">
        <f>'Q100a-geral'!V1435</f>
        <v>só para pesquisa</v>
      </c>
      <c r="W445" s="109" t="str">
        <f>'Q100a-geral'!W1435</f>
        <v>x</v>
      </c>
      <c r="X445" s="109" t="str">
        <f>'Q100a-geral'!X1435</f>
        <v>x</v>
      </c>
      <c r="Y445" s="109" t="str">
        <f>'Q100a-geral'!Y1435</f>
        <v>x</v>
      </c>
      <c r="Z445" s="109" t="str">
        <f>'Q100a-geral'!Z1435</f>
        <v>x</v>
      </c>
      <c r="AA445" s="109" t="str">
        <f>'Q100a-geral'!AA1435</f>
        <v>x</v>
      </c>
      <c r="AB445" s="109" t="str">
        <f>'Q100a-geral'!AB1435</f>
        <v>x</v>
      </c>
      <c r="AC445" s="107" t="str">
        <f>'Q100a-geral'!AC1435</f>
        <v>x</v>
      </c>
      <c r="AD445" s="107" t="str">
        <f>'Q100a-geral'!AD1435</f>
        <v>x</v>
      </c>
      <c r="AE445" s="107" t="str">
        <f>'Q100a-geral'!AE1435</f>
        <v>x</v>
      </c>
      <c r="AF445" s="107" t="str">
        <f>'Q100a-geral'!AF1435</f>
        <v>x</v>
      </c>
      <c r="AG445" s="107" t="str">
        <f>'Q100a-geral'!AG1435</f>
        <v>x</v>
      </c>
      <c r="AH445" s="107" t="str">
        <f>'Q100a-geral'!AH1435</f>
        <v>x</v>
      </c>
      <c r="AI445" s="107" t="str">
        <f>'Q100a-geral'!AI1435</f>
        <v>x</v>
      </c>
      <c r="AJ445" s="107" t="str">
        <f>'Q100a-geral'!AJ1435</f>
        <v>x</v>
      </c>
      <c r="AK445" s="137" t="str">
        <f>'Q100a-geral'!AK1435</f>
        <v>x</v>
      </c>
      <c r="AL445" s="57" t="str">
        <f>'Q100a-geral'!AL1435</f>
        <v>x</v>
      </c>
      <c r="AM445" s="137" t="str">
        <f>'Q100a-geral'!AM1435</f>
        <v>x</v>
      </c>
      <c r="AN445" s="137" t="str">
        <f>'Q100a-geral'!AN1435</f>
        <v>x</v>
      </c>
      <c r="AO445" s="137" t="str">
        <f>'Q100a-geral'!AO1435</f>
        <v>x</v>
      </c>
      <c r="AP445" s="137" t="str">
        <f>'Q100a-geral'!AP1435</f>
        <v>x</v>
      </c>
      <c r="AQ445" s="137" t="str">
        <f>'Q100a-geral'!AQ1435</f>
        <v>x</v>
      </c>
      <c r="AR445" s="137"/>
      <c r="AS445" s="137"/>
      <c r="AT445" s="137"/>
      <c r="AU445" s="137"/>
      <c r="AV445" s="137" t="str">
        <f>'Q100a-geral'!AV1435</f>
        <v>x</v>
      </c>
      <c r="AW445" s="137"/>
      <c r="AX445" s="137"/>
      <c r="AY445" s="137"/>
      <c r="AZ445" s="137"/>
      <c r="BA445" s="137" t="str">
        <f>'Q100a-geral'!BA1435</f>
        <v>x</v>
      </c>
      <c r="BB445" s="239" t="str">
        <f>'Q100a-geral'!BB1435</f>
        <v>Sinalização semafóricax</v>
      </c>
      <c r="BC445" s="239" t="str">
        <f>'Q100a-geral'!BC1435</f>
        <v>Sinalização semafóricaxsigla/verbete</v>
      </c>
      <c r="BD445" s="239" t="str">
        <f>'Q100a-geral'!BD1435</f>
        <v>Sinalização semafóricasigla/verbete</v>
      </c>
    </row>
    <row r="446" spans="1:57" s="1" customFormat="1" ht="51" customHeight="1" x14ac:dyDescent="0.25">
      <c r="A446" s="275" t="str">
        <f>'Q100a-geral'!A1436</f>
        <v>9.5</v>
      </c>
      <c r="B446" s="11" t="str">
        <f>'Q100a-geral'!B1436</f>
        <v>Sinalização semafórica</v>
      </c>
      <c r="C446" s="167" t="str">
        <f>'Q100a-geral'!C1436</f>
        <v>x</v>
      </c>
      <c r="D446" s="900" t="str">
        <f>'Q100a-geral'!D1436</f>
        <v>intersecciones con semáforos por milhão de habitantes</v>
      </c>
      <c r="E446" s="488" t="str">
        <f>'Q100a-geral'!E1436</f>
        <v>AM Belo Horizonte</v>
      </c>
      <c r="F446" s="488" t="str">
        <f>'Q100a-geral'!F1436</f>
        <v>n.º de "intersecciones" semafóricas por milhão de habitantes na área metropolitana de Belo Horizonte
obs.: resultado de 2007 calculado com base em CAF(2010, p.9/Cuadro 1-población); p.14/Cuadro 4-intersecciones con semáforos)</v>
      </c>
      <c r="G446" s="252" t="str">
        <f>'Q100a-geral'!G1436</f>
        <v>(intersecciones semafóricas / P ) x 1.000.000</v>
      </c>
      <c r="H446" s="221" t="str">
        <f>'Q100a-geral'!H1436</f>
        <v>RMBH</v>
      </c>
      <c r="I446" s="167">
        <f>'Q100a-geral'!I1436</f>
        <v>1</v>
      </c>
      <c r="J446" s="109" t="str">
        <f>'Q100a-geral'!J1436</f>
        <v>x</v>
      </c>
      <c r="K446" s="109" t="str">
        <f>'Q100a-geral'!K1436</f>
        <v>x</v>
      </c>
      <c r="L446" s="109" t="str">
        <f>'Q100a-geral'!L1436</f>
        <v>x</v>
      </c>
      <c r="M446" s="109" t="str">
        <f>'Q100a-geral'!M1436</f>
        <v>x</v>
      </c>
      <c r="N446" s="109" t="str">
        <f>'Q100a-geral'!N1436</f>
        <v>x</v>
      </c>
      <c r="O446" s="109" t="str">
        <f>'Q100a-geral'!O1436</f>
        <v>x</v>
      </c>
      <c r="P446" s="109" t="str">
        <f>'Q100a-geral'!P1436</f>
        <v>x</v>
      </c>
      <c r="Q446" s="109" t="str">
        <f>'Q100a-geral'!Q1436</f>
        <v>x</v>
      </c>
      <c r="R446" s="109" t="str">
        <f>'Q100a-geral'!R1436</f>
        <v>x</v>
      </c>
      <c r="S446" s="109" t="str">
        <f>'Q100a-geral'!S1436</f>
        <v>só para pesquisa</v>
      </c>
      <c r="T446" s="109" t="str">
        <f>'Q100a-geral'!T1436</f>
        <v>x</v>
      </c>
      <c r="U446" s="109" t="str">
        <f>'Q100a-geral'!U1436</f>
        <v>x</v>
      </c>
      <c r="V446" s="109" t="str">
        <f>'Q100a-geral'!V1436</f>
        <v>só para pesquisa</v>
      </c>
      <c r="W446" s="109" t="str">
        <f>'Q100a-geral'!W1436</f>
        <v>x</v>
      </c>
      <c r="X446" s="109" t="str">
        <f>'Q100a-geral'!X1436</f>
        <v>x</v>
      </c>
      <c r="Y446" s="109" t="str">
        <f>'Q100a-geral'!Y1436</f>
        <v>x</v>
      </c>
      <c r="Z446" s="109" t="str">
        <f>'Q100a-geral'!Z1436</f>
        <v>x</v>
      </c>
      <c r="AA446" s="109" t="str">
        <f>'Q100a-geral'!AA1436</f>
        <v>x</v>
      </c>
      <c r="AB446" s="109" t="str">
        <f>'Q100a-geral'!AB1436</f>
        <v>x</v>
      </c>
      <c r="AC446" s="894">
        <f>'Q100a-geral'!AC1436</f>
        <v>244.21229355941603</v>
      </c>
      <c r="AD446" s="107" t="str">
        <f>'Q100a-geral'!AD1436</f>
        <v>x</v>
      </c>
      <c r="AE446" s="107" t="str">
        <f>'Q100a-geral'!AE1436</f>
        <v>x</v>
      </c>
      <c r="AF446" s="107" t="str">
        <f>'Q100a-geral'!AF1436</f>
        <v>x</v>
      </c>
      <c r="AG446" s="107" t="str">
        <f>'Q100a-geral'!AG1436</f>
        <v>x</v>
      </c>
      <c r="AH446" s="107" t="str">
        <f>'Q100a-geral'!AH1436</f>
        <v>x</v>
      </c>
      <c r="AI446" s="107" t="str">
        <f>'Q100a-geral'!AI1436</f>
        <v>x</v>
      </c>
      <c r="AJ446" s="107" t="str">
        <f>'Q100a-geral'!AJ1436</f>
        <v>x</v>
      </c>
      <c r="AK446" s="137" t="str">
        <f>'Q100a-geral'!AK1436</f>
        <v>x</v>
      </c>
      <c r="AL446" s="57" t="str">
        <f>'Q100a-geral'!AL1436</f>
        <v>x</v>
      </c>
      <c r="AM446" s="137" t="str">
        <f>'Q100a-geral'!AM1436</f>
        <v>x</v>
      </c>
      <c r="AN446" s="137" t="str">
        <f>'Q100a-geral'!AN1436</f>
        <v>x</v>
      </c>
      <c r="AO446" s="137" t="str">
        <f>'Q100a-geral'!AO1436</f>
        <v>x</v>
      </c>
      <c r="AP446" s="137" t="str">
        <f>'Q100a-geral'!AP1436</f>
        <v>x</v>
      </c>
      <c r="AQ446" s="137" t="str">
        <f>'Q100a-geral'!AQ1436</f>
        <v>x</v>
      </c>
      <c r="AR446" s="137"/>
      <c r="AS446" s="137"/>
      <c r="AT446" s="137"/>
      <c r="AU446" s="137"/>
      <c r="AV446" s="137" t="str">
        <f>'Q100a-geral'!AV1436</f>
        <v>x</v>
      </c>
      <c r="AW446" s="137"/>
      <c r="AX446" s="137"/>
      <c r="AY446" s="137"/>
      <c r="AZ446" s="137"/>
      <c r="BA446" s="137" t="str">
        <f>'Q100a-geral'!BA1436</f>
        <v>x</v>
      </c>
      <c r="BB446" s="239" t="str">
        <f>'Q100a-geral'!BB1436</f>
        <v>Sinalização semafóricax</v>
      </c>
      <c r="BC446" s="239" t="str">
        <f>'Q100a-geral'!BC1436</f>
        <v>Sinalização semafóricaxRMBH</v>
      </c>
      <c r="BD446" s="239" t="str">
        <f>'Q100a-geral'!BD1436</f>
        <v>Sinalização semafóricaRMBH</v>
      </c>
      <c r="BE446" s="371" t="s">
        <v>2747</v>
      </c>
    </row>
    <row r="447" spans="1:57" s="1" customFormat="1" ht="51" customHeight="1" x14ac:dyDescent="0.25">
      <c r="A447" s="275" t="str">
        <f>'Q100a-geral'!A1437</f>
        <v>9.5</v>
      </c>
      <c r="B447" s="11" t="str">
        <f>'Q100a-geral'!B1437</f>
        <v>Sinalização semafórica</v>
      </c>
      <c r="C447" s="167" t="str">
        <f>'Q100a-geral'!C1437</f>
        <v>x</v>
      </c>
      <c r="D447" s="900" t="str">
        <f>'Q100a-geral'!D1437</f>
        <v>intersecciones con semáforos por milhão de habitantes</v>
      </c>
      <c r="E447" s="488" t="str">
        <f>'Q100a-geral'!E1437</f>
        <v>AM Bogotá</v>
      </c>
      <c r="F447" s="488" t="str">
        <f>'Q100a-geral'!F1437</f>
        <v>n.º de "intersecciones" semafóricas por milhão de habitantes na área metropolitana de Bogotá
obs.: resultado de 2007 calculado com base em CAF(2010, p.9/Cuadro 1-población); p.14/Cuadro 4-intersecciones con semáforos)</v>
      </c>
      <c r="G447" s="252" t="str">
        <f>'Q100a-geral'!G1437</f>
        <v>(intersecciones semafóricas / P ) x 1.000.001</v>
      </c>
      <c r="H447" s="221" t="str">
        <f>'Q100a-geral'!H1437</f>
        <v>benchmarking</v>
      </c>
      <c r="I447" s="167" t="str">
        <f>'Q100a-geral'!I1437</f>
        <v>x</v>
      </c>
      <c r="J447" s="109" t="str">
        <f>'Q100a-geral'!J1437</f>
        <v>x</v>
      </c>
      <c r="K447" s="109" t="str">
        <f>'Q100a-geral'!K1437</f>
        <v>x</v>
      </c>
      <c r="L447" s="109" t="str">
        <f>'Q100a-geral'!L1437</f>
        <v>x</v>
      </c>
      <c r="M447" s="109" t="str">
        <f>'Q100a-geral'!M1437</f>
        <v>x</v>
      </c>
      <c r="N447" s="109" t="str">
        <f>'Q100a-geral'!N1437</f>
        <v>x</v>
      </c>
      <c r="O447" s="109" t="str">
        <f>'Q100a-geral'!O1437</f>
        <v>x</v>
      </c>
      <c r="P447" s="109" t="str">
        <f>'Q100a-geral'!P1437</f>
        <v>x</v>
      </c>
      <c r="Q447" s="109" t="str">
        <f>'Q100a-geral'!Q1437</f>
        <v>x</v>
      </c>
      <c r="R447" s="109" t="str">
        <f>'Q100a-geral'!R1437</f>
        <v>x</v>
      </c>
      <c r="S447" s="109" t="str">
        <f>'Q100a-geral'!S1437</f>
        <v>só para pesquisa</v>
      </c>
      <c r="T447" s="109" t="str">
        <f>'Q100a-geral'!T1437</f>
        <v>x</v>
      </c>
      <c r="U447" s="109" t="str">
        <f>'Q100a-geral'!U1437</f>
        <v>x</v>
      </c>
      <c r="V447" s="109" t="str">
        <f>'Q100a-geral'!V1437</f>
        <v>só para pesquisa</v>
      </c>
      <c r="W447" s="109" t="str">
        <f>'Q100a-geral'!W1437</f>
        <v>x</v>
      </c>
      <c r="X447" s="109" t="str">
        <f>'Q100a-geral'!X1437</f>
        <v>x</v>
      </c>
      <c r="Y447" s="109" t="str">
        <f>'Q100a-geral'!Y1437</f>
        <v>x</v>
      </c>
      <c r="Z447" s="109" t="str">
        <f>'Q100a-geral'!Z1437</f>
        <v>x</v>
      </c>
      <c r="AA447" s="109" t="str">
        <f>'Q100a-geral'!AA1437</f>
        <v>x</v>
      </c>
      <c r="AB447" s="109" t="str">
        <f>'Q100a-geral'!AB1437</f>
        <v>x</v>
      </c>
      <c r="AC447" s="894">
        <f>'Q100a-geral'!AC1437</f>
        <v>143.53350868364944</v>
      </c>
      <c r="AD447" s="107" t="str">
        <f>'Q100a-geral'!AD1437</f>
        <v>x</v>
      </c>
      <c r="AE447" s="107" t="str">
        <f>'Q100a-geral'!AE1437</f>
        <v>x</v>
      </c>
      <c r="AF447" s="107" t="str">
        <f>'Q100a-geral'!AF1437</f>
        <v>x</v>
      </c>
      <c r="AG447" s="107" t="str">
        <f>'Q100a-geral'!AG1437</f>
        <v>x</v>
      </c>
      <c r="AH447" s="107" t="str">
        <f>'Q100a-geral'!AH1437</f>
        <v>x</v>
      </c>
      <c r="AI447" s="107" t="str">
        <f>'Q100a-geral'!AI1437</f>
        <v>x</v>
      </c>
      <c r="AJ447" s="107" t="str">
        <f>'Q100a-geral'!AJ1437</f>
        <v>x</v>
      </c>
      <c r="AK447" s="137" t="str">
        <f>'Q100a-geral'!AK1437</f>
        <v>x</v>
      </c>
      <c r="AL447" s="57" t="str">
        <f>'Q100a-geral'!AL1437</f>
        <v>x</v>
      </c>
      <c r="AM447" s="137" t="str">
        <f>'Q100a-geral'!AM1437</f>
        <v>x</v>
      </c>
      <c r="AN447" s="137" t="str">
        <f>'Q100a-geral'!AN1437</f>
        <v>x</v>
      </c>
      <c r="AO447" s="137" t="str">
        <f>'Q100a-geral'!AO1437</f>
        <v>x</v>
      </c>
      <c r="AP447" s="137" t="str">
        <f>'Q100a-geral'!AP1437</f>
        <v>x</v>
      </c>
      <c r="AQ447" s="137" t="str">
        <f>'Q100a-geral'!AQ1437</f>
        <v>x</v>
      </c>
      <c r="AR447" s="137"/>
      <c r="AS447" s="137"/>
      <c r="AT447" s="137"/>
      <c r="AU447" s="137"/>
      <c r="AV447" s="137" t="str">
        <f>'Q100a-geral'!AV1437</f>
        <v>x</v>
      </c>
      <c r="AW447" s="137"/>
      <c r="AX447" s="137"/>
      <c r="AY447" s="137"/>
      <c r="AZ447" s="137"/>
      <c r="BA447" s="137" t="str">
        <f>'Q100a-geral'!BA1437</f>
        <v>x</v>
      </c>
      <c r="BB447" s="239" t="str">
        <f>'Q100a-geral'!BB1437</f>
        <v>Sinalização semafóricax</v>
      </c>
      <c r="BC447" s="239" t="str">
        <f>'Q100a-geral'!BC1437</f>
        <v>Sinalização semafóricaxbenchmarking</v>
      </c>
      <c r="BD447" s="239" t="str">
        <f>'Q100a-geral'!BD1437</f>
        <v>Sinalização semafóricabenchmarking</v>
      </c>
      <c r="BE447" s="371" t="s">
        <v>2748</v>
      </c>
    </row>
    <row r="448" spans="1:57" s="1" customFormat="1" ht="51" customHeight="1" x14ac:dyDescent="0.25">
      <c r="A448" s="275" t="str">
        <f>'Q100a-geral'!A1438</f>
        <v>9.5</v>
      </c>
      <c r="B448" s="11" t="str">
        <f>'Q100a-geral'!B1438</f>
        <v>Sinalização semafórica</v>
      </c>
      <c r="C448" s="167" t="str">
        <f>'Q100a-geral'!C1438</f>
        <v>x</v>
      </c>
      <c r="D448" s="900" t="str">
        <f>'Q100a-geral'!D1438</f>
        <v>intersecciones con semáforos por milhão de habitantes</v>
      </c>
      <c r="E448" s="488" t="str">
        <f>'Q100a-geral'!E1438</f>
        <v>AM Buenos Aires</v>
      </c>
      <c r="F448" s="488" t="str">
        <f>'Q100a-geral'!F1438</f>
        <v>n.º de "intersecciones" semafóricas por milhão de habitantes na área metropolitana de Buenos Aires
obs.: resultado de 2007 calculado com base em CAF(2010, p.9/Cuadro 1-población); p.14/Cuadro 4-intersecciones con semáforos)</v>
      </c>
      <c r="G448" s="252" t="str">
        <f>'Q100a-geral'!G1438</f>
        <v>(intersecciones semafóricas / P ) x 1.000.002</v>
      </c>
      <c r="H448" s="221" t="str">
        <f>'Q100a-geral'!H1438</f>
        <v>benchmarking</v>
      </c>
      <c r="I448" s="167" t="str">
        <f>'Q100a-geral'!I1438</f>
        <v>x</v>
      </c>
      <c r="J448" s="109" t="str">
        <f>'Q100a-geral'!J1438</f>
        <v>x</v>
      </c>
      <c r="K448" s="109" t="str">
        <f>'Q100a-geral'!K1438</f>
        <v>x</v>
      </c>
      <c r="L448" s="109" t="str">
        <f>'Q100a-geral'!L1438</f>
        <v>x</v>
      </c>
      <c r="M448" s="109" t="str">
        <f>'Q100a-geral'!M1438</f>
        <v>x</v>
      </c>
      <c r="N448" s="109" t="str">
        <f>'Q100a-geral'!N1438</f>
        <v>x</v>
      </c>
      <c r="O448" s="109" t="str">
        <f>'Q100a-geral'!O1438</f>
        <v>x</v>
      </c>
      <c r="P448" s="109" t="str">
        <f>'Q100a-geral'!P1438</f>
        <v>x</v>
      </c>
      <c r="Q448" s="109" t="str">
        <f>'Q100a-geral'!Q1438</f>
        <v>x</v>
      </c>
      <c r="R448" s="109" t="str">
        <f>'Q100a-geral'!R1438</f>
        <v>x</v>
      </c>
      <c r="S448" s="109" t="str">
        <f>'Q100a-geral'!S1438</f>
        <v>só para pesquisa</v>
      </c>
      <c r="T448" s="109" t="str">
        <f>'Q100a-geral'!T1438</f>
        <v>x</v>
      </c>
      <c r="U448" s="109" t="str">
        <f>'Q100a-geral'!U1438</f>
        <v>x</v>
      </c>
      <c r="V448" s="109" t="str">
        <f>'Q100a-geral'!V1438</f>
        <v>só para pesquisa</v>
      </c>
      <c r="W448" s="109" t="str">
        <f>'Q100a-geral'!W1438</f>
        <v>x</v>
      </c>
      <c r="X448" s="109" t="str">
        <f>'Q100a-geral'!X1438</f>
        <v>x</v>
      </c>
      <c r="Y448" s="109" t="str">
        <f>'Q100a-geral'!Y1438</f>
        <v>x</v>
      </c>
      <c r="Z448" s="109" t="str">
        <f>'Q100a-geral'!Z1438</f>
        <v>x</v>
      </c>
      <c r="AA448" s="109" t="str">
        <f>'Q100a-geral'!AA1438</f>
        <v>x</v>
      </c>
      <c r="AB448" s="109" t="str">
        <f>'Q100a-geral'!AB1438</f>
        <v>x</v>
      </c>
      <c r="AC448" s="894">
        <f>'Q100a-geral'!AC1438</f>
        <v>542.69252827710727</v>
      </c>
      <c r="AD448" s="107" t="str">
        <f>'Q100a-geral'!AD1438</f>
        <v>x</v>
      </c>
      <c r="AE448" s="107" t="str">
        <f>'Q100a-geral'!AE1438</f>
        <v>x</v>
      </c>
      <c r="AF448" s="107" t="str">
        <f>'Q100a-geral'!AF1438</f>
        <v>x</v>
      </c>
      <c r="AG448" s="107" t="str">
        <f>'Q100a-geral'!AG1438</f>
        <v>x</v>
      </c>
      <c r="AH448" s="107" t="str">
        <f>'Q100a-geral'!AH1438</f>
        <v>x</v>
      </c>
      <c r="AI448" s="107" t="str">
        <f>'Q100a-geral'!AI1438</f>
        <v>x</v>
      </c>
      <c r="AJ448" s="107" t="str">
        <f>'Q100a-geral'!AJ1438</f>
        <v>x</v>
      </c>
      <c r="AK448" s="137" t="str">
        <f>'Q100a-geral'!AK1438</f>
        <v>x</v>
      </c>
      <c r="AL448" s="57" t="str">
        <f>'Q100a-geral'!AL1438</f>
        <v>x</v>
      </c>
      <c r="AM448" s="137" t="str">
        <f>'Q100a-geral'!AM1438</f>
        <v>x</v>
      </c>
      <c r="AN448" s="137" t="str">
        <f>'Q100a-geral'!AN1438</f>
        <v>x</v>
      </c>
      <c r="AO448" s="137" t="str">
        <f>'Q100a-geral'!AO1438</f>
        <v>x</v>
      </c>
      <c r="AP448" s="137" t="str">
        <f>'Q100a-geral'!AP1438</f>
        <v>x</v>
      </c>
      <c r="AQ448" s="137" t="str">
        <f>'Q100a-geral'!AQ1438</f>
        <v>x</v>
      </c>
      <c r="AR448" s="137"/>
      <c r="AS448" s="137"/>
      <c r="AT448" s="137"/>
      <c r="AU448" s="137"/>
      <c r="AV448" s="137" t="str">
        <f>'Q100a-geral'!AV1438</f>
        <v>x</v>
      </c>
      <c r="AW448" s="137"/>
      <c r="AX448" s="137"/>
      <c r="AY448" s="137"/>
      <c r="AZ448" s="137"/>
      <c r="BA448" s="137" t="str">
        <f>'Q100a-geral'!BA1438</f>
        <v>x</v>
      </c>
      <c r="BB448" s="239" t="str">
        <f>'Q100a-geral'!BB1438</f>
        <v>Sinalização semafóricax</v>
      </c>
      <c r="BC448" s="239" t="str">
        <f>'Q100a-geral'!BC1438</f>
        <v>Sinalização semafóricaxbenchmarking</v>
      </c>
      <c r="BD448" s="239" t="str">
        <f>'Q100a-geral'!BD1438</f>
        <v>Sinalização semafóricabenchmarking</v>
      </c>
      <c r="BE448" s="371" t="s">
        <v>2749</v>
      </c>
    </row>
    <row r="449" spans="1:57" s="1" customFormat="1" ht="51" customHeight="1" x14ac:dyDescent="0.25">
      <c r="A449" s="275" t="str">
        <f>'Q100a-geral'!A1439</f>
        <v>9.5</v>
      </c>
      <c r="B449" s="11" t="str">
        <f>'Q100a-geral'!B1439</f>
        <v>Sinalização semafórica</v>
      </c>
      <c r="C449" s="167" t="str">
        <f>'Q100a-geral'!C1439</f>
        <v>x</v>
      </c>
      <c r="D449" s="900" t="str">
        <f>'Q100a-geral'!D1439</f>
        <v>intersecciones con semáforos por milhão de habitantes</v>
      </c>
      <c r="E449" s="488" t="str">
        <f>'Q100a-geral'!E1439</f>
        <v>AM Caracas</v>
      </c>
      <c r="F449" s="488" t="str">
        <f>'Q100a-geral'!F1439</f>
        <v>n.º de "intersecciones" semafóricas por milhão de habitantes na área metropolitana de Caracas
obs.: resultado de 2007 calculado com base em CAF(2010, p.9/Cuadro 1-población); p.14/Cuadro 4-intersecciones con semáforos)</v>
      </c>
      <c r="G449" s="252" t="str">
        <f>'Q100a-geral'!G1439</f>
        <v>(intersecciones semafóricas / P ) x 1.000.003</v>
      </c>
      <c r="H449" s="221" t="str">
        <f>'Q100a-geral'!H1439</f>
        <v>benchmarking</v>
      </c>
      <c r="I449" s="167" t="str">
        <f>'Q100a-geral'!I1439</f>
        <v>x</v>
      </c>
      <c r="J449" s="109" t="str">
        <f>'Q100a-geral'!J1439</f>
        <v>x</v>
      </c>
      <c r="K449" s="109" t="str">
        <f>'Q100a-geral'!K1439</f>
        <v>x</v>
      </c>
      <c r="L449" s="109" t="str">
        <f>'Q100a-geral'!L1439</f>
        <v>x</v>
      </c>
      <c r="M449" s="109" t="str">
        <f>'Q100a-geral'!M1439</f>
        <v>x</v>
      </c>
      <c r="N449" s="109" t="str">
        <f>'Q100a-geral'!N1439</f>
        <v>x</v>
      </c>
      <c r="O449" s="109" t="str">
        <f>'Q100a-geral'!O1439</f>
        <v>x</v>
      </c>
      <c r="P449" s="109" t="str">
        <f>'Q100a-geral'!P1439</f>
        <v>x</v>
      </c>
      <c r="Q449" s="109" t="str">
        <f>'Q100a-geral'!Q1439</f>
        <v>x</v>
      </c>
      <c r="R449" s="109" t="str">
        <f>'Q100a-geral'!R1439</f>
        <v>x</v>
      </c>
      <c r="S449" s="109" t="str">
        <f>'Q100a-geral'!S1439</f>
        <v>só para pesquisa</v>
      </c>
      <c r="T449" s="109" t="str">
        <f>'Q100a-geral'!T1439</f>
        <v>x</v>
      </c>
      <c r="U449" s="109" t="str">
        <f>'Q100a-geral'!U1439</f>
        <v>x</v>
      </c>
      <c r="V449" s="109" t="str">
        <f>'Q100a-geral'!V1439</f>
        <v>só para pesquisa</v>
      </c>
      <c r="W449" s="109" t="str">
        <f>'Q100a-geral'!W1439</f>
        <v>x</v>
      </c>
      <c r="X449" s="109" t="str">
        <f>'Q100a-geral'!X1439</f>
        <v>x</v>
      </c>
      <c r="Y449" s="109" t="str">
        <f>'Q100a-geral'!Y1439</f>
        <v>x</v>
      </c>
      <c r="Z449" s="109" t="str">
        <f>'Q100a-geral'!Z1439</f>
        <v>x</v>
      </c>
      <c r="AA449" s="109" t="str">
        <f>'Q100a-geral'!AA1439</f>
        <v>x</v>
      </c>
      <c r="AB449" s="109" t="str">
        <f>'Q100a-geral'!AB1439</f>
        <v>x</v>
      </c>
      <c r="AC449" s="894">
        <f>'Q100a-geral'!AC1439</f>
        <v>157.95796025319132</v>
      </c>
      <c r="AD449" s="107" t="str">
        <f>'Q100a-geral'!AD1439</f>
        <v>x</v>
      </c>
      <c r="AE449" s="107" t="str">
        <f>'Q100a-geral'!AE1439</f>
        <v>x</v>
      </c>
      <c r="AF449" s="107" t="str">
        <f>'Q100a-geral'!AF1439</f>
        <v>x</v>
      </c>
      <c r="AG449" s="107" t="str">
        <f>'Q100a-geral'!AG1439</f>
        <v>x</v>
      </c>
      <c r="AH449" s="107" t="str">
        <f>'Q100a-geral'!AH1439</f>
        <v>x</v>
      </c>
      <c r="AI449" s="107" t="str">
        <f>'Q100a-geral'!AI1439</f>
        <v>x</v>
      </c>
      <c r="AJ449" s="107" t="str">
        <f>'Q100a-geral'!AJ1439</f>
        <v>x</v>
      </c>
      <c r="AK449" s="137" t="str">
        <f>'Q100a-geral'!AK1439</f>
        <v>x</v>
      </c>
      <c r="AL449" s="57" t="str">
        <f>'Q100a-geral'!AL1439</f>
        <v>x</v>
      </c>
      <c r="AM449" s="137" t="str">
        <f>'Q100a-geral'!AM1439</f>
        <v>x</v>
      </c>
      <c r="AN449" s="137" t="str">
        <f>'Q100a-geral'!AN1439</f>
        <v>x</v>
      </c>
      <c r="AO449" s="137" t="str">
        <f>'Q100a-geral'!AO1439</f>
        <v>x</v>
      </c>
      <c r="AP449" s="137" t="str">
        <f>'Q100a-geral'!AP1439</f>
        <v>x</v>
      </c>
      <c r="AQ449" s="137" t="str">
        <f>'Q100a-geral'!AQ1439</f>
        <v>x</v>
      </c>
      <c r="AR449" s="137"/>
      <c r="AS449" s="137"/>
      <c r="AT449" s="137"/>
      <c r="AU449" s="137"/>
      <c r="AV449" s="137" t="str">
        <f>'Q100a-geral'!AV1439</f>
        <v>x</v>
      </c>
      <c r="AW449" s="137"/>
      <c r="AX449" s="137"/>
      <c r="AY449" s="137"/>
      <c r="AZ449" s="137"/>
      <c r="BA449" s="137" t="str">
        <f>'Q100a-geral'!BA1439</f>
        <v>x</v>
      </c>
      <c r="BB449" s="239" t="str">
        <f>'Q100a-geral'!BB1439</f>
        <v>Sinalização semafóricax</v>
      </c>
      <c r="BC449" s="239" t="str">
        <f>'Q100a-geral'!BC1439</f>
        <v>Sinalização semafóricaxbenchmarking</v>
      </c>
      <c r="BD449" s="239" t="str">
        <f>'Q100a-geral'!BD1439</f>
        <v>Sinalização semafóricabenchmarking</v>
      </c>
      <c r="BE449" s="371" t="s">
        <v>2750</v>
      </c>
    </row>
    <row r="450" spans="1:57" s="1" customFormat="1" ht="51" customHeight="1" x14ac:dyDescent="0.25">
      <c r="A450" s="275" t="str">
        <f>'Q100a-geral'!A1440</f>
        <v>9.5</v>
      </c>
      <c r="B450" s="11" t="str">
        <f>'Q100a-geral'!B1440</f>
        <v>Sinalização semafórica</v>
      </c>
      <c r="C450" s="167" t="str">
        <f>'Q100a-geral'!C1440</f>
        <v>x</v>
      </c>
      <c r="D450" s="900" t="str">
        <f>'Q100a-geral'!D1440</f>
        <v>intersecciones con semáforos por milhão de habitantes</v>
      </c>
      <c r="E450" s="488" t="str">
        <f>'Q100a-geral'!E1440</f>
        <v>AM Cidade do México</v>
      </c>
      <c r="F450" s="488" t="str">
        <f>'Q100a-geral'!F1440</f>
        <v>n.º de "intersecciones" semafóricas por milhão de habitantes na área metropolitana de Ciudad de México
obs.: resultado de 2007 calculado com base em CAF(2010, p.9/Cuadro 1-población); p.14/Cuadro 4-intersecciones con semáforos)</v>
      </c>
      <c r="G450" s="252" t="str">
        <f>'Q100a-geral'!G1440</f>
        <v>(intersecciones semafóricas / P ) x 1.000.004</v>
      </c>
      <c r="H450" s="221" t="str">
        <f>'Q100a-geral'!H1440</f>
        <v>benchmarking</v>
      </c>
      <c r="I450" s="167" t="str">
        <f>'Q100a-geral'!I1440</f>
        <v>x</v>
      </c>
      <c r="J450" s="109" t="str">
        <f>'Q100a-geral'!J1440</f>
        <v>x</v>
      </c>
      <c r="K450" s="109" t="str">
        <f>'Q100a-geral'!K1440</f>
        <v>x</v>
      </c>
      <c r="L450" s="109" t="str">
        <f>'Q100a-geral'!L1440</f>
        <v>x</v>
      </c>
      <c r="M450" s="109" t="str">
        <f>'Q100a-geral'!M1440</f>
        <v>x</v>
      </c>
      <c r="N450" s="109" t="str">
        <f>'Q100a-geral'!N1440</f>
        <v>x</v>
      </c>
      <c r="O450" s="109" t="str">
        <f>'Q100a-geral'!O1440</f>
        <v>x</v>
      </c>
      <c r="P450" s="109" t="str">
        <f>'Q100a-geral'!P1440</f>
        <v>x</v>
      </c>
      <c r="Q450" s="109" t="str">
        <f>'Q100a-geral'!Q1440</f>
        <v>x</v>
      </c>
      <c r="R450" s="109" t="str">
        <f>'Q100a-geral'!R1440</f>
        <v>x</v>
      </c>
      <c r="S450" s="109" t="str">
        <f>'Q100a-geral'!S1440</f>
        <v>só para pesquisa</v>
      </c>
      <c r="T450" s="109" t="str">
        <f>'Q100a-geral'!T1440</f>
        <v>x</v>
      </c>
      <c r="U450" s="109" t="str">
        <f>'Q100a-geral'!U1440</f>
        <v>x</v>
      </c>
      <c r="V450" s="109" t="str">
        <f>'Q100a-geral'!V1440</f>
        <v>só para pesquisa</v>
      </c>
      <c r="W450" s="109" t="str">
        <f>'Q100a-geral'!W1440</f>
        <v>x</v>
      </c>
      <c r="X450" s="109" t="str">
        <f>'Q100a-geral'!X1440</f>
        <v>x</v>
      </c>
      <c r="Y450" s="109" t="str">
        <f>'Q100a-geral'!Y1440</f>
        <v>x</v>
      </c>
      <c r="Z450" s="109" t="str">
        <f>'Q100a-geral'!Z1440</f>
        <v>x</v>
      </c>
      <c r="AA450" s="109" t="str">
        <f>'Q100a-geral'!AA1440</f>
        <v>x</v>
      </c>
      <c r="AB450" s="109" t="str">
        <f>'Q100a-geral'!AB1440</f>
        <v>x</v>
      </c>
      <c r="AC450" s="894">
        <f>'Q100a-geral'!AC1440</f>
        <v>158.83650183394829</v>
      </c>
      <c r="AD450" s="107" t="str">
        <f>'Q100a-geral'!AD1440</f>
        <v>x</v>
      </c>
      <c r="AE450" s="107" t="str">
        <f>'Q100a-geral'!AE1440</f>
        <v>x</v>
      </c>
      <c r="AF450" s="107" t="str">
        <f>'Q100a-geral'!AF1440</f>
        <v>x</v>
      </c>
      <c r="AG450" s="107" t="str">
        <f>'Q100a-geral'!AG1440</f>
        <v>x</v>
      </c>
      <c r="AH450" s="107" t="str">
        <f>'Q100a-geral'!AH1440</f>
        <v>x</v>
      </c>
      <c r="AI450" s="107" t="str">
        <f>'Q100a-geral'!AI1440</f>
        <v>x</v>
      </c>
      <c r="AJ450" s="107" t="str">
        <f>'Q100a-geral'!AJ1440</f>
        <v>x</v>
      </c>
      <c r="AK450" s="137" t="str">
        <f>'Q100a-geral'!AK1440</f>
        <v>x</v>
      </c>
      <c r="AL450" s="57" t="str">
        <f>'Q100a-geral'!AL1440</f>
        <v>x</v>
      </c>
      <c r="AM450" s="137" t="str">
        <f>'Q100a-geral'!AM1440</f>
        <v>x</v>
      </c>
      <c r="AN450" s="137" t="str">
        <f>'Q100a-geral'!AN1440</f>
        <v>x</v>
      </c>
      <c r="AO450" s="137" t="str">
        <f>'Q100a-geral'!AO1440</f>
        <v>x</v>
      </c>
      <c r="AP450" s="137" t="str">
        <f>'Q100a-geral'!AP1440</f>
        <v>x</v>
      </c>
      <c r="AQ450" s="137" t="str">
        <f>'Q100a-geral'!AQ1440</f>
        <v>x</v>
      </c>
      <c r="AR450" s="137"/>
      <c r="AS450" s="137"/>
      <c r="AT450" s="137"/>
      <c r="AU450" s="137"/>
      <c r="AV450" s="137" t="str">
        <f>'Q100a-geral'!AV1440</f>
        <v>x</v>
      </c>
      <c r="AW450" s="137"/>
      <c r="AX450" s="137"/>
      <c r="AY450" s="137"/>
      <c r="AZ450" s="137"/>
      <c r="BA450" s="137" t="str">
        <f>'Q100a-geral'!BA1440</f>
        <v>x</v>
      </c>
      <c r="BB450" s="239" t="str">
        <f>'Q100a-geral'!BB1440</f>
        <v>Sinalização semafóricax</v>
      </c>
      <c r="BC450" s="239" t="str">
        <f>'Q100a-geral'!BC1440</f>
        <v>Sinalização semafóricaxbenchmarking</v>
      </c>
      <c r="BD450" s="239" t="str">
        <f>'Q100a-geral'!BD1440</f>
        <v>Sinalização semafóricabenchmarking</v>
      </c>
      <c r="BE450" s="371" t="s">
        <v>2751</v>
      </c>
    </row>
    <row r="451" spans="1:57" s="1" customFormat="1" ht="51" customHeight="1" x14ac:dyDescent="0.25">
      <c r="A451" s="275" t="str">
        <f>'Q100a-geral'!A1441</f>
        <v>9.5</v>
      </c>
      <c r="B451" s="11" t="str">
        <f>'Q100a-geral'!B1441</f>
        <v>Sinalização semafórica</v>
      </c>
      <c r="C451" s="167" t="str">
        <f>'Q100a-geral'!C1441</f>
        <v>x</v>
      </c>
      <c r="D451" s="900" t="str">
        <f>'Q100a-geral'!D1441</f>
        <v>intersecciones con semáforos por milhão de habitantes</v>
      </c>
      <c r="E451" s="488" t="str">
        <f>'Q100a-geral'!E1441</f>
        <v>AM Curitiba</v>
      </c>
      <c r="F451" s="488" t="str">
        <f>'Q100a-geral'!F1441</f>
        <v>n.º de "intersecciones" semafóricas por milhão de habitantes na área metropolitana de Curitiba
obs.: resultado de 2007 calculado com base em CAF(2010, p.9/Cuadro 1-población); p.14/Cuadro 4-intersecciones con semáforos)</v>
      </c>
      <c r="G451" s="252" t="str">
        <f>'Q100a-geral'!G1441</f>
        <v>(intersecciones semafóricas / P ) x 1.000.005</v>
      </c>
      <c r="H451" s="221" t="str">
        <f>'Q100a-geral'!H1441</f>
        <v>benchmarking</v>
      </c>
      <c r="I451" s="167" t="str">
        <f>'Q100a-geral'!I1441</f>
        <v>x</v>
      </c>
      <c r="J451" s="109" t="str">
        <f>'Q100a-geral'!J1441</f>
        <v>x</v>
      </c>
      <c r="K451" s="109" t="str">
        <f>'Q100a-geral'!K1441</f>
        <v>x</v>
      </c>
      <c r="L451" s="109" t="str">
        <f>'Q100a-geral'!L1441</f>
        <v>x</v>
      </c>
      <c r="M451" s="109" t="str">
        <f>'Q100a-geral'!M1441</f>
        <v>x</v>
      </c>
      <c r="N451" s="109" t="str">
        <f>'Q100a-geral'!N1441</f>
        <v>x</v>
      </c>
      <c r="O451" s="109" t="str">
        <f>'Q100a-geral'!O1441</f>
        <v>x</v>
      </c>
      <c r="P451" s="109" t="str">
        <f>'Q100a-geral'!P1441</f>
        <v>x</v>
      </c>
      <c r="Q451" s="109" t="str">
        <f>'Q100a-geral'!Q1441</f>
        <v>x</v>
      </c>
      <c r="R451" s="109" t="str">
        <f>'Q100a-geral'!R1441</f>
        <v>x</v>
      </c>
      <c r="S451" s="109" t="str">
        <f>'Q100a-geral'!S1441</f>
        <v>só para pesquisa</v>
      </c>
      <c r="T451" s="109" t="str">
        <f>'Q100a-geral'!T1441</f>
        <v>x</v>
      </c>
      <c r="U451" s="109" t="str">
        <f>'Q100a-geral'!U1441</f>
        <v>x</v>
      </c>
      <c r="V451" s="109" t="str">
        <f>'Q100a-geral'!V1441</f>
        <v>só para pesquisa</v>
      </c>
      <c r="W451" s="109" t="str">
        <f>'Q100a-geral'!W1441</f>
        <v>x</v>
      </c>
      <c r="X451" s="109" t="str">
        <f>'Q100a-geral'!X1441</f>
        <v>x</v>
      </c>
      <c r="Y451" s="109" t="str">
        <f>'Q100a-geral'!Y1441</f>
        <v>x</v>
      </c>
      <c r="Z451" s="109" t="str">
        <f>'Q100a-geral'!Z1441</f>
        <v>x</v>
      </c>
      <c r="AA451" s="109" t="str">
        <f>'Q100a-geral'!AA1441</f>
        <v>x</v>
      </c>
      <c r="AB451" s="109" t="str">
        <f>'Q100a-geral'!AB1441</f>
        <v>x</v>
      </c>
      <c r="AC451" s="894">
        <f>'Q100a-geral'!AC1441</f>
        <v>388.51364288633607</v>
      </c>
      <c r="AD451" s="107" t="str">
        <f>'Q100a-geral'!AD1441</f>
        <v>x</v>
      </c>
      <c r="AE451" s="107" t="str">
        <f>'Q100a-geral'!AE1441</f>
        <v>x</v>
      </c>
      <c r="AF451" s="107" t="str">
        <f>'Q100a-geral'!AF1441</f>
        <v>x</v>
      </c>
      <c r="AG451" s="107" t="str">
        <f>'Q100a-geral'!AG1441</f>
        <v>x</v>
      </c>
      <c r="AH451" s="107" t="str">
        <f>'Q100a-geral'!AH1441</f>
        <v>x</v>
      </c>
      <c r="AI451" s="107" t="str">
        <f>'Q100a-geral'!AI1441</f>
        <v>x</v>
      </c>
      <c r="AJ451" s="107" t="str">
        <f>'Q100a-geral'!AJ1441</f>
        <v>x</v>
      </c>
      <c r="AK451" s="137" t="str">
        <f>'Q100a-geral'!AK1441</f>
        <v>x</v>
      </c>
      <c r="AL451" s="57" t="str">
        <f>'Q100a-geral'!AL1441</f>
        <v>x</v>
      </c>
      <c r="AM451" s="137" t="str">
        <f>'Q100a-geral'!AM1441</f>
        <v>x</v>
      </c>
      <c r="AN451" s="137" t="str">
        <f>'Q100a-geral'!AN1441</f>
        <v>x</v>
      </c>
      <c r="AO451" s="137" t="str">
        <f>'Q100a-geral'!AO1441</f>
        <v>x</v>
      </c>
      <c r="AP451" s="137" t="str">
        <f>'Q100a-geral'!AP1441</f>
        <v>x</v>
      </c>
      <c r="AQ451" s="137" t="str">
        <f>'Q100a-geral'!AQ1441</f>
        <v>x</v>
      </c>
      <c r="AR451" s="137"/>
      <c r="AS451" s="137"/>
      <c r="AT451" s="137"/>
      <c r="AU451" s="137"/>
      <c r="AV451" s="137" t="str">
        <f>'Q100a-geral'!AV1441</f>
        <v>x</v>
      </c>
      <c r="AW451" s="137"/>
      <c r="AX451" s="137"/>
      <c r="AY451" s="137"/>
      <c r="AZ451" s="137"/>
      <c r="BA451" s="137" t="str">
        <f>'Q100a-geral'!BA1441</f>
        <v>x</v>
      </c>
      <c r="BB451" s="239" t="str">
        <f>'Q100a-geral'!BB1441</f>
        <v>Sinalização semafóricax</v>
      </c>
      <c r="BC451" s="239" t="str">
        <f>'Q100a-geral'!BC1441</f>
        <v>Sinalização semafóricaxbenchmarking</v>
      </c>
      <c r="BD451" s="239" t="str">
        <f>'Q100a-geral'!BD1441</f>
        <v>Sinalização semafóricabenchmarking</v>
      </c>
      <c r="BE451" s="371" t="s">
        <v>2752</v>
      </c>
    </row>
    <row r="452" spans="1:57" s="1" customFormat="1" ht="51" customHeight="1" x14ac:dyDescent="0.25">
      <c r="A452" s="275" t="str">
        <f>'Q100a-geral'!A1442</f>
        <v>9.5</v>
      </c>
      <c r="B452" s="11" t="str">
        <f>'Q100a-geral'!B1442</f>
        <v>Sinalização semafórica</v>
      </c>
      <c r="C452" s="167" t="str">
        <f>'Q100a-geral'!C1442</f>
        <v>x</v>
      </c>
      <c r="D452" s="900" t="str">
        <f>'Q100a-geral'!D1442</f>
        <v>intersecciones con semáforos por milhão de habitantes</v>
      </c>
      <c r="E452" s="488" t="str">
        <f>'Q100a-geral'!E1442</f>
        <v>AM Guadalajara</v>
      </c>
      <c r="F452" s="488" t="str">
        <f>'Q100a-geral'!F1442</f>
        <v>n.º de "intersecciones" semafóricas por milhão de habitantes na área metropolitana de Guadalajara
obs.: resultado de 2007 calculado com base em CAF(2010, p.9/Cuadro 1-población); p.14/Cuadro 4-intersecciones con semáforos)</v>
      </c>
      <c r="G452" s="252" t="str">
        <f>'Q100a-geral'!G1442</f>
        <v>(intersecciones semafóricas / P ) x 1.000.006</v>
      </c>
      <c r="H452" s="221" t="str">
        <f>'Q100a-geral'!H1442</f>
        <v>benchmarking</v>
      </c>
      <c r="I452" s="167" t="str">
        <f>'Q100a-geral'!I1442</f>
        <v>x</v>
      </c>
      <c r="J452" s="109" t="str">
        <f>'Q100a-geral'!J1442</f>
        <v>x</v>
      </c>
      <c r="K452" s="109" t="str">
        <f>'Q100a-geral'!K1442</f>
        <v>x</v>
      </c>
      <c r="L452" s="109" t="str">
        <f>'Q100a-geral'!L1442</f>
        <v>x</v>
      </c>
      <c r="M452" s="109" t="str">
        <f>'Q100a-geral'!M1442</f>
        <v>x</v>
      </c>
      <c r="N452" s="109" t="str">
        <f>'Q100a-geral'!N1442</f>
        <v>x</v>
      </c>
      <c r="O452" s="109" t="str">
        <f>'Q100a-geral'!O1442</f>
        <v>x</v>
      </c>
      <c r="P452" s="109" t="str">
        <f>'Q100a-geral'!P1442</f>
        <v>x</v>
      </c>
      <c r="Q452" s="109" t="str">
        <f>'Q100a-geral'!Q1442</f>
        <v>x</v>
      </c>
      <c r="R452" s="109" t="str">
        <f>'Q100a-geral'!R1442</f>
        <v>x</v>
      </c>
      <c r="S452" s="109" t="str">
        <f>'Q100a-geral'!S1442</f>
        <v>só para pesquisa</v>
      </c>
      <c r="T452" s="109" t="str">
        <f>'Q100a-geral'!T1442</f>
        <v>x</v>
      </c>
      <c r="U452" s="109" t="str">
        <f>'Q100a-geral'!U1442</f>
        <v>x</v>
      </c>
      <c r="V452" s="109" t="str">
        <f>'Q100a-geral'!V1442</f>
        <v>só para pesquisa</v>
      </c>
      <c r="W452" s="109" t="str">
        <f>'Q100a-geral'!W1442</f>
        <v>x</v>
      </c>
      <c r="X452" s="109" t="str">
        <f>'Q100a-geral'!X1442</f>
        <v>x</v>
      </c>
      <c r="Y452" s="109" t="str">
        <f>'Q100a-geral'!Y1442</f>
        <v>x</v>
      </c>
      <c r="Z452" s="109" t="str">
        <f>'Q100a-geral'!Z1442</f>
        <v>x</v>
      </c>
      <c r="AA452" s="109" t="str">
        <f>'Q100a-geral'!AA1442</f>
        <v>x</v>
      </c>
      <c r="AB452" s="109" t="str">
        <f>'Q100a-geral'!AB1442</f>
        <v>x</v>
      </c>
      <c r="AC452" s="894">
        <f>'Q100a-geral'!AC1442</f>
        <v>297.16180757584311</v>
      </c>
      <c r="AD452" s="107" t="str">
        <f>'Q100a-geral'!AD1442</f>
        <v>x</v>
      </c>
      <c r="AE452" s="107" t="str">
        <f>'Q100a-geral'!AE1442</f>
        <v>x</v>
      </c>
      <c r="AF452" s="107" t="str">
        <f>'Q100a-geral'!AF1442</f>
        <v>x</v>
      </c>
      <c r="AG452" s="107" t="str">
        <f>'Q100a-geral'!AG1442</f>
        <v>x</v>
      </c>
      <c r="AH452" s="107" t="str">
        <f>'Q100a-geral'!AH1442</f>
        <v>x</v>
      </c>
      <c r="AI452" s="107" t="str">
        <f>'Q100a-geral'!AI1442</f>
        <v>x</v>
      </c>
      <c r="AJ452" s="107" t="str">
        <f>'Q100a-geral'!AJ1442</f>
        <v>x</v>
      </c>
      <c r="AK452" s="137" t="str">
        <f>'Q100a-geral'!AK1442</f>
        <v>x</v>
      </c>
      <c r="AL452" s="57" t="str">
        <f>'Q100a-geral'!AL1442</f>
        <v>x</v>
      </c>
      <c r="AM452" s="137" t="str">
        <f>'Q100a-geral'!AM1442</f>
        <v>x</v>
      </c>
      <c r="AN452" s="137" t="str">
        <f>'Q100a-geral'!AN1442</f>
        <v>x</v>
      </c>
      <c r="AO452" s="137" t="str">
        <f>'Q100a-geral'!AO1442</f>
        <v>x</v>
      </c>
      <c r="AP452" s="137" t="str">
        <f>'Q100a-geral'!AP1442</f>
        <v>x</v>
      </c>
      <c r="AQ452" s="137" t="str">
        <f>'Q100a-geral'!AQ1442</f>
        <v>x</v>
      </c>
      <c r="AR452" s="137"/>
      <c r="AS452" s="137"/>
      <c r="AT452" s="137"/>
      <c r="AU452" s="137"/>
      <c r="AV452" s="137" t="str">
        <f>'Q100a-geral'!AV1442</f>
        <v>x</v>
      </c>
      <c r="AW452" s="137"/>
      <c r="AX452" s="137"/>
      <c r="AY452" s="137"/>
      <c r="AZ452" s="137"/>
      <c r="BA452" s="137" t="str">
        <f>'Q100a-geral'!BA1442</f>
        <v>x</v>
      </c>
      <c r="BB452" s="239" t="str">
        <f>'Q100a-geral'!BB1442</f>
        <v>Sinalização semafóricax</v>
      </c>
      <c r="BC452" s="239" t="str">
        <f>'Q100a-geral'!BC1442</f>
        <v>Sinalização semafóricaxbenchmarking</v>
      </c>
      <c r="BD452" s="239" t="str">
        <f>'Q100a-geral'!BD1442</f>
        <v>Sinalização semafóricabenchmarking</v>
      </c>
      <c r="BE452" s="371" t="s">
        <v>2753</v>
      </c>
    </row>
    <row r="453" spans="1:57" s="1" customFormat="1" ht="51" customHeight="1" x14ac:dyDescent="0.25">
      <c r="A453" s="275" t="str">
        <f>'Q100a-geral'!A1443</f>
        <v>9.5</v>
      </c>
      <c r="B453" s="11" t="str">
        <f>'Q100a-geral'!B1443</f>
        <v>Sinalização semafórica</v>
      </c>
      <c r="C453" s="167" t="str">
        <f>'Q100a-geral'!C1443</f>
        <v>x</v>
      </c>
      <c r="D453" s="900" t="str">
        <f>'Q100a-geral'!D1443</f>
        <v>intersecciones con semáforos por milhão de habitantes</v>
      </c>
      <c r="E453" s="488" t="str">
        <f>'Q100a-geral'!E1443</f>
        <v>AM Leon</v>
      </c>
      <c r="F453" s="488" t="str">
        <f>'Q100a-geral'!F1443</f>
        <v>n.º de "intersecciones" semafóricas por milhão de habitantes na área metropolitana de León
obs.: resultado de 2007 calculado com base em CAF(2010, p.9/Cuadro 1-población); p.14/Cuadro 4-intersecciones con semáforos)</v>
      </c>
      <c r="G453" s="252" t="str">
        <f>'Q100a-geral'!G1443</f>
        <v>(intersecciones semafóricas / P ) x 1.000.007</v>
      </c>
      <c r="H453" s="221" t="str">
        <f>'Q100a-geral'!H1443</f>
        <v>benchmarking</v>
      </c>
      <c r="I453" s="167" t="str">
        <f>'Q100a-geral'!I1443</f>
        <v>x</v>
      </c>
      <c r="J453" s="109" t="str">
        <f>'Q100a-geral'!J1443</f>
        <v>x</v>
      </c>
      <c r="K453" s="109" t="str">
        <f>'Q100a-geral'!K1443</f>
        <v>x</v>
      </c>
      <c r="L453" s="109" t="str">
        <f>'Q100a-geral'!L1443</f>
        <v>x</v>
      </c>
      <c r="M453" s="109" t="str">
        <f>'Q100a-geral'!M1443</f>
        <v>x</v>
      </c>
      <c r="N453" s="109" t="str">
        <f>'Q100a-geral'!N1443</f>
        <v>x</v>
      </c>
      <c r="O453" s="109" t="str">
        <f>'Q100a-geral'!O1443</f>
        <v>x</v>
      </c>
      <c r="P453" s="109" t="str">
        <f>'Q100a-geral'!P1443</f>
        <v>x</v>
      </c>
      <c r="Q453" s="109" t="str">
        <f>'Q100a-geral'!Q1443</f>
        <v>x</v>
      </c>
      <c r="R453" s="109" t="str">
        <f>'Q100a-geral'!R1443</f>
        <v>x</v>
      </c>
      <c r="S453" s="109" t="str">
        <f>'Q100a-geral'!S1443</f>
        <v>só para pesquisa</v>
      </c>
      <c r="T453" s="109" t="str">
        <f>'Q100a-geral'!T1443</f>
        <v>x</v>
      </c>
      <c r="U453" s="109" t="str">
        <f>'Q100a-geral'!U1443</f>
        <v>x</v>
      </c>
      <c r="V453" s="109" t="str">
        <f>'Q100a-geral'!V1443</f>
        <v>só para pesquisa</v>
      </c>
      <c r="W453" s="109" t="str">
        <f>'Q100a-geral'!W1443</f>
        <v>x</v>
      </c>
      <c r="X453" s="109" t="str">
        <f>'Q100a-geral'!X1443</f>
        <v>x</v>
      </c>
      <c r="Y453" s="109" t="str">
        <f>'Q100a-geral'!Y1443</f>
        <v>x</v>
      </c>
      <c r="Z453" s="109" t="str">
        <f>'Q100a-geral'!Z1443</f>
        <v>x</v>
      </c>
      <c r="AA453" s="109" t="str">
        <f>'Q100a-geral'!AA1443</f>
        <v>x</v>
      </c>
      <c r="AB453" s="109" t="str">
        <f>'Q100a-geral'!AB1443</f>
        <v>x</v>
      </c>
      <c r="AC453" s="894">
        <f>'Q100a-geral'!AC1443</f>
        <v>324.92593599988237</v>
      </c>
      <c r="AD453" s="107" t="str">
        <f>'Q100a-geral'!AD1443</f>
        <v>x</v>
      </c>
      <c r="AE453" s="107" t="str">
        <f>'Q100a-geral'!AE1443</f>
        <v>x</v>
      </c>
      <c r="AF453" s="107" t="str">
        <f>'Q100a-geral'!AF1443</f>
        <v>x</v>
      </c>
      <c r="AG453" s="107" t="str">
        <f>'Q100a-geral'!AG1443</f>
        <v>x</v>
      </c>
      <c r="AH453" s="107" t="str">
        <f>'Q100a-geral'!AH1443</f>
        <v>x</v>
      </c>
      <c r="AI453" s="107" t="str">
        <f>'Q100a-geral'!AI1443</f>
        <v>x</v>
      </c>
      <c r="AJ453" s="107" t="str">
        <f>'Q100a-geral'!AJ1443</f>
        <v>x</v>
      </c>
      <c r="AK453" s="137" t="str">
        <f>'Q100a-geral'!AK1443</f>
        <v>x</v>
      </c>
      <c r="AL453" s="57" t="str">
        <f>'Q100a-geral'!AL1443</f>
        <v>x</v>
      </c>
      <c r="AM453" s="137" t="str">
        <f>'Q100a-geral'!AM1443</f>
        <v>x</v>
      </c>
      <c r="AN453" s="137" t="str">
        <f>'Q100a-geral'!AN1443</f>
        <v>x</v>
      </c>
      <c r="AO453" s="137" t="str">
        <f>'Q100a-geral'!AO1443</f>
        <v>x</v>
      </c>
      <c r="AP453" s="137" t="str">
        <f>'Q100a-geral'!AP1443</f>
        <v>x</v>
      </c>
      <c r="AQ453" s="137" t="str">
        <f>'Q100a-geral'!AQ1443</f>
        <v>x</v>
      </c>
      <c r="AR453" s="137"/>
      <c r="AS453" s="137"/>
      <c r="AT453" s="137"/>
      <c r="AU453" s="137"/>
      <c r="AV453" s="137" t="str">
        <f>'Q100a-geral'!AV1443</f>
        <v>x</v>
      </c>
      <c r="AW453" s="137"/>
      <c r="AX453" s="137"/>
      <c r="AY453" s="137"/>
      <c r="AZ453" s="137"/>
      <c r="BA453" s="137" t="str">
        <f>'Q100a-geral'!BA1443</f>
        <v>x</v>
      </c>
      <c r="BB453" s="239" t="str">
        <f>'Q100a-geral'!BB1443</f>
        <v>Sinalização semafóricax</v>
      </c>
      <c r="BC453" s="239" t="str">
        <f>'Q100a-geral'!BC1443</f>
        <v>Sinalização semafóricaxbenchmarking</v>
      </c>
      <c r="BD453" s="239" t="str">
        <f>'Q100a-geral'!BD1443</f>
        <v>Sinalização semafóricabenchmarking</v>
      </c>
      <c r="BE453" s="371" t="s">
        <v>2754</v>
      </c>
    </row>
    <row r="454" spans="1:57" s="1" customFormat="1" ht="51" customHeight="1" x14ac:dyDescent="0.25">
      <c r="A454" s="275" t="str">
        <f>'Q100a-geral'!A1444</f>
        <v>9.5</v>
      </c>
      <c r="B454" s="11" t="str">
        <f>'Q100a-geral'!B1444</f>
        <v>Sinalização semafórica</v>
      </c>
      <c r="C454" s="167" t="str">
        <f>'Q100a-geral'!C1444</f>
        <v>x</v>
      </c>
      <c r="D454" s="900" t="str">
        <f>'Q100a-geral'!D1444</f>
        <v>intersecciones con semáforos por milhão de habitantes</v>
      </c>
      <c r="E454" s="488" t="str">
        <f>'Q100a-geral'!E1444</f>
        <v>AM Lima</v>
      </c>
      <c r="F454" s="488" t="str">
        <f>'Q100a-geral'!F1444</f>
        <v>n.º de "intersecciones" semafóricas por milhão de habitantes na área metropolitana de Lima
obs.: resultado de 2007 calculado com base em CAF(2010, p.9/Cuadro 1-población); p.14/Cuadro 4-intersecciones con semáforos)</v>
      </c>
      <c r="G454" s="252" t="str">
        <f>'Q100a-geral'!G1444</f>
        <v>(intersecciones semafóricas / P ) x 1.000.008</v>
      </c>
      <c r="H454" s="221" t="str">
        <f>'Q100a-geral'!H1444</f>
        <v>benchmarking</v>
      </c>
      <c r="I454" s="167" t="str">
        <f>'Q100a-geral'!I1444</f>
        <v>x</v>
      </c>
      <c r="J454" s="109" t="str">
        <f>'Q100a-geral'!J1444</f>
        <v>x</v>
      </c>
      <c r="K454" s="109" t="str">
        <f>'Q100a-geral'!K1444</f>
        <v>x</v>
      </c>
      <c r="L454" s="109" t="str">
        <f>'Q100a-geral'!L1444</f>
        <v>x</v>
      </c>
      <c r="M454" s="109" t="str">
        <f>'Q100a-geral'!M1444</f>
        <v>x</v>
      </c>
      <c r="N454" s="109" t="str">
        <f>'Q100a-geral'!N1444</f>
        <v>x</v>
      </c>
      <c r="O454" s="109" t="str">
        <f>'Q100a-geral'!O1444</f>
        <v>x</v>
      </c>
      <c r="P454" s="109" t="str">
        <f>'Q100a-geral'!P1444</f>
        <v>x</v>
      </c>
      <c r="Q454" s="109" t="str">
        <f>'Q100a-geral'!Q1444</f>
        <v>x</v>
      </c>
      <c r="R454" s="109" t="str">
        <f>'Q100a-geral'!R1444</f>
        <v>x</v>
      </c>
      <c r="S454" s="109" t="str">
        <f>'Q100a-geral'!S1444</f>
        <v>só para pesquisa</v>
      </c>
      <c r="T454" s="109" t="str">
        <f>'Q100a-geral'!T1444</f>
        <v>x</v>
      </c>
      <c r="U454" s="109" t="str">
        <f>'Q100a-geral'!U1444</f>
        <v>x</v>
      </c>
      <c r="V454" s="109" t="str">
        <f>'Q100a-geral'!V1444</f>
        <v>só para pesquisa</v>
      </c>
      <c r="W454" s="109" t="str">
        <f>'Q100a-geral'!W1444</f>
        <v>x</v>
      </c>
      <c r="X454" s="109" t="str">
        <f>'Q100a-geral'!X1444</f>
        <v>x</v>
      </c>
      <c r="Y454" s="109" t="str">
        <f>'Q100a-geral'!Y1444</f>
        <v>x</v>
      </c>
      <c r="Z454" s="109" t="str">
        <f>'Q100a-geral'!Z1444</f>
        <v>x</v>
      </c>
      <c r="AA454" s="109" t="str">
        <f>'Q100a-geral'!AA1444</f>
        <v>x</v>
      </c>
      <c r="AB454" s="109" t="str">
        <f>'Q100a-geral'!AB1444</f>
        <v>x</v>
      </c>
      <c r="AC454" s="894">
        <f>'Q100a-geral'!AC1444</f>
        <v>117.41656674666162</v>
      </c>
      <c r="AD454" s="107" t="str">
        <f>'Q100a-geral'!AD1444</f>
        <v>x</v>
      </c>
      <c r="AE454" s="107" t="str">
        <f>'Q100a-geral'!AE1444</f>
        <v>x</v>
      </c>
      <c r="AF454" s="107" t="str">
        <f>'Q100a-geral'!AF1444</f>
        <v>x</v>
      </c>
      <c r="AG454" s="107" t="str">
        <f>'Q100a-geral'!AG1444</f>
        <v>x</v>
      </c>
      <c r="AH454" s="107" t="str">
        <f>'Q100a-geral'!AH1444</f>
        <v>x</v>
      </c>
      <c r="AI454" s="107" t="str">
        <f>'Q100a-geral'!AI1444</f>
        <v>x</v>
      </c>
      <c r="AJ454" s="107" t="str">
        <f>'Q100a-geral'!AJ1444</f>
        <v>x</v>
      </c>
      <c r="AK454" s="137" t="str">
        <f>'Q100a-geral'!AK1444</f>
        <v>x</v>
      </c>
      <c r="AL454" s="57" t="str">
        <f>'Q100a-geral'!AL1444</f>
        <v>x</v>
      </c>
      <c r="AM454" s="137" t="str">
        <f>'Q100a-geral'!AM1444</f>
        <v>x</v>
      </c>
      <c r="AN454" s="137" t="str">
        <f>'Q100a-geral'!AN1444</f>
        <v>x</v>
      </c>
      <c r="AO454" s="137" t="str">
        <f>'Q100a-geral'!AO1444</f>
        <v>x</v>
      </c>
      <c r="AP454" s="137" t="str">
        <f>'Q100a-geral'!AP1444</f>
        <v>x</v>
      </c>
      <c r="AQ454" s="137" t="str">
        <f>'Q100a-geral'!AQ1444</f>
        <v>x</v>
      </c>
      <c r="AR454" s="137"/>
      <c r="AS454" s="137"/>
      <c r="AT454" s="137"/>
      <c r="AU454" s="137"/>
      <c r="AV454" s="137" t="str">
        <f>'Q100a-geral'!AV1444</f>
        <v>x</v>
      </c>
      <c r="AW454" s="137"/>
      <c r="AX454" s="137"/>
      <c r="AY454" s="137"/>
      <c r="AZ454" s="137"/>
      <c r="BA454" s="137" t="str">
        <f>'Q100a-geral'!BA1444</f>
        <v>x</v>
      </c>
      <c r="BB454" s="239" t="str">
        <f>'Q100a-geral'!BB1444</f>
        <v>Sinalização semafóricax</v>
      </c>
      <c r="BC454" s="239" t="str">
        <f>'Q100a-geral'!BC1444</f>
        <v>Sinalização semafóricaxbenchmarking</v>
      </c>
      <c r="BD454" s="239" t="str">
        <f>'Q100a-geral'!BD1444</f>
        <v>Sinalização semafóricabenchmarking</v>
      </c>
      <c r="BE454" s="371" t="s">
        <v>2755</v>
      </c>
    </row>
    <row r="455" spans="1:57" s="1" customFormat="1" ht="51" customHeight="1" x14ac:dyDescent="0.25">
      <c r="A455" s="275" t="str">
        <f>'Q100a-geral'!A1445</f>
        <v>9.5</v>
      </c>
      <c r="B455" s="11" t="str">
        <f>'Q100a-geral'!B1445</f>
        <v>Sinalização semafórica</v>
      </c>
      <c r="C455" s="167" t="str">
        <f>'Q100a-geral'!C1445</f>
        <v>x</v>
      </c>
      <c r="D455" s="900" t="str">
        <f>'Q100a-geral'!D1445</f>
        <v>intersecciones con semáforos por milhão de habitantes</v>
      </c>
      <c r="E455" s="488" t="str">
        <f>'Q100a-geral'!E1445</f>
        <v>AM Montevidéu</v>
      </c>
      <c r="F455" s="488" t="str">
        <f>'Q100a-geral'!F1445</f>
        <v>n.º de "intersecciones" semafóricas por milhão de habitantes na área metropolitana de Montevideo
obs.: resultado de 2007 calculado com base em CAF(2010, p.9/Cuadro 1-población); p.14/Cuadro 4-intersecciones con semáforos)</v>
      </c>
      <c r="G455" s="252" t="str">
        <f>'Q100a-geral'!G1445</f>
        <v>(intersecciones semafóricas / P ) x 1.000.009</v>
      </c>
      <c r="H455" s="221" t="str">
        <f>'Q100a-geral'!H1445</f>
        <v>benchmarking</v>
      </c>
      <c r="I455" s="167" t="str">
        <f>'Q100a-geral'!I1445</f>
        <v>x</v>
      </c>
      <c r="J455" s="109" t="str">
        <f>'Q100a-geral'!J1445</f>
        <v>x</v>
      </c>
      <c r="K455" s="109" t="str">
        <f>'Q100a-geral'!K1445</f>
        <v>x</v>
      </c>
      <c r="L455" s="109" t="str">
        <f>'Q100a-geral'!L1445</f>
        <v>x</v>
      </c>
      <c r="M455" s="109" t="str">
        <f>'Q100a-geral'!M1445</f>
        <v>x</v>
      </c>
      <c r="N455" s="109" t="str">
        <f>'Q100a-geral'!N1445</f>
        <v>x</v>
      </c>
      <c r="O455" s="109" t="str">
        <f>'Q100a-geral'!O1445</f>
        <v>x</v>
      </c>
      <c r="P455" s="109" t="str">
        <f>'Q100a-geral'!P1445</f>
        <v>x</v>
      </c>
      <c r="Q455" s="109" t="str">
        <f>'Q100a-geral'!Q1445</f>
        <v>x</v>
      </c>
      <c r="R455" s="109" t="str">
        <f>'Q100a-geral'!R1445</f>
        <v>x</v>
      </c>
      <c r="S455" s="109" t="str">
        <f>'Q100a-geral'!S1445</f>
        <v>só para pesquisa</v>
      </c>
      <c r="T455" s="109" t="str">
        <f>'Q100a-geral'!T1445</f>
        <v>x</v>
      </c>
      <c r="U455" s="109" t="str">
        <f>'Q100a-geral'!U1445</f>
        <v>x</v>
      </c>
      <c r="V455" s="109" t="str">
        <f>'Q100a-geral'!V1445</f>
        <v>só para pesquisa</v>
      </c>
      <c r="W455" s="109" t="str">
        <f>'Q100a-geral'!W1445</f>
        <v>x</v>
      </c>
      <c r="X455" s="109" t="str">
        <f>'Q100a-geral'!X1445</f>
        <v>x</v>
      </c>
      <c r="Y455" s="109" t="str">
        <f>'Q100a-geral'!Y1445</f>
        <v>x</v>
      </c>
      <c r="Z455" s="109" t="str">
        <f>'Q100a-geral'!Z1445</f>
        <v>x</v>
      </c>
      <c r="AA455" s="109" t="str">
        <f>'Q100a-geral'!AA1445</f>
        <v>x</v>
      </c>
      <c r="AB455" s="109" t="str">
        <f>'Q100a-geral'!AB1445</f>
        <v>x</v>
      </c>
      <c r="AC455" s="894">
        <f>'Q100a-geral'!AC1445</f>
        <v>377.08300652806105</v>
      </c>
      <c r="AD455" s="107" t="str">
        <f>'Q100a-geral'!AD1445</f>
        <v>x</v>
      </c>
      <c r="AE455" s="107" t="str">
        <f>'Q100a-geral'!AE1445</f>
        <v>x</v>
      </c>
      <c r="AF455" s="107" t="str">
        <f>'Q100a-geral'!AF1445</f>
        <v>x</v>
      </c>
      <c r="AG455" s="107" t="str">
        <f>'Q100a-geral'!AG1445</f>
        <v>x</v>
      </c>
      <c r="AH455" s="107" t="str">
        <f>'Q100a-geral'!AH1445</f>
        <v>x</v>
      </c>
      <c r="AI455" s="107" t="str">
        <f>'Q100a-geral'!AI1445</f>
        <v>x</v>
      </c>
      <c r="AJ455" s="107" t="str">
        <f>'Q100a-geral'!AJ1445</f>
        <v>x</v>
      </c>
      <c r="AK455" s="137" t="str">
        <f>'Q100a-geral'!AK1445</f>
        <v>x</v>
      </c>
      <c r="AL455" s="57" t="str">
        <f>'Q100a-geral'!AL1445</f>
        <v>x</v>
      </c>
      <c r="AM455" s="137" t="str">
        <f>'Q100a-geral'!AM1445</f>
        <v>x</v>
      </c>
      <c r="AN455" s="137" t="str">
        <f>'Q100a-geral'!AN1445</f>
        <v>x</v>
      </c>
      <c r="AO455" s="137" t="str">
        <f>'Q100a-geral'!AO1445</f>
        <v>x</v>
      </c>
      <c r="AP455" s="137" t="str">
        <f>'Q100a-geral'!AP1445</f>
        <v>x</v>
      </c>
      <c r="AQ455" s="137" t="str">
        <f>'Q100a-geral'!AQ1445</f>
        <v>x</v>
      </c>
      <c r="AR455" s="137"/>
      <c r="AS455" s="137"/>
      <c r="AT455" s="137"/>
      <c r="AU455" s="137"/>
      <c r="AV455" s="137" t="str">
        <f>'Q100a-geral'!AV1445</f>
        <v>x</v>
      </c>
      <c r="AW455" s="137"/>
      <c r="AX455" s="137"/>
      <c r="AY455" s="137"/>
      <c r="AZ455" s="137"/>
      <c r="BA455" s="137" t="str">
        <f>'Q100a-geral'!BA1445</f>
        <v>x</v>
      </c>
      <c r="BB455" s="239" t="str">
        <f>'Q100a-geral'!BB1445</f>
        <v>Sinalização semafóricax</v>
      </c>
      <c r="BC455" s="239" t="str">
        <f>'Q100a-geral'!BC1445</f>
        <v>Sinalização semafóricaxbenchmarking</v>
      </c>
      <c r="BD455" s="239" t="str">
        <f>'Q100a-geral'!BD1445</f>
        <v>Sinalização semafóricabenchmarking</v>
      </c>
      <c r="BE455" s="371" t="s">
        <v>2756</v>
      </c>
    </row>
    <row r="456" spans="1:57" s="1" customFormat="1" ht="51" customHeight="1" x14ac:dyDescent="0.25">
      <c r="A456" s="275" t="str">
        <f>'Q100a-geral'!A1446</f>
        <v>9.5</v>
      </c>
      <c r="B456" s="11" t="str">
        <f>'Q100a-geral'!B1446</f>
        <v>Sinalização semafórica</v>
      </c>
      <c r="C456" s="167" t="str">
        <f>'Q100a-geral'!C1446</f>
        <v>x</v>
      </c>
      <c r="D456" s="900" t="str">
        <f>'Q100a-geral'!D1446</f>
        <v>intersecciones con semáforos por milhão de habitantes</v>
      </c>
      <c r="E456" s="488" t="str">
        <f>'Q100a-geral'!E1446</f>
        <v>AM Porto Alegre</v>
      </c>
      <c r="F456" s="488" t="str">
        <f>'Q100a-geral'!F1446</f>
        <v>n.º de "intersecciones" semafóricas por milhão de habitantes na área metropolitana de Porto Alegre
obs.: resultado de 2007 calculado com base em CAF(2010, p.9/Cuadro 1-población); p.14/Cuadro 4-intersecciones con semáforos)</v>
      </c>
      <c r="G456" s="252" t="str">
        <f>'Q100a-geral'!G1446</f>
        <v>(intersecciones semafóricas / P ) x 1.000.010</v>
      </c>
      <c r="H456" s="221" t="str">
        <f>'Q100a-geral'!H1446</f>
        <v>benchmarking</v>
      </c>
      <c r="I456" s="167" t="str">
        <f>'Q100a-geral'!I1446</f>
        <v>x</v>
      </c>
      <c r="J456" s="109" t="str">
        <f>'Q100a-geral'!J1446</f>
        <v>x</v>
      </c>
      <c r="K456" s="109" t="str">
        <f>'Q100a-geral'!K1446</f>
        <v>x</v>
      </c>
      <c r="L456" s="109" t="str">
        <f>'Q100a-geral'!L1446</f>
        <v>x</v>
      </c>
      <c r="M456" s="109" t="str">
        <f>'Q100a-geral'!M1446</f>
        <v>x</v>
      </c>
      <c r="N456" s="109" t="str">
        <f>'Q100a-geral'!N1446</f>
        <v>x</v>
      </c>
      <c r="O456" s="109" t="str">
        <f>'Q100a-geral'!O1446</f>
        <v>x</v>
      </c>
      <c r="P456" s="109" t="str">
        <f>'Q100a-geral'!P1446</f>
        <v>x</v>
      </c>
      <c r="Q456" s="109" t="str">
        <f>'Q100a-geral'!Q1446</f>
        <v>x</v>
      </c>
      <c r="R456" s="109" t="str">
        <f>'Q100a-geral'!R1446</f>
        <v>x</v>
      </c>
      <c r="S456" s="109" t="str">
        <f>'Q100a-geral'!S1446</f>
        <v>só para pesquisa</v>
      </c>
      <c r="T456" s="109" t="str">
        <f>'Q100a-geral'!T1446</f>
        <v>x</v>
      </c>
      <c r="U456" s="109" t="str">
        <f>'Q100a-geral'!U1446</f>
        <v>x</v>
      </c>
      <c r="V456" s="109" t="str">
        <f>'Q100a-geral'!V1446</f>
        <v>só para pesquisa</v>
      </c>
      <c r="W456" s="109" t="str">
        <f>'Q100a-geral'!W1446</f>
        <v>x</v>
      </c>
      <c r="X456" s="109" t="str">
        <f>'Q100a-geral'!X1446</f>
        <v>x</v>
      </c>
      <c r="Y456" s="109" t="str">
        <f>'Q100a-geral'!Y1446</f>
        <v>x</v>
      </c>
      <c r="Z456" s="109" t="str">
        <f>'Q100a-geral'!Z1446</f>
        <v>x</v>
      </c>
      <c r="AA456" s="109" t="str">
        <f>'Q100a-geral'!AA1446</f>
        <v>x</v>
      </c>
      <c r="AB456" s="109" t="str">
        <f>'Q100a-geral'!AB1446</f>
        <v>x</v>
      </c>
      <c r="AC456" s="894">
        <f>'Q100a-geral'!AC1446</f>
        <v>381.44930799642066</v>
      </c>
      <c r="AD456" s="107" t="str">
        <f>'Q100a-geral'!AD1446</f>
        <v>x</v>
      </c>
      <c r="AE456" s="107" t="str">
        <f>'Q100a-geral'!AE1446</f>
        <v>x</v>
      </c>
      <c r="AF456" s="107" t="str">
        <f>'Q100a-geral'!AF1446</f>
        <v>x</v>
      </c>
      <c r="AG456" s="107" t="str">
        <f>'Q100a-geral'!AG1446</f>
        <v>x</v>
      </c>
      <c r="AH456" s="107" t="str">
        <f>'Q100a-geral'!AH1446</f>
        <v>x</v>
      </c>
      <c r="AI456" s="107" t="str">
        <f>'Q100a-geral'!AI1446</f>
        <v>x</v>
      </c>
      <c r="AJ456" s="107" t="str">
        <f>'Q100a-geral'!AJ1446</f>
        <v>x</v>
      </c>
      <c r="AK456" s="137" t="str">
        <f>'Q100a-geral'!AK1446</f>
        <v>x</v>
      </c>
      <c r="AL456" s="57" t="str">
        <f>'Q100a-geral'!AL1446</f>
        <v>x</v>
      </c>
      <c r="AM456" s="137" t="str">
        <f>'Q100a-geral'!AM1446</f>
        <v>x</v>
      </c>
      <c r="AN456" s="137" t="str">
        <f>'Q100a-geral'!AN1446</f>
        <v>x</v>
      </c>
      <c r="AO456" s="137" t="str">
        <f>'Q100a-geral'!AO1446</f>
        <v>x</v>
      </c>
      <c r="AP456" s="137" t="str">
        <f>'Q100a-geral'!AP1446</f>
        <v>x</v>
      </c>
      <c r="AQ456" s="137" t="str">
        <f>'Q100a-geral'!AQ1446</f>
        <v>x</v>
      </c>
      <c r="AR456" s="137"/>
      <c r="AS456" s="137"/>
      <c r="AT456" s="137"/>
      <c r="AU456" s="137"/>
      <c r="AV456" s="137" t="str">
        <f>'Q100a-geral'!AV1446</f>
        <v>x</v>
      </c>
      <c r="AW456" s="137"/>
      <c r="AX456" s="137"/>
      <c r="AY456" s="137"/>
      <c r="AZ456" s="137"/>
      <c r="BA456" s="137" t="str">
        <f>'Q100a-geral'!BA1446</f>
        <v>x</v>
      </c>
      <c r="BB456" s="239" t="str">
        <f>'Q100a-geral'!BB1446</f>
        <v>Sinalização semafóricax</v>
      </c>
      <c r="BC456" s="239" t="str">
        <f>'Q100a-geral'!BC1446</f>
        <v>Sinalização semafóricaxbenchmarking</v>
      </c>
      <c r="BD456" s="239" t="str">
        <f>'Q100a-geral'!BD1446</f>
        <v>Sinalização semafóricabenchmarking</v>
      </c>
      <c r="BE456" s="371" t="s">
        <v>2757</v>
      </c>
    </row>
    <row r="457" spans="1:57" s="1" customFormat="1" ht="51" customHeight="1" x14ac:dyDescent="0.25">
      <c r="A457" s="275" t="str">
        <f>'Q100a-geral'!A1447</f>
        <v>9.5</v>
      </c>
      <c r="B457" s="11" t="str">
        <f>'Q100a-geral'!B1447</f>
        <v>Sinalização semafórica</v>
      </c>
      <c r="C457" s="167" t="str">
        <f>'Q100a-geral'!C1447</f>
        <v>x</v>
      </c>
      <c r="D457" s="900" t="str">
        <f>'Q100a-geral'!D1447</f>
        <v>intersecciones con semáforos por milhão de habitantes</v>
      </c>
      <c r="E457" s="488" t="str">
        <f>'Q100a-geral'!E1447</f>
        <v>AM Rio de Janeiro</v>
      </c>
      <c r="F457" s="488" t="str">
        <f>'Q100a-geral'!F1447</f>
        <v>n.º de "intersecciones" semafóricas por milhão de habitantes na área metropolitana do Rio de Janeiro
obs.: resultado de 2007 calculado com base em CAF(2010, p.9/Cuadro 1-población); p.14/Cuadro 4-intersecciones con semáforos)</v>
      </c>
      <c r="G457" s="252" t="str">
        <f>'Q100a-geral'!G1447</f>
        <v>(intersecciones semafóricas / P ) x 1.000.011</v>
      </c>
      <c r="H457" s="221" t="str">
        <f>'Q100a-geral'!H1447</f>
        <v>benchmarking</v>
      </c>
      <c r="I457" s="167" t="str">
        <f>'Q100a-geral'!I1447</f>
        <v>x</v>
      </c>
      <c r="J457" s="109" t="str">
        <f>'Q100a-geral'!J1447</f>
        <v>x</v>
      </c>
      <c r="K457" s="109" t="str">
        <f>'Q100a-geral'!K1447</f>
        <v>x</v>
      </c>
      <c r="L457" s="109" t="str">
        <f>'Q100a-geral'!L1447</f>
        <v>x</v>
      </c>
      <c r="M457" s="109" t="str">
        <f>'Q100a-geral'!M1447</f>
        <v>x</v>
      </c>
      <c r="N457" s="109" t="str">
        <f>'Q100a-geral'!N1447</f>
        <v>x</v>
      </c>
      <c r="O457" s="109" t="str">
        <f>'Q100a-geral'!O1447</f>
        <v>x</v>
      </c>
      <c r="P457" s="109" t="str">
        <f>'Q100a-geral'!P1447</f>
        <v>x</v>
      </c>
      <c r="Q457" s="109" t="str">
        <f>'Q100a-geral'!Q1447</f>
        <v>x</v>
      </c>
      <c r="R457" s="109" t="str">
        <f>'Q100a-geral'!R1447</f>
        <v>x</v>
      </c>
      <c r="S457" s="109" t="str">
        <f>'Q100a-geral'!S1447</f>
        <v>só para pesquisa</v>
      </c>
      <c r="T457" s="109" t="str">
        <f>'Q100a-geral'!T1447</f>
        <v>x</v>
      </c>
      <c r="U457" s="109" t="str">
        <f>'Q100a-geral'!U1447</f>
        <v>x</v>
      </c>
      <c r="V457" s="109" t="str">
        <f>'Q100a-geral'!V1447</f>
        <v>só para pesquisa</v>
      </c>
      <c r="W457" s="109" t="str">
        <f>'Q100a-geral'!W1447</f>
        <v>x</v>
      </c>
      <c r="X457" s="109" t="str">
        <f>'Q100a-geral'!X1447</f>
        <v>x</v>
      </c>
      <c r="Y457" s="109" t="str">
        <f>'Q100a-geral'!Y1447</f>
        <v>x</v>
      </c>
      <c r="Z457" s="109" t="str">
        <f>'Q100a-geral'!Z1447</f>
        <v>x</v>
      </c>
      <c r="AA457" s="109" t="str">
        <f>'Q100a-geral'!AA1447</f>
        <v>x</v>
      </c>
      <c r="AB457" s="109" t="str">
        <f>'Q100a-geral'!AB1447</f>
        <v>x</v>
      </c>
      <c r="AC457" s="894">
        <f>'Q100a-geral'!AC1447</f>
        <v>344.54674095080685</v>
      </c>
      <c r="AD457" s="107" t="str">
        <f>'Q100a-geral'!AD1447</f>
        <v>x</v>
      </c>
      <c r="AE457" s="107" t="str">
        <f>'Q100a-geral'!AE1447</f>
        <v>x</v>
      </c>
      <c r="AF457" s="107" t="str">
        <f>'Q100a-geral'!AF1447</f>
        <v>x</v>
      </c>
      <c r="AG457" s="107" t="str">
        <f>'Q100a-geral'!AG1447</f>
        <v>x</v>
      </c>
      <c r="AH457" s="107" t="str">
        <f>'Q100a-geral'!AH1447</f>
        <v>x</v>
      </c>
      <c r="AI457" s="107" t="str">
        <f>'Q100a-geral'!AI1447</f>
        <v>x</v>
      </c>
      <c r="AJ457" s="107" t="str">
        <f>'Q100a-geral'!AJ1447</f>
        <v>x</v>
      </c>
      <c r="AK457" s="137" t="str">
        <f>'Q100a-geral'!AK1447</f>
        <v>x</v>
      </c>
      <c r="AL457" s="57" t="str">
        <f>'Q100a-geral'!AL1447</f>
        <v>x</v>
      </c>
      <c r="AM457" s="137" t="str">
        <f>'Q100a-geral'!AM1447</f>
        <v>x</v>
      </c>
      <c r="AN457" s="137" t="str">
        <f>'Q100a-geral'!AN1447</f>
        <v>x</v>
      </c>
      <c r="AO457" s="137" t="str">
        <f>'Q100a-geral'!AO1447</f>
        <v>x</v>
      </c>
      <c r="AP457" s="137" t="str">
        <f>'Q100a-geral'!AP1447</f>
        <v>x</v>
      </c>
      <c r="AQ457" s="137" t="str">
        <f>'Q100a-geral'!AQ1447</f>
        <v>x</v>
      </c>
      <c r="AR457" s="137"/>
      <c r="AS457" s="137"/>
      <c r="AT457" s="137"/>
      <c r="AU457" s="137"/>
      <c r="AV457" s="137" t="str">
        <f>'Q100a-geral'!AV1447</f>
        <v>x</v>
      </c>
      <c r="AW457" s="137"/>
      <c r="AX457" s="137"/>
      <c r="AY457" s="137"/>
      <c r="AZ457" s="137"/>
      <c r="BA457" s="137" t="str">
        <f>'Q100a-geral'!BA1447</f>
        <v>x</v>
      </c>
      <c r="BB457" s="239" t="str">
        <f>'Q100a-geral'!BB1447</f>
        <v>Sinalização semafóricax</v>
      </c>
      <c r="BC457" s="239" t="str">
        <f>'Q100a-geral'!BC1447</f>
        <v>Sinalização semafóricaxbenchmarking</v>
      </c>
      <c r="BD457" s="239" t="str">
        <f>'Q100a-geral'!BD1447</f>
        <v>Sinalização semafóricabenchmarking</v>
      </c>
      <c r="BE457" s="371" t="s">
        <v>2758</v>
      </c>
    </row>
    <row r="458" spans="1:57" s="1" customFormat="1" ht="51" customHeight="1" x14ac:dyDescent="0.25">
      <c r="A458" s="275" t="str">
        <f>'Q100a-geral'!A1448</f>
        <v>9.5</v>
      </c>
      <c r="B458" s="11" t="str">
        <f>'Q100a-geral'!B1448</f>
        <v>Sinalização semafórica</v>
      </c>
      <c r="C458" s="167" t="str">
        <f>'Q100a-geral'!C1448</f>
        <v>x</v>
      </c>
      <c r="D458" s="900" t="str">
        <f>'Q100a-geral'!D1448</f>
        <v>intersecciones con semáforos por milhão de habitantes</v>
      </c>
      <c r="E458" s="488" t="str">
        <f>'Q100a-geral'!E1448</f>
        <v>AM San José da Costa Rica</v>
      </c>
      <c r="F458" s="488" t="str">
        <f>'Q100a-geral'!F1448</f>
        <v>n.º de "intersecciones" semafóricas por milhão de habitantes na área metropolitana de San José (Costa Rica)
obs.: resultado de 2007 calculado com base em CAF(2010, p.9/Cuadro 1-población); p.14/Cuadro 4-intersecciones con semáforos)</v>
      </c>
      <c r="G458" s="252" t="str">
        <f>'Q100a-geral'!G1448</f>
        <v>(intersecciones semafóricas / P ) x 1.000.012</v>
      </c>
      <c r="H458" s="221" t="str">
        <f>'Q100a-geral'!H1448</f>
        <v>benchmarking</v>
      </c>
      <c r="I458" s="167" t="str">
        <f>'Q100a-geral'!I1448</f>
        <v>x</v>
      </c>
      <c r="J458" s="109" t="str">
        <f>'Q100a-geral'!J1448</f>
        <v>x</v>
      </c>
      <c r="K458" s="109" t="str">
        <f>'Q100a-geral'!K1448</f>
        <v>x</v>
      </c>
      <c r="L458" s="109" t="str">
        <f>'Q100a-geral'!L1448</f>
        <v>x</v>
      </c>
      <c r="M458" s="109" t="str">
        <f>'Q100a-geral'!M1448</f>
        <v>x</v>
      </c>
      <c r="N458" s="109" t="str">
        <f>'Q100a-geral'!N1448</f>
        <v>x</v>
      </c>
      <c r="O458" s="109" t="str">
        <f>'Q100a-geral'!O1448</f>
        <v>x</v>
      </c>
      <c r="P458" s="109" t="str">
        <f>'Q100a-geral'!P1448</f>
        <v>x</v>
      </c>
      <c r="Q458" s="109" t="str">
        <f>'Q100a-geral'!Q1448</f>
        <v>x</v>
      </c>
      <c r="R458" s="109" t="str">
        <f>'Q100a-geral'!R1448</f>
        <v>x</v>
      </c>
      <c r="S458" s="109" t="str">
        <f>'Q100a-geral'!S1448</f>
        <v>só para pesquisa</v>
      </c>
      <c r="T458" s="109" t="str">
        <f>'Q100a-geral'!T1448</f>
        <v>x</v>
      </c>
      <c r="U458" s="109" t="str">
        <f>'Q100a-geral'!U1448</f>
        <v>x</v>
      </c>
      <c r="V458" s="109" t="str">
        <f>'Q100a-geral'!V1448</f>
        <v>só para pesquisa</v>
      </c>
      <c r="W458" s="109" t="str">
        <f>'Q100a-geral'!W1448</f>
        <v>x</v>
      </c>
      <c r="X458" s="109" t="str">
        <f>'Q100a-geral'!X1448</f>
        <v>x</v>
      </c>
      <c r="Y458" s="109" t="str">
        <f>'Q100a-geral'!Y1448</f>
        <v>x</v>
      </c>
      <c r="Z458" s="109" t="str">
        <f>'Q100a-geral'!Z1448</f>
        <v>x</v>
      </c>
      <c r="AA458" s="109" t="str">
        <f>'Q100a-geral'!AA1448</f>
        <v>x</v>
      </c>
      <c r="AB458" s="109" t="str">
        <f>'Q100a-geral'!AB1448</f>
        <v>x</v>
      </c>
      <c r="AC458" s="894">
        <f>'Q100a-geral'!AC1448</f>
        <v>322.48614280929723</v>
      </c>
      <c r="AD458" s="107" t="str">
        <f>'Q100a-geral'!AD1448</f>
        <v>x</v>
      </c>
      <c r="AE458" s="107" t="str">
        <f>'Q100a-geral'!AE1448</f>
        <v>x</v>
      </c>
      <c r="AF458" s="107" t="str">
        <f>'Q100a-geral'!AF1448</f>
        <v>x</v>
      </c>
      <c r="AG458" s="107" t="str">
        <f>'Q100a-geral'!AG1448</f>
        <v>x</v>
      </c>
      <c r="AH458" s="107" t="str">
        <f>'Q100a-geral'!AH1448</f>
        <v>x</v>
      </c>
      <c r="AI458" s="107" t="str">
        <f>'Q100a-geral'!AI1448</f>
        <v>x</v>
      </c>
      <c r="AJ458" s="107" t="str">
        <f>'Q100a-geral'!AJ1448</f>
        <v>x</v>
      </c>
      <c r="AK458" s="137" t="str">
        <f>'Q100a-geral'!AK1448</f>
        <v>x</v>
      </c>
      <c r="AL458" s="57" t="str">
        <f>'Q100a-geral'!AL1448</f>
        <v>x</v>
      </c>
      <c r="AM458" s="137" t="str">
        <f>'Q100a-geral'!AM1448</f>
        <v>x</v>
      </c>
      <c r="AN458" s="137" t="str">
        <f>'Q100a-geral'!AN1448</f>
        <v>x</v>
      </c>
      <c r="AO458" s="137" t="str">
        <f>'Q100a-geral'!AO1448</f>
        <v>x</v>
      </c>
      <c r="AP458" s="137" t="str">
        <f>'Q100a-geral'!AP1448</f>
        <v>x</v>
      </c>
      <c r="AQ458" s="137" t="str">
        <f>'Q100a-geral'!AQ1448</f>
        <v>x</v>
      </c>
      <c r="AR458" s="137"/>
      <c r="AS458" s="137"/>
      <c r="AT458" s="137"/>
      <c r="AU458" s="137"/>
      <c r="AV458" s="137" t="str">
        <f>'Q100a-geral'!AV1448</f>
        <v>x</v>
      </c>
      <c r="AW458" s="137"/>
      <c r="AX458" s="137"/>
      <c r="AY458" s="137"/>
      <c r="AZ458" s="137"/>
      <c r="BA458" s="137" t="str">
        <f>'Q100a-geral'!BA1448</f>
        <v>x</v>
      </c>
      <c r="BB458" s="239" t="str">
        <f>'Q100a-geral'!BB1448</f>
        <v>Sinalização semafóricax</v>
      </c>
      <c r="BC458" s="239" t="str">
        <f>'Q100a-geral'!BC1448</f>
        <v>Sinalização semafóricaxbenchmarking</v>
      </c>
      <c r="BD458" s="239" t="str">
        <f>'Q100a-geral'!BD1448</f>
        <v>Sinalização semafóricabenchmarking</v>
      </c>
      <c r="BE458" s="371" t="s">
        <v>2759</v>
      </c>
    </row>
    <row r="459" spans="1:57" s="1" customFormat="1" ht="51" customHeight="1" x14ac:dyDescent="0.25">
      <c r="A459" s="275" t="str">
        <f>'Q100a-geral'!A1449</f>
        <v>9.5</v>
      </c>
      <c r="B459" s="11" t="str">
        <f>'Q100a-geral'!B1449</f>
        <v>Sinalização semafórica</v>
      </c>
      <c r="C459" s="167" t="str">
        <f>'Q100a-geral'!C1449</f>
        <v>x</v>
      </c>
      <c r="D459" s="900" t="str">
        <f>'Q100a-geral'!D1449</f>
        <v>intersecciones con semáforos por milhão de habitantes</v>
      </c>
      <c r="E459" s="488" t="str">
        <f>'Q100a-geral'!E1449</f>
        <v>AM Santiago do Chile</v>
      </c>
      <c r="F459" s="488" t="str">
        <f>'Q100a-geral'!F1449</f>
        <v>n.º de "intersecciones" semafóricas por milhão de habitantes na área metropolitana de Santiago (Chile)
obs.: resultado de 2007 calculado com base em CAF(2010, p.9/Cuadro 1-población); p.14/Cuadro 4-intersecciones con semáforos)</v>
      </c>
      <c r="G459" s="252" t="str">
        <f>'Q100a-geral'!G1449</f>
        <v>(intersecciones semafóricas / P ) x 1.000.013</v>
      </c>
      <c r="H459" s="221" t="str">
        <f>'Q100a-geral'!H1449</f>
        <v>benchmarking</v>
      </c>
      <c r="I459" s="167" t="str">
        <f>'Q100a-geral'!I1449</f>
        <v>x</v>
      </c>
      <c r="J459" s="109" t="str">
        <f>'Q100a-geral'!J1449</f>
        <v>x</v>
      </c>
      <c r="K459" s="109" t="str">
        <f>'Q100a-geral'!K1449</f>
        <v>x</v>
      </c>
      <c r="L459" s="109" t="str">
        <f>'Q100a-geral'!L1449</f>
        <v>x</v>
      </c>
      <c r="M459" s="109" t="str">
        <f>'Q100a-geral'!M1449</f>
        <v>x</v>
      </c>
      <c r="N459" s="109" t="str">
        <f>'Q100a-geral'!N1449</f>
        <v>x</v>
      </c>
      <c r="O459" s="109" t="str">
        <f>'Q100a-geral'!O1449</f>
        <v>x</v>
      </c>
      <c r="P459" s="109" t="str">
        <f>'Q100a-geral'!P1449</f>
        <v>x</v>
      </c>
      <c r="Q459" s="109" t="str">
        <f>'Q100a-geral'!Q1449</f>
        <v>x</v>
      </c>
      <c r="R459" s="109" t="str">
        <f>'Q100a-geral'!R1449</f>
        <v>x</v>
      </c>
      <c r="S459" s="109" t="str">
        <f>'Q100a-geral'!S1449</f>
        <v>só para pesquisa</v>
      </c>
      <c r="T459" s="109" t="str">
        <f>'Q100a-geral'!T1449</f>
        <v>x</v>
      </c>
      <c r="U459" s="109" t="str">
        <f>'Q100a-geral'!U1449</f>
        <v>x</v>
      </c>
      <c r="V459" s="109" t="str">
        <f>'Q100a-geral'!V1449</f>
        <v>só para pesquisa</v>
      </c>
      <c r="W459" s="109" t="str">
        <f>'Q100a-geral'!W1449</f>
        <v>x</v>
      </c>
      <c r="X459" s="109" t="str">
        <f>'Q100a-geral'!X1449</f>
        <v>x</v>
      </c>
      <c r="Y459" s="109" t="str">
        <f>'Q100a-geral'!Y1449</f>
        <v>x</v>
      </c>
      <c r="Z459" s="109" t="str">
        <f>'Q100a-geral'!Z1449</f>
        <v>x</v>
      </c>
      <c r="AA459" s="109" t="str">
        <f>'Q100a-geral'!AA1449</f>
        <v>x</v>
      </c>
      <c r="AB459" s="109" t="str">
        <f>'Q100a-geral'!AB1449</f>
        <v>x</v>
      </c>
      <c r="AC459" s="894">
        <f>'Q100a-geral'!AC1449</f>
        <v>364.30047436889498</v>
      </c>
      <c r="AD459" s="107" t="str">
        <f>'Q100a-geral'!AD1449</f>
        <v>x</v>
      </c>
      <c r="AE459" s="107" t="str">
        <f>'Q100a-geral'!AE1449</f>
        <v>x</v>
      </c>
      <c r="AF459" s="107" t="str">
        <f>'Q100a-geral'!AF1449</f>
        <v>x</v>
      </c>
      <c r="AG459" s="107" t="str">
        <f>'Q100a-geral'!AG1449</f>
        <v>x</v>
      </c>
      <c r="AH459" s="107" t="str">
        <f>'Q100a-geral'!AH1449</f>
        <v>x</v>
      </c>
      <c r="AI459" s="107" t="str">
        <f>'Q100a-geral'!AI1449</f>
        <v>x</v>
      </c>
      <c r="AJ459" s="107" t="str">
        <f>'Q100a-geral'!AJ1449</f>
        <v>x</v>
      </c>
      <c r="AK459" s="137" t="str">
        <f>'Q100a-geral'!AK1449</f>
        <v>x</v>
      </c>
      <c r="AL459" s="57" t="str">
        <f>'Q100a-geral'!AL1449</f>
        <v>x</v>
      </c>
      <c r="AM459" s="137" t="str">
        <f>'Q100a-geral'!AM1449</f>
        <v>x</v>
      </c>
      <c r="AN459" s="137" t="str">
        <f>'Q100a-geral'!AN1449</f>
        <v>x</v>
      </c>
      <c r="AO459" s="137" t="str">
        <f>'Q100a-geral'!AO1449</f>
        <v>x</v>
      </c>
      <c r="AP459" s="137" t="str">
        <f>'Q100a-geral'!AP1449</f>
        <v>x</v>
      </c>
      <c r="AQ459" s="137" t="str">
        <f>'Q100a-geral'!AQ1449</f>
        <v>x</v>
      </c>
      <c r="AR459" s="137"/>
      <c r="AS459" s="137"/>
      <c r="AT459" s="137"/>
      <c r="AU459" s="137"/>
      <c r="AV459" s="137" t="str">
        <f>'Q100a-geral'!AV1449</f>
        <v>x</v>
      </c>
      <c r="AW459" s="137"/>
      <c r="AX459" s="137"/>
      <c r="AY459" s="137"/>
      <c r="AZ459" s="137"/>
      <c r="BA459" s="137" t="str">
        <f>'Q100a-geral'!BA1449</f>
        <v>x</v>
      </c>
      <c r="BB459" s="239" t="str">
        <f>'Q100a-geral'!BB1449</f>
        <v>Sinalização semafóricax</v>
      </c>
      <c r="BC459" s="239" t="str">
        <f>'Q100a-geral'!BC1449</f>
        <v>Sinalização semafóricaxbenchmarking</v>
      </c>
      <c r="BD459" s="239" t="str">
        <f>'Q100a-geral'!BD1449</f>
        <v>Sinalização semafóricabenchmarking</v>
      </c>
      <c r="BE459" s="371" t="s">
        <v>2760</v>
      </c>
    </row>
    <row r="460" spans="1:57" s="1" customFormat="1" ht="51" customHeight="1" x14ac:dyDescent="0.25">
      <c r="A460" s="275" t="str">
        <f>'Q100a-geral'!A1450</f>
        <v>9.5</v>
      </c>
      <c r="B460" s="11" t="str">
        <f>'Q100a-geral'!B1450</f>
        <v>Sinalização semafórica</v>
      </c>
      <c r="C460" s="167" t="str">
        <f>'Q100a-geral'!C1450</f>
        <v>x</v>
      </c>
      <c r="D460" s="900" t="str">
        <f>'Q100a-geral'!D1450</f>
        <v>intersecciones con semáforos por milhão de habitantes</v>
      </c>
      <c r="E460" s="488" t="str">
        <f>'Q100a-geral'!E1450</f>
        <v>AM São Paulo</v>
      </c>
      <c r="F460" s="488" t="str">
        <f>'Q100a-geral'!F1450</f>
        <v>n.º de "intersecciones" semafóricas por milhão de habitantes na área metropolitana de São Paulo
obs.: resultado de 2007 calculado com base em CAF(2010, p.9/Cuadro 1-población); p.14/Cuadro 4-intersecciones con semáforos)</v>
      </c>
      <c r="G460" s="252" t="str">
        <f>'Q100a-geral'!G1450</f>
        <v>(intersecciones semafóricas / P ) x 1.000.014</v>
      </c>
      <c r="H460" s="221" t="str">
        <f>'Q100a-geral'!H1450</f>
        <v>benchmarking</v>
      </c>
      <c r="I460" s="167" t="str">
        <f>'Q100a-geral'!I1450</f>
        <v>x</v>
      </c>
      <c r="J460" s="109" t="str">
        <f>'Q100a-geral'!J1450</f>
        <v>x</v>
      </c>
      <c r="K460" s="109" t="str">
        <f>'Q100a-geral'!K1450</f>
        <v>x</v>
      </c>
      <c r="L460" s="109" t="str">
        <f>'Q100a-geral'!L1450</f>
        <v>x</v>
      </c>
      <c r="M460" s="109" t="str">
        <f>'Q100a-geral'!M1450</f>
        <v>x</v>
      </c>
      <c r="N460" s="109" t="str">
        <f>'Q100a-geral'!N1450</f>
        <v>x</v>
      </c>
      <c r="O460" s="109" t="str">
        <f>'Q100a-geral'!O1450</f>
        <v>x</v>
      </c>
      <c r="P460" s="109" t="str">
        <f>'Q100a-geral'!P1450</f>
        <v>x</v>
      </c>
      <c r="Q460" s="109" t="str">
        <f>'Q100a-geral'!Q1450</f>
        <v>x</v>
      </c>
      <c r="R460" s="109" t="str">
        <f>'Q100a-geral'!R1450</f>
        <v>x</v>
      </c>
      <c r="S460" s="109" t="str">
        <f>'Q100a-geral'!S1450</f>
        <v>só para pesquisa</v>
      </c>
      <c r="T460" s="109" t="str">
        <f>'Q100a-geral'!T1450</f>
        <v>x</v>
      </c>
      <c r="U460" s="109" t="str">
        <f>'Q100a-geral'!U1450</f>
        <v>x</v>
      </c>
      <c r="V460" s="109" t="str">
        <f>'Q100a-geral'!V1450</f>
        <v>só para pesquisa</v>
      </c>
      <c r="W460" s="109" t="str">
        <f>'Q100a-geral'!W1450</f>
        <v>x</v>
      </c>
      <c r="X460" s="109" t="str">
        <f>'Q100a-geral'!X1450</f>
        <v>x</v>
      </c>
      <c r="Y460" s="109" t="str">
        <f>'Q100a-geral'!Y1450</f>
        <v>x</v>
      </c>
      <c r="Z460" s="109" t="str">
        <f>'Q100a-geral'!Z1450</f>
        <v>x</v>
      </c>
      <c r="AA460" s="109" t="str">
        <f>'Q100a-geral'!AA1450</f>
        <v>x</v>
      </c>
      <c r="AB460" s="109" t="str">
        <f>'Q100a-geral'!AB1450</f>
        <v>x</v>
      </c>
      <c r="AC460" s="894">
        <f>'Q100a-geral'!AC1450</f>
        <v>402.58418372276867</v>
      </c>
      <c r="AD460" s="107" t="str">
        <f>'Q100a-geral'!AD1450</f>
        <v>x</v>
      </c>
      <c r="AE460" s="107" t="str">
        <f>'Q100a-geral'!AE1450</f>
        <v>x</v>
      </c>
      <c r="AF460" s="107" t="str">
        <f>'Q100a-geral'!AF1450</f>
        <v>x</v>
      </c>
      <c r="AG460" s="107" t="str">
        <f>'Q100a-geral'!AG1450</f>
        <v>x</v>
      </c>
      <c r="AH460" s="107" t="str">
        <f>'Q100a-geral'!AH1450</f>
        <v>x</v>
      </c>
      <c r="AI460" s="107" t="str">
        <f>'Q100a-geral'!AI1450</f>
        <v>x</v>
      </c>
      <c r="AJ460" s="107" t="str">
        <f>'Q100a-geral'!AJ1450</f>
        <v>x</v>
      </c>
      <c r="AK460" s="137" t="str">
        <f>'Q100a-geral'!AK1450</f>
        <v>x</v>
      </c>
      <c r="AL460" s="57" t="str">
        <f>'Q100a-geral'!AL1450</f>
        <v>x</v>
      </c>
      <c r="AM460" s="137" t="str">
        <f>'Q100a-geral'!AM1450</f>
        <v>x</v>
      </c>
      <c r="AN460" s="137" t="str">
        <f>'Q100a-geral'!AN1450</f>
        <v>x</v>
      </c>
      <c r="AO460" s="137" t="str">
        <f>'Q100a-geral'!AO1450</f>
        <v>x</v>
      </c>
      <c r="AP460" s="137" t="str">
        <f>'Q100a-geral'!AP1450</f>
        <v>x</v>
      </c>
      <c r="AQ460" s="137" t="str">
        <f>'Q100a-geral'!AQ1450</f>
        <v>x</v>
      </c>
      <c r="AR460" s="137"/>
      <c r="AS460" s="137"/>
      <c r="AT460" s="137"/>
      <c r="AU460" s="137"/>
      <c r="AV460" s="137" t="str">
        <f>'Q100a-geral'!AV1450</f>
        <v>x</v>
      </c>
      <c r="AW460" s="137"/>
      <c r="AX460" s="137"/>
      <c r="AY460" s="137"/>
      <c r="AZ460" s="137"/>
      <c r="BA460" s="137" t="str">
        <f>'Q100a-geral'!BA1450</f>
        <v>x</v>
      </c>
      <c r="BB460" s="239" t="str">
        <f>'Q100a-geral'!BB1450</f>
        <v>Sinalização semafóricax</v>
      </c>
      <c r="BC460" s="239" t="str">
        <f>'Q100a-geral'!BC1450</f>
        <v>Sinalização semafóricaxbenchmarking</v>
      </c>
      <c r="BD460" s="239" t="str">
        <f>'Q100a-geral'!BD1450</f>
        <v>Sinalização semafóricabenchmarking</v>
      </c>
      <c r="BE460" s="371" t="s">
        <v>2761</v>
      </c>
    </row>
    <row r="461" spans="1:57" s="1" customFormat="1" ht="51" customHeight="1" x14ac:dyDescent="0.25">
      <c r="A461" s="275" t="str">
        <f>'Q100a-geral'!A1451</f>
        <v>9.5</v>
      </c>
      <c r="B461" s="11" t="str">
        <f>'Q100a-geral'!B1451</f>
        <v>Sinalização semafórica</v>
      </c>
      <c r="C461" s="167" t="str">
        <f>'Q100a-geral'!C1451</f>
        <v>x</v>
      </c>
      <c r="D461" s="322" t="str">
        <f>'Q100a-geral'!D1451</f>
        <v>interseções semafóricas por milhão de habitantes</v>
      </c>
      <c r="F461" s="445" t="str">
        <f>'Q100a-geral'!F1451</f>
        <v>indicador (tomado como referencial externo) utilizado em ANTP(2014, p.84/Gráfico 111)</v>
      </c>
      <c r="G461" s="11" t="str">
        <f>'Q100a-geral'!G1451</f>
        <v>verbete
MFO</v>
      </c>
      <c r="H461" s="221" t="str">
        <f>'Q100a-geral'!H1451</f>
        <v>sigla/verbete</v>
      </c>
      <c r="I461" s="57" t="str">
        <f>'Q100a-geral'!I1451</f>
        <v>x</v>
      </c>
      <c r="J461" s="107" t="str">
        <f>'Q100a-geral'!J1451</f>
        <v>x</v>
      </c>
      <c r="K461" s="107" t="str">
        <f>'Q100a-geral'!K1451</f>
        <v>x</v>
      </c>
      <c r="L461" s="107" t="str">
        <f>'Q100a-geral'!L1451</f>
        <v>x</v>
      </c>
      <c r="M461" s="107" t="str">
        <f>'Q100a-geral'!M1451</f>
        <v>x</v>
      </c>
      <c r="N461" s="107" t="str">
        <f>'Q100a-geral'!N1451</f>
        <v>x</v>
      </c>
      <c r="O461" s="107" t="str">
        <f>'Q100a-geral'!O1451</f>
        <v>x</v>
      </c>
      <c r="P461" s="107" t="str">
        <f>'Q100a-geral'!P1451</f>
        <v>x</v>
      </c>
      <c r="Q461" s="107" t="str">
        <f>'Q100a-geral'!Q1451</f>
        <v>x</v>
      </c>
      <c r="R461" s="107" t="str">
        <f>'Q100a-geral'!R1451</f>
        <v>x</v>
      </c>
      <c r="S461" s="107" t="str">
        <f>'Q100a-geral'!S1451</f>
        <v>só para pesquisa</v>
      </c>
      <c r="T461" s="107" t="str">
        <f>'Q100a-geral'!T1451</f>
        <v>x</v>
      </c>
      <c r="U461" s="107" t="str">
        <f>'Q100a-geral'!U1451</f>
        <v>x</v>
      </c>
      <c r="V461" s="107" t="str">
        <f>'Q100a-geral'!V1451</f>
        <v>só para pesquisa</v>
      </c>
      <c r="W461" s="107" t="str">
        <f>'Q100a-geral'!W1451</f>
        <v>x</v>
      </c>
      <c r="X461" s="107" t="str">
        <f>'Q100a-geral'!X1451</f>
        <v>x</v>
      </c>
      <c r="Y461" s="107" t="str">
        <f>'Q100a-geral'!Y1451</f>
        <v>x</v>
      </c>
      <c r="Z461" s="107" t="str">
        <f>'Q100a-geral'!Z1451</f>
        <v>x</v>
      </c>
      <c r="AA461" s="107" t="str">
        <f>'Q100a-geral'!AA1451</f>
        <v>x</v>
      </c>
      <c r="AB461" s="107" t="str">
        <f>'Q100a-geral'!AB1451</f>
        <v>x</v>
      </c>
      <c r="AC461" s="107" t="str">
        <f>'Q100a-geral'!AC1451</f>
        <v>x</v>
      </c>
      <c r="AD461" s="107" t="str">
        <f>'Q100a-geral'!AD1451</f>
        <v>x</v>
      </c>
      <c r="AE461" s="107" t="str">
        <f>'Q100a-geral'!AE1451</f>
        <v>x</v>
      </c>
      <c r="AF461" s="107" t="str">
        <f>'Q100a-geral'!AF1451</f>
        <v>x</v>
      </c>
      <c r="AG461" s="107" t="str">
        <f>'Q100a-geral'!AG1451</f>
        <v>x</v>
      </c>
      <c r="AH461" s="107" t="str">
        <f>'Q100a-geral'!AH1451</f>
        <v>x</v>
      </c>
      <c r="AI461" s="107" t="str">
        <f>'Q100a-geral'!AI1451</f>
        <v>x</v>
      </c>
      <c r="AJ461" s="107" t="str">
        <f>'Q100a-geral'!AJ1451</f>
        <v>x</v>
      </c>
      <c r="AK461" s="137" t="str">
        <f>'Q100a-geral'!AK1451</f>
        <v>x</v>
      </c>
      <c r="AL461" s="57" t="str">
        <f>'Q100a-geral'!AL1451</f>
        <v>x</v>
      </c>
      <c r="AM461" s="137" t="str">
        <f>'Q100a-geral'!AM1451</f>
        <v>x</v>
      </c>
      <c r="AN461" s="137" t="str">
        <f>'Q100a-geral'!AN1451</f>
        <v>x</v>
      </c>
      <c r="AO461" s="137" t="str">
        <f>'Q100a-geral'!AO1451</f>
        <v>x</v>
      </c>
      <c r="AP461" s="137" t="str">
        <f>'Q100a-geral'!AP1451</f>
        <v>x</v>
      </c>
      <c r="AQ461" s="137" t="str">
        <f>'Q100a-geral'!AQ1451</f>
        <v>x</v>
      </c>
      <c r="AR461" s="137"/>
      <c r="AS461" s="137"/>
      <c r="AT461" s="137"/>
      <c r="AU461" s="137"/>
      <c r="AV461" s="137" t="str">
        <f>'Q100a-geral'!AV1451</f>
        <v>x</v>
      </c>
      <c r="AW461" s="137"/>
      <c r="AX461" s="137"/>
      <c r="AY461" s="137"/>
      <c r="AZ461" s="137"/>
      <c r="BA461" s="137" t="str">
        <f>'Q100a-geral'!BA1451</f>
        <v>x</v>
      </c>
      <c r="BB461" s="239" t="str">
        <f>'Q100a-geral'!BB1451</f>
        <v>Sinalização semafóricax</v>
      </c>
      <c r="BC461" s="239" t="str">
        <f>'Q100a-geral'!BC1451</f>
        <v>Sinalização semafóricaxsigla/verbete</v>
      </c>
      <c r="BD461" s="239" t="str">
        <f>'Q100a-geral'!BD1451</f>
        <v>Sinalização semafóricasigla/verbete</v>
      </c>
      <c r="BE461" s="11" t="str">
        <f>'Q100a-geral'!E1451</f>
        <v>x</v>
      </c>
    </row>
    <row r="462" spans="1:57" s="1" customFormat="1" ht="51" customHeight="1" x14ac:dyDescent="0.25">
      <c r="A462" s="275" t="str">
        <f>'Q100a-geral'!A1452</f>
        <v>9.5</v>
      </c>
      <c r="B462" s="11" t="str">
        <f>'Q100a-geral'!B1452</f>
        <v>Sinalização semafórica</v>
      </c>
      <c r="C462" s="167" t="str">
        <f>'Q100a-geral'!C1452</f>
        <v>x</v>
      </c>
      <c r="D462" s="900" t="str">
        <f>'Q100a-geral'!D1452</f>
        <v>interseções semafóricas por milhão de habitantes</v>
      </c>
      <c r="E462" s="488" t="str">
        <f>'Q100a-geral'!E1452</f>
        <v>Brasil
(&gt; 1 milhão habitantes)</v>
      </c>
      <c r="F462" s="488" t="str">
        <f>'Q100a-geral'!F1452</f>
        <v>n.º de "interseções semafóricas" por milhão de habitantes contabilizadas pela ANTP nas cidades brasileiras com população acima de um milhão de habitantes
obs.: resultados de 2007 conforme ANTP(2008a, p.107/Gráfico 132); de 2012 conforme ANTP(2014a, p.84/Gráfico 111)</v>
      </c>
      <c r="G462" s="252" t="str">
        <f>'Q100a-geral'!G1452</f>
        <v>registro na fonte</v>
      </c>
      <c r="H462" s="221" t="str">
        <f>'Q100a-geral'!H1452</f>
        <v>benchmarking</v>
      </c>
      <c r="I462" s="167" t="str">
        <f>'Q100a-geral'!I1452</f>
        <v>x</v>
      </c>
      <c r="J462" s="109" t="str">
        <f>'Q100a-geral'!J1452</f>
        <v>x</v>
      </c>
      <c r="K462" s="109" t="str">
        <f>'Q100a-geral'!K1452</f>
        <v>x</v>
      </c>
      <c r="L462" s="109" t="str">
        <f>'Q100a-geral'!L1452</f>
        <v>x</v>
      </c>
      <c r="M462" s="109" t="str">
        <f>'Q100a-geral'!M1452</f>
        <v>x</v>
      </c>
      <c r="N462" s="109" t="str">
        <f>'Q100a-geral'!N1452</f>
        <v>x</v>
      </c>
      <c r="O462" s="109" t="str">
        <f>'Q100a-geral'!O1452</f>
        <v>x</v>
      </c>
      <c r="P462" s="109" t="str">
        <f>'Q100a-geral'!P1452</f>
        <v>x</v>
      </c>
      <c r="Q462" s="109" t="str">
        <f>'Q100a-geral'!Q1452</f>
        <v>x</v>
      </c>
      <c r="R462" s="109" t="str">
        <f>'Q100a-geral'!R1452</f>
        <v>x</v>
      </c>
      <c r="S462" s="109" t="str">
        <f>'Q100a-geral'!S1452</f>
        <v>só para pesquisa</v>
      </c>
      <c r="T462" s="109" t="str">
        <f>'Q100a-geral'!T1452</f>
        <v>x</v>
      </c>
      <c r="U462" s="109" t="str">
        <f>'Q100a-geral'!U1452</f>
        <v>x</v>
      </c>
      <c r="V462" s="109" t="str">
        <f>'Q100a-geral'!V1452</f>
        <v>só para pesquisa</v>
      </c>
      <c r="W462" s="109" t="str">
        <f>'Q100a-geral'!W1452</f>
        <v>x</v>
      </c>
      <c r="X462" s="109" t="str">
        <f>'Q100a-geral'!X1452</f>
        <v>x</v>
      </c>
      <c r="Y462" s="109" t="str">
        <f>'Q100a-geral'!Y1452</f>
        <v>x</v>
      </c>
      <c r="Z462" s="109" t="str">
        <f>'Q100a-geral'!Z1452</f>
        <v>x</v>
      </c>
      <c r="AA462" s="109" t="str">
        <f>'Q100a-geral'!AA1452</f>
        <v>x</v>
      </c>
      <c r="AB462" s="109" t="str">
        <f>'Q100a-geral'!AB1452</f>
        <v>x</v>
      </c>
      <c r="AC462" s="478">
        <f>'Q100a-geral'!AC1452</f>
        <v>385</v>
      </c>
      <c r="AD462" s="109" t="str">
        <f>'Q100a-geral'!AD1452</f>
        <v>x</v>
      </c>
      <c r="AE462" s="109" t="str">
        <f>'Q100a-geral'!AE1452</f>
        <v>x</v>
      </c>
      <c r="AF462" s="109" t="str">
        <f>'Q100a-geral'!AF1452</f>
        <v>x</v>
      </c>
      <c r="AG462" s="109" t="str">
        <f>'Q100a-geral'!AG1452</f>
        <v>x</v>
      </c>
      <c r="AH462" s="371">
        <f>'Q100a-geral'!AH1452</f>
        <v>396</v>
      </c>
      <c r="AI462" s="107" t="str">
        <f>'Q100a-geral'!AI1452</f>
        <v>x</v>
      </c>
      <c r="AJ462" s="107" t="str">
        <f>'Q100a-geral'!AJ1452</f>
        <v>x</v>
      </c>
      <c r="AK462" s="137">
        <f>'Q100a-geral'!AK1452</f>
        <v>0</v>
      </c>
      <c r="AL462" s="57" t="str">
        <f>'Q100a-geral'!AL1452</f>
        <v>x</v>
      </c>
      <c r="AM462" s="137">
        <f>'Q100a-geral'!AM1452</f>
        <v>0</v>
      </c>
      <c r="AN462" s="137">
        <f>'Q100a-geral'!AN1452</f>
        <v>0</v>
      </c>
      <c r="AO462" s="137">
        <f>'Q100a-geral'!AO1452</f>
        <v>0</v>
      </c>
      <c r="AP462" s="137">
        <f>'Q100a-geral'!AP1452</f>
        <v>0</v>
      </c>
      <c r="AQ462" s="137">
        <f>'Q100a-geral'!AQ1452</f>
        <v>0</v>
      </c>
      <c r="AR462" s="137"/>
      <c r="AS462" s="137"/>
      <c r="AT462" s="137"/>
      <c r="AU462" s="137"/>
      <c r="AV462" s="137" t="str">
        <f>'Q100a-geral'!AV1452</f>
        <v>x</v>
      </c>
      <c r="AW462" s="137"/>
      <c r="AX462" s="137"/>
      <c r="AY462" s="137"/>
      <c r="AZ462" s="137"/>
      <c r="BA462" s="137" t="str">
        <f>'Q100a-geral'!BA1452</f>
        <v>x</v>
      </c>
      <c r="BB462" s="239" t="str">
        <f>'Q100a-geral'!BB1452</f>
        <v>Sinalização semafóricax</v>
      </c>
      <c r="BC462" s="239" t="str">
        <f>'Q100a-geral'!BC1452</f>
        <v>Sinalização semafóricaxbenchmarking</v>
      </c>
      <c r="BD462" s="239" t="str">
        <f>'Q100a-geral'!BD1452</f>
        <v>Sinalização semafóricabenchmarking</v>
      </c>
      <c r="BE462" s="844" t="s">
        <v>2762</v>
      </c>
    </row>
    <row r="463" spans="1:57" s="1" customFormat="1" ht="51" customHeight="1" x14ac:dyDescent="0.25">
      <c r="A463" s="275" t="str">
        <f>'Q100a-geral'!A1453</f>
        <v>9.5</v>
      </c>
      <c r="B463" s="11" t="str">
        <f>'Q100a-geral'!B1453</f>
        <v>Sinalização semafórica</v>
      </c>
      <c r="C463" s="167" t="str">
        <f>'Q100a-geral'!C1453</f>
        <v>x</v>
      </c>
      <c r="D463" s="900" t="str">
        <f>'Q100a-geral'!D1453</f>
        <v>interseções semafóricas por milhão de habitantes</v>
      </c>
      <c r="E463" s="488" t="str">
        <f>'Q100a-geral'!E1453</f>
        <v>Brasil
(500 mil a 1 milhão habitantes)</v>
      </c>
      <c r="F463" s="488" t="str">
        <f>'Q100a-geral'!F1453</f>
        <v>n.º de "interseções semafóricas" por milhão de habitantes contabilizadas pela ANTP nas cidades brasileiras com população entre 500 mil e um milhão de habitantes
obs.: resultados de 2007 conforme ANTP(2008a, p.107/Gráfico 132); de 2012 conforme ANTP(2014a, p.84/Gráfico 111)</v>
      </c>
      <c r="G463" s="252" t="str">
        <f>'Q100a-geral'!G1453</f>
        <v>registro na fonte</v>
      </c>
      <c r="H463" s="221" t="str">
        <f>'Q100a-geral'!H1453</f>
        <v>benchmarking</v>
      </c>
      <c r="I463" s="167" t="str">
        <f>'Q100a-geral'!I1453</f>
        <v>x</v>
      </c>
      <c r="J463" s="109" t="str">
        <f>'Q100a-geral'!J1453</f>
        <v>x</v>
      </c>
      <c r="K463" s="109" t="str">
        <f>'Q100a-geral'!K1453</f>
        <v>x</v>
      </c>
      <c r="L463" s="109" t="str">
        <f>'Q100a-geral'!L1453</f>
        <v>x</v>
      </c>
      <c r="M463" s="109" t="str">
        <f>'Q100a-geral'!M1453</f>
        <v>x</v>
      </c>
      <c r="N463" s="109" t="str">
        <f>'Q100a-geral'!N1453</f>
        <v>x</v>
      </c>
      <c r="O463" s="109" t="str">
        <f>'Q100a-geral'!O1453</f>
        <v>x</v>
      </c>
      <c r="P463" s="109" t="str">
        <f>'Q100a-geral'!P1453</f>
        <v>x</v>
      </c>
      <c r="Q463" s="109" t="str">
        <f>'Q100a-geral'!Q1453</f>
        <v>x</v>
      </c>
      <c r="R463" s="109" t="str">
        <f>'Q100a-geral'!R1453</f>
        <v>x</v>
      </c>
      <c r="S463" s="109" t="str">
        <f>'Q100a-geral'!S1453</f>
        <v>só para pesquisa</v>
      </c>
      <c r="T463" s="109" t="str">
        <f>'Q100a-geral'!T1453</f>
        <v>x</v>
      </c>
      <c r="U463" s="109" t="str">
        <f>'Q100a-geral'!U1453</f>
        <v>x</v>
      </c>
      <c r="V463" s="109" t="str">
        <f>'Q100a-geral'!V1453</f>
        <v>só para pesquisa</v>
      </c>
      <c r="W463" s="109" t="str">
        <f>'Q100a-geral'!W1453</f>
        <v>x</v>
      </c>
      <c r="X463" s="109" t="str">
        <f>'Q100a-geral'!X1453</f>
        <v>x</v>
      </c>
      <c r="Y463" s="109" t="str">
        <f>'Q100a-geral'!Y1453</f>
        <v>x</v>
      </c>
      <c r="Z463" s="109" t="str">
        <f>'Q100a-geral'!Z1453</f>
        <v>x</v>
      </c>
      <c r="AA463" s="109" t="str">
        <f>'Q100a-geral'!AA1453</f>
        <v>x</v>
      </c>
      <c r="AB463" s="109" t="str">
        <f>'Q100a-geral'!AB1453</f>
        <v>x</v>
      </c>
      <c r="AC463" s="478">
        <f>'Q100a-geral'!AC1453</f>
        <v>301</v>
      </c>
      <c r="AD463" s="109" t="str">
        <f>'Q100a-geral'!AD1453</f>
        <v>x</v>
      </c>
      <c r="AE463" s="109" t="str">
        <f>'Q100a-geral'!AE1453</f>
        <v>x</v>
      </c>
      <c r="AF463" s="109" t="str">
        <f>'Q100a-geral'!AF1453</f>
        <v>x</v>
      </c>
      <c r="AG463" s="109" t="str">
        <f>'Q100a-geral'!AG1453</f>
        <v>x</v>
      </c>
      <c r="AH463" s="371">
        <f>'Q100a-geral'!AH1453</f>
        <v>350</v>
      </c>
      <c r="AI463" s="107" t="str">
        <f>'Q100a-geral'!AI1453</f>
        <v>x</v>
      </c>
      <c r="AJ463" s="107" t="str">
        <f>'Q100a-geral'!AJ1453</f>
        <v>x</v>
      </c>
      <c r="AK463" s="137">
        <f>'Q100a-geral'!AK1453</f>
        <v>0</v>
      </c>
      <c r="AL463" s="57" t="str">
        <f>'Q100a-geral'!AL1453</f>
        <v>x</v>
      </c>
      <c r="AM463" s="137">
        <f>'Q100a-geral'!AM1453</f>
        <v>0</v>
      </c>
      <c r="AN463" s="137">
        <f>'Q100a-geral'!AN1453</f>
        <v>0</v>
      </c>
      <c r="AO463" s="137">
        <f>'Q100a-geral'!AO1453</f>
        <v>0</v>
      </c>
      <c r="AP463" s="137">
        <f>'Q100a-geral'!AP1453</f>
        <v>0</v>
      </c>
      <c r="AQ463" s="137">
        <f>'Q100a-geral'!AQ1453</f>
        <v>0</v>
      </c>
      <c r="AR463" s="137"/>
      <c r="AS463" s="137"/>
      <c r="AT463" s="137"/>
      <c r="AU463" s="137"/>
      <c r="AV463" s="137" t="str">
        <f>'Q100a-geral'!AV1453</f>
        <v>x</v>
      </c>
      <c r="AW463" s="137"/>
      <c r="AX463" s="137"/>
      <c r="AY463" s="137"/>
      <c r="AZ463" s="137"/>
      <c r="BA463" s="137" t="str">
        <f>'Q100a-geral'!BA1453</f>
        <v>x</v>
      </c>
      <c r="BB463" s="239" t="str">
        <f>'Q100a-geral'!BB1453</f>
        <v>Sinalização semafóricax</v>
      </c>
      <c r="BC463" s="239" t="str">
        <f>'Q100a-geral'!BC1453</f>
        <v>Sinalização semafóricaxbenchmarking</v>
      </c>
      <c r="BD463" s="239" t="str">
        <f>'Q100a-geral'!BD1453</f>
        <v>Sinalização semafóricabenchmarking</v>
      </c>
      <c r="BE463" s="844" t="s">
        <v>2763</v>
      </c>
    </row>
    <row r="464" spans="1:57" s="1" customFormat="1" ht="51" customHeight="1" x14ac:dyDescent="0.25">
      <c r="A464" s="275" t="str">
        <f>'Q100a-geral'!A1454</f>
        <v>9.5</v>
      </c>
      <c r="B464" s="11" t="str">
        <f>'Q100a-geral'!B1454</f>
        <v>Sinalização semafórica</v>
      </c>
      <c r="C464" s="167" t="str">
        <f>'Q100a-geral'!C1454</f>
        <v>x</v>
      </c>
      <c r="D464" s="900" t="str">
        <f>'Q100a-geral'!D1454</f>
        <v>interseções semafóricas por milhão de habitantes</v>
      </c>
      <c r="E464" s="488" t="str">
        <f>'Q100a-geral'!E1454</f>
        <v>Brasil
(250 a 500 mil habitantes)</v>
      </c>
      <c r="F464" s="488" t="str">
        <f>'Q100a-geral'!F1454</f>
        <v>n.º de "interseções semafóricas" por milhão de habitantes contabilizadas pela ANTP nas cidades brasileiras com população entre 250 mil e 500 mil habitantes
obs.: resultados de 2007 conforme ANTP(2008a, p.107/Gráfico 132); de 2012 conforme ANTP(2014a, p.84/Gráfico 111)</v>
      </c>
      <c r="G464" s="252" t="str">
        <f>'Q100a-geral'!G1454</f>
        <v>registro na fonte</v>
      </c>
      <c r="H464" s="221" t="str">
        <f>'Q100a-geral'!H1454</f>
        <v>benchmarking</v>
      </c>
      <c r="I464" s="167" t="str">
        <f>'Q100a-geral'!I1454</f>
        <v>x</v>
      </c>
      <c r="J464" s="109" t="str">
        <f>'Q100a-geral'!J1454</f>
        <v>x</v>
      </c>
      <c r="K464" s="109" t="str">
        <f>'Q100a-geral'!K1454</f>
        <v>x</v>
      </c>
      <c r="L464" s="109" t="str">
        <f>'Q100a-geral'!L1454</f>
        <v>x</v>
      </c>
      <c r="M464" s="109" t="str">
        <f>'Q100a-geral'!M1454</f>
        <v>x</v>
      </c>
      <c r="N464" s="109" t="str">
        <f>'Q100a-geral'!N1454</f>
        <v>x</v>
      </c>
      <c r="O464" s="109" t="str">
        <f>'Q100a-geral'!O1454</f>
        <v>x</v>
      </c>
      <c r="P464" s="109" t="str">
        <f>'Q100a-geral'!P1454</f>
        <v>x</v>
      </c>
      <c r="Q464" s="109" t="str">
        <f>'Q100a-geral'!Q1454</f>
        <v>x</v>
      </c>
      <c r="R464" s="109" t="str">
        <f>'Q100a-geral'!R1454</f>
        <v>x</v>
      </c>
      <c r="S464" s="109" t="str">
        <f>'Q100a-geral'!S1454</f>
        <v>só para pesquisa</v>
      </c>
      <c r="T464" s="109" t="str">
        <f>'Q100a-geral'!T1454</f>
        <v>x</v>
      </c>
      <c r="U464" s="109" t="str">
        <f>'Q100a-geral'!U1454</f>
        <v>x</v>
      </c>
      <c r="V464" s="109" t="str">
        <f>'Q100a-geral'!V1454</f>
        <v>só para pesquisa</v>
      </c>
      <c r="W464" s="109" t="str">
        <f>'Q100a-geral'!W1454</f>
        <v>x</v>
      </c>
      <c r="X464" s="109" t="str">
        <f>'Q100a-geral'!X1454</f>
        <v>x</v>
      </c>
      <c r="Y464" s="109" t="str">
        <f>'Q100a-geral'!Y1454</f>
        <v>x</v>
      </c>
      <c r="Z464" s="109" t="str">
        <f>'Q100a-geral'!Z1454</f>
        <v>x</v>
      </c>
      <c r="AA464" s="109" t="str">
        <f>'Q100a-geral'!AA1454</f>
        <v>x</v>
      </c>
      <c r="AB464" s="109" t="str">
        <f>'Q100a-geral'!AB1454</f>
        <v>x</v>
      </c>
      <c r="AC464" s="478">
        <f>'Q100a-geral'!AC1454</f>
        <v>201</v>
      </c>
      <c r="AD464" s="109" t="str">
        <f>'Q100a-geral'!AD1454</f>
        <v>x</v>
      </c>
      <c r="AE464" s="109" t="str">
        <f>'Q100a-geral'!AE1454</f>
        <v>x</v>
      </c>
      <c r="AF464" s="109" t="str">
        <f>'Q100a-geral'!AF1454</f>
        <v>x</v>
      </c>
      <c r="AG464" s="109" t="str">
        <f>'Q100a-geral'!AG1454</f>
        <v>x</v>
      </c>
      <c r="AH464" s="371">
        <f>'Q100a-geral'!AH1454</f>
        <v>211</v>
      </c>
      <c r="AI464" s="107" t="str">
        <f>'Q100a-geral'!AI1454</f>
        <v>x</v>
      </c>
      <c r="AJ464" s="107" t="str">
        <f>'Q100a-geral'!AJ1454</f>
        <v>x</v>
      </c>
      <c r="AK464" s="137">
        <f>'Q100a-geral'!AK1454</f>
        <v>0</v>
      </c>
      <c r="AL464" s="57" t="str">
        <f>'Q100a-geral'!AL1454</f>
        <v>x</v>
      </c>
      <c r="AM464" s="137">
        <f>'Q100a-geral'!AM1454</f>
        <v>0</v>
      </c>
      <c r="AN464" s="137">
        <f>'Q100a-geral'!AN1454</f>
        <v>0</v>
      </c>
      <c r="AO464" s="137">
        <f>'Q100a-geral'!AO1454</f>
        <v>0</v>
      </c>
      <c r="AP464" s="137">
        <f>'Q100a-geral'!AP1454</f>
        <v>0</v>
      </c>
      <c r="AQ464" s="137">
        <f>'Q100a-geral'!AQ1454</f>
        <v>0</v>
      </c>
      <c r="AR464" s="137"/>
      <c r="AS464" s="137"/>
      <c r="AT464" s="137"/>
      <c r="AU464" s="137"/>
      <c r="AV464" s="137" t="str">
        <f>'Q100a-geral'!AV1454</f>
        <v>x</v>
      </c>
      <c r="AW464" s="137"/>
      <c r="AX464" s="137"/>
      <c r="AY464" s="137"/>
      <c r="AZ464" s="137"/>
      <c r="BA464" s="137" t="str">
        <f>'Q100a-geral'!BA1454</f>
        <v>x</v>
      </c>
      <c r="BB464" s="239" t="str">
        <f>'Q100a-geral'!BB1454</f>
        <v>Sinalização semafóricax</v>
      </c>
      <c r="BC464" s="239" t="str">
        <f>'Q100a-geral'!BC1454</f>
        <v>Sinalização semafóricaxbenchmarking</v>
      </c>
      <c r="BD464" s="239" t="str">
        <f>'Q100a-geral'!BD1454</f>
        <v>Sinalização semafóricabenchmarking</v>
      </c>
      <c r="BE464" s="844" t="s">
        <v>2764</v>
      </c>
    </row>
    <row r="465" spans="1:57" s="1" customFormat="1" ht="51" customHeight="1" x14ac:dyDescent="0.25">
      <c r="A465" s="275" t="str">
        <f>'Q100a-geral'!A1455</f>
        <v>9.5</v>
      </c>
      <c r="B465" s="11" t="str">
        <f>'Q100a-geral'!B1455</f>
        <v>Sinalização semafórica</v>
      </c>
      <c r="C465" s="167" t="str">
        <f>'Q100a-geral'!C1455</f>
        <v>x</v>
      </c>
      <c r="D465" s="900" t="str">
        <f>'Q100a-geral'!D1455</f>
        <v>interseções semafóricas por milhão de habitantes</v>
      </c>
      <c r="E465" s="488" t="str">
        <f>'Q100a-geral'!E1455</f>
        <v>Brasil
(100 a 250 mil habitantes)</v>
      </c>
      <c r="F465" s="488" t="str">
        <f>'Q100a-geral'!F1455</f>
        <v>n.º de "interseções semafóricas" por milhão de habitantes contabilizadas pela ANTP nas cidades brasileiras com população entre 100 mil e 250 mil habitantes
obs.: resultados de 2007 conforme ANTP(2008a, p.107/Gráfico 132); de 2012 conforme ANTP(2014a, p.84/Gráfico 111)</v>
      </c>
      <c r="G465" s="252" t="str">
        <f>'Q100a-geral'!G1455</f>
        <v>registro na fonte</v>
      </c>
      <c r="H465" s="221" t="str">
        <f>'Q100a-geral'!H1455</f>
        <v>benchmarking</v>
      </c>
      <c r="I465" s="167" t="str">
        <f>'Q100a-geral'!I1455</f>
        <v>x</v>
      </c>
      <c r="J465" s="109" t="str">
        <f>'Q100a-geral'!J1455</f>
        <v>x</v>
      </c>
      <c r="K465" s="109" t="str">
        <f>'Q100a-geral'!K1455</f>
        <v>x</v>
      </c>
      <c r="L465" s="109" t="str">
        <f>'Q100a-geral'!L1455</f>
        <v>x</v>
      </c>
      <c r="M465" s="109" t="str">
        <f>'Q100a-geral'!M1455</f>
        <v>x</v>
      </c>
      <c r="N465" s="109" t="str">
        <f>'Q100a-geral'!N1455</f>
        <v>x</v>
      </c>
      <c r="O465" s="109" t="str">
        <f>'Q100a-geral'!O1455</f>
        <v>x</v>
      </c>
      <c r="P465" s="109" t="str">
        <f>'Q100a-geral'!P1455</f>
        <v>x</v>
      </c>
      <c r="Q465" s="109" t="str">
        <f>'Q100a-geral'!Q1455</f>
        <v>x</v>
      </c>
      <c r="R465" s="109" t="str">
        <f>'Q100a-geral'!R1455</f>
        <v>x</v>
      </c>
      <c r="S465" s="109" t="str">
        <f>'Q100a-geral'!S1455</f>
        <v>só para pesquisa</v>
      </c>
      <c r="T465" s="109" t="str">
        <f>'Q100a-geral'!T1455</f>
        <v>x</v>
      </c>
      <c r="U465" s="109" t="str">
        <f>'Q100a-geral'!U1455</f>
        <v>x</v>
      </c>
      <c r="V465" s="109" t="str">
        <f>'Q100a-geral'!V1455</f>
        <v>só para pesquisa</v>
      </c>
      <c r="W465" s="109" t="str">
        <f>'Q100a-geral'!W1455</f>
        <v>x</v>
      </c>
      <c r="X465" s="109" t="str">
        <f>'Q100a-geral'!X1455</f>
        <v>x</v>
      </c>
      <c r="Y465" s="109" t="str">
        <f>'Q100a-geral'!Y1455</f>
        <v>x</v>
      </c>
      <c r="Z465" s="109" t="str">
        <f>'Q100a-geral'!Z1455</f>
        <v>x</v>
      </c>
      <c r="AA465" s="109" t="str">
        <f>'Q100a-geral'!AA1455</f>
        <v>x</v>
      </c>
      <c r="AB465" s="109" t="str">
        <f>'Q100a-geral'!AB1455</f>
        <v>x</v>
      </c>
      <c r="AC465" s="478">
        <f>'Q100a-geral'!AC1455</f>
        <v>161</v>
      </c>
      <c r="AD465" s="109" t="str">
        <f>'Q100a-geral'!AD1455</f>
        <v>x</v>
      </c>
      <c r="AE465" s="109" t="str">
        <f>'Q100a-geral'!AE1455</f>
        <v>x</v>
      </c>
      <c r="AF465" s="109" t="str">
        <f>'Q100a-geral'!AF1455</f>
        <v>x</v>
      </c>
      <c r="AG465" s="109" t="str">
        <f>'Q100a-geral'!AG1455</f>
        <v>x</v>
      </c>
      <c r="AH465" s="371">
        <f>'Q100a-geral'!AH1455</f>
        <v>172</v>
      </c>
      <c r="AI465" s="107" t="str">
        <f>'Q100a-geral'!AI1455</f>
        <v>x</v>
      </c>
      <c r="AJ465" s="107" t="str">
        <f>'Q100a-geral'!AJ1455</f>
        <v>x</v>
      </c>
      <c r="AK465" s="137">
        <f>'Q100a-geral'!AK1455</f>
        <v>0</v>
      </c>
      <c r="AL465" s="57" t="str">
        <f>'Q100a-geral'!AL1455</f>
        <v>x</v>
      </c>
      <c r="AM465" s="137">
        <f>'Q100a-geral'!AM1455</f>
        <v>0</v>
      </c>
      <c r="AN465" s="137">
        <f>'Q100a-geral'!AN1455</f>
        <v>0</v>
      </c>
      <c r="AO465" s="137">
        <f>'Q100a-geral'!AO1455</f>
        <v>0</v>
      </c>
      <c r="AP465" s="137">
        <f>'Q100a-geral'!AP1455</f>
        <v>0</v>
      </c>
      <c r="AQ465" s="137">
        <f>'Q100a-geral'!AQ1455</f>
        <v>0</v>
      </c>
      <c r="AR465" s="137"/>
      <c r="AS465" s="137"/>
      <c r="AT465" s="137"/>
      <c r="AU465" s="137"/>
      <c r="AV465" s="137" t="str">
        <f>'Q100a-geral'!AV1455</f>
        <v>x</v>
      </c>
      <c r="AW465" s="137"/>
      <c r="AX465" s="137"/>
      <c r="AY465" s="137"/>
      <c r="AZ465" s="137"/>
      <c r="BA465" s="137" t="str">
        <f>'Q100a-geral'!BA1455</f>
        <v>x</v>
      </c>
      <c r="BB465" s="239" t="str">
        <f>'Q100a-geral'!BB1455</f>
        <v>Sinalização semafóricax</v>
      </c>
      <c r="BC465" s="239" t="str">
        <f>'Q100a-geral'!BC1455</f>
        <v>Sinalização semafóricaxbenchmarking</v>
      </c>
      <c r="BD465" s="239" t="str">
        <f>'Q100a-geral'!BD1455</f>
        <v>Sinalização semafóricabenchmarking</v>
      </c>
      <c r="BE465" s="844" t="s">
        <v>2765</v>
      </c>
    </row>
    <row r="466" spans="1:57" s="1" customFormat="1" ht="51" customHeight="1" x14ac:dyDescent="0.25">
      <c r="A466" s="275" t="str">
        <f>'Q100a-geral'!A1456</f>
        <v>9.5</v>
      </c>
      <c r="B466" s="11" t="str">
        <f>'Q100a-geral'!B1456</f>
        <v>Sinalização semafórica</v>
      </c>
      <c r="C466" s="167" t="str">
        <f>'Q100a-geral'!C1456</f>
        <v>x</v>
      </c>
      <c r="D466" s="900" t="str">
        <f>'Q100a-geral'!D1456</f>
        <v>interseções semafóricas por milhão de habitantes</v>
      </c>
      <c r="E466" s="488" t="str">
        <f>'Q100a-geral'!E1456</f>
        <v>Brasil
(60 a 100 mil habitantes)</v>
      </c>
      <c r="F466" s="488" t="str">
        <f>'Q100a-geral'!F1456</f>
        <v>n.º de "interseções semafóricas" por milhão de habitantes contabilizadas pela ANTP nas cidades brasileiras com população entre 60 mil e 100 mil habitantes
obs.: resultados de 2007 conforme ANTP(2008a, p.107/Gráfico 132); de 2012 conforme ANTP(2014a, p.84/Gráfico 111)</v>
      </c>
      <c r="G466" s="252" t="str">
        <f>'Q100a-geral'!G1456</f>
        <v>registro na fonte</v>
      </c>
      <c r="H466" s="221" t="str">
        <f>'Q100a-geral'!H1456</f>
        <v>benchmarking</v>
      </c>
      <c r="I466" s="167" t="str">
        <f>'Q100a-geral'!I1456</f>
        <v>x</v>
      </c>
      <c r="J466" s="109" t="str">
        <f>'Q100a-geral'!J1456</f>
        <v>x</v>
      </c>
      <c r="K466" s="109" t="str">
        <f>'Q100a-geral'!K1456</f>
        <v>x</v>
      </c>
      <c r="L466" s="109" t="str">
        <f>'Q100a-geral'!L1456</f>
        <v>x</v>
      </c>
      <c r="M466" s="109" t="str">
        <f>'Q100a-geral'!M1456</f>
        <v>x</v>
      </c>
      <c r="N466" s="109" t="str">
        <f>'Q100a-geral'!N1456</f>
        <v>x</v>
      </c>
      <c r="O466" s="109" t="str">
        <f>'Q100a-geral'!O1456</f>
        <v>x</v>
      </c>
      <c r="P466" s="109" t="str">
        <f>'Q100a-geral'!P1456</f>
        <v>x</v>
      </c>
      <c r="Q466" s="109" t="str">
        <f>'Q100a-geral'!Q1456</f>
        <v>x</v>
      </c>
      <c r="R466" s="109" t="str">
        <f>'Q100a-geral'!R1456</f>
        <v>x</v>
      </c>
      <c r="S466" s="109" t="str">
        <f>'Q100a-geral'!S1456</f>
        <v>só para pesquisa</v>
      </c>
      <c r="T466" s="109" t="str">
        <f>'Q100a-geral'!T1456</f>
        <v>x</v>
      </c>
      <c r="U466" s="109" t="str">
        <f>'Q100a-geral'!U1456</f>
        <v>x</v>
      </c>
      <c r="V466" s="109" t="str">
        <f>'Q100a-geral'!V1456</f>
        <v>só para pesquisa</v>
      </c>
      <c r="W466" s="109" t="str">
        <f>'Q100a-geral'!W1456</f>
        <v>x</v>
      </c>
      <c r="X466" s="109" t="str">
        <f>'Q100a-geral'!X1456</f>
        <v>x</v>
      </c>
      <c r="Y466" s="109" t="str">
        <f>'Q100a-geral'!Y1456</f>
        <v>x</v>
      </c>
      <c r="Z466" s="109" t="str">
        <f>'Q100a-geral'!Z1456</f>
        <v>x</v>
      </c>
      <c r="AA466" s="109" t="str">
        <f>'Q100a-geral'!AA1456</f>
        <v>x</v>
      </c>
      <c r="AB466" s="109" t="str">
        <f>'Q100a-geral'!AB1456</f>
        <v>x</v>
      </c>
      <c r="AC466" s="478">
        <f>'Q100a-geral'!AC1456</f>
        <v>135</v>
      </c>
      <c r="AD466" s="109" t="str">
        <f>'Q100a-geral'!AD1456</f>
        <v>x</v>
      </c>
      <c r="AE466" s="109" t="str">
        <f>'Q100a-geral'!AE1456</f>
        <v>x</v>
      </c>
      <c r="AF466" s="109" t="str">
        <f>'Q100a-geral'!AF1456</f>
        <v>x</v>
      </c>
      <c r="AG466" s="109" t="str">
        <f>'Q100a-geral'!AG1456</f>
        <v>x</v>
      </c>
      <c r="AH466" s="371">
        <f>'Q100a-geral'!AH1456</f>
        <v>157</v>
      </c>
      <c r="AI466" s="107" t="str">
        <f>'Q100a-geral'!AI1456</f>
        <v>x</v>
      </c>
      <c r="AJ466" s="107" t="str">
        <f>'Q100a-geral'!AJ1456</f>
        <v>x</v>
      </c>
      <c r="AK466" s="137">
        <f>'Q100a-geral'!AK1456</f>
        <v>0</v>
      </c>
      <c r="AL466" s="57" t="str">
        <f>'Q100a-geral'!AL1456</f>
        <v>x</v>
      </c>
      <c r="AM466" s="137">
        <f>'Q100a-geral'!AM1456</f>
        <v>0</v>
      </c>
      <c r="AN466" s="137">
        <f>'Q100a-geral'!AN1456</f>
        <v>0</v>
      </c>
      <c r="AO466" s="137">
        <f>'Q100a-geral'!AO1456</f>
        <v>0</v>
      </c>
      <c r="AP466" s="137">
        <f>'Q100a-geral'!AP1456</f>
        <v>0</v>
      </c>
      <c r="AQ466" s="137">
        <f>'Q100a-geral'!AQ1456</f>
        <v>0</v>
      </c>
      <c r="AR466" s="137"/>
      <c r="AS466" s="137"/>
      <c r="AT466" s="137"/>
      <c r="AU466" s="137"/>
      <c r="AV466" s="137" t="str">
        <f>'Q100a-geral'!AV1456</f>
        <v>x</v>
      </c>
      <c r="AW466" s="137"/>
      <c r="AX466" s="137"/>
      <c r="AY466" s="137"/>
      <c r="AZ466" s="137"/>
      <c r="BA466" s="137" t="str">
        <f>'Q100a-geral'!BA1456</f>
        <v>x</v>
      </c>
      <c r="BB466" s="239" t="str">
        <f>'Q100a-geral'!BB1456</f>
        <v>Sinalização semafóricax</v>
      </c>
      <c r="BC466" s="239" t="str">
        <f>'Q100a-geral'!BC1456</f>
        <v>Sinalização semafóricaxbenchmarking</v>
      </c>
      <c r="BD466" s="239" t="str">
        <f>'Q100a-geral'!BD1456</f>
        <v>Sinalização semafóricabenchmarking</v>
      </c>
      <c r="BE466" s="844" t="s">
        <v>2766</v>
      </c>
    </row>
    <row r="467" spans="1:57" s="1" customFormat="1" ht="51" customHeight="1" x14ac:dyDescent="0.25">
      <c r="A467" s="275" t="str">
        <f>'Q100a-geral'!A1457</f>
        <v>9.5</v>
      </c>
      <c r="B467" s="11" t="str">
        <f>'Q100a-geral'!B1457</f>
        <v>Sinalização semafórica</v>
      </c>
      <c r="C467" s="167" t="str">
        <f>'Q100a-geral'!C1457</f>
        <v>x</v>
      </c>
      <c r="D467" s="900" t="str">
        <f>'Q100a-geral'!D1457</f>
        <v>interseções semafóricas por milhão de habitantes</v>
      </c>
      <c r="E467" s="488" t="str">
        <f>'Q100a-geral'!E1457</f>
        <v>Brasil</v>
      </c>
      <c r="F467" s="488" t="str">
        <f>'Q100a-geral'!F1457</f>
        <v>n.º de "interseções semafóricas" por milhão de habitantes contabilizadas pela ANTP nas cidades brasileiras
obs.: resultados de 2007 conforme ANTP(2008a, p.107/Gráfico 132); de 2012 conforme ANTP(2014a, p.84/Gráfico 111)</v>
      </c>
      <c r="G467" s="252" t="str">
        <f>'Q100a-geral'!G1457</f>
        <v>registro na fonte</v>
      </c>
      <c r="H467" s="221" t="str">
        <f>'Q100a-geral'!H1457</f>
        <v>benchmarking</v>
      </c>
      <c r="I467" s="167" t="str">
        <f>'Q100a-geral'!I1457</f>
        <v>x</v>
      </c>
      <c r="J467" s="109" t="str">
        <f>'Q100a-geral'!J1457</f>
        <v>x</v>
      </c>
      <c r="K467" s="109" t="str">
        <f>'Q100a-geral'!K1457</f>
        <v>x</v>
      </c>
      <c r="L467" s="109" t="str">
        <f>'Q100a-geral'!L1457</f>
        <v>x</v>
      </c>
      <c r="M467" s="109" t="str">
        <f>'Q100a-geral'!M1457</f>
        <v>x</v>
      </c>
      <c r="N467" s="109" t="str">
        <f>'Q100a-geral'!N1457</f>
        <v>x</v>
      </c>
      <c r="O467" s="109" t="str">
        <f>'Q100a-geral'!O1457</f>
        <v>x</v>
      </c>
      <c r="P467" s="109" t="str">
        <f>'Q100a-geral'!P1457</f>
        <v>x</v>
      </c>
      <c r="Q467" s="109" t="str">
        <f>'Q100a-geral'!Q1457</f>
        <v>x</v>
      </c>
      <c r="R467" s="109" t="str">
        <f>'Q100a-geral'!R1457</f>
        <v>x</v>
      </c>
      <c r="S467" s="109" t="str">
        <f>'Q100a-geral'!S1457</f>
        <v>só para pesquisa</v>
      </c>
      <c r="T467" s="109" t="str">
        <f>'Q100a-geral'!T1457</f>
        <v>x</v>
      </c>
      <c r="U467" s="109" t="str">
        <f>'Q100a-geral'!U1457</f>
        <v>x</v>
      </c>
      <c r="V467" s="109" t="str">
        <f>'Q100a-geral'!V1457</f>
        <v>só para pesquisa</v>
      </c>
      <c r="W467" s="109" t="str">
        <f>'Q100a-geral'!W1457</f>
        <v>x</v>
      </c>
      <c r="X467" s="109" t="str">
        <f>'Q100a-geral'!X1457</f>
        <v>x</v>
      </c>
      <c r="Y467" s="109" t="str">
        <f>'Q100a-geral'!Y1457</f>
        <v>x</v>
      </c>
      <c r="Z467" s="109" t="str">
        <f>'Q100a-geral'!Z1457</f>
        <v>x</v>
      </c>
      <c r="AA467" s="109" t="str">
        <f>'Q100a-geral'!AA1457</f>
        <v>x</v>
      </c>
      <c r="AB467" s="109" t="str">
        <f>'Q100a-geral'!AB1457</f>
        <v>x</v>
      </c>
      <c r="AC467" s="478">
        <f>'Q100a-geral'!AC1457</f>
        <v>261</v>
      </c>
      <c r="AD467" s="109" t="str">
        <f>'Q100a-geral'!AD1457</f>
        <v>x</v>
      </c>
      <c r="AE467" s="109" t="str">
        <f>'Q100a-geral'!AE1457</f>
        <v>x</v>
      </c>
      <c r="AF467" s="109" t="str">
        <f>'Q100a-geral'!AF1457</f>
        <v>x</v>
      </c>
      <c r="AG467" s="109" t="str">
        <f>'Q100a-geral'!AG1457</f>
        <v>x</v>
      </c>
      <c r="AH467" s="371">
        <f>'Q100a-geral'!AH1457</f>
        <v>279</v>
      </c>
      <c r="AI467" s="107" t="str">
        <f>'Q100a-geral'!AI1457</f>
        <v>x</v>
      </c>
      <c r="AJ467" s="107" t="str">
        <f>'Q100a-geral'!AJ1457</f>
        <v>x</v>
      </c>
      <c r="AK467" s="137">
        <f>'Q100a-geral'!AK1457</f>
        <v>0</v>
      </c>
      <c r="AL467" s="57" t="str">
        <f>'Q100a-geral'!AL1457</f>
        <v>x</v>
      </c>
      <c r="AM467" s="137">
        <f>'Q100a-geral'!AM1457</f>
        <v>0</v>
      </c>
      <c r="AN467" s="137">
        <f>'Q100a-geral'!AN1457</f>
        <v>0</v>
      </c>
      <c r="AO467" s="137">
        <f>'Q100a-geral'!AO1457</f>
        <v>0</v>
      </c>
      <c r="AP467" s="137">
        <f>'Q100a-geral'!AP1457</f>
        <v>0</v>
      </c>
      <c r="AQ467" s="137">
        <f>'Q100a-geral'!AQ1457</f>
        <v>0</v>
      </c>
      <c r="AR467" s="137"/>
      <c r="AS467" s="137"/>
      <c r="AT467" s="137"/>
      <c r="AU467" s="137"/>
      <c r="AV467" s="137" t="str">
        <f>'Q100a-geral'!AV1457</f>
        <v>x</v>
      </c>
      <c r="AW467" s="137"/>
      <c r="AX467" s="137"/>
      <c r="AY467" s="137"/>
      <c r="AZ467" s="137"/>
      <c r="BA467" s="137" t="str">
        <f>'Q100a-geral'!BA1457</f>
        <v>x</v>
      </c>
      <c r="BB467" s="239" t="str">
        <f>'Q100a-geral'!BB1457</f>
        <v>Sinalização semafóricax</v>
      </c>
      <c r="BC467" s="239" t="str">
        <f>'Q100a-geral'!BC1457</f>
        <v>Sinalização semafóricaxbenchmarking</v>
      </c>
      <c r="BD467" s="239" t="str">
        <f>'Q100a-geral'!BD1457</f>
        <v>Sinalização semafóricabenchmarking</v>
      </c>
      <c r="BE467" s="844" t="s">
        <v>1767</v>
      </c>
    </row>
    <row r="468" spans="1:57" s="1" customFormat="1" ht="33.75" x14ac:dyDescent="0.25">
      <c r="A468" s="275" t="str">
        <f>'Q100a-geral'!A1458</f>
        <v>8.5</v>
      </c>
      <c r="B468" s="54" t="str">
        <f>'Q100a-geral'!B1458</f>
        <v>Transporte convencional</v>
      </c>
      <c r="C468" s="230" t="str">
        <f>'Q100a-geral'!C1458</f>
        <v>x</v>
      </c>
      <c r="D468" s="37" t="str">
        <f>'Q100a-geral'!D1458</f>
        <v>IPK tcc</v>
      </c>
      <c r="E468" s="245" t="str">
        <f>'Q100a-geral'!E1458</f>
        <v>Belo Horizonte</v>
      </c>
      <c r="F468" s="632" t="str">
        <f>'Q100a-geral'!F1458</f>
        <v>índice de passageiros por quilômetro do transporte coletivo convencional (em n.º de passageiros por km)
obs.: resultados de 1993 a 1995 são os de dezembro de cada ano conforme BHTRANS(1996, p.2) e os demais são obtidos com fórmula</v>
      </c>
      <c r="G468" s="5" t="str">
        <f>'Q100a-geral'!G1458</f>
        <v>NP tcc(mês) / 
PQ tcc(mês)</v>
      </c>
      <c r="H468" s="173" t="str">
        <f>'Q100a-geral'!H1458</f>
        <v>x</v>
      </c>
      <c r="I468" s="167">
        <f>'Q100a-geral'!I1458</f>
        <v>1</v>
      </c>
      <c r="J468" s="107" t="str">
        <f>'Q100a-geral'!J1458</f>
        <v>x</v>
      </c>
      <c r="K468" s="107" t="str">
        <f>'Q100a-geral'!K1458</f>
        <v>x</v>
      </c>
      <c r="L468" s="107" t="str">
        <f>'Q100a-geral'!L1458</f>
        <v>x</v>
      </c>
      <c r="M468" s="84">
        <f>'Q100a-geral'!M1458</f>
        <v>2.95</v>
      </c>
      <c r="N468" s="84">
        <f>'Q100a-geral'!N1458</f>
        <v>3.22</v>
      </c>
      <c r="O468" s="84">
        <f>'Q100a-geral'!O1458</f>
        <v>3.11</v>
      </c>
      <c r="P468" s="83">
        <f>'Q100a-geral'!P1458</f>
        <v>3.0450636382446858</v>
      </c>
      <c r="Q468" s="83">
        <f>'Q100a-geral'!Q1458</f>
        <v>2.881640200097074</v>
      </c>
      <c r="R468" s="83">
        <f>'Q100a-geral'!R1458</f>
        <v>2.6066613260012885</v>
      </c>
      <c r="S468" s="649" t="str">
        <f>'Q100a-geral'!S1458</f>
        <v>só para pesquisa</v>
      </c>
      <c r="T468" s="83">
        <f>'Q100a-geral'!T1458</f>
        <v>2.4128755596973721</v>
      </c>
      <c r="U468" s="83">
        <f>'Q100a-geral'!U1458</f>
        <v>2.2363282417879344</v>
      </c>
      <c r="V468" s="107" t="str">
        <f>'Q100a-geral'!V1458</f>
        <v>só para pesquisa</v>
      </c>
      <c r="W468" s="83">
        <f>'Q100a-geral'!W1458</f>
        <v>2.072038760385968</v>
      </c>
      <c r="X468" s="83">
        <f>'Q100a-geral'!X1458</f>
        <v>2.0967144378688372</v>
      </c>
      <c r="Y468" s="83">
        <f>'Q100a-geral'!Y1458</f>
        <v>2.0823869873004748</v>
      </c>
      <c r="Z468" s="83">
        <f>'Q100a-geral'!Z1458</f>
        <v>2.1813061636376001</v>
      </c>
      <c r="AA468" s="83">
        <f>'Q100a-geral'!AA1458</f>
        <v>2.2462708926472423</v>
      </c>
      <c r="AB468" s="83">
        <f>'Q100a-geral'!AB1458</f>
        <v>2.2932298934597095</v>
      </c>
      <c r="AC468" s="83">
        <f>'Q100a-geral'!AC1458</f>
        <v>2.2880753360686863</v>
      </c>
      <c r="AD468" s="83">
        <f>'Q100a-geral'!AD1458</f>
        <v>2.262214313961747</v>
      </c>
      <c r="AE468" s="83">
        <f>'Q100a-geral'!AE1458</f>
        <v>2.2613529214419628</v>
      </c>
      <c r="AF468" s="83">
        <f>'Q100a-geral'!AF1458</f>
        <v>2.4463643654456222</v>
      </c>
      <c r="AG468" s="83">
        <f>'Q100a-geral'!AG1458</f>
        <v>2.4569652179674049</v>
      </c>
      <c r="AH468" s="83">
        <f>'Q100a-geral'!AH1458</f>
        <v>2.4441166210705987</v>
      </c>
      <c r="AI468" s="83" t="e">
        <f>'Q100a-geral'!AI1458</f>
        <v>#VALUE!</v>
      </c>
      <c r="AJ468" s="83" t="e">
        <f>'Q100a-geral'!AJ1458</f>
        <v>#VALUE!</v>
      </c>
      <c r="AK468" s="137" t="e">
        <f>'Q100a-geral'!AK1458</f>
        <v>#VALUE!</v>
      </c>
      <c r="AL468" s="215" t="str">
        <f>'Q100a-geral'!AL1458</f>
        <v>x</v>
      </c>
      <c r="AM468" s="137" t="str">
        <f>'Q100a-geral'!AM1458</f>
        <v>x</v>
      </c>
      <c r="AN468" s="137" t="str">
        <f>'Q100a-geral'!AN1458</f>
        <v>x</v>
      </c>
      <c r="AO468" s="137" t="str">
        <f>'Q100a-geral'!AO1458</f>
        <v>x</v>
      </c>
      <c r="AP468" s="137" t="str">
        <f>'Q100a-geral'!AP1458</f>
        <v>x</v>
      </c>
      <c r="AQ468" s="137" t="str">
        <f>'Q100a-geral'!AQ1458</f>
        <v>x</v>
      </c>
      <c r="AR468" s="137"/>
      <c r="AS468" s="137"/>
      <c r="AT468" s="137"/>
      <c r="AU468" s="137"/>
      <c r="AV468" s="137" t="str">
        <f>'Q100a-geral'!AV1458</f>
        <v>x</v>
      </c>
      <c r="AW468" s="137"/>
      <c r="AX468" s="137"/>
      <c r="AY468" s="137"/>
      <c r="AZ468" s="137"/>
      <c r="BA468" s="137" t="str">
        <f>'Q100a-geral'!BA1458</f>
        <v>x</v>
      </c>
      <c r="BB468" s="239" t="str">
        <f>'Q100a-geral'!BB1458</f>
        <v>Transporte convencionalx</v>
      </c>
      <c r="BC468" s="239" t="str">
        <f>'Q100a-geral'!BC1458</f>
        <v>Transporte convencionalxx</v>
      </c>
      <c r="BD468" s="239" t="str">
        <f>'Q100a-geral'!BD1458</f>
        <v>Transporte convencionalx</v>
      </c>
    </row>
    <row r="469" spans="1:57" s="1" customFormat="1" ht="76.5" customHeight="1" x14ac:dyDescent="0.25">
      <c r="A469" s="275" t="str">
        <f>'Q100a-geral'!A1459</f>
        <v>9.1</v>
      </c>
      <c r="B469" s="11" t="str">
        <f>'Q100a-geral'!B1459</f>
        <v>Acidentes de trânsito</v>
      </c>
      <c r="C469" s="57" t="str">
        <f>'Q100a-geral'!C1459</f>
        <v>x</v>
      </c>
      <c r="D469" s="322" t="str">
        <f>'Q100a-geral'!D1459</f>
        <v>IPQ</v>
      </c>
      <c r="E469" s="11" t="str">
        <f>'Q100a-geral'!E1459</f>
        <v>x</v>
      </c>
      <c r="F469" s="445" t="str">
        <f>'Q100a-geral'!F1459</f>
        <v>índice de periculosidade relativo à quilometragem rodada
obs.1: indicador recomendado como adotado internacionalmente em ANTP(2011a, p.44), obtido por meio da fórmula (Ms x 106) / (F x km rodados)
obs.2: indicador não apurado pela BHTrans</v>
      </c>
      <c r="G469" s="11" t="str">
        <f>'Q100a-geral'!G1459</f>
        <v>verbete
MFO</v>
      </c>
      <c r="H469" s="173" t="str">
        <f>'Q100a-geral'!H1459</f>
        <v>sigla/verbete</v>
      </c>
      <c r="I469" s="57" t="str">
        <f>'Q100a-geral'!I1459</f>
        <v>x</v>
      </c>
      <c r="J469" s="109" t="str">
        <f>'Q100a-geral'!J1459</f>
        <v>x</v>
      </c>
      <c r="K469" s="109" t="str">
        <f>'Q100a-geral'!K1459</f>
        <v>x</v>
      </c>
      <c r="L469" s="109" t="str">
        <f>'Q100a-geral'!L1459</f>
        <v>x</v>
      </c>
      <c r="M469" s="109" t="str">
        <f>'Q100a-geral'!M1459</f>
        <v>x</v>
      </c>
      <c r="N469" s="109" t="str">
        <f>'Q100a-geral'!N1459</f>
        <v>x</v>
      </c>
      <c r="O469" s="109" t="str">
        <f>'Q100a-geral'!O1459</f>
        <v>x</v>
      </c>
      <c r="P469" s="109" t="str">
        <f>'Q100a-geral'!P1459</f>
        <v>x</v>
      </c>
      <c r="Q469" s="109" t="str">
        <f>'Q100a-geral'!Q1459</f>
        <v>x</v>
      </c>
      <c r="R469" s="109" t="str">
        <f>'Q100a-geral'!R1459</f>
        <v>x</v>
      </c>
      <c r="S469" s="109" t="str">
        <f>'Q100a-geral'!S1459</f>
        <v>só para pesquisa</v>
      </c>
      <c r="T469" s="109" t="str">
        <f>'Q100a-geral'!T1459</f>
        <v>x</v>
      </c>
      <c r="U469" s="109" t="str">
        <f>'Q100a-geral'!U1459</f>
        <v>x</v>
      </c>
      <c r="V469" s="109" t="str">
        <f>'Q100a-geral'!V1459</f>
        <v>só para pesquisa</v>
      </c>
      <c r="W469" s="109" t="str">
        <f>'Q100a-geral'!W1459</f>
        <v>x</v>
      </c>
      <c r="X469" s="109" t="str">
        <f>'Q100a-geral'!X1459</f>
        <v>x</v>
      </c>
      <c r="Y469" s="109" t="str">
        <f>'Q100a-geral'!Y1459</f>
        <v>x</v>
      </c>
      <c r="Z469" s="109" t="str">
        <f>'Q100a-geral'!Z1459</f>
        <v>x</v>
      </c>
      <c r="AA469" s="109" t="str">
        <f>'Q100a-geral'!AA1459</f>
        <v>x</v>
      </c>
      <c r="AB469" s="109" t="str">
        <f>'Q100a-geral'!AB1459</f>
        <v>x</v>
      </c>
      <c r="AC469" s="109" t="str">
        <f>'Q100a-geral'!AC1459</f>
        <v>x</v>
      </c>
      <c r="AD469" s="109" t="str">
        <f>'Q100a-geral'!AD1459</f>
        <v>x</v>
      </c>
      <c r="AE469" s="109" t="str">
        <f>'Q100a-geral'!AE1459</f>
        <v>x</v>
      </c>
      <c r="AF469" s="109" t="str">
        <f>'Q100a-geral'!AF1459</f>
        <v>x</v>
      </c>
      <c r="AG469" s="109" t="str">
        <f>'Q100a-geral'!AG1459</f>
        <v>x</v>
      </c>
      <c r="AH469" s="109" t="str">
        <f>'Q100a-geral'!AH1459</f>
        <v>x</v>
      </c>
      <c r="AI469" s="109" t="str">
        <f>'Q100a-geral'!AI1459</f>
        <v>x</v>
      </c>
      <c r="AJ469" s="109" t="str">
        <f>'Q100a-geral'!AJ1459</f>
        <v>x</v>
      </c>
      <c r="AK469" s="137" t="str">
        <f>'Q100a-geral'!AK1459</f>
        <v>x</v>
      </c>
      <c r="AL469" s="167" t="str">
        <f>'Q100a-geral'!AL1459</f>
        <v>x</v>
      </c>
      <c r="AM469" s="137" t="str">
        <f>'Q100a-geral'!AM1459</f>
        <v>x</v>
      </c>
      <c r="AN469" s="137" t="str">
        <f>'Q100a-geral'!AN1459</f>
        <v>x</v>
      </c>
      <c r="AO469" s="137" t="str">
        <f>'Q100a-geral'!AO1459</f>
        <v>x</v>
      </c>
      <c r="AP469" s="137" t="str">
        <f>'Q100a-geral'!AP1459</f>
        <v>x</v>
      </c>
      <c r="AQ469" s="137" t="str">
        <f>'Q100a-geral'!AQ1459</f>
        <v>x</v>
      </c>
      <c r="AR469" s="137"/>
      <c r="AS469" s="137"/>
      <c r="AT469" s="137"/>
      <c r="AU469" s="137"/>
      <c r="AV469" s="137" t="str">
        <f>'Q100a-geral'!AV1459</f>
        <v>x</v>
      </c>
      <c r="AW469" s="137"/>
      <c r="AX469" s="137"/>
      <c r="AY469" s="137"/>
      <c r="AZ469" s="137"/>
      <c r="BA469" s="137" t="str">
        <f>'Q100a-geral'!BA1459</f>
        <v>x</v>
      </c>
      <c r="BB469" s="239" t="str">
        <f>'Q100a-geral'!BB1459</f>
        <v>Acidentes de trânsitox</v>
      </c>
      <c r="BC469" s="239" t="str">
        <f>'Q100a-geral'!BC1459</f>
        <v>Acidentes de trânsitoxsigla/verbete</v>
      </c>
      <c r="BD469" s="239" t="str">
        <f>'Q100a-geral'!BD1459</f>
        <v>Acidentes de trânsitosigla/verbete</v>
      </c>
    </row>
    <row r="470" spans="1:57" s="1" customFormat="1" ht="76.5" customHeight="1" x14ac:dyDescent="0.25">
      <c r="A470" s="275" t="str">
        <f>'Q100a-geral'!A1460</f>
        <v>9.1</v>
      </c>
      <c r="B470" s="11" t="str">
        <f>'Q100a-geral'!B1460</f>
        <v>Acidentes de trânsito</v>
      </c>
      <c r="C470" s="57" t="str">
        <f>'Q100a-geral'!C1460</f>
        <v>x</v>
      </c>
      <c r="D470" s="322" t="str">
        <f>'Q100a-geral'!D1460</f>
        <v>IPV</v>
      </c>
      <c r="E470" s="11" t="str">
        <f>'Q100a-geral'!E1460</f>
        <v>x</v>
      </c>
      <c r="F470" s="445" t="str">
        <f>'Q100a-geral'!F1460</f>
        <v>índice de periculosidade relativo a trechos de via
obs.1: indicador recomendado em ANTP(2011a, p.43), obtido por meio da fómula (AV x 106) / (VDMx365xL)
obs.2: indicador não apurado pela BHTrans</v>
      </c>
      <c r="G470" s="11" t="str">
        <f>'Q100a-geral'!G1460</f>
        <v>verbete
MFO</v>
      </c>
      <c r="H470" s="173" t="str">
        <f>'Q100a-geral'!H1460</f>
        <v>sigla/verbete</v>
      </c>
      <c r="I470" s="57" t="str">
        <f>'Q100a-geral'!I1460</f>
        <v>x</v>
      </c>
      <c r="J470" s="109" t="str">
        <f>'Q100a-geral'!J1460</f>
        <v>x</v>
      </c>
      <c r="K470" s="109" t="str">
        <f>'Q100a-geral'!K1460</f>
        <v>x</v>
      </c>
      <c r="L470" s="109" t="str">
        <f>'Q100a-geral'!L1460</f>
        <v>x</v>
      </c>
      <c r="M470" s="109" t="str">
        <f>'Q100a-geral'!M1460</f>
        <v>x</v>
      </c>
      <c r="N470" s="109" t="str">
        <f>'Q100a-geral'!N1460</f>
        <v>x</v>
      </c>
      <c r="O470" s="109" t="str">
        <f>'Q100a-geral'!O1460</f>
        <v>x</v>
      </c>
      <c r="P470" s="109" t="str">
        <f>'Q100a-geral'!P1460</f>
        <v>x</v>
      </c>
      <c r="Q470" s="109" t="str">
        <f>'Q100a-geral'!Q1460</f>
        <v>x</v>
      </c>
      <c r="R470" s="109" t="str">
        <f>'Q100a-geral'!R1460</f>
        <v>x</v>
      </c>
      <c r="S470" s="109" t="str">
        <f>'Q100a-geral'!S1460</f>
        <v>só para pesquisa</v>
      </c>
      <c r="T470" s="109" t="str">
        <f>'Q100a-geral'!T1460</f>
        <v>x</v>
      </c>
      <c r="U470" s="109" t="str">
        <f>'Q100a-geral'!U1460</f>
        <v>x</v>
      </c>
      <c r="V470" s="109" t="str">
        <f>'Q100a-geral'!V1460</f>
        <v>só para pesquisa</v>
      </c>
      <c r="W470" s="109" t="str">
        <f>'Q100a-geral'!W1460</f>
        <v>x</v>
      </c>
      <c r="X470" s="109" t="str">
        <f>'Q100a-geral'!X1460</f>
        <v>x</v>
      </c>
      <c r="Y470" s="109" t="str">
        <f>'Q100a-geral'!Y1460</f>
        <v>x</v>
      </c>
      <c r="Z470" s="109" t="str">
        <f>'Q100a-geral'!Z1460</f>
        <v>x</v>
      </c>
      <c r="AA470" s="109" t="str">
        <f>'Q100a-geral'!AA1460</f>
        <v>x</v>
      </c>
      <c r="AB470" s="109" t="str">
        <f>'Q100a-geral'!AB1460</f>
        <v>x</v>
      </c>
      <c r="AC470" s="109" t="str">
        <f>'Q100a-geral'!AC1460</f>
        <v>x</v>
      </c>
      <c r="AD470" s="109" t="str">
        <f>'Q100a-geral'!AD1460</f>
        <v>x</v>
      </c>
      <c r="AE470" s="109" t="str">
        <f>'Q100a-geral'!AE1460</f>
        <v>x</v>
      </c>
      <c r="AF470" s="109" t="str">
        <f>'Q100a-geral'!AF1460</f>
        <v>x</v>
      </c>
      <c r="AG470" s="109" t="str">
        <f>'Q100a-geral'!AG1460</f>
        <v>x</v>
      </c>
      <c r="AH470" s="109" t="str">
        <f>'Q100a-geral'!AH1460</f>
        <v>x</v>
      </c>
      <c r="AI470" s="109" t="str">
        <f>'Q100a-geral'!AI1460</f>
        <v>x</v>
      </c>
      <c r="AJ470" s="109" t="str">
        <f>'Q100a-geral'!AJ1460</f>
        <v>x</v>
      </c>
      <c r="AK470" s="137" t="str">
        <f>'Q100a-geral'!AK1460</f>
        <v>x</v>
      </c>
      <c r="AL470" s="167" t="str">
        <f>'Q100a-geral'!AL1460</f>
        <v>x</v>
      </c>
      <c r="AM470" s="137" t="str">
        <f>'Q100a-geral'!AM1460</f>
        <v>x</v>
      </c>
      <c r="AN470" s="137" t="str">
        <f>'Q100a-geral'!AN1460</f>
        <v>x</v>
      </c>
      <c r="AO470" s="137" t="str">
        <f>'Q100a-geral'!AO1460</f>
        <v>x</v>
      </c>
      <c r="AP470" s="137" t="str">
        <f>'Q100a-geral'!AP1460</f>
        <v>x</v>
      </c>
      <c r="AQ470" s="137" t="str">
        <f>'Q100a-geral'!AQ1460</f>
        <v>x</v>
      </c>
      <c r="AR470" s="137"/>
      <c r="AS470" s="137"/>
      <c r="AT470" s="137"/>
      <c r="AU470" s="137"/>
      <c r="AV470" s="137" t="str">
        <f>'Q100a-geral'!AV1460</f>
        <v>x</v>
      </c>
      <c r="AW470" s="137"/>
      <c r="AX470" s="137"/>
      <c r="AY470" s="137"/>
      <c r="AZ470" s="137"/>
      <c r="BA470" s="137" t="str">
        <f>'Q100a-geral'!BA1460</f>
        <v>x</v>
      </c>
      <c r="BB470" s="239" t="str">
        <f>'Q100a-geral'!BB1460</f>
        <v>Acidentes de trânsitox</v>
      </c>
      <c r="BC470" s="239" t="str">
        <f>'Q100a-geral'!BC1460</f>
        <v>Acidentes de trânsitoxsigla/verbete</v>
      </c>
      <c r="BD470" s="239" t="str">
        <f>'Q100a-geral'!BD1460</f>
        <v>Acidentes de trânsitosigla/verbete</v>
      </c>
    </row>
    <row r="471" spans="1:57" s="1" customFormat="1" ht="114.75" customHeight="1" x14ac:dyDescent="0.25">
      <c r="A471" s="275" t="str">
        <f>'Q100a-geral'!A1465</f>
        <v>1.2</v>
      </c>
      <c r="B471" s="54" t="str">
        <f>'Q100a-geral'!B1465</f>
        <v>Atendimento ao usuário em geral</v>
      </c>
      <c r="C471" s="57" t="str">
        <f>'Q100a-geral'!C1465</f>
        <v>x</v>
      </c>
      <c r="D471" s="9" t="str">
        <f>'Q100a-geral'!D1465</f>
        <v>IRA</v>
      </c>
      <c r="E471" s="5" t="str">
        <f>'Q100a-geral'!E1465</f>
        <v>x</v>
      </c>
      <c r="F471" s="445" t="str">
        <f>'Q100a-geral'!F1465</f>
        <v>índice de reclamações contra agentes de trânsito
obs.: calculado por meio da fórmula IRA = n.º de reclamações contra agentes de trânsito /  n.º de agentes de trânsito em operação, medido mensalmente, com o objetivo de "aferir o grau de satusfação dos clientes em relação à ação do agente de trânsito", recomendado em ANTP(2011a, p.20)</v>
      </c>
      <c r="G471" s="5" t="str">
        <f>'Q100a-geral'!G1465</f>
        <v>consulte:
Rat/R</v>
      </c>
      <c r="H471" s="169" t="str">
        <f>'Q100a-geral'!H1465</f>
        <v>sigla/verbete</v>
      </c>
      <c r="I471" s="57" t="str">
        <f>'Q100a-geral'!I1465</f>
        <v>x</v>
      </c>
      <c r="J471" s="109" t="str">
        <f>'Q100a-geral'!J1465</f>
        <v>x</v>
      </c>
      <c r="K471" s="110" t="str">
        <f>'Q100a-geral'!K1465</f>
        <v>x</v>
      </c>
      <c r="L471" s="110" t="str">
        <f>'Q100a-geral'!L1465</f>
        <v>x</v>
      </c>
      <c r="M471" s="110" t="str">
        <f>'Q100a-geral'!M1465</f>
        <v>x</v>
      </c>
      <c r="N471" s="110" t="str">
        <f>'Q100a-geral'!N1465</f>
        <v>x</v>
      </c>
      <c r="O471" s="110" t="str">
        <f>'Q100a-geral'!O1465</f>
        <v>x</v>
      </c>
      <c r="P471" s="110" t="str">
        <f>'Q100a-geral'!P1465</f>
        <v>x</v>
      </c>
      <c r="Q471" s="110" t="str">
        <f>'Q100a-geral'!Q1465</f>
        <v>x</v>
      </c>
      <c r="R471" s="110" t="str">
        <f>'Q100a-geral'!R1465</f>
        <v>x</v>
      </c>
      <c r="S471" s="109" t="str">
        <f>'Q100a-geral'!S1465</f>
        <v>só para pesquisa</v>
      </c>
      <c r="T471" s="110" t="str">
        <f>'Q100a-geral'!T1465</f>
        <v>x</v>
      </c>
      <c r="U471" s="110" t="str">
        <f>'Q100a-geral'!U1465</f>
        <v>x</v>
      </c>
      <c r="V471" s="107" t="str">
        <f>'Q100a-geral'!V1465</f>
        <v>só para pesquisa</v>
      </c>
      <c r="W471" s="110" t="str">
        <f>'Q100a-geral'!W1465</f>
        <v>x</v>
      </c>
      <c r="X471" s="110" t="str">
        <f>'Q100a-geral'!X1465</f>
        <v>x</v>
      </c>
      <c r="Y471" s="110" t="str">
        <f>'Q100a-geral'!Y1465</f>
        <v>x</v>
      </c>
      <c r="Z471" s="110" t="str">
        <f>'Q100a-geral'!Z1465</f>
        <v>x</v>
      </c>
      <c r="AA471" s="110" t="str">
        <f>'Q100a-geral'!AA1465</f>
        <v>x</v>
      </c>
      <c r="AB471" s="110" t="str">
        <f>'Q100a-geral'!AB1465</f>
        <v>x</v>
      </c>
      <c r="AC471" s="110" t="str">
        <f>'Q100a-geral'!AC1465</f>
        <v>x</v>
      </c>
      <c r="AD471" s="110" t="str">
        <f>'Q100a-geral'!AD1465</f>
        <v>x</v>
      </c>
      <c r="AE471" s="110" t="str">
        <f>'Q100a-geral'!AE1465</f>
        <v>x</v>
      </c>
      <c r="AF471" s="110" t="str">
        <f>'Q100a-geral'!AF1465</f>
        <v>x</v>
      </c>
      <c r="AG471" s="110" t="str">
        <f>'Q100a-geral'!AG1465</f>
        <v>x</v>
      </c>
      <c r="AH471" s="110" t="str">
        <f>'Q100a-geral'!AH1465</f>
        <v>x</v>
      </c>
      <c r="AI471" s="110" t="str">
        <f>'Q100a-geral'!AI1465</f>
        <v>x</v>
      </c>
      <c r="AJ471" s="110" t="str">
        <f>'Q100a-geral'!AJ1465</f>
        <v>x</v>
      </c>
      <c r="AK471" s="137" t="str">
        <f>'Q100a-geral'!AK1465</f>
        <v>x</v>
      </c>
      <c r="AL471" s="168" t="str">
        <f>'Q100a-geral'!AL1465</f>
        <v>x</v>
      </c>
      <c r="AM471" s="137" t="str">
        <f>'Q100a-geral'!AM1465</f>
        <v>x</v>
      </c>
      <c r="AN471" s="137" t="str">
        <f>'Q100a-geral'!AN1465</f>
        <v>x</v>
      </c>
      <c r="AO471" s="137" t="str">
        <f>'Q100a-geral'!AO1465</f>
        <v>x</v>
      </c>
      <c r="AP471" s="137" t="str">
        <f>'Q100a-geral'!AP1465</f>
        <v>x</v>
      </c>
      <c r="AQ471" s="137" t="str">
        <f>'Q100a-geral'!AQ1465</f>
        <v>x</v>
      </c>
      <c r="AR471" s="137"/>
      <c r="AS471" s="137"/>
      <c r="AT471" s="137"/>
      <c r="AU471" s="137"/>
      <c r="AV471" s="137" t="str">
        <f>'Q100a-geral'!AV1465</f>
        <v>x</v>
      </c>
      <c r="AW471" s="137"/>
      <c r="AX471" s="137"/>
      <c r="AY471" s="137"/>
      <c r="AZ471" s="137"/>
      <c r="BA471" s="137" t="str">
        <f>'Q100a-geral'!BA1465</f>
        <v>x</v>
      </c>
      <c r="BB471" s="239" t="str">
        <f>'Q100a-geral'!BB1465</f>
        <v>Atendimento ao usuário em geralx</v>
      </c>
      <c r="BC471" s="239" t="str">
        <f>'Q100a-geral'!BC1465</f>
        <v>Atendimento ao usuário em geralxsigla/verbete</v>
      </c>
      <c r="BD471" s="239" t="str">
        <f>'Q100a-geral'!BD1465</f>
        <v>Atendimento ao usuário em geralsigla/verbete</v>
      </c>
    </row>
    <row r="472" spans="1:57" ht="147.75" customHeight="1" x14ac:dyDescent="0.25">
      <c r="A472" s="275" t="str">
        <f>'Q100a-geral'!A1467</f>
        <v>9.2</v>
      </c>
      <c r="B472" s="53" t="str">
        <f>'Q100a-geral'!B1467</f>
        <v>Estacionamento</v>
      </c>
      <c r="C472" s="229" t="str">
        <f>'Q100a-geral'!C1467</f>
        <v>x</v>
      </c>
      <c r="D472" s="240" t="str">
        <f>'Q100a-geral'!D1467</f>
        <v>IRE</v>
      </c>
      <c r="E472" s="252" t="str">
        <f>'Q100a-geral'!E1467</f>
        <v>x</v>
      </c>
      <c r="F472" s="446" t="str">
        <f>'Q100a-geral'!F1467</f>
        <v>índice de renovação do estacionamento rotativo, expresso em percentual de vagas ocupadas
obs.1: "objetivo: medir a relação de vagas adquiridas de estacionamento rotativo com a disponibilidade de vagas rotativas; fórmula = (n.º de comprovantes de vagas adquiridas / (n.º de vagas rotativas nos dias úteis x dia útil equivalente)) x 100; recomendado em ANTP(2011a, p.59)
obs.1: indicador não apurado pela BHTrans</v>
      </c>
      <c r="G472" s="188" t="str">
        <f>'Q100a-geral'!G1467</f>
        <v>verbete
MFO</v>
      </c>
      <c r="H472" s="168" t="str">
        <f>'Q100a-geral'!H1467</f>
        <v>sigla/verbete</v>
      </c>
      <c r="I472" s="167" t="str">
        <f>'Q100a-geral'!I1467</f>
        <v>x</v>
      </c>
      <c r="J472" s="107" t="str">
        <f>'Q100a-geral'!J1467</f>
        <v>x</v>
      </c>
      <c r="K472" s="11" t="str">
        <f>'Q100a-geral'!K1467</f>
        <v>x</v>
      </c>
      <c r="L472" s="11" t="str">
        <f>'Q100a-geral'!L1467</f>
        <v>x</v>
      </c>
      <c r="M472" s="11" t="str">
        <f>'Q100a-geral'!M1467</f>
        <v>x</v>
      </c>
      <c r="N472" s="11" t="str">
        <f>'Q100a-geral'!N1467</f>
        <v>x</v>
      </c>
      <c r="O472" s="11" t="str">
        <f>'Q100a-geral'!O1467</f>
        <v>x</v>
      </c>
      <c r="P472" s="11" t="str">
        <f>'Q100a-geral'!P1467</f>
        <v>x</v>
      </c>
      <c r="Q472" s="11" t="str">
        <f>'Q100a-geral'!Q1467</f>
        <v>x</v>
      </c>
      <c r="R472" s="11" t="str">
        <f>'Q100a-geral'!R1467</f>
        <v>x</v>
      </c>
      <c r="S472" s="107" t="str">
        <f>'Q100a-geral'!S1467</f>
        <v>só para pesquisa</v>
      </c>
      <c r="T472" s="11" t="str">
        <f>'Q100a-geral'!T1467</f>
        <v>x</v>
      </c>
      <c r="U472" s="11" t="str">
        <f>'Q100a-geral'!U1467</f>
        <v>x</v>
      </c>
      <c r="V472" s="107" t="str">
        <f>'Q100a-geral'!V1467</f>
        <v>só para pesquisa</v>
      </c>
      <c r="W472" s="11" t="str">
        <f>'Q100a-geral'!W1467</f>
        <v>x</v>
      </c>
      <c r="X472" s="11" t="str">
        <f>'Q100a-geral'!X1467</f>
        <v>x</v>
      </c>
      <c r="Y472" s="11" t="str">
        <f>'Q100a-geral'!Y1467</f>
        <v>x</v>
      </c>
      <c r="Z472" s="11" t="str">
        <f>'Q100a-geral'!Z1467</f>
        <v>x</v>
      </c>
      <c r="AA472" s="11" t="str">
        <f>'Q100a-geral'!AA1467</f>
        <v>x</v>
      </c>
      <c r="AB472" s="11" t="str">
        <f>'Q100a-geral'!AB1467</f>
        <v>x</v>
      </c>
      <c r="AC472" s="11" t="str">
        <f>'Q100a-geral'!AC1467</f>
        <v>x</v>
      </c>
      <c r="AD472" s="11" t="str">
        <f>'Q100a-geral'!AD1467</f>
        <v>x</v>
      </c>
      <c r="AE472" s="11" t="str">
        <f>'Q100a-geral'!AE1467</f>
        <v>x</v>
      </c>
      <c r="AF472" s="11" t="str">
        <f>'Q100a-geral'!AF1467</f>
        <v>x</v>
      </c>
      <c r="AG472" s="11" t="str">
        <f>'Q100a-geral'!AG1467</f>
        <v>x</v>
      </c>
      <c r="AH472" s="11" t="str">
        <f>'Q100a-geral'!AH1467</f>
        <v>x</v>
      </c>
      <c r="AI472" s="11" t="str">
        <f>'Q100a-geral'!AI1467</f>
        <v>x</v>
      </c>
      <c r="AJ472" s="11" t="str">
        <f>'Q100a-geral'!AJ1467</f>
        <v>x</v>
      </c>
      <c r="AK472" s="137" t="str">
        <f>'Q100a-geral'!AK1467</f>
        <v>x</v>
      </c>
      <c r="AL472" s="173" t="str">
        <f>'Q100a-geral'!AL1467</f>
        <v>x</v>
      </c>
      <c r="AM472" s="137" t="str">
        <f>'Q100a-geral'!AM1467</f>
        <v>x</v>
      </c>
      <c r="AN472" s="137" t="str">
        <f>'Q100a-geral'!AN1467</f>
        <v>x</v>
      </c>
      <c r="AO472" s="137" t="str">
        <f>'Q100a-geral'!AO1467</f>
        <v>x</v>
      </c>
      <c r="AP472" s="137" t="str">
        <f>'Q100a-geral'!AP1467</f>
        <v>x</v>
      </c>
      <c r="AQ472" s="137" t="str">
        <f>'Q100a-geral'!AQ1467</f>
        <v>x</v>
      </c>
      <c r="AR472" s="137"/>
      <c r="AS472" s="137"/>
      <c r="AT472" s="137"/>
      <c r="AU472" s="137"/>
      <c r="AV472" s="137" t="str">
        <f>'Q100a-geral'!AV1467</f>
        <v>x</v>
      </c>
      <c r="AW472" s="137"/>
      <c r="AX472" s="137"/>
      <c r="AY472" s="137"/>
      <c r="AZ472" s="137"/>
      <c r="BA472" s="137" t="str">
        <f>'Q100a-geral'!BA1467</f>
        <v>x</v>
      </c>
      <c r="BB472" s="239" t="str">
        <f>'Q100a-geral'!BB1467</f>
        <v>Estacionamentox</v>
      </c>
      <c r="BC472" s="239" t="str">
        <f>'Q100a-geral'!BC1467</f>
        <v>Estacionamentoxsigla/verbete</v>
      </c>
      <c r="BD472" s="239" t="str">
        <f>'Q100a-geral'!BD1467</f>
        <v>Estacionamentosigla/verbete</v>
      </c>
    </row>
    <row r="473" spans="1:57" s="1" customFormat="1" ht="63" customHeight="1" x14ac:dyDescent="0.25">
      <c r="A473" s="275" t="str">
        <f>'Q100a-geral'!A1464</f>
        <v>1.2</v>
      </c>
      <c r="B473" s="54" t="str">
        <f>'Q100a-geral'!B1464</f>
        <v>Atendimento ao usuário em geral</v>
      </c>
      <c r="C473" s="57" t="str">
        <f>'Q100a-geral'!C1464</f>
        <v>x</v>
      </c>
      <c r="D473" s="9" t="str">
        <f>'Q100a-geral'!D1464</f>
        <v>IR</v>
      </c>
      <c r="E473" s="5" t="str">
        <f>'Q100a-geral'!E1464</f>
        <v>Belo Horizonte</v>
      </c>
      <c r="F473" s="445" t="str">
        <f>'Q100a-geral'!F1464</f>
        <v>índice de reclamações, expresso em número de reclamações por milhão de passageiros
pagantes.
obs.: indicador recomendado em ANTP(2011b, p.23)</v>
      </c>
      <c r="G473" s="5" t="str">
        <f>'Q100a-geral'!G1464</f>
        <v>( n.º de reclamações /  n.º de passageiros pagantes) x 1.000.000</v>
      </c>
      <c r="H473" s="169" t="str">
        <f>'Q100a-geral'!H1464</f>
        <v>ainda não incorporado ao SisMob-BH</v>
      </c>
      <c r="I473" s="57">
        <f>'Q100a-geral'!I1464</f>
        <v>1</v>
      </c>
      <c r="J473" s="109" t="str">
        <f>'Q100a-geral'!J1464</f>
        <v>x</v>
      </c>
      <c r="K473" s="110" t="str">
        <f>'Q100a-geral'!K1464</f>
        <v>x</v>
      </c>
      <c r="L473" s="110" t="str">
        <f>'Q100a-geral'!L1464</f>
        <v>x</v>
      </c>
      <c r="M473" s="110" t="str">
        <f>'Q100a-geral'!M1464</f>
        <v>x</v>
      </c>
      <c r="N473" s="110" t="str">
        <f>'Q100a-geral'!N1464</f>
        <v>x</v>
      </c>
      <c r="O473" s="110" t="str">
        <f>'Q100a-geral'!O1464</f>
        <v>x</v>
      </c>
      <c r="P473" s="110" t="str">
        <f>'Q100a-geral'!P1464</f>
        <v>x</v>
      </c>
      <c r="Q473" s="110" t="str">
        <f>'Q100a-geral'!Q1464</f>
        <v>x</v>
      </c>
      <c r="R473" s="110" t="str">
        <f>'Q100a-geral'!R1464</f>
        <v>x</v>
      </c>
      <c r="S473" s="109" t="str">
        <f>'Q100a-geral'!S1464</f>
        <v>só para pesquisa</v>
      </c>
      <c r="T473" s="110" t="str">
        <f>'Q100a-geral'!T1464</f>
        <v>x</v>
      </c>
      <c r="U473" s="110" t="str">
        <f>'Q100a-geral'!U1464</f>
        <v>x</v>
      </c>
      <c r="V473" s="107" t="str">
        <f>'Q100a-geral'!V1464</f>
        <v>só para pesquisa</v>
      </c>
      <c r="W473" s="110" t="str">
        <f>'Q100a-geral'!W1464</f>
        <v>x</v>
      </c>
      <c r="X473" s="110" t="str">
        <f>'Q100a-geral'!X1464</f>
        <v>x</v>
      </c>
      <c r="Y473" s="110" t="str">
        <f>'Q100a-geral'!Y1464</f>
        <v>x</v>
      </c>
      <c r="Z473" s="110" t="str">
        <f>'Q100a-geral'!Z1464</f>
        <v>x</v>
      </c>
      <c r="AA473" s="110" t="str">
        <f>'Q100a-geral'!AA1464</f>
        <v>x</v>
      </c>
      <c r="AB473" s="110" t="str">
        <f>'Q100a-geral'!AB1464</f>
        <v>x</v>
      </c>
      <c r="AC473" s="110" t="str">
        <f>'Q100a-geral'!AC1464</f>
        <v>x</v>
      </c>
      <c r="AD473" s="110" t="str">
        <f>'Q100a-geral'!AD1464</f>
        <v>x</v>
      </c>
      <c r="AE473" s="110" t="str">
        <f>'Q100a-geral'!AE1464</f>
        <v>x</v>
      </c>
      <c r="AF473" s="110" t="str">
        <f>'Q100a-geral'!AF1464</f>
        <v>x</v>
      </c>
      <c r="AG473" s="110" t="str">
        <f>'Q100a-geral'!AG1464</f>
        <v>x</v>
      </c>
      <c r="AH473" s="110" t="str">
        <f>'Q100a-geral'!AH1464</f>
        <v>x</v>
      </c>
      <c r="AI473" s="110" t="str">
        <f>'Q100a-geral'!AI1464</f>
        <v>x</v>
      </c>
      <c r="AJ473" s="110" t="str">
        <f>'Q100a-geral'!AJ1464</f>
        <v>x</v>
      </c>
      <c r="AK473" s="137" t="str">
        <f>'Q100a-geral'!AK1464</f>
        <v>x</v>
      </c>
      <c r="AL473" s="168" t="str">
        <f>'Q100a-geral'!AL1464</f>
        <v>x</v>
      </c>
      <c r="AM473" s="137" t="str">
        <f>'Q100a-geral'!AM1464</f>
        <v>x</v>
      </c>
      <c r="AN473" s="137" t="str">
        <f>'Q100a-geral'!AN1464</f>
        <v>x</v>
      </c>
      <c r="AO473" s="137" t="str">
        <f>'Q100a-geral'!AO1464</f>
        <v>x</v>
      </c>
      <c r="AP473" s="137" t="str">
        <f>'Q100a-geral'!AP1464</f>
        <v>x</v>
      </c>
      <c r="AQ473" s="137" t="str">
        <f>'Q100a-geral'!AQ1464</f>
        <v>x</v>
      </c>
      <c r="AR473" s="137"/>
      <c r="AS473" s="137"/>
      <c r="AT473" s="137"/>
      <c r="AU473" s="137"/>
      <c r="AV473" s="137" t="str">
        <f>'Q100a-geral'!AV1464</f>
        <v>x</v>
      </c>
      <c r="AW473" s="137"/>
      <c r="AX473" s="137"/>
      <c r="AY473" s="137"/>
      <c r="AZ473" s="137"/>
      <c r="BA473" s="137" t="str">
        <f>'Q100a-geral'!BA1464</f>
        <v>x</v>
      </c>
      <c r="BB473" s="239" t="str">
        <f>'Q100a-geral'!BB1464</f>
        <v>Atendimento ao usuário em geralx</v>
      </c>
      <c r="BC473" s="239" t="str">
        <f>'Q100a-geral'!BC1464</f>
        <v>Atendimento ao usuário em geralxainda não incorporado ao SisMob-BH</v>
      </c>
      <c r="BD473" s="239" t="str">
        <f>'Q100a-geral'!BD1464</f>
        <v>Atendimento ao usuário em geralainda não incorporado ao SisMob-BH</v>
      </c>
    </row>
    <row r="474" spans="1:57" s="1" customFormat="1" ht="130.5" customHeight="1" x14ac:dyDescent="0.25">
      <c r="A474" s="275" t="str">
        <f>'Q100a-geral'!A1468</f>
        <v>5.4</v>
      </c>
      <c r="B474" s="54" t="str">
        <f>'Q100a-geral'!B1468</f>
        <v>Resíduos e efluentes</v>
      </c>
      <c r="C474" s="230" t="str">
        <f>'Q100a-geral'!C1468</f>
        <v>x</v>
      </c>
      <c r="D474" s="322" t="str">
        <f>'Q100a-geral'!D1468</f>
        <v>IRS</v>
      </c>
      <c r="E474" s="11" t="str">
        <f>'Q100a-geral'!E1468</f>
        <v>x</v>
      </c>
      <c r="F474" s="445" t="str">
        <f>'Q100a-geral'!F1468</f>
        <v>"índice de disposição de resíduos sólidos
obs.1: objetivo: avaliar o tratamento dados aos resíduos sólidos gerados pelos processos da organização. / fórmula: IRL = (massa em kg de resíduos sólidos dispostos de modo ambientalmente correto com destinação conforme legislação ambiental/massa total em kg de resíduos sólidos gerados pela organização) x 100 / observações: Exemplos: pneus, sucata de manutenção etc."; recomendado em ANTP(2011b, p.33)
obs.2: indicador não apurado pela BHTrans</v>
      </c>
      <c r="G474" s="11" t="str">
        <f>'Q100a-geral'!G1468</f>
        <v>verbete
MFO</v>
      </c>
      <c r="H474" s="173" t="str">
        <f>'Q100a-geral'!H1468</f>
        <v>sigla/verbete</v>
      </c>
      <c r="I474" s="57" t="str">
        <f>'Q100a-geral'!I1468</f>
        <v>x</v>
      </c>
      <c r="J474" s="109" t="str">
        <f>'Q100a-geral'!J1468</f>
        <v>x</v>
      </c>
      <c r="K474" s="109" t="str">
        <f>'Q100a-geral'!K1468</f>
        <v>x</v>
      </c>
      <c r="L474" s="109" t="str">
        <f>'Q100a-geral'!L1468</f>
        <v>x</v>
      </c>
      <c r="M474" s="109" t="str">
        <f>'Q100a-geral'!M1468</f>
        <v>x</v>
      </c>
      <c r="N474" s="109" t="str">
        <f>'Q100a-geral'!N1468</f>
        <v>x</v>
      </c>
      <c r="O474" s="109" t="str">
        <f>'Q100a-geral'!O1468</f>
        <v>x</v>
      </c>
      <c r="P474" s="109" t="str">
        <f>'Q100a-geral'!P1468</f>
        <v>x</v>
      </c>
      <c r="Q474" s="109" t="str">
        <f>'Q100a-geral'!Q1468</f>
        <v>x</v>
      </c>
      <c r="R474" s="109" t="str">
        <f>'Q100a-geral'!R1468</f>
        <v>x</v>
      </c>
      <c r="S474" s="109" t="str">
        <f>'Q100a-geral'!S1468</f>
        <v>só para pesquisa</v>
      </c>
      <c r="T474" s="109" t="str">
        <f>'Q100a-geral'!T1468</f>
        <v>x</v>
      </c>
      <c r="U474" s="109" t="str">
        <f>'Q100a-geral'!U1468</f>
        <v>x</v>
      </c>
      <c r="V474" s="109" t="str">
        <f>'Q100a-geral'!V1468</f>
        <v>só para pesquisa</v>
      </c>
      <c r="W474" s="109" t="str">
        <f>'Q100a-geral'!W1468</f>
        <v>x</v>
      </c>
      <c r="X474" s="109" t="str">
        <f>'Q100a-geral'!X1468</f>
        <v>x</v>
      </c>
      <c r="Y474" s="109" t="str">
        <f>'Q100a-geral'!Y1468</f>
        <v>x</v>
      </c>
      <c r="Z474" s="109" t="str">
        <f>'Q100a-geral'!Z1468</f>
        <v>x</v>
      </c>
      <c r="AA474" s="109" t="str">
        <f>'Q100a-geral'!AA1468</f>
        <v>x</v>
      </c>
      <c r="AB474" s="109" t="str">
        <f>'Q100a-geral'!AB1468</f>
        <v>x</v>
      </c>
      <c r="AC474" s="109" t="str">
        <f>'Q100a-geral'!AC1468</f>
        <v>x</v>
      </c>
      <c r="AD474" s="109" t="str">
        <f>'Q100a-geral'!AD1468</f>
        <v>x</v>
      </c>
      <c r="AE474" s="109" t="str">
        <f>'Q100a-geral'!AE1468</f>
        <v>x</v>
      </c>
      <c r="AF474" s="109" t="str">
        <f>'Q100a-geral'!AF1468</f>
        <v>x</v>
      </c>
      <c r="AG474" s="109" t="str">
        <f>'Q100a-geral'!AG1468</f>
        <v>x</v>
      </c>
      <c r="AH474" s="109" t="str">
        <f>'Q100a-geral'!AH1468</f>
        <v>x</v>
      </c>
      <c r="AI474" s="109" t="str">
        <f>'Q100a-geral'!AI1468</f>
        <v>x</v>
      </c>
      <c r="AJ474" s="109" t="str">
        <f>'Q100a-geral'!AJ1468</f>
        <v>x</v>
      </c>
      <c r="AK474" s="137" t="str">
        <f>'Q100a-geral'!AK1468</f>
        <v>x</v>
      </c>
      <c r="AL474" s="167" t="str">
        <f>'Q100a-geral'!AL1468</f>
        <v>x</v>
      </c>
      <c r="AM474" s="137" t="str">
        <f>'Q100a-geral'!AM1468</f>
        <v>x</v>
      </c>
      <c r="AN474" s="137" t="str">
        <f>'Q100a-geral'!AN1468</f>
        <v>x</v>
      </c>
      <c r="AO474" s="137" t="str">
        <f>'Q100a-geral'!AO1468</f>
        <v>x</v>
      </c>
      <c r="AP474" s="137" t="str">
        <f>'Q100a-geral'!AP1468</f>
        <v>x</v>
      </c>
      <c r="AQ474" s="137" t="str">
        <f>'Q100a-geral'!AQ1468</f>
        <v>x</v>
      </c>
      <c r="AR474" s="137"/>
      <c r="AS474" s="137"/>
      <c r="AT474" s="137"/>
      <c r="AU474" s="137"/>
      <c r="AV474" s="137" t="str">
        <f>'Q100a-geral'!AV1468</f>
        <v>x</v>
      </c>
      <c r="AW474" s="137"/>
      <c r="AX474" s="137"/>
      <c r="AY474" s="137"/>
      <c r="AZ474" s="137"/>
      <c r="BA474" s="137" t="str">
        <f>'Q100a-geral'!BA1468</f>
        <v>x</v>
      </c>
      <c r="BB474" s="239" t="str">
        <f>'Q100a-geral'!BB1468</f>
        <v>Resíduos e efluentesx</v>
      </c>
      <c r="BC474" s="239" t="str">
        <f>'Q100a-geral'!BC1468</f>
        <v>Resíduos e efluentesxsigla/verbete</v>
      </c>
      <c r="BD474" s="239" t="str">
        <f>'Q100a-geral'!BD1468</f>
        <v>Resíduos e efluentessigla/verbete</v>
      </c>
    </row>
    <row r="475" spans="1:57" s="1" customFormat="1" ht="63.75" customHeight="1" x14ac:dyDescent="0.25">
      <c r="A475" s="275" t="str">
        <f>'Q100a-geral'!A1469</f>
        <v>9.5</v>
      </c>
      <c r="B475" s="11" t="str">
        <f>'Q100a-geral'!B1469</f>
        <v>Sinalização semafórica</v>
      </c>
      <c r="C475" s="230" t="str">
        <f>'Q100a-geral'!C1469</f>
        <v>x</v>
      </c>
      <c r="D475" s="322" t="str">
        <f>'Q100a-geral'!D1469</f>
        <v>IS</v>
      </c>
      <c r="E475" s="11" t="str">
        <f>'Q100a-geral'!E1469</f>
        <v>Belo Horizonte</v>
      </c>
      <c r="F475" s="445" t="str">
        <f>'Q100a-geral'!F1469</f>
        <v>n.º de interseções semaforizadas, ou seja, n.º total de interseções com semáforo para veículos, com ou sem foco de pedestres</v>
      </c>
      <c r="G475" s="11" t="str">
        <f>'Q100a-geral'!G1469</f>
        <v xml:space="preserve">ISP+ICP </v>
      </c>
      <c r="H475" s="173" t="str">
        <f>'Q100a-geral'!H1469</f>
        <v>x</v>
      </c>
      <c r="I475" s="57">
        <f>'Q100a-geral'!I1469</f>
        <v>1</v>
      </c>
      <c r="J475" s="107" t="str">
        <f>'Q100a-geral'!J1469</f>
        <v>x</v>
      </c>
      <c r="K475" s="58" t="str">
        <f>'Q100a-geral'!K1469</f>
        <v>x</v>
      </c>
      <c r="L475" s="58" t="str">
        <f>'Q100a-geral'!L1469</f>
        <v>x</v>
      </c>
      <c r="M475" s="58" t="str">
        <f>'Q100a-geral'!M1469</f>
        <v>x</v>
      </c>
      <c r="N475" s="58" t="str">
        <f>'Q100a-geral'!N1469</f>
        <v>x</v>
      </c>
      <c r="O475" s="58" t="str">
        <f>'Q100a-geral'!O1469</f>
        <v>x</v>
      </c>
      <c r="P475" s="58" t="str">
        <f>'Q100a-geral'!P1469</f>
        <v>x</v>
      </c>
      <c r="Q475" s="58" t="str">
        <f>'Q100a-geral'!Q1469</f>
        <v>x</v>
      </c>
      <c r="R475" s="58" t="str">
        <f>'Q100a-geral'!R1469</f>
        <v>x</v>
      </c>
      <c r="S475" s="649" t="str">
        <f>'Q100a-geral'!S1469</f>
        <v>só para pesquisa</v>
      </c>
      <c r="T475" s="58" t="str">
        <f>'Q100a-geral'!T1469</f>
        <v>x</v>
      </c>
      <c r="U475" s="58" t="str">
        <f>'Q100a-geral'!U1469</f>
        <v>x</v>
      </c>
      <c r="V475" s="107" t="str">
        <f>'Q100a-geral'!V1469</f>
        <v>só para pesquisa</v>
      </c>
      <c r="W475" s="58" t="str">
        <f>'Q100a-geral'!W1469</f>
        <v>x</v>
      </c>
      <c r="X475" s="58" t="str">
        <f>'Q100a-geral'!X1469</f>
        <v>x</v>
      </c>
      <c r="Y475" s="72">
        <f>'Q100a-geral'!Y1469</f>
        <v>566</v>
      </c>
      <c r="Z475" s="72">
        <f>'Q100a-geral'!Z1469</f>
        <v>602</v>
      </c>
      <c r="AA475" s="72">
        <f>'Q100a-geral'!AA1469</f>
        <v>609</v>
      </c>
      <c r="AB475" s="72">
        <f>'Q100a-geral'!AB1469</f>
        <v>634</v>
      </c>
      <c r="AC475" s="72">
        <f>'Q100a-geral'!AC1469</f>
        <v>648</v>
      </c>
      <c r="AD475" s="72">
        <f>'Q100a-geral'!AD1469</f>
        <v>666</v>
      </c>
      <c r="AE475" s="72">
        <f>'Q100a-geral'!AE1469</f>
        <v>675</v>
      </c>
      <c r="AF475" s="72">
        <f>'Q100a-geral'!AF1469</f>
        <v>691</v>
      </c>
      <c r="AG475" s="72">
        <f>'Q100a-geral'!AG1469</f>
        <v>718</v>
      </c>
      <c r="AH475" s="72">
        <f>'Q100a-geral'!AH1469</f>
        <v>743</v>
      </c>
      <c r="AI475" s="72">
        <f>'Q100a-geral'!AI1469</f>
        <v>769</v>
      </c>
      <c r="AJ475" s="72">
        <f>'Q100a-geral'!AJ1469</f>
        <v>803</v>
      </c>
      <c r="AK475" s="137" t="str">
        <f>'Q100a-geral'!AK1469</f>
        <v>x</v>
      </c>
      <c r="AL475" s="212" t="str">
        <f>'Q100a-geral'!AL1469</f>
        <v>x</v>
      </c>
      <c r="AM475" s="137" t="str">
        <f>'Q100a-geral'!AM1469</f>
        <v>x</v>
      </c>
      <c r="AN475" s="137" t="str">
        <f>'Q100a-geral'!AN1469</f>
        <v>x</v>
      </c>
      <c r="AO475" s="137" t="str">
        <f>'Q100a-geral'!AO1469</f>
        <v>x</v>
      </c>
      <c r="AP475" s="137" t="str">
        <f>'Q100a-geral'!AP1469</f>
        <v>x</v>
      </c>
      <c r="AQ475" s="137" t="str">
        <f>'Q100a-geral'!AQ1469</f>
        <v>x</v>
      </c>
      <c r="AR475" s="137"/>
      <c r="AS475" s="137"/>
      <c r="AT475" s="137"/>
      <c r="AU475" s="137"/>
      <c r="AV475" s="137" t="str">
        <f>'Q100a-geral'!AV1469</f>
        <v>x</v>
      </c>
      <c r="AW475" s="137"/>
      <c r="AX475" s="137"/>
      <c r="AY475" s="137"/>
      <c r="AZ475" s="137"/>
      <c r="BA475" s="137" t="str">
        <f>'Q100a-geral'!BA1469</f>
        <v>x</v>
      </c>
      <c r="BB475" s="239" t="str">
        <f>'Q100a-geral'!BB1469</f>
        <v>Sinalização semafóricax</v>
      </c>
      <c r="BC475" s="239" t="str">
        <f>'Q100a-geral'!BC1469</f>
        <v>Sinalização semafóricaxx</v>
      </c>
      <c r="BD475" s="239" t="str">
        <f>'Q100a-geral'!BD1469</f>
        <v>Sinalização semafóricax</v>
      </c>
    </row>
    <row r="476" spans="1:57" s="1" customFormat="1" ht="63.75" customHeight="1" x14ac:dyDescent="0.25">
      <c r="A476" s="275" t="str">
        <f>'Q100a-geral'!A1470</f>
        <v>9.5</v>
      </c>
      <c r="B476" s="11" t="str">
        <f>'Q100a-geral'!B1470</f>
        <v>Sinalização semafórica</v>
      </c>
      <c r="C476" s="230" t="str">
        <f>'Q100a-geral'!C1470</f>
        <v>x</v>
      </c>
      <c r="D476" s="322" t="str">
        <f>'Q100a-geral'!D1470</f>
        <v>IS em relação a LS</v>
      </c>
      <c r="E476" s="11" t="str">
        <f>'Q100a-geral'!E1470</f>
        <v>Belo Horizonte</v>
      </c>
      <c r="F476" s="445" t="str">
        <f>'Q100a-geral'!F1470</f>
        <v>percentual de interseções semaforizadas em relação ao total de locais semaforizados</v>
      </c>
      <c r="G476" s="11" t="str">
        <f>'Q100a-geral'!G1470</f>
        <v>(IS/LS) x 100</v>
      </c>
      <c r="H476" s="173" t="str">
        <f>'Q100a-geral'!H1470</f>
        <v>x</v>
      </c>
      <c r="I476" s="57">
        <f>'Q100a-geral'!I1470</f>
        <v>1</v>
      </c>
      <c r="J476" s="107" t="str">
        <f>'Q100a-geral'!J1470</f>
        <v>x</v>
      </c>
      <c r="K476" s="58" t="str">
        <f>'Q100a-geral'!K1470</f>
        <v>x</v>
      </c>
      <c r="L476" s="58" t="str">
        <f>'Q100a-geral'!L1470</f>
        <v>x</v>
      </c>
      <c r="M476" s="58" t="str">
        <f>'Q100a-geral'!M1470</f>
        <v>x</v>
      </c>
      <c r="N476" s="58" t="str">
        <f>'Q100a-geral'!N1470</f>
        <v>x</v>
      </c>
      <c r="O476" s="58" t="str">
        <f>'Q100a-geral'!O1470</f>
        <v>x</v>
      </c>
      <c r="P476" s="58" t="str">
        <f>'Q100a-geral'!P1470</f>
        <v>x</v>
      </c>
      <c r="Q476" s="58" t="str">
        <f>'Q100a-geral'!Q1470</f>
        <v>x</v>
      </c>
      <c r="R476" s="58" t="str">
        <f>'Q100a-geral'!R1470</f>
        <v>x</v>
      </c>
      <c r="S476" s="649" t="str">
        <f>'Q100a-geral'!S1470</f>
        <v>só para pesquisa</v>
      </c>
      <c r="T476" s="58" t="str">
        <f>'Q100a-geral'!T1470</f>
        <v>x</v>
      </c>
      <c r="U476" s="58" t="str">
        <f>'Q100a-geral'!U1470</f>
        <v>x</v>
      </c>
      <c r="V476" s="107" t="str">
        <f>'Q100a-geral'!V1470</f>
        <v>só para pesquisa</v>
      </c>
      <c r="W476" s="58" t="str">
        <f>'Q100a-geral'!W1470</f>
        <v>x</v>
      </c>
      <c r="X476" s="58" t="str">
        <f>'Q100a-geral'!X1470</f>
        <v>x</v>
      </c>
      <c r="Y476" s="21">
        <f>'Q100a-geral'!Y1470</f>
        <v>0.8788819875776398</v>
      </c>
      <c r="Z476" s="21">
        <f>'Q100a-geral'!Z1470</f>
        <v>0.86868686868686873</v>
      </c>
      <c r="AA476" s="21">
        <f>'Q100a-geral'!AA1470</f>
        <v>0.85654008438818563</v>
      </c>
      <c r="AB476" s="21">
        <f>'Q100a-geral'!AB1470</f>
        <v>0.85791610284167796</v>
      </c>
      <c r="AC476" s="21">
        <f>'Q100a-geral'!AC1470</f>
        <v>0.85039370078740162</v>
      </c>
      <c r="AD476" s="21">
        <f>'Q100a-geral'!AD1470</f>
        <v>0.84303797468354436</v>
      </c>
      <c r="AE476" s="21">
        <f>'Q100a-geral'!AE1470</f>
        <v>0.83128078817733986</v>
      </c>
      <c r="AF476" s="21">
        <f>'Q100a-geral'!AF1470</f>
        <v>0.82754491017964071</v>
      </c>
      <c r="AG476" s="21">
        <f>'Q100a-geral'!AG1470</f>
        <v>0.83101851851851849</v>
      </c>
      <c r="AH476" s="21">
        <f>'Q100a-geral'!AH1470</f>
        <v>0.82647385984427146</v>
      </c>
      <c r="AI476" s="21">
        <f>'Q100a-geral'!AI1470</f>
        <v>0.82777179763186226</v>
      </c>
      <c r="AJ476" s="21">
        <f>'Q100a-geral'!AJ1470</f>
        <v>0.8261316872427984</v>
      </c>
      <c r="AK476" s="137" t="str">
        <f>'Q100a-geral'!AK1470</f>
        <v>x</v>
      </c>
      <c r="AL476" s="212" t="str">
        <f>'Q100a-geral'!AL1470</f>
        <v>x</v>
      </c>
      <c r="AM476" s="137" t="str">
        <f>'Q100a-geral'!AM1470</f>
        <v>x</v>
      </c>
      <c r="AN476" s="137" t="str">
        <f>'Q100a-geral'!AN1470</f>
        <v>x</v>
      </c>
      <c r="AO476" s="137" t="str">
        <f>'Q100a-geral'!AO1470</f>
        <v>x</v>
      </c>
      <c r="AP476" s="137" t="str">
        <f>'Q100a-geral'!AP1470</f>
        <v>x</v>
      </c>
      <c r="AQ476" s="137" t="str">
        <f>'Q100a-geral'!AQ1470</f>
        <v>x</v>
      </c>
      <c r="AR476" s="137"/>
      <c r="AS476" s="137"/>
      <c r="AT476" s="137"/>
      <c r="AU476" s="137"/>
      <c r="AV476" s="137" t="str">
        <f>'Q100a-geral'!AV1470</f>
        <v>x</v>
      </c>
      <c r="AW476" s="137"/>
      <c r="AX476" s="137"/>
      <c r="AY476" s="137"/>
      <c r="AZ476" s="137"/>
      <c r="BA476" s="137" t="str">
        <f>'Q100a-geral'!BA1470</f>
        <v>x</v>
      </c>
      <c r="BB476" s="239" t="str">
        <f>'Q100a-geral'!BB1470</f>
        <v>Sinalização semafóricax</v>
      </c>
      <c r="BC476" s="239" t="str">
        <f>'Q100a-geral'!BC1470</f>
        <v>Sinalização semafóricaxx</v>
      </c>
      <c r="BD476" s="239" t="str">
        <f>'Q100a-geral'!BD1470</f>
        <v>Sinalização semafóricax</v>
      </c>
    </row>
    <row r="477" spans="1:57" s="1" customFormat="1" ht="63.75" customHeight="1" x14ac:dyDescent="0.25">
      <c r="A477" s="275" t="str">
        <f>'Q100a-geral'!A1471</f>
        <v>9.5</v>
      </c>
      <c r="B477" s="11" t="str">
        <f>'Q100a-geral'!B1471</f>
        <v>Sinalização semafórica</v>
      </c>
      <c r="C477" s="230" t="str">
        <f>'Q100a-geral'!C1471</f>
        <v>x</v>
      </c>
      <c r="D477" s="322" t="str">
        <f>'Q100a-geral'!D1471</f>
        <v>IS por mil veículos</v>
      </c>
      <c r="E477" s="11" t="str">
        <f>'Q100a-geral'!E1471</f>
        <v>Belo Horizonte</v>
      </c>
      <c r="F477" s="445" t="str">
        <f>'Q100a-geral'!F1471</f>
        <v>n.º de interseções semaforizadas por mil veículos da frota</v>
      </c>
      <c r="G477" s="11" t="str">
        <f>'Q100a-geral'!G1471</f>
        <v>(IS/F) x  1.000</v>
      </c>
      <c r="H477" s="173" t="str">
        <f>'Q100a-geral'!H1471</f>
        <v>x</v>
      </c>
      <c r="I477" s="57">
        <f>'Q100a-geral'!I1471</f>
        <v>1</v>
      </c>
      <c r="J477" s="107" t="str">
        <f>'Q100a-geral'!J1471</f>
        <v>x</v>
      </c>
      <c r="K477" s="58" t="str">
        <f>'Q100a-geral'!K1471</f>
        <v>x</v>
      </c>
      <c r="L477" s="58" t="str">
        <f>'Q100a-geral'!L1471</f>
        <v>x</v>
      </c>
      <c r="M477" s="58" t="str">
        <f>'Q100a-geral'!M1471</f>
        <v>x</v>
      </c>
      <c r="N477" s="58" t="str">
        <f>'Q100a-geral'!N1471</f>
        <v>x</v>
      </c>
      <c r="O477" s="58" t="str">
        <f>'Q100a-geral'!O1471</f>
        <v>x</v>
      </c>
      <c r="P477" s="58" t="str">
        <f>'Q100a-geral'!P1471</f>
        <v>x</v>
      </c>
      <c r="Q477" s="58" t="str">
        <f>'Q100a-geral'!Q1471</f>
        <v>x</v>
      </c>
      <c r="R477" s="58" t="str">
        <f>'Q100a-geral'!R1471</f>
        <v>x</v>
      </c>
      <c r="S477" s="649" t="str">
        <f>'Q100a-geral'!S1471</f>
        <v>só para pesquisa</v>
      </c>
      <c r="T477" s="58" t="str">
        <f>'Q100a-geral'!T1471</f>
        <v>x</v>
      </c>
      <c r="U477" s="58" t="str">
        <f>'Q100a-geral'!U1471</f>
        <v>x</v>
      </c>
      <c r="V477" s="107" t="str">
        <f>'Q100a-geral'!V1471</f>
        <v>só para pesquisa</v>
      </c>
      <c r="W477" s="58" t="str">
        <f>'Q100a-geral'!W1471</f>
        <v>x</v>
      </c>
      <c r="X477" s="58" t="str">
        <f>'Q100a-geral'!X1471</f>
        <v>x</v>
      </c>
      <c r="Y477" s="64">
        <f>'Q100a-geral'!Y1471</f>
        <v>0.71595633931270719</v>
      </c>
      <c r="Z477" s="64">
        <f>'Q100a-geral'!Z1471</f>
        <v>0.73258022787869348</v>
      </c>
      <c r="AA477" s="64">
        <f>'Q100a-geral'!AA1471</f>
        <v>0.70574574379691213</v>
      </c>
      <c r="AB477" s="64">
        <f>'Q100a-geral'!AB1471</f>
        <v>0.68077832075396738</v>
      </c>
      <c r="AC477" s="64">
        <f>'Q100a-geral'!AC1471</f>
        <v>0.63500463024209552</v>
      </c>
      <c r="AD477" s="64">
        <f>'Q100a-geral'!AD1471</f>
        <v>0.60148528934964629</v>
      </c>
      <c r="AE477" s="64">
        <f>'Q100a-geral'!AE1471</f>
        <v>0.55322200594201421</v>
      </c>
      <c r="AF477" s="64">
        <f>'Q100a-geral'!AF1471</f>
        <v>0.51862042463829783</v>
      </c>
      <c r="AG477" s="64">
        <f>'Q100a-geral'!AG1471</f>
        <v>0.50214530742412744</v>
      </c>
      <c r="AH477" s="64">
        <f>'Q100a-geral'!AH1471</f>
        <v>0.49292294015597066</v>
      </c>
      <c r="AI477" s="64">
        <f>'Q100a-geral'!AI1471</f>
        <v>0.48651640964808224</v>
      </c>
      <c r="AJ477" s="64">
        <f>'Q100a-geral'!AJ1471</f>
        <v>0.49196950156688912</v>
      </c>
      <c r="AK477" s="137" t="str">
        <f>'Q100a-geral'!AK1471</f>
        <v>x</v>
      </c>
      <c r="AL477" s="212" t="str">
        <f>'Q100a-geral'!AL1471</f>
        <v>x</v>
      </c>
      <c r="AM477" s="137" t="str">
        <f>'Q100a-geral'!AM1471</f>
        <v>x</v>
      </c>
      <c r="AN477" s="137" t="str">
        <f>'Q100a-geral'!AN1471</f>
        <v>x</v>
      </c>
      <c r="AO477" s="137" t="str">
        <f>'Q100a-geral'!AO1471</f>
        <v>x</v>
      </c>
      <c r="AP477" s="137" t="str">
        <f>'Q100a-geral'!AP1471</f>
        <v>x</v>
      </c>
      <c r="AQ477" s="137" t="str">
        <f>'Q100a-geral'!AQ1471</f>
        <v>x</v>
      </c>
      <c r="AR477" s="137"/>
      <c r="AS477" s="137"/>
      <c r="AT477" s="137"/>
      <c r="AU477" s="137"/>
      <c r="AV477" s="137" t="str">
        <f>'Q100a-geral'!AV1471</f>
        <v>x</v>
      </c>
      <c r="AW477" s="137"/>
      <c r="AX477" s="137"/>
      <c r="AY477" s="137"/>
      <c r="AZ477" s="137"/>
      <c r="BA477" s="137" t="str">
        <f>'Q100a-geral'!BA1471</f>
        <v>x</v>
      </c>
      <c r="BB477" s="239" t="str">
        <f>'Q100a-geral'!BB1471</f>
        <v>Sinalização semafóricax</v>
      </c>
      <c r="BC477" s="239" t="str">
        <f>'Q100a-geral'!BC1471</f>
        <v>Sinalização semafóricaxx</v>
      </c>
      <c r="BD477" s="239" t="str">
        <f>'Q100a-geral'!BD1471</f>
        <v>Sinalização semafóricax</v>
      </c>
    </row>
    <row r="478" spans="1:57" s="1" customFormat="1" ht="63.75" customHeight="1" x14ac:dyDescent="0.25">
      <c r="A478" s="275" t="str">
        <f>'Q100a-geral'!A1472</f>
        <v>9.5</v>
      </c>
      <c r="B478" s="11" t="str">
        <f>'Q100a-geral'!B1472</f>
        <v>Sinalização semafórica</v>
      </c>
      <c r="C478" s="230" t="str">
        <f>'Q100a-geral'!C1472</f>
        <v>x</v>
      </c>
      <c r="D478" s="287" t="str">
        <f>'Q100a-geral'!D1472</f>
        <v>IS por milhão de habitantes</v>
      </c>
      <c r="E478" s="895" t="str">
        <f>'Q100a-geral'!E1472</f>
        <v>Belo Horizonte</v>
      </c>
      <c r="F478" s="488" t="str">
        <f>'Q100a-geral'!F1472</f>
        <v>n.º de interseções semaforizadas por milhão de habitantes da população</v>
      </c>
      <c r="G478" s="11" t="str">
        <f>'Q100a-geral'!G1472</f>
        <v>(IS/P) x  1.000.000</v>
      </c>
      <c r="H478" s="173" t="str">
        <f>'Q100a-geral'!H1472</f>
        <v>x</v>
      </c>
      <c r="I478" s="57">
        <f>'Q100a-geral'!I1472</f>
        <v>1</v>
      </c>
      <c r="J478" s="107" t="str">
        <f>'Q100a-geral'!J1472</f>
        <v>x</v>
      </c>
      <c r="K478" s="58" t="str">
        <f>'Q100a-geral'!K1472</f>
        <v>x</v>
      </c>
      <c r="L478" s="58" t="str">
        <f>'Q100a-geral'!L1472</f>
        <v>x</v>
      </c>
      <c r="M478" s="58" t="str">
        <f>'Q100a-geral'!M1472</f>
        <v>x</v>
      </c>
      <c r="N478" s="58" t="str">
        <f>'Q100a-geral'!N1472</f>
        <v>x</v>
      </c>
      <c r="O478" s="58" t="str">
        <f>'Q100a-geral'!O1472</f>
        <v>x</v>
      </c>
      <c r="P478" s="58" t="str">
        <f>'Q100a-geral'!P1472</f>
        <v>x</v>
      </c>
      <c r="Q478" s="58" t="str">
        <f>'Q100a-geral'!Q1472</f>
        <v>x</v>
      </c>
      <c r="R478" s="58" t="str">
        <f>'Q100a-geral'!R1472</f>
        <v>x</v>
      </c>
      <c r="S478" s="649" t="str">
        <f>'Q100a-geral'!S1472</f>
        <v>só para pesquisa</v>
      </c>
      <c r="T478" s="58" t="str">
        <f>'Q100a-geral'!T1472</f>
        <v>x</v>
      </c>
      <c r="U478" s="58" t="str">
        <f>'Q100a-geral'!U1472</f>
        <v>x</v>
      </c>
      <c r="V478" s="107" t="str">
        <f>'Q100a-geral'!V1472</f>
        <v>só para pesquisa</v>
      </c>
      <c r="W478" s="58" t="str">
        <f>'Q100a-geral'!W1472</f>
        <v>x</v>
      </c>
      <c r="X478" s="58" t="str">
        <f>'Q100a-geral'!X1472</f>
        <v>x</v>
      </c>
      <c r="Y478" s="72">
        <f>'Q100a-geral'!Y1472</f>
        <v>245.46667291175518</v>
      </c>
      <c r="Z478" s="72">
        <f>'Q100a-geral'!Z1472</f>
        <v>256.10874666675738</v>
      </c>
      <c r="AA478" s="72">
        <f>'Q100a-geral'!AA1472</f>
        <v>256.38553648778759</v>
      </c>
      <c r="AB478" s="72">
        <f>'Q100a-geral'!AB1472</f>
        <v>264.17547251575053</v>
      </c>
      <c r="AC478" s="421">
        <f>'Q100a-geral'!AC1472</f>
        <v>268.55239071720484</v>
      </c>
      <c r="AD478" s="72">
        <f>'Q100a-geral'!AD1472</f>
        <v>273.55151188552571</v>
      </c>
      <c r="AE478" s="72">
        <f>'Q100a-geral'!AE1472</f>
        <v>275.21622821663556</v>
      </c>
      <c r="AF478" s="72">
        <f>'Q100a-geral'!AF1472</f>
        <v>290.92887146964551</v>
      </c>
      <c r="AG478" s="72">
        <f>'Q100a-geral'!AG1472</f>
        <v>300.96745527405642</v>
      </c>
      <c r="AH478" s="421">
        <f>'Q100a-geral'!AH1472</f>
        <v>310.1279956256509</v>
      </c>
      <c r="AI478" s="72">
        <f>'Q100a-geral'!AI1472</f>
        <v>310.18508247736639</v>
      </c>
      <c r="AJ478" s="72">
        <f>'Q100a-geral'!AJ1472</f>
        <v>322.34639271103754</v>
      </c>
      <c r="AK478" s="137" t="str">
        <f>'Q100a-geral'!AK1472</f>
        <v>x</v>
      </c>
      <c r="AL478" s="212" t="str">
        <f>'Q100a-geral'!AL1472</f>
        <v>x</v>
      </c>
      <c r="AM478" s="137" t="str">
        <f>'Q100a-geral'!AM1472</f>
        <v>x</v>
      </c>
      <c r="AN478" s="137" t="str">
        <f>'Q100a-geral'!AN1472</f>
        <v>x</v>
      </c>
      <c r="AO478" s="137" t="str">
        <f>'Q100a-geral'!AO1472</f>
        <v>x</v>
      </c>
      <c r="AP478" s="137" t="str">
        <f>'Q100a-geral'!AP1472</f>
        <v>x</v>
      </c>
      <c r="AQ478" s="137" t="str">
        <f>'Q100a-geral'!AQ1472</f>
        <v>x</v>
      </c>
      <c r="AR478" s="137"/>
      <c r="AS478" s="137"/>
      <c r="AT478" s="137"/>
      <c r="AU478" s="137"/>
      <c r="AV478" s="137" t="str">
        <f>'Q100a-geral'!AV1472</f>
        <v>x</v>
      </c>
      <c r="AW478" s="137"/>
      <c r="AX478" s="137"/>
      <c r="AY478" s="137"/>
      <c r="AZ478" s="137"/>
      <c r="BA478" s="137" t="str">
        <f>'Q100a-geral'!BA1472</f>
        <v>x</v>
      </c>
      <c r="BB478" s="239" t="str">
        <f>'Q100a-geral'!BB1472</f>
        <v>Sinalização semafóricax</v>
      </c>
      <c r="BC478" s="239" t="str">
        <f>'Q100a-geral'!BC1472</f>
        <v>Sinalização semafóricaxx</v>
      </c>
      <c r="BD478" s="239" t="str">
        <f>'Q100a-geral'!BD1472</f>
        <v>Sinalização semafóricax</v>
      </c>
      <c r="BE478" s="371" t="s">
        <v>2767</v>
      </c>
    </row>
    <row r="479" spans="1:57" s="1" customFormat="1" ht="63.75" customHeight="1" x14ac:dyDescent="0.25">
      <c r="A479" s="275" t="str">
        <f>'Q100a-geral'!A1473</f>
        <v>9.5</v>
      </c>
      <c r="B479" s="11" t="str">
        <f>'Q100a-geral'!B1473</f>
        <v>Sinalização semafórica</v>
      </c>
      <c r="C479" s="230" t="str">
        <f>'Q100a-geral'!C1473</f>
        <v>x</v>
      </c>
      <c r="D479" s="322" t="str">
        <f>'Q100a-geral'!D1473</f>
        <v>ISP</v>
      </c>
      <c r="E479" s="13" t="s">
        <v>1306</v>
      </c>
      <c r="F479" s="445" t="str">
        <f>'Q100a-geral'!F1473</f>
        <v>n.º de interseções semaforizadas sem foco de pedestres
obs.1: resultados de 2003 a 2014 fornecidos pela Gerência de Planejamento e Controle Operacional - Geplo/DRO em BHTRANS (2015p)
obs.2: "A partir do mês de Abril de 2014 os Indicadores Semafóricos, apresentados anteriormente no Item 4 dos Relatórios Mensais, passam a ser de responsabilidade da Gerência de Simulação de Transportes, Trânsito e Programação Semafórica – GESIT" (BHTRANS, 2015q).</v>
      </c>
      <c r="G479" s="252" t="str">
        <f>'Q100a-geral'!G1473</f>
        <v>registro na fonte</v>
      </c>
      <c r="H479" s="173" t="str">
        <f>'Q100a-geral'!H1473</f>
        <v>x</v>
      </c>
      <c r="I479" s="57">
        <f>'Q100a-geral'!I1473</f>
        <v>1</v>
      </c>
      <c r="J479" s="107" t="str">
        <f>'Q100a-geral'!J1473</f>
        <v>x</v>
      </c>
      <c r="K479" s="11" t="str">
        <f>'Q100a-geral'!K1473</f>
        <v>x</v>
      </c>
      <c r="L479" s="11" t="str">
        <f>'Q100a-geral'!L1473</f>
        <v>x</v>
      </c>
      <c r="M479" s="11" t="str">
        <f>'Q100a-geral'!M1473</f>
        <v>x</v>
      </c>
      <c r="N479" s="11" t="str">
        <f>'Q100a-geral'!N1473</f>
        <v>x</v>
      </c>
      <c r="O479" s="11" t="str">
        <f>'Q100a-geral'!O1473</f>
        <v>x</v>
      </c>
      <c r="P479" s="11" t="str">
        <f>'Q100a-geral'!P1473</f>
        <v>x</v>
      </c>
      <c r="Q479" s="11" t="str">
        <f>'Q100a-geral'!Q1473</f>
        <v>x</v>
      </c>
      <c r="R479" s="11" t="str">
        <f>'Q100a-geral'!R1473</f>
        <v>x</v>
      </c>
      <c r="S479" s="649" t="str">
        <f>'Q100a-geral'!S1473</f>
        <v>só para pesquisa</v>
      </c>
      <c r="T479" s="11" t="str">
        <f>'Q100a-geral'!T1473</f>
        <v>x</v>
      </c>
      <c r="U479" s="11" t="str">
        <f>'Q100a-geral'!U1473</f>
        <v>x</v>
      </c>
      <c r="V479" s="107" t="str">
        <f>'Q100a-geral'!V1473</f>
        <v>só para pesquisa</v>
      </c>
      <c r="W479" s="11" t="str">
        <f>'Q100a-geral'!W1473</f>
        <v>x</v>
      </c>
      <c r="X479" s="11" t="str">
        <f>'Q100a-geral'!X1473</f>
        <v>x</v>
      </c>
      <c r="Y479" s="84">
        <f>'Q100a-geral'!Y1473</f>
        <v>152</v>
      </c>
      <c r="Z479" s="84">
        <f>'Q100a-geral'!Z1473</f>
        <v>150</v>
      </c>
      <c r="AA479" s="84">
        <f>'Q100a-geral'!AA1473</f>
        <v>143</v>
      </c>
      <c r="AB479" s="84">
        <f>'Q100a-geral'!AB1473</f>
        <v>148</v>
      </c>
      <c r="AC479" s="84">
        <f>'Q100a-geral'!AC1473</f>
        <v>148</v>
      </c>
      <c r="AD479" s="84">
        <f>'Q100a-geral'!AD1473</f>
        <v>149</v>
      </c>
      <c r="AE479" s="84">
        <f>'Q100a-geral'!AE1473</f>
        <v>148</v>
      </c>
      <c r="AF479" s="84">
        <f>'Q100a-geral'!AF1473</f>
        <v>148</v>
      </c>
      <c r="AG479" s="84">
        <f>'Q100a-geral'!AG1473</f>
        <v>154</v>
      </c>
      <c r="AH479" s="84">
        <f>'Q100a-geral'!AH1473</f>
        <v>153</v>
      </c>
      <c r="AI479" s="84">
        <f>'Q100a-geral'!AI1473</f>
        <v>150</v>
      </c>
      <c r="AJ479" s="84">
        <f>'Q100a-geral'!AJ1473</f>
        <v>160</v>
      </c>
      <c r="AK479" s="137" t="str">
        <f>'Q100a-geral'!AK1473</f>
        <v>x</v>
      </c>
      <c r="AL479" s="212" t="str">
        <f>'Q100a-geral'!AL1473</f>
        <v>x</v>
      </c>
      <c r="AM479" s="137" t="str">
        <f>'Q100a-geral'!AM1473</f>
        <v>x</v>
      </c>
      <c r="AN479" s="137" t="str">
        <f>'Q100a-geral'!AN1473</f>
        <v>x</v>
      </c>
      <c r="AO479" s="137" t="str">
        <f>'Q100a-geral'!AO1473</f>
        <v>x</v>
      </c>
      <c r="AP479" s="137" t="str">
        <f>'Q100a-geral'!AP1473</f>
        <v>x</v>
      </c>
      <c r="AQ479" s="137" t="str">
        <f>'Q100a-geral'!AQ1473</f>
        <v>x</v>
      </c>
      <c r="AR479" s="137"/>
      <c r="AS479" s="137"/>
      <c r="AT479" s="137"/>
      <c r="AU479" s="137"/>
      <c r="AV479" s="137" t="str">
        <f>'Q100a-geral'!AV1473</f>
        <v>x</v>
      </c>
      <c r="AW479" s="137"/>
      <c r="AX479" s="137"/>
      <c r="AY479" s="137"/>
      <c r="AZ479" s="137"/>
      <c r="BA479" s="137" t="str">
        <f>'Q100a-geral'!BA1473</f>
        <v>x</v>
      </c>
      <c r="BB479" s="239" t="str">
        <f>'Q100a-geral'!BB1473</f>
        <v>Sinalização semafóricax</v>
      </c>
      <c r="BC479" s="239" t="str">
        <f>'Q100a-geral'!BC1473</f>
        <v>Sinalização semafóricaxx</v>
      </c>
      <c r="BD479" s="239" t="str">
        <f>'Q100a-geral'!BD1473</f>
        <v>Sinalização semafóricax</v>
      </c>
    </row>
    <row r="480" spans="1:57" s="1" customFormat="1" ht="63.75" customHeight="1" x14ac:dyDescent="0.25">
      <c r="A480" s="275" t="str">
        <f>'Q100a-geral'!A1474</f>
        <v>9.5</v>
      </c>
      <c r="B480" s="11" t="str">
        <f>'Q100a-geral'!B1474</f>
        <v>Sinalização semafórica</v>
      </c>
      <c r="C480" s="230" t="str">
        <f>'Q100a-geral'!C1474</f>
        <v>x</v>
      </c>
      <c r="D480" s="322" t="str">
        <f>'Q100a-geral'!D1474</f>
        <v>ISP em relação a IS</v>
      </c>
      <c r="E480" s="13" t="s">
        <v>1306</v>
      </c>
      <c r="F480" s="445" t="str">
        <f>'Q100a-geral'!F1474</f>
        <v>percentual de interseções semaforizadas sem foco de pedestres em relação ao total de interseções semaforizadas</v>
      </c>
      <c r="G480" s="11" t="str">
        <f>'Q100a-geral'!G1474</f>
        <v>(ISP/IS) x 100</v>
      </c>
      <c r="H480" s="173" t="str">
        <f>'Q100a-geral'!H1474</f>
        <v>x</v>
      </c>
      <c r="I480" s="57">
        <f>'Q100a-geral'!I1474</f>
        <v>1</v>
      </c>
      <c r="J480" s="107" t="str">
        <f>'Q100a-geral'!J1474</f>
        <v>x</v>
      </c>
      <c r="K480" s="58" t="str">
        <f>'Q100a-geral'!K1474</f>
        <v>x</v>
      </c>
      <c r="L480" s="58" t="str">
        <f>'Q100a-geral'!L1474</f>
        <v>x</v>
      </c>
      <c r="M480" s="58" t="str">
        <f>'Q100a-geral'!M1474</f>
        <v>x</v>
      </c>
      <c r="N480" s="58" t="str">
        <f>'Q100a-geral'!N1474</f>
        <v>x</v>
      </c>
      <c r="O480" s="58" t="str">
        <f>'Q100a-geral'!O1474</f>
        <v>x</v>
      </c>
      <c r="P480" s="58" t="str">
        <f>'Q100a-geral'!P1474</f>
        <v>x</v>
      </c>
      <c r="Q480" s="58" t="str">
        <f>'Q100a-geral'!Q1474</f>
        <v>x</v>
      </c>
      <c r="R480" s="58" t="str">
        <f>'Q100a-geral'!R1474</f>
        <v>x</v>
      </c>
      <c r="S480" s="649" t="str">
        <f>'Q100a-geral'!S1474</f>
        <v>só para pesquisa</v>
      </c>
      <c r="T480" s="58" t="str">
        <f>'Q100a-geral'!T1474</f>
        <v>x</v>
      </c>
      <c r="U480" s="58" t="str">
        <f>'Q100a-geral'!U1474</f>
        <v>x</v>
      </c>
      <c r="V480" s="107" t="str">
        <f>'Q100a-geral'!V1474</f>
        <v>só para pesquisa</v>
      </c>
      <c r="W480" s="58" t="str">
        <f>'Q100a-geral'!W1474</f>
        <v>x</v>
      </c>
      <c r="X480" s="58" t="str">
        <f>'Q100a-geral'!X1474</f>
        <v>x</v>
      </c>
      <c r="Y480" s="21">
        <f>'Q100a-geral'!Y1474</f>
        <v>0.26855123674911663</v>
      </c>
      <c r="Z480" s="21">
        <f>'Q100a-geral'!Z1474</f>
        <v>0.24916943521594684</v>
      </c>
      <c r="AA480" s="21">
        <f>'Q100a-geral'!AA1474</f>
        <v>0.2348111658456486</v>
      </c>
      <c r="AB480" s="21">
        <f>'Q100a-geral'!AB1474</f>
        <v>0.2334384858044164</v>
      </c>
      <c r="AC480" s="21">
        <f>'Q100a-geral'!AC1474</f>
        <v>0.22839506172839505</v>
      </c>
      <c r="AD480" s="21">
        <f>'Q100a-geral'!AD1474</f>
        <v>0.22372372372372373</v>
      </c>
      <c r="AE480" s="21">
        <f>'Q100a-geral'!AE1474</f>
        <v>0.21925925925925926</v>
      </c>
      <c r="AF480" s="21">
        <f>'Q100a-geral'!AF1474</f>
        <v>0.2141823444283647</v>
      </c>
      <c r="AG480" s="21">
        <f>'Q100a-geral'!AG1474</f>
        <v>0.21448467966573817</v>
      </c>
      <c r="AH480" s="21">
        <f>'Q100a-geral'!AH1474</f>
        <v>0.20592193808882908</v>
      </c>
      <c r="AI480" s="21">
        <f>'Q100a-geral'!AI1474</f>
        <v>0.19505851755526657</v>
      </c>
      <c r="AJ480" s="21">
        <f>'Q100a-geral'!AJ1474</f>
        <v>0.19925280199252801</v>
      </c>
      <c r="AK480" s="137" t="str">
        <f>'Q100a-geral'!AK1474</f>
        <v>x</v>
      </c>
      <c r="AL480" s="212" t="str">
        <f>'Q100a-geral'!AL1474</f>
        <v>x</v>
      </c>
      <c r="AM480" s="137" t="str">
        <f>'Q100a-geral'!AM1474</f>
        <v>x</v>
      </c>
      <c r="AN480" s="137" t="str">
        <f>'Q100a-geral'!AN1474</f>
        <v>x</v>
      </c>
      <c r="AO480" s="137" t="str">
        <f>'Q100a-geral'!AO1474</f>
        <v>x</v>
      </c>
      <c r="AP480" s="137" t="str">
        <f>'Q100a-geral'!AP1474</f>
        <v>x</v>
      </c>
      <c r="AQ480" s="137" t="str">
        <f>'Q100a-geral'!AQ1474</f>
        <v>x</v>
      </c>
      <c r="AR480" s="137"/>
      <c r="AS480" s="137"/>
      <c r="AT480" s="137"/>
      <c r="AU480" s="137"/>
      <c r="AV480" s="137" t="str">
        <f>'Q100a-geral'!AV1474</f>
        <v>x</v>
      </c>
      <c r="AW480" s="137"/>
      <c r="AX480" s="137"/>
      <c r="AY480" s="137"/>
      <c r="AZ480" s="137"/>
      <c r="BA480" s="137" t="str">
        <f>'Q100a-geral'!BA1474</f>
        <v>x</v>
      </c>
      <c r="BB480" s="239" t="str">
        <f>'Q100a-geral'!BB1474</f>
        <v>Sinalização semafóricax</v>
      </c>
      <c r="BC480" s="239" t="str">
        <f>'Q100a-geral'!BC1474</f>
        <v>Sinalização semafóricaxx</v>
      </c>
      <c r="BD480" s="239" t="str">
        <f>'Q100a-geral'!BD1474</f>
        <v>Sinalização semafóricax</v>
      </c>
    </row>
    <row r="481" spans="1:56" s="1" customFormat="1" ht="63.75" customHeight="1" x14ac:dyDescent="0.25">
      <c r="A481" s="275" t="str">
        <f>'Q100a-geral'!A1475</f>
        <v>9.5</v>
      </c>
      <c r="B481" s="11" t="str">
        <f>'Q100a-geral'!B1475</f>
        <v>Sinalização semafórica</v>
      </c>
      <c r="C481" s="230" t="str">
        <f>'Q100a-geral'!C1475</f>
        <v>x</v>
      </c>
      <c r="D481" s="322" t="str">
        <f>'Q100a-geral'!D1475</f>
        <v>ISP em relação a LS</v>
      </c>
      <c r="E481" s="13" t="s">
        <v>1306</v>
      </c>
      <c r="F481" s="445" t="str">
        <f>'Q100a-geral'!F1475</f>
        <v>percentual de interseções semaforizadas sem foco de pedestres em relação ao total de locais semaforizados</v>
      </c>
      <c r="G481" s="11" t="str">
        <f>'Q100a-geral'!G1475</f>
        <v>(ISP/LS) x 100</v>
      </c>
      <c r="H481" s="173" t="str">
        <f>'Q100a-geral'!H1475</f>
        <v>x</v>
      </c>
      <c r="I481" s="57">
        <f>'Q100a-geral'!I1475</f>
        <v>1</v>
      </c>
      <c r="J481" s="107" t="str">
        <f>'Q100a-geral'!J1475</f>
        <v>x</v>
      </c>
      <c r="K481" s="58" t="str">
        <f>'Q100a-geral'!K1475</f>
        <v>x</v>
      </c>
      <c r="L481" s="58" t="str">
        <f>'Q100a-geral'!L1475</f>
        <v>x</v>
      </c>
      <c r="M481" s="58" t="str">
        <f>'Q100a-geral'!M1475</f>
        <v>x</v>
      </c>
      <c r="N481" s="58" t="str">
        <f>'Q100a-geral'!N1475</f>
        <v>x</v>
      </c>
      <c r="O481" s="58" t="str">
        <f>'Q100a-geral'!O1475</f>
        <v>x</v>
      </c>
      <c r="P481" s="58" t="str">
        <f>'Q100a-geral'!P1475</f>
        <v>x</v>
      </c>
      <c r="Q481" s="58" t="str">
        <f>'Q100a-geral'!Q1475</f>
        <v>x</v>
      </c>
      <c r="R481" s="58" t="str">
        <f>'Q100a-geral'!R1475</f>
        <v>x</v>
      </c>
      <c r="S481" s="649" t="str">
        <f>'Q100a-geral'!S1475</f>
        <v>só para pesquisa</v>
      </c>
      <c r="T481" s="58" t="str">
        <f>'Q100a-geral'!T1475</f>
        <v>x</v>
      </c>
      <c r="U481" s="58" t="str">
        <f>'Q100a-geral'!U1475</f>
        <v>x</v>
      </c>
      <c r="V481" s="107" t="str">
        <f>'Q100a-geral'!V1475</f>
        <v>só para pesquisa</v>
      </c>
      <c r="W481" s="58" t="str">
        <f>'Q100a-geral'!W1475</f>
        <v>x</v>
      </c>
      <c r="X481" s="58" t="str">
        <f>'Q100a-geral'!X1475</f>
        <v>x</v>
      </c>
      <c r="Y481" s="21">
        <f>'Q100a-geral'!Y1475</f>
        <v>0.2360248447204969</v>
      </c>
      <c r="Z481" s="21">
        <f>'Q100a-geral'!Z1475</f>
        <v>0.21645021645021645</v>
      </c>
      <c r="AA481" s="21">
        <f>'Q100a-geral'!AA1475</f>
        <v>0.20112517580872011</v>
      </c>
      <c r="AB481" s="21">
        <f>'Q100a-geral'!AB1475</f>
        <v>0.20027063599458728</v>
      </c>
      <c r="AC481" s="21">
        <f>'Q100a-geral'!AC1475</f>
        <v>0.1942257217847769</v>
      </c>
      <c r="AD481" s="21">
        <f>'Q100a-geral'!AD1475</f>
        <v>0.18860759493670887</v>
      </c>
      <c r="AE481" s="21">
        <f>'Q100a-geral'!AE1475</f>
        <v>0.18226600985221675</v>
      </c>
      <c r="AF481" s="21">
        <f>'Q100a-geral'!AF1475</f>
        <v>0.17724550898203592</v>
      </c>
      <c r="AG481" s="21">
        <f>'Q100a-geral'!AG1475</f>
        <v>0.17824074074074073</v>
      </c>
      <c r="AH481" s="21">
        <f>'Q100a-geral'!AH1475</f>
        <v>0.17018909899888765</v>
      </c>
      <c r="AI481" s="21">
        <f>'Q100a-geral'!AI1475</f>
        <v>0.16146393972012918</v>
      </c>
      <c r="AJ481" s="21">
        <f>'Q100a-geral'!AJ1475</f>
        <v>0.16460905349794239</v>
      </c>
      <c r="AK481" s="137" t="str">
        <f>'Q100a-geral'!AK1475</f>
        <v>x</v>
      </c>
      <c r="AL481" s="212" t="str">
        <f>'Q100a-geral'!AL1475</f>
        <v>x</v>
      </c>
      <c r="AM481" s="137" t="str">
        <f>'Q100a-geral'!AM1475</f>
        <v>x</v>
      </c>
      <c r="AN481" s="137" t="str">
        <f>'Q100a-geral'!AN1475</f>
        <v>x</v>
      </c>
      <c r="AO481" s="137" t="str">
        <f>'Q100a-geral'!AO1475</f>
        <v>x</v>
      </c>
      <c r="AP481" s="137" t="str">
        <f>'Q100a-geral'!AP1475</f>
        <v>x</v>
      </c>
      <c r="AQ481" s="137" t="str">
        <f>'Q100a-geral'!AQ1475</f>
        <v>x</v>
      </c>
      <c r="AR481" s="137"/>
      <c r="AS481" s="137"/>
      <c r="AT481" s="137"/>
      <c r="AU481" s="137"/>
      <c r="AV481" s="137" t="str">
        <f>'Q100a-geral'!AV1475</f>
        <v>x</v>
      </c>
      <c r="AW481" s="137"/>
      <c r="AX481" s="137"/>
      <c r="AY481" s="137"/>
      <c r="AZ481" s="137"/>
      <c r="BA481" s="137" t="str">
        <f>'Q100a-geral'!BA1475</f>
        <v>x</v>
      </c>
      <c r="BB481" s="239" t="str">
        <f>'Q100a-geral'!BB1475</f>
        <v>Sinalização semafóricax</v>
      </c>
      <c r="BC481" s="239" t="str">
        <f>'Q100a-geral'!BC1475</f>
        <v>Sinalização semafóricaxx</v>
      </c>
      <c r="BD481" s="239" t="str">
        <f>'Q100a-geral'!BD1475</f>
        <v>Sinalização semafóricax</v>
      </c>
    </row>
    <row r="482" spans="1:56" s="1" customFormat="1" ht="63.75" customHeight="1" x14ac:dyDescent="0.25">
      <c r="A482" s="275" t="str">
        <f>'Q100a-geral'!A1477</f>
        <v>9.5</v>
      </c>
      <c r="B482" s="11" t="str">
        <f>'Q100a-geral'!B1477</f>
        <v>Sinalização semafórica</v>
      </c>
      <c r="C482" s="230" t="str">
        <f>'Q100a-geral'!C1477</f>
        <v>x</v>
      </c>
      <c r="D482" s="322" t="str">
        <f>'Q100a-geral'!D1477</f>
        <v>ITP</v>
      </c>
      <c r="E482" s="13" t="s">
        <v>1306</v>
      </c>
      <c r="F482" s="445" t="str">
        <f>'Q100a-geral'!F1477</f>
        <v>n.º de interseções com travessia considerada "parcial" para pedestres, ou seja, n.º de interseções com semáforo para veículos onde há foco de pedestres, mas não para todos os movimentos
obs.1: resultados de 2003 a 2014 fornecidos pela Gerência de Planejamento e Controle Operacional - Geplo/DRO em BHTRANS (2015p)
obs.2: "A partir do mês de Abril de 2014 os Indicadores Semafóricos, apresentados anteriormente no Item 4 dos Relatórios Mensais, passam a ser de responsabilidade da Gerência de Simulação de Transportes, Trânsito e Programação Semafórica – GESIT" (BHTRANS, 2015q).</v>
      </c>
      <c r="G482" s="252" t="str">
        <f>'Q100a-geral'!G1477</f>
        <v>registro na fonte</v>
      </c>
      <c r="H482" s="173" t="str">
        <f>'Q100a-geral'!H1477</f>
        <v>x</v>
      </c>
      <c r="I482" s="57">
        <f>'Q100a-geral'!I1477</f>
        <v>1</v>
      </c>
      <c r="J482" s="107" t="str">
        <f>'Q100a-geral'!J1477</f>
        <v>x</v>
      </c>
      <c r="K482" s="11" t="str">
        <f>'Q100a-geral'!K1477</f>
        <v>x</v>
      </c>
      <c r="L482" s="11" t="str">
        <f>'Q100a-geral'!L1477</f>
        <v>x</v>
      </c>
      <c r="M482" s="11" t="str">
        <f>'Q100a-geral'!M1477</f>
        <v>x</v>
      </c>
      <c r="N482" s="11" t="str">
        <f>'Q100a-geral'!N1477</f>
        <v>x</v>
      </c>
      <c r="O482" s="11" t="str">
        <f>'Q100a-geral'!O1477</f>
        <v>x</v>
      </c>
      <c r="P482" s="11" t="str">
        <f>'Q100a-geral'!P1477</f>
        <v>x</v>
      </c>
      <c r="Q482" s="11" t="str">
        <f>'Q100a-geral'!Q1477</f>
        <v>x</v>
      </c>
      <c r="R482" s="11" t="str">
        <f>'Q100a-geral'!R1477</f>
        <v>x</v>
      </c>
      <c r="S482" s="649" t="str">
        <f>'Q100a-geral'!S1477</f>
        <v>só para pesquisa</v>
      </c>
      <c r="T482" s="11" t="str">
        <f>'Q100a-geral'!T1477</f>
        <v>x</v>
      </c>
      <c r="U482" s="11" t="str">
        <f>'Q100a-geral'!U1477</f>
        <v>x</v>
      </c>
      <c r="V482" s="107" t="str">
        <f>'Q100a-geral'!V1477</f>
        <v>só para pesquisa</v>
      </c>
      <c r="W482" s="11" t="str">
        <f>'Q100a-geral'!W1477</f>
        <v>x</v>
      </c>
      <c r="X482" s="11" t="str">
        <f>'Q100a-geral'!X1477</f>
        <v>x</v>
      </c>
      <c r="Y482" s="96">
        <f>'Q100a-geral'!Y1477</f>
        <v>216</v>
      </c>
      <c r="Z482" s="97">
        <f>'Q100a-geral'!Z1477</f>
        <v>228</v>
      </c>
      <c r="AA482" s="97">
        <f>'Q100a-geral'!AA1477</f>
        <v>239</v>
      </c>
      <c r="AB482" s="97">
        <f>'Q100a-geral'!AB1477</f>
        <v>250</v>
      </c>
      <c r="AC482" s="97">
        <f>'Q100a-geral'!AC1477</f>
        <v>262</v>
      </c>
      <c r="AD482" s="97">
        <f>'Q100a-geral'!AD1477</f>
        <v>275</v>
      </c>
      <c r="AE482" s="97">
        <f>'Q100a-geral'!AE1477</f>
        <v>279</v>
      </c>
      <c r="AF482" s="97">
        <f>'Q100a-geral'!AF1477</f>
        <v>284</v>
      </c>
      <c r="AG482" s="97">
        <f>'Q100a-geral'!AG1477</f>
        <v>296</v>
      </c>
      <c r="AH482" s="97">
        <f>'Q100a-geral'!AH1477</f>
        <v>307</v>
      </c>
      <c r="AI482" s="97">
        <f>'Q100a-geral'!AI1477</f>
        <v>314</v>
      </c>
      <c r="AJ482" s="97">
        <f>'Q100a-geral'!AJ1477</f>
        <v>329</v>
      </c>
      <c r="AK482" s="137" t="str">
        <f>'Q100a-geral'!AK1477</f>
        <v>x</v>
      </c>
      <c r="AL482" s="212" t="str">
        <f>'Q100a-geral'!AL1477</f>
        <v>x</v>
      </c>
      <c r="AM482" s="137" t="str">
        <f>'Q100a-geral'!AM1477</f>
        <v>x</v>
      </c>
      <c r="AN482" s="137" t="str">
        <f>'Q100a-geral'!AN1477</f>
        <v>x</v>
      </c>
      <c r="AO482" s="137" t="str">
        <f>'Q100a-geral'!AO1477</f>
        <v>x</v>
      </c>
      <c r="AP482" s="137" t="str">
        <f>'Q100a-geral'!AP1477</f>
        <v>x</v>
      </c>
      <c r="AQ482" s="137" t="str">
        <f>'Q100a-geral'!AQ1477</f>
        <v>x</v>
      </c>
      <c r="AR482" s="137"/>
      <c r="AS482" s="137"/>
      <c r="AT482" s="137"/>
      <c r="AU482" s="137"/>
      <c r="AV482" s="137" t="str">
        <f>'Q100a-geral'!AV1477</f>
        <v>x</v>
      </c>
      <c r="AW482" s="137"/>
      <c r="AX482" s="137"/>
      <c r="AY482" s="137"/>
      <c r="AZ482" s="137"/>
      <c r="BA482" s="137" t="str">
        <f>'Q100a-geral'!BA1477</f>
        <v>x</v>
      </c>
      <c r="BB482" s="239" t="str">
        <f>'Q100a-geral'!BB1477</f>
        <v>Sinalização semafóricax</v>
      </c>
      <c r="BC482" s="239" t="str">
        <f>'Q100a-geral'!BC1477</f>
        <v>Sinalização semafóricaxx</v>
      </c>
      <c r="BD482" s="239" t="str">
        <f>'Q100a-geral'!BD1477</f>
        <v>Sinalização semafóricax</v>
      </c>
    </row>
    <row r="483" spans="1:56" s="1" customFormat="1" ht="38.25" customHeight="1" x14ac:dyDescent="0.25">
      <c r="A483" s="275" t="str">
        <f>'Q100a-geral'!A1478</f>
        <v>9.5</v>
      </c>
      <c r="B483" s="11" t="str">
        <f>'Q100a-geral'!B1478</f>
        <v>Sinalização semafórica</v>
      </c>
      <c r="C483" s="230" t="str">
        <f>'Q100a-geral'!C1478</f>
        <v>x</v>
      </c>
      <c r="D483" s="322" t="str">
        <f>'Q100a-geral'!D1478</f>
        <v>ITP em relação a ICP</v>
      </c>
      <c r="E483" s="13" t="s">
        <v>1306</v>
      </c>
      <c r="F483" s="445" t="str">
        <f>'Q100a-geral'!F1478</f>
        <v>percentual de interseções com travessia parcial de pedestres em relação ao total de interseções com foco de pedestres</v>
      </c>
      <c r="G483" s="11" t="str">
        <f>'Q100a-geral'!G1478</f>
        <v>(ITP/ICP) x 100</v>
      </c>
      <c r="H483" s="173" t="str">
        <f>'Q100a-geral'!H1478</f>
        <v>x</v>
      </c>
      <c r="I483" s="57">
        <f>'Q100a-geral'!I1478</f>
        <v>1</v>
      </c>
      <c r="J483" s="107" t="str">
        <f>'Q100a-geral'!J1478</f>
        <v>x</v>
      </c>
      <c r="K483" s="58" t="str">
        <f>'Q100a-geral'!K1478</f>
        <v>x</v>
      </c>
      <c r="L483" s="58" t="str">
        <f>'Q100a-geral'!L1478</f>
        <v>x</v>
      </c>
      <c r="M483" s="58" t="str">
        <f>'Q100a-geral'!M1478</f>
        <v>x</v>
      </c>
      <c r="N483" s="58" t="str">
        <f>'Q100a-geral'!N1478</f>
        <v>x</v>
      </c>
      <c r="O483" s="58" t="str">
        <f>'Q100a-geral'!O1478</f>
        <v>x</v>
      </c>
      <c r="P483" s="58" t="str">
        <f>'Q100a-geral'!P1478</f>
        <v>x</v>
      </c>
      <c r="Q483" s="58" t="str">
        <f>'Q100a-geral'!Q1478</f>
        <v>x</v>
      </c>
      <c r="R483" s="58" t="str">
        <f>'Q100a-geral'!R1478</f>
        <v>x</v>
      </c>
      <c r="S483" s="649" t="str">
        <f>'Q100a-geral'!S1478</f>
        <v>só para pesquisa</v>
      </c>
      <c r="T483" s="58" t="str">
        <f>'Q100a-geral'!T1478</f>
        <v>x</v>
      </c>
      <c r="U483" s="58" t="str">
        <f>'Q100a-geral'!U1478</f>
        <v>x</v>
      </c>
      <c r="V483" s="107" t="str">
        <f>'Q100a-geral'!V1478</f>
        <v>só para pesquisa</v>
      </c>
      <c r="W483" s="58" t="str">
        <f>'Q100a-geral'!W1478</f>
        <v>x</v>
      </c>
      <c r="X483" s="58" t="str">
        <f>'Q100a-geral'!X1478</f>
        <v>x</v>
      </c>
      <c r="Y483" s="21">
        <f>'Q100a-geral'!Y1478</f>
        <v>0.52173913043478259</v>
      </c>
      <c r="Z483" s="21">
        <f>'Q100a-geral'!Z1478</f>
        <v>0.50442477876106195</v>
      </c>
      <c r="AA483" s="21">
        <f>'Q100a-geral'!AA1478</f>
        <v>0.51287553648068673</v>
      </c>
      <c r="AB483" s="21">
        <f>'Q100a-geral'!AB1478</f>
        <v>0.51440329218106995</v>
      </c>
      <c r="AC483" s="21">
        <f>'Q100a-geral'!AC1478</f>
        <v>0.52400000000000002</v>
      </c>
      <c r="AD483" s="21">
        <f>'Q100a-geral'!AD1478</f>
        <v>0.53191489361702127</v>
      </c>
      <c r="AE483" s="21">
        <f>'Q100a-geral'!AE1478</f>
        <v>0.52941176470588236</v>
      </c>
      <c r="AF483" s="21">
        <f>'Q100a-geral'!AF1478</f>
        <v>0.52302025782688766</v>
      </c>
      <c r="AG483" s="21">
        <f>'Q100a-geral'!AG1478</f>
        <v>0.52482269503546097</v>
      </c>
      <c r="AH483" s="21">
        <f>'Q100a-geral'!AH1478</f>
        <v>0.52033898305084747</v>
      </c>
      <c r="AI483" s="21">
        <f>'Q100a-geral'!AI1478</f>
        <v>0.50726978998384487</v>
      </c>
      <c r="AJ483" s="21">
        <f>'Q100a-geral'!AJ1478</f>
        <v>0.51166407465007779</v>
      </c>
      <c r="AK483" s="137" t="str">
        <f>'Q100a-geral'!AK1478</f>
        <v>x</v>
      </c>
      <c r="AL483" s="212" t="str">
        <f>'Q100a-geral'!AL1478</f>
        <v>x</v>
      </c>
      <c r="AM483" s="137" t="str">
        <f>'Q100a-geral'!AM1478</f>
        <v>x</v>
      </c>
      <c r="AN483" s="137" t="str">
        <f>'Q100a-geral'!AN1478</f>
        <v>x</v>
      </c>
      <c r="AO483" s="137" t="str">
        <f>'Q100a-geral'!AO1478</f>
        <v>x</v>
      </c>
      <c r="AP483" s="137" t="str">
        <f>'Q100a-geral'!AP1478</f>
        <v>x</v>
      </c>
      <c r="AQ483" s="137" t="str">
        <f>'Q100a-geral'!AQ1478</f>
        <v>x</v>
      </c>
      <c r="AR483" s="137"/>
      <c r="AS483" s="137"/>
      <c r="AT483" s="137"/>
      <c r="AU483" s="137"/>
      <c r="AV483" s="137" t="str">
        <f>'Q100a-geral'!AV1478</f>
        <v>x</v>
      </c>
      <c r="AW483" s="137"/>
      <c r="AX483" s="137"/>
      <c r="AY483" s="137"/>
      <c r="AZ483" s="137"/>
      <c r="BA483" s="137" t="str">
        <f>'Q100a-geral'!BA1478</f>
        <v>x</v>
      </c>
      <c r="BB483" s="239" t="str">
        <f>'Q100a-geral'!BB1478</f>
        <v>Sinalização semafóricax</v>
      </c>
      <c r="BC483" s="239" t="str">
        <f>'Q100a-geral'!BC1478</f>
        <v>Sinalização semafóricaxx</v>
      </c>
      <c r="BD483" s="239" t="str">
        <f>'Q100a-geral'!BD1478</f>
        <v>Sinalização semafóricax</v>
      </c>
    </row>
    <row r="484" spans="1:56" s="1" customFormat="1" ht="38.25" customHeight="1" x14ac:dyDescent="0.25">
      <c r="A484" s="275" t="str">
        <f>'Q100a-geral'!A1479</f>
        <v>9.5</v>
      </c>
      <c r="B484" s="11" t="str">
        <f>'Q100a-geral'!B1479</f>
        <v>Sinalização semafórica</v>
      </c>
      <c r="C484" s="230" t="str">
        <f>'Q100a-geral'!C1479</f>
        <v>x</v>
      </c>
      <c r="D484" s="322" t="str">
        <f>'Q100a-geral'!D1479</f>
        <v>ITS</v>
      </c>
      <c r="E484" s="13" t="s">
        <v>1306</v>
      </c>
      <c r="F484" s="445" t="str">
        <f>'Q100a-geral'!F1479</f>
        <v>n.º de interseções com travessia considerada "suficiente" para pedestres, ou seja, n.º de interseções com semáforo para veículos onde há foco de pedestres, embora nem todos os movimentos dos pedestres sejam possíveis pelo menor percurso
obs.: resultados de 2003 a 2014 em BHTRANS (2015p)</v>
      </c>
      <c r="G484" s="252" t="str">
        <f>'Q100a-geral'!G1479</f>
        <v>registro na fonte</v>
      </c>
      <c r="H484" s="173" t="str">
        <f>'Q100a-geral'!H1479</f>
        <v>x</v>
      </c>
      <c r="I484" s="57">
        <f>'Q100a-geral'!I1479</f>
        <v>1</v>
      </c>
      <c r="J484" s="107" t="str">
        <f>'Q100a-geral'!J1479</f>
        <v>x</v>
      </c>
      <c r="K484" s="11" t="str">
        <f>'Q100a-geral'!K1479</f>
        <v>x</v>
      </c>
      <c r="L484" s="11" t="str">
        <f>'Q100a-geral'!L1479</f>
        <v>x</v>
      </c>
      <c r="M484" s="11" t="str">
        <f>'Q100a-geral'!M1479</f>
        <v>x</v>
      </c>
      <c r="N484" s="11" t="str">
        <f>'Q100a-geral'!N1479</f>
        <v>x</v>
      </c>
      <c r="O484" s="11" t="str">
        <f>'Q100a-geral'!O1479</f>
        <v>x</v>
      </c>
      <c r="P484" s="11" t="str">
        <f>'Q100a-geral'!P1479</f>
        <v>x</v>
      </c>
      <c r="Q484" s="11" t="str">
        <f>'Q100a-geral'!Q1479</f>
        <v>x</v>
      </c>
      <c r="R484" s="11" t="str">
        <f>'Q100a-geral'!R1479</f>
        <v>x</v>
      </c>
      <c r="S484" s="649" t="str">
        <f>'Q100a-geral'!S1479</f>
        <v>só para pesquisa</v>
      </c>
      <c r="T484" s="11" t="str">
        <f>'Q100a-geral'!T1479</f>
        <v>x</v>
      </c>
      <c r="U484" s="11" t="str">
        <f>'Q100a-geral'!U1479</f>
        <v>x</v>
      </c>
      <c r="V484" s="107" t="str">
        <f>'Q100a-geral'!V1479</f>
        <v>só para pesquisa</v>
      </c>
      <c r="W484" s="11" t="str">
        <f>'Q100a-geral'!W1479</f>
        <v>x</v>
      </c>
      <c r="X484" s="11" t="str">
        <f>'Q100a-geral'!X1479</f>
        <v>x</v>
      </c>
      <c r="Y484" s="96">
        <f>'Q100a-geral'!Y1479</f>
        <v>134</v>
      </c>
      <c r="Z484" s="97">
        <f>'Q100a-geral'!Z1479</f>
        <v>153</v>
      </c>
      <c r="AA484" s="97">
        <f>'Q100a-geral'!AA1479</f>
        <v>153</v>
      </c>
      <c r="AB484" s="97">
        <f>'Q100a-geral'!AB1479</f>
        <v>160</v>
      </c>
      <c r="AC484" s="97">
        <f>'Q100a-geral'!AC1479</f>
        <v>158</v>
      </c>
      <c r="AD484" s="97">
        <f>'Q100a-geral'!AD1479</f>
        <v>161</v>
      </c>
      <c r="AE484" s="97">
        <f>'Q100a-geral'!AE1479</f>
        <v>166</v>
      </c>
      <c r="AF484" s="97">
        <f>'Q100a-geral'!AF1479</f>
        <v>172</v>
      </c>
      <c r="AG484" s="97">
        <f>'Q100a-geral'!AG1479</f>
        <v>179</v>
      </c>
      <c r="AH484" s="97">
        <f>'Q100a-geral'!AH1479</f>
        <v>186</v>
      </c>
      <c r="AI484" s="97">
        <f>'Q100a-geral'!AI1479</f>
        <v>197</v>
      </c>
      <c r="AJ484" s="97">
        <f>'Q100a-geral'!AJ1479</f>
        <v>205</v>
      </c>
      <c r="AK484" s="137" t="str">
        <f>'Q100a-geral'!AK1479</f>
        <v>x</v>
      </c>
      <c r="AL484" s="212" t="str">
        <f>'Q100a-geral'!AL1479</f>
        <v>x</v>
      </c>
      <c r="AM484" s="137" t="str">
        <f>'Q100a-geral'!AM1479</f>
        <v>x</v>
      </c>
      <c r="AN484" s="137" t="str">
        <f>'Q100a-geral'!AN1479</f>
        <v>x</v>
      </c>
      <c r="AO484" s="137" t="str">
        <f>'Q100a-geral'!AO1479</f>
        <v>x</v>
      </c>
      <c r="AP484" s="137" t="str">
        <f>'Q100a-geral'!AP1479</f>
        <v>x</v>
      </c>
      <c r="AQ484" s="137" t="str">
        <f>'Q100a-geral'!AQ1479</f>
        <v>x</v>
      </c>
      <c r="AR484" s="137"/>
      <c r="AS484" s="137"/>
      <c r="AT484" s="137"/>
      <c r="AU484" s="137"/>
      <c r="AV484" s="137" t="str">
        <f>'Q100a-geral'!AV1479</f>
        <v>x</v>
      </c>
      <c r="AW484" s="137"/>
      <c r="AX484" s="137"/>
      <c r="AY484" s="137"/>
      <c r="AZ484" s="137"/>
      <c r="BA484" s="137" t="str">
        <f>'Q100a-geral'!BA1479</f>
        <v>x</v>
      </c>
      <c r="BB484" s="239" t="str">
        <f>'Q100a-geral'!BB1479</f>
        <v>Sinalização semafóricax</v>
      </c>
      <c r="BC484" s="239" t="str">
        <f>'Q100a-geral'!BC1479</f>
        <v>Sinalização semafóricaxx</v>
      </c>
      <c r="BD484" s="239" t="str">
        <f>'Q100a-geral'!BD1479</f>
        <v>Sinalização semafóricax</v>
      </c>
    </row>
    <row r="485" spans="1:56" s="1" customFormat="1" ht="99.75" customHeight="1" x14ac:dyDescent="0.25">
      <c r="A485" s="275" t="str">
        <f>'Q100a-geral'!A1480</f>
        <v>9.5</v>
      </c>
      <c r="B485" s="11" t="str">
        <f>'Q100a-geral'!B1480</f>
        <v>Sinalização semafórica</v>
      </c>
      <c r="C485" s="230" t="str">
        <f>'Q100a-geral'!C1480</f>
        <v>x</v>
      </c>
      <c r="D485" s="430" t="str">
        <f>'Q100a-geral'!D1480</f>
        <v>ITS em relação a ICP</v>
      </c>
      <c r="E485" s="13" t="s">
        <v>1306</v>
      </c>
      <c r="F485" s="445" t="str">
        <f>'Q100a-geral'!F1480</f>
        <v>percentual de interseções com travessia suficiente de pedestres em relação ao total de interseções com foco de pedestres</v>
      </c>
      <c r="G485" s="11" t="str">
        <f>'Q100a-geral'!G1480</f>
        <v>(ITS/ICP) x 100</v>
      </c>
      <c r="H485" s="173" t="str">
        <f>'Q100a-geral'!H1480</f>
        <v>x</v>
      </c>
      <c r="I485" s="57">
        <f>'Q100a-geral'!I1480</f>
        <v>1</v>
      </c>
      <c r="J485" s="107" t="str">
        <f>'Q100a-geral'!J1480</f>
        <v>x</v>
      </c>
      <c r="K485" s="58" t="str">
        <f>'Q100a-geral'!K1480</f>
        <v>x</v>
      </c>
      <c r="L485" s="58" t="str">
        <f>'Q100a-geral'!L1480</f>
        <v>x</v>
      </c>
      <c r="M485" s="58" t="str">
        <f>'Q100a-geral'!M1480</f>
        <v>x</v>
      </c>
      <c r="N485" s="58" t="str">
        <f>'Q100a-geral'!N1480</f>
        <v>x</v>
      </c>
      <c r="O485" s="58" t="str">
        <f>'Q100a-geral'!O1480</f>
        <v>x</v>
      </c>
      <c r="P485" s="58" t="str">
        <f>'Q100a-geral'!P1480</f>
        <v>x</v>
      </c>
      <c r="Q485" s="58" t="str">
        <f>'Q100a-geral'!Q1480</f>
        <v>x</v>
      </c>
      <c r="R485" s="58" t="str">
        <f>'Q100a-geral'!R1480</f>
        <v>x</v>
      </c>
      <c r="S485" s="649" t="str">
        <f>'Q100a-geral'!S1480</f>
        <v>só para pesquisa</v>
      </c>
      <c r="T485" s="58" t="str">
        <f>'Q100a-geral'!T1480</f>
        <v>x</v>
      </c>
      <c r="U485" s="58" t="str">
        <f>'Q100a-geral'!U1480</f>
        <v>x</v>
      </c>
      <c r="V485" s="107" t="str">
        <f>'Q100a-geral'!V1480</f>
        <v>só para pesquisa</v>
      </c>
      <c r="W485" s="58" t="str">
        <f>'Q100a-geral'!W1480</f>
        <v>x</v>
      </c>
      <c r="X485" s="58" t="str">
        <f>'Q100a-geral'!X1480</f>
        <v>x</v>
      </c>
      <c r="Y485" s="21">
        <f>'Q100a-geral'!Y1480</f>
        <v>0.32367149758454106</v>
      </c>
      <c r="Z485" s="21">
        <f>'Q100a-geral'!Z1480</f>
        <v>0.33849557522123896</v>
      </c>
      <c r="AA485" s="21">
        <f>'Q100a-geral'!AA1480</f>
        <v>0.3283261802575107</v>
      </c>
      <c r="AB485" s="21">
        <f>'Q100a-geral'!AB1480</f>
        <v>0.32921810699588477</v>
      </c>
      <c r="AC485" s="21">
        <f>'Q100a-geral'!AC1480</f>
        <v>0.316</v>
      </c>
      <c r="AD485" s="21">
        <f>'Q100a-geral'!AD1480</f>
        <v>0.3114119922630561</v>
      </c>
      <c r="AE485" s="21">
        <f>'Q100a-geral'!AE1480</f>
        <v>0.31499051233396586</v>
      </c>
      <c r="AF485" s="21">
        <f>'Q100a-geral'!AF1480</f>
        <v>0.31675874769797424</v>
      </c>
      <c r="AG485" s="21">
        <f>'Q100a-geral'!AG1480</f>
        <v>0.31737588652482268</v>
      </c>
      <c r="AH485" s="21">
        <f>'Q100a-geral'!AH1480</f>
        <v>0.31525423728813562</v>
      </c>
      <c r="AI485" s="21">
        <f>'Q100a-geral'!AI1480</f>
        <v>0.3182552504038772</v>
      </c>
      <c r="AJ485" s="21">
        <f>'Q100a-geral'!AJ1480</f>
        <v>0.3188180404354588</v>
      </c>
      <c r="AK485" s="137" t="str">
        <f>'Q100a-geral'!AK1480</f>
        <v>x</v>
      </c>
      <c r="AL485" s="212" t="str">
        <f>'Q100a-geral'!AL1480</f>
        <v>x</v>
      </c>
      <c r="AM485" s="137" t="str">
        <f>'Q100a-geral'!AM1480</f>
        <v>x</v>
      </c>
      <c r="AN485" s="137" t="str">
        <f>'Q100a-geral'!AN1480</f>
        <v>x</v>
      </c>
      <c r="AO485" s="137" t="str">
        <f>'Q100a-geral'!AO1480</f>
        <v>x</v>
      </c>
      <c r="AP485" s="137" t="str">
        <f>'Q100a-geral'!AP1480</f>
        <v>x</v>
      </c>
      <c r="AQ485" s="137" t="str">
        <f>'Q100a-geral'!AQ1480</f>
        <v>x</v>
      </c>
      <c r="AR485" s="137"/>
      <c r="AS485" s="137"/>
      <c r="AT485" s="137"/>
      <c r="AU485" s="137"/>
      <c r="AV485" s="137" t="str">
        <f>'Q100a-geral'!AV1480</f>
        <v>x</v>
      </c>
      <c r="AW485" s="137"/>
      <c r="AX485" s="137"/>
      <c r="AY485" s="137"/>
      <c r="AZ485" s="137"/>
      <c r="BA485" s="137" t="str">
        <f>'Q100a-geral'!BA1480</f>
        <v>x</v>
      </c>
      <c r="BB485" s="239" t="str">
        <f>'Q100a-geral'!BB1480</f>
        <v>Sinalização semafóricax</v>
      </c>
      <c r="BC485" s="239" t="str">
        <f>'Q100a-geral'!BC1480</f>
        <v>Sinalização semafóricaxx</v>
      </c>
      <c r="BD485" s="239" t="str">
        <f>'Q100a-geral'!BD1480</f>
        <v>Sinalização semafóricax</v>
      </c>
    </row>
    <row r="486" spans="1:56" s="1" customFormat="1" ht="63.75" customHeight="1" x14ac:dyDescent="0.25">
      <c r="A486" s="275" t="str">
        <f>'Q100a-geral'!A1482</f>
        <v>9.5</v>
      </c>
      <c r="B486" s="11" t="str">
        <f>'Q100a-geral'!B1482</f>
        <v>Sinalização semafórica</v>
      </c>
      <c r="C486" s="230" t="str">
        <f>'Q100a-geral'!C1482</f>
        <v>acessibilidade</v>
      </c>
      <c r="D486" s="322" t="str">
        <f>'Q100a-geral'!D1482</f>
        <v>ITT</v>
      </c>
      <c r="E486" s="13" t="s">
        <v>1306</v>
      </c>
      <c r="F486" s="445" t="str">
        <f>'Q100a-geral'!F1482</f>
        <v>n.º de interseções com travessia considerada "total" para pedestres, ou seja, n.º de interseções com semáforo para veículos onde há foco de pedestres e todos os movimentos dos pedestres são possíveis pelo menor percurso
obs.1: resultados de 2003 a 2014 fornecidos pela Gerência de Planejamento e Controle Operacional - Geplo/DRO em BHTRANS (2015p)
obs.2: "A partir do mês de Abril de 2014 os Indicadores Semafóricos, apresentados anteriormente no Item 4 dos Relatórios Mensais, passam a ser de responsabilidade da Gerência de Simulação de Transportes, Trânsito e Programação Semafórica – GESIT" (BHTRANS, 2015q).</v>
      </c>
      <c r="G486" s="252" t="str">
        <f>'Q100a-geral'!G1482</f>
        <v>registro na fonte</v>
      </c>
      <c r="H486" s="173" t="str">
        <f>'Q100a-geral'!H1482</f>
        <v>x</v>
      </c>
      <c r="I486" s="57">
        <f>'Q100a-geral'!I1482</f>
        <v>1</v>
      </c>
      <c r="J486" s="107" t="str">
        <f>'Q100a-geral'!J1482</f>
        <v>x</v>
      </c>
      <c r="K486" s="93" t="str">
        <f>'Q100a-geral'!K1482</f>
        <v>x</v>
      </c>
      <c r="L486" s="93" t="str">
        <f>'Q100a-geral'!L1482</f>
        <v>x</v>
      </c>
      <c r="M486" s="93" t="str">
        <f>'Q100a-geral'!M1482</f>
        <v>x</v>
      </c>
      <c r="N486" s="93" t="str">
        <f>'Q100a-geral'!N1482</f>
        <v>x</v>
      </c>
      <c r="O486" s="93" t="str">
        <f>'Q100a-geral'!O1482</f>
        <v>x</v>
      </c>
      <c r="P486" s="93" t="str">
        <f>'Q100a-geral'!P1482</f>
        <v>x</v>
      </c>
      <c r="Q486" s="93" t="str">
        <f>'Q100a-geral'!Q1482</f>
        <v>x</v>
      </c>
      <c r="R486" s="93" t="str">
        <f>'Q100a-geral'!R1482</f>
        <v>x</v>
      </c>
      <c r="S486" s="649" t="str">
        <f>'Q100a-geral'!S1482</f>
        <v>só para pesquisa</v>
      </c>
      <c r="T486" s="93" t="str">
        <f>'Q100a-geral'!T1482</f>
        <v>x</v>
      </c>
      <c r="U486" s="93" t="str">
        <f>'Q100a-geral'!U1482</f>
        <v>x</v>
      </c>
      <c r="V486" s="107" t="str">
        <f>'Q100a-geral'!V1482</f>
        <v>só para pesquisa</v>
      </c>
      <c r="W486" s="93" t="str">
        <f>'Q100a-geral'!W1482</f>
        <v>x</v>
      </c>
      <c r="X486" s="93" t="str">
        <f>'Q100a-geral'!X1482</f>
        <v>x</v>
      </c>
      <c r="Y486" s="96">
        <f>'Q100a-geral'!Y1482</f>
        <v>64</v>
      </c>
      <c r="Z486" s="97">
        <f>'Q100a-geral'!Z1482</f>
        <v>71</v>
      </c>
      <c r="AA486" s="97">
        <f>'Q100a-geral'!AA1482</f>
        <v>74</v>
      </c>
      <c r="AB486" s="97">
        <f>'Q100a-geral'!AB1482</f>
        <v>76</v>
      </c>
      <c r="AC486" s="97">
        <f>'Q100a-geral'!AC1482</f>
        <v>80</v>
      </c>
      <c r="AD486" s="97">
        <f>'Q100a-geral'!AD1482</f>
        <v>81</v>
      </c>
      <c r="AE486" s="97">
        <f>'Q100a-geral'!AE1482</f>
        <v>82</v>
      </c>
      <c r="AF486" s="97">
        <f>'Q100a-geral'!AF1482</f>
        <v>87</v>
      </c>
      <c r="AG486" s="97">
        <f>'Q100a-geral'!AG1482</f>
        <v>89</v>
      </c>
      <c r="AH486" s="97">
        <f>'Q100a-geral'!AH1482</f>
        <v>97</v>
      </c>
      <c r="AI486" s="97">
        <f>'Q100a-geral'!AI1482</f>
        <v>108</v>
      </c>
      <c r="AJ486" s="97">
        <f>'Q100a-geral'!AJ1482</f>
        <v>109</v>
      </c>
      <c r="AK486" s="137" t="str">
        <f>'Q100a-geral'!AK1482</f>
        <v>x</v>
      </c>
      <c r="AL486" s="212" t="str">
        <f>'Q100a-geral'!AL1482</f>
        <v>x</v>
      </c>
      <c r="AM486" s="137" t="str">
        <f>'Q100a-geral'!AM1482</f>
        <v>x</v>
      </c>
      <c r="AN486" s="137" t="str">
        <f>'Q100a-geral'!AN1482</f>
        <v>x</v>
      </c>
      <c r="AO486" s="137" t="str">
        <f>'Q100a-geral'!AO1482</f>
        <v>x</v>
      </c>
      <c r="AP486" s="137" t="str">
        <f>'Q100a-geral'!AP1482</f>
        <v>x</v>
      </c>
      <c r="AQ486" s="137" t="str">
        <f>'Q100a-geral'!AQ1482</f>
        <v>x</v>
      </c>
      <c r="AR486" s="137"/>
      <c r="AS486" s="137"/>
      <c r="AT486" s="137"/>
      <c r="AU486" s="137"/>
      <c r="AV486" s="137" t="str">
        <f>'Q100a-geral'!AV1482</f>
        <v>x</v>
      </c>
      <c r="AW486" s="137"/>
      <c r="AX486" s="137"/>
      <c r="AY486" s="137"/>
      <c r="AZ486" s="137"/>
      <c r="BA486" s="137" t="str">
        <f>'Q100a-geral'!BA1482</f>
        <v>x</v>
      </c>
      <c r="BB486" s="239" t="str">
        <f>'Q100a-geral'!BB1482</f>
        <v>Sinalização semafóricaacessibilidade</v>
      </c>
      <c r="BC486" s="239" t="str">
        <f>'Q100a-geral'!BC1482</f>
        <v>Sinalização semafóricaacessibilidadex</v>
      </c>
      <c r="BD486" s="239" t="str">
        <f>'Q100a-geral'!BD1482</f>
        <v>Sinalização semafóricax</v>
      </c>
    </row>
    <row r="487" spans="1:56" s="1" customFormat="1" ht="63.75" customHeight="1" x14ac:dyDescent="0.25">
      <c r="A487" s="275" t="str">
        <f>'Q100a-geral'!A1483</f>
        <v>9.5</v>
      </c>
      <c r="B487" s="11" t="str">
        <f>'Q100a-geral'!B1483</f>
        <v>Sinalização semafórica</v>
      </c>
      <c r="C487" s="230" t="str">
        <f>'Q100a-geral'!C1483</f>
        <v>acessibilidade</v>
      </c>
      <c r="D487" s="287" t="str">
        <f>'Q100a-geral'!D1483</f>
        <v>ITT em relação a ICP
% de interseções com travessia total de pedestres</v>
      </c>
      <c r="E487" s="13" t="s">
        <v>1306</v>
      </c>
      <c r="F487" s="488" t="str">
        <f>'Q100a-geral'!F1483</f>
        <v>percentual de interseções com travessia total de pedestres em relação ao total de interseções com foco de pedestres</v>
      </c>
      <c r="G487" s="11" t="str">
        <f>'Q100a-geral'!G1483</f>
        <v>(ITT/ICP) x 100</v>
      </c>
      <c r="H487" s="173" t="str">
        <f>'Q100a-geral'!H1483</f>
        <v>x</v>
      </c>
      <c r="I487" s="57">
        <f>'Q100a-geral'!I1483</f>
        <v>1</v>
      </c>
      <c r="J487" s="107" t="str">
        <f>'Q100a-geral'!J1483</f>
        <v>x</v>
      </c>
      <c r="K487" s="58" t="str">
        <f>'Q100a-geral'!K1483</f>
        <v>x</v>
      </c>
      <c r="L487" s="58" t="str">
        <f>'Q100a-geral'!L1483</f>
        <v>x</v>
      </c>
      <c r="M487" s="58" t="str">
        <f>'Q100a-geral'!M1483</f>
        <v>x</v>
      </c>
      <c r="N487" s="58" t="str">
        <f>'Q100a-geral'!N1483</f>
        <v>x</v>
      </c>
      <c r="O487" s="58" t="str">
        <f>'Q100a-geral'!O1483</f>
        <v>x</v>
      </c>
      <c r="P487" s="58" t="str">
        <f>'Q100a-geral'!P1483</f>
        <v>x</v>
      </c>
      <c r="Q487" s="58" t="str">
        <f>'Q100a-geral'!Q1483</f>
        <v>x</v>
      </c>
      <c r="R487" s="58" t="str">
        <f>'Q100a-geral'!R1483</f>
        <v>x</v>
      </c>
      <c r="S487" s="649" t="str">
        <f>'Q100a-geral'!S1483</f>
        <v>só para pesquisa</v>
      </c>
      <c r="T487" s="58" t="str">
        <f>'Q100a-geral'!T1483</f>
        <v>x</v>
      </c>
      <c r="U487" s="58" t="str">
        <f>'Q100a-geral'!U1483</f>
        <v>x</v>
      </c>
      <c r="V487" s="107" t="str">
        <f>'Q100a-geral'!V1483</f>
        <v>só para pesquisa</v>
      </c>
      <c r="W487" s="58" t="str">
        <f>'Q100a-geral'!W1483</f>
        <v>x</v>
      </c>
      <c r="X487" s="58" t="str">
        <f>'Q100a-geral'!X1483</f>
        <v>x</v>
      </c>
      <c r="Y487" s="21">
        <f>'Q100a-geral'!Y1483</f>
        <v>0.15458937198067632</v>
      </c>
      <c r="Z487" s="21">
        <f>'Q100a-geral'!Z1483</f>
        <v>0.15707964601769911</v>
      </c>
      <c r="AA487" s="21">
        <f>'Q100a-geral'!AA1483</f>
        <v>0.15879828326180256</v>
      </c>
      <c r="AB487" s="21">
        <f>'Q100a-geral'!AB1483</f>
        <v>0.15637860082304528</v>
      </c>
      <c r="AC487" s="21">
        <f>'Q100a-geral'!AC1483</f>
        <v>0.16</v>
      </c>
      <c r="AD487" s="21">
        <f>'Q100a-geral'!AD1483</f>
        <v>0.15667311411992263</v>
      </c>
      <c r="AE487" s="21">
        <f>'Q100a-geral'!AE1483</f>
        <v>0.15559772296015181</v>
      </c>
      <c r="AF487" s="21">
        <f>'Q100a-geral'!AF1483</f>
        <v>0.16022099447513813</v>
      </c>
      <c r="AG487" s="21">
        <f>'Q100a-geral'!AG1483</f>
        <v>0.15780141843971632</v>
      </c>
      <c r="AH487" s="21">
        <f>'Q100a-geral'!AH1483</f>
        <v>0.16440677966101694</v>
      </c>
      <c r="AI487" s="21">
        <f>'Q100a-geral'!AI1483</f>
        <v>0.17447495961227788</v>
      </c>
      <c r="AJ487" s="21">
        <f>'Q100a-geral'!AJ1483</f>
        <v>0.16951788491446346</v>
      </c>
      <c r="AK487" s="137" t="str">
        <f>'Q100a-geral'!AK1483</f>
        <v>x</v>
      </c>
      <c r="AL487" s="212" t="str">
        <f>'Q100a-geral'!AL1483</f>
        <v>x</v>
      </c>
      <c r="AM487" s="137" t="str">
        <f>'Q100a-geral'!AM1483</f>
        <v>x</v>
      </c>
      <c r="AN487" s="137" t="str">
        <f>'Q100a-geral'!AN1483</f>
        <v>x</v>
      </c>
      <c r="AO487" s="137" t="str">
        <f>'Q100a-geral'!AO1483</f>
        <v>x</v>
      </c>
      <c r="AP487" s="137" t="str">
        <f>'Q100a-geral'!AP1483</f>
        <v>x</v>
      </c>
      <c r="AQ487" s="137" t="str">
        <f>'Q100a-geral'!AQ1483</f>
        <v>x</v>
      </c>
      <c r="AR487" s="137"/>
      <c r="AS487" s="137"/>
      <c r="AT487" s="137"/>
      <c r="AU487" s="137"/>
      <c r="AV487" s="137" t="str">
        <f>'Q100a-geral'!AV1483</f>
        <v>x</v>
      </c>
      <c r="AW487" s="137"/>
      <c r="AX487" s="137"/>
      <c r="AY487" s="137"/>
      <c r="AZ487" s="137"/>
      <c r="BA487" s="137" t="str">
        <f>'Q100a-geral'!BA1483</f>
        <v>x</v>
      </c>
      <c r="BB487" s="239" t="str">
        <f>'Q100a-geral'!BB1483</f>
        <v>Sinalização semafóricaacessibilidade</v>
      </c>
      <c r="BC487" s="239" t="str">
        <f>'Q100a-geral'!BC1483</f>
        <v>Sinalização semafóricaacessibilidadex</v>
      </c>
      <c r="BD487" s="239" t="str">
        <f>'Q100a-geral'!BD1483</f>
        <v>Sinalização semafóricax</v>
      </c>
    </row>
    <row r="488" spans="1:56" s="1" customFormat="1" ht="76.5" customHeight="1" x14ac:dyDescent="0.25">
      <c r="A488" s="275" t="str">
        <f>'Q100a-geral'!A1484</f>
        <v>9.5</v>
      </c>
      <c r="B488" s="11" t="str">
        <f>'Q100a-geral'!B1484</f>
        <v>Sinalização semafórica</v>
      </c>
      <c r="C488" s="230" t="str">
        <f>'Q100a-geral'!C1484</f>
        <v>acessibilidade</v>
      </c>
      <c r="D488" s="322" t="str">
        <f>'Q100a-geral'!D1484</f>
        <v>ITTac</v>
      </c>
      <c r="E488" s="13" t="s">
        <v>1306</v>
      </c>
      <c r="F488" s="445" t="str">
        <f>'Q100a-geral'!F1484</f>
        <v>n.º de interseções acessíveis com travessia considerada "total" para pedestres, ou seja, n.º de interseções acessíveis com semáforo para veículos onde há foco de pedestres e todos os movimentos dos pedestres são acessíveis e possíveis pelo menor percurso
obs.: falta conceituar o que seja uma "travessia acessível"</v>
      </c>
      <c r="G488" s="252" t="str">
        <f>'Q100a-geral'!G1484</f>
        <v>registro na fonte</v>
      </c>
      <c r="H488" s="173" t="str">
        <f>'Q100a-geral'!H1484</f>
        <v>ainda não incorporado ao SisMob-BH</v>
      </c>
      <c r="I488" s="57">
        <f>'Q100a-geral'!I1484</f>
        <v>1</v>
      </c>
      <c r="J488" s="107" t="str">
        <f>'Q100a-geral'!J1484</f>
        <v>x</v>
      </c>
      <c r="K488" s="93" t="str">
        <f>'Q100a-geral'!K1484</f>
        <v>x</v>
      </c>
      <c r="L488" s="93" t="str">
        <f>'Q100a-geral'!L1484</f>
        <v>x</v>
      </c>
      <c r="M488" s="93" t="str">
        <f>'Q100a-geral'!M1484</f>
        <v>x</v>
      </c>
      <c r="N488" s="93" t="str">
        <f>'Q100a-geral'!N1484</f>
        <v>x</v>
      </c>
      <c r="O488" s="93" t="str">
        <f>'Q100a-geral'!O1484</f>
        <v>x</v>
      </c>
      <c r="P488" s="93" t="str">
        <f>'Q100a-geral'!P1484</f>
        <v>x</v>
      </c>
      <c r="Q488" s="93" t="str">
        <f>'Q100a-geral'!Q1484</f>
        <v>x</v>
      </c>
      <c r="R488" s="93" t="str">
        <f>'Q100a-geral'!R1484</f>
        <v>x</v>
      </c>
      <c r="S488" s="649" t="str">
        <f>'Q100a-geral'!S1484</f>
        <v>só para pesquisa</v>
      </c>
      <c r="T488" s="93" t="str">
        <f>'Q100a-geral'!T1484</f>
        <v>x</v>
      </c>
      <c r="U488" s="93" t="str">
        <f>'Q100a-geral'!U1484</f>
        <v>x</v>
      </c>
      <c r="V488" s="107" t="str">
        <f>'Q100a-geral'!V1484</f>
        <v>só para pesquisa</v>
      </c>
      <c r="W488" s="93" t="str">
        <f>'Q100a-geral'!W1484</f>
        <v>x</v>
      </c>
      <c r="X488" s="93" t="str">
        <f>'Q100a-geral'!X1484</f>
        <v>x</v>
      </c>
      <c r="Y488" s="93" t="str">
        <f>'Q100a-geral'!Y1484</f>
        <v>x</v>
      </c>
      <c r="Z488" s="93" t="str">
        <f>'Q100a-geral'!Z1484</f>
        <v>x</v>
      </c>
      <c r="AA488" s="93" t="str">
        <f>'Q100a-geral'!AA1484</f>
        <v>x</v>
      </c>
      <c r="AB488" s="93" t="str">
        <f>'Q100a-geral'!AB1484</f>
        <v>x</v>
      </c>
      <c r="AC488" s="93" t="str">
        <f>'Q100a-geral'!AC1484</f>
        <v>x</v>
      </c>
      <c r="AD488" s="93" t="str">
        <f>'Q100a-geral'!AD1484</f>
        <v>x</v>
      </c>
      <c r="AE488" s="93" t="str">
        <f>'Q100a-geral'!AE1484</f>
        <v>x</v>
      </c>
      <c r="AF488" s="93" t="str">
        <f>'Q100a-geral'!AF1484</f>
        <v>x</v>
      </c>
      <c r="AG488" s="93" t="str">
        <f>'Q100a-geral'!AG1484</f>
        <v>x</v>
      </c>
      <c r="AH488" s="93" t="str">
        <f>'Q100a-geral'!AH1484</f>
        <v>x</v>
      </c>
      <c r="AI488" s="93" t="str">
        <f>'Q100a-geral'!AI1484</f>
        <v>x</v>
      </c>
      <c r="AJ488" s="93" t="str">
        <f>'Q100a-geral'!AJ1484</f>
        <v>x</v>
      </c>
      <c r="AK488" s="137" t="str">
        <f>'Q100a-geral'!AK1484</f>
        <v>x</v>
      </c>
      <c r="AL488" s="212" t="str">
        <f>'Q100a-geral'!AL1484</f>
        <v>x</v>
      </c>
      <c r="AM488" s="137" t="str">
        <f>'Q100a-geral'!AM1484</f>
        <v>x</v>
      </c>
      <c r="AN488" s="137" t="str">
        <f>'Q100a-geral'!AN1484</f>
        <v>x</v>
      </c>
      <c r="AO488" s="137" t="str">
        <f>'Q100a-geral'!AO1484</f>
        <v>x</v>
      </c>
      <c r="AP488" s="137" t="str">
        <f>'Q100a-geral'!AP1484</f>
        <v>x</v>
      </c>
      <c r="AQ488" s="137" t="str">
        <f>'Q100a-geral'!AQ1484</f>
        <v>x</v>
      </c>
      <c r="AR488" s="137"/>
      <c r="AS488" s="137"/>
      <c r="AT488" s="137"/>
      <c r="AU488" s="137"/>
      <c r="AV488" s="137" t="str">
        <f>'Q100a-geral'!AV1484</f>
        <v>x</v>
      </c>
      <c r="AW488" s="137"/>
      <c r="AX488" s="137"/>
      <c r="AY488" s="137"/>
      <c r="AZ488" s="137"/>
      <c r="BA488" s="137" t="str">
        <f>'Q100a-geral'!BA1484</f>
        <v>x</v>
      </c>
      <c r="BB488" s="239" t="str">
        <f>'Q100a-geral'!BB1484</f>
        <v>Sinalização semafóricaacessibilidade</v>
      </c>
      <c r="BC488" s="239" t="str">
        <f>'Q100a-geral'!BC1484</f>
        <v>Sinalização semafóricaacessibilidadeainda não incorporado ao SisMob-BH</v>
      </c>
      <c r="BD488" s="239" t="str">
        <f>'Q100a-geral'!BD1484</f>
        <v>Sinalização semafóricaainda não incorporado ao SisMob-BH</v>
      </c>
    </row>
    <row r="489" spans="1:56" s="1" customFormat="1" ht="74.25" customHeight="1" x14ac:dyDescent="0.25">
      <c r="A489" s="275" t="str">
        <f>'Q100a-geral'!A1485</f>
        <v>9.5</v>
      </c>
      <c r="B489" s="11" t="str">
        <f>'Q100a-geral'!B1485</f>
        <v>Sinalização semafórica</v>
      </c>
      <c r="C489" s="230" t="str">
        <f>'Q100a-geral'!C1485</f>
        <v>acessibilidade</v>
      </c>
      <c r="D489" s="322" t="str">
        <f>'Q100a-geral'!D1485</f>
        <v>ITTac em relação a ICP</v>
      </c>
      <c r="E489" s="13" t="s">
        <v>1306</v>
      </c>
      <c r="F489" s="445" t="str">
        <f>'Q100a-geral'!F1485</f>
        <v>percentual de interseções com travessia total de pedestres em relação ao total de interseções com foco de pedestres
obs.: falta conceituar o que seja uma "travessia acessível"</v>
      </c>
      <c r="G489" s="11" t="str">
        <f>'Q100a-geral'!G1485</f>
        <v>(ITTac/ICP) x 100</v>
      </c>
      <c r="H489" s="173" t="str">
        <f>'Q100a-geral'!H1485</f>
        <v>ainda não incorporado ao SisMob-BH</v>
      </c>
      <c r="I489" s="57">
        <f>'Q100a-geral'!I1485</f>
        <v>1</v>
      </c>
      <c r="J489" s="107" t="str">
        <f>'Q100a-geral'!J1485</f>
        <v>x</v>
      </c>
      <c r="K489" s="58" t="str">
        <f>'Q100a-geral'!K1485</f>
        <v>x</v>
      </c>
      <c r="L489" s="58" t="str">
        <f>'Q100a-geral'!L1485</f>
        <v>x</v>
      </c>
      <c r="M489" s="58" t="str">
        <f>'Q100a-geral'!M1485</f>
        <v>x</v>
      </c>
      <c r="N489" s="58" t="str">
        <f>'Q100a-geral'!N1485</f>
        <v>x</v>
      </c>
      <c r="O489" s="58" t="str">
        <f>'Q100a-geral'!O1485</f>
        <v>x</v>
      </c>
      <c r="P489" s="58" t="str">
        <f>'Q100a-geral'!P1485</f>
        <v>x</v>
      </c>
      <c r="Q489" s="58" t="str">
        <f>'Q100a-geral'!Q1485</f>
        <v>x</v>
      </c>
      <c r="R489" s="58" t="str">
        <f>'Q100a-geral'!R1485</f>
        <v>x</v>
      </c>
      <c r="S489" s="649" t="str">
        <f>'Q100a-geral'!S1485</f>
        <v>só para pesquisa</v>
      </c>
      <c r="T489" s="58" t="str">
        <f>'Q100a-geral'!T1485</f>
        <v>x</v>
      </c>
      <c r="U489" s="58" t="str">
        <f>'Q100a-geral'!U1485</f>
        <v>x</v>
      </c>
      <c r="V489" s="107" t="str">
        <f>'Q100a-geral'!V1485</f>
        <v>só para pesquisa</v>
      </c>
      <c r="W489" s="58" t="str">
        <f>'Q100a-geral'!W1485</f>
        <v>x</v>
      </c>
      <c r="X489" s="58" t="str">
        <f>'Q100a-geral'!X1485</f>
        <v>x</v>
      </c>
      <c r="Y489" s="58" t="str">
        <f>'Q100a-geral'!Y1485</f>
        <v>x</v>
      </c>
      <c r="Z489" s="58" t="str">
        <f>'Q100a-geral'!Z1485</f>
        <v>x</v>
      </c>
      <c r="AA489" s="58" t="str">
        <f>'Q100a-geral'!AA1485</f>
        <v>x</v>
      </c>
      <c r="AB489" s="58" t="str">
        <f>'Q100a-geral'!AB1485</f>
        <v>x</v>
      </c>
      <c r="AC489" s="58" t="str">
        <f>'Q100a-geral'!AC1485</f>
        <v>x</v>
      </c>
      <c r="AD489" s="58" t="str">
        <f>'Q100a-geral'!AD1485</f>
        <v>x</v>
      </c>
      <c r="AE489" s="58" t="str">
        <f>'Q100a-geral'!AE1485</f>
        <v>x</v>
      </c>
      <c r="AF489" s="58" t="str">
        <f>'Q100a-geral'!AF1485</f>
        <v>x</v>
      </c>
      <c r="AG489" s="58" t="str">
        <f>'Q100a-geral'!AG1485</f>
        <v>x</v>
      </c>
      <c r="AH489" s="58" t="str">
        <f>'Q100a-geral'!AH1485</f>
        <v>x</v>
      </c>
      <c r="AI489" s="58" t="str">
        <f>'Q100a-geral'!AI1485</f>
        <v>x</v>
      </c>
      <c r="AJ489" s="58" t="str">
        <f>'Q100a-geral'!AJ1485</f>
        <v>x</v>
      </c>
      <c r="AK489" s="137" t="str">
        <f>'Q100a-geral'!AK1485</f>
        <v>x</v>
      </c>
      <c r="AL489" s="212" t="str">
        <f>'Q100a-geral'!AL1485</f>
        <v>x</v>
      </c>
      <c r="AM489" s="137" t="str">
        <f>'Q100a-geral'!AM1485</f>
        <v>x</v>
      </c>
      <c r="AN489" s="137" t="str">
        <f>'Q100a-geral'!AN1485</f>
        <v>x</v>
      </c>
      <c r="AO489" s="137" t="str">
        <f>'Q100a-geral'!AO1485</f>
        <v>x</v>
      </c>
      <c r="AP489" s="137" t="str">
        <f>'Q100a-geral'!AP1485</f>
        <v>x</v>
      </c>
      <c r="AQ489" s="137" t="str">
        <f>'Q100a-geral'!AQ1485</f>
        <v>x</v>
      </c>
      <c r="AR489" s="137"/>
      <c r="AS489" s="137"/>
      <c r="AT489" s="137"/>
      <c r="AU489" s="137"/>
      <c r="AV489" s="137" t="str">
        <f>'Q100a-geral'!AV1485</f>
        <v>x</v>
      </c>
      <c r="AW489" s="137"/>
      <c r="AX489" s="137"/>
      <c r="AY489" s="137"/>
      <c r="AZ489" s="137"/>
      <c r="BA489" s="137" t="str">
        <f>'Q100a-geral'!BA1485</f>
        <v>x</v>
      </c>
      <c r="BB489" s="239" t="str">
        <f>'Q100a-geral'!BB1485</f>
        <v>Sinalização semafóricaacessibilidade</v>
      </c>
      <c r="BC489" s="239" t="str">
        <f>'Q100a-geral'!BC1485</f>
        <v>Sinalização semafóricaacessibilidadeainda não incorporado ao SisMob-BH</v>
      </c>
      <c r="BD489" s="239" t="str">
        <f>'Q100a-geral'!BD1485</f>
        <v>Sinalização semafóricaainda não incorporado ao SisMob-BH</v>
      </c>
    </row>
    <row r="490" spans="1:56" s="1" customFormat="1" ht="76.5" customHeight="1" x14ac:dyDescent="0.25">
      <c r="A490" s="275" t="str">
        <f>'Q100a-geral'!A1486</f>
        <v>9.5</v>
      </c>
      <c r="B490" s="11" t="str">
        <f>'Q100a-geral'!B1486</f>
        <v>Sinalização semafórica</v>
      </c>
      <c r="C490" s="57" t="str">
        <f>'Q100a-geral'!C1486</f>
        <v>x</v>
      </c>
      <c r="D490" s="430" t="str">
        <f>'Q100a-geral'!D1486</f>
        <v>ITT em relação a IS</v>
      </c>
      <c r="E490" s="13" t="s">
        <v>1306</v>
      </c>
      <c r="F490" s="445" t="str">
        <f>'Q100a-geral'!F1486</f>
        <v>percentual de interseções com travessia total de pedestres em relação ao total de interseções semaforizadas
obs.1: indicador estratégico com o nome de "percentual de travessias [sic] sinalizadas com foco de pedestres (em relação às travessias [sic] de
pedestres em interseções semaforizadas)" (BHTRANS, 2015e)
obs.2: indicador do grupo "pedestres" do Observatório da Mobilidade de Belo Horizonte (ObsMob-BH) com o nome de "percentual de interseções semaforizadas com foco de pedestres em todas as travessias" (BHTRANS, 2015e, p.22)
obs.3: ao comparar ITT com IS deve-se estar atento para que este indicador apresenta um resultado mascarado pois envolve duas dimensões bem distintas (afinal, há interseções semaforizadas "IS" onde não se pode pretender que haja qualquer travessia de pedestres, quanto mais uma "ITT")</v>
      </c>
      <c r="G490" s="11" t="str">
        <f>'Q100a-geral'!G1486</f>
        <v>(ITT/IS) x 100</v>
      </c>
      <c r="H490" s="173" t="str">
        <f>'Q100a-geral'!H1486</f>
        <v>x</v>
      </c>
      <c r="I490" s="57">
        <f>'Q100a-geral'!I1486</f>
        <v>1</v>
      </c>
      <c r="J490" s="107" t="str">
        <f>'Q100a-geral'!J1486</f>
        <v>x</v>
      </c>
      <c r="K490" s="58" t="str">
        <f>'Q100a-geral'!K1486</f>
        <v>x</v>
      </c>
      <c r="L490" s="58" t="str">
        <f>'Q100a-geral'!L1486</f>
        <v>x</v>
      </c>
      <c r="M490" s="58" t="str">
        <f>'Q100a-geral'!M1486</f>
        <v>x</v>
      </c>
      <c r="N490" s="58" t="str">
        <f>'Q100a-geral'!N1486</f>
        <v>x</v>
      </c>
      <c r="O490" s="58" t="str">
        <f>'Q100a-geral'!O1486</f>
        <v>x</v>
      </c>
      <c r="P490" s="58" t="str">
        <f>'Q100a-geral'!P1486</f>
        <v>x</v>
      </c>
      <c r="Q490" s="58" t="str">
        <f>'Q100a-geral'!Q1486</f>
        <v>x</v>
      </c>
      <c r="R490" s="58" t="str">
        <f>'Q100a-geral'!R1486</f>
        <v>x</v>
      </c>
      <c r="S490" s="649" t="str">
        <f>'Q100a-geral'!S1486</f>
        <v>só para pesquisa</v>
      </c>
      <c r="T490" s="58" t="str">
        <f>'Q100a-geral'!T1486</f>
        <v>x</v>
      </c>
      <c r="U490" s="58" t="str">
        <f>'Q100a-geral'!U1486</f>
        <v>x</v>
      </c>
      <c r="V490" s="107" t="str">
        <f>'Q100a-geral'!V1486</f>
        <v>só para pesquisa</v>
      </c>
      <c r="W490" s="58" t="str">
        <f>'Q100a-geral'!W1486</f>
        <v>x</v>
      </c>
      <c r="X490" s="58" t="str">
        <f>'Q100a-geral'!X1486</f>
        <v>x</v>
      </c>
      <c r="Y490" s="21">
        <f>'Q100a-geral'!Y1486</f>
        <v>0.11307420494699646</v>
      </c>
      <c r="Z490" s="21">
        <f>'Q100a-geral'!Z1486</f>
        <v>0.11794019933554817</v>
      </c>
      <c r="AA490" s="21">
        <f>'Q100a-geral'!AA1486</f>
        <v>0.12151067323481117</v>
      </c>
      <c r="AB490" s="21">
        <f>'Q100a-geral'!AB1486</f>
        <v>0.11987381703470032</v>
      </c>
      <c r="AC490" s="21">
        <f>'Q100a-geral'!AC1486</f>
        <v>0.12345679012345678</v>
      </c>
      <c r="AD490" s="21">
        <f>'Q100a-geral'!AD1486</f>
        <v>0.12162162162162163</v>
      </c>
      <c r="AE490" s="21">
        <f>'Q100a-geral'!AE1486</f>
        <v>0.12148148148148148</v>
      </c>
      <c r="AF490" s="21">
        <f>'Q100a-geral'!AF1486</f>
        <v>0.12590448625180897</v>
      </c>
      <c r="AG490" s="21">
        <f>'Q100a-geral'!AG1486</f>
        <v>0.12395543175487465</v>
      </c>
      <c r="AH490" s="21">
        <f>'Q100a-geral'!AH1486</f>
        <v>0.13055181695827725</v>
      </c>
      <c r="AI490" s="21">
        <f>'Q100a-geral'!AI1486</f>
        <v>0.14044213263979194</v>
      </c>
      <c r="AJ490" s="21">
        <f>'Q100a-geral'!AJ1486</f>
        <v>0.1357409713574097</v>
      </c>
      <c r="AK490" s="137" t="str">
        <f>'Q100a-geral'!AK1486</f>
        <v>x</v>
      </c>
      <c r="AL490" s="212" t="str">
        <f>'Q100a-geral'!AL1486</f>
        <v>x</v>
      </c>
      <c r="AM490" s="137" t="str">
        <f>'Q100a-geral'!AM1486</f>
        <v>x</v>
      </c>
      <c r="AN490" s="137" t="str">
        <f>'Q100a-geral'!AN1486</f>
        <v>x</v>
      </c>
      <c r="AO490" s="137" t="str">
        <f>'Q100a-geral'!AO1486</f>
        <v>x</v>
      </c>
      <c r="AP490" s="137" t="str">
        <f>'Q100a-geral'!AP1486</f>
        <v>x</v>
      </c>
      <c r="AQ490" s="137" t="str">
        <f>'Q100a-geral'!AQ1486</f>
        <v>x</v>
      </c>
      <c r="AR490" s="137"/>
      <c r="AS490" s="137"/>
      <c r="AT490" s="137"/>
      <c r="AU490" s="137"/>
      <c r="AV490" s="137" t="str">
        <f>'Q100a-geral'!AV1486</f>
        <v>x</v>
      </c>
      <c r="AW490" s="137"/>
      <c r="AX490" s="137"/>
      <c r="AY490" s="137"/>
      <c r="AZ490" s="137"/>
      <c r="BA490" s="137" t="str">
        <f>'Q100a-geral'!BA1486</f>
        <v>x</v>
      </c>
      <c r="BB490" s="239" t="str">
        <f>'Q100a-geral'!BB1486</f>
        <v>Sinalização semafóricax</v>
      </c>
      <c r="BC490" s="239" t="str">
        <f>'Q100a-geral'!BC1486</f>
        <v>Sinalização semafóricaxx</v>
      </c>
      <c r="BD490" s="239" t="str">
        <f>'Q100a-geral'!BD1486</f>
        <v>Sinalização semafóricax</v>
      </c>
    </row>
    <row r="491" spans="1:56" s="1" customFormat="1" ht="63.75" customHeight="1" x14ac:dyDescent="0.25">
      <c r="A491" s="275" t="str">
        <f>'Q100a-geral'!A1487</f>
        <v>9.1</v>
      </c>
      <c r="B491" s="11" t="str">
        <f>'Q100a-geral'!B1487</f>
        <v>Acidentes de trânsito</v>
      </c>
      <c r="C491" s="57" t="str">
        <f>'Q100a-geral'!C1487</f>
        <v>x</v>
      </c>
      <c r="D491" s="322" t="str">
        <f>'Q100a-geral'!D1487</f>
        <v>IVP</v>
      </c>
      <c r="E491" s="13" t="s">
        <v>1306</v>
      </c>
      <c r="F491" s="445" t="str">
        <f>'Q100a-geral'!F1487</f>
        <v>índice de acidentes com vítimas relativo à população
obs.: indicador recomendado em ANTP(2011a, p.46)</v>
      </c>
      <c r="G491" s="11" t="str">
        <f>'Q100a-geral'!G1487</f>
        <v>consulte:
AV por 100 mil habitantes</v>
      </c>
      <c r="H491" s="173" t="str">
        <f>'Q100a-geral'!H1487</f>
        <v>sigla/verbete</v>
      </c>
      <c r="I491" s="57" t="str">
        <f>'Q100a-geral'!I1487</f>
        <v>x</v>
      </c>
      <c r="J491" s="109" t="str">
        <f>'Q100a-geral'!J1487</f>
        <v>x</v>
      </c>
      <c r="K491" s="109" t="str">
        <f>'Q100a-geral'!K1487</f>
        <v>x</v>
      </c>
      <c r="L491" s="109" t="str">
        <f>'Q100a-geral'!L1487</f>
        <v>x</v>
      </c>
      <c r="M491" s="109" t="str">
        <f>'Q100a-geral'!M1487</f>
        <v>x</v>
      </c>
      <c r="N491" s="109" t="str">
        <f>'Q100a-geral'!N1487</f>
        <v>x</v>
      </c>
      <c r="O491" s="109" t="str">
        <f>'Q100a-geral'!O1487</f>
        <v>x</v>
      </c>
      <c r="P491" s="109" t="str">
        <f>'Q100a-geral'!P1487</f>
        <v>x</v>
      </c>
      <c r="Q491" s="109" t="str">
        <f>'Q100a-geral'!Q1487</f>
        <v>x</v>
      </c>
      <c r="R491" s="109" t="str">
        <f>'Q100a-geral'!R1487</f>
        <v>x</v>
      </c>
      <c r="S491" s="109" t="str">
        <f>'Q100a-geral'!S1487</f>
        <v>só para pesquisa</v>
      </c>
      <c r="T491" s="109" t="str">
        <f>'Q100a-geral'!T1487</f>
        <v>x</v>
      </c>
      <c r="U491" s="109" t="str">
        <f>'Q100a-geral'!U1487</f>
        <v>x</v>
      </c>
      <c r="V491" s="109" t="str">
        <f>'Q100a-geral'!V1487</f>
        <v>só para pesquisa</v>
      </c>
      <c r="W491" s="109" t="str">
        <f>'Q100a-geral'!W1487</f>
        <v>x</v>
      </c>
      <c r="X491" s="109" t="str">
        <f>'Q100a-geral'!X1487</f>
        <v>x</v>
      </c>
      <c r="Y491" s="109" t="str">
        <f>'Q100a-geral'!Y1487</f>
        <v>x</v>
      </c>
      <c r="Z491" s="109" t="str">
        <f>'Q100a-geral'!Z1487</f>
        <v>x</v>
      </c>
      <c r="AA491" s="109" t="str">
        <f>'Q100a-geral'!AA1487</f>
        <v>x</v>
      </c>
      <c r="AB491" s="109" t="str">
        <f>'Q100a-geral'!AB1487</f>
        <v>x</v>
      </c>
      <c r="AC491" s="109" t="str">
        <f>'Q100a-geral'!AC1487</f>
        <v>x</v>
      </c>
      <c r="AD491" s="109" t="str">
        <f>'Q100a-geral'!AD1487</f>
        <v>x</v>
      </c>
      <c r="AE491" s="109" t="str">
        <f>'Q100a-geral'!AE1487</f>
        <v>x</v>
      </c>
      <c r="AF491" s="109" t="str">
        <f>'Q100a-geral'!AF1487</f>
        <v>x</v>
      </c>
      <c r="AG491" s="109" t="str">
        <f>'Q100a-geral'!AG1487</f>
        <v>x</v>
      </c>
      <c r="AH491" s="109" t="str">
        <f>'Q100a-geral'!AH1487</f>
        <v>x</v>
      </c>
      <c r="AI491" s="109" t="str">
        <f>'Q100a-geral'!AI1487</f>
        <v>x</v>
      </c>
      <c r="AJ491" s="109" t="str">
        <f>'Q100a-geral'!AJ1487</f>
        <v>x</v>
      </c>
      <c r="AK491" s="137" t="str">
        <f>'Q100a-geral'!AK1487</f>
        <v>x</v>
      </c>
      <c r="AL491" s="167" t="str">
        <f>'Q100a-geral'!AL1487</f>
        <v>x</v>
      </c>
      <c r="AM491" s="137" t="str">
        <f>'Q100a-geral'!AM1487</f>
        <v>x</v>
      </c>
      <c r="AN491" s="137" t="str">
        <f>'Q100a-geral'!AN1487</f>
        <v>x</v>
      </c>
      <c r="AO491" s="137" t="str">
        <f>'Q100a-geral'!AO1487</f>
        <v>x</v>
      </c>
      <c r="AP491" s="137" t="str">
        <f>'Q100a-geral'!AP1487</f>
        <v>x</v>
      </c>
      <c r="AQ491" s="137" t="str">
        <f>'Q100a-geral'!AQ1487</f>
        <v>x</v>
      </c>
      <c r="AR491" s="137"/>
      <c r="AS491" s="137"/>
      <c r="AT491" s="137"/>
      <c r="AU491" s="137"/>
      <c r="AV491" s="137" t="str">
        <f>'Q100a-geral'!AV1487</f>
        <v>x</v>
      </c>
      <c r="AW491" s="137"/>
      <c r="AX491" s="137"/>
      <c r="AY491" s="137"/>
      <c r="AZ491" s="137"/>
      <c r="BA491" s="137" t="str">
        <f>'Q100a-geral'!BA1487</f>
        <v>x</v>
      </c>
      <c r="BB491" s="239" t="str">
        <f>'Q100a-geral'!BB1487</f>
        <v>Acidentes de trânsitox</v>
      </c>
      <c r="BC491" s="239" t="str">
        <f>'Q100a-geral'!BC1487</f>
        <v>Acidentes de trânsitoxsigla/verbete</v>
      </c>
      <c r="BD491" s="239" t="str">
        <f>'Q100a-geral'!BD1487</f>
        <v>Acidentes de trânsitosigla/verbete</v>
      </c>
    </row>
    <row r="492" spans="1:56" ht="127.5" customHeight="1" x14ac:dyDescent="0.25">
      <c r="A492" s="275" t="str">
        <f>'Q100a-geral'!A1488</f>
        <v>9.2</v>
      </c>
      <c r="B492" s="53" t="str">
        <f>'Q100a-geral'!B1488</f>
        <v>Estacionamento</v>
      </c>
      <c r="C492" s="229" t="str">
        <f>'Q100a-geral'!C1488</f>
        <v>x</v>
      </c>
      <c r="D492" s="240" t="str">
        <f>'Q100a-geral'!D1488</f>
        <v>IVR</v>
      </c>
      <c r="E492" s="13" t="s">
        <v>1306</v>
      </c>
      <c r="F492" s="446" t="str">
        <f>'Q100a-geral'!F1488</f>
        <v>índice de venda de folhas de rotativo, expresso em número de comprovantes por vaga
obs.: objetivo: medir a relação de venda de talão de estacionamento rotativo com a disponibilidade de vagas rotativas; fórmula = n.º de comprovantes de estacionamento / (n.º de vagas rotativas nos dias úteis x dia útil equivalente)
obs.: indicador recomendado em ANTP(2011a, p.60)</v>
      </c>
      <c r="G492" s="188" t="str">
        <f>'Q100a-geral'!G1488</f>
        <v>não apurado pela BHTrans</v>
      </c>
      <c r="H492" s="168" t="str">
        <f>'Q100a-geral'!H1488</f>
        <v>ainda não incorporado ao SisMob-BH</v>
      </c>
      <c r="I492" s="167" t="str">
        <f>'Q100a-geral'!I1488</f>
        <v>x</v>
      </c>
      <c r="J492" s="107" t="str">
        <f>'Q100a-geral'!J1488</f>
        <v>x</v>
      </c>
      <c r="K492" s="11" t="str">
        <f>'Q100a-geral'!K1488</f>
        <v>x</v>
      </c>
      <c r="L492" s="11" t="str">
        <f>'Q100a-geral'!L1488</f>
        <v>x</v>
      </c>
      <c r="M492" s="11" t="str">
        <f>'Q100a-geral'!M1488</f>
        <v>x</v>
      </c>
      <c r="N492" s="11" t="str">
        <f>'Q100a-geral'!N1488</f>
        <v>x</v>
      </c>
      <c r="O492" s="11" t="str">
        <f>'Q100a-geral'!O1488</f>
        <v>x</v>
      </c>
      <c r="P492" s="11" t="str">
        <f>'Q100a-geral'!P1488</f>
        <v>x</v>
      </c>
      <c r="Q492" s="11" t="str">
        <f>'Q100a-geral'!Q1488</f>
        <v>x</v>
      </c>
      <c r="R492" s="11" t="str">
        <f>'Q100a-geral'!R1488</f>
        <v>x</v>
      </c>
      <c r="S492" s="107" t="str">
        <f>'Q100a-geral'!S1488</f>
        <v>só para pesquisa</v>
      </c>
      <c r="T492" s="11" t="str">
        <f>'Q100a-geral'!T1488</f>
        <v>x</v>
      </c>
      <c r="U492" s="11" t="str">
        <f>'Q100a-geral'!U1488</f>
        <v>x</v>
      </c>
      <c r="V492" s="107" t="str">
        <f>'Q100a-geral'!V1488</f>
        <v>só para pesquisa</v>
      </c>
      <c r="W492" s="11" t="str">
        <f>'Q100a-geral'!W1488</f>
        <v>x</v>
      </c>
      <c r="X492" s="11" t="str">
        <f>'Q100a-geral'!X1488</f>
        <v>x</v>
      </c>
      <c r="Y492" s="11" t="str">
        <f>'Q100a-geral'!Y1488</f>
        <v>x</v>
      </c>
      <c r="Z492" s="11" t="str">
        <f>'Q100a-geral'!Z1488</f>
        <v>x</v>
      </c>
      <c r="AA492" s="11" t="str">
        <f>'Q100a-geral'!AA1488</f>
        <v>x</v>
      </c>
      <c r="AB492" s="11" t="str">
        <f>'Q100a-geral'!AB1488</f>
        <v>x</v>
      </c>
      <c r="AC492" s="11" t="str">
        <f>'Q100a-geral'!AC1488</f>
        <v>x</v>
      </c>
      <c r="AD492" s="11" t="str">
        <f>'Q100a-geral'!AD1488</f>
        <v>x</v>
      </c>
      <c r="AE492" s="11" t="str">
        <f>'Q100a-geral'!AE1488</f>
        <v>x</v>
      </c>
      <c r="AF492" s="11" t="str">
        <f>'Q100a-geral'!AF1488</f>
        <v>x</v>
      </c>
      <c r="AG492" s="11" t="str">
        <f>'Q100a-geral'!AG1488</f>
        <v>x</v>
      </c>
      <c r="AH492" s="11" t="str">
        <f>'Q100a-geral'!AH1488</f>
        <v>x</v>
      </c>
      <c r="AI492" s="11" t="str">
        <f>'Q100a-geral'!AI1488</f>
        <v>x</v>
      </c>
      <c r="AJ492" s="11" t="str">
        <f>'Q100a-geral'!AJ1488</f>
        <v>x</v>
      </c>
      <c r="AK492" s="137" t="str">
        <f>'Q100a-geral'!AK1488</f>
        <v>x</v>
      </c>
      <c r="AL492" s="173" t="str">
        <f>'Q100a-geral'!AL1488</f>
        <v>x</v>
      </c>
      <c r="AM492" s="137" t="str">
        <f>'Q100a-geral'!AM1488</f>
        <v>x</v>
      </c>
      <c r="AN492" s="137" t="str">
        <f>'Q100a-geral'!AN1488</f>
        <v>x</v>
      </c>
      <c r="AO492" s="137" t="str">
        <f>'Q100a-geral'!AO1488</f>
        <v>x</v>
      </c>
      <c r="AP492" s="137" t="str">
        <f>'Q100a-geral'!AP1488</f>
        <v>x</v>
      </c>
      <c r="AQ492" s="137" t="str">
        <f>'Q100a-geral'!AQ1488</f>
        <v>x</v>
      </c>
      <c r="AR492" s="137"/>
      <c r="AS492" s="137"/>
      <c r="AT492" s="137"/>
      <c r="AU492" s="137"/>
      <c r="AV492" s="137" t="str">
        <f>'Q100a-geral'!AV1488</f>
        <v>x</v>
      </c>
      <c r="AW492" s="137"/>
      <c r="AX492" s="137"/>
      <c r="AY492" s="137"/>
      <c r="AZ492" s="137"/>
      <c r="BA492" s="137" t="str">
        <f>'Q100a-geral'!BA1488</f>
        <v>x</v>
      </c>
      <c r="BB492" s="239" t="str">
        <f>'Q100a-geral'!BB1488</f>
        <v>Estacionamentox</v>
      </c>
      <c r="BC492" s="239" t="str">
        <f>'Q100a-geral'!BC1488</f>
        <v>Estacionamentoxainda não incorporado ao SisMob-BH</v>
      </c>
      <c r="BD492" s="239" t="str">
        <f>'Q100a-geral'!BD1488</f>
        <v>Estacionamentoainda não incorporado ao SisMob-BH</v>
      </c>
    </row>
    <row r="493" spans="1:56" s="1" customFormat="1" ht="114.75" customHeight="1" x14ac:dyDescent="0.25">
      <c r="A493" s="275" t="str">
        <f>'Q100a-geral'!A1500</f>
        <v>9.1</v>
      </c>
      <c r="B493" s="11" t="str">
        <f>'Q100a-geral'!B1500</f>
        <v>Acidentes de trânsito</v>
      </c>
      <c r="C493" s="57" t="str">
        <f>'Q100a-geral'!C1500</f>
        <v>x</v>
      </c>
      <c r="D493" s="322" t="str">
        <f>'Q100a-geral'!D1500</f>
        <v>km rodados</v>
      </c>
      <c r="E493" s="13" t="s">
        <v>1306</v>
      </c>
      <c r="F493" s="445" t="str">
        <f>'Q100a-geral'!F1500</f>
        <v>n.º de quilômetros estimados a partir do total de combustível consumido pela cidade adotando-se um consume médio de combustível por veículo
obs.: IPQ é indicador recomendado como adotado internacionalmente em ANTP(2011a, p.44)</v>
      </c>
      <c r="G493" s="11" t="str">
        <f>'Q100a-geral'!G1500</f>
        <v>componente de IPQ</v>
      </c>
      <c r="H493" s="57" t="str">
        <f>'Q100a-geral'!H1500</f>
        <v>ainda não incorporado ao SisMob-BH</v>
      </c>
      <c r="I493" s="57" t="str">
        <f>'Q100a-geral'!I1500</f>
        <v>x</v>
      </c>
      <c r="J493" s="109" t="str">
        <f>'Q100a-geral'!J1500</f>
        <v>x</v>
      </c>
      <c r="K493" s="109" t="str">
        <f>'Q100a-geral'!K1500</f>
        <v>x</v>
      </c>
      <c r="L493" s="109" t="str">
        <f>'Q100a-geral'!L1500</f>
        <v>x</v>
      </c>
      <c r="M493" s="109" t="str">
        <f>'Q100a-geral'!M1500</f>
        <v>x</v>
      </c>
      <c r="N493" s="109" t="str">
        <f>'Q100a-geral'!N1500</f>
        <v>x</v>
      </c>
      <c r="O493" s="109" t="str">
        <f>'Q100a-geral'!O1500</f>
        <v>x</v>
      </c>
      <c r="P493" s="109" t="str">
        <f>'Q100a-geral'!P1500</f>
        <v>x</v>
      </c>
      <c r="Q493" s="109" t="str">
        <f>'Q100a-geral'!Q1500</f>
        <v>x</v>
      </c>
      <c r="R493" s="109" t="str">
        <f>'Q100a-geral'!R1500</f>
        <v>x</v>
      </c>
      <c r="S493" s="109" t="str">
        <f>'Q100a-geral'!S1500</f>
        <v>só para pesquisa</v>
      </c>
      <c r="T493" s="109" t="str">
        <f>'Q100a-geral'!T1500</f>
        <v>x</v>
      </c>
      <c r="U493" s="109" t="str">
        <f>'Q100a-geral'!U1500</f>
        <v>x</v>
      </c>
      <c r="V493" s="109" t="str">
        <f>'Q100a-geral'!V1500</f>
        <v>só para pesquisa</v>
      </c>
      <c r="W493" s="109" t="str">
        <f>'Q100a-geral'!W1500</f>
        <v>x</v>
      </c>
      <c r="X493" s="109" t="str">
        <f>'Q100a-geral'!X1500</f>
        <v>x</v>
      </c>
      <c r="Y493" s="109" t="str">
        <f>'Q100a-geral'!Y1500</f>
        <v>x</v>
      </c>
      <c r="Z493" s="109" t="str">
        <f>'Q100a-geral'!Z1500</f>
        <v>x</v>
      </c>
      <c r="AA493" s="109" t="str">
        <f>'Q100a-geral'!AA1500</f>
        <v>x</v>
      </c>
      <c r="AB493" s="109" t="str">
        <f>'Q100a-geral'!AB1500</f>
        <v>x</v>
      </c>
      <c r="AC493" s="109" t="str">
        <f>'Q100a-geral'!AC1500</f>
        <v>x</v>
      </c>
      <c r="AD493" s="109" t="str">
        <f>'Q100a-geral'!AD1500</f>
        <v>x</v>
      </c>
      <c r="AE493" s="109" t="str">
        <f>'Q100a-geral'!AE1500</f>
        <v>x</v>
      </c>
      <c r="AF493" s="109" t="str">
        <f>'Q100a-geral'!AF1500</f>
        <v>x</v>
      </c>
      <c r="AG493" s="109" t="str">
        <f>'Q100a-geral'!AG1500</f>
        <v>x</v>
      </c>
      <c r="AH493" s="109" t="str">
        <f>'Q100a-geral'!AH1500</f>
        <v>x</v>
      </c>
      <c r="AI493" s="109" t="str">
        <f>'Q100a-geral'!AI1500</f>
        <v>x</v>
      </c>
      <c r="AJ493" s="109" t="str">
        <f>'Q100a-geral'!AJ1500</f>
        <v>x</v>
      </c>
      <c r="AK493" s="137" t="str">
        <f>'Q100a-geral'!AK1500</f>
        <v>x</v>
      </c>
      <c r="AL493" s="167" t="str">
        <f>'Q100a-geral'!AL1500</f>
        <v>x</v>
      </c>
      <c r="AM493" s="137" t="str">
        <f>'Q100a-geral'!AM1500</f>
        <v>x</v>
      </c>
      <c r="AN493" s="137" t="str">
        <f>'Q100a-geral'!AN1500</f>
        <v>x</v>
      </c>
      <c r="AO493" s="137" t="str">
        <f>'Q100a-geral'!AO1500</f>
        <v>x</v>
      </c>
      <c r="AP493" s="137" t="str">
        <f>'Q100a-geral'!AP1500</f>
        <v>x</v>
      </c>
      <c r="AQ493" s="137" t="str">
        <f>'Q100a-geral'!AQ1500</f>
        <v>x</v>
      </c>
      <c r="AR493" s="137"/>
      <c r="AS493" s="137"/>
      <c r="AT493" s="137"/>
      <c r="AU493" s="137"/>
      <c r="AV493" s="137" t="str">
        <f>'Q100a-geral'!AV1500</f>
        <v>x</v>
      </c>
      <c r="AW493" s="137"/>
      <c r="AX493" s="137"/>
      <c r="AY493" s="137"/>
      <c r="AZ493" s="137"/>
      <c r="BA493" s="137" t="str">
        <f>'Q100a-geral'!BA1500</f>
        <v>x</v>
      </c>
      <c r="BB493" s="239" t="str">
        <f>'Q100a-geral'!BB1500</f>
        <v>Acidentes de trânsitox</v>
      </c>
      <c r="BC493" s="239" t="str">
        <f>'Q100a-geral'!BC1500</f>
        <v>Acidentes de trânsitoxainda não incorporado ao SisMob-BH</v>
      </c>
      <c r="BD493" s="239" t="str">
        <f>'Q100a-geral'!BD1500</f>
        <v>Acidentes de trânsitoainda não incorporado ao SisMob-BH</v>
      </c>
    </row>
    <row r="494" spans="1:56" s="1" customFormat="1" ht="63.75" customHeight="1" x14ac:dyDescent="0.25">
      <c r="A494" s="275" t="str">
        <f>'Q100a-geral'!A1503</f>
        <v>9.1</v>
      </c>
      <c r="B494" s="11" t="str">
        <f>'Q100a-geral'!B1503</f>
        <v>Acidentes de trânsito</v>
      </c>
      <c r="C494" s="57" t="str">
        <f>'Q100a-geral'!C1503</f>
        <v>x</v>
      </c>
      <c r="D494" s="322" t="str">
        <f>'Q100a-geral'!D1503</f>
        <v>L</v>
      </c>
      <c r="E494" s="13" t="s">
        <v>1306</v>
      </c>
      <c r="F494" s="445" t="str">
        <f>'Q100a-geral'!F1503</f>
        <v>extensão do trecho de via, em km
obs.: IPV é indicador recomendado em ANTP(2011a, p.43)</v>
      </c>
      <c r="G494" s="11" t="str">
        <f>'Q100a-geral'!G1503</f>
        <v>componente de IPV</v>
      </c>
      <c r="H494" s="57" t="str">
        <f>'Q100a-geral'!H1503</f>
        <v>ainda não incorporado ao SisMob-BH</v>
      </c>
      <c r="I494" s="57" t="str">
        <f>'Q100a-geral'!I1503</f>
        <v>x</v>
      </c>
      <c r="J494" s="109" t="str">
        <f>'Q100a-geral'!J1503</f>
        <v>x</v>
      </c>
      <c r="K494" s="109" t="str">
        <f>'Q100a-geral'!K1503</f>
        <v>x</v>
      </c>
      <c r="L494" s="109" t="str">
        <f>'Q100a-geral'!L1503</f>
        <v>x</v>
      </c>
      <c r="M494" s="109" t="str">
        <f>'Q100a-geral'!M1503</f>
        <v>x</v>
      </c>
      <c r="N494" s="109" t="str">
        <f>'Q100a-geral'!N1503</f>
        <v>x</v>
      </c>
      <c r="O494" s="109" t="str">
        <f>'Q100a-geral'!O1503</f>
        <v>x</v>
      </c>
      <c r="P494" s="109" t="str">
        <f>'Q100a-geral'!P1503</f>
        <v>x</v>
      </c>
      <c r="Q494" s="109" t="str">
        <f>'Q100a-geral'!Q1503</f>
        <v>x</v>
      </c>
      <c r="R494" s="109" t="str">
        <f>'Q100a-geral'!R1503</f>
        <v>x</v>
      </c>
      <c r="S494" s="109" t="str">
        <f>'Q100a-geral'!S1503</f>
        <v>só para pesquisa</v>
      </c>
      <c r="T494" s="109" t="str">
        <f>'Q100a-geral'!T1503</f>
        <v>x</v>
      </c>
      <c r="U494" s="109" t="str">
        <f>'Q100a-geral'!U1503</f>
        <v>x</v>
      </c>
      <c r="V494" s="109" t="str">
        <f>'Q100a-geral'!V1503</f>
        <v>só para pesquisa</v>
      </c>
      <c r="W494" s="109" t="str">
        <f>'Q100a-geral'!W1503</f>
        <v>x</v>
      </c>
      <c r="X494" s="109" t="str">
        <f>'Q100a-geral'!X1503</f>
        <v>x</v>
      </c>
      <c r="Y494" s="109" t="str">
        <f>'Q100a-geral'!Y1503</f>
        <v>x</v>
      </c>
      <c r="Z494" s="109" t="str">
        <f>'Q100a-geral'!Z1503</f>
        <v>x</v>
      </c>
      <c r="AA494" s="109" t="str">
        <f>'Q100a-geral'!AA1503</f>
        <v>x</v>
      </c>
      <c r="AB494" s="109" t="str">
        <f>'Q100a-geral'!AB1503</f>
        <v>x</v>
      </c>
      <c r="AC494" s="109" t="str">
        <f>'Q100a-geral'!AC1503</f>
        <v>x</v>
      </c>
      <c r="AD494" s="109" t="str">
        <f>'Q100a-geral'!AD1503</f>
        <v>x</v>
      </c>
      <c r="AE494" s="109" t="str">
        <f>'Q100a-geral'!AE1503</f>
        <v>x</v>
      </c>
      <c r="AF494" s="109" t="str">
        <f>'Q100a-geral'!AF1503</f>
        <v>x</v>
      </c>
      <c r="AG494" s="109" t="str">
        <f>'Q100a-geral'!AG1503</f>
        <v>x</v>
      </c>
      <c r="AH494" s="109" t="str">
        <f>'Q100a-geral'!AH1503</f>
        <v>x</v>
      </c>
      <c r="AI494" s="109" t="str">
        <f>'Q100a-geral'!AI1503</f>
        <v>x</v>
      </c>
      <c r="AJ494" s="109" t="str">
        <f>'Q100a-geral'!AJ1503</f>
        <v>x</v>
      </c>
      <c r="AK494" s="137" t="str">
        <f>'Q100a-geral'!AK1503</f>
        <v>x</v>
      </c>
      <c r="AL494" s="167" t="str">
        <f>'Q100a-geral'!AL1503</f>
        <v>x</v>
      </c>
      <c r="AM494" s="137" t="str">
        <f>'Q100a-geral'!AM1503</f>
        <v>x</v>
      </c>
      <c r="AN494" s="137" t="str">
        <f>'Q100a-geral'!AN1503</f>
        <v>x</v>
      </c>
      <c r="AO494" s="137" t="str">
        <f>'Q100a-geral'!AO1503</f>
        <v>x</v>
      </c>
      <c r="AP494" s="137" t="str">
        <f>'Q100a-geral'!AP1503</f>
        <v>x</v>
      </c>
      <c r="AQ494" s="137" t="str">
        <f>'Q100a-geral'!AQ1503</f>
        <v>x</v>
      </c>
      <c r="AR494" s="137"/>
      <c r="AS494" s="137"/>
      <c r="AT494" s="137"/>
      <c r="AU494" s="137"/>
      <c r="AV494" s="137" t="str">
        <f>'Q100a-geral'!AV1503</f>
        <v>x</v>
      </c>
      <c r="AW494" s="137"/>
      <c r="AX494" s="137"/>
      <c r="AY494" s="137"/>
      <c r="AZ494" s="137"/>
      <c r="BA494" s="137" t="str">
        <f>'Q100a-geral'!BA1503</f>
        <v>x</v>
      </c>
      <c r="BB494" s="239" t="str">
        <f>'Q100a-geral'!BB1503</f>
        <v>Acidentes de trânsitox</v>
      </c>
      <c r="BC494" s="239" t="str">
        <f>'Q100a-geral'!BC1503</f>
        <v>Acidentes de trânsitoxainda não incorporado ao SisMob-BH</v>
      </c>
      <c r="BD494" s="239" t="str">
        <f>'Q100a-geral'!BD1503</f>
        <v>Acidentes de trânsitoainda não incorporado ao SisMob-BH</v>
      </c>
    </row>
    <row r="495" spans="1:56" s="1" customFormat="1" ht="63.75" customHeight="1" x14ac:dyDescent="0.25">
      <c r="A495" s="275" t="str">
        <f>'Q100a-geral'!A1505</f>
        <v>9.5</v>
      </c>
      <c r="B495" s="11" t="str">
        <f>'Q100a-geral'!B1505</f>
        <v>Sinalização semafórica</v>
      </c>
      <c r="C495" s="57" t="str">
        <f>'Q100a-geral'!C1505</f>
        <v>x</v>
      </c>
      <c r="D495" s="322" t="str">
        <f>'Q100a-geral'!D1505</f>
        <v>LCP</v>
      </c>
      <c r="E495" s="13" t="s">
        <v>1306</v>
      </c>
      <c r="F495" s="445" t="str">
        <f>'Q100a-geral'!F1505</f>
        <v>n.º de locais semaforizados com foco de pedestres, ou seja, n.º de locais onde existe semáforo específico para os pedestres, seja em interseção ou entre interseções</v>
      </c>
      <c r="G495" s="11" t="str">
        <f>'Q100a-geral'!G1505</f>
        <v>LCP = LEI+ICP</v>
      </c>
      <c r="H495" s="173" t="str">
        <f>'Q100a-geral'!H1505</f>
        <v>x</v>
      </c>
      <c r="I495" s="57">
        <f>'Q100a-geral'!I1505</f>
        <v>1</v>
      </c>
      <c r="J495" s="107" t="str">
        <f>'Q100a-geral'!J1505</f>
        <v>x</v>
      </c>
      <c r="K495" s="58" t="str">
        <f>'Q100a-geral'!K1505</f>
        <v>x</v>
      </c>
      <c r="L495" s="58" t="str">
        <f>'Q100a-geral'!L1505</f>
        <v>x</v>
      </c>
      <c r="M495" s="58" t="str">
        <f>'Q100a-geral'!M1505</f>
        <v>x</v>
      </c>
      <c r="N495" s="58" t="str">
        <f>'Q100a-geral'!N1505</f>
        <v>x</v>
      </c>
      <c r="O495" s="58" t="str">
        <f>'Q100a-geral'!O1505</f>
        <v>x</v>
      </c>
      <c r="P495" s="58" t="str">
        <f>'Q100a-geral'!P1505</f>
        <v>x</v>
      </c>
      <c r="Q495" s="58" t="str">
        <f>'Q100a-geral'!Q1505</f>
        <v>x</v>
      </c>
      <c r="R495" s="58" t="str">
        <f>'Q100a-geral'!R1505</f>
        <v>x</v>
      </c>
      <c r="S495" s="649" t="str">
        <f>'Q100a-geral'!S1505</f>
        <v>só para pesquisa</v>
      </c>
      <c r="T495" s="58" t="str">
        <f>'Q100a-geral'!T1505</f>
        <v>x</v>
      </c>
      <c r="U495" s="58" t="str">
        <f>'Q100a-geral'!U1505</f>
        <v>x</v>
      </c>
      <c r="V495" s="107" t="str">
        <f>'Q100a-geral'!V1505</f>
        <v>só para pesquisa</v>
      </c>
      <c r="W495" s="58" t="str">
        <f>'Q100a-geral'!W1505</f>
        <v>x</v>
      </c>
      <c r="X495" s="58" t="str">
        <f>'Q100a-geral'!X1505</f>
        <v>x</v>
      </c>
      <c r="Y495" s="72">
        <f>'Q100a-geral'!Y1505</f>
        <v>492</v>
      </c>
      <c r="Z495" s="72">
        <f>'Q100a-geral'!Z1505</f>
        <v>543</v>
      </c>
      <c r="AA495" s="72">
        <f>'Q100a-geral'!AA1505</f>
        <v>568</v>
      </c>
      <c r="AB495" s="72">
        <f>'Q100a-geral'!AB1505</f>
        <v>591</v>
      </c>
      <c r="AC495" s="72">
        <f>'Q100a-geral'!AC1505</f>
        <v>614</v>
      </c>
      <c r="AD495" s="72">
        <f>'Q100a-geral'!AD1505</f>
        <v>641</v>
      </c>
      <c r="AE495" s="72">
        <f>'Q100a-geral'!AE1505</f>
        <v>664</v>
      </c>
      <c r="AF495" s="72">
        <f>'Q100a-geral'!AF1505</f>
        <v>687</v>
      </c>
      <c r="AG495" s="72">
        <f>'Q100a-geral'!AG1505</f>
        <v>710</v>
      </c>
      <c r="AH495" s="72">
        <f>'Q100a-geral'!AH1505</f>
        <v>746</v>
      </c>
      <c r="AI495" s="72">
        <f>'Q100a-geral'!AI1505</f>
        <v>779</v>
      </c>
      <c r="AJ495" s="72">
        <f>'Q100a-geral'!AJ1505</f>
        <v>812</v>
      </c>
      <c r="AK495" s="137" t="str">
        <f>'Q100a-geral'!AK1505</f>
        <v>x</v>
      </c>
      <c r="AL495" s="212" t="str">
        <f>'Q100a-geral'!AL1505</f>
        <v>x</v>
      </c>
      <c r="AM495" s="137" t="str">
        <f>'Q100a-geral'!AM1505</f>
        <v>x</v>
      </c>
      <c r="AN495" s="137" t="str">
        <f>'Q100a-geral'!AN1505</f>
        <v>x</v>
      </c>
      <c r="AO495" s="137" t="str">
        <f>'Q100a-geral'!AO1505</f>
        <v>x</v>
      </c>
      <c r="AP495" s="137" t="str">
        <f>'Q100a-geral'!AP1505</f>
        <v>x</v>
      </c>
      <c r="AQ495" s="137" t="str">
        <f>'Q100a-geral'!AQ1505</f>
        <v>x</v>
      </c>
      <c r="AR495" s="137"/>
      <c r="AS495" s="137"/>
      <c r="AT495" s="137"/>
      <c r="AU495" s="137"/>
      <c r="AV495" s="137" t="str">
        <f>'Q100a-geral'!AV1505</f>
        <v>x</v>
      </c>
      <c r="AW495" s="137"/>
      <c r="AX495" s="137"/>
      <c r="AY495" s="137"/>
      <c r="AZ495" s="137"/>
      <c r="BA495" s="137" t="str">
        <f>'Q100a-geral'!BA1505</f>
        <v>x</v>
      </c>
      <c r="BB495" s="239" t="str">
        <f>'Q100a-geral'!BB1505</f>
        <v>Sinalização semafóricax</v>
      </c>
      <c r="BC495" s="239" t="str">
        <f>'Q100a-geral'!BC1505</f>
        <v>Sinalização semafóricaxx</v>
      </c>
      <c r="BD495" s="239" t="str">
        <f>'Q100a-geral'!BD1505</f>
        <v>Sinalização semafóricax</v>
      </c>
    </row>
    <row r="496" spans="1:56" s="1" customFormat="1" ht="38.25" customHeight="1" x14ac:dyDescent="0.25">
      <c r="A496" s="275" t="str">
        <f>'Q100a-geral'!A1506</f>
        <v>9.5</v>
      </c>
      <c r="B496" s="11" t="str">
        <f>'Q100a-geral'!B1506</f>
        <v>Sinalização semafórica</v>
      </c>
      <c r="C496" s="57" t="str">
        <f>'Q100a-geral'!C1506</f>
        <v>x</v>
      </c>
      <c r="D496" s="322" t="str">
        <f>'Q100a-geral'!D1506</f>
        <v>LCP em relação a LS</v>
      </c>
      <c r="E496" s="13" t="s">
        <v>1306</v>
      </c>
      <c r="F496" s="445" t="str">
        <f>'Q100a-geral'!F1506</f>
        <v>percentual de locais semaforizados com foco de pedestres em relação ao total de locais semaforizados</v>
      </c>
      <c r="G496" s="11" t="str">
        <f>'Q100a-geral'!G1506</f>
        <v>(LCP/LS) x 100</v>
      </c>
      <c r="H496" s="173" t="str">
        <f>'Q100a-geral'!H1506</f>
        <v>x</v>
      </c>
      <c r="I496" s="57">
        <f>'Q100a-geral'!I1506</f>
        <v>1</v>
      </c>
      <c r="J496" s="107" t="str">
        <f>'Q100a-geral'!J1506</f>
        <v>x</v>
      </c>
      <c r="K496" s="58" t="str">
        <f>'Q100a-geral'!K1506</f>
        <v>x</v>
      </c>
      <c r="L496" s="58" t="str">
        <f>'Q100a-geral'!L1506</f>
        <v>x</v>
      </c>
      <c r="M496" s="58" t="str">
        <f>'Q100a-geral'!M1506</f>
        <v>x</v>
      </c>
      <c r="N496" s="58" t="str">
        <f>'Q100a-geral'!N1506</f>
        <v>x</v>
      </c>
      <c r="O496" s="58" t="str">
        <f>'Q100a-geral'!O1506</f>
        <v>x</v>
      </c>
      <c r="P496" s="58" t="str">
        <f>'Q100a-geral'!P1506</f>
        <v>x</v>
      </c>
      <c r="Q496" s="58" t="str">
        <f>'Q100a-geral'!Q1506</f>
        <v>x</v>
      </c>
      <c r="R496" s="58" t="str">
        <f>'Q100a-geral'!R1506</f>
        <v>x</v>
      </c>
      <c r="S496" s="649" t="str">
        <f>'Q100a-geral'!S1506</f>
        <v>só para pesquisa</v>
      </c>
      <c r="T496" s="58" t="str">
        <f>'Q100a-geral'!T1506</f>
        <v>x</v>
      </c>
      <c r="U496" s="58" t="str">
        <f>'Q100a-geral'!U1506</f>
        <v>x</v>
      </c>
      <c r="V496" s="107" t="str">
        <f>'Q100a-geral'!V1506</f>
        <v>só para pesquisa</v>
      </c>
      <c r="W496" s="58" t="str">
        <f>'Q100a-geral'!W1506</f>
        <v>x</v>
      </c>
      <c r="X496" s="58" t="str">
        <f>'Q100a-geral'!X1506</f>
        <v>x</v>
      </c>
      <c r="Y496" s="21">
        <f>'Q100a-geral'!Y1506</f>
        <v>0.7639751552795031</v>
      </c>
      <c r="Z496" s="21">
        <f>'Q100a-geral'!Z1506</f>
        <v>0.78354978354978355</v>
      </c>
      <c r="AA496" s="21">
        <f>'Q100a-geral'!AA1506</f>
        <v>0.79887482419127986</v>
      </c>
      <c r="AB496" s="21">
        <f>'Q100a-geral'!AB1506</f>
        <v>0.79972936400541272</v>
      </c>
      <c r="AC496" s="21">
        <f>'Q100a-geral'!AC1506</f>
        <v>0.80577427821522307</v>
      </c>
      <c r="AD496" s="21">
        <f>'Q100a-geral'!AD1506</f>
        <v>0.81139240506329113</v>
      </c>
      <c r="AE496" s="21">
        <f>'Q100a-geral'!AE1506</f>
        <v>0.81773399014778325</v>
      </c>
      <c r="AF496" s="21">
        <f>'Q100a-geral'!AF1506</f>
        <v>0.82275449101796405</v>
      </c>
      <c r="AG496" s="21">
        <f>'Q100a-geral'!AG1506</f>
        <v>0.8217592592592593</v>
      </c>
      <c r="AH496" s="21">
        <f>'Q100a-geral'!AH1506</f>
        <v>0.82981090100111232</v>
      </c>
      <c r="AI496" s="21">
        <f>'Q100a-geral'!AI1506</f>
        <v>0.83853606027987082</v>
      </c>
      <c r="AJ496" s="21">
        <f>'Q100a-geral'!AJ1506</f>
        <v>0.83539094650205759</v>
      </c>
      <c r="AK496" s="137" t="str">
        <f>'Q100a-geral'!AK1506</f>
        <v>x</v>
      </c>
      <c r="AL496" s="212" t="str">
        <f>'Q100a-geral'!AL1506</f>
        <v>x</v>
      </c>
      <c r="AM496" s="137" t="str">
        <f>'Q100a-geral'!AM1506</f>
        <v>x</v>
      </c>
      <c r="AN496" s="137" t="str">
        <f>'Q100a-geral'!AN1506</f>
        <v>x</v>
      </c>
      <c r="AO496" s="137" t="str">
        <f>'Q100a-geral'!AO1506</f>
        <v>x</v>
      </c>
      <c r="AP496" s="137" t="str">
        <f>'Q100a-geral'!AP1506</f>
        <v>x</v>
      </c>
      <c r="AQ496" s="137" t="str">
        <f>'Q100a-geral'!AQ1506</f>
        <v>x</v>
      </c>
      <c r="AR496" s="137"/>
      <c r="AS496" s="137"/>
      <c r="AT496" s="137"/>
      <c r="AU496" s="137"/>
      <c r="AV496" s="137" t="str">
        <f>'Q100a-geral'!AV1506</f>
        <v>x</v>
      </c>
      <c r="AW496" s="137"/>
      <c r="AX496" s="137"/>
      <c r="AY496" s="137"/>
      <c r="AZ496" s="137"/>
      <c r="BA496" s="137" t="str">
        <f>'Q100a-geral'!BA1506</f>
        <v>x</v>
      </c>
      <c r="BB496" s="239" t="str">
        <f>'Q100a-geral'!BB1506</f>
        <v>Sinalização semafóricax</v>
      </c>
      <c r="BC496" s="239" t="str">
        <f>'Q100a-geral'!BC1506</f>
        <v>Sinalização semafóricaxx</v>
      </c>
      <c r="BD496" s="239" t="str">
        <f>'Q100a-geral'!BD1506</f>
        <v>Sinalização semafóricax</v>
      </c>
    </row>
    <row r="497" spans="1:57" s="1" customFormat="1" ht="78.75" customHeight="1" x14ac:dyDescent="0.25">
      <c r="A497" s="275" t="str">
        <f>'Q100a-geral'!A1507</f>
        <v>9.5</v>
      </c>
      <c r="B497" s="11" t="str">
        <f>'Q100a-geral'!B1507</f>
        <v>Sinalização semafórica</v>
      </c>
      <c r="C497" s="57" t="str">
        <f>'Q100a-geral'!C1507</f>
        <v>x</v>
      </c>
      <c r="D497" s="322" t="str">
        <f>'Q100a-geral'!D1507</f>
        <v>LEI</v>
      </c>
      <c r="E497" s="13" t="s">
        <v>1306</v>
      </c>
      <c r="F497" s="445" t="str">
        <f>'Q100a-geral'!F1507</f>
        <v>n.º de locais semaforizados entre interseções, ou seja, n.º de locais onde se implanta foco de pedestre com o objetivo de proporcionar uma travessia segura dos pedestres em nível (ao se evitar o deslocamento dos pedestres até a interseção semaforizada mais próxima)
obs.1: resultados de 2003 a 2014 fornecidos pela Gerência de Planejamento e Controle Operacional - Geplo/DRO em BHTRANS (2015p)
obs.2: "A partir do mês de Abril de 2014 os Indicadores Semafóricos, apresentados anteriormente no Item 4 dos Relatórios Mensais, passam a ser de responsabilidade da Gerência de Simulação de Transportes, Trânsito e Programação Semafórica – GESIT" (BHTRANS, 2015q).</v>
      </c>
      <c r="G497" s="252" t="str">
        <f>'Q100a-geral'!G1507</f>
        <v>registro na fonte</v>
      </c>
      <c r="H497" s="173" t="str">
        <f>'Q100a-geral'!H1507</f>
        <v>x</v>
      </c>
      <c r="I497" s="57">
        <f>'Q100a-geral'!I1507</f>
        <v>1</v>
      </c>
      <c r="J497" s="107" t="str">
        <f>'Q100a-geral'!J1507</f>
        <v>x</v>
      </c>
      <c r="K497" s="11" t="str">
        <f>'Q100a-geral'!K1507</f>
        <v>x</v>
      </c>
      <c r="L497" s="11" t="str">
        <f>'Q100a-geral'!L1507</f>
        <v>x</v>
      </c>
      <c r="M497" s="11" t="str">
        <f>'Q100a-geral'!M1507</f>
        <v>x</v>
      </c>
      <c r="N497" s="11" t="str">
        <f>'Q100a-geral'!N1507</f>
        <v>x</v>
      </c>
      <c r="O497" s="11" t="str">
        <f>'Q100a-geral'!O1507</f>
        <v>x</v>
      </c>
      <c r="P497" s="11" t="str">
        <f>'Q100a-geral'!P1507</f>
        <v>x</v>
      </c>
      <c r="Q497" s="11" t="str">
        <f>'Q100a-geral'!Q1507</f>
        <v>x</v>
      </c>
      <c r="R497" s="11" t="str">
        <f>'Q100a-geral'!R1507</f>
        <v>x</v>
      </c>
      <c r="S497" s="649" t="str">
        <f>'Q100a-geral'!S1507</f>
        <v>só para pesquisa</v>
      </c>
      <c r="T497" s="11" t="str">
        <f>'Q100a-geral'!T1507</f>
        <v>x</v>
      </c>
      <c r="U497" s="11" t="str">
        <f>'Q100a-geral'!U1507</f>
        <v>x</v>
      </c>
      <c r="V497" s="107" t="str">
        <f>'Q100a-geral'!V1507</f>
        <v>só para pesquisa</v>
      </c>
      <c r="W497" s="11" t="str">
        <f>'Q100a-geral'!W1507</f>
        <v>x</v>
      </c>
      <c r="X497" s="11" t="str">
        <f>'Q100a-geral'!X1507</f>
        <v>x</v>
      </c>
      <c r="Y497" s="84">
        <f>'Q100a-geral'!Y1507</f>
        <v>78</v>
      </c>
      <c r="Z497" s="84">
        <f>'Q100a-geral'!Z1507</f>
        <v>91</v>
      </c>
      <c r="AA497" s="84">
        <f>'Q100a-geral'!AA1507</f>
        <v>102</v>
      </c>
      <c r="AB497" s="84">
        <f>'Q100a-geral'!AB1507</f>
        <v>105</v>
      </c>
      <c r="AC497" s="84">
        <f>'Q100a-geral'!AC1507</f>
        <v>114</v>
      </c>
      <c r="AD497" s="84">
        <f>'Q100a-geral'!AD1507</f>
        <v>124</v>
      </c>
      <c r="AE497" s="84">
        <f>'Q100a-geral'!AE1507</f>
        <v>137</v>
      </c>
      <c r="AF497" s="84">
        <f>'Q100a-geral'!AF1507</f>
        <v>144</v>
      </c>
      <c r="AG497" s="84">
        <f>'Q100a-geral'!AG1507</f>
        <v>146</v>
      </c>
      <c r="AH497" s="84">
        <f>'Q100a-geral'!AH1507</f>
        <v>156</v>
      </c>
      <c r="AI497" s="84">
        <f>'Q100a-geral'!AI1507</f>
        <v>160</v>
      </c>
      <c r="AJ497" s="84">
        <f>'Q100a-geral'!AJ1507</f>
        <v>169</v>
      </c>
      <c r="AK497" s="137" t="str">
        <f>'Q100a-geral'!AK1507</f>
        <v>x</v>
      </c>
      <c r="AL497" s="212" t="str">
        <f>'Q100a-geral'!AL1507</f>
        <v>x</v>
      </c>
      <c r="AM497" s="137" t="str">
        <f>'Q100a-geral'!AM1507</f>
        <v>x</v>
      </c>
      <c r="AN497" s="137" t="str">
        <f>'Q100a-geral'!AN1507</f>
        <v>x</v>
      </c>
      <c r="AO497" s="137" t="str">
        <f>'Q100a-geral'!AO1507</f>
        <v>x</v>
      </c>
      <c r="AP497" s="137" t="str">
        <f>'Q100a-geral'!AP1507</f>
        <v>x</v>
      </c>
      <c r="AQ497" s="137" t="str">
        <f>'Q100a-geral'!AQ1507</f>
        <v>x</v>
      </c>
      <c r="AR497" s="137"/>
      <c r="AS497" s="137"/>
      <c r="AT497" s="137"/>
      <c r="AU497" s="137"/>
      <c r="AV497" s="137" t="str">
        <f>'Q100a-geral'!AV1507</f>
        <v>x</v>
      </c>
      <c r="AW497" s="137"/>
      <c r="AX497" s="137"/>
      <c r="AY497" s="137"/>
      <c r="AZ497" s="137"/>
      <c r="BA497" s="137" t="str">
        <f>'Q100a-geral'!BA1507</f>
        <v>x</v>
      </c>
      <c r="BB497" s="239" t="str">
        <f>'Q100a-geral'!BB1507</f>
        <v>Sinalização semafóricax</v>
      </c>
      <c r="BC497" s="239" t="str">
        <f>'Q100a-geral'!BC1507</f>
        <v>Sinalização semafóricaxx</v>
      </c>
      <c r="BD497" s="239" t="str">
        <f>'Q100a-geral'!BD1507</f>
        <v>Sinalização semafóricax</v>
      </c>
    </row>
    <row r="498" spans="1:57" s="1" customFormat="1" ht="63" customHeight="1" x14ac:dyDescent="0.25">
      <c r="A498" s="275" t="str">
        <f>'Q100a-geral'!A1508</f>
        <v>9.5</v>
      </c>
      <c r="B498" s="11" t="str">
        <f>'Q100a-geral'!B1508</f>
        <v>Sinalização semafórica</v>
      </c>
      <c r="C498" s="57" t="str">
        <f>'Q100a-geral'!C1508</f>
        <v>x</v>
      </c>
      <c r="D498" s="322" t="str">
        <f>'Q100a-geral'!D1508</f>
        <v>LEI em relação a LCP</v>
      </c>
      <c r="E498" s="13" t="s">
        <v>1306</v>
      </c>
      <c r="F498" s="445" t="str">
        <f>'Q100a-geral'!F1508</f>
        <v>percentual de locais semaforizados entre interseções em relação ao total de locais semaforizados com foco de pedestres</v>
      </c>
      <c r="G498" s="11" t="str">
        <f>'Q100a-geral'!G1508</f>
        <v>(LEI/LCP) x 100</v>
      </c>
      <c r="H498" s="173" t="str">
        <f>'Q100a-geral'!H1508</f>
        <v>x</v>
      </c>
      <c r="I498" s="57">
        <f>'Q100a-geral'!I1508</f>
        <v>1</v>
      </c>
      <c r="J498" s="107" t="str">
        <f>'Q100a-geral'!J1508</f>
        <v>x</v>
      </c>
      <c r="K498" s="58" t="str">
        <f>'Q100a-geral'!K1508</f>
        <v>x</v>
      </c>
      <c r="L498" s="58" t="str">
        <f>'Q100a-geral'!L1508</f>
        <v>x</v>
      </c>
      <c r="M498" s="58" t="str">
        <f>'Q100a-geral'!M1508</f>
        <v>x</v>
      </c>
      <c r="N498" s="58" t="str">
        <f>'Q100a-geral'!N1508</f>
        <v>x</v>
      </c>
      <c r="O498" s="58" t="str">
        <f>'Q100a-geral'!O1508</f>
        <v>x</v>
      </c>
      <c r="P498" s="58" t="str">
        <f>'Q100a-geral'!P1508</f>
        <v>x</v>
      </c>
      <c r="Q498" s="58" t="str">
        <f>'Q100a-geral'!Q1508</f>
        <v>x</v>
      </c>
      <c r="R498" s="58" t="str">
        <f>'Q100a-geral'!R1508</f>
        <v>x</v>
      </c>
      <c r="S498" s="649" t="str">
        <f>'Q100a-geral'!S1508</f>
        <v>só para pesquisa</v>
      </c>
      <c r="T498" s="58" t="str">
        <f>'Q100a-geral'!T1508</f>
        <v>x</v>
      </c>
      <c r="U498" s="58" t="str">
        <f>'Q100a-geral'!U1508</f>
        <v>x</v>
      </c>
      <c r="V498" s="107" t="str">
        <f>'Q100a-geral'!V1508</f>
        <v>só para pesquisa</v>
      </c>
      <c r="W498" s="58" t="str">
        <f>'Q100a-geral'!W1508</f>
        <v>x</v>
      </c>
      <c r="X498" s="58" t="str">
        <f>'Q100a-geral'!X1508</f>
        <v>x</v>
      </c>
      <c r="Y498" s="21">
        <f>'Q100a-geral'!Y1508</f>
        <v>0.15853658536585366</v>
      </c>
      <c r="Z498" s="21">
        <f>'Q100a-geral'!Z1508</f>
        <v>0.16758747697974216</v>
      </c>
      <c r="AA498" s="21">
        <f>'Q100a-geral'!AA1508</f>
        <v>0.1795774647887324</v>
      </c>
      <c r="AB498" s="21">
        <f>'Q100a-geral'!AB1508</f>
        <v>0.17766497461928935</v>
      </c>
      <c r="AC498" s="21">
        <f>'Q100a-geral'!AC1508</f>
        <v>0.18566775244299674</v>
      </c>
      <c r="AD498" s="21">
        <f>'Q100a-geral'!AD1508</f>
        <v>0.19344773790951639</v>
      </c>
      <c r="AE498" s="21">
        <f>'Q100a-geral'!AE1508</f>
        <v>0.20632530120481929</v>
      </c>
      <c r="AF498" s="21">
        <f>'Q100a-geral'!AF1508</f>
        <v>0.20960698689956331</v>
      </c>
      <c r="AG498" s="21">
        <f>'Q100a-geral'!AG1508</f>
        <v>0.20563380281690141</v>
      </c>
      <c r="AH498" s="21">
        <f>'Q100a-geral'!AH1508</f>
        <v>0.20911528150134048</v>
      </c>
      <c r="AI498" s="21">
        <f>'Q100a-geral'!AI1508</f>
        <v>0.20539152759948653</v>
      </c>
      <c r="AJ498" s="21">
        <f>'Q100a-geral'!AJ1508</f>
        <v>0.20812807881773399</v>
      </c>
      <c r="AK498" s="137" t="str">
        <f>'Q100a-geral'!AK1508</f>
        <v>x</v>
      </c>
      <c r="AL498" s="212" t="str">
        <f>'Q100a-geral'!AL1508</f>
        <v>x</v>
      </c>
      <c r="AM498" s="137" t="str">
        <f>'Q100a-geral'!AM1508</f>
        <v>x</v>
      </c>
      <c r="AN498" s="137" t="str">
        <f>'Q100a-geral'!AN1508</f>
        <v>x</v>
      </c>
      <c r="AO498" s="137" t="str">
        <f>'Q100a-geral'!AO1508</f>
        <v>x</v>
      </c>
      <c r="AP498" s="137" t="str">
        <f>'Q100a-geral'!AP1508</f>
        <v>x</v>
      </c>
      <c r="AQ498" s="137" t="str">
        <f>'Q100a-geral'!AQ1508</f>
        <v>x</v>
      </c>
      <c r="AR498" s="137"/>
      <c r="AS498" s="137"/>
      <c r="AT498" s="137"/>
      <c r="AU498" s="137"/>
      <c r="AV498" s="137" t="str">
        <f>'Q100a-geral'!AV1508</f>
        <v>x</v>
      </c>
      <c r="AW498" s="137"/>
      <c r="AX498" s="137"/>
      <c r="AY498" s="137"/>
      <c r="AZ498" s="137"/>
      <c r="BA498" s="137" t="str">
        <f>'Q100a-geral'!BA1508</f>
        <v>x</v>
      </c>
      <c r="BB498" s="239" t="str">
        <f>'Q100a-geral'!BB1508</f>
        <v>Sinalização semafóricax</v>
      </c>
      <c r="BC498" s="239" t="str">
        <f>'Q100a-geral'!BC1508</f>
        <v>Sinalização semafóricaxx</v>
      </c>
      <c r="BD498" s="239" t="str">
        <f>'Q100a-geral'!BD1508</f>
        <v>Sinalização semafóricax</v>
      </c>
    </row>
    <row r="499" spans="1:57" s="1" customFormat="1" ht="63" customHeight="1" x14ac:dyDescent="0.25">
      <c r="A499" s="275" t="str">
        <f>'Q100a-geral'!A1509</f>
        <v>9.5</v>
      </c>
      <c r="B499" s="11" t="str">
        <f>'Q100a-geral'!B1509</f>
        <v>Sinalização semafórica</v>
      </c>
      <c r="C499" s="57" t="str">
        <f>'Q100a-geral'!C1509</f>
        <v>x</v>
      </c>
      <c r="D499" s="322" t="str">
        <f>'Q100a-geral'!D1509</f>
        <v>LEI em relação a LS</v>
      </c>
      <c r="E499" s="13" t="s">
        <v>1306</v>
      </c>
      <c r="F499" s="445" t="str">
        <f>'Q100a-geral'!F1509</f>
        <v>percentual de locais semaforizados entre interseções em relação ao total de locais semaforizados</v>
      </c>
      <c r="G499" s="11" t="str">
        <f>'Q100a-geral'!G1509</f>
        <v>(LEI/LS) x 100</v>
      </c>
      <c r="H499" s="173" t="str">
        <f>'Q100a-geral'!H1509</f>
        <v>x</v>
      </c>
      <c r="I499" s="57">
        <f>'Q100a-geral'!I1509</f>
        <v>1</v>
      </c>
      <c r="J499" s="107" t="str">
        <f>'Q100a-geral'!J1509</f>
        <v>x</v>
      </c>
      <c r="K499" s="58" t="str">
        <f>'Q100a-geral'!K1509</f>
        <v>x</v>
      </c>
      <c r="L499" s="58" t="str">
        <f>'Q100a-geral'!L1509</f>
        <v>x</v>
      </c>
      <c r="M499" s="58" t="str">
        <f>'Q100a-geral'!M1509</f>
        <v>x</v>
      </c>
      <c r="N499" s="58" t="str">
        <f>'Q100a-geral'!N1509</f>
        <v>x</v>
      </c>
      <c r="O499" s="58" t="str">
        <f>'Q100a-geral'!O1509</f>
        <v>x</v>
      </c>
      <c r="P499" s="58" t="str">
        <f>'Q100a-geral'!P1509</f>
        <v>x</v>
      </c>
      <c r="Q499" s="58" t="str">
        <f>'Q100a-geral'!Q1509</f>
        <v>x</v>
      </c>
      <c r="R499" s="58" t="str">
        <f>'Q100a-geral'!R1509</f>
        <v>x</v>
      </c>
      <c r="S499" s="649" t="str">
        <f>'Q100a-geral'!S1509</f>
        <v>só para pesquisa</v>
      </c>
      <c r="T499" s="58" t="str">
        <f>'Q100a-geral'!T1509</f>
        <v>x</v>
      </c>
      <c r="U499" s="58" t="str">
        <f>'Q100a-geral'!U1509</f>
        <v>x</v>
      </c>
      <c r="V499" s="107" t="str">
        <f>'Q100a-geral'!V1509</f>
        <v>só para pesquisa</v>
      </c>
      <c r="W499" s="58" t="str">
        <f>'Q100a-geral'!W1509</f>
        <v>x</v>
      </c>
      <c r="X499" s="58" t="str">
        <f>'Q100a-geral'!X1509</f>
        <v>x</v>
      </c>
      <c r="Y499" s="21">
        <f>'Q100a-geral'!Y1509</f>
        <v>0.12111801242236025</v>
      </c>
      <c r="Z499" s="21">
        <f>'Q100a-geral'!Z1509</f>
        <v>0.13131313131313133</v>
      </c>
      <c r="AA499" s="21">
        <f>'Q100a-geral'!AA1509</f>
        <v>0.14345991561181434</v>
      </c>
      <c r="AB499" s="21">
        <f>'Q100a-geral'!AB1509</f>
        <v>0.14208389715832206</v>
      </c>
      <c r="AC499" s="21">
        <f>'Q100a-geral'!AC1509</f>
        <v>0.14960629921259844</v>
      </c>
      <c r="AD499" s="21">
        <f>'Q100a-geral'!AD1509</f>
        <v>0.1569620253164557</v>
      </c>
      <c r="AE499" s="21">
        <f>'Q100a-geral'!AE1509</f>
        <v>0.16871921182266009</v>
      </c>
      <c r="AF499" s="21">
        <f>'Q100a-geral'!AF1509</f>
        <v>0.17245508982035929</v>
      </c>
      <c r="AG499" s="21">
        <f>'Q100a-geral'!AG1509</f>
        <v>0.16898148148148148</v>
      </c>
      <c r="AH499" s="21">
        <f>'Q100a-geral'!AH1509</f>
        <v>0.17352614015572859</v>
      </c>
      <c r="AI499" s="21">
        <f>'Q100a-geral'!AI1509</f>
        <v>0.17222820236813779</v>
      </c>
      <c r="AJ499" s="21">
        <f>'Q100a-geral'!AJ1509</f>
        <v>0.17386831275720166</v>
      </c>
      <c r="AK499" s="137" t="str">
        <f>'Q100a-geral'!AK1509</f>
        <v>x</v>
      </c>
      <c r="AL499" s="212" t="str">
        <f>'Q100a-geral'!AL1509</f>
        <v>x</v>
      </c>
      <c r="AM499" s="137" t="str">
        <f>'Q100a-geral'!AM1509</f>
        <v>x</v>
      </c>
      <c r="AN499" s="137" t="str">
        <f>'Q100a-geral'!AN1509</f>
        <v>x</v>
      </c>
      <c r="AO499" s="137" t="str">
        <f>'Q100a-geral'!AO1509</f>
        <v>x</v>
      </c>
      <c r="AP499" s="137" t="str">
        <f>'Q100a-geral'!AP1509</f>
        <v>x</v>
      </c>
      <c r="AQ499" s="137" t="str">
        <f>'Q100a-geral'!AQ1509</f>
        <v>x</v>
      </c>
      <c r="AR499" s="137"/>
      <c r="AS499" s="137"/>
      <c r="AT499" s="137"/>
      <c r="AU499" s="137"/>
      <c r="AV499" s="137" t="str">
        <f>'Q100a-geral'!AV1509</f>
        <v>x</v>
      </c>
      <c r="AW499" s="137"/>
      <c r="AX499" s="137"/>
      <c r="AY499" s="137"/>
      <c r="AZ499" s="137"/>
      <c r="BA499" s="137" t="str">
        <f>'Q100a-geral'!BA1509</f>
        <v>x</v>
      </c>
      <c r="BB499" s="239" t="str">
        <f>'Q100a-geral'!BB1509</f>
        <v>Sinalização semafóricax</v>
      </c>
      <c r="BC499" s="239" t="str">
        <f>'Q100a-geral'!BC1509</f>
        <v>Sinalização semafóricaxx</v>
      </c>
      <c r="BD499" s="239" t="str">
        <f>'Q100a-geral'!BD1509</f>
        <v>Sinalização semafóricax</v>
      </c>
    </row>
    <row r="500" spans="1:57" s="1" customFormat="1" ht="76.5" customHeight="1" x14ac:dyDescent="0.25">
      <c r="A500" s="275" t="str">
        <f>'Q100a-geral'!A1522</f>
        <v>9.5</v>
      </c>
      <c r="B500" s="11" t="str">
        <f>'Q100a-geral'!B1522</f>
        <v>Sinalização semafórica</v>
      </c>
      <c r="C500" s="57" t="str">
        <f>'Q100a-geral'!C1522</f>
        <v>x</v>
      </c>
      <c r="D500" s="287" t="str">
        <f>'Q100a-geral'!D1522</f>
        <v xml:space="preserve">LS </v>
      </c>
      <c r="E500" s="379" t="s">
        <v>1306</v>
      </c>
      <c r="F500" s="488" t="str">
        <f>'Q100a-geral'!F1522</f>
        <v>n.º total de locais semaforizados, aí incluindo todos as interseções semaforizadas e todos os locais entre interseções onde existe sinalização semafórica instalada (obs.: deve-se ter atenção ao buscar dados comparativos de outras cidades identificados simplesmente como "n.º de interseções" pois a variável LS, por vezes, é tomada como sendo a variável IS).</v>
      </c>
      <c r="G500" s="11" t="str">
        <f>'Q100a-geral'!G1522</f>
        <v>IS + LEI</v>
      </c>
      <c r="H500" s="173" t="str">
        <f>'Q100a-geral'!H1522</f>
        <v>x</v>
      </c>
      <c r="I500" s="57">
        <f>'Q100a-geral'!I1522</f>
        <v>1</v>
      </c>
      <c r="J500" s="107" t="str">
        <f>'Q100a-geral'!J1522</f>
        <v>x</v>
      </c>
      <c r="K500" s="58" t="str">
        <f>'Q100a-geral'!K1522</f>
        <v>x</v>
      </c>
      <c r="L500" s="58" t="str">
        <f>'Q100a-geral'!L1522</f>
        <v>x</v>
      </c>
      <c r="M500" s="58" t="str">
        <f>'Q100a-geral'!M1522</f>
        <v>x</v>
      </c>
      <c r="N500" s="58" t="str">
        <f>'Q100a-geral'!N1522</f>
        <v>x</v>
      </c>
      <c r="O500" s="58" t="str">
        <f>'Q100a-geral'!O1522</f>
        <v>x</v>
      </c>
      <c r="P500" s="58" t="str">
        <f>'Q100a-geral'!P1522</f>
        <v>x</v>
      </c>
      <c r="Q500" s="58" t="str">
        <f>'Q100a-geral'!Q1522</f>
        <v>x</v>
      </c>
      <c r="R500" s="58" t="str">
        <f>'Q100a-geral'!R1522</f>
        <v>x</v>
      </c>
      <c r="S500" s="649" t="str">
        <f>'Q100a-geral'!S1522</f>
        <v>só para pesquisa</v>
      </c>
      <c r="T500" s="58" t="str">
        <f>'Q100a-geral'!T1522</f>
        <v>x</v>
      </c>
      <c r="U500" s="58" t="str">
        <f>'Q100a-geral'!U1522</f>
        <v>x</v>
      </c>
      <c r="V500" s="107" t="str">
        <f>'Q100a-geral'!V1522</f>
        <v>só para pesquisa</v>
      </c>
      <c r="W500" s="58" t="str">
        <f>'Q100a-geral'!W1522</f>
        <v>x</v>
      </c>
      <c r="X500" s="58" t="str">
        <f>'Q100a-geral'!X1522</f>
        <v>x</v>
      </c>
      <c r="Y500" s="72">
        <f>'Q100a-geral'!Y1522</f>
        <v>644</v>
      </c>
      <c r="Z500" s="72">
        <f>'Q100a-geral'!Z1522</f>
        <v>693</v>
      </c>
      <c r="AA500" s="72">
        <f>'Q100a-geral'!AA1522</f>
        <v>711</v>
      </c>
      <c r="AB500" s="72">
        <f>'Q100a-geral'!AB1522</f>
        <v>739</v>
      </c>
      <c r="AC500" s="72">
        <f>'Q100a-geral'!AC1522</f>
        <v>762</v>
      </c>
      <c r="AD500" s="72">
        <f>'Q100a-geral'!AD1522</f>
        <v>790</v>
      </c>
      <c r="AE500" s="72">
        <f>'Q100a-geral'!AE1522</f>
        <v>812</v>
      </c>
      <c r="AF500" s="72">
        <f>'Q100a-geral'!AF1522</f>
        <v>835</v>
      </c>
      <c r="AG500" s="72">
        <f>'Q100a-geral'!AG1522</f>
        <v>864</v>
      </c>
      <c r="AH500" s="72">
        <f>'Q100a-geral'!AH1522</f>
        <v>899</v>
      </c>
      <c r="AI500" s="72">
        <f>'Q100a-geral'!AI1522</f>
        <v>929</v>
      </c>
      <c r="AJ500" s="72">
        <f>'Q100a-geral'!AJ1522</f>
        <v>972</v>
      </c>
      <c r="AK500" s="137" t="str">
        <f>'Q100a-geral'!AK1522</f>
        <v>x</v>
      </c>
      <c r="AL500" s="212" t="str">
        <f>'Q100a-geral'!AL1522</f>
        <v>x</v>
      </c>
      <c r="AM500" s="137" t="str">
        <f>'Q100a-geral'!AM1522</f>
        <v>x</v>
      </c>
      <c r="AN500" s="137" t="str">
        <f>'Q100a-geral'!AN1522</f>
        <v>x</v>
      </c>
      <c r="AO500" s="137" t="str">
        <f>'Q100a-geral'!AO1522</f>
        <v>x</v>
      </c>
      <c r="AP500" s="137" t="str">
        <f>'Q100a-geral'!AP1522</f>
        <v>x</v>
      </c>
      <c r="AQ500" s="137" t="str">
        <f>'Q100a-geral'!AQ1522</f>
        <v>x</v>
      </c>
      <c r="AR500" s="137"/>
      <c r="AS500" s="137"/>
      <c r="AT500" s="137"/>
      <c r="AU500" s="137"/>
      <c r="AV500" s="137" t="str">
        <f>'Q100a-geral'!AV1522</f>
        <v>x</v>
      </c>
      <c r="AW500" s="137"/>
      <c r="AX500" s="137"/>
      <c r="AY500" s="137"/>
      <c r="AZ500" s="137"/>
      <c r="BA500" s="137" t="str">
        <f>'Q100a-geral'!BA1522</f>
        <v>x</v>
      </c>
      <c r="BB500" s="239" t="str">
        <f>'Q100a-geral'!BB1522</f>
        <v>Sinalização semafóricax</v>
      </c>
      <c r="BC500" s="239" t="str">
        <f>'Q100a-geral'!BC1522</f>
        <v>Sinalização semafóricaxx</v>
      </c>
      <c r="BD500" s="239" t="str">
        <f>'Q100a-geral'!BD1522</f>
        <v>Sinalização semafóricax</v>
      </c>
    </row>
    <row r="501" spans="1:57" s="1" customFormat="1" ht="63.75" customHeight="1" x14ac:dyDescent="0.25">
      <c r="A501" s="275" t="str">
        <f>'Q100a-geral'!A1523</f>
        <v>9.5</v>
      </c>
      <c r="B501" s="11" t="str">
        <f>'Q100a-geral'!B1523</f>
        <v>Sinalização semafórica</v>
      </c>
      <c r="C501" s="57" t="str">
        <f>'Q100a-geral'!C1523</f>
        <v>x</v>
      </c>
      <c r="D501" s="322" t="str">
        <f>'Q100a-geral'!D1523</f>
        <v>LS por mil veículos</v>
      </c>
      <c r="E501" s="13" t="s">
        <v>1306</v>
      </c>
      <c r="F501" s="445" t="str">
        <f>'Q100a-geral'!F1523</f>
        <v>n.º de locais semaforizados por mil veículos da frota</v>
      </c>
      <c r="G501" s="11" t="str">
        <f>'Q100a-geral'!G1523</f>
        <v>(LS/F) x 1.000</v>
      </c>
      <c r="H501" s="173" t="str">
        <f>'Q100a-geral'!H1523</f>
        <v>x</v>
      </c>
      <c r="I501" s="57">
        <f>'Q100a-geral'!I1523</f>
        <v>1</v>
      </c>
      <c r="J501" s="107" t="str">
        <f>'Q100a-geral'!J1523</f>
        <v>x</v>
      </c>
      <c r="K501" s="58" t="str">
        <f>'Q100a-geral'!K1523</f>
        <v>x</v>
      </c>
      <c r="L501" s="58" t="str">
        <f>'Q100a-geral'!L1523</f>
        <v>x</v>
      </c>
      <c r="M501" s="58" t="str">
        <f>'Q100a-geral'!M1523</f>
        <v>x</v>
      </c>
      <c r="N501" s="58" t="str">
        <f>'Q100a-geral'!N1523</f>
        <v>x</v>
      </c>
      <c r="O501" s="58" t="str">
        <f>'Q100a-geral'!O1523</f>
        <v>x</v>
      </c>
      <c r="P501" s="58" t="str">
        <f>'Q100a-geral'!P1523</f>
        <v>x</v>
      </c>
      <c r="Q501" s="58" t="str">
        <f>'Q100a-geral'!Q1523</f>
        <v>x</v>
      </c>
      <c r="R501" s="58" t="str">
        <f>'Q100a-geral'!R1523</f>
        <v>x</v>
      </c>
      <c r="S501" s="649" t="str">
        <f>'Q100a-geral'!S1523</f>
        <v>só para pesquisa</v>
      </c>
      <c r="T501" s="58" t="str">
        <f>'Q100a-geral'!T1523</f>
        <v>x</v>
      </c>
      <c r="U501" s="58" t="str">
        <f>'Q100a-geral'!U1523</f>
        <v>x</v>
      </c>
      <c r="V501" s="107" t="str">
        <f>'Q100a-geral'!V1523</f>
        <v>só para pesquisa</v>
      </c>
      <c r="W501" s="58" t="str">
        <f>'Q100a-geral'!W1523</f>
        <v>x</v>
      </c>
      <c r="X501" s="58" t="str">
        <f>'Q100a-geral'!X1523</f>
        <v>x</v>
      </c>
      <c r="Y501" s="64">
        <f>'Q100a-geral'!Y1523</f>
        <v>0.81462170056074812</v>
      </c>
      <c r="Z501" s="64">
        <f>'Q100a-geral'!Z1523</f>
        <v>0.84331909953477513</v>
      </c>
      <c r="AA501" s="64">
        <f>'Q100a-geral'!AA1523</f>
        <v>0.82394946443284811</v>
      </c>
      <c r="AB501" s="64">
        <f>'Q100a-geral'!AB1523</f>
        <v>0.79352551898609125</v>
      </c>
      <c r="AC501" s="64">
        <f>'Q100a-geral'!AC1523</f>
        <v>0.74671840778468634</v>
      </c>
      <c r="AD501" s="64">
        <f>'Q100a-geral'!AD1523</f>
        <v>0.71347354142075159</v>
      </c>
      <c r="AE501" s="64">
        <f>'Q100a-geral'!AE1523</f>
        <v>0.66550558344431932</v>
      </c>
      <c r="AF501" s="64">
        <f>'Q100a-geral'!AF1523</f>
        <v>0.62669761877420949</v>
      </c>
      <c r="AG501" s="64">
        <f>'Q100a-geral'!AG1523</f>
        <v>0.60425284904518961</v>
      </c>
      <c r="AH501" s="64">
        <f>'Q100a-geral'!AH1523</f>
        <v>0.59641685491280971</v>
      </c>
      <c r="AI501" s="64">
        <f>'Q100a-geral'!AI1523</f>
        <v>0.58774219058916566</v>
      </c>
      <c r="AJ501" s="64">
        <f>'Q100a-geral'!AJ1523</f>
        <v>0.59550978271857569</v>
      </c>
      <c r="AK501" s="137" t="str">
        <f>'Q100a-geral'!AK1523</f>
        <v>x</v>
      </c>
      <c r="AL501" s="212" t="str">
        <f>'Q100a-geral'!AL1523</f>
        <v>x</v>
      </c>
      <c r="AM501" s="137" t="str">
        <f>'Q100a-geral'!AM1523</f>
        <v>x</v>
      </c>
      <c r="AN501" s="137" t="str">
        <f>'Q100a-geral'!AN1523</f>
        <v>x</v>
      </c>
      <c r="AO501" s="137" t="str">
        <f>'Q100a-geral'!AO1523</f>
        <v>x</v>
      </c>
      <c r="AP501" s="137" t="str">
        <f>'Q100a-geral'!AP1523</f>
        <v>x</v>
      </c>
      <c r="AQ501" s="137" t="str">
        <f>'Q100a-geral'!AQ1523</f>
        <v>x</v>
      </c>
      <c r="AR501" s="137"/>
      <c r="AS501" s="137"/>
      <c r="AT501" s="137"/>
      <c r="AU501" s="137"/>
      <c r="AV501" s="137" t="str">
        <f>'Q100a-geral'!AV1523</f>
        <v>x</v>
      </c>
      <c r="AW501" s="137"/>
      <c r="AX501" s="137"/>
      <c r="AY501" s="137"/>
      <c r="AZ501" s="137"/>
      <c r="BA501" s="137" t="str">
        <f>'Q100a-geral'!BA1523</f>
        <v>x</v>
      </c>
      <c r="BB501" s="239" t="str">
        <f>'Q100a-geral'!BB1523</f>
        <v>Sinalização semafóricax</v>
      </c>
      <c r="BC501" s="239" t="str">
        <f>'Q100a-geral'!BC1523</f>
        <v>Sinalização semafóricaxx</v>
      </c>
      <c r="BD501" s="239" t="str">
        <f>'Q100a-geral'!BD1523</f>
        <v>Sinalização semafóricax</v>
      </c>
    </row>
    <row r="502" spans="1:57" s="1" customFormat="1" ht="63.75" customHeight="1" x14ac:dyDescent="0.25">
      <c r="A502" s="275" t="str">
        <f>'Q100a-geral'!A1524</f>
        <v>9.5</v>
      </c>
      <c r="B502" s="11" t="str">
        <f>'Q100a-geral'!B1524</f>
        <v>Sinalização semafórica</v>
      </c>
      <c r="C502" s="57" t="str">
        <f>'Q100a-geral'!C1524</f>
        <v>x</v>
      </c>
      <c r="D502" s="287" t="str">
        <f>'Q100a-geral'!D1524</f>
        <v>LS por milhão de habitantes</v>
      </c>
      <c r="E502" s="895" t="str">
        <f>'Q100a-geral'!E1524</f>
        <v>Belo Horizonte</v>
      </c>
      <c r="F502" s="488" t="str">
        <f>'Q100a-geral'!F1524</f>
        <v>n.º de locais semaforizados por milhão de habitantes da população</v>
      </c>
      <c r="G502" s="11" t="str">
        <f>'Q100a-geral'!G1524</f>
        <v>(LS/P) x 1.000.000</v>
      </c>
      <c r="H502" s="173" t="str">
        <f>'Q100a-geral'!H1524</f>
        <v>x</v>
      </c>
      <c r="I502" s="57">
        <f>'Q100a-geral'!I1524</f>
        <v>1</v>
      </c>
      <c r="J502" s="107" t="str">
        <f>'Q100a-geral'!J1524</f>
        <v>x</v>
      </c>
      <c r="K502" s="58" t="str">
        <f>'Q100a-geral'!K1524</f>
        <v>x</v>
      </c>
      <c r="L502" s="58" t="str">
        <f>'Q100a-geral'!L1524</f>
        <v>x</v>
      </c>
      <c r="M502" s="58" t="str">
        <f>'Q100a-geral'!M1524</f>
        <v>x</v>
      </c>
      <c r="N502" s="58" t="str">
        <f>'Q100a-geral'!N1524</f>
        <v>x</v>
      </c>
      <c r="O502" s="58" t="str">
        <f>'Q100a-geral'!O1524</f>
        <v>x</v>
      </c>
      <c r="P502" s="58" t="str">
        <f>'Q100a-geral'!P1524</f>
        <v>x</v>
      </c>
      <c r="Q502" s="58" t="str">
        <f>'Q100a-geral'!Q1524</f>
        <v>x</v>
      </c>
      <c r="R502" s="58" t="str">
        <f>'Q100a-geral'!R1524</f>
        <v>x</v>
      </c>
      <c r="S502" s="649" t="str">
        <f>'Q100a-geral'!S1524</f>
        <v>só para pesquisa</v>
      </c>
      <c r="T502" s="58" t="str">
        <f>'Q100a-geral'!T1524</f>
        <v>x</v>
      </c>
      <c r="U502" s="58" t="str">
        <f>'Q100a-geral'!U1524</f>
        <v>x</v>
      </c>
      <c r="V502" s="107" t="str">
        <f>'Q100a-geral'!V1524</f>
        <v>só para pesquisa</v>
      </c>
      <c r="W502" s="58" t="str">
        <f>'Q100a-geral'!W1524</f>
        <v>x</v>
      </c>
      <c r="X502" s="58" t="str">
        <f>'Q100a-geral'!X1524</f>
        <v>x</v>
      </c>
      <c r="Y502" s="72">
        <f>'Q100a-geral'!Y1524</f>
        <v>279.29423560984156</v>
      </c>
      <c r="Z502" s="72">
        <f>'Q100a-geral'!Z1524</f>
        <v>294.8228595349882</v>
      </c>
      <c r="AA502" s="72">
        <f>'Q100a-geral'!AA1524</f>
        <v>299.32695639214609</v>
      </c>
      <c r="AB502" s="72">
        <f>'Q100a-geral'!AB1524</f>
        <v>307.92693089769659</v>
      </c>
      <c r="AC502" s="421">
        <f>'Q100a-geral'!AC1524</f>
        <v>315.79771871375004</v>
      </c>
      <c r="AD502" s="72">
        <f>'Q100a-geral'!AD1524</f>
        <v>324.4830246089569</v>
      </c>
      <c r="AE502" s="72">
        <f>'Q100a-geral'!AE1524</f>
        <v>331.07492935097491</v>
      </c>
      <c r="AF502" s="72">
        <f>'Q100a-geral'!AF1524</f>
        <v>351.55659577012153</v>
      </c>
      <c r="AG502" s="72">
        <f>'Q100a-geral'!AG1524</f>
        <v>362.16696567797322</v>
      </c>
      <c r="AH502" s="421">
        <f>'Q100a-geral'!AH1524</f>
        <v>375.24235271528954</v>
      </c>
      <c r="AI502" s="72">
        <f>'Q100a-geral'!AI1524</f>
        <v>374.72294099021241</v>
      </c>
      <c r="AJ502" s="72">
        <f>'Q100a-geral'!AJ1524</f>
        <v>390.18766340613757</v>
      </c>
      <c r="AK502" s="137" t="str">
        <f>'Q100a-geral'!AK1524</f>
        <v>x</v>
      </c>
      <c r="AL502" s="212" t="str">
        <f>'Q100a-geral'!AL1524</f>
        <v>x</v>
      </c>
      <c r="AM502" s="137" t="str">
        <f>'Q100a-geral'!AM1524</f>
        <v>x</v>
      </c>
      <c r="AN502" s="137" t="str">
        <f>'Q100a-geral'!AN1524</f>
        <v>x</v>
      </c>
      <c r="AO502" s="137" t="str">
        <f>'Q100a-geral'!AO1524</f>
        <v>x</v>
      </c>
      <c r="AP502" s="137" t="str">
        <f>'Q100a-geral'!AP1524</f>
        <v>x</v>
      </c>
      <c r="AQ502" s="137" t="str">
        <f>'Q100a-geral'!AQ1524</f>
        <v>x</v>
      </c>
      <c r="AR502" s="137"/>
      <c r="AS502" s="137"/>
      <c r="AT502" s="137"/>
      <c r="AU502" s="137"/>
      <c r="AV502" s="137" t="str">
        <f>'Q100a-geral'!AV1524</f>
        <v>x</v>
      </c>
      <c r="AW502" s="137"/>
      <c r="AX502" s="137"/>
      <c r="AY502" s="137"/>
      <c r="AZ502" s="137"/>
      <c r="BA502" s="137" t="str">
        <f>'Q100a-geral'!BA1524</f>
        <v>x</v>
      </c>
      <c r="BB502" s="239" t="str">
        <f>'Q100a-geral'!BB1524</f>
        <v>Sinalização semafóricax</v>
      </c>
      <c r="BC502" s="239" t="str">
        <f>'Q100a-geral'!BC1524</f>
        <v>Sinalização semafóricaxx</v>
      </c>
      <c r="BD502" s="239" t="str">
        <f>'Q100a-geral'!BD1524</f>
        <v>Sinalização semafóricax</v>
      </c>
      <c r="BE502" s="371" t="s">
        <v>2768</v>
      </c>
    </row>
    <row r="503" spans="1:57" s="1" customFormat="1" ht="127.5" customHeight="1" x14ac:dyDescent="0.25">
      <c r="A503" s="275" t="str">
        <f>'Q100a-geral'!A1525</f>
        <v>9.5</v>
      </c>
      <c r="B503" s="11" t="str">
        <f>'Q100a-geral'!B1525</f>
        <v>Sinalização semafórica</v>
      </c>
      <c r="C503" s="57" t="str">
        <f>'Q100a-geral'!C1525</f>
        <v>x</v>
      </c>
      <c r="D503" s="322" t="str">
        <f>'Q100a-geral'!D1525</f>
        <v>LSA</v>
      </c>
      <c r="E503" s="11" t="str">
        <f>'Q100a-geral'!E1525</f>
        <v>Belo Horizonte</v>
      </c>
      <c r="F503" s="445" t="str">
        <f>'Q100a-geral'!F1525</f>
        <v>n.º de locais semaforizados com controle centralizado em modo adaptativo, ou seja, existência de controladores de trafego interligados fisicamente por meio de uma rede de dados a um concentrador de área e esse interligado ao Centro de Controle Operacional - CCO, de onde são monitorados através de software especifico do fabricante
obs.1: a finalidade básica do controle é dar o tempo a cada corrente de tráfego de acordo com sua necessidade, ajustando dinamicamente às flutuações de tráfego que podem ocorrer num cruzamento; não requerem planos pré-calculados, exceto para a inicialização do sistema
obs.2: resultados de 2003 a 2014 fornecidos pela Gerência de Planejamento e Controle Operacional - Geplo/DRO em BHTRANS (2015p)
obs.3: "A partir do mês de Abril de 2014 os Indicadores Semafóricos, apresentados anteriormente no Item 4 dos Relatórios Mensais, passam a ser de responsabilidade da Gerência de Simulação de Transportes, Trânsito e Programação Semafórica – GESIT" (BHTRANS, 2015q).</v>
      </c>
      <c r="G503" s="252" t="str">
        <f>'Q100a-geral'!G1525</f>
        <v>registro na fonte</v>
      </c>
      <c r="H503" s="173" t="str">
        <f>'Q100a-geral'!H1525</f>
        <v>x</v>
      </c>
      <c r="I503" s="57">
        <f>'Q100a-geral'!I1525</f>
        <v>1</v>
      </c>
      <c r="J503" s="107" t="str">
        <f>'Q100a-geral'!J1525</f>
        <v>x</v>
      </c>
      <c r="K503" s="11" t="str">
        <f>'Q100a-geral'!K1525</f>
        <v>x</v>
      </c>
      <c r="L503" s="11" t="str">
        <f>'Q100a-geral'!L1525</f>
        <v>x</v>
      </c>
      <c r="M503" s="11" t="str">
        <f>'Q100a-geral'!M1525</f>
        <v>x</v>
      </c>
      <c r="N503" s="11" t="str">
        <f>'Q100a-geral'!N1525</f>
        <v>x</v>
      </c>
      <c r="O503" s="11" t="str">
        <f>'Q100a-geral'!O1525</f>
        <v>x</v>
      </c>
      <c r="P503" s="11" t="str">
        <f>'Q100a-geral'!P1525</f>
        <v>x</v>
      </c>
      <c r="Q503" s="11" t="str">
        <f>'Q100a-geral'!Q1525</f>
        <v>x</v>
      </c>
      <c r="R503" s="11" t="str">
        <f>'Q100a-geral'!R1525</f>
        <v>x</v>
      </c>
      <c r="S503" s="649" t="str">
        <f>'Q100a-geral'!S1525</f>
        <v>só para pesquisa</v>
      </c>
      <c r="T503" s="49" t="str">
        <f>'Q100a-geral'!T1525</f>
        <v>x</v>
      </c>
      <c r="U503" s="49" t="str">
        <f>'Q100a-geral'!U1525</f>
        <v>x</v>
      </c>
      <c r="V503" s="107" t="str">
        <f>'Q100a-geral'!V1525</f>
        <v>só para pesquisa</v>
      </c>
      <c r="W503" s="49" t="str">
        <f>'Q100a-geral'!W1525</f>
        <v>x</v>
      </c>
      <c r="X503" s="49" t="str">
        <f>'Q100a-geral'!X1525</f>
        <v>x</v>
      </c>
      <c r="Y503" s="87" t="str">
        <f>'Q100a-geral'!Y1525</f>
        <v>x</v>
      </c>
      <c r="Z503" s="84">
        <f>'Q100a-geral'!Z1525</f>
        <v>49</v>
      </c>
      <c r="AA503" s="84">
        <f>'Q100a-geral'!AA1525</f>
        <v>156</v>
      </c>
      <c r="AB503" s="84">
        <f>'Q100a-geral'!AB1525</f>
        <v>260</v>
      </c>
      <c r="AC503" s="84">
        <f>'Q100a-geral'!AC1525</f>
        <v>0</v>
      </c>
      <c r="AD503" s="84">
        <f>'Q100a-geral'!AD1525</f>
        <v>25</v>
      </c>
      <c r="AE503" s="84">
        <f>'Q100a-geral'!AE1525</f>
        <v>35</v>
      </c>
      <c r="AF503" s="84">
        <f>'Q100a-geral'!AF1525</f>
        <v>4</v>
      </c>
      <c r="AG503" s="84">
        <f>'Q100a-geral'!AG1525</f>
        <v>4</v>
      </c>
      <c r="AH503" s="84">
        <f>'Q100a-geral'!AH1525</f>
        <v>0</v>
      </c>
      <c r="AI503" s="84">
        <f>'Q100a-geral'!AI1525</f>
        <v>0</v>
      </c>
      <c r="AJ503" s="84">
        <f>'Q100a-geral'!AJ1525</f>
        <v>0</v>
      </c>
      <c r="AK503" s="137" t="str">
        <f>'Q100a-geral'!AK1525</f>
        <v>x</v>
      </c>
      <c r="AL503" s="212" t="str">
        <f>'Q100a-geral'!AL1525</f>
        <v>x</v>
      </c>
      <c r="AM503" s="137" t="str">
        <f>'Q100a-geral'!AM1525</f>
        <v>x</v>
      </c>
      <c r="AN503" s="137" t="str">
        <f>'Q100a-geral'!AN1525</f>
        <v>x</v>
      </c>
      <c r="AO503" s="137" t="str">
        <f>'Q100a-geral'!AO1525</f>
        <v>x</v>
      </c>
      <c r="AP503" s="137" t="str">
        <f>'Q100a-geral'!AP1525</f>
        <v>x</v>
      </c>
      <c r="AQ503" s="137" t="str">
        <f>'Q100a-geral'!AQ1525</f>
        <v>x</v>
      </c>
      <c r="AR503" s="137"/>
      <c r="AS503" s="137"/>
      <c r="AT503" s="137"/>
      <c r="AU503" s="137"/>
      <c r="AV503" s="137" t="str">
        <f>'Q100a-geral'!AV1525</f>
        <v>x</v>
      </c>
      <c r="AW503" s="137"/>
      <c r="AX503" s="137"/>
      <c r="AY503" s="137"/>
      <c r="AZ503" s="137"/>
      <c r="BA503" s="137" t="str">
        <f>'Q100a-geral'!BA1525</f>
        <v>x</v>
      </c>
      <c r="BB503" s="239" t="str">
        <f>'Q100a-geral'!BB1525</f>
        <v>Sinalização semafóricax</v>
      </c>
      <c r="BC503" s="239" t="str">
        <f>'Q100a-geral'!BC1525</f>
        <v>Sinalização semafóricaxx</v>
      </c>
      <c r="BD503" s="239" t="str">
        <f>'Q100a-geral'!BD1525</f>
        <v>Sinalização semafóricax</v>
      </c>
    </row>
    <row r="504" spans="1:57" s="1" customFormat="1" ht="63.75" customHeight="1" x14ac:dyDescent="0.25">
      <c r="A504" s="275" t="str">
        <f>'Q100a-geral'!A1526</f>
        <v>9.5</v>
      </c>
      <c r="B504" s="11" t="str">
        <f>'Q100a-geral'!B1526</f>
        <v>Sinalização semafórica</v>
      </c>
      <c r="C504" s="57" t="str">
        <f>'Q100a-geral'!C1526</f>
        <v>x</v>
      </c>
      <c r="D504" s="66" t="str">
        <f>'Q100a-geral'!D1526</f>
        <v>LSA em relação a LS</v>
      </c>
      <c r="E504" s="70" t="str">
        <f>'Q100a-geral'!E1526</f>
        <v>Belo Horizonte</v>
      </c>
      <c r="F504" s="636" t="str">
        <f>'Q100a-geral'!F1526</f>
        <v>percentual de locais semaforizados com controle centralizado em modo adaptativo em relação ao total de locais semaforizados</v>
      </c>
      <c r="G504" s="70" t="str">
        <f>'Q100a-geral'!G1526</f>
        <v>(LSA/LS) x 100</v>
      </c>
      <c r="H504" s="234" t="str">
        <f>'Q100a-geral'!H1526</f>
        <v>x</v>
      </c>
      <c r="I504" s="57">
        <f>'Q100a-geral'!I1526</f>
        <v>1</v>
      </c>
      <c r="J504" s="107" t="str">
        <f>'Q100a-geral'!J1526</f>
        <v>x</v>
      </c>
      <c r="K504" s="58" t="str">
        <f>'Q100a-geral'!K1526</f>
        <v>x</v>
      </c>
      <c r="L504" s="58" t="str">
        <f>'Q100a-geral'!L1526</f>
        <v>x</v>
      </c>
      <c r="M504" s="58" t="str">
        <f>'Q100a-geral'!M1526</f>
        <v>x</v>
      </c>
      <c r="N504" s="58" t="str">
        <f>'Q100a-geral'!N1526</f>
        <v>x</v>
      </c>
      <c r="O504" s="58" t="str">
        <f>'Q100a-geral'!O1526</f>
        <v>x</v>
      </c>
      <c r="P504" s="58" t="str">
        <f>'Q100a-geral'!P1526</f>
        <v>x</v>
      </c>
      <c r="Q504" s="58" t="str">
        <f>'Q100a-geral'!Q1526</f>
        <v>x</v>
      </c>
      <c r="R504" s="58" t="str">
        <f>'Q100a-geral'!R1526</f>
        <v>x</v>
      </c>
      <c r="S504" s="649" t="str">
        <f>'Q100a-geral'!S1526</f>
        <v>só para pesquisa</v>
      </c>
      <c r="T504" s="20" t="str">
        <f>'Q100a-geral'!T1526</f>
        <v>x</v>
      </c>
      <c r="U504" s="20" t="str">
        <f>'Q100a-geral'!U1526</f>
        <v>x</v>
      </c>
      <c r="V504" s="107" t="str">
        <f>'Q100a-geral'!V1526</f>
        <v>só para pesquisa</v>
      </c>
      <c r="W504" s="20" t="str">
        <f>'Q100a-geral'!W1526</f>
        <v>x</v>
      </c>
      <c r="X504" s="20" t="str">
        <f>'Q100a-geral'!X1526</f>
        <v>x</v>
      </c>
      <c r="Y504" s="20" t="str">
        <f>'Q100a-geral'!Y1526</f>
        <v>x</v>
      </c>
      <c r="Z504" s="21">
        <f>'Q100a-geral'!Z1526</f>
        <v>7.0707070707070704E-2</v>
      </c>
      <c r="AA504" s="21">
        <f>'Q100a-geral'!AA1526</f>
        <v>0.21940928270042195</v>
      </c>
      <c r="AB504" s="21">
        <f>'Q100a-geral'!AB1526</f>
        <v>0.35182679296346414</v>
      </c>
      <c r="AC504" s="21">
        <f>'Q100a-geral'!AC1526</f>
        <v>0</v>
      </c>
      <c r="AD504" s="21">
        <f>'Q100a-geral'!AD1526</f>
        <v>3.1645569620253167E-2</v>
      </c>
      <c r="AE504" s="21">
        <f>'Q100a-geral'!AE1526</f>
        <v>4.3103448275862072E-2</v>
      </c>
      <c r="AF504" s="21">
        <f>'Q100a-geral'!AF1526</f>
        <v>4.7904191616766467E-3</v>
      </c>
      <c r="AG504" s="21">
        <f>'Q100a-geral'!AG1526</f>
        <v>4.6296296296296294E-3</v>
      </c>
      <c r="AH504" s="21">
        <f>'Q100a-geral'!AH1526</f>
        <v>0</v>
      </c>
      <c r="AI504" s="21">
        <f>'Q100a-geral'!AI1526</f>
        <v>0</v>
      </c>
      <c r="AJ504" s="21">
        <f>'Q100a-geral'!AJ1526</f>
        <v>0</v>
      </c>
      <c r="AK504" s="137" t="str">
        <f>'Q100a-geral'!AK1526</f>
        <v>x</v>
      </c>
      <c r="AL504" s="212" t="str">
        <f>'Q100a-geral'!AL1526</f>
        <v>x</v>
      </c>
      <c r="AM504" s="137" t="str">
        <f>'Q100a-geral'!AM1526</f>
        <v>x</v>
      </c>
      <c r="AN504" s="137" t="str">
        <f>'Q100a-geral'!AN1526</f>
        <v>x</v>
      </c>
      <c r="AO504" s="137" t="str">
        <f>'Q100a-geral'!AO1526</f>
        <v>x</v>
      </c>
      <c r="AP504" s="137" t="str">
        <f>'Q100a-geral'!AP1526</f>
        <v>x</v>
      </c>
      <c r="AQ504" s="137" t="str">
        <f>'Q100a-geral'!AQ1526</f>
        <v>x</v>
      </c>
      <c r="AR504" s="137"/>
      <c r="AS504" s="137"/>
      <c r="AT504" s="137"/>
      <c r="AU504" s="137"/>
      <c r="AV504" s="137" t="str">
        <f>'Q100a-geral'!AV1526</f>
        <v>x</v>
      </c>
      <c r="AW504" s="137"/>
      <c r="AX504" s="137"/>
      <c r="AY504" s="137"/>
      <c r="AZ504" s="137"/>
      <c r="BA504" s="137" t="str">
        <f>'Q100a-geral'!BA1526</f>
        <v>x</v>
      </c>
      <c r="BB504" s="239" t="str">
        <f>'Q100a-geral'!BB1526</f>
        <v>Sinalização semafóricax</v>
      </c>
      <c r="BC504" s="239" t="str">
        <f>'Q100a-geral'!BC1526</f>
        <v>Sinalização semafóricaxx</v>
      </c>
      <c r="BD504" s="239" t="str">
        <f>'Q100a-geral'!BD1526</f>
        <v>Sinalização semafóricax</v>
      </c>
    </row>
    <row r="505" spans="1:57" s="1" customFormat="1" ht="72" customHeight="1" x14ac:dyDescent="0.25">
      <c r="A505" s="275" t="str">
        <f>'Q100a-geral'!A1527</f>
        <v>9.5</v>
      </c>
      <c r="B505" s="11" t="str">
        <f>'Q100a-geral'!B1527</f>
        <v>Sinalização semafórica</v>
      </c>
      <c r="C505" s="230" t="str">
        <f>'Q100a-geral'!C1527</f>
        <v>acessibilidade</v>
      </c>
      <c r="D505" s="240" t="str">
        <f>'Q100a-geral'!D1527</f>
        <v>LSac</v>
      </c>
      <c r="E505" s="252" t="str">
        <f>'Q100a-geral'!E1527</f>
        <v>Belo Horizonte</v>
      </c>
      <c r="F505" s="449" t="str">
        <f>'Q100a-geral'!F1527</f>
        <v>n.º total de locais semaforizados acessíveis 
obs.: falta conceituar o que seja uma "travessia acessível"</v>
      </c>
      <c r="G505" s="252" t="str">
        <f>'Q100a-geral'!G1527</f>
        <v>registro na fonte</v>
      </c>
      <c r="H505" s="168" t="str">
        <f>'Q100a-geral'!H1527</f>
        <v>ainda não incorporado ao SisMob-BH</v>
      </c>
      <c r="I505" s="167">
        <f>'Q100a-geral'!I1527</f>
        <v>1</v>
      </c>
      <c r="J505" s="109" t="str">
        <f>'Q100a-geral'!J1527</f>
        <v>x</v>
      </c>
      <c r="K505" s="93" t="str">
        <f>'Q100a-geral'!K1527</f>
        <v>x</v>
      </c>
      <c r="L505" s="93" t="str">
        <f>'Q100a-geral'!L1527</f>
        <v>x</v>
      </c>
      <c r="M505" s="93" t="str">
        <f>'Q100a-geral'!M1527</f>
        <v>x</v>
      </c>
      <c r="N505" s="93" t="str">
        <f>'Q100a-geral'!N1527</f>
        <v>x</v>
      </c>
      <c r="O505" s="93" t="str">
        <f>'Q100a-geral'!O1527</f>
        <v>x</v>
      </c>
      <c r="P505" s="93" t="str">
        <f>'Q100a-geral'!P1527</f>
        <v>x</v>
      </c>
      <c r="Q505" s="93" t="str">
        <f>'Q100a-geral'!Q1527</f>
        <v>x</v>
      </c>
      <c r="R505" s="93" t="str">
        <f>'Q100a-geral'!R1527</f>
        <v>x</v>
      </c>
      <c r="S505" s="649" t="str">
        <f>'Q100a-geral'!S1527</f>
        <v>só para pesquisa</v>
      </c>
      <c r="T505" s="93" t="str">
        <f>'Q100a-geral'!T1527</f>
        <v>x</v>
      </c>
      <c r="U505" s="93" t="str">
        <f>'Q100a-geral'!U1527</f>
        <v>x</v>
      </c>
      <c r="V505" s="107" t="str">
        <f>'Q100a-geral'!V1527</f>
        <v>só para pesquisa</v>
      </c>
      <c r="W505" s="93" t="str">
        <f>'Q100a-geral'!W1527</f>
        <v>x</v>
      </c>
      <c r="X505" s="93" t="str">
        <f>'Q100a-geral'!X1527</f>
        <v>x</v>
      </c>
      <c r="Y505" s="93" t="str">
        <f>'Q100a-geral'!Y1527</f>
        <v>x</v>
      </c>
      <c r="Z505" s="93" t="str">
        <f>'Q100a-geral'!Z1527</f>
        <v>x</v>
      </c>
      <c r="AA505" s="93" t="str">
        <f>'Q100a-geral'!AA1527</f>
        <v>x</v>
      </c>
      <c r="AB505" s="93" t="str">
        <f>'Q100a-geral'!AB1527</f>
        <v>x</v>
      </c>
      <c r="AC505" s="93" t="str">
        <f>'Q100a-geral'!AC1527</f>
        <v>x</v>
      </c>
      <c r="AD505" s="93" t="str">
        <f>'Q100a-geral'!AD1527</f>
        <v>x</v>
      </c>
      <c r="AE505" s="93" t="str">
        <f>'Q100a-geral'!AE1527</f>
        <v>x</v>
      </c>
      <c r="AF505" s="93" t="str">
        <f>'Q100a-geral'!AF1527</f>
        <v>x</v>
      </c>
      <c r="AG505" s="93" t="str">
        <f>'Q100a-geral'!AG1527</f>
        <v>x</v>
      </c>
      <c r="AH505" s="93" t="str">
        <f>'Q100a-geral'!AH1527</f>
        <v>x</v>
      </c>
      <c r="AI505" s="93" t="str">
        <f>'Q100a-geral'!AI1527</f>
        <v>x</v>
      </c>
      <c r="AJ505" s="93" t="str">
        <f>'Q100a-geral'!AJ1527</f>
        <v>x</v>
      </c>
      <c r="AK505" s="137" t="str">
        <f>'Q100a-geral'!AK1527</f>
        <v>x</v>
      </c>
      <c r="AL505" s="212" t="str">
        <f>'Q100a-geral'!AL1527</f>
        <v>x</v>
      </c>
      <c r="AM505" s="137" t="str">
        <f>'Q100a-geral'!AM1527</f>
        <v>x</v>
      </c>
      <c r="AN505" s="137" t="str">
        <f>'Q100a-geral'!AN1527</f>
        <v>x</v>
      </c>
      <c r="AO505" s="137" t="str">
        <f>'Q100a-geral'!AO1527</f>
        <v>x</v>
      </c>
      <c r="AP505" s="137" t="str">
        <f>'Q100a-geral'!AP1527</f>
        <v>x</v>
      </c>
      <c r="AQ505" s="137" t="str">
        <f>'Q100a-geral'!AQ1527</f>
        <v>x</v>
      </c>
      <c r="AR505" s="137"/>
      <c r="AS505" s="137"/>
      <c r="AT505" s="137"/>
      <c r="AU505" s="137"/>
      <c r="AV505" s="137" t="str">
        <f>'Q100a-geral'!AV1527</f>
        <v>x</v>
      </c>
      <c r="AW505" s="137"/>
      <c r="AX505" s="137"/>
      <c r="AY505" s="137"/>
      <c r="AZ505" s="137"/>
      <c r="BA505" s="137" t="str">
        <f>'Q100a-geral'!BA1527</f>
        <v>x</v>
      </c>
      <c r="BB505" s="239" t="str">
        <f>'Q100a-geral'!BB1527</f>
        <v>Sinalização semafóricaacessibilidade</v>
      </c>
      <c r="BC505" s="239" t="str">
        <f>'Q100a-geral'!BC1527</f>
        <v>Sinalização semafóricaacessibilidadeainda não incorporado ao SisMob-BH</v>
      </c>
      <c r="BD505" s="239" t="str">
        <f>'Q100a-geral'!BD1527</f>
        <v>Sinalização semafóricaainda não incorporado ao SisMob-BH</v>
      </c>
    </row>
    <row r="506" spans="1:57" s="1" customFormat="1" ht="66" customHeight="1" x14ac:dyDescent="0.25">
      <c r="A506" s="275" t="str">
        <f>'Q100a-geral'!A1528</f>
        <v>9.5</v>
      </c>
      <c r="B506" s="11" t="str">
        <f>'Q100a-geral'!B1528</f>
        <v>Sinalização semafórica</v>
      </c>
      <c r="C506" s="230" t="str">
        <f>'Q100a-geral'!C1528</f>
        <v>acessibilidade</v>
      </c>
      <c r="D506" s="240" t="str">
        <f>'Q100a-geral'!D1528</f>
        <v>LSac em relação a LS</v>
      </c>
      <c r="E506" s="252" t="str">
        <f>'Q100a-geral'!E1528</f>
        <v>Belo Horizonte</v>
      </c>
      <c r="F506" s="449" t="str">
        <f>'Q100a-geral'!F1528</f>
        <v>percentual de locais semaforizados acessíveis em relação ao total de locais semaforizados
obs.: falta conceituar o que seja uma "travessia acessível"</v>
      </c>
      <c r="G506" s="11" t="str">
        <f>'Q100a-geral'!G1528</f>
        <v>(LSac / LS) x 100</v>
      </c>
      <c r="H506" s="168" t="str">
        <f>'Q100a-geral'!H1528</f>
        <v>ainda não incorporado ao SisMob-BH</v>
      </c>
      <c r="I506" s="167">
        <f>'Q100a-geral'!I1528</f>
        <v>1</v>
      </c>
      <c r="J506" s="109" t="str">
        <f>'Q100a-geral'!J1528</f>
        <v>x</v>
      </c>
      <c r="K506" s="58" t="str">
        <f>'Q100a-geral'!K1528</f>
        <v>x</v>
      </c>
      <c r="L506" s="58" t="str">
        <f>'Q100a-geral'!L1528</f>
        <v>x</v>
      </c>
      <c r="M506" s="58" t="str">
        <f>'Q100a-geral'!M1528</f>
        <v>x</v>
      </c>
      <c r="N506" s="58" t="str">
        <f>'Q100a-geral'!N1528</f>
        <v>x</v>
      </c>
      <c r="O506" s="58" t="str">
        <f>'Q100a-geral'!O1528</f>
        <v>x</v>
      </c>
      <c r="P506" s="58" t="str">
        <f>'Q100a-geral'!P1528</f>
        <v>x</v>
      </c>
      <c r="Q506" s="58" t="str">
        <f>'Q100a-geral'!Q1528</f>
        <v>x</v>
      </c>
      <c r="R506" s="58" t="str">
        <f>'Q100a-geral'!R1528</f>
        <v>x</v>
      </c>
      <c r="S506" s="649" t="str">
        <f>'Q100a-geral'!S1528</f>
        <v>só para pesquisa</v>
      </c>
      <c r="T506" s="58" t="str">
        <f>'Q100a-geral'!T1528</f>
        <v>x</v>
      </c>
      <c r="U506" s="58" t="str">
        <f>'Q100a-geral'!U1528</f>
        <v>x</v>
      </c>
      <c r="V506" s="107" t="str">
        <f>'Q100a-geral'!V1528</f>
        <v>só para pesquisa</v>
      </c>
      <c r="W506" s="58" t="str">
        <f>'Q100a-geral'!W1528</f>
        <v>x</v>
      </c>
      <c r="X506" s="58" t="str">
        <f>'Q100a-geral'!X1528</f>
        <v>x</v>
      </c>
      <c r="Y506" s="58" t="str">
        <f>'Q100a-geral'!Y1528</f>
        <v>x</v>
      </c>
      <c r="Z506" s="58" t="str">
        <f>'Q100a-geral'!Z1528</f>
        <v>x</v>
      </c>
      <c r="AA506" s="58" t="str">
        <f>'Q100a-geral'!AA1528</f>
        <v>x</v>
      </c>
      <c r="AB506" s="58" t="str">
        <f>'Q100a-geral'!AB1528</f>
        <v>x</v>
      </c>
      <c r="AC506" s="58" t="str">
        <f>'Q100a-geral'!AC1528</f>
        <v>x</v>
      </c>
      <c r="AD506" s="58" t="str">
        <f>'Q100a-geral'!AD1528</f>
        <v>x</v>
      </c>
      <c r="AE506" s="58" t="str">
        <f>'Q100a-geral'!AE1528</f>
        <v>x</v>
      </c>
      <c r="AF506" s="58" t="str">
        <f>'Q100a-geral'!AF1528</f>
        <v>x</v>
      </c>
      <c r="AG506" s="58" t="str">
        <f>'Q100a-geral'!AG1528</f>
        <v>x</v>
      </c>
      <c r="AH506" s="58" t="str">
        <f>'Q100a-geral'!AH1528</f>
        <v>x</v>
      </c>
      <c r="AI506" s="58" t="str">
        <f>'Q100a-geral'!AI1528</f>
        <v>x</v>
      </c>
      <c r="AJ506" s="58" t="str">
        <f>'Q100a-geral'!AJ1528</f>
        <v>x</v>
      </c>
      <c r="AK506" s="137" t="str">
        <f>'Q100a-geral'!AK1528</f>
        <v>x</v>
      </c>
      <c r="AL506" s="212" t="str">
        <f>'Q100a-geral'!AL1528</f>
        <v>x</v>
      </c>
      <c r="AM506" s="137" t="str">
        <f>'Q100a-geral'!AM1528</f>
        <v>x</v>
      </c>
      <c r="AN506" s="137" t="str">
        <f>'Q100a-geral'!AN1528</f>
        <v>x</v>
      </c>
      <c r="AO506" s="137" t="str">
        <f>'Q100a-geral'!AO1528</f>
        <v>x</v>
      </c>
      <c r="AP506" s="137" t="str">
        <f>'Q100a-geral'!AP1528</f>
        <v>x</v>
      </c>
      <c r="AQ506" s="137" t="str">
        <f>'Q100a-geral'!AQ1528</f>
        <v>x</v>
      </c>
      <c r="AR506" s="137"/>
      <c r="AS506" s="137"/>
      <c r="AT506" s="137"/>
      <c r="AU506" s="137"/>
      <c r="AV506" s="137" t="str">
        <f>'Q100a-geral'!AV1528</f>
        <v>x</v>
      </c>
      <c r="AW506" s="137"/>
      <c r="AX506" s="137"/>
      <c r="AY506" s="137"/>
      <c r="AZ506" s="137"/>
      <c r="BA506" s="137" t="str">
        <f>'Q100a-geral'!BA1528</f>
        <v>x</v>
      </c>
      <c r="BB506" s="239" t="str">
        <f>'Q100a-geral'!BB1528</f>
        <v>Sinalização semafóricaacessibilidade</v>
      </c>
      <c r="BC506" s="239" t="str">
        <f>'Q100a-geral'!BC1528</f>
        <v>Sinalização semafóricaacessibilidadeainda não incorporado ao SisMob-BH</v>
      </c>
      <c r="BD506" s="239" t="str">
        <f>'Q100a-geral'!BD1528</f>
        <v>Sinalização semafóricaainda não incorporado ao SisMob-BH</v>
      </c>
    </row>
    <row r="507" spans="1:57" s="1" customFormat="1" ht="63" customHeight="1" x14ac:dyDescent="0.25">
      <c r="A507" s="275" t="str">
        <f>'Q100a-geral'!A1529</f>
        <v>9.5</v>
      </c>
      <c r="B507" s="11" t="str">
        <f>'Q100a-geral'!B1529</f>
        <v>Sinalização semafórica</v>
      </c>
      <c r="C507" s="57" t="str">
        <f>'Q100a-geral'!C1529</f>
        <v>x</v>
      </c>
      <c r="D507" s="240" t="str">
        <f>'Q100a-geral'!D1529</f>
        <v>LSB</v>
      </c>
      <c r="E507" s="252" t="str">
        <f>'Q100a-geral'!E1529</f>
        <v>Belo Horizonte</v>
      </c>
      <c r="F507" s="449" t="str">
        <f>'Q100a-geral'!F1529</f>
        <v>n.º de locais semaforizados com botoeira, ou seja, n.º total de locais semaforizados onde está[ão]  instalado[s] equipamento[s] chamado[s] botoeira[s] que permite[em] ao pedestre interferir na programação semafórica para interromper o trânsito veicular</v>
      </c>
      <c r="G507" s="252" t="str">
        <f>'Q100a-geral'!G1529</f>
        <v>registro na fonte</v>
      </c>
      <c r="H507" s="168" t="str">
        <f>'Q100a-geral'!H1529</f>
        <v>ainda não incorporado ao SisMob-BH</v>
      </c>
      <c r="I507" s="167">
        <f>'Q100a-geral'!I1529</f>
        <v>1</v>
      </c>
      <c r="J507" s="107" t="str">
        <f>'Q100a-geral'!J1529</f>
        <v>x</v>
      </c>
      <c r="K507" s="93" t="str">
        <f>'Q100a-geral'!K1529</f>
        <v>x</v>
      </c>
      <c r="L507" s="93" t="str">
        <f>'Q100a-geral'!L1529</f>
        <v>x</v>
      </c>
      <c r="M507" s="93" t="str">
        <f>'Q100a-geral'!M1529</f>
        <v>x</v>
      </c>
      <c r="N507" s="93" t="str">
        <f>'Q100a-geral'!N1529</f>
        <v>x</v>
      </c>
      <c r="O507" s="93" t="str">
        <f>'Q100a-geral'!O1529</f>
        <v>x</v>
      </c>
      <c r="P507" s="93" t="str">
        <f>'Q100a-geral'!P1529</f>
        <v>x</v>
      </c>
      <c r="Q507" s="93" t="str">
        <f>'Q100a-geral'!Q1529</f>
        <v>x</v>
      </c>
      <c r="R507" s="93" t="str">
        <f>'Q100a-geral'!R1529</f>
        <v>x</v>
      </c>
      <c r="S507" s="649" t="str">
        <f>'Q100a-geral'!S1529</f>
        <v>só para pesquisa</v>
      </c>
      <c r="T507" s="93" t="str">
        <f>'Q100a-geral'!T1529</f>
        <v>x</v>
      </c>
      <c r="U507" s="93" t="str">
        <f>'Q100a-geral'!U1529</f>
        <v>x</v>
      </c>
      <c r="V507" s="107" t="str">
        <f>'Q100a-geral'!V1529</f>
        <v>só para pesquisa</v>
      </c>
      <c r="W507" s="93" t="str">
        <f>'Q100a-geral'!W1529</f>
        <v>x</v>
      </c>
      <c r="X507" s="93" t="str">
        <f>'Q100a-geral'!X1529</f>
        <v>x</v>
      </c>
      <c r="Y507" s="93" t="str">
        <f>'Q100a-geral'!Y1529</f>
        <v>x</v>
      </c>
      <c r="Z507" s="93" t="str">
        <f>'Q100a-geral'!Z1529</f>
        <v>x</v>
      </c>
      <c r="AA507" s="93" t="str">
        <f>'Q100a-geral'!AA1529</f>
        <v>x</v>
      </c>
      <c r="AB507" s="93" t="str">
        <f>'Q100a-geral'!AB1529</f>
        <v>x</v>
      </c>
      <c r="AC507" s="93" t="str">
        <f>'Q100a-geral'!AC1529</f>
        <v>x</v>
      </c>
      <c r="AD507" s="93" t="str">
        <f>'Q100a-geral'!AD1529</f>
        <v>x</v>
      </c>
      <c r="AE507" s="93" t="str">
        <f>'Q100a-geral'!AE1529</f>
        <v>x</v>
      </c>
      <c r="AF507" s="93" t="str">
        <f>'Q100a-geral'!AF1529</f>
        <v>x</v>
      </c>
      <c r="AG507" s="93" t="str">
        <f>'Q100a-geral'!AG1529</f>
        <v>x</v>
      </c>
      <c r="AH507" s="93" t="str">
        <f>'Q100a-geral'!AH1529</f>
        <v>x</v>
      </c>
      <c r="AI507" s="93" t="str">
        <f>'Q100a-geral'!AI1529</f>
        <v>x</v>
      </c>
      <c r="AJ507" s="93" t="str">
        <f>'Q100a-geral'!AJ1529</f>
        <v>x</v>
      </c>
      <c r="AK507" s="137" t="str">
        <f>'Q100a-geral'!AK1529</f>
        <v>x</v>
      </c>
      <c r="AL507" s="212" t="str">
        <f>'Q100a-geral'!AL1529</f>
        <v>x</v>
      </c>
      <c r="AM507" s="137" t="str">
        <f>'Q100a-geral'!AM1529</f>
        <v>x</v>
      </c>
      <c r="AN507" s="137" t="str">
        <f>'Q100a-geral'!AN1529</f>
        <v>x</v>
      </c>
      <c r="AO507" s="137" t="str">
        <f>'Q100a-geral'!AO1529</f>
        <v>x</v>
      </c>
      <c r="AP507" s="137" t="str">
        <f>'Q100a-geral'!AP1529</f>
        <v>x</v>
      </c>
      <c r="AQ507" s="137" t="str">
        <f>'Q100a-geral'!AQ1529</f>
        <v>x</v>
      </c>
      <c r="AR507" s="137"/>
      <c r="AS507" s="137"/>
      <c r="AT507" s="137"/>
      <c r="AU507" s="137"/>
      <c r="AV507" s="137" t="str">
        <f>'Q100a-geral'!AV1529</f>
        <v>x</v>
      </c>
      <c r="AW507" s="137"/>
      <c r="AX507" s="137"/>
      <c r="AY507" s="137"/>
      <c r="AZ507" s="137"/>
      <c r="BA507" s="137" t="str">
        <f>'Q100a-geral'!BA1529</f>
        <v>x</v>
      </c>
      <c r="BB507" s="239" t="str">
        <f>'Q100a-geral'!BB1529</f>
        <v>Sinalização semafóricax</v>
      </c>
      <c r="BC507" s="239" t="str">
        <f>'Q100a-geral'!BC1529</f>
        <v>Sinalização semafóricaxainda não incorporado ao SisMob-BH</v>
      </c>
      <c r="BD507" s="239" t="str">
        <f>'Q100a-geral'!BD1529</f>
        <v>Sinalização semafóricaainda não incorporado ao SisMob-BH</v>
      </c>
    </row>
    <row r="508" spans="1:57" s="1" customFormat="1" ht="71.25" customHeight="1" x14ac:dyDescent="0.25">
      <c r="A508" s="275" t="str">
        <f>'Q100a-geral'!A1530</f>
        <v>9.5</v>
      </c>
      <c r="B508" s="11" t="str">
        <f>'Q100a-geral'!B1530</f>
        <v>Sinalização semafórica</v>
      </c>
      <c r="C508" s="57" t="str">
        <f>'Q100a-geral'!C1530</f>
        <v>x</v>
      </c>
      <c r="D508" s="240" t="str">
        <f>'Q100a-geral'!D1530</f>
        <v>LSB em relação a LS</v>
      </c>
      <c r="E508" s="252" t="str">
        <f>'Q100a-geral'!E1530</f>
        <v>Belo Horizonte</v>
      </c>
      <c r="F508" s="449" t="str">
        <f>'Q100a-geral'!F1530</f>
        <v>n.º de locais semaforizados com botoeira em relação ao total de locais semaforizados</v>
      </c>
      <c r="G508" s="252" t="str">
        <f>'Q100a-geral'!G1530</f>
        <v>(LSB/LS) x 100</v>
      </c>
      <c r="H508" s="168" t="str">
        <f>'Q100a-geral'!H1530</f>
        <v>ainda não incorporado ao SisMob-BH</v>
      </c>
      <c r="I508" s="167">
        <f>'Q100a-geral'!I1530</f>
        <v>1</v>
      </c>
      <c r="J508" s="107" t="str">
        <f>'Q100a-geral'!J1530</f>
        <v>x</v>
      </c>
      <c r="K508" s="58" t="str">
        <f>'Q100a-geral'!K1530</f>
        <v>x</v>
      </c>
      <c r="L508" s="58" t="str">
        <f>'Q100a-geral'!L1530</f>
        <v>x</v>
      </c>
      <c r="M508" s="58" t="str">
        <f>'Q100a-geral'!M1530</f>
        <v>x</v>
      </c>
      <c r="N508" s="58" t="str">
        <f>'Q100a-geral'!N1530</f>
        <v>x</v>
      </c>
      <c r="O508" s="58" t="str">
        <f>'Q100a-geral'!O1530</f>
        <v>x</v>
      </c>
      <c r="P508" s="58" t="str">
        <f>'Q100a-geral'!P1530</f>
        <v>x</v>
      </c>
      <c r="Q508" s="58" t="str">
        <f>'Q100a-geral'!Q1530</f>
        <v>x</v>
      </c>
      <c r="R508" s="58" t="str">
        <f>'Q100a-geral'!R1530</f>
        <v>x</v>
      </c>
      <c r="S508" s="649" t="str">
        <f>'Q100a-geral'!S1530</f>
        <v>só para pesquisa</v>
      </c>
      <c r="T508" s="58" t="str">
        <f>'Q100a-geral'!T1530</f>
        <v>x</v>
      </c>
      <c r="U508" s="58" t="str">
        <f>'Q100a-geral'!U1530</f>
        <v>x</v>
      </c>
      <c r="V508" s="107" t="str">
        <f>'Q100a-geral'!V1530</f>
        <v>só para pesquisa</v>
      </c>
      <c r="W508" s="58" t="str">
        <f>'Q100a-geral'!W1530</f>
        <v>x</v>
      </c>
      <c r="X508" s="58" t="str">
        <f>'Q100a-geral'!X1530</f>
        <v>x</v>
      </c>
      <c r="Y508" s="58" t="str">
        <f>'Q100a-geral'!Y1530</f>
        <v>x</v>
      </c>
      <c r="Z508" s="58" t="str">
        <f>'Q100a-geral'!Z1530</f>
        <v>x</v>
      </c>
      <c r="AA508" s="58" t="str">
        <f>'Q100a-geral'!AA1530</f>
        <v>x</v>
      </c>
      <c r="AB508" s="58" t="str">
        <f>'Q100a-geral'!AB1530</f>
        <v>x</v>
      </c>
      <c r="AC508" s="58" t="str">
        <f>'Q100a-geral'!AC1530</f>
        <v>x</v>
      </c>
      <c r="AD508" s="58" t="str">
        <f>'Q100a-geral'!AD1530</f>
        <v>x</v>
      </c>
      <c r="AE508" s="58" t="str">
        <f>'Q100a-geral'!AE1530</f>
        <v>x</v>
      </c>
      <c r="AF508" s="58" t="str">
        <f>'Q100a-geral'!AF1530</f>
        <v>x</v>
      </c>
      <c r="AG508" s="58" t="str">
        <f>'Q100a-geral'!AG1530</f>
        <v>x</v>
      </c>
      <c r="AH508" s="58" t="str">
        <f>'Q100a-geral'!AH1530</f>
        <v>x</v>
      </c>
      <c r="AI508" s="58" t="str">
        <f>'Q100a-geral'!AI1530</f>
        <v>x</v>
      </c>
      <c r="AJ508" s="58" t="str">
        <f>'Q100a-geral'!AJ1530</f>
        <v>x</v>
      </c>
      <c r="AK508" s="137" t="str">
        <f>'Q100a-geral'!AK1530</f>
        <v>x</v>
      </c>
      <c r="AL508" s="212" t="str">
        <f>'Q100a-geral'!AL1530</f>
        <v>x</v>
      </c>
      <c r="AM508" s="137" t="str">
        <f>'Q100a-geral'!AM1530</f>
        <v>x</v>
      </c>
      <c r="AN508" s="137" t="str">
        <f>'Q100a-geral'!AN1530</f>
        <v>x</v>
      </c>
      <c r="AO508" s="137" t="str">
        <f>'Q100a-geral'!AO1530</f>
        <v>x</v>
      </c>
      <c r="AP508" s="137" t="str">
        <f>'Q100a-geral'!AP1530</f>
        <v>x</v>
      </c>
      <c r="AQ508" s="137" t="str">
        <f>'Q100a-geral'!AQ1530</f>
        <v>x</v>
      </c>
      <c r="AR508" s="137"/>
      <c r="AS508" s="137"/>
      <c r="AT508" s="137"/>
      <c r="AU508" s="137"/>
      <c r="AV508" s="137" t="str">
        <f>'Q100a-geral'!AV1530</f>
        <v>x</v>
      </c>
      <c r="AW508" s="137"/>
      <c r="AX508" s="137"/>
      <c r="AY508" s="137"/>
      <c r="AZ508" s="137"/>
      <c r="BA508" s="137" t="str">
        <f>'Q100a-geral'!BA1530</f>
        <v>x</v>
      </c>
      <c r="BB508" s="239" t="str">
        <f>'Q100a-geral'!BB1530</f>
        <v>Sinalização semafóricax</v>
      </c>
      <c r="BC508" s="239" t="str">
        <f>'Q100a-geral'!BC1530</f>
        <v>Sinalização semafóricaxainda não incorporado ao SisMob-BH</v>
      </c>
      <c r="BD508" s="239" t="str">
        <f>'Q100a-geral'!BD1530</f>
        <v>Sinalização semafóricaainda não incorporado ao SisMob-BH</v>
      </c>
    </row>
    <row r="509" spans="1:57" s="1" customFormat="1" ht="89.25" customHeight="1" x14ac:dyDescent="0.25">
      <c r="A509" s="275" t="str">
        <f>'Q100a-geral'!A1531</f>
        <v>9.5</v>
      </c>
      <c r="B509" s="11" t="str">
        <f>'Q100a-geral'!B1531</f>
        <v>Sinalização semafórica</v>
      </c>
      <c r="C509" s="230" t="str">
        <f>'Q100a-geral'!C1531</f>
        <v>acessibilidade</v>
      </c>
      <c r="D509" s="240" t="str">
        <f>'Q100a-geral'!D1531</f>
        <v>LSBdv</v>
      </c>
      <c r="E509" s="252" t="str">
        <f>'Q100a-geral'!E1531</f>
        <v>Belo Horizonte</v>
      </c>
      <c r="F509" s="449" t="str">
        <f>'Q100a-geral'!F1531</f>
        <v>n.º de locais semaforizados com botoeira ou outro equipamento que auxilie a travessia de pessoa com deficiência visual
obs.1: os equipamentos mais conhecidos para auxiliar a travessia de pessoa com deficiência visual são botoeiras sonoras e/ou com vibração para percepção tátil
obs.2: a BHTrans homologou a compra de botoeiras sonoras em 06/03/2015</v>
      </c>
      <c r="G509" s="252" t="str">
        <f>'Q100a-geral'!G1531</f>
        <v>registro na fonte</v>
      </c>
      <c r="H509" s="171" t="str">
        <f>'Q100a-geral'!H1531</f>
        <v>ainda não incorporado ao SisMob-BH</v>
      </c>
      <c r="I509" s="167">
        <f>'Q100a-geral'!I1531</f>
        <v>1</v>
      </c>
      <c r="J509" s="109" t="str">
        <f>'Q100a-geral'!J1531</f>
        <v>x</v>
      </c>
      <c r="K509" s="93" t="str">
        <f>'Q100a-geral'!K1531</f>
        <v>x</v>
      </c>
      <c r="L509" s="93" t="str">
        <f>'Q100a-geral'!L1531</f>
        <v>x</v>
      </c>
      <c r="M509" s="93" t="str">
        <f>'Q100a-geral'!M1531</f>
        <v>x</v>
      </c>
      <c r="N509" s="93" t="str">
        <f>'Q100a-geral'!N1531</f>
        <v>x</v>
      </c>
      <c r="O509" s="93" t="str">
        <f>'Q100a-geral'!O1531</f>
        <v>x</v>
      </c>
      <c r="P509" s="93" t="str">
        <f>'Q100a-geral'!P1531</f>
        <v>x</v>
      </c>
      <c r="Q509" s="93" t="str">
        <f>'Q100a-geral'!Q1531</f>
        <v>x</v>
      </c>
      <c r="R509" s="93" t="str">
        <f>'Q100a-geral'!R1531</f>
        <v>x</v>
      </c>
      <c r="S509" s="649" t="str">
        <f>'Q100a-geral'!S1531</f>
        <v>só para pesquisa</v>
      </c>
      <c r="T509" s="93" t="str">
        <f>'Q100a-geral'!T1531</f>
        <v>x</v>
      </c>
      <c r="U509" s="93" t="str">
        <f>'Q100a-geral'!U1531</f>
        <v>x</v>
      </c>
      <c r="V509" s="107" t="str">
        <f>'Q100a-geral'!V1531</f>
        <v>só para pesquisa</v>
      </c>
      <c r="W509" s="93" t="str">
        <f>'Q100a-geral'!W1531</f>
        <v>x</v>
      </c>
      <c r="X509" s="93" t="str">
        <f>'Q100a-geral'!X1531</f>
        <v>x</v>
      </c>
      <c r="Y509" s="93" t="str">
        <f>'Q100a-geral'!Y1531</f>
        <v>x</v>
      </c>
      <c r="Z509" s="93" t="str">
        <f>'Q100a-geral'!Z1531</f>
        <v>x</v>
      </c>
      <c r="AA509" s="93" t="str">
        <f>'Q100a-geral'!AA1531</f>
        <v>x</v>
      </c>
      <c r="AB509" s="93" t="str">
        <f>'Q100a-geral'!AB1531</f>
        <v>x</v>
      </c>
      <c r="AC509" s="93" t="str">
        <f>'Q100a-geral'!AC1531</f>
        <v>x</v>
      </c>
      <c r="AD509" s="93" t="str">
        <f>'Q100a-geral'!AD1531</f>
        <v>x</v>
      </c>
      <c r="AE509" s="93" t="str">
        <f>'Q100a-geral'!AE1531</f>
        <v>x</v>
      </c>
      <c r="AF509" s="93" t="str">
        <f>'Q100a-geral'!AF1531</f>
        <v>x</v>
      </c>
      <c r="AG509" s="93" t="str">
        <f>'Q100a-geral'!AG1531</f>
        <v>x</v>
      </c>
      <c r="AH509" s="93" t="str">
        <f>'Q100a-geral'!AH1531</f>
        <v>x</v>
      </c>
      <c r="AI509" s="93" t="str">
        <f>'Q100a-geral'!AI1531</f>
        <v>x</v>
      </c>
      <c r="AJ509" s="93" t="str">
        <f>'Q100a-geral'!AJ1531</f>
        <v>x</v>
      </c>
      <c r="AK509" s="137" t="str">
        <f>'Q100a-geral'!AK1531</f>
        <v>x</v>
      </c>
      <c r="AL509" s="212" t="str">
        <f>'Q100a-geral'!AL1531</f>
        <v>x</v>
      </c>
      <c r="AM509" s="137" t="str">
        <f>'Q100a-geral'!AM1531</f>
        <v>x</v>
      </c>
      <c r="AN509" s="137" t="str">
        <f>'Q100a-geral'!AN1531</f>
        <v>x</v>
      </c>
      <c r="AO509" s="137" t="str">
        <f>'Q100a-geral'!AO1531</f>
        <v>x</v>
      </c>
      <c r="AP509" s="137" t="str">
        <f>'Q100a-geral'!AP1531</f>
        <v>x</v>
      </c>
      <c r="AQ509" s="137" t="str">
        <f>'Q100a-geral'!AQ1531</f>
        <v>x</v>
      </c>
      <c r="AR509" s="137"/>
      <c r="AS509" s="137"/>
      <c r="AT509" s="137"/>
      <c r="AU509" s="137"/>
      <c r="AV509" s="137" t="str">
        <f>'Q100a-geral'!AV1531</f>
        <v>x</v>
      </c>
      <c r="AW509" s="137"/>
      <c r="AX509" s="137"/>
      <c r="AY509" s="137"/>
      <c r="AZ509" s="137"/>
      <c r="BA509" s="137" t="str">
        <f>'Q100a-geral'!BA1531</f>
        <v>x</v>
      </c>
      <c r="BB509" s="239" t="str">
        <f>'Q100a-geral'!BB1531</f>
        <v>Sinalização semafóricaacessibilidade</v>
      </c>
      <c r="BC509" s="239" t="str">
        <f>'Q100a-geral'!BC1531</f>
        <v>Sinalização semafóricaacessibilidadeainda não incorporado ao SisMob-BH</v>
      </c>
      <c r="BD509" s="239" t="str">
        <f>'Q100a-geral'!BD1531</f>
        <v>Sinalização semafóricaainda não incorporado ao SisMob-BH</v>
      </c>
    </row>
    <row r="510" spans="1:57" s="1" customFormat="1" ht="78" customHeight="1" x14ac:dyDescent="0.25">
      <c r="A510" s="275" t="str">
        <f>'Q100a-geral'!A1532</f>
        <v>9.5</v>
      </c>
      <c r="B510" s="11" t="str">
        <f>'Q100a-geral'!B1532</f>
        <v>Sinalização semafórica</v>
      </c>
      <c r="C510" s="230" t="str">
        <f>'Q100a-geral'!C1532</f>
        <v>acessibilidade</v>
      </c>
      <c r="D510" s="240" t="str">
        <f>'Q100a-geral'!D1532</f>
        <v>LSBdv em relação a LS</v>
      </c>
      <c r="E510" s="252" t="str">
        <f>'Q100a-geral'!E1532</f>
        <v>Belo Horizonte</v>
      </c>
      <c r="F510" s="449" t="str">
        <f>'Q100a-geral'!F1532</f>
        <v>n.º de locais ssemaforizados com botoeira ou outro equipamento que auxilie a travessia de pessoa com deficiência visual em relação ao total de locais semaforizados</v>
      </c>
      <c r="G510" s="252" t="str">
        <f>'Q100a-geral'!G1532</f>
        <v>(LSBdv / LS) x 100</v>
      </c>
      <c r="H510" s="171" t="str">
        <f>'Q100a-geral'!H1532</f>
        <v>ainda não incorporado ao SisMob-BH</v>
      </c>
      <c r="I510" s="167">
        <f>'Q100a-geral'!I1532</f>
        <v>1</v>
      </c>
      <c r="J510" s="109" t="str">
        <f>'Q100a-geral'!J1532</f>
        <v>x</v>
      </c>
      <c r="K510" s="58" t="str">
        <f>'Q100a-geral'!K1532</f>
        <v>x</v>
      </c>
      <c r="L510" s="58" t="str">
        <f>'Q100a-geral'!L1532</f>
        <v>x</v>
      </c>
      <c r="M510" s="58" t="str">
        <f>'Q100a-geral'!M1532</f>
        <v>x</v>
      </c>
      <c r="N510" s="58" t="str">
        <f>'Q100a-geral'!N1532</f>
        <v>x</v>
      </c>
      <c r="O510" s="58" t="str">
        <f>'Q100a-geral'!O1532</f>
        <v>x</v>
      </c>
      <c r="P510" s="58" t="str">
        <f>'Q100a-geral'!P1532</f>
        <v>x</v>
      </c>
      <c r="Q510" s="58" t="str">
        <f>'Q100a-geral'!Q1532</f>
        <v>x</v>
      </c>
      <c r="R510" s="58" t="str">
        <f>'Q100a-geral'!R1532</f>
        <v>x</v>
      </c>
      <c r="S510" s="649" t="str">
        <f>'Q100a-geral'!S1532</f>
        <v>só para pesquisa</v>
      </c>
      <c r="T510" s="58" t="str">
        <f>'Q100a-geral'!T1532</f>
        <v>x</v>
      </c>
      <c r="U510" s="58" t="str">
        <f>'Q100a-geral'!U1532</f>
        <v>x</v>
      </c>
      <c r="V510" s="107" t="str">
        <f>'Q100a-geral'!V1532</f>
        <v>só para pesquisa</v>
      </c>
      <c r="W510" s="58" t="str">
        <f>'Q100a-geral'!W1532</f>
        <v>x</v>
      </c>
      <c r="X510" s="58" t="str">
        <f>'Q100a-geral'!X1532</f>
        <v>x</v>
      </c>
      <c r="Y510" s="58" t="str">
        <f>'Q100a-geral'!Y1532</f>
        <v>x</v>
      </c>
      <c r="Z510" s="58" t="str">
        <f>'Q100a-geral'!Z1532</f>
        <v>x</v>
      </c>
      <c r="AA510" s="58" t="str">
        <f>'Q100a-geral'!AA1532</f>
        <v>x</v>
      </c>
      <c r="AB510" s="58" t="str">
        <f>'Q100a-geral'!AB1532</f>
        <v>x</v>
      </c>
      <c r="AC510" s="58" t="str">
        <f>'Q100a-geral'!AC1532</f>
        <v>x</v>
      </c>
      <c r="AD510" s="58" t="str">
        <f>'Q100a-geral'!AD1532</f>
        <v>x</v>
      </c>
      <c r="AE510" s="58" t="str">
        <f>'Q100a-geral'!AE1532</f>
        <v>x</v>
      </c>
      <c r="AF510" s="58" t="str">
        <f>'Q100a-geral'!AF1532</f>
        <v>x</v>
      </c>
      <c r="AG510" s="58" t="str">
        <f>'Q100a-geral'!AG1532</f>
        <v>x</v>
      </c>
      <c r="AH510" s="58" t="str">
        <f>'Q100a-geral'!AH1532</f>
        <v>x</v>
      </c>
      <c r="AI510" s="58" t="str">
        <f>'Q100a-geral'!AI1532</f>
        <v>x</v>
      </c>
      <c r="AJ510" s="58" t="str">
        <f>'Q100a-geral'!AJ1532</f>
        <v>x</v>
      </c>
      <c r="AK510" s="137" t="str">
        <f>'Q100a-geral'!AK1532</f>
        <v>x</v>
      </c>
      <c r="AL510" s="212" t="str">
        <f>'Q100a-geral'!AL1532</f>
        <v>x</v>
      </c>
      <c r="AM510" s="137" t="str">
        <f>'Q100a-geral'!AM1532</f>
        <v>x</v>
      </c>
      <c r="AN510" s="137" t="str">
        <f>'Q100a-geral'!AN1532</f>
        <v>x</v>
      </c>
      <c r="AO510" s="137" t="str">
        <f>'Q100a-geral'!AO1532</f>
        <v>x</v>
      </c>
      <c r="AP510" s="137" t="str">
        <f>'Q100a-geral'!AP1532</f>
        <v>x</v>
      </c>
      <c r="AQ510" s="137" t="str">
        <f>'Q100a-geral'!AQ1532</f>
        <v>x</v>
      </c>
      <c r="AR510" s="137"/>
      <c r="AS510" s="137"/>
      <c r="AT510" s="137"/>
      <c r="AU510" s="137"/>
      <c r="AV510" s="137" t="str">
        <f>'Q100a-geral'!AV1532</f>
        <v>x</v>
      </c>
      <c r="AW510" s="137"/>
      <c r="AX510" s="137"/>
      <c r="AY510" s="137"/>
      <c r="AZ510" s="137"/>
      <c r="BA510" s="137" t="str">
        <f>'Q100a-geral'!BA1532</f>
        <v>x</v>
      </c>
      <c r="BB510" s="239" t="str">
        <f>'Q100a-geral'!BB1532</f>
        <v>Sinalização semafóricaacessibilidade</v>
      </c>
      <c r="BC510" s="239" t="str">
        <f>'Q100a-geral'!BC1532</f>
        <v>Sinalização semafóricaacessibilidadeainda não incorporado ao SisMob-BH</v>
      </c>
      <c r="BD510" s="239" t="str">
        <f>'Q100a-geral'!BD1532</f>
        <v>Sinalização semafóricaainda não incorporado ao SisMob-BH</v>
      </c>
    </row>
    <row r="511" spans="1:57" s="1" customFormat="1" ht="63" customHeight="1" x14ac:dyDescent="0.25">
      <c r="A511" s="275" t="str">
        <f>'Q100a-geral'!A1533</f>
        <v>9.5</v>
      </c>
      <c r="B511" s="11" t="str">
        <f>'Q100a-geral'!B1533</f>
        <v>Sinalização semafórica</v>
      </c>
      <c r="C511" s="57" t="str">
        <f>'Q100a-geral'!C1533</f>
        <v>x</v>
      </c>
      <c r="D511" s="71" t="str">
        <f>'Q100a-geral'!D1533</f>
        <v xml:space="preserve">LSC </v>
      </c>
      <c r="E511" s="54" t="str">
        <f>'Q100a-geral'!E1533</f>
        <v>Belo Horizonte</v>
      </c>
      <c r="F511" s="482" t="str">
        <f>'Q100a-geral'!F1533</f>
        <v>n.º de locais semaforizados com controle centralizado, ou seja, n.º total de locais semaforizados com controle centralizado, obtido pela somatória dos locais em modo adaptativo, em modo rede local e em modo horário</v>
      </c>
      <c r="G511" s="54" t="str">
        <f>'Q100a-geral'!G1533</f>
        <v>LSA+LSH+LSL</v>
      </c>
      <c r="H511" s="169" t="str">
        <f>'Q100a-geral'!H1533</f>
        <v>x</v>
      </c>
      <c r="I511" s="57">
        <f>'Q100a-geral'!I1533</f>
        <v>1</v>
      </c>
      <c r="J511" s="107" t="str">
        <f>'Q100a-geral'!J1533</f>
        <v>x</v>
      </c>
      <c r="K511" s="93" t="str">
        <f>'Q100a-geral'!K1533</f>
        <v>x</v>
      </c>
      <c r="L511" s="93" t="str">
        <f>'Q100a-geral'!L1533</f>
        <v>x</v>
      </c>
      <c r="M511" s="93" t="str">
        <f>'Q100a-geral'!M1533</f>
        <v>x</v>
      </c>
      <c r="N511" s="93" t="str">
        <f>'Q100a-geral'!N1533</f>
        <v>x</v>
      </c>
      <c r="O511" s="93" t="str">
        <f>'Q100a-geral'!O1533</f>
        <v>x</v>
      </c>
      <c r="P511" s="93" t="str">
        <f>'Q100a-geral'!P1533</f>
        <v>x</v>
      </c>
      <c r="Q511" s="93" t="str">
        <f>'Q100a-geral'!Q1533</f>
        <v>x</v>
      </c>
      <c r="R511" s="93" t="str">
        <f>'Q100a-geral'!R1533</f>
        <v>x</v>
      </c>
      <c r="S511" s="107" t="str">
        <f>'Q100a-geral'!S1533</f>
        <v>só para pesquisa</v>
      </c>
      <c r="T511" s="93" t="str">
        <f>'Q100a-geral'!T1533</f>
        <v>x</v>
      </c>
      <c r="U511" s="93" t="str">
        <f>'Q100a-geral'!U1533</f>
        <v>x</v>
      </c>
      <c r="V511" s="107" t="str">
        <f>'Q100a-geral'!V1533</f>
        <v>só para pesquisa</v>
      </c>
      <c r="W511" s="93" t="str">
        <f>'Q100a-geral'!W1533</f>
        <v>x</v>
      </c>
      <c r="X511" s="93" t="str">
        <f>'Q100a-geral'!X1533</f>
        <v>x</v>
      </c>
      <c r="Y511" s="58" t="str">
        <f>'Q100a-geral'!Y1533</f>
        <v>x</v>
      </c>
      <c r="Z511" s="23">
        <f>'Q100a-geral'!Z1533</f>
        <v>584</v>
      </c>
      <c r="AA511" s="23">
        <f>'Q100a-geral'!AA1533</f>
        <v>610</v>
      </c>
      <c r="AB511" s="23">
        <f>'Q100a-geral'!AB1533</f>
        <v>639</v>
      </c>
      <c r="AC511" s="23">
        <f>'Q100a-geral'!AC1533</f>
        <v>662</v>
      </c>
      <c r="AD511" s="23">
        <f>'Q100a-geral'!AD1533</f>
        <v>695</v>
      </c>
      <c r="AE511" s="23">
        <f>'Q100a-geral'!AE1533</f>
        <v>710</v>
      </c>
      <c r="AF511" s="23">
        <f>'Q100a-geral'!AF1533</f>
        <v>724</v>
      </c>
      <c r="AG511" s="23">
        <f>'Q100a-geral'!AG1533</f>
        <v>747</v>
      </c>
      <c r="AH511" s="23">
        <f>'Q100a-geral'!AH1533</f>
        <v>778</v>
      </c>
      <c r="AI511" s="23">
        <f>'Q100a-geral'!AI1533</f>
        <v>808</v>
      </c>
      <c r="AJ511" s="23">
        <f>'Q100a-geral'!AJ1533</f>
        <v>861</v>
      </c>
      <c r="AK511" s="137" t="str">
        <f>'Q100a-geral'!AK1533</f>
        <v>x</v>
      </c>
      <c r="AL511" s="212" t="str">
        <f>'Q100a-geral'!AL1533</f>
        <v>x</v>
      </c>
      <c r="AM511" s="137" t="str">
        <f>'Q100a-geral'!AM1533</f>
        <v>x</v>
      </c>
      <c r="AN511" s="137" t="str">
        <f>'Q100a-geral'!AN1533</f>
        <v>x</v>
      </c>
      <c r="AO511" s="137" t="str">
        <f>'Q100a-geral'!AO1533</f>
        <v>x</v>
      </c>
      <c r="AP511" s="137" t="str">
        <f>'Q100a-geral'!AP1533</f>
        <v>x</v>
      </c>
      <c r="AQ511" s="137" t="str">
        <f>'Q100a-geral'!AQ1533</f>
        <v>x</v>
      </c>
      <c r="AR511" s="137"/>
      <c r="AS511" s="137"/>
      <c r="AT511" s="137"/>
      <c r="AU511" s="137"/>
      <c r="AV511" s="137" t="str">
        <f>'Q100a-geral'!AV1533</f>
        <v>x</v>
      </c>
      <c r="AW511" s="137"/>
      <c r="AX511" s="137"/>
      <c r="AY511" s="137"/>
      <c r="AZ511" s="137"/>
      <c r="BA511" s="137" t="str">
        <f>'Q100a-geral'!BA1533</f>
        <v>x</v>
      </c>
      <c r="BB511" s="239" t="str">
        <f>'Q100a-geral'!BB1533</f>
        <v>Sinalização semafóricax</v>
      </c>
      <c r="BC511" s="239" t="str">
        <f>'Q100a-geral'!BC1533</f>
        <v>Sinalização semafóricaxx</v>
      </c>
      <c r="BD511" s="239" t="str">
        <f>'Q100a-geral'!BD1533</f>
        <v>Sinalização semafóricax</v>
      </c>
    </row>
    <row r="512" spans="1:57" s="1" customFormat="1" ht="63" customHeight="1" x14ac:dyDescent="0.25">
      <c r="A512" s="275" t="str">
        <f>'Q100a-geral'!A1534</f>
        <v>9.5</v>
      </c>
      <c r="B512" s="11" t="str">
        <f>'Q100a-geral'!B1534</f>
        <v>Sinalização semafórica</v>
      </c>
      <c r="C512" s="57" t="str">
        <f>'Q100a-geral'!C1534</f>
        <v>x</v>
      </c>
      <c r="D512" s="322" t="str">
        <f>'Q100a-geral'!D1534</f>
        <v>LSC em relação a LS</v>
      </c>
      <c r="E512" s="11" t="str">
        <f>'Q100a-geral'!E1534</f>
        <v>Belo Horizonte</v>
      </c>
      <c r="F512" s="445" t="str">
        <f>'Q100a-geral'!F1534</f>
        <v>percentual de locais semaforizados com controle centralizado em relação ao total de locais semaforizados</v>
      </c>
      <c r="G512" s="11" t="str">
        <f>'Q100a-geral'!G1534</f>
        <v>(LSC/LS) x 100</v>
      </c>
      <c r="H512" s="173" t="str">
        <f>'Q100a-geral'!H1534</f>
        <v>x</v>
      </c>
      <c r="I512" s="57">
        <f>'Q100a-geral'!I1534</f>
        <v>1</v>
      </c>
      <c r="J512" s="107" t="str">
        <f>'Q100a-geral'!J1534</f>
        <v>x</v>
      </c>
      <c r="K512" s="93" t="str">
        <f>'Q100a-geral'!K1534</f>
        <v>x</v>
      </c>
      <c r="L512" s="93" t="str">
        <f>'Q100a-geral'!L1534</f>
        <v>x</v>
      </c>
      <c r="M512" s="93" t="str">
        <f>'Q100a-geral'!M1534</f>
        <v>x</v>
      </c>
      <c r="N512" s="93" t="str">
        <f>'Q100a-geral'!N1534</f>
        <v>x</v>
      </c>
      <c r="O512" s="93" t="str">
        <f>'Q100a-geral'!O1534</f>
        <v>x</v>
      </c>
      <c r="P512" s="93" t="str">
        <f>'Q100a-geral'!P1534</f>
        <v>x</v>
      </c>
      <c r="Q512" s="93" t="str">
        <f>'Q100a-geral'!Q1534</f>
        <v>x</v>
      </c>
      <c r="R512" s="93" t="str">
        <f>'Q100a-geral'!R1534</f>
        <v>x</v>
      </c>
      <c r="S512" s="107" t="str">
        <f>'Q100a-geral'!S1534</f>
        <v>só para pesquisa</v>
      </c>
      <c r="T512" s="93" t="str">
        <f>'Q100a-geral'!T1534</f>
        <v>x</v>
      </c>
      <c r="U512" s="93" t="str">
        <f>'Q100a-geral'!U1534</f>
        <v>x</v>
      </c>
      <c r="V512" s="107" t="str">
        <f>'Q100a-geral'!V1534</f>
        <v>só para pesquisa</v>
      </c>
      <c r="W512" s="93" t="str">
        <f>'Q100a-geral'!W1534</f>
        <v>x</v>
      </c>
      <c r="X512" s="93" t="str">
        <f>'Q100a-geral'!X1534</f>
        <v>x</v>
      </c>
      <c r="Y512" s="58" t="str">
        <f>'Q100a-geral'!Y1534</f>
        <v>x</v>
      </c>
      <c r="Z512" s="21">
        <f>'Q100a-geral'!Z1534</f>
        <v>0.84271284271284275</v>
      </c>
      <c r="AA512" s="21">
        <f>'Q100a-geral'!AA1534</f>
        <v>0.85794655414908583</v>
      </c>
      <c r="AB512" s="21">
        <f>'Q100a-geral'!AB1534</f>
        <v>0.86468200270635998</v>
      </c>
      <c r="AC512" s="21">
        <f>'Q100a-geral'!AC1534</f>
        <v>0.86876640419947504</v>
      </c>
      <c r="AD512" s="21">
        <f>'Q100a-geral'!AD1534</f>
        <v>0.879746835443038</v>
      </c>
      <c r="AE512" s="21">
        <f>'Q100a-geral'!AE1534</f>
        <v>0.87438423645320196</v>
      </c>
      <c r="AF512" s="21">
        <f>'Q100a-geral'!AF1534</f>
        <v>0.86706586826347309</v>
      </c>
      <c r="AG512" s="21">
        <f>'Q100a-geral'!AG1534</f>
        <v>0.86458333333333337</v>
      </c>
      <c r="AH512" s="21">
        <f>'Q100a-geral'!AH1534</f>
        <v>0.8654060066740823</v>
      </c>
      <c r="AI512" s="21">
        <f>'Q100a-geral'!AI1534</f>
        <v>0.86975242195909586</v>
      </c>
      <c r="AJ512" s="21">
        <f>'Q100a-geral'!AJ1534</f>
        <v>0.88580246913580252</v>
      </c>
      <c r="AK512" s="137" t="str">
        <f>'Q100a-geral'!AK1534</f>
        <v>x</v>
      </c>
      <c r="AL512" s="212" t="str">
        <f>'Q100a-geral'!AL1534</f>
        <v>x</v>
      </c>
      <c r="AM512" s="137" t="str">
        <f>'Q100a-geral'!AM1534</f>
        <v>x</v>
      </c>
      <c r="AN512" s="137" t="str">
        <f>'Q100a-geral'!AN1534</f>
        <v>x</v>
      </c>
      <c r="AO512" s="137" t="str">
        <f>'Q100a-geral'!AO1534</f>
        <v>x</v>
      </c>
      <c r="AP512" s="137" t="str">
        <f>'Q100a-geral'!AP1534</f>
        <v>x</v>
      </c>
      <c r="AQ512" s="137" t="str">
        <f>'Q100a-geral'!AQ1534</f>
        <v>x</v>
      </c>
      <c r="AR512" s="137"/>
      <c r="AS512" s="137"/>
      <c r="AT512" s="137"/>
      <c r="AU512" s="137"/>
      <c r="AV512" s="137" t="str">
        <f>'Q100a-geral'!AV1534</f>
        <v>x</v>
      </c>
      <c r="AW512" s="137"/>
      <c r="AX512" s="137"/>
      <c r="AY512" s="137"/>
      <c r="AZ512" s="137"/>
      <c r="BA512" s="137" t="str">
        <f>'Q100a-geral'!BA1534</f>
        <v>x</v>
      </c>
      <c r="BB512" s="239" t="str">
        <f>'Q100a-geral'!BB1534</f>
        <v>Sinalização semafóricax</v>
      </c>
      <c r="BC512" s="239" t="str">
        <f>'Q100a-geral'!BC1534</f>
        <v>Sinalização semafóricaxx</v>
      </c>
      <c r="BD512" s="239" t="str">
        <f>'Q100a-geral'!BD1534</f>
        <v>Sinalização semafóricax</v>
      </c>
    </row>
    <row r="513" spans="1:56" s="1" customFormat="1" ht="63" customHeight="1" x14ac:dyDescent="0.25">
      <c r="A513" s="275" t="str">
        <f>'Q100a-geral'!A1535</f>
        <v>9.5</v>
      </c>
      <c r="B513" s="11" t="str">
        <f>'Q100a-geral'!B1535</f>
        <v>Sinalização semafórica</v>
      </c>
      <c r="C513" s="57" t="str">
        <f>'Q100a-geral'!C1535</f>
        <v>x</v>
      </c>
      <c r="D513" s="240" t="str">
        <f>'Q100a-geral'!D1535</f>
        <v>LSD</v>
      </c>
      <c r="E513" s="252" t="str">
        <f>'Q100a-geral'!E1535</f>
        <v>Belo Horizonte</v>
      </c>
      <c r="F513" s="449" t="str">
        <f>'Q100a-geral'!F1535</f>
        <v>n.º de locais semaforizados com focos de pedestres apagados, ou seja, n.º total de locais semaforizados onde está instalado um plano que introduz, automaticamente, em períodos pré-definidos, a situação de pelo menos parte dos focos de pedestres do local ficarem desligados</v>
      </c>
      <c r="G513" s="252" t="str">
        <f>'Q100a-geral'!G1535</f>
        <v>registro na fonte</v>
      </c>
      <c r="H513" s="168" t="str">
        <f>'Q100a-geral'!H1535</f>
        <v>ainda não incorporado ao SisMob-BH</v>
      </c>
      <c r="I513" s="167">
        <f>'Q100a-geral'!I1535</f>
        <v>1</v>
      </c>
      <c r="J513" s="107" t="str">
        <f>'Q100a-geral'!J1535</f>
        <v>x</v>
      </c>
      <c r="K513" s="93" t="str">
        <f>'Q100a-geral'!K1535</f>
        <v>x</v>
      </c>
      <c r="L513" s="93" t="str">
        <f>'Q100a-geral'!L1535</f>
        <v>x</v>
      </c>
      <c r="M513" s="93" t="str">
        <f>'Q100a-geral'!M1535</f>
        <v>x</v>
      </c>
      <c r="N513" s="93" t="str">
        <f>'Q100a-geral'!N1535</f>
        <v>x</v>
      </c>
      <c r="O513" s="93" t="str">
        <f>'Q100a-geral'!O1535</f>
        <v>x</v>
      </c>
      <c r="P513" s="93" t="str">
        <f>'Q100a-geral'!P1535</f>
        <v>x</v>
      </c>
      <c r="Q513" s="93" t="str">
        <f>'Q100a-geral'!Q1535</f>
        <v>x</v>
      </c>
      <c r="R513" s="93" t="str">
        <f>'Q100a-geral'!R1535</f>
        <v>x</v>
      </c>
      <c r="S513" s="107" t="str">
        <f>'Q100a-geral'!S1535</f>
        <v>só para pesquisa</v>
      </c>
      <c r="T513" s="93" t="str">
        <f>'Q100a-geral'!T1535</f>
        <v>x</v>
      </c>
      <c r="U513" s="93" t="str">
        <f>'Q100a-geral'!U1535</f>
        <v>x</v>
      </c>
      <c r="V513" s="107" t="str">
        <f>'Q100a-geral'!V1535</f>
        <v>só para pesquisa</v>
      </c>
      <c r="W513" s="93" t="str">
        <f>'Q100a-geral'!W1535</f>
        <v>x</v>
      </c>
      <c r="X513" s="93" t="str">
        <f>'Q100a-geral'!X1535</f>
        <v>x</v>
      </c>
      <c r="Y513" s="93" t="str">
        <f>'Q100a-geral'!Y1535</f>
        <v>x</v>
      </c>
      <c r="Z513" s="93" t="str">
        <f>'Q100a-geral'!Z1535</f>
        <v>x</v>
      </c>
      <c r="AA513" s="93" t="str">
        <f>'Q100a-geral'!AA1535</f>
        <v>x</v>
      </c>
      <c r="AB513" s="93" t="str">
        <f>'Q100a-geral'!AB1535</f>
        <v>x</v>
      </c>
      <c r="AC513" s="93" t="str">
        <f>'Q100a-geral'!AC1535</f>
        <v>x</v>
      </c>
      <c r="AD513" s="93" t="str">
        <f>'Q100a-geral'!AD1535</f>
        <v>x</v>
      </c>
      <c r="AE513" s="93" t="str">
        <f>'Q100a-geral'!AE1535</f>
        <v>x</v>
      </c>
      <c r="AF513" s="93" t="str">
        <f>'Q100a-geral'!AF1535</f>
        <v>x</v>
      </c>
      <c r="AG513" s="93" t="str">
        <f>'Q100a-geral'!AG1535</f>
        <v>x</v>
      </c>
      <c r="AH513" s="93" t="str">
        <f>'Q100a-geral'!AH1535</f>
        <v>x</v>
      </c>
      <c r="AI513" s="93" t="str">
        <f>'Q100a-geral'!AI1535</f>
        <v>x</v>
      </c>
      <c r="AJ513" s="93" t="str">
        <f>'Q100a-geral'!AJ1535</f>
        <v>x</v>
      </c>
      <c r="AK513" s="137" t="str">
        <f>'Q100a-geral'!AK1535</f>
        <v>x</v>
      </c>
      <c r="AL513" s="173" t="str">
        <f>'Q100a-geral'!AL1535</f>
        <v>x</v>
      </c>
      <c r="AM513" s="137" t="str">
        <f>'Q100a-geral'!AM1535</f>
        <v>x</v>
      </c>
      <c r="AN513" s="137" t="str">
        <f>'Q100a-geral'!AN1535</f>
        <v>x</v>
      </c>
      <c r="AO513" s="137" t="str">
        <f>'Q100a-geral'!AO1535</f>
        <v>x</v>
      </c>
      <c r="AP513" s="137" t="str">
        <f>'Q100a-geral'!AP1535</f>
        <v>x</v>
      </c>
      <c r="AQ513" s="137" t="str">
        <f>'Q100a-geral'!AQ1535</f>
        <v>x</v>
      </c>
      <c r="AR513" s="137"/>
      <c r="AS513" s="137"/>
      <c r="AT513" s="137"/>
      <c r="AU513" s="137"/>
      <c r="AV513" s="137" t="str">
        <f>'Q100a-geral'!AV1535</f>
        <v>x</v>
      </c>
      <c r="AW513" s="137"/>
      <c r="AX513" s="137"/>
      <c r="AY513" s="137"/>
      <c r="AZ513" s="137"/>
      <c r="BA513" s="137" t="str">
        <f>'Q100a-geral'!BA1535</f>
        <v>x</v>
      </c>
      <c r="BB513" s="239" t="str">
        <f>'Q100a-geral'!BB1535</f>
        <v>Sinalização semafóricax</v>
      </c>
      <c r="BC513" s="239" t="str">
        <f>'Q100a-geral'!BC1535</f>
        <v>Sinalização semafóricaxainda não incorporado ao SisMob-BH</v>
      </c>
      <c r="BD513" s="239" t="str">
        <f>'Q100a-geral'!BD1535</f>
        <v>Sinalização semafóricaainda não incorporado ao SisMob-BH</v>
      </c>
    </row>
    <row r="514" spans="1:56" s="1" customFormat="1" ht="63" customHeight="1" x14ac:dyDescent="0.25">
      <c r="A514" s="275" t="str">
        <f>'Q100a-geral'!A1536</f>
        <v>9.5</v>
      </c>
      <c r="B514" s="11" t="str">
        <f>'Q100a-geral'!B1536</f>
        <v>Sinalização semafórica</v>
      </c>
      <c r="C514" s="57" t="str">
        <f>'Q100a-geral'!C1536</f>
        <v>x</v>
      </c>
      <c r="D514" s="240" t="str">
        <f>'Q100a-geral'!D1536</f>
        <v>LSD em relação a LS</v>
      </c>
      <c r="E514" s="252" t="str">
        <f>'Q100a-geral'!E1536</f>
        <v>Belo Horizonte</v>
      </c>
      <c r="F514" s="449" t="str">
        <f>'Q100a-geral'!F1536</f>
        <v>n.º de locais semaforizados com focos de pedestres apagados em relação ao total de locais semaforizados</v>
      </c>
      <c r="G514" s="252" t="str">
        <f>'Q100a-geral'!G1536</f>
        <v>(LSD/LS) x 100</v>
      </c>
      <c r="H514" s="168" t="str">
        <f>'Q100a-geral'!H1536</f>
        <v>ainda não incorporado ao SisMob-BH</v>
      </c>
      <c r="I514" s="167">
        <f>'Q100a-geral'!I1536</f>
        <v>1</v>
      </c>
      <c r="J514" s="107" t="str">
        <f>'Q100a-geral'!J1536</f>
        <v>x</v>
      </c>
      <c r="K514" s="93" t="str">
        <f>'Q100a-geral'!K1536</f>
        <v>x</v>
      </c>
      <c r="L514" s="93" t="str">
        <f>'Q100a-geral'!L1536</f>
        <v>x</v>
      </c>
      <c r="M514" s="93" t="str">
        <f>'Q100a-geral'!M1536</f>
        <v>x</v>
      </c>
      <c r="N514" s="93" t="str">
        <f>'Q100a-geral'!N1536</f>
        <v>x</v>
      </c>
      <c r="O514" s="93" t="str">
        <f>'Q100a-geral'!O1536</f>
        <v>x</v>
      </c>
      <c r="P514" s="93" t="str">
        <f>'Q100a-geral'!P1536</f>
        <v>x</v>
      </c>
      <c r="Q514" s="93" t="str">
        <f>'Q100a-geral'!Q1536</f>
        <v>x</v>
      </c>
      <c r="R514" s="93" t="str">
        <f>'Q100a-geral'!R1536</f>
        <v>x</v>
      </c>
      <c r="S514" s="107" t="str">
        <f>'Q100a-geral'!S1536</f>
        <v>só para pesquisa</v>
      </c>
      <c r="T514" s="93" t="str">
        <f>'Q100a-geral'!T1536</f>
        <v>x</v>
      </c>
      <c r="U514" s="93" t="str">
        <f>'Q100a-geral'!U1536</f>
        <v>x</v>
      </c>
      <c r="V514" s="107" t="str">
        <f>'Q100a-geral'!V1536</f>
        <v>só para pesquisa</v>
      </c>
      <c r="W514" s="93" t="str">
        <f>'Q100a-geral'!W1536</f>
        <v>x</v>
      </c>
      <c r="X514" s="93" t="str">
        <f>'Q100a-geral'!X1536</f>
        <v>x</v>
      </c>
      <c r="Y514" s="93" t="str">
        <f>'Q100a-geral'!Y1536</f>
        <v>x</v>
      </c>
      <c r="Z514" s="93" t="str">
        <f>'Q100a-geral'!Z1536</f>
        <v>x</v>
      </c>
      <c r="AA514" s="93" t="str">
        <f>'Q100a-geral'!AA1536</f>
        <v>x</v>
      </c>
      <c r="AB514" s="93" t="str">
        <f>'Q100a-geral'!AB1536</f>
        <v>x</v>
      </c>
      <c r="AC514" s="93" t="str">
        <f>'Q100a-geral'!AC1536</f>
        <v>x</v>
      </c>
      <c r="AD514" s="93" t="str">
        <f>'Q100a-geral'!AD1536</f>
        <v>x</v>
      </c>
      <c r="AE514" s="93" t="str">
        <f>'Q100a-geral'!AE1536</f>
        <v>x</v>
      </c>
      <c r="AF514" s="93" t="str">
        <f>'Q100a-geral'!AF1536</f>
        <v>x</v>
      </c>
      <c r="AG514" s="93" t="str">
        <f>'Q100a-geral'!AG1536</f>
        <v>x</v>
      </c>
      <c r="AH514" s="93" t="str">
        <f>'Q100a-geral'!AH1536</f>
        <v>x</v>
      </c>
      <c r="AI514" s="93" t="str">
        <f>'Q100a-geral'!AI1536</f>
        <v>x</v>
      </c>
      <c r="AJ514" s="93" t="str">
        <f>'Q100a-geral'!AJ1536</f>
        <v>x</v>
      </c>
      <c r="AK514" s="137" t="str">
        <f>'Q100a-geral'!AK1536</f>
        <v>x</v>
      </c>
      <c r="AL514" s="173" t="str">
        <f>'Q100a-geral'!AL1536</f>
        <v>x</v>
      </c>
      <c r="AM514" s="137" t="str">
        <f>'Q100a-geral'!AM1536</f>
        <v>x</v>
      </c>
      <c r="AN514" s="137" t="str">
        <f>'Q100a-geral'!AN1536</f>
        <v>x</v>
      </c>
      <c r="AO514" s="137" t="str">
        <f>'Q100a-geral'!AO1536</f>
        <v>x</v>
      </c>
      <c r="AP514" s="137" t="str">
        <f>'Q100a-geral'!AP1536</f>
        <v>x</v>
      </c>
      <c r="AQ514" s="137" t="str">
        <f>'Q100a-geral'!AQ1536</f>
        <v>x</v>
      </c>
      <c r="AR514" s="137"/>
      <c r="AS514" s="137"/>
      <c r="AT514" s="137"/>
      <c r="AU514" s="137"/>
      <c r="AV514" s="137" t="str">
        <f>'Q100a-geral'!AV1536</f>
        <v>x</v>
      </c>
      <c r="AW514" s="137"/>
      <c r="AX514" s="137"/>
      <c r="AY514" s="137"/>
      <c r="AZ514" s="137"/>
      <c r="BA514" s="137" t="str">
        <f>'Q100a-geral'!BA1536</f>
        <v>x</v>
      </c>
      <c r="BB514" s="239" t="str">
        <f>'Q100a-geral'!BB1536</f>
        <v>Sinalização semafóricax</v>
      </c>
      <c r="BC514" s="239" t="str">
        <f>'Q100a-geral'!BC1536</f>
        <v>Sinalização semafóricaxainda não incorporado ao SisMob-BH</v>
      </c>
      <c r="BD514" s="239" t="str">
        <f>'Q100a-geral'!BD1536</f>
        <v>Sinalização semafóricaainda não incorporado ao SisMob-BH</v>
      </c>
    </row>
    <row r="515" spans="1:56" s="1" customFormat="1" ht="63.75" customHeight="1" x14ac:dyDescent="0.25">
      <c r="A515" s="275" t="str">
        <f>'Q100a-geral'!A1537</f>
        <v>9.5</v>
      </c>
      <c r="B515" s="11" t="str">
        <f>'Q100a-geral'!B1537</f>
        <v>Sinalização semafórica</v>
      </c>
      <c r="C515" s="57" t="str">
        <f>'Q100a-geral'!C1537</f>
        <v>x</v>
      </c>
      <c r="D515" s="322" t="str">
        <f>'Q100a-geral'!D1537</f>
        <v>LSH</v>
      </c>
      <c r="E515" s="11" t="str">
        <f>'Q100a-geral'!E1537</f>
        <v>Belo Horizonte</v>
      </c>
      <c r="F515" s="445" t="str">
        <f>'Q100a-geral'!F1537</f>
        <v>n.º de locais semaforizados com controle centralizado em modo horário, ou seja, existência de controladores de trafego interligados fisicamente por meio de uma rede de dados a um controlador mestre e esse ao Centro de Controle, de onde são monitorados através de software especifico do fabricante
obs.1: resultados de 2003 a 2014 fornecidos pela Gerência de Planejamento e Controle Operacional - Geplo/DRO em BHTRANS (2015p)
obs.2: "A partir do mês de Abril de 2014 os Indicadores Semafóricos, apresentados anteriormente no Item 4 dos Relatórios Mensais, passam a ser de responsabilidade da Gerência de Simulação de Transportes, Trânsito e Programação Semafórica – GESIT" (BHTRANS, 2015q).</v>
      </c>
      <c r="G515" s="252" t="str">
        <f>'Q100a-geral'!G1537</f>
        <v>registro na fonte</v>
      </c>
      <c r="H515" s="173" t="str">
        <f>'Q100a-geral'!H1537</f>
        <v>x</v>
      </c>
      <c r="I515" s="57">
        <f>'Q100a-geral'!I1537</f>
        <v>1</v>
      </c>
      <c r="J515" s="107" t="str">
        <f>'Q100a-geral'!J1537</f>
        <v>x</v>
      </c>
      <c r="K515" s="93" t="str">
        <f>'Q100a-geral'!K1537</f>
        <v>x</v>
      </c>
      <c r="L515" s="93" t="str">
        <f>'Q100a-geral'!L1537</f>
        <v>x</v>
      </c>
      <c r="M515" s="93" t="str">
        <f>'Q100a-geral'!M1537</f>
        <v>x</v>
      </c>
      <c r="N515" s="93" t="str">
        <f>'Q100a-geral'!N1537</f>
        <v>x</v>
      </c>
      <c r="O515" s="93" t="str">
        <f>'Q100a-geral'!O1537</f>
        <v>x</v>
      </c>
      <c r="P515" s="93" t="str">
        <f>'Q100a-geral'!P1537</f>
        <v>x</v>
      </c>
      <c r="Q515" s="93" t="str">
        <f>'Q100a-geral'!Q1537</f>
        <v>x</v>
      </c>
      <c r="R515" s="93" t="str">
        <f>'Q100a-geral'!R1537</f>
        <v>x</v>
      </c>
      <c r="S515" s="107" t="str">
        <f>'Q100a-geral'!S1537</f>
        <v>só para pesquisa</v>
      </c>
      <c r="T515" s="93" t="str">
        <f>'Q100a-geral'!T1537</f>
        <v>x</v>
      </c>
      <c r="U515" s="93" t="str">
        <f>'Q100a-geral'!U1537</f>
        <v>x</v>
      </c>
      <c r="V515" s="107" t="str">
        <f>'Q100a-geral'!V1537</f>
        <v>só para pesquisa</v>
      </c>
      <c r="W515" s="93" t="str">
        <f>'Q100a-geral'!W1537</f>
        <v>x</v>
      </c>
      <c r="X515" s="93" t="str">
        <f>'Q100a-geral'!X1537</f>
        <v>x</v>
      </c>
      <c r="Y515" s="84">
        <f>'Q100a-geral'!Y1537</f>
        <v>174</v>
      </c>
      <c r="Z515" s="84">
        <f>'Q100a-geral'!Z1537</f>
        <v>491</v>
      </c>
      <c r="AA515" s="84">
        <f>'Q100a-geral'!AA1537</f>
        <v>396</v>
      </c>
      <c r="AB515" s="84">
        <f>'Q100a-geral'!AB1537</f>
        <v>331</v>
      </c>
      <c r="AC515" s="84">
        <f>'Q100a-geral'!AC1537</f>
        <v>607</v>
      </c>
      <c r="AD515" s="84">
        <f>'Q100a-geral'!AD1537</f>
        <v>597</v>
      </c>
      <c r="AE515" s="84">
        <f>'Q100a-geral'!AE1537</f>
        <v>600</v>
      </c>
      <c r="AF515" s="84">
        <f>'Q100a-geral'!AF1537</f>
        <v>544</v>
      </c>
      <c r="AG515" s="84">
        <f>'Q100a-geral'!AG1537</f>
        <v>654</v>
      </c>
      <c r="AH515" s="84">
        <f>'Q100a-geral'!AH1537</f>
        <v>702</v>
      </c>
      <c r="AI515" s="84">
        <f>'Q100a-geral'!AI1537</f>
        <v>753</v>
      </c>
      <c r="AJ515" s="84">
        <f>'Q100a-geral'!AJ1537</f>
        <v>780</v>
      </c>
      <c r="AK515" s="137" t="str">
        <f>'Q100a-geral'!AK1537</f>
        <v>x</v>
      </c>
      <c r="AL515" s="212" t="str">
        <f>'Q100a-geral'!AL1537</f>
        <v>x</v>
      </c>
      <c r="AM515" s="137" t="str">
        <f>'Q100a-geral'!AM1537</f>
        <v>x</v>
      </c>
      <c r="AN515" s="137" t="str">
        <f>'Q100a-geral'!AN1537</f>
        <v>x</v>
      </c>
      <c r="AO515" s="137" t="str">
        <f>'Q100a-geral'!AO1537</f>
        <v>x</v>
      </c>
      <c r="AP515" s="137" t="str">
        <f>'Q100a-geral'!AP1537</f>
        <v>x</v>
      </c>
      <c r="AQ515" s="137" t="str">
        <f>'Q100a-geral'!AQ1537</f>
        <v>x</v>
      </c>
      <c r="AR515" s="137"/>
      <c r="AS515" s="137"/>
      <c r="AT515" s="137"/>
      <c r="AU515" s="137"/>
      <c r="AV515" s="137" t="str">
        <f>'Q100a-geral'!AV1537</f>
        <v>x</v>
      </c>
      <c r="AW515" s="137"/>
      <c r="AX515" s="137"/>
      <c r="AY515" s="137"/>
      <c r="AZ515" s="137"/>
      <c r="BA515" s="137" t="str">
        <f>'Q100a-geral'!BA1537</f>
        <v>x</v>
      </c>
      <c r="BB515" s="239" t="str">
        <f>'Q100a-geral'!BB1537</f>
        <v>Sinalização semafóricax</v>
      </c>
      <c r="BC515" s="239" t="str">
        <f>'Q100a-geral'!BC1537</f>
        <v>Sinalização semafóricaxx</v>
      </c>
      <c r="BD515" s="239" t="str">
        <f>'Q100a-geral'!BD1537</f>
        <v>Sinalização semafóricax</v>
      </c>
    </row>
    <row r="516" spans="1:56" s="1" customFormat="1" ht="38.25" customHeight="1" x14ac:dyDescent="0.25">
      <c r="A516" s="275" t="str">
        <f>'Q100a-geral'!A1538</f>
        <v>9.5</v>
      </c>
      <c r="B516" s="11" t="str">
        <f>'Q100a-geral'!B1538</f>
        <v>Sinalização semafórica</v>
      </c>
      <c r="C516" s="57" t="str">
        <f>'Q100a-geral'!C1538</f>
        <v>x</v>
      </c>
      <c r="D516" s="322" t="str">
        <f>'Q100a-geral'!D1538</f>
        <v>LSH em relação a LS</v>
      </c>
      <c r="E516" s="11" t="str">
        <f>'Q100a-geral'!E1538</f>
        <v>Belo Horizonte</v>
      </c>
      <c r="F516" s="445" t="str">
        <f>'Q100a-geral'!F1538</f>
        <v>percentual de locais semaforizados com controle centralizado em modo horário em relação ao total de locais semaforizados</v>
      </c>
      <c r="G516" s="11" t="str">
        <f>'Q100a-geral'!G1538</f>
        <v>(LSH/LS) x 100</v>
      </c>
      <c r="H516" s="173" t="str">
        <f>'Q100a-geral'!H1538</f>
        <v>x</v>
      </c>
      <c r="I516" s="57">
        <f>'Q100a-geral'!I1538</f>
        <v>1</v>
      </c>
      <c r="J516" s="107" t="str">
        <f>'Q100a-geral'!J1538</f>
        <v>x</v>
      </c>
      <c r="K516" s="93" t="str">
        <f>'Q100a-geral'!K1538</f>
        <v>x</v>
      </c>
      <c r="L516" s="93" t="str">
        <f>'Q100a-geral'!L1538</f>
        <v>x</v>
      </c>
      <c r="M516" s="93" t="str">
        <f>'Q100a-geral'!M1538</f>
        <v>x</v>
      </c>
      <c r="N516" s="93" t="str">
        <f>'Q100a-geral'!N1538</f>
        <v>x</v>
      </c>
      <c r="O516" s="93" t="str">
        <f>'Q100a-geral'!O1538</f>
        <v>x</v>
      </c>
      <c r="P516" s="93" t="str">
        <f>'Q100a-geral'!P1538</f>
        <v>x</v>
      </c>
      <c r="Q516" s="93" t="str">
        <f>'Q100a-geral'!Q1538</f>
        <v>x</v>
      </c>
      <c r="R516" s="93" t="str">
        <f>'Q100a-geral'!R1538</f>
        <v>x</v>
      </c>
      <c r="S516" s="107" t="str">
        <f>'Q100a-geral'!S1538</f>
        <v>só para pesquisa</v>
      </c>
      <c r="T516" s="93" t="str">
        <f>'Q100a-geral'!T1538</f>
        <v>x</v>
      </c>
      <c r="U516" s="93" t="str">
        <f>'Q100a-geral'!U1538</f>
        <v>x</v>
      </c>
      <c r="V516" s="107" t="str">
        <f>'Q100a-geral'!V1538</f>
        <v>só para pesquisa</v>
      </c>
      <c r="W516" s="93" t="str">
        <f>'Q100a-geral'!W1538</f>
        <v>x</v>
      </c>
      <c r="X516" s="93" t="str">
        <f>'Q100a-geral'!X1538</f>
        <v>x</v>
      </c>
      <c r="Y516" s="21">
        <f>'Q100a-geral'!Y1538</f>
        <v>0.27018633540372672</v>
      </c>
      <c r="Z516" s="21">
        <f>'Q100a-geral'!Z1538</f>
        <v>0.70851370851370854</v>
      </c>
      <c r="AA516" s="21">
        <f>'Q100a-geral'!AA1538</f>
        <v>0.55696202531645567</v>
      </c>
      <c r="AB516" s="21">
        <f>'Q100a-geral'!AB1538</f>
        <v>0.44790257104194858</v>
      </c>
      <c r="AC516" s="21">
        <f>'Q100a-geral'!AC1538</f>
        <v>0.79658792650918631</v>
      </c>
      <c r="AD516" s="21">
        <f>'Q100a-geral'!AD1538</f>
        <v>0.7556962025316456</v>
      </c>
      <c r="AE516" s="21">
        <f>'Q100a-geral'!AE1538</f>
        <v>0.73891625615763545</v>
      </c>
      <c r="AF516" s="21">
        <f>'Q100a-geral'!AF1538</f>
        <v>0.65149700598802396</v>
      </c>
      <c r="AG516" s="21">
        <f>'Q100a-geral'!AG1538</f>
        <v>0.75694444444444442</v>
      </c>
      <c r="AH516" s="21">
        <f>'Q100a-geral'!AH1538</f>
        <v>0.78086763070077869</v>
      </c>
      <c r="AI516" s="21">
        <f>'Q100a-geral'!AI1538</f>
        <v>0.81054897739504839</v>
      </c>
      <c r="AJ516" s="21">
        <f>'Q100a-geral'!AJ1538</f>
        <v>0.80246913580246915</v>
      </c>
      <c r="AK516" s="137" t="str">
        <f>'Q100a-geral'!AK1538</f>
        <v>x</v>
      </c>
      <c r="AL516" s="212" t="str">
        <f>'Q100a-geral'!AL1538</f>
        <v>x</v>
      </c>
      <c r="AM516" s="137" t="str">
        <f>'Q100a-geral'!AM1538</f>
        <v>x</v>
      </c>
      <c r="AN516" s="137" t="str">
        <f>'Q100a-geral'!AN1538</f>
        <v>x</v>
      </c>
      <c r="AO516" s="137" t="str">
        <f>'Q100a-geral'!AO1538</f>
        <v>x</v>
      </c>
      <c r="AP516" s="137" t="str">
        <f>'Q100a-geral'!AP1538</f>
        <v>x</v>
      </c>
      <c r="AQ516" s="137" t="str">
        <f>'Q100a-geral'!AQ1538</f>
        <v>x</v>
      </c>
      <c r="AR516" s="137"/>
      <c r="AS516" s="137"/>
      <c r="AT516" s="137"/>
      <c r="AU516" s="137"/>
      <c r="AV516" s="137" t="str">
        <f>'Q100a-geral'!AV1538</f>
        <v>x</v>
      </c>
      <c r="AW516" s="137"/>
      <c r="AX516" s="137"/>
      <c r="AY516" s="137"/>
      <c r="AZ516" s="137"/>
      <c r="BA516" s="137" t="str">
        <f>'Q100a-geral'!BA1538</f>
        <v>x</v>
      </c>
      <c r="BB516" s="239" t="str">
        <f>'Q100a-geral'!BB1538</f>
        <v>Sinalização semafóricax</v>
      </c>
      <c r="BC516" s="239" t="str">
        <f>'Q100a-geral'!BC1538</f>
        <v>Sinalização semafóricaxx</v>
      </c>
      <c r="BD516" s="239" t="str">
        <f>'Q100a-geral'!BD1538</f>
        <v>Sinalização semafóricax</v>
      </c>
    </row>
    <row r="517" spans="1:56" s="1" customFormat="1" ht="38.25" customHeight="1" x14ac:dyDescent="0.25">
      <c r="A517" s="275" t="str">
        <f>'Q100a-geral'!A1539</f>
        <v>9.5</v>
      </c>
      <c r="B517" s="11" t="str">
        <f>'Q100a-geral'!B1539</f>
        <v>Sinalização semafórica</v>
      </c>
      <c r="C517" s="57" t="str">
        <f>'Q100a-geral'!C1539</f>
        <v>x</v>
      </c>
      <c r="D517" s="322" t="str">
        <f>'Q100a-geral'!D1539</f>
        <v>LSL</v>
      </c>
      <c r="E517" s="11" t="str">
        <f>'Q100a-geral'!E1539</f>
        <v>Belo Horizonte</v>
      </c>
      <c r="F517" s="445" t="str">
        <f>'Q100a-geral'!F1539</f>
        <v>n.º de locais semaforizados com controle centralizado em modo rede local, ou seja, com controladores de trafego interligados fisicamente por meio de uma rede de dados e supervisionados por um controlador designado "mestre" que envia relógio, mantendo o sincronismo entre eles
obs.1: a programação pode ser enviada através do "mestre" para os "escravos"
obs.2: resultados de 2003 a 2014 fornecidos pela Gerência de Planejamento e Controle Operacional - Geplo/DRO em BHTRANS (2015p)
obs.3: "A partir do mês de Abril de 2014 os Indicadores Semafóricos, apresentados anteriormente no Item 4 dos Relatórios Mensais, passam a ser de responsabilidade da Gerência de Simulação de Transportes, Trânsito e Programação Semafórica – GESIT" (BHTRANS, 2015q).</v>
      </c>
      <c r="G517" s="252" t="str">
        <f>'Q100a-geral'!G1539</f>
        <v>registro na fonte</v>
      </c>
      <c r="H517" s="173" t="str">
        <f>'Q100a-geral'!H1539</f>
        <v>x</v>
      </c>
      <c r="I517" s="57">
        <f>'Q100a-geral'!I1539</f>
        <v>1</v>
      </c>
      <c r="J517" s="107" t="str">
        <f>'Q100a-geral'!J1539</f>
        <v>x</v>
      </c>
      <c r="K517" s="93" t="str">
        <f>'Q100a-geral'!K1539</f>
        <v>x</v>
      </c>
      <c r="L517" s="93" t="str">
        <f>'Q100a-geral'!L1539</f>
        <v>x</v>
      </c>
      <c r="M517" s="93" t="str">
        <f>'Q100a-geral'!M1539</f>
        <v>x</v>
      </c>
      <c r="N517" s="93" t="str">
        <f>'Q100a-geral'!N1539</f>
        <v>x</v>
      </c>
      <c r="O517" s="93" t="str">
        <f>'Q100a-geral'!O1539</f>
        <v>x</v>
      </c>
      <c r="P517" s="93" t="str">
        <f>'Q100a-geral'!P1539</f>
        <v>x</v>
      </c>
      <c r="Q517" s="93" t="str">
        <f>'Q100a-geral'!Q1539</f>
        <v>x</v>
      </c>
      <c r="R517" s="93" t="str">
        <f>'Q100a-geral'!R1539</f>
        <v>x</v>
      </c>
      <c r="S517" s="107" t="str">
        <f>'Q100a-geral'!S1539</f>
        <v>só para pesquisa</v>
      </c>
      <c r="T517" s="93" t="str">
        <f>'Q100a-geral'!T1539</f>
        <v>x</v>
      </c>
      <c r="U517" s="93" t="str">
        <f>'Q100a-geral'!U1539</f>
        <v>x</v>
      </c>
      <c r="V517" s="107" t="str">
        <f>'Q100a-geral'!V1539</f>
        <v>só para pesquisa</v>
      </c>
      <c r="W517" s="93" t="str">
        <f>'Q100a-geral'!W1539</f>
        <v>x</v>
      </c>
      <c r="X517" s="93" t="str">
        <f>'Q100a-geral'!X1539</f>
        <v>x</v>
      </c>
      <c r="Y517" s="84">
        <f>'Q100a-geral'!Y1539</f>
        <v>79</v>
      </c>
      <c r="Z517" s="84">
        <f>'Q100a-geral'!Z1539</f>
        <v>44</v>
      </c>
      <c r="AA517" s="84">
        <f>'Q100a-geral'!AA1539</f>
        <v>58</v>
      </c>
      <c r="AB517" s="84">
        <f>'Q100a-geral'!AB1539</f>
        <v>48</v>
      </c>
      <c r="AC517" s="84">
        <f>'Q100a-geral'!AC1539</f>
        <v>55</v>
      </c>
      <c r="AD517" s="84">
        <f>'Q100a-geral'!AD1539</f>
        <v>73</v>
      </c>
      <c r="AE517" s="84">
        <f>'Q100a-geral'!AE1539</f>
        <v>75</v>
      </c>
      <c r="AF517" s="84">
        <f>'Q100a-geral'!AF1539</f>
        <v>176</v>
      </c>
      <c r="AG517" s="84">
        <f>'Q100a-geral'!AG1539</f>
        <v>89</v>
      </c>
      <c r="AH517" s="84">
        <f>'Q100a-geral'!AH1539</f>
        <v>76</v>
      </c>
      <c r="AI517" s="84">
        <f>'Q100a-geral'!AI1539</f>
        <v>55</v>
      </c>
      <c r="AJ517" s="84">
        <f>'Q100a-geral'!AJ1539</f>
        <v>81</v>
      </c>
      <c r="AK517" s="137" t="str">
        <f>'Q100a-geral'!AK1539</f>
        <v>x</v>
      </c>
      <c r="AL517" s="212" t="str">
        <f>'Q100a-geral'!AL1539</f>
        <v>x</v>
      </c>
      <c r="AM517" s="137" t="str">
        <f>'Q100a-geral'!AM1539</f>
        <v>x</v>
      </c>
      <c r="AN517" s="137" t="str">
        <f>'Q100a-geral'!AN1539</f>
        <v>x</v>
      </c>
      <c r="AO517" s="137" t="str">
        <f>'Q100a-geral'!AO1539</f>
        <v>x</v>
      </c>
      <c r="AP517" s="137" t="str">
        <f>'Q100a-geral'!AP1539</f>
        <v>x</v>
      </c>
      <c r="AQ517" s="137" t="str">
        <f>'Q100a-geral'!AQ1539</f>
        <v>x</v>
      </c>
      <c r="AR517" s="137"/>
      <c r="AS517" s="137"/>
      <c r="AT517" s="137"/>
      <c r="AU517" s="137"/>
      <c r="AV517" s="137" t="str">
        <f>'Q100a-geral'!AV1539</f>
        <v>x</v>
      </c>
      <c r="AW517" s="137"/>
      <c r="AX517" s="137"/>
      <c r="AY517" s="137"/>
      <c r="AZ517" s="137"/>
      <c r="BA517" s="137" t="str">
        <f>'Q100a-geral'!BA1539</f>
        <v>x</v>
      </c>
      <c r="BB517" s="239" t="str">
        <f>'Q100a-geral'!BB1539</f>
        <v>Sinalização semafóricax</v>
      </c>
      <c r="BC517" s="239" t="str">
        <f>'Q100a-geral'!BC1539</f>
        <v>Sinalização semafóricaxx</v>
      </c>
      <c r="BD517" s="239" t="str">
        <f>'Q100a-geral'!BD1539</f>
        <v>Sinalização semafóricax</v>
      </c>
    </row>
    <row r="518" spans="1:56" s="1" customFormat="1" ht="38.25" customHeight="1" x14ac:dyDescent="0.25">
      <c r="A518" s="275" t="str">
        <f>'Q100a-geral'!A1540</f>
        <v>9.5</v>
      </c>
      <c r="B518" s="11" t="str">
        <f>'Q100a-geral'!B1540</f>
        <v>Sinalização semafórica</v>
      </c>
      <c r="C518" s="57" t="str">
        <f>'Q100a-geral'!C1540</f>
        <v>x</v>
      </c>
      <c r="D518" s="322" t="str">
        <f>'Q100a-geral'!D1540</f>
        <v>LSL em relação a LS</v>
      </c>
      <c r="E518" s="11" t="str">
        <f>'Q100a-geral'!E1540</f>
        <v>Belo Horizonte</v>
      </c>
      <c r="F518" s="445" t="str">
        <f>'Q100a-geral'!F1540</f>
        <v>percentual de locais semaforizados com controle centralizado em modo rede local em relação ao total de locais semaforizados</v>
      </c>
      <c r="G518" s="11" t="str">
        <f>'Q100a-geral'!G1540</f>
        <v>(LSL/LS) x 100</v>
      </c>
      <c r="H518" s="173" t="str">
        <f>'Q100a-geral'!H1540</f>
        <v>x</v>
      </c>
      <c r="I518" s="57">
        <f>'Q100a-geral'!I1540</f>
        <v>1</v>
      </c>
      <c r="J518" s="107" t="str">
        <f>'Q100a-geral'!J1540</f>
        <v>x</v>
      </c>
      <c r="K518" s="93" t="str">
        <f>'Q100a-geral'!K1540</f>
        <v>x</v>
      </c>
      <c r="L518" s="93" t="str">
        <f>'Q100a-geral'!L1540</f>
        <v>x</v>
      </c>
      <c r="M518" s="93" t="str">
        <f>'Q100a-geral'!M1540</f>
        <v>x</v>
      </c>
      <c r="N518" s="93" t="str">
        <f>'Q100a-geral'!N1540</f>
        <v>x</v>
      </c>
      <c r="O518" s="93" t="str">
        <f>'Q100a-geral'!O1540</f>
        <v>x</v>
      </c>
      <c r="P518" s="93" t="str">
        <f>'Q100a-geral'!P1540</f>
        <v>x</v>
      </c>
      <c r="Q518" s="93" t="str">
        <f>'Q100a-geral'!Q1540</f>
        <v>x</v>
      </c>
      <c r="R518" s="93" t="str">
        <f>'Q100a-geral'!R1540</f>
        <v>x</v>
      </c>
      <c r="S518" s="107" t="str">
        <f>'Q100a-geral'!S1540</f>
        <v>só para pesquisa</v>
      </c>
      <c r="T518" s="93" t="str">
        <f>'Q100a-geral'!T1540</f>
        <v>x</v>
      </c>
      <c r="U518" s="93" t="str">
        <f>'Q100a-geral'!U1540</f>
        <v>x</v>
      </c>
      <c r="V518" s="107" t="str">
        <f>'Q100a-geral'!V1540</f>
        <v>só para pesquisa</v>
      </c>
      <c r="W518" s="93" t="str">
        <f>'Q100a-geral'!W1540</f>
        <v>x</v>
      </c>
      <c r="X518" s="93" t="str">
        <f>'Q100a-geral'!X1540</f>
        <v>x</v>
      </c>
      <c r="Y518" s="21">
        <f>'Q100a-geral'!Y1540</f>
        <v>0.12267080745341614</v>
      </c>
      <c r="Z518" s="21">
        <f>'Q100a-geral'!Z1540</f>
        <v>6.3492063492063489E-2</v>
      </c>
      <c r="AA518" s="21">
        <f>'Q100a-geral'!AA1540</f>
        <v>8.1575246132208151E-2</v>
      </c>
      <c r="AB518" s="21">
        <f>'Q100a-geral'!AB1540</f>
        <v>6.4952638700947224E-2</v>
      </c>
      <c r="AC518" s="21">
        <f>'Q100a-geral'!AC1540</f>
        <v>7.217847769028872E-2</v>
      </c>
      <c r="AD518" s="21">
        <f>'Q100a-geral'!AD1540</f>
        <v>9.2405063291139247E-2</v>
      </c>
      <c r="AE518" s="21">
        <f>'Q100a-geral'!AE1540</f>
        <v>9.2364532019704432E-2</v>
      </c>
      <c r="AF518" s="21">
        <f>'Q100a-geral'!AF1540</f>
        <v>0.21077844311377245</v>
      </c>
      <c r="AG518" s="21">
        <f>'Q100a-geral'!AG1540</f>
        <v>0.10300925925925926</v>
      </c>
      <c r="AH518" s="21">
        <f>'Q100a-geral'!AH1540</f>
        <v>8.4538375973303673E-2</v>
      </c>
      <c r="AI518" s="21">
        <f>'Q100a-geral'!AI1540</f>
        <v>5.9203444564047365E-2</v>
      </c>
      <c r="AJ518" s="21">
        <f>'Q100a-geral'!AJ1540</f>
        <v>8.3333333333333329E-2</v>
      </c>
      <c r="AK518" s="137" t="str">
        <f>'Q100a-geral'!AK1540</f>
        <v>x</v>
      </c>
      <c r="AL518" s="212" t="str">
        <f>'Q100a-geral'!AL1540</f>
        <v>x</v>
      </c>
      <c r="AM518" s="137" t="str">
        <f>'Q100a-geral'!AM1540</f>
        <v>x</v>
      </c>
      <c r="AN518" s="137" t="str">
        <f>'Q100a-geral'!AN1540</f>
        <v>x</v>
      </c>
      <c r="AO518" s="137" t="str">
        <f>'Q100a-geral'!AO1540</f>
        <v>x</v>
      </c>
      <c r="AP518" s="137" t="str">
        <f>'Q100a-geral'!AP1540</f>
        <v>x</v>
      </c>
      <c r="AQ518" s="137" t="str">
        <f>'Q100a-geral'!AQ1540</f>
        <v>x</v>
      </c>
      <c r="AR518" s="137"/>
      <c r="AS518" s="137"/>
      <c r="AT518" s="137"/>
      <c r="AU518" s="137"/>
      <c r="AV518" s="137" t="str">
        <f>'Q100a-geral'!AV1540</f>
        <v>x</v>
      </c>
      <c r="AW518" s="137"/>
      <c r="AX518" s="137"/>
      <c r="AY518" s="137"/>
      <c r="AZ518" s="137"/>
      <c r="BA518" s="137" t="str">
        <f>'Q100a-geral'!BA1540</f>
        <v>x</v>
      </c>
      <c r="BB518" s="239" t="str">
        <f>'Q100a-geral'!BB1540</f>
        <v>Sinalização semafóricax</v>
      </c>
      <c r="BC518" s="239" t="str">
        <f>'Q100a-geral'!BC1540</f>
        <v>Sinalização semafóricaxx</v>
      </c>
      <c r="BD518" s="239" t="str">
        <f>'Q100a-geral'!BD1540</f>
        <v>Sinalização semafóricax</v>
      </c>
    </row>
    <row r="519" spans="1:56" s="1" customFormat="1" ht="63" customHeight="1" x14ac:dyDescent="0.25">
      <c r="A519" s="275" t="str">
        <f>'Q100a-geral'!A1541</f>
        <v>9.5</v>
      </c>
      <c r="B519" s="11" t="str">
        <f>'Q100a-geral'!B1541</f>
        <v>Sinalização semafórica</v>
      </c>
      <c r="C519" s="57" t="str">
        <f>'Q100a-geral'!C1541</f>
        <v>x</v>
      </c>
      <c r="D519" s="240" t="str">
        <f>'Q100a-geral'!D1541</f>
        <v>LSP</v>
      </c>
      <c r="E519" s="252" t="str">
        <f>'Q100a-geral'!E1541</f>
        <v>Belo Horizonte</v>
      </c>
      <c r="F519" s="449" t="str">
        <f>'Q100a-geral'!F1541</f>
        <v>n.º de locais semaforizados com plano de amarelo piscante, ou seja, n.º total de locais semaforizados onde está instalado um plano que introduz, automaticamente, em períodos pré-definidos, a situação de todos os focos semafóricos do local passarem a operar em amarelo piscante</v>
      </c>
      <c r="G519" s="252" t="str">
        <f>'Q100a-geral'!G1541</f>
        <v>registro na fonte</v>
      </c>
      <c r="H519" s="168" t="str">
        <f>'Q100a-geral'!H1541</f>
        <v>ainda não incorporado ao SisMob-BH</v>
      </c>
      <c r="I519" s="167">
        <f>'Q100a-geral'!I1541</f>
        <v>1</v>
      </c>
      <c r="J519" s="109" t="str">
        <f>'Q100a-geral'!J1541</f>
        <v>x</v>
      </c>
      <c r="K519" s="109" t="str">
        <f>'Q100a-geral'!K1541</f>
        <v>x</v>
      </c>
      <c r="L519" s="109" t="str">
        <f>'Q100a-geral'!L1541</f>
        <v>x</v>
      </c>
      <c r="M519" s="109" t="str">
        <f>'Q100a-geral'!M1541</f>
        <v>x</v>
      </c>
      <c r="N519" s="109" t="str">
        <f>'Q100a-geral'!N1541</f>
        <v>x</v>
      </c>
      <c r="O519" s="109" t="str">
        <f>'Q100a-geral'!O1541</f>
        <v>x</v>
      </c>
      <c r="P519" s="109" t="str">
        <f>'Q100a-geral'!P1541</f>
        <v>x</v>
      </c>
      <c r="Q519" s="109" t="str">
        <f>'Q100a-geral'!Q1541</f>
        <v>x</v>
      </c>
      <c r="R519" s="109" t="str">
        <f>'Q100a-geral'!R1541</f>
        <v>x</v>
      </c>
      <c r="S519" s="109" t="str">
        <f>'Q100a-geral'!S1541</f>
        <v>só para pesquisa</v>
      </c>
      <c r="T519" s="109" t="str">
        <f>'Q100a-geral'!T1541</f>
        <v>x</v>
      </c>
      <c r="U519" s="109" t="str">
        <f>'Q100a-geral'!U1541</f>
        <v>x</v>
      </c>
      <c r="V519" s="109" t="str">
        <f>'Q100a-geral'!V1541</f>
        <v>só para pesquisa</v>
      </c>
      <c r="W519" s="109" t="str">
        <f>'Q100a-geral'!W1541</f>
        <v>x</v>
      </c>
      <c r="X519" s="109" t="str">
        <f>'Q100a-geral'!X1541</f>
        <v>x</v>
      </c>
      <c r="Y519" s="109" t="str">
        <f>'Q100a-geral'!Y1541</f>
        <v>x</v>
      </c>
      <c r="Z519" s="109" t="str">
        <f>'Q100a-geral'!Z1541</f>
        <v>x</v>
      </c>
      <c r="AA519" s="109" t="str">
        <f>'Q100a-geral'!AA1541</f>
        <v>x</v>
      </c>
      <c r="AB519" s="109" t="str">
        <f>'Q100a-geral'!AB1541</f>
        <v>x</v>
      </c>
      <c r="AC519" s="109" t="str">
        <f>'Q100a-geral'!AC1541</f>
        <v>x</v>
      </c>
      <c r="AD519" s="109" t="str">
        <f>'Q100a-geral'!AD1541</f>
        <v>x</v>
      </c>
      <c r="AE519" s="109" t="str">
        <f>'Q100a-geral'!AE1541</f>
        <v>x</v>
      </c>
      <c r="AF519" s="109" t="str">
        <f>'Q100a-geral'!AF1541</f>
        <v>x</v>
      </c>
      <c r="AG519" s="109" t="str">
        <f>'Q100a-geral'!AG1541</f>
        <v>x</v>
      </c>
      <c r="AH519" s="109" t="str">
        <f>'Q100a-geral'!AH1541</f>
        <v>x</v>
      </c>
      <c r="AI519" s="109" t="str">
        <f>'Q100a-geral'!AI1541</f>
        <v>x</v>
      </c>
      <c r="AJ519" s="109" t="str">
        <f>'Q100a-geral'!AJ1541</f>
        <v>x</v>
      </c>
      <c r="AK519" s="137" t="str">
        <f>'Q100a-geral'!AK1541</f>
        <v>x</v>
      </c>
      <c r="AL519" s="167" t="str">
        <f>'Q100a-geral'!AL1541</f>
        <v>x</v>
      </c>
      <c r="AM519" s="137" t="str">
        <f>'Q100a-geral'!AM1541</f>
        <v>x</v>
      </c>
      <c r="AN519" s="137" t="str">
        <f>'Q100a-geral'!AN1541</f>
        <v>x</v>
      </c>
      <c r="AO519" s="137" t="str">
        <f>'Q100a-geral'!AO1541</f>
        <v>x</v>
      </c>
      <c r="AP519" s="137" t="str">
        <f>'Q100a-geral'!AP1541</f>
        <v>x</v>
      </c>
      <c r="AQ519" s="137" t="str">
        <f>'Q100a-geral'!AQ1541</f>
        <v>x</v>
      </c>
      <c r="AR519" s="137"/>
      <c r="AS519" s="137"/>
      <c r="AT519" s="137"/>
      <c r="AU519" s="137"/>
      <c r="AV519" s="137" t="str">
        <f>'Q100a-geral'!AV1541</f>
        <v>x</v>
      </c>
      <c r="AW519" s="137"/>
      <c r="AX519" s="137"/>
      <c r="AY519" s="137"/>
      <c r="AZ519" s="137"/>
      <c r="BA519" s="137" t="str">
        <f>'Q100a-geral'!BA1541</f>
        <v>x</v>
      </c>
      <c r="BB519" s="239" t="str">
        <f>'Q100a-geral'!BB1541</f>
        <v>Sinalização semafóricax</v>
      </c>
      <c r="BC519" s="239" t="str">
        <f>'Q100a-geral'!BC1541</f>
        <v>Sinalização semafóricaxainda não incorporado ao SisMob-BH</v>
      </c>
      <c r="BD519" s="239" t="str">
        <f>'Q100a-geral'!BD1541</f>
        <v>Sinalização semafóricaainda não incorporado ao SisMob-BH</v>
      </c>
    </row>
    <row r="520" spans="1:56" s="1" customFormat="1" ht="94.5" customHeight="1" x14ac:dyDescent="0.25">
      <c r="A520" s="275" t="str">
        <f>'Q100a-geral'!A1542</f>
        <v>9.5</v>
      </c>
      <c r="B520" s="11" t="str">
        <f>'Q100a-geral'!B1542</f>
        <v>Sinalização semafórica</v>
      </c>
      <c r="C520" s="57" t="str">
        <f>'Q100a-geral'!C1542</f>
        <v>x</v>
      </c>
      <c r="D520" s="240" t="str">
        <f>'Q100a-geral'!D1542</f>
        <v>LSP em relação a LS</v>
      </c>
      <c r="E520" s="252" t="str">
        <f>'Q100a-geral'!E1542</f>
        <v>Belo Horizonte</v>
      </c>
      <c r="F520" s="449" t="str">
        <f>'Q100a-geral'!F1542</f>
        <v>n.º de locais semaforizados com plano de amarelo piscante  em relação ao total de locais semaforizados</v>
      </c>
      <c r="G520" s="252" t="str">
        <f>'Q100a-geral'!G1542</f>
        <v>(LSP/LS) x 100</v>
      </c>
      <c r="H520" s="168" t="str">
        <f>'Q100a-geral'!H1542</f>
        <v>ainda não incorporado ao SisMob-BH</v>
      </c>
      <c r="I520" s="167">
        <f>'Q100a-geral'!I1542</f>
        <v>1</v>
      </c>
      <c r="J520" s="107" t="str">
        <f>'Q100a-geral'!J1542</f>
        <v>x</v>
      </c>
      <c r="K520" s="84" t="str">
        <f>'Q100a-geral'!K1542</f>
        <v>x</v>
      </c>
      <c r="L520" s="84" t="str">
        <f>'Q100a-geral'!L1542</f>
        <v>x</v>
      </c>
      <c r="M520" s="84" t="str">
        <f>'Q100a-geral'!M1542</f>
        <v>x</v>
      </c>
      <c r="N520" s="84" t="str">
        <f>'Q100a-geral'!N1542</f>
        <v>x</v>
      </c>
      <c r="O520" s="84" t="str">
        <f>'Q100a-geral'!O1542</f>
        <v>x</v>
      </c>
      <c r="P520" s="84" t="str">
        <f>'Q100a-geral'!P1542</f>
        <v>x</v>
      </c>
      <c r="Q520" s="84" t="str">
        <f>'Q100a-geral'!Q1542</f>
        <v>x</v>
      </c>
      <c r="R520" s="84" t="str">
        <f>'Q100a-geral'!R1542</f>
        <v>x</v>
      </c>
      <c r="S520" s="107" t="str">
        <f>'Q100a-geral'!S1542</f>
        <v>só para pesquisa</v>
      </c>
      <c r="T520" s="84" t="str">
        <f>'Q100a-geral'!T1542</f>
        <v>x</v>
      </c>
      <c r="U520" s="84" t="str">
        <f>'Q100a-geral'!U1542</f>
        <v>x</v>
      </c>
      <c r="V520" s="107" t="str">
        <f>'Q100a-geral'!V1542</f>
        <v>só para pesquisa</v>
      </c>
      <c r="W520" s="84" t="str">
        <f>'Q100a-geral'!W1542</f>
        <v>x</v>
      </c>
      <c r="X520" s="84" t="str">
        <f>'Q100a-geral'!X1542</f>
        <v>x</v>
      </c>
      <c r="Y520" s="84" t="str">
        <f>'Q100a-geral'!Y1542</f>
        <v>x</v>
      </c>
      <c r="Z520" s="84" t="str">
        <f>'Q100a-geral'!Z1542</f>
        <v>x</v>
      </c>
      <c r="AA520" s="84" t="str">
        <f>'Q100a-geral'!AA1542</f>
        <v>x</v>
      </c>
      <c r="AB520" s="84" t="str">
        <f>'Q100a-geral'!AB1542</f>
        <v>x</v>
      </c>
      <c r="AC520" s="84" t="str">
        <f>'Q100a-geral'!AC1542</f>
        <v>x</v>
      </c>
      <c r="AD520" s="84" t="str">
        <f>'Q100a-geral'!AD1542</f>
        <v>x</v>
      </c>
      <c r="AE520" s="84" t="str">
        <f>'Q100a-geral'!AE1542</f>
        <v>x</v>
      </c>
      <c r="AF520" s="84" t="str">
        <f>'Q100a-geral'!AF1542</f>
        <v>x</v>
      </c>
      <c r="AG520" s="84" t="str">
        <f>'Q100a-geral'!AG1542</f>
        <v>x</v>
      </c>
      <c r="AH520" s="84" t="str">
        <f>'Q100a-geral'!AH1542</f>
        <v>x</v>
      </c>
      <c r="AI520" s="84" t="str">
        <f>'Q100a-geral'!AI1542</f>
        <v>x</v>
      </c>
      <c r="AJ520" s="84" t="str">
        <f>'Q100a-geral'!AJ1542</f>
        <v>x</v>
      </c>
      <c r="AK520" s="137" t="str">
        <f>'Q100a-geral'!AK1542</f>
        <v>x</v>
      </c>
      <c r="AL520" s="213" t="str">
        <f>'Q100a-geral'!AL1542</f>
        <v>x</v>
      </c>
      <c r="AM520" s="137" t="str">
        <f>'Q100a-geral'!AM1542</f>
        <v>x</v>
      </c>
      <c r="AN520" s="137" t="str">
        <f>'Q100a-geral'!AN1542</f>
        <v>x</v>
      </c>
      <c r="AO520" s="137" t="str">
        <f>'Q100a-geral'!AO1542</f>
        <v>x</v>
      </c>
      <c r="AP520" s="137" t="str">
        <f>'Q100a-geral'!AP1542</f>
        <v>x</v>
      </c>
      <c r="AQ520" s="137" t="str">
        <f>'Q100a-geral'!AQ1542</f>
        <v>x</v>
      </c>
      <c r="AR520" s="137"/>
      <c r="AS520" s="137"/>
      <c r="AT520" s="137"/>
      <c r="AU520" s="137"/>
      <c r="AV520" s="137" t="str">
        <f>'Q100a-geral'!AV1542</f>
        <v>x</v>
      </c>
      <c r="AW520" s="137"/>
      <c r="AX520" s="137"/>
      <c r="AY520" s="137"/>
      <c r="AZ520" s="137"/>
      <c r="BA520" s="137" t="str">
        <f>'Q100a-geral'!BA1542</f>
        <v>x</v>
      </c>
      <c r="BB520" s="239" t="str">
        <f>'Q100a-geral'!BB1542</f>
        <v>Sinalização semafóricax</v>
      </c>
      <c r="BC520" s="239" t="str">
        <f>'Q100a-geral'!BC1542</f>
        <v>Sinalização semafóricaxainda não incorporado ao SisMob-BH</v>
      </c>
      <c r="BD520" s="239" t="str">
        <f>'Q100a-geral'!BD1542</f>
        <v>Sinalização semafóricaainda não incorporado ao SisMob-BH</v>
      </c>
    </row>
    <row r="521" spans="1:56" s="1" customFormat="1" ht="51" customHeight="1" x14ac:dyDescent="0.25">
      <c r="A521" s="275" t="str">
        <f>'Q100a-geral'!A1543</f>
        <v>9.5</v>
      </c>
      <c r="B521" s="11" t="str">
        <f>'Q100a-geral'!B1543</f>
        <v>Sinalização semafórica</v>
      </c>
      <c r="C521" s="57" t="str">
        <f>'Q100a-geral'!C1543</f>
        <v>x</v>
      </c>
      <c r="D521" s="322" t="str">
        <f>'Q100a-geral'!D1543</f>
        <v>LSS</v>
      </c>
      <c r="E521" s="11" t="str">
        <f>'Q100a-geral'!E1543</f>
        <v>Belo Horizonte</v>
      </c>
      <c r="F521" s="445" t="str">
        <f>'Q100a-geral'!F1543</f>
        <v>n.º de locais semaforizados sem controle centralizado, ou seja, n.º total de locais semaforizados sem controle centralizado, obtido pela diferença entre o total de locais semaforizados e o total de locais semaforizados com controle centralizado</v>
      </c>
      <c r="G521" s="11" t="str">
        <f>'Q100a-geral'!G1543</f>
        <v>LS-LSC</v>
      </c>
      <c r="H521" s="173" t="str">
        <f>'Q100a-geral'!H1543</f>
        <v>x</v>
      </c>
      <c r="I521" s="57">
        <f>'Q100a-geral'!I1543</f>
        <v>1</v>
      </c>
      <c r="J521" s="107" t="str">
        <f>'Q100a-geral'!J1543</f>
        <v>x</v>
      </c>
      <c r="K521" s="93" t="str">
        <f>'Q100a-geral'!K1543</f>
        <v>x</v>
      </c>
      <c r="L521" s="93" t="str">
        <f>'Q100a-geral'!L1543</f>
        <v>x</v>
      </c>
      <c r="M521" s="93" t="str">
        <f>'Q100a-geral'!M1543</f>
        <v>x</v>
      </c>
      <c r="N521" s="93" t="str">
        <f>'Q100a-geral'!N1543</f>
        <v>x</v>
      </c>
      <c r="O521" s="93" t="str">
        <f>'Q100a-geral'!O1543</f>
        <v>x</v>
      </c>
      <c r="P521" s="93" t="str">
        <f>'Q100a-geral'!P1543</f>
        <v>x</v>
      </c>
      <c r="Q521" s="93" t="str">
        <f>'Q100a-geral'!Q1543</f>
        <v>x</v>
      </c>
      <c r="R521" s="93" t="str">
        <f>'Q100a-geral'!R1543</f>
        <v>x</v>
      </c>
      <c r="S521" s="107" t="str">
        <f>'Q100a-geral'!S1543</f>
        <v>só para pesquisa</v>
      </c>
      <c r="T521" s="93" t="str">
        <f>'Q100a-geral'!T1543</f>
        <v>x</v>
      </c>
      <c r="U521" s="93" t="str">
        <f>'Q100a-geral'!U1543</f>
        <v>x</v>
      </c>
      <c r="V521" s="107" t="str">
        <f>'Q100a-geral'!V1543</f>
        <v>só para pesquisa</v>
      </c>
      <c r="W521" s="93" t="str">
        <f>'Q100a-geral'!W1543</f>
        <v>x</v>
      </c>
      <c r="X521" s="93" t="str">
        <f>'Q100a-geral'!X1543</f>
        <v>x</v>
      </c>
      <c r="Y521" s="58" t="str">
        <f>'Q100a-geral'!Y1543</f>
        <v>x</v>
      </c>
      <c r="Z521" s="72">
        <f>'Q100a-geral'!Z1543</f>
        <v>109</v>
      </c>
      <c r="AA521" s="72">
        <f>'Q100a-geral'!AA1543</f>
        <v>101</v>
      </c>
      <c r="AB521" s="72">
        <f>'Q100a-geral'!AB1543</f>
        <v>100</v>
      </c>
      <c r="AC521" s="72">
        <f>'Q100a-geral'!AC1543</f>
        <v>100</v>
      </c>
      <c r="AD521" s="72">
        <f>'Q100a-geral'!AD1543</f>
        <v>95</v>
      </c>
      <c r="AE521" s="72">
        <f>'Q100a-geral'!AE1543</f>
        <v>102</v>
      </c>
      <c r="AF521" s="72">
        <f>'Q100a-geral'!AF1543</f>
        <v>111</v>
      </c>
      <c r="AG521" s="72">
        <f>'Q100a-geral'!AG1543</f>
        <v>117</v>
      </c>
      <c r="AH521" s="72">
        <f>'Q100a-geral'!AH1543</f>
        <v>121</v>
      </c>
      <c r="AI521" s="72">
        <f>'Q100a-geral'!AI1543</f>
        <v>121</v>
      </c>
      <c r="AJ521" s="72">
        <f>'Q100a-geral'!AJ1543</f>
        <v>111</v>
      </c>
      <c r="AK521" s="137" t="str">
        <f>'Q100a-geral'!AK1543</f>
        <v>x</v>
      </c>
      <c r="AL521" s="212" t="str">
        <f>'Q100a-geral'!AL1543</f>
        <v>x</v>
      </c>
      <c r="AM521" s="137" t="str">
        <f>'Q100a-geral'!AM1543</f>
        <v>x</v>
      </c>
      <c r="AN521" s="137" t="str">
        <f>'Q100a-geral'!AN1543</f>
        <v>x</v>
      </c>
      <c r="AO521" s="137" t="str">
        <f>'Q100a-geral'!AO1543</f>
        <v>x</v>
      </c>
      <c r="AP521" s="137" t="str">
        <f>'Q100a-geral'!AP1543</f>
        <v>x</v>
      </c>
      <c r="AQ521" s="137" t="str">
        <f>'Q100a-geral'!AQ1543</f>
        <v>x</v>
      </c>
      <c r="AR521" s="137"/>
      <c r="AS521" s="137"/>
      <c r="AT521" s="137"/>
      <c r="AU521" s="137"/>
      <c r="AV521" s="137" t="str">
        <f>'Q100a-geral'!AV1543</f>
        <v>x</v>
      </c>
      <c r="AW521" s="137"/>
      <c r="AX521" s="137"/>
      <c r="AY521" s="137"/>
      <c r="AZ521" s="137"/>
      <c r="BA521" s="137" t="str">
        <f>'Q100a-geral'!BA1543</f>
        <v>x</v>
      </c>
      <c r="BB521" s="239" t="str">
        <f>'Q100a-geral'!BB1543</f>
        <v>Sinalização semafóricax</v>
      </c>
      <c r="BC521" s="239" t="str">
        <f>'Q100a-geral'!BC1543</f>
        <v>Sinalização semafóricaxx</v>
      </c>
      <c r="BD521" s="239" t="str">
        <f>'Q100a-geral'!BD1543</f>
        <v>Sinalização semafóricax</v>
      </c>
    </row>
    <row r="522" spans="1:56" s="1" customFormat="1" ht="38.25" customHeight="1" x14ac:dyDescent="0.25">
      <c r="A522" s="275" t="str">
        <f>'Q100a-geral'!A1544</f>
        <v>9.5</v>
      </c>
      <c r="B522" s="11" t="str">
        <f>'Q100a-geral'!B1544</f>
        <v>Sinalização semafórica</v>
      </c>
      <c r="C522" s="57" t="str">
        <f>'Q100a-geral'!C1544</f>
        <v>x</v>
      </c>
      <c r="D522" s="322" t="str">
        <f>'Q100a-geral'!D1544</f>
        <v>LSS em relação a LS</v>
      </c>
      <c r="E522" s="11" t="str">
        <f>'Q100a-geral'!E1544</f>
        <v>Belo Horizonte</v>
      </c>
      <c r="F522" s="445" t="str">
        <f>'Q100a-geral'!F1544</f>
        <v>percentual de locais semaforizados sem controle centralizado em relação ao total de locais semaforizados</v>
      </c>
      <c r="G522" s="11" t="str">
        <f>'Q100a-geral'!G1544</f>
        <v>(LSS/LS) x 100</v>
      </c>
      <c r="H522" s="173" t="str">
        <f>'Q100a-geral'!H1544</f>
        <v>x</v>
      </c>
      <c r="I522" s="57">
        <f>'Q100a-geral'!I1544</f>
        <v>1</v>
      </c>
      <c r="J522" s="107" t="str">
        <f>'Q100a-geral'!J1544</f>
        <v>x</v>
      </c>
      <c r="K522" s="93" t="str">
        <f>'Q100a-geral'!K1544</f>
        <v>x</v>
      </c>
      <c r="L522" s="93" t="str">
        <f>'Q100a-geral'!L1544</f>
        <v>x</v>
      </c>
      <c r="M522" s="93" t="str">
        <f>'Q100a-geral'!M1544</f>
        <v>x</v>
      </c>
      <c r="N522" s="93" t="str">
        <f>'Q100a-geral'!N1544</f>
        <v>x</v>
      </c>
      <c r="O522" s="93" t="str">
        <f>'Q100a-geral'!O1544</f>
        <v>x</v>
      </c>
      <c r="P522" s="93" t="str">
        <f>'Q100a-geral'!P1544</f>
        <v>x</v>
      </c>
      <c r="Q522" s="93" t="str">
        <f>'Q100a-geral'!Q1544</f>
        <v>x</v>
      </c>
      <c r="R522" s="93" t="str">
        <f>'Q100a-geral'!R1544</f>
        <v>x</v>
      </c>
      <c r="S522" s="107" t="str">
        <f>'Q100a-geral'!S1544</f>
        <v>só para pesquisa</v>
      </c>
      <c r="T522" s="93" t="str">
        <f>'Q100a-geral'!T1544</f>
        <v>x</v>
      </c>
      <c r="U522" s="93" t="str">
        <f>'Q100a-geral'!U1544</f>
        <v>x</v>
      </c>
      <c r="V522" s="107" t="str">
        <f>'Q100a-geral'!V1544</f>
        <v>só para pesquisa</v>
      </c>
      <c r="W522" s="93" t="str">
        <f>'Q100a-geral'!W1544</f>
        <v>x</v>
      </c>
      <c r="X522" s="93" t="str">
        <f>'Q100a-geral'!X1544</f>
        <v>x</v>
      </c>
      <c r="Y522" s="58" t="str">
        <f>'Q100a-geral'!Y1544</f>
        <v>x</v>
      </c>
      <c r="Z522" s="21">
        <f>'Q100a-geral'!Z1544</f>
        <v>0.15728715728715728</v>
      </c>
      <c r="AA522" s="21">
        <f>'Q100a-geral'!AA1544</f>
        <v>0.1420534458509142</v>
      </c>
      <c r="AB522" s="21">
        <f>'Q100a-geral'!AB1544</f>
        <v>0.13531799729364005</v>
      </c>
      <c r="AC522" s="21">
        <f>'Q100a-geral'!AC1544</f>
        <v>0.13123359580052493</v>
      </c>
      <c r="AD522" s="21">
        <f>'Q100a-geral'!AD1544</f>
        <v>0.12025316455696203</v>
      </c>
      <c r="AE522" s="21">
        <f>'Q100a-geral'!AE1544</f>
        <v>0.12561576354679804</v>
      </c>
      <c r="AF522" s="21">
        <f>'Q100a-geral'!AF1544</f>
        <v>0.13293413173652693</v>
      </c>
      <c r="AG522" s="21">
        <f>'Q100a-geral'!AG1544</f>
        <v>0.13541666666666666</v>
      </c>
      <c r="AH522" s="21">
        <f>'Q100a-geral'!AH1544</f>
        <v>0.13459399332591768</v>
      </c>
      <c r="AI522" s="21">
        <f>'Q100a-geral'!AI1544</f>
        <v>0.1302475780409042</v>
      </c>
      <c r="AJ522" s="21">
        <f>'Q100a-geral'!AJ1544</f>
        <v>0.11419753086419752</v>
      </c>
      <c r="AK522" s="137" t="str">
        <f>'Q100a-geral'!AK1544</f>
        <v>x</v>
      </c>
      <c r="AL522" s="212" t="str">
        <f>'Q100a-geral'!AL1544</f>
        <v>x</v>
      </c>
      <c r="AM522" s="137" t="str">
        <f>'Q100a-geral'!AM1544</f>
        <v>x</v>
      </c>
      <c r="AN522" s="137" t="str">
        <f>'Q100a-geral'!AN1544</f>
        <v>x</v>
      </c>
      <c r="AO522" s="137" t="str">
        <f>'Q100a-geral'!AO1544</f>
        <v>x</v>
      </c>
      <c r="AP522" s="137" t="str">
        <f>'Q100a-geral'!AP1544</f>
        <v>x</v>
      </c>
      <c r="AQ522" s="137" t="str">
        <f>'Q100a-geral'!AQ1544</f>
        <v>x</v>
      </c>
      <c r="AR522" s="137"/>
      <c r="AS522" s="137"/>
      <c r="AT522" s="137"/>
      <c r="AU522" s="137"/>
      <c r="AV522" s="137" t="str">
        <f>'Q100a-geral'!AV1544</f>
        <v>x</v>
      </c>
      <c r="AW522" s="137"/>
      <c r="AX522" s="137"/>
      <c r="AY522" s="137"/>
      <c r="AZ522" s="137"/>
      <c r="BA522" s="137" t="str">
        <f>'Q100a-geral'!BA1544</f>
        <v>x</v>
      </c>
      <c r="BB522" s="239" t="str">
        <f>'Q100a-geral'!BB1544</f>
        <v>Sinalização semafóricax</v>
      </c>
      <c r="BC522" s="239" t="str">
        <f>'Q100a-geral'!BC1544</f>
        <v>Sinalização semafóricaxx</v>
      </c>
      <c r="BD522" s="239" t="str">
        <f>'Q100a-geral'!BD1544</f>
        <v>Sinalização semafóricax</v>
      </c>
    </row>
    <row r="523" spans="1:56" s="1" customFormat="1" ht="76.5" customHeight="1" x14ac:dyDescent="0.25">
      <c r="A523" s="275" t="str">
        <f>'Q100a-geral'!A1553</f>
        <v>9.1</v>
      </c>
      <c r="B523" s="11" t="str">
        <f>'Q100a-geral'!B1553</f>
        <v>Acidentes de trânsito</v>
      </c>
      <c r="C523" s="57" t="str">
        <f>'Q100a-geral'!C1553</f>
        <v>x</v>
      </c>
      <c r="D523" s="287" t="str">
        <f>'Q100a-geral'!D1553</f>
        <v>M</v>
      </c>
      <c r="E523" s="458" t="str">
        <f>'Q100a-geral'!E1553</f>
        <v>Belo Horizonte</v>
      </c>
      <c r="F523" s="488" t="str">
        <f>'Q100a-geral'!F1553</f>
        <v>n.º de mortos em acidentes de trânsito de Belo Horizonte vitimados no próprio local
obs.1: nos relatórios anuais de acidentes de trânsito da BHTrans este indicador é denominado "vítimas fatais" 
obs.2: esse indicador refere-se ao n.º de mortos até o momento da lavratura do Boletim de Ocorrência - B.O., que é tomado como sendo o n.º de mortos no local do acidente e é diferente de M30
obs.3: é necessário apurar a descrição para melhor informar como a BHTrans apura os resultados desse indicador
obs.4: as fontes dos resultados aqui apresentados são os relatórios da BHTrans (2014d; 2015i) que, por sua vez, têm como fonte o sistema BH10 BHTrans - base de dados do Detran-MG</v>
      </c>
      <c r="G523" s="11" t="str">
        <f>'Q100a-geral'!G1553</f>
        <v>registro na fonte</v>
      </c>
      <c r="H523" s="173" t="str">
        <f>'Q100a-geral'!H1553</f>
        <v>x</v>
      </c>
      <c r="I523" s="57">
        <f>'Q100a-geral'!I1553</f>
        <v>1</v>
      </c>
      <c r="J523" s="107" t="str">
        <f>'Q100a-geral'!J1553</f>
        <v>x</v>
      </c>
      <c r="K523" s="98">
        <f>'Q100a-geral'!K1553</f>
        <v>374</v>
      </c>
      <c r="L523" s="98">
        <f>'Q100a-geral'!L1553</f>
        <v>481</v>
      </c>
      <c r="M523" s="98">
        <f>'Q100a-geral'!M1553</f>
        <v>551</v>
      </c>
      <c r="N523" s="98">
        <f>'Q100a-geral'!N1553</f>
        <v>446</v>
      </c>
      <c r="O523" s="98">
        <f>'Q100a-geral'!O1553</f>
        <v>508</v>
      </c>
      <c r="P523" s="98">
        <f>'Q100a-geral'!P1553</f>
        <v>418</v>
      </c>
      <c r="Q523" s="98">
        <f>'Q100a-geral'!Q1553</f>
        <v>383</v>
      </c>
      <c r="R523" s="98">
        <f>'Q100a-geral'!R1553</f>
        <v>307</v>
      </c>
      <c r="S523" s="649" t="str">
        <f>'Q100a-geral'!S1553</f>
        <v>só para pesquisa</v>
      </c>
      <c r="T523" s="98">
        <f>'Q100a-geral'!T1553</f>
        <v>392</v>
      </c>
      <c r="U523" s="98">
        <f>'Q100a-geral'!U1553</f>
        <v>297</v>
      </c>
      <c r="V523" s="107" t="str">
        <f>'Q100a-geral'!V1553</f>
        <v>só para pesquisa</v>
      </c>
      <c r="W523" s="98">
        <f>'Q100a-geral'!W1553</f>
        <v>315</v>
      </c>
      <c r="X523" s="98">
        <f>'Q100a-geral'!X1553</f>
        <v>155</v>
      </c>
      <c r="Y523" s="98">
        <f>'Q100a-geral'!Y1553</f>
        <v>238</v>
      </c>
      <c r="Z523" s="159">
        <f>'Q100a-geral'!Z1553</f>
        <v>217</v>
      </c>
      <c r="AA523" s="159">
        <f>'Q100a-geral'!AA1553</f>
        <v>177</v>
      </c>
      <c r="AB523" s="159">
        <f>'Q100a-geral'!AB1553</f>
        <v>210</v>
      </c>
      <c r="AC523" s="159">
        <f>'Q100a-geral'!AC1553</f>
        <v>227</v>
      </c>
      <c r="AD523" s="159">
        <f>'Q100a-geral'!AD1553</f>
        <v>273</v>
      </c>
      <c r="AE523" s="159">
        <f>'Q100a-geral'!AE1553</f>
        <v>288</v>
      </c>
      <c r="AF523" s="159">
        <f>'Q100a-geral'!AF1553</f>
        <v>262</v>
      </c>
      <c r="AG523" s="159">
        <f>'Q100a-geral'!AG1553</f>
        <v>217</v>
      </c>
      <c r="AH523" s="159">
        <f>'Q100a-geral'!AH1553</f>
        <v>179</v>
      </c>
      <c r="AI523" s="159">
        <f>'Q100a-geral'!AI1553</f>
        <v>170</v>
      </c>
      <c r="AJ523" s="159">
        <f>'Q100a-geral'!AJ1553</f>
        <v>177</v>
      </c>
      <c r="AK523" s="137" t="str">
        <f>'Q100a-geral'!AK1553</f>
        <v>x</v>
      </c>
      <c r="AL523" s="212" t="str">
        <f>'Q100a-geral'!AL1553</f>
        <v>x</v>
      </c>
      <c r="AM523" s="137" t="str">
        <f>'Q100a-geral'!AM1553</f>
        <v>x</v>
      </c>
      <c r="AN523" s="137" t="str">
        <f>'Q100a-geral'!AN1553</f>
        <v>x</v>
      </c>
      <c r="AO523" s="137" t="str">
        <f>'Q100a-geral'!AO1553</f>
        <v>x</v>
      </c>
      <c r="AP523" s="137" t="str">
        <f>'Q100a-geral'!AP1553</f>
        <v>x</v>
      </c>
      <c r="AQ523" s="137" t="str">
        <f>'Q100a-geral'!AQ1553</f>
        <v>x</v>
      </c>
      <c r="AR523" s="137"/>
      <c r="AS523" s="137"/>
      <c r="AT523" s="137"/>
      <c r="AU523" s="137"/>
      <c r="AV523" s="137" t="str">
        <f>'Q100a-geral'!AV1553</f>
        <v>x</v>
      </c>
      <c r="AW523" s="137"/>
      <c r="AX523" s="137"/>
      <c r="AY523" s="137"/>
      <c r="AZ523" s="137"/>
      <c r="BA523" s="137" t="str">
        <f>'Q100a-geral'!BA1553</f>
        <v>x</v>
      </c>
      <c r="BB523" s="239" t="str">
        <f>'Q100a-geral'!BB1553</f>
        <v>Acidentes de trânsitox</v>
      </c>
      <c r="BC523" s="239" t="str">
        <f>'Q100a-geral'!BC1553</f>
        <v>Acidentes de trânsitoxx</v>
      </c>
      <c r="BD523" s="239" t="str">
        <f>'Q100a-geral'!BD1553</f>
        <v>Acidentes de trânsitox</v>
      </c>
    </row>
    <row r="524" spans="1:56" s="1" customFormat="1" ht="76.5" customHeight="1" x14ac:dyDescent="0.25">
      <c r="A524" s="275" t="str">
        <f>'Q100a-geral'!A1554</f>
        <v>9.1</v>
      </c>
      <c r="B524" s="11" t="str">
        <f>'Q100a-geral'!B1554</f>
        <v>Acidentes de trânsito</v>
      </c>
      <c r="C524" s="57" t="str">
        <f>'Q100a-geral'!C1554</f>
        <v>x</v>
      </c>
      <c r="D524" s="287" t="str">
        <f>'Q100a-geral'!D1554</f>
        <v>M
(meta ONU)</v>
      </c>
      <c r="E524" s="506" t="str">
        <f>'Q100a-geral'!E1554</f>
        <v>Belo Horizonte</v>
      </c>
      <c r="F524" s="488" t="str">
        <f>'Q100a-geral'!F1554</f>
        <v>"As recomendações aqui apresentadas para um Plano Nacional compreendem um conjunto de medidas que visa, a curto, médio e longo prazos, reduzir os níveis atuais de mortalidade e lesões por acidentes de trânsito no país, tendo como meta o índice de redução proposto pela Resolução da ONU de 50% em 10 anos, por meio de ações eficientes dos governos, em todos os níveis e âmbitos de competência." conforme ANTP(2011c)
obs.1: em 2010 a ONU "Proclama el período 2011-2020 “Decenio de Acción para la Seguridad Vial”, con el objetivo de estabilizar y, posteriormente, reducir las cifras previstas de víctimas mortales en accidentes de tránsito en todo el mundo aumentando las actividades en los planos nacional, regional y mundial" e "Invita a todos los Estados Miembros a fijar sus propios objetivos de reducción de las víctimas de accidentes de tránsito con miras a su consecución para el final del Decenio, en consonancia con el plan de acción" conforme ONU(2010a, p.4, 5)
obs.2: a meta proposta pela Organização das Nações Unidas - ONU, se entendida como redução no n.º de mortos e rebatida para Belo Horizonte, leva à necessidade de chegar a 2020 com 50% de mortos a menos que o medido em 2010; para tanto, é necessário reduzir 5 % ao ano entre 2011 e 2020
obs.3: se a meta de 50% em dez anos for repetida para o período 2021-2030, será necessário reduzir 5% ao ano a partir do resultado de 2020 (que para efeito de simulação é aqui tomado como a meta estabelecida)
obs.4: as metas aqui calculadas para 2011 a 2030 são apenas simulações interpretando-se (como cima descrito) a recomendação da ONU (o SisMob-BH não fez a mesma simulação para M30 pois não há resultado do indicador para 2010)</v>
      </c>
      <c r="G524" s="11" t="str">
        <f>'Q100a-geral'!G1554</f>
        <v>de 2011 a 2020: M(ano x) = M(x-1) - M(2010 x 0,05)
de 2021 a 2030: M(ano x) = M(x-1) - M(2020 x 0,05)</v>
      </c>
      <c r="H524" s="173" t="str">
        <f>'Q100a-geral'!H1554</f>
        <v>meta/RPI</v>
      </c>
      <c r="I524" s="57" t="str">
        <f>'Q100a-geral'!I1554</f>
        <v>x</v>
      </c>
      <c r="J524" s="107" t="str">
        <f>'Q100a-geral'!J1554</f>
        <v>x</v>
      </c>
      <c r="K524" s="98" t="str">
        <f>'Q100a-geral'!K1554</f>
        <v>x</v>
      </c>
      <c r="L524" s="98" t="str">
        <f>'Q100a-geral'!L1554</f>
        <v>x</v>
      </c>
      <c r="M524" s="98" t="str">
        <f>'Q100a-geral'!M1554</f>
        <v>x</v>
      </c>
      <c r="N524" s="98" t="str">
        <f>'Q100a-geral'!N1554</f>
        <v>x</v>
      </c>
      <c r="O524" s="98" t="str">
        <f>'Q100a-geral'!O1554</f>
        <v>x</v>
      </c>
      <c r="P524" s="98" t="str">
        <f>'Q100a-geral'!P1554</f>
        <v>x</v>
      </c>
      <c r="Q524" s="98" t="str">
        <f>'Q100a-geral'!Q1554</f>
        <v>x</v>
      </c>
      <c r="R524" s="98" t="str">
        <f>'Q100a-geral'!R1554</f>
        <v>x</v>
      </c>
      <c r="S524" s="649" t="str">
        <f>'Q100a-geral'!S1554</f>
        <v>só para pesquisa</v>
      </c>
      <c r="T524" s="98" t="str">
        <f>'Q100a-geral'!T1554</f>
        <v>x</v>
      </c>
      <c r="U524" s="98" t="str">
        <f>'Q100a-geral'!U1554</f>
        <v>x</v>
      </c>
      <c r="V524" s="107" t="str">
        <f>'Q100a-geral'!V1554</f>
        <v>só para pesquisa</v>
      </c>
      <c r="W524" s="98" t="str">
        <f>'Q100a-geral'!W1554</f>
        <v>x</v>
      </c>
      <c r="X524" s="98" t="str">
        <f>'Q100a-geral'!X1554</f>
        <v>x</v>
      </c>
      <c r="Y524" s="98" t="str">
        <f>'Q100a-geral'!Y1554</f>
        <v>x</v>
      </c>
      <c r="Z524" s="159" t="str">
        <f>'Q100a-geral'!Z1554</f>
        <v>x</v>
      </c>
      <c r="AA524" s="159" t="str">
        <f>'Q100a-geral'!AA1554</f>
        <v>x</v>
      </c>
      <c r="AB524" s="159" t="str">
        <f>'Q100a-geral'!AB1554</f>
        <v>x</v>
      </c>
      <c r="AC524" s="159" t="str">
        <f>'Q100a-geral'!AC1554</f>
        <v>x</v>
      </c>
      <c r="AD524" s="159" t="str">
        <f>'Q100a-geral'!AD1554</f>
        <v>x</v>
      </c>
      <c r="AE524" s="159" t="str">
        <f>'Q100a-geral'!AE1554</f>
        <v>x</v>
      </c>
      <c r="AF524" s="159" t="str">
        <f>'Q100a-geral'!AF1554</f>
        <v>x</v>
      </c>
      <c r="AG524" s="302">
        <f>'Q100a-geral'!AG1554</f>
        <v>248.9</v>
      </c>
      <c r="AH524" s="302">
        <f>'Q100a-geral'!AH1554</f>
        <v>235.8</v>
      </c>
      <c r="AI524" s="302">
        <f>'Q100a-geral'!AI1554</f>
        <v>222.70000000000002</v>
      </c>
      <c r="AJ524" s="302">
        <f>'Q100a-geral'!AJ1554</f>
        <v>209.60000000000002</v>
      </c>
      <c r="AK524" s="72">
        <f>'Q100a-geral'!AK1554</f>
        <v>196.50000000000003</v>
      </c>
      <c r="AL524" s="225" t="str">
        <f>'Q100a-geral'!AL1554</f>
        <v>x</v>
      </c>
      <c r="AM524" s="72">
        <f>'Q100a-geral'!AM1554</f>
        <v>183.40000000000003</v>
      </c>
      <c r="AN524" s="72">
        <f>'Q100a-geral'!AN1554</f>
        <v>170.30000000000004</v>
      </c>
      <c r="AO524" s="72">
        <f>'Q100a-geral'!AO1554</f>
        <v>157.20000000000005</v>
      </c>
      <c r="AP524" s="72">
        <f>'Q100a-geral'!AP1554</f>
        <v>144.10000000000005</v>
      </c>
      <c r="AQ524" s="72">
        <f>'Q100a-geral'!AQ1554</f>
        <v>131.00000000000006</v>
      </c>
      <c r="AR524" s="72"/>
      <c r="AS524" s="72"/>
      <c r="AT524" s="72"/>
      <c r="AU524" s="72"/>
      <c r="AV524" s="72">
        <f>'Q100a-geral'!AV1554</f>
        <v>98.250000000000043</v>
      </c>
      <c r="AW524" s="72"/>
      <c r="AX524" s="72"/>
      <c r="AY524" s="72"/>
      <c r="AZ524" s="72"/>
      <c r="BA524" s="72">
        <f>'Q100a-geral'!BA1554</f>
        <v>65.500000000000028</v>
      </c>
      <c r="BB524" s="239" t="str">
        <f>'Q100a-geral'!BB1554</f>
        <v>Acidentes de trânsitox</v>
      </c>
      <c r="BC524" s="239" t="str">
        <f>'Q100a-geral'!BC1554</f>
        <v>Acidentes de trânsitoxmeta/RPI</v>
      </c>
      <c r="BD524" s="239" t="str">
        <f>'Q100a-geral'!BD1554</f>
        <v>Acidentes de trânsitometa/RPI</v>
      </c>
    </row>
    <row r="525" spans="1:56" s="1" customFormat="1" ht="51" customHeight="1" x14ac:dyDescent="0.25">
      <c r="A525" s="275" t="str">
        <f>'Q100a-geral'!A1555</f>
        <v>9.1</v>
      </c>
      <c r="B525" s="11" t="str">
        <f>'Q100a-geral'!B1555</f>
        <v>Acidentes de trânsito</v>
      </c>
      <c r="C525" s="57" t="str">
        <f>'Q100a-geral'!C1555</f>
        <v>x</v>
      </c>
      <c r="D525" s="326" t="str">
        <f>'Q100a-geral'!D1555</f>
        <v>M por 10 mil veículos</v>
      </c>
      <c r="E525" s="465" t="str">
        <f>'Q100a-geral'!E1555</f>
        <v>Belo Horizonte</v>
      </c>
      <c r="F525" s="488" t="str">
        <f>'Q100a-geral'!F1555</f>
        <v>n.º de mortos em acidentes de trânsito por 10 mil veículos de Belo Horizonte vitimados no próprio local
obs.1: nos relatórios anuais de acidentes de trânsito da BHTrans este indicador é denominado "taxa de mortalidade por 10.000 veículos"; 
obs.2: este indicador é estratégico da BHTrans com o nome de "taxa de mortalidade em acidentes de trânsito por 10 mil veículos" (BHTRANS, 2015d)</v>
      </c>
      <c r="G525" s="11" t="str">
        <f>'Q100a-geral'!G1555</f>
        <v>(M/F) x 10.000</v>
      </c>
      <c r="H525" s="173" t="str">
        <f>'Q100a-geral'!H1555</f>
        <v>x</v>
      </c>
      <c r="I525" s="57">
        <f>'Q100a-geral'!I1555</f>
        <v>1</v>
      </c>
      <c r="J525" s="107" t="str">
        <f>'Q100a-geral'!J1555</f>
        <v>x</v>
      </c>
      <c r="K525" s="64">
        <f>'Q100a-geral'!K1555</f>
        <v>7.7948333177019835</v>
      </c>
      <c r="L525" s="64">
        <f>'Q100a-geral'!L1555</f>
        <v>9.8129821060985343</v>
      </c>
      <c r="M525" s="64">
        <f>'Q100a-geral'!M1555</f>
        <v>10.826529910499376</v>
      </c>
      <c r="N525" s="64">
        <f>'Q100a-geral'!N1555</f>
        <v>8.3073495829561494</v>
      </c>
      <c r="O525" s="64">
        <f>'Q100a-geral'!O1555</f>
        <v>8.9309102672065066</v>
      </c>
      <c r="P525" s="64">
        <f>'Q100a-geral'!P1555</f>
        <v>6.9806745536042323</v>
      </c>
      <c r="Q525" s="64">
        <f>'Q100a-geral'!Q1555</f>
        <v>6.2585994463672341</v>
      </c>
      <c r="R525" s="64">
        <f>'Q100a-geral'!R1555</f>
        <v>4.9205893808231647</v>
      </c>
      <c r="S525" s="649" t="str">
        <f>'Q100a-geral'!S1555</f>
        <v>só para pesquisa</v>
      </c>
      <c r="T525" s="64">
        <f>'Q100a-geral'!T1555</f>
        <v>5.982659444742052</v>
      </c>
      <c r="U525" s="64">
        <f>'Q100a-geral'!U1555</f>
        <v>4.3694012449115602</v>
      </c>
      <c r="V525" s="107" t="str">
        <f>'Q100a-geral'!V1555</f>
        <v>só para pesquisa</v>
      </c>
      <c r="W525" s="64">
        <f>'Q100a-geral'!W1555</f>
        <v>4.3879505484938184</v>
      </c>
      <c r="X525" s="64">
        <f>'Q100a-geral'!X1555</f>
        <v>2.0626486271409958</v>
      </c>
      <c r="Y525" s="64">
        <f>'Q100a-geral'!Y1555</f>
        <v>3.0105584585940695</v>
      </c>
      <c r="Z525" s="64">
        <f>'Q100a-geral'!Z1555</f>
        <v>2.6406961702604068</v>
      </c>
      <c r="AA525" s="64">
        <f>'Q100a-geral'!AA1555</f>
        <v>2.0511822110353601</v>
      </c>
      <c r="AB525" s="64">
        <f>'Q100a-geral'!AB1555</f>
        <v>2.2549439646424787</v>
      </c>
      <c r="AC525" s="64">
        <f>'Q100a-geral'!AC1555</f>
        <v>2.224476096681415</v>
      </c>
      <c r="AD525" s="64">
        <f>'Q100a-geral'!AD1555</f>
        <v>2.4655478076944961</v>
      </c>
      <c r="AE525" s="64">
        <f>'Q100a-geral'!AE1555</f>
        <v>2.3604138920192606</v>
      </c>
      <c r="AF525" s="64">
        <f>'Q100a-geral'!AF1555</f>
        <v>1.9664045044172802</v>
      </c>
      <c r="AG525" s="64">
        <f>'Q100a-geral'!AG1555</f>
        <v>1.5176257898472933</v>
      </c>
      <c r="AH525" s="64">
        <f>'Q100a-geral'!AH1555</f>
        <v>1.1875263295816789</v>
      </c>
      <c r="AI525" s="64">
        <f>'Q100a-geral'!AI1555</f>
        <v>1.0755239224990114</v>
      </c>
      <c r="AJ525" s="64">
        <f>'Q100a-geral'!AJ1555</f>
        <v>1.0844159623579002</v>
      </c>
      <c r="AK525" s="137" t="str">
        <f>'Q100a-geral'!AK1555</f>
        <v>x</v>
      </c>
      <c r="AL525" s="212" t="str">
        <f>'Q100a-geral'!AL1555</f>
        <v>x</v>
      </c>
      <c r="AM525" s="137" t="str">
        <f>'Q100a-geral'!AM1555</f>
        <v>x</v>
      </c>
      <c r="AN525" s="137" t="str">
        <f>'Q100a-geral'!AN1555</f>
        <v>x</v>
      </c>
      <c r="AO525" s="137" t="str">
        <f>'Q100a-geral'!AO1555</f>
        <v>x</v>
      </c>
      <c r="AP525" s="137" t="str">
        <f>'Q100a-geral'!AP1555</f>
        <v>x</v>
      </c>
      <c r="AQ525" s="137" t="str">
        <f>'Q100a-geral'!AQ1555</f>
        <v>x</v>
      </c>
      <c r="AR525" s="137"/>
      <c r="AS525" s="137"/>
      <c r="AT525" s="137"/>
      <c r="AU525" s="137"/>
      <c r="AV525" s="137" t="str">
        <f>'Q100a-geral'!AV1555</f>
        <v>x</v>
      </c>
      <c r="AW525" s="137"/>
      <c r="AX525" s="137"/>
      <c r="AY525" s="137"/>
      <c r="AZ525" s="137"/>
      <c r="BA525" s="137" t="str">
        <f>'Q100a-geral'!BA1555</f>
        <v>x</v>
      </c>
      <c r="BB525" s="239" t="str">
        <f>'Q100a-geral'!BB1555</f>
        <v>Acidentes de trânsitox</v>
      </c>
      <c r="BC525" s="239" t="str">
        <f>'Q100a-geral'!BC1555</f>
        <v>Acidentes de trânsitoxx</v>
      </c>
      <c r="BD525" s="239" t="str">
        <f>'Q100a-geral'!BD1555</f>
        <v>Acidentes de trânsitox</v>
      </c>
    </row>
    <row r="526" spans="1:56" s="1" customFormat="1" ht="108" customHeight="1" x14ac:dyDescent="0.25">
      <c r="A526" s="275" t="str">
        <f>'Q100a-geral'!A1556</f>
        <v>9.1</v>
      </c>
      <c r="B526" s="11" t="str">
        <f>'Q100a-geral'!B1556</f>
        <v>Acidentes de trânsito</v>
      </c>
      <c r="C526" s="57" t="str">
        <f>'Q100a-geral'!C1556</f>
        <v>x</v>
      </c>
      <c r="D526" s="326" t="str">
        <f>'Q100a-geral'!D1556</f>
        <v>M por 100 mil habitantes</v>
      </c>
      <c r="E526" s="465" t="str">
        <f>'Q100a-geral'!E1556</f>
        <v>Belo Horizonte</v>
      </c>
      <c r="F526" s="488" t="str">
        <f>'Q100a-geral'!F1556</f>
        <v>n.º de mortos em acidentes de trânsito por 100 mil habitantes de Belo Horizonte vitimados no próprio local
obs.1: nos relatórios anuais de acidentes de trânsito da BHTrans este indicador é denominado "taxa de mortalidade por 100.000 habitantes"
obs.2: na fonte consultada o resultado deste indicador para 2010 está grafado incorretamente como sendo 11,04
obs.3: este indicador é estratégico da BHTrans com o nome de "taxa de mortalidade em acidentes de trânsito por 10 mil veículos" (BHTRANS, 2015d)
obs.4: este é um dos três indicadores sobre "mortos no trânsito" que podem ser relacionados ao "indicador urbano global" do Global City Institute com a denominação genérica de "fatalidades em acidentes nos meios de transporte por 100.000 habitantes" em GCIF(2013) e "Transportation fatalities per 100,000 population" em GCIF(2011)</v>
      </c>
      <c r="G526" s="11" t="str">
        <f>'Q100a-geral'!G1556</f>
        <v>(M/P) x 100.000</v>
      </c>
      <c r="H526" s="173" t="str">
        <f>'Q100a-geral'!H1556</f>
        <v>x</v>
      </c>
      <c r="I526" s="57">
        <f>'Q100a-geral'!I1556</f>
        <v>1</v>
      </c>
      <c r="J526" s="107" t="str">
        <f>'Q100a-geral'!J1556</f>
        <v>x</v>
      </c>
      <c r="K526" s="64">
        <f>'Q100a-geral'!K1556</f>
        <v>18.513375914097935</v>
      </c>
      <c r="L526" s="64">
        <f>'Q100a-geral'!L1556</f>
        <v>23.715118807321808</v>
      </c>
      <c r="M526" s="64">
        <f>'Q100a-geral'!M1556</f>
        <v>27.058150469834583</v>
      </c>
      <c r="N526" s="64">
        <f>'Q100a-geral'!N1556</f>
        <v>21.814624602592321</v>
      </c>
      <c r="O526" s="64">
        <f>'Q100a-geral'!O1556</f>
        <v>24.748158259600384</v>
      </c>
      <c r="P526" s="64">
        <f>'Q100a-geral'!P1556</f>
        <v>19.986153134096568</v>
      </c>
      <c r="Q526" s="64">
        <f>'Q100a-geral'!Q1556</f>
        <v>18.239710755333569</v>
      </c>
      <c r="R526" s="64">
        <f>'Q100a-geral'!R1556</f>
        <v>14.562095955199974</v>
      </c>
      <c r="S526" s="649" t="str">
        <f>'Q100a-geral'!S1556</f>
        <v>só para pesquisa</v>
      </c>
      <c r="T526" s="64">
        <f>'Q100a-geral'!T1556</f>
        <v>18.519865863257248</v>
      </c>
      <c r="U526" s="64">
        <f>'Q100a-geral'!U1556</f>
        <v>13.267659165004114</v>
      </c>
      <c r="V526" s="107" t="str">
        <f>'Q100a-geral'!V1556</f>
        <v>só para pesquisa</v>
      </c>
      <c r="W526" s="64">
        <f>'Q100a-geral'!W1556</f>
        <v>13.946525920393229</v>
      </c>
      <c r="X526" s="64">
        <f>'Q100a-geral'!X1556</f>
        <v>6.784949493711447</v>
      </c>
      <c r="Y526" s="64">
        <f>'Q100a-geral'!Y1556</f>
        <v>10.321743489928927</v>
      </c>
      <c r="Z526" s="64">
        <f>'Q100a-geral'!Z1556</f>
        <v>9.231826914731954</v>
      </c>
      <c r="AA526" s="64">
        <f>'Q100a-geral'!AA1556</f>
        <v>7.4515993363445663</v>
      </c>
      <c r="AB526" s="64">
        <f>'Q100a-geral'!AB1556</f>
        <v>8.750291676389212</v>
      </c>
      <c r="AC526" s="64">
        <f>'Q100a-geral'!AC1556</f>
        <v>9.4076223291366503</v>
      </c>
      <c r="AD526" s="64">
        <f>'Q100a-geral'!AD1556</f>
        <v>11.213147559271547</v>
      </c>
      <c r="AE526" s="64">
        <f>'Q100a-geral'!AE1556</f>
        <v>11.74255907057645</v>
      </c>
      <c r="AF526" s="64">
        <f>'Q100a-geral'!AF1556</f>
        <v>11.03087761578106</v>
      </c>
      <c r="AG526" s="64">
        <f>'Q100a-geral'!AG1556</f>
        <v>9.0960916148287243</v>
      </c>
      <c r="AH526" s="64">
        <f>'Q100a-geral'!AH1556</f>
        <v>7.4714550763111047</v>
      </c>
      <c r="AI526" s="64">
        <f>'Q100a-geral'!AI1556</f>
        <v>6.8571474669898933</v>
      </c>
      <c r="AJ526" s="64">
        <f>'Q100a-geral'!AJ1556</f>
        <v>7.1052691793092952</v>
      </c>
      <c r="AK526" s="137" t="str">
        <f>'Q100a-geral'!AK1556</f>
        <v>x</v>
      </c>
      <c r="AL526" s="212" t="str">
        <f>'Q100a-geral'!AL1556</f>
        <v>x</v>
      </c>
      <c r="AM526" s="137" t="str">
        <f>'Q100a-geral'!AM1556</f>
        <v>x</v>
      </c>
      <c r="AN526" s="137" t="str">
        <f>'Q100a-geral'!AN1556</f>
        <v>x</v>
      </c>
      <c r="AO526" s="137" t="str">
        <f>'Q100a-geral'!AO1556</f>
        <v>x</v>
      </c>
      <c r="AP526" s="137" t="str">
        <f>'Q100a-geral'!AP1556</f>
        <v>x</v>
      </c>
      <c r="AQ526" s="137" t="str">
        <f>'Q100a-geral'!AQ1556</f>
        <v>x</v>
      </c>
      <c r="AR526" s="137"/>
      <c r="AS526" s="137"/>
      <c r="AT526" s="137"/>
      <c r="AU526" s="137"/>
      <c r="AV526" s="137" t="str">
        <f>'Q100a-geral'!AV1556</f>
        <v>x</v>
      </c>
      <c r="AW526" s="137"/>
      <c r="AX526" s="137"/>
      <c r="AY526" s="137"/>
      <c r="AZ526" s="137"/>
      <c r="BA526" s="137" t="str">
        <f>'Q100a-geral'!BA1556</f>
        <v>x</v>
      </c>
      <c r="BB526" s="239" t="str">
        <f>'Q100a-geral'!BB1556</f>
        <v>Acidentes de trânsitox</v>
      </c>
      <c r="BC526" s="239" t="str">
        <f>'Q100a-geral'!BC1556</f>
        <v>Acidentes de trânsitoxx</v>
      </c>
      <c r="BD526" s="239" t="str">
        <f>'Q100a-geral'!BD1556</f>
        <v>Acidentes de trânsitox</v>
      </c>
    </row>
    <row r="527" spans="1:56" s="1" customFormat="1" ht="102" customHeight="1" x14ac:dyDescent="0.25">
      <c r="A527" s="275" t="str">
        <f>'Q100a-geral'!A1557</f>
        <v>9.1</v>
      </c>
      <c r="B527" s="11" t="str">
        <f>'Q100a-geral'!B1557</f>
        <v>Acidentes de trânsito</v>
      </c>
      <c r="C527" s="57" t="str">
        <f>'Q100a-geral'!C1557</f>
        <v>x</v>
      </c>
      <c r="D527" s="326" t="str">
        <f>'Q100a-geral'!$D$1557</f>
        <v>M por 100 mil habitantes
(meta)</v>
      </c>
      <c r="E527" s="465" t="str">
        <f>'Q100a-geral'!$D$1557</f>
        <v>M por 100 mil habitantes
(meta)</v>
      </c>
      <c r="F527" s="488" t="str">
        <f>'Q100a-geral'!F1557</f>
        <v>em 2016 (BH 2030): "Reduzir a taxa de mortalidade por acidentes de trânsito por 100 mil habitantes para 5 até 2030" conforme BH(2016e2, p.20): acesse o registro "metas globais 2030"
em 2013: "Reduzir a quantidade de vítimas fatais, ponderada por 100.000 habitantes, de 11,21 em 2008, para 7,61 em 2016 e 6,31 em 2020" (BHTRANS, 2013a, p.21)
em 2012 (BH 2030): "Reduzir a taxa de mortalidade por acidentes de trânsito por 100 mil habitantes para 5" (BH, 2012b/indicador n.º 12)
em 2010: "Reduzir a quantidade de vítimas fatais, por 100.000 habitantes, de 11,21 em 2008, para 8,41 em 2014 e 6,31 em 2020" (BHTRANS, 2010a, p.23)</v>
      </c>
      <c r="G527" s="252" t="str">
        <f>'Q100a-geral'!G1557</f>
        <v>meta BHTrans</v>
      </c>
      <c r="H527" s="167" t="str">
        <f>'Q100a-geral'!H1557</f>
        <v>meta/RPI</v>
      </c>
      <c r="I527" s="167" t="str">
        <f>'Q100a-geral'!I1557</f>
        <v>x</v>
      </c>
      <c r="J527" s="107" t="str">
        <f>'Q100a-geral'!J1557</f>
        <v>x</v>
      </c>
      <c r="K527" s="132"/>
      <c r="L527" s="132"/>
      <c r="M527" s="132"/>
      <c r="N527" s="132"/>
      <c r="O527" s="132"/>
      <c r="P527" s="132"/>
      <c r="Q527" s="132"/>
      <c r="R527" s="132"/>
      <c r="S527" s="107" t="str">
        <f>'Q100a-geral'!S1557</f>
        <v>só para pesquisa</v>
      </c>
      <c r="T527" s="132"/>
      <c r="U527" s="132"/>
      <c r="V527" s="107" t="str">
        <f>'Q100a-geral'!V1557</f>
        <v>só para pesquisa</v>
      </c>
      <c r="W527" s="132"/>
      <c r="X527" s="132"/>
      <c r="Y527" s="132"/>
      <c r="Z527" s="132"/>
      <c r="AA527" s="132"/>
      <c r="AB527" s="132"/>
      <c r="AC527" s="132"/>
      <c r="AD527" s="132"/>
      <c r="AE527" s="132"/>
      <c r="AF527" s="132"/>
      <c r="AG527" s="132"/>
      <c r="AH527" s="132"/>
      <c r="AI527" s="132"/>
      <c r="AJ527" s="132">
        <v>8.41</v>
      </c>
      <c r="AK527" s="133"/>
      <c r="AL527" s="214" t="str">
        <f>'Q100a-geral'!AL1557</f>
        <v>x</v>
      </c>
      <c r="AM527" s="133">
        <v>7.61</v>
      </c>
      <c r="AN527" s="133"/>
      <c r="AO527" s="133"/>
      <c r="AP527" s="133"/>
      <c r="AQ527" s="133">
        <v>6.31</v>
      </c>
      <c r="AR527" s="133"/>
      <c r="AS527" s="133"/>
      <c r="AT527" s="133"/>
      <c r="AU527" s="133"/>
      <c r="AV527" s="133"/>
      <c r="AW527" s="133"/>
      <c r="AX527" s="133"/>
      <c r="AY527" s="133"/>
      <c r="AZ527" s="133"/>
      <c r="BA527" s="134">
        <v>5</v>
      </c>
      <c r="BB527" s="239" t="str">
        <f>'Q100a-geral'!BB1557</f>
        <v>Acidentes de trânsitox</v>
      </c>
      <c r="BC527" s="239" t="str">
        <f>'Q100a-geral'!BC1557</f>
        <v>Acidentes de trânsitoxmeta/RPI</v>
      </c>
      <c r="BD527" s="239" t="str">
        <f>'Q100a-geral'!BD1557</f>
        <v>Acidentes de trânsitometa/RPI</v>
      </c>
    </row>
    <row r="528" spans="1:56" s="1" customFormat="1" ht="63.75" customHeight="1" x14ac:dyDescent="0.25">
      <c r="A528" s="275" t="str">
        <f>'Q100a-geral'!A1558</f>
        <v>9.1</v>
      </c>
      <c r="B528" s="11" t="str">
        <f>'Q100a-geral'!B1558</f>
        <v>Acidentes de trânsito</v>
      </c>
      <c r="C528" s="57" t="str">
        <f>'Q100a-geral'!C1558</f>
        <v>x</v>
      </c>
      <c r="D528" s="326" t="str">
        <f>'Q100a-geral'!D1558</f>
        <v>M por mil AV</v>
      </c>
      <c r="E528" s="465" t="str">
        <f>'Q100a-geral'!E1558</f>
        <v>Belo Horizonte</v>
      </c>
      <c r="F528" s="488" t="str">
        <f>'Q100a-geral'!F1558</f>
        <v>n.º de mortos em acidentes de trânsito por mil acidentes com vítima de Belo Horizonte vitimados no próprio local
obs.: nos relatórios anuais de acidentes de trânsito da BHTrans este indicador é denominado "taxa de mortalidade por 1.000 acidentes"</v>
      </c>
      <c r="G528" s="11" t="str">
        <f>'Q100a-geral'!G1558</f>
        <v>(M/AV) x 1.000</v>
      </c>
      <c r="H528" s="173" t="str">
        <f>'Q100a-geral'!H1558</f>
        <v>x</v>
      </c>
      <c r="I528" s="57">
        <f>'Q100a-geral'!I1558</f>
        <v>1</v>
      </c>
      <c r="J528" s="107" t="str">
        <f>'Q100a-geral'!J1558</f>
        <v>x</v>
      </c>
      <c r="K528" s="64">
        <f>'Q100a-geral'!K1558</f>
        <v>10.985460420032309</v>
      </c>
      <c r="L528" s="64">
        <f>'Q100a-geral'!L1558</f>
        <v>12.209981215413515</v>
      </c>
      <c r="M528" s="64">
        <f>'Q100a-geral'!M1558</f>
        <v>12.815443656239097</v>
      </c>
      <c r="N528" s="64">
        <f>'Q100a-geral'!N1558</f>
        <v>11.680590838854988</v>
      </c>
      <c r="O528" s="64">
        <f>'Q100a-geral'!O1558</f>
        <v>13.178716891068047</v>
      </c>
      <c r="P528" s="64">
        <f>'Q100a-geral'!P1558</f>
        <v>16.73271686481726</v>
      </c>
      <c r="Q528" s="64">
        <f>'Q100a-geral'!Q1558</f>
        <v>34.337457414380488</v>
      </c>
      <c r="R528" s="64">
        <f>'Q100a-geral'!R1558</f>
        <v>27.543513368024406</v>
      </c>
      <c r="S528" s="649" t="str">
        <f>'Q100a-geral'!S1558</f>
        <v>só para pesquisa</v>
      </c>
      <c r="T528" s="64">
        <f>'Q100a-geral'!T1558</f>
        <v>34.131475838049631</v>
      </c>
      <c r="U528" s="64">
        <f>'Q100a-geral'!U1558</f>
        <v>25.884608680495031</v>
      </c>
      <c r="V528" s="107" t="str">
        <f>'Q100a-geral'!V1558</f>
        <v>só para pesquisa</v>
      </c>
      <c r="W528" s="64">
        <f>'Q100a-geral'!W1558</f>
        <v>28.86994775914215</v>
      </c>
      <c r="X528" s="64">
        <f>'Q100a-geral'!X1558</f>
        <v>15.923566878980891</v>
      </c>
      <c r="Y528" s="64">
        <f>'Q100a-geral'!Y1558</f>
        <v>20.018504499957945</v>
      </c>
      <c r="Z528" s="64">
        <f>'Q100a-geral'!Z1558</f>
        <v>16.599097376271704</v>
      </c>
      <c r="AA528" s="64">
        <f>'Q100a-geral'!AA1558</f>
        <v>13.020450198617038</v>
      </c>
      <c r="AB528" s="64">
        <f>'Q100a-geral'!AB1558</f>
        <v>15.219597043049719</v>
      </c>
      <c r="AC528" s="64">
        <f>'Q100a-geral'!AC1558</f>
        <v>15.142418784604097</v>
      </c>
      <c r="AD528" s="64">
        <f>'Q100a-geral'!AD1558</f>
        <v>17.367517017621985</v>
      </c>
      <c r="AE528" s="64">
        <f>'Q100a-geral'!AE1558</f>
        <v>17.585638395310497</v>
      </c>
      <c r="AF528" s="64">
        <f>'Q100a-geral'!AF1558</f>
        <v>15.574842468196408</v>
      </c>
      <c r="AG528" s="64">
        <f>'Q100a-geral'!AG1558</f>
        <v>13.317785687983307</v>
      </c>
      <c r="AH528" s="64">
        <f>'Q100a-geral'!AH1558</f>
        <v>11.730013106159895</v>
      </c>
      <c r="AI528" s="64">
        <f>'Q100a-geral'!AI1558</f>
        <v>12.018381053375752</v>
      </c>
      <c r="AJ528" s="64">
        <f>'Q100a-geral'!AJ1558</f>
        <v>11.827597728032075</v>
      </c>
      <c r="AK528" s="137" t="str">
        <f>'Q100a-geral'!AK1558</f>
        <v>x</v>
      </c>
      <c r="AL528" s="212" t="str">
        <f>'Q100a-geral'!AL1558</f>
        <v>x</v>
      </c>
      <c r="AM528" s="137" t="str">
        <f>'Q100a-geral'!AM1558</f>
        <v>x</v>
      </c>
      <c r="AN528" s="137" t="str">
        <f>'Q100a-geral'!AN1558</f>
        <v>x</v>
      </c>
      <c r="AO528" s="137" t="str">
        <f>'Q100a-geral'!AO1558</f>
        <v>x</v>
      </c>
      <c r="AP528" s="137" t="str">
        <f>'Q100a-geral'!AP1558</f>
        <v>x</v>
      </c>
      <c r="AQ528" s="137" t="str">
        <f>'Q100a-geral'!AQ1558</f>
        <v>x</v>
      </c>
      <c r="AR528" s="137"/>
      <c r="AS528" s="137"/>
      <c r="AT528" s="137"/>
      <c r="AU528" s="137"/>
      <c r="AV528" s="137" t="str">
        <f>'Q100a-geral'!AV1558</f>
        <v>x</v>
      </c>
      <c r="AW528" s="137"/>
      <c r="AX528" s="137"/>
      <c r="AY528" s="137"/>
      <c r="AZ528" s="137"/>
      <c r="BA528" s="137" t="str">
        <f>'Q100a-geral'!BA1558</f>
        <v>x</v>
      </c>
      <c r="BB528" s="239" t="str">
        <f>'Q100a-geral'!BB1558</f>
        <v>Acidentes de trânsitox</v>
      </c>
      <c r="BC528" s="239" t="str">
        <f>'Q100a-geral'!BC1558</f>
        <v>Acidentes de trânsitoxx</v>
      </c>
      <c r="BD528" s="239" t="str">
        <f>'Q100a-geral'!BD1558</f>
        <v>Acidentes de trânsitox</v>
      </c>
    </row>
    <row r="529" spans="1:56" s="373" customFormat="1" ht="129.75" customHeight="1" x14ac:dyDescent="0.25">
      <c r="A529" s="275" t="str">
        <f>'Q100a-geral'!A1560</f>
        <v>9.1</v>
      </c>
      <c r="B529" s="11" t="str">
        <f>'Q100a-geral'!B1560</f>
        <v>Acidentes de trânsito</v>
      </c>
      <c r="C529" s="57" t="str">
        <f>'Q100a-geral'!C1560</f>
        <v>x</v>
      </c>
      <c r="D529" s="463" t="str">
        <f>'Q100a-geral'!D1560</f>
        <v>M-DataSus
(BH)</v>
      </c>
      <c r="E529" s="469" t="str">
        <f>'Q100a-geral'!E1560</f>
        <v>Belo Horizonte</v>
      </c>
      <c r="F529" s="488" t="str">
        <f>'Q100a-geral'!F1560</f>
        <v>n.º de mortos em Belo Horizonte em acidentes de trânsito segundo o DataSus
obs.1: "O DATASUS é um departamento do Ministério da Saúde que fornece informações para subsidiar análises objetivas do cenário sanitário. O registro sistemático de dados de mortalidade e sobrevivência através de estatísticas vitais de mortalidade e nascidos vivos é responsável pelo início do sistema. A fonte de dados do DATASUS para informações sobre mortalidade é a declaração de óbito, um documento obrigatório que consta a causa mortis preenchida pelo profissional médico (salvo em alguns casos), informada ao sistema através do Código Internacional de Doenças – CID 10. As informações são digitadas no Sistema de Informação de Mortalidade – SIM, processadas e repassadas via web à unidade estadual e federal, que liberam para consulta através do portal eletrônico de tabulação, o TabNet (DATASUS, 2010; Ministério da Saúde, 2010)" (ROMÃO, 2011, p. 886)
obs.2: este indicador quantifica o n.º de pessoas que morrem no município pesquisado, vítima de um acidente de trânsito, mesmo que esse acidente ocorra fora dos limites do muncípio (são diferentes, portanto, as metodolodias de apuração e os resultados dos indicadores "M", "M30" e "M-DataSus")
obs.3: este indicador é denominado n.º de "óbitos por acidentes de trânsito" com resultados de 2000 a 2007 das capitais brasileiras em MS/SVS/DASIS - Sistema de Informações sobre Mortalidade – SIM citado em CNM (2009, p.10)
obs.4: este indicador é denominado "óbitos" com resultados para 2012 das dez cidades brasileiras mais populosas em AMBEV (2015, p.44)</v>
      </c>
      <c r="G529" s="110" t="str">
        <f>'Q100a-geral'!G1560</f>
        <v>registro na fonte</v>
      </c>
      <c r="H529" s="455" t="str">
        <f>'Q100a-geral'!H1560</f>
        <v>x</v>
      </c>
      <c r="I529" s="455">
        <f>'Q100a-geral'!I1560</f>
        <v>1</v>
      </c>
      <c r="J529" s="107" t="str">
        <f>'Q100a-geral'!J1560</f>
        <v>x</v>
      </c>
      <c r="K529" s="132"/>
      <c r="L529" s="132"/>
      <c r="M529" s="132"/>
      <c r="N529" s="132"/>
      <c r="O529" s="132"/>
      <c r="P529" s="132"/>
      <c r="Q529" s="132"/>
      <c r="R529" s="132"/>
      <c r="S529" s="107" t="str">
        <f>'Q100a-geral'!S1560</f>
        <v>só para pesquisa</v>
      </c>
      <c r="T529" s="132"/>
      <c r="U529" s="94">
        <f>'Q100a-geral'!U1560</f>
        <v>381</v>
      </c>
      <c r="V529" s="107" t="str">
        <f>'Q100a-geral'!V1560</f>
        <v>só para pesquisa</v>
      </c>
      <c r="W529" s="94">
        <f>'Q100a-geral'!W1560</f>
        <v>417</v>
      </c>
      <c r="X529" s="94">
        <f>'Q100a-geral'!X1560</f>
        <v>382</v>
      </c>
      <c r="Y529" s="94">
        <f>'Q100a-geral'!Y1560</f>
        <v>393</v>
      </c>
      <c r="Z529" s="94">
        <f>'Q100a-geral'!Z1560</f>
        <v>410</v>
      </c>
      <c r="AA529" s="94">
        <f>'Q100a-geral'!AA1560</f>
        <v>400</v>
      </c>
      <c r="AB529" s="94">
        <f>'Q100a-geral'!AB1560</f>
        <v>491</v>
      </c>
      <c r="AC529" s="94">
        <f>'Q100a-geral'!AC1560</f>
        <v>451</v>
      </c>
      <c r="AD529" s="132"/>
      <c r="AE529" s="132"/>
      <c r="AF529" s="132"/>
      <c r="AG529" s="132"/>
      <c r="AH529" s="94">
        <f>'Q100a-geral'!AH1560</f>
        <v>539</v>
      </c>
      <c r="AI529" s="132"/>
      <c r="AJ529" s="132"/>
      <c r="AK529" s="107" t="str">
        <f>'Q100a-geral'!AK1560</f>
        <v>x</v>
      </c>
      <c r="AL529" s="157" t="str">
        <f>'Q100a-geral'!AL1560</f>
        <v>x</v>
      </c>
      <c r="AM529" s="107" t="str">
        <f>'Q100a-geral'!AM1560</f>
        <v>x</v>
      </c>
      <c r="AN529" s="107" t="str">
        <f>'Q100a-geral'!AN1560</f>
        <v>x</v>
      </c>
      <c r="AO529" s="107" t="str">
        <f>'Q100a-geral'!AO1560</f>
        <v>x</v>
      </c>
      <c r="AP529" s="107" t="str">
        <f>'Q100a-geral'!AP1560</f>
        <v>x</v>
      </c>
      <c r="AQ529" s="107" t="str">
        <f>'Q100a-geral'!AQ1560</f>
        <v>x</v>
      </c>
      <c r="AR529" s="107"/>
      <c r="AS529" s="107"/>
      <c r="AT529" s="107"/>
      <c r="AU529" s="107"/>
      <c r="AV529" s="107" t="str">
        <f>'Q100a-geral'!AV1560</f>
        <v>x</v>
      </c>
      <c r="AW529" s="107"/>
      <c r="AX529" s="107"/>
      <c r="AY529" s="107"/>
      <c r="AZ529" s="107"/>
      <c r="BA529" s="107" t="str">
        <f>'Q100a-geral'!BA1560</f>
        <v>x</v>
      </c>
      <c r="BB529" s="239" t="str">
        <f>'Q100a-geral'!BB1560</f>
        <v>Acidentes de trânsitox</v>
      </c>
      <c r="BC529" s="239" t="str">
        <f>'Q100a-geral'!BC1560</f>
        <v>Acidentes de trânsitoxx</v>
      </c>
      <c r="BD529" s="239" t="str">
        <f>'Q100a-geral'!BD1560</f>
        <v>Acidentes de trânsitox</v>
      </c>
    </row>
    <row r="530" spans="1:56" s="1" customFormat="1" ht="63.75" customHeight="1" x14ac:dyDescent="0.25">
      <c r="A530" s="275" t="str">
        <f>'Q100a-geral'!A1561</f>
        <v>9.1</v>
      </c>
      <c r="B530" s="11" t="str">
        <f>'Q100a-geral'!B1561</f>
        <v>Acidentes de trânsito</v>
      </c>
      <c r="C530" s="57" t="str">
        <f>'Q100a-geral'!C1561</f>
        <v>x</v>
      </c>
      <c r="D530" s="456" t="s">
        <v>1703</v>
      </c>
      <c r="E530" s="476" t="s">
        <v>1703</v>
      </c>
      <c r="F530" s="488" t="str">
        <f>'Q100a-geral'!F1566</f>
        <v>n.º de mortos  por 100 mil habitantes em acidentes de trânsito em Porto Alegre segundo o DataSus
obs.1: são diferentes as metodologias de apuração e os resultados dos indicadores "M", "M30" e "MDataSus"
obs.2: a fonte consultada apresenta os resultados das dez cidades brasileiras mais populosas (AMBEV, 2015, p.44)</v>
      </c>
      <c r="G530" s="11" t="str">
        <f>'Q100a-geral'!G1566</f>
        <v>registro na fonte</v>
      </c>
      <c r="H530" s="173" t="str">
        <f>'Q100a-geral'!H1566</f>
        <v>benchmarking</v>
      </c>
      <c r="I530" s="57" t="str">
        <f>'Q100a-geral'!I1566</f>
        <v>x</v>
      </c>
      <c r="J530" s="107" t="str">
        <f>'Q100a-geral'!J1566</f>
        <v>x</v>
      </c>
      <c r="K530" s="268" t="str">
        <f>'Q100a-geral'!K1566</f>
        <v>x</v>
      </c>
      <c r="L530" s="268" t="str">
        <f>'Q100a-geral'!L1566</f>
        <v>x</v>
      </c>
      <c r="M530" s="268" t="str">
        <f>'Q100a-geral'!M1566</f>
        <v>x</v>
      </c>
      <c r="N530" s="268" t="str">
        <f>'Q100a-geral'!N1566</f>
        <v>x</v>
      </c>
      <c r="O530" s="268" t="str">
        <f>'Q100a-geral'!O1566</f>
        <v>x</v>
      </c>
      <c r="P530" s="268" t="str">
        <f>'Q100a-geral'!P1566</f>
        <v>x</v>
      </c>
      <c r="Q530" s="268" t="str">
        <f>'Q100a-geral'!Q1566</f>
        <v>x</v>
      </c>
      <c r="R530" s="268" t="str">
        <f>'Q100a-geral'!R1566</f>
        <v>x</v>
      </c>
      <c r="S530" s="649" t="str">
        <f>'Q100a-geral'!S1566</f>
        <v>só para pesquisa</v>
      </c>
      <c r="T530" s="268" t="str">
        <f>'Q100a-geral'!T1566</f>
        <v>x</v>
      </c>
      <c r="U530" s="268" t="str">
        <f>'Q100a-geral'!U1566</f>
        <v>x</v>
      </c>
      <c r="V530" s="107" t="str">
        <f>'Q100a-geral'!V1566</f>
        <v>só para pesquisa</v>
      </c>
      <c r="W530" s="268" t="str">
        <f>'Q100a-geral'!W1566</f>
        <v>x</v>
      </c>
      <c r="X530" s="268" t="str">
        <f>'Q100a-geral'!X1566</f>
        <v>x</v>
      </c>
      <c r="Y530" s="268" t="str">
        <f>'Q100a-geral'!Y1566</f>
        <v>x</v>
      </c>
      <c r="Z530" s="268" t="str">
        <f>'Q100a-geral'!Z1566</f>
        <v>x</v>
      </c>
      <c r="AA530" s="268" t="str">
        <f>'Q100a-geral'!AA1566</f>
        <v>x</v>
      </c>
      <c r="AB530" s="268" t="str">
        <f>'Q100a-geral'!AB1566</f>
        <v>x</v>
      </c>
      <c r="AC530" s="268" t="str">
        <f>'Q100a-geral'!AC1566</f>
        <v>x</v>
      </c>
      <c r="AD530" s="268" t="str">
        <f>'Q100a-geral'!AD1566</f>
        <v>x</v>
      </c>
      <c r="AE530" s="268" t="str">
        <f>'Q100a-geral'!AE1566</f>
        <v>x</v>
      </c>
      <c r="AF530" s="268" t="str">
        <f>'Q100a-geral'!AF1566</f>
        <v>x</v>
      </c>
      <c r="AG530" s="268" t="str">
        <f>'Q100a-geral'!AG1566</f>
        <v>x</v>
      </c>
      <c r="AH530" s="83">
        <f>'Q100a-geral'!AH1566</f>
        <v>11.7</v>
      </c>
      <c r="AI530" s="268" t="str">
        <f>'Q100a-geral'!AI1561</f>
        <v>x</v>
      </c>
      <c r="AJ530" s="268" t="str">
        <f>'Q100a-geral'!AJ1561</f>
        <v>x</v>
      </c>
      <c r="AK530" s="137" t="str">
        <f>'Q100a-geral'!AK1561</f>
        <v>x</v>
      </c>
      <c r="AL530" s="212" t="str">
        <f>'Q100a-geral'!AL1561</f>
        <v>x</v>
      </c>
      <c r="AM530" s="137" t="str">
        <f>'Q100a-geral'!AM1561</f>
        <v>x</v>
      </c>
      <c r="AN530" s="137" t="str">
        <f>'Q100a-geral'!AN1561</f>
        <v>x</v>
      </c>
      <c r="AO530" s="137" t="str">
        <f>'Q100a-geral'!AO1561</f>
        <v>x</v>
      </c>
      <c r="AP530" s="137" t="str">
        <f>'Q100a-geral'!AP1561</f>
        <v>x</v>
      </c>
      <c r="AQ530" s="137" t="str">
        <f>'Q100a-geral'!AQ1561</f>
        <v>x</v>
      </c>
      <c r="AR530" s="137"/>
      <c r="AS530" s="137"/>
      <c r="AT530" s="137"/>
      <c r="AU530" s="137"/>
      <c r="AV530" s="137" t="str">
        <f>'Q100a-geral'!AV1561</f>
        <v>x</v>
      </c>
      <c r="AW530" s="137"/>
      <c r="AX530" s="137"/>
      <c r="AY530" s="137"/>
      <c r="AZ530" s="137"/>
      <c r="BA530" s="137" t="str">
        <f>'Q100a-geral'!BA1561</f>
        <v>x</v>
      </c>
      <c r="BB530" s="239" t="str">
        <f>'Q100a-geral'!BB1561</f>
        <v>Acidentes de trânsitox</v>
      </c>
      <c r="BC530" s="239" t="str">
        <f>'Q100a-geral'!BC1561</f>
        <v>Acidentes de trânsitoxx</v>
      </c>
      <c r="BD530" s="239" t="str">
        <f>'Q100a-geral'!BD1561</f>
        <v>Acidentes de trânsitox</v>
      </c>
    </row>
    <row r="531" spans="1:56" s="1" customFormat="1" ht="63.75" customHeight="1" x14ac:dyDescent="0.25">
      <c r="A531" s="275" t="str">
        <f>'Q100a-geral'!A1562</f>
        <v>9.1</v>
      </c>
      <c r="B531" s="11" t="str">
        <f>'Q100a-geral'!B1562</f>
        <v>Acidentes de trânsito</v>
      </c>
      <c r="C531" s="57" t="str">
        <f>'Q100a-geral'!C1562</f>
        <v>x</v>
      </c>
      <c r="D531" s="456" t="s">
        <v>1705</v>
      </c>
      <c r="E531" s="476" t="s">
        <v>1705</v>
      </c>
      <c r="F531" s="488" t="str">
        <f>'Q100a-geral'!F1570</f>
        <v>n.º de mortos  por 100 mil habitantes em acidentes de trânsito em São Paulo segundo o DataSus
obs.1: são diferentes as metodologias de apuração e os resultados dos indicadores "M", "M30" e "MDataSus"
obs.2: a fonte consultada apresenta os resultados das dez cidades brasileiras mais populosas (AMBEV, 2015, p.44)</v>
      </c>
      <c r="G531" s="11" t="str">
        <f>'Q100a-geral'!G1570</f>
        <v>registro na fonte</v>
      </c>
      <c r="H531" s="173" t="str">
        <f>'Q100a-geral'!H1570</f>
        <v>benchmarking</v>
      </c>
      <c r="I531" s="57" t="str">
        <f>'Q100a-geral'!I1570</f>
        <v>x</v>
      </c>
      <c r="J531" s="107" t="str">
        <f>'Q100a-geral'!J1570</f>
        <v>x</v>
      </c>
      <c r="K531" s="268" t="str">
        <f>'Q100a-geral'!K1570</f>
        <v>x</v>
      </c>
      <c r="L531" s="268" t="str">
        <f>'Q100a-geral'!L1570</f>
        <v>x</v>
      </c>
      <c r="M531" s="268" t="str">
        <f>'Q100a-geral'!M1570</f>
        <v>x</v>
      </c>
      <c r="N531" s="268" t="str">
        <f>'Q100a-geral'!N1570</f>
        <v>x</v>
      </c>
      <c r="O531" s="268" t="str">
        <f>'Q100a-geral'!O1570</f>
        <v>x</v>
      </c>
      <c r="P531" s="268" t="str">
        <f>'Q100a-geral'!P1570</f>
        <v>x</v>
      </c>
      <c r="Q531" s="268" t="str">
        <f>'Q100a-geral'!Q1570</f>
        <v>x</v>
      </c>
      <c r="R531" s="268" t="str">
        <f>'Q100a-geral'!R1570</f>
        <v>x</v>
      </c>
      <c r="S531" s="649" t="str">
        <f>'Q100a-geral'!S1570</f>
        <v>só para pesquisa</v>
      </c>
      <c r="T531" s="268" t="str">
        <f>'Q100a-geral'!T1570</f>
        <v>x</v>
      </c>
      <c r="U531" s="268" t="str">
        <f>'Q100a-geral'!U1570</f>
        <v>x</v>
      </c>
      <c r="V531" s="107" t="str">
        <f>'Q100a-geral'!V1570</f>
        <v>só para pesquisa</v>
      </c>
      <c r="W531" s="268" t="str">
        <f>'Q100a-geral'!W1570</f>
        <v>x</v>
      </c>
      <c r="X531" s="268" t="str">
        <f>'Q100a-geral'!X1570</f>
        <v>x</v>
      </c>
      <c r="Y531" s="268" t="str">
        <f>'Q100a-geral'!Y1570</f>
        <v>x</v>
      </c>
      <c r="Z531" s="268" t="str">
        <f>'Q100a-geral'!Z1570</f>
        <v>x</v>
      </c>
      <c r="AA531" s="268" t="str">
        <f>'Q100a-geral'!AA1570</f>
        <v>x</v>
      </c>
      <c r="AB531" s="268" t="str">
        <f>'Q100a-geral'!AB1570</f>
        <v>x</v>
      </c>
      <c r="AC531" s="268" t="str">
        <f>'Q100a-geral'!AC1570</f>
        <v>x</v>
      </c>
      <c r="AD531" s="268" t="str">
        <f>'Q100a-geral'!AD1570</f>
        <v>x</v>
      </c>
      <c r="AE531" s="268" t="str">
        <f>'Q100a-geral'!AE1570</f>
        <v>x</v>
      </c>
      <c r="AF531" s="268" t="str">
        <f>'Q100a-geral'!AF1570</f>
        <v>x</v>
      </c>
      <c r="AG531" s="268" t="str">
        <f>'Q100a-geral'!AG1570</f>
        <v>x</v>
      </c>
      <c r="AH531" s="83">
        <f>'Q100a-geral'!AH1570</f>
        <v>11.8</v>
      </c>
      <c r="AI531" s="268" t="str">
        <f>'Q100a-geral'!AI1562</f>
        <v>x</v>
      </c>
      <c r="AJ531" s="268" t="str">
        <f>'Q100a-geral'!AJ1562</f>
        <v>x</v>
      </c>
      <c r="AK531" s="137" t="str">
        <f>'Q100a-geral'!AK1562</f>
        <v>x</v>
      </c>
      <c r="AL531" s="212" t="str">
        <f>'Q100a-geral'!AL1562</f>
        <v>x</v>
      </c>
      <c r="AM531" s="137" t="str">
        <f>'Q100a-geral'!AM1562</f>
        <v>x</v>
      </c>
      <c r="AN531" s="137" t="str">
        <f>'Q100a-geral'!AN1562</f>
        <v>x</v>
      </c>
      <c r="AO531" s="137" t="str">
        <f>'Q100a-geral'!AO1562</f>
        <v>x</v>
      </c>
      <c r="AP531" s="137" t="str">
        <f>'Q100a-geral'!AP1562</f>
        <v>x</v>
      </c>
      <c r="AQ531" s="137" t="str">
        <f>'Q100a-geral'!AQ1562</f>
        <v>x</v>
      </c>
      <c r="AR531" s="137"/>
      <c r="AS531" s="137"/>
      <c r="AT531" s="137"/>
      <c r="AU531" s="137"/>
      <c r="AV531" s="137" t="str">
        <f>'Q100a-geral'!AV1562</f>
        <v>x</v>
      </c>
      <c r="AW531" s="137"/>
      <c r="AX531" s="137"/>
      <c r="AY531" s="137"/>
      <c r="AZ531" s="137"/>
      <c r="BA531" s="137" t="str">
        <f>'Q100a-geral'!BA1562</f>
        <v>x</v>
      </c>
      <c r="BB531" s="239" t="str">
        <f>'Q100a-geral'!BB1562</f>
        <v>Acidentes de trânsitox</v>
      </c>
      <c r="BC531" s="239" t="str">
        <f>'Q100a-geral'!BC1562</f>
        <v>Acidentes de trânsitoxbenchmarking</v>
      </c>
      <c r="BD531" s="239" t="str">
        <f>'Q100a-geral'!BD1562</f>
        <v>Acidentes de trânsitobenchmarking</v>
      </c>
    </row>
    <row r="532" spans="1:56" s="1" customFormat="1" ht="63.75" customHeight="1" x14ac:dyDescent="0.25">
      <c r="A532" s="275" t="str">
        <f>'Q100a-geral'!A1563</f>
        <v>9.1</v>
      </c>
      <c r="B532" s="11" t="str">
        <f>'Q100a-geral'!B1563</f>
        <v>Acidentes de trânsito</v>
      </c>
      <c r="C532" s="57" t="str">
        <f>'Q100a-geral'!C1563</f>
        <v>x</v>
      </c>
      <c r="D532" s="456" t="s">
        <v>1284</v>
      </c>
      <c r="E532" s="476" t="s">
        <v>1284</v>
      </c>
      <c r="F532" s="488" t="str">
        <f>'Q100a-geral'!F1569</f>
        <v>n.º de mortos  por 100 mil habitantes em acidentes de trânsito em Salvador segundo o DataSus
obs.1: são diferentes as metodologias de apuração e os resultados dos indicadores "M", "M30" e "MDataSus"
obs.2: a fonte consultada apresenta os resultados das dez cidades brasileiras mais populosas (AMBEV, 2015, p.44)</v>
      </c>
      <c r="G532" s="11" t="str">
        <f>'Q100a-geral'!G1569</f>
        <v>registro na fonte</v>
      </c>
      <c r="H532" s="173" t="str">
        <f>'Q100a-geral'!H1569</f>
        <v>benchmarking</v>
      </c>
      <c r="I532" s="57" t="str">
        <f>'Q100a-geral'!I1569</f>
        <v>x</v>
      </c>
      <c r="J532" s="107" t="str">
        <f>'Q100a-geral'!J1569</f>
        <v>x</v>
      </c>
      <c r="K532" s="268" t="str">
        <f>'Q100a-geral'!K1569</f>
        <v>x</v>
      </c>
      <c r="L532" s="268" t="str">
        <f>'Q100a-geral'!L1569</f>
        <v>x</v>
      </c>
      <c r="M532" s="268" t="str">
        <f>'Q100a-geral'!M1569</f>
        <v>x</v>
      </c>
      <c r="N532" s="268" t="str">
        <f>'Q100a-geral'!N1569</f>
        <v>x</v>
      </c>
      <c r="O532" s="268" t="str">
        <f>'Q100a-geral'!O1569</f>
        <v>x</v>
      </c>
      <c r="P532" s="268" t="str">
        <f>'Q100a-geral'!P1569</f>
        <v>x</v>
      </c>
      <c r="Q532" s="268" t="str">
        <f>'Q100a-geral'!Q1569</f>
        <v>x</v>
      </c>
      <c r="R532" s="268" t="str">
        <f>'Q100a-geral'!R1569</f>
        <v>x</v>
      </c>
      <c r="S532" s="649" t="str">
        <f>'Q100a-geral'!S1569</f>
        <v>só para pesquisa</v>
      </c>
      <c r="T532" s="268" t="str">
        <f>'Q100a-geral'!T1569</f>
        <v>x</v>
      </c>
      <c r="U532" s="268" t="str">
        <f>'Q100a-geral'!U1569</f>
        <v>x</v>
      </c>
      <c r="V532" s="107" t="str">
        <f>'Q100a-geral'!V1569</f>
        <v>só para pesquisa</v>
      </c>
      <c r="W532" s="268" t="str">
        <f>'Q100a-geral'!W1569</f>
        <v>x</v>
      </c>
      <c r="X532" s="268" t="str">
        <f>'Q100a-geral'!X1569</f>
        <v>x</v>
      </c>
      <c r="Y532" s="268" t="str">
        <f>'Q100a-geral'!Y1569</f>
        <v>x</v>
      </c>
      <c r="Z532" s="268" t="str">
        <f>'Q100a-geral'!Z1569</f>
        <v>x</v>
      </c>
      <c r="AA532" s="268" t="str">
        <f>'Q100a-geral'!AA1569</f>
        <v>x</v>
      </c>
      <c r="AB532" s="268" t="str">
        <f>'Q100a-geral'!AB1569</f>
        <v>x</v>
      </c>
      <c r="AC532" s="268" t="str">
        <f>'Q100a-geral'!AC1569</f>
        <v>x</v>
      </c>
      <c r="AD532" s="268" t="str">
        <f>'Q100a-geral'!AD1569</f>
        <v>x</v>
      </c>
      <c r="AE532" s="268" t="str">
        <f>'Q100a-geral'!AE1569</f>
        <v>x</v>
      </c>
      <c r="AF532" s="268" t="str">
        <f>'Q100a-geral'!AF1569</f>
        <v>x</v>
      </c>
      <c r="AG532" s="268" t="str">
        <f>'Q100a-geral'!AG1569</f>
        <v>x</v>
      </c>
      <c r="AH532" s="83">
        <f>'Q100a-geral'!AH1569</f>
        <v>16.5</v>
      </c>
      <c r="AI532" s="268" t="str">
        <f>'Q100a-geral'!AI1563</f>
        <v>x</v>
      </c>
      <c r="AJ532" s="268" t="str">
        <f>'Q100a-geral'!AJ1563</f>
        <v>x</v>
      </c>
      <c r="AK532" s="137" t="str">
        <f>'Q100a-geral'!AK1563</f>
        <v>x</v>
      </c>
      <c r="AL532" s="212" t="str">
        <f>'Q100a-geral'!AL1563</f>
        <v>x</v>
      </c>
      <c r="AM532" s="137" t="str">
        <f>'Q100a-geral'!AM1563</f>
        <v>x</v>
      </c>
      <c r="AN532" s="137" t="str">
        <f>'Q100a-geral'!AN1563</f>
        <v>x</v>
      </c>
      <c r="AO532" s="137" t="str">
        <f>'Q100a-geral'!AO1563</f>
        <v>x</v>
      </c>
      <c r="AP532" s="137" t="str">
        <f>'Q100a-geral'!AP1563</f>
        <v>x</v>
      </c>
      <c r="AQ532" s="137" t="str">
        <f>'Q100a-geral'!AQ1563</f>
        <v>x</v>
      </c>
      <c r="AR532" s="137"/>
      <c r="AS532" s="137"/>
      <c r="AT532" s="137"/>
      <c r="AU532" s="137"/>
      <c r="AV532" s="137" t="str">
        <f>'Q100a-geral'!AV1563</f>
        <v>x</v>
      </c>
      <c r="AW532" s="137"/>
      <c r="AX532" s="137"/>
      <c r="AY532" s="137"/>
      <c r="AZ532" s="137"/>
      <c r="BA532" s="137" t="str">
        <f>'Q100a-geral'!BA1563</f>
        <v>x</v>
      </c>
      <c r="BB532" s="239" t="str">
        <f>'Q100a-geral'!BB1563</f>
        <v>Acidentes de trânsitox</v>
      </c>
      <c r="BC532" s="239" t="str">
        <f>'Q100a-geral'!BC1563</f>
        <v>Acidentes de trânsitoxbenchmarking</v>
      </c>
      <c r="BD532" s="239" t="str">
        <f>'Q100a-geral'!BD1563</f>
        <v>Acidentes de trânsitobenchmarking</v>
      </c>
    </row>
    <row r="533" spans="1:56" s="1" customFormat="1" ht="63.75" customHeight="1" x14ac:dyDescent="0.25">
      <c r="A533" s="275" t="str">
        <f>'Q100a-geral'!A1564</f>
        <v>9.1</v>
      </c>
      <c r="B533" s="11" t="str">
        <f>'Q100a-geral'!B1564</f>
        <v>Acidentes de trânsito</v>
      </c>
      <c r="C533" s="57" t="str">
        <f>'Q100a-geral'!C1564</f>
        <v>x</v>
      </c>
      <c r="D533" s="456" t="s">
        <v>1283</v>
      </c>
      <c r="E533" s="476" t="s">
        <v>1283</v>
      </c>
      <c r="F533" s="488" t="str">
        <f>'Q100a-geral'!F1568</f>
        <v>n.º de mortos  por 100 mil habitantes em acidentes de trânsito em Rio de Janeiro segundo o DataSus
obs.1: são diferentes as metodologias de apuração e os resultados dos indicadores "M", "M30" e "MDataSus"
obs.2: a fonte consultada apresenta os resultados das dez cidades brasileiras mais populosas (AMBEV, 2015, p.44)</v>
      </c>
      <c r="G533" s="11" t="str">
        <f>'Q100a-geral'!G1568</f>
        <v>registro na fonte</v>
      </c>
      <c r="H533" s="173" t="str">
        <f>'Q100a-geral'!H1568</f>
        <v>benchmarking</v>
      </c>
      <c r="I533" s="57" t="str">
        <f>'Q100a-geral'!I1568</f>
        <v>x</v>
      </c>
      <c r="J533" s="107" t="str">
        <f>'Q100a-geral'!J1568</f>
        <v>x</v>
      </c>
      <c r="K533" s="268" t="str">
        <f>'Q100a-geral'!K1568</f>
        <v>x</v>
      </c>
      <c r="L533" s="268" t="str">
        <f>'Q100a-geral'!L1568</f>
        <v>x</v>
      </c>
      <c r="M533" s="268" t="str">
        <f>'Q100a-geral'!M1568</f>
        <v>x</v>
      </c>
      <c r="N533" s="268" t="str">
        <f>'Q100a-geral'!N1568</f>
        <v>x</v>
      </c>
      <c r="O533" s="268" t="str">
        <f>'Q100a-geral'!O1568</f>
        <v>x</v>
      </c>
      <c r="P533" s="268" t="str">
        <f>'Q100a-geral'!P1568</f>
        <v>x</v>
      </c>
      <c r="Q533" s="268" t="str">
        <f>'Q100a-geral'!Q1568</f>
        <v>x</v>
      </c>
      <c r="R533" s="268" t="str">
        <f>'Q100a-geral'!R1568</f>
        <v>x</v>
      </c>
      <c r="S533" s="649" t="str">
        <f>'Q100a-geral'!S1568</f>
        <v>só para pesquisa</v>
      </c>
      <c r="T533" s="268" t="str">
        <f>'Q100a-geral'!T1568</f>
        <v>x</v>
      </c>
      <c r="U533" s="268" t="str">
        <f>'Q100a-geral'!U1568</f>
        <v>x</v>
      </c>
      <c r="V533" s="107" t="str">
        <f>'Q100a-geral'!V1568</f>
        <v>só para pesquisa</v>
      </c>
      <c r="W533" s="268" t="str">
        <f>'Q100a-geral'!W1568</f>
        <v>x</v>
      </c>
      <c r="X533" s="268" t="str">
        <f>'Q100a-geral'!X1568</f>
        <v>x</v>
      </c>
      <c r="Y533" s="268" t="str">
        <f>'Q100a-geral'!Y1568</f>
        <v>x</v>
      </c>
      <c r="Z533" s="268" t="str">
        <f>'Q100a-geral'!Z1568</f>
        <v>x</v>
      </c>
      <c r="AA533" s="268" t="str">
        <f>'Q100a-geral'!AA1568</f>
        <v>x</v>
      </c>
      <c r="AB533" s="268" t="str">
        <f>'Q100a-geral'!AB1568</f>
        <v>x</v>
      </c>
      <c r="AC533" s="268" t="str">
        <f>'Q100a-geral'!AC1568</f>
        <v>x</v>
      </c>
      <c r="AD533" s="268" t="str">
        <f>'Q100a-geral'!AD1568</f>
        <v>x</v>
      </c>
      <c r="AE533" s="268" t="str">
        <f>'Q100a-geral'!AE1568</f>
        <v>x</v>
      </c>
      <c r="AF533" s="268" t="str">
        <f>'Q100a-geral'!AF1568</f>
        <v>x</v>
      </c>
      <c r="AG533" s="268" t="str">
        <f>'Q100a-geral'!AG1568</f>
        <v>x</v>
      </c>
      <c r="AH533" s="83">
        <f>'Q100a-geral'!AH1568</f>
        <v>16.600000000000001</v>
      </c>
      <c r="AI533" s="268" t="str">
        <f>'Q100a-geral'!AI1564</f>
        <v>x</v>
      </c>
      <c r="AJ533" s="268" t="str">
        <f>'Q100a-geral'!AJ1564</f>
        <v>x</v>
      </c>
      <c r="AK533" s="137" t="str">
        <f>'Q100a-geral'!AK1564</f>
        <v>x</v>
      </c>
      <c r="AL533" s="212" t="str">
        <f>'Q100a-geral'!AL1564</f>
        <v>x</v>
      </c>
      <c r="AM533" s="137" t="str">
        <f>'Q100a-geral'!AM1564</f>
        <v>x</v>
      </c>
      <c r="AN533" s="137" t="str">
        <f>'Q100a-geral'!AN1564</f>
        <v>x</v>
      </c>
      <c r="AO533" s="137" t="str">
        <f>'Q100a-geral'!AO1564</f>
        <v>x</v>
      </c>
      <c r="AP533" s="137" t="str">
        <f>'Q100a-geral'!AP1564</f>
        <v>x</v>
      </c>
      <c r="AQ533" s="137" t="str">
        <f>'Q100a-geral'!AQ1564</f>
        <v>x</v>
      </c>
      <c r="AR533" s="137"/>
      <c r="AS533" s="137"/>
      <c r="AT533" s="137"/>
      <c r="AU533" s="137"/>
      <c r="AV533" s="137" t="str">
        <f>'Q100a-geral'!AV1564</f>
        <v>x</v>
      </c>
      <c r="AW533" s="137"/>
      <c r="AX533" s="137"/>
      <c r="AY533" s="137"/>
      <c r="AZ533" s="137"/>
      <c r="BA533" s="137" t="str">
        <f>'Q100a-geral'!BA1564</f>
        <v>x</v>
      </c>
      <c r="BB533" s="239" t="str">
        <f>'Q100a-geral'!BB1564</f>
        <v>Acidentes de trânsitox</v>
      </c>
      <c r="BC533" s="239" t="str">
        <f>'Q100a-geral'!BC1564</f>
        <v>Acidentes de trânsitoxbenchmarking</v>
      </c>
      <c r="BD533" s="239" t="str">
        <f>'Q100a-geral'!BD1564</f>
        <v>Acidentes de trânsitobenchmarking</v>
      </c>
    </row>
    <row r="534" spans="1:56" s="1" customFormat="1" ht="63.75" customHeight="1" x14ac:dyDescent="0.25">
      <c r="A534" s="275" t="str">
        <f>'Q100a-geral'!A1565</f>
        <v>9.1</v>
      </c>
      <c r="B534" s="11" t="str">
        <f>'Q100a-geral'!B1565</f>
        <v>Acidentes de trânsito</v>
      </c>
      <c r="C534" s="57" t="str">
        <f>'Q100a-geral'!C1565</f>
        <v>x</v>
      </c>
      <c r="D534" s="456" t="s">
        <v>1702</v>
      </c>
      <c r="E534" s="476" t="s">
        <v>1702</v>
      </c>
      <c r="F534" s="488" t="str">
        <f>'Q100a-geral'!F1565</f>
        <v>n.º de mortos  por 100 mil habitantes em acidentes de trânsito em Manaus segundo o DataSus
obs.1: são diferentes as metodologias de apuração e os resultados dos indicadores "M", "M30" e "MDataSus"
obs.2: a fonte consultada apresenta os resultados das dez cidades brasileiras mais populosas (AMBEV, 2015, p.44)</v>
      </c>
      <c r="G534" s="11" t="str">
        <f>'Q100a-geral'!G1565</f>
        <v>registro na fonte</v>
      </c>
      <c r="H534" s="173" t="str">
        <f>'Q100a-geral'!H1565</f>
        <v>benchmarking</v>
      </c>
      <c r="I534" s="57" t="str">
        <f>'Q100a-geral'!I1565</f>
        <v>x</v>
      </c>
      <c r="J534" s="107" t="str">
        <f>'Q100a-geral'!J1565</f>
        <v>x</v>
      </c>
      <c r="K534" s="268" t="str">
        <f>'Q100a-geral'!K1565</f>
        <v>x</v>
      </c>
      <c r="L534" s="268" t="str">
        <f>'Q100a-geral'!L1565</f>
        <v>x</v>
      </c>
      <c r="M534" s="268" t="str">
        <f>'Q100a-geral'!M1565</f>
        <v>x</v>
      </c>
      <c r="N534" s="268" t="str">
        <f>'Q100a-geral'!N1565</f>
        <v>x</v>
      </c>
      <c r="O534" s="268" t="str">
        <f>'Q100a-geral'!O1565</f>
        <v>x</v>
      </c>
      <c r="P534" s="268" t="str">
        <f>'Q100a-geral'!P1565</f>
        <v>x</v>
      </c>
      <c r="Q534" s="268" t="str">
        <f>'Q100a-geral'!Q1565</f>
        <v>x</v>
      </c>
      <c r="R534" s="268" t="str">
        <f>'Q100a-geral'!R1565</f>
        <v>x</v>
      </c>
      <c r="S534" s="649" t="str">
        <f>'Q100a-geral'!S1565</f>
        <v>só para pesquisa</v>
      </c>
      <c r="T534" s="268" t="str">
        <f>'Q100a-geral'!T1565</f>
        <v>x</v>
      </c>
      <c r="U534" s="268" t="str">
        <f>'Q100a-geral'!U1565</f>
        <v>x</v>
      </c>
      <c r="V534" s="107" t="str">
        <f>'Q100a-geral'!V1565</f>
        <v>só para pesquisa</v>
      </c>
      <c r="W534" s="268" t="str">
        <f>'Q100a-geral'!W1565</f>
        <v>x</v>
      </c>
      <c r="X534" s="268" t="str">
        <f>'Q100a-geral'!X1565</f>
        <v>x</v>
      </c>
      <c r="Y534" s="268" t="str">
        <f>'Q100a-geral'!Y1565</f>
        <v>x</v>
      </c>
      <c r="Z534" s="268" t="str">
        <f>'Q100a-geral'!Z1565</f>
        <v>x</v>
      </c>
      <c r="AA534" s="268" t="str">
        <f>'Q100a-geral'!AA1565</f>
        <v>x</v>
      </c>
      <c r="AB534" s="268" t="str">
        <f>'Q100a-geral'!AB1565</f>
        <v>x</v>
      </c>
      <c r="AC534" s="268" t="str">
        <f>'Q100a-geral'!AC1565</f>
        <v>x</v>
      </c>
      <c r="AD534" s="268" t="str">
        <f>'Q100a-geral'!AD1565</f>
        <v>x</v>
      </c>
      <c r="AE534" s="268" t="str">
        <f>'Q100a-geral'!AE1565</f>
        <v>x</v>
      </c>
      <c r="AF534" s="268" t="str">
        <f>'Q100a-geral'!AF1565</f>
        <v>x</v>
      </c>
      <c r="AG534" s="268" t="str">
        <f>'Q100a-geral'!AG1565</f>
        <v>x</v>
      </c>
      <c r="AH534" s="83">
        <f>'Q100a-geral'!AH1565</f>
        <v>17.2</v>
      </c>
      <c r="AI534" s="268" t="str">
        <f>'Q100a-geral'!AI1565</f>
        <v>x</v>
      </c>
      <c r="AJ534" s="268" t="str">
        <f>'Q100a-geral'!AJ1565</f>
        <v>x</v>
      </c>
      <c r="AK534" s="137" t="str">
        <f>'Q100a-geral'!AK1565</f>
        <v>x</v>
      </c>
      <c r="AL534" s="212" t="str">
        <f>'Q100a-geral'!AL1565</f>
        <v>x</v>
      </c>
      <c r="AM534" s="137" t="str">
        <f>'Q100a-geral'!AM1565</f>
        <v>x</v>
      </c>
      <c r="AN534" s="137" t="str">
        <f>'Q100a-geral'!AN1565</f>
        <v>x</v>
      </c>
      <c r="AO534" s="137" t="str">
        <f>'Q100a-geral'!AO1565</f>
        <v>x</v>
      </c>
      <c r="AP534" s="137" t="str">
        <f>'Q100a-geral'!AP1565</f>
        <v>x</v>
      </c>
      <c r="AQ534" s="137" t="str">
        <f>'Q100a-geral'!AQ1565</f>
        <v>x</v>
      </c>
      <c r="AR534" s="137"/>
      <c r="AS534" s="137"/>
      <c r="AT534" s="137"/>
      <c r="AU534" s="137"/>
      <c r="AV534" s="137" t="str">
        <f>'Q100a-geral'!AV1565</f>
        <v>x</v>
      </c>
      <c r="AW534" s="137"/>
      <c r="AX534" s="137"/>
      <c r="AY534" s="137"/>
      <c r="AZ534" s="137"/>
      <c r="BA534" s="137" t="str">
        <f>'Q100a-geral'!BA1565</f>
        <v>x</v>
      </c>
      <c r="BB534" s="239" t="str">
        <f>'Q100a-geral'!BB1565</f>
        <v>Acidentes de trânsitox</v>
      </c>
      <c r="BC534" s="239" t="str">
        <f>'Q100a-geral'!BC1565</f>
        <v>Acidentes de trânsitoxbenchmarking</v>
      </c>
      <c r="BD534" s="239" t="str">
        <f>'Q100a-geral'!BD1565</f>
        <v>Acidentes de trânsitobenchmarking</v>
      </c>
    </row>
    <row r="535" spans="1:56" s="1" customFormat="1" ht="63.75" customHeight="1" x14ac:dyDescent="0.25">
      <c r="A535" s="275" t="str">
        <f>'Q100a-geral'!A1566</f>
        <v>9.1</v>
      </c>
      <c r="B535" s="11" t="str">
        <f>'Q100a-geral'!B1566</f>
        <v>Acidentes de trânsito</v>
      </c>
      <c r="C535" s="57" t="str">
        <f>'Q100a-geral'!C1566</f>
        <v>x</v>
      </c>
      <c r="D535" s="456" t="s">
        <v>1266</v>
      </c>
      <c r="E535" s="476" t="s">
        <v>1266</v>
      </c>
      <c r="F535" s="488" t="str">
        <f>'Q100a-geral'!F1563</f>
        <v>n.º de mortos  por 100 mil habitantes em acidentes de trânsito em Curitiba segundo o DataSus
obs.1: são diferentes as metodologias de apuração e os resultados dos indicadores "M", "M30" e "MDataSus"
obs.2: a fonte consultada apresenta os resultados das dez cidades brasileiras mais populosas (AMBEV, 2015, p.44)</v>
      </c>
      <c r="G535" s="11" t="str">
        <f>'Q100a-geral'!G1563</f>
        <v>registro na fonte</v>
      </c>
      <c r="H535" s="173" t="str">
        <f>'Q100a-geral'!H1563</f>
        <v>benchmarking</v>
      </c>
      <c r="I535" s="57" t="str">
        <f>'Q100a-geral'!I1563</f>
        <v>x</v>
      </c>
      <c r="J535" s="107" t="str">
        <f>'Q100a-geral'!J1563</f>
        <v>x</v>
      </c>
      <c r="K535" s="268" t="str">
        <f>'Q100a-geral'!K1563</f>
        <v>x</v>
      </c>
      <c r="L535" s="268" t="str">
        <f>'Q100a-geral'!L1563</f>
        <v>x</v>
      </c>
      <c r="M535" s="268" t="str">
        <f>'Q100a-geral'!M1563</f>
        <v>x</v>
      </c>
      <c r="N535" s="268" t="str">
        <f>'Q100a-geral'!N1563</f>
        <v>x</v>
      </c>
      <c r="O535" s="268" t="str">
        <f>'Q100a-geral'!O1563</f>
        <v>x</v>
      </c>
      <c r="P535" s="268" t="str">
        <f>'Q100a-geral'!P1563</f>
        <v>x</v>
      </c>
      <c r="Q535" s="268" t="str">
        <f>'Q100a-geral'!Q1563</f>
        <v>x</v>
      </c>
      <c r="R535" s="268" t="str">
        <f>'Q100a-geral'!R1563</f>
        <v>x</v>
      </c>
      <c r="S535" s="649" t="str">
        <f>'Q100a-geral'!S1563</f>
        <v>só para pesquisa</v>
      </c>
      <c r="T535" s="268" t="str">
        <f>'Q100a-geral'!T1563</f>
        <v>x</v>
      </c>
      <c r="U535" s="268" t="str">
        <f>'Q100a-geral'!U1563</f>
        <v>x</v>
      </c>
      <c r="V535" s="107" t="str">
        <f>'Q100a-geral'!V1563</f>
        <v>só para pesquisa</v>
      </c>
      <c r="W535" s="268" t="str">
        <f>'Q100a-geral'!W1563</f>
        <v>x</v>
      </c>
      <c r="X535" s="268" t="str">
        <f>'Q100a-geral'!X1563</f>
        <v>x</v>
      </c>
      <c r="Y535" s="268" t="str">
        <f>'Q100a-geral'!Y1563</f>
        <v>x</v>
      </c>
      <c r="Z535" s="268" t="str">
        <f>'Q100a-geral'!Z1563</f>
        <v>x</v>
      </c>
      <c r="AA535" s="268" t="str">
        <f>'Q100a-geral'!AA1563</f>
        <v>x</v>
      </c>
      <c r="AB535" s="268" t="str">
        <f>'Q100a-geral'!AB1563</f>
        <v>x</v>
      </c>
      <c r="AC535" s="268" t="str">
        <f>'Q100a-geral'!AC1563</f>
        <v>x</v>
      </c>
      <c r="AD535" s="268" t="str">
        <f>'Q100a-geral'!AD1563</f>
        <v>x</v>
      </c>
      <c r="AE535" s="268" t="str">
        <f>'Q100a-geral'!AE1563</f>
        <v>x</v>
      </c>
      <c r="AF535" s="268" t="str">
        <f>'Q100a-geral'!AF1563</f>
        <v>x</v>
      </c>
      <c r="AG535" s="268" t="str">
        <f>'Q100a-geral'!AG1563</f>
        <v>x</v>
      </c>
      <c r="AH535" s="83">
        <f>'Q100a-geral'!AH1563</f>
        <v>20</v>
      </c>
      <c r="AI535" s="268" t="str">
        <f>'Q100a-geral'!AI1566</f>
        <v>x</v>
      </c>
      <c r="AJ535" s="268" t="str">
        <f>'Q100a-geral'!AJ1566</f>
        <v>x</v>
      </c>
      <c r="AK535" s="137" t="str">
        <f>'Q100a-geral'!AK1566</f>
        <v>x</v>
      </c>
      <c r="AL535" s="212" t="str">
        <f>'Q100a-geral'!AL1566</f>
        <v>x</v>
      </c>
      <c r="AM535" s="137" t="str">
        <f>'Q100a-geral'!AM1566</f>
        <v>x</v>
      </c>
      <c r="AN535" s="137" t="str">
        <f>'Q100a-geral'!AN1566</f>
        <v>x</v>
      </c>
      <c r="AO535" s="137" t="str">
        <f>'Q100a-geral'!AO1566</f>
        <v>x</v>
      </c>
      <c r="AP535" s="137" t="str">
        <f>'Q100a-geral'!AP1566</f>
        <v>x</v>
      </c>
      <c r="AQ535" s="137" t="str">
        <f>'Q100a-geral'!AQ1566</f>
        <v>x</v>
      </c>
      <c r="AR535" s="137"/>
      <c r="AS535" s="137"/>
      <c r="AT535" s="137"/>
      <c r="AU535" s="137"/>
      <c r="AV535" s="137" t="str">
        <f>'Q100a-geral'!AV1566</f>
        <v>x</v>
      </c>
      <c r="AW535" s="137"/>
      <c r="AX535" s="137"/>
      <c r="AY535" s="137"/>
      <c r="AZ535" s="137"/>
      <c r="BA535" s="137" t="str">
        <f>'Q100a-geral'!BA1566</f>
        <v>x</v>
      </c>
      <c r="BB535" s="239" t="str">
        <f>'Q100a-geral'!BB1566</f>
        <v>Acidentes de trânsitox</v>
      </c>
      <c r="BC535" s="239" t="str">
        <f>'Q100a-geral'!BC1566</f>
        <v>Acidentes de trânsitoxbenchmarking</v>
      </c>
      <c r="BD535" s="239" t="str">
        <f>'Q100a-geral'!BD1566</f>
        <v>Acidentes de trânsitobenchmarking</v>
      </c>
    </row>
    <row r="536" spans="1:56" s="1" customFormat="1" ht="63.75" customHeight="1" x14ac:dyDescent="0.25">
      <c r="A536" s="275" t="str">
        <f>'Q100a-geral'!A1567</f>
        <v>9.1</v>
      </c>
      <c r="B536" s="11" t="str">
        <f>'Q100a-geral'!B1567</f>
        <v>Acidentes de trânsito</v>
      </c>
      <c r="C536" s="57" t="str">
        <f>'Q100a-geral'!C1567</f>
        <v>x</v>
      </c>
      <c r="D536" s="456" t="s">
        <v>1700</v>
      </c>
      <c r="E536" s="476" t="s">
        <v>1700</v>
      </c>
      <c r="F536" s="488" t="str">
        <f>'Q100a-geral'!F1562</f>
        <v>n.º de mortos  por 100 mil habitantes em acidentes de trânsito em Brasília segundo o DataSus
obs.1: são diferentes as metodologias de apuração e os resultados dos indicadores "M", "M30" e "MDataSus"
obs.2: a fonte consultada apresenta os resultados das dez cidades brasileiras mais populosas (AMBEV, 2015, p.44)</v>
      </c>
      <c r="G536" s="11" t="str">
        <f>'Q100a-geral'!G1562</f>
        <v>registro na fonte</v>
      </c>
      <c r="H536" s="173" t="str">
        <f>'Q100a-geral'!H1562</f>
        <v>benchmarking</v>
      </c>
      <c r="I536" s="57" t="str">
        <f>'Q100a-geral'!I1562</f>
        <v>x</v>
      </c>
      <c r="J536" s="107" t="str">
        <f>'Q100a-geral'!J1562</f>
        <v>x</v>
      </c>
      <c r="K536" s="268" t="str">
        <f>'Q100a-geral'!K1562</f>
        <v>x</v>
      </c>
      <c r="L536" s="268" t="str">
        <f>'Q100a-geral'!L1562</f>
        <v>x</v>
      </c>
      <c r="M536" s="268" t="str">
        <f>'Q100a-geral'!M1562</f>
        <v>x</v>
      </c>
      <c r="N536" s="268" t="str">
        <f>'Q100a-geral'!N1562</f>
        <v>x</v>
      </c>
      <c r="O536" s="268" t="str">
        <f>'Q100a-geral'!O1562</f>
        <v>x</v>
      </c>
      <c r="P536" s="268" t="str">
        <f>'Q100a-geral'!P1562</f>
        <v>x</v>
      </c>
      <c r="Q536" s="268" t="str">
        <f>'Q100a-geral'!Q1562</f>
        <v>x</v>
      </c>
      <c r="R536" s="268" t="str">
        <f>'Q100a-geral'!R1562</f>
        <v>x</v>
      </c>
      <c r="S536" s="649" t="str">
        <f>'Q100a-geral'!S1562</f>
        <v>só para pesquisa</v>
      </c>
      <c r="T536" s="268" t="str">
        <f>'Q100a-geral'!T1562</f>
        <v>x</v>
      </c>
      <c r="U536" s="268" t="str">
        <f>'Q100a-geral'!U1562</f>
        <v>x</v>
      </c>
      <c r="V536" s="107" t="str">
        <f>'Q100a-geral'!V1562</f>
        <v>só para pesquisa</v>
      </c>
      <c r="W536" s="268" t="str">
        <f>'Q100a-geral'!W1562</f>
        <v>x</v>
      </c>
      <c r="X536" s="268" t="str">
        <f>'Q100a-geral'!X1562</f>
        <v>x</v>
      </c>
      <c r="Y536" s="268" t="str">
        <f>'Q100a-geral'!Y1562</f>
        <v>x</v>
      </c>
      <c r="Z536" s="268" t="str">
        <f>'Q100a-geral'!Z1562</f>
        <v>x</v>
      </c>
      <c r="AA536" s="268" t="str">
        <f>'Q100a-geral'!AA1562</f>
        <v>x</v>
      </c>
      <c r="AB536" s="268" t="str">
        <f>'Q100a-geral'!AB1562</f>
        <v>x</v>
      </c>
      <c r="AC536" s="268" t="str">
        <f>'Q100a-geral'!AC1562</f>
        <v>x</v>
      </c>
      <c r="AD536" s="268" t="str">
        <f>'Q100a-geral'!AD1562</f>
        <v>x</v>
      </c>
      <c r="AE536" s="268" t="str">
        <f>'Q100a-geral'!AE1562</f>
        <v>x</v>
      </c>
      <c r="AF536" s="268" t="str">
        <f>'Q100a-geral'!AF1562</f>
        <v>x</v>
      </c>
      <c r="AG536" s="268" t="str">
        <f>'Q100a-geral'!AG1562</f>
        <v>x</v>
      </c>
      <c r="AH536" s="83">
        <f>'Q100a-geral'!AH1562</f>
        <v>20.9</v>
      </c>
      <c r="AI536" s="268" t="str">
        <f>'Q100a-geral'!AI1567</f>
        <v>x</v>
      </c>
      <c r="AJ536" s="268" t="str">
        <f>'Q100a-geral'!AJ1567</f>
        <v>x</v>
      </c>
      <c r="AK536" s="137" t="str">
        <f>'Q100a-geral'!AK1567</f>
        <v>x</v>
      </c>
      <c r="AL536" s="212" t="str">
        <f>'Q100a-geral'!AL1567</f>
        <v>x</v>
      </c>
      <c r="AM536" s="137" t="str">
        <f>'Q100a-geral'!AM1567</f>
        <v>x</v>
      </c>
      <c r="AN536" s="137" t="str">
        <f>'Q100a-geral'!AN1567</f>
        <v>x</v>
      </c>
      <c r="AO536" s="137" t="str">
        <f>'Q100a-geral'!AO1567</f>
        <v>x</v>
      </c>
      <c r="AP536" s="137" t="str">
        <f>'Q100a-geral'!AP1567</f>
        <v>x</v>
      </c>
      <c r="AQ536" s="137" t="str">
        <f>'Q100a-geral'!AQ1567</f>
        <v>x</v>
      </c>
      <c r="AR536" s="137"/>
      <c r="AS536" s="137"/>
      <c r="AT536" s="137"/>
      <c r="AU536" s="137"/>
      <c r="AV536" s="137" t="str">
        <f>'Q100a-geral'!AV1567</f>
        <v>x</v>
      </c>
      <c r="AW536" s="137"/>
      <c r="AX536" s="137"/>
      <c r="AY536" s="137"/>
      <c r="AZ536" s="137"/>
      <c r="BA536" s="137" t="str">
        <f>'Q100a-geral'!BA1567</f>
        <v>x</v>
      </c>
      <c r="BB536" s="239" t="str">
        <f>'Q100a-geral'!BB1567</f>
        <v>Acidentes de trânsitox</v>
      </c>
      <c r="BC536" s="239" t="str">
        <f>'Q100a-geral'!BC1567</f>
        <v>Acidentes de trânsitoxbenchmarking</v>
      </c>
      <c r="BD536" s="239" t="str">
        <f>'Q100a-geral'!BD1567</f>
        <v>Acidentes de trânsitobenchmarking</v>
      </c>
    </row>
    <row r="537" spans="1:56" s="1" customFormat="1" ht="95.25" customHeight="1" x14ac:dyDescent="0.25">
      <c r="A537" s="275" t="str">
        <f>'Q100a-geral'!A1568</f>
        <v>9.1</v>
      </c>
      <c r="B537" s="11" t="str">
        <f>'Q100a-geral'!B1568</f>
        <v>Acidentes de trânsito</v>
      </c>
      <c r="C537" s="57" t="str">
        <f>'Q100a-geral'!C1568</f>
        <v>x</v>
      </c>
      <c r="D537" s="456" t="s">
        <v>1306</v>
      </c>
      <c r="E537" s="476" t="s">
        <v>1306</v>
      </c>
      <c r="F537" s="488" t="str">
        <f>'Q100a-geral'!F1561</f>
        <v>n.º de mortos  por 100 mil habitantes em acidentes de trânsito em Belo Horizonte segundo o DataSus
obs.1: são diferentes as metodolodias de apuração dos indicadores "M por 100 mil habitantes", "M30 por 100 mil habitantes", "M-DataSus por 100 mil habitantes"
obs.2: este indicador é denominado "taxa de mortalidade AT/100 mil habitantes" em MS/SVS/DASIS - Sistema de Informações sobre Mortalidade – SIM citado em CNM (2009, p.10)
obs.3: este indicador é denominado "óbtitos/100 mil habitantes" em AMBEV (2015, p.44)
obs.4: este é um dos três indicadores sobre "mortos no trânsito" que podem ser relacionados ao "indicador urbano global" do Global City Institute com a denominação genérica de "fatalidades em acidentes nos meios de transporte por 100.000 habitantes" em GCIF(2013) e "Transportation fatalities per 100,000 population" em GCIF(2011)</v>
      </c>
      <c r="G537" s="11" t="str">
        <f>'Q100a-geral'!G1561</f>
        <v>(M amplo / P ) x 100.000</v>
      </c>
      <c r="H537" s="173" t="str">
        <f>'Q100a-geral'!H1561</f>
        <v>x</v>
      </c>
      <c r="I537" s="57">
        <f>'Q100a-geral'!I1561</f>
        <v>1</v>
      </c>
      <c r="J537" s="107" t="str">
        <f>'Q100a-geral'!J1561</f>
        <v>x</v>
      </c>
      <c r="K537" s="268" t="str">
        <f>'Q100a-geral'!K1561</f>
        <v>x</v>
      </c>
      <c r="L537" s="268" t="str">
        <f>'Q100a-geral'!L1561</f>
        <v>x</v>
      </c>
      <c r="M537" s="268" t="str">
        <f>'Q100a-geral'!M1561</f>
        <v>x</v>
      </c>
      <c r="N537" s="268" t="str">
        <f>'Q100a-geral'!N1561</f>
        <v>x</v>
      </c>
      <c r="O537" s="268" t="str">
        <f>'Q100a-geral'!O1561</f>
        <v>x</v>
      </c>
      <c r="P537" s="268" t="str">
        <f>'Q100a-geral'!P1561</f>
        <v>x</v>
      </c>
      <c r="Q537" s="268" t="str">
        <f>'Q100a-geral'!Q1561</f>
        <v>x</v>
      </c>
      <c r="R537" s="268" t="str">
        <f>'Q100a-geral'!R1561</f>
        <v>x</v>
      </c>
      <c r="S537" s="649" t="str">
        <f>'Q100a-geral'!S1561</f>
        <v>só para pesquisa</v>
      </c>
      <c r="T537" s="268" t="str">
        <f>'Q100a-geral'!T1561</f>
        <v>x</v>
      </c>
      <c r="U537" s="83">
        <f>'Q100a-geral'!U1561</f>
        <v>17.020128423793157</v>
      </c>
      <c r="V537" s="107" t="str">
        <f>'Q100a-geral'!V1561</f>
        <v>só para pesquisa</v>
      </c>
      <c r="W537" s="83">
        <f>'Q100a-geral'!W1561</f>
        <v>18.462543837472943</v>
      </c>
      <c r="X537" s="83">
        <f>'Q100a-geral'!X1561</f>
        <v>16.721617461921113</v>
      </c>
      <c r="Y537" s="83">
        <f>'Q100a-geral'!Y1561</f>
        <v>17.043887359420456</v>
      </c>
      <c r="Z537" s="83">
        <f>'Q100a-geral'!Z1561</f>
        <v>17.442622281290788</v>
      </c>
      <c r="AA537" s="83">
        <f>'Q100a-geral'!AA1561</f>
        <v>16.839772511513143</v>
      </c>
      <c r="AB537" s="83">
        <f>'Q100a-geral'!AB1561</f>
        <v>20.459015300510018</v>
      </c>
      <c r="AC537" s="83">
        <f>'Q100a-geral'!AC1561</f>
        <v>18.690914847756076</v>
      </c>
      <c r="AD537" s="134"/>
      <c r="AE537" s="134"/>
      <c r="AF537" s="134"/>
      <c r="AG537" s="134"/>
      <c r="AH537" s="83">
        <f>'Q100a-geral'!AH1561</f>
        <v>22.49784517392003</v>
      </c>
      <c r="AI537" s="268" t="str">
        <f>'Q100a-geral'!AI1568</f>
        <v>x</v>
      </c>
      <c r="AJ537" s="268" t="str">
        <f>'Q100a-geral'!AJ1568</f>
        <v>x</v>
      </c>
      <c r="AK537" s="137" t="str">
        <f>'Q100a-geral'!AK1568</f>
        <v>x</v>
      </c>
      <c r="AL537" s="212" t="str">
        <f>'Q100a-geral'!AL1568</f>
        <v>x</v>
      </c>
      <c r="AM537" s="137" t="str">
        <f>'Q100a-geral'!AM1568</f>
        <v>x</v>
      </c>
      <c r="AN537" s="137" t="str">
        <f>'Q100a-geral'!AN1568</f>
        <v>x</v>
      </c>
      <c r="AO537" s="137" t="str">
        <f>'Q100a-geral'!AO1568</f>
        <v>x</v>
      </c>
      <c r="AP537" s="137" t="str">
        <f>'Q100a-geral'!AP1568</f>
        <v>x</v>
      </c>
      <c r="AQ537" s="137" t="str">
        <f>'Q100a-geral'!AQ1568</f>
        <v>x</v>
      </c>
      <c r="AR537" s="137"/>
      <c r="AS537" s="137"/>
      <c r="AT537" s="137"/>
      <c r="AU537" s="137"/>
      <c r="AV537" s="137" t="str">
        <f>'Q100a-geral'!AV1568</f>
        <v>x</v>
      </c>
      <c r="AW537" s="137"/>
      <c r="AX537" s="137"/>
      <c r="AY537" s="137"/>
      <c r="AZ537" s="137"/>
      <c r="BA537" s="137" t="str">
        <f>'Q100a-geral'!BA1568</f>
        <v>x</v>
      </c>
      <c r="BB537" s="239" t="str">
        <f>'Q100a-geral'!BB1568</f>
        <v>Acidentes de trânsitox</v>
      </c>
      <c r="BC537" s="239" t="str">
        <f>'Q100a-geral'!BC1568</f>
        <v>Acidentes de trânsitoxbenchmarking</v>
      </c>
      <c r="BD537" s="239" t="str">
        <f>'Q100a-geral'!BD1568</f>
        <v>Acidentes de trânsitobenchmarking</v>
      </c>
    </row>
    <row r="538" spans="1:56" s="1" customFormat="1" ht="63.75" customHeight="1" x14ac:dyDescent="0.25">
      <c r="A538" s="275" t="str">
        <f>'Q100a-geral'!A1569</f>
        <v>9.1</v>
      </c>
      <c r="B538" s="11" t="str">
        <f>'Q100a-geral'!B1569</f>
        <v>Acidentes de trânsito</v>
      </c>
      <c r="C538" s="57" t="str">
        <f>'Q100a-geral'!C1569</f>
        <v>x</v>
      </c>
      <c r="D538" s="456" t="s">
        <v>1701</v>
      </c>
      <c r="E538" s="476" t="s">
        <v>1701</v>
      </c>
      <c r="F538" s="488" t="str">
        <f>'Q100a-geral'!F1564</f>
        <v>n.º de mortos  por 100 mil habitantes em acidentes de trânsito em Fortaleza segundo o DataSus
obs.1: são diferentes as metodologias de apuração e os resultados dos indicadores "M", "M30" e "MDataSus"
obs.2: a fonte consultada apresenta os resultados das dez cidades brasileiras mais populosas (AMBEV, 2015, p.44)</v>
      </c>
      <c r="G538" s="11" t="str">
        <f>'Q100a-geral'!G1564</f>
        <v>registro na fonte</v>
      </c>
      <c r="H538" s="173" t="str">
        <f>'Q100a-geral'!H1564</f>
        <v>benchmarking</v>
      </c>
      <c r="I538" s="57" t="str">
        <f>'Q100a-geral'!I1564</f>
        <v>x</v>
      </c>
      <c r="J538" s="107" t="str">
        <f>'Q100a-geral'!J1564</f>
        <v>x</v>
      </c>
      <c r="K538" s="268" t="str">
        <f>'Q100a-geral'!K1564</f>
        <v>x</v>
      </c>
      <c r="L538" s="268" t="str">
        <f>'Q100a-geral'!L1564</f>
        <v>x</v>
      </c>
      <c r="M538" s="268" t="str">
        <f>'Q100a-geral'!M1564</f>
        <v>x</v>
      </c>
      <c r="N538" s="268" t="str">
        <f>'Q100a-geral'!N1564</f>
        <v>x</v>
      </c>
      <c r="O538" s="268" t="str">
        <f>'Q100a-geral'!O1564</f>
        <v>x</v>
      </c>
      <c r="P538" s="268" t="str">
        <f>'Q100a-geral'!P1564</f>
        <v>x</v>
      </c>
      <c r="Q538" s="268" t="str">
        <f>'Q100a-geral'!Q1564</f>
        <v>x</v>
      </c>
      <c r="R538" s="268" t="str">
        <f>'Q100a-geral'!R1564</f>
        <v>x</v>
      </c>
      <c r="S538" s="649" t="str">
        <f>'Q100a-geral'!S1564</f>
        <v>só para pesquisa</v>
      </c>
      <c r="T538" s="268" t="str">
        <f>'Q100a-geral'!T1564</f>
        <v>x</v>
      </c>
      <c r="U538" s="268" t="str">
        <f>'Q100a-geral'!U1564</f>
        <v>x</v>
      </c>
      <c r="V538" s="107" t="str">
        <f>'Q100a-geral'!V1564</f>
        <v>só para pesquisa</v>
      </c>
      <c r="W538" s="268" t="str">
        <f>'Q100a-geral'!W1564</f>
        <v>x</v>
      </c>
      <c r="X538" s="268" t="str">
        <f>'Q100a-geral'!X1564</f>
        <v>x</v>
      </c>
      <c r="Y538" s="268" t="str">
        <f>'Q100a-geral'!Y1564</f>
        <v>x</v>
      </c>
      <c r="Z538" s="268" t="str">
        <f>'Q100a-geral'!Z1564</f>
        <v>x</v>
      </c>
      <c r="AA538" s="268" t="str">
        <f>'Q100a-geral'!AA1564</f>
        <v>x</v>
      </c>
      <c r="AB538" s="268" t="str">
        <f>'Q100a-geral'!AB1564</f>
        <v>x</v>
      </c>
      <c r="AC538" s="268" t="str">
        <f>'Q100a-geral'!AC1564</f>
        <v>x</v>
      </c>
      <c r="AD538" s="268" t="str">
        <f>'Q100a-geral'!AD1564</f>
        <v>x</v>
      </c>
      <c r="AE538" s="268" t="str">
        <f>'Q100a-geral'!AE1564</f>
        <v>x</v>
      </c>
      <c r="AF538" s="268" t="str">
        <f>'Q100a-geral'!AF1564</f>
        <v>x</v>
      </c>
      <c r="AG538" s="268" t="str">
        <f>'Q100a-geral'!AG1564</f>
        <v>x</v>
      </c>
      <c r="AH538" s="83">
        <f>'Q100a-geral'!AH1564</f>
        <v>27.1</v>
      </c>
      <c r="AI538" s="268" t="str">
        <f>'Q100a-geral'!AI1569</f>
        <v>x</v>
      </c>
      <c r="AJ538" s="268" t="str">
        <f>'Q100a-geral'!AJ1569</f>
        <v>x</v>
      </c>
      <c r="AK538" s="137" t="str">
        <f>'Q100a-geral'!AK1569</f>
        <v>x</v>
      </c>
      <c r="AL538" s="212" t="str">
        <f>'Q100a-geral'!AL1569</f>
        <v>x</v>
      </c>
      <c r="AM538" s="137" t="str">
        <f>'Q100a-geral'!AM1569</f>
        <v>x</v>
      </c>
      <c r="AN538" s="137" t="str">
        <f>'Q100a-geral'!AN1569</f>
        <v>x</v>
      </c>
      <c r="AO538" s="137" t="str">
        <f>'Q100a-geral'!AO1569</f>
        <v>x</v>
      </c>
      <c r="AP538" s="137" t="str">
        <f>'Q100a-geral'!AP1569</f>
        <v>x</v>
      </c>
      <c r="AQ538" s="137" t="str">
        <f>'Q100a-geral'!AQ1569</f>
        <v>x</v>
      </c>
      <c r="AR538" s="137"/>
      <c r="AS538" s="137"/>
      <c r="AT538" s="137"/>
      <c r="AU538" s="137"/>
      <c r="AV538" s="137" t="str">
        <f>'Q100a-geral'!AV1569</f>
        <v>x</v>
      </c>
      <c r="AW538" s="137"/>
      <c r="AX538" s="137"/>
      <c r="AY538" s="137"/>
      <c r="AZ538" s="137"/>
      <c r="BA538" s="137" t="str">
        <f>'Q100a-geral'!BA1569</f>
        <v>x</v>
      </c>
      <c r="BB538" s="239" t="str">
        <f>'Q100a-geral'!BB1569</f>
        <v>Acidentes de trânsitox</v>
      </c>
      <c r="BC538" s="239" t="str">
        <f>'Q100a-geral'!BC1569</f>
        <v>Acidentes de trânsitoxbenchmarking</v>
      </c>
      <c r="BD538" s="239" t="str">
        <f>'Q100a-geral'!BD1569</f>
        <v>Acidentes de trânsitobenchmarking</v>
      </c>
    </row>
    <row r="539" spans="1:56" s="1" customFormat="1" ht="63.75" customHeight="1" x14ac:dyDescent="0.25">
      <c r="A539" s="275" t="str">
        <f>'Q100a-geral'!A1570</f>
        <v>9.1</v>
      </c>
      <c r="B539" s="11" t="str">
        <f>'Q100a-geral'!B1570</f>
        <v>Acidentes de trânsito</v>
      </c>
      <c r="C539" s="57" t="str">
        <f>'Q100a-geral'!C1570</f>
        <v>x</v>
      </c>
      <c r="D539" s="456" t="s">
        <v>1704</v>
      </c>
      <c r="E539" s="476" t="s">
        <v>1704</v>
      </c>
      <c r="F539" s="488" t="str">
        <f>'Q100a-geral'!F1567</f>
        <v>n.º de mortos  por 100 mil habitantes em acidentes de trânsito em Recife segundo o DataSus
obs.1: são diferentes as metodologias de apuração e os resultados dos indicadores "M", "M30" e "MDataSus"
obs.2: a fonte consultada apresenta os resultados das dez cidades brasileiras mais populosas (AMBEV, 2015, p.44)</v>
      </c>
      <c r="G539" s="11" t="str">
        <f>'Q100a-geral'!G1567</f>
        <v>registro na fonte</v>
      </c>
      <c r="H539" s="173" t="str">
        <f>'Q100a-geral'!H1567</f>
        <v>benchmarking</v>
      </c>
      <c r="I539" s="57" t="str">
        <f>'Q100a-geral'!I1567</f>
        <v>x</v>
      </c>
      <c r="J539" s="107" t="str">
        <f>'Q100a-geral'!J1567</f>
        <v>x</v>
      </c>
      <c r="K539" s="268" t="str">
        <f>'Q100a-geral'!K1567</f>
        <v>x</v>
      </c>
      <c r="L539" s="268" t="str">
        <f>'Q100a-geral'!L1567</f>
        <v>x</v>
      </c>
      <c r="M539" s="268" t="str">
        <f>'Q100a-geral'!M1567</f>
        <v>x</v>
      </c>
      <c r="N539" s="268" t="str">
        <f>'Q100a-geral'!N1567</f>
        <v>x</v>
      </c>
      <c r="O539" s="268" t="str">
        <f>'Q100a-geral'!O1567</f>
        <v>x</v>
      </c>
      <c r="P539" s="268" t="str">
        <f>'Q100a-geral'!P1567</f>
        <v>x</v>
      </c>
      <c r="Q539" s="268" t="str">
        <f>'Q100a-geral'!Q1567</f>
        <v>x</v>
      </c>
      <c r="R539" s="268" t="str">
        <f>'Q100a-geral'!R1567</f>
        <v>x</v>
      </c>
      <c r="S539" s="649" t="str">
        <f>'Q100a-geral'!S1567</f>
        <v>só para pesquisa</v>
      </c>
      <c r="T539" s="268" t="str">
        <f>'Q100a-geral'!T1567</f>
        <v>x</v>
      </c>
      <c r="U539" s="268" t="str">
        <f>'Q100a-geral'!U1567</f>
        <v>x</v>
      </c>
      <c r="V539" s="107" t="str">
        <f>'Q100a-geral'!V1567</f>
        <v>só para pesquisa</v>
      </c>
      <c r="W539" s="268" t="str">
        <f>'Q100a-geral'!W1567</f>
        <v>x</v>
      </c>
      <c r="X539" s="268" t="str">
        <f>'Q100a-geral'!X1567</f>
        <v>x</v>
      </c>
      <c r="Y539" s="268" t="str">
        <f>'Q100a-geral'!Y1567</f>
        <v>x</v>
      </c>
      <c r="Z539" s="268" t="str">
        <f>'Q100a-geral'!Z1567</f>
        <v>x</v>
      </c>
      <c r="AA539" s="268" t="str">
        <f>'Q100a-geral'!AA1567</f>
        <v>x</v>
      </c>
      <c r="AB539" s="268" t="str">
        <f>'Q100a-geral'!AB1567</f>
        <v>x</v>
      </c>
      <c r="AC539" s="268" t="str">
        <f>'Q100a-geral'!AC1567</f>
        <v>x</v>
      </c>
      <c r="AD539" s="268" t="str">
        <f>'Q100a-geral'!AD1567</f>
        <v>x</v>
      </c>
      <c r="AE539" s="268" t="str">
        <f>'Q100a-geral'!AE1567</f>
        <v>x</v>
      </c>
      <c r="AF539" s="268" t="str">
        <f>'Q100a-geral'!AF1567</f>
        <v>x</v>
      </c>
      <c r="AG539" s="268" t="str">
        <f>'Q100a-geral'!AG1567</f>
        <v>x</v>
      </c>
      <c r="AH539" s="83">
        <f>'Q100a-geral'!AH1567</f>
        <v>34.700000000000003</v>
      </c>
      <c r="AI539" s="268" t="str">
        <f>'Q100a-geral'!AI1570</f>
        <v>x</v>
      </c>
      <c r="AJ539" s="268" t="str">
        <f>'Q100a-geral'!AJ1570</f>
        <v>x</v>
      </c>
      <c r="AK539" s="137" t="str">
        <f>'Q100a-geral'!AK1570</f>
        <v>x</v>
      </c>
      <c r="AL539" s="212" t="str">
        <f>'Q100a-geral'!AL1570</f>
        <v>x</v>
      </c>
      <c r="AM539" s="137" t="str">
        <f>'Q100a-geral'!AM1570</f>
        <v>x</v>
      </c>
      <c r="AN539" s="137" t="str">
        <f>'Q100a-geral'!AN1570</f>
        <v>x</v>
      </c>
      <c r="AO539" s="137" t="str">
        <f>'Q100a-geral'!AO1570</f>
        <v>x</v>
      </c>
      <c r="AP539" s="137" t="str">
        <f>'Q100a-geral'!AP1570</f>
        <v>x</v>
      </c>
      <c r="AQ539" s="137" t="str">
        <f>'Q100a-geral'!AQ1570</f>
        <v>x</v>
      </c>
      <c r="AR539" s="137"/>
      <c r="AS539" s="137"/>
      <c r="AT539" s="137"/>
      <c r="AU539" s="137"/>
      <c r="AV539" s="137" t="str">
        <f>'Q100a-geral'!AV1570</f>
        <v>x</v>
      </c>
      <c r="AW539" s="137"/>
      <c r="AX539" s="137"/>
      <c r="AY539" s="137"/>
      <c r="AZ539" s="137"/>
      <c r="BA539" s="137" t="str">
        <f>'Q100a-geral'!BA1570</f>
        <v>x</v>
      </c>
      <c r="BB539" s="239" t="str">
        <f>'Q100a-geral'!BB1570</f>
        <v>Acidentes de trânsitox</v>
      </c>
      <c r="BC539" s="239" t="str">
        <f>'Q100a-geral'!BC1570</f>
        <v>Acidentes de trânsitoxbenchmarking</v>
      </c>
      <c r="BD539" s="239" t="str">
        <f>'Q100a-geral'!BD1570</f>
        <v>Acidentes de trânsitobenchmarking</v>
      </c>
    </row>
    <row r="540" spans="1:56" s="1" customFormat="1" ht="102" customHeight="1" x14ac:dyDescent="0.25">
      <c r="A540" s="275" t="str">
        <f>'Q100a-geral'!A1572</f>
        <v>9.1</v>
      </c>
      <c r="B540" s="11" t="str">
        <f>'Q100a-geral'!B1572</f>
        <v>Acidentes de trânsito</v>
      </c>
      <c r="C540" s="57" t="str">
        <f>'Q100a-geral'!C1572</f>
        <v>CMMCE</v>
      </c>
      <c r="D540" s="287" t="str">
        <f>'Q100a-geral'!D1572</f>
        <v>M30(BH)</v>
      </c>
      <c r="E540" s="458" t="str">
        <f>'Q100a-geral'!E1572</f>
        <v>Belo Horizonte</v>
      </c>
      <c r="F540" s="488" t="str">
        <f>'Q100a-geral'!F1572</f>
        <v>n.º de mortos até 30 dias depois do acidente de trânsito acontecido em Belo Horizonte
resultados de 2001 a 2013 em BHTRANS (2014c)
obs.1: são diferentes as metodolodias de apuração dos indicadores "M", "M30" e "M -DataSus"
obs.2: é necessário apurar a descrição para melhor informar como a BHTrans apura os resultados deste indicador</v>
      </c>
      <c r="G540" s="11" t="str">
        <f>'Q100a-geral'!G1572</f>
        <v>registro na fonte</v>
      </c>
      <c r="H540" s="173" t="str">
        <f>'Q100a-geral'!H1572</f>
        <v>x</v>
      </c>
      <c r="I540" s="57">
        <f>'Q100a-geral'!I1572</f>
        <v>1</v>
      </c>
      <c r="J540" s="107" t="str">
        <f>'Q100a-geral'!J1572</f>
        <v>x</v>
      </c>
      <c r="K540" s="133"/>
      <c r="L540" s="133"/>
      <c r="M540" s="133"/>
      <c r="N540" s="133"/>
      <c r="O540" s="133"/>
      <c r="P540" s="133"/>
      <c r="Q540" s="133"/>
      <c r="R540" s="133"/>
      <c r="S540" s="649" t="str">
        <f>'Q100a-geral'!S1572</f>
        <v>só para pesquisa</v>
      </c>
      <c r="T540" s="133"/>
      <c r="U540" s="133"/>
      <c r="V540" s="107" t="str">
        <f>'Q100a-geral'!V1572</f>
        <v>só para pesquisa</v>
      </c>
      <c r="W540" s="133"/>
      <c r="X540" s="133"/>
      <c r="Y540" s="133"/>
      <c r="Z540" s="133"/>
      <c r="AA540" s="133"/>
      <c r="AB540" s="133"/>
      <c r="AC540" s="133"/>
      <c r="AD540" s="133"/>
      <c r="AE540" s="133"/>
      <c r="AF540" s="133"/>
      <c r="AG540" s="86">
        <f>'Q100a-geral'!AG1572</f>
        <v>338</v>
      </c>
      <c r="AH540" s="86">
        <f>'Q100a-geral'!AH1572</f>
        <v>248</v>
      </c>
      <c r="AI540" s="86">
        <f>'Q100a-geral'!AI1572</f>
        <v>231</v>
      </c>
      <c r="AJ540" s="332"/>
      <c r="AK540" s="137" t="str">
        <f>'Q100a-geral'!AK1572</f>
        <v>x</v>
      </c>
      <c r="AL540" s="212" t="str">
        <f>'Q100a-geral'!AL1572</f>
        <v>x</v>
      </c>
      <c r="AM540" s="137" t="str">
        <f>'Q100a-geral'!AM1572</f>
        <v>x</v>
      </c>
      <c r="AN540" s="137" t="str">
        <f>'Q100a-geral'!AN1572</f>
        <v>x</v>
      </c>
      <c r="AO540" s="137" t="str">
        <f>'Q100a-geral'!AO1572</f>
        <v>x</v>
      </c>
      <c r="AP540" s="137" t="str">
        <f>'Q100a-geral'!AP1572</f>
        <v>x</v>
      </c>
      <c r="AQ540" s="137" t="str">
        <f>'Q100a-geral'!AQ1572</f>
        <v>x</v>
      </c>
      <c r="AR540" s="137"/>
      <c r="AS540" s="137"/>
      <c r="AT540" s="137"/>
      <c r="AU540" s="137"/>
      <c r="AV540" s="137" t="str">
        <f>'Q100a-geral'!AV1572</f>
        <v>x</v>
      </c>
      <c r="AW540" s="137"/>
      <c r="AX540" s="137"/>
      <c r="AY540" s="137"/>
      <c r="AZ540" s="137"/>
      <c r="BA540" s="137" t="str">
        <f>'Q100a-geral'!BA1572</f>
        <v>x</v>
      </c>
      <c r="BB540" s="239" t="str">
        <f>'Q100a-geral'!BB1572</f>
        <v>Acidentes de trânsitoCMMCE</v>
      </c>
      <c r="BC540" s="239" t="str">
        <f>'Q100a-geral'!BC1572</f>
        <v>Acidentes de trânsitoCMMCEx</v>
      </c>
      <c r="BD540" s="239" t="str">
        <f>'Q100a-geral'!BD1572</f>
        <v>Acidentes de trânsitox</v>
      </c>
    </row>
    <row r="541" spans="1:56" s="1" customFormat="1" ht="42.75" customHeight="1" x14ac:dyDescent="0.25">
      <c r="A541" s="275" t="str">
        <f>'Q100a-geral'!A1573</f>
        <v>9.1</v>
      </c>
      <c r="B541" s="11" t="str">
        <f>'Q100a-geral'!B1573</f>
        <v>Acidentes de trânsito</v>
      </c>
      <c r="C541" s="57" t="str">
        <f>'Q100a-geral'!C1573</f>
        <v>CMMCE</v>
      </c>
      <c r="D541" s="287" t="str">
        <f>'Q100a-geral'!D1573</f>
        <v>M30(BH) por 10 mil veículos</v>
      </c>
      <c r="E541" s="458" t="str">
        <f>'Q100a-geral'!E1573</f>
        <v>Belo Horizonte</v>
      </c>
      <c r="F541" s="488" t="str">
        <f>'Q100a-geral'!F1573</f>
        <v>n.º de mortos por 10 mil veículos até 30 dias depois do acidente de trânsito acontecido em Belo Horizonte</v>
      </c>
      <c r="G541" s="11" t="str">
        <f>'Q100a-geral'!G1573</f>
        <v>(M30/F) x 10.000</v>
      </c>
      <c r="H541" s="173" t="str">
        <f>'Q100a-geral'!H1573</f>
        <v>x</v>
      </c>
      <c r="I541" s="57">
        <f>'Q100a-geral'!I1573</f>
        <v>1</v>
      </c>
      <c r="J541" s="107" t="str">
        <f>'Q100a-geral'!J1573</f>
        <v>x</v>
      </c>
      <c r="K541" s="84" t="str">
        <f>'Q100a-geral'!K1573</f>
        <v>x</v>
      </c>
      <c r="L541" s="84" t="str">
        <f>'Q100a-geral'!L1573</f>
        <v>x</v>
      </c>
      <c r="M541" s="84" t="str">
        <f>'Q100a-geral'!M1573</f>
        <v>x</v>
      </c>
      <c r="N541" s="84" t="str">
        <f>'Q100a-geral'!N1573</f>
        <v>x</v>
      </c>
      <c r="O541" s="84" t="str">
        <f>'Q100a-geral'!O1573</f>
        <v>x</v>
      </c>
      <c r="P541" s="84" t="str">
        <f>'Q100a-geral'!P1573</f>
        <v>x</v>
      </c>
      <c r="Q541" s="84" t="str">
        <f>'Q100a-geral'!Q1573</f>
        <v>x</v>
      </c>
      <c r="R541" s="84" t="str">
        <f>'Q100a-geral'!R1573</f>
        <v>x</v>
      </c>
      <c r="S541" s="649" t="str">
        <f>'Q100a-geral'!S1573</f>
        <v>só para pesquisa</v>
      </c>
      <c r="T541" s="84" t="str">
        <f>'Q100a-geral'!T1573</f>
        <v>x</v>
      </c>
      <c r="U541" s="84" t="str">
        <f>'Q100a-geral'!U1573</f>
        <v>x</v>
      </c>
      <c r="V541" s="107" t="str">
        <f>'Q100a-geral'!V1573</f>
        <v>só para pesquisa</v>
      </c>
      <c r="W541" s="84" t="str">
        <f>'Q100a-geral'!W1573</f>
        <v>x</v>
      </c>
      <c r="X541" s="84" t="str">
        <f>'Q100a-geral'!X1573</f>
        <v>x</v>
      </c>
      <c r="Y541" s="84" t="str">
        <f>'Q100a-geral'!Y1573</f>
        <v>x</v>
      </c>
      <c r="Z541" s="84" t="str">
        <f>'Q100a-geral'!Z1573</f>
        <v>x</v>
      </c>
      <c r="AA541" s="84" t="str">
        <f>'Q100a-geral'!AA1573</f>
        <v>x</v>
      </c>
      <c r="AB541" s="84" t="str">
        <f>'Q100a-geral'!AB1573</f>
        <v>x</v>
      </c>
      <c r="AC541" s="84" t="str">
        <f>'Q100a-geral'!AC1573</f>
        <v>x</v>
      </c>
      <c r="AD541" s="84" t="str">
        <f>'Q100a-geral'!AD1573</f>
        <v>x</v>
      </c>
      <c r="AE541" s="133"/>
      <c r="AF541" s="133"/>
      <c r="AG541" s="64">
        <f>'Q100a-geral'!AG1573</f>
        <v>2.3638595251999313</v>
      </c>
      <c r="AH541" s="64">
        <f>'Q100a-geral'!AH1573</f>
        <v>1.6452878756215441</v>
      </c>
      <c r="AI541" s="64">
        <f>'Q100a-geral'!AI1573</f>
        <v>1.4614472123368922</v>
      </c>
      <c r="AJ541" s="332"/>
      <c r="AK541" s="137" t="str">
        <f>'Q100a-geral'!AK1573</f>
        <v>x</v>
      </c>
      <c r="AL541" s="212" t="str">
        <f>'Q100a-geral'!AL1573</f>
        <v>x</v>
      </c>
      <c r="AM541" s="137" t="str">
        <f>'Q100a-geral'!AM1573</f>
        <v>x</v>
      </c>
      <c r="AN541" s="137" t="str">
        <f>'Q100a-geral'!AN1573</f>
        <v>x</v>
      </c>
      <c r="AO541" s="137" t="str">
        <f>'Q100a-geral'!AO1573</f>
        <v>x</v>
      </c>
      <c r="AP541" s="137" t="str">
        <f>'Q100a-geral'!AP1573</f>
        <v>x</v>
      </c>
      <c r="AQ541" s="137" t="str">
        <f>'Q100a-geral'!AQ1573</f>
        <v>x</v>
      </c>
      <c r="AR541" s="137"/>
      <c r="AS541" s="137"/>
      <c r="AT541" s="137"/>
      <c r="AU541" s="137"/>
      <c r="AV541" s="137" t="str">
        <f>'Q100a-geral'!AV1573</f>
        <v>x</v>
      </c>
      <c r="AW541" s="137"/>
      <c r="AX541" s="137"/>
      <c r="AY541" s="137"/>
      <c r="AZ541" s="137"/>
      <c r="BA541" s="137" t="str">
        <f>'Q100a-geral'!BA1573</f>
        <v>x</v>
      </c>
      <c r="BB541" s="239" t="str">
        <f>'Q100a-geral'!BB1573</f>
        <v>Acidentes de trânsitoCMMCE</v>
      </c>
      <c r="BC541" s="239" t="str">
        <f>'Q100a-geral'!BC1573</f>
        <v>Acidentes de trânsitoCMMCEx</v>
      </c>
      <c r="BD541" s="239" t="str">
        <f>'Q100a-geral'!BD1573</f>
        <v>Acidentes de trânsitox</v>
      </c>
    </row>
    <row r="542" spans="1:56" s="1" customFormat="1" ht="45.75" customHeight="1" x14ac:dyDescent="0.25">
      <c r="A542" s="275" t="str">
        <f>'Q100a-geral'!A1574</f>
        <v>9.1</v>
      </c>
      <c r="B542" s="11" t="str">
        <f>'Q100a-geral'!B1574</f>
        <v>Acidentes de trânsito</v>
      </c>
      <c r="C542" s="57" t="str">
        <f>'Q100a-geral'!C1574</f>
        <v>CMMCE</v>
      </c>
      <c r="D542" s="287" t="str">
        <f>'Q100a-geral'!D1574</f>
        <v>M30 por 100 mil habitantes</v>
      </c>
      <c r="E542" s="458" t="str">
        <f>'Q100a-geral'!E1574</f>
        <v>Belo Horizonte</v>
      </c>
      <c r="F542" s="488" t="str">
        <f>'Q100a-geral'!F1574</f>
        <v>n.º de mortos por 100 mil habitantes até 30 dias depois do acidente de trânsito acontecido em Belo Horizonte
obs.: este é um dos três indicadores sobre "mortos no trânsito" que podem ser relacionados ao "indicador urbano global" do Global City Institute com a denominação genérica de "fatalidades em acidentes nos meios de transporte por 100.000 habitantes" em GCIF(2013) e "Transportation fatalities per 100,000 population" em GCIF(2011)</v>
      </c>
      <c r="G542" s="11" t="str">
        <f>'Q100a-geral'!G1574</f>
        <v>(M30/P) x 100.000</v>
      </c>
      <c r="H542" s="173" t="str">
        <f>'Q100a-geral'!H1574</f>
        <v>x</v>
      </c>
      <c r="I542" s="57">
        <f>'Q100a-geral'!I1574</f>
        <v>1</v>
      </c>
      <c r="J542" s="107" t="str">
        <f>'Q100a-geral'!J1574</f>
        <v>x</v>
      </c>
      <c r="K542" s="84" t="str">
        <f>'Q100a-geral'!K1574</f>
        <v>x</v>
      </c>
      <c r="L542" s="84" t="str">
        <f>'Q100a-geral'!L1574</f>
        <v>x</v>
      </c>
      <c r="M542" s="84" t="str">
        <f>'Q100a-geral'!M1574</f>
        <v>x</v>
      </c>
      <c r="N542" s="84" t="str">
        <f>'Q100a-geral'!N1574</f>
        <v>x</v>
      </c>
      <c r="O542" s="84" t="str">
        <f>'Q100a-geral'!O1574</f>
        <v>x</v>
      </c>
      <c r="P542" s="84" t="str">
        <f>'Q100a-geral'!P1574</f>
        <v>x</v>
      </c>
      <c r="Q542" s="84" t="str">
        <f>'Q100a-geral'!Q1574</f>
        <v>x</v>
      </c>
      <c r="R542" s="84" t="str">
        <f>'Q100a-geral'!R1574</f>
        <v>x</v>
      </c>
      <c r="S542" s="649" t="str">
        <f>'Q100a-geral'!S1574</f>
        <v>só para pesquisa</v>
      </c>
      <c r="T542" s="84" t="str">
        <f>'Q100a-geral'!T1574</f>
        <v>x</v>
      </c>
      <c r="U542" s="84" t="str">
        <f>'Q100a-geral'!U1574</f>
        <v>x</v>
      </c>
      <c r="V542" s="107" t="str">
        <f>'Q100a-geral'!V1574</f>
        <v>só para pesquisa</v>
      </c>
      <c r="W542" s="84" t="str">
        <f>'Q100a-geral'!W1574</f>
        <v>x</v>
      </c>
      <c r="X542" s="84" t="str">
        <f>'Q100a-geral'!X1574</f>
        <v>x</v>
      </c>
      <c r="Y542" s="84" t="str">
        <f>'Q100a-geral'!Y1574</f>
        <v>x</v>
      </c>
      <c r="Z542" s="84" t="str">
        <f>'Q100a-geral'!Z1574</f>
        <v>x</v>
      </c>
      <c r="AA542" s="84" t="str">
        <f>'Q100a-geral'!AA1574</f>
        <v>x</v>
      </c>
      <c r="AB542" s="84" t="str">
        <f>'Q100a-geral'!AB1574</f>
        <v>x</v>
      </c>
      <c r="AC542" s="84" t="str">
        <f>'Q100a-geral'!AC1574</f>
        <v>x</v>
      </c>
      <c r="AD542" s="84" t="str">
        <f>'Q100a-geral'!AD1574</f>
        <v>x</v>
      </c>
      <c r="AE542" s="133"/>
      <c r="AF542" s="133"/>
      <c r="AG542" s="64">
        <f>'Q100a-geral'!AG1574</f>
        <v>14.168105833235526</v>
      </c>
      <c r="AH542" s="64">
        <f>'Q100a-geral'!AH1574</f>
        <v>10.351513178352816</v>
      </c>
      <c r="AI542" s="64">
        <f>'Q100a-geral'!AI1574</f>
        <v>9.3176533227921503</v>
      </c>
      <c r="AJ542" s="332"/>
      <c r="AK542" s="137" t="str">
        <f>'Q100a-geral'!AK1574</f>
        <v>x</v>
      </c>
      <c r="AL542" s="212" t="str">
        <f>'Q100a-geral'!AL1574</f>
        <v>x</v>
      </c>
      <c r="AM542" s="137" t="str">
        <f>'Q100a-geral'!AM1574</f>
        <v>x</v>
      </c>
      <c r="AN542" s="137" t="str">
        <f>'Q100a-geral'!AN1574</f>
        <v>x</v>
      </c>
      <c r="AO542" s="137" t="str">
        <f>'Q100a-geral'!AO1574</f>
        <v>x</v>
      </c>
      <c r="AP542" s="137" t="str">
        <f>'Q100a-geral'!AP1574</f>
        <v>x</v>
      </c>
      <c r="AQ542" s="137" t="str">
        <f>'Q100a-geral'!AQ1574</f>
        <v>x</v>
      </c>
      <c r="AR542" s="137"/>
      <c r="AS542" s="137"/>
      <c r="AT542" s="137"/>
      <c r="AU542" s="137"/>
      <c r="AV542" s="137" t="str">
        <f>'Q100a-geral'!AV1574</f>
        <v>x</v>
      </c>
      <c r="AW542" s="137"/>
      <c r="AX542" s="137"/>
      <c r="AY542" s="137"/>
      <c r="AZ542" s="137"/>
      <c r="BA542" s="137" t="str">
        <f>'Q100a-geral'!BA1574</f>
        <v>x</v>
      </c>
      <c r="BB542" s="239" t="str">
        <f>'Q100a-geral'!BB1574</f>
        <v>Acidentes de trânsitoCMMCE</v>
      </c>
      <c r="BC542" s="239" t="str">
        <f>'Q100a-geral'!BC1574</f>
        <v>Acidentes de trânsitoCMMCEx</v>
      </c>
      <c r="BD542" s="239" t="str">
        <f>'Q100a-geral'!BD1574</f>
        <v>Acidentes de trânsitox</v>
      </c>
    </row>
    <row r="543" spans="1:56" s="1" customFormat="1" ht="25.5" customHeight="1" x14ac:dyDescent="0.25">
      <c r="A543" s="275" t="str">
        <f>'Q100a-geral'!A1575</f>
        <v>9.1</v>
      </c>
      <c r="B543" s="11" t="str">
        <f>'Q100a-geral'!B1575</f>
        <v>Acidentes de trânsito</v>
      </c>
      <c r="C543" s="57" t="str">
        <f>'Q100a-geral'!C1575</f>
        <v>CMMCE</v>
      </c>
      <c r="D543" s="287" t="str">
        <f>'Q100a-geral'!D1575</f>
        <v>M30(BH) por mil AV</v>
      </c>
      <c r="E543" s="458" t="str">
        <f>'Q100a-geral'!E1575</f>
        <v>Belo Horizonte</v>
      </c>
      <c r="F543" s="488" t="str">
        <f>'Q100a-geral'!F1575</f>
        <v>n.º de mortos por mil acidentes até 30 dias depois do acidente de trânsito acontecido em Belo Horizonte</v>
      </c>
      <c r="G543" s="11" t="str">
        <f>'Q100a-geral'!G1575</f>
        <v>(M30/AV) x 1.000</v>
      </c>
      <c r="H543" s="173" t="str">
        <f>'Q100a-geral'!H1575</f>
        <v>x</v>
      </c>
      <c r="I543" s="57">
        <f>'Q100a-geral'!I1575</f>
        <v>1</v>
      </c>
      <c r="J543" s="107" t="str">
        <f>'Q100a-geral'!J1575</f>
        <v>x</v>
      </c>
      <c r="K543" s="84" t="str">
        <f>'Q100a-geral'!K1575</f>
        <v>x</v>
      </c>
      <c r="L543" s="84" t="str">
        <f>'Q100a-geral'!L1575</f>
        <v>x</v>
      </c>
      <c r="M543" s="84" t="str">
        <f>'Q100a-geral'!M1575</f>
        <v>x</v>
      </c>
      <c r="N543" s="84" t="str">
        <f>'Q100a-geral'!N1575</f>
        <v>x</v>
      </c>
      <c r="O543" s="84" t="str">
        <f>'Q100a-geral'!O1575</f>
        <v>x</v>
      </c>
      <c r="P543" s="84" t="str">
        <f>'Q100a-geral'!P1575</f>
        <v>x</v>
      </c>
      <c r="Q543" s="84" t="str">
        <f>'Q100a-geral'!Q1575</f>
        <v>x</v>
      </c>
      <c r="R543" s="84" t="str">
        <f>'Q100a-geral'!R1575</f>
        <v>x</v>
      </c>
      <c r="S543" s="649" t="str">
        <f>'Q100a-geral'!S1575</f>
        <v>só para pesquisa</v>
      </c>
      <c r="T543" s="84" t="str">
        <f>'Q100a-geral'!T1575</f>
        <v>x</v>
      </c>
      <c r="U543" s="84" t="str">
        <f>'Q100a-geral'!U1575</f>
        <v>x</v>
      </c>
      <c r="V543" s="107" t="str">
        <f>'Q100a-geral'!V1575</f>
        <v>só para pesquisa</v>
      </c>
      <c r="W543" s="84" t="str">
        <f>'Q100a-geral'!W1575</f>
        <v>x</v>
      </c>
      <c r="X543" s="84" t="str">
        <f>'Q100a-geral'!X1575</f>
        <v>x</v>
      </c>
      <c r="Y543" s="84" t="str">
        <f>'Q100a-geral'!Y1575</f>
        <v>x</v>
      </c>
      <c r="Z543" s="84" t="str">
        <f>'Q100a-geral'!Z1575</f>
        <v>x</v>
      </c>
      <c r="AA543" s="84" t="str">
        <f>'Q100a-geral'!AA1575</f>
        <v>x</v>
      </c>
      <c r="AB543" s="84" t="str">
        <f>'Q100a-geral'!AB1575</f>
        <v>x</v>
      </c>
      <c r="AC543" s="84" t="str">
        <f>'Q100a-geral'!AC1575</f>
        <v>x</v>
      </c>
      <c r="AD543" s="84" t="str">
        <f>'Q100a-geral'!AD1575</f>
        <v>x</v>
      </c>
      <c r="AE543" s="84" t="str">
        <f>'Q100a-geral'!AE1575</f>
        <v>x</v>
      </c>
      <c r="AF543" s="84" t="str">
        <f>'Q100a-geral'!AF1575</f>
        <v>x</v>
      </c>
      <c r="AG543" s="64">
        <f>'Q100a-geral'!AG1575</f>
        <v>20.743832085430217</v>
      </c>
      <c r="AH543" s="64">
        <f>'Q100a-geral'!AH1575</f>
        <v>16.251638269986891</v>
      </c>
      <c r="AI543" s="64">
        <f>'Q100a-geral'!AI1575</f>
        <v>16.330858960763521</v>
      </c>
      <c r="AJ543" s="332"/>
      <c r="AK543" s="137" t="str">
        <f>'Q100a-geral'!AK1575</f>
        <v>x</v>
      </c>
      <c r="AL543" s="212" t="str">
        <f>'Q100a-geral'!AL1575</f>
        <v>x</v>
      </c>
      <c r="AM543" s="137" t="str">
        <f>'Q100a-geral'!AM1575</f>
        <v>x</v>
      </c>
      <c r="AN543" s="137" t="str">
        <f>'Q100a-geral'!AN1575</f>
        <v>x</v>
      </c>
      <c r="AO543" s="137" t="str">
        <f>'Q100a-geral'!AO1575</f>
        <v>x</v>
      </c>
      <c r="AP543" s="137" t="str">
        <f>'Q100a-geral'!AP1575</f>
        <v>x</v>
      </c>
      <c r="AQ543" s="137" t="str">
        <f>'Q100a-geral'!AQ1575</f>
        <v>x</v>
      </c>
      <c r="AR543" s="137"/>
      <c r="AS543" s="137"/>
      <c r="AT543" s="137"/>
      <c r="AU543" s="137"/>
      <c r="AV543" s="137" t="str">
        <f>'Q100a-geral'!AV1575</f>
        <v>x</v>
      </c>
      <c r="AW543" s="137"/>
      <c r="AX543" s="137"/>
      <c r="AY543" s="137"/>
      <c r="AZ543" s="137"/>
      <c r="BA543" s="137" t="str">
        <f>'Q100a-geral'!BA1575</f>
        <v>x</v>
      </c>
      <c r="BB543" s="239" t="str">
        <f>'Q100a-geral'!BB1575</f>
        <v>Acidentes de trânsitoCMMCE</v>
      </c>
      <c r="BC543" s="239" t="str">
        <f>'Q100a-geral'!BC1575</f>
        <v>Acidentes de trânsitoCMMCEx</v>
      </c>
      <c r="BD543" s="239" t="str">
        <f>'Q100a-geral'!BD1575</f>
        <v>Acidentes de trânsitox</v>
      </c>
    </row>
    <row r="544" spans="1:56" s="1" customFormat="1" ht="25.5" customHeight="1" x14ac:dyDescent="0.25">
      <c r="A544" s="275" t="str">
        <f>'Q100a-geral'!A1599</f>
        <v>8.5</v>
      </c>
      <c r="B544" s="11" t="str">
        <f>'Q100a-geral'!B1599</f>
        <v>Transporte convencional</v>
      </c>
      <c r="C544" s="57" t="str">
        <f>'Q100a-geral'!C1599</f>
        <v>x</v>
      </c>
      <c r="D544" s="322" t="str">
        <f>'Q100a-geral'!D1599</f>
        <v xml:space="preserve">MCO </v>
      </c>
      <c r="E544" s="11" t="str">
        <f>'Q100a-geral'!E1599</f>
        <v>Belo Horizonte</v>
      </c>
      <c r="F544" s="445" t="str">
        <f>'Q100a-geral'!F1599</f>
        <v>Mapa de Controle Operacional do transporte coletivo de Belo Horizonte</v>
      </c>
      <c r="G544" s="14" t="str">
        <f>'Q100a-geral'!G1599</f>
        <v>sigla</v>
      </c>
      <c r="H544" s="169" t="str">
        <f>'Q100a-geral'!H1599</f>
        <v>sigla/verbete</v>
      </c>
      <c r="I544" s="57" t="str">
        <f>'Q100a-geral'!I1599</f>
        <v>x</v>
      </c>
      <c r="J544" s="109" t="str">
        <f>'Q100a-geral'!J1599</f>
        <v>x</v>
      </c>
      <c r="K544" s="109" t="str">
        <f>'Q100a-geral'!K1599</f>
        <v>x</v>
      </c>
      <c r="L544" s="109" t="str">
        <f>'Q100a-geral'!L1599</f>
        <v>x</v>
      </c>
      <c r="M544" s="109" t="str">
        <f>'Q100a-geral'!M1599</f>
        <v>x</v>
      </c>
      <c r="N544" s="109" t="str">
        <f>'Q100a-geral'!N1599</f>
        <v>x</v>
      </c>
      <c r="O544" s="109" t="str">
        <f>'Q100a-geral'!O1599</f>
        <v>x</v>
      </c>
      <c r="P544" s="109" t="str">
        <f>'Q100a-geral'!P1599</f>
        <v>x</v>
      </c>
      <c r="Q544" s="109" t="str">
        <f>'Q100a-geral'!Q1599</f>
        <v>x</v>
      </c>
      <c r="R544" s="109" t="str">
        <f>'Q100a-geral'!R1599</f>
        <v>x</v>
      </c>
      <c r="S544" s="109" t="str">
        <f>'Q100a-geral'!S1599</f>
        <v>só para pesquisa</v>
      </c>
      <c r="T544" s="109" t="str">
        <f>'Q100a-geral'!T1599</f>
        <v>x</v>
      </c>
      <c r="U544" s="109" t="str">
        <f>'Q100a-geral'!U1599</f>
        <v>x</v>
      </c>
      <c r="V544" s="109" t="str">
        <f>'Q100a-geral'!V1599</f>
        <v>só para pesquisa</v>
      </c>
      <c r="W544" s="109" t="str">
        <f>'Q100a-geral'!W1599</f>
        <v>x</v>
      </c>
      <c r="X544" s="109" t="str">
        <f>'Q100a-geral'!X1599</f>
        <v>x</v>
      </c>
      <c r="Y544" s="109" t="str">
        <f>'Q100a-geral'!Y1599</f>
        <v>x</v>
      </c>
      <c r="Z544" s="109" t="str">
        <f>'Q100a-geral'!Z1599</f>
        <v>x</v>
      </c>
      <c r="AA544" s="109" t="str">
        <f>'Q100a-geral'!AA1599</f>
        <v>x</v>
      </c>
      <c r="AB544" s="109" t="str">
        <f>'Q100a-geral'!AB1599</f>
        <v>x</v>
      </c>
      <c r="AC544" s="109" t="str">
        <f>'Q100a-geral'!AC1599</f>
        <v>x</v>
      </c>
      <c r="AD544" s="109" t="str">
        <f>'Q100a-geral'!AD1599</f>
        <v>x</v>
      </c>
      <c r="AE544" s="109" t="str">
        <f>'Q100a-geral'!AE1599</f>
        <v>x</v>
      </c>
      <c r="AF544" s="109" t="str">
        <f>'Q100a-geral'!AF1599</f>
        <v>x</v>
      </c>
      <c r="AG544" s="109" t="str">
        <f>'Q100a-geral'!AG1599</f>
        <v>x</v>
      </c>
      <c r="AH544" s="109" t="str">
        <f>'Q100a-geral'!AH1599</f>
        <v>x</v>
      </c>
      <c r="AI544" s="109" t="str">
        <f>'Q100a-geral'!AI1599</f>
        <v>x</v>
      </c>
      <c r="AJ544" s="109" t="str">
        <f>'Q100a-geral'!AJ1599</f>
        <v>x</v>
      </c>
      <c r="AK544" s="109" t="str">
        <f>'Q100a-geral'!AK1599</f>
        <v>x</v>
      </c>
      <c r="AL544" s="167" t="str">
        <f>'Q100a-geral'!AL1599</f>
        <v>x</v>
      </c>
      <c r="AM544" s="109" t="str">
        <f>'Q100a-geral'!AM1599</f>
        <v>x</v>
      </c>
      <c r="AN544" s="109" t="str">
        <f>'Q100a-geral'!AN1599</f>
        <v>x</v>
      </c>
      <c r="AO544" s="109" t="str">
        <f>'Q100a-geral'!AO1599</f>
        <v>x</v>
      </c>
      <c r="AP544" s="109" t="str">
        <f>'Q100a-geral'!AP1599</f>
        <v>x</v>
      </c>
      <c r="AQ544" s="109" t="str">
        <f>'Q100a-geral'!AQ1599</f>
        <v>x</v>
      </c>
      <c r="AR544" s="109"/>
      <c r="AS544" s="109"/>
      <c r="AT544" s="109"/>
      <c r="AU544" s="109"/>
      <c r="AV544" s="109" t="str">
        <f>'Q100a-geral'!AV1599</f>
        <v>x</v>
      </c>
      <c r="AW544" s="109"/>
      <c r="AX544" s="109"/>
      <c r="AY544" s="109"/>
      <c r="AZ544" s="109"/>
      <c r="BA544" s="109" t="str">
        <f>'Q100a-geral'!BA1599</f>
        <v>x</v>
      </c>
      <c r="BB544" s="239" t="str">
        <f>'Q100a-geral'!BB1599</f>
        <v>Transporte convencionalx</v>
      </c>
      <c r="BC544" s="239" t="str">
        <f>'Q100a-geral'!BC1599</f>
        <v>Transporte convencionalxsigla/verbete</v>
      </c>
      <c r="BD544" s="239" t="str">
        <f>'Q100a-geral'!BD1599</f>
        <v>Transporte convencionalsigla/verbete</v>
      </c>
    </row>
    <row r="545" spans="1:56" s="1" customFormat="1" ht="213.75" customHeight="1" x14ac:dyDescent="0.25">
      <c r="A545" s="275" t="str">
        <f>'Q100a-geral'!A1580</f>
        <v>9.1</v>
      </c>
      <c r="B545" s="11" t="str">
        <f>'Q100a-geral'!B1580</f>
        <v>Acidentes de trânsito</v>
      </c>
      <c r="C545" s="57" t="str">
        <f>'Q100a-geral'!C1580</f>
        <v>x</v>
      </c>
      <c r="D545" s="287" t="str">
        <f>'Q100a-geral'!D1580</f>
        <v>M30(SP)
mortes no trânsito</v>
      </c>
      <c r="E545" s="458" t="str">
        <f>'Q100a-geral'!E1580</f>
        <v>São Paulo</v>
      </c>
      <c r="F545" s="488" t="str">
        <f>'Q100a-geral'!F1580</f>
        <v>"Mortes no trânsito" em São Paulo é conceituado como sendo: "Número total de óbitos em acidentes de trânsito. São considerados mortes de: ciclistas, notociclistas, pedestres, motoristas e passageiros. São consideradas mortes no local ou posteriores, independente da data em que tenha ocorrido o acidente" (acesso em 05/01/2015) e "Número total de óbitos em acidentes de trânsito. São considerados mortes de: ciclistas, notociclistas, pedestres, motoristas e passageiros. São consideradas mortes no local ou posteriores (até 30 dias após a data do acidente)" (acesso em 19/11/2015 e 29/02/2016)
obs.: fonte da definição mais recente e resultados de 2008 a 2014 em SP (2015d)</v>
      </c>
      <c r="G545" s="252" t="str">
        <f>'Q100a-geral'!G1580</f>
        <v>registro na fonte</v>
      </c>
      <c r="H545" s="169" t="str">
        <f>'Q100a-geral'!H1580</f>
        <v>benchmarking</v>
      </c>
      <c r="I545" s="167" t="str">
        <f>'Q100a-geral'!I1580</f>
        <v>x</v>
      </c>
      <c r="J545" s="84" t="str">
        <f>'Q100a-geral'!J1580</f>
        <v>x</v>
      </c>
      <c r="K545" s="84" t="str">
        <f>'Q100a-geral'!K1580</f>
        <v>x</v>
      </c>
      <c r="L545" s="84" t="str">
        <f>'Q100a-geral'!L1580</f>
        <v>x</v>
      </c>
      <c r="M545" s="84" t="str">
        <f>'Q100a-geral'!M1580</f>
        <v>x</v>
      </c>
      <c r="N545" s="84" t="str">
        <f>'Q100a-geral'!N1580</f>
        <v>x</v>
      </c>
      <c r="O545" s="84" t="str">
        <f>'Q100a-geral'!O1580</f>
        <v>x</v>
      </c>
      <c r="P545" s="84" t="str">
        <f>'Q100a-geral'!P1580</f>
        <v>x</v>
      </c>
      <c r="Q545" s="84" t="str">
        <f>'Q100a-geral'!Q1580</f>
        <v>x</v>
      </c>
      <c r="R545" s="84" t="str">
        <f>'Q100a-geral'!R1580</f>
        <v>x</v>
      </c>
      <c r="S545" s="649" t="str">
        <f>'Q100a-geral'!S1580</f>
        <v>só para pesquisa</v>
      </c>
      <c r="T545" s="84" t="str">
        <f>'Q100a-geral'!T1580</f>
        <v>x</v>
      </c>
      <c r="U545" s="84" t="str">
        <f>'Q100a-geral'!U1580</f>
        <v>x</v>
      </c>
      <c r="V545" s="107" t="str">
        <f>'Q100a-geral'!V1580</f>
        <v>só para pesquisa</v>
      </c>
      <c r="W545" s="84" t="str">
        <f>'Q100a-geral'!W1580</f>
        <v>x</v>
      </c>
      <c r="X545" s="84" t="str">
        <f>'Q100a-geral'!X1580</f>
        <v>x</v>
      </c>
      <c r="Y545" s="84" t="str">
        <f>'Q100a-geral'!Y1580</f>
        <v>x</v>
      </c>
      <c r="Z545" s="84" t="str">
        <f>'Q100a-geral'!Z1580</f>
        <v>x</v>
      </c>
      <c r="AA545" s="84" t="str">
        <f>'Q100a-geral'!AA1580</f>
        <v>x</v>
      </c>
      <c r="AB545" s="84" t="str">
        <f>'Q100a-geral'!AB1580</f>
        <v>x</v>
      </c>
      <c r="AC545" s="84" t="str">
        <f>'Q100a-geral'!AC1580</f>
        <v>x</v>
      </c>
      <c r="AD545" s="84">
        <f>'Q100a-geral'!AD1580</f>
        <v>1463</v>
      </c>
      <c r="AE545" s="175">
        <f>'Q100a-geral'!AE1580</f>
        <v>1382</v>
      </c>
      <c r="AF545" s="175">
        <f>'Q100a-geral'!AF1580</f>
        <v>1357</v>
      </c>
      <c r="AG545" s="175">
        <f>'Q100a-geral'!AG1580</f>
        <v>1365</v>
      </c>
      <c r="AH545" s="175">
        <f>'Q100a-geral'!AH1580</f>
        <v>1231</v>
      </c>
      <c r="AI545" s="175">
        <f>'Q100a-geral'!AI1580</f>
        <v>1152</v>
      </c>
      <c r="AJ545" s="175">
        <f>'Q100a-geral'!AJ1580</f>
        <v>1249</v>
      </c>
      <c r="AK545" s="137" t="str">
        <f>'Q100a-geral'!AK1580</f>
        <v>x</v>
      </c>
      <c r="AL545" s="212" t="str">
        <f>'Q100a-geral'!AL1580</f>
        <v>x</v>
      </c>
      <c r="AM545" s="137" t="str">
        <f>'Q100a-geral'!AM1580</f>
        <v>x</v>
      </c>
      <c r="AN545" s="137" t="str">
        <f>'Q100a-geral'!AN1580</f>
        <v>x</v>
      </c>
      <c r="AO545" s="137" t="str">
        <f>'Q100a-geral'!AO1580</f>
        <v>x</v>
      </c>
      <c r="AP545" s="137" t="str">
        <f>'Q100a-geral'!AP1580</f>
        <v>x</v>
      </c>
      <c r="AQ545" s="137" t="str">
        <f>'Q100a-geral'!AQ1580</f>
        <v>x</v>
      </c>
      <c r="AR545" s="137"/>
      <c r="AS545" s="137"/>
      <c r="AT545" s="137"/>
      <c r="AU545" s="137"/>
      <c r="AV545" s="137" t="str">
        <f>'Q100a-geral'!AV1580</f>
        <v>x</v>
      </c>
      <c r="AW545" s="137"/>
      <c r="AX545" s="137"/>
      <c r="AY545" s="137"/>
      <c r="AZ545" s="137"/>
      <c r="BA545" s="137" t="str">
        <f>'Q100a-geral'!BA1580</f>
        <v>x</v>
      </c>
      <c r="BB545" s="239" t="str">
        <f>'Q100a-geral'!BB1580</f>
        <v>Acidentes de trânsitox</v>
      </c>
      <c r="BC545" s="239" t="str">
        <f>'Q100a-geral'!BC1580</f>
        <v>Acidentes de trânsitoxbenchmarking</v>
      </c>
      <c r="BD545" s="239" t="str">
        <f>'Q100a-geral'!BD1580</f>
        <v>Acidentes de trânsitobenchmarking</v>
      </c>
    </row>
    <row r="546" spans="1:56" s="1" customFormat="1" ht="68.25" customHeight="1" x14ac:dyDescent="0.25">
      <c r="A546" s="275" t="str">
        <f>'Q100a-geral'!A1581</f>
        <v>9.1</v>
      </c>
      <c r="B546" s="11" t="str">
        <f>'Q100a-geral'!B1581</f>
        <v>Acidentes de trânsito</v>
      </c>
      <c r="C546" s="57" t="str">
        <f>'Q100a-geral'!C1581</f>
        <v>x</v>
      </c>
      <c r="D546" s="287" t="str">
        <f>'Q100a-geral'!D1581</f>
        <v>M30(SP)
mortes no trânsito por 10 mil veículos</v>
      </c>
      <c r="E546" s="458" t="str">
        <f>'Q100a-geral'!E1581</f>
        <v>São Paulo</v>
      </c>
      <c r="F546" s="488" t="str">
        <f>'Q100a-geral'!F1581</f>
        <v>n.º de mortos por 10 mil veículos até 30 dias depois do acidente de trânsito em São Paulo (SP)
obs.: na fonte consultada (SP, 2015c) os resultados desse indicador tiveram arredondamentos abandonando os resultados a partir da terceira casa decimal (diferente do arredondamento-padrão que é adotado no SisMob-BH); portanto, aqui encontra-se 1,97 (em vez de 1,96 ) em 2010 e encontra-se 1,90 (em vez de 1,89) em 2011 (os demais anos apresentam resultados idênticos).</v>
      </c>
      <c r="G546" s="11" t="str">
        <f>'Q100a-geral'!G1581</f>
        <v>(mortes no trânsito (SP) / F(SP)) x 10.000</v>
      </c>
      <c r="H546" s="169" t="str">
        <f>'Q100a-geral'!H1581</f>
        <v>benchmarking</v>
      </c>
      <c r="I546" s="167" t="str">
        <f>'Q100a-geral'!I1581</f>
        <v>x</v>
      </c>
      <c r="J546" s="84" t="str">
        <f>'Q100a-geral'!J1581</f>
        <v>x</v>
      </c>
      <c r="K546" s="84" t="str">
        <f>'Q100a-geral'!K1581</f>
        <v>x</v>
      </c>
      <c r="L546" s="84" t="str">
        <f>'Q100a-geral'!L1581</f>
        <v>x</v>
      </c>
      <c r="M546" s="84" t="str">
        <f>'Q100a-geral'!M1581</f>
        <v>x</v>
      </c>
      <c r="N546" s="84" t="str">
        <f>'Q100a-geral'!N1581</f>
        <v>x</v>
      </c>
      <c r="O546" s="84" t="str">
        <f>'Q100a-geral'!O1581</f>
        <v>x</v>
      </c>
      <c r="P546" s="84" t="str">
        <f>'Q100a-geral'!P1581</f>
        <v>x</v>
      </c>
      <c r="Q546" s="84" t="str">
        <f>'Q100a-geral'!Q1581</f>
        <v>x</v>
      </c>
      <c r="R546" s="84" t="str">
        <f>'Q100a-geral'!R1581</f>
        <v>x</v>
      </c>
      <c r="S546" s="649" t="str">
        <f>'Q100a-geral'!S1581</f>
        <v>só para pesquisa</v>
      </c>
      <c r="T546" s="84" t="str">
        <f>'Q100a-geral'!T1581</f>
        <v>x</v>
      </c>
      <c r="U546" s="84" t="str">
        <f>'Q100a-geral'!U1581</f>
        <v>x</v>
      </c>
      <c r="V546" s="107" t="str">
        <f>'Q100a-geral'!V1581</f>
        <v>só para pesquisa</v>
      </c>
      <c r="W546" s="84" t="str">
        <f>'Q100a-geral'!W1581</f>
        <v>x</v>
      </c>
      <c r="X546" s="84" t="str">
        <f>'Q100a-geral'!X1581</f>
        <v>x</v>
      </c>
      <c r="Y546" s="84" t="str">
        <f>'Q100a-geral'!Y1581</f>
        <v>x</v>
      </c>
      <c r="Z546" s="84" t="str">
        <f>'Q100a-geral'!Z1581</f>
        <v>x</v>
      </c>
      <c r="AA546" s="84" t="str">
        <f>'Q100a-geral'!AA1581</f>
        <v>x</v>
      </c>
      <c r="AB546" s="84" t="str">
        <f>'Q100a-geral'!AB1581</f>
        <v>x</v>
      </c>
      <c r="AC546" s="84" t="str">
        <f>'Q100a-geral'!AC1581</f>
        <v>x</v>
      </c>
      <c r="AD546" s="84">
        <f>'Q100a-geral'!AD1581</f>
        <v>2.3022913227851776</v>
      </c>
      <c r="AE546" s="81">
        <f>'Q100a-geral'!AE1581</f>
        <v>2.0712184414575803</v>
      </c>
      <c r="AF546" s="81">
        <f>'Q100a-geral'!AF1581</f>
        <v>1.966068013203516</v>
      </c>
      <c r="AG546" s="81">
        <f>'Q100a-geral'!AG1581</f>
        <v>1.8993354969524363</v>
      </c>
      <c r="AH546" s="81">
        <f>'Q100a-geral'!AH1581</f>
        <v>1.6718251958045471</v>
      </c>
      <c r="AI546" s="81">
        <f>'Q100a-geral'!AI1581</f>
        <v>1.5203473148977145</v>
      </c>
      <c r="AJ546" s="81">
        <f>'Q100a-geral'!AJ1581</f>
        <v>1.5834602066561363</v>
      </c>
      <c r="AK546" s="137" t="str">
        <f>'Q100a-geral'!AK1581</f>
        <v>x</v>
      </c>
      <c r="AL546" s="212" t="str">
        <f>'Q100a-geral'!AL1581</f>
        <v>x</v>
      </c>
      <c r="AM546" s="137" t="str">
        <f>'Q100a-geral'!AM1581</f>
        <v>x</v>
      </c>
      <c r="AN546" s="137" t="str">
        <f>'Q100a-geral'!AN1581</f>
        <v>x</v>
      </c>
      <c r="AO546" s="137" t="str">
        <f>'Q100a-geral'!AO1581</f>
        <v>x</v>
      </c>
      <c r="AP546" s="137" t="str">
        <f>'Q100a-geral'!AP1581</f>
        <v>x</v>
      </c>
      <c r="AQ546" s="137" t="str">
        <f>'Q100a-geral'!AQ1581</f>
        <v>x</v>
      </c>
      <c r="AR546" s="137"/>
      <c r="AS546" s="137"/>
      <c r="AT546" s="137"/>
      <c r="AU546" s="137"/>
      <c r="AV546" s="137" t="str">
        <f>'Q100a-geral'!AV1581</f>
        <v>x</v>
      </c>
      <c r="AW546" s="137"/>
      <c r="AX546" s="137"/>
      <c r="AY546" s="137"/>
      <c r="AZ546" s="137"/>
      <c r="BA546" s="137" t="str">
        <f>'Q100a-geral'!BA1581</f>
        <v>x</v>
      </c>
      <c r="BB546" s="239" t="str">
        <f>'Q100a-geral'!BB1581</f>
        <v>Acidentes de trânsitox</v>
      </c>
      <c r="BC546" s="239" t="str">
        <f>'Q100a-geral'!BC1581</f>
        <v>Acidentes de trânsitoxbenchmarking</v>
      </c>
      <c r="BD546" s="239" t="str">
        <f>'Q100a-geral'!BD1581</f>
        <v>Acidentes de trânsitobenchmarking</v>
      </c>
    </row>
    <row r="547" spans="1:56" s="1" customFormat="1" ht="70.5" customHeight="1" x14ac:dyDescent="0.25">
      <c r="A547" s="275" t="str">
        <f>'Q100a-geral'!A1582</f>
        <v>9.1</v>
      </c>
      <c r="B547" s="11" t="str">
        <f>'Q100a-geral'!B1582</f>
        <v>Acidentes de trânsito</v>
      </c>
      <c r="C547" s="57" t="str">
        <f>'Q100a-geral'!C1582</f>
        <v>x</v>
      </c>
      <c r="D547" s="287" t="str">
        <f>'Q100a-geral'!D1582</f>
        <v>M30(SP)
mortes no trânsito por 100 mil habitantes</v>
      </c>
      <c r="E547" s="458" t="str">
        <f>'Q100a-geral'!E1582</f>
        <v>São Paulo</v>
      </c>
      <c r="F547" s="488" t="str">
        <f>'Q100a-geral'!F1582</f>
        <v>n.º de mortos por 100 mil habitantes até 30 dias depois do acidente de trânsito em São Paulo (SP)
obs.1: na fonte consultada (SP, 2015b) os resultados desse indicador tiveram arredondamentos abandonando os resultados a partir da terceira casa decimal (diferente do arredondamento-padrão que é adotado no SisMob-BH): aqui no SisMob-BH encontra-se 12,06 (em vez de 12,05) em 2010 e encontra-se 12,08 (em vez de 12,07) em 2011 (os demais anos apresentam resultados idênticos)
obs.2: em outra fonte consultada os resultados deste indicador são diferentes e não foram aqui incorporados "A taxa de mortos por 100 mil habitantes [de 2013 para 2014] variou de 9,56 [em vez de 10,10] para 10,47 [em vez de 10,90], aumento de 9,5%" conforme SP(2015e, p.50).</v>
      </c>
      <c r="G547" s="11" t="str">
        <f>'Q100a-geral'!G1582</f>
        <v>(mortes no trânsito (SP) / P(SP)) x 100.000</v>
      </c>
      <c r="H547" s="169" t="str">
        <f>'Q100a-geral'!H1582</f>
        <v>benchmarking</v>
      </c>
      <c r="I547" s="167" t="str">
        <f>'Q100a-geral'!I1582</f>
        <v>x</v>
      </c>
      <c r="J547" s="84" t="str">
        <f>'Q100a-geral'!J1582</f>
        <v>x</v>
      </c>
      <c r="K547" s="84" t="str">
        <f>'Q100a-geral'!K1582</f>
        <v>x</v>
      </c>
      <c r="L547" s="84" t="str">
        <f>'Q100a-geral'!L1582</f>
        <v>x</v>
      </c>
      <c r="M547" s="84" t="str">
        <f>'Q100a-geral'!M1582</f>
        <v>x</v>
      </c>
      <c r="N547" s="84" t="str">
        <f>'Q100a-geral'!N1582</f>
        <v>x</v>
      </c>
      <c r="O547" s="84" t="str">
        <f>'Q100a-geral'!O1582</f>
        <v>x</v>
      </c>
      <c r="P547" s="84" t="str">
        <f>'Q100a-geral'!P1582</f>
        <v>x</v>
      </c>
      <c r="Q547" s="84" t="str">
        <f>'Q100a-geral'!Q1582</f>
        <v>x</v>
      </c>
      <c r="R547" s="84" t="str">
        <f>'Q100a-geral'!R1582</f>
        <v>x</v>
      </c>
      <c r="S547" s="649" t="str">
        <f>'Q100a-geral'!S1582</f>
        <v>só para pesquisa</v>
      </c>
      <c r="T547" s="84" t="str">
        <f>'Q100a-geral'!T1582</f>
        <v>x</v>
      </c>
      <c r="U547" s="84" t="str">
        <f>'Q100a-geral'!U1582</f>
        <v>x</v>
      </c>
      <c r="V547" s="107" t="str">
        <f>'Q100a-geral'!V1582</f>
        <v>só para pesquisa</v>
      </c>
      <c r="W547" s="84" t="str">
        <f>'Q100a-geral'!W1582</f>
        <v>x</v>
      </c>
      <c r="X547" s="84" t="str">
        <f>'Q100a-geral'!X1582</f>
        <v>x</v>
      </c>
      <c r="Y547" s="84" t="str">
        <f>'Q100a-geral'!Y1582</f>
        <v>x</v>
      </c>
      <c r="Z547" s="84" t="str">
        <f>'Q100a-geral'!Z1582</f>
        <v>x</v>
      </c>
      <c r="AA547" s="84" t="str">
        <f>'Q100a-geral'!AA1582</f>
        <v>x</v>
      </c>
      <c r="AB547" s="84" t="str">
        <f>'Q100a-geral'!AB1582</f>
        <v>x</v>
      </c>
      <c r="AC547" s="84" t="str">
        <f>'Q100a-geral'!AC1582</f>
        <v>x</v>
      </c>
      <c r="AD547" s="84">
        <f>'Q100a-geral'!AD1582</f>
        <v>13.192478898345955</v>
      </c>
      <c r="AE547" s="81">
        <f>'Q100a-geral'!AE1582</f>
        <v>12.370678520080153</v>
      </c>
      <c r="AF547" s="81">
        <f>'Q100a-geral'!AF1582</f>
        <v>12.058467483413832</v>
      </c>
      <c r="AG547" s="81" t="e">
        <f>'Q100a-geral'!AG1582</f>
        <v>#VALUE!</v>
      </c>
      <c r="AH547" s="81" t="e">
        <f>'Q100a-geral'!AH1582</f>
        <v>#VALUE!</v>
      </c>
      <c r="AI547" s="81" t="e">
        <f>'Q100a-geral'!AI1582</f>
        <v>#VALUE!</v>
      </c>
      <c r="AJ547" s="81" t="e">
        <f>'Q100a-geral'!AJ1582</f>
        <v>#VALUE!</v>
      </c>
      <c r="AK547" s="137" t="str">
        <f>'Q100a-geral'!AK1582</f>
        <v>x</v>
      </c>
      <c r="AL547" s="212" t="str">
        <f>'Q100a-geral'!AL1582</f>
        <v>x</v>
      </c>
      <c r="AM547" s="137" t="str">
        <f>'Q100a-geral'!AM1582</f>
        <v>x</v>
      </c>
      <c r="AN547" s="137" t="str">
        <f>'Q100a-geral'!AN1582</f>
        <v>x</v>
      </c>
      <c r="AO547" s="137" t="str">
        <f>'Q100a-geral'!AO1582</f>
        <v>x</v>
      </c>
      <c r="AP547" s="137" t="str">
        <f>'Q100a-geral'!AP1582</f>
        <v>x</v>
      </c>
      <c r="AQ547" s="137" t="str">
        <f>'Q100a-geral'!AQ1582</f>
        <v>x</v>
      </c>
      <c r="AR547" s="137"/>
      <c r="AS547" s="137"/>
      <c r="AT547" s="137"/>
      <c r="AU547" s="137"/>
      <c r="AV547" s="137" t="str">
        <f>'Q100a-geral'!AV1582</f>
        <v>x</v>
      </c>
      <c r="AW547" s="137"/>
      <c r="AX547" s="137"/>
      <c r="AY547" s="137"/>
      <c r="AZ547" s="137"/>
      <c r="BA547" s="137" t="str">
        <f>'Q100a-geral'!BA1582</f>
        <v>x</v>
      </c>
      <c r="BB547" s="239" t="str">
        <f>'Q100a-geral'!BB1582</f>
        <v>Acidentes de trânsitox</v>
      </c>
      <c r="BC547" s="239" t="str">
        <f>'Q100a-geral'!BC1582</f>
        <v>Acidentes de trânsitoxbenchmarking</v>
      </c>
      <c r="BD547" s="239" t="str">
        <f>'Q100a-geral'!BD1582</f>
        <v>Acidentes de trânsitobenchmarking</v>
      </c>
    </row>
    <row r="548" spans="1:56" s="1" customFormat="1" ht="78.75" customHeight="1" x14ac:dyDescent="0.25">
      <c r="A548" s="275" t="str">
        <f>'Q100a-geral'!A1592</f>
        <v>1.2</v>
      </c>
      <c r="B548" s="54" t="str">
        <f>'Q100a-geral'!B1592</f>
        <v>Atendimento ao usuário em geral</v>
      </c>
      <c r="C548" s="57" t="str">
        <f>'Q100a-geral'!C1592</f>
        <v>x</v>
      </c>
      <c r="D548" s="9" t="str">
        <f>'Q100a-geral'!D1592</f>
        <v>manifestações</v>
      </c>
      <c r="E548" s="5" t="str">
        <f>'Q100a-geral'!E1592</f>
        <v>Belo Horizonte</v>
      </c>
      <c r="F548" s="445" t="str">
        <f>'Q100a-geral'!F1592</f>
        <v>somatória de todos os tipos de manifestações dirigidas à organização 
obs.: IRE é indicador recomendado em ANTP(2011a, p.19)</v>
      </c>
      <c r="G548" s="252" t="str">
        <f>'Q100a-geral'!G1592</f>
        <v>componente de IRE</v>
      </c>
      <c r="H548" s="169" t="str">
        <f>'Q100a-geral'!H1592</f>
        <v>ainda não incorporado ao SisMob-BH</v>
      </c>
      <c r="I548" s="57">
        <f>'Q100a-geral'!I1592</f>
        <v>1</v>
      </c>
      <c r="J548" s="109" t="str">
        <f>'Q100a-geral'!J1592</f>
        <v>x</v>
      </c>
      <c r="K548" s="110" t="str">
        <f>'Q100a-geral'!K1592</f>
        <v>x</v>
      </c>
      <c r="L548" s="110" t="str">
        <f>'Q100a-geral'!L1592</f>
        <v>x</v>
      </c>
      <c r="M548" s="110" t="str">
        <f>'Q100a-geral'!M1592</f>
        <v>x</v>
      </c>
      <c r="N548" s="110" t="str">
        <f>'Q100a-geral'!N1592</f>
        <v>x</v>
      </c>
      <c r="O548" s="110" t="str">
        <f>'Q100a-geral'!O1592</f>
        <v>x</v>
      </c>
      <c r="P548" s="110" t="str">
        <f>'Q100a-geral'!P1592</f>
        <v>x</v>
      </c>
      <c r="Q548" s="110" t="str">
        <f>'Q100a-geral'!Q1592</f>
        <v>x</v>
      </c>
      <c r="R548" s="110" t="str">
        <f>'Q100a-geral'!R1592</f>
        <v>x</v>
      </c>
      <c r="S548" s="109" t="str">
        <f>'Q100a-geral'!S1592</f>
        <v>só para pesquisa</v>
      </c>
      <c r="T548" s="110" t="str">
        <f>'Q100a-geral'!T1592</f>
        <v>x</v>
      </c>
      <c r="U548" s="110" t="str">
        <f>'Q100a-geral'!U1592</f>
        <v>x</v>
      </c>
      <c r="V548" s="107" t="str">
        <f>'Q100a-geral'!V1592</f>
        <v>só para pesquisa</v>
      </c>
      <c r="W548" s="110" t="str">
        <f>'Q100a-geral'!W1592</f>
        <v>x</v>
      </c>
      <c r="X548" s="110" t="str">
        <f>'Q100a-geral'!X1592</f>
        <v>x</v>
      </c>
      <c r="Y548" s="110" t="str">
        <f>'Q100a-geral'!Y1592</f>
        <v>x</v>
      </c>
      <c r="Z548" s="110" t="str">
        <f>'Q100a-geral'!Z1592</f>
        <v>x</v>
      </c>
      <c r="AA548" s="110" t="str">
        <f>'Q100a-geral'!AA1592</f>
        <v>x</v>
      </c>
      <c r="AB548" s="110" t="str">
        <f>'Q100a-geral'!AB1592</f>
        <v>x</v>
      </c>
      <c r="AC548" s="110" t="str">
        <f>'Q100a-geral'!AC1592</f>
        <v>x</v>
      </c>
      <c r="AD548" s="110" t="str">
        <f>'Q100a-geral'!AD1592</f>
        <v>x</v>
      </c>
      <c r="AE548" s="110" t="str">
        <f>'Q100a-geral'!AE1592</f>
        <v>x</v>
      </c>
      <c r="AF548" s="110" t="str">
        <f>'Q100a-geral'!AF1592</f>
        <v>x</v>
      </c>
      <c r="AG548" s="110" t="str">
        <f>'Q100a-geral'!AG1592</f>
        <v>x</v>
      </c>
      <c r="AH548" s="110" t="str">
        <f>'Q100a-geral'!AH1592</f>
        <v>x</v>
      </c>
      <c r="AI548" s="110" t="str">
        <f>'Q100a-geral'!AI1592</f>
        <v>x</v>
      </c>
      <c r="AJ548" s="110" t="str">
        <f>'Q100a-geral'!AJ1592</f>
        <v>x</v>
      </c>
      <c r="AK548" s="137" t="str">
        <f>'Q100a-geral'!AK1592</f>
        <v>x</v>
      </c>
      <c r="AL548" s="168" t="str">
        <f>'Q100a-geral'!AL1592</f>
        <v>x</v>
      </c>
      <c r="AM548" s="137" t="str">
        <f>'Q100a-geral'!AM1592</f>
        <v>x</v>
      </c>
      <c r="AN548" s="137" t="str">
        <f>'Q100a-geral'!AN1592</f>
        <v>x</v>
      </c>
      <c r="AO548" s="137" t="str">
        <f>'Q100a-geral'!AO1592</f>
        <v>x</v>
      </c>
      <c r="AP548" s="137" t="str">
        <f>'Q100a-geral'!AP1592</f>
        <v>x</v>
      </c>
      <c r="AQ548" s="137" t="str">
        <f>'Q100a-geral'!AQ1592</f>
        <v>x</v>
      </c>
      <c r="AR548" s="137"/>
      <c r="AS548" s="137"/>
      <c r="AT548" s="137"/>
      <c r="AU548" s="137"/>
      <c r="AV548" s="137" t="str">
        <f>'Q100a-geral'!AV1592</f>
        <v>x</v>
      </c>
      <c r="AW548" s="137"/>
      <c r="AX548" s="137"/>
      <c r="AY548" s="137"/>
      <c r="AZ548" s="137"/>
      <c r="BA548" s="137" t="str">
        <f>'Q100a-geral'!BA1592</f>
        <v>x</v>
      </c>
      <c r="BB548" s="239" t="str">
        <f>'Q100a-geral'!BB1592</f>
        <v>Atendimento ao usuário em geralx</v>
      </c>
      <c r="BC548" s="239" t="str">
        <f>'Q100a-geral'!BC1592</f>
        <v>Atendimento ao usuário em geralxainda não incorporado ao SisMob-BH</v>
      </c>
      <c r="BD548" s="239" t="str">
        <f>'Q100a-geral'!BD1592</f>
        <v>Atendimento ao usuário em geralainda não incorporado ao SisMob-BH</v>
      </c>
    </row>
    <row r="549" spans="1:56" s="1" customFormat="1" ht="51" customHeight="1" x14ac:dyDescent="0.25">
      <c r="A549" s="275" t="str">
        <f>'Q100a-geral'!A1585</f>
        <v>9.1</v>
      </c>
      <c r="B549" s="11" t="str">
        <f>'Q100a-geral'!B1585</f>
        <v>Acidentes de trânsito</v>
      </c>
      <c r="C549" s="57" t="str">
        <f>'Q100a-geral'!C1585</f>
        <v>x</v>
      </c>
      <c r="D549" s="322" t="str">
        <f>'Q100a-geral'!D1585</f>
        <v>M b</v>
      </c>
      <c r="E549" s="11" t="str">
        <f>'Q100a-geral'!E1585</f>
        <v>Belo Horizonte</v>
      </c>
      <c r="F549" s="447" t="str">
        <f>'Q100a-geral'!F1585</f>
        <v xml:space="preserve">n.º de ciclistas mortos em acidentes de trânsito (BHTRANS, 2014e; 2015i, p.20,22)
obs.1: nos relatórios anuais de acidentes de trânsito da BHTrans este indicador é denominado "ciclistas vítimas fatais"
obs.2: na fonte consultada aterta-se que no ano 2008 há "problemas na coleta de informações sobre bicicletas (sistema BH10)" </v>
      </c>
      <c r="G549" s="14" t="str">
        <f>'Q100a-geral'!G1585</f>
        <v>registro na fonte</v>
      </c>
      <c r="H549" s="173" t="str">
        <f>'Q100a-geral'!H1585</f>
        <v>x</v>
      </c>
      <c r="I549" s="57">
        <f>'Q100a-geral'!I1585</f>
        <v>1</v>
      </c>
      <c r="J549" s="107" t="str">
        <f>'Q100a-geral'!J1585</f>
        <v>x</v>
      </c>
      <c r="K549" s="84" t="str">
        <f>'Q100a-geral'!K1585</f>
        <v>x</v>
      </c>
      <c r="L549" s="84" t="str">
        <f>'Q100a-geral'!L1585</f>
        <v>x</v>
      </c>
      <c r="M549" s="84" t="str">
        <f>'Q100a-geral'!M1585</f>
        <v>x</v>
      </c>
      <c r="N549" s="84" t="str">
        <f>'Q100a-geral'!N1585</f>
        <v>x</v>
      </c>
      <c r="O549" s="84" t="str">
        <f>'Q100a-geral'!O1585</f>
        <v>x</v>
      </c>
      <c r="P549" s="84" t="str">
        <f>'Q100a-geral'!P1585</f>
        <v>x</v>
      </c>
      <c r="Q549" s="84" t="str">
        <f>'Q100a-geral'!Q1585</f>
        <v>x</v>
      </c>
      <c r="R549" s="84" t="str">
        <f>'Q100a-geral'!R1585</f>
        <v>x</v>
      </c>
      <c r="S549" s="649" t="str">
        <f>'Q100a-geral'!S1585</f>
        <v>só para pesquisa</v>
      </c>
      <c r="T549" s="84" t="str">
        <f>'Q100a-geral'!T1585</f>
        <v>x</v>
      </c>
      <c r="U549" s="84" t="str">
        <f>'Q100a-geral'!U1585</f>
        <v>x</v>
      </c>
      <c r="V549" s="107" t="str">
        <f>'Q100a-geral'!V1585</f>
        <v>só para pesquisa</v>
      </c>
      <c r="W549" s="84" t="str">
        <f>'Q100a-geral'!W1585</f>
        <v>x</v>
      </c>
      <c r="X549" s="84" t="str">
        <f>'Q100a-geral'!X1585</f>
        <v>x</v>
      </c>
      <c r="Y549" s="84" t="str">
        <f>'Q100a-geral'!Y1585</f>
        <v>x</v>
      </c>
      <c r="Z549" s="159">
        <f>'Q100a-geral'!Z1585</f>
        <v>17</v>
      </c>
      <c r="AA549" s="159">
        <f>'Q100a-geral'!AA1585</f>
        <v>9</v>
      </c>
      <c r="AB549" s="159">
        <f>'Q100a-geral'!AB1585</f>
        <v>8</v>
      </c>
      <c r="AC549" s="159">
        <f>'Q100a-geral'!AC1585</f>
        <v>10</v>
      </c>
      <c r="AD549" s="159">
        <f>'Q100a-geral'!AD1585</f>
        <v>10</v>
      </c>
      <c r="AE549" s="159">
        <f>'Q100a-geral'!AE1585</f>
        <v>9</v>
      </c>
      <c r="AF549" s="159">
        <f>'Q100a-geral'!AF1585</f>
        <v>3</v>
      </c>
      <c r="AG549" s="159">
        <f>'Q100a-geral'!AG1585</f>
        <v>8</v>
      </c>
      <c r="AH549" s="159">
        <f>'Q100a-geral'!AH1585</f>
        <v>5</v>
      </c>
      <c r="AI549" s="159">
        <f>'Q100a-geral'!AI1585</f>
        <v>6</v>
      </c>
      <c r="AJ549" s="160">
        <f>'Q100a-geral'!AJ1585</f>
        <v>3</v>
      </c>
      <c r="AK549" s="137" t="str">
        <f>'Q100a-geral'!AK1585</f>
        <v>x</v>
      </c>
      <c r="AL549" s="212" t="str">
        <f>'Q100a-geral'!AL1585</f>
        <v>x</v>
      </c>
      <c r="AM549" s="137" t="str">
        <f>'Q100a-geral'!AM1585</f>
        <v>x</v>
      </c>
      <c r="AN549" s="137" t="str">
        <f>'Q100a-geral'!AN1585</f>
        <v>x</v>
      </c>
      <c r="AO549" s="137" t="str">
        <f>'Q100a-geral'!AO1585</f>
        <v>x</v>
      </c>
      <c r="AP549" s="137" t="str">
        <f>'Q100a-geral'!AP1585</f>
        <v>x</v>
      </c>
      <c r="AQ549" s="137" t="str">
        <f>'Q100a-geral'!AQ1585</f>
        <v>x</v>
      </c>
      <c r="AR549" s="137"/>
      <c r="AS549" s="137"/>
      <c r="AT549" s="137"/>
      <c r="AU549" s="137"/>
      <c r="AV549" s="137" t="str">
        <f>'Q100a-geral'!AV1585</f>
        <v>x</v>
      </c>
      <c r="AW549" s="137"/>
      <c r="AX549" s="137"/>
      <c r="AY549" s="137"/>
      <c r="AZ549" s="137"/>
      <c r="BA549" s="137" t="str">
        <f>'Q100a-geral'!BA1585</f>
        <v>x</v>
      </c>
      <c r="BB549" s="239" t="str">
        <f>'Q100a-geral'!BB1585</f>
        <v>Acidentes de trânsitox</v>
      </c>
      <c r="BC549" s="239" t="str">
        <f>'Q100a-geral'!BC1585</f>
        <v>Acidentes de trânsitoxx</v>
      </c>
      <c r="BD549" s="239" t="str">
        <f>'Q100a-geral'!BD1585</f>
        <v>Acidentes de trânsitox</v>
      </c>
    </row>
    <row r="550" spans="1:56" s="1" customFormat="1" ht="63.75" customHeight="1" x14ac:dyDescent="0.25">
      <c r="A550" s="275" t="str">
        <f>'Q100a-geral'!A1586</f>
        <v>9.1</v>
      </c>
      <c r="B550" s="11" t="str">
        <f>'Q100a-geral'!B1586</f>
        <v>Acidentes de trânsito</v>
      </c>
      <c r="C550" s="57" t="str">
        <f>'Q100a-geral'!C1586</f>
        <v>x</v>
      </c>
      <c r="D550" s="36" t="str">
        <f>'Q100a-geral'!D1586</f>
        <v>M b por 10 mil veículos</v>
      </c>
      <c r="E550" s="464" t="str">
        <f>'Q100a-geral'!E1586</f>
        <v>Belo Horizonte</v>
      </c>
      <c r="F550" s="633" t="str">
        <f>'Q100a-geral'!F1586</f>
        <v>n.º de ciclistas mortos em acidentes de trânsito por 10 mil veículos
obs.: nos relatórios anuais de acidentes de trânsito da BHTrans este indicador é denominado "taxa de mortalidade ciclistas por 10.000 veículos"</v>
      </c>
      <c r="G550" s="163" t="str">
        <f>'Q100a-geral'!G1586</f>
        <v>(Mb/F) x 10.000</v>
      </c>
      <c r="H550" s="173" t="str">
        <f>'Q100a-geral'!H1586</f>
        <v>x</v>
      </c>
      <c r="I550" s="57">
        <f>'Q100a-geral'!I1586</f>
        <v>1</v>
      </c>
      <c r="J550" s="107" t="str">
        <f>'Q100a-geral'!J1586</f>
        <v>x</v>
      </c>
      <c r="K550" s="23" t="str">
        <f>'Q100a-geral'!K1586</f>
        <v>x</v>
      </c>
      <c r="L550" s="23" t="str">
        <f>'Q100a-geral'!L1586</f>
        <v>x</v>
      </c>
      <c r="M550" s="23" t="str">
        <f>'Q100a-geral'!M1586</f>
        <v>x</v>
      </c>
      <c r="N550" s="23" t="str">
        <f>'Q100a-geral'!N1586</f>
        <v>x</v>
      </c>
      <c r="O550" s="23" t="str">
        <f>'Q100a-geral'!O1586</f>
        <v>x</v>
      </c>
      <c r="P550" s="23" t="str">
        <f>'Q100a-geral'!P1586</f>
        <v>x</v>
      </c>
      <c r="Q550" s="23" t="str">
        <f>'Q100a-geral'!Q1586</f>
        <v>x</v>
      </c>
      <c r="R550" s="23" t="str">
        <f>'Q100a-geral'!R1586</f>
        <v>x</v>
      </c>
      <c r="S550" s="649" t="str">
        <f>'Q100a-geral'!S1586</f>
        <v>só para pesquisa</v>
      </c>
      <c r="T550" s="23" t="str">
        <f>'Q100a-geral'!T1586</f>
        <v>x</v>
      </c>
      <c r="U550" s="23" t="str">
        <f>'Q100a-geral'!U1586</f>
        <v>x</v>
      </c>
      <c r="V550" s="107" t="str">
        <f>'Q100a-geral'!V1586</f>
        <v>só para pesquisa</v>
      </c>
      <c r="W550" s="23" t="str">
        <f>'Q100a-geral'!W1586</f>
        <v>x</v>
      </c>
      <c r="X550" s="23" t="str">
        <f>'Q100a-geral'!X1586</f>
        <v>x</v>
      </c>
      <c r="Y550" s="23" t="str">
        <f>'Q100a-geral'!Y1586</f>
        <v>x</v>
      </c>
      <c r="Z550" s="44">
        <f>'Q100a-geral'!Z1586</f>
        <v>0.20687481518169085</v>
      </c>
      <c r="AA550" s="44">
        <f>'Q100a-geral'!AA1586</f>
        <v>0.10429740056112001</v>
      </c>
      <c r="AB550" s="44">
        <f>'Q100a-geral'!AB1586</f>
        <v>8.5902627224475378E-2</v>
      </c>
      <c r="AC550" s="44">
        <f>'Q100a-geral'!AC1586</f>
        <v>9.7994541704027077E-2</v>
      </c>
      <c r="AD550" s="44">
        <f>'Q100a-geral'!AD1586</f>
        <v>9.0313106508955909E-2</v>
      </c>
      <c r="AE550" s="44">
        <f>'Q100a-geral'!AE1586</f>
        <v>7.3762934125601892E-2</v>
      </c>
      <c r="AF550" s="44">
        <f>'Q100a-geral'!AF1586</f>
        <v>2.2516082111648246E-2</v>
      </c>
      <c r="AG550" s="44">
        <f>'Q100a-geral'!AG1586</f>
        <v>5.594933787455459E-2</v>
      </c>
      <c r="AH550" s="44">
        <f>'Q100a-geral'!AH1586</f>
        <v>3.3171126524627899E-2</v>
      </c>
      <c r="AI550" s="44">
        <f>'Q100a-geral'!AI1586</f>
        <v>3.795966785290629E-2</v>
      </c>
      <c r="AJ550" s="327">
        <f>'Q100a-geral'!AJ1586</f>
        <v>1.8379931565388138E-2</v>
      </c>
      <c r="AK550" s="137" t="str">
        <f>'Q100a-geral'!AK1586</f>
        <v>x</v>
      </c>
      <c r="AL550" s="212" t="str">
        <f>'Q100a-geral'!AL1586</f>
        <v>x</v>
      </c>
      <c r="AM550" s="137" t="str">
        <f>'Q100a-geral'!AM1586</f>
        <v>x</v>
      </c>
      <c r="AN550" s="137" t="str">
        <f>'Q100a-geral'!AN1586</f>
        <v>x</v>
      </c>
      <c r="AO550" s="137" t="str">
        <f>'Q100a-geral'!AO1586</f>
        <v>x</v>
      </c>
      <c r="AP550" s="137" t="str">
        <f>'Q100a-geral'!AP1586</f>
        <v>x</v>
      </c>
      <c r="AQ550" s="137" t="str">
        <f>'Q100a-geral'!AQ1586</f>
        <v>x</v>
      </c>
      <c r="AR550" s="137"/>
      <c r="AS550" s="137"/>
      <c r="AT550" s="137"/>
      <c r="AU550" s="137"/>
      <c r="AV550" s="137" t="str">
        <f>'Q100a-geral'!AV1586</f>
        <v>x</v>
      </c>
      <c r="AW550" s="137"/>
      <c r="AX550" s="137"/>
      <c r="AY550" s="137"/>
      <c r="AZ550" s="137"/>
      <c r="BA550" s="137" t="str">
        <f>'Q100a-geral'!BA1586</f>
        <v>x</v>
      </c>
      <c r="BB550" s="239" t="str">
        <f>'Q100a-geral'!BB1586</f>
        <v>Acidentes de trânsitox</v>
      </c>
      <c r="BC550" s="239" t="str">
        <f>'Q100a-geral'!BC1586</f>
        <v>Acidentes de trânsitoxx</v>
      </c>
      <c r="BD550" s="239" t="str">
        <f>'Q100a-geral'!BD1586</f>
        <v>Acidentes de trânsitox</v>
      </c>
    </row>
    <row r="551" spans="1:56" s="1" customFormat="1" ht="78.75" customHeight="1" x14ac:dyDescent="0.25">
      <c r="A551" s="275" t="str">
        <f>'Q100a-geral'!A1587</f>
        <v>9.1</v>
      </c>
      <c r="B551" s="11" t="str">
        <f>'Q100a-geral'!B1587</f>
        <v>Acidentes de trânsito</v>
      </c>
      <c r="C551" s="57" t="str">
        <f>'Q100a-geral'!C1587</f>
        <v>x</v>
      </c>
      <c r="D551" s="36" t="str">
        <f>'Q100a-geral'!D1587</f>
        <v>M b por 100 mil habit.</v>
      </c>
      <c r="E551" s="464" t="str">
        <f>'Q100a-geral'!E1587</f>
        <v>Belo Horizonte</v>
      </c>
      <c r="F551" s="447" t="str">
        <f>'Q100a-geral'!F1587</f>
        <v>n.º de ciclistas mortos em acidentes de trânsito por 100 mil habitantes
obs.: nos relatórios anuais de acidentes de trânsito da BHTrans este indicador é denominado "taxa de mortalidade de ciclistas por 100.000 habitantes"</v>
      </c>
      <c r="G551" s="163" t="str">
        <f>'Q100a-geral'!G1587</f>
        <v>(Mb/P) x 100.000</v>
      </c>
      <c r="H551" s="173" t="str">
        <f>'Q100a-geral'!H1587</f>
        <v>x</v>
      </c>
      <c r="I551" s="57">
        <f>'Q100a-geral'!I1587</f>
        <v>1</v>
      </c>
      <c r="J551" s="107" t="str">
        <f>'Q100a-geral'!J1587</f>
        <v>x</v>
      </c>
      <c r="K551" s="23" t="str">
        <f>'Q100a-geral'!K1587</f>
        <v>x</v>
      </c>
      <c r="L551" s="23" t="str">
        <f>'Q100a-geral'!L1587</f>
        <v>x</v>
      </c>
      <c r="M551" s="23" t="str">
        <f>'Q100a-geral'!M1587</f>
        <v>x</v>
      </c>
      <c r="N551" s="23" t="str">
        <f>'Q100a-geral'!N1587</f>
        <v>x</v>
      </c>
      <c r="O551" s="23" t="str">
        <f>'Q100a-geral'!O1587</f>
        <v>x</v>
      </c>
      <c r="P551" s="23" t="str">
        <f>'Q100a-geral'!P1587</f>
        <v>x</v>
      </c>
      <c r="Q551" s="23" t="str">
        <f>'Q100a-geral'!Q1587</f>
        <v>x</v>
      </c>
      <c r="R551" s="23" t="str">
        <f>'Q100a-geral'!R1587</f>
        <v>x</v>
      </c>
      <c r="S551" s="649" t="str">
        <f>'Q100a-geral'!S1587</f>
        <v>só para pesquisa</v>
      </c>
      <c r="T551" s="23" t="str">
        <f>'Q100a-geral'!T1587</f>
        <v>x</v>
      </c>
      <c r="U551" s="23" t="str">
        <f>'Q100a-geral'!U1587</f>
        <v>x</v>
      </c>
      <c r="V551" s="107" t="str">
        <f>'Q100a-geral'!V1587</f>
        <v>só para pesquisa</v>
      </c>
      <c r="W551" s="23" t="str">
        <f>'Q100a-geral'!W1587</f>
        <v>x</v>
      </c>
      <c r="X551" s="23" t="str">
        <f>'Q100a-geral'!X1587</f>
        <v>x</v>
      </c>
      <c r="Y551" s="23" t="str">
        <f>'Q100a-geral'!Y1587</f>
        <v>x</v>
      </c>
      <c r="Z551" s="64">
        <f>'Q100a-geral'!Z1587</f>
        <v>0.72323067995595947</v>
      </c>
      <c r="AA551" s="64">
        <f>'Q100a-geral'!AA1587</f>
        <v>0.37889488150904566</v>
      </c>
      <c r="AB551" s="64">
        <f>'Q100a-geral'!AB1587</f>
        <v>0.33334444481482717</v>
      </c>
      <c r="AC551" s="64">
        <f>'Q100a-geral'!AC1587</f>
        <v>0.41443270172408153</v>
      </c>
      <c r="AD551" s="64">
        <f>'Q100a-geral'!AD1587</f>
        <v>0.41073800583412268</v>
      </c>
      <c r="AE551" s="64">
        <f>'Q100a-geral'!AE1587</f>
        <v>0.36695497095551405</v>
      </c>
      <c r="AF551" s="64">
        <f>'Q100a-geral'!AF1587</f>
        <v>0.12630775895932511</v>
      </c>
      <c r="AG551" s="64">
        <f>'Q100a-geral'!AG1587</f>
        <v>0.33533978303516038</v>
      </c>
      <c r="AH551" s="64">
        <f>'Q100a-geral'!AH1587</f>
        <v>0.20869986246679065</v>
      </c>
      <c r="AI551" s="64">
        <f>'Q100a-geral'!AI1587</f>
        <v>0.24201696942317272</v>
      </c>
      <c r="AJ551" s="327">
        <f>'Q100a-geral'!AJ1587</f>
        <v>0.12042829117473382</v>
      </c>
      <c r="AK551" s="137" t="str">
        <f>'Q100a-geral'!AK1587</f>
        <v>x</v>
      </c>
      <c r="AL551" s="212" t="str">
        <f>'Q100a-geral'!AL1587</f>
        <v>x</v>
      </c>
      <c r="AM551" s="137" t="str">
        <f>'Q100a-geral'!AM1587</f>
        <v>x</v>
      </c>
      <c r="AN551" s="137" t="str">
        <f>'Q100a-geral'!AN1587</f>
        <v>x</v>
      </c>
      <c r="AO551" s="137" t="str">
        <f>'Q100a-geral'!AO1587</f>
        <v>x</v>
      </c>
      <c r="AP551" s="137" t="str">
        <f>'Q100a-geral'!AP1587</f>
        <v>x</v>
      </c>
      <c r="AQ551" s="137" t="str">
        <f>'Q100a-geral'!AQ1587</f>
        <v>x</v>
      </c>
      <c r="AR551" s="137"/>
      <c r="AS551" s="137"/>
      <c r="AT551" s="137"/>
      <c r="AU551" s="137"/>
      <c r="AV551" s="137" t="str">
        <f>'Q100a-geral'!AV1587</f>
        <v>x</v>
      </c>
      <c r="AW551" s="137"/>
      <c r="AX551" s="137"/>
      <c r="AY551" s="137"/>
      <c r="AZ551" s="137"/>
      <c r="BA551" s="137" t="str">
        <f>'Q100a-geral'!BA1587</f>
        <v>x</v>
      </c>
      <c r="BB551" s="239" t="str">
        <f>'Q100a-geral'!BB1587</f>
        <v>Acidentes de trânsitox</v>
      </c>
      <c r="BC551" s="239" t="str">
        <f>'Q100a-geral'!BC1587</f>
        <v>Acidentes de trânsitoxx</v>
      </c>
      <c r="BD551" s="239" t="str">
        <f>'Q100a-geral'!BD1587</f>
        <v>Acidentes de trânsitox</v>
      </c>
    </row>
    <row r="552" spans="1:56" s="1" customFormat="1" ht="78.75" customHeight="1" x14ac:dyDescent="0.25">
      <c r="A552" s="275" t="str">
        <f>'Q100a-geral'!A1588</f>
        <v>9.1</v>
      </c>
      <c r="B552" s="11" t="str">
        <f>'Q100a-geral'!B1588</f>
        <v>Acidentes de trânsito</v>
      </c>
      <c r="C552" s="57" t="str">
        <f>'Q100a-geral'!C1588</f>
        <v>x</v>
      </c>
      <c r="D552" s="36" t="str">
        <f>'Q100a-geral'!D1588</f>
        <v>M b por mil AVb</v>
      </c>
      <c r="E552" s="464" t="str">
        <f>'Q100a-geral'!E1588</f>
        <v>Belo Horizonte</v>
      </c>
      <c r="F552" s="633" t="str">
        <f>'Q100a-geral'!F1588</f>
        <v>n.º de ciclistas mortos por mil acidentes de trânsito com bicicleta com vítima
obs.: nos relatórios anuais de acidentes de trânsito da BHTrans este indicador é denominado "taxa de mortalidade de ciclistas por 1.000 acidentes com bicicletas"</v>
      </c>
      <c r="G552" s="25" t="str">
        <f>'Q100a-geral'!G1588</f>
        <v>(Mb/AVb) x 1.000</v>
      </c>
      <c r="H552" s="173" t="str">
        <f>'Q100a-geral'!H1588</f>
        <v>x</v>
      </c>
      <c r="I552" s="57">
        <f>'Q100a-geral'!I1588</f>
        <v>1</v>
      </c>
      <c r="J552" s="107" t="str">
        <f>'Q100a-geral'!J1588</f>
        <v>x</v>
      </c>
      <c r="K552" s="23" t="str">
        <f>'Q100a-geral'!K1588</f>
        <v>x</v>
      </c>
      <c r="L552" s="23" t="str">
        <f>'Q100a-geral'!L1588</f>
        <v>x</v>
      </c>
      <c r="M552" s="23" t="str">
        <f>'Q100a-geral'!M1588</f>
        <v>x</v>
      </c>
      <c r="N552" s="23" t="str">
        <f>'Q100a-geral'!N1588</f>
        <v>x</v>
      </c>
      <c r="O552" s="23" t="str">
        <f>'Q100a-geral'!O1588</f>
        <v>x</v>
      </c>
      <c r="P552" s="23" t="str">
        <f>'Q100a-geral'!P1588</f>
        <v>x</v>
      </c>
      <c r="Q552" s="23" t="str">
        <f>'Q100a-geral'!Q1588</f>
        <v>x</v>
      </c>
      <c r="R552" s="23" t="str">
        <f>'Q100a-geral'!R1588</f>
        <v>x</v>
      </c>
      <c r="S552" s="649" t="str">
        <f>'Q100a-geral'!S1588</f>
        <v>só para pesquisa</v>
      </c>
      <c r="T552" s="23" t="str">
        <f>'Q100a-geral'!T1588</f>
        <v>x</v>
      </c>
      <c r="U552" s="23" t="str">
        <f>'Q100a-geral'!U1588</f>
        <v>x</v>
      </c>
      <c r="V552" s="107" t="str">
        <f>'Q100a-geral'!V1588</f>
        <v>só para pesquisa</v>
      </c>
      <c r="W552" s="23" t="str">
        <f>'Q100a-geral'!W1588</f>
        <v>x</v>
      </c>
      <c r="X552" s="23" t="str">
        <f>'Q100a-geral'!X1588</f>
        <v>x</v>
      </c>
      <c r="Y552" s="23" t="str">
        <f>'Q100a-geral'!Y1588</f>
        <v>x</v>
      </c>
      <c r="Z552" s="64">
        <f>'Q100a-geral'!Z1588</f>
        <v>17.580144777662873</v>
      </c>
      <c r="AA552" s="64">
        <f>'Q100a-geral'!AA1588</f>
        <v>11.097410604192355</v>
      </c>
      <c r="AB552" s="64">
        <f>'Q100a-geral'!AB1588</f>
        <v>9.5693779904306222</v>
      </c>
      <c r="AC552" s="64">
        <f>'Q100a-geral'!AC1588</f>
        <v>12.330456226880395</v>
      </c>
      <c r="AD552" s="64">
        <f>'Q100a-geral'!AD1588</f>
        <v>26.246719160104988</v>
      </c>
      <c r="AE552" s="64">
        <f>'Q100a-geral'!AE1588</f>
        <v>14.150943396226415</v>
      </c>
      <c r="AF552" s="64">
        <f>'Q100a-geral'!AF1588</f>
        <v>5.7251908396946565</v>
      </c>
      <c r="AG552" s="64">
        <f>'Q100a-geral'!AG1588</f>
        <v>19.607843137254903</v>
      </c>
      <c r="AH552" s="64">
        <f>'Q100a-geral'!AH1588</f>
        <v>12.254901960784313</v>
      </c>
      <c r="AI552" s="64">
        <f>'Q100a-geral'!AI1588</f>
        <v>15.957446808510637</v>
      </c>
      <c r="AJ552" s="328" t="str">
        <f>'Q100a-geral'!AJ1588</f>
        <v>em apuração</v>
      </c>
      <c r="AK552" s="137" t="str">
        <f>'Q100a-geral'!AK1588</f>
        <v>x</v>
      </c>
      <c r="AL552" s="212" t="str">
        <f>'Q100a-geral'!AL1588</f>
        <v>x</v>
      </c>
      <c r="AM552" s="137" t="str">
        <f>'Q100a-geral'!AM1588</f>
        <v>x</v>
      </c>
      <c r="AN552" s="137" t="str">
        <f>'Q100a-geral'!AN1588</f>
        <v>x</v>
      </c>
      <c r="AO552" s="137" t="str">
        <f>'Q100a-geral'!AO1588</f>
        <v>x</v>
      </c>
      <c r="AP552" s="137" t="str">
        <f>'Q100a-geral'!AP1588</f>
        <v>x</v>
      </c>
      <c r="AQ552" s="137" t="str">
        <f>'Q100a-geral'!AQ1588</f>
        <v>x</v>
      </c>
      <c r="AR552" s="137"/>
      <c r="AS552" s="137"/>
      <c r="AT552" s="137"/>
      <c r="AU552" s="137"/>
      <c r="AV552" s="137" t="str">
        <f>'Q100a-geral'!AV1588</f>
        <v>x</v>
      </c>
      <c r="AW552" s="137"/>
      <c r="AX552" s="137"/>
      <c r="AY552" s="137"/>
      <c r="AZ552" s="137"/>
      <c r="BA552" s="137" t="str">
        <f>'Q100a-geral'!BA1588</f>
        <v>x</v>
      </c>
      <c r="BB552" s="239" t="str">
        <f>'Q100a-geral'!BB1588</f>
        <v>Acidentes de trânsitox</v>
      </c>
      <c r="BC552" s="239" t="str">
        <f>'Q100a-geral'!BC1588</f>
        <v>Acidentes de trânsitoxx</v>
      </c>
      <c r="BD552" s="239" t="str">
        <f>'Q100a-geral'!BD1588</f>
        <v>Acidentes de trânsitox</v>
      </c>
    </row>
    <row r="553" spans="1:56" s="1" customFormat="1" ht="51" customHeight="1" x14ac:dyDescent="0.25">
      <c r="A553" s="275" t="str">
        <f>'Q100a-geral'!A1633</f>
        <v>2.2</v>
      </c>
      <c r="B553" s="54" t="str">
        <f>'Q100a-geral'!B1633</f>
        <v>Frota e condutores de veículos automotores</v>
      </c>
      <c r="C553" s="167" t="str">
        <f>'Q100a-geral'!C1633</f>
        <v>x</v>
      </c>
      <c r="D553" s="27" t="str">
        <f>'Q100a-geral'!D1633</f>
        <v>motorização</v>
      </c>
      <c r="E553" s="61" t="str">
        <f>'Q100a-geral'!E1633</f>
        <v>x</v>
      </c>
      <c r="F553" s="633" t="str">
        <f>'Q100a-geral'!F1633</f>
        <v>x</v>
      </c>
      <c r="G553" s="25" t="str">
        <f>'Q100a-geral'!G1633</f>
        <v>consulte:
P (população) por veículo</v>
      </c>
      <c r="H553" s="167" t="str">
        <f>'Q100a-geral'!H1633</f>
        <v>sigla/verbete</v>
      </c>
      <c r="I553" s="167" t="str">
        <f>'Q100a-geral'!I1633</f>
        <v>x</v>
      </c>
      <c r="J553" s="11" t="str">
        <f>'Q100a-geral'!J1633</f>
        <v>x</v>
      </c>
      <c r="K553" s="11" t="str">
        <f>'Q100a-geral'!K1633</f>
        <v>x</v>
      </c>
      <c r="L553" s="11" t="str">
        <f>'Q100a-geral'!L1633</f>
        <v>x</v>
      </c>
      <c r="M553" s="11" t="str">
        <f>'Q100a-geral'!M1633</f>
        <v>x</v>
      </c>
      <c r="N553" s="11" t="str">
        <f>'Q100a-geral'!N1633</f>
        <v>x</v>
      </c>
      <c r="O553" s="11" t="str">
        <f>'Q100a-geral'!O1633</f>
        <v>x</v>
      </c>
      <c r="P553" s="11" t="str">
        <f>'Q100a-geral'!P1633</f>
        <v>x</v>
      </c>
      <c r="Q553" s="11" t="str">
        <f>'Q100a-geral'!Q1633</f>
        <v>x</v>
      </c>
      <c r="R553" s="11" t="str">
        <f>'Q100a-geral'!R1633</f>
        <v>x</v>
      </c>
      <c r="S553" s="649" t="str">
        <f>'Q100a-geral'!S1633</f>
        <v>só para pesquisa</v>
      </c>
      <c r="T553" s="49" t="str">
        <f>'Q100a-geral'!T1633</f>
        <v>x</v>
      </c>
      <c r="U553" s="49" t="str">
        <f>'Q100a-geral'!U1633</f>
        <v>x</v>
      </c>
      <c r="V553" s="107" t="str">
        <f>'Q100a-geral'!V1633</f>
        <v>só para pesquisa</v>
      </c>
      <c r="W553" s="49" t="str">
        <f>'Q100a-geral'!W1633</f>
        <v>x</v>
      </c>
      <c r="X553" s="49" t="str">
        <f>'Q100a-geral'!X1633</f>
        <v>x</v>
      </c>
      <c r="Y553" s="49" t="str">
        <f>'Q100a-geral'!Y1633</f>
        <v>x</v>
      </c>
      <c r="Z553" s="49" t="str">
        <f>'Q100a-geral'!Z1633</f>
        <v>x</v>
      </c>
      <c r="AA553" s="49" t="str">
        <f>'Q100a-geral'!AA1633</f>
        <v>x</v>
      </c>
      <c r="AB553" s="49" t="str">
        <f>'Q100a-geral'!AB1633</f>
        <v>x</v>
      </c>
      <c r="AC553" s="49" t="str">
        <f>'Q100a-geral'!AC1633</f>
        <v>x</v>
      </c>
      <c r="AD553" s="49" t="str">
        <f>'Q100a-geral'!AD1633</f>
        <v>x</v>
      </c>
      <c r="AE553" s="49" t="str">
        <f>'Q100a-geral'!AE1633</f>
        <v>x</v>
      </c>
      <c r="AF553" s="49" t="str">
        <f>'Q100a-geral'!AF1633</f>
        <v>x</v>
      </c>
      <c r="AG553" s="49" t="str">
        <f>'Q100a-geral'!AG1633</f>
        <v>x</v>
      </c>
      <c r="AH553" s="49" t="str">
        <f>'Q100a-geral'!AH1633</f>
        <v>x</v>
      </c>
      <c r="AI553" s="49" t="str">
        <f>'Q100a-geral'!AI1633</f>
        <v>x</v>
      </c>
      <c r="AJ553" s="49" t="str">
        <f>'Q100a-geral'!AJ1633</f>
        <v>x</v>
      </c>
      <c r="AK553" s="137" t="str">
        <f>'Q100a-geral'!AK1633</f>
        <v>x</v>
      </c>
      <c r="AL553" s="224" t="str">
        <f>'Q100a-geral'!AL1633</f>
        <v>x</v>
      </c>
      <c r="AM553" s="137" t="str">
        <f>'Q100a-geral'!AM1633</f>
        <v>x</v>
      </c>
      <c r="AN553" s="137" t="str">
        <f>'Q100a-geral'!AN1633</f>
        <v>x</v>
      </c>
      <c r="AO553" s="137" t="str">
        <f>'Q100a-geral'!AO1633</f>
        <v>x</v>
      </c>
      <c r="AP553" s="137" t="str">
        <f>'Q100a-geral'!AP1633</f>
        <v>x</v>
      </c>
      <c r="AQ553" s="137" t="str">
        <f>'Q100a-geral'!AQ1633</f>
        <v>x</v>
      </c>
      <c r="AR553" s="137"/>
      <c r="AS553" s="137"/>
      <c r="AT553" s="137"/>
      <c r="AU553" s="137"/>
      <c r="AV553" s="137" t="str">
        <f>'Q100a-geral'!AV1633</f>
        <v>x</v>
      </c>
      <c r="AW553" s="137"/>
      <c r="AX553" s="137"/>
      <c r="AY553" s="137"/>
      <c r="AZ553" s="137"/>
      <c r="BA553" s="137" t="str">
        <f>'Q100a-geral'!BA1633</f>
        <v>x</v>
      </c>
      <c r="BB553" s="239" t="str">
        <f>'Q100a-geral'!BB1633</f>
        <v>Frota e condutores de veículos automotoresx</v>
      </c>
      <c r="BC553" s="239" t="str">
        <f>'Q100a-geral'!BC1633</f>
        <v>Frota e condutores de veículos automotoresxsigla/verbete</v>
      </c>
      <c r="BD553" s="239" t="str">
        <f>'Q100a-geral'!BD1633</f>
        <v>Frota e condutores de veículos automotoressigla/verbete</v>
      </c>
    </row>
    <row r="554" spans="1:56" s="1" customFormat="1" ht="51" customHeight="1" x14ac:dyDescent="0.25">
      <c r="A554" s="275" t="str">
        <f>'Q100a-geral'!A1634</f>
        <v>2.2</v>
      </c>
      <c r="B554" s="54" t="str">
        <f>'Q100a-geral'!B1634</f>
        <v>Frota e condutores de veículos automotores</v>
      </c>
      <c r="C554" s="229" t="str">
        <f>'Q100a-geral'!C1634</f>
        <v>x</v>
      </c>
      <c r="D554" s="27" t="str">
        <f>'Q100a-geral'!D1634</f>
        <v>motorização de automóveis</v>
      </c>
      <c r="E554" s="61" t="str">
        <f>'Q100a-geral'!E1634</f>
        <v>x</v>
      </c>
      <c r="F554" s="633" t="str">
        <f>'Q100a-geral'!F1634</f>
        <v>x</v>
      </c>
      <c r="G554" s="25" t="str">
        <f>'Q100a-geral'!G1634</f>
        <v>consulte:
P (população) por automóvel</v>
      </c>
      <c r="H554" s="167" t="str">
        <f>'Q100a-geral'!H1634</f>
        <v>sigla/verbete</v>
      </c>
      <c r="I554" s="167" t="str">
        <f>'Q100a-geral'!I1634</f>
        <v>x</v>
      </c>
      <c r="J554" s="11" t="str">
        <f>'Q100a-geral'!J1634</f>
        <v>x</v>
      </c>
      <c r="K554" s="11" t="str">
        <f>'Q100a-geral'!K1634</f>
        <v>x</v>
      </c>
      <c r="L554" s="11" t="str">
        <f>'Q100a-geral'!L1634</f>
        <v>x</v>
      </c>
      <c r="M554" s="11" t="str">
        <f>'Q100a-geral'!M1634</f>
        <v>x</v>
      </c>
      <c r="N554" s="11" t="str">
        <f>'Q100a-geral'!N1634</f>
        <v>x</v>
      </c>
      <c r="O554" s="11" t="str">
        <f>'Q100a-geral'!O1634</f>
        <v>x</v>
      </c>
      <c r="P554" s="11" t="str">
        <f>'Q100a-geral'!P1634</f>
        <v>x</v>
      </c>
      <c r="Q554" s="11" t="str">
        <f>'Q100a-geral'!Q1634</f>
        <v>x</v>
      </c>
      <c r="R554" s="11" t="str">
        <f>'Q100a-geral'!R1634</f>
        <v>x</v>
      </c>
      <c r="S554" s="649" t="str">
        <f>'Q100a-geral'!S1634</f>
        <v>só para pesquisa</v>
      </c>
      <c r="T554" s="49" t="str">
        <f>'Q100a-geral'!T1634</f>
        <v>x</v>
      </c>
      <c r="U554" s="49" t="str">
        <f>'Q100a-geral'!U1634</f>
        <v>x</v>
      </c>
      <c r="V554" s="107" t="str">
        <f>'Q100a-geral'!V1634</f>
        <v>só para pesquisa</v>
      </c>
      <c r="W554" s="49" t="str">
        <f>'Q100a-geral'!W1634</f>
        <v>x</v>
      </c>
      <c r="X554" s="49" t="str">
        <f>'Q100a-geral'!X1634</f>
        <v>x</v>
      </c>
      <c r="Y554" s="49" t="str">
        <f>'Q100a-geral'!Y1634</f>
        <v>x</v>
      </c>
      <c r="Z554" s="49" t="str">
        <f>'Q100a-geral'!Z1634</f>
        <v>x</v>
      </c>
      <c r="AA554" s="49" t="str">
        <f>'Q100a-geral'!AA1634</f>
        <v>x</v>
      </c>
      <c r="AB554" s="49" t="str">
        <f>'Q100a-geral'!AB1634</f>
        <v>x</v>
      </c>
      <c r="AC554" s="49" t="str">
        <f>'Q100a-geral'!AC1634</f>
        <v>x</v>
      </c>
      <c r="AD554" s="49" t="str">
        <f>'Q100a-geral'!AD1634</f>
        <v>x</v>
      </c>
      <c r="AE554" s="49" t="str">
        <f>'Q100a-geral'!AE1634</f>
        <v>x</v>
      </c>
      <c r="AF554" s="49" t="str">
        <f>'Q100a-geral'!AF1634</f>
        <v>x</v>
      </c>
      <c r="AG554" s="49" t="str">
        <f>'Q100a-geral'!AG1634</f>
        <v>x</v>
      </c>
      <c r="AH554" s="49" t="str">
        <f>'Q100a-geral'!AH1634</f>
        <v>x</v>
      </c>
      <c r="AI554" s="49" t="str">
        <f>'Q100a-geral'!AI1634</f>
        <v>x</v>
      </c>
      <c r="AJ554" s="49" t="str">
        <f>'Q100a-geral'!AJ1634</f>
        <v>x</v>
      </c>
      <c r="AK554" s="137" t="str">
        <f>'Q100a-geral'!AK1634</f>
        <v>x</v>
      </c>
      <c r="AL554" s="224" t="str">
        <f>'Q100a-geral'!AL1634</f>
        <v>x</v>
      </c>
      <c r="AM554" s="137" t="str">
        <f>'Q100a-geral'!AM1634</f>
        <v>x</v>
      </c>
      <c r="AN554" s="137" t="str">
        <f>'Q100a-geral'!AN1634</f>
        <v>x</v>
      </c>
      <c r="AO554" s="137" t="str">
        <f>'Q100a-geral'!AO1634</f>
        <v>x</v>
      </c>
      <c r="AP554" s="137" t="str">
        <f>'Q100a-geral'!AP1634</f>
        <v>x</v>
      </c>
      <c r="AQ554" s="137" t="str">
        <f>'Q100a-geral'!AQ1634</f>
        <v>x</v>
      </c>
      <c r="AR554" s="137"/>
      <c r="AS554" s="137"/>
      <c r="AT554" s="137"/>
      <c r="AU554" s="137"/>
      <c r="AV554" s="137" t="str">
        <f>'Q100a-geral'!AV1634</f>
        <v>x</v>
      </c>
      <c r="AW554" s="137"/>
      <c r="AX554" s="137"/>
      <c r="AY554" s="137"/>
      <c r="AZ554" s="137"/>
      <c r="BA554" s="137" t="str">
        <f>'Q100a-geral'!BA1634</f>
        <v>x</v>
      </c>
      <c r="BB554" s="239" t="str">
        <f>'Q100a-geral'!BB1634</f>
        <v>Frota e condutores de veículos automotoresx</v>
      </c>
      <c r="BC554" s="239" t="str">
        <f>'Q100a-geral'!BC1634</f>
        <v>Frota e condutores de veículos automotoresxsigla/verbete</v>
      </c>
      <c r="BD554" s="239" t="str">
        <f>'Q100a-geral'!BD1634</f>
        <v>Frota e condutores de veículos automotoressigla/verbete</v>
      </c>
    </row>
    <row r="555" spans="1:56" s="1" customFormat="1" ht="51" x14ac:dyDescent="0.25">
      <c r="A555" s="275" t="str">
        <f>'Q100a-geral'!A1658</f>
        <v>4.4</v>
      </c>
      <c r="B555" s="54" t="str">
        <f>'Q100a-geral'!B1658</f>
        <v>Infrações de trânsito</v>
      </c>
      <c r="C555" s="230" t="str">
        <f>'Q100a-geral'!C1658</f>
        <v>x</v>
      </c>
      <c r="D555" s="9" t="str">
        <f>'Q100a-geral'!D1658</f>
        <v>NAP</v>
      </c>
      <c r="E555" s="5" t="str">
        <f>'Q100a-geral'!E1658</f>
        <v>Belo Horizonte</v>
      </c>
      <c r="F555" s="448" t="str">
        <f>'Q100a-geral'!F1658</f>
        <v>notificação de aplicação de penalidade de trânsito, também denominada em relatórios da BHTrans, simplesmente, como "multa"</v>
      </c>
      <c r="G555" s="5" t="str">
        <f>'Q100a-geral'!G1658</f>
        <v>definição
NAP talão + NAP eletrônica</v>
      </c>
      <c r="H555" s="173" t="str">
        <f>'Q100a-geral'!H1658</f>
        <v>ainda não incorporado ao SisMob-BH</v>
      </c>
      <c r="I555" s="57">
        <f>'Q100a-geral'!I1658</f>
        <v>1</v>
      </c>
      <c r="J555" s="109" t="str">
        <f>'Q100a-geral'!J1658</f>
        <v>x</v>
      </c>
      <c r="K555" s="111" t="str">
        <f>'Q100a-geral'!K1658</f>
        <v>x</v>
      </c>
      <c r="L555" s="111" t="str">
        <f>'Q100a-geral'!L1658</f>
        <v>x</v>
      </c>
      <c r="M555" s="111" t="str">
        <f>'Q100a-geral'!M1658</f>
        <v>x</v>
      </c>
      <c r="N555" s="111" t="str">
        <f>'Q100a-geral'!N1658</f>
        <v>x</v>
      </c>
      <c r="O555" s="111" t="str">
        <f>'Q100a-geral'!O1658</f>
        <v>x</v>
      </c>
      <c r="P555" s="111" t="str">
        <f>'Q100a-geral'!P1658</f>
        <v>x</v>
      </c>
      <c r="Q555" s="111" t="str">
        <f>'Q100a-geral'!Q1658</f>
        <v>x</v>
      </c>
      <c r="R555" s="111" t="str">
        <f>'Q100a-geral'!R1658</f>
        <v>x</v>
      </c>
      <c r="S555" s="109" t="str">
        <f>'Q100a-geral'!S1658</f>
        <v>só para pesquisa</v>
      </c>
      <c r="T555" s="111" t="str">
        <f>'Q100a-geral'!T1658</f>
        <v>x</v>
      </c>
      <c r="U555" s="111" t="str">
        <f>'Q100a-geral'!U1658</f>
        <v>x</v>
      </c>
      <c r="V555" s="109" t="str">
        <f>'Q100a-geral'!V1658</f>
        <v>só para pesquisa</v>
      </c>
      <c r="W555" s="111" t="str">
        <f>'Q100a-geral'!W1658</f>
        <v>x</v>
      </c>
      <c r="X555" s="111" t="str">
        <f>'Q100a-geral'!X1658</f>
        <v>x</v>
      </c>
      <c r="Y555" s="111" t="str">
        <f>'Q100a-geral'!Y1658</f>
        <v>x</v>
      </c>
      <c r="Z555" s="111" t="str">
        <f>'Q100a-geral'!Z1658</f>
        <v>x</v>
      </c>
      <c r="AA555" s="111" t="str">
        <f>'Q100a-geral'!AA1658</f>
        <v>x</v>
      </c>
      <c r="AB555" s="111" t="str">
        <f>'Q100a-geral'!AB1658</f>
        <v>x</v>
      </c>
      <c r="AC555" s="111" t="str">
        <f>'Q100a-geral'!AC1658</f>
        <v>x</v>
      </c>
      <c r="AD555" s="111" t="str">
        <f>'Q100a-geral'!AD1658</f>
        <v>x</v>
      </c>
      <c r="AE555" s="111" t="str">
        <f>'Q100a-geral'!AE1658</f>
        <v>x</v>
      </c>
      <c r="AF555" s="111" t="str">
        <f>'Q100a-geral'!AF1658</f>
        <v>x</v>
      </c>
      <c r="AG555" s="111" t="str">
        <f>'Q100a-geral'!AG1658</f>
        <v>x</v>
      </c>
      <c r="AH555" s="111" t="str">
        <f>'Q100a-geral'!AH1658</f>
        <v>x</v>
      </c>
      <c r="AI555" s="111" t="str">
        <f>'Q100a-geral'!AI1658</f>
        <v>x</v>
      </c>
      <c r="AJ555" s="111" t="str">
        <f>'Q100a-geral'!AJ1658</f>
        <v>x</v>
      </c>
      <c r="AK555" s="137" t="str">
        <f>'Q100a-geral'!AK1658</f>
        <v>x</v>
      </c>
      <c r="AL555" s="167" t="str">
        <f>'Q100a-geral'!AL1658</f>
        <v>x</v>
      </c>
      <c r="AM555" s="137" t="str">
        <f>'Q100a-geral'!AM1658</f>
        <v>x</v>
      </c>
      <c r="AN555" s="137" t="str">
        <f>'Q100a-geral'!AN1658</f>
        <v>x</v>
      </c>
      <c r="AO555" s="137" t="str">
        <f>'Q100a-geral'!AO1658</f>
        <v>x</v>
      </c>
      <c r="AP555" s="137" t="str">
        <f>'Q100a-geral'!AP1658</f>
        <v>x</v>
      </c>
      <c r="AQ555" s="137" t="str">
        <f>'Q100a-geral'!AQ1658</f>
        <v>x</v>
      </c>
      <c r="AR555" s="137"/>
      <c r="AS555" s="137"/>
      <c r="AT555" s="137"/>
      <c r="AU555" s="137"/>
      <c r="AV555" s="137" t="str">
        <f>'Q100a-geral'!AV1658</f>
        <v>x</v>
      </c>
      <c r="AW555" s="137"/>
      <c r="AX555" s="137"/>
      <c r="AY555" s="137"/>
      <c r="AZ555" s="137"/>
      <c r="BA555" s="137" t="str">
        <f>'Q100a-geral'!BA1658</f>
        <v>x</v>
      </c>
      <c r="BB555" s="239" t="str">
        <f>'Q100a-geral'!BB1658</f>
        <v>Infrações de trânsitox</v>
      </c>
      <c r="BC555" s="239" t="str">
        <f>'Q100a-geral'!BC1658</f>
        <v>Infrações de trânsitoxainda não incorporado ao SisMob-BH</v>
      </c>
      <c r="BD555" s="239" t="str">
        <f>'Q100a-geral'!BD1658</f>
        <v>Infrações de trânsitoainda não incorporado ao SisMob-BH</v>
      </c>
    </row>
    <row r="556" spans="1:56" s="1" customFormat="1" ht="25.5" x14ac:dyDescent="0.25">
      <c r="A556" s="275" t="str">
        <f>'Q100a-geral'!A1659</f>
        <v>4.4</v>
      </c>
      <c r="B556" s="54" t="str">
        <f>'Q100a-geral'!B1659</f>
        <v>Infrações de trânsito</v>
      </c>
      <c r="C556" s="230" t="str">
        <f>'Q100a-geral'!C1659</f>
        <v>x</v>
      </c>
      <c r="D556" s="9" t="str">
        <f>'Q100a-geral'!D1659</f>
        <v>NAP</v>
      </c>
      <c r="E556" s="5" t="str">
        <f>'Q100a-geral'!E1659</f>
        <v>São Paulo</v>
      </c>
      <c r="F556" s="448" t="str">
        <f>'Q100a-geral'!F1659</f>
        <v>notificação de aplicação de penalidade de trânsito, denominada pela CET São Paulo, simplesmente, como "multa"</v>
      </c>
      <c r="G556" s="5" t="str">
        <f>'Q100a-geral'!G1659</f>
        <v>verbete
MFO</v>
      </c>
      <c r="H556" s="173" t="str">
        <f>'Q100a-geral'!H1659</f>
        <v>sigla/verbete</v>
      </c>
      <c r="I556" s="57" t="str">
        <f>'Q100a-geral'!I1659</f>
        <v>x</v>
      </c>
      <c r="J556" s="109" t="str">
        <f>'Q100a-geral'!J1659</f>
        <v>x</v>
      </c>
      <c r="K556" s="111" t="str">
        <f>'Q100a-geral'!K1659</f>
        <v>x</v>
      </c>
      <c r="L556" s="111" t="str">
        <f>'Q100a-geral'!L1659</f>
        <v>x</v>
      </c>
      <c r="M556" s="111" t="str">
        <f>'Q100a-geral'!M1659</f>
        <v>x</v>
      </c>
      <c r="N556" s="111" t="str">
        <f>'Q100a-geral'!N1659</f>
        <v>x</v>
      </c>
      <c r="O556" s="111" t="str">
        <f>'Q100a-geral'!O1659</f>
        <v>x</v>
      </c>
      <c r="P556" s="111" t="str">
        <f>'Q100a-geral'!P1659</f>
        <v>x</v>
      </c>
      <c r="Q556" s="111" t="str">
        <f>'Q100a-geral'!Q1659</f>
        <v>x</v>
      </c>
      <c r="R556" s="111" t="str">
        <f>'Q100a-geral'!R1659</f>
        <v>x</v>
      </c>
      <c r="S556" s="109" t="str">
        <f>'Q100a-geral'!S1659</f>
        <v>só para pesquisa</v>
      </c>
      <c r="T556" s="111" t="str">
        <f>'Q100a-geral'!T1659</f>
        <v>x</v>
      </c>
      <c r="U556" s="111" t="str">
        <f>'Q100a-geral'!U1659</f>
        <v>x</v>
      </c>
      <c r="V556" s="109" t="str">
        <f>'Q100a-geral'!V1659</f>
        <v>só para pesquisa</v>
      </c>
      <c r="W556" s="111" t="str">
        <f>'Q100a-geral'!W1659</f>
        <v>x</v>
      </c>
      <c r="X556" s="111" t="str">
        <f>'Q100a-geral'!X1659</f>
        <v>x</v>
      </c>
      <c r="Y556" s="111" t="str">
        <f>'Q100a-geral'!Y1659</f>
        <v>x</v>
      </c>
      <c r="Z556" s="111" t="str">
        <f>'Q100a-geral'!Z1659</f>
        <v>x</v>
      </c>
      <c r="AA556" s="111" t="str">
        <f>'Q100a-geral'!AA1659</f>
        <v>x</v>
      </c>
      <c r="AB556" s="111" t="str">
        <f>'Q100a-geral'!AB1659</f>
        <v>x</v>
      </c>
      <c r="AC556" s="111" t="str">
        <f>'Q100a-geral'!AC1659</f>
        <v>x</v>
      </c>
      <c r="AD556" s="111" t="str">
        <f>'Q100a-geral'!AD1659</f>
        <v>x</v>
      </c>
      <c r="AE556" s="111" t="str">
        <f>'Q100a-geral'!AE1659</f>
        <v>x</v>
      </c>
      <c r="AF556" s="111" t="str">
        <f>'Q100a-geral'!AF1659</f>
        <v>x</v>
      </c>
      <c r="AG556" s="111" t="str">
        <f>'Q100a-geral'!AG1659</f>
        <v>x</v>
      </c>
      <c r="AH556" s="111" t="str">
        <f>'Q100a-geral'!AH1659</f>
        <v>x</v>
      </c>
      <c r="AI556" s="111" t="str">
        <f>'Q100a-geral'!AI1659</f>
        <v>x</v>
      </c>
      <c r="AJ556" s="111" t="str">
        <f>'Q100a-geral'!AJ1659</f>
        <v>x</v>
      </c>
      <c r="AK556" s="137" t="str">
        <f>'Q100a-geral'!AK1659</f>
        <v>x</v>
      </c>
      <c r="AL556" s="167" t="str">
        <f>'Q100a-geral'!AL1659</f>
        <v>x</v>
      </c>
      <c r="AM556" s="137" t="str">
        <f>'Q100a-geral'!AM1659</f>
        <v>x</v>
      </c>
      <c r="AN556" s="137" t="str">
        <f>'Q100a-geral'!AN1659</f>
        <v>x</v>
      </c>
      <c r="AO556" s="137" t="str">
        <f>'Q100a-geral'!AO1659</f>
        <v>x</v>
      </c>
      <c r="AP556" s="137" t="str">
        <f>'Q100a-geral'!AP1659</f>
        <v>x</v>
      </c>
      <c r="AQ556" s="137" t="str">
        <f>'Q100a-geral'!AQ1659</f>
        <v>x</v>
      </c>
      <c r="AR556" s="137"/>
      <c r="AS556" s="137"/>
      <c r="AT556" s="137"/>
      <c r="AU556" s="137"/>
      <c r="AV556" s="137" t="str">
        <f>'Q100a-geral'!AV1659</f>
        <v>x</v>
      </c>
      <c r="AW556" s="137"/>
      <c r="AX556" s="137"/>
      <c r="AY556" s="137"/>
      <c r="AZ556" s="137"/>
      <c r="BA556" s="137" t="str">
        <f>'Q100a-geral'!BA1659</f>
        <v>x</v>
      </c>
      <c r="BB556" s="239" t="str">
        <f>'Q100a-geral'!BB1659</f>
        <v>Infrações de trânsitox</v>
      </c>
      <c r="BC556" s="239" t="str">
        <f>'Q100a-geral'!BC1659</f>
        <v>Infrações de trânsitoxsigla/verbete</v>
      </c>
      <c r="BD556" s="239" t="str">
        <f>'Q100a-geral'!BD1659</f>
        <v>Infrações de trânsitosigla/verbete</v>
      </c>
    </row>
    <row r="557" spans="1:56" s="1" customFormat="1" ht="25.5" x14ac:dyDescent="0.25">
      <c r="A557" s="275" t="str">
        <f>'Q100a-geral'!A1660</f>
        <v>4.4</v>
      </c>
      <c r="B557" s="54" t="str">
        <f>'Q100a-geral'!B1660</f>
        <v>Infrações de trânsito</v>
      </c>
      <c r="C557" s="230" t="str">
        <f>'Q100a-geral'!C1660</f>
        <v>x</v>
      </c>
      <c r="D557" s="503" t="str">
        <f>'Q100a-geral'!D1660</f>
        <v>NAP vr</v>
      </c>
      <c r="E557" s="11" t="str">
        <f>'Q100a-geral'!E1660</f>
        <v>Belo Horizonte</v>
      </c>
      <c r="F557" s="445" t="str">
        <f>'Q100a-geral'!F1660</f>
        <v>percentual de veículos (em relação ao total de veículos registrados) aos quais foram aplicadas multas de trânsito no ano, em Belo Horizonte</v>
      </c>
      <c r="G557" s="5" t="str">
        <f>'Q100a-geral'!G1660</f>
        <v>100 - NAP v0</v>
      </c>
      <c r="H557" s="173" t="str">
        <f>'Q100a-geral'!H1660</f>
        <v>x</v>
      </c>
      <c r="I557" s="57">
        <f>'Q100a-geral'!I1660</f>
        <v>1</v>
      </c>
      <c r="J557" s="109" t="str">
        <f>'Q100a-geral'!J1660</f>
        <v>x</v>
      </c>
      <c r="K557" s="111" t="str">
        <f>'Q100a-geral'!K1660</f>
        <v>x</v>
      </c>
      <c r="L557" s="111" t="str">
        <f>'Q100a-geral'!L1660</f>
        <v>x</v>
      </c>
      <c r="M557" s="111" t="str">
        <f>'Q100a-geral'!M1660</f>
        <v>x</v>
      </c>
      <c r="N557" s="111" t="str">
        <f>'Q100a-geral'!N1660</f>
        <v>x</v>
      </c>
      <c r="O557" s="111" t="str">
        <f>'Q100a-geral'!O1660</f>
        <v>x</v>
      </c>
      <c r="P557" s="111" t="str">
        <f>'Q100a-geral'!P1660</f>
        <v>x</v>
      </c>
      <c r="Q557" s="111" t="str">
        <f>'Q100a-geral'!Q1660</f>
        <v>x</v>
      </c>
      <c r="R557" s="111" t="str">
        <f>'Q100a-geral'!R1660</f>
        <v>x</v>
      </c>
      <c r="S557" s="109" t="str">
        <f>'Q100a-geral'!S1660</f>
        <v>só para pesquisa</v>
      </c>
      <c r="T557" s="111" t="str">
        <f>'Q100a-geral'!T1660</f>
        <v>x</v>
      </c>
      <c r="U557" s="111" t="str">
        <f>'Q100a-geral'!U1660</f>
        <v>x</v>
      </c>
      <c r="V557" s="109" t="str">
        <f>'Q100a-geral'!V1660</f>
        <v>só para pesquisa</v>
      </c>
      <c r="W557" s="507">
        <f>'Q100a-geral'!W1660</f>
        <v>0.30000000000000004</v>
      </c>
      <c r="X557" s="507">
        <f>'Q100a-geral'!X1660</f>
        <v>0.27</v>
      </c>
      <c r="Y557" s="507">
        <f>'Q100a-geral'!Y1660</f>
        <v>0.33999999999999997</v>
      </c>
      <c r="Z557" s="507">
        <f>'Q100a-geral'!Z1660</f>
        <v>0.37</v>
      </c>
      <c r="AA557" s="507">
        <f>'Q100a-geral'!AA1660</f>
        <v>0.31999999999999995</v>
      </c>
      <c r="AB557" s="507">
        <f>'Q100a-geral'!AB1660</f>
        <v>0.30000000000000004</v>
      </c>
      <c r="AC557" s="507">
        <f>'Q100a-geral'!AC1660</f>
        <v>0.30000000000000004</v>
      </c>
      <c r="AD557" s="507">
        <f>'Q100a-geral'!AD1660</f>
        <v>0.32999999999999996</v>
      </c>
      <c r="AE557" s="507">
        <f>'Q100a-geral'!AE1660</f>
        <v>0.30000000000000004</v>
      </c>
      <c r="AF557" s="507">
        <f>'Q100a-geral'!AF1660</f>
        <v>0.30000000000000004</v>
      </c>
      <c r="AG557" s="507">
        <f>'Q100a-geral'!AG1660</f>
        <v>0.31000000000000005</v>
      </c>
      <c r="AH557" s="137" t="str">
        <f>'Q100a-geral'!AH1660</f>
        <v>x</v>
      </c>
      <c r="AI557" s="137" t="str">
        <f>'Q100a-geral'!AI1660</f>
        <v>x</v>
      </c>
      <c r="AJ557" s="137" t="str">
        <f>'Q100a-geral'!AJ1660</f>
        <v>x</v>
      </c>
      <c r="AK557" s="137" t="str">
        <f>'Q100a-geral'!AK1660</f>
        <v>x</v>
      </c>
      <c r="AL557" s="167" t="str">
        <f>'Q100a-geral'!AL1660</f>
        <v>x</v>
      </c>
      <c r="AM557" s="137" t="str">
        <f>'Q100a-geral'!AM1660</f>
        <v>x</v>
      </c>
      <c r="AN557" s="137" t="str">
        <f>'Q100a-geral'!AN1660</f>
        <v>x</v>
      </c>
      <c r="AO557" s="137" t="str">
        <f>'Q100a-geral'!AO1660</f>
        <v>x</v>
      </c>
      <c r="AP557" s="137" t="str">
        <f>'Q100a-geral'!AP1660</f>
        <v>x</v>
      </c>
      <c r="AQ557" s="137" t="str">
        <f>'Q100a-geral'!AQ1660</f>
        <v>x</v>
      </c>
      <c r="AR557" s="137"/>
      <c r="AS557" s="137"/>
      <c r="AT557" s="137"/>
      <c r="AU557" s="137"/>
      <c r="AV557" s="137" t="str">
        <f>'Q100a-geral'!AV1660</f>
        <v>x</v>
      </c>
      <c r="AW557" s="137"/>
      <c r="AX557" s="137"/>
      <c r="AY557" s="137"/>
      <c r="AZ557" s="137"/>
      <c r="BA557" s="137" t="str">
        <f>'Q100a-geral'!BA1660</f>
        <v>x</v>
      </c>
      <c r="BB557" s="239" t="str">
        <f>'Q100a-geral'!BB1660</f>
        <v>Infrações de trânsitox</v>
      </c>
      <c r="BC557" s="239" t="str">
        <f>'Q100a-geral'!BC1660</f>
        <v>Infrações de trânsitoxx</v>
      </c>
      <c r="BD557" s="239" t="str">
        <f>'Q100a-geral'!BD1660</f>
        <v>Infrações de trânsitox</v>
      </c>
    </row>
    <row r="558" spans="1:56" s="1" customFormat="1" ht="33.75" x14ac:dyDescent="0.25">
      <c r="A558" s="275" t="str">
        <f>'Q100a-geral'!A1661</f>
        <v>4.4</v>
      </c>
      <c r="B558" s="54" t="str">
        <f>'Q100a-geral'!B1661</f>
        <v>Infrações de trânsito</v>
      </c>
      <c r="C558" s="230" t="str">
        <f>'Q100a-geral'!C1661</f>
        <v>x</v>
      </c>
      <c r="D558" s="287" t="str">
        <f>'Q100a-geral'!D1661</f>
        <v>NAP v0r</v>
      </c>
      <c r="E558" s="504" t="str">
        <f>'Q100a-geral'!E1661</f>
        <v>Belo Horizonte</v>
      </c>
      <c r="F558" s="488" t="str">
        <f>'Q100a-geral'!F1661</f>
        <v>percentual de veículos (em relação ao total de veículos registrados) aos quais não foram aplicadas multas de trânsito no ano, em Belo Horizonte
obs.: resultados de 2001 a 2011 em BHTRANS (2012d, p.28)</v>
      </c>
      <c r="G558" s="5" t="str">
        <f>'Q100a-geral'!G1661</f>
        <v>registro na fonte</v>
      </c>
      <c r="H558" s="173" t="str">
        <f>'Q100a-geral'!H1661</f>
        <v>x</v>
      </c>
      <c r="I558" s="57">
        <f>'Q100a-geral'!I1661</f>
        <v>1</v>
      </c>
      <c r="J558" s="109" t="str">
        <f>'Q100a-geral'!J1661</f>
        <v>x</v>
      </c>
      <c r="K558" s="111" t="str">
        <f>'Q100a-geral'!K1661</f>
        <v>x</v>
      </c>
      <c r="L558" s="111" t="str">
        <f>'Q100a-geral'!L1661</f>
        <v>x</v>
      </c>
      <c r="M558" s="111" t="str">
        <f>'Q100a-geral'!M1661</f>
        <v>x</v>
      </c>
      <c r="N558" s="111" t="str">
        <f>'Q100a-geral'!N1661</f>
        <v>x</v>
      </c>
      <c r="O558" s="111" t="str">
        <f>'Q100a-geral'!O1661</f>
        <v>x</v>
      </c>
      <c r="P558" s="111" t="str">
        <f>'Q100a-geral'!P1661</f>
        <v>x</v>
      </c>
      <c r="Q558" s="111" t="str">
        <f>'Q100a-geral'!Q1661</f>
        <v>x</v>
      </c>
      <c r="R558" s="111" t="str">
        <f>'Q100a-geral'!R1661</f>
        <v>x</v>
      </c>
      <c r="S558" s="109" t="str">
        <f>'Q100a-geral'!S1661</f>
        <v>só para pesquisa</v>
      </c>
      <c r="T558" s="111" t="str">
        <f>'Q100a-geral'!T1661</f>
        <v>x</v>
      </c>
      <c r="U558" s="111" t="str">
        <f>'Q100a-geral'!U1661</f>
        <v>x</v>
      </c>
      <c r="V558" s="109" t="str">
        <f>'Q100a-geral'!V1661</f>
        <v>só para pesquisa</v>
      </c>
      <c r="W558" s="507">
        <f>'Q100a-geral'!W1661</f>
        <v>0.7</v>
      </c>
      <c r="X558" s="507">
        <f>'Q100a-geral'!X1661</f>
        <v>0.73</v>
      </c>
      <c r="Y558" s="507">
        <f>'Q100a-geral'!Y1661</f>
        <v>0.66</v>
      </c>
      <c r="Z558" s="507">
        <f>'Q100a-geral'!Z1661</f>
        <v>0.63</v>
      </c>
      <c r="AA558" s="507">
        <f>'Q100a-geral'!AA1661</f>
        <v>0.68</v>
      </c>
      <c r="AB558" s="507">
        <f>'Q100a-geral'!AB1661</f>
        <v>0.7</v>
      </c>
      <c r="AC558" s="507">
        <f>'Q100a-geral'!AC1661</f>
        <v>0.7</v>
      </c>
      <c r="AD558" s="507">
        <f>'Q100a-geral'!AD1661</f>
        <v>0.67</v>
      </c>
      <c r="AE558" s="507">
        <f>'Q100a-geral'!AE1661</f>
        <v>0.7</v>
      </c>
      <c r="AF558" s="507">
        <f>'Q100a-geral'!AF1661</f>
        <v>0.7</v>
      </c>
      <c r="AG558" s="507">
        <f>'Q100a-geral'!AG1661</f>
        <v>0.69</v>
      </c>
      <c r="AH558" s="508"/>
      <c r="AI558" s="508"/>
      <c r="AJ558" s="508"/>
      <c r="AK558" s="137" t="str">
        <f>'Q100a-geral'!AK1661</f>
        <v>x</v>
      </c>
      <c r="AL558" s="167" t="str">
        <f>'Q100a-geral'!AL1661</f>
        <v>x</v>
      </c>
      <c r="AM558" s="137" t="str">
        <f>'Q100a-geral'!AM1661</f>
        <v>x</v>
      </c>
      <c r="AN558" s="137" t="str">
        <f>'Q100a-geral'!AN1661</f>
        <v>x</v>
      </c>
      <c r="AO558" s="137" t="str">
        <f>'Q100a-geral'!AO1661</f>
        <v>x</v>
      </c>
      <c r="AP558" s="137" t="str">
        <f>'Q100a-geral'!AP1661</f>
        <v>x</v>
      </c>
      <c r="AQ558" s="137" t="str">
        <f>'Q100a-geral'!AQ1661</f>
        <v>x</v>
      </c>
      <c r="AR558" s="137"/>
      <c r="AS558" s="137"/>
      <c r="AT558" s="137"/>
      <c r="AU558" s="137"/>
      <c r="AV558" s="137" t="str">
        <f>'Q100a-geral'!AV1661</f>
        <v>x</v>
      </c>
      <c r="AW558" s="137"/>
      <c r="AX558" s="137"/>
      <c r="AY558" s="137"/>
      <c r="AZ558" s="137"/>
      <c r="BA558" s="137" t="str">
        <f>'Q100a-geral'!BA1661</f>
        <v>x</v>
      </c>
      <c r="BB558" s="239" t="str">
        <f>'Q100a-geral'!BB1661</f>
        <v>Infrações de trânsitox</v>
      </c>
      <c r="BC558" s="239" t="str">
        <f>'Q100a-geral'!BC1661</f>
        <v>Infrações de trânsitoxx</v>
      </c>
      <c r="BD558" s="239" t="str">
        <f>'Q100a-geral'!BD1661</f>
        <v>Infrações de trânsitox</v>
      </c>
    </row>
    <row r="559" spans="1:56" s="1" customFormat="1" ht="45" x14ac:dyDescent="0.25">
      <c r="A559" s="275" t="str">
        <f>'Q100a-geral'!A1662</f>
        <v>4.4</v>
      </c>
      <c r="B559" s="54" t="str">
        <f>'Q100a-geral'!B1662</f>
        <v>Infrações de trânsito</v>
      </c>
      <c r="C559" s="230" t="str">
        <f>'Q100a-geral'!C1662</f>
        <v>x</v>
      </c>
      <c r="D559" s="9" t="str">
        <f>'Q100a-geral'!D1662</f>
        <v>NAP v1r</v>
      </c>
      <c r="E559" s="5" t="str">
        <f>'Q100a-geral'!E1662</f>
        <v>Belo Horizonte</v>
      </c>
      <c r="F559" s="448" t="str">
        <f>'Q100a-geral'!F1662</f>
        <v>percentual de veículos (em relação ao total de veículos registrados) aos quais foi aplicada apenas uma multa de trânsito no ano, em Belo Horizonte
obs.1: resultados de 2001 a 2011 em BHTRANS (2012d, p.28)
obs.2: a metodologia de cálculo deste indicador é diferente da adotada em São Paulo</v>
      </c>
      <c r="G559" s="5" t="str">
        <f>'Q100a-geral'!G1662</f>
        <v>registro na fonte</v>
      </c>
      <c r="H559" s="173" t="str">
        <f>'Q100a-geral'!H1662</f>
        <v>x</v>
      </c>
      <c r="I559" s="57">
        <f>'Q100a-geral'!I1662</f>
        <v>1</v>
      </c>
      <c r="J559" s="109" t="str">
        <f>'Q100a-geral'!J1662</f>
        <v>x</v>
      </c>
      <c r="K559" s="111" t="str">
        <f>'Q100a-geral'!K1662</f>
        <v>x</v>
      </c>
      <c r="L559" s="111" t="str">
        <f>'Q100a-geral'!L1662</f>
        <v>x</v>
      </c>
      <c r="M559" s="111" t="str">
        <f>'Q100a-geral'!M1662</f>
        <v>x</v>
      </c>
      <c r="N559" s="111" t="str">
        <f>'Q100a-geral'!N1662</f>
        <v>x</v>
      </c>
      <c r="O559" s="111" t="str">
        <f>'Q100a-geral'!O1662</f>
        <v>x</v>
      </c>
      <c r="P559" s="111" t="str">
        <f>'Q100a-geral'!P1662</f>
        <v>x</v>
      </c>
      <c r="Q559" s="111" t="str">
        <f>'Q100a-geral'!Q1662</f>
        <v>x</v>
      </c>
      <c r="R559" s="111" t="str">
        <f>'Q100a-geral'!R1662</f>
        <v>x</v>
      </c>
      <c r="S559" s="109" t="str">
        <f>'Q100a-geral'!S1662</f>
        <v>só para pesquisa</v>
      </c>
      <c r="T559" s="111" t="str">
        <f>'Q100a-geral'!T1662</f>
        <v>x</v>
      </c>
      <c r="U559" s="111" t="str">
        <f>'Q100a-geral'!U1662</f>
        <v>x</v>
      </c>
      <c r="V559" s="109" t="str">
        <f>'Q100a-geral'!V1662</f>
        <v>só para pesquisa</v>
      </c>
      <c r="W559" s="111">
        <f>'Q100a-geral'!W1662</f>
        <v>0.2</v>
      </c>
      <c r="X559" s="111">
        <f>'Q100a-geral'!X1662</f>
        <v>0.19</v>
      </c>
      <c r="Y559" s="111">
        <f>'Q100a-geral'!Y1662</f>
        <v>0.19</v>
      </c>
      <c r="Z559" s="111">
        <f>'Q100a-geral'!Z1662</f>
        <v>0.24</v>
      </c>
      <c r="AA559" s="111">
        <f>'Q100a-geral'!AA1662</f>
        <v>0.22</v>
      </c>
      <c r="AB559" s="111">
        <f>'Q100a-geral'!AB1662</f>
        <v>0.2</v>
      </c>
      <c r="AC559" s="111">
        <f>'Q100a-geral'!AC1662</f>
        <v>0.2</v>
      </c>
      <c r="AD559" s="111">
        <f>'Q100a-geral'!AD1662</f>
        <v>0.21</v>
      </c>
      <c r="AE559" s="111">
        <f>'Q100a-geral'!AE1662</f>
        <v>0.2</v>
      </c>
      <c r="AF559" s="111">
        <f>'Q100a-geral'!AF1662</f>
        <v>0.2</v>
      </c>
      <c r="AG559" s="111">
        <f>'Q100a-geral'!AG1662</f>
        <v>0.21</v>
      </c>
      <c r="AH559" s="111" t="str">
        <f>'Q100a-geral'!AH1662</f>
        <v>x</v>
      </c>
      <c r="AI559" s="111" t="str">
        <f>'Q100a-geral'!AI1662</f>
        <v>x</v>
      </c>
      <c r="AJ559" s="111" t="str">
        <f>'Q100a-geral'!AJ1662</f>
        <v>x</v>
      </c>
      <c r="AK559" s="137" t="str">
        <f>'Q100a-geral'!AK1662</f>
        <v>x</v>
      </c>
      <c r="AL559" s="167" t="str">
        <f>'Q100a-geral'!AL1662</f>
        <v>x</v>
      </c>
      <c r="AM559" s="137" t="str">
        <f>'Q100a-geral'!AM1662</f>
        <v>x</v>
      </c>
      <c r="AN559" s="137" t="str">
        <f>'Q100a-geral'!AN1662</f>
        <v>x</v>
      </c>
      <c r="AO559" s="137" t="str">
        <f>'Q100a-geral'!AO1662</f>
        <v>x</v>
      </c>
      <c r="AP559" s="137" t="str">
        <f>'Q100a-geral'!AP1662</f>
        <v>x</v>
      </c>
      <c r="AQ559" s="137" t="str">
        <f>'Q100a-geral'!AQ1662</f>
        <v>x</v>
      </c>
      <c r="AR559" s="137"/>
      <c r="AS559" s="137"/>
      <c r="AT559" s="137"/>
      <c r="AU559" s="137"/>
      <c r="AV559" s="137" t="str">
        <f>'Q100a-geral'!AV1662</f>
        <v>x</v>
      </c>
      <c r="AW559" s="137"/>
      <c r="AX559" s="137"/>
      <c r="AY559" s="137"/>
      <c r="AZ559" s="137"/>
      <c r="BA559" s="137" t="str">
        <f>'Q100a-geral'!BA1662</f>
        <v>x</v>
      </c>
      <c r="BB559" s="239" t="str">
        <f>'Q100a-geral'!BB1662</f>
        <v>Infrações de trânsitox</v>
      </c>
      <c r="BC559" s="239" t="str">
        <f>'Q100a-geral'!BC1662</f>
        <v>Infrações de trânsitoxx</v>
      </c>
      <c r="BD559" s="239" t="str">
        <f>'Q100a-geral'!BD1662</f>
        <v>Infrações de trânsitox</v>
      </c>
    </row>
    <row r="560" spans="1:56" s="1" customFormat="1" ht="45" x14ac:dyDescent="0.25">
      <c r="A560" s="275" t="str">
        <f>'Q100a-geral'!A1663</f>
        <v>4.4</v>
      </c>
      <c r="B560" s="54" t="str">
        <f>'Q100a-geral'!B1663</f>
        <v>Infrações de trânsito</v>
      </c>
      <c r="C560" s="230" t="str">
        <f>'Q100a-geral'!C1663</f>
        <v>x</v>
      </c>
      <c r="D560" s="9" t="str">
        <f>'Q100a-geral'!D1663</f>
        <v>NAP v2r</v>
      </c>
      <c r="E560" s="5" t="str">
        <f>'Q100a-geral'!E1663</f>
        <v>Belo Horizonte</v>
      </c>
      <c r="F560" s="448" t="str">
        <f>'Q100a-geral'!F1663</f>
        <v>percentual de veículos (em relação ao total de veículos registrados) aos quais foram aplicadas duas multas de trânsito no ano, em Belo Horizonte
obs.1: resultados de 2001 a 2011 em BHTRANS (2012d, p.28)
obs.2: a metodologia de cálculo deste indicador é diferente da adotada em São Paulo</v>
      </c>
      <c r="G560" s="5" t="str">
        <f>'Q100a-geral'!G1663</f>
        <v>registro na fonte</v>
      </c>
      <c r="H560" s="173" t="str">
        <f>'Q100a-geral'!H1663</f>
        <v>x</v>
      </c>
      <c r="I560" s="57">
        <f>'Q100a-geral'!I1663</f>
        <v>1</v>
      </c>
      <c r="J560" s="109" t="str">
        <f>'Q100a-geral'!J1663</f>
        <v>x</v>
      </c>
      <c r="K560" s="111" t="str">
        <f>'Q100a-geral'!K1663</f>
        <v>x</v>
      </c>
      <c r="L560" s="111" t="str">
        <f>'Q100a-geral'!L1663</f>
        <v>x</v>
      </c>
      <c r="M560" s="111" t="str">
        <f>'Q100a-geral'!M1663</f>
        <v>x</v>
      </c>
      <c r="N560" s="111" t="str">
        <f>'Q100a-geral'!N1663</f>
        <v>x</v>
      </c>
      <c r="O560" s="111" t="str">
        <f>'Q100a-geral'!O1663</f>
        <v>x</v>
      </c>
      <c r="P560" s="111" t="str">
        <f>'Q100a-geral'!P1663</f>
        <v>x</v>
      </c>
      <c r="Q560" s="111" t="str">
        <f>'Q100a-geral'!Q1663</f>
        <v>x</v>
      </c>
      <c r="R560" s="111" t="str">
        <f>'Q100a-geral'!R1663</f>
        <v>x</v>
      </c>
      <c r="S560" s="109" t="str">
        <f>'Q100a-geral'!S1663</f>
        <v>só para pesquisa</v>
      </c>
      <c r="T560" s="111" t="str">
        <f>'Q100a-geral'!T1663</f>
        <v>x</v>
      </c>
      <c r="U560" s="111" t="str">
        <f>'Q100a-geral'!U1663</f>
        <v>x</v>
      </c>
      <c r="V560" s="109" t="str">
        <f>'Q100a-geral'!V1663</f>
        <v>só para pesquisa</v>
      </c>
      <c r="W560" s="111">
        <f>'Q100a-geral'!W1663</f>
        <v>0.06</v>
      </c>
      <c r="X560" s="111">
        <f>'Q100a-geral'!X1663</f>
        <v>0.05</v>
      </c>
      <c r="Y560" s="111">
        <f>'Q100a-geral'!Y1663</f>
        <v>0.05</v>
      </c>
      <c r="Z560" s="111">
        <f>'Q100a-geral'!Z1663</f>
        <v>7.0000000000000007E-2</v>
      </c>
      <c r="AA560" s="111">
        <f>'Q100a-geral'!AA1663</f>
        <v>0.06</v>
      </c>
      <c r="AB560" s="111">
        <f>'Q100a-geral'!AB1663</f>
        <v>0.06</v>
      </c>
      <c r="AC560" s="111">
        <f>'Q100a-geral'!AC1663</f>
        <v>0.06</v>
      </c>
      <c r="AD560" s="111">
        <f>'Q100a-geral'!AD1663</f>
        <v>7.0000000000000007E-2</v>
      </c>
      <c r="AE560" s="111">
        <f>'Q100a-geral'!AE1663</f>
        <v>0.06</v>
      </c>
      <c r="AF560" s="111">
        <f>'Q100a-geral'!AF1663</f>
        <v>0.06</v>
      </c>
      <c r="AG560" s="111">
        <f>'Q100a-geral'!AG1663</f>
        <v>0.06</v>
      </c>
      <c r="AH560" s="111" t="str">
        <f>'Q100a-geral'!AH1663</f>
        <v>x</v>
      </c>
      <c r="AI560" s="111" t="str">
        <f>'Q100a-geral'!AI1663</f>
        <v>x</v>
      </c>
      <c r="AJ560" s="111" t="str">
        <f>'Q100a-geral'!AJ1663</f>
        <v>x</v>
      </c>
      <c r="AK560" s="137" t="str">
        <f>'Q100a-geral'!AK1663</f>
        <v>x</v>
      </c>
      <c r="AL560" s="167" t="str">
        <f>'Q100a-geral'!AL1663</f>
        <v>x</v>
      </c>
      <c r="AM560" s="137" t="str">
        <f>'Q100a-geral'!AM1663</f>
        <v>x</v>
      </c>
      <c r="AN560" s="137" t="str">
        <f>'Q100a-geral'!AN1663</f>
        <v>x</v>
      </c>
      <c r="AO560" s="137" t="str">
        <f>'Q100a-geral'!AO1663</f>
        <v>x</v>
      </c>
      <c r="AP560" s="137" t="str">
        <f>'Q100a-geral'!AP1663</f>
        <v>x</v>
      </c>
      <c r="AQ560" s="137" t="str">
        <f>'Q100a-geral'!AQ1663</f>
        <v>x</v>
      </c>
      <c r="AR560" s="137"/>
      <c r="AS560" s="137"/>
      <c r="AT560" s="137"/>
      <c r="AU560" s="137"/>
      <c r="AV560" s="137" t="str">
        <f>'Q100a-geral'!AV1663</f>
        <v>x</v>
      </c>
      <c r="AW560" s="137"/>
      <c r="AX560" s="137"/>
      <c r="AY560" s="137"/>
      <c r="AZ560" s="137"/>
      <c r="BA560" s="137" t="str">
        <f>'Q100a-geral'!BA1663</f>
        <v>x</v>
      </c>
      <c r="BB560" s="239" t="str">
        <f>'Q100a-geral'!BB1663</f>
        <v>Infrações de trânsitox</v>
      </c>
      <c r="BC560" s="239" t="str">
        <f>'Q100a-geral'!BC1663</f>
        <v>Infrações de trânsitoxx</v>
      </c>
      <c r="BD560" s="239" t="str">
        <f>'Q100a-geral'!BD1663</f>
        <v>Infrações de trânsitox</v>
      </c>
    </row>
    <row r="561" spans="1:56" s="1" customFormat="1" ht="45" x14ac:dyDescent="0.25">
      <c r="A561" s="275" t="str">
        <f>'Q100a-geral'!A1664</f>
        <v>4.4</v>
      </c>
      <c r="B561" s="54" t="str">
        <f>'Q100a-geral'!B1664</f>
        <v>Infrações de trânsito</v>
      </c>
      <c r="C561" s="230" t="str">
        <f>'Q100a-geral'!C1664</f>
        <v>x</v>
      </c>
      <c r="D561" s="9" t="str">
        <f>'Q100a-geral'!D1664</f>
        <v>NAP v3r</v>
      </c>
      <c r="E561" s="5" t="str">
        <f>'Q100a-geral'!E1664</f>
        <v>Belo Horizonte</v>
      </c>
      <c r="F561" s="448" t="str">
        <f>'Q100a-geral'!F1664</f>
        <v>percentual de veículos (em relação ao total de veículos registrados) aos quais foram aplicadas três multas de trânsito no ano, em Belo Horizonte
obs.1: resultados de 2001 a 2011 em BHTRANS (2012d, p.28)
obs.2: a metodologia de cálculo deste indicador é diferente da adotada em São Paulo</v>
      </c>
      <c r="G561" s="5" t="str">
        <f>'Q100a-geral'!G1664</f>
        <v>registro na fonte</v>
      </c>
      <c r="H561" s="173" t="str">
        <f>'Q100a-geral'!H1664</f>
        <v>x</v>
      </c>
      <c r="I561" s="57">
        <f>'Q100a-geral'!I1664</f>
        <v>1</v>
      </c>
      <c r="J561" s="109" t="str">
        <f>'Q100a-geral'!J1664</f>
        <v>x</v>
      </c>
      <c r="K561" s="111" t="str">
        <f>'Q100a-geral'!K1664</f>
        <v>x</v>
      </c>
      <c r="L561" s="111" t="str">
        <f>'Q100a-geral'!L1664</f>
        <v>x</v>
      </c>
      <c r="M561" s="111" t="str">
        <f>'Q100a-geral'!M1664</f>
        <v>x</v>
      </c>
      <c r="N561" s="111" t="str">
        <f>'Q100a-geral'!N1664</f>
        <v>x</v>
      </c>
      <c r="O561" s="111" t="str">
        <f>'Q100a-geral'!O1664</f>
        <v>x</v>
      </c>
      <c r="P561" s="111" t="str">
        <f>'Q100a-geral'!P1664</f>
        <v>x</v>
      </c>
      <c r="Q561" s="111" t="str">
        <f>'Q100a-geral'!Q1664</f>
        <v>x</v>
      </c>
      <c r="R561" s="111" t="str">
        <f>'Q100a-geral'!R1664</f>
        <v>x</v>
      </c>
      <c r="S561" s="109" t="str">
        <f>'Q100a-geral'!S1664</f>
        <v>só para pesquisa</v>
      </c>
      <c r="T561" s="111" t="str">
        <f>'Q100a-geral'!T1664</f>
        <v>x</v>
      </c>
      <c r="U561" s="111" t="str">
        <f>'Q100a-geral'!U1664</f>
        <v>x</v>
      </c>
      <c r="V561" s="109" t="str">
        <f>'Q100a-geral'!V1664</f>
        <v>só para pesquisa</v>
      </c>
      <c r="W561" s="111">
        <f>'Q100a-geral'!W1664</f>
        <v>0.02</v>
      </c>
      <c r="X561" s="111">
        <f>'Q100a-geral'!X1664</f>
        <v>0.03</v>
      </c>
      <c r="Y561" s="111">
        <f>'Q100a-geral'!Y1664</f>
        <v>0.02</v>
      </c>
      <c r="Z561" s="111">
        <f>'Q100a-geral'!Z1664</f>
        <v>0.03</v>
      </c>
      <c r="AA561" s="111">
        <f>'Q100a-geral'!AA1664</f>
        <v>0.02</v>
      </c>
      <c r="AB561" s="111">
        <f>'Q100a-geral'!AB1664</f>
        <v>0.02</v>
      </c>
      <c r="AC561" s="111">
        <f>'Q100a-geral'!AC1664</f>
        <v>0.02</v>
      </c>
      <c r="AD561" s="111">
        <f>'Q100a-geral'!AD1664</f>
        <v>0.02</v>
      </c>
      <c r="AE561" s="111">
        <f>'Q100a-geral'!AE1664</f>
        <v>0.02</v>
      </c>
      <c r="AF561" s="111">
        <f>'Q100a-geral'!AF1664</f>
        <v>0.02</v>
      </c>
      <c r="AG561" s="111">
        <f>'Q100a-geral'!AG1664</f>
        <v>0.02</v>
      </c>
      <c r="AH561" s="111" t="str">
        <f>'Q100a-geral'!AH1664</f>
        <v>x</v>
      </c>
      <c r="AI561" s="111" t="str">
        <f>'Q100a-geral'!AI1664</f>
        <v>x</v>
      </c>
      <c r="AJ561" s="111" t="str">
        <f>'Q100a-geral'!AJ1664</f>
        <v>x</v>
      </c>
      <c r="AK561" s="137" t="str">
        <f>'Q100a-geral'!AK1664</f>
        <v>x</v>
      </c>
      <c r="AL561" s="167" t="str">
        <f>'Q100a-geral'!AL1664</f>
        <v>x</v>
      </c>
      <c r="AM561" s="137" t="str">
        <f>'Q100a-geral'!AM1664</f>
        <v>x</v>
      </c>
      <c r="AN561" s="137" t="str">
        <f>'Q100a-geral'!AN1664</f>
        <v>x</v>
      </c>
      <c r="AO561" s="137" t="str">
        <f>'Q100a-geral'!AO1664</f>
        <v>x</v>
      </c>
      <c r="AP561" s="137" t="str">
        <f>'Q100a-geral'!AP1664</f>
        <v>x</v>
      </c>
      <c r="AQ561" s="137" t="str">
        <f>'Q100a-geral'!AQ1664</f>
        <v>x</v>
      </c>
      <c r="AR561" s="137"/>
      <c r="AS561" s="137"/>
      <c r="AT561" s="137"/>
      <c r="AU561" s="137"/>
      <c r="AV561" s="137" t="str">
        <f>'Q100a-geral'!AV1664</f>
        <v>x</v>
      </c>
      <c r="AW561" s="137"/>
      <c r="AX561" s="137"/>
      <c r="AY561" s="137"/>
      <c r="AZ561" s="137"/>
      <c r="BA561" s="137" t="str">
        <f>'Q100a-geral'!BA1664</f>
        <v>x</v>
      </c>
      <c r="BB561" s="239" t="str">
        <f>'Q100a-geral'!BB1664</f>
        <v>Infrações de trânsitox</v>
      </c>
      <c r="BC561" s="239" t="str">
        <f>'Q100a-geral'!BC1664</f>
        <v>Infrações de trânsitoxx</v>
      </c>
      <c r="BD561" s="239" t="str">
        <f>'Q100a-geral'!BD1664</f>
        <v>Infrações de trânsitox</v>
      </c>
    </row>
    <row r="562" spans="1:56" s="1" customFormat="1" ht="45" x14ac:dyDescent="0.25">
      <c r="A562" s="275" t="str">
        <f>'Q100a-geral'!A1665</f>
        <v>4.4</v>
      </c>
      <c r="B562" s="54" t="str">
        <f>'Q100a-geral'!B1665</f>
        <v>Infrações de trânsito</v>
      </c>
      <c r="C562" s="230" t="str">
        <f>'Q100a-geral'!C1665</f>
        <v>x</v>
      </c>
      <c r="D562" s="9" t="str">
        <f>'Q100a-geral'!D1665</f>
        <v>NAP &gt;3r</v>
      </c>
      <c r="E562" s="5" t="str">
        <f>'Q100a-geral'!E1665</f>
        <v>Belo Horizonte</v>
      </c>
      <c r="F562" s="448" t="str">
        <f>'Q100a-geral'!F1665</f>
        <v>percentual de veículos (em relação ao total de veículos registrados) aos quais foram aplicadas mais de três multas de trânsito no ano, em Belo Horizonte
obs.1: resultados de 2001 a 2011 em BHTRANS (2012d, p.28)
obs.2: a metodologia de cálculo deste indicador é diferente da adotada em São Paulo</v>
      </c>
      <c r="G562" s="5" t="str">
        <f>'Q100a-geral'!G1665</f>
        <v>registro na fonte</v>
      </c>
      <c r="H562" s="173" t="str">
        <f>'Q100a-geral'!H1665</f>
        <v>x</v>
      </c>
      <c r="I562" s="57">
        <f>'Q100a-geral'!I1665</f>
        <v>1</v>
      </c>
      <c r="J562" s="109" t="str">
        <f>'Q100a-geral'!J1665</f>
        <v>x</v>
      </c>
      <c r="K562" s="111" t="str">
        <f>'Q100a-geral'!K1665</f>
        <v>x</v>
      </c>
      <c r="L562" s="111" t="str">
        <f>'Q100a-geral'!L1665</f>
        <v>x</v>
      </c>
      <c r="M562" s="111" t="str">
        <f>'Q100a-geral'!M1665</f>
        <v>x</v>
      </c>
      <c r="N562" s="111" t="str">
        <f>'Q100a-geral'!N1665</f>
        <v>x</v>
      </c>
      <c r="O562" s="111" t="str">
        <f>'Q100a-geral'!O1665</f>
        <v>x</v>
      </c>
      <c r="P562" s="111" t="str">
        <f>'Q100a-geral'!P1665</f>
        <v>x</v>
      </c>
      <c r="Q562" s="111" t="str">
        <f>'Q100a-geral'!Q1665</f>
        <v>x</v>
      </c>
      <c r="R562" s="111" t="str">
        <f>'Q100a-geral'!R1665</f>
        <v>x</v>
      </c>
      <c r="S562" s="109" t="str">
        <f>'Q100a-geral'!S1665</f>
        <v>só para pesquisa</v>
      </c>
      <c r="T562" s="111" t="str">
        <f>'Q100a-geral'!T1665</f>
        <v>x</v>
      </c>
      <c r="U562" s="111" t="str">
        <f>'Q100a-geral'!U1665</f>
        <v>x</v>
      </c>
      <c r="V562" s="109" t="str">
        <f>'Q100a-geral'!V1665</f>
        <v>só para pesquisa</v>
      </c>
      <c r="W562" s="111">
        <f>'Q100a-geral'!W1665</f>
        <v>0.02</v>
      </c>
      <c r="X562" s="111">
        <f>'Q100a-geral'!X1665</f>
        <v>0.03</v>
      </c>
      <c r="Y562" s="111">
        <f>'Q100a-geral'!Y1665</f>
        <v>0.08</v>
      </c>
      <c r="Z562" s="111">
        <f>'Q100a-geral'!Z1665</f>
        <v>0.03</v>
      </c>
      <c r="AA562" s="111">
        <f>'Q100a-geral'!AA1665</f>
        <v>0.02</v>
      </c>
      <c r="AB562" s="111">
        <f>'Q100a-geral'!AB1665</f>
        <v>0.02</v>
      </c>
      <c r="AC562" s="111">
        <f>'Q100a-geral'!AC1665</f>
        <v>0.02</v>
      </c>
      <c r="AD562" s="111">
        <f>'Q100a-geral'!AD1665</f>
        <v>0.03</v>
      </c>
      <c r="AE562" s="111">
        <f>'Q100a-geral'!AE1665</f>
        <v>0.02</v>
      </c>
      <c r="AF562" s="111">
        <f>'Q100a-geral'!AF1665</f>
        <v>0.02</v>
      </c>
      <c r="AG562" s="111">
        <f>'Q100a-geral'!AG1665</f>
        <v>0.02</v>
      </c>
      <c r="AH562" s="111" t="str">
        <f>'Q100a-geral'!AH1665</f>
        <v>x</v>
      </c>
      <c r="AI562" s="111" t="str">
        <f>'Q100a-geral'!AI1665</f>
        <v>x</v>
      </c>
      <c r="AJ562" s="111" t="str">
        <f>'Q100a-geral'!AJ1665</f>
        <v>x</v>
      </c>
      <c r="AK562" s="137" t="str">
        <f>'Q100a-geral'!AK1665</f>
        <v>x</v>
      </c>
      <c r="AL562" s="167" t="str">
        <f>'Q100a-geral'!AL1665</f>
        <v>x</v>
      </c>
      <c r="AM562" s="137" t="str">
        <f>'Q100a-geral'!AM1665</f>
        <v>x</v>
      </c>
      <c r="AN562" s="137" t="str">
        <f>'Q100a-geral'!AN1665</f>
        <v>x</v>
      </c>
      <c r="AO562" s="137" t="str">
        <f>'Q100a-geral'!AO1665</f>
        <v>x</v>
      </c>
      <c r="AP562" s="137" t="str">
        <f>'Q100a-geral'!AP1665</f>
        <v>x</v>
      </c>
      <c r="AQ562" s="137" t="str">
        <f>'Q100a-geral'!AQ1665</f>
        <v>x</v>
      </c>
      <c r="AR562" s="137"/>
      <c r="AS562" s="137"/>
      <c r="AT562" s="137"/>
      <c r="AU562" s="137"/>
      <c r="AV562" s="137" t="str">
        <f>'Q100a-geral'!AV1665</f>
        <v>x</v>
      </c>
      <c r="AW562" s="137"/>
      <c r="AX562" s="137"/>
      <c r="AY562" s="137"/>
      <c r="AZ562" s="137"/>
      <c r="BA562" s="137" t="str">
        <f>'Q100a-geral'!BA1665</f>
        <v>x</v>
      </c>
      <c r="BB562" s="239" t="str">
        <f>'Q100a-geral'!BB1665</f>
        <v>Infrações de trânsitox</v>
      </c>
      <c r="BC562" s="239" t="str">
        <f>'Q100a-geral'!BC1665</f>
        <v>Infrações de trânsitoxx</v>
      </c>
      <c r="BD562" s="239" t="str">
        <f>'Q100a-geral'!BD1665</f>
        <v>Infrações de trânsitox</v>
      </c>
    </row>
    <row r="563" spans="1:56" s="1" customFormat="1" ht="45" x14ac:dyDescent="0.25">
      <c r="A563" s="275" t="str">
        <f>'Q100a-geral'!A1666</f>
        <v>4.4</v>
      </c>
      <c r="B563" s="54" t="str">
        <f>'Q100a-geral'!B1666</f>
        <v>Infrações de trânsito</v>
      </c>
      <c r="C563" s="230" t="str">
        <f>'Q100a-geral'!C1666</f>
        <v>x</v>
      </c>
      <c r="D563" s="503" t="str">
        <f>'Q100a-geral'!D1666</f>
        <v>NAP vr</v>
      </c>
      <c r="E563" s="11" t="str">
        <f>'Q100a-geral'!E1666</f>
        <v>São Paulo</v>
      </c>
      <c r="F563" s="445" t="str">
        <f>'Q100a-geral'!F1666</f>
        <v>percentual de veículos (em relação ao total de veículos registrados) aos quais foram aplicadas multas de trânsito no ano, em São Paulo
obs.: os resultados de 2013 e 2014, aqui obtidos por fórmula, são idênticos aos disponíveis na fonte consultada (SP, 2016a, 2016b)</v>
      </c>
      <c r="G563" s="5" t="str">
        <f>'Q100a-geral'!G1666</f>
        <v>100 - NAP v0</v>
      </c>
      <c r="H563" s="173" t="str">
        <f>'Q100a-geral'!H1666</f>
        <v>x</v>
      </c>
      <c r="I563" s="57">
        <f>'Q100a-geral'!I1666</f>
        <v>1</v>
      </c>
      <c r="J563" s="109" t="str">
        <f>'Q100a-geral'!J1666</f>
        <v>x</v>
      </c>
      <c r="K563" s="111" t="str">
        <f>'Q100a-geral'!K1666</f>
        <v>x</v>
      </c>
      <c r="L563" s="111" t="str">
        <f>'Q100a-geral'!L1666</f>
        <v>x</v>
      </c>
      <c r="M563" s="111" t="str">
        <f>'Q100a-geral'!M1666</f>
        <v>x</v>
      </c>
      <c r="N563" s="111" t="str">
        <f>'Q100a-geral'!N1666</f>
        <v>x</v>
      </c>
      <c r="O563" s="111" t="str">
        <f>'Q100a-geral'!O1666</f>
        <v>x</v>
      </c>
      <c r="P563" s="111" t="str">
        <f>'Q100a-geral'!P1666</f>
        <v>x</v>
      </c>
      <c r="Q563" s="111" t="str">
        <f>'Q100a-geral'!Q1666</f>
        <v>x</v>
      </c>
      <c r="R563" s="111" t="str">
        <f>'Q100a-geral'!R1666</f>
        <v>x</v>
      </c>
      <c r="S563" s="109" t="str">
        <f>'Q100a-geral'!S1666</f>
        <v>só para pesquisa</v>
      </c>
      <c r="T563" s="111" t="str">
        <f>'Q100a-geral'!T1666</f>
        <v>x</v>
      </c>
      <c r="U563" s="111" t="str">
        <f>'Q100a-geral'!U1666</f>
        <v>x</v>
      </c>
      <c r="V563" s="109" t="str">
        <f>'Q100a-geral'!V1666</f>
        <v>só para pesquisa</v>
      </c>
      <c r="W563" s="109" t="str">
        <f>'Q100a-geral'!W1666</f>
        <v>x</v>
      </c>
      <c r="X563" s="109" t="str">
        <f>'Q100a-geral'!X1666</f>
        <v>x</v>
      </c>
      <c r="Y563" s="109" t="str">
        <f>'Q100a-geral'!Y1666</f>
        <v>x</v>
      </c>
      <c r="Z563" s="109" t="str">
        <f>'Q100a-geral'!Z1666</f>
        <v>x</v>
      </c>
      <c r="AA563" s="109" t="str">
        <f>'Q100a-geral'!AA1666</f>
        <v>x</v>
      </c>
      <c r="AB563" s="109" t="str">
        <f>'Q100a-geral'!AB1666</f>
        <v>x</v>
      </c>
      <c r="AC563" s="109" t="str">
        <f>'Q100a-geral'!AC1666</f>
        <v>x</v>
      </c>
      <c r="AD563" s="109" t="str">
        <f>'Q100a-geral'!AD1666</f>
        <v>x</v>
      </c>
      <c r="AE563" s="109" t="str">
        <f>'Q100a-geral'!AE1666</f>
        <v>x</v>
      </c>
      <c r="AF563" s="109" t="str">
        <f>'Q100a-geral'!AF1666</f>
        <v>x</v>
      </c>
      <c r="AG563" s="109" t="str">
        <f>'Q100a-geral'!AG1666</f>
        <v>x</v>
      </c>
      <c r="AH563" s="109" t="str">
        <f>'Q100a-geral'!AH1666</f>
        <v>x</v>
      </c>
      <c r="AI563" s="507">
        <f>'Q100a-geral'!AI1666</f>
        <v>0.28549999999999998</v>
      </c>
      <c r="AJ563" s="507">
        <f>'Q100a-geral'!AJ1666</f>
        <v>0.28849999999999998</v>
      </c>
      <c r="AK563" s="137" t="str">
        <f>'Q100a-geral'!AK1666</f>
        <v>x</v>
      </c>
      <c r="AL563" s="167" t="str">
        <f>'Q100a-geral'!AL1666</f>
        <v>x</v>
      </c>
      <c r="AM563" s="137" t="str">
        <f>'Q100a-geral'!AM1666</f>
        <v>x</v>
      </c>
      <c r="AN563" s="137" t="str">
        <f>'Q100a-geral'!AN1666</f>
        <v>x</v>
      </c>
      <c r="AO563" s="137" t="str">
        <f>'Q100a-geral'!AO1666</f>
        <v>x</v>
      </c>
      <c r="AP563" s="137" t="str">
        <f>'Q100a-geral'!AP1666</f>
        <v>x</v>
      </c>
      <c r="AQ563" s="137" t="str">
        <f>'Q100a-geral'!AQ1666</f>
        <v>x</v>
      </c>
      <c r="AR563" s="137"/>
      <c r="AS563" s="137"/>
      <c r="AT563" s="137"/>
      <c r="AU563" s="137"/>
      <c r="AV563" s="137" t="str">
        <f>'Q100a-geral'!AV1666</f>
        <v>x</v>
      </c>
      <c r="AW563" s="137"/>
      <c r="AX563" s="137"/>
      <c r="AY563" s="137"/>
      <c r="AZ563" s="137"/>
      <c r="BA563" s="137" t="str">
        <f>'Q100a-geral'!BA1666</f>
        <v>x</v>
      </c>
      <c r="BB563" s="239" t="str">
        <f>'Q100a-geral'!BB1666</f>
        <v>Infrações de trânsitox</v>
      </c>
      <c r="BC563" s="239" t="str">
        <f>'Q100a-geral'!BC1666</f>
        <v>Infrações de trânsitoxx</v>
      </c>
      <c r="BD563" s="239" t="str">
        <f>'Q100a-geral'!BD1666</f>
        <v>Infrações de trânsitox</v>
      </c>
    </row>
    <row r="564" spans="1:56" s="1" customFormat="1" ht="33.75" x14ac:dyDescent="0.25">
      <c r="A564" s="275" t="str">
        <f>'Q100a-geral'!A1667</f>
        <v>4.4</v>
      </c>
      <c r="B564" s="54" t="str">
        <f>'Q100a-geral'!B1667</f>
        <v>Infrações de trânsito</v>
      </c>
      <c r="C564" s="230" t="str">
        <f>'Q100a-geral'!C1667</f>
        <v>x</v>
      </c>
      <c r="D564" s="287" t="str">
        <f>'Q100a-geral'!D1667</f>
        <v>NAP v0r</v>
      </c>
      <c r="E564" s="504" t="str">
        <f>'Q100a-geral'!E1667</f>
        <v>São Paulo</v>
      </c>
      <c r="F564" s="488" t="str">
        <f>'Q100a-geral'!F1667</f>
        <v>percentual de veículos (em relação ao total de veículos registrados) aos quais não foram aplicadas multas de trânsito no ano, na cidade de São Paulo
obs.: resultados de 2013 e 2014 em, respectivamente: SP (2016a, 2016b)</v>
      </c>
      <c r="G564" s="5" t="str">
        <f>'Q100a-geral'!G1667</f>
        <v>registro na fonte</v>
      </c>
      <c r="H564" s="173" t="str">
        <f>'Q100a-geral'!H1667</f>
        <v>benchmarking</v>
      </c>
      <c r="I564" s="57" t="str">
        <f>'Q100a-geral'!I1667</f>
        <v>x</v>
      </c>
      <c r="J564" s="109" t="str">
        <f>'Q100a-geral'!J1667</f>
        <v>x</v>
      </c>
      <c r="K564" s="111" t="str">
        <f>'Q100a-geral'!K1667</f>
        <v>x</v>
      </c>
      <c r="L564" s="111" t="str">
        <f>'Q100a-geral'!L1667</f>
        <v>x</v>
      </c>
      <c r="M564" s="111" t="str">
        <f>'Q100a-geral'!M1667</f>
        <v>x</v>
      </c>
      <c r="N564" s="111" t="str">
        <f>'Q100a-geral'!N1667</f>
        <v>x</v>
      </c>
      <c r="O564" s="111" t="str">
        <f>'Q100a-geral'!O1667</f>
        <v>x</v>
      </c>
      <c r="P564" s="111" t="str">
        <f>'Q100a-geral'!P1667</f>
        <v>x</v>
      </c>
      <c r="Q564" s="111" t="str">
        <f>'Q100a-geral'!Q1667</f>
        <v>x</v>
      </c>
      <c r="R564" s="111" t="str">
        <f>'Q100a-geral'!R1667</f>
        <v>x</v>
      </c>
      <c r="S564" s="109" t="str">
        <f>'Q100a-geral'!S1667</f>
        <v>só para pesquisa</v>
      </c>
      <c r="T564" s="111" t="str">
        <f>'Q100a-geral'!T1667</f>
        <v>x</v>
      </c>
      <c r="U564" s="111" t="str">
        <f>'Q100a-geral'!U1667</f>
        <v>x</v>
      </c>
      <c r="V564" s="109" t="str">
        <f>'Q100a-geral'!V1667</f>
        <v>só para pesquisa</v>
      </c>
      <c r="W564" s="139"/>
      <c r="X564" s="139"/>
      <c r="Y564" s="139"/>
      <c r="Z564" s="139"/>
      <c r="AA564" s="139"/>
      <c r="AB564" s="139"/>
      <c r="AC564" s="139"/>
      <c r="AD564" s="139"/>
      <c r="AE564" s="139"/>
      <c r="AF564" s="139"/>
      <c r="AG564" s="139"/>
      <c r="AH564" s="139"/>
      <c r="AI564" s="507">
        <f>'Q100a-geral'!AI1667</f>
        <v>0.71450000000000002</v>
      </c>
      <c r="AJ564" s="507">
        <f>'Q100a-geral'!AJ1667</f>
        <v>0.71150000000000002</v>
      </c>
      <c r="AK564" s="137" t="str">
        <f>'Q100a-geral'!AK1667</f>
        <v>x</v>
      </c>
      <c r="AL564" s="167" t="str">
        <f>'Q100a-geral'!AL1667</f>
        <v>x</v>
      </c>
      <c r="AM564" s="137" t="str">
        <f>'Q100a-geral'!AM1667</f>
        <v>x</v>
      </c>
      <c r="AN564" s="137" t="str">
        <f>'Q100a-geral'!AN1667</f>
        <v>x</v>
      </c>
      <c r="AO564" s="137" t="str">
        <f>'Q100a-geral'!AO1667</f>
        <v>x</v>
      </c>
      <c r="AP564" s="137" t="str">
        <f>'Q100a-geral'!AP1667</f>
        <v>x</v>
      </c>
      <c r="AQ564" s="137" t="str">
        <f>'Q100a-geral'!AQ1667</f>
        <v>x</v>
      </c>
      <c r="AR564" s="137"/>
      <c r="AS564" s="137"/>
      <c r="AT564" s="137"/>
      <c r="AU564" s="137"/>
      <c r="AV564" s="137" t="str">
        <f>'Q100a-geral'!AV1667</f>
        <v>x</v>
      </c>
      <c r="AW564" s="137"/>
      <c r="AX564" s="137"/>
      <c r="AY564" s="137"/>
      <c r="AZ564" s="137"/>
      <c r="BA564" s="137" t="str">
        <f>'Q100a-geral'!BA1667</f>
        <v>x</v>
      </c>
      <c r="BB564" s="239" t="str">
        <f>'Q100a-geral'!BB1667</f>
        <v>Infrações de trânsitox</v>
      </c>
      <c r="BC564" s="239" t="str">
        <f>'Q100a-geral'!BC1667</f>
        <v>Infrações de trânsitoxbenchmarking</v>
      </c>
      <c r="BD564" s="239" t="str">
        <f>'Q100a-geral'!BD1667</f>
        <v>Infrações de trânsitobenchmarking</v>
      </c>
    </row>
    <row r="565" spans="1:56" s="1" customFormat="1" ht="45" x14ac:dyDescent="0.25">
      <c r="A565" s="275" t="str">
        <f>'Q100a-geral'!A1668</f>
        <v>4.4</v>
      </c>
      <c r="B565" s="54" t="str">
        <f>'Q100a-geral'!B1668</f>
        <v>Infrações de trânsito</v>
      </c>
      <c r="C565" s="230" t="str">
        <f>'Q100a-geral'!C1668</f>
        <v>x</v>
      </c>
      <c r="D565" s="9" t="str">
        <f>'Q100a-geral'!D1668</f>
        <v>NAP v1m</v>
      </c>
      <c r="E565" s="5" t="str">
        <f>'Q100a-geral'!E1668</f>
        <v>São Paulo</v>
      </c>
      <c r="F565" s="448" t="str">
        <f>'Q100a-geral'!F1668</f>
        <v>percentual de veículos (em relação ao total de veículos multados) aos quais foi aplicada apenas uma multa de trânsito no ano, na cidade de São Paulo
obs.1: resultados de 2013 e 2014 em, respectivamente: SP (2016a, 2016b)
obs.2: a metodologia de cálculo deste indicador é diferente da adotada em Belo Horizonte</v>
      </c>
      <c r="G565" s="5" t="str">
        <f>'Q100a-geral'!G1668</f>
        <v>registro na fonte</v>
      </c>
      <c r="H565" s="173" t="str">
        <f>'Q100a-geral'!H1668</f>
        <v>benchmarking</v>
      </c>
      <c r="I565" s="57" t="str">
        <f>'Q100a-geral'!I1668</f>
        <v>x</v>
      </c>
      <c r="J565" s="109" t="str">
        <f>'Q100a-geral'!J1668</f>
        <v>x</v>
      </c>
      <c r="K565" s="111" t="str">
        <f>'Q100a-geral'!K1668</f>
        <v>x</v>
      </c>
      <c r="L565" s="111" t="str">
        <f>'Q100a-geral'!L1668</f>
        <v>x</v>
      </c>
      <c r="M565" s="111" t="str">
        <f>'Q100a-geral'!M1668</f>
        <v>x</v>
      </c>
      <c r="N565" s="111" t="str">
        <f>'Q100a-geral'!N1668</f>
        <v>x</v>
      </c>
      <c r="O565" s="111" t="str">
        <f>'Q100a-geral'!O1668</f>
        <v>x</v>
      </c>
      <c r="P565" s="111" t="str">
        <f>'Q100a-geral'!P1668</f>
        <v>x</v>
      </c>
      <c r="Q565" s="111" t="str">
        <f>'Q100a-geral'!Q1668</f>
        <v>x</v>
      </c>
      <c r="R565" s="111" t="str">
        <f>'Q100a-geral'!R1668</f>
        <v>x</v>
      </c>
      <c r="S565" s="109" t="str">
        <f>'Q100a-geral'!S1668</f>
        <v>só para pesquisa</v>
      </c>
      <c r="T565" s="111" t="str">
        <f>'Q100a-geral'!T1668</f>
        <v>x</v>
      </c>
      <c r="U565" s="111" t="str">
        <f>'Q100a-geral'!U1668</f>
        <v>x</v>
      </c>
      <c r="V565" s="109" t="str">
        <f>'Q100a-geral'!V1668</f>
        <v>só para pesquisa</v>
      </c>
      <c r="W565" s="111" t="str">
        <f>'Q100a-geral'!W1668</f>
        <v>x</v>
      </c>
      <c r="X565" s="111" t="str">
        <f>'Q100a-geral'!X1668</f>
        <v>x</v>
      </c>
      <c r="Y565" s="111" t="str">
        <f>'Q100a-geral'!Y1668</f>
        <v>x</v>
      </c>
      <c r="Z565" s="111" t="str">
        <f>'Q100a-geral'!Z1668</f>
        <v>x</v>
      </c>
      <c r="AA565" s="111" t="str">
        <f>'Q100a-geral'!AA1668</f>
        <v>x</v>
      </c>
      <c r="AB565" s="111" t="str">
        <f>'Q100a-geral'!AB1668</f>
        <v>x</v>
      </c>
      <c r="AC565" s="111" t="str">
        <f>'Q100a-geral'!AC1668</f>
        <v>x</v>
      </c>
      <c r="AD565" s="111" t="str">
        <f>'Q100a-geral'!AD1668</f>
        <v>x</v>
      </c>
      <c r="AE565" s="111" t="str">
        <f>'Q100a-geral'!AE1668</f>
        <v>x</v>
      </c>
      <c r="AF565" s="111" t="str">
        <f>'Q100a-geral'!AF1668</f>
        <v>x</v>
      </c>
      <c r="AG565" s="111" t="str">
        <f>'Q100a-geral'!AG1668</f>
        <v>x</v>
      </c>
      <c r="AH565" s="111" t="str">
        <f>'Q100a-geral'!AH1668</f>
        <v>x</v>
      </c>
      <c r="AI565" s="111">
        <f>'Q100a-geral'!AI1668</f>
        <v>0.4526</v>
      </c>
      <c r="AJ565" s="111">
        <f>'Q100a-geral'!AJ1668</f>
        <v>0.437</v>
      </c>
      <c r="AK565" s="137" t="str">
        <f>'Q100a-geral'!AK1668</f>
        <v>x</v>
      </c>
      <c r="AL565" s="167" t="str">
        <f>'Q100a-geral'!AL1668</f>
        <v>x</v>
      </c>
      <c r="AM565" s="137" t="str">
        <f>'Q100a-geral'!AM1668</f>
        <v>x</v>
      </c>
      <c r="AN565" s="137" t="str">
        <f>'Q100a-geral'!AN1668</f>
        <v>x</v>
      </c>
      <c r="AO565" s="137" t="str">
        <f>'Q100a-geral'!AO1668</f>
        <v>x</v>
      </c>
      <c r="AP565" s="137" t="str">
        <f>'Q100a-geral'!AP1668</f>
        <v>x</v>
      </c>
      <c r="AQ565" s="137" t="str">
        <f>'Q100a-geral'!AQ1668</f>
        <v>x</v>
      </c>
      <c r="AR565" s="137"/>
      <c r="AS565" s="137"/>
      <c r="AT565" s="137"/>
      <c r="AU565" s="137"/>
      <c r="AV565" s="137" t="str">
        <f>'Q100a-geral'!AV1668</f>
        <v>x</v>
      </c>
      <c r="AW565" s="137"/>
      <c r="AX565" s="137"/>
      <c r="AY565" s="137"/>
      <c r="AZ565" s="137"/>
      <c r="BA565" s="137" t="str">
        <f>'Q100a-geral'!BA1668</f>
        <v>x</v>
      </c>
      <c r="BB565" s="239" t="str">
        <f>'Q100a-geral'!BB1668</f>
        <v>Infrações de trânsitox</v>
      </c>
      <c r="BC565" s="239" t="str">
        <f>'Q100a-geral'!BC1668</f>
        <v>Infrações de trânsitoxbenchmarking</v>
      </c>
      <c r="BD565" s="239" t="str">
        <f>'Q100a-geral'!BD1668</f>
        <v>Infrações de trânsitobenchmarking</v>
      </c>
    </row>
    <row r="566" spans="1:56" s="1" customFormat="1" ht="45" x14ac:dyDescent="0.25">
      <c r="A566" s="275" t="str">
        <f>'Q100a-geral'!A1669</f>
        <v>4.4</v>
      </c>
      <c r="B566" s="54" t="str">
        <f>'Q100a-geral'!B1669</f>
        <v>Infrações de trânsito</v>
      </c>
      <c r="C566" s="230" t="str">
        <f>'Q100a-geral'!C1669</f>
        <v>x</v>
      </c>
      <c r="D566" s="9" t="str">
        <f>'Q100a-geral'!D1669</f>
        <v>NAP v2m</v>
      </c>
      <c r="E566" s="5" t="str">
        <f>'Q100a-geral'!E1669</f>
        <v>São Paulo</v>
      </c>
      <c r="F566" s="448" t="str">
        <f>'Q100a-geral'!F1669</f>
        <v>percentual de veículos (em relação ao total de veículos multados) aos quais foram aplicadas duas multas de trânsito no ano, na cidade de São Paulo
obs.1: resultados de 2013 e 2014 em, respectivamente: SP (2016a, 2016b)
obs.2: a metodologia de cálculo deste indicador é diferente da adotada em Belo Horizonte</v>
      </c>
      <c r="G566" s="5" t="str">
        <f>'Q100a-geral'!G1669</f>
        <v>registro na fonte</v>
      </c>
      <c r="H566" s="173" t="str">
        <f>'Q100a-geral'!H1669</f>
        <v>benchmarking</v>
      </c>
      <c r="I566" s="57" t="str">
        <f>'Q100a-geral'!I1669</f>
        <v>x</v>
      </c>
      <c r="J566" s="109" t="str">
        <f>'Q100a-geral'!J1669</f>
        <v>x</v>
      </c>
      <c r="K566" s="111" t="str">
        <f>'Q100a-geral'!K1669</f>
        <v>x</v>
      </c>
      <c r="L566" s="111" t="str">
        <f>'Q100a-geral'!L1669</f>
        <v>x</v>
      </c>
      <c r="M566" s="111" t="str">
        <f>'Q100a-geral'!M1669</f>
        <v>x</v>
      </c>
      <c r="N566" s="111" t="str">
        <f>'Q100a-geral'!N1669</f>
        <v>x</v>
      </c>
      <c r="O566" s="111" t="str">
        <f>'Q100a-geral'!O1669</f>
        <v>x</v>
      </c>
      <c r="P566" s="111" t="str">
        <f>'Q100a-geral'!P1669</f>
        <v>x</v>
      </c>
      <c r="Q566" s="111" t="str">
        <f>'Q100a-geral'!Q1669</f>
        <v>x</v>
      </c>
      <c r="R566" s="111" t="str">
        <f>'Q100a-geral'!R1669</f>
        <v>x</v>
      </c>
      <c r="S566" s="109" t="str">
        <f>'Q100a-geral'!S1669</f>
        <v>só para pesquisa</v>
      </c>
      <c r="T566" s="111" t="str">
        <f>'Q100a-geral'!T1669</f>
        <v>x</v>
      </c>
      <c r="U566" s="111" t="str">
        <f>'Q100a-geral'!U1669</f>
        <v>x</v>
      </c>
      <c r="V566" s="109" t="str">
        <f>'Q100a-geral'!V1669</f>
        <v>só para pesquisa</v>
      </c>
      <c r="W566" s="111" t="str">
        <f>'Q100a-geral'!W1669</f>
        <v>x</v>
      </c>
      <c r="X566" s="111" t="str">
        <f>'Q100a-geral'!X1669</f>
        <v>x</v>
      </c>
      <c r="Y566" s="111" t="str">
        <f>'Q100a-geral'!Y1669</f>
        <v>x</v>
      </c>
      <c r="Z566" s="111" t="str">
        <f>'Q100a-geral'!Z1669</f>
        <v>x</v>
      </c>
      <c r="AA566" s="111" t="str">
        <f>'Q100a-geral'!AA1669</f>
        <v>x</v>
      </c>
      <c r="AB566" s="111" t="str">
        <f>'Q100a-geral'!AB1669</f>
        <v>x</v>
      </c>
      <c r="AC566" s="111" t="str">
        <f>'Q100a-geral'!AC1669</f>
        <v>x</v>
      </c>
      <c r="AD566" s="111" t="str">
        <f>'Q100a-geral'!AD1669</f>
        <v>x</v>
      </c>
      <c r="AE566" s="111" t="str">
        <f>'Q100a-geral'!AE1669</f>
        <v>x</v>
      </c>
      <c r="AF566" s="111" t="str">
        <f>'Q100a-geral'!AF1669</f>
        <v>x</v>
      </c>
      <c r="AG566" s="111" t="str">
        <f>'Q100a-geral'!AG1669</f>
        <v>x</v>
      </c>
      <c r="AH566" s="111" t="str">
        <f>'Q100a-geral'!AH1669</f>
        <v>x</v>
      </c>
      <c r="AI566" s="111">
        <f>'Q100a-geral'!AI1669</f>
        <v>0.22450000000000001</v>
      </c>
      <c r="AJ566" s="111">
        <f>'Q100a-geral'!AJ1669</f>
        <v>0.2233</v>
      </c>
      <c r="AK566" s="137" t="str">
        <f>'Q100a-geral'!AK1669</f>
        <v>x</v>
      </c>
      <c r="AL566" s="167" t="str">
        <f>'Q100a-geral'!AL1669</f>
        <v>x</v>
      </c>
      <c r="AM566" s="137" t="str">
        <f>'Q100a-geral'!AM1669</f>
        <v>x</v>
      </c>
      <c r="AN566" s="137" t="str">
        <f>'Q100a-geral'!AN1669</f>
        <v>x</v>
      </c>
      <c r="AO566" s="137" t="str">
        <f>'Q100a-geral'!AO1669</f>
        <v>x</v>
      </c>
      <c r="AP566" s="137" t="str">
        <f>'Q100a-geral'!AP1669</f>
        <v>x</v>
      </c>
      <c r="AQ566" s="137" t="str">
        <f>'Q100a-geral'!AQ1669</f>
        <v>x</v>
      </c>
      <c r="AR566" s="137"/>
      <c r="AS566" s="137"/>
      <c r="AT566" s="137"/>
      <c r="AU566" s="137"/>
      <c r="AV566" s="137" t="str">
        <f>'Q100a-geral'!AV1669</f>
        <v>x</v>
      </c>
      <c r="AW566" s="137"/>
      <c r="AX566" s="137"/>
      <c r="AY566" s="137"/>
      <c r="AZ566" s="137"/>
      <c r="BA566" s="137" t="str">
        <f>'Q100a-geral'!BA1669</f>
        <v>x</v>
      </c>
      <c r="BB566" s="239" t="str">
        <f>'Q100a-geral'!BB1669</f>
        <v>Infrações de trânsitox</v>
      </c>
      <c r="BC566" s="239" t="str">
        <f>'Q100a-geral'!BC1669</f>
        <v>Infrações de trânsitoxbenchmarking</v>
      </c>
      <c r="BD566" s="239" t="str">
        <f>'Q100a-geral'!BD1669</f>
        <v>Infrações de trânsitobenchmarking</v>
      </c>
    </row>
    <row r="567" spans="1:56" s="1" customFormat="1" ht="45" x14ac:dyDescent="0.25">
      <c r="A567" s="275" t="str">
        <f>'Q100a-geral'!A1670</f>
        <v>4.4</v>
      </c>
      <c r="B567" s="54" t="str">
        <f>'Q100a-geral'!B1670</f>
        <v>Infrações de trânsito</v>
      </c>
      <c r="C567" s="230" t="str">
        <f>'Q100a-geral'!C1670</f>
        <v>x</v>
      </c>
      <c r="D567" s="9" t="str">
        <f>'Q100a-geral'!D1670</f>
        <v>NAP v3m</v>
      </c>
      <c r="E567" s="5" t="str">
        <f>'Q100a-geral'!E1670</f>
        <v>São Paulo</v>
      </c>
      <c r="F567" s="448" t="str">
        <f>'Q100a-geral'!F1670</f>
        <v>percentual de veículos (em relação ao total de veículos multados) aos quais foram aplicadas três multas de trânsito no ano, na cidade de São Paulo
obs.1: resultados de 2013 e 2014 em, respectivamente: SP (2016a, 2016b)
obs.2: a metodologia de cálculo deste indicador é diferente da adotada em Belo Horizonte</v>
      </c>
      <c r="G567" s="5" t="str">
        <f>'Q100a-geral'!G1670</f>
        <v>registro na fonte</v>
      </c>
      <c r="H567" s="173" t="str">
        <f>'Q100a-geral'!H1670</f>
        <v>benchmarking</v>
      </c>
      <c r="I567" s="57" t="str">
        <f>'Q100a-geral'!I1670</f>
        <v>x</v>
      </c>
      <c r="J567" s="109" t="str">
        <f>'Q100a-geral'!J1670</f>
        <v>x</v>
      </c>
      <c r="K567" s="111" t="str">
        <f>'Q100a-geral'!K1670</f>
        <v>x</v>
      </c>
      <c r="L567" s="111" t="str">
        <f>'Q100a-geral'!L1670</f>
        <v>x</v>
      </c>
      <c r="M567" s="111" t="str">
        <f>'Q100a-geral'!M1670</f>
        <v>x</v>
      </c>
      <c r="N567" s="111" t="str">
        <f>'Q100a-geral'!N1670</f>
        <v>x</v>
      </c>
      <c r="O567" s="111" t="str">
        <f>'Q100a-geral'!O1670</f>
        <v>x</v>
      </c>
      <c r="P567" s="111" t="str">
        <f>'Q100a-geral'!P1670</f>
        <v>x</v>
      </c>
      <c r="Q567" s="111" t="str">
        <f>'Q100a-geral'!Q1670</f>
        <v>x</v>
      </c>
      <c r="R567" s="111" t="str">
        <f>'Q100a-geral'!R1670</f>
        <v>x</v>
      </c>
      <c r="S567" s="109" t="str">
        <f>'Q100a-geral'!S1670</f>
        <v>só para pesquisa</v>
      </c>
      <c r="T567" s="111" t="str">
        <f>'Q100a-geral'!T1670</f>
        <v>x</v>
      </c>
      <c r="U567" s="111" t="str">
        <f>'Q100a-geral'!U1670</f>
        <v>x</v>
      </c>
      <c r="V567" s="109" t="str">
        <f>'Q100a-geral'!V1670</f>
        <v>só para pesquisa</v>
      </c>
      <c r="W567" s="111" t="str">
        <f>'Q100a-geral'!W1670</f>
        <v>x</v>
      </c>
      <c r="X567" s="111" t="str">
        <f>'Q100a-geral'!X1670</f>
        <v>x</v>
      </c>
      <c r="Y567" s="111" t="str">
        <f>'Q100a-geral'!Y1670</f>
        <v>x</v>
      </c>
      <c r="Z567" s="111" t="str">
        <f>'Q100a-geral'!Z1670</f>
        <v>x</v>
      </c>
      <c r="AA567" s="111" t="str">
        <f>'Q100a-geral'!AA1670</f>
        <v>x</v>
      </c>
      <c r="AB567" s="111" t="str">
        <f>'Q100a-geral'!AB1670</f>
        <v>x</v>
      </c>
      <c r="AC567" s="111" t="str">
        <f>'Q100a-geral'!AC1670</f>
        <v>x</v>
      </c>
      <c r="AD567" s="111" t="str">
        <f>'Q100a-geral'!AD1670</f>
        <v>x</v>
      </c>
      <c r="AE567" s="111" t="str">
        <f>'Q100a-geral'!AE1670</f>
        <v>x</v>
      </c>
      <c r="AF567" s="111" t="str">
        <f>'Q100a-geral'!AF1670</f>
        <v>x</v>
      </c>
      <c r="AG567" s="111" t="str">
        <f>'Q100a-geral'!AG1670</f>
        <v>x</v>
      </c>
      <c r="AH567" s="111" t="str">
        <f>'Q100a-geral'!AH1670</f>
        <v>x</v>
      </c>
      <c r="AI567" s="111">
        <f>'Q100a-geral'!AI1670</f>
        <v>0.1202</v>
      </c>
      <c r="AJ567" s="111">
        <f>'Q100a-geral'!AJ1670</f>
        <v>0.1234</v>
      </c>
      <c r="AK567" s="137" t="str">
        <f>'Q100a-geral'!AK1670</f>
        <v>x</v>
      </c>
      <c r="AL567" s="167" t="str">
        <f>'Q100a-geral'!AL1670</f>
        <v>x</v>
      </c>
      <c r="AM567" s="137" t="str">
        <f>'Q100a-geral'!AM1670</f>
        <v>x</v>
      </c>
      <c r="AN567" s="137" t="str">
        <f>'Q100a-geral'!AN1670</f>
        <v>x</v>
      </c>
      <c r="AO567" s="137" t="str">
        <f>'Q100a-geral'!AO1670</f>
        <v>x</v>
      </c>
      <c r="AP567" s="137" t="str">
        <f>'Q100a-geral'!AP1670</f>
        <v>x</v>
      </c>
      <c r="AQ567" s="137" t="str">
        <f>'Q100a-geral'!AQ1670</f>
        <v>x</v>
      </c>
      <c r="AR567" s="137"/>
      <c r="AS567" s="137"/>
      <c r="AT567" s="137"/>
      <c r="AU567" s="137"/>
      <c r="AV567" s="137" t="str">
        <f>'Q100a-geral'!AV1670</f>
        <v>x</v>
      </c>
      <c r="AW567" s="137"/>
      <c r="AX567" s="137"/>
      <c r="AY567" s="137"/>
      <c r="AZ567" s="137"/>
      <c r="BA567" s="137" t="str">
        <f>'Q100a-geral'!BA1670</f>
        <v>x</v>
      </c>
      <c r="BB567" s="239" t="str">
        <f>'Q100a-geral'!BB1670</f>
        <v>Infrações de trânsitox</v>
      </c>
      <c r="BC567" s="239" t="str">
        <f>'Q100a-geral'!BC1670</f>
        <v>Infrações de trânsitoxbenchmarking</v>
      </c>
      <c r="BD567" s="239" t="str">
        <f>'Q100a-geral'!BD1670</f>
        <v>Infrações de trânsitobenchmarking</v>
      </c>
    </row>
    <row r="568" spans="1:56" s="1" customFormat="1" ht="45" x14ac:dyDescent="0.25">
      <c r="A568" s="275" t="str">
        <f>'Q100a-geral'!A1671</f>
        <v>4.4</v>
      </c>
      <c r="B568" s="54" t="str">
        <f>'Q100a-geral'!B1671</f>
        <v>Infrações de trânsito</v>
      </c>
      <c r="C568" s="230" t="str">
        <f>'Q100a-geral'!C1671</f>
        <v>x</v>
      </c>
      <c r="D568" s="9" t="str">
        <f>'Q100a-geral'!D1671</f>
        <v>NAP &gt;3m</v>
      </c>
      <c r="E568" s="5" t="str">
        <f>'Q100a-geral'!E1671</f>
        <v>São Paulo</v>
      </c>
      <c r="F568" s="448" t="str">
        <f>'Q100a-geral'!F1671</f>
        <v>percentual de veículos (em relação ao total de veículos multados) aos quais foram aplicadas mais de três multas de trânsito no ano, na cidade de São Paulo
obs.1: resultados de 2013 e 2014 em, respectivamente: SP (2016a, 2016b)
obs.2: a metodologia de cálculo deste indicador é diferente da adotada em Belo Horizonte</v>
      </c>
      <c r="G568" s="5" t="str">
        <f>'Q100a-geral'!G1671</f>
        <v>registro na fonte</v>
      </c>
      <c r="H568" s="173" t="str">
        <f>'Q100a-geral'!H1671</f>
        <v>benchmarking</v>
      </c>
      <c r="I568" s="57" t="str">
        <f>'Q100a-geral'!I1671</f>
        <v>x</v>
      </c>
      <c r="J568" s="109" t="str">
        <f>'Q100a-geral'!J1671</f>
        <v>x</v>
      </c>
      <c r="K568" s="111" t="str">
        <f>'Q100a-geral'!K1671</f>
        <v>x</v>
      </c>
      <c r="L568" s="111" t="str">
        <f>'Q100a-geral'!L1671</f>
        <v>x</v>
      </c>
      <c r="M568" s="111" t="str">
        <f>'Q100a-geral'!M1671</f>
        <v>x</v>
      </c>
      <c r="N568" s="111" t="str">
        <f>'Q100a-geral'!N1671</f>
        <v>x</v>
      </c>
      <c r="O568" s="111" t="str">
        <f>'Q100a-geral'!O1671</f>
        <v>x</v>
      </c>
      <c r="P568" s="111" t="str">
        <f>'Q100a-geral'!P1671</f>
        <v>x</v>
      </c>
      <c r="Q568" s="111" t="str">
        <f>'Q100a-geral'!Q1671</f>
        <v>x</v>
      </c>
      <c r="R568" s="111" t="str">
        <f>'Q100a-geral'!R1671</f>
        <v>x</v>
      </c>
      <c r="S568" s="109" t="str">
        <f>'Q100a-geral'!S1671</f>
        <v>só para pesquisa</v>
      </c>
      <c r="T568" s="111" t="str">
        <f>'Q100a-geral'!T1671</f>
        <v>x</v>
      </c>
      <c r="U568" s="111" t="str">
        <f>'Q100a-geral'!U1671</f>
        <v>x</v>
      </c>
      <c r="V568" s="109" t="str">
        <f>'Q100a-geral'!V1671</f>
        <v>só para pesquisa</v>
      </c>
      <c r="W568" s="111" t="str">
        <f>'Q100a-geral'!W1671</f>
        <v>x</v>
      </c>
      <c r="X568" s="111" t="str">
        <f>'Q100a-geral'!X1671</f>
        <v>x</v>
      </c>
      <c r="Y568" s="111" t="str">
        <f>'Q100a-geral'!Y1671</f>
        <v>x</v>
      </c>
      <c r="Z568" s="111" t="str">
        <f>'Q100a-geral'!Z1671</f>
        <v>x</v>
      </c>
      <c r="AA568" s="111" t="str">
        <f>'Q100a-geral'!AA1671</f>
        <v>x</v>
      </c>
      <c r="AB568" s="111" t="str">
        <f>'Q100a-geral'!AB1671</f>
        <v>x</v>
      </c>
      <c r="AC568" s="111" t="str">
        <f>'Q100a-geral'!AC1671</f>
        <v>x</v>
      </c>
      <c r="AD568" s="111" t="str">
        <f>'Q100a-geral'!AD1671</f>
        <v>x</v>
      </c>
      <c r="AE568" s="111" t="str">
        <f>'Q100a-geral'!AE1671</f>
        <v>x</v>
      </c>
      <c r="AF568" s="111" t="str">
        <f>'Q100a-geral'!AF1671</f>
        <v>x</v>
      </c>
      <c r="AG568" s="111" t="str">
        <f>'Q100a-geral'!AG1671</f>
        <v>x</v>
      </c>
      <c r="AH568" s="111" t="str">
        <f>'Q100a-geral'!AH1671</f>
        <v>x</v>
      </c>
      <c r="AI568" s="111">
        <f>'Q100a-geral'!AI1671</f>
        <v>0.2026</v>
      </c>
      <c r="AJ568" s="111">
        <f>'Q100a-geral'!AJ1671</f>
        <v>0.21629999999999999</v>
      </c>
      <c r="AK568" s="137" t="str">
        <f>'Q100a-geral'!AK1671</f>
        <v>x</v>
      </c>
      <c r="AL568" s="167" t="str">
        <f>'Q100a-geral'!AL1671</f>
        <v>x</v>
      </c>
      <c r="AM568" s="137" t="str">
        <f>'Q100a-geral'!AM1671</f>
        <v>x</v>
      </c>
      <c r="AN568" s="137" t="str">
        <f>'Q100a-geral'!AN1671</f>
        <v>x</v>
      </c>
      <c r="AO568" s="137" t="str">
        <f>'Q100a-geral'!AO1671</f>
        <v>x</v>
      </c>
      <c r="AP568" s="137" t="str">
        <f>'Q100a-geral'!AP1671</f>
        <v>x</v>
      </c>
      <c r="AQ568" s="137" t="str">
        <f>'Q100a-geral'!AQ1671</f>
        <v>x</v>
      </c>
      <c r="AR568" s="137"/>
      <c r="AS568" s="137"/>
      <c r="AT568" s="137"/>
      <c r="AU568" s="137"/>
      <c r="AV568" s="137" t="str">
        <f>'Q100a-geral'!AV1671</f>
        <v>x</v>
      </c>
      <c r="AW568" s="137"/>
      <c r="AX568" s="137"/>
      <c r="AY568" s="137"/>
      <c r="AZ568" s="137"/>
      <c r="BA568" s="137" t="str">
        <f>'Q100a-geral'!BA1671</f>
        <v>x</v>
      </c>
      <c r="BB568" s="239" t="str">
        <f>'Q100a-geral'!BB1671</f>
        <v>Infrações de trânsitox</v>
      </c>
      <c r="BC568" s="239" t="str">
        <f>'Q100a-geral'!BC1671</f>
        <v>Infrações de trânsitoxbenchmarking</v>
      </c>
      <c r="BD568" s="239" t="str">
        <f>'Q100a-geral'!BD1671</f>
        <v>Infrações de trânsitobenchmarking</v>
      </c>
    </row>
    <row r="569" spans="1:56" s="1" customFormat="1" ht="51" customHeight="1" x14ac:dyDescent="0.25">
      <c r="A569" s="275" t="str">
        <f>'Q100a-geral'!A1672</f>
        <v>4.4</v>
      </c>
      <c r="B569" s="54" t="str">
        <f>'Q100a-geral'!B1672</f>
        <v>Infrações de trânsito</v>
      </c>
      <c r="C569" s="230" t="str">
        <f>'Q100a-geral'!C1672</f>
        <v>x</v>
      </c>
      <c r="D569" s="9" t="str">
        <f>'Q100a-geral'!D1672</f>
        <v>NAP eletrônica</v>
      </c>
      <c r="E569" s="5" t="str">
        <f>'Q100a-geral'!E1672</f>
        <v>Belo Horizonte</v>
      </c>
      <c r="F569" s="448" t="str">
        <f>'Q100a-geral'!F1672</f>
        <v>notificação de aplicação de penalidade de trânsito aplicada a partir de equipamentos eletrônicos instalados (equipamentos existentes em 2013 em Belo Horizonte: velocidade, invasão de faixa e avanço de sinal vermelho)</v>
      </c>
      <c r="G569" s="5" t="str">
        <f>'Q100a-geral'!G1672</f>
        <v>NAP velocidade + NAP faixa + NAP sinal</v>
      </c>
      <c r="H569" s="173" t="str">
        <f>'Q100a-geral'!H1672</f>
        <v>ainda não incorporado ao SisMob-BH</v>
      </c>
      <c r="I569" s="57">
        <f>'Q100a-geral'!I1672</f>
        <v>1</v>
      </c>
      <c r="J569" s="109" t="str">
        <f>'Q100a-geral'!J1672</f>
        <v>x</v>
      </c>
      <c r="K569" s="111" t="str">
        <f>'Q100a-geral'!K1672</f>
        <v>x</v>
      </c>
      <c r="L569" s="111" t="str">
        <f>'Q100a-geral'!L1672</f>
        <v>x</v>
      </c>
      <c r="M569" s="111" t="str">
        <f>'Q100a-geral'!M1672</f>
        <v>x</v>
      </c>
      <c r="N569" s="111" t="str">
        <f>'Q100a-geral'!N1672</f>
        <v>x</v>
      </c>
      <c r="O569" s="111" t="str">
        <f>'Q100a-geral'!O1672</f>
        <v>x</v>
      </c>
      <c r="P569" s="111" t="str">
        <f>'Q100a-geral'!P1672</f>
        <v>x</v>
      </c>
      <c r="Q569" s="111" t="str">
        <f>'Q100a-geral'!Q1672</f>
        <v>x</v>
      </c>
      <c r="R569" s="111" t="str">
        <f>'Q100a-geral'!R1672</f>
        <v>x</v>
      </c>
      <c r="S569" s="109" t="str">
        <f>'Q100a-geral'!S1672</f>
        <v>só para pesquisa</v>
      </c>
      <c r="T569" s="111" t="str">
        <f>'Q100a-geral'!T1672</f>
        <v>x</v>
      </c>
      <c r="U569" s="111" t="str">
        <f>'Q100a-geral'!U1672</f>
        <v>x</v>
      </c>
      <c r="V569" s="109" t="str">
        <f>'Q100a-geral'!V1672</f>
        <v>só para pesquisa</v>
      </c>
      <c r="W569" s="111" t="str">
        <f>'Q100a-geral'!W1672</f>
        <v>x</v>
      </c>
      <c r="X569" s="111" t="str">
        <f>'Q100a-geral'!X1672</f>
        <v>x</v>
      </c>
      <c r="Y569" s="111" t="str">
        <f>'Q100a-geral'!Y1672</f>
        <v>x</v>
      </c>
      <c r="Z569" s="111" t="str">
        <f>'Q100a-geral'!Z1672</f>
        <v>x</v>
      </c>
      <c r="AA569" s="111" t="str">
        <f>'Q100a-geral'!AA1672</f>
        <v>x</v>
      </c>
      <c r="AB569" s="111" t="str">
        <f>'Q100a-geral'!AB1672</f>
        <v>x</v>
      </c>
      <c r="AC569" s="111" t="str">
        <f>'Q100a-geral'!AC1672</f>
        <v>x</v>
      </c>
      <c r="AD569" s="111" t="str">
        <f>'Q100a-geral'!AD1672</f>
        <v>x</v>
      </c>
      <c r="AE569" s="111" t="str">
        <f>'Q100a-geral'!AE1672</f>
        <v>x</v>
      </c>
      <c r="AF569" s="111" t="str">
        <f>'Q100a-geral'!AF1672</f>
        <v>x</v>
      </c>
      <c r="AG569" s="111" t="str">
        <f>'Q100a-geral'!AG1672</f>
        <v>x</v>
      </c>
      <c r="AH569" s="111" t="str">
        <f>'Q100a-geral'!AH1672</f>
        <v>x</v>
      </c>
      <c r="AI569" s="111" t="str">
        <f>'Q100a-geral'!AI1672</f>
        <v>x</v>
      </c>
      <c r="AJ569" s="111" t="str">
        <f>'Q100a-geral'!AJ1672</f>
        <v>x</v>
      </c>
      <c r="AK569" s="137" t="str">
        <f>'Q100a-geral'!AK1672</f>
        <v>x</v>
      </c>
      <c r="AL569" s="167" t="str">
        <f>'Q100a-geral'!AL1672</f>
        <v>x</v>
      </c>
      <c r="AM569" s="137" t="str">
        <f>'Q100a-geral'!AM1672</f>
        <v>x</v>
      </c>
      <c r="AN569" s="137" t="str">
        <f>'Q100a-geral'!AN1672</f>
        <v>x</v>
      </c>
      <c r="AO569" s="137" t="str">
        <f>'Q100a-geral'!AO1672</f>
        <v>x</v>
      </c>
      <c r="AP569" s="137" t="str">
        <f>'Q100a-geral'!AP1672</f>
        <v>x</v>
      </c>
      <c r="AQ569" s="137" t="str">
        <f>'Q100a-geral'!AQ1672</f>
        <v>x</v>
      </c>
      <c r="AR569" s="137"/>
      <c r="AS569" s="137"/>
      <c r="AT569" s="137"/>
      <c r="AU569" s="137"/>
      <c r="AV569" s="137" t="str">
        <f>'Q100a-geral'!AV1672</f>
        <v>x</v>
      </c>
      <c r="AW569" s="137"/>
      <c r="AX569" s="137"/>
      <c r="AY569" s="137"/>
      <c r="AZ569" s="137"/>
      <c r="BA569" s="137" t="str">
        <f>'Q100a-geral'!BA1672</f>
        <v>x</v>
      </c>
      <c r="BB569" s="239" t="str">
        <f>'Q100a-geral'!BB1672</f>
        <v>Infrações de trânsitox</v>
      </c>
      <c r="BC569" s="239" t="str">
        <f>'Q100a-geral'!BC1672</f>
        <v>Infrações de trânsitoxainda não incorporado ao SisMob-BH</v>
      </c>
      <c r="BD569" s="239" t="str">
        <f>'Q100a-geral'!BD1672</f>
        <v>Infrações de trânsitoainda não incorporado ao SisMob-BH</v>
      </c>
    </row>
    <row r="570" spans="1:56" s="1" customFormat="1" ht="25.5" customHeight="1" x14ac:dyDescent="0.25">
      <c r="A570" s="275" t="str">
        <f>'Q100a-geral'!A1673</f>
        <v>4.4</v>
      </c>
      <c r="B570" s="54" t="str">
        <f>'Q100a-geral'!B1673</f>
        <v>Infrações de trânsito</v>
      </c>
      <c r="C570" s="230" t="str">
        <f>'Q100a-geral'!C1673</f>
        <v>x</v>
      </c>
      <c r="D570" s="9" t="str">
        <f>'Q100a-geral'!D1673</f>
        <v>NAP por mil veículos</v>
      </c>
      <c r="E570" s="5" t="str">
        <f>'Q100a-geral'!E1673</f>
        <v>Belo Horizonte</v>
      </c>
      <c r="F570" s="448" t="str">
        <f>'Q100a-geral'!F1673</f>
        <v>notificação de aplicação de penalidade de trânsito aplicadas em relação à frota</v>
      </c>
      <c r="G570" s="5" t="str">
        <f>'Q100a-geral'!G1673</f>
        <v>(NAP/F)*1000</v>
      </c>
      <c r="H570" s="173" t="str">
        <f>'Q100a-geral'!H1673</f>
        <v>ainda não incorporado ao SisMob-BH</v>
      </c>
      <c r="I570" s="57">
        <f>'Q100a-geral'!I1673</f>
        <v>1</v>
      </c>
      <c r="J570" s="109" t="str">
        <f>'Q100a-geral'!J1673</f>
        <v>x</v>
      </c>
      <c r="K570" s="111" t="str">
        <f>'Q100a-geral'!K1673</f>
        <v>x</v>
      </c>
      <c r="L570" s="111" t="str">
        <f>'Q100a-geral'!L1673</f>
        <v>x</v>
      </c>
      <c r="M570" s="111" t="str">
        <f>'Q100a-geral'!M1673</f>
        <v>x</v>
      </c>
      <c r="N570" s="111" t="str">
        <f>'Q100a-geral'!N1673</f>
        <v>x</v>
      </c>
      <c r="O570" s="111" t="str">
        <f>'Q100a-geral'!O1673</f>
        <v>x</v>
      </c>
      <c r="P570" s="111" t="str">
        <f>'Q100a-geral'!P1673</f>
        <v>x</v>
      </c>
      <c r="Q570" s="111" t="str">
        <f>'Q100a-geral'!Q1673</f>
        <v>x</v>
      </c>
      <c r="R570" s="111" t="str">
        <f>'Q100a-geral'!R1673</f>
        <v>x</v>
      </c>
      <c r="S570" s="109" t="str">
        <f>'Q100a-geral'!S1673</f>
        <v>só para pesquisa</v>
      </c>
      <c r="T570" s="111" t="str">
        <f>'Q100a-geral'!T1673</f>
        <v>x</v>
      </c>
      <c r="U570" s="111" t="str">
        <f>'Q100a-geral'!U1673</f>
        <v>x</v>
      </c>
      <c r="V570" s="109" t="str">
        <f>'Q100a-geral'!V1673</f>
        <v>só para pesquisa</v>
      </c>
      <c r="W570" s="111" t="str">
        <f>'Q100a-geral'!W1673</f>
        <v>x</v>
      </c>
      <c r="X570" s="111" t="str">
        <f>'Q100a-geral'!X1673</f>
        <v>x</v>
      </c>
      <c r="Y570" s="111" t="str">
        <f>'Q100a-geral'!Y1673</f>
        <v>x</v>
      </c>
      <c r="Z570" s="111" t="str">
        <f>'Q100a-geral'!Z1673</f>
        <v>x</v>
      </c>
      <c r="AA570" s="111" t="str">
        <f>'Q100a-geral'!AA1673</f>
        <v>x</v>
      </c>
      <c r="AB570" s="111" t="str">
        <f>'Q100a-geral'!AB1673</f>
        <v>x</v>
      </c>
      <c r="AC570" s="111" t="str">
        <f>'Q100a-geral'!AC1673</f>
        <v>x</v>
      </c>
      <c r="AD570" s="111" t="str">
        <f>'Q100a-geral'!AD1673</f>
        <v>x</v>
      </c>
      <c r="AE570" s="111" t="str">
        <f>'Q100a-geral'!AE1673</f>
        <v>x</v>
      </c>
      <c r="AF570" s="111" t="str">
        <f>'Q100a-geral'!AF1673</f>
        <v>x</v>
      </c>
      <c r="AG570" s="111" t="str">
        <f>'Q100a-geral'!AG1673</f>
        <v>x</v>
      </c>
      <c r="AH570" s="111" t="str">
        <f>'Q100a-geral'!AH1673</f>
        <v>x</v>
      </c>
      <c r="AI570" s="111" t="str">
        <f>'Q100a-geral'!AI1673</f>
        <v>x</v>
      </c>
      <c r="AJ570" s="111" t="str">
        <f>'Q100a-geral'!AJ1673</f>
        <v>x</v>
      </c>
      <c r="AK570" s="137" t="str">
        <f>'Q100a-geral'!AK1673</f>
        <v>x</v>
      </c>
      <c r="AL570" s="167" t="str">
        <f>'Q100a-geral'!AL1673</f>
        <v>x</v>
      </c>
      <c r="AM570" s="137" t="str">
        <f>'Q100a-geral'!AM1673</f>
        <v>x</v>
      </c>
      <c r="AN570" s="137" t="str">
        <f>'Q100a-geral'!AN1673</f>
        <v>x</v>
      </c>
      <c r="AO570" s="137" t="str">
        <f>'Q100a-geral'!AO1673</f>
        <v>x</v>
      </c>
      <c r="AP570" s="137" t="str">
        <f>'Q100a-geral'!AP1673</f>
        <v>x</v>
      </c>
      <c r="AQ570" s="137" t="str">
        <f>'Q100a-geral'!AQ1673</f>
        <v>x</v>
      </c>
      <c r="AR570" s="137"/>
      <c r="AS570" s="137"/>
      <c r="AT570" s="137"/>
      <c r="AU570" s="137"/>
      <c r="AV570" s="137" t="str">
        <f>'Q100a-geral'!AV1673</f>
        <v>x</v>
      </c>
      <c r="AW570" s="137"/>
      <c r="AX570" s="137"/>
      <c r="AY570" s="137"/>
      <c r="AZ570" s="137"/>
      <c r="BA570" s="137" t="str">
        <f>'Q100a-geral'!BA1673</f>
        <v>x</v>
      </c>
      <c r="BB570" s="239" t="str">
        <f>'Q100a-geral'!BB1673</f>
        <v>Infrações de trânsitox</v>
      </c>
      <c r="BC570" s="239" t="str">
        <f>'Q100a-geral'!BC1673</f>
        <v>Infrações de trânsitoxainda não incorporado ao SisMob-BH</v>
      </c>
      <c r="BD570" s="239" t="str">
        <f>'Q100a-geral'!BD1673</f>
        <v>Infrações de trânsitoainda não incorporado ao SisMob-BH</v>
      </c>
    </row>
    <row r="571" spans="1:56" s="1" customFormat="1" ht="31.5" customHeight="1" x14ac:dyDescent="0.25">
      <c r="A571" s="275" t="str">
        <f>'Q100a-geral'!A1674</f>
        <v>4.4</v>
      </c>
      <c r="B571" s="54" t="str">
        <f>'Q100a-geral'!B1674</f>
        <v>Infrações de trânsito</v>
      </c>
      <c r="C571" s="229" t="str">
        <f>'Q100a-geral'!C1674</f>
        <v>x</v>
      </c>
      <c r="D571" s="9" t="str">
        <f>'Q100a-geral'!D1674</f>
        <v>NAP talão</v>
      </c>
      <c r="E571" s="5" t="str">
        <f>'Q100a-geral'!E1674</f>
        <v>Belo Horizonte</v>
      </c>
      <c r="F571" s="448" t="str">
        <f>'Q100a-geral'!F1674</f>
        <v>notificação de aplicação de penalidade de trânsito aplicadas em fiscalização presencial</v>
      </c>
      <c r="G571" s="252" t="str">
        <f>'Q100a-geral'!G1674</f>
        <v>registro na fonte</v>
      </c>
      <c r="H571" s="173" t="str">
        <f>'Q100a-geral'!H1674</f>
        <v>ainda não incorporado ao SisMob-BH</v>
      </c>
      <c r="I571" s="57">
        <f>'Q100a-geral'!I1674</f>
        <v>1</v>
      </c>
      <c r="J571" s="109" t="str">
        <f>'Q100a-geral'!J1674</f>
        <v>x</v>
      </c>
      <c r="K571" s="110" t="str">
        <f>'Q100a-geral'!K1674</f>
        <v>x</v>
      </c>
      <c r="L571" s="110" t="str">
        <f>'Q100a-geral'!L1674</f>
        <v>x</v>
      </c>
      <c r="M571" s="110" t="str">
        <f>'Q100a-geral'!M1674</f>
        <v>x</v>
      </c>
      <c r="N571" s="110" t="str">
        <f>'Q100a-geral'!N1674</f>
        <v>x</v>
      </c>
      <c r="O571" s="110" t="str">
        <f>'Q100a-geral'!O1674</f>
        <v>x</v>
      </c>
      <c r="P571" s="110" t="str">
        <f>'Q100a-geral'!P1674</f>
        <v>x</v>
      </c>
      <c r="Q571" s="110" t="str">
        <f>'Q100a-geral'!Q1674</f>
        <v>x</v>
      </c>
      <c r="R571" s="110" t="str">
        <f>'Q100a-geral'!R1674</f>
        <v>x</v>
      </c>
      <c r="S571" s="109" t="str">
        <f>'Q100a-geral'!S1674</f>
        <v>só para pesquisa</v>
      </c>
      <c r="T571" s="110" t="str">
        <f>'Q100a-geral'!T1674</f>
        <v>x</v>
      </c>
      <c r="U571" s="110" t="str">
        <f>'Q100a-geral'!U1674</f>
        <v>x</v>
      </c>
      <c r="V571" s="109" t="str">
        <f>'Q100a-geral'!V1674</f>
        <v>só para pesquisa</v>
      </c>
      <c r="W571" s="110" t="str">
        <f>'Q100a-geral'!W1674</f>
        <v>x</v>
      </c>
      <c r="X571" s="110" t="str">
        <f>'Q100a-geral'!X1674</f>
        <v>x</v>
      </c>
      <c r="Y571" s="110" t="str">
        <f>'Q100a-geral'!Y1674</f>
        <v>x</v>
      </c>
      <c r="Z571" s="110" t="str">
        <f>'Q100a-geral'!Z1674</f>
        <v>x</v>
      </c>
      <c r="AA571" s="110" t="str">
        <f>'Q100a-geral'!AA1674</f>
        <v>x</v>
      </c>
      <c r="AB571" s="110" t="str">
        <f>'Q100a-geral'!AB1674</f>
        <v>x</v>
      </c>
      <c r="AC571" s="110" t="str">
        <f>'Q100a-geral'!AC1674</f>
        <v>x</v>
      </c>
      <c r="AD571" s="110" t="str">
        <f>'Q100a-geral'!AD1674</f>
        <v>x</v>
      </c>
      <c r="AE571" s="110" t="str">
        <f>'Q100a-geral'!AE1674</f>
        <v>x</v>
      </c>
      <c r="AF571" s="110" t="str">
        <f>'Q100a-geral'!AF1674</f>
        <v>x</v>
      </c>
      <c r="AG571" s="110" t="str">
        <f>'Q100a-geral'!AG1674</f>
        <v>x</v>
      </c>
      <c r="AH571" s="110" t="str">
        <f>'Q100a-geral'!AH1674</f>
        <v>x</v>
      </c>
      <c r="AI571" s="110" t="str">
        <f>'Q100a-geral'!AI1674</f>
        <v>x</v>
      </c>
      <c r="AJ571" s="110" t="str">
        <f>'Q100a-geral'!AJ1674</f>
        <v>x</v>
      </c>
      <c r="AK571" s="137" t="str">
        <f>'Q100a-geral'!AK1674</f>
        <v>x</v>
      </c>
      <c r="AL571" s="167" t="str">
        <f>'Q100a-geral'!AL1674</f>
        <v>x</v>
      </c>
      <c r="AM571" s="137" t="str">
        <f>'Q100a-geral'!AM1674</f>
        <v>x</v>
      </c>
      <c r="AN571" s="137" t="str">
        <f>'Q100a-geral'!AN1674</f>
        <v>x</v>
      </c>
      <c r="AO571" s="137" t="str">
        <f>'Q100a-geral'!AO1674</f>
        <v>x</v>
      </c>
      <c r="AP571" s="137" t="str">
        <f>'Q100a-geral'!AP1674</f>
        <v>x</v>
      </c>
      <c r="AQ571" s="137" t="str">
        <f>'Q100a-geral'!AQ1674</f>
        <v>x</v>
      </c>
      <c r="AR571" s="137"/>
      <c r="AS571" s="137"/>
      <c r="AT571" s="137"/>
      <c r="AU571" s="137"/>
      <c r="AV571" s="137" t="str">
        <f>'Q100a-geral'!AV1674</f>
        <v>x</v>
      </c>
      <c r="AW571" s="137"/>
      <c r="AX571" s="137"/>
      <c r="AY571" s="137"/>
      <c r="AZ571" s="137"/>
      <c r="BA571" s="137" t="str">
        <f>'Q100a-geral'!BA1674</f>
        <v>x</v>
      </c>
      <c r="BB571" s="239" t="str">
        <f>'Q100a-geral'!BB1674</f>
        <v>Infrações de trânsitox</v>
      </c>
      <c r="BC571" s="239" t="str">
        <f>'Q100a-geral'!BC1674</f>
        <v>Infrações de trânsitoxainda não incorporado ao SisMob-BH</v>
      </c>
      <c r="BD571" s="239" t="str">
        <f>'Q100a-geral'!BD1674</f>
        <v>Infrações de trânsitoainda não incorporado ao SisMob-BH</v>
      </c>
    </row>
    <row r="572" spans="1:56" s="1" customFormat="1" ht="38.25" customHeight="1" x14ac:dyDescent="0.25">
      <c r="A572" s="275" t="str">
        <f>'Q100a-geral'!A1675</f>
        <v>4.4</v>
      </c>
      <c r="B572" s="54" t="str">
        <f>'Q100a-geral'!B1675</f>
        <v>Infrações de trânsito</v>
      </c>
      <c r="C572" s="229" t="str">
        <f>'Q100a-geral'!C1675</f>
        <v>x</v>
      </c>
      <c r="D572" s="9" t="str">
        <f>'Q100a-geral'!D1675</f>
        <v>NAP faixa</v>
      </c>
      <c r="E572" s="5" t="str">
        <f>'Q100a-geral'!E1675</f>
        <v>Belo Horizonte</v>
      </c>
      <c r="F572" s="448" t="str">
        <f>'Q100a-geral'!F1675</f>
        <v>notificação de aplicação de penalidade de trânsito aplicada a partir de equipamentos instalados para controle de invasão de faixa</v>
      </c>
      <c r="G572" s="252" t="str">
        <f>'Q100a-geral'!G1675</f>
        <v>registro na fonte</v>
      </c>
      <c r="H572" s="173" t="str">
        <f>'Q100a-geral'!H1675</f>
        <v>ainda não incorporado ao SisMob-BH</v>
      </c>
      <c r="I572" s="57">
        <f>'Q100a-geral'!I1675</f>
        <v>1</v>
      </c>
      <c r="J572" s="109" t="str">
        <f>'Q100a-geral'!J1675</f>
        <v>x</v>
      </c>
      <c r="K572" s="110" t="str">
        <f>'Q100a-geral'!K1675</f>
        <v>x</v>
      </c>
      <c r="L572" s="110" t="str">
        <f>'Q100a-geral'!L1675</f>
        <v>x</v>
      </c>
      <c r="M572" s="110" t="str">
        <f>'Q100a-geral'!M1675</f>
        <v>x</v>
      </c>
      <c r="N572" s="110" t="str">
        <f>'Q100a-geral'!N1675</f>
        <v>x</v>
      </c>
      <c r="O572" s="110" t="str">
        <f>'Q100a-geral'!O1675</f>
        <v>x</v>
      </c>
      <c r="P572" s="110" t="str">
        <f>'Q100a-geral'!P1675</f>
        <v>x</v>
      </c>
      <c r="Q572" s="110" t="str">
        <f>'Q100a-geral'!Q1675</f>
        <v>x</v>
      </c>
      <c r="R572" s="110" t="str">
        <f>'Q100a-geral'!R1675</f>
        <v>x</v>
      </c>
      <c r="S572" s="109" t="str">
        <f>'Q100a-geral'!S1675</f>
        <v>só para pesquisa</v>
      </c>
      <c r="T572" s="110" t="str">
        <f>'Q100a-geral'!T1675</f>
        <v>x</v>
      </c>
      <c r="U572" s="110" t="str">
        <f>'Q100a-geral'!U1675</f>
        <v>x</v>
      </c>
      <c r="V572" s="109" t="str">
        <f>'Q100a-geral'!V1675</f>
        <v>só para pesquisa</v>
      </c>
      <c r="W572" s="110" t="str">
        <f>'Q100a-geral'!W1675</f>
        <v>x</v>
      </c>
      <c r="X572" s="110" t="str">
        <f>'Q100a-geral'!X1675</f>
        <v>x</v>
      </c>
      <c r="Y572" s="110" t="str">
        <f>'Q100a-geral'!Y1675</f>
        <v>x</v>
      </c>
      <c r="Z572" s="110" t="str">
        <f>'Q100a-geral'!Z1675</f>
        <v>x</v>
      </c>
      <c r="AA572" s="110" t="str">
        <f>'Q100a-geral'!AA1675</f>
        <v>x</v>
      </c>
      <c r="AB572" s="110" t="str">
        <f>'Q100a-geral'!AB1675</f>
        <v>x</v>
      </c>
      <c r="AC572" s="110" t="str">
        <f>'Q100a-geral'!AC1675</f>
        <v>x</v>
      </c>
      <c r="AD572" s="110" t="str">
        <f>'Q100a-geral'!AD1675</f>
        <v>x</v>
      </c>
      <c r="AE572" s="110" t="str">
        <f>'Q100a-geral'!AE1675</f>
        <v>x</v>
      </c>
      <c r="AF572" s="110" t="str">
        <f>'Q100a-geral'!AF1675</f>
        <v>x</v>
      </c>
      <c r="AG572" s="110" t="str">
        <f>'Q100a-geral'!AG1675</f>
        <v>x</v>
      </c>
      <c r="AH572" s="110" t="str">
        <f>'Q100a-geral'!AH1675</f>
        <v>x</v>
      </c>
      <c r="AI572" s="110" t="str">
        <f>'Q100a-geral'!AI1675</f>
        <v>x</v>
      </c>
      <c r="AJ572" s="110" t="str">
        <f>'Q100a-geral'!AJ1675</f>
        <v>x</v>
      </c>
      <c r="AK572" s="137" t="str">
        <f>'Q100a-geral'!AK1675</f>
        <v>x</v>
      </c>
      <c r="AL572" s="167" t="str">
        <f>'Q100a-geral'!AL1675</f>
        <v>x</v>
      </c>
      <c r="AM572" s="137" t="str">
        <f>'Q100a-geral'!AM1675</f>
        <v>x</v>
      </c>
      <c r="AN572" s="137" t="str">
        <f>'Q100a-geral'!AN1675</f>
        <v>x</v>
      </c>
      <c r="AO572" s="137" t="str">
        <f>'Q100a-geral'!AO1675</f>
        <v>x</v>
      </c>
      <c r="AP572" s="137" t="str">
        <f>'Q100a-geral'!AP1675</f>
        <v>x</v>
      </c>
      <c r="AQ572" s="137" t="str">
        <f>'Q100a-geral'!AQ1675</f>
        <v>x</v>
      </c>
      <c r="AR572" s="137"/>
      <c r="AS572" s="137"/>
      <c r="AT572" s="137"/>
      <c r="AU572" s="137"/>
      <c r="AV572" s="137" t="str">
        <f>'Q100a-geral'!AV1675</f>
        <v>x</v>
      </c>
      <c r="AW572" s="137"/>
      <c r="AX572" s="137"/>
      <c r="AY572" s="137"/>
      <c r="AZ572" s="137"/>
      <c r="BA572" s="137" t="str">
        <f>'Q100a-geral'!BA1675</f>
        <v>x</v>
      </c>
      <c r="BB572" s="239" t="str">
        <f>'Q100a-geral'!BB1675</f>
        <v>Infrações de trânsitox</v>
      </c>
      <c r="BC572" s="239" t="str">
        <f>'Q100a-geral'!BC1675</f>
        <v>Infrações de trânsitoxainda não incorporado ao SisMob-BH</v>
      </c>
      <c r="BD572" s="239" t="str">
        <f>'Q100a-geral'!BD1675</f>
        <v>Infrações de trânsitoainda não incorporado ao SisMob-BH</v>
      </c>
    </row>
    <row r="573" spans="1:56" s="1" customFormat="1" ht="38.25" customHeight="1" x14ac:dyDescent="0.25">
      <c r="A573" s="275" t="str">
        <f>'Q100a-geral'!A1676</f>
        <v>4.4</v>
      </c>
      <c r="B573" s="54" t="str">
        <f>'Q100a-geral'!B1676</f>
        <v>Infrações de trânsito</v>
      </c>
      <c r="C573" s="229" t="str">
        <f>'Q100a-geral'!C1676</f>
        <v>x</v>
      </c>
      <c r="D573" s="9" t="str">
        <f>'Q100a-geral'!D1676</f>
        <v>NAP sinal</v>
      </c>
      <c r="E573" s="5" t="str">
        <f>'Q100a-geral'!E1676</f>
        <v>Belo Horizonte</v>
      </c>
      <c r="F573" s="448" t="str">
        <f>'Q100a-geral'!F1676</f>
        <v>notificação de aplicação de penalidade de trânsito aplicada a partir de equipamentos instalados para controle de avanço de sinal vermelho</v>
      </c>
      <c r="G573" s="252" t="str">
        <f>'Q100a-geral'!G1676</f>
        <v>registro na fonte</v>
      </c>
      <c r="H573" s="173" t="str">
        <f>'Q100a-geral'!H1676</f>
        <v>ainda não incorporado ao SisMob-BH</v>
      </c>
      <c r="I573" s="57">
        <f>'Q100a-geral'!I1676</f>
        <v>1</v>
      </c>
      <c r="J573" s="109" t="str">
        <f>'Q100a-geral'!J1676</f>
        <v>x</v>
      </c>
      <c r="K573" s="110" t="str">
        <f>'Q100a-geral'!K1676</f>
        <v>x</v>
      </c>
      <c r="L573" s="110" t="str">
        <f>'Q100a-geral'!L1676</f>
        <v>x</v>
      </c>
      <c r="M573" s="110" t="str">
        <f>'Q100a-geral'!M1676</f>
        <v>x</v>
      </c>
      <c r="N573" s="110" t="str">
        <f>'Q100a-geral'!N1676</f>
        <v>x</v>
      </c>
      <c r="O573" s="110" t="str">
        <f>'Q100a-geral'!O1676</f>
        <v>x</v>
      </c>
      <c r="P573" s="110" t="str">
        <f>'Q100a-geral'!P1676</f>
        <v>x</v>
      </c>
      <c r="Q573" s="110" t="str">
        <f>'Q100a-geral'!Q1676</f>
        <v>x</v>
      </c>
      <c r="R573" s="110" t="str">
        <f>'Q100a-geral'!R1676</f>
        <v>x</v>
      </c>
      <c r="S573" s="109" t="str">
        <f>'Q100a-geral'!S1676</f>
        <v>só para pesquisa</v>
      </c>
      <c r="T573" s="110" t="str">
        <f>'Q100a-geral'!T1676</f>
        <v>x</v>
      </c>
      <c r="U573" s="110" t="str">
        <f>'Q100a-geral'!U1676</f>
        <v>x</v>
      </c>
      <c r="V573" s="109" t="str">
        <f>'Q100a-geral'!V1676</f>
        <v>só para pesquisa</v>
      </c>
      <c r="W573" s="110" t="str">
        <f>'Q100a-geral'!W1676</f>
        <v>x</v>
      </c>
      <c r="X573" s="110" t="str">
        <f>'Q100a-geral'!X1676</f>
        <v>x</v>
      </c>
      <c r="Y573" s="110" t="str">
        <f>'Q100a-geral'!Y1676</f>
        <v>x</v>
      </c>
      <c r="Z573" s="110" t="str">
        <f>'Q100a-geral'!Z1676</f>
        <v>x</v>
      </c>
      <c r="AA573" s="110" t="str">
        <f>'Q100a-geral'!AA1676</f>
        <v>x</v>
      </c>
      <c r="AB573" s="110" t="str">
        <f>'Q100a-geral'!AB1676</f>
        <v>x</v>
      </c>
      <c r="AC573" s="110" t="str">
        <f>'Q100a-geral'!AC1676</f>
        <v>x</v>
      </c>
      <c r="AD573" s="110" t="str">
        <f>'Q100a-geral'!AD1676</f>
        <v>x</v>
      </c>
      <c r="AE573" s="110" t="str">
        <f>'Q100a-geral'!AE1676</f>
        <v>x</v>
      </c>
      <c r="AF573" s="110" t="str">
        <f>'Q100a-geral'!AF1676</f>
        <v>x</v>
      </c>
      <c r="AG573" s="110" t="str">
        <f>'Q100a-geral'!AG1676</f>
        <v>x</v>
      </c>
      <c r="AH573" s="110" t="str">
        <f>'Q100a-geral'!AH1676</f>
        <v>x</v>
      </c>
      <c r="AI573" s="110" t="str">
        <f>'Q100a-geral'!AI1676</f>
        <v>x</v>
      </c>
      <c r="AJ573" s="110" t="str">
        <f>'Q100a-geral'!AJ1676</f>
        <v>x</v>
      </c>
      <c r="AK573" s="137" t="str">
        <f>'Q100a-geral'!AK1676</f>
        <v>x</v>
      </c>
      <c r="AL573" s="167" t="str">
        <f>'Q100a-geral'!AL1676</f>
        <v>x</v>
      </c>
      <c r="AM573" s="137" t="str">
        <f>'Q100a-geral'!AM1676</f>
        <v>x</v>
      </c>
      <c r="AN573" s="137" t="str">
        <f>'Q100a-geral'!AN1676</f>
        <v>x</v>
      </c>
      <c r="AO573" s="137" t="str">
        <f>'Q100a-geral'!AO1676</f>
        <v>x</v>
      </c>
      <c r="AP573" s="137" t="str">
        <f>'Q100a-geral'!AP1676</f>
        <v>x</v>
      </c>
      <c r="AQ573" s="137" t="str">
        <f>'Q100a-geral'!AQ1676</f>
        <v>x</v>
      </c>
      <c r="AR573" s="137"/>
      <c r="AS573" s="137"/>
      <c r="AT573" s="137"/>
      <c r="AU573" s="137"/>
      <c r="AV573" s="137" t="str">
        <f>'Q100a-geral'!AV1676</f>
        <v>x</v>
      </c>
      <c r="AW573" s="137"/>
      <c r="AX573" s="137"/>
      <c r="AY573" s="137"/>
      <c r="AZ573" s="137"/>
      <c r="BA573" s="137" t="str">
        <f>'Q100a-geral'!BA1676</f>
        <v>x</v>
      </c>
      <c r="BB573" s="239" t="str">
        <f>'Q100a-geral'!BB1676</f>
        <v>Infrações de trânsitox</v>
      </c>
      <c r="BC573" s="239" t="str">
        <f>'Q100a-geral'!BC1676</f>
        <v>Infrações de trânsitoxainda não incorporado ao SisMob-BH</v>
      </c>
      <c r="BD573" s="239" t="str">
        <f>'Q100a-geral'!BD1676</f>
        <v>Infrações de trânsitoainda não incorporado ao SisMob-BH</v>
      </c>
    </row>
    <row r="574" spans="1:56" s="1" customFormat="1" ht="38.25" customHeight="1" x14ac:dyDescent="0.25">
      <c r="A574" s="275" t="str">
        <f>'Q100a-geral'!A1677</f>
        <v>4.4</v>
      </c>
      <c r="B574" s="54" t="str">
        <f>'Q100a-geral'!B1677</f>
        <v>Infrações de trânsito</v>
      </c>
      <c r="C574" s="229" t="str">
        <f>'Q100a-geral'!C1677</f>
        <v>x</v>
      </c>
      <c r="D574" s="9" t="str">
        <f>'Q100a-geral'!D1677</f>
        <v>NAP velocidade</v>
      </c>
      <c r="E574" s="5" t="str">
        <f>'Q100a-geral'!E1677</f>
        <v>Belo Horizonte</v>
      </c>
      <c r="F574" s="448" t="str">
        <f>'Q100a-geral'!F1677</f>
        <v>notificação de aplicação de penalidade de trânsito aplicada a partir de equipamentos instalados para controle de velocidade</v>
      </c>
      <c r="G574" s="252" t="str">
        <f>'Q100a-geral'!G1677</f>
        <v>registro na fonte</v>
      </c>
      <c r="H574" s="173" t="str">
        <f>'Q100a-geral'!H1677</f>
        <v>ainda não incorporado ao SisMob-BH</v>
      </c>
      <c r="I574" s="57">
        <f>'Q100a-geral'!I1677</f>
        <v>1</v>
      </c>
      <c r="J574" s="109" t="str">
        <f>'Q100a-geral'!J1677</f>
        <v>x</v>
      </c>
      <c r="K574" s="110" t="str">
        <f>'Q100a-geral'!K1677</f>
        <v>x</v>
      </c>
      <c r="L574" s="110" t="str">
        <f>'Q100a-geral'!L1677</f>
        <v>x</v>
      </c>
      <c r="M574" s="110" t="str">
        <f>'Q100a-geral'!M1677</f>
        <v>x</v>
      </c>
      <c r="N574" s="110" t="str">
        <f>'Q100a-geral'!N1677</f>
        <v>x</v>
      </c>
      <c r="O574" s="110" t="str">
        <f>'Q100a-geral'!O1677</f>
        <v>x</v>
      </c>
      <c r="P574" s="110" t="str">
        <f>'Q100a-geral'!P1677</f>
        <v>x</v>
      </c>
      <c r="Q574" s="110" t="str">
        <f>'Q100a-geral'!Q1677</f>
        <v>x</v>
      </c>
      <c r="R574" s="110" t="str">
        <f>'Q100a-geral'!R1677</f>
        <v>x</v>
      </c>
      <c r="S574" s="109" t="str">
        <f>'Q100a-geral'!S1677</f>
        <v>só para pesquisa</v>
      </c>
      <c r="T574" s="110" t="str">
        <f>'Q100a-geral'!T1677</f>
        <v>x</v>
      </c>
      <c r="U574" s="110" t="str">
        <f>'Q100a-geral'!U1677</f>
        <v>x</v>
      </c>
      <c r="V574" s="109" t="str">
        <f>'Q100a-geral'!V1677</f>
        <v>só para pesquisa</v>
      </c>
      <c r="W574" s="110" t="str">
        <f>'Q100a-geral'!W1677</f>
        <v>x</v>
      </c>
      <c r="X574" s="110" t="str">
        <f>'Q100a-geral'!X1677</f>
        <v>x</v>
      </c>
      <c r="Y574" s="110" t="str">
        <f>'Q100a-geral'!Y1677</f>
        <v>x</v>
      </c>
      <c r="Z574" s="110" t="str">
        <f>'Q100a-geral'!Z1677</f>
        <v>x</v>
      </c>
      <c r="AA574" s="110" t="str">
        <f>'Q100a-geral'!AA1677</f>
        <v>x</v>
      </c>
      <c r="AB574" s="110" t="str">
        <f>'Q100a-geral'!AB1677</f>
        <v>x</v>
      </c>
      <c r="AC574" s="110" t="str">
        <f>'Q100a-geral'!AC1677</f>
        <v>x</v>
      </c>
      <c r="AD574" s="110" t="str">
        <f>'Q100a-geral'!AD1677</f>
        <v>x</v>
      </c>
      <c r="AE574" s="110" t="str">
        <f>'Q100a-geral'!AE1677</f>
        <v>x</v>
      </c>
      <c r="AF574" s="110" t="str">
        <f>'Q100a-geral'!AF1677</f>
        <v>x</v>
      </c>
      <c r="AG574" s="110" t="str">
        <f>'Q100a-geral'!AG1677</f>
        <v>x</v>
      </c>
      <c r="AH574" s="110" t="str">
        <f>'Q100a-geral'!AH1677</f>
        <v>x</v>
      </c>
      <c r="AI574" s="110" t="str">
        <f>'Q100a-geral'!AI1677</f>
        <v>x</v>
      </c>
      <c r="AJ574" s="110" t="str">
        <f>'Q100a-geral'!AJ1677</f>
        <v>x</v>
      </c>
      <c r="AK574" s="137" t="str">
        <f>'Q100a-geral'!AK1677</f>
        <v>x</v>
      </c>
      <c r="AL574" s="167" t="str">
        <f>'Q100a-geral'!AL1677</f>
        <v>x</v>
      </c>
      <c r="AM574" s="137" t="str">
        <f>'Q100a-geral'!AM1677</f>
        <v>x</v>
      </c>
      <c r="AN574" s="137" t="str">
        <f>'Q100a-geral'!AN1677</f>
        <v>x</v>
      </c>
      <c r="AO574" s="137" t="str">
        <f>'Q100a-geral'!AO1677</f>
        <v>x</v>
      </c>
      <c r="AP574" s="137" t="str">
        <f>'Q100a-geral'!AP1677</f>
        <v>x</v>
      </c>
      <c r="AQ574" s="137" t="str">
        <f>'Q100a-geral'!AQ1677</f>
        <v>x</v>
      </c>
      <c r="AR574" s="137"/>
      <c r="AS574" s="137"/>
      <c r="AT574" s="137"/>
      <c r="AU574" s="137"/>
      <c r="AV574" s="137" t="str">
        <f>'Q100a-geral'!AV1677</f>
        <v>x</v>
      </c>
      <c r="AW574" s="137"/>
      <c r="AX574" s="137"/>
      <c r="AY574" s="137"/>
      <c r="AZ574" s="137"/>
      <c r="BA574" s="137" t="str">
        <f>'Q100a-geral'!BA1677</f>
        <v>x</v>
      </c>
      <c r="BB574" s="239" t="str">
        <f>'Q100a-geral'!BB1677</f>
        <v>Infrações de trânsitox</v>
      </c>
      <c r="BC574" s="239" t="str">
        <f>'Q100a-geral'!BC1677</f>
        <v>Infrações de trânsitoxainda não incorporado ao SisMob-BH</v>
      </c>
      <c r="BD574" s="239" t="str">
        <f>'Q100a-geral'!BD1677</f>
        <v>Infrações de trânsitoainda não incorporado ao SisMob-BH</v>
      </c>
    </row>
    <row r="575" spans="1:56" s="4" customFormat="1" ht="51" customHeight="1" x14ac:dyDescent="0.25">
      <c r="A575" s="275" t="str">
        <f>'Q100a-geral'!A1692</f>
        <v>9.1</v>
      </c>
      <c r="B575" s="11" t="str">
        <f>'Q100a-geral'!B1692</f>
        <v>Acidentes de trânsito</v>
      </c>
      <c r="C575" s="57" t="str">
        <f>'Q100a-geral'!C1692</f>
        <v>x</v>
      </c>
      <c r="D575" s="322" t="str">
        <f>'Q100a-geral'!D1692</f>
        <v>NF</v>
      </c>
      <c r="E575" s="11" t="str">
        <f>'Q100a-geral'!E1692</f>
        <v>Belo Horizonte</v>
      </c>
      <c r="F575" s="491" t="str">
        <f>'Q100a-geral'!F1692</f>
        <v>n.º de vítimas não fatais em acidentes de trânsito
obs.1: nos relatórios anuais de acidentes de trânsito da BHTrans este indicador é denominado "vítimas não fatais"
obs.2: é necessário apurar a descrição para melhor informar como a BHTrans apura os resultados desse indicador
obs.3: as fontes dos resultados aqui apresentados são os relatórios da BHTrans (2014d; 2015i) que, por sua vez, têm como fonte o sistema BH10 BHTrans - base de dados do Detran-MG</v>
      </c>
      <c r="G575" s="151" t="str">
        <f>'Q100a-geral'!G1692</f>
        <v>registro na fonte</v>
      </c>
      <c r="H575" s="173" t="str">
        <f>'Q100a-geral'!H1692</f>
        <v>x</v>
      </c>
      <c r="I575" s="57">
        <f>'Q100a-geral'!I1692</f>
        <v>1</v>
      </c>
      <c r="J575" s="107" t="str">
        <f>'Q100a-geral'!J1692</f>
        <v>x</v>
      </c>
      <c r="K575" s="161">
        <f>'Q100a-geral'!K1692</f>
        <v>10403</v>
      </c>
      <c r="L575" s="161">
        <f>'Q100a-geral'!L1692</f>
        <v>9269</v>
      </c>
      <c r="M575" s="161">
        <f>'Q100a-geral'!M1692</f>
        <v>11691</v>
      </c>
      <c r="N575" s="161">
        <f>'Q100a-geral'!N1692</f>
        <v>12392</v>
      </c>
      <c r="O575" s="161">
        <f>'Q100a-geral'!O1692</f>
        <v>12007</v>
      </c>
      <c r="P575" s="161">
        <f>'Q100a-geral'!P1692</f>
        <v>12645</v>
      </c>
      <c r="Q575" s="161">
        <f>'Q100a-geral'!Q1692</f>
        <v>13265</v>
      </c>
      <c r="R575" s="161">
        <f>'Q100a-geral'!R1692</f>
        <v>13088</v>
      </c>
      <c r="S575" s="649" t="str">
        <f>'Q100a-geral'!S1692</f>
        <v>só para pesquisa</v>
      </c>
      <c r="T575" s="161">
        <f>'Q100a-geral'!T1692</f>
        <v>13256</v>
      </c>
      <c r="U575" s="161">
        <f>'Q100a-geral'!U1692</f>
        <v>13049</v>
      </c>
      <c r="V575" s="107" t="str">
        <f>'Q100a-geral'!V1692</f>
        <v>só para pesquisa</v>
      </c>
      <c r="W575" s="161">
        <f>'Q100a-geral'!W1692</f>
        <v>12778</v>
      </c>
      <c r="X575" s="161">
        <f>'Q100a-geral'!X1692</f>
        <v>11657</v>
      </c>
      <c r="Y575" s="161">
        <f>'Q100a-geral'!Y1692</f>
        <v>14630</v>
      </c>
      <c r="Z575" s="162">
        <f>'Q100a-geral'!Z1692</f>
        <v>15972</v>
      </c>
      <c r="AA575" s="162">
        <f>'Q100a-geral'!AA1692</f>
        <v>16831</v>
      </c>
      <c r="AB575" s="162">
        <f>'Q100a-geral'!AB1692</f>
        <v>17420</v>
      </c>
      <c r="AC575" s="162">
        <f>'Q100a-geral'!AC1692</f>
        <v>19082</v>
      </c>
      <c r="AD575" s="162">
        <f>'Q100a-geral'!AD1692</f>
        <v>19675</v>
      </c>
      <c r="AE575" s="162">
        <f>'Q100a-geral'!AE1692</f>
        <v>20586</v>
      </c>
      <c r="AF575" s="162">
        <f>'Q100a-geral'!AF1692</f>
        <v>20875</v>
      </c>
      <c r="AG575" s="162">
        <f>'Q100a-geral'!AG1692</f>
        <v>20110</v>
      </c>
      <c r="AH575" s="162">
        <f>'Q100a-geral'!AH1692</f>
        <v>18719</v>
      </c>
      <c r="AI575" s="162">
        <f>'Q100a-geral'!AI1692</f>
        <v>17519</v>
      </c>
      <c r="AJ575" s="162">
        <f>'Q100a-geral'!AJ1692</f>
        <v>18300</v>
      </c>
      <c r="AK575" s="137" t="str">
        <f>'Q100a-geral'!AK1692</f>
        <v>x</v>
      </c>
      <c r="AL575" s="212" t="str">
        <f>'Q100a-geral'!AL1692</f>
        <v>x</v>
      </c>
      <c r="AM575" s="137" t="str">
        <f>'Q100a-geral'!AM1692</f>
        <v>x</v>
      </c>
      <c r="AN575" s="137" t="str">
        <f>'Q100a-geral'!AN1692</f>
        <v>x</v>
      </c>
      <c r="AO575" s="137" t="str">
        <f>'Q100a-geral'!AO1692</f>
        <v>x</v>
      </c>
      <c r="AP575" s="137" t="str">
        <f>'Q100a-geral'!AP1692</f>
        <v>x</v>
      </c>
      <c r="AQ575" s="137" t="str">
        <f>'Q100a-geral'!AQ1692</f>
        <v>x</v>
      </c>
      <c r="AR575" s="137"/>
      <c r="AS575" s="137"/>
      <c r="AT575" s="137"/>
      <c r="AU575" s="137"/>
      <c r="AV575" s="137" t="str">
        <f>'Q100a-geral'!AV1692</f>
        <v>x</v>
      </c>
      <c r="AW575" s="137"/>
      <c r="AX575" s="137"/>
      <c r="AY575" s="137"/>
      <c r="AZ575" s="137"/>
      <c r="BA575" s="137" t="str">
        <f>'Q100a-geral'!BA1692</f>
        <v>x</v>
      </c>
      <c r="BB575" s="239" t="str">
        <f>'Q100a-geral'!BB1692</f>
        <v>Acidentes de trânsitox</v>
      </c>
      <c r="BC575" s="239" t="str">
        <f>'Q100a-geral'!BC1692</f>
        <v>Acidentes de trânsitoxx</v>
      </c>
      <c r="BD575" s="239" t="str">
        <f>'Q100a-geral'!BD1692</f>
        <v>Acidentes de trânsitox</v>
      </c>
    </row>
    <row r="576" spans="1:56" s="4" customFormat="1" ht="63" customHeight="1" x14ac:dyDescent="0.25">
      <c r="A576" s="275" t="str">
        <f>'Q100a-geral'!A1693</f>
        <v>9.1</v>
      </c>
      <c r="B576" s="11" t="str">
        <f>'Q100a-geral'!B1693</f>
        <v>Acidentes de trânsito</v>
      </c>
      <c r="C576" s="57" t="str">
        <f>'Q100a-geral'!C1693</f>
        <v>x</v>
      </c>
      <c r="D576" s="36" t="str">
        <f>'Q100a-geral'!D1693</f>
        <v>NF por 10 mil veículos</v>
      </c>
      <c r="E576" s="464" t="str">
        <f>'Q100a-geral'!E1693</f>
        <v>Belo Horizonte</v>
      </c>
      <c r="F576" s="447" t="str">
        <f>'Q100a-geral'!F1693</f>
        <v>n.º de vítimas não fatais em acidentes de trânsito por 10 mil veículos
obs.1: nos relatórios anuais de acidentes de trânsito da BHTrans este indicador é denominado "vítimas não fatais por 10.000 veículos" 
obs.2: este indicador é estratégico da BHTrans com o nome de "taxa de vítimas não fatais em acidentes de trânsito por 10 mil veículos" (BHTRANS, 2015d)</v>
      </c>
      <c r="G576" s="163" t="str">
        <f>'Q100a-geral'!G1693</f>
        <v>(NF/F) x 10.000</v>
      </c>
      <c r="H576" s="173" t="str">
        <f>'Q100a-geral'!H1693</f>
        <v>x</v>
      </c>
      <c r="I576" s="57">
        <f>'Q100a-geral'!I1693</f>
        <v>1</v>
      </c>
      <c r="J576" s="107" t="str">
        <f>'Q100a-geral'!J1693</f>
        <v>x</v>
      </c>
      <c r="K576" s="64">
        <f>'Q100a-geral'!K1693</f>
        <v>216.81724867394044</v>
      </c>
      <c r="L576" s="64">
        <f>'Q100a-geral'!L1693</f>
        <v>189.09881734184472</v>
      </c>
      <c r="M576" s="64">
        <f>'Q100a-geral'!M1693</f>
        <v>229.71499307377169</v>
      </c>
      <c r="N576" s="64">
        <f>'Q100a-geral'!N1693</f>
        <v>230.81765926455742</v>
      </c>
      <c r="O576" s="64">
        <f>'Q100a-geral'!O1693</f>
        <v>211.08944798887504</v>
      </c>
      <c r="P576" s="64">
        <f>'Q100a-geral'!P1693</f>
        <v>211.173755335707</v>
      </c>
      <c r="Q576" s="64">
        <f>'Q100a-geral'!Q1693</f>
        <v>216.76324192183125</v>
      </c>
      <c r="R576" s="64">
        <f>'Q100a-geral'!R1693</f>
        <v>209.77418181177063</v>
      </c>
      <c r="S576" s="649" t="str">
        <f>'Q100a-geral'!S1693</f>
        <v>só para pesquisa</v>
      </c>
      <c r="T576" s="64">
        <f>'Q100a-geral'!T1693</f>
        <v>202.31156530484853</v>
      </c>
      <c r="U576" s="64">
        <f>'Q100a-geral'!U1693</f>
        <v>191.97413079074394</v>
      </c>
      <c r="V576" s="107" t="str">
        <f>'Q100a-geral'!V1693</f>
        <v>só para pesquisa</v>
      </c>
      <c r="W576" s="64">
        <f>'Q100a-geral'!W1693</f>
        <v>177.99756224969528</v>
      </c>
      <c r="X576" s="64">
        <f>'Q100a-geral'!X1693</f>
        <v>155.1244841715006</v>
      </c>
      <c r="Y576" s="64">
        <f>'Q100a-geral'!Y1693</f>
        <v>185.06079936651778</v>
      </c>
      <c r="Z576" s="64">
        <f>'Q100a-geral'!Z1693</f>
        <v>194.36497341658625</v>
      </c>
      <c r="AA576" s="64">
        <f>'Q100a-geral'!AA1693</f>
        <v>195.04772764935677</v>
      </c>
      <c r="AB576" s="64">
        <f>'Q100a-geral'!AB1693</f>
        <v>187.05297078129513</v>
      </c>
      <c r="AC576" s="64">
        <f>'Q100a-geral'!AC1693</f>
        <v>186.99318447962449</v>
      </c>
      <c r="AD576" s="64">
        <f>'Q100a-geral'!AD1693</f>
        <v>177.69103705637073</v>
      </c>
      <c r="AE576" s="64">
        <f>'Q100a-geral'!AE1693</f>
        <v>168.72041798996005</v>
      </c>
      <c r="AF576" s="64">
        <f>'Q100a-geral'!AF1693</f>
        <v>156.67440469355236</v>
      </c>
      <c r="AG576" s="64">
        <f>'Q100a-geral'!AG1693</f>
        <v>140.6426480821616</v>
      </c>
      <c r="AH576" s="64">
        <f>'Q100a-geral'!AH1693</f>
        <v>124.18606348290194</v>
      </c>
      <c r="AI576" s="64">
        <f>'Q100a-geral'!AI1693</f>
        <v>110.83590351917755</v>
      </c>
      <c r="AJ576" s="329">
        <f>'Q100a-geral'!AJ1693</f>
        <v>112.11758254886765</v>
      </c>
      <c r="AK576" s="137" t="str">
        <f>'Q100a-geral'!AK1693</f>
        <v>x</v>
      </c>
      <c r="AL576" s="212" t="str">
        <f>'Q100a-geral'!AL1693</f>
        <v>x</v>
      </c>
      <c r="AM576" s="137" t="str">
        <f>'Q100a-geral'!AM1693</f>
        <v>x</v>
      </c>
      <c r="AN576" s="137" t="str">
        <f>'Q100a-geral'!AN1693</f>
        <v>x</v>
      </c>
      <c r="AO576" s="137" t="str">
        <f>'Q100a-geral'!AO1693</f>
        <v>x</v>
      </c>
      <c r="AP576" s="137" t="str">
        <f>'Q100a-geral'!AP1693</f>
        <v>x</v>
      </c>
      <c r="AQ576" s="137" t="str">
        <f>'Q100a-geral'!AQ1693</f>
        <v>x</v>
      </c>
      <c r="AR576" s="137"/>
      <c r="AS576" s="137"/>
      <c r="AT576" s="137"/>
      <c r="AU576" s="137"/>
      <c r="AV576" s="137" t="str">
        <f>'Q100a-geral'!AV1693</f>
        <v>x</v>
      </c>
      <c r="AW576" s="137"/>
      <c r="AX576" s="137"/>
      <c r="AY576" s="137"/>
      <c r="AZ576" s="137"/>
      <c r="BA576" s="137" t="str">
        <f>'Q100a-geral'!BA1693</f>
        <v>x</v>
      </c>
      <c r="BB576" s="239" t="str">
        <f>'Q100a-geral'!BB1693</f>
        <v>Acidentes de trânsitox</v>
      </c>
      <c r="BC576" s="239" t="str">
        <f>'Q100a-geral'!BC1693</f>
        <v>Acidentes de trânsitoxx</v>
      </c>
      <c r="BD576" s="239" t="str">
        <f>'Q100a-geral'!BD1693</f>
        <v>Acidentes de trânsitox</v>
      </c>
    </row>
    <row r="577" spans="1:67" s="4" customFormat="1" ht="51" customHeight="1" x14ac:dyDescent="0.25">
      <c r="A577" s="275" t="str">
        <f>'Q100a-geral'!A1694</f>
        <v>9.1</v>
      </c>
      <c r="B577" s="11" t="str">
        <f>'Q100a-geral'!B1694</f>
        <v>Acidentes de trânsito</v>
      </c>
      <c r="C577" s="57" t="str">
        <f>'Q100a-geral'!C1694</f>
        <v>x</v>
      </c>
      <c r="D577" s="36" t="str">
        <f>'Q100a-geral'!D1694</f>
        <v>NF por 100 mil habitantes</v>
      </c>
      <c r="E577" s="464" t="str">
        <f>'Q100a-geral'!E1694</f>
        <v>Belo Horizonte</v>
      </c>
      <c r="F577" s="633" t="str">
        <f>'Q100a-geral'!F1694</f>
        <v>n.º de vítimas não fatais em acidentes de trânsito por 100 mil habitantes
obs: este indicador é estratégico da BHTrans com o nome de "taxa de vítimas não fatais em acidentes de trânsito por 100 mil habitantes" (BHTRANS, 2015d)</v>
      </c>
      <c r="G577" s="163" t="str">
        <f>'Q100a-geral'!G1694</f>
        <v>(NF/P) x 100.000</v>
      </c>
      <c r="H577" s="173" t="str">
        <f>'Q100a-geral'!H1694</f>
        <v>x</v>
      </c>
      <c r="I577" s="57">
        <f>'Q100a-geral'!I1694</f>
        <v>1</v>
      </c>
      <c r="J577" s="107" t="str">
        <f>'Q100a-geral'!J1694</f>
        <v>x</v>
      </c>
      <c r="K577" s="64">
        <f>'Q100a-geral'!K1694</f>
        <v>514.95895624160642</v>
      </c>
      <c r="L577" s="64">
        <f>'Q100a-geral'!L1694</f>
        <v>456.99674890866083</v>
      </c>
      <c r="M577" s="64">
        <f>'Q100a-geral'!M1694</f>
        <v>574.11404200151742</v>
      </c>
      <c r="N577" s="64">
        <f>'Q100a-geral'!N1694</f>
        <v>606.11396429444846</v>
      </c>
      <c r="O577" s="64">
        <f>'Q100a-geral'!O1694</f>
        <v>584.94318154138159</v>
      </c>
      <c r="P577" s="64">
        <f>'Q100a-geral'!P1694</f>
        <v>604.6050391881605</v>
      </c>
      <c r="Q577" s="64">
        <f>'Q100a-geral'!Q1694</f>
        <v>631.72261924151383</v>
      </c>
      <c r="R577" s="64">
        <f>'Q100a-geral'!R1694</f>
        <v>620.81013635718966</v>
      </c>
      <c r="S577" s="649" t="str">
        <f>'Q100a-geral'!S1694</f>
        <v>só para pesquisa</v>
      </c>
      <c r="T577" s="64">
        <f>'Q100a-geral'!T1694</f>
        <v>626.27383133504611</v>
      </c>
      <c r="U577" s="64">
        <f>'Q100a-geral'!U1694</f>
        <v>582.92823045164539</v>
      </c>
      <c r="V577" s="107" t="str">
        <f>'Q100a-geral'!V1694</f>
        <v>só para pesquisa</v>
      </c>
      <c r="W577" s="64">
        <f>'Q100a-geral'!W1694</f>
        <v>565.74193082788793</v>
      </c>
      <c r="X577" s="64">
        <f>'Q100a-geral'!X1694</f>
        <v>510.27197579480213</v>
      </c>
      <c r="Y577" s="64">
        <f>'Q100a-geral'!Y1694</f>
        <v>634.48364393974873</v>
      </c>
      <c r="Z577" s="64">
        <f>'Q100a-geral'!Z1694</f>
        <v>679.4964953092109</v>
      </c>
      <c r="AA577" s="64">
        <f>'Q100a-geral'!AA1694</f>
        <v>708.57552785319422</v>
      </c>
      <c r="AB577" s="64">
        <f>'Q100a-geral'!AB1694</f>
        <v>725.85752858428611</v>
      </c>
      <c r="AC577" s="64">
        <f>'Q100a-geral'!AC1694</f>
        <v>790.82048142989242</v>
      </c>
      <c r="AD577" s="64">
        <f>'Q100a-geral'!AD1694</f>
        <v>808.12702647863625</v>
      </c>
      <c r="AE577" s="64">
        <f>'Q100a-geral'!AE1694</f>
        <v>839.34833689891241</v>
      </c>
      <c r="AF577" s="64">
        <f>'Q100a-geral'!AF1694</f>
        <v>878.89148942530403</v>
      </c>
      <c r="AG577" s="64">
        <f>'Q100a-geral'!AG1694</f>
        <v>842.96037960463445</v>
      </c>
      <c r="AH577" s="64">
        <f>'Q100a-geral'!AH1694</f>
        <v>781.33054510317083</v>
      </c>
      <c r="AI577" s="64">
        <f>'Q100a-geral'!AI1694</f>
        <v>706.64921455409387</v>
      </c>
      <c r="AJ577" s="329">
        <f>'Q100a-geral'!AJ1694</f>
        <v>734.61257616587636</v>
      </c>
      <c r="AK577" s="137" t="str">
        <f>'Q100a-geral'!AK1694</f>
        <v>x</v>
      </c>
      <c r="AL577" s="212" t="str">
        <f>'Q100a-geral'!AL1694</f>
        <v>x</v>
      </c>
      <c r="AM577" s="137" t="str">
        <f>'Q100a-geral'!AM1694</f>
        <v>x</v>
      </c>
      <c r="AN577" s="137" t="str">
        <f>'Q100a-geral'!AN1694</f>
        <v>x</v>
      </c>
      <c r="AO577" s="137" t="str">
        <f>'Q100a-geral'!AO1694</f>
        <v>x</v>
      </c>
      <c r="AP577" s="137" t="str">
        <f>'Q100a-geral'!AP1694</f>
        <v>x</v>
      </c>
      <c r="AQ577" s="137" t="str">
        <f>'Q100a-geral'!AQ1694</f>
        <v>x</v>
      </c>
      <c r="AR577" s="137"/>
      <c r="AS577" s="137"/>
      <c r="AT577" s="137"/>
      <c r="AU577" s="137"/>
      <c r="AV577" s="137" t="str">
        <f>'Q100a-geral'!AV1694</f>
        <v>x</v>
      </c>
      <c r="AW577" s="137"/>
      <c r="AX577" s="137"/>
      <c r="AY577" s="137"/>
      <c r="AZ577" s="137"/>
      <c r="BA577" s="137" t="str">
        <f>'Q100a-geral'!BA1694</f>
        <v>x</v>
      </c>
      <c r="BB577" s="239" t="str">
        <f>'Q100a-geral'!BB1694</f>
        <v>Acidentes de trânsitox</v>
      </c>
      <c r="BC577" s="239" t="str">
        <f>'Q100a-geral'!BC1694</f>
        <v>Acidentes de trânsitoxx</v>
      </c>
      <c r="BD577" s="239" t="str">
        <f>'Q100a-geral'!BD1694</f>
        <v>Acidentes de trânsitox</v>
      </c>
    </row>
    <row r="578" spans="1:67" s="4" customFormat="1" ht="25.5" customHeight="1" x14ac:dyDescent="0.25">
      <c r="A578" s="275" t="str">
        <f>'Q100a-geral'!A1695</f>
        <v>9.1</v>
      </c>
      <c r="B578" s="11" t="str">
        <f>'Q100a-geral'!B1695</f>
        <v>Acidentes de trânsito</v>
      </c>
      <c r="C578" s="57" t="str">
        <f>'Q100a-geral'!C1695</f>
        <v>x</v>
      </c>
      <c r="D578" s="36" t="str">
        <f>'Q100a-geral'!D1695</f>
        <v>NF por mil AV</v>
      </c>
      <c r="E578" s="464" t="str">
        <f>'Q100a-geral'!E1695</f>
        <v>Belo Horizonte</v>
      </c>
      <c r="F578" s="633" t="str">
        <f>'Q100a-geral'!F1695</f>
        <v>n.º de vítimas não fatais por mil acidentes de trânsito com vítimas</v>
      </c>
      <c r="G578" s="163" t="str">
        <f>'Q100a-geral'!G1695</f>
        <v>(NF/AV) x 1.000</v>
      </c>
      <c r="H578" s="173" t="str">
        <f>'Q100a-geral'!H1695</f>
        <v>x</v>
      </c>
      <c r="I578" s="57">
        <f>'Q100a-geral'!I1695</f>
        <v>1</v>
      </c>
      <c r="J578" s="107" t="str">
        <f>'Q100a-geral'!J1695</f>
        <v>x</v>
      </c>
      <c r="K578" s="64">
        <f>'Q100a-geral'!K1695</f>
        <v>305.5661624320752</v>
      </c>
      <c r="L578" s="64">
        <f>'Q100a-geral'!L1695</f>
        <v>235.28963801594153</v>
      </c>
      <c r="M578" s="64">
        <f>'Q100a-geral'!M1695</f>
        <v>271.91533899290613</v>
      </c>
      <c r="N578" s="64">
        <f>'Q100a-geral'!N1695</f>
        <v>324.54233559437444</v>
      </c>
      <c r="O578" s="64">
        <f>'Q100a-geral'!O1695</f>
        <v>311.4898695099489</v>
      </c>
      <c r="P578" s="64">
        <f>'Q100a-geral'!P1695</f>
        <v>506.18470037228292</v>
      </c>
      <c r="Q578" s="20">
        <f>'Q100a-geral'!Q1695</f>
        <v>1189.2594584902276</v>
      </c>
      <c r="R578" s="20">
        <f>'Q100a-geral'!R1695</f>
        <v>1174.2329086667862</v>
      </c>
      <c r="S578" s="649" t="str">
        <f>'Q100a-geral'!S1695</f>
        <v>só para pesquisa</v>
      </c>
      <c r="T578" s="20">
        <f>'Q100a-geral'!T1695</f>
        <v>1154.2011319111884</v>
      </c>
      <c r="U578" s="20">
        <f>'Q100a-geral'!U1695</f>
        <v>1137.2668642147464</v>
      </c>
      <c r="V578" s="649" t="str">
        <f>'Q100a-geral'!V1695</f>
        <v>só para pesquisa</v>
      </c>
      <c r="W578" s="20">
        <f>'Q100a-geral'!W1695</f>
        <v>1171.1117221152965</v>
      </c>
      <c r="X578" s="20">
        <f>'Q100a-geral'!X1695</f>
        <v>1197.5549619889048</v>
      </c>
      <c r="Y578" s="20">
        <f>'Q100a-geral'!Y1695</f>
        <v>1230.549247203297</v>
      </c>
      <c r="Z578" s="20">
        <f>'Q100a-geral'!Z1695</f>
        <v>1221.7547617226346</v>
      </c>
      <c r="AA578" s="20">
        <f>'Q100a-geral'!AA1695</f>
        <v>1238.1197587170811</v>
      </c>
      <c r="AB578" s="20">
        <f>'Q100a-geral'!AB1695</f>
        <v>1262.5018118567907</v>
      </c>
      <c r="AC578" s="20">
        <f>'Q100a-geral'!AC1695</f>
        <v>1272.8970715762791</v>
      </c>
      <c r="AD578" s="20">
        <f>'Q100a-geral'!AD1695</f>
        <v>1251.6699535593866</v>
      </c>
      <c r="AE578" s="20">
        <f>'Q100a-geral'!AE1695</f>
        <v>1257.0067777981315</v>
      </c>
      <c r="AF578" s="20">
        <f>'Q100a-geral'!AF1695</f>
        <v>1240.9344905480916</v>
      </c>
      <c r="AG578" s="20">
        <f>'Q100a-geral'!AG1695</f>
        <v>1234.1966367988218</v>
      </c>
      <c r="AH578" s="20">
        <f>'Q100a-geral'!AH1695</f>
        <v>1226.6710353866317</v>
      </c>
      <c r="AI578" s="20">
        <f>'Q100a-geral'!AI1695</f>
        <v>1238.5295157299399</v>
      </c>
      <c r="AJ578" s="331">
        <f>'Q100a-geral'!AJ1695</f>
        <v>1222.8533244236553</v>
      </c>
      <c r="AK578" s="137" t="str">
        <f>'Q100a-geral'!AK1695</f>
        <v>x</v>
      </c>
      <c r="AL578" s="212" t="str">
        <f>'Q100a-geral'!AL1695</f>
        <v>x</v>
      </c>
      <c r="AM578" s="137" t="str">
        <f>'Q100a-geral'!AM1695</f>
        <v>x</v>
      </c>
      <c r="AN578" s="137" t="str">
        <f>'Q100a-geral'!AN1695</f>
        <v>x</v>
      </c>
      <c r="AO578" s="137" t="str">
        <f>'Q100a-geral'!AO1695</f>
        <v>x</v>
      </c>
      <c r="AP578" s="137" t="str">
        <f>'Q100a-geral'!AP1695</f>
        <v>x</v>
      </c>
      <c r="AQ578" s="137" t="str">
        <f>'Q100a-geral'!AQ1695</f>
        <v>x</v>
      </c>
      <c r="AR578" s="137"/>
      <c r="AS578" s="137"/>
      <c r="AT578" s="137"/>
      <c r="AU578" s="137"/>
      <c r="AV578" s="137" t="str">
        <f>'Q100a-geral'!AV1695</f>
        <v>x</v>
      </c>
      <c r="AW578" s="137"/>
      <c r="AX578" s="137"/>
      <c r="AY578" s="137"/>
      <c r="AZ578" s="137"/>
      <c r="BA578" s="137" t="str">
        <f>'Q100a-geral'!BA1695</f>
        <v>x</v>
      </c>
      <c r="BB578" s="239" t="str">
        <f>'Q100a-geral'!BB1695</f>
        <v>Acidentes de trânsitox</v>
      </c>
      <c r="BC578" s="239" t="str">
        <f>'Q100a-geral'!BC1695</f>
        <v>Acidentes de trânsitoxx</v>
      </c>
      <c r="BD578" s="239" t="str">
        <f>'Q100a-geral'!BD1695</f>
        <v>Acidentes de trânsitox</v>
      </c>
    </row>
    <row r="579" spans="1:67" s="4" customFormat="1" ht="51" customHeight="1" x14ac:dyDescent="0.25">
      <c r="A579" s="275" t="str">
        <f>'Q100a-geral'!A1696</f>
        <v>9.1</v>
      </c>
      <c r="B579" s="11" t="str">
        <f>'Q100a-geral'!B1696</f>
        <v>Acidentes de trânsito</v>
      </c>
      <c r="C579" s="57" t="str">
        <f>'Q100a-geral'!C1696</f>
        <v>x</v>
      </c>
      <c r="D579" s="322" t="str">
        <f>'Q100a-geral'!D1696</f>
        <v>NFb</v>
      </c>
      <c r="E579" s="11" t="str">
        <f>'Q100a-geral'!E1696</f>
        <v>Belo Horizonte</v>
      </c>
      <c r="F579" s="447" t="str">
        <f>'Q100a-geral'!F1696</f>
        <v>n.º de vítimas não fatais em acidentes de trânsito com bicicleta (BHTRANS, 2014e; 2015i, p.20,22)
obs.: nos relatórios anuais de acidentes de trânsito da BHTrans este indicador é denominado "ciclistas vítimas não fatais"</v>
      </c>
      <c r="G579" s="14" t="str">
        <f>'Q100a-geral'!G1696</f>
        <v>registro na fonte</v>
      </c>
      <c r="H579" s="173" t="str">
        <f>'Q100a-geral'!H1696</f>
        <v>x</v>
      </c>
      <c r="I579" s="57">
        <f>'Q100a-geral'!I1696</f>
        <v>1</v>
      </c>
      <c r="J579" s="107" t="str">
        <f>'Q100a-geral'!J1696</f>
        <v>x</v>
      </c>
      <c r="K579" s="84" t="str">
        <f>'Q100a-geral'!K1696</f>
        <v>x</v>
      </c>
      <c r="L579" s="84" t="str">
        <f>'Q100a-geral'!L1696</f>
        <v>x</v>
      </c>
      <c r="M579" s="84" t="str">
        <f>'Q100a-geral'!M1696</f>
        <v>x</v>
      </c>
      <c r="N579" s="84" t="str">
        <f>'Q100a-geral'!N1696</f>
        <v>x</v>
      </c>
      <c r="O579" s="84" t="str">
        <f>'Q100a-geral'!O1696</f>
        <v>x</v>
      </c>
      <c r="P579" s="84" t="str">
        <f>'Q100a-geral'!P1696</f>
        <v>x</v>
      </c>
      <c r="Q579" s="84" t="str">
        <f>'Q100a-geral'!Q1696</f>
        <v>x</v>
      </c>
      <c r="R579" s="84" t="str">
        <f>'Q100a-geral'!R1696</f>
        <v>x</v>
      </c>
      <c r="S579" s="649" t="str">
        <f>'Q100a-geral'!S1696</f>
        <v>só para pesquisa</v>
      </c>
      <c r="T579" s="84" t="str">
        <f>'Q100a-geral'!T1696</f>
        <v>x</v>
      </c>
      <c r="U579" s="84" t="str">
        <f>'Q100a-geral'!U1696</f>
        <v>x</v>
      </c>
      <c r="V579" s="107" t="str">
        <f>'Q100a-geral'!V1696</f>
        <v>só para pesquisa</v>
      </c>
      <c r="W579" s="84" t="str">
        <f>'Q100a-geral'!W1696</f>
        <v>x</v>
      </c>
      <c r="X579" s="84" t="str">
        <f>'Q100a-geral'!X1696</f>
        <v>x</v>
      </c>
      <c r="Y579" s="84" t="str">
        <f>'Q100a-geral'!Y1696</f>
        <v>x</v>
      </c>
      <c r="Z579" s="159">
        <f>'Q100a-geral'!Z1696</f>
        <v>868</v>
      </c>
      <c r="AA579" s="159">
        <f>'Q100a-geral'!AA1696</f>
        <v>761</v>
      </c>
      <c r="AB579" s="159">
        <f>'Q100a-geral'!AB1696</f>
        <v>793</v>
      </c>
      <c r="AC579" s="159">
        <f>'Q100a-geral'!AC1696</f>
        <v>761</v>
      </c>
      <c r="AD579" s="159">
        <f>'Q100a-geral'!AD1696</f>
        <v>361</v>
      </c>
      <c r="AE579" s="159">
        <f>'Q100a-geral'!AE1696</f>
        <v>598</v>
      </c>
      <c r="AF579" s="159">
        <f>'Q100a-geral'!AF1696</f>
        <v>498</v>
      </c>
      <c r="AG579" s="159">
        <f>'Q100a-geral'!AG1696</f>
        <v>375</v>
      </c>
      <c r="AH579" s="159">
        <f>'Q100a-geral'!AH1696</f>
        <v>394</v>
      </c>
      <c r="AI579" s="159">
        <f>'Q100a-geral'!AI1696</f>
        <v>358</v>
      </c>
      <c r="AJ579" s="160">
        <f>'Q100a-geral'!AJ1696</f>
        <v>380</v>
      </c>
      <c r="AK579" s="137" t="str">
        <f>'Q100a-geral'!AK1696</f>
        <v>x</v>
      </c>
      <c r="AL579" s="212" t="str">
        <f>'Q100a-geral'!AL1696</f>
        <v>x</v>
      </c>
      <c r="AM579" s="137" t="str">
        <f>'Q100a-geral'!AM1696</f>
        <v>x</v>
      </c>
      <c r="AN579" s="137" t="str">
        <f>'Q100a-geral'!AN1696</f>
        <v>x</v>
      </c>
      <c r="AO579" s="137" t="str">
        <f>'Q100a-geral'!AO1696</f>
        <v>x</v>
      </c>
      <c r="AP579" s="137" t="str">
        <f>'Q100a-geral'!AP1696</f>
        <v>x</v>
      </c>
      <c r="AQ579" s="137" t="str">
        <f>'Q100a-geral'!AQ1696</f>
        <v>x</v>
      </c>
      <c r="AR579" s="137"/>
      <c r="AS579" s="137"/>
      <c r="AT579" s="137"/>
      <c r="AU579" s="137"/>
      <c r="AV579" s="137" t="str">
        <f>'Q100a-geral'!AV1696</f>
        <v>x</v>
      </c>
      <c r="AW579" s="137"/>
      <c r="AX579" s="137"/>
      <c r="AY579" s="137"/>
      <c r="AZ579" s="137"/>
      <c r="BA579" s="137" t="str">
        <f>'Q100a-geral'!BA1696</f>
        <v>x</v>
      </c>
      <c r="BB579" s="239" t="str">
        <f>'Q100a-geral'!BB1696</f>
        <v>Acidentes de trânsitox</v>
      </c>
      <c r="BC579" s="239" t="str">
        <f>'Q100a-geral'!BC1696</f>
        <v>Acidentes de trânsitoxx</v>
      </c>
      <c r="BD579" s="239" t="str">
        <f>'Q100a-geral'!BD1696</f>
        <v>Acidentes de trânsitox</v>
      </c>
    </row>
    <row r="580" spans="1:67" s="4" customFormat="1" ht="78.75" customHeight="1" x14ac:dyDescent="0.25">
      <c r="A580" s="275" t="str">
        <f>'Q100a-geral'!A1697</f>
        <v>9.1</v>
      </c>
      <c r="B580" s="11" t="str">
        <f>'Q100a-geral'!B1697</f>
        <v>Acidentes de trânsito</v>
      </c>
      <c r="C580" s="57" t="str">
        <f>'Q100a-geral'!C1697</f>
        <v>x</v>
      </c>
      <c r="D580" s="36" t="str">
        <f>'Q100a-geral'!D1697</f>
        <v>NFb por 10 mil veículos</v>
      </c>
      <c r="E580" s="464" t="str">
        <f>'Q100a-geral'!E1697</f>
        <v>Belo Horizonte</v>
      </c>
      <c r="F580" s="447" t="str">
        <f>'Q100a-geral'!F1697</f>
        <v xml:space="preserve">n.º de vítimas não fatais em acidentes de trânsito com bicicleta por 10 mil veículos
obs.: nos relatórios anuais de acidentes de trânsito da BHTrans este indicador é denominado "ciclistas vítimas não fatais por 10.000 veículos" </v>
      </c>
      <c r="G580" s="163" t="str">
        <f>'Q100a-geral'!G1697</f>
        <v>(NFb/F) x 10.000</v>
      </c>
      <c r="H580" s="173" t="str">
        <f>'Q100a-geral'!H1697</f>
        <v>x</v>
      </c>
      <c r="I580" s="57">
        <f>'Q100a-geral'!I1697</f>
        <v>1</v>
      </c>
      <c r="J580" s="107" t="str">
        <f>'Q100a-geral'!J1697</f>
        <v>x</v>
      </c>
      <c r="K580" s="84" t="str">
        <f>'Q100a-geral'!K1697</f>
        <v>x</v>
      </c>
      <c r="L580" s="84" t="str">
        <f>'Q100a-geral'!L1697</f>
        <v>x</v>
      </c>
      <c r="M580" s="84" t="str">
        <f>'Q100a-geral'!M1697</f>
        <v>x</v>
      </c>
      <c r="N580" s="84" t="str">
        <f>'Q100a-geral'!N1697</f>
        <v>x</v>
      </c>
      <c r="O580" s="84" t="str">
        <f>'Q100a-geral'!O1697</f>
        <v>x</v>
      </c>
      <c r="P580" s="84" t="str">
        <f>'Q100a-geral'!P1697</f>
        <v>x</v>
      </c>
      <c r="Q580" s="84" t="str">
        <f>'Q100a-geral'!Q1697</f>
        <v>x</v>
      </c>
      <c r="R580" s="84" t="str">
        <f>'Q100a-geral'!R1697</f>
        <v>x</v>
      </c>
      <c r="S580" s="649" t="str">
        <f>'Q100a-geral'!S1697</f>
        <v>só para pesquisa</v>
      </c>
      <c r="T580" s="84" t="str">
        <f>'Q100a-geral'!T1697</f>
        <v>x</v>
      </c>
      <c r="U580" s="84" t="str">
        <f>'Q100a-geral'!U1697</f>
        <v>x</v>
      </c>
      <c r="V580" s="107" t="str">
        <f>'Q100a-geral'!V1697</f>
        <v>só para pesquisa</v>
      </c>
      <c r="W580" s="84" t="str">
        <f>'Q100a-geral'!W1697</f>
        <v>x</v>
      </c>
      <c r="X580" s="84" t="str">
        <f>'Q100a-geral'!X1697</f>
        <v>x</v>
      </c>
      <c r="Y580" s="84" t="str">
        <f>'Q100a-geral'!Y1697</f>
        <v>x</v>
      </c>
      <c r="Z580" s="64">
        <f>'Q100a-geral'!Z1697</f>
        <v>10.562784681041627</v>
      </c>
      <c r="AA580" s="64">
        <f>'Q100a-geral'!AA1697</f>
        <v>8.8189246474458152</v>
      </c>
      <c r="AB580" s="64">
        <f>'Q100a-geral'!AB1697</f>
        <v>8.5150979236261204</v>
      </c>
      <c r="AC580" s="64">
        <f>'Q100a-geral'!AC1697</f>
        <v>7.4573846236764618</v>
      </c>
      <c r="AD580" s="64">
        <f>'Q100a-geral'!AD1697</f>
        <v>3.260303144973308</v>
      </c>
      <c r="AE580" s="64">
        <f>'Q100a-geral'!AE1697</f>
        <v>4.9011371785677698</v>
      </c>
      <c r="AF580" s="64">
        <f>'Q100a-geral'!AF1697</f>
        <v>3.7376696305336083</v>
      </c>
      <c r="AG580" s="64">
        <f>'Q100a-geral'!AG1697</f>
        <v>2.6226252128697465</v>
      </c>
      <c r="AH580" s="64">
        <f>'Q100a-geral'!AH1697</f>
        <v>2.6138847701406789</v>
      </c>
      <c r="AI580" s="64">
        <f>'Q100a-geral'!AI1697</f>
        <v>2.2649268485567418</v>
      </c>
      <c r="AJ580" s="329">
        <f>'Q100a-geral'!AJ1697</f>
        <v>2.328124664949164</v>
      </c>
      <c r="AK580" s="137" t="str">
        <f>'Q100a-geral'!AK1697</f>
        <v>x</v>
      </c>
      <c r="AL580" s="212" t="str">
        <f>'Q100a-geral'!AL1697</f>
        <v>x</v>
      </c>
      <c r="AM580" s="137" t="str">
        <f>'Q100a-geral'!AM1697</f>
        <v>x</v>
      </c>
      <c r="AN580" s="137" t="str">
        <f>'Q100a-geral'!AN1697</f>
        <v>x</v>
      </c>
      <c r="AO580" s="137" t="str">
        <f>'Q100a-geral'!AO1697</f>
        <v>x</v>
      </c>
      <c r="AP580" s="137" t="str">
        <f>'Q100a-geral'!AP1697</f>
        <v>x</v>
      </c>
      <c r="AQ580" s="137" t="str">
        <f>'Q100a-geral'!AQ1697</f>
        <v>x</v>
      </c>
      <c r="AR580" s="137"/>
      <c r="AS580" s="137"/>
      <c r="AT580" s="137"/>
      <c r="AU580" s="137"/>
      <c r="AV580" s="137" t="str">
        <f>'Q100a-geral'!AV1697</f>
        <v>x</v>
      </c>
      <c r="AW580" s="137"/>
      <c r="AX580" s="137"/>
      <c r="AY580" s="137"/>
      <c r="AZ580" s="137"/>
      <c r="BA580" s="137" t="str">
        <f>'Q100a-geral'!BA1697</f>
        <v>x</v>
      </c>
      <c r="BB580" s="239" t="str">
        <f>'Q100a-geral'!BB1697</f>
        <v>Acidentes de trânsitox</v>
      </c>
      <c r="BC580" s="239" t="str">
        <f>'Q100a-geral'!BC1697</f>
        <v>Acidentes de trânsitoxx</v>
      </c>
      <c r="BD580" s="239" t="str">
        <f>'Q100a-geral'!BD1697</f>
        <v>Acidentes de trânsitox</v>
      </c>
    </row>
    <row r="581" spans="1:67" s="4" customFormat="1" ht="25.5" customHeight="1" x14ac:dyDescent="0.25">
      <c r="A581" s="275" t="str">
        <f>'Q100a-geral'!A1698</f>
        <v>9.1</v>
      </c>
      <c r="B581" s="11" t="str">
        <f>'Q100a-geral'!B1698</f>
        <v>Acidentes de trânsito</v>
      </c>
      <c r="C581" s="57" t="str">
        <f>'Q100a-geral'!C1698</f>
        <v>x</v>
      </c>
      <c r="D581" s="36" t="str">
        <f>'Q100a-geral'!D1698</f>
        <v>NFb por 100 mil habit.</v>
      </c>
      <c r="E581" s="464" t="str">
        <f>'Q100a-geral'!E1698</f>
        <v>Belo Horizonte</v>
      </c>
      <c r="F581" s="447" t="str">
        <f>'Q100a-geral'!F1698</f>
        <v>n.º de vítimas não fatais em acidentes de trânsito com bicicleta por 100 mil habitantes</v>
      </c>
      <c r="G581" s="163" t="str">
        <f>'Q100a-geral'!G1698</f>
        <v>(NFb/P) x 100.000</v>
      </c>
      <c r="H581" s="173" t="str">
        <f>'Q100a-geral'!H1698</f>
        <v>x</v>
      </c>
      <c r="I581" s="57">
        <f>'Q100a-geral'!I1698</f>
        <v>1</v>
      </c>
      <c r="J581" s="107" t="str">
        <f>'Q100a-geral'!J1698</f>
        <v>x</v>
      </c>
      <c r="K581" s="84" t="str">
        <f>'Q100a-geral'!K1698</f>
        <v>x</v>
      </c>
      <c r="L581" s="84" t="str">
        <f>'Q100a-geral'!L1698</f>
        <v>x</v>
      </c>
      <c r="M581" s="84" t="str">
        <f>'Q100a-geral'!M1698</f>
        <v>x</v>
      </c>
      <c r="N581" s="84" t="str">
        <f>'Q100a-geral'!N1698</f>
        <v>x</v>
      </c>
      <c r="O581" s="84" t="str">
        <f>'Q100a-geral'!O1698</f>
        <v>x</v>
      </c>
      <c r="P581" s="84" t="str">
        <f>'Q100a-geral'!P1698</f>
        <v>x</v>
      </c>
      <c r="Q581" s="84" t="str">
        <f>'Q100a-geral'!Q1698</f>
        <v>x</v>
      </c>
      <c r="R581" s="84" t="str">
        <f>'Q100a-geral'!R1698</f>
        <v>x</v>
      </c>
      <c r="S581" s="649" t="str">
        <f>'Q100a-geral'!S1698</f>
        <v>só para pesquisa</v>
      </c>
      <c r="T581" s="84" t="str">
        <f>'Q100a-geral'!T1698</f>
        <v>x</v>
      </c>
      <c r="U581" s="84" t="str">
        <f>'Q100a-geral'!U1698</f>
        <v>x</v>
      </c>
      <c r="V581" s="107" t="str">
        <f>'Q100a-geral'!V1698</f>
        <v>só para pesquisa</v>
      </c>
      <c r="W581" s="84" t="str">
        <f>'Q100a-geral'!W1698</f>
        <v>x</v>
      </c>
      <c r="X581" s="84" t="str">
        <f>'Q100a-geral'!X1698</f>
        <v>x</v>
      </c>
      <c r="Y581" s="84" t="str">
        <f>'Q100a-geral'!Y1698</f>
        <v>x</v>
      </c>
      <c r="Z581" s="64">
        <f>'Q100a-geral'!Z1698</f>
        <v>36.927307658927816</v>
      </c>
      <c r="AA581" s="64">
        <f>'Q100a-geral'!AA1698</f>
        <v>32.037667203153752</v>
      </c>
      <c r="AB581" s="64">
        <f>'Q100a-geral'!AB1698</f>
        <v>33.042768092269739</v>
      </c>
      <c r="AC581" s="64">
        <f>'Q100a-geral'!AC1698</f>
        <v>31.538328601202601</v>
      </c>
      <c r="AD581" s="64">
        <f>'Q100a-geral'!AD1698</f>
        <v>14.827642010611827</v>
      </c>
      <c r="AE581" s="64">
        <f>'Q100a-geral'!AE1698</f>
        <v>24.382119181266379</v>
      </c>
      <c r="AF581" s="64">
        <f>'Q100a-geral'!AF1698</f>
        <v>20.967087987247968</v>
      </c>
      <c r="AG581" s="64">
        <f>'Q100a-geral'!AG1698</f>
        <v>15.719052329773143</v>
      </c>
      <c r="AH581" s="64">
        <f>'Q100a-geral'!AH1698</f>
        <v>16.445549162383102</v>
      </c>
      <c r="AI581" s="64">
        <f>'Q100a-geral'!AI1698</f>
        <v>14.440345842249306</v>
      </c>
      <c r="AJ581" s="329">
        <f>'Q100a-geral'!AJ1698</f>
        <v>15.254250215466286</v>
      </c>
      <c r="AK581" s="137" t="str">
        <f>'Q100a-geral'!AK1698</f>
        <v>x</v>
      </c>
      <c r="AL581" s="212" t="str">
        <f>'Q100a-geral'!AL1698</f>
        <v>x</v>
      </c>
      <c r="AM581" s="137" t="str">
        <f>'Q100a-geral'!AM1698</f>
        <v>x</v>
      </c>
      <c r="AN581" s="137" t="str">
        <f>'Q100a-geral'!AN1698</f>
        <v>x</v>
      </c>
      <c r="AO581" s="137" t="str">
        <f>'Q100a-geral'!AO1698</f>
        <v>x</v>
      </c>
      <c r="AP581" s="137" t="str">
        <f>'Q100a-geral'!AP1698</f>
        <v>x</v>
      </c>
      <c r="AQ581" s="137" t="str">
        <f>'Q100a-geral'!AQ1698</f>
        <v>x</v>
      </c>
      <c r="AR581" s="137"/>
      <c r="AS581" s="137"/>
      <c r="AT581" s="137"/>
      <c r="AU581" s="137"/>
      <c r="AV581" s="137" t="str">
        <f>'Q100a-geral'!AV1698</f>
        <v>x</v>
      </c>
      <c r="AW581" s="137"/>
      <c r="AX581" s="137"/>
      <c r="AY581" s="137"/>
      <c r="AZ581" s="137"/>
      <c r="BA581" s="137" t="str">
        <f>'Q100a-geral'!BA1698</f>
        <v>x</v>
      </c>
      <c r="BB581" s="239" t="str">
        <f>'Q100a-geral'!BB1698</f>
        <v>Acidentes de trânsitox</v>
      </c>
      <c r="BC581" s="239" t="str">
        <f>'Q100a-geral'!BC1698</f>
        <v>Acidentes de trânsitoxx</v>
      </c>
      <c r="BD581" s="239" t="str">
        <f>'Q100a-geral'!BD1698</f>
        <v>Acidentes de trânsitox</v>
      </c>
    </row>
    <row r="582" spans="1:67" s="4" customFormat="1" ht="25.5" customHeight="1" x14ac:dyDescent="0.25">
      <c r="A582" s="275" t="str">
        <f>'Q100a-geral'!A1699</f>
        <v>9.1</v>
      </c>
      <c r="B582" s="11" t="str">
        <f>'Q100a-geral'!B1699</f>
        <v>Acidentes de trânsito</v>
      </c>
      <c r="C582" s="57" t="str">
        <f>'Q100a-geral'!C1699</f>
        <v>x</v>
      </c>
      <c r="D582" s="36" t="str">
        <f>'Q100a-geral'!D1699</f>
        <v>NFb por mil Avb</v>
      </c>
      <c r="E582" s="464" t="str">
        <f>'Q100a-geral'!E1699</f>
        <v>Belo Horizonte</v>
      </c>
      <c r="F582" s="447" t="str">
        <f>'Q100a-geral'!F1699</f>
        <v>n.º de vítimas (ciclistas) não fatais por mil acidentes de trânsito com bicicleta</v>
      </c>
      <c r="G582" s="163" t="str">
        <f>'Q100a-geral'!G1699</f>
        <v>(NFb/AVb) x 1.000</v>
      </c>
      <c r="H582" s="173" t="str">
        <f>'Q100a-geral'!H1699</f>
        <v>x</v>
      </c>
      <c r="I582" s="57">
        <f>'Q100a-geral'!I1699</f>
        <v>1</v>
      </c>
      <c r="J582" s="107" t="str">
        <f>'Q100a-geral'!J1699</f>
        <v>x</v>
      </c>
      <c r="K582" s="84" t="str">
        <f>'Q100a-geral'!K1699</f>
        <v>x</v>
      </c>
      <c r="L582" s="84" t="str">
        <f>'Q100a-geral'!L1699</f>
        <v>x</v>
      </c>
      <c r="M582" s="84" t="str">
        <f>'Q100a-geral'!M1699</f>
        <v>x</v>
      </c>
      <c r="N582" s="84" t="str">
        <f>'Q100a-geral'!N1699</f>
        <v>x</v>
      </c>
      <c r="O582" s="84" t="str">
        <f>'Q100a-geral'!O1699</f>
        <v>x</v>
      </c>
      <c r="P582" s="84" t="str">
        <f>'Q100a-geral'!P1699</f>
        <v>x</v>
      </c>
      <c r="Q582" s="84" t="str">
        <f>'Q100a-geral'!Q1699</f>
        <v>x</v>
      </c>
      <c r="R582" s="84" t="str">
        <f>'Q100a-geral'!R1699</f>
        <v>x</v>
      </c>
      <c r="S582" s="649" t="str">
        <f>'Q100a-geral'!S1699</f>
        <v>só para pesquisa</v>
      </c>
      <c r="T582" s="84" t="str">
        <f>'Q100a-geral'!T1699</f>
        <v>x</v>
      </c>
      <c r="U582" s="84" t="str">
        <f>'Q100a-geral'!U1699</f>
        <v>x</v>
      </c>
      <c r="V582" s="107" t="str">
        <f>'Q100a-geral'!V1699</f>
        <v>só para pesquisa</v>
      </c>
      <c r="W582" s="84" t="str">
        <f>'Q100a-geral'!W1699</f>
        <v>x</v>
      </c>
      <c r="X582" s="84" t="str">
        <f>'Q100a-geral'!X1699</f>
        <v>x</v>
      </c>
      <c r="Y582" s="84" t="str">
        <f>'Q100a-geral'!Y1699</f>
        <v>x</v>
      </c>
      <c r="Z582" s="72">
        <f>'Q100a-geral'!Z1699</f>
        <v>897.62150982419848</v>
      </c>
      <c r="AA582" s="72">
        <f>'Q100a-geral'!AA1699</f>
        <v>938.34771886559793</v>
      </c>
      <c r="AB582" s="72">
        <f>'Q100a-geral'!AB1699</f>
        <v>948.56459330143537</v>
      </c>
      <c r="AC582" s="72">
        <f>'Q100a-geral'!AC1699</f>
        <v>938.34771886559793</v>
      </c>
      <c r="AD582" s="72">
        <f>'Q100a-geral'!AD1699</f>
        <v>947.50656167979002</v>
      </c>
      <c r="AE582" s="72">
        <f>'Q100a-geral'!AE1699</f>
        <v>940.25157232704407</v>
      </c>
      <c r="AF582" s="72">
        <f>'Q100a-geral'!AF1699</f>
        <v>950.38167938931292</v>
      </c>
      <c r="AG582" s="72">
        <f>'Q100a-geral'!AG1699</f>
        <v>919.11764705882354</v>
      </c>
      <c r="AH582" s="72">
        <f>'Q100a-geral'!AH1699</f>
        <v>965.68627450980398</v>
      </c>
      <c r="AI582" s="72">
        <f>'Q100a-geral'!AI1699</f>
        <v>952.12765957446811</v>
      </c>
      <c r="AJ582" s="330" t="str">
        <f>'Q100a-geral'!AJ1699</f>
        <v>em apuração</v>
      </c>
      <c r="AK582" s="137" t="str">
        <f>'Q100a-geral'!AK1699</f>
        <v>x</v>
      </c>
      <c r="AL582" s="212" t="str">
        <f>'Q100a-geral'!AL1699</f>
        <v>x</v>
      </c>
      <c r="AM582" s="137" t="str">
        <f>'Q100a-geral'!AM1699</f>
        <v>x</v>
      </c>
      <c r="AN582" s="137" t="str">
        <f>'Q100a-geral'!AN1699</f>
        <v>x</v>
      </c>
      <c r="AO582" s="137" t="str">
        <f>'Q100a-geral'!AO1699</f>
        <v>x</v>
      </c>
      <c r="AP582" s="137" t="str">
        <f>'Q100a-geral'!AP1699</f>
        <v>x</v>
      </c>
      <c r="AQ582" s="137" t="str">
        <f>'Q100a-geral'!AQ1699</f>
        <v>x</v>
      </c>
      <c r="AR582" s="137"/>
      <c r="AS582" s="137"/>
      <c r="AT582" s="137"/>
      <c r="AU582" s="137"/>
      <c r="AV582" s="137" t="str">
        <f>'Q100a-geral'!AV1699</f>
        <v>x</v>
      </c>
      <c r="AW582" s="137"/>
      <c r="AX582" s="137"/>
      <c r="AY582" s="137"/>
      <c r="AZ582" s="137"/>
      <c r="BA582" s="137" t="str">
        <f>'Q100a-geral'!BA1699</f>
        <v>x</v>
      </c>
      <c r="BB582" s="239" t="str">
        <f>'Q100a-geral'!BB1699</f>
        <v>Acidentes de trânsitox</v>
      </c>
      <c r="BC582" s="239" t="str">
        <f>'Q100a-geral'!BC1699</f>
        <v>Acidentes de trânsitoxx</v>
      </c>
      <c r="BD582" s="239" t="str">
        <f>'Q100a-geral'!BD1699</f>
        <v>Acidentes de trânsitox</v>
      </c>
    </row>
    <row r="583" spans="1:67" s="4" customFormat="1" ht="63.75" customHeight="1" x14ac:dyDescent="0.25">
      <c r="A583" s="275" t="str">
        <f>'Q100a-geral'!A1700</f>
        <v>9.1</v>
      </c>
      <c r="B583" s="11" t="str">
        <f>'Q100a-geral'!B1700</f>
        <v>Acidentes de trânsito</v>
      </c>
      <c r="C583" s="57" t="str">
        <f>'Q100a-geral'!C1700</f>
        <v>x</v>
      </c>
      <c r="D583" s="322" t="str">
        <f>'Q100a-geral'!D1700</f>
        <v>NI</v>
      </c>
      <c r="E583" s="11" t="str">
        <f>'Q100a-geral'!E1700</f>
        <v>Belo Horizonte</v>
      </c>
      <c r="F583" s="447" t="str">
        <f>'Q100a-geral'!F1700</f>
        <v>n.º de vítimas com fatalidade não informada em acidentes de trânsito 
obs.1: não disponível nos relatórios anuais de acidentes de trânsito da BHTrans, esse valor é obtido indiretamente (veja fórmula)
obs.2: é necessário apurar a descrição para melhor informar como a BHTrans apura os resultados desse indicador</v>
      </c>
      <c r="G583" s="151" t="str">
        <f>'Q100a-geral'!G1700</f>
        <v>NI=V-N-NF</v>
      </c>
      <c r="H583" s="173" t="str">
        <f>'Q100a-geral'!H1700</f>
        <v>x</v>
      </c>
      <c r="I583" s="57">
        <f>'Q100a-geral'!I1700</f>
        <v>1</v>
      </c>
      <c r="J583" s="107" t="str">
        <f>'Q100a-geral'!J1700</f>
        <v>x</v>
      </c>
      <c r="K583" s="20">
        <f>'Q100a-geral'!K1700</f>
        <v>0</v>
      </c>
      <c r="L583" s="20">
        <f>'Q100a-geral'!L1700</f>
        <v>0</v>
      </c>
      <c r="M583" s="20">
        <f>'Q100a-geral'!M1700</f>
        <v>0</v>
      </c>
      <c r="N583" s="20">
        <f>'Q100a-geral'!N1700</f>
        <v>0</v>
      </c>
      <c r="O583" s="20">
        <f>'Q100a-geral'!O1700</f>
        <v>0</v>
      </c>
      <c r="P583" s="20">
        <f>'Q100a-geral'!P1700</f>
        <v>0</v>
      </c>
      <c r="Q583" s="20">
        <f>'Q100a-geral'!Q1700</f>
        <v>0</v>
      </c>
      <c r="R583" s="20">
        <f>'Q100a-geral'!R1700</f>
        <v>0</v>
      </c>
      <c r="S583" s="649" t="str">
        <f>'Q100a-geral'!S1700</f>
        <v>só para pesquisa</v>
      </c>
      <c r="T583" s="20">
        <f>'Q100a-geral'!T1700</f>
        <v>0</v>
      </c>
      <c r="U583" s="20">
        <f>'Q100a-geral'!U1700</f>
        <v>0</v>
      </c>
      <c r="V583" s="107" t="str">
        <f>'Q100a-geral'!V1700</f>
        <v>só para pesquisa</v>
      </c>
      <c r="W583" s="20">
        <f>'Q100a-geral'!W1700</f>
        <v>0</v>
      </c>
      <c r="X583" s="20">
        <f>'Q100a-geral'!X1700</f>
        <v>0</v>
      </c>
      <c r="Y583" s="20">
        <f>'Q100a-geral'!Y1700</f>
        <v>16</v>
      </c>
      <c r="Z583" s="20">
        <f>'Q100a-geral'!Z1700</f>
        <v>815</v>
      </c>
      <c r="AA583" s="20">
        <f>'Q100a-geral'!AA1700</f>
        <v>628</v>
      </c>
      <c r="AB583" s="20">
        <f>'Q100a-geral'!AB1700</f>
        <v>579</v>
      </c>
      <c r="AC583" s="20">
        <f>'Q100a-geral'!AC1700</f>
        <v>746</v>
      </c>
      <c r="AD583" s="20">
        <f>'Q100a-geral'!AD1700</f>
        <v>851</v>
      </c>
      <c r="AE583" s="20">
        <f>'Q100a-geral'!AE1700</f>
        <v>1071</v>
      </c>
      <c r="AF583" s="20">
        <f>'Q100a-geral'!AF1700</f>
        <v>1030</v>
      </c>
      <c r="AG583" s="20">
        <f>'Q100a-geral'!AG1700</f>
        <v>1447</v>
      </c>
      <c r="AH583" s="20">
        <f>'Q100a-geral'!AH1700</f>
        <v>1471</v>
      </c>
      <c r="AI583" s="20">
        <f>'Q100a-geral'!AI1700</f>
        <v>2182</v>
      </c>
      <c r="AJ583" s="330">
        <f>'Q100a-geral'!AJ1700</f>
        <v>2280</v>
      </c>
      <c r="AK583" s="137" t="str">
        <f>'Q100a-geral'!AK1700</f>
        <v>x</v>
      </c>
      <c r="AL583" s="212" t="str">
        <f>'Q100a-geral'!AL1700</f>
        <v>x</v>
      </c>
      <c r="AM583" s="137" t="str">
        <f>'Q100a-geral'!AM1700</f>
        <v>x</v>
      </c>
      <c r="AN583" s="137" t="str">
        <f>'Q100a-geral'!AN1700</f>
        <v>x</v>
      </c>
      <c r="AO583" s="137" t="str">
        <f>'Q100a-geral'!AO1700</f>
        <v>x</v>
      </c>
      <c r="AP583" s="137" t="str">
        <f>'Q100a-geral'!AP1700</f>
        <v>x</v>
      </c>
      <c r="AQ583" s="137" t="str">
        <f>'Q100a-geral'!AQ1700</f>
        <v>x</v>
      </c>
      <c r="AR583" s="137"/>
      <c r="AS583" s="137"/>
      <c r="AT583" s="137"/>
      <c r="AU583" s="137"/>
      <c r="AV583" s="137" t="str">
        <f>'Q100a-geral'!AV1700</f>
        <v>x</v>
      </c>
      <c r="AW583" s="137"/>
      <c r="AX583" s="137"/>
      <c r="AY583" s="137"/>
      <c r="AZ583" s="137"/>
      <c r="BA583" s="137" t="str">
        <f>'Q100a-geral'!BA1700</f>
        <v>x</v>
      </c>
      <c r="BB583" s="239" t="str">
        <f>'Q100a-geral'!BB1700</f>
        <v>Acidentes de trânsitox</v>
      </c>
      <c r="BC583" s="239" t="str">
        <f>'Q100a-geral'!BC1700</f>
        <v>Acidentes de trânsitoxx</v>
      </c>
      <c r="BD583" s="239" t="str">
        <f>'Q100a-geral'!BD1700</f>
        <v>Acidentes de trânsitox</v>
      </c>
    </row>
    <row r="584" spans="1:67" s="4" customFormat="1" ht="51" customHeight="1" x14ac:dyDescent="0.25">
      <c r="A584" s="275" t="str">
        <f>'Q100a-geral'!A1701</f>
        <v>9.1</v>
      </c>
      <c r="B584" s="11" t="str">
        <f>'Q100a-geral'!B1701</f>
        <v>Acidentes de trânsito</v>
      </c>
      <c r="C584" s="57" t="str">
        <f>'Q100a-geral'!C1701</f>
        <v>x</v>
      </c>
      <c r="D584" s="322" t="str">
        <f>'Q100a-geral'!D1701</f>
        <v>NIb</v>
      </c>
      <c r="E584" s="11" t="str">
        <f>'Q100a-geral'!E1701</f>
        <v>Belo Horizonte</v>
      </c>
      <c r="F584" s="447" t="str">
        <f>'Q100a-geral'!F1701</f>
        <v>n.º de vítimas com fatalidade não informada em acidentes de trânsito com bicicleta (BHTRANS, 2014e; 2015i, p.20,22)</v>
      </c>
      <c r="G584" s="151" t="str">
        <f>'Q100a-geral'!G1701</f>
        <v>registro na fonte</v>
      </c>
      <c r="H584" s="173" t="str">
        <f>'Q100a-geral'!H1701</f>
        <v>x</v>
      </c>
      <c r="I584" s="57">
        <f>'Q100a-geral'!I1701</f>
        <v>1</v>
      </c>
      <c r="J584" s="107" t="str">
        <f>'Q100a-geral'!J1701</f>
        <v>x</v>
      </c>
      <c r="K584" s="58" t="str">
        <f>'Q100a-geral'!K1701</f>
        <v>x</v>
      </c>
      <c r="L584" s="58" t="str">
        <f>'Q100a-geral'!L1701</f>
        <v>x</v>
      </c>
      <c r="M584" s="58" t="str">
        <f>'Q100a-geral'!M1701</f>
        <v>x</v>
      </c>
      <c r="N584" s="58" t="str">
        <f>'Q100a-geral'!N1701</f>
        <v>x</v>
      </c>
      <c r="O584" s="58" t="str">
        <f>'Q100a-geral'!O1701</f>
        <v>x</v>
      </c>
      <c r="P584" s="58" t="str">
        <f>'Q100a-geral'!P1701</f>
        <v>x</v>
      </c>
      <c r="Q584" s="58" t="str">
        <f>'Q100a-geral'!Q1701</f>
        <v>x</v>
      </c>
      <c r="R584" s="58" t="str">
        <f>'Q100a-geral'!R1701</f>
        <v>x</v>
      </c>
      <c r="S584" s="649" t="str">
        <f>'Q100a-geral'!S1701</f>
        <v>só para pesquisa</v>
      </c>
      <c r="T584" s="58" t="str">
        <f>'Q100a-geral'!T1701</f>
        <v>x</v>
      </c>
      <c r="U584" s="58" t="str">
        <f>'Q100a-geral'!U1701</f>
        <v>x</v>
      </c>
      <c r="V584" s="107" t="str">
        <f>'Q100a-geral'!V1701</f>
        <v>só para pesquisa</v>
      </c>
      <c r="W584" s="58" t="str">
        <f>'Q100a-geral'!W1701</f>
        <v>x</v>
      </c>
      <c r="X584" s="58" t="str">
        <f>'Q100a-geral'!X1701</f>
        <v>x</v>
      </c>
      <c r="Y584" s="58" t="str">
        <f>'Q100a-geral'!Y1701</f>
        <v>x</v>
      </c>
      <c r="Z584" s="23">
        <f>'Q100a-geral'!Z1701</f>
        <v>313</v>
      </c>
      <c r="AA584" s="23">
        <f>'Q100a-geral'!AA1701</f>
        <v>218</v>
      </c>
      <c r="AB584" s="23">
        <f>'Q100a-geral'!AB1701</f>
        <v>195</v>
      </c>
      <c r="AC584" s="23">
        <f>'Q100a-geral'!AC1701</f>
        <v>250</v>
      </c>
      <c r="AD584" s="23">
        <f>'Q100a-geral'!AD1701</f>
        <v>114</v>
      </c>
      <c r="AE584" s="23">
        <f>'Q100a-geral'!AE1701</f>
        <v>187</v>
      </c>
      <c r="AF584" s="23">
        <f>'Q100a-geral'!AF1701</f>
        <v>157</v>
      </c>
      <c r="AG584" s="23">
        <f>'Q100a-geral'!AG1701</f>
        <v>152</v>
      </c>
      <c r="AH584" s="23">
        <f>'Q100a-geral'!AH1701</f>
        <v>130</v>
      </c>
      <c r="AI584" s="23">
        <f>'Q100a-geral'!AI1701</f>
        <v>134</v>
      </c>
      <c r="AJ584" s="330" t="str">
        <f>'Q100a-geral'!AJ1701</f>
        <v>em apuração</v>
      </c>
      <c r="AK584" s="137" t="str">
        <f>'Q100a-geral'!AK1701</f>
        <v>x</v>
      </c>
      <c r="AL584" s="212" t="str">
        <f>'Q100a-geral'!AL1701</f>
        <v>x</v>
      </c>
      <c r="AM584" s="137" t="str">
        <f>'Q100a-geral'!AM1701</f>
        <v>x</v>
      </c>
      <c r="AN584" s="137" t="str">
        <f>'Q100a-geral'!AN1701</f>
        <v>x</v>
      </c>
      <c r="AO584" s="137" t="str">
        <f>'Q100a-geral'!AO1701</f>
        <v>x</v>
      </c>
      <c r="AP584" s="137" t="str">
        <f>'Q100a-geral'!AP1701</f>
        <v>x</v>
      </c>
      <c r="AQ584" s="137" t="str">
        <f>'Q100a-geral'!AQ1701</f>
        <v>x</v>
      </c>
      <c r="AR584" s="137"/>
      <c r="AS584" s="137"/>
      <c r="AT584" s="137"/>
      <c r="AU584" s="137"/>
      <c r="AV584" s="137" t="str">
        <f>'Q100a-geral'!AV1701</f>
        <v>x</v>
      </c>
      <c r="AW584" s="137"/>
      <c r="AX584" s="137"/>
      <c r="AY584" s="137"/>
      <c r="AZ584" s="137"/>
      <c r="BA584" s="137" t="str">
        <f>'Q100a-geral'!BA1701</f>
        <v>x</v>
      </c>
      <c r="BB584" s="239" t="str">
        <f>'Q100a-geral'!BB1701</f>
        <v>Acidentes de trânsitox</v>
      </c>
      <c r="BC584" s="239" t="str">
        <f>'Q100a-geral'!BC1701</f>
        <v>Acidentes de trânsitoxx</v>
      </c>
      <c r="BD584" s="239" t="str">
        <f>'Q100a-geral'!BD1701</f>
        <v>Acidentes de trânsitox</v>
      </c>
    </row>
    <row r="585" spans="1:67" s="4" customFormat="1" ht="56.25" x14ac:dyDescent="0.25">
      <c r="A585" s="275" t="str">
        <f>'Q100a-geral'!A1705</f>
        <v>8.5</v>
      </c>
      <c r="B585" s="54" t="str">
        <f>'Q100a-geral'!B1705</f>
        <v>Transporte convencional</v>
      </c>
      <c r="C585" s="230" t="str">
        <f>'Q100a-geral'!C1705</f>
        <v>x</v>
      </c>
      <c r="D585" s="37" t="str">
        <f>'Q100a-geral'!D1705</f>
        <v>NL tcc</v>
      </c>
      <c r="E585" s="245" t="str">
        <f>'Q100a-geral'!E1705</f>
        <v>Belo Horizonte</v>
      </c>
      <c r="F585" s="632" t="str">
        <f>'Q100a-geral'!F1705</f>
        <v>n.º de linhas em operação do transporte coletivo convencional
obs.1: mês de dezembro tomado como referência anual com resultado de 1999 conforme BHTRANS(2000a, p.35); de 2001 a 2005 conforme BHTRANS(2006a, p.6); de 2006 a 2007 conforme BHTRANS(2011b); de 2008 a 2012 conforme BHTRANS (2013e)
obs.2: há divergências de resultados para 2009 com 298 em BHTRANS(2011b) e 312 em BHTRANS(2013e)</v>
      </c>
      <c r="G585" s="252" t="str">
        <f>'Q100a-geral'!G1705</f>
        <v>registro na fonte</v>
      </c>
      <c r="H585" s="173" t="str">
        <f>'Q100a-geral'!H1705</f>
        <v>x</v>
      </c>
      <c r="I585" s="167">
        <f>'Q100a-geral'!I1705</f>
        <v>1</v>
      </c>
      <c r="J585" s="107" t="str">
        <f>'Q100a-geral'!J1705</f>
        <v>x</v>
      </c>
      <c r="K585" s="107" t="str">
        <f>'Q100a-geral'!K1705</f>
        <v>x</v>
      </c>
      <c r="L585" s="107" t="str">
        <f>'Q100a-geral'!L1705</f>
        <v>x</v>
      </c>
      <c r="M585" s="84">
        <f>'Q100a-geral'!M1705</f>
        <v>191</v>
      </c>
      <c r="N585" s="84">
        <f>'Q100a-geral'!N1705</f>
        <v>227</v>
      </c>
      <c r="O585" s="84" t="str">
        <f>'Q100a-geral'!O1705</f>
        <v>ainda não encontrado</v>
      </c>
      <c r="P585" s="84" t="str">
        <f>'Q100a-geral'!P1705</f>
        <v>ainda não encontrado</v>
      </c>
      <c r="Q585" s="84" t="str">
        <f>'Q100a-geral'!Q1705</f>
        <v>ainda não encontrado</v>
      </c>
      <c r="R585" s="84" t="str">
        <f>'Q100a-geral'!R1705</f>
        <v>ainda não encontrado</v>
      </c>
      <c r="S585" s="649" t="str">
        <f>'Q100a-geral'!S1705</f>
        <v>só para pesquisa</v>
      </c>
      <c r="T585" s="84">
        <f>'Q100a-geral'!T1705</f>
        <v>286</v>
      </c>
      <c r="U585" s="84" t="str">
        <f>'Q100a-geral'!U1705</f>
        <v>ainda não encontrado</v>
      </c>
      <c r="V585" s="107" t="str">
        <f>'Q100a-geral'!V1705</f>
        <v>só para pesquisa</v>
      </c>
      <c r="W585" s="84">
        <f>'Q100a-geral'!W1705</f>
        <v>283</v>
      </c>
      <c r="X585" s="84">
        <f>'Q100a-geral'!X1705</f>
        <v>294</v>
      </c>
      <c r="Y585" s="84">
        <f>'Q100a-geral'!Y1705</f>
        <v>272</v>
      </c>
      <c r="Z585" s="84">
        <f>'Q100a-geral'!Z1705</f>
        <v>266</v>
      </c>
      <c r="AA585" s="84">
        <f>'Q100a-geral'!AA1705</f>
        <v>265</v>
      </c>
      <c r="AB585" s="84">
        <f>'Q100a-geral'!AB1705</f>
        <v>263</v>
      </c>
      <c r="AC585" s="84">
        <f>'Q100a-geral'!AC1705</f>
        <v>273</v>
      </c>
      <c r="AD585" s="84">
        <f>'Q100a-geral'!AD1705</f>
        <v>268</v>
      </c>
      <c r="AE585" s="84">
        <f>'Q100a-geral'!AE1705</f>
        <v>312</v>
      </c>
      <c r="AF585" s="84">
        <f>'Q100a-geral'!AF1705</f>
        <v>314</v>
      </c>
      <c r="AG585" s="84">
        <f>'Q100a-geral'!AG1705</f>
        <v>309</v>
      </c>
      <c r="AH585" s="84">
        <f>'Q100a-geral'!AH1705</f>
        <v>310</v>
      </c>
      <c r="AI585" s="743" t="str">
        <f>'Q100a-geral'!AI1705</f>
        <v>aguardando atualização da fonte</v>
      </c>
      <c r="AJ585" s="743" t="str">
        <f>'Q100a-geral'!AJ1705</f>
        <v>aguardando atualização da fonte</v>
      </c>
      <c r="AK585" s="137" t="str">
        <f>'Q100a-geral'!AK1705</f>
        <v>aguardando atualização da fonte</v>
      </c>
      <c r="AL585" s="167" t="str">
        <f>'Q100a-geral'!AL1705</f>
        <v>x</v>
      </c>
      <c r="AM585" s="137" t="str">
        <f>'Q100a-geral'!AM1705</f>
        <v>x</v>
      </c>
      <c r="AN585" s="137" t="str">
        <f>'Q100a-geral'!AN1705</f>
        <v>x</v>
      </c>
      <c r="AO585" s="137" t="str">
        <f>'Q100a-geral'!AO1705</f>
        <v>x</v>
      </c>
      <c r="AP585" s="137" t="str">
        <f>'Q100a-geral'!AP1705</f>
        <v>x</v>
      </c>
      <c r="AQ585" s="137" t="str">
        <f>'Q100a-geral'!AQ1705</f>
        <v>x</v>
      </c>
      <c r="AR585" s="137"/>
      <c r="AS585" s="137"/>
      <c r="AT585" s="137"/>
      <c r="AU585" s="137"/>
      <c r="AV585" s="137" t="str">
        <f>'Q100a-geral'!AV1705</f>
        <v>x</v>
      </c>
      <c r="AW585" s="137"/>
      <c r="AX585" s="137"/>
      <c r="AY585" s="137"/>
      <c r="AZ585" s="137"/>
      <c r="BA585" s="137" t="str">
        <f>'Q100a-geral'!BA1705</f>
        <v>x</v>
      </c>
      <c r="BB585" s="239" t="str">
        <f>'Q100a-geral'!BB1705</f>
        <v>Transporte convencionalx</v>
      </c>
      <c r="BC585" s="239" t="str">
        <f>'Q100a-geral'!BC1705</f>
        <v>Transporte convencionalxx</v>
      </c>
      <c r="BD585" s="239" t="str">
        <f>'Q100a-geral'!BD1705</f>
        <v>Transporte convencionalx</v>
      </c>
    </row>
    <row r="586" spans="1:67" s="1" customFormat="1" ht="63.75" customHeight="1" x14ac:dyDescent="0.25">
      <c r="A586" s="275" t="str">
        <f>'Q100a-geral'!A1706</f>
        <v>8.7</v>
      </c>
      <c r="B586" s="53" t="str">
        <f>'Q100a-geral'!B1706</f>
        <v>Transporte de baixa capacidade</v>
      </c>
      <c r="C586" s="229" t="str">
        <f>'Q100a-geral'!C1706</f>
        <v>x</v>
      </c>
      <c r="D586" s="9" t="str">
        <f>'Q100a-geral'!D1706</f>
        <v>NL tcs</v>
      </c>
      <c r="E586" s="5" t="str">
        <f>'Q100a-geral'!E1706</f>
        <v>Belo Horizonte</v>
      </c>
      <c r="F586" s="632" t="str">
        <f>'Q100a-geral'!F1706</f>
        <v>n.º de linhas do transporte suplementar
obs.1: o resultado de dezembro é aqui tomado como representativo do ano com resultado de 2005 conforme BHTRANS(2009a, p.44); de 2006-2012 conforme BHTRANS(2013h); de 2013 conforme BHTRANS(2014b); 2014 conforme BHTRANS(2015u); de 2015 conforme BHTRANS(2016p1)</v>
      </c>
      <c r="G586" s="252" t="str">
        <f>'Q100a-geral'!G1706</f>
        <v>registro na fonte</v>
      </c>
      <c r="H586" s="173" t="str">
        <f>'Q100a-geral'!H1706</f>
        <v>x</v>
      </c>
      <c r="I586" s="167">
        <f>'Q100a-geral'!I1706</f>
        <v>1</v>
      </c>
      <c r="J586" s="252" t="str">
        <f>'Q100a-geral'!J1706</f>
        <v>x</v>
      </c>
      <c r="K586" s="252" t="str">
        <f>'Q100a-geral'!K1706</f>
        <v>x</v>
      </c>
      <c r="L586" s="252" t="str">
        <f>'Q100a-geral'!L1706</f>
        <v>x</v>
      </c>
      <c r="M586" s="252" t="str">
        <f>'Q100a-geral'!M1706</f>
        <v>x</v>
      </c>
      <c r="N586" s="252" t="str">
        <f>'Q100a-geral'!N1706</f>
        <v>x</v>
      </c>
      <c r="O586" s="252" t="str">
        <f>'Q100a-geral'!O1706</f>
        <v>x</v>
      </c>
      <c r="P586" s="252" t="str">
        <f>'Q100a-geral'!P1706</f>
        <v>x</v>
      </c>
      <c r="Q586" s="252" t="str">
        <f>'Q100a-geral'!Q1706</f>
        <v>x</v>
      </c>
      <c r="R586" s="252" t="str">
        <f>'Q100a-geral'!R1706</f>
        <v>x</v>
      </c>
      <c r="S586" s="109" t="str">
        <f>'Q100a-geral'!S1706</f>
        <v>só para pesquisa</v>
      </c>
      <c r="T586" s="252" t="str">
        <f>'Q100a-geral'!T1706</f>
        <v>x</v>
      </c>
      <c r="U586" s="252" t="str">
        <f>'Q100a-geral'!U1706</f>
        <v>x</v>
      </c>
      <c r="V586" s="107" t="str">
        <f>'Q100a-geral'!V1706</f>
        <v>só para pesquisa</v>
      </c>
      <c r="W586" s="110" t="str">
        <f>'Q100a-geral'!W1706</f>
        <v>x</v>
      </c>
      <c r="X586" s="110" t="str">
        <f>'Q100a-geral'!X1706</f>
        <v>x</v>
      </c>
      <c r="Y586" s="110" t="str">
        <f>'Q100a-geral'!Y1706</f>
        <v>x</v>
      </c>
      <c r="Z586" s="110" t="str">
        <f>'Q100a-geral'!Z1706</f>
        <v>x</v>
      </c>
      <c r="AA586" s="110">
        <f>'Q100a-geral'!AA1706</f>
        <v>27</v>
      </c>
      <c r="AB586" s="88">
        <f>'Q100a-geral'!AB1706</f>
        <v>26</v>
      </c>
      <c r="AC586" s="88">
        <f>'Q100a-geral'!AC1706</f>
        <v>26</v>
      </c>
      <c r="AD586" s="88">
        <f>'Q100a-geral'!AD1706</f>
        <v>25</v>
      </c>
      <c r="AE586" s="88">
        <f>'Q100a-geral'!AE1706</f>
        <v>25</v>
      </c>
      <c r="AF586" s="88">
        <f>'Q100a-geral'!AF1706</f>
        <v>25</v>
      </c>
      <c r="AG586" s="88">
        <f>'Q100a-geral'!AG1706</f>
        <v>25</v>
      </c>
      <c r="AH586" s="88">
        <f>'Q100a-geral'!AH1706</f>
        <v>25</v>
      </c>
      <c r="AI586" s="94">
        <f>'Q100a-geral'!AI1706</f>
        <v>25</v>
      </c>
      <c r="AJ586" s="94">
        <f>'Q100a-geral'!AJ1706</f>
        <v>24</v>
      </c>
      <c r="AK586" s="137">
        <f>'Q100a-geral'!AK1706</f>
        <v>24</v>
      </c>
      <c r="AL586" s="215" t="str">
        <f>'Q100a-geral'!AL1706</f>
        <v>x</v>
      </c>
      <c r="AM586" s="137" t="str">
        <f>'Q100a-geral'!AM1706</f>
        <v>x</v>
      </c>
      <c r="AN586" s="137" t="str">
        <f>'Q100a-geral'!AN1706</f>
        <v>x</v>
      </c>
      <c r="AO586" s="137" t="str">
        <f>'Q100a-geral'!AO1706</f>
        <v>x</v>
      </c>
      <c r="AP586" s="137" t="str">
        <f>'Q100a-geral'!AP1706</f>
        <v>x</v>
      </c>
      <c r="AQ586" s="137" t="str">
        <f>'Q100a-geral'!AQ1706</f>
        <v>x</v>
      </c>
      <c r="AR586" s="137"/>
      <c r="AS586" s="137"/>
      <c r="AT586" s="137"/>
      <c r="AU586" s="137"/>
      <c r="AV586" s="137" t="str">
        <f>'Q100a-geral'!AV1706</f>
        <v>x</v>
      </c>
      <c r="AW586" s="137"/>
      <c r="AX586" s="137"/>
      <c r="AY586" s="137"/>
      <c r="AZ586" s="137"/>
      <c r="BA586" s="137" t="str">
        <f>'Q100a-geral'!BA1706</f>
        <v>x</v>
      </c>
      <c r="BB586" s="239" t="str">
        <f>'Q100a-geral'!BB1706</f>
        <v>Transporte de baixa capacidadex</v>
      </c>
      <c r="BC586" s="239" t="str">
        <f>'Q100a-geral'!BC1706</f>
        <v>Transporte de baixa capacidadexx</v>
      </c>
      <c r="BD586" s="239" t="str">
        <f>'Q100a-geral'!BD1706</f>
        <v>Transporte de baixa capacidadex</v>
      </c>
      <c r="BM586" s="193"/>
      <c r="BN586" s="193"/>
      <c r="BO586" s="193"/>
    </row>
    <row r="587" spans="1:67" s="4" customFormat="1" ht="39" x14ac:dyDescent="0.25">
      <c r="A587" s="275" t="str">
        <f>'Q100a-geral'!A1729</f>
        <v>8.5</v>
      </c>
      <c r="B587" s="54" t="str">
        <f>'Q100a-geral'!B1729</f>
        <v>Transporte convencional</v>
      </c>
      <c r="C587" s="230" t="str">
        <f>'Q100a-geral'!C1729</f>
        <v>x</v>
      </c>
      <c r="D587" s="37" t="str">
        <f>'Q100a-geral'!D1729</f>
        <v>NPG tcc(ano)</v>
      </c>
      <c r="E587" s="245" t="str">
        <f>'Q100a-geral'!E1729</f>
        <v>Belo Horizonte</v>
      </c>
      <c r="F587" s="632" t="str">
        <f>'Q100a-geral'!F1729</f>
        <v>n.º de passageiros transportados gratuitamente com utilização do cartão BHBus benefício do transporte coletivo convencional no ano
obs.: resultados de 2008 a 2010 e 2012 em BHTRANS (2013e)</v>
      </c>
      <c r="G587" s="252" t="str">
        <f>'Q100a-geral'!G1729</f>
        <v>registro na fonte
∑ NPG tcc (janeiro a dezembro)</v>
      </c>
      <c r="H587" s="173" t="str">
        <f>'Q100a-geral'!H1729</f>
        <v>x</v>
      </c>
      <c r="I587" s="167">
        <f>'Q100a-geral'!I1729</f>
        <v>1</v>
      </c>
      <c r="J587" s="107" t="str">
        <f>'Q100a-geral'!J1729</f>
        <v>x</v>
      </c>
      <c r="K587" s="107" t="str">
        <f>'Q100a-geral'!K1729</f>
        <v>x</v>
      </c>
      <c r="L587" s="107" t="str">
        <f>'Q100a-geral'!L1729</f>
        <v>x</v>
      </c>
      <c r="M587" s="84" t="str">
        <f>'Q100a-geral'!M1729</f>
        <v>x</v>
      </c>
      <c r="N587" s="84" t="str">
        <f>'Q100a-geral'!N1729</f>
        <v>x</v>
      </c>
      <c r="O587" s="84" t="str">
        <f>'Q100a-geral'!O1729</f>
        <v>x</v>
      </c>
      <c r="P587" s="84" t="str">
        <f>'Q100a-geral'!P1729</f>
        <v>x</v>
      </c>
      <c r="Q587" s="84" t="str">
        <f>'Q100a-geral'!Q1729</f>
        <v>x</v>
      </c>
      <c r="R587" s="84" t="str">
        <f>'Q100a-geral'!R1729</f>
        <v>x</v>
      </c>
      <c r="S587" s="649" t="str">
        <f>'Q100a-geral'!S1729</f>
        <v>só para pesquisa</v>
      </c>
      <c r="T587" s="84" t="str">
        <f>'Q100a-geral'!T1729</f>
        <v>x</v>
      </c>
      <c r="U587" s="84" t="str">
        <f>'Q100a-geral'!U1729</f>
        <v>x</v>
      </c>
      <c r="V587" s="107" t="str">
        <f>'Q100a-geral'!V1729</f>
        <v>só para pesquisa</v>
      </c>
      <c r="W587" s="84" t="str">
        <f>'Q100a-geral'!W1729</f>
        <v>x</v>
      </c>
      <c r="X587" s="84" t="str">
        <f>'Q100a-geral'!X1729</f>
        <v>x</v>
      </c>
      <c r="Y587" s="84" t="str">
        <f>'Q100a-geral'!Y1729</f>
        <v>x</v>
      </c>
      <c r="Z587" s="84" t="str">
        <f>'Q100a-geral'!Z1729</f>
        <v>x</v>
      </c>
      <c r="AA587" s="84" t="str">
        <f>'Q100a-geral'!AA1729</f>
        <v>x</v>
      </c>
      <c r="AB587" s="84" t="str">
        <f>'Q100a-geral'!AB1729</f>
        <v>x</v>
      </c>
      <c r="AC587" s="84" t="str">
        <f>'Q100a-geral'!AC1729</f>
        <v>x</v>
      </c>
      <c r="AD587" s="87">
        <f>'Q100a-geral'!AD1729</f>
        <v>6924152</v>
      </c>
      <c r="AE587" s="87">
        <f>'Q100a-geral'!AE1729</f>
        <v>5916481</v>
      </c>
      <c r="AF587" s="87">
        <f>'Q100a-geral'!AF1729</f>
        <v>8146517</v>
      </c>
      <c r="AG587" s="87" t="str">
        <f>'Q100a-geral'!AG1729</f>
        <v>x</v>
      </c>
      <c r="AH587" s="87">
        <f>'Q100a-geral'!AH1729</f>
        <v>11310095</v>
      </c>
      <c r="AI587" s="743" t="str">
        <f>'Q100a-geral'!AI1729</f>
        <v>aguardando atualização da fonte</v>
      </c>
      <c r="AJ587" s="743" t="str">
        <f>'Q100a-geral'!AJ1729</f>
        <v>aguardando atualização da fonte</v>
      </c>
      <c r="AK587" s="137" t="str">
        <f>'Q100a-geral'!AK1729</f>
        <v>aguardando atualização da fonte</v>
      </c>
      <c r="AL587" s="167" t="str">
        <f>'Q100a-geral'!AL1729</f>
        <v>x</v>
      </c>
      <c r="AM587" s="137">
        <f>'Q100a-geral'!AM1729</f>
        <v>0</v>
      </c>
      <c r="AN587" s="137">
        <f>'Q100a-geral'!AN1729</f>
        <v>0</v>
      </c>
      <c r="AO587" s="137">
        <f>'Q100a-geral'!AO1729</f>
        <v>0</v>
      </c>
      <c r="AP587" s="137">
        <f>'Q100a-geral'!AP1729</f>
        <v>0</v>
      </c>
      <c r="AQ587" s="137">
        <f>'Q100a-geral'!AQ1729</f>
        <v>0</v>
      </c>
      <c r="AR587" s="137"/>
      <c r="AS587" s="137"/>
      <c r="AT587" s="137"/>
      <c r="AU587" s="137"/>
      <c r="AV587" s="137">
        <f>'Q100a-geral'!AV1729</f>
        <v>0</v>
      </c>
      <c r="AW587" s="137"/>
      <c r="AX587" s="137"/>
      <c r="AY587" s="137"/>
      <c r="AZ587" s="137"/>
      <c r="BA587" s="137">
        <f>'Q100a-geral'!BA1729</f>
        <v>0</v>
      </c>
      <c r="BB587" s="239" t="str">
        <f>'Q100a-geral'!BB1729</f>
        <v>Transporte convencionalx</v>
      </c>
      <c r="BC587" s="239" t="str">
        <f>'Q100a-geral'!BC1729</f>
        <v>Transporte convencionalxx</v>
      </c>
      <c r="BD587" s="239" t="str">
        <f>'Q100a-geral'!BD1729</f>
        <v>Transporte convencionalx</v>
      </c>
    </row>
    <row r="588" spans="1:67" s="1" customFormat="1" ht="47.25" customHeight="1" x14ac:dyDescent="0.25">
      <c r="A588" s="275" t="str">
        <f>'Q100a-geral'!A1730</f>
        <v>8.5</v>
      </c>
      <c r="B588" s="54" t="str">
        <f>'Q100a-geral'!B1730</f>
        <v>Transporte convencional</v>
      </c>
      <c r="C588" s="230" t="str">
        <f>'Q100a-geral'!C1730</f>
        <v>x</v>
      </c>
      <c r="D588" s="37" t="str">
        <f>'Q100a-geral'!D1730</f>
        <v>NPG tcc(mês)</v>
      </c>
      <c r="E588" s="245" t="str">
        <f>'Q100a-geral'!E1730</f>
        <v>Belo Horizonte</v>
      </c>
      <c r="F588" s="632" t="str">
        <f>'Q100a-geral'!F1730</f>
        <v>média mensal do n.º de passageiros transportados gratuitamente com utilização do cartão BHBus benefício do transporte coletivo convencional</v>
      </c>
      <c r="G588" s="252" t="str">
        <f>'Q100a-geral'!G1730</f>
        <v>NPG tcc(ano) / 12</v>
      </c>
      <c r="H588" s="173" t="str">
        <f>'Q100a-geral'!H1730</f>
        <v>x</v>
      </c>
      <c r="I588" s="167">
        <f>'Q100a-geral'!I1730</f>
        <v>1</v>
      </c>
      <c r="J588" s="107" t="str">
        <f>'Q100a-geral'!J1730</f>
        <v>x</v>
      </c>
      <c r="K588" s="107" t="str">
        <f>'Q100a-geral'!K1730</f>
        <v>x</v>
      </c>
      <c r="L588" s="107" t="str">
        <f>'Q100a-geral'!L1730</f>
        <v>x</v>
      </c>
      <c r="M588" s="84" t="str">
        <f>'Q100a-geral'!M1730</f>
        <v>x</v>
      </c>
      <c r="N588" s="84" t="str">
        <f>'Q100a-geral'!N1730</f>
        <v>x</v>
      </c>
      <c r="O588" s="84" t="str">
        <f>'Q100a-geral'!O1730</f>
        <v>x</v>
      </c>
      <c r="P588" s="84" t="str">
        <f>'Q100a-geral'!P1730</f>
        <v>x</v>
      </c>
      <c r="Q588" s="84" t="str">
        <f>'Q100a-geral'!Q1730</f>
        <v>x</v>
      </c>
      <c r="R588" s="84" t="str">
        <f>'Q100a-geral'!R1730</f>
        <v>x</v>
      </c>
      <c r="S588" s="649" t="str">
        <f>'Q100a-geral'!S1730</f>
        <v>só para pesquisa</v>
      </c>
      <c r="T588" s="84" t="str">
        <f>'Q100a-geral'!T1730</f>
        <v>x</v>
      </c>
      <c r="U588" s="84" t="str">
        <f>'Q100a-geral'!U1730</f>
        <v>x</v>
      </c>
      <c r="V588" s="107" t="str">
        <f>'Q100a-geral'!V1730</f>
        <v>só para pesquisa</v>
      </c>
      <c r="W588" s="84" t="str">
        <f>'Q100a-geral'!W1730</f>
        <v>x</v>
      </c>
      <c r="X588" s="84" t="str">
        <f>'Q100a-geral'!X1730</f>
        <v>x</v>
      </c>
      <c r="Y588" s="84" t="str">
        <f>'Q100a-geral'!Y1730</f>
        <v>x</v>
      </c>
      <c r="Z588" s="84" t="str">
        <f>'Q100a-geral'!Z1730</f>
        <v>x</v>
      </c>
      <c r="AA588" s="84" t="str">
        <f>'Q100a-geral'!AA1730</f>
        <v>x</v>
      </c>
      <c r="AB588" s="84" t="str">
        <f>'Q100a-geral'!AB1730</f>
        <v>x</v>
      </c>
      <c r="AC588" s="84" t="str">
        <f>'Q100a-geral'!AC1730</f>
        <v>x</v>
      </c>
      <c r="AD588" s="87">
        <f>'Q100a-geral'!AD1730</f>
        <v>577012.66666666663</v>
      </c>
      <c r="AE588" s="87">
        <f>'Q100a-geral'!AE1730</f>
        <v>493040.08333333331</v>
      </c>
      <c r="AF588" s="87">
        <f>'Q100a-geral'!AF1730</f>
        <v>678876.41666666663</v>
      </c>
      <c r="AG588" s="87" t="str">
        <f>'Q100a-geral'!AG1730</f>
        <v>x</v>
      </c>
      <c r="AH588" s="87">
        <f>'Q100a-geral'!AH1730</f>
        <v>942507.91666666663</v>
      </c>
      <c r="AI588" s="312" t="e">
        <f>'Q100a-geral'!AI1730</f>
        <v>#VALUE!</v>
      </c>
      <c r="AJ588" s="312" t="e">
        <f>'Q100a-geral'!AJ1730</f>
        <v>#VALUE!</v>
      </c>
      <c r="AK588" s="137" t="e">
        <f>'Q100a-geral'!AK1730</f>
        <v>#VALUE!</v>
      </c>
      <c r="AL588" s="167" t="str">
        <f>'Q100a-geral'!AL1730</f>
        <v>x</v>
      </c>
      <c r="AM588" s="137" t="str">
        <f>'Q100a-geral'!AM1730</f>
        <v>x</v>
      </c>
      <c r="AN588" s="137" t="str">
        <f>'Q100a-geral'!AN1730</f>
        <v>x</v>
      </c>
      <c r="AO588" s="137" t="str">
        <f>'Q100a-geral'!AO1730</f>
        <v>x</v>
      </c>
      <c r="AP588" s="137" t="str">
        <f>'Q100a-geral'!AP1730</f>
        <v>x</v>
      </c>
      <c r="AQ588" s="137" t="str">
        <f>'Q100a-geral'!AQ1730</f>
        <v>x</v>
      </c>
      <c r="AR588" s="137"/>
      <c r="AS588" s="137"/>
      <c r="AT588" s="137"/>
      <c r="AU588" s="137"/>
      <c r="AV588" s="137" t="str">
        <f>'Q100a-geral'!AV1730</f>
        <v>x</v>
      </c>
      <c r="AW588" s="137"/>
      <c r="AX588" s="137"/>
      <c r="AY588" s="137"/>
      <c r="AZ588" s="137"/>
      <c r="BA588" s="137" t="str">
        <f>'Q100a-geral'!BA1730</f>
        <v>x</v>
      </c>
      <c r="BB588" s="239" t="str">
        <f>'Q100a-geral'!BB1730</f>
        <v>Transporte convencionalx</v>
      </c>
      <c r="BC588" s="239" t="str">
        <f>'Q100a-geral'!BC1730</f>
        <v>Transporte convencionalxx</v>
      </c>
      <c r="BD588" s="239" t="str">
        <f>'Q100a-geral'!BD1730</f>
        <v>Transporte convencionalx</v>
      </c>
    </row>
    <row r="589" spans="1:67" s="1" customFormat="1" ht="88.5" customHeight="1" x14ac:dyDescent="0.25">
      <c r="A589" s="276" t="str">
        <f>'Q100a-geral'!A1733</f>
        <v>3.2.2</v>
      </c>
      <c r="B589" s="54" t="str">
        <f>'Q100a-geral'!B1733</f>
        <v>Outras questões em pesquisas externas de opinião</v>
      </c>
      <c r="C589" s="230" t="str">
        <f>'Q100a-geral'!C1733</f>
        <v>x</v>
      </c>
      <c r="D589" s="376" t="str">
        <f>'Q100a-geral'!D1733</f>
        <v>NPO (BH)</v>
      </c>
      <c r="E589" s="470" t="str">
        <f>'Q100a-geral'!E1733</f>
        <v>Belo Horizonte</v>
      </c>
      <c r="F589" s="488" t="str">
        <f>'Q100a-geral'!F1733</f>
        <v>n.º de meses transcorridos entre duas pesquisas consecutivas de opinião realizadas em Belo Horizonte
obs.:  resultados de 1996 a 2011 em OLIVEIRA (2014, p.364/Gráfico 73); em 2012 não foi realizada pesquisa; de 2013: DOXA(2013, p.2); em 2014 não foi realizada pesquisa; de 2015: DOXA(2015, p.6).</v>
      </c>
      <c r="G589" s="252" t="str">
        <f>'Q100a-geral'!G1733</f>
        <v>registro na fonte</v>
      </c>
      <c r="H589" s="173" t="str">
        <f>'Q100a-geral'!H1733</f>
        <v>x</v>
      </c>
      <c r="I589" s="57">
        <f>'Q100a-geral'!I1733</f>
        <v>1</v>
      </c>
      <c r="J589" s="109" t="str">
        <f>'Q100a-geral'!J1733</f>
        <v>x</v>
      </c>
      <c r="K589" s="109" t="str">
        <f>'Q100a-geral'!K1733</f>
        <v>x</v>
      </c>
      <c r="L589" s="109" t="str">
        <f>'Q100a-geral'!L1733</f>
        <v>x</v>
      </c>
      <c r="M589" s="109" t="str">
        <f>'Q100a-geral'!M1733</f>
        <v>x</v>
      </c>
      <c r="N589" s="109" t="str">
        <f>'Q100a-geral'!N1733</f>
        <v>x</v>
      </c>
      <c r="O589" s="139"/>
      <c r="P589" s="97">
        <f>'Q100a-geral'!$P$1733</f>
        <v>9</v>
      </c>
      <c r="Q589" s="139"/>
      <c r="R589" s="97">
        <f>'Q100a-geral'!R1733</f>
        <v>19</v>
      </c>
      <c r="S589" s="293" t="str">
        <f>'Q100a-geral'!S1733</f>
        <v>só para pesquisa</v>
      </c>
      <c r="T589" s="97">
        <f>'Q100a-geral'!T1733</f>
        <v>5</v>
      </c>
      <c r="U589" s="97">
        <f>'Q100a-geral'!U1733</f>
        <v>10</v>
      </c>
      <c r="V589" s="293" t="str">
        <f>'Q100a-geral'!V1733</f>
        <v>só para pesquisa</v>
      </c>
      <c r="W589" s="97">
        <f>'Q100a-geral'!W1733</f>
        <v>12</v>
      </c>
      <c r="X589" s="97">
        <f>'Q100a-geral'!X1733</f>
        <v>12</v>
      </c>
      <c r="Y589" s="97">
        <f>'Q100a-geral'!Y1733</f>
        <v>11</v>
      </c>
      <c r="Z589" s="97">
        <f>'Q100a-geral'!Z1733</f>
        <v>9</v>
      </c>
      <c r="AA589" s="97">
        <f>'Q100a-geral'!AA1733</f>
        <v>9</v>
      </c>
      <c r="AB589" s="97">
        <f>'Q100a-geral'!AB1733</f>
        <v>16</v>
      </c>
      <c r="AC589" s="97">
        <f>'Q100a-geral'!AC1733</f>
        <v>10</v>
      </c>
      <c r="AD589" s="97">
        <f>'Q100a-geral'!AD1733</f>
        <v>17</v>
      </c>
      <c r="AE589" s="139"/>
      <c r="AF589" s="97">
        <f>'Q100a-geral'!AF1733</f>
        <v>19</v>
      </c>
      <c r="AG589" s="97">
        <f>'Q100a-geral'!AG1733</f>
        <v>18</v>
      </c>
      <c r="AH589" s="139"/>
      <c r="AI589" s="97">
        <f>'Q100a-geral'!AI1733</f>
        <v>20</v>
      </c>
      <c r="AJ589" s="139"/>
      <c r="AK589" s="84">
        <f>'Q100a-geral'!AK1733</f>
        <v>21</v>
      </c>
      <c r="AL589" s="213" t="str">
        <f>'Q100a-geral'!AL1733</f>
        <v>x</v>
      </c>
      <c r="AM589" s="137" t="str">
        <f>'Q100a-geral'!AM1733</f>
        <v>x</v>
      </c>
      <c r="AN589" s="137" t="str">
        <f>'Q100a-geral'!AN1733</f>
        <v>x</v>
      </c>
      <c r="AO589" s="137" t="str">
        <f>'Q100a-geral'!AO1733</f>
        <v>x</v>
      </c>
      <c r="AP589" s="137" t="str">
        <f>'Q100a-geral'!AP1733</f>
        <v>x</v>
      </c>
      <c r="AQ589" s="137" t="str">
        <f>'Q100a-geral'!AQ1733</f>
        <v>x</v>
      </c>
      <c r="AR589" s="137"/>
      <c r="AS589" s="137"/>
      <c r="AT589" s="137"/>
      <c r="AU589" s="137"/>
      <c r="AV589" s="137" t="str">
        <f>'Q100a-geral'!AV1733</f>
        <v>x</v>
      </c>
      <c r="AW589" s="137"/>
      <c r="AX589" s="137"/>
      <c r="AY589" s="137"/>
      <c r="AZ589" s="137"/>
      <c r="BA589" s="137" t="str">
        <f>'Q100a-geral'!BA1733</f>
        <v>x</v>
      </c>
      <c r="BB589" s="239" t="str">
        <f>'Q100a-geral'!BB1733</f>
        <v>Outras questões em pesquisas externas de opiniãox</v>
      </c>
      <c r="BC589" s="239" t="str">
        <f>'Q100a-geral'!BC1733</f>
        <v>Outras questões em pesquisas externas de opiniãoxx</v>
      </c>
      <c r="BD589" s="239" t="str">
        <f>'Q100a-geral'!BD1733</f>
        <v>Outras questões em pesquisas externas de opiniãox</v>
      </c>
    </row>
    <row r="590" spans="1:67" ht="63.75" x14ac:dyDescent="0.25">
      <c r="A590" s="932" t="str">
        <f>'Q100a-geral'!A1735</f>
        <v>3.2.2</v>
      </c>
      <c r="B590" s="11" t="str">
        <f>'Q100a-geral'!B1735</f>
        <v>Outras questões em pesquisas externas de opinião</v>
      </c>
      <c r="C590" s="468" t="str">
        <f>'Q100a-geral'!C1735</f>
        <v>x</v>
      </c>
      <c r="D590" s="287" t="str">
        <f>'Q100a-geral'!D1735</f>
        <v>NPO(12 meses)</v>
      </c>
      <c r="E590" s="379" t="str">
        <f>'Q100a-geral'!E1735</f>
        <v>NPO(12 meses)</v>
      </c>
      <c r="F590" s="933" t="str">
        <f>'Q100a-geral'!F1735</f>
        <v>referencial comparativo para o indicador "NPO" considerando a situação-ideail de realização de uma pesquisa a cada ano</v>
      </c>
      <c r="G590" s="110" t="str">
        <f>'Q100a-geral'!G1735</f>
        <v>referencial comparativo</v>
      </c>
      <c r="H590" s="167" t="str">
        <f>'Q100a-geral'!H1735</f>
        <v>meta/RPI</v>
      </c>
      <c r="I590" s="167" t="str">
        <f>'Q100a-geral'!I1735</f>
        <v>x</v>
      </c>
      <c r="J590" s="109" t="str">
        <f>'Q100a-geral'!J1735</f>
        <v>x</v>
      </c>
      <c r="K590" s="109" t="str">
        <f>'Q100a-geral'!K1735</f>
        <v>x</v>
      </c>
      <c r="L590" s="109" t="str">
        <f>'Q100a-geral'!L1735</f>
        <v>x</v>
      </c>
      <c r="M590" s="109" t="str">
        <f>'Q100a-geral'!M1735</f>
        <v>x</v>
      </c>
      <c r="N590" s="109" t="str">
        <f>'Q100a-geral'!N1735</f>
        <v>x</v>
      </c>
      <c r="O590" s="84">
        <f>'Q100a-geral'!O1735</f>
        <v>12</v>
      </c>
      <c r="P590" s="84">
        <f>'Q100a-geral'!P1735</f>
        <v>12</v>
      </c>
      <c r="Q590" s="84">
        <f>'Q100a-geral'!Q1735</f>
        <v>12</v>
      </c>
      <c r="R590" s="84">
        <f>'Q100a-geral'!R1735</f>
        <v>12</v>
      </c>
      <c r="S590" s="1138">
        <f>'Q100a-geral'!S1735</f>
        <v>12</v>
      </c>
      <c r="T590" s="84">
        <f>'Q100a-geral'!T1735</f>
        <v>12</v>
      </c>
      <c r="U590" s="84">
        <f>'Q100a-geral'!U1735</f>
        <v>12</v>
      </c>
      <c r="V590" s="1138">
        <f>'Q100a-geral'!V1735</f>
        <v>12</v>
      </c>
      <c r="W590" s="84">
        <f>'Q100a-geral'!W1735</f>
        <v>12</v>
      </c>
      <c r="X590" s="84">
        <f>'Q100a-geral'!X1735</f>
        <v>12</v>
      </c>
      <c r="Y590" s="84">
        <f>'Q100a-geral'!Y1735</f>
        <v>12</v>
      </c>
      <c r="Z590" s="84">
        <f>'Q100a-geral'!Z1735</f>
        <v>12</v>
      </c>
      <c r="AA590" s="84">
        <f>'Q100a-geral'!AA1735</f>
        <v>12</v>
      </c>
      <c r="AB590" s="84">
        <f>'Q100a-geral'!AB1735</f>
        <v>12</v>
      </c>
      <c r="AC590" s="84">
        <f>'Q100a-geral'!AC1735</f>
        <v>12</v>
      </c>
      <c r="AD590" s="84">
        <f>'Q100a-geral'!AD1735</f>
        <v>12</v>
      </c>
      <c r="AE590" s="84">
        <f>'Q100a-geral'!AE1735</f>
        <v>12</v>
      </c>
      <c r="AF590" s="84">
        <f>'Q100a-geral'!AF1735</f>
        <v>12</v>
      </c>
      <c r="AG590" s="84">
        <f>'Q100a-geral'!AG1735</f>
        <v>12</v>
      </c>
      <c r="AH590" s="84">
        <f>'Q100a-geral'!AH1735</f>
        <v>12</v>
      </c>
      <c r="AI590" s="84">
        <f>'Q100a-geral'!AI1735</f>
        <v>12</v>
      </c>
      <c r="AJ590" s="84">
        <f>'Q100a-geral'!AJ1735</f>
        <v>12</v>
      </c>
      <c r="AK590" s="84">
        <f>'Q100a-geral'!AK1735</f>
        <v>12</v>
      </c>
      <c r="AL590" s="601" t="str">
        <f>'Q100a-geral'!AL1735</f>
        <v>x</v>
      </c>
      <c r="AM590" s="137" t="str">
        <f>'Q100a-geral'!AM1735</f>
        <v>x</v>
      </c>
      <c r="AN590" s="137" t="str">
        <f>'Q100a-geral'!AN1735</f>
        <v>x</v>
      </c>
      <c r="AO590" s="137" t="str">
        <f>'Q100a-geral'!AO1735</f>
        <v>x</v>
      </c>
      <c r="AP590" s="137" t="str">
        <f>'Q100a-geral'!AP1735</f>
        <v>x</v>
      </c>
      <c r="AQ590" s="137" t="str">
        <f>'Q100a-geral'!AQ1735</f>
        <v>x</v>
      </c>
      <c r="AR590" s="137" t="str">
        <f>'Q100a-geral'!AR1735</f>
        <v>x</v>
      </c>
      <c r="AS590" s="137" t="str">
        <f>'Q100a-geral'!AS1735</f>
        <v>x</v>
      </c>
      <c r="AT590" s="137" t="str">
        <f>'Q100a-geral'!AT1735</f>
        <v>x</v>
      </c>
      <c r="AU590" s="137" t="str">
        <f>'Q100a-geral'!AU1735</f>
        <v>x</v>
      </c>
      <c r="AV590" s="137" t="str">
        <f>'Q100a-geral'!AV1735</f>
        <v>x</v>
      </c>
      <c r="AW590" s="137" t="str">
        <f>'Q100a-geral'!AW1735</f>
        <v>x</v>
      </c>
      <c r="AX590" s="137" t="str">
        <f>'Q100a-geral'!AX1735</f>
        <v>x</v>
      </c>
      <c r="AY590" s="137" t="str">
        <f>'Q100a-geral'!AY1735</f>
        <v>x</v>
      </c>
      <c r="AZ590" s="137" t="str">
        <f>'Q100a-geral'!AZ1735</f>
        <v>x</v>
      </c>
      <c r="BA590" s="137" t="str">
        <f>'Q100a-geral'!BA1735</f>
        <v>x</v>
      </c>
      <c r="BB590" s="239" t="str">
        <f>'Q100a-geral'!BB1735</f>
        <v>Outras questões em pesquisas externas de opiniãox</v>
      </c>
      <c r="BC590" s="239" t="str">
        <f>'Q100a-geral'!BC1735</f>
        <v>Outras questões em pesquisas externas de opiniãoxmeta/RPI</v>
      </c>
      <c r="BD590" s="239" t="str">
        <f>'Q100a-geral'!BD1735</f>
        <v>Outras questões em pesquisas externas de opiniãometa/RPI</v>
      </c>
    </row>
    <row r="591" spans="1:67" s="1" customFormat="1" ht="88.5" customHeight="1" x14ac:dyDescent="0.25">
      <c r="A591" s="276" t="str">
        <f>'Q100a-geral'!A1734</f>
        <v>3.2.2</v>
      </c>
      <c r="B591" s="54" t="str">
        <f>'Q100a-geral'!B1734</f>
        <v>Outras questões em pesquisas externas de opinião</v>
      </c>
      <c r="C591" s="230" t="str">
        <f>'Q100a-geral'!C1734</f>
        <v>x</v>
      </c>
      <c r="D591" s="376" t="str">
        <f>'Q100a-geral'!D1734</f>
        <v>NPO (RMSP)</v>
      </c>
      <c r="E591" s="470" t="str">
        <f>'Q100a-geral'!E1734</f>
        <v>RMSP</v>
      </c>
      <c r="F591" s="488" t="str">
        <f>'Q100a-geral'!F1734</f>
        <v>n.º de meses transcorridos entre duas pesquisas consecutivas de opinião realizadas na Região Metropolitana de São Paulo (RMSP)
obs.:  resultados de 1996 a 2011 em OLIVEIRA (2014, p.364/Gráfico 73); de 2012 em ANTP(2013a, p.3)</v>
      </c>
      <c r="G591" s="252" t="str">
        <f>'Q100a-geral'!G1734</f>
        <v>registro na fonte</v>
      </c>
      <c r="H591" s="173" t="str">
        <f>'Q100a-geral'!H1734</f>
        <v>benchmarking</v>
      </c>
      <c r="I591" s="167" t="str">
        <f>'Q100a-geral'!I1734</f>
        <v>x</v>
      </c>
      <c r="J591" s="109" t="str">
        <f>'Q100a-geral'!J1734</f>
        <v>x</v>
      </c>
      <c r="K591" s="109" t="str">
        <f>'Q100a-geral'!K1734</f>
        <v>x</v>
      </c>
      <c r="L591" s="109" t="str">
        <f>'Q100a-geral'!L1734</f>
        <v>x</v>
      </c>
      <c r="M591" s="109" t="str">
        <f>'Q100a-geral'!M1734</f>
        <v>x</v>
      </c>
      <c r="N591" s="109" t="str">
        <f>'Q100a-geral'!N1734</f>
        <v>x</v>
      </c>
      <c r="O591" s="139"/>
      <c r="P591" s="139"/>
      <c r="Q591" s="139"/>
      <c r="R591" s="139"/>
      <c r="S591" s="139"/>
      <c r="T591" s="139"/>
      <c r="U591" s="293">
        <f>'Q100a-geral'!U1734</f>
        <v>11.046575342465754</v>
      </c>
      <c r="V591" s="139"/>
      <c r="W591" s="97">
        <f>'Q100a-geral'!W1734</f>
        <v>12</v>
      </c>
      <c r="X591" s="97">
        <f>'Q100a-geral'!X1734</f>
        <v>10.980821917808219</v>
      </c>
      <c r="Y591" s="97">
        <f>'Q100a-geral'!Y1734</f>
        <v>13.019178082191781</v>
      </c>
      <c r="Z591" s="97">
        <f>'Q100a-geral'!Z1734</f>
        <v>10.027397260273972</v>
      </c>
      <c r="AA591" s="97">
        <f>'Q100a-geral'!AA1734</f>
        <v>12.986301369863014</v>
      </c>
      <c r="AB591" s="97">
        <f>'Q100a-geral'!AB1734</f>
        <v>9.9945205479452053</v>
      </c>
      <c r="AC591" s="97">
        <f>'Q100a-geral'!AC1734</f>
        <v>13.019178082191781</v>
      </c>
      <c r="AD591" s="97">
        <f>'Q100a-geral'!AD1734</f>
        <v>11.013698630136986</v>
      </c>
      <c r="AE591" s="97">
        <f>'Q100a-geral'!AE1734</f>
        <v>15.024657534246575</v>
      </c>
      <c r="AF591" s="97">
        <f>'Q100a-geral'!AF1734</f>
        <v>12</v>
      </c>
      <c r="AG591" s="97">
        <f>'Q100a-geral'!AG1734</f>
        <v>12</v>
      </c>
      <c r="AH591" s="97">
        <f>'Q100a-geral'!AH1734</f>
        <v>12.065753424657533</v>
      </c>
      <c r="AI591" s="139"/>
      <c r="AJ591" s="139"/>
      <c r="AK591" s="281"/>
      <c r="AL591" s="213" t="str">
        <f>'Q100a-geral'!AL1734</f>
        <v>x</v>
      </c>
      <c r="AM591" s="137" t="str">
        <f>'Q100a-geral'!AM1734</f>
        <v>x</v>
      </c>
      <c r="AN591" s="137" t="str">
        <f>'Q100a-geral'!AN1734</f>
        <v>x</v>
      </c>
      <c r="AO591" s="137" t="str">
        <f>'Q100a-geral'!AO1734</f>
        <v>x</v>
      </c>
      <c r="AP591" s="137" t="str">
        <f>'Q100a-geral'!AP1734</f>
        <v>x</v>
      </c>
      <c r="AQ591" s="137" t="str">
        <f>'Q100a-geral'!AQ1734</f>
        <v>x</v>
      </c>
      <c r="AR591" s="137"/>
      <c r="AS591" s="137"/>
      <c r="AT591" s="137"/>
      <c r="AU591" s="137"/>
      <c r="AV591" s="137" t="str">
        <f>'Q100a-geral'!AV1734</f>
        <v>x</v>
      </c>
      <c r="AW591" s="137"/>
      <c r="AX591" s="137"/>
      <c r="AY591" s="137"/>
      <c r="AZ591" s="137"/>
      <c r="BA591" s="137" t="str">
        <f>'Q100a-geral'!BA1734</f>
        <v>x</v>
      </c>
      <c r="BB591" s="239" t="str">
        <f>'Q100a-geral'!BB1734</f>
        <v>Outras questões em pesquisas externas de opiniãox</v>
      </c>
      <c r="BC591" s="239" t="str">
        <f>'Q100a-geral'!BC1734</f>
        <v>Outras questões em pesquisas externas de opiniãoxbenchmarking</v>
      </c>
      <c r="BD591" s="239" t="str">
        <f>'Q100a-geral'!BD1734</f>
        <v>Outras questões em pesquisas externas de opiniãobenchmarking</v>
      </c>
    </row>
    <row r="592" spans="1:67" s="1" customFormat="1" ht="33.75" x14ac:dyDescent="0.25">
      <c r="A592" s="275" t="str">
        <f>'Q100a-geral'!A1721</f>
        <v>8.9</v>
      </c>
      <c r="B592" s="54" t="str">
        <f>'Q100a-geral'!B1721</f>
        <v>Metrô</v>
      </c>
      <c r="C592" s="230" t="str">
        <f>'Q100a-geral'!C1721</f>
        <v>x</v>
      </c>
      <c r="D592" s="240" t="str">
        <f>'Q100a-geral'!D1721</f>
        <v>NP metrô (dia)</v>
      </c>
      <c r="E592" s="252" t="str">
        <f>'Q100a-geral'!E1721</f>
        <v>RMBH</v>
      </c>
      <c r="F592" s="632" t="str">
        <f>'Q100a-geral'!F1721</f>
        <v>média do n.º de passageiros transportados por dia útil no metrô de Belo Horizonte
obs.: resultados de 2001-2005 conforme BHTRANS(2006a, p.11/Tabela 12); de 2006-2009 conforme BHTRANS(2011b, [p.11] Tabela 13)</v>
      </c>
      <c r="G592" s="252" t="str">
        <f>'Q100a-geral'!G1721</f>
        <v>registro na fonte</v>
      </c>
      <c r="H592" s="173" t="str">
        <f>'Q100a-geral'!H1721</f>
        <v>x</v>
      </c>
      <c r="I592" s="167">
        <f>'Q100a-geral'!I1721</f>
        <v>1</v>
      </c>
      <c r="J592" s="109" t="str">
        <f>'Q100a-geral'!J1721</f>
        <v>x</v>
      </c>
      <c r="K592" s="109" t="str">
        <f>'Q100a-geral'!K1721</f>
        <v>x</v>
      </c>
      <c r="L592" s="109" t="str">
        <f>'Q100a-geral'!L1721</f>
        <v>x</v>
      </c>
      <c r="M592" s="84" t="str">
        <f>'Q100a-geral'!M1721</f>
        <v>x</v>
      </c>
      <c r="N592" s="84" t="str">
        <f>'Q100a-geral'!N1721</f>
        <v>x</v>
      </c>
      <c r="O592" s="84" t="str">
        <f>'Q100a-geral'!O1721</f>
        <v>x</v>
      </c>
      <c r="P592" s="84" t="str">
        <f>'Q100a-geral'!P1721</f>
        <v>x</v>
      </c>
      <c r="Q592" s="84" t="str">
        <f>'Q100a-geral'!Q1721</f>
        <v>x</v>
      </c>
      <c r="R592" s="84" t="str">
        <f>'Q100a-geral'!R1721</f>
        <v>x</v>
      </c>
      <c r="S592" s="109" t="str">
        <f>'Q100a-geral'!S1721</f>
        <v>só para pesquisa</v>
      </c>
      <c r="T592" s="84" t="str">
        <f>'Q100a-geral'!T1721</f>
        <v>x</v>
      </c>
      <c r="U592" s="84" t="str">
        <f>'Q100a-geral'!U1721</f>
        <v>x</v>
      </c>
      <c r="V592" s="109" t="str">
        <f>'Q100a-geral'!V1721</f>
        <v>só para pesquisa</v>
      </c>
      <c r="W592" s="92">
        <f>'Q100a-geral'!W1721</f>
        <v>84886</v>
      </c>
      <c r="X592" s="92">
        <f>'Q100a-geral'!X1721</f>
        <v>92666</v>
      </c>
      <c r="Y592" s="92">
        <f>'Q100a-geral'!Y1721</f>
        <v>102723</v>
      </c>
      <c r="Z592" s="92">
        <f>'Q100a-geral'!Z1721</f>
        <v>103797</v>
      </c>
      <c r="AA592" s="92">
        <f>'Q100a-geral'!AA1721</f>
        <v>106645</v>
      </c>
      <c r="AB592" s="92">
        <f>'Q100a-geral'!AB1721</f>
        <v>123928</v>
      </c>
      <c r="AC592" s="92">
        <f>'Q100a-geral'!AC1721</f>
        <v>136394</v>
      </c>
      <c r="AD592" s="92">
        <f>'Q100a-geral'!AD1721</f>
        <v>147879</v>
      </c>
      <c r="AE592" s="92">
        <f>'Q100a-geral'!AE1721</f>
        <v>152206</v>
      </c>
      <c r="AF592" s="110" t="str">
        <f>'Q100a-geral'!AF1721</f>
        <v>x</v>
      </c>
      <c r="AG592" s="110" t="str">
        <f>'Q100a-geral'!AG1721</f>
        <v>x</v>
      </c>
      <c r="AH592" s="110" t="str">
        <f>'Q100a-geral'!AH1721</f>
        <v>x</v>
      </c>
      <c r="AI592" s="110" t="str">
        <f>'Q100a-geral'!AI1721</f>
        <v>x</v>
      </c>
      <c r="AJ592" s="110" t="str">
        <f>'Q100a-geral'!AJ1721</f>
        <v>x</v>
      </c>
      <c r="AK592" s="137" t="str">
        <f>'Q100a-geral'!AK1721</f>
        <v>x</v>
      </c>
      <c r="AL592" s="213" t="str">
        <f>'Q100a-geral'!AL1721</f>
        <v>x</v>
      </c>
      <c r="AM592" s="137" t="str">
        <f>'Q100a-geral'!AM1721</f>
        <v>x</v>
      </c>
      <c r="AN592" s="137" t="str">
        <f>'Q100a-geral'!AN1721</f>
        <v>x</v>
      </c>
      <c r="AO592" s="137" t="str">
        <f>'Q100a-geral'!AO1721</f>
        <v>x</v>
      </c>
      <c r="AP592" s="137" t="str">
        <f>'Q100a-geral'!AP1721</f>
        <v>x</v>
      </c>
      <c r="AQ592" s="137" t="str">
        <f>'Q100a-geral'!AQ1721</f>
        <v>x</v>
      </c>
      <c r="AR592" s="137"/>
      <c r="AS592" s="137"/>
      <c r="AT592" s="137"/>
      <c r="AU592" s="137"/>
      <c r="AV592" s="137" t="str">
        <f>'Q100a-geral'!AV1721</f>
        <v>x</v>
      </c>
      <c r="AW592" s="137"/>
      <c r="AX592" s="137"/>
      <c r="AY592" s="137"/>
      <c r="AZ592" s="137"/>
      <c r="BA592" s="137" t="str">
        <f>'Q100a-geral'!BA1721</f>
        <v>x</v>
      </c>
      <c r="BB592" s="239" t="str">
        <f>'Q100a-geral'!BB1721</f>
        <v>Metrôx</v>
      </c>
      <c r="BC592" s="239" t="str">
        <f>'Q100a-geral'!BC1721</f>
        <v>Metrôxx</v>
      </c>
      <c r="BD592" s="239" t="str">
        <f>'Q100a-geral'!BD1721</f>
        <v>Metrôx</v>
      </c>
    </row>
    <row r="593" spans="1:56" s="1" customFormat="1" ht="51" x14ac:dyDescent="0.25">
      <c r="A593" s="275" t="str">
        <f>'Q100a-geral'!A1722</f>
        <v>8.10</v>
      </c>
      <c r="B593" s="54" t="str">
        <f>'Q100a-geral'!B1722</f>
        <v>Sistema de transporte coletivo com um todo</v>
      </c>
      <c r="C593" s="230" t="str">
        <f>'Q100a-geral'!C1722</f>
        <v>x</v>
      </c>
      <c r="D593" s="240" t="str">
        <f>'Q100a-geral'!D1722</f>
        <v>NP tc (ano) por 100 habitantes</v>
      </c>
      <c r="E593" s="252" t="str">
        <f>'Q100a-geral'!E1722</f>
        <v>Belo Horizonte</v>
      </c>
      <c r="F593" s="632" t="str">
        <f>'Q100a-geral'!F1722</f>
        <v>taxa de passageiros em transporte coletivo (por 100 habitantes)
obs1: indicador estratégico da BHTrans (BHTRANS, 2015d)
obs.2: resultados relativos ao período 1996-2013 disponíveis em BHTRANS (2015e, p.34)</v>
      </c>
      <c r="G593" s="254" t="str">
        <f>'Q100a-geral'!G1722</f>
        <v>registro na fonte</v>
      </c>
      <c r="H593" s="173" t="str">
        <f>'Q100a-geral'!H1722</f>
        <v>x</v>
      </c>
      <c r="I593" s="167">
        <f>'Q100a-geral'!I1722</f>
        <v>1</v>
      </c>
      <c r="J593" s="109" t="str">
        <f>'Q100a-geral'!J1722</f>
        <v>x</v>
      </c>
      <c r="K593" s="109" t="str">
        <f>'Q100a-geral'!K1722</f>
        <v>x</v>
      </c>
      <c r="L593" s="109" t="str">
        <f>'Q100a-geral'!L1722</f>
        <v>x</v>
      </c>
      <c r="M593" s="84" t="str">
        <f>'Q100a-geral'!M1722</f>
        <v>x</v>
      </c>
      <c r="N593" s="84" t="str">
        <f>'Q100a-geral'!N1722</f>
        <v>x</v>
      </c>
      <c r="O593" s="84" t="str">
        <f>'Q100a-geral'!O1722</f>
        <v>x</v>
      </c>
      <c r="P593" s="125" t="str">
        <f>'Q100a-geral'!P1722</f>
        <v>x</v>
      </c>
      <c r="Q593" s="84">
        <f>'Q100a-geral'!Q1722</f>
        <v>71.599999999999994</v>
      </c>
      <c r="R593" s="84" t="str">
        <f>'Q100a-geral'!R1722</f>
        <v>x</v>
      </c>
      <c r="S593" s="649" t="str">
        <f>'Q100a-geral'!S1722</f>
        <v>só para pesquisa</v>
      </c>
      <c r="T593" s="84">
        <f>'Q100a-geral'!T1722</f>
        <v>64.8</v>
      </c>
      <c r="U593" s="84" t="str">
        <f>'Q100a-geral'!U1722</f>
        <v>x</v>
      </c>
      <c r="V593" s="107" t="str">
        <f>'Q100a-geral'!V1722</f>
        <v>só para pesquisa</v>
      </c>
      <c r="W593" s="110">
        <f>'Q100a-geral'!W1722</f>
        <v>54.8</v>
      </c>
      <c r="X593" s="110" t="str">
        <f>'Q100a-geral'!X1722</f>
        <v>x</v>
      </c>
      <c r="Y593" s="110">
        <f>'Q100a-geral'!Y1722</f>
        <v>53.2</v>
      </c>
      <c r="Z593" s="110" t="str">
        <f>'Q100a-geral'!Z1722</f>
        <v>x</v>
      </c>
      <c r="AA593" s="110">
        <f>'Q100a-geral'!AA1722</f>
        <v>53.4</v>
      </c>
      <c r="AB593" s="110" t="str">
        <f>'Q100a-geral'!AB1722</f>
        <v>x</v>
      </c>
      <c r="AC593" s="110">
        <f>'Q100a-geral'!AC1722</f>
        <v>55</v>
      </c>
      <c r="AD593" s="110" t="str">
        <f>'Q100a-geral'!AD1722</f>
        <v>x</v>
      </c>
      <c r="AE593" s="110">
        <f>'Q100a-geral'!AE1722</f>
        <v>57.6</v>
      </c>
      <c r="AF593" s="110" t="str">
        <f>'Q100a-geral'!AF1722</f>
        <v>x</v>
      </c>
      <c r="AG593" s="110">
        <f>'Q100a-geral'!AG1722</f>
        <v>63</v>
      </c>
      <c r="AH593" s="110">
        <f>'Q100a-geral'!AH1722</f>
        <v>62.4</v>
      </c>
      <c r="AI593" s="253">
        <f>'Q100a-geral'!AI1722</f>
        <v>59.7</v>
      </c>
      <c r="AJ593" s="253" t="str">
        <f>'Q100a-geral'!AJ1722</f>
        <v>x</v>
      </c>
      <c r="AK593" s="137" t="str">
        <f>'Q100a-geral'!AK1722</f>
        <v>x</v>
      </c>
      <c r="AL593" s="213" t="str">
        <f>'Q100a-geral'!AL1722</f>
        <v>x</v>
      </c>
      <c r="AM593" s="137" t="str">
        <f>'Q100a-geral'!AM1722</f>
        <v>x</v>
      </c>
      <c r="AN593" s="137" t="str">
        <f>'Q100a-geral'!AN1722</f>
        <v>x</v>
      </c>
      <c r="AO593" s="137" t="str">
        <f>'Q100a-geral'!AO1722</f>
        <v>x</v>
      </c>
      <c r="AP593" s="137" t="str">
        <f>'Q100a-geral'!AP1722</f>
        <v>x</v>
      </c>
      <c r="AQ593" s="137" t="str">
        <f>'Q100a-geral'!AQ1722</f>
        <v>x</v>
      </c>
      <c r="AR593" s="137"/>
      <c r="AS593" s="137"/>
      <c r="AT593" s="137"/>
      <c r="AU593" s="137"/>
      <c r="AV593" s="137" t="str">
        <f>'Q100a-geral'!AV1722</f>
        <v>x</v>
      </c>
      <c r="AW593" s="137"/>
      <c r="AX593" s="137"/>
      <c r="AY593" s="137"/>
      <c r="AZ593" s="137"/>
      <c r="BA593" s="137" t="str">
        <f>'Q100a-geral'!BA1722</f>
        <v>x</v>
      </c>
      <c r="BB593" s="239" t="str">
        <f>'Q100a-geral'!BB1722</f>
        <v>Sistema de transporte coletivo com um todox</v>
      </c>
      <c r="BC593" s="239" t="str">
        <f>'Q100a-geral'!BC1722</f>
        <v>Sistema de transporte coletivo com um todoxx</v>
      </c>
      <c r="BD593" s="239" t="str">
        <f>'Q100a-geral'!BD1722</f>
        <v>Sistema de transporte coletivo com um todox</v>
      </c>
    </row>
    <row r="594" spans="1:56" s="1" customFormat="1" ht="38.25" x14ac:dyDescent="0.25">
      <c r="A594" s="275" t="str">
        <f>'Q100a-geral'!A1724</f>
        <v>8.5</v>
      </c>
      <c r="B594" s="54" t="str">
        <f>'Q100a-geral'!B1724</f>
        <v>Transporte convencional</v>
      </c>
      <c r="C594" s="230" t="str">
        <f>'Q100a-geral'!C1724</f>
        <v>x</v>
      </c>
      <c r="D594" s="38" t="str">
        <f>'Q100a-geral'!D1724</f>
        <v>NP tcc (ano)</v>
      </c>
      <c r="E594" s="471" t="str">
        <f>'Q100a-geral'!E1724</f>
        <v>Belo Horizonte</v>
      </c>
      <c r="F594" s="632" t="str">
        <f>'Q100a-geral'!F1724</f>
        <v xml:space="preserve">n.º de passageiros/ano registrados no M.C.O. do transporte coletivo convencional 
obs.: resultados de 1996 a 2012 em BHTRANS (2013e); de 2013-2015 conforme BHTRANS(2016v1),  onde também há resultados mês a mês de 2008 a 2015 </v>
      </c>
      <c r="G594" s="252" t="str">
        <f>'Q100a-geral'!G1724</f>
        <v>registro na fonte
∑ NP tcc (janeiro a dezembro)</v>
      </c>
      <c r="H594" s="173" t="str">
        <f>'Q100a-geral'!H1724</f>
        <v>x</v>
      </c>
      <c r="I594" s="167">
        <f>'Q100a-geral'!I1724</f>
        <v>1</v>
      </c>
      <c r="J594" s="107" t="str">
        <f>'Q100a-geral'!J1724</f>
        <v>x</v>
      </c>
      <c r="K594" s="107" t="str">
        <f>'Q100a-geral'!K1724</f>
        <v>x</v>
      </c>
      <c r="L594" s="107" t="str">
        <f>'Q100a-geral'!L1724</f>
        <v>x</v>
      </c>
      <c r="M594" s="84" t="str">
        <f>'Q100a-geral'!M1724</f>
        <v>x</v>
      </c>
      <c r="N594" s="84" t="str">
        <f>'Q100a-geral'!N1724</f>
        <v>x</v>
      </c>
      <c r="O594" s="84" t="str">
        <f>'Q100a-geral'!O1724</f>
        <v>x</v>
      </c>
      <c r="P594" s="162">
        <v>548879965</v>
      </c>
      <c r="Q594" s="162">
        <v>532276827</v>
      </c>
      <c r="R594" s="162">
        <v>518934301</v>
      </c>
      <c r="S594" s="649" t="str">
        <f>'Q100a-geral'!S1724</f>
        <v>só para pesquisa</v>
      </c>
      <c r="T594" s="162">
        <f>'Q100a-geral'!T1724</f>
        <v>480892835</v>
      </c>
      <c r="U594" s="162">
        <f>'Q100a-geral'!U1724</f>
        <v>446188951</v>
      </c>
      <c r="V594" s="107" t="str">
        <f>'Q100a-geral'!V1724</f>
        <v>só para pesquisa</v>
      </c>
      <c r="W594" s="162">
        <f>'Q100a-geral'!W1724</f>
        <v>417722897</v>
      </c>
      <c r="X594" s="162">
        <f>'Q100a-geral'!X1724</f>
        <v>423135921</v>
      </c>
      <c r="Y594" s="162">
        <f>'Q100a-geral'!Y1724</f>
        <v>403242401</v>
      </c>
      <c r="Z594" s="162">
        <f>'Q100a-geral'!Z1724</f>
        <v>400372297</v>
      </c>
      <c r="AA594" s="243">
        <f>'Q100a-geral'!AA1724</f>
        <v>412851738</v>
      </c>
      <c r="AB594" s="243">
        <f>'Q100a-geral'!AB1724</f>
        <v>422301637</v>
      </c>
      <c r="AC594" s="243">
        <f>'Q100a-geral'!AC1724</f>
        <v>422808316</v>
      </c>
      <c r="AD594" s="243">
        <f>'Q100a-geral'!AD1724</f>
        <v>435388116</v>
      </c>
      <c r="AE594" s="243">
        <f>'Q100a-geral'!AE1724</f>
        <v>443147783</v>
      </c>
      <c r="AF594" s="243">
        <f>'Q100a-geral'!AF1724</f>
        <v>445303429</v>
      </c>
      <c r="AG594" s="243">
        <f>'Q100a-geral'!AG1724</f>
        <v>455842706</v>
      </c>
      <c r="AH594" s="243">
        <f>'Q100a-geral'!AH1724</f>
        <v>453219840</v>
      </c>
      <c r="AI594" s="243">
        <f>'Q100a-geral'!AI1724</f>
        <v>439510724</v>
      </c>
      <c r="AJ594" s="243">
        <f>'Q100a-geral'!AJ1724</f>
        <v>448316052</v>
      </c>
      <c r="AK594" s="137">
        <f>'Q100a-geral'!AK1724</f>
        <v>438937197</v>
      </c>
      <c r="AL594" s="215" t="str">
        <f>'Q100a-geral'!AL1724</f>
        <v>x</v>
      </c>
      <c r="AM594" s="137" t="str">
        <f>'Q100a-geral'!AM1724</f>
        <v>x</v>
      </c>
      <c r="AN594" s="137" t="str">
        <f>'Q100a-geral'!AN1724</f>
        <v>x</v>
      </c>
      <c r="AO594" s="137" t="str">
        <f>'Q100a-geral'!AO1724</f>
        <v>x</v>
      </c>
      <c r="AP594" s="137" t="str">
        <f>'Q100a-geral'!AP1724</f>
        <v>x</v>
      </c>
      <c r="AQ594" s="137" t="str">
        <f>'Q100a-geral'!AQ1724</f>
        <v>x</v>
      </c>
      <c r="AR594" s="137"/>
      <c r="AS594" s="137"/>
      <c r="AT594" s="137"/>
      <c r="AU594" s="137"/>
      <c r="AV594" s="137" t="str">
        <f>'Q100a-geral'!AV1724</f>
        <v>x</v>
      </c>
      <c r="AW594" s="137"/>
      <c r="AX594" s="137"/>
      <c r="AY594" s="137"/>
      <c r="AZ594" s="137"/>
      <c r="BA594" s="137" t="str">
        <f>'Q100a-geral'!BA1724</f>
        <v>x</v>
      </c>
      <c r="BB594" s="239" t="str">
        <f>'Q100a-geral'!BB1724</f>
        <v>Transporte convencionalx</v>
      </c>
      <c r="BC594" s="239" t="str">
        <f>'Q100a-geral'!BC1724</f>
        <v>Transporte convencionalxx</v>
      </c>
      <c r="BD594" s="239" t="str">
        <f>'Q100a-geral'!BD1724</f>
        <v>Transporte convencionalx</v>
      </c>
    </row>
    <row r="595" spans="1:56" s="1" customFormat="1" ht="25.5" x14ac:dyDescent="0.25">
      <c r="A595" s="275" t="str">
        <f>'Q100a-geral'!A1725</f>
        <v>8.5</v>
      </c>
      <c r="B595" s="54" t="str">
        <f>'Q100a-geral'!B1725</f>
        <v>Transporte convencional</v>
      </c>
      <c r="C595" s="230" t="str">
        <f>'Q100a-geral'!C1725</f>
        <v>x</v>
      </c>
      <c r="D595" s="38" t="str">
        <f>'Q100a-geral'!D1725</f>
        <v>NP tcc (mês)</v>
      </c>
      <c r="E595" s="471" t="str">
        <f>'Q100a-geral'!E1725</f>
        <v>Belo Horizonte</v>
      </c>
      <c r="F595" s="632" t="str">
        <f>'Q100a-geral'!F1725</f>
        <v>média mensal do n.º de passageiros registrados no M.C.O. do transporte coletivo convencional
obs.: resultados de 1993 a 19945 são conforme BHTRANS(1996a, p.2) e os demais com fórmula</v>
      </c>
      <c r="G595" s="252" t="str">
        <f>'Q100a-geral'!G1725</f>
        <v>NP tcc(ano) / 12</v>
      </c>
      <c r="H595" s="173" t="str">
        <f>'Q100a-geral'!H1725</f>
        <v>x</v>
      </c>
      <c r="I595" s="167">
        <f>'Q100a-geral'!I1725</f>
        <v>1</v>
      </c>
      <c r="J595" s="109" t="str">
        <f>'Q100a-geral'!J1725</f>
        <v>x</v>
      </c>
      <c r="K595" s="109" t="str">
        <f>'Q100a-geral'!K1725</f>
        <v>x</v>
      </c>
      <c r="L595" s="109" t="str">
        <f>'Q100a-geral'!L1725</f>
        <v>x</v>
      </c>
      <c r="M595" s="84">
        <f>'Q100a-geral'!M1725</f>
        <v>41959244</v>
      </c>
      <c r="N595" s="84">
        <f>'Q100a-geral'!N1725</f>
        <v>46371530</v>
      </c>
      <c r="O595" s="84">
        <f>'Q100a-geral'!O1725</f>
        <v>47851132</v>
      </c>
      <c r="P595" s="246">
        <f>'Q100a-geral'!P1724</f>
        <v>548879965</v>
      </c>
      <c r="Q595" s="246">
        <f>'Q100a-geral'!Q1724</f>
        <v>532276827</v>
      </c>
      <c r="R595" s="246">
        <f>'Q100a-geral'!R1724</f>
        <v>518934301</v>
      </c>
      <c r="S595" s="649" t="str">
        <f>'Q100a-geral'!S1725</f>
        <v>só para pesquisa</v>
      </c>
      <c r="T595" s="246">
        <f>'Q100a-geral'!T1725</f>
        <v>40074402.916666664</v>
      </c>
      <c r="U595" s="246">
        <f>'Q100a-geral'!U1725</f>
        <v>37182412.583333336</v>
      </c>
      <c r="V595" s="107" t="str">
        <f>'Q100a-geral'!V1725</f>
        <v>só para pesquisa</v>
      </c>
      <c r="W595" s="246">
        <f>'Q100a-geral'!W1725</f>
        <v>34810241.416666664</v>
      </c>
      <c r="X595" s="246">
        <f>'Q100a-geral'!X1725</f>
        <v>35261326.75</v>
      </c>
      <c r="Y595" s="246">
        <f>'Q100a-geral'!Y1725</f>
        <v>33603533.416666664</v>
      </c>
      <c r="Z595" s="246">
        <f>'Q100a-geral'!Z1725</f>
        <v>33364358.083333332</v>
      </c>
      <c r="AA595" s="246">
        <f>'Q100a-geral'!AA1725</f>
        <v>34404311.5</v>
      </c>
      <c r="AB595" s="246">
        <f>'Q100a-geral'!AB1725</f>
        <v>35191803.083333336</v>
      </c>
      <c r="AC595" s="246">
        <f>'Q100a-geral'!AC1725</f>
        <v>35234026.333333336</v>
      </c>
      <c r="AD595" s="246">
        <f>'Q100a-geral'!AD1725</f>
        <v>36282343</v>
      </c>
      <c r="AE595" s="246">
        <f>'Q100a-geral'!AE1725</f>
        <v>36928981.916666664</v>
      </c>
      <c r="AF595" s="246">
        <f>'Q100a-geral'!AF1725</f>
        <v>37108619.083333336</v>
      </c>
      <c r="AG595" s="246">
        <f>'Q100a-geral'!AG1725</f>
        <v>37986892.166666664</v>
      </c>
      <c r="AH595" s="246">
        <f>'Q100a-geral'!AH1725</f>
        <v>37768320</v>
      </c>
      <c r="AI595" s="247">
        <f>'Q100a-geral'!AI1725</f>
        <v>36625893.666666664</v>
      </c>
      <c r="AJ595" s="247">
        <f>'Q100a-geral'!AJ1725</f>
        <v>37359671</v>
      </c>
      <c r="AK595" s="137">
        <f>'Q100a-geral'!AK1725</f>
        <v>36578099.75</v>
      </c>
      <c r="AL595" s="215" t="str">
        <f>'Q100a-geral'!AL1725</f>
        <v>x</v>
      </c>
      <c r="AM595" s="137" t="str">
        <f>'Q100a-geral'!AM1725</f>
        <v>x</v>
      </c>
      <c r="AN595" s="137" t="str">
        <f>'Q100a-geral'!AN1725</f>
        <v>x</v>
      </c>
      <c r="AO595" s="137" t="str">
        <f>'Q100a-geral'!AO1725</f>
        <v>x</v>
      </c>
      <c r="AP595" s="137" t="str">
        <f>'Q100a-geral'!AP1725</f>
        <v>x</v>
      </c>
      <c r="AQ595" s="137" t="str">
        <f>'Q100a-geral'!AQ1725</f>
        <v>x</v>
      </c>
      <c r="AR595" s="137"/>
      <c r="AS595" s="137"/>
      <c r="AT595" s="137"/>
      <c r="AU595" s="137"/>
      <c r="AV595" s="137" t="str">
        <f>'Q100a-geral'!AV1725</f>
        <v>x</v>
      </c>
      <c r="AW595" s="137"/>
      <c r="AX595" s="137"/>
      <c r="AY595" s="137"/>
      <c r="AZ595" s="137"/>
      <c r="BA595" s="137" t="str">
        <f>'Q100a-geral'!BA1725</f>
        <v>x</v>
      </c>
      <c r="BB595" s="239" t="str">
        <f>'Q100a-geral'!BB1725</f>
        <v>Transporte convencionalx</v>
      </c>
      <c r="BC595" s="239" t="str">
        <f>'Q100a-geral'!BC1725</f>
        <v>Transporte convencionalxx</v>
      </c>
      <c r="BD595" s="239" t="str">
        <f>'Q100a-geral'!BD1725</f>
        <v>Transporte convencionalx</v>
      </c>
    </row>
    <row r="596" spans="1:56" s="1" customFormat="1" ht="57" customHeight="1" x14ac:dyDescent="0.25">
      <c r="A596" s="275" t="str">
        <f>'Q100a-geral'!A1726</f>
        <v>8.8</v>
      </c>
      <c r="B596" s="54" t="str">
        <f>'Q100a-geral'!B1726</f>
        <v>Transporte em vilas e favelas</v>
      </c>
      <c r="C596" s="230" t="str">
        <f>'Q100a-geral'!C1726</f>
        <v>acessibilidade</v>
      </c>
      <c r="D596" s="240" t="str">
        <f>'Q100a-geral'!D1726</f>
        <v>NP em vilas e favelas (mês)</v>
      </c>
      <c r="E596" s="252" t="str">
        <f>'Q100a-geral'!E1726</f>
        <v>Belo Horizonte</v>
      </c>
      <c r="F596" s="632" t="str">
        <f>'Q100a-geral'!F1726</f>
        <v>n.º de passageiros/mês transportados no sistema de linhas de transporte coletivo que atendem vilas e favelas de Belo Horizonte
obs.1: o resultado deste indicador é parte integrante de NP tcc
obs.2: resultados de 1993-199out.2000 conforme BHTRANS(2000b); de jun.2001 a jun.2005 conforme BHTRANS(2006a, p.7/Tabela 5); de jun.2006 a jun.2009 conforme BHTRANS(2011b, [p.8-9]/Tabela 6
obs.3: como o relatório-fonte foi descontinuado há que se buscar outra fonte para atualizar os resultados
obs.4: acesse o registro "vilas e favelas"</v>
      </c>
      <c r="G596" s="252" t="str">
        <f>'Q100a-geral'!G1726</f>
        <v>registro na fonte</v>
      </c>
      <c r="H596" s="173" t="str">
        <f>'Q100a-geral'!H1726</f>
        <v>x</v>
      </c>
      <c r="I596" s="167">
        <f>'Q100a-geral'!I1726</f>
        <v>1</v>
      </c>
      <c r="J596" s="109" t="str">
        <f>'Q100a-geral'!J1726</f>
        <v>serviço estruturado como tal não existia antes de 1996</v>
      </c>
      <c r="K596" s="109" t="str">
        <f>'Q100a-geral'!K1726</f>
        <v>serviço estruturado como tal não existia antes de 1996</v>
      </c>
      <c r="L596" s="109" t="str">
        <f>'Q100a-geral'!L1726</f>
        <v>serviço estruturado como tal não existia antes de 1996</v>
      </c>
      <c r="M596" s="84" t="str">
        <f>'Q100a-geral'!M1726</f>
        <v>serviço estruturado como tal não existia antes de 1996</v>
      </c>
      <c r="N596" s="84" t="str">
        <f>'Q100a-geral'!N1726</f>
        <v>serviço estruturado como tal não existia antes de 1996</v>
      </c>
      <c r="O596" s="84" t="str">
        <f>'Q100a-geral'!O1726</f>
        <v>serviço estruturado como tal não existia antes de 1996</v>
      </c>
      <c r="P596" s="84" t="str">
        <f>'Q100a-geral'!P1726</f>
        <v>x</v>
      </c>
      <c r="Q596" s="84" t="str">
        <f>'Q100a-geral'!Q1726</f>
        <v>x</v>
      </c>
      <c r="R596" s="84" t="str">
        <f>'Q100a-geral'!R1726</f>
        <v>x</v>
      </c>
      <c r="S596" s="649" t="str">
        <f>'Q100a-geral'!S1726</f>
        <v>só para pesquisa</v>
      </c>
      <c r="T596" s="84" t="str">
        <f>'Q100a-geral'!T1726</f>
        <v>x</v>
      </c>
      <c r="U596" s="84">
        <f>'Q100a-geral'!U1726</f>
        <v>151871</v>
      </c>
      <c r="V596" s="107" t="str">
        <f>'Q100a-geral'!V1726</f>
        <v>só para pesquisa</v>
      </c>
      <c r="W596" s="87">
        <f>'Q100a-geral'!W1726</f>
        <v>124445</v>
      </c>
      <c r="X596" s="87">
        <f>'Q100a-geral'!X1726</f>
        <v>121340</v>
      </c>
      <c r="Y596" s="87">
        <f>'Q100a-geral'!Y1726</f>
        <v>133645</v>
      </c>
      <c r="Z596" s="87">
        <f>'Q100a-geral'!Z1726</f>
        <v>136145</v>
      </c>
      <c r="AA596" s="87">
        <f>'Q100a-geral'!AA1726</f>
        <v>197764</v>
      </c>
      <c r="AB596" s="162">
        <f>'Q100a-geral'!AB1726</f>
        <v>198788</v>
      </c>
      <c r="AC596" s="162">
        <f>'Q100a-geral'!AC1726</f>
        <v>242788</v>
      </c>
      <c r="AD596" s="162">
        <f>'Q100a-geral'!AD1726</f>
        <v>298852</v>
      </c>
      <c r="AE596" s="162">
        <f>'Q100a-geral'!AE1726</f>
        <v>481699</v>
      </c>
      <c r="AF596" s="110" t="str">
        <f>'Q100a-geral'!AF1726</f>
        <v>relatório-fonte descontinuado</v>
      </c>
      <c r="AG596" s="110" t="str">
        <f>'Q100a-geral'!AG1726</f>
        <v>relatório-fonte descontinuado</v>
      </c>
      <c r="AH596" s="110" t="str">
        <f>'Q100a-geral'!AH1726</f>
        <v>relatório-fonte descontinuado</v>
      </c>
      <c r="AI596" s="110" t="str">
        <f>'Q100a-geral'!AI1726</f>
        <v>relatório-fonte descontinuado</v>
      </c>
      <c r="AJ596" s="110" t="str">
        <f>'Q100a-geral'!AJ1726</f>
        <v>relatório-fonte descontinuado</v>
      </c>
      <c r="AK596" s="137" t="str">
        <f>'Q100a-geral'!AK1726</f>
        <v>relatório-fonte descontinuado</v>
      </c>
      <c r="AL596" s="215" t="str">
        <f>'Q100a-geral'!AL1726</f>
        <v>x</v>
      </c>
      <c r="AM596" s="137" t="str">
        <f>'Q100a-geral'!AM1726</f>
        <v>x</v>
      </c>
      <c r="AN596" s="137" t="str">
        <f>'Q100a-geral'!AN1726</f>
        <v>x</v>
      </c>
      <c r="AO596" s="137" t="str">
        <f>'Q100a-geral'!AO1726</f>
        <v>x</v>
      </c>
      <c r="AP596" s="137" t="str">
        <f>'Q100a-geral'!AP1726</f>
        <v>x</v>
      </c>
      <c r="AQ596" s="137" t="str">
        <f>'Q100a-geral'!AQ1726</f>
        <v>x</v>
      </c>
      <c r="AR596" s="137"/>
      <c r="AS596" s="137"/>
      <c r="AT596" s="137"/>
      <c r="AU596" s="137"/>
      <c r="AV596" s="137" t="str">
        <f>'Q100a-geral'!AV1726</f>
        <v>x</v>
      </c>
      <c r="AW596" s="137"/>
      <c r="AX596" s="137"/>
      <c r="AY596" s="137"/>
      <c r="AZ596" s="137"/>
      <c r="BA596" s="137" t="str">
        <f>'Q100a-geral'!BA1726</f>
        <v>x</v>
      </c>
      <c r="BB596" s="239" t="str">
        <f>'Q100a-geral'!BB1726</f>
        <v>Transporte em vilas e favelasacessibilidade</v>
      </c>
      <c r="BC596" s="239" t="str">
        <f>'Q100a-geral'!BC1726</f>
        <v>Transporte em vilas e favelasacessibilidadex</v>
      </c>
      <c r="BD596" s="239" t="str">
        <f>'Q100a-geral'!BD1726</f>
        <v>Transporte em vilas e favelasx</v>
      </c>
    </row>
    <row r="597" spans="1:56" s="1" customFormat="1" ht="120" customHeight="1" x14ac:dyDescent="0.25">
      <c r="A597" s="275" t="str">
        <f>'Q100a-geral'!A1727</f>
        <v>8.8</v>
      </c>
      <c r="B597" s="54" t="str">
        <f>'Q100a-geral'!B1727</f>
        <v>Transporte em vilas e favelas</v>
      </c>
      <c r="C597" s="230" t="str">
        <f>'Q100a-geral'!C1727</f>
        <v>acessibilidade</v>
      </c>
      <c r="D597" s="240" t="str">
        <f>'Q100a-geral'!D1727</f>
        <v>NP
% de passageiros em vilas e favelas</v>
      </c>
      <c r="E597" s="252" t="str">
        <f>'Q100a-geral'!E1727</f>
        <v>Belo Horizonte</v>
      </c>
      <c r="F597" s="632" t="str">
        <f>'Q100a-geral'!F1727</f>
        <v>percentual de passageiros em linhas de vilas e favelas
obs.1: indicador estratégico da BHTrans (BHTRANS, 2015d)
obs.2: resultados de 2001 a 2009 conforme fórmula (NP em vilas e favelas/NP tcc); resultados de 2010-2013 conforme BHTRANS(2015e, p.50) e de 2014 conforme BHTRANS(2016g)
obs.3:  "Percentual de passageiros em linhas de vila e favela = (Somatório do número de passageiros registrados anualmente no sistema de linhas de vilas e favelas / Somatório da quantidade de passageiros registrados no transporte convencional, suplementar e metrô) x 100" conforme BHTRANS(2016g)</v>
      </c>
      <c r="G597" s="11" t="str">
        <f>'Q100a-geral'!G1727</f>
        <v>registro na fonte</v>
      </c>
      <c r="H597" s="173" t="str">
        <f>'Q100a-geral'!H1727</f>
        <v>x</v>
      </c>
      <c r="I597" s="167">
        <f>'Q100a-geral'!I1727</f>
        <v>1</v>
      </c>
      <c r="J597" s="109" t="str">
        <f>'Q100a-geral'!J1727</f>
        <v>serviço estruturado como tal não existia antes de 1996</v>
      </c>
      <c r="K597" s="109" t="str">
        <f>'Q100a-geral'!K1727</f>
        <v>serviço estruturado como tal não existia antes de 1996</v>
      </c>
      <c r="L597" s="109" t="str">
        <f>'Q100a-geral'!L1727</f>
        <v>serviço estruturado como tal não existia antes de 1996</v>
      </c>
      <c r="M597" s="84" t="str">
        <f>'Q100a-geral'!M1727</f>
        <v>serviço estruturado como tal não existia antes de 1996</v>
      </c>
      <c r="N597" s="84" t="str">
        <f>'Q100a-geral'!N1727</f>
        <v>serviço estruturado como tal não existia antes de 1996</v>
      </c>
      <c r="O597" s="84" t="str">
        <f>'Q100a-geral'!O1727</f>
        <v>serviço estruturado como tal não existia antes de 1996</v>
      </c>
      <c r="P597" s="84" t="str">
        <f>'Q100a-geral'!P1727</f>
        <v>x</v>
      </c>
      <c r="Q597" s="84" t="str">
        <f>'Q100a-geral'!Q1727</f>
        <v>x</v>
      </c>
      <c r="R597" s="84" t="str">
        <f>'Q100a-geral'!R1727</f>
        <v>x</v>
      </c>
      <c r="S597" s="649" t="str">
        <f>'Q100a-geral'!S1727</f>
        <v>só para pesquisa</v>
      </c>
      <c r="T597" s="84" t="str">
        <f>'Q100a-geral'!T1727</f>
        <v>x</v>
      </c>
      <c r="U597" s="84">
        <f>'Q100a-geral'!U1727</f>
        <v>4.0844848262502134E-3</v>
      </c>
      <c r="V597" s="107" t="str">
        <f>'Q100a-geral'!V1727</f>
        <v>só para pesquisa</v>
      </c>
      <c r="W597" s="84">
        <f>'Q100a-geral'!W1727</f>
        <v>3.5749536612066542E-3</v>
      </c>
      <c r="X597" s="84">
        <f>'Q100a-geral'!X1727</f>
        <v>3.4411637673276148E-3</v>
      </c>
      <c r="Y597" s="84">
        <f>'Q100a-geral'!Y1727</f>
        <v>3.9771115240433263E-3</v>
      </c>
      <c r="Z597" s="84">
        <f>'Q100a-geral'!Z1727</f>
        <v>4.080552056777295E-3</v>
      </c>
      <c r="AA597" s="84">
        <f>'Q100a-geral'!AA1727</f>
        <v>5.7482330375947209E-3</v>
      </c>
      <c r="AB597" s="84">
        <f>'Q100a-geral'!AB1727</f>
        <v>5.648701759590858E-3</v>
      </c>
      <c r="AC597" s="84">
        <f>'Q100a-geral'!AC1727</f>
        <v>6.8907253943415814E-3</v>
      </c>
      <c r="AD597" s="84">
        <f>'Q100a-geral'!AD1727</f>
        <v>8.2368440207954592E-3</v>
      </c>
      <c r="AE597" s="84">
        <f>'Q100a-geral'!AE1727</f>
        <v>1.3043928508156387E-2</v>
      </c>
      <c r="AF597" s="125">
        <f>'Q100a-geral'!AF1727</f>
        <v>1.5299999999999999E-2</v>
      </c>
      <c r="AG597" s="125">
        <f>'Q100a-geral'!AG1727</f>
        <v>1.49E-2</v>
      </c>
      <c r="AH597" s="125">
        <f>'Q100a-geral'!AH1727</f>
        <v>1.46E-2</v>
      </c>
      <c r="AI597" s="125">
        <f>'Q100a-geral'!AI1727</f>
        <v>1.5100000000000001E-2</v>
      </c>
      <c r="AJ597" s="110">
        <f>'Q100a-geral'!AJ1727</f>
        <v>1.52E-2</v>
      </c>
      <c r="AK597" s="137" t="str">
        <f>'Q100a-geral'!AK1727</f>
        <v>aguardando atualização da fonte</v>
      </c>
      <c r="AL597" s="215" t="str">
        <f>'Q100a-geral'!AL1727</f>
        <v>x</v>
      </c>
      <c r="AM597" s="137" t="str">
        <f>'Q100a-geral'!AM1727</f>
        <v>x</v>
      </c>
      <c r="AN597" s="137" t="str">
        <f>'Q100a-geral'!AN1727</f>
        <v>x</v>
      </c>
      <c r="AO597" s="137" t="str">
        <f>'Q100a-geral'!AO1727</f>
        <v>x</v>
      </c>
      <c r="AP597" s="137" t="str">
        <f>'Q100a-geral'!AP1727</f>
        <v>x</v>
      </c>
      <c r="AQ597" s="137" t="str">
        <f>'Q100a-geral'!AQ1727</f>
        <v>x</v>
      </c>
      <c r="AR597" s="137"/>
      <c r="AS597" s="137"/>
      <c r="AT597" s="137"/>
      <c r="AU597" s="137"/>
      <c r="AV597" s="137" t="str">
        <f>'Q100a-geral'!AV1727</f>
        <v>x</v>
      </c>
      <c r="AW597" s="137"/>
      <c r="AX597" s="137"/>
      <c r="AY597" s="137"/>
      <c r="AZ597" s="137"/>
      <c r="BA597" s="137" t="str">
        <f>'Q100a-geral'!BA1727</f>
        <v>x</v>
      </c>
      <c r="BB597" s="239" t="str">
        <f>'Q100a-geral'!BB1727</f>
        <v>Transporte em vilas e favelasacessibilidade</v>
      </c>
      <c r="BC597" s="239" t="str">
        <f>'Q100a-geral'!BC1727</f>
        <v>Transporte em vilas e favelasacessibilidadex</v>
      </c>
      <c r="BD597" s="239" t="str">
        <f>'Q100a-geral'!BD1727</f>
        <v>Transporte em vilas e favelasx</v>
      </c>
    </row>
    <row r="598" spans="1:56" s="1" customFormat="1" ht="38.25" x14ac:dyDescent="0.25">
      <c r="A598" s="275" t="str">
        <f>'Q100a-geral'!A1738</f>
        <v>8.5</v>
      </c>
      <c r="B598" s="54" t="str">
        <f>'Q100a-geral'!B1738</f>
        <v>Transporte convencional</v>
      </c>
      <c r="C598" s="230" t="str">
        <f>'Q100a-geral'!C1738</f>
        <v>x</v>
      </c>
      <c r="D598" s="37" t="str">
        <f>'Q100a-geral'!D1738</f>
        <v>NVA tcc(ano)</v>
      </c>
      <c r="E598" s="245" t="str">
        <f>'Q100a-geral'!E1738</f>
        <v>Belo Horizonte</v>
      </c>
      <c r="F598" s="632" t="str">
        <f>'Q100a-geral'!F1738</f>
        <v>n.º de viagens atrasadas do transporte coletivo convencional no ano
obs.: resultado de 2010 com o mês de dezembro tomado como referência anual (BHTRANS, 2013e)</v>
      </c>
      <c r="G598" s="252" t="str">
        <f>'Q100a-geral'!G1738</f>
        <v>registro na fonte</v>
      </c>
      <c r="H598" s="173" t="str">
        <f>'Q100a-geral'!H1738</f>
        <v>x</v>
      </c>
      <c r="I598" s="167">
        <f>'Q100a-geral'!I1738</f>
        <v>1</v>
      </c>
      <c r="J598" s="109" t="str">
        <f>'Q100a-geral'!J1738</f>
        <v>x</v>
      </c>
      <c r="K598" s="109" t="str">
        <f>'Q100a-geral'!K1738</f>
        <v>x</v>
      </c>
      <c r="L598" s="109" t="str">
        <f>'Q100a-geral'!L1738</f>
        <v>x</v>
      </c>
      <c r="M598" s="84" t="str">
        <f>'Q100a-geral'!M1738</f>
        <v>x</v>
      </c>
      <c r="N598" s="84" t="str">
        <f>'Q100a-geral'!N1738</f>
        <v>x</v>
      </c>
      <c r="O598" s="84" t="str">
        <f>'Q100a-geral'!O1738</f>
        <v>x</v>
      </c>
      <c r="P598" s="84" t="str">
        <f>'Q100a-geral'!P1738</f>
        <v>x</v>
      </c>
      <c r="Q598" s="84" t="str">
        <f>'Q100a-geral'!Q1738</f>
        <v>x</v>
      </c>
      <c r="R598" s="84" t="str">
        <f>'Q100a-geral'!R1738</f>
        <v>x</v>
      </c>
      <c r="S598" s="649" t="str">
        <f>'Q100a-geral'!S1738</f>
        <v>só para pesquisa</v>
      </c>
      <c r="T598" s="84" t="str">
        <f>'Q100a-geral'!T1738</f>
        <v>x</v>
      </c>
      <c r="U598" s="84" t="str">
        <f>'Q100a-geral'!U1738</f>
        <v>x</v>
      </c>
      <c r="V598" s="107" t="str">
        <f>'Q100a-geral'!V1738</f>
        <v>só para pesquisa</v>
      </c>
      <c r="W598" s="84" t="str">
        <f>'Q100a-geral'!W1738</f>
        <v>x</v>
      </c>
      <c r="X598" s="84" t="str">
        <f>'Q100a-geral'!X1738</f>
        <v>x</v>
      </c>
      <c r="Y598" s="84" t="str">
        <f>'Q100a-geral'!Y1738</f>
        <v>x</v>
      </c>
      <c r="Z598" s="84" t="str">
        <f>'Q100a-geral'!Z1738</f>
        <v>x</v>
      </c>
      <c r="AA598" s="84" t="str">
        <f>'Q100a-geral'!AA1738</f>
        <v>x</v>
      </c>
      <c r="AB598" s="84" t="str">
        <f>'Q100a-geral'!AB1738</f>
        <v>x</v>
      </c>
      <c r="AC598" s="84" t="str">
        <f>'Q100a-geral'!AC1738</f>
        <v>x</v>
      </c>
      <c r="AD598" s="84" t="str">
        <f>'Q100a-geral'!AD1738</f>
        <v>x</v>
      </c>
      <c r="AE598" s="84" t="str">
        <f>'Q100a-geral'!AE1738</f>
        <v>x</v>
      </c>
      <c r="AF598" s="92">
        <f>'Q100a-geral'!AF1738</f>
        <v>119763</v>
      </c>
      <c r="AG598" s="84" t="str">
        <f>'Q100a-geral'!AG1738</f>
        <v>aguardando atualização da fonte</v>
      </c>
      <c r="AH598" s="84" t="str">
        <f>'Q100a-geral'!AH1738</f>
        <v>aguardando atualização da fonte</v>
      </c>
      <c r="AI598" s="110" t="str">
        <f>'Q100a-geral'!AI1738</f>
        <v>aguardando atualização da fonte</v>
      </c>
      <c r="AJ598" s="110" t="str">
        <f>'Q100a-geral'!AJ1738</f>
        <v>aguardando atualização da fonte</v>
      </c>
      <c r="AK598" s="137" t="str">
        <f>'Q100a-geral'!AK1738</f>
        <v>aguardando atualização da fonte</v>
      </c>
      <c r="AL598" s="167" t="str">
        <f>'Q100a-geral'!AL1738</f>
        <v>x</v>
      </c>
      <c r="AM598" s="137">
        <f>'Q100a-geral'!AM1738</f>
        <v>0</v>
      </c>
      <c r="AN598" s="137">
        <f>'Q100a-geral'!AN1738</f>
        <v>0</v>
      </c>
      <c r="AO598" s="137">
        <f>'Q100a-geral'!AO1738</f>
        <v>0</v>
      </c>
      <c r="AP598" s="137">
        <f>'Q100a-geral'!AP1738</f>
        <v>0</v>
      </c>
      <c r="AQ598" s="137">
        <f>'Q100a-geral'!AQ1738</f>
        <v>0</v>
      </c>
      <c r="AR598" s="137"/>
      <c r="AS598" s="137"/>
      <c r="AT598" s="137"/>
      <c r="AU598" s="137"/>
      <c r="AV598" s="137">
        <f>'Q100a-geral'!AV1738</f>
        <v>0</v>
      </c>
      <c r="AW598" s="137"/>
      <c r="AX598" s="137"/>
      <c r="AY598" s="137"/>
      <c r="AZ598" s="137"/>
      <c r="BA598" s="137">
        <f>'Q100a-geral'!BA1738</f>
        <v>0</v>
      </c>
      <c r="BB598" s="239" t="str">
        <f>'Q100a-geral'!BB1738</f>
        <v>Transporte convencionalx</v>
      </c>
      <c r="BC598" s="239" t="str">
        <f>'Q100a-geral'!BC1738</f>
        <v>Transporte convencionalxx</v>
      </c>
      <c r="BD598" s="239" t="str">
        <f>'Q100a-geral'!BD1738</f>
        <v>Transporte convencionalx</v>
      </c>
    </row>
    <row r="599" spans="1:56" s="1" customFormat="1" ht="25.5" x14ac:dyDescent="0.25">
      <c r="A599" s="275" t="str">
        <f>'Q100a-geral'!A1739</f>
        <v>8.5</v>
      </c>
      <c r="B599" s="54" t="str">
        <f>'Q100a-geral'!B1739</f>
        <v>Transporte convencional</v>
      </c>
      <c r="C599" s="230" t="str">
        <f>'Q100a-geral'!C1739</f>
        <v>x</v>
      </c>
      <c r="D599" s="37" t="str">
        <f>'Q100a-geral'!D1739</f>
        <v>NVA tcc(mês)</v>
      </c>
      <c r="E599" s="245" t="str">
        <f>'Q100a-geral'!E1739</f>
        <v>Belo Horizonte</v>
      </c>
      <c r="F599" s="632" t="str">
        <f>'Q100a-geral'!F1739</f>
        <v>média mensal do n.º de viagens atrasadas do transporte coletivo convencional</v>
      </c>
      <c r="G599" s="245" t="str">
        <f>'Q100a-geral'!G1739</f>
        <v>NVA tcc(ano) / 12</v>
      </c>
      <c r="H599" s="173" t="str">
        <f>'Q100a-geral'!H1739</f>
        <v>x</v>
      </c>
      <c r="I599" s="167">
        <f>'Q100a-geral'!I1739</f>
        <v>1</v>
      </c>
      <c r="J599" s="107" t="str">
        <f>'Q100a-geral'!J1739</f>
        <v>x</v>
      </c>
      <c r="K599" s="107" t="str">
        <f>'Q100a-geral'!K1739</f>
        <v>x</v>
      </c>
      <c r="L599" s="107" t="str">
        <f>'Q100a-geral'!L1739</f>
        <v>x</v>
      </c>
      <c r="M599" s="84" t="str">
        <f>'Q100a-geral'!M1739</f>
        <v>x</v>
      </c>
      <c r="N599" s="84" t="str">
        <f>'Q100a-geral'!N1739</f>
        <v>x</v>
      </c>
      <c r="O599" s="84" t="str">
        <f>'Q100a-geral'!O1739</f>
        <v>x</v>
      </c>
      <c r="P599" s="23" t="str">
        <f>'Q100a-geral'!P1739</f>
        <v>x</v>
      </c>
      <c r="Q599" s="23" t="str">
        <f>'Q100a-geral'!Q1739</f>
        <v>x</v>
      </c>
      <c r="R599" s="23" t="str">
        <f>'Q100a-geral'!R1739</f>
        <v>x</v>
      </c>
      <c r="S599" s="649" t="str">
        <f>'Q100a-geral'!S1739</f>
        <v>só para pesquisa</v>
      </c>
      <c r="T599" s="23" t="str">
        <f>'Q100a-geral'!T1739</f>
        <v>x</v>
      </c>
      <c r="U599" s="23" t="str">
        <f>'Q100a-geral'!U1739</f>
        <v>x</v>
      </c>
      <c r="V599" s="107" t="str">
        <f>'Q100a-geral'!V1739</f>
        <v>só para pesquisa</v>
      </c>
      <c r="W599" s="23" t="str">
        <f>'Q100a-geral'!W1739</f>
        <v>x</v>
      </c>
      <c r="X599" s="23" t="str">
        <f>'Q100a-geral'!X1739</f>
        <v>x</v>
      </c>
      <c r="Y599" s="23" t="str">
        <f>'Q100a-geral'!Y1739</f>
        <v>x</v>
      </c>
      <c r="Z599" s="23" t="str">
        <f>'Q100a-geral'!Z1739</f>
        <v>x</v>
      </c>
      <c r="AA599" s="23" t="str">
        <f>'Q100a-geral'!AA1739</f>
        <v>x</v>
      </c>
      <c r="AB599" s="23" t="str">
        <f>'Q100a-geral'!AB1739</f>
        <v>x</v>
      </c>
      <c r="AC599" s="23" t="str">
        <f>'Q100a-geral'!AC1739</f>
        <v>x</v>
      </c>
      <c r="AD599" s="23" t="str">
        <f>'Q100a-geral'!AD1739</f>
        <v>x</v>
      </c>
      <c r="AE599" s="23" t="str">
        <f>'Q100a-geral'!AE1739</f>
        <v>x</v>
      </c>
      <c r="AF599" s="20">
        <f>'Q100a-geral'!AF1739</f>
        <v>9980.25</v>
      </c>
      <c r="AG599" s="23" t="e">
        <f>'Q100a-geral'!AG1739</f>
        <v>#VALUE!</v>
      </c>
      <c r="AH599" s="23" t="e">
        <f>'Q100a-geral'!AH1739</f>
        <v>#VALUE!</v>
      </c>
      <c r="AI599" s="244" t="e">
        <f>'Q100a-geral'!AI1739</f>
        <v>#VALUE!</v>
      </c>
      <c r="AJ599" s="244" t="e">
        <f>'Q100a-geral'!AJ1739</f>
        <v>#VALUE!</v>
      </c>
      <c r="AK599" s="137" t="e">
        <f>'Q100a-geral'!AK1739</f>
        <v>#VALUE!</v>
      </c>
      <c r="AL599" s="213" t="str">
        <f>'Q100a-geral'!AL1739</f>
        <v>x</v>
      </c>
      <c r="AM599" s="137" t="str">
        <f>'Q100a-geral'!AM1739</f>
        <v>x</v>
      </c>
      <c r="AN599" s="137" t="str">
        <f>'Q100a-geral'!AN1739</f>
        <v>x</v>
      </c>
      <c r="AO599" s="137" t="str">
        <f>'Q100a-geral'!AO1739</f>
        <v>x</v>
      </c>
      <c r="AP599" s="137" t="str">
        <f>'Q100a-geral'!AP1739</f>
        <v>x</v>
      </c>
      <c r="AQ599" s="137" t="str">
        <f>'Q100a-geral'!AQ1739</f>
        <v>x</v>
      </c>
      <c r="AR599" s="137"/>
      <c r="AS599" s="137"/>
      <c r="AT599" s="137"/>
      <c r="AU599" s="137"/>
      <c r="AV599" s="137" t="str">
        <f>'Q100a-geral'!AV1739</f>
        <v>x</v>
      </c>
      <c r="AW599" s="137"/>
      <c r="AX599" s="137"/>
      <c r="AY599" s="137"/>
      <c r="AZ599" s="137"/>
      <c r="BA599" s="137" t="str">
        <f>'Q100a-geral'!BA1739</f>
        <v>x</v>
      </c>
      <c r="BB599" s="239" t="str">
        <f>'Q100a-geral'!BB1739</f>
        <v>Transporte convencionalx</v>
      </c>
      <c r="BC599" s="239" t="str">
        <f>'Q100a-geral'!BC1739</f>
        <v>Transporte convencionalxx</v>
      </c>
      <c r="BD599" s="239" t="str">
        <f>'Q100a-geral'!BD1739</f>
        <v>Transporte convencionalx</v>
      </c>
    </row>
    <row r="600" spans="1:56" s="1" customFormat="1" ht="38.25" x14ac:dyDescent="0.25">
      <c r="A600" s="275" t="str">
        <f>'Q100a-geral'!A1740</f>
        <v>8.5</v>
      </c>
      <c r="B600" s="54" t="str">
        <f>'Q100a-geral'!B1740</f>
        <v>Transporte convencional</v>
      </c>
      <c r="C600" s="230" t="str">
        <f>'Q100a-geral'!C1740</f>
        <v>x</v>
      </c>
      <c r="D600" s="37" t="str">
        <f>'Q100a-geral'!D1740</f>
        <v>NVE tcc(ano)</v>
      </c>
      <c r="E600" s="245" t="str">
        <f>'Q100a-geral'!E1740</f>
        <v>Belo Horizonte</v>
      </c>
      <c r="F600" s="632" t="str">
        <f>'Q100a-geral'!F1740</f>
        <v>n.º de viagens especificadas do transporte coletivo convencional no ano
obs.: resultados de 2006 a 2012 em BHTRANS (2013e)</v>
      </c>
      <c r="G600" s="252" t="str">
        <f>'Q100a-geral'!G1740</f>
        <v>registro na fonte
∑ NVE tcc (janeiro a dezembro)</v>
      </c>
      <c r="H600" s="173" t="str">
        <f>'Q100a-geral'!H1740</f>
        <v>x</v>
      </c>
      <c r="I600" s="167">
        <f>'Q100a-geral'!I1740</f>
        <v>1</v>
      </c>
      <c r="J600" s="107" t="str">
        <f>'Q100a-geral'!J1740</f>
        <v>x</v>
      </c>
      <c r="K600" s="107" t="str">
        <f>'Q100a-geral'!K1740</f>
        <v>x</v>
      </c>
      <c r="L600" s="107" t="str">
        <f>'Q100a-geral'!L1740</f>
        <v>x</v>
      </c>
      <c r="M600" s="84" t="str">
        <f>'Q100a-geral'!M1740</f>
        <v>x</v>
      </c>
      <c r="N600" s="84" t="str">
        <f>'Q100a-geral'!N1740</f>
        <v>x</v>
      </c>
      <c r="O600" s="84" t="str">
        <f>'Q100a-geral'!O1740</f>
        <v>x</v>
      </c>
      <c r="P600" s="84" t="str">
        <f>'Q100a-geral'!P1740</f>
        <v>x</v>
      </c>
      <c r="Q600" s="84" t="str">
        <f>'Q100a-geral'!Q1740</f>
        <v>x</v>
      </c>
      <c r="R600" s="84" t="str">
        <f>'Q100a-geral'!R1740</f>
        <v>x</v>
      </c>
      <c r="S600" s="649" t="str">
        <f>'Q100a-geral'!S1740</f>
        <v>só para pesquisa</v>
      </c>
      <c r="T600" s="84" t="str">
        <f>'Q100a-geral'!T1740</f>
        <v>x</v>
      </c>
      <c r="U600" s="84" t="str">
        <f>'Q100a-geral'!U1740</f>
        <v>x</v>
      </c>
      <c r="V600" s="107" t="str">
        <f>'Q100a-geral'!V1740</f>
        <v>só para pesquisa</v>
      </c>
      <c r="W600" s="84" t="str">
        <f>'Q100a-geral'!W1740</f>
        <v>x</v>
      </c>
      <c r="X600" s="84" t="str">
        <f>'Q100a-geral'!X1740</f>
        <v>x</v>
      </c>
      <c r="Y600" s="84" t="str">
        <f>'Q100a-geral'!Y1740</f>
        <v>x</v>
      </c>
      <c r="Z600" s="84" t="str">
        <f>'Q100a-geral'!Z1740</f>
        <v>x</v>
      </c>
      <c r="AA600" s="84" t="str">
        <f>'Q100a-geral'!AA1740</f>
        <v>x</v>
      </c>
      <c r="AB600" s="87">
        <f>'Q100a-geral'!AB1740</f>
        <v>8738375</v>
      </c>
      <c r="AC600" s="87">
        <f>'Q100a-geral'!AC1740</f>
        <v>8717324</v>
      </c>
      <c r="AD600" s="87">
        <f>'Q100a-geral'!AD1740</f>
        <v>9014501</v>
      </c>
      <c r="AE600" s="87">
        <f>'Q100a-geral'!AE1740</f>
        <v>9167357</v>
      </c>
      <c r="AF600" s="87">
        <f>'Q100a-geral'!AF1740</f>
        <v>8851938</v>
      </c>
      <c r="AG600" s="87">
        <f>'Q100a-geral'!AG1740</f>
        <v>8753638</v>
      </c>
      <c r="AH600" s="87">
        <f>'Q100a-geral'!AH1740</f>
        <v>8727837</v>
      </c>
      <c r="AI600" s="242" t="str">
        <f>'Q100a-geral'!AI1740</f>
        <v>aguardando atualização da fonte</v>
      </c>
      <c r="AJ600" s="242" t="str">
        <f>'Q100a-geral'!AJ1740</f>
        <v>aguardando atualização da fonte</v>
      </c>
      <c r="AK600" s="137" t="str">
        <f>'Q100a-geral'!AK1740</f>
        <v>aguardando atualização da fonte</v>
      </c>
      <c r="AL600" s="215" t="str">
        <f>'Q100a-geral'!AL1740</f>
        <v>x</v>
      </c>
      <c r="AM600" s="137" t="str">
        <f>'Q100a-geral'!AM1740</f>
        <v>x</v>
      </c>
      <c r="AN600" s="137" t="str">
        <f>'Q100a-geral'!AN1740</f>
        <v>x</v>
      </c>
      <c r="AO600" s="137" t="str">
        <f>'Q100a-geral'!AO1740</f>
        <v>x</v>
      </c>
      <c r="AP600" s="137" t="str">
        <f>'Q100a-geral'!AP1740</f>
        <v>x</v>
      </c>
      <c r="AQ600" s="137" t="str">
        <f>'Q100a-geral'!AQ1740</f>
        <v>x</v>
      </c>
      <c r="AR600" s="137"/>
      <c r="AS600" s="137"/>
      <c r="AT600" s="137"/>
      <c r="AU600" s="137"/>
      <c r="AV600" s="137" t="str">
        <f>'Q100a-geral'!AV1740</f>
        <v>x</v>
      </c>
      <c r="AW600" s="137"/>
      <c r="AX600" s="137"/>
      <c r="AY600" s="137"/>
      <c r="AZ600" s="137"/>
      <c r="BA600" s="137" t="str">
        <f>'Q100a-geral'!BA1740</f>
        <v>x</v>
      </c>
      <c r="BB600" s="239" t="str">
        <f>'Q100a-geral'!BB1740</f>
        <v>Transporte convencionalx</v>
      </c>
      <c r="BC600" s="239" t="str">
        <f>'Q100a-geral'!BC1740</f>
        <v>Transporte convencionalxx</v>
      </c>
      <c r="BD600" s="239" t="str">
        <f>'Q100a-geral'!BD1740</f>
        <v>Transporte convencionalx</v>
      </c>
    </row>
    <row r="601" spans="1:56" s="1" customFormat="1" ht="25.5" x14ac:dyDescent="0.25">
      <c r="A601" s="275" t="str">
        <f>'Q100a-geral'!A1741</f>
        <v>8.5</v>
      </c>
      <c r="B601" s="54" t="str">
        <f>'Q100a-geral'!B1741</f>
        <v>Transporte convencional</v>
      </c>
      <c r="C601" s="230" t="str">
        <f>'Q100a-geral'!C1741</f>
        <v>x</v>
      </c>
      <c r="D601" s="37" t="str">
        <f>'Q100a-geral'!D1741</f>
        <v>NVE tcc(mês)</v>
      </c>
      <c r="E601" s="245" t="str">
        <f>'Q100a-geral'!E1741</f>
        <v>Belo Horizonte</v>
      </c>
      <c r="F601" s="632" t="str">
        <f>'Q100a-geral'!F1741</f>
        <v>média mensal do n.º de viagens especificadas do transporte coletivo convencional no ano</v>
      </c>
      <c r="G601" s="245" t="str">
        <f>'Q100a-geral'!G1741</f>
        <v>NVE tcc(ano) / 12</v>
      </c>
      <c r="H601" s="173" t="str">
        <f>'Q100a-geral'!H1741</f>
        <v>x</v>
      </c>
      <c r="I601" s="167">
        <f>'Q100a-geral'!I1741</f>
        <v>1</v>
      </c>
      <c r="J601" s="109" t="str">
        <f>'Q100a-geral'!J1741</f>
        <v>x</v>
      </c>
      <c r="K601" s="109" t="str">
        <f>'Q100a-geral'!K1741</f>
        <v>x</v>
      </c>
      <c r="L601" s="109" t="str">
        <f>'Q100a-geral'!L1741</f>
        <v>x</v>
      </c>
      <c r="M601" s="84" t="str">
        <f>'Q100a-geral'!M1741</f>
        <v>x</v>
      </c>
      <c r="N601" s="84" t="str">
        <f>'Q100a-geral'!N1741</f>
        <v>x</v>
      </c>
      <c r="O601" s="84" t="str">
        <f>'Q100a-geral'!O1741</f>
        <v>x</v>
      </c>
      <c r="P601" s="84" t="str">
        <f>'Q100a-geral'!P1741</f>
        <v>x</v>
      </c>
      <c r="Q601" s="84" t="str">
        <f>'Q100a-geral'!Q1741</f>
        <v>x</v>
      </c>
      <c r="R601" s="84" t="str">
        <f>'Q100a-geral'!R1741</f>
        <v>x</v>
      </c>
      <c r="S601" s="649" t="str">
        <f>'Q100a-geral'!S1741</f>
        <v>só para pesquisa</v>
      </c>
      <c r="T601" s="84" t="str">
        <f>'Q100a-geral'!T1741</f>
        <v>x</v>
      </c>
      <c r="U601" s="84" t="str">
        <f>'Q100a-geral'!U1741</f>
        <v>x</v>
      </c>
      <c r="V601" s="107" t="str">
        <f>'Q100a-geral'!V1741</f>
        <v>só para pesquisa</v>
      </c>
      <c r="W601" s="23" t="str">
        <f>'Q100a-geral'!W1741</f>
        <v>x</v>
      </c>
      <c r="X601" s="23" t="str">
        <f>'Q100a-geral'!X1741</f>
        <v>x</v>
      </c>
      <c r="Y601" s="23" t="str">
        <f>'Q100a-geral'!Y1741</f>
        <v>x</v>
      </c>
      <c r="Z601" s="23" t="str">
        <f>'Q100a-geral'!Z1741</f>
        <v>x</v>
      </c>
      <c r="AA601" s="23" t="str">
        <f>'Q100a-geral'!AA1741</f>
        <v>x</v>
      </c>
      <c r="AB601" s="20">
        <f>'Q100a-geral'!AB1741</f>
        <v>728197.91666666663</v>
      </c>
      <c r="AC601" s="20">
        <f>'Q100a-geral'!AC1741</f>
        <v>726443.66666666663</v>
      </c>
      <c r="AD601" s="20">
        <f>'Q100a-geral'!AD1741</f>
        <v>751208.41666666663</v>
      </c>
      <c r="AE601" s="20">
        <f>'Q100a-geral'!AE1741</f>
        <v>763946.41666666663</v>
      </c>
      <c r="AF601" s="20">
        <f>'Q100a-geral'!AF1741</f>
        <v>737661.5</v>
      </c>
      <c r="AG601" s="20">
        <f>'Q100a-geral'!AG1741</f>
        <v>729469.83333333337</v>
      </c>
      <c r="AH601" s="20">
        <f>'Q100a-geral'!AH1741</f>
        <v>727319.75</v>
      </c>
      <c r="AI601" s="244" t="e">
        <f>'Q100a-geral'!AI1741</f>
        <v>#VALUE!</v>
      </c>
      <c r="AJ601" s="244" t="e">
        <f>'Q100a-geral'!AJ1741</f>
        <v>#VALUE!</v>
      </c>
      <c r="AK601" s="137" t="e">
        <f>'Q100a-geral'!AK1741</f>
        <v>#VALUE!</v>
      </c>
      <c r="AL601" s="215" t="str">
        <f>'Q100a-geral'!AL1741</f>
        <v>x</v>
      </c>
      <c r="AM601" s="137" t="str">
        <f>'Q100a-geral'!AM1741</f>
        <v>x</v>
      </c>
      <c r="AN601" s="137" t="str">
        <f>'Q100a-geral'!AN1741</f>
        <v>x</v>
      </c>
      <c r="AO601" s="137" t="str">
        <f>'Q100a-geral'!AO1741</f>
        <v>x</v>
      </c>
      <c r="AP601" s="137" t="str">
        <f>'Q100a-geral'!AP1741</f>
        <v>x</v>
      </c>
      <c r="AQ601" s="137" t="str">
        <f>'Q100a-geral'!AQ1741</f>
        <v>x</v>
      </c>
      <c r="AR601" s="137"/>
      <c r="AS601" s="137"/>
      <c r="AT601" s="137"/>
      <c r="AU601" s="137"/>
      <c r="AV601" s="137" t="str">
        <f>'Q100a-geral'!AV1741</f>
        <v>x</v>
      </c>
      <c r="AW601" s="137"/>
      <c r="AX601" s="137"/>
      <c r="AY601" s="137"/>
      <c r="AZ601" s="137"/>
      <c r="BA601" s="137" t="str">
        <f>'Q100a-geral'!BA1741</f>
        <v>x</v>
      </c>
      <c r="BB601" s="239" t="str">
        <f>'Q100a-geral'!BB1741</f>
        <v>Transporte convencionalx</v>
      </c>
      <c r="BC601" s="239" t="str">
        <f>'Q100a-geral'!BC1741</f>
        <v>Transporte convencionalxx</v>
      </c>
      <c r="BD601" s="239" t="str">
        <f>'Q100a-geral'!BD1741</f>
        <v>Transporte convencionalx</v>
      </c>
    </row>
    <row r="602" spans="1:56" s="1" customFormat="1" ht="292.5" x14ac:dyDescent="0.25">
      <c r="A602" s="275" t="str">
        <f>'Q100a-geral'!A1750</f>
        <v>8.5</v>
      </c>
      <c r="B602" s="54" t="str">
        <f>'Q100a-geral'!B1750</f>
        <v>Transporte convencional</v>
      </c>
      <c r="C602" s="230" t="str">
        <f>'Q100a-geral'!C1750</f>
        <v>acessibilidade</v>
      </c>
      <c r="D602" s="249" t="str">
        <f>'Q100a-geral'!D1750</f>
        <v>NVR tcc fc
(%)</v>
      </c>
      <c r="E602" s="250" t="str">
        <f>'Q100a-geral'!E1750</f>
        <v>Belo Horizonte</v>
      </c>
      <c r="F602" s="632" t="str">
        <f>'Q100a-geral'!F1750</f>
        <v>percentual de viagens realizadas, dentre as programadas, no transporte convencional de Belo Horizonte nas quais no veículo utilizado há alguma facilidade para pessoas com deficiência, mesmo que essa facilidade não permita classificar a viagem ofertada como acessível, por meio de embarque em nível (desenho universal) ou de elevador hidráulico instalado no veículo (de uso exclusivo ou não para cadeirantes) 
obs.1: acesse "% de ônibus com alguma facilidade (BH)" / obs.2: indicador do ObsMob-BH com o nome "percentual da frota do transporte coletivo com acessibilidade" / obs.3: indicador estratégico da BHTrans (BHTRANS, 2015d) nomeado como "percentual de viagens com acessibilidade no transporte coletivo convencional"e resultados anuais relativos ao período 2010-2013 conforme BHTRANS(2014a; 2015e, p.49) / obs.4: indicador nomeado como "percentual de viagens com acessibilidade no transporte coletivo convencional" (mesmo nome do citado na obs. anterior) com fórmula "([Número de viagens realizadas acessíveis. ] / [Quantidade mensal de viagens especificadas no QRO]) x 100" e resultadosdo período 2014-2015 corforme BH(2016j1/j2/j5) / obs.5: na busca de eliminar inconsistências, o SisMob-BH coteja os resultados deste indicador com os de "F tcc fc" (acesse) / obs.6: "Em três anos, o percentual de viagens com acessibilidade dobrou, com aumento de trinta pontos percentuais. As viagens com acessibilidade são as viagens realizadas em ônibus de piso baixo ou que possuem elevador. [...] Somatório da quantidade de viagens do transporte coletivo com acessibilidade (piso baixo ou elevador) / Somatório total de viagens do transporte coletivo X 100" conforme BHTRANS(2015e, p.49) / obs.7: "Quando o ObsMob-BH publica, como fez, uma análise de que os resultados do indicador de acessibilidade atestariam uma grande melhoria no quesito, estamos diante de um paradoxo. Afinal, não é isto que as pessoas com mobilidade reduzida percebem. Se o percentual de viagens acessíveis tivesse efetivamente dobrado em apenas três anos, como está afirmado no Balanço 2014, isto permitiria à sociedade concluir que as ações em curso estariam surtindo efeito. Se assim fosse, não haveria necessidade de novas ações e bastaria continuar monitorando os resultados do indicador. Como claro ficou que o indicador selecionado não é capaz de medir o que se propõe, estamos diante de uma conclusão equivocada que mais atrapalha do que ajuda no processo de inclusão social." conforme OLIVEIRA(2015c) /obs.8: "Os resultados publicados sobre esse assunto, portanto, precisam conter mais elementos, e seus elementos precisam estar mais desagregados, para que sejam capazes de gerar os imputs necessários à pretendida elaboração do Plano de Acessibilidade como parte integrante da revisão do PlanMob-BH" conforme OLIVEIRA(2015d, p.12)</v>
      </c>
      <c r="G602" s="252" t="str">
        <f>'Q100a-geral'!G1750</f>
        <v>registro na fonte</v>
      </c>
      <c r="H602" s="173" t="str">
        <f>'Q100a-geral'!H1750</f>
        <v>x</v>
      </c>
      <c r="I602" s="167">
        <f>'Q100a-geral'!I1750</f>
        <v>1</v>
      </c>
      <c r="J602" s="109" t="str">
        <f>'Q100a-geral'!J1750</f>
        <v>x</v>
      </c>
      <c r="K602" s="109" t="str">
        <f>'Q100a-geral'!K1750</f>
        <v>x</v>
      </c>
      <c r="L602" s="109" t="str">
        <f>'Q100a-geral'!L1750</f>
        <v>x</v>
      </c>
      <c r="M602" s="84" t="str">
        <f>'Q100a-geral'!M1750</f>
        <v>x</v>
      </c>
      <c r="N602" s="84" t="str">
        <f>'Q100a-geral'!N1750</f>
        <v>x</v>
      </c>
      <c r="O602" s="84" t="str">
        <f>'Q100a-geral'!O1750</f>
        <v>x</v>
      </c>
      <c r="P602" s="84" t="str">
        <f>'Q100a-geral'!P1750</f>
        <v>x</v>
      </c>
      <c r="Q602" s="84" t="str">
        <f>'Q100a-geral'!Q1750</f>
        <v>x</v>
      </c>
      <c r="R602" s="84" t="str">
        <f>'Q100a-geral'!R1750</f>
        <v>x</v>
      </c>
      <c r="S602" s="649" t="str">
        <f>'Q100a-geral'!S1750</f>
        <v>só para pesquisa</v>
      </c>
      <c r="T602" s="84" t="str">
        <f>'Q100a-geral'!T1750</f>
        <v>x</v>
      </c>
      <c r="U602" s="84" t="str">
        <f>'Q100a-geral'!U1750</f>
        <v>x</v>
      </c>
      <c r="V602" s="107" t="str">
        <f>'Q100a-geral'!V1750</f>
        <v>só para pesquisa</v>
      </c>
      <c r="W602" s="84" t="str">
        <f>'Q100a-geral'!W1750</f>
        <v>x</v>
      </c>
      <c r="X602" s="84" t="str">
        <f>'Q100a-geral'!X1750</f>
        <v>x</v>
      </c>
      <c r="Y602" s="84" t="str">
        <f>'Q100a-geral'!Y1750</f>
        <v>x</v>
      </c>
      <c r="Z602" s="84" t="str">
        <f>'Q100a-geral'!Z1750</f>
        <v>x</v>
      </c>
      <c r="AA602" s="84" t="str">
        <f>'Q100a-geral'!AA1750</f>
        <v>x</v>
      </c>
      <c r="AB602" s="84" t="str">
        <f>'Q100a-geral'!AB1750</f>
        <v>x</v>
      </c>
      <c r="AC602" s="84" t="str">
        <f>'Q100a-geral'!AC1750</f>
        <v>x</v>
      </c>
      <c r="AD602" s="84" t="str">
        <f>'Q100a-geral'!AD1750</f>
        <v>x</v>
      </c>
      <c r="AE602" s="84" t="str">
        <f>'Q100a-geral'!AE1750</f>
        <v>x</v>
      </c>
      <c r="AF602" s="125" t="str">
        <f>'Q100a-geral'!AF1750</f>
        <v>29,8%</v>
      </c>
      <c r="AG602" s="84" t="str">
        <f>'Q100a-geral'!AG1750</f>
        <v>43,5%</v>
      </c>
      <c r="AH602" s="84" t="str">
        <f>'Q100a-geral'!AH1750</f>
        <v>53,9%</v>
      </c>
      <c r="AI602" s="125" t="str">
        <f>'Q100a-geral'!AI1750</f>
        <v>59,4%</v>
      </c>
      <c r="AJ602" s="84" t="str">
        <f>'Q100a-geral'!AJ1750</f>
        <v>68,2%</v>
      </c>
      <c r="AK602" s="137" t="str">
        <f>'Q100a-geral'!AK1750</f>
        <v>75,19%</v>
      </c>
      <c r="AL602" s="213" t="str">
        <f>'Q100a-geral'!AL1750</f>
        <v>x</v>
      </c>
      <c r="AM602" s="137" t="str">
        <f>'Q100a-geral'!AM1750</f>
        <v>x</v>
      </c>
      <c r="AN602" s="137" t="str">
        <f>'Q100a-geral'!AN1750</f>
        <v>x</v>
      </c>
      <c r="AO602" s="137" t="str">
        <f>'Q100a-geral'!AO1750</f>
        <v>x</v>
      </c>
      <c r="AP602" s="137" t="str">
        <f>'Q100a-geral'!AP1750</f>
        <v>x</v>
      </c>
      <c r="AQ602" s="137" t="str">
        <f>'Q100a-geral'!AQ1750</f>
        <v>x</v>
      </c>
      <c r="AR602" s="137"/>
      <c r="AS602" s="137"/>
      <c r="AT602" s="137"/>
      <c r="AU602" s="137"/>
      <c r="AV602" s="137" t="str">
        <f>'Q100a-geral'!AV1750</f>
        <v>x</v>
      </c>
      <c r="AW602" s="137"/>
      <c r="AX602" s="137"/>
      <c r="AY602" s="137"/>
      <c r="AZ602" s="137"/>
      <c r="BA602" s="137" t="str">
        <f>'Q100a-geral'!BA1750</f>
        <v>x</v>
      </c>
      <c r="BB602" s="239" t="str">
        <f>'Q100a-geral'!BB1750</f>
        <v>Transporte convencionalacessibilidade</v>
      </c>
      <c r="BC602" s="239" t="str">
        <f>'Q100a-geral'!BC1750</f>
        <v>Transporte convencionalacessibilidadex</v>
      </c>
      <c r="BD602" s="239" t="str">
        <f>'Q100a-geral'!BD1750</f>
        <v>Transporte convencionalx</v>
      </c>
    </row>
    <row r="603" spans="1:56" s="1" customFormat="1" ht="25.5" x14ac:dyDescent="0.25">
      <c r="A603" s="275" t="str">
        <f>'Q100a-geral'!A1742</f>
        <v>8.5</v>
      </c>
      <c r="B603" s="54" t="str">
        <f>'Q100a-geral'!B1742</f>
        <v>Transporte convencional</v>
      </c>
      <c r="C603" s="230" t="str">
        <f>'Q100a-geral'!C1742</f>
        <v>x</v>
      </c>
      <c r="D603" s="37" t="str">
        <f>'Q100a-geral'!D1742</f>
        <v>NVO tcc(ano)
(n.º)</v>
      </c>
      <c r="E603" s="245" t="str">
        <f>'Q100a-geral'!E1742</f>
        <v>Belo Horizonte</v>
      </c>
      <c r="F603" s="632" t="str">
        <f>'Q100a-geral'!F1742</f>
        <v>n.º de viagens omitidas do transporte coletivo convencional por ano
obs.: resultado de 2010 com o mês de dezembro tomado como referência anual (BHTRANS, 2013e)</v>
      </c>
      <c r="G603" s="252" t="str">
        <f>'Q100a-geral'!G1742</f>
        <v>registro na fonte</v>
      </c>
      <c r="H603" s="173" t="str">
        <f>'Q100a-geral'!H1742</f>
        <v>x</v>
      </c>
      <c r="I603" s="167">
        <f>'Q100a-geral'!I1742</f>
        <v>1</v>
      </c>
      <c r="J603" s="109" t="str">
        <f>'Q100a-geral'!J1742</f>
        <v>x</v>
      </c>
      <c r="K603" s="109" t="str">
        <f>'Q100a-geral'!K1742</f>
        <v>x</v>
      </c>
      <c r="L603" s="109" t="str">
        <f>'Q100a-geral'!L1742</f>
        <v>x</v>
      </c>
      <c r="M603" s="84" t="str">
        <f>'Q100a-geral'!M1742</f>
        <v>x</v>
      </c>
      <c r="N603" s="84" t="str">
        <f>'Q100a-geral'!N1742</f>
        <v>x</v>
      </c>
      <c r="O603" s="84" t="str">
        <f>'Q100a-geral'!O1742</f>
        <v>x</v>
      </c>
      <c r="P603" s="84" t="str">
        <f>'Q100a-geral'!P1742</f>
        <v>x</v>
      </c>
      <c r="Q603" s="84" t="str">
        <f>'Q100a-geral'!Q1742</f>
        <v>x</v>
      </c>
      <c r="R603" s="84" t="str">
        <f>'Q100a-geral'!R1742</f>
        <v>x</v>
      </c>
      <c r="S603" s="649" t="str">
        <f>'Q100a-geral'!S1742</f>
        <v>só para pesquisa</v>
      </c>
      <c r="T603" s="84" t="str">
        <f>'Q100a-geral'!T1742</f>
        <v>x</v>
      </c>
      <c r="U603" s="84" t="str">
        <f>'Q100a-geral'!U1742</f>
        <v>x</v>
      </c>
      <c r="V603" s="107" t="str">
        <f>'Q100a-geral'!V1742</f>
        <v>só para pesquisa</v>
      </c>
      <c r="W603" s="84" t="str">
        <f>'Q100a-geral'!W1742</f>
        <v>x</v>
      </c>
      <c r="X603" s="84" t="str">
        <f>'Q100a-geral'!X1742</f>
        <v>x</v>
      </c>
      <c r="Y603" s="84" t="str">
        <f>'Q100a-geral'!Y1742</f>
        <v>x</v>
      </c>
      <c r="Z603" s="84" t="str">
        <f>'Q100a-geral'!Z1742</f>
        <v>x</v>
      </c>
      <c r="AA603" s="84" t="str">
        <f>'Q100a-geral'!AA1742</f>
        <v>x</v>
      </c>
      <c r="AB603" s="84" t="str">
        <f>'Q100a-geral'!AB1742</f>
        <v>x</v>
      </c>
      <c r="AC603" s="84" t="str">
        <f>'Q100a-geral'!AC1742</f>
        <v>x</v>
      </c>
      <c r="AD603" s="84" t="str">
        <f>'Q100a-geral'!AD1742</f>
        <v>x</v>
      </c>
      <c r="AE603" s="84" t="str">
        <f>'Q100a-geral'!AE1742</f>
        <v>x</v>
      </c>
      <c r="AF603" s="87">
        <f>'Q100a-geral'!AF1742</f>
        <v>130704</v>
      </c>
      <c r="AG603" s="84" t="str">
        <f>'Q100a-geral'!AG1742</f>
        <v>aguardando atualização da fonte</v>
      </c>
      <c r="AH603" s="84" t="str">
        <f>'Q100a-geral'!AH1742</f>
        <v>aguardando atualização da fonte</v>
      </c>
      <c r="AI603" s="242" t="str">
        <f>'Q100a-geral'!AI1742</f>
        <v>aguardando atualização da fonte</v>
      </c>
      <c r="AJ603" s="242" t="str">
        <f>'Q100a-geral'!AJ1742</f>
        <v>aguardando atualização da fonte</v>
      </c>
      <c r="AK603" s="137" t="str">
        <f>'Q100a-geral'!AK1742</f>
        <v>aguardando atualização da fonte</v>
      </c>
      <c r="AL603" s="213" t="str">
        <f>'Q100a-geral'!AL1742</f>
        <v>x</v>
      </c>
      <c r="AM603" s="137" t="str">
        <f>'Q100a-geral'!AM1742</f>
        <v>x</v>
      </c>
      <c r="AN603" s="137" t="str">
        <f>'Q100a-geral'!AN1742</f>
        <v>x</v>
      </c>
      <c r="AO603" s="137" t="str">
        <f>'Q100a-geral'!AO1742</f>
        <v>x</v>
      </c>
      <c r="AP603" s="137" t="str">
        <f>'Q100a-geral'!AP1742</f>
        <v>x</v>
      </c>
      <c r="AQ603" s="137" t="str">
        <f>'Q100a-geral'!AQ1742</f>
        <v>x</v>
      </c>
      <c r="AR603" s="137"/>
      <c r="AS603" s="137"/>
      <c r="AT603" s="137"/>
      <c r="AU603" s="137"/>
      <c r="AV603" s="137" t="str">
        <f>'Q100a-geral'!AV1742</f>
        <v>x</v>
      </c>
      <c r="AW603" s="137"/>
      <c r="AX603" s="137"/>
      <c r="AY603" s="137"/>
      <c r="AZ603" s="137"/>
      <c r="BA603" s="137" t="str">
        <f>'Q100a-geral'!BA1742</f>
        <v>x</v>
      </c>
      <c r="BB603" s="239" t="str">
        <f>'Q100a-geral'!BB1742</f>
        <v>Transporte convencionalx</v>
      </c>
      <c r="BC603" s="239" t="str">
        <f>'Q100a-geral'!BC1742</f>
        <v>Transporte convencionalxx</v>
      </c>
      <c r="BD603" s="239" t="str">
        <f>'Q100a-geral'!BD1742</f>
        <v>Transporte convencionalx</v>
      </c>
    </row>
    <row r="604" spans="1:56" s="1" customFormat="1" ht="25.5" x14ac:dyDescent="0.25">
      <c r="A604" s="275" t="str">
        <f>'Q100a-geral'!A1744</f>
        <v>8.5</v>
      </c>
      <c r="B604" s="54" t="str">
        <f>'Q100a-geral'!B1744</f>
        <v>Transporte convencional</v>
      </c>
      <c r="C604" s="230" t="str">
        <f>'Q100a-geral'!C1744</f>
        <v>x</v>
      </c>
      <c r="D604" s="37" t="str">
        <f>'Q100a-geral'!D1744</f>
        <v>NVO tcc(mês)</v>
      </c>
      <c r="E604" s="245" t="str">
        <f>'Q100a-geral'!E1744</f>
        <v>Belo Horizonte</v>
      </c>
      <c r="F604" s="632" t="str">
        <f>'Q100a-geral'!F1744</f>
        <v>média mensal do n.º de viagens omitidas do transporte coletivo convencional</v>
      </c>
      <c r="G604" s="245" t="str">
        <f>'Q100a-geral'!G1744</f>
        <v>NVO tcc(ano) / 12</v>
      </c>
      <c r="H604" s="173" t="str">
        <f>'Q100a-geral'!H1744</f>
        <v>x</v>
      </c>
      <c r="I604" s="167">
        <f>'Q100a-geral'!I1744</f>
        <v>1</v>
      </c>
      <c r="J604" s="107" t="str">
        <f>'Q100a-geral'!J1744</f>
        <v>x</v>
      </c>
      <c r="K604" s="107" t="str">
        <f>'Q100a-geral'!K1744</f>
        <v>x</v>
      </c>
      <c r="L604" s="107" t="str">
        <f>'Q100a-geral'!L1744</f>
        <v>x</v>
      </c>
      <c r="M604" s="84" t="str">
        <f>'Q100a-geral'!M1744</f>
        <v>x</v>
      </c>
      <c r="N604" s="84" t="str">
        <f>'Q100a-geral'!N1744</f>
        <v>x</v>
      </c>
      <c r="O604" s="84" t="str">
        <f>'Q100a-geral'!O1744</f>
        <v>x</v>
      </c>
      <c r="P604" s="84" t="str">
        <f>'Q100a-geral'!P1744</f>
        <v>x</v>
      </c>
      <c r="Q604" s="84" t="str">
        <f>'Q100a-geral'!Q1744</f>
        <v>x</v>
      </c>
      <c r="R604" s="84" t="str">
        <f>'Q100a-geral'!R1744</f>
        <v>x</v>
      </c>
      <c r="S604" s="649" t="str">
        <f>'Q100a-geral'!S1744</f>
        <v>só para pesquisa</v>
      </c>
      <c r="T604" s="84" t="str">
        <f>'Q100a-geral'!T1744</f>
        <v>x</v>
      </c>
      <c r="U604" s="84" t="str">
        <f>'Q100a-geral'!U1744</f>
        <v>x</v>
      </c>
      <c r="V604" s="107" t="str">
        <f>'Q100a-geral'!V1744</f>
        <v>só para pesquisa</v>
      </c>
      <c r="W604" s="84" t="str">
        <f>'Q100a-geral'!W1744</f>
        <v>x</v>
      </c>
      <c r="X604" s="84" t="str">
        <f>'Q100a-geral'!X1744</f>
        <v>x</v>
      </c>
      <c r="Y604" s="84" t="str">
        <f>'Q100a-geral'!Y1744</f>
        <v>x</v>
      </c>
      <c r="Z604" s="84" t="str">
        <f>'Q100a-geral'!Z1744</f>
        <v>x</v>
      </c>
      <c r="AA604" s="84" t="str">
        <f>'Q100a-geral'!AA1744</f>
        <v>x</v>
      </c>
      <c r="AB604" s="23" t="str">
        <f>'Q100a-geral'!AB1744</f>
        <v>x</v>
      </c>
      <c r="AC604" s="23" t="str">
        <f>'Q100a-geral'!AC1744</f>
        <v>x</v>
      </c>
      <c r="AD604" s="23" t="str">
        <f>'Q100a-geral'!AD1744</f>
        <v>x</v>
      </c>
      <c r="AE604" s="23" t="str">
        <f>'Q100a-geral'!AE1744</f>
        <v>x</v>
      </c>
      <c r="AF604" s="20">
        <f>'Q100a-geral'!AF1744</f>
        <v>10892</v>
      </c>
      <c r="AG604" s="23" t="e">
        <f>'Q100a-geral'!AG1744</f>
        <v>#VALUE!</v>
      </c>
      <c r="AH604" s="23" t="e">
        <f>'Q100a-geral'!AH1744</f>
        <v>#VALUE!</v>
      </c>
      <c r="AI604" s="244" t="e">
        <f>'Q100a-geral'!AI1744</f>
        <v>#VALUE!</v>
      </c>
      <c r="AJ604" s="244" t="e">
        <f>'Q100a-geral'!AJ1744</f>
        <v>#VALUE!</v>
      </c>
      <c r="AK604" s="137" t="e">
        <f>'Q100a-geral'!AK1744</f>
        <v>#VALUE!</v>
      </c>
      <c r="AL604" s="213" t="str">
        <f>'Q100a-geral'!AL1744</f>
        <v>x</v>
      </c>
      <c r="AM604" s="137" t="str">
        <f>'Q100a-geral'!AM1744</f>
        <v>x</v>
      </c>
      <c r="AN604" s="137" t="str">
        <f>'Q100a-geral'!AN1744</f>
        <v>x</v>
      </c>
      <c r="AO604" s="137" t="str">
        <f>'Q100a-geral'!AO1744</f>
        <v>x</v>
      </c>
      <c r="AP604" s="137" t="str">
        <f>'Q100a-geral'!AP1744</f>
        <v>x</v>
      </c>
      <c r="AQ604" s="137" t="str">
        <f>'Q100a-geral'!AQ1744</f>
        <v>x</v>
      </c>
      <c r="AR604" s="137"/>
      <c r="AS604" s="137"/>
      <c r="AT604" s="137"/>
      <c r="AU604" s="137"/>
      <c r="AV604" s="137" t="str">
        <f>'Q100a-geral'!AV1744</f>
        <v>x</v>
      </c>
      <c r="AW604" s="137"/>
      <c r="AX604" s="137"/>
      <c r="AY604" s="137"/>
      <c r="AZ604" s="137"/>
      <c r="BA604" s="137" t="str">
        <f>'Q100a-geral'!BA1744</f>
        <v>x</v>
      </c>
      <c r="BB604" s="239" t="str">
        <f>'Q100a-geral'!BB1744</f>
        <v>Transporte convencionalx</v>
      </c>
      <c r="BC604" s="239" t="str">
        <f>'Q100a-geral'!BC1744</f>
        <v>Transporte convencionalxx</v>
      </c>
      <c r="BD604" s="239" t="str">
        <f>'Q100a-geral'!BD1744</f>
        <v>Transporte convencionalx</v>
      </c>
    </row>
    <row r="605" spans="1:56" s="1" customFormat="1" ht="38.25" x14ac:dyDescent="0.25">
      <c r="A605" s="275" t="str">
        <f>'Q100a-geral'!A1743</f>
        <v>8.5</v>
      </c>
      <c r="B605" s="54" t="str">
        <f>'Q100a-geral'!B1743</f>
        <v>Transporte convencional</v>
      </c>
      <c r="C605" s="230" t="str">
        <f>'Q100a-geral'!C1743</f>
        <v>x</v>
      </c>
      <c r="D605" s="249" t="str">
        <f>'Q100a-geral'!D1743</f>
        <v>NVO tcc(ano)
(% de viagens omitidas)</v>
      </c>
      <c r="E605" s="250" t="str">
        <f>'Q100a-geral'!E1743</f>
        <v>Belo Horizonte</v>
      </c>
      <c r="F605" s="632" t="str">
        <f>'Q100a-geral'!F1743</f>
        <v>percentual de viagens omitidas do transporte coletivo convencional no ano</v>
      </c>
      <c r="G605" s="250" t="str">
        <f>'Q100a-geral'!G1743</f>
        <v>(NVO tcc(ano) / NVE (ano)) x 100</v>
      </c>
      <c r="H605" s="173" t="str">
        <f>'Q100a-geral'!H1743</f>
        <v>x</v>
      </c>
      <c r="I605" s="167">
        <f>'Q100a-geral'!I1743</f>
        <v>1</v>
      </c>
      <c r="J605" s="109" t="str">
        <f>'Q100a-geral'!J1743</f>
        <v>x</v>
      </c>
      <c r="K605" s="109" t="str">
        <f>'Q100a-geral'!K1743</f>
        <v>x</v>
      </c>
      <c r="L605" s="109" t="str">
        <f>'Q100a-geral'!L1743</f>
        <v>x</v>
      </c>
      <c r="M605" s="84" t="str">
        <f>'Q100a-geral'!M1743</f>
        <v>x</v>
      </c>
      <c r="N605" s="84" t="str">
        <f>'Q100a-geral'!N1743</f>
        <v>x</v>
      </c>
      <c r="O605" s="84" t="str">
        <f>'Q100a-geral'!O1743</f>
        <v>x</v>
      </c>
      <c r="P605" s="23" t="str">
        <f>'Q100a-geral'!P1743</f>
        <v>x</v>
      </c>
      <c r="Q605" s="23" t="str">
        <f>'Q100a-geral'!Q1743</f>
        <v>x</v>
      </c>
      <c r="R605" s="23" t="str">
        <f>'Q100a-geral'!R1743</f>
        <v>x</v>
      </c>
      <c r="S605" s="649" t="str">
        <f>'Q100a-geral'!S1743</f>
        <v>só para pesquisa</v>
      </c>
      <c r="T605" s="23" t="str">
        <f>'Q100a-geral'!T1743</f>
        <v>x</v>
      </c>
      <c r="U605" s="23" t="str">
        <f>'Q100a-geral'!U1743</f>
        <v>x</v>
      </c>
      <c r="V605" s="107" t="str">
        <f>'Q100a-geral'!V1743</f>
        <v>só para pesquisa</v>
      </c>
      <c r="W605" s="23" t="str">
        <f>'Q100a-geral'!W1743</f>
        <v>x</v>
      </c>
      <c r="X605" s="23" t="str">
        <f>'Q100a-geral'!X1743</f>
        <v>x</v>
      </c>
      <c r="Y605" s="23" t="str">
        <f>'Q100a-geral'!Y1743</f>
        <v>x</v>
      </c>
      <c r="Z605" s="23" t="str">
        <f>'Q100a-geral'!Z1743</f>
        <v>x</v>
      </c>
      <c r="AA605" s="23" t="str">
        <f>'Q100a-geral'!AA1743</f>
        <v>x</v>
      </c>
      <c r="AB605" s="23" t="str">
        <f>'Q100a-geral'!AB1743</f>
        <v>x</v>
      </c>
      <c r="AC605" s="23" t="str">
        <f>'Q100a-geral'!AC1743</f>
        <v>x</v>
      </c>
      <c r="AD605" s="23" t="str">
        <f>'Q100a-geral'!AD1743</f>
        <v>x</v>
      </c>
      <c r="AE605" s="23" t="str">
        <f>'Q100a-geral'!AE1743</f>
        <v>x</v>
      </c>
      <c r="AF605" s="47">
        <f>'Q100a-geral'!AF1743</f>
        <v>1.4765580147533795E-2</v>
      </c>
      <c r="AG605" s="23" t="e">
        <f>'Q100a-geral'!AG1743</f>
        <v>#VALUE!</v>
      </c>
      <c r="AH605" s="23" t="e">
        <f>'Q100a-geral'!AH1743</f>
        <v>#VALUE!</v>
      </c>
      <c r="AI605" s="244" t="e">
        <f>'Q100a-geral'!AI1743</f>
        <v>#VALUE!</v>
      </c>
      <c r="AJ605" s="244" t="e">
        <f>'Q100a-geral'!AJ1743</f>
        <v>#VALUE!</v>
      </c>
      <c r="AK605" s="137" t="e">
        <f>'Q100a-geral'!AK1743</f>
        <v>#VALUE!</v>
      </c>
      <c r="AL605" s="213" t="str">
        <f>'Q100a-geral'!AL1743</f>
        <v>x</v>
      </c>
      <c r="AM605" s="137" t="str">
        <f>'Q100a-geral'!AM1743</f>
        <v>x</v>
      </c>
      <c r="AN605" s="137" t="str">
        <f>'Q100a-geral'!AN1743</f>
        <v>x</v>
      </c>
      <c r="AO605" s="137" t="str">
        <f>'Q100a-geral'!AO1743</f>
        <v>x</v>
      </c>
      <c r="AP605" s="137" t="str">
        <f>'Q100a-geral'!AP1743</f>
        <v>x</v>
      </c>
      <c r="AQ605" s="137" t="str">
        <f>'Q100a-geral'!AQ1743</f>
        <v>x</v>
      </c>
      <c r="AR605" s="137"/>
      <c r="AS605" s="137"/>
      <c r="AT605" s="137"/>
      <c r="AU605" s="137"/>
      <c r="AV605" s="137" t="str">
        <f>'Q100a-geral'!AV1743</f>
        <v>x</v>
      </c>
      <c r="AW605" s="137"/>
      <c r="AX605" s="137"/>
      <c r="AY605" s="137"/>
      <c r="AZ605" s="137"/>
      <c r="BA605" s="137" t="str">
        <f>'Q100a-geral'!BA1743</f>
        <v>x</v>
      </c>
      <c r="BB605" s="239" t="str">
        <f>'Q100a-geral'!BB1743</f>
        <v>Transporte convencionalx</v>
      </c>
      <c r="BC605" s="239" t="str">
        <f>'Q100a-geral'!BC1743</f>
        <v>Transporte convencionalxx</v>
      </c>
      <c r="BD605" s="239" t="str">
        <f>'Q100a-geral'!BD1743</f>
        <v>Transporte convencionalx</v>
      </c>
    </row>
    <row r="606" spans="1:56" s="1" customFormat="1" ht="45" x14ac:dyDescent="0.25">
      <c r="A606" s="275" t="str">
        <f>'Q100a-geral'!A1747</f>
        <v>8.5</v>
      </c>
      <c r="B606" s="54" t="str">
        <f>'Q100a-geral'!B1747</f>
        <v>Transporte convencional</v>
      </c>
      <c r="C606" s="230" t="str">
        <f>'Q100a-geral'!C1747</f>
        <v>x</v>
      </c>
      <c r="D606" s="37" t="str">
        <f>'Q100a-geral'!D1747</f>
        <v>NVR tcc (ano)</v>
      </c>
      <c r="E606" s="245" t="str">
        <f>'Q100a-geral'!E1747</f>
        <v>Belo Horizonte</v>
      </c>
      <c r="F606" s="632" t="str">
        <f>'Q100a-geral'!F1747</f>
        <v>n.º de viagens realizadas do transporte coletivo convencional no ano
obs.: resultados de 1999 a 2012 em BHTRANS (2013e)
obs.: se considerarmos apesar a rede de transporte coletivo por ônibus convencional, este é o indicador urbano global denominado "Annual number of public transit trips per capita" em GCIF(2011)</v>
      </c>
      <c r="G606" s="252" t="str">
        <f>'Q100a-geral'!G1747</f>
        <v>registro na fonte
∑ NVR tcc (janeiro a dezembro)</v>
      </c>
      <c r="H606" s="173" t="str">
        <f>'Q100a-geral'!H1747</f>
        <v>x</v>
      </c>
      <c r="I606" s="167">
        <f>'Q100a-geral'!I1747</f>
        <v>1</v>
      </c>
      <c r="J606" s="107" t="str">
        <f>'Q100a-geral'!J1747</f>
        <v>x</v>
      </c>
      <c r="K606" s="107" t="str">
        <f>'Q100a-geral'!K1747</f>
        <v>x</v>
      </c>
      <c r="L606" s="107" t="str">
        <f>'Q100a-geral'!L1747</f>
        <v>x</v>
      </c>
      <c r="M606" s="84" t="str">
        <f>'Q100a-geral'!M1747</f>
        <v>x</v>
      </c>
      <c r="N606" s="84" t="str">
        <f>'Q100a-geral'!N1747</f>
        <v>x</v>
      </c>
      <c r="O606" s="84" t="str">
        <f>'Q100a-geral'!O1747</f>
        <v>x</v>
      </c>
      <c r="P606" s="84" t="str">
        <f>'Q100a-geral'!P1747</f>
        <v>x</v>
      </c>
      <c r="Q606" s="84" t="str">
        <f>'Q100a-geral'!Q1747</f>
        <v>x</v>
      </c>
      <c r="R606" s="84" t="str">
        <f>'Q100a-geral'!R1747</f>
        <v>x</v>
      </c>
      <c r="S606" s="649" t="str">
        <f>'Q100a-geral'!S1747</f>
        <v>só para pesquisa</v>
      </c>
      <c r="T606" s="87">
        <f>'Q100a-geral'!T1747</f>
        <v>9252333</v>
      </c>
      <c r="U606" s="87">
        <f>'Q100a-geral'!U1747</f>
        <v>9262162</v>
      </c>
      <c r="V606" s="649" t="str">
        <f>'Q100a-geral'!V1747</f>
        <v>só para pesquisa</v>
      </c>
      <c r="W606" s="87">
        <f>'Q100a-geral'!W1747</f>
        <v>9317385</v>
      </c>
      <c r="X606" s="87">
        <f>'Q100a-geral'!X1747</f>
        <v>9211309</v>
      </c>
      <c r="Y606" s="87">
        <f>'Q100a-geral'!Y1747</f>
        <v>8732454</v>
      </c>
      <c r="Z606" s="87">
        <f>'Q100a-geral'!Z1747</f>
        <v>8391212</v>
      </c>
      <c r="AA606" s="87">
        <f>'Q100a-geral'!AA1747</f>
        <v>8324315</v>
      </c>
      <c r="AB606" s="87">
        <f>'Q100a-geral'!AB1747</f>
        <v>8743345</v>
      </c>
      <c r="AC606" s="87">
        <f>'Q100a-geral'!AC1747</f>
        <v>8726782</v>
      </c>
      <c r="AD606" s="87">
        <f>'Q100a-geral'!AD1747</f>
        <v>9017641</v>
      </c>
      <c r="AE606" s="87">
        <f>'Q100a-geral'!AE1747</f>
        <v>9233626</v>
      </c>
      <c r="AF606" s="87">
        <f>'Q100a-geral'!AF1747</f>
        <v>8826430</v>
      </c>
      <c r="AG606" s="87">
        <f>'Q100a-geral'!AG1747</f>
        <v>8770171</v>
      </c>
      <c r="AH606" s="87">
        <f>'Q100a-geral'!AH1747</f>
        <v>8688276</v>
      </c>
      <c r="AI606" s="242" t="str">
        <f>'Q100a-geral'!AI1747</f>
        <v>aguardando atualização da fonte</v>
      </c>
      <c r="AJ606" s="242" t="str">
        <f>'Q100a-geral'!AJ1747</f>
        <v>aguardando atualização da fonte</v>
      </c>
      <c r="AK606" s="137" t="str">
        <f>'Q100a-geral'!AK1747</f>
        <v>aguardando atualização da fonte</v>
      </c>
      <c r="AL606" s="215" t="str">
        <f>'Q100a-geral'!AL1747</f>
        <v>x</v>
      </c>
      <c r="AM606" s="137" t="str">
        <f>'Q100a-geral'!AM1747</f>
        <v>x</v>
      </c>
      <c r="AN606" s="137" t="str">
        <f>'Q100a-geral'!AN1747</f>
        <v>x</v>
      </c>
      <c r="AO606" s="137" t="str">
        <f>'Q100a-geral'!AO1747</f>
        <v>x</v>
      </c>
      <c r="AP606" s="137" t="str">
        <f>'Q100a-geral'!AP1747</f>
        <v>x</v>
      </c>
      <c r="AQ606" s="137" t="str">
        <f>'Q100a-geral'!AQ1747</f>
        <v>x</v>
      </c>
      <c r="AR606" s="137"/>
      <c r="AS606" s="137"/>
      <c r="AT606" s="137"/>
      <c r="AU606" s="137"/>
      <c r="AV606" s="137" t="str">
        <f>'Q100a-geral'!AV1747</f>
        <v>x</v>
      </c>
      <c r="AW606" s="137"/>
      <c r="AX606" s="137"/>
      <c r="AY606" s="137"/>
      <c r="AZ606" s="137"/>
      <c r="BA606" s="137" t="str">
        <f>'Q100a-geral'!BA1747</f>
        <v>x</v>
      </c>
      <c r="BB606" s="239" t="str">
        <f>'Q100a-geral'!BB1747</f>
        <v>Transporte convencionalx</v>
      </c>
      <c r="BC606" s="239" t="str">
        <f>'Q100a-geral'!BC1747</f>
        <v>Transporte convencionalxx</v>
      </c>
      <c r="BD606" s="239" t="str">
        <f>'Q100a-geral'!BD1747</f>
        <v>Transporte convencionalx</v>
      </c>
    </row>
    <row r="607" spans="1:56" s="1" customFormat="1" ht="25.5" x14ac:dyDescent="0.25">
      <c r="A607" s="275" t="str">
        <f>'Q100a-geral'!A1748</f>
        <v>8.5</v>
      </c>
      <c r="B607" s="54" t="str">
        <f>'Q100a-geral'!B1748</f>
        <v>Transporte convencional</v>
      </c>
      <c r="C607" s="230" t="str">
        <f>'Q100a-geral'!C1748</f>
        <v>x</v>
      </c>
      <c r="D607" s="37" t="str">
        <f>'Q100a-geral'!D1748</f>
        <v>NVR tcc (mês)</v>
      </c>
      <c r="E607" s="245" t="str">
        <f>'Q100a-geral'!E1748</f>
        <v>Belo Horizonte</v>
      </c>
      <c r="F607" s="632" t="str">
        <f>'Q100a-geral'!F1748</f>
        <v>média mensal do n.º de viagens realizadas do transporte coletivo convencional</v>
      </c>
      <c r="G607" s="245" t="str">
        <f>'Q100a-geral'!G1748</f>
        <v>NVR tcc(ano) / 12</v>
      </c>
      <c r="H607" s="173" t="str">
        <f>'Q100a-geral'!H1748</f>
        <v>x</v>
      </c>
      <c r="I607" s="167">
        <f>'Q100a-geral'!I1748</f>
        <v>1</v>
      </c>
      <c r="J607" s="109" t="str">
        <f>'Q100a-geral'!J1748</f>
        <v>x</v>
      </c>
      <c r="K607" s="109" t="str">
        <f>'Q100a-geral'!K1748</f>
        <v>x</v>
      </c>
      <c r="L607" s="109" t="str">
        <f>'Q100a-geral'!L1748</f>
        <v>x</v>
      </c>
      <c r="M607" s="84" t="str">
        <f>'Q100a-geral'!M1748</f>
        <v>x</v>
      </c>
      <c r="N607" s="84" t="str">
        <f>'Q100a-geral'!N1748</f>
        <v>x</v>
      </c>
      <c r="O607" s="84" t="str">
        <f>'Q100a-geral'!O1748</f>
        <v>x</v>
      </c>
      <c r="P607" s="84" t="str">
        <f>'Q100a-geral'!P1748</f>
        <v>x</v>
      </c>
      <c r="Q607" s="84" t="str">
        <f>'Q100a-geral'!Q1748</f>
        <v>x</v>
      </c>
      <c r="R607" s="84" t="str">
        <f>'Q100a-geral'!R1748</f>
        <v>x</v>
      </c>
      <c r="S607" s="649" t="str">
        <f>'Q100a-geral'!S1748</f>
        <v>só para pesquisa</v>
      </c>
      <c r="T607" s="20">
        <f>'Q100a-geral'!T1748</f>
        <v>771027.75</v>
      </c>
      <c r="U607" s="20">
        <f>'Q100a-geral'!U1748</f>
        <v>771846.83333333337</v>
      </c>
      <c r="V607" s="649" t="str">
        <f>'Q100a-geral'!V1748</f>
        <v>só para pesquisa</v>
      </c>
      <c r="W607" s="20">
        <f>'Q100a-geral'!W1748</f>
        <v>776448.75</v>
      </c>
      <c r="X607" s="20">
        <f>'Q100a-geral'!X1748</f>
        <v>767609.08333333337</v>
      </c>
      <c r="Y607" s="20">
        <f>'Q100a-geral'!Y1748</f>
        <v>727704.5</v>
      </c>
      <c r="Z607" s="20">
        <f>'Q100a-geral'!Z1748</f>
        <v>699267.66666666663</v>
      </c>
      <c r="AA607" s="20">
        <f>'Q100a-geral'!AA1748</f>
        <v>693692.91666666663</v>
      </c>
      <c r="AB607" s="20">
        <f>'Q100a-geral'!AB1748</f>
        <v>728612.08333333337</v>
      </c>
      <c r="AC607" s="20">
        <f>'Q100a-geral'!AC1748</f>
        <v>727231.83333333337</v>
      </c>
      <c r="AD607" s="20">
        <f>'Q100a-geral'!AD1748</f>
        <v>751470.08333333337</v>
      </c>
      <c r="AE607" s="20">
        <f>'Q100a-geral'!AE1748</f>
        <v>769468.83333333337</v>
      </c>
      <c r="AF607" s="20">
        <f>'Q100a-geral'!AF1748</f>
        <v>735535.83333333337</v>
      </c>
      <c r="AG607" s="20">
        <f>'Q100a-geral'!AG1748</f>
        <v>730847.58333333337</v>
      </c>
      <c r="AH607" s="20">
        <f>'Q100a-geral'!AH1748</f>
        <v>724023</v>
      </c>
      <c r="AI607" s="248" t="e">
        <f>'Q100a-geral'!AI1748</f>
        <v>#VALUE!</v>
      </c>
      <c r="AJ607" s="248" t="e">
        <f>'Q100a-geral'!AJ1748</f>
        <v>#VALUE!</v>
      </c>
      <c r="AK607" s="137" t="e">
        <f>'Q100a-geral'!AK1748</f>
        <v>#VALUE!</v>
      </c>
      <c r="AL607" s="215" t="str">
        <f>'Q100a-geral'!AL1748</f>
        <v>x</v>
      </c>
      <c r="AM607" s="137" t="str">
        <f>'Q100a-geral'!AM1748</f>
        <v>x</v>
      </c>
      <c r="AN607" s="137" t="str">
        <f>'Q100a-geral'!AN1748</f>
        <v>x</v>
      </c>
      <c r="AO607" s="137" t="str">
        <f>'Q100a-geral'!AO1748</f>
        <v>x</v>
      </c>
      <c r="AP607" s="137" t="str">
        <f>'Q100a-geral'!AP1748</f>
        <v>x</v>
      </c>
      <c r="AQ607" s="137" t="str">
        <f>'Q100a-geral'!AQ1748</f>
        <v>x</v>
      </c>
      <c r="AR607" s="137"/>
      <c r="AS607" s="137"/>
      <c r="AT607" s="137"/>
      <c r="AU607" s="137"/>
      <c r="AV607" s="137" t="str">
        <f>'Q100a-geral'!AV1748</f>
        <v>x</v>
      </c>
      <c r="AW607" s="137"/>
      <c r="AX607" s="137"/>
      <c r="AY607" s="137"/>
      <c r="AZ607" s="137"/>
      <c r="BA607" s="137" t="str">
        <f>'Q100a-geral'!BA1748</f>
        <v>x</v>
      </c>
      <c r="BB607" s="239" t="str">
        <f>'Q100a-geral'!BB1748</f>
        <v>Transporte convencionalx</v>
      </c>
      <c r="BC607" s="239" t="str">
        <f>'Q100a-geral'!BC1748</f>
        <v>Transporte convencionalxx</v>
      </c>
      <c r="BD607" s="239" t="str">
        <f>'Q100a-geral'!BD1748</f>
        <v>Transporte convencionalx</v>
      </c>
    </row>
    <row r="608" spans="1:56" s="1" customFormat="1" ht="140.25" customHeight="1" x14ac:dyDescent="0.25">
      <c r="A608" s="275" t="str">
        <f>'Q100a-geral'!A1762</f>
        <v>2.1</v>
      </c>
      <c r="B608" s="53" t="str">
        <f>'Q100a-geral'!B1762</f>
        <v>Distribuição modal em pesquisas de opinião</v>
      </c>
      <c r="C608" s="167" t="str">
        <f>'Q100a-geral'!C1762</f>
        <v>x</v>
      </c>
      <c r="D608" s="240" t="str">
        <f>'Q100a-geral'!D1762</f>
        <v>O/D</v>
      </c>
      <c r="E608" s="252">
        <f>'Q100a-geral'!E1762</f>
        <v>0</v>
      </c>
      <c r="F608" s="449" t="str">
        <f>'Q100a-geral'!F1762</f>
        <v>pesquisa Origem/Destino, designação genérica de instrumento de planejamento estatal realizada a cada dez anos na Região Metropolitana de Belo Horizonte (RMBH); uma O/D busca “conhecer melhor os deslocamentos dos moradores, identificando padrões de viagens urbanas, de acordo com a origem, o destino, os horários, os motivos e os modos de transporte escolhidos” (MG, 2012a)</v>
      </c>
      <c r="G608" s="252" t="str">
        <f>'Q100a-geral'!G1762</f>
        <v>verbete
MFO</v>
      </c>
      <c r="H608" s="173" t="str">
        <f>'Q100a-geral'!H1762</f>
        <v>sigla/verbete</v>
      </c>
      <c r="I608" s="167" t="str">
        <f>'Q100a-geral'!I1762</f>
        <v>-</v>
      </c>
      <c r="J608" s="107" t="str">
        <f>'Q100a-geral'!J1762</f>
        <v>x</v>
      </c>
      <c r="K608" s="109" t="str">
        <f>'Q100a-geral'!K1762</f>
        <v>x</v>
      </c>
      <c r="L608" s="109" t="str">
        <f>'Q100a-geral'!L1762</f>
        <v>x</v>
      </c>
      <c r="M608" s="109" t="str">
        <f>'Q100a-geral'!M1762</f>
        <v>x</v>
      </c>
      <c r="N608" s="109" t="str">
        <f>'Q100a-geral'!N1762</f>
        <v>x</v>
      </c>
      <c r="O608" s="109" t="str">
        <f>'Q100a-geral'!O1762</f>
        <v>x</v>
      </c>
      <c r="P608" s="107" t="str">
        <f>'Q100a-geral'!P1762</f>
        <v>x</v>
      </c>
      <c r="Q608" s="109" t="str">
        <f>'Q100a-geral'!Q1762</f>
        <v>x</v>
      </c>
      <c r="R608" s="109" t="str">
        <f>'Q100a-geral'!R1762</f>
        <v>x</v>
      </c>
      <c r="S608" s="109" t="str">
        <f>'Q100a-geral'!S1762</f>
        <v>só para pesquisa</v>
      </c>
      <c r="T608" s="109" t="str">
        <f>'Q100a-geral'!T1762</f>
        <v>x</v>
      </c>
      <c r="U608" s="109" t="str">
        <f>'Q100a-geral'!U1762</f>
        <v>x</v>
      </c>
      <c r="V608" s="107" t="str">
        <f>'Q100a-geral'!V1762</f>
        <v>só para pesquisa</v>
      </c>
      <c r="W608" s="109" t="str">
        <f>'Q100a-geral'!W1762</f>
        <v>x</v>
      </c>
      <c r="X608" s="109" t="str">
        <f>'Q100a-geral'!X1762</f>
        <v>x</v>
      </c>
      <c r="Y608" s="109" t="str">
        <f>'Q100a-geral'!Y1762</f>
        <v>x</v>
      </c>
      <c r="Z608" s="109" t="str">
        <f>'Q100a-geral'!Z1762</f>
        <v>x</v>
      </c>
      <c r="AA608" s="109" t="str">
        <f>'Q100a-geral'!AA1762</f>
        <v>x</v>
      </c>
      <c r="AB608" s="107" t="str">
        <f>'Q100a-geral'!AB1762</f>
        <v>x</v>
      </c>
      <c r="AC608" s="109" t="str">
        <f>'Q100a-geral'!AC1762</f>
        <v>x</v>
      </c>
      <c r="AD608" s="109" t="str">
        <f>'Q100a-geral'!AD1762</f>
        <v>x</v>
      </c>
      <c r="AE608" s="109" t="str">
        <f>'Q100a-geral'!AE1762</f>
        <v>x</v>
      </c>
      <c r="AF608" s="109" t="str">
        <f>'Q100a-geral'!AF1762</f>
        <v>x</v>
      </c>
      <c r="AG608" s="109" t="str">
        <f>'Q100a-geral'!AG1762</f>
        <v>x</v>
      </c>
      <c r="AH608" s="107" t="str">
        <f>'Q100a-geral'!AH1762</f>
        <v>x</v>
      </c>
      <c r="AI608" s="109" t="str">
        <f>'Q100a-geral'!AI1762</f>
        <v>x</v>
      </c>
      <c r="AJ608" s="109" t="str">
        <f>'Q100a-geral'!AJ1762</f>
        <v>x</v>
      </c>
      <c r="AK608" s="137" t="str">
        <f>'Q100a-geral'!AK1762</f>
        <v>x</v>
      </c>
      <c r="AL608" s="167" t="str">
        <f>'Q100a-geral'!AL1762</f>
        <v>x</v>
      </c>
      <c r="AM608" s="137" t="str">
        <f>'Q100a-geral'!AM1762</f>
        <v>x</v>
      </c>
      <c r="AN608" s="137" t="str">
        <f>'Q100a-geral'!AN1762</f>
        <v>x</v>
      </c>
      <c r="AO608" s="137" t="str">
        <f>'Q100a-geral'!AO1762</f>
        <v>x</v>
      </c>
      <c r="AP608" s="137" t="str">
        <f>'Q100a-geral'!AP1762</f>
        <v>x</v>
      </c>
      <c r="AQ608" s="137" t="str">
        <f>'Q100a-geral'!AQ1762</f>
        <v>x</v>
      </c>
      <c r="AR608" s="137"/>
      <c r="AS608" s="137"/>
      <c r="AT608" s="137"/>
      <c r="AU608" s="137"/>
      <c r="AV608" s="137" t="str">
        <f>'Q100a-geral'!AV1762</f>
        <v>x</v>
      </c>
      <c r="AW608" s="137"/>
      <c r="AX608" s="137"/>
      <c r="AY608" s="137"/>
      <c r="AZ608" s="137"/>
      <c r="BA608" s="137" t="str">
        <f>'Q100a-geral'!BA1762</f>
        <v>x</v>
      </c>
      <c r="BB608" s="239" t="str">
        <f>'Q100a-geral'!BB1762</f>
        <v>Distribuição modal em pesquisas de opiniãox</v>
      </c>
      <c r="BC608" s="239" t="str">
        <f>'Q100a-geral'!BC1762</f>
        <v>Distribuição modal em pesquisas de opiniãoxsigla/verbete</v>
      </c>
      <c r="BD608" s="239" t="str">
        <f>'Q100a-geral'!BD1762</f>
        <v>Distribuição modal em pesquisas de opiniãosigla/verbete</v>
      </c>
    </row>
    <row r="609" spans="1:56" s="1" customFormat="1" ht="38.25" customHeight="1" x14ac:dyDescent="0.25">
      <c r="A609" s="275" t="str">
        <f>'Q100a-geral'!A1854</f>
        <v>2.4</v>
      </c>
      <c r="B609" s="54" t="str">
        <f>'Q100a-geral'!B1854</f>
        <v>População</v>
      </c>
      <c r="C609" s="167" t="str">
        <f>'Q100a-geral'!C1854</f>
        <v>x</v>
      </c>
      <c r="D609" s="50" t="str">
        <f>'Q100a-geral'!D1854</f>
        <v>P</v>
      </c>
      <c r="E609" s="467" t="str">
        <f>'Q100a-geral'!E1854</f>
        <v>Baldim</v>
      </c>
      <c r="F609" s="447" t="str">
        <f>'Q100a-geral'!F1854</f>
        <v>população do município integrante da RMBH, ou seja, n.º de habitantes divulgado anualmente pelo IBGE, seja pelos censos (a cada dez anos), seja por contagens populacionais (anualmente, entre os censos) 
obs.: resultado de 2010 conforme IBGE(2010)</v>
      </c>
      <c r="G609" s="252" t="str">
        <f>'Q100a-geral'!G1854</f>
        <v>registro na fonte</v>
      </c>
      <c r="H609" s="169" t="str">
        <f>'Q100a-geral'!H1854</f>
        <v>RMBH</v>
      </c>
      <c r="I609" s="167">
        <f>'Q100a-geral'!I1854</f>
        <v>1</v>
      </c>
      <c r="J609" s="93" t="str">
        <f>'Q100a-geral'!J1854</f>
        <v>x</v>
      </c>
      <c r="K609" s="84" t="str">
        <f>'Q100a-geral'!K1854</f>
        <v>x</v>
      </c>
      <c r="L609" s="84" t="str">
        <f>'Q100a-geral'!L1854</f>
        <v>x</v>
      </c>
      <c r="M609" s="84" t="str">
        <f>'Q100a-geral'!M1854</f>
        <v>x</v>
      </c>
      <c r="N609" s="84" t="str">
        <f>'Q100a-geral'!N1854</f>
        <v>x</v>
      </c>
      <c r="O609" s="84" t="str">
        <f>'Q100a-geral'!O1854</f>
        <v>x</v>
      </c>
      <c r="P609" s="84" t="str">
        <f>'Q100a-geral'!P1854</f>
        <v>x</v>
      </c>
      <c r="Q609" s="84" t="str">
        <f>'Q100a-geral'!Q1854</f>
        <v>x</v>
      </c>
      <c r="R609" s="84" t="str">
        <f>'Q100a-geral'!R1854</f>
        <v>x</v>
      </c>
      <c r="S609" s="107" t="str">
        <f>'Q100a-geral'!S1854</f>
        <v>só para pesquisa</v>
      </c>
      <c r="T609" s="84" t="str">
        <f>'Q100a-geral'!T1854</f>
        <v>x</v>
      </c>
      <c r="U609" s="84" t="str">
        <f>'Q100a-geral'!U1854</f>
        <v>x</v>
      </c>
      <c r="V609" s="107" t="str">
        <f>'Q100a-geral'!V1854</f>
        <v>só para pesquisa</v>
      </c>
      <c r="W609" s="84" t="str">
        <f>'Q100a-geral'!W1854</f>
        <v>x</v>
      </c>
      <c r="X609" s="84" t="str">
        <f>'Q100a-geral'!X1854</f>
        <v>x</v>
      </c>
      <c r="Y609" s="84" t="str">
        <f>'Q100a-geral'!Y1854</f>
        <v>x</v>
      </c>
      <c r="Z609" s="84" t="str">
        <f>'Q100a-geral'!Z1854</f>
        <v>x</v>
      </c>
      <c r="AA609" s="84" t="str">
        <f>'Q100a-geral'!AA1854</f>
        <v>x</v>
      </c>
      <c r="AB609" s="84" t="str">
        <f>'Q100a-geral'!AB1854</f>
        <v>x</v>
      </c>
      <c r="AC609" s="84" t="str">
        <f>'Q100a-geral'!AC1854</f>
        <v>x</v>
      </c>
      <c r="AD609" s="84" t="str">
        <f>'Q100a-geral'!AD1854</f>
        <v>x</v>
      </c>
      <c r="AE609" s="84" t="str">
        <f>'Q100a-geral'!AE1854</f>
        <v>x</v>
      </c>
      <c r="AF609" s="87">
        <f>'Q100a-geral'!AF1854</f>
        <v>7913</v>
      </c>
      <c r="AG609" s="84" t="str">
        <f>'Q100a-geral'!AG1854</f>
        <v>x</v>
      </c>
      <c r="AH609" s="84" t="str">
        <f>'Q100a-geral'!AH1854</f>
        <v>x</v>
      </c>
      <c r="AI609" s="84" t="str">
        <f>'Q100a-geral'!AI1854</f>
        <v>x</v>
      </c>
      <c r="AJ609" s="84" t="str">
        <f>'Q100a-geral'!AJ1854</f>
        <v>x</v>
      </c>
      <c r="AK609" s="137" t="str">
        <f>'Q100a-geral'!AK1854</f>
        <v>x</v>
      </c>
      <c r="AL609" s="173" t="str">
        <f>'Q100a-geral'!AL1854</f>
        <v>x</v>
      </c>
      <c r="AM609" s="137" t="str">
        <f>'Q100a-geral'!AM1854</f>
        <v>x</v>
      </c>
      <c r="AN609" s="137" t="str">
        <f>'Q100a-geral'!AN1854</f>
        <v>x</v>
      </c>
      <c r="AO609" s="137" t="str">
        <f>'Q100a-geral'!AO1854</f>
        <v>x</v>
      </c>
      <c r="AP609" s="137" t="str">
        <f>'Q100a-geral'!AP1854</f>
        <v>x</v>
      </c>
      <c r="AQ609" s="137" t="str">
        <f>'Q100a-geral'!AQ1854</f>
        <v>x</v>
      </c>
      <c r="AR609" s="137"/>
      <c r="AS609" s="137"/>
      <c r="AT609" s="137"/>
      <c r="AU609" s="137"/>
      <c r="AV609" s="137" t="str">
        <f>'Q100a-geral'!AV1854</f>
        <v>x</v>
      </c>
      <c r="AW609" s="137"/>
      <c r="AX609" s="137"/>
      <c r="AY609" s="137"/>
      <c r="AZ609" s="137"/>
      <c r="BA609" s="137" t="str">
        <f>'Q100a-geral'!BA1854</f>
        <v>x</v>
      </c>
      <c r="BB609" s="239" t="str">
        <f>'Q100a-geral'!BB1854</f>
        <v>Populaçãox</v>
      </c>
      <c r="BC609" s="239" t="str">
        <f>'Q100a-geral'!BC1854</f>
        <v>PopulaçãoxRMBH</v>
      </c>
      <c r="BD609" s="239" t="str">
        <f>'Q100a-geral'!BD1854</f>
        <v>PopulaçãoRMBH</v>
      </c>
    </row>
    <row r="610" spans="1:56" s="1" customFormat="1" ht="38.25" customHeight="1" x14ac:dyDescent="0.25">
      <c r="A610" s="275" t="str">
        <f>'Q100a-geral'!A1856</f>
        <v>2.4</v>
      </c>
      <c r="B610" s="54" t="str">
        <f>'Q100a-geral'!B1856</f>
        <v>População</v>
      </c>
      <c r="C610" s="167" t="str">
        <f>'Q100a-geral'!C1856</f>
        <v>x</v>
      </c>
      <c r="D610" s="50" t="str">
        <f>'Q100a-geral'!D1856</f>
        <v>P</v>
      </c>
      <c r="E610" s="467" t="str">
        <f>'Q100a-geral'!E1856</f>
        <v>Betim</v>
      </c>
      <c r="F610" s="447" t="str">
        <f>'Q100a-geral'!F1856</f>
        <v>população do município integrante da RMBH, ou seja, n.º de habitantes divulgado anualmente pelo IBGE, seja pelos censos (a cada dez anos), seja por contagens populacionais (anualmente, entre os censos)
obs.: resultado de 2010 conforme (IBGE, 2010)</v>
      </c>
      <c r="G610" s="252" t="str">
        <f>'Q100a-geral'!G1856</f>
        <v>registro na fonte</v>
      </c>
      <c r="H610" s="169" t="str">
        <f>'Q100a-geral'!H1856</f>
        <v>RMBH</v>
      </c>
      <c r="I610" s="167">
        <f>'Q100a-geral'!I1856</f>
        <v>1</v>
      </c>
      <c r="J610" s="93" t="str">
        <f>'Q100a-geral'!J1856</f>
        <v>x</v>
      </c>
      <c r="K610" s="84" t="str">
        <f>'Q100a-geral'!K1856</f>
        <v>x</v>
      </c>
      <c r="L610" s="84" t="str">
        <f>'Q100a-geral'!L1856</f>
        <v>x</v>
      </c>
      <c r="M610" s="84" t="str">
        <f>'Q100a-geral'!M1856</f>
        <v>x</v>
      </c>
      <c r="N610" s="84" t="str">
        <f>'Q100a-geral'!N1856</f>
        <v>x</v>
      </c>
      <c r="O610" s="84" t="str">
        <f>'Q100a-geral'!O1856</f>
        <v>x</v>
      </c>
      <c r="P610" s="84" t="str">
        <f>'Q100a-geral'!P1856</f>
        <v>x</v>
      </c>
      <c r="Q610" s="84" t="str">
        <f>'Q100a-geral'!Q1856</f>
        <v>x</v>
      </c>
      <c r="R610" s="84" t="str">
        <f>'Q100a-geral'!R1856</f>
        <v>x</v>
      </c>
      <c r="S610" s="107" t="str">
        <f>'Q100a-geral'!S1856</f>
        <v>só para pesquisa</v>
      </c>
      <c r="T610" s="84" t="str">
        <f>'Q100a-geral'!T1856</f>
        <v>x</v>
      </c>
      <c r="U610" s="84" t="str">
        <f>'Q100a-geral'!U1856</f>
        <v>x</v>
      </c>
      <c r="V610" s="107" t="str">
        <f>'Q100a-geral'!V1856</f>
        <v>só para pesquisa</v>
      </c>
      <c r="W610" s="84" t="str">
        <f>'Q100a-geral'!W1856</f>
        <v>x</v>
      </c>
      <c r="X610" s="84" t="str">
        <f>'Q100a-geral'!X1856</f>
        <v>x</v>
      </c>
      <c r="Y610" s="84" t="str">
        <f>'Q100a-geral'!Y1856</f>
        <v>x</v>
      </c>
      <c r="Z610" s="84" t="str">
        <f>'Q100a-geral'!Z1856</f>
        <v>x</v>
      </c>
      <c r="AA610" s="84" t="str">
        <f>'Q100a-geral'!AA1856</f>
        <v>x</v>
      </c>
      <c r="AB610" s="84" t="str">
        <f>'Q100a-geral'!AB1856</f>
        <v>x</v>
      </c>
      <c r="AC610" s="84" t="str">
        <f>'Q100a-geral'!AC1856</f>
        <v>x</v>
      </c>
      <c r="AD610" s="84" t="str">
        <f>'Q100a-geral'!AD1856</f>
        <v>x</v>
      </c>
      <c r="AE610" s="84" t="str">
        <f>'Q100a-geral'!AE1856</f>
        <v>x</v>
      </c>
      <c r="AF610" s="87">
        <f>'Q100a-geral'!AF1856</f>
        <v>378089</v>
      </c>
      <c r="AG610" s="84" t="str">
        <f>'Q100a-geral'!AG1856</f>
        <v>x</v>
      </c>
      <c r="AH610" s="84" t="str">
        <f>'Q100a-geral'!AH1856</f>
        <v>x</v>
      </c>
      <c r="AI610" s="84" t="str">
        <f>'Q100a-geral'!AI1856</f>
        <v>x</v>
      </c>
      <c r="AJ610" s="84" t="str">
        <f>'Q100a-geral'!AJ1856</f>
        <v>x</v>
      </c>
      <c r="AK610" s="137" t="str">
        <f>'Q100a-geral'!AK1856</f>
        <v>x</v>
      </c>
      <c r="AL610" s="173" t="str">
        <f>'Q100a-geral'!AL1856</f>
        <v>x</v>
      </c>
      <c r="AM610" s="137" t="str">
        <f>'Q100a-geral'!AM1856</f>
        <v>x</v>
      </c>
      <c r="AN610" s="137" t="str">
        <f>'Q100a-geral'!AN1856</f>
        <v>x</v>
      </c>
      <c r="AO610" s="137" t="str">
        <f>'Q100a-geral'!AO1856</f>
        <v>x</v>
      </c>
      <c r="AP610" s="137" t="str">
        <f>'Q100a-geral'!AP1856</f>
        <v>x</v>
      </c>
      <c r="AQ610" s="137" t="str">
        <f>'Q100a-geral'!AQ1856</f>
        <v>x</v>
      </c>
      <c r="AR610" s="137"/>
      <c r="AS610" s="137"/>
      <c r="AT610" s="137"/>
      <c r="AU610" s="137"/>
      <c r="AV610" s="137" t="str">
        <f>'Q100a-geral'!AV1856</f>
        <v>x</v>
      </c>
      <c r="AW610" s="137"/>
      <c r="AX610" s="137"/>
      <c r="AY610" s="137"/>
      <c r="AZ610" s="137"/>
      <c r="BA610" s="137" t="str">
        <f>'Q100a-geral'!BA1856</f>
        <v>x</v>
      </c>
      <c r="BB610" s="239" t="str">
        <f>'Q100a-geral'!BB1856</f>
        <v>Populaçãox</v>
      </c>
      <c r="BC610" s="239" t="str">
        <f>'Q100a-geral'!BC1856</f>
        <v>PopulaçãoxRMBH</v>
      </c>
      <c r="BD610" s="239" t="str">
        <f>'Q100a-geral'!BD1856</f>
        <v>PopulaçãoRMBH</v>
      </c>
    </row>
    <row r="611" spans="1:56" s="1" customFormat="1" ht="51" customHeight="1" x14ac:dyDescent="0.25">
      <c r="A611" s="275" t="str">
        <f>'Q100a-geral'!A1855</f>
        <v>2.4</v>
      </c>
      <c r="B611" s="54" t="str">
        <f>'Q100a-geral'!B1855</f>
        <v>População</v>
      </c>
      <c r="C611" s="167" t="str">
        <f>'Q100a-geral'!C1855</f>
        <v>x</v>
      </c>
      <c r="D611" s="287" t="str">
        <f>'Q100a-geral'!D1855</f>
        <v>P</v>
      </c>
      <c r="E611" s="458" t="str">
        <f>'Q100a-geral'!E1855</f>
        <v>Belo Horizonte</v>
      </c>
      <c r="F611" s="490" t="str">
        <f>'Q100a-geral'!F1855</f>
        <v>população de Belo Horizonte, ou seja, n.º de habitantes divulgado anualmente pelo IBGE, seja pelos censos (a cada dez anos), seja por contagens populacionais (anualmente, entre os censos) 
obs.: em consulta anterior, a população de 2011 era 2.285.639 habitantes (IGBE, 2010; 2011; 2012; 2013; 2014; 2015); resultado de 2016 conforme IBGE(2016c)</v>
      </c>
      <c r="G611" s="252" t="str">
        <f>'Q100a-geral'!G1855</f>
        <v>registro na fonte</v>
      </c>
      <c r="H611" s="168" t="str">
        <f>'Q100a-geral'!H1855</f>
        <v>x</v>
      </c>
      <c r="I611" s="167">
        <f>'Q100a-geral'!I1855</f>
        <v>1</v>
      </c>
      <c r="J611" s="93" t="str">
        <f>'Q100a-geral'!J1855</f>
        <v>x</v>
      </c>
      <c r="K611" s="87">
        <f>'Q100a-geral'!K1855</f>
        <v>2020161</v>
      </c>
      <c r="L611" s="98">
        <f>'Q100a-geral'!L1855</f>
        <v>2028242</v>
      </c>
      <c r="M611" s="98">
        <f>'Q100a-geral'!M1855</f>
        <v>2036355</v>
      </c>
      <c r="N611" s="98">
        <f>'Q100a-geral'!N1855</f>
        <v>2044500</v>
      </c>
      <c r="O611" s="98">
        <f>'Q100a-geral'!O1855</f>
        <v>2052678</v>
      </c>
      <c r="P611" s="98">
        <f>'Q100a-geral'!P1855</f>
        <v>2091448</v>
      </c>
      <c r="Q611" s="98">
        <f>'Q100a-geral'!Q1855</f>
        <v>2099814</v>
      </c>
      <c r="R611" s="98">
        <f>'Q100a-geral'!R1855</f>
        <v>2108213</v>
      </c>
      <c r="S611" s="107" t="str">
        <f>'Q100a-geral'!S1855</f>
        <v>só para pesquisa</v>
      </c>
      <c r="T611" s="98">
        <f>'Q100a-geral'!T1855</f>
        <v>2116646</v>
      </c>
      <c r="U611" s="87">
        <f>'Q100a-geral'!U1855</f>
        <v>2238526</v>
      </c>
      <c r="V611" s="107" t="str">
        <f>'Q100a-geral'!V1855</f>
        <v>só para pesquisa</v>
      </c>
      <c r="W611" s="98">
        <f>'Q100a-geral'!W1855</f>
        <v>2258627</v>
      </c>
      <c r="X611" s="98">
        <f>'Q100a-geral'!X1855</f>
        <v>2284468</v>
      </c>
      <c r="Y611" s="98">
        <f>'Q100a-geral'!Y1855</f>
        <v>2305812</v>
      </c>
      <c r="Z611" s="87">
        <f>'Q100a-geral'!Z1855</f>
        <v>2350564</v>
      </c>
      <c r="AA611" s="87">
        <f>'Q100a-geral'!AA1855</f>
        <v>2375329</v>
      </c>
      <c r="AB611" s="87">
        <f>'Q100a-geral'!AB1855</f>
        <v>2399920</v>
      </c>
      <c r="AC611" s="87">
        <f>'Q100a-geral'!AC1855</f>
        <v>2412937</v>
      </c>
      <c r="AD611" s="87">
        <f>'Q100a-geral'!AD1855</f>
        <v>2434642</v>
      </c>
      <c r="AE611" s="87">
        <f>'Q100a-geral'!AE1855</f>
        <v>2452617</v>
      </c>
      <c r="AF611" s="87">
        <f>'Q100a-geral'!AF1855</f>
        <v>2375151</v>
      </c>
      <c r="AG611" s="87">
        <f>'Q100a-geral'!AG1855</f>
        <v>2385640</v>
      </c>
      <c r="AH611" s="87">
        <f>'Q100a-geral'!AH1855</f>
        <v>2395785</v>
      </c>
      <c r="AI611" s="87">
        <f>'Q100a-geral'!AI1855</f>
        <v>2479165</v>
      </c>
      <c r="AJ611" s="87">
        <f>'Q100a-geral'!AJ1855</f>
        <v>2491109</v>
      </c>
      <c r="AK611" s="87">
        <f>'Q100a-geral'!AK1855</f>
        <v>2502557</v>
      </c>
      <c r="AL611" s="216" t="str">
        <f>'Q100a-geral'!AL1855</f>
        <v>x</v>
      </c>
      <c r="AM611" s="137">
        <f>'Q100a-geral'!AM1855</f>
        <v>2513451</v>
      </c>
      <c r="AN611" s="137" t="str">
        <f>'Q100a-geral'!AN1855</f>
        <v>x</v>
      </c>
      <c r="AO611" s="137" t="str">
        <f>'Q100a-geral'!AO1855</f>
        <v>x</v>
      </c>
      <c r="AP611" s="137" t="str">
        <f>'Q100a-geral'!AP1855</f>
        <v>x</v>
      </c>
      <c r="AQ611" s="137" t="str">
        <f>'Q100a-geral'!AQ1855</f>
        <v>x</v>
      </c>
      <c r="AR611" s="137"/>
      <c r="AS611" s="137"/>
      <c r="AT611" s="137"/>
      <c r="AU611" s="137"/>
      <c r="AV611" s="137" t="str">
        <f>'Q100a-geral'!AV1855</f>
        <v>x</v>
      </c>
      <c r="AW611" s="137"/>
      <c r="AX611" s="137"/>
      <c r="AY611" s="137"/>
      <c r="AZ611" s="137"/>
      <c r="BA611" s="137" t="str">
        <f>'Q100a-geral'!BA1855</f>
        <v>x</v>
      </c>
      <c r="BB611" s="239" t="str">
        <f>'Q100a-geral'!BB1855</f>
        <v>Populaçãox</v>
      </c>
      <c r="BC611" s="239" t="str">
        <f>'Q100a-geral'!BC1855</f>
        <v>Populaçãoxx</v>
      </c>
      <c r="BD611" s="239" t="str">
        <f>'Q100a-geral'!BD1855</f>
        <v>Populaçãox</v>
      </c>
    </row>
    <row r="612" spans="1:56" s="1" customFormat="1" ht="38.25" customHeight="1" x14ac:dyDescent="0.25">
      <c r="A612" s="275" t="str">
        <f>'Q100a-geral'!A1861</f>
        <v>2.4</v>
      </c>
      <c r="B612" s="54" t="str">
        <f>'Q100a-geral'!B1861</f>
        <v>População</v>
      </c>
      <c r="C612" s="167" t="str">
        <f>'Q100a-geral'!C1861</f>
        <v>x</v>
      </c>
      <c r="D612" s="36" t="str">
        <f>'Q100a-geral'!D1861</f>
        <v>P</v>
      </c>
      <c r="E612" s="464" t="str">
        <f>'Q100a-geral'!E1861</f>
        <v>Contagem</v>
      </c>
      <c r="F612" s="447" t="str">
        <f>'Q100a-geral'!F1861</f>
        <v>população do município integrante da RMBH, ou seja, n.º de habitantes divulgado anualmente pelo IBGE, seja pelos censos (a cada dez anos), seja por contagens populacionais (anualmente, entre os censos)
obs.: resultado de 2010 conforme (IBGE, 2010)</v>
      </c>
      <c r="G612" s="252" t="str">
        <f>'Q100a-geral'!G1861</f>
        <v>registro na fonte</v>
      </c>
      <c r="H612" s="169" t="str">
        <f>'Q100a-geral'!H1861</f>
        <v>RMBH</v>
      </c>
      <c r="I612" s="167">
        <f>'Q100a-geral'!I1861</f>
        <v>1</v>
      </c>
      <c r="J612" s="93" t="str">
        <f>'Q100a-geral'!J1861</f>
        <v>x</v>
      </c>
      <c r="K612" s="84" t="str">
        <f>'Q100a-geral'!K1861</f>
        <v>x</v>
      </c>
      <c r="L612" s="84" t="str">
        <f>'Q100a-geral'!L1861</f>
        <v>x</v>
      </c>
      <c r="M612" s="84" t="str">
        <f>'Q100a-geral'!M1861</f>
        <v>x</v>
      </c>
      <c r="N612" s="84" t="str">
        <f>'Q100a-geral'!N1861</f>
        <v>x</v>
      </c>
      <c r="O612" s="84" t="str">
        <f>'Q100a-geral'!O1861</f>
        <v>x</v>
      </c>
      <c r="P612" s="84" t="str">
        <f>'Q100a-geral'!P1861</f>
        <v>x</v>
      </c>
      <c r="Q612" s="84" t="str">
        <f>'Q100a-geral'!Q1861</f>
        <v>x</v>
      </c>
      <c r="R612" s="84" t="str">
        <f>'Q100a-geral'!R1861</f>
        <v>x</v>
      </c>
      <c r="S612" s="107" t="str">
        <f>'Q100a-geral'!S1861</f>
        <v>só para pesquisa</v>
      </c>
      <c r="T612" s="84" t="str">
        <f>'Q100a-geral'!T1861</f>
        <v>x</v>
      </c>
      <c r="U612" s="84" t="str">
        <f>'Q100a-geral'!U1861</f>
        <v>x</v>
      </c>
      <c r="V612" s="107" t="str">
        <f>'Q100a-geral'!V1861</f>
        <v>só para pesquisa</v>
      </c>
      <c r="W612" s="84" t="str">
        <f>'Q100a-geral'!W1861</f>
        <v>x</v>
      </c>
      <c r="X612" s="84" t="str">
        <f>'Q100a-geral'!X1861</f>
        <v>x</v>
      </c>
      <c r="Y612" s="84" t="str">
        <f>'Q100a-geral'!Y1861</f>
        <v>x</v>
      </c>
      <c r="Z612" s="84" t="str">
        <f>'Q100a-geral'!Z1861</f>
        <v>x</v>
      </c>
      <c r="AA612" s="84" t="str">
        <f>'Q100a-geral'!AA1861</f>
        <v>x</v>
      </c>
      <c r="AB612" s="84" t="str">
        <f>'Q100a-geral'!AB1861</f>
        <v>x</v>
      </c>
      <c r="AC612" s="84" t="str">
        <f>'Q100a-geral'!AC1861</f>
        <v>x</v>
      </c>
      <c r="AD612" s="84" t="str">
        <f>'Q100a-geral'!AD1861</f>
        <v>x</v>
      </c>
      <c r="AE612" s="84" t="str">
        <f>'Q100a-geral'!AE1861</f>
        <v>x</v>
      </c>
      <c r="AF612" s="87">
        <f>'Q100a-geral'!AF1861</f>
        <v>603442</v>
      </c>
      <c r="AG612" s="84" t="str">
        <f>'Q100a-geral'!AG1861</f>
        <v>x</v>
      </c>
      <c r="AH612" s="84" t="str">
        <f>'Q100a-geral'!AH1861</f>
        <v>x</v>
      </c>
      <c r="AI612" s="84" t="str">
        <f>'Q100a-geral'!AI1861</f>
        <v>x</v>
      </c>
      <c r="AJ612" s="84" t="str">
        <f>'Q100a-geral'!AJ1861</f>
        <v>x</v>
      </c>
      <c r="AK612" s="137" t="str">
        <f>'Q100a-geral'!AK1861</f>
        <v>x</v>
      </c>
      <c r="AL612" s="213" t="str">
        <f>'Q100a-geral'!AL1861</f>
        <v>x</v>
      </c>
      <c r="AM612" s="137" t="str">
        <f>'Q100a-geral'!AM1861</f>
        <v>x</v>
      </c>
      <c r="AN612" s="137" t="str">
        <f>'Q100a-geral'!AN1861</f>
        <v>x</v>
      </c>
      <c r="AO612" s="137" t="str">
        <f>'Q100a-geral'!AO1861</f>
        <v>x</v>
      </c>
      <c r="AP612" s="137" t="str">
        <f>'Q100a-geral'!AP1861</f>
        <v>x</v>
      </c>
      <c r="AQ612" s="137" t="str">
        <f>'Q100a-geral'!AQ1861</f>
        <v>x</v>
      </c>
      <c r="AR612" s="137"/>
      <c r="AS612" s="137"/>
      <c r="AT612" s="137"/>
      <c r="AU612" s="137"/>
      <c r="AV612" s="137" t="str">
        <f>'Q100a-geral'!AV1861</f>
        <v>x</v>
      </c>
      <c r="AW612" s="137"/>
      <c r="AX612" s="137"/>
      <c r="AY612" s="137"/>
      <c r="AZ612" s="137"/>
      <c r="BA612" s="137" t="str">
        <f>'Q100a-geral'!BA1861</f>
        <v>x</v>
      </c>
      <c r="BB612" s="239" t="str">
        <f>'Q100a-geral'!BB1861</f>
        <v>Populaçãox</v>
      </c>
      <c r="BC612" s="239" t="str">
        <f>'Q100a-geral'!BC1861</f>
        <v>PopulaçãoxRMBH</v>
      </c>
      <c r="BD612" s="239" t="str">
        <f>'Q100a-geral'!BD1861</f>
        <v>PopulaçãoRMBH</v>
      </c>
    </row>
    <row r="613" spans="1:56" s="1" customFormat="1" ht="63.75" customHeight="1" x14ac:dyDescent="0.25">
      <c r="A613" s="275" t="str">
        <f>'Q100a-geral'!A1881</f>
        <v>2.4</v>
      </c>
      <c r="B613" s="54" t="str">
        <f>'Q100a-geral'!B1881</f>
        <v>População</v>
      </c>
      <c r="C613" s="167" t="str">
        <f>'Q100a-geral'!C1881</f>
        <v>x</v>
      </c>
      <c r="D613" s="326" t="str">
        <f>'Q100a-geral'!D1881</f>
        <v>P</v>
      </c>
      <c r="E613" s="465" t="str">
        <f>'Q100a-geral'!E1881</f>
        <v>RMBH</v>
      </c>
      <c r="F613" s="490" t="str">
        <f>'Q100a-geral'!F1881</f>
        <v>população da Região Metropolitana de Belo Horizonte (RMBH), ou seja, somatório do n.º de habitantes de todos os municípios da RMBH divulgado anualmente pelo IBGE, seja pelos censos (a cada dez anos), seja por contagens populacionais (anualmente, entre os censos)</v>
      </c>
      <c r="G613" s="188" t="str">
        <f>'Q100a-geral'!G1881</f>
        <v>∑ população dos 34 municípios da RMBH</v>
      </c>
      <c r="H613" s="169" t="str">
        <f>'Q100a-geral'!H1881</f>
        <v>RMBH</v>
      </c>
      <c r="I613" s="167">
        <f>'Q100a-geral'!I1881</f>
        <v>1</v>
      </c>
      <c r="J613" s="93" t="str">
        <f>'Q100a-geral'!J1881</f>
        <v>x</v>
      </c>
      <c r="K613" s="84" t="str">
        <f>'Q100a-geral'!K1881</f>
        <v>x</v>
      </c>
      <c r="L613" s="84" t="str">
        <f>'Q100a-geral'!L1881</f>
        <v>x</v>
      </c>
      <c r="M613" s="84" t="str">
        <f>'Q100a-geral'!M1881</f>
        <v>x</v>
      </c>
      <c r="N613" s="84" t="str">
        <f>'Q100a-geral'!N1881</f>
        <v>x</v>
      </c>
      <c r="O613" s="84" t="str">
        <f>'Q100a-geral'!O1881</f>
        <v>x</v>
      </c>
      <c r="P613" s="84" t="str">
        <f>'Q100a-geral'!P1881</f>
        <v>x</v>
      </c>
      <c r="Q613" s="84" t="str">
        <f>'Q100a-geral'!Q1881</f>
        <v>x</v>
      </c>
      <c r="R613" s="84" t="str">
        <f>'Q100a-geral'!R1881</f>
        <v>x</v>
      </c>
      <c r="S613" s="107" t="str">
        <f>'Q100a-geral'!S1881</f>
        <v>só para pesquisa</v>
      </c>
      <c r="T613" s="23" t="str">
        <f>'Q100a-geral'!T1881</f>
        <v>x</v>
      </c>
      <c r="U613" s="23" t="str">
        <f>'Q100a-geral'!U1881</f>
        <v>x</v>
      </c>
      <c r="V613" s="107" t="str">
        <f>'Q100a-geral'!V1881</f>
        <v>só para pesquisa</v>
      </c>
      <c r="W613" s="23" t="str">
        <f>'Q100a-geral'!W1881</f>
        <v>x</v>
      </c>
      <c r="X613" s="23" t="str">
        <f>'Q100a-geral'!X1881</f>
        <v>x</v>
      </c>
      <c r="Y613" s="23" t="str">
        <f>'Q100a-geral'!Y1881</f>
        <v>x</v>
      </c>
      <c r="Z613" s="23" t="str">
        <f>'Q100a-geral'!Z1881</f>
        <v>x</v>
      </c>
      <c r="AA613" s="23" t="str">
        <f>'Q100a-geral'!AA1881</f>
        <v>x</v>
      </c>
      <c r="AB613" s="23" t="str">
        <f>'Q100a-geral'!AB1881</f>
        <v>x</v>
      </c>
      <c r="AC613" s="23" t="str">
        <f>'Q100a-geral'!AC1881</f>
        <v>x</v>
      </c>
      <c r="AD613" s="23" t="str">
        <f>'Q100a-geral'!AD1881</f>
        <v>x</v>
      </c>
      <c r="AE613" s="23" t="str">
        <f>'Q100a-geral'!AE1881</f>
        <v>x</v>
      </c>
      <c r="AF613" s="20">
        <f>'Q100a-geral'!AF1881</f>
        <v>4883970</v>
      </c>
      <c r="AG613" s="23" t="str">
        <f>'Q100a-geral'!AG1881</f>
        <v>x</v>
      </c>
      <c r="AH613" s="23" t="str">
        <f>'Q100a-geral'!AH1881</f>
        <v>x</v>
      </c>
      <c r="AI613" s="23" t="str">
        <f>'Q100a-geral'!AI1881</f>
        <v>x</v>
      </c>
      <c r="AJ613" s="23" t="str">
        <f>'Q100a-geral'!AJ1881</f>
        <v>x</v>
      </c>
      <c r="AK613" s="137" t="str">
        <f>'Q100a-geral'!AK1881</f>
        <v>x</v>
      </c>
      <c r="AL613" s="213" t="str">
        <f>'Q100a-geral'!AL1881</f>
        <v>x</v>
      </c>
      <c r="AM613" s="137" t="str">
        <f>'Q100a-geral'!AM1881</f>
        <v>x</v>
      </c>
      <c r="AN613" s="137" t="str">
        <f>'Q100a-geral'!AN1881</f>
        <v>x</v>
      </c>
      <c r="AO613" s="137" t="str">
        <f>'Q100a-geral'!AO1881</f>
        <v>x</v>
      </c>
      <c r="AP613" s="137" t="str">
        <f>'Q100a-geral'!AP1881</f>
        <v>x</v>
      </c>
      <c r="AQ613" s="137" t="str">
        <f>'Q100a-geral'!AQ1881</f>
        <v>x</v>
      </c>
      <c r="AR613" s="137"/>
      <c r="AS613" s="137"/>
      <c r="AT613" s="137"/>
      <c r="AU613" s="137"/>
      <c r="AV613" s="137" t="str">
        <f>'Q100a-geral'!AV1881</f>
        <v>x</v>
      </c>
      <c r="AW613" s="137"/>
      <c r="AX613" s="137"/>
      <c r="AY613" s="137"/>
      <c r="AZ613" s="137"/>
      <c r="BA613" s="137" t="str">
        <f>'Q100a-geral'!BA1881</f>
        <v>x</v>
      </c>
      <c r="BB613" s="239" t="str">
        <f>'Q100a-geral'!BB1881</f>
        <v>Populaçãox</v>
      </c>
      <c r="BC613" s="239" t="str">
        <f>'Q100a-geral'!BC1881</f>
        <v>PopulaçãoxRMBH</v>
      </c>
      <c r="BD613" s="239" t="str">
        <f>'Q100a-geral'!BD1881</f>
        <v>PopulaçãoRMBH</v>
      </c>
    </row>
    <row r="614" spans="1:56" s="1" customFormat="1" ht="63.75" customHeight="1" x14ac:dyDescent="0.25">
      <c r="A614" s="275" t="str">
        <f>'Q100a-geral'!A1882</f>
        <v>2.4</v>
      </c>
      <c r="B614" s="54" t="str">
        <f>'Q100a-geral'!B1882</f>
        <v>População</v>
      </c>
      <c r="C614" s="167" t="str">
        <f>'Q100a-geral'!C1882</f>
        <v>x</v>
      </c>
      <c r="D614" s="326" t="str">
        <f>'Q100a-geral'!D1882</f>
        <v>P</v>
      </c>
      <c r="E614" s="465" t="str">
        <f>'Q100a-geral'!E1882</f>
        <v>restante RMBH</v>
      </c>
      <c r="F614" s="490" t="str">
        <f>'Q100a-geral'!F1882</f>
        <v>população da Região Metropolitana de Belo Horizonte (RMBH) sem Belo Horizonte, ou seja, somatório do n.º de habitantes de todos os municípios da RMBH exceto Belo Horizonte, com base em resultados divulgados anualmente pelo IBGE, seja pelos censos (a cada dez anos), seja por contagens populacionais (anualmente, entre os censos)</v>
      </c>
      <c r="G614" s="188" t="str">
        <f>'Q100a-geral'!G1882</f>
        <v>P(RMBH) - P(Belo Horizonte)</v>
      </c>
      <c r="H614" s="169" t="str">
        <f>'Q100a-geral'!H1882</f>
        <v>RMBH</v>
      </c>
      <c r="I614" s="167">
        <f>'Q100a-geral'!I1882</f>
        <v>1</v>
      </c>
      <c r="J614" s="1101" t="str">
        <f>'Q100a-geral'!J1882</f>
        <v>x</v>
      </c>
      <c r="K614" s="84" t="str">
        <f>'Q100a-geral'!K1882</f>
        <v>x</v>
      </c>
      <c r="L614" s="84" t="str">
        <f>'Q100a-geral'!L1882</f>
        <v>x</v>
      </c>
      <c r="M614" s="84" t="str">
        <f>'Q100a-geral'!M1882</f>
        <v>x</v>
      </c>
      <c r="N614" s="84" t="str">
        <f>'Q100a-geral'!N1882</f>
        <v>x</v>
      </c>
      <c r="O614" s="84" t="str">
        <f>'Q100a-geral'!O1882</f>
        <v>x</v>
      </c>
      <c r="P614" s="84" t="str">
        <f>'Q100a-geral'!P1882</f>
        <v>x</v>
      </c>
      <c r="Q614" s="84" t="str">
        <f>'Q100a-geral'!Q1882</f>
        <v>x</v>
      </c>
      <c r="R614" s="84" t="str">
        <f>'Q100a-geral'!R1882</f>
        <v>x</v>
      </c>
      <c r="S614" s="107" t="str">
        <f>'Q100a-geral'!S1882</f>
        <v>só para pesquisa</v>
      </c>
      <c r="T614" s="23" t="str">
        <f>'Q100a-geral'!T1882</f>
        <v>x</v>
      </c>
      <c r="U614" s="23" t="str">
        <f>'Q100a-geral'!U1882</f>
        <v>x</v>
      </c>
      <c r="V614" s="107" t="str">
        <f>'Q100a-geral'!V1882</f>
        <v>só para pesquisa</v>
      </c>
      <c r="W614" s="23" t="str">
        <f>'Q100a-geral'!W1882</f>
        <v>x</v>
      </c>
      <c r="X614" s="23" t="str">
        <f>'Q100a-geral'!X1882</f>
        <v>x</v>
      </c>
      <c r="Y614" s="23" t="str">
        <f>'Q100a-geral'!Y1882</f>
        <v>x</v>
      </c>
      <c r="Z614" s="23" t="str">
        <f>'Q100a-geral'!Z1882</f>
        <v>x</v>
      </c>
      <c r="AA614" s="23" t="str">
        <f>'Q100a-geral'!AA1882</f>
        <v>x</v>
      </c>
      <c r="AB614" s="23" t="str">
        <f>'Q100a-geral'!AB1882</f>
        <v>x</v>
      </c>
      <c r="AC614" s="23" t="str">
        <f>'Q100a-geral'!AC1882</f>
        <v>x</v>
      </c>
      <c r="AD614" s="23" t="str">
        <f>'Q100a-geral'!AD1882</f>
        <v>x</v>
      </c>
      <c r="AE614" s="23" t="str">
        <f>'Q100a-geral'!AE1882</f>
        <v>x</v>
      </c>
      <c r="AF614" s="20">
        <f>'Q100a-geral'!AF1882</f>
        <v>2508819</v>
      </c>
      <c r="AG614" s="23" t="str">
        <f>'Q100a-geral'!AG1882</f>
        <v>x</v>
      </c>
      <c r="AH614" s="23" t="str">
        <f>'Q100a-geral'!AH1882</f>
        <v>x</v>
      </c>
      <c r="AI614" s="23" t="str">
        <f>'Q100a-geral'!AI1882</f>
        <v>x</v>
      </c>
      <c r="AJ614" s="23" t="str">
        <f>'Q100a-geral'!AJ1882</f>
        <v>x</v>
      </c>
      <c r="AK614" s="137" t="str">
        <f>'Q100a-geral'!AK1882</f>
        <v>x</v>
      </c>
      <c r="AL614" s="213" t="str">
        <f>'Q100a-geral'!AL1882</f>
        <v>x</v>
      </c>
      <c r="AM614" s="137" t="str">
        <f>'Q100a-geral'!AM1882</f>
        <v>x</v>
      </c>
      <c r="AN614" s="137" t="str">
        <f>'Q100a-geral'!AN1882</f>
        <v>x</v>
      </c>
      <c r="AO614" s="137" t="str">
        <f>'Q100a-geral'!AO1882</f>
        <v>x</v>
      </c>
      <c r="AP614" s="137" t="str">
        <f>'Q100a-geral'!AP1882</f>
        <v>x</v>
      </c>
      <c r="AQ614" s="137" t="str">
        <f>'Q100a-geral'!AQ1882</f>
        <v>x</v>
      </c>
      <c r="AR614" s="137"/>
      <c r="AS614" s="137"/>
      <c r="AT614" s="137"/>
      <c r="AU614" s="137"/>
      <c r="AV614" s="137" t="str">
        <f>'Q100a-geral'!AV1882</f>
        <v>x</v>
      </c>
      <c r="AW614" s="137"/>
      <c r="AX614" s="137"/>
      <c r="AY614" s="137"/>
      <c r="AZ614" s="137"/>
      <c r="BA614" s="137" t="str">
        <f>'Q100a-geral'!BA1882</f>
        <v>x</v>
      </c>
      <c r="BB614" s="239" t="str">
        <f>'Q100a-geral'!BB1882</f>
        <v>Populaçãox</v>
      </c>
      <c r="BC614" s="239" t="str">
        <f>'Q100a-geral'!BC1882</f>
        <v>PopulaçãoxRMBH</v>
      </c>
      <c r="BD614" s="239" t="str">
        <f>'Q100a-geral'!BD1882</f>
        <v>PopulaçãoRMBH</v>
      </c>
    </row>
    <row r="615" spans="1:56" s="1" customFormat="1" ht="63.75" customHeight="1" x14ac:dyDescent="0.25">
      <c r="A615" s="275" t="str">
        <f>'Q100a-geral'!A1893</f>
        <v>2.2</v>
      </c>
      <c r="B615" s="54" t="str">
        <f>'Q100a-geral'!B1893</f>
        <v>Frota e condutores de veículos automotores</v>
      </c>
      <c r="C615" s="167" t="str">
        <f>'Q100a-geral'!C1893</f>
        <v>x</v>
      </c>
      <c r="D615" s="27" t="str">
        <f>'Q100a-geral'!D1893</f>
        <v>P (população) por automóvel</v>
      </c>
      <c r="E615" s="61" t="str">
        <f>'Q100a-geral'!E1893</f>
        <v>Belo Horizonte</v>
      </c>
      <c r="F615" s="633" t="str">
        <f>'Q100a-geral'!F1893</f>
        <v>motorização de automóveis, que é a relação entre população e frota de automóveis, expressando a quantidade de habitantes para cada automóvel registrado no território, também expresso na forma de 1 automóvel para cada x habitantes (é também identificado como TMA - taxa de motorização automóveis)</v>
      </c>
      <c r="G615" s="25" t="str">
        <f>'Q100a-geral'!G1893</f>
        <v>P/Fa</v>
      </c>
      <c r="H615" s="233" t="str">
        <f>'Q100a-geral'!H1893</f>
        <v>x</v>
      </c>
      <c r="I615" s="172">
        <f>'Q100a-geral'!I1893</f>
        <v>1</v>
      </c>
      <c r="J615" s="11" t="str">
        <f>'Q100a-geral'!J1893</f>
        <v>x</v>
      </c>
      <c r="K615" s="20" t="str">
        <f>'Q100a-geral'!K1893</f>
        <v>x</v>
      </c>
      <c r="L615" s="20" t="str">
        <f>'Q100a-geral'!L1893</f>
        <v>x</v>
      </c>
      <c r="M615" s="20" t="str">
        <f>'Q100a-geral'!M1893</f>
        <v>x</v>
      </c>
      <c r="N615" s="20" t="str">
        <f>'Q100a-geral'!N1893</f>
        <v>x</v>
      </c>
      <c r="O615" s="20" t="str">
        <f>'Q100a-geral'!O1893</f>
        <v>x</v>
      </c>
      <c r="P615" s="20" t="str">
        <f>'Q100a-geral'!P1893</f>
        <v>x</v>
      </c>
      <c r="Q615" s="20" t="str">
        <f>'Q100a-geral'!Q1893</f>
        <v>x</v>
      </c>
      <c r="R615" s="20" t="str">
        <f>'Q100a-geral'!R1893</f>
        <v>x</v>
      </c>
      <c r="S615" s="649" t="str">
        <f>'Q100a-geral'!S1893</f>
        <v>só para pesquisa</v>
      </c>
      <c r="T615" s="64">
        <f>'Q100a-geral'!T1893</f>
        <v>4.3079750555632446</v>
      </c>
      <c r="U615" s="64">
        <f>'Q100a-geral'!U1893</f>
        <v>4.4002154380212728</v>
      </c>
      <c r="V615" s="107" t="str">
        <f>'Q100a-geral'!V1893</f>
        <v>só para pesquisa</v>
      </c>
      <c r="W615" s="64">
        <f>'Q100a-geral'!W1893</f>
        <v>4.2395865204308985</v>
      </c>
      <c r="X615" s="64">
        <f>'Q100a-geral'!X1893</f>
        <v>4.1338409702040799</v>
      </c>
      <c r="Y615" s="64">
        <f>'Q100a-geral'!Y1893</f>
        <v>3.9707046250598408</v>
      </c>
      <c r="Z615" s="64">
        <f>'Q100a-geral'!Z1893</f>
        <v>3.90483784690728</v>
      </c>
      <c r="AA615" s="64">
        <f>'Q100a-geral'!AA1893</f>
        <v>3.7805469653972685</v>
      </c>
      <c r="AB615" s="64">
        <f>'Q100a-geral'!AB1893</f>
        <v>3.5644087859664548</v>
      </c>
      <c r="AC615" s="64">
        <f>'Q100a-geral'!AC1893</f>
        <v>3.3032754343790556</v>
      </c>
      <c r="AD615" s="64">
        <f>'Q100a-geral'!AD1893</f>
        <v>3.0978872737637166</v>
      </c>
      <c r="AE615" s="64">
        <f>'Q100a-geral'!AE1893</f>
        <v>2.8394658238399555</v>
      </c>
      <c r="AF615" s="64">
        <f>'Q100a-geral'!AF1893</f>
        <v>2.5326326295372561</v>
      </c>
      <c r="AG615" s="64">
        <f>'Q100a-geral'!AG1893</f>
        <v>2.390887999158152</v>
      </c>
      <c r="AH615" s="64">
        <f>'Q100a-geral'!AH1893</f>
        <v>2.2922859950380374</v>
      </c>
      <c r="AI615" s="64">
        <f>'Q100a-geral'!AI1893</f>
        <v>2.2751667258592794</v>
      </c>
      <c r="AJ615" s="64">
        <f>'Q100a-geral'!AJ1893</f>
        <v>2.2299385920939558</v>
      </c>
      <c r="AK615" s="137" t="str">
        <f>'Q100a-geral'!AK1893</f>
        <v>x</v>
      </c>
      <c r="AL615" s="212" t="str">
        <f>'Q100a-geral'!AL1893</f>
        <v>x</v>
      </c>
      <c r="AM615" s="137" t="str">
        <f>'Q100a-geral'!AM1893</f>
        <v>x</v>
      </c>
      <c r="AN615" s="137" t="str">
        <f>'Q100a-geral'!AN1893</f>
        <v>x</v>
      </c>
      <c r="AO615" s="137" t="str">
        <f>'Q100a-geral'!AO1893</f>
        <v>x</v>
      </c>
      <c r="AP615" s="137" t="str">
        <f>'Q100a-geral'!AP1893</f>
        <v>x</v>
      </c>
      <c r="AQ615" s="137" t="str">
        <f>'Q100a-geral'!AQ1893</f>
        <v>x</v>
      </c>
      <c r="AR615" s="137"/>
      <c r="AS615" s="137"/>
      <c r="AT615" s="137"/>
      <c r="AU615" s="137"/>
      <c r="AV615" s="137" t="str">
        <f>'Q100a-geral'!AV1893</f>
        <v>x</v>
      </c>
      <c r="AW615" s="137"/>
      <c r="AX615" s="137"/>
      <c r="AY615" s="137"/>
      <c r="AZ615" s="137"/>
      <c r="BA615" s="137" t="str">
        <f>'Q100a-geral'!BA1893</f>
        <v>x</v>
      </c>
      <c r="BB615" s="239" t="str">
        <f>'Q100a-geral'!BB1893</f>
        <v>Frota e condutores de veículos automotoresx</v>
      </c>
      <c r="BC615" s="239" t="str">
        <f>'Q100a-geral'!BC1893</f>
        <v>Frota e condutores de veículos automotoresxx</v>
      </c>
      <c r="BD615" s="239" t="str">
        <f>'Q100a-geral'!BD1893</f>
        <v>Frota e condutores de veículos automotoresx</v>
      </c>
    </row>
    <row r="616" spans="1:56" s="1" customFormat="1" ht="63.75" customHeight="1" x14ac:dyDescent="0.25">
      <c r="A616" s="275" t="str">
        <f>'Q100a-geral'!A1894</f>
        <v>2.2</v>
      </c>
      <c r="B616" s="54" t="str">
        <f>'Q100a-geral'!B1894</f>
        <v>Frota e condutores de veículos automotores</v>
      </c>
      <c r="C616" s="167" t="str">
        <f>'Q100a-geral'!C1894</f>
        <v>x</v>
      </c>
      <c r="D616" s="27" t="str">
        <f>'Q100a-geral'!D1894</f>
        <v>P (população) por Facc</v>
      </c>
      <c r="E616" s="61" t="str">
        <f>'Q100a-geral'!E1894</f>
        <v>Belo Horizonte</v>
      </c>
      <c r="F616" s="633" t="str">
        <f>'Q100a-geral'!F1894</f>
        <v>motorização da categoria "automóveis, caminhonetes e camionetas", que é a relação entre população e frota dessa categoria, expressando a quantidade de habitantes para cada veículo da categoria registrado no território, também expresso na forma de 1 veículo para cada x habitantes 
obs: este indicador é estratégico da BHTrans com o nome de "índice de motorização de veículos leves" (BHTRANS, 2015d)</v>
      </c>
      <c r="G616" s="25" t="str">
        <f>'Q100a-geral'!G1894</f>
        <v>P/Facc</v>
      </c>
      <c r="H616" s="233" t="str">
        <f>'Q100a-geral'!H1894</f>
        <v>x</v>
      </c>
      <c r="I616" s="172">
        <f>'Q100a-geral'!I1894</f>
        <v>1</v>
      </c>
      <c r="J616" s="11" t="str">
        <f>'Q100a-geral'!J1894</f>
        <v>x</v>
      </c>
      <c r="K616" s="20" t="str">
        <f>'Q100a-geral'!K1894</f>
        <v>x</v>
      </c>
      <c r="L616" s="20" t="str">
        <f>'Q100a-geral'!L1894</f>
        <v>x</v>
      </c>
      <c r="M616" s="20" t="str">
        <f>'Q100a-geral'!M1894</f>
        <v>x</v>
      </c>
      <c r="N616" s="20" t="str">
        <f>'Q100a-geral'!N1894</f>
        <v>x</v>
      </c>
      <c r="O616" s="20" t="str">
        <f>'Q100a-geral'!O1894</f>
        <v>x</v>
      </c>
      <c r="P616" s="20" t="str">
        <f>'Q100a-geral'!P1894</f>
        <v>x</v>
      </c>
      <c r="Q616" s="20" t="str">
        <f>'Q100a-geral'!Q1894</f>
        <v>x</v>
      </c>
      <c r="R616" s="20" t="str">
        <f>'Q100a-geral'!R1894</f>
        <v>x</v>
      </c>
      <c r="S616" s="649" t="str">
        <f>'Q100a-geral'!S1894</f>
        <v>só para pesquisa</v>
      </c>
      <c r="T616" s="64">
        <f>'Q100a-geral'!T1894</f>
        <v>3.7860531173532905</v>
      </c>
      <c r="U616" s="64">
        <f>'Q100a-geral'!U1894</f>
        <v>3.8469652548402284</v>
      </c>
      <c r="V616" s="107" t="str">
        <f>'Q100a-geral'!V1894</f>
        <v>só para pesquisa</v>
      </c>
      <c r="W616" s="64">
        <f>'Q100a-geral'!W1894</f>
        <v>3.6973454601409772</v>
      </c>
      <c r="X616" s="64">
        <f>'Q100a-geral'!X1894</f>
        <v>3.6027731254120106</v>
      </c>
      <c r="Y616" s="64">
        <f>'Q100a-geral'!Y1894</f>
        <v>3.4650521152667078</v>
      </c>
      <c r="Z616" s="64">
        <f>'Q100a-geral'!Z1894</f>
        <v>3.4099849416379668</v>
      </c>
      <c r="AA616" s="64">
        <f>'Q100a-geral'!AA1894</f>
        <v>3.2923918165941286</v>
      </c>
      <c r="AB616" s="64">
        <f>'Q100a-geral'!AB1894</f>
        <v>3.1056754228065113</v>
      </c>
      <c r="AC616" s="64">
        <f>'Q100a-geral'!AC1894</f>
        <v>2.8803828036776276</v>
      </c>
      <c r="AD616" s="64">
        <f>'Q100a-geral'!AD1894</f>
        <v>2.7015467103416211</v>
      </c>
      <c r="AE616" s="64">
        <f>'Q100a-geral'!AE1894</f>
        <v>2.4778889898070422</v>
      </c>
      <c r="AF616" s="64">
        <f>'Q100a-geral'!AF1894</f>
        <v>2.1976633153275191</v>
      </c>
      <c r="AG616" s="64">
        <f>'Q100a-geral'!AG1894</f>
        <v>2.0633115352714322</v>
      </c>
      <c r="AH616" s="64">
        <f>'Q100a-geral'!AH1894</f>
        <v>1.9647647360328038</v>
      </c>
      <c r="AI616" s="64">
        <f>'Q100a-geral'!AI1894</f>
        <v>1.9387515708785894</v>
      </c>
      <c r="AJ616" s="64">
        <f>'Q100a-geral'!AJ1894</f>
        <v>1.8869007401841522</v>
      </c>
      <c r="AK616" s="137" t="str">
        <f>'Q100a-geral'!AK1894</f>
        <v>x</v>
      </c>
      <c r="AL616" s="212" t="str">
        <f>'Q100a-geral'!AL1894</f>
        <v>x</v>
      </c>
      <c r="AM616" s="137" t="str">
        <f>'Q100a-geral'!AM1894</f>
        <v>x</v>
      </c>
      <c r="AN616" s="137" t="str">
        <f>'Q100a-geral'!AN1894</f>
        <v>x</v>
      </c>
      <c r="AO616" s="137" t="str">
        <f>'Q100a-geral'!AO1894</f>
        <v>x</v>
      </c>
      <c r="AP616" s="137" t="str">
        <f>'Q100a-geral'!AP1894</f>
        <v>x</v>
      </c>
      <c r="AQ616" s="137" t="str">
        <f>'Q100a-geral'!AQ1894</f>
        <v>x</v>
      </c>
      <c r="AR616" s="137"/>
      <c r="AS616" s="137"/>
      <c r="AT616" s="137"/>
      <c r="AU616" s="137"/>
      <c r="AV616" s="137" t="str">
        <f>'Q100a-geral'!AV1894</f>
        <v>x</v>
      </c>
      <c r="AW616" s="137"/>
      <c r="AX616" s="137"/>
      <c r="AY616" s="137"/>
      <c r="AZ616" s="137"/>
      <c r="BA616" s="137" t="str">
        <f>'Q100a-geral'!BA1894</f>
        <v>x</v>
      </c>
      <c r="BB616" s="239" t="str">
        <f>'Q100a-geral'!BB1894</f>
        <v>Frota e condutores de veículos automotoresx</v>
      </c>
      <c r="BC616" s="239" t="str">
        <f>'Q100a-geral'!BC1894</f>
        <v>Frota e condutores de veículos automotoresxx</v>
      </c>
      <c r="BD616" s="239" t="str">
        <f>'Q100a-geral'!BD1894</f>
        <v>Frota e condutores de veículos automotoresx</v>
      </c>
    </row>
    <row r="617" spans="1:56" s="1" customFormat="1" ht="76.5" customHeight="1" x14ac:dyDescent="0.25">
      <c r="A617" s="275" t="str">
        <f>'Q100a-geral'!A1895</f>
        <v>2.2</v>
      </c>
      <c r="B617" s="54" t="str">
        <f>'Q100a-geral'!B1895</f>
        <v>Frota e condutores de veículos automotores</v>
      </c>
      <c r="C617" s="167" t="str">
        <f>'Q100a-geral'!C1895</f>
        <v>x</v>
      </c>
      <c r="D617" s="27" t="str">
        <f>'Q100a-geral'!D1895</f>
        <v>P (população) por Fmmc</v>
      </c>
      <c r="E617" s="61" t="str">
        <f>'Q100a-geral'!E1895</f>
        <v>Belo Horizonte</v>
      </c>
      <c r="F617" s="633" t="str">
        <f>'Q100a-geral'!F1895</f>
        <v>motorização da categoria "motociclos", que é a relação entre população e frota dessa categoria, expressando a quantidade de habitantes para cada veículo da categoria registrado no território, também expresso na forma de 1 veículo para cada x habitantes (destaque-se que esse indicador não é equivalente ao TMM - taxa de motorização por moto)
obs: este indicador é estratégico da BHTrans com o nome de "índice de motorização de motocicletas (sic) veículos leves" (BHTRANS, 2015d)</v>
      </c>
      <c r="G617" s="25" t="str">
        <f>'Q100a-geral'!G1895</f>
        <v>P/Fmmc</v>
      </c>
      <c r="H617" s="233" t="str">
        <f>'Q100a-geral'!H1895</f>
        <v>x</v>
      </c>
      <c r="I617" s="172">
        <f>'Q100a-geral'!I1895</f>
        <v>1</v>
      </c>
      <c r="J617" s="11" t="str">
        <f>'Q100a-geral'!J1895</f>
        <v>x</v>
      </c>
      <c r="K617" s="49" t="str">
        <f>'Q100a-geral'!K1895</f>
        <v>x</v>
      </c>
      <c r="L617" s="49" t="str">
        <f>'Q100a-geral'!L1895</f>
        <v>x</v>
      </c>
      <c r="M617" s="49" t="str">
        <f>'Q100a-geral'!M1895</f>
        <v>x</v>
      </c>
      <c r="N617" s="49" t="str">
        <f>'Q100a-geral'!N1895</f>
        <v>x</v>
      </c>
      <c r="O617" s="49" t="str">
        <f>'Q100a-geral'!O1895</f>
        <v>x</v>
      </c>
      <c r="P617" s="49" t="str">
        <f>'Q100a-geral'!P1895</f>
        <v>x</v>
      </c>
      <c r="Q617" s="49" t="str">
        <f>'Q100a-geral'!Q1895</f>
        <v>x</v>
      </c>
      <c r="R617" s="49" t="str">
        <f>'Q100a-geral'!R1895</f>
        <v>x</v>
      </c>
      <c r="S617" s="649" t="str">
        <f>'Q100a-geral'!S1895</f>
        <v>só para pesquisa</v>
      </c>
      <c r="T617" s="49" t="str">
        <f>'Q100a-geral'!T1895</f>
        <v>x</v>
      </c>
      <c r="U617" s="49" t="str">
        <f>'Q100a-geral'!U1895</f>
        <v>x</v>
      </c>
      <c r="V617" s="107" t="str">
        <f>'Q100a-geral'!V1895</f>
        <v>só para pesquisa</v>
      </c>
      <c r="W617" s="49" t="str">
        <f>'Q100a-geral'!W1895</f>
        <v>x</v>
      </c>
      <c r="X617" s="49" t="str">
        <f>'Q100a-geral'!X1895</f>
        <v>x</v>
      </c>
      <c r="Y617" s="49" t="str">
        <f>'Q100a-geral'!Y1895</f>
        <v>x</v>
      </c>
      <c r="Z617" s="64">
        <f>'Q100a-geral'!Z1895</f>
        <v>29.070271339879788</v>
      </c>
      <c r="AA617" s="64">
        <f>'Q100a-geral'!AA1895</f>
        <v>26.669312644555724</v>
      </c>
      <c r="AB617" s="64">
        <f>'Q100a-geral'!AB1895</f>
        <v>23.394909487926849</v>
      </c>
      <c r="AC617" s="64">
        <f>'Q100a-geral'!AC1895</f>
        <v>19.658448954319187</v>
      </c>
      <c r="AD617" s="64">
        <f>'Q100a-geral'!AD1895</f>
        <v>17.121131356319577</v>
      </c>
      <c r="AE617" s="64">
        <f>'Q100a-geral'!AE1895</f>
        <v>15.276914739884393</v>
      </c>
      <c r="AF617" s="64">
        <f>'Q100a-geral'!AF1895</f>
        <v>13.499701604515151</v>
      </c>
      <c r="AG617" s="64">
        <f>'Q100a-geral'!AG1895</f>
        <v>12.476348365435404</v>
      </c>
      <c r="AH617" s="64">
        <f>'Q100a-geral'!AH1895</f>
        <v>11.894769505746842</v>
      </c>
      <c r="AI617" s="64">
        <f>'Q100a-geral'!AI1895</f>
        <v>11.786913070764315</v>
      </c>
      <c r="AJ617" s="64">
        <f>'Q100a-geral'!AJ1895</f>
        <v>11.472416286341929</v>
      </c>
      <c r="AK617" s="137" t="str">
        <f>'Q100a-geral'!AK1895</f>
        <v>x</v>
      </c>
      <c r="AL617" s="212" t="str">
        <f>'Q100a-geral'!AL1895</f>
        <v>x</v>
      </c>
      <c r="AM617" s="137" t="str">
        <f>'Q100a-geral'!AM1895</f>
        <v>x</v>
      </c>
      <c r="AN617" s="137" t="str">
        <f>'Q100a-geral'!AN1895</f>
        <v>x</v>
      </c>
      <c r="AO617" s="137" t="str">
        <f>'Q100a-geral'!AO1895</f>
        <v>x</v>
      </c>
      <c r="AP617" s="137" t="str">
        <f>'Q100a-geral'!AP1895</f>
        <v>x</v>
      </c>
      <c r="AQ617" s="137" t="str">
        <f>'Q100a-geral'!AQ1895</f>
        <v>x</v>
      </c>
      <c r="AR617" s="137"/>
      <c r="AS617" s="137"/>
      <c r="AT617" s="137"/>
      <c r="AU617" s="137"/>
      <c r="AV617" s="137" t="str">
        <f>'Q100a-geral'!AV1895</f>
        <v>x</v>
      </c>
      <c r="AW617" s="137"/>
      <c r="AX617" s="137"/>
      <c r="AY617" s="137"/>
      <c r="AZ617" s="137"/>
      <c r="BA617" s="137" t="str">
        <f>'Q100a-geral'!BA1895</f>
        <v>x</v>
      </c>
      <c r="BB617" s="239" t="str">
        <f>'Q100a-geral'!BB1895</f>
        <v>Frota e condutores de veículos automotoresx</v>
      </c>
      <c r="BC617" s="239" t="str">
        <f>'Q100a-geral'!BC1895</f>
        <v>Frota e condutores de veículos automotoresxx</v>
      </c>
      <c r="BD617" s="239" t="str">
        <f>'Q100a-geral'!BD1895</f>
        <v>Frota e condutores de veículos automotoresx</v>
      </c>
    </row>
    <row r="618" spans="1:56" s="1" customFormat="1" ht="63.75" customHeight="1" x14ac:dyDescent="0.25">
      <c r="A618" s="275" t="str">
        <f>'Q100a-geral'!A1896</f>
        <v>2.2</v>
      </c>
      <c r="B618" s="54" t="str">
        <f>'Q100a-geral'!B1896</f>
        <v>Frota e condutores de veículos automotores</v>
      </c>
      <c r="C618" s="167" t="str">
        <f>'Q100a-geral'!C1896</f>
        <v>x</v>
      </c>
      <c r="D618" s="27" t="str">
        <f>'Q100a-geral'!D1896</f>
        <v>P (população) por veículo</v>
      </c>
      <c r="E618" s="61" t="str">
        <f>'Q100a-geral'!E1896</f>
        <v>Belo Horizonte</v>
      </c>
      <c r="F618" s="633" t="str">
        <f>'Q100a-geral'!F1896</f>
        <v>motorização, que é a relação entre população e frota, expressando a quantidade de habitantes para cada veículo registrado no território, também expresso na forma de 1 veículo para cada x habitantes (é também identificado como TMG - taxa de motorização geral)
obs: este indicador é estratégico da BHTrans com o nome de "índice de motorização geral" (BHTRANS, 2015d)</v>
      </c>
      <c r="G618" s="25" t="str">
        <f>'Q100a-geral'!G1896</f>
        <v>P/F</v>
      </c>
      <c r="H618" s="233" t="str">
        <f>'Q100a-geral'!H1896</f>
        <v>x</v>
      </c>
      <c r="I618" s="172">
        <f>'Q100a-geral'!I1896</f>
        <v>1</v>
      </c>
      <c r="J618" s="11" t="str">
        <f>'Q100a-geral'!J1896</f>
        <v>x</v>
      </c>
      <c r="K618" s="64">
        <f>'Q100a-geral'!K1896</f>
        <v>4.210379216556726</v>
      </c>
      <c r="L618" s="64">
        <f>'Q100a-geral'!L1896</f>
        <v>4.1378591378040541</v>
      </c>
      <c r="M618" s="64">
        <f>'Q100a-geral'!M1896</f>
        <v>4.0012084057885584</v>
      </c>
      <c r="N618" s="64">
        <f>'Q100a-geral'!N1896</f>
        <v>3.8081561036667821</v>
      </c>
      <c r="O618" s="64">
        <f>'Q100a-geral'!O1896</f>
        <v>3.6087171309978183</v>
      </c>
      <c r="P618" s="64">
        <f>'Q100a-geral'!P1896</f>
        <v>3.4927554626283408</v>
      </c>
      <c r="Q618" s="64">
        <f>'Q100a-geral'!Q1896</f>
        <v>3.4313041091055267</v>
      </c>
      <c r="R618" s="64">
        <f>'Q100a-geral'!R1896</f>
        <v>3.3790392509163998</v>
      </c>
      <c r="S618" s="649" t="str">
        <f>'Q100a-geral'!S1896</f>
        <v>só para pesquisa</v>
      </c>
      <c r="T618" s="64">
        <f>'Q100a-geral'!T1896</f>
        <v>3.2304010671110928</v>
      </c>
      <c r="U618" s="64">
        <f>'Q100a-geral'!U1896</f>
        <v>3.2932721519080452</v>
      </c>
      <c r="V618" s="107" t="str">
        <f>'Q100a-geral'!V1896</f>
        <v>só para pesquisa</v>
      </c>
      <c r="W618" s="64">
        <f>'Q100a-geral'!W1896</f>
        <v>3.1462678042834757</v>
      </c>
      <c r="X618" s="64">
        <f>'Q100a-geral'!X1896</f>
        <v>3.0400353444822819</v>
      </c>
      <c r="Y618" s="64">
        <f>'Q100a-geral'!Y1896</f>
        <v>2.9167150506418942</v>
      </c>
      <c r="Z618" s="64">
        <f>'Q100a-geral'!Z1896</f>
        <v>2.8604264298396234</v>
      </c>
      <c r="AA618" s="64">
        <f>'Q100a-geral'!AA1896</f>
        <v>2.7526737797493848</v>
      </c>
      <c r="AB618" s="64">
        <f>'Q100a-geral'!AB1896</f>
        <v>2.5769929141070369</v>
      </c>
      <c r="AC618" s="64">
        <f>'Q100a-geral'!AC1896</f>
        <v>2.3645465547569002</v>
      </c>
      <c r="AD618" s="64">
        <f>'Q100a-geral'!AD1896</f>
        <v>2.1988008225717741</v>
      </c>
      <c r="AE618" s="64">
        <f>'Q100a-geral'!AE1896</f>
        <v>2.0101358467370147</v>
      </c>
      <c r="AF618" s="64">
        <f>'Q100a-geral'!AF1896</f>
        <v>1.7826364981187814</v>
      </c>
      <c r="AG618" s="64">
        <f>'Q100a-geral'!AG1896</f>
        <v>1.6684372300881551</v>
      </c>
      <c r="AH618" s="64">
        <f>'Q100a-geral'!AH1896</f>
        <v>1.5894177472161133</v>
      </c>
      <c r="AI618" s="64">
        <f>'Q100a-geral'!AI1896</f>
        <v>1.5684713325425068</v>
      </c>
      <c r="AJ618" s="64">
        <f>'Q100a-geral'!AJ1896</f>
        <v>1.5262137647307492</v>
      </c>
      <c r="AK618" s="137" t="str">
        <f>'Q100a-geral'!AK1896</f>
        <v>x</v>
      </c>
      <c r="AL618" s="212" t="str">
        <f>'Q100a-geral'!AL1896</f>
        <v>x</v>
      </c>
      <c r="AM618" s="137" t="str">
        <f>'Q100a-geral'!AM1896</f>
        <v>x</v>
      </c>
      <c r="AN618" s="137" t="str">
        <f>'Q100a-geral'!AN1896</f>
        <v>x</v>
      </c>
      <c r="AO618" s="137" t="str">
        <f>'Q100a-geral'!AO1896</f>
        <v>x</v>
      </c>
      <c r="AP618" s="137" t="str">
        <f>'Q100a-geral'!AP1896</f>
        <v>x</v>
      </c>
      <c r="AQ618" s="137" t="str">
        <f>'Q100a-geral'!AQ1896</f>
        <v>x</v>
      </c>
      <c r="AR618" s="137"/>
      <c r="AS618" s="137"/>
      <c r="AT618" s="137"/>
      <c r="AU618" s="137"/>
      <c r="AV618" s="137" t="str">
        <f>'Q100a-geral'!AV1896</f>
        <v>x</v>
      </c>
      <c r="AW618" s="137"/>
      <c r="AX618" s="137"/>
      <c r="AY618" s="137"/>
      <c r="AZ618" s="137"/>
      <c r="BA618" s="137" t="str">
        <f>'Q100a-geral'!BA1896</f>
        <v>x</v>
      </c>
      <c r="BB618" s="239" t="str">
        <f>'Q100a-geral'!BB1896</f>
        <v>Frota e condutores de veículos automotoresx</v>
      </c>
      <c r="BC618" s="239" t="str">
        <f>'Q100a-geral'!BC1896</f>
        <v>Frota e condutores de veículos automotoresxx</v>
      </c>
      <c r="BD618" s="239" t="str">
        <f>'Q100a-geral'!BD1896</f>
        <v>Frota e condutores de veículos automotoresx</v>
      </c>
    </row>
    <row r="619" spans="1:56" s="127" customFormat="1" ht="25.5" x14ac:dyDescent="0.25">
      <c r="A619" s="262" t="str">
        <f>'Q100a-geral'!A1917</f>
        <v>x</v>
      </c>
      <c r="B619" s="53" t="str">
        <f>'Q100a-geral'!B1917</f>
        <v>geral</v>
      </c>
      <c r="C619" s="229" t="str">
        <f>'Q100a-geral'!C1917</f>
        <v>acessibilidade</v>
      </c>
      <c r="D619" s="35" t="str">
        <f>'Q100a-geral'!D1917</f>
        <v>PcD</v>
      </c>
      <c r="E619" s="53" t="str">
        <f>'Q100a-geral'!E1917</f>
        <v>x</v>
      </c>
      <c r="F619" s="484" t="str">
        <f>'Q100a-geral'!F1917</f>
        <v>significa: pessoa com deficiência</v>
      </c>
      <c r="G619" s="53" t="str">
        <f>'Q100a-geral'!G1917</f>
        <v>sigla</v>
      </c>
      <c r="H619" s="171" t="str">
        <f>'Q100a-geral'!H1917</f>
        <v>sigla/verbete</v>
      </c>
      <c r="I619" s="171" t="str">
        <f>'Q100a-geral'!I1917</f>
        <v>x</v>
      </c>
      <c r="J619" s="77" t="str">
        <f>'Q100a-geral'!J1917</f>
        <v>x</v>
      </c>
      <c r="K619" s="77" t="str">
        <f>'Q100a-geral'!K1917</f>
        <v>x</v>
      </c>
      <c r="L619" s="77" t="str">
        <f>'Q100a-geral'!L1917</f>
        <v>x</v>
      </c>
      <c r="M619" s="77" t="str">
        <f>'Q100a-geral'!M1917</f>
        <v>x</v>
      </c>
      <c r="N619" s="77" t="str">
        <f>'Q100a-geral'!N1917</f>
        <v>x</v>
      </c>
      <c r="O619" s="77" t="str">
        <f>'Q100a-geral'!O1917</f>
        <v>x</v>
      </c>
      <c r="P619" s="77" t="str">
        <f>'Q100a-geral'!P1917</f>
        <v>x</v>
      </c>
      <c r="Q619" s="77" t="str">
        <f>'Q100a-geral'!Q1917</f>
        <v>x</v>
      </c>
      <c r="R619" s="77" t="str">
        <f>'Q100a-geral'!R1917</f>
        <v>x</v>
      </c>
      <c r="S619" s="153" t="str">
        <f>'Q100a-geral'!S1917</f>
        <v>só para pesquisa</v>
      </c>
      <c r="T619" s="77" t="str">
        <f>'Q100a-geral'!T1917</f>
        <v>x</v>
      </c>
      <c r="U619" s="77" t="str">
        <f>'Q100a-geral'!U1917</f>
        <v>x</v>
      </c>
      <c r="V619" s="107" t="str">
        <f>'Q100a-geral'!V1917</f>
        <v>só para pesquisa</v>
      </c>
      <c r="W619" s="77" t="str">
        <f>'Q100a-geral'!W1917</f>
        <v>x</v>
      </c>
      <c r="X619" s="77" t="str">
        <f>'Q100a-geral'!X1917</f>
        <v>x</v>
      </c>
      <c r="Y619" s="77" t="str">
        <f>'Q100a-geral'!Y1917</f>
        <v>x</v>
      </c>
      <c r="Z619" s="77" t="str">
        <f>'Q100a-geral'!Z1917</f>
        <v>x</v>
      </c>
      <c r="AA619" s="77" t="str">
        <f>'Q100a-geral'!AA1917</f>
        <v>x</v>
      </c>
      <c r="AB619" s="77" t="str">
        <f>'Q100a-geral'!AB1917</f>
        <v>x</v>
      </c>
      <c r="AC619" s="77" t="str">
        <f>'Q100a-geral'!AC1917</f>
        <v>x</v>
      </c>
      <c r="AD619" s="77" t="str">
        <f>'Q100a-geral'!AD1917</f>
        <v>x</v>
      </c>
      <c r="AE619" s="77" t="str">
        <f>'Q100a-geral'!AE1917</f>
        <v>x</v>
      </c>
      <c r="AF619" s="77" t="str">
        <f>'Q100a-geral'!AF1917</f>
        <v>x</v>
      </c>
      <c r="AG619" s="77" t="str">
        <f>'Q100a-geral'!AG1917</f>
        <v>x</v>
      </c>
      <c r="AH619" s="77" t="str">
        <f>'Q100a-geral'!AH1917</f>
        <v>x</v>
      </c>
      <c r="AI619" s="77" t="str">
        <f>'Q100a-geral'!AI1917</f>
        <v>x</v>
      </c>
      <c r="AJ619" s="77" t="str">
        <f>'Q100a-geral'!AJ1917</f>
        <v>x</v>
      </c>
      <c r="AK619" s="137" t="str">
        <f>'Q100a-geral'!AK1917</f>
        <v>x</v>
      </c>
      <c r="AL619" s="171" t="str">
        <f>'Q100a-geral'!AL1917</f>
        <v>x</v>
      </c>
      <c r="AM619" s="137" t="str">
        <f>'Q100a-geral'!AM1917</f>
        <v>x</v>
      </c>
      <c r="AN619" s="137" t="str">
        <f>'Q100a-geral'!AN1917</f>
        <v>x</v>
      </c>
      <c r="AO619" s="137" t="str">
        <f>'Q100a-geral'!AO1917</f>
        <v>x</v>
      </c>
      <c r="AP619" s="137" t="str">
        <f>'Q100a-geral'!AP1917</f>
        <v>x</v>
      </c>
      <c r="AQ619" s="137" t="str">
        <f>'Q100a-geral'!AQ1917</f>
        <v>x</v>
      </c>
      <c r="AR619" s="137"/>
      <c r="AS619" s="137"/>
      <c r="AT619" s="137"/>
      <c r="AU619" s="137"/>
      <c r="AV619" s="137" t="str">
        <f>'Q100a-geral'!AV1917</f>
        <v>x</v>
      </c>
      <c r="AW619" s="137"/>
      <c r="AX619" s="137"/>
      <c r="AY619" s="137"/>
      <c r="AZ619" s="137"/>
      <c r="BA619" s="137" t="str">
        <f>'Q100a-geral'!BA1917</f>
        <v>x</v>
      </c>
      <c r="BB619" s="239" t="str">
        <f>'Q100a-geral'!BB1917</f>
        <v>geralacessibilidade</v>
      </c>
      <c r="BC619" s="239" t="str">
        <f>'Q100a-geral'!BC1917</f>
        <v>geralacessibilidadesigla/verbete</v>
      </c>
      <c r="BD619" s="239" t="str">
        <f>'Q100a-geral'!BD1917</f>
        <v>geralsigla/verbete</v>
      </c>
    </row>
    <row r="620" spans="1:56" s="1" customFormat="1" ht="25.5" x14ac:dyDescent="0.25">
      <c r="A620" s="262" t="str">
        <f>'Q100a-geral'!A1924</f>
        <v>x</v>
      </c>
      <c r="B620" s="53" t="str">
        <f>'Q100a-geral'!B1924</f>
        <v>geral</v>
      </c>
      <c r="C620" s="229">
        <f>'Q100a-geral'!C1924</f>
        <v>0</v>
      </c>
      <c r="D620" s="322" t="str">
        <f>'Q100a-geral'!D1924</f>
        <v>PED</v>
      </c>
      <c r="E620" s="11" t="str">
        <f>'Q100a-geral'!E1924</f>
        <v>Brasil</v>
      </c>
      <c r="F620" s="449" t="str">
        <f>'Q100a-geral'!F1924</f>
        <v>Ponto de Embarque e/ou Desembarque do transporte coletivo</v>
      </c>
      <c r="G620" s="53" t="str">
        <f>'Q100a-geral'!G1924</f>
        <v>sigla</v>
      </c>
      <c r="H620" s="235" t="str">
        <f>'Q100a-geral'!H1924</f>
        <v>sigla/verbete</v>
      </c>
      <c r="I620" s="170" t="str">
        <f>'Q100a-geral'!I1924</f>
        <v>x</v>
      </c>
      <c r="J620" s="11" t="str">
        <f>'Q100a-geral'!J1924</f>
        <v>x</v>
      </c>
      <c r="K620" s="100" t="str">
        <f>'Q100a-geral'!K1924</f>
        <v>x</v>
      </c>
      <c r="L620" s="100" t="str">
        <f>'Q100a-geral'!L1924</f>
        <v>x</v>
      </c>
      <c r="M620" s="100" t="str">
        <f>'Q100a-geral'!M1924</f>
        <v>x</v>
      </c>
      <c r="N620" s="100" t="str">
        <f>'Q100a-geral'!N1924</f>
        <v>x</v>
      </c>
      <c r="O620" s="100" t="str">
        <f>'Q100a-geral'!O1924</f>
        <v>x</v>
      </c>
      <c r="P620" s="100" t="str">
        <f>'Q100a-geral'!P1924</f>
        <v>x</v>
      </c>
      <c r="Q620" s="100" t="str">
        <f>'Q100a-geral'!Q1924</f>
        <v>x</v>
      </c>
      <c r="R620" s="100" t="str">
        <f>'Q100a-geral'!R1924</f>
        <v>x</v>
      </c>
      <c r="S620" s="649" t="str">
        <f>'Q100a-geral'!S1924</f>
        <v>só para pesquisa</v>
      </c>
      <c r="T620" s="100" t="str">
        <f>'Q100a-geral'!T1924</f>
        <v>x</v>
      </c>
      <c r="U620" s="100" t="str">
        <f>'Q100a-geral'!U1924</f>
        <v>x</v>
      </c>
      <c r="V620" s="107" t="str">
        <f>'Q100a-geral'!V1924</f>
        <v>só para pesquisa</v>
      </c>
      <c r="W620" s="100" t="str">
        <f>'Q100a-geral'!W1924</f>
        <v>x</v>
      </c>
      <c r="X620" s="100" t="str">
        <f>'Q100a-geral'!X1924</f>
        <v>x</v>
      </c>
      <c r="Y620" s="100" t="str">
        <f>'Q100a-geral'!Y1924</f>
        <v>x</v>
      </c>
      <c r="Z620" s="100" t="str">
        <f>'Q100a-geral'!Z1924</f>
        <v>x</v>
      </c>
      <c r="AA620" s="100" t="str">
        <f>'Q100a-geral'!AA1924</f>
        <v>x</v>
      </c>
      <c r="AB620" s="100" t="str">
        <f>'Q100a-geral'!AB1924</f>
        <v>x</v>
      </c>
      <c r="AC620" s="100" t="str">
        <f>'Q100a-geral'!AC1924</f>
        <v>x</v>
      </c>
      <c r="AD620" s="100" t="str">
        <f>'Q100a-geral'!AD1924</f>
        <v>x</v>
      </c>
      <c r="AE620" s="100" t="str">
        <f>'Q100a-geral'!AE1924</f>
        <v>x</v>
      </c>
      <c r="AF620" s="100" t="str">
        <f>'Q100a-geral'!AF1924</f>
        <v>x</v>
      </c>
      <c r="AG620" s="100" t="str">
        <f>'Q100a-geral'!AG1924</f>
        <v>x</v>
      </c>
      <c r="AH620" s="100" t="str">
        <f>'Q100a-geral'!AH1924</f>
        <v>x</v>
      </c>
      <c r="AI620" s="100" t="str">
        <f>'Q100a-geral'!AI1924</f>
        <v>x</v>
      </c>
      <c r="AJ620" s="100" t="str">
        <f>'Q100a-geral'!AJ1924</f>
        <v>x</v>
      </c>
      <c r="AK620" s="137" t="str">
        <f>'Q100a-geral'!AK1924</f>
        <v>x</v>
      </c>
      <c r="AL620" s="219" t="str">
        <f>'Q100a-geral'!AL1924</f>
        <v>x</v>
      </c>
      <c r="AM620" s="137" t="str">
        <f>'Q100a-geral'!AM1924</f>
        <v>x</v>
      </c>
      <c r="AN620" s="137" t="str">
        <f>'Q100a-geral'!AN1924</f>
        <v>x</v>
      </c>
      <c r="AO620" s="137" t="str">
        <f>'Q100a-geral'!AO1924</f>
        <v>x</v>
      </c>
      <c r="AP620" s="137" t="str">
        <f>'Q100a-geral'!AP1924</f>
        <v>x</v>
      </c>
      <c r="AQ620" s="137" t="str">
        <f>'Q100a-geral'!AQ1924</f>
        <v>x</v>
      </c>
      <c r="AR620" s="137"/>
      <c r="AS620" s="137"/>
      <c r="AT620" s="137"/>
      <c r="AU620" s="137"/>
      <c r="AV620" s="137" t="str">
        <f>'Q100a-geral'!AV1924</f>
        <v>x</v>
      </c>
      <c r="AW620" s="137"/>
      <c r="AX620" s="137"/>
      <c r="AY620" s="137"/>
      <c r="AZ620" s="137"/>
      <c r="BA620" s="137" t="str">
        <f>'Q100a-geral'!BA1924</f>
        <v>x</v>
      </c>
      <c r="BB620" s="239" t="str">
        <f>'Q100a-geral'!BB1924</f>
        <v>geral</v>
      </c>
      <c r="BC620" s="239" t="str">
        <f>'Q100a-geral'!BC1924</f>
        <v>geralsigla/verbete</v>
      </c>
      <c r="BD620" s="239" t="str">
        <f>'Q100a-geral'!BD1924</f>
        <v>geralsigla/verbete</v>
      </c>
    </row>
    <row r="621" spans="1:56" ht="15.75" customHeight="1" x14ac:dyDescent="0.25">
      <c r="A621" s="275" t="str">
        <f>'Q100a-geral'!A1940</f>
        <v>9.2</v>
      </c>
      <c r="B621" s="53" t="str">
        <f>'Q100a-geral'!B1940</f>
        <v>Estacionamento</v>
      </c>
      <c r="C621" s="229" t="str">
        <f>'Q100a-geral'!C1940</f>
        <v>x</v>
      </c>
      <c r="D621" s="240" t="str">
        <f>'Q100a-geral'!D1940</f>
        <v>PF</v>
      </c>
      <c r="E621" s="252" t="str">
        <f>'Q100a-geral'!E1940</f>
        <v>x</v>
      </c>
      <c r="F621" s="446" t="str">
        <f>'Q100a-geral'!F1940</f>
        <v>período diário de funcionamento do estacionamento rotativo</v>
      </c>
      <c r="G621" s="60" t="str">
        <f>'Q100a-geral'!G1940</f>
        <v>definição (usado em RTfr)</v>
      </c>
      <c r="H621" s="168" t="str">
        <f>'Q100a-geral'!H1940</f>
        <v>sigla/verbete</v>
      </c>
      <c r="I621" s="167" t="str">
        <f>'Q100a-geral'!I1940</f>
        <v>x</v>
      </c>
      <c r="J621" s="107" t="str">
        <f>'Q100a-geral'!J1940</f>
        <v>x</v>
      </c>
      <c r="K621" s="11" t="str">
        <f>'Q100a-geral'!K1940</f>
        <v>x</v>
      </c>
      <c r="L621" s="11" t="str">
        <f>'Q100a-geral'!L1940</f>
        <v>x</v>
      </c>
      <c r="M621" s="11" t="str">
        <f>'Q100a-geral'!M1940</f>
        <v>x</v>
      </c>
      <c r="N621" s="11" t="str">
        <f>'Q100a-geral'!N1940</f>
        <v>x</v>
      </c>
      <c r="O621" s="11" t="str">
        <f>'Q100a-geral'!O1940</f>
        <v>x</v>
      </c>
      <c r="P621" s="11" t="str">
        <f>'Q100a-geral'!P1940</f>
        <v>x</v>
      </c>
      <c r="Q621" s="11" t="str">
        <f>'Q100a-geral'!Q1940</f>
        <v>x</v>
      </c>
      <c r="R621" s="11" t="str">
        <f>'Q100a-geral'!R1940</f>
        <v>x</v>
      </c>
      <c r="S621" s="107" t="str">
        <f>'Q100a-geral'!S1940</f>
        <v>só para pesquisa</v>
      </c>
      <c r="T621" s="11" t="str">
        <f>'Q100a-geral'!T1940</f>
        <v>x</v>
      </c>
      <c r="U621" s="11" t="str">
        <f>'Q100a-geral'!U1940</f>
        <v>x</v>
      </c>
      <c r="V621" s="107" t="str">
        <f>'Q100a-geral'!V1940</f>
        <v>só para pesquisa</v>
      </c>
      <c r="W621" s="11" t="str">
        <f>'Q100a-geral'!W1940</f>
        <v>x</v>
      </c>
      <c r="X621" s="11" t="str">
        <f>'Q100a-geral'!X1940</f>
        <v>x</v>
      </c>
      <c r="Y621" s="11" t="str">
        <f>'Q100a-geral'!Y1940</f>
        <v>x</v>
      </c>
      <c r="Z621" s="11" t="str">
        <f>'Q100a-geral'!Z1940</f>
        <v>x</v>
      </c>
      <c r="AA621" s="11" t="str">
        <f>'Q100a-geral'!AA1940</f>
        <v>x</v>
      </c>
      <c r="AB621" s="11" t="str">
        <f>'Q100a-geral'!AB1940</f>
        <v>x</v>
      </c>
      <c r="AC621" s="11" t="str">
        <f>'Q100a-geral'!AC1940</f>
        <v>x</v>
      </c>
      <c r="AD621" s="11" t="str">
        <f>'Q100a-geral'!AD1940</f>
        <v>x</v>
      </c>
      <c r="AE621" s="11" t="str">
        <f>'Q100a-geral'!AE1940</f>
        <v>x</v>
      </c>
      <c r="AF621" s="11" t="str">
        <f>'Q100a-geral'!AF1940</f>
        <v>x</v>
      </c>
      <c r="AG621" s="11" t="str">
        <f>'Q100a-geral'!AG1940</f>
        <v>x</v>
      </c>
      <c r="AH621" s="11" t="str">
        <f>'Q100a-geral'!AH1940</f>
        <v>x</v>
      </c>
      <c r="AI621" s="11" t="str">
        <f>'Q100a-geral'!AI1940</f>
        <v>x</v>
      </c>
      <c r="AJ621" s="11" t="str">
        <f>'Q100a-geral'!AJ1940</f>
        <v>x</v>
      </c>
      <c r="AK621" s="137" t="str">
        <f>'Q100a-geral'!AK1940</f>
        <v>x</v>
      </c>
      <c r="AL621" s="173" t="str">
        <f>'Q100a-geral'!AL1940</f>
        <v>x</v>
      </c>
      <c r="AM621" s="137" t="str">
        <f>'Q100a-geral'!AM1940</f>
        <v>x</v>
      </c>
      <c r="AN621" s="137" t="str">
        <f>'Q100a-geral'!AN1940</f>
        <v>x</v>
      </c>
      <c r="AO621" s="137" t="str">
        <f>'Q100a-geral'!AO1940</f>
        <v>x</v>
      </c>
      <c r="AP621" s="137" t="str">
        <f>'Q100a-geral'!AP1940</f>
        <v>x</v>
      </c>
      <c r="AQ621" s="137" t="str">
        <f>'Q100a-geral'!AQ1940</f>
        <v>x</v>
      </c>
      <c r="AR621" s="137"/>
      <c r="AS621" s="137"/>
      <c r="AT621" s="137"/>
      <c r="AU621" s="137"/>
      <c r="AV621" s="137" t="str">
        <f>'Q100a-geral'!AV1940</f>
        <v>x</v>
      </c>
      <c r="AW621" s="137"/>
      <c r="AX621" s="137"/>
      <c r="AY621" s="137"/>
      <c r="AZ621" s="137"/>
      <c r="BA621" s="137" t="str">
        <f>'Q100a-geral'!BA1940</f>
        <v>x</v>
      </c>
      <c r="BB621" s="239" t="str">
        <f>'Q100a-geral'!BB1940</f>
        <v>Estacionamentox</v>
      </c>
      <c r="BC621" s="239" t="str">
        <f>'Q100a-geral'!BC1940</f>
        <v>Estacionamentoxsigla/verbete</v>
      </c>
      <c r="BD621" s="239" t="str">
        <f>'Q100a-geral'!BD1940</f>
        <v>Estacionamentosigla/verbete</v>
      </c>
    </row>
    <row r="622" spans="1:56" s="1" customFormat="1" ht="15.75" customHeight="1" x14ac:dyDescent="0.25">
      <c r="A622" s="262" t="str">
        <f>'Q100a-geral'!A1990</f>
        <v>x</v>
      </c>
      <c r="B622" s="54" t="str">
        <f>'Q100a-geral'!B1990</f>
        <v>geral</v>
      </c>
      <c r="C622" s="230" t="str">
        <f>'Q100a-geral'!C1990</f>
        <v>x</v>
      </c>
      <c r="D622" s="9" t="str">
        <f>'Q100a-geral'!D1990</f>
        <v>PM</v>
      </c>
      <c r="E622" s="5" t="str">
        <f>'Q100a-geral'!E1990</f>
        <v>x</v>
      </c>
      <c r="F622" s="448" t="str">
        <f>'Q100a-geral'!F1990</f>
        <v>"pico da manhã" ou "particulate material = material particulado"</v>
      </c>
      <c r="G622" s="53" t="str">
        <f>'Q100a-geral'!G1990</f>
        <v>sigla</v>
      </c>
      <c r="H622" s="173" t="str">
        <f>'Q100a-geral'!H1990</f>
        <v>sigla/verbete</v>
      </c>
      <c r="I622" s="57" t="str">
        <f>'Q100a-geral'!I1990</f>
        <v>x</v>
      </c>
      <c r="J622" s="11" t="str">
        <f>'Q100a-geral'!J1990</f>
        <v>x</v>
      </c>
      <c r="K622" s="100" t="str">
        <f>'Q100a-geral'!K1990</f>
        <v>x</v>
      </c>
      <c r="L622" s="100" t="str">
        <f>'Q100a-geral'!L1990</f>
        <v>x</v>
      </c>
      <c r="M622" s="100" t="str">
        <f>'Q100a-geral'!M1990</f>
        <v>x</v>
      </c>
      <c r="N622" s="100" t="str">
        <f>'Q100a-geral'!N1990</f>
        <v>x</v>
      </c>
      <c r="O622" s="100" t="str">
        <f>'Q100a-geral'!O1990</f>
        <v>x</v>
      </c>
      <c r="P622" s="100" t="str">
        <f>'Q100a-geral'!P1990</f>
        <v>x</v>
      </c>
      <c r="Q622" s="100" t="str">
        <f>'Q100a-geral'!Q1990</f>
        <v>x</v>
      </c>
      <c r="R622" s="100" t="str">
        <f>'Q100a-geral'!R1990</f>
        <v>x</v>
      </c>
      <c r="S622" s="649" t="str">
        <f>'Q100a-geral'!S1990</f>
        <v>só para pesquisa</v>
      </c>
      <c r="T622" s="100" t="str">
        <f>'Q100a-geral'!T1990</f>
        <v>x</v>
      </c>
      <c r="U622" s="100" t="str">
        <f>'Q100a-geral'!U1990</f>
        <v>x</v>
      </c>
      <c r="V622" s="107" t="str">
        <f>'Q100a-geral'!V1990</f>
        <v>só para pesquisa</v>
      </c>
      <c r="W622" s="100" t="str">
        <f>'Q100a-geral'!W1990</f>
        <v>x</v>
      </c>
      <c r="X622" s="100" t="str">
        <f>'Q100a-geral'!X1990</f>
        <v>x</v>
      </c>
      <c r="Y622" s="100" t="str">
        <f>'Q100a-geral'!Y1990</f>
        <v>x</v>
      </c>
      <c r="Z622" s="100" t="str">
        <f>'Q100a-geral'!Z1990</f>
        <v>x</v>
      </c>
      <c r="AA622" s="100" t="str">
        <f>'Q100a-geral'!AA1990</f>
        <v>x</v>
      </c>
      <c r="AB622" s="100" t="str">
        <f>'Q100a-geral'!AB1990</f>
        <v>x</v>
      </c>
      <c r="AC622" s="100" t="str">
        <f>'Q100a-geral'!AC1990</f>
        <v>x</v>
      </c>
      <c r="AD622" s="100" t="str">
        <f>'Q100a-geral'!AD1990</f>
        <v>x</v>
      </c>
      <c r="AE622" s="100" t="str">
        <f>'Q100a-geral'!AE1990</f>
        <v>x</v>
      </c>
      <c r="AF622" s="100" t="str">
        <f>'Q100a-geral'!AF1990</f>
        <v>x</v>
      </c>
      <c r="AG622" s="100" t="str">
        <f>'Q100a-geral'!AG1990</f>
        <v>x</v>
      </c>
      <c r="AH622" s="100" t="str">
        <f>'Q100a-geral'!AH1990</f>
        <v>x</v>
      </c>
      <c r="AI622" s="100" t="str">
        <f>'Q100a-geral'!AI1990</f>
        <v>x</v>
      </c>
      <c r="AJ622" s="100" t="str">
        <f>'Q100a-geral'!AJ1990</f>
        <v>x</v>
      </c>
      <c r="AK622" s="137" t="str">
        <f>'Q100a-geral'!AK1990</f>
        <v>x</v>
      </c>
      <c r="AL622" s="219" t="str">
        <f>'Q100a-geral'!AL1990</f>
        <v>x</v>
      </c>
      <c r="AM622" s="137" t="str">
        <f>'Q100a-geral'!AM1990</f>
        <v>x</v>
      </c>
      <c r="AN622" s="137" t="str">
        <f>'Q100a-geral'!AN1990</f>
        <v>x</v>
      </c>
      <c r="AO622" s="137" t="str">
        <f>'Q100a-geral'!AO1990</f>
        <v>x</v>
      </c>
      <c r="AP622" s="137" t="str">
        <f>'Q100a-geral'!AP1990</f>
        <v>x</v>
      </c>
      <c r="AQ622" s="137" t="str">
        <f>'Q100a-geral'!AQ1990</f>
        <v>x</v>
      </c>
      <c r="AR622" s="137"/>
      <c r="AS622" s="137"/>
      <c r="AT622" s="137"/>
      <c r="AU622" s="137"/>
      <c r="AV622" s="137" t="str">
        <f>'Q100a-geral'!AV1990</f>
        <v>x</v>
      </c>
      <c r="AW622" s="137"/>
      <c r="AX622" s="137"/>
      <c r="AY622" s="137"/>
      <c r="AZ622" s="137"/>
      <c r="BA622" s="137" t="str">
        <f>'Q100a-geral'!BA1990</f>
        <v>x</v>
      </c>
      <c r="BB622" s="239" t="str">
        <f>'Q100a-geral'!BB1990</f>
        <v>geralx</v>
      </c>
      <c r="BC622" s="239" t="str">
        <f>'Q100a-geral'!BC1990</f>
        <v>geralxsigla/verbete</v>
      </c>
      <c r="BD622" s="239" t="str">
        <f>'Q100a-geral'!BD1990</f>
        <v>geralsigla/verbete</v>
      </c>
    </row>
    <row r="623" spans="1:56" s="1" customFormat="1" ht="25.5" x14ac:dyDescent="0.25">
      <c r="A623" s="275" t="str">
        <f>'Q100a-geral'!A1996</f>
        <v>5.2</v>
      </c>
      <c r="B623" s="54" t="str">
        <f>'Q100a-geral'!B1996</f>
        <v>Poluição do ar</v>
      </c>
      <c r="C623" s="229" t="str">
        <f>'Q100a-geral'!C1996</f>
        <v>x</v>
      </c>
      <c r="D623" s="287" t="str">
        <f>'Q100a-geral'!D1996</f>
        <v>PM10
(padrão1)</v>
      </c>
      <c r="E623" s="950" t="str">
        <f>'Q100a-geral'!E1996</f>
        <v>Brasil</v>
      </c>
      <c r="F623" s="490" t="str">
        <f>'Q100a-geral'!F1996</f>
        <v>o padrão estabelecido pela Resolução Conama n.º 03/1990 para PM10 é concentração máxima de 50µg/m3 (FEAM, 2013, p.14)</v>
      </c>
      <c r="G623" s="14" t="str">
        <f>'Q100a-geral'!G1996</f>
        <v>registro na fonte</v>
      </c>
      <c r="H623" s="173" t="str">
        <f>'Q100a-geral'!H1996</f>
        <v>meta/RPI</v>
      </c>
      <c r="I623" s="57" t="str">
        <f>'Q100a-geral'!I1996</f>
        <v>x</v>
      </c>
      <c r="J623" s="949">
        <f>'Q100a-geral'!J1996</f>
        <v>50</v>
      </c>
      <c r="K623" s="949">
        <f>'Q100a-geral'!K1996</f>
        <v>50</v>
      </c>
      <c r="L623" s="949">
        <f>'Q100a-geral'!L1996</f>
        <v>50</v>
      </c>
      <c r="M623" s="949">
        <f>'Q100a-geral'!M1996</f>
        <v>50</v>
      </c>
      <c r="N623" s="949">
        <f>'Q100a-geral'!N1996</f>
        <v>50</v>
      </c>
      <c r="O623" s="949">
        <f>'Q100a-geral'!O1996</f>
        <v>50</v>
      </c>
      <c r="P623" s="949">
        <f>'Q100a-geral'!P1996</f>
        <v>50</v>
      </c>
      <c r="Q623" s="949">
        <f>'Q100a-geral'!Q1996</f>
        <v>50</v>
      </c>
      <c r="R623" s="949">
        <f>'Q100a-geral'!R1996</f>
        <v>50</v>
      </c>
      <c r="S623" s="107" t="str">
        <f>'Q100a-geral'!S1996</f>
        <v>só para pesquisa</v>
      </c>
      <c r="T623" s="949">
        <f>'Q100a-geral'!T1996</f>
        <v>50</v>
      </c>
      <c r="U623" s="949">
        <f>'Q100a-geral'!U1996</f>
        <v>50</v>
      </c>
      <c r="V623" s="107" t="str">
        <f>'Q100a-geral'!V1996</f>
        <v>só para pesquisa</v>
      </c>
      <c r="W623" s="949">
        <f>'Q100a-geral'!W1996</f>
        <v>50</v>
      </c>
      <c r="X623" s="949">
        <f>'Q100a-geral'!X1996</f>
        <v>50</v>
      </c>
      <c r="Y623" s="949">
        <f>'Q100a-geral'!Y1996</f>
        <v>50</v>
      </c>
      <c r="Z623" s="949">
        <f>'Q100a-geral'!Z1996</f>
        <v>50</v>
      </c>
      <c r="AA623" s="949">
        <f>'Q100a-geral'!AA1996</f>
        <v>50</v>
      </c>
      <c r="AB623" s="949">
        <f>'Q100a-geral'!AB1996</f>
        <v>50</v>
      </c>
      <c r="AC623" s="949">
        <f>'Q100a-geral'!AC1996</f>
        <v>50</v>
      </c>
      <c r="AD623" s="949">
        <f>'Q100a-geral'!AD1996</f>
        <v>50</v>
      </c>
      <c r="AE623" s="949">
        <f>'Q100a-geral'!AE1996</f>
        <v>50</v>
      </c>
      <c r="AF623" s="949">
        <f>'Q100a-geral'!AF1996</f>
        <v>50</v>
      </c>
      <c r="AG623" s="949">
        <f>'Q100a-geral'!AG1996</f>
        <v>50</v>
      </c>
      <c r="AH623" s="949">
        <f>'Q100a-geral'!AH1996</f>
        <v>50</v>
      </c>
      <c r="AI623" s="949">
        <f>'Q100a-geral'!AI1996</f>
        <v>50</v>
      </c>
      <c r="AJ623" s="949">
        <f>'Q100a-geral'!AJ1996</f>
        <v>50</v>
      </c>
      <c r="AK623" s="949">
        <f>'Q100a-geral'!AK1996</f>
        <v>50</v>
      </c>
      <c r="AL623" s="173" t="str">
        <f>'Q100a-geral'!AL1996</f>
        <v>x</v>
      </c>
      <c r="AM623" s="137" t="str">
        <f>'Q100a-geral'!AM1996</f>
        <v>x</v>
      </c>
      <c r="AN623" s="137" t="str">
        <f>'Q100a-geral'!AN1996</f>
        <v>x</v>
      </c>
      <c r="AO623" s="137" t="str">
        <f>'Q100a-geral'!AO1996</f>
        <v>x</v>
      </c>
      <c r="AP623" s="137" t="str">
        <f>'Q100a-geral'!AP1996</f>
        <v>x</v>
      </c>
      <c r="AQ623" s="137" t="str">
        <f>'Q100a-geral'!AQ1996</f>
        <v>x</v>
      </c>
      <c r="AR623" s="137"/>
      <c r="AS623" s="137"/>
      <c r="AT623" s="137"/>
      <c r="AU623" s="137"/>
      <c r="AV623" s="137" t="str">
        <f>'Q100a-geral'!AV1996</f>
        <v>x</v>
      </c>
      <c r="AW623" s="137"/>
      <c r="AX623" s="137"/>
      <c r="AY623" s="137"/>
      <c r="AZ623" s="137"/>
      <c r="BA623" s="137" t="str">
        <f>'Q100a-geral'!BA1996</f>
        <v>x</v>
      </c>
      <c r="BB623" s="239" t="str">
        <f>'Q100a-geral'!BB1996</f>
        <v>Poluição do arx</v>
      </c>
      <c r="BC623" s="239" t="str">
        <f>'Q100a-geral'!BC1996</f>
        <v>Poluição do arxmeta/RPI</v>
      </c>
      <c r="BD623" s="239" t="str">
        <f>'Q100a-geral'!BD1996</f>
        <v>Poluição do armeta/RPI</v>
      </c>
    </row>
    <row r="624" spans="1:56" s="1" customFormat="1" ht="25.5" x14ac:dyDescent="0.25">
      <c r="A624" s="275" t="str">
        <f>'Q100a-geral'!A1997</f>
        <v>5.2</v>
      </c>
      <c r="B624" s="54" t="str">
        <f>'Q100a-geral'!B1997</f>
        <v>Poluição do ar</v>
      </c>
      <c r="C624" s="229" t="str">
        <f>'Q100a-geral'!C1997</f>
        <v>x</v>
      </c>
      <c r="D624" s="287" t="str">
        <f>'Q100a-geral'!D1997</f>
        <v>PM10
(padrão2)</v>
      </c>
      <c r="E624" s="950" t="str">
        <f>'Q100a-geral'!E1997</f>
        <v>Brasil</v>
      </c>
      <c r="F624" s="490" t="str">
        <f>'Q100a-geral'!F1997</f>
        <v>recomendação Organização Mundial de Saúde (OMS) = 20µg/m3 (IEMA, 2015a)</v>
      </c>
      <c r="G624" s="14" t="str">
        <f>'Q100a-geral'!G1997</f>
        <v>registro na fonte</v>
      </c>
      <c r="H624" s="173" t="str">
        <f>'Q100a-geral'!H1997</f>
        <v>meta/RPI</v>
      </c>
      <c r="I624" s="57" t="str">
        <f>'Q100a-geral'!I1997</f>
        <v>x</v>
      </c>
      <c r="J624" s="107" t="str">
        <f>'Q100a-geral'!J1997</f>
        <v>x</v>
      </c>
      <c r="K624" s="107" t="str">
        <f>'Q100a-geral'!K1997</f>
        <v>x</v>
      </c>
      <c r="L624" s="107" t="str">
        <f>'Q100a-geral'!L1997</f>
        <v>x</v>
      </c>
      <c r="M624" s="107" t="str">
        <f>'Q100a-geral'!M1997</f>
        <v>x</v>
      </c>
      <c r="N624" s="107" t="str">
        <f>'Q100a-geral'!N1997</f>
        <v>x</v>
      </c>
      <c r="O624" s="107" t="str">
        <f>'Q100a-geral'!O1997</f>
        <v>x</v>
      </c>
      <c r="P624" s="107" t="str">
        <f>'Q100a-geral'!P1997</f>
        <v>x</v>
      </c>
      <c r="Q624" s="107" t="str">
        <f>'Q100a-geral'!Q1997</f>
        <v>x</v>
      </c>
      <c r="R624" s="107" t="str">
        <f>'Q100a-geral'!R1997</f>
        <v>x</v>
      </c>
      <c r="S624" s="107" t="str">
        <f>'Q100a-geral'!S1997</f>
        <v>só para pesquisa</v>
      </c>
      <c r="T624" s="107" t="str">
        <f>'Q100a-geral'!T1997</f>
        <v>x</v>
      </c>
      <c r="U624" s="84">
        <f>'Q100a-geral'!U1997</f>
        <v>20</v>
      </c>
      <c r="V624" s="107" t="str">
        <f>'Q100a-geral'!V1997</f>
        <v>só para pesquisa</v>
      </c>
      <c r="W624" s="84">
        <f>'Q100a-geral'!W1997</f>
        <v>20</v>
      </c>
      <c r="X624" s="84">
        <f>'Q100a-geral'!X1997</f>
        <v>20</v>
      </c>
      <c r="Y624" s="84">
        <f>'Q100a-geral'!Y1997</f>
        <v>20</v>
      </c>
      <c r="Z624" s="84">
        <f>'Q100a-geral'!Z1997</f>
        <v>20</v>
      </c>
      <c r="AA624" s="84">
        <f>'Q100a-geral'!AA1997</f>
        <v>20</v>
      </c>
      <c r="AB624" s="84">
        <f>'Q100a-geral'!AB1997</f>
        <v>20</v>
      </c>
      <c r="AC624" s="84">
        <f>'Q100a-geral'!AC1997</f>
        <v>20</v>
      </c>
      <c r="AD624" s="84">
        <f>'Q100a-geral'!AD1997</f>
        <v>20</v>
      </c>
      <c r="AE624" s="84">
        <f>'Q100a-geral'!AE1997</f>
        <v>20</v>
      </c>
      <c r="AF624" s="84">
        <f>'Q100a-geral'!AF1997</f>
        <v>20</v>
      </c>
      <c r="AG624" s="84">
        <f>'Q100a-geral'!AG1997</f>
        <v>20</v>
      </c>
      <c r="AH624" s="84">
        <f>'Q100a-geral'!AH1997</f>
        <v>20</v>
      </c>
      <c r="AI624" s="84">
        <f>'Q100a-geral'!AI1997</f>
        <v>20</v>
      </c>
      <c r="AJ624" s="84">
        <f>'Q100a-geral'!AJ1997</f>
        <v>20</v>
      </c>
      <c r="AK624" s="84">
        <f>'Q100a-geral'!AK1997</f>
        <v>20</v>
      </c>
      <c r="AL624" s="173" t="str">
        <f>'Q100a-geral'!AL1997</f>
        <v>x</v>
      </c>
      <c r="AM624" s="137" t="str">
        <f>'Q100a-geral'!AM1997</f>
        <v>x</v>
      </c>
      <c r="AN624" s="137" t="str">
        <f>'Q100a-geral'!AN1997</f>
        <v>x</v>
      </c>
      <c r="AO624" s="137" t="str">
        <f>'Q100a-geral'!AO1997</f>
        <v>x</v>
      </c>
      <c r="AP624" s="137" t="str">
        <f>'Q100a-geral'!AP1997</f>
        <v>x</v>
      </c>
      <c r="AQ624" s="137" t="str">
        <f>'Q100a-geral'!AQ1997</f>
        <v>x</v>
      </c>
      <c r="AR624" s="137"/>
      <c r="AS624" s="137"/>
      <c r="AT624" s="137"/>
      <c r="AU624" s="137"/>
      <c r="AV624" s="137" t="str">
        <f>'Q100a-geral'!AV1997</f>
        <v>x</v>
      </c>
      <c r="AW624" s="137"/>
      <c r="AX624" s="137"/>
      <c r="AY624" s="137"/>
      <c r="AZ624" s="137"/>
      <c r="BA624" s="137" t="str">
        <f>'Q100a-geral'!BA1997</f>
        <v>x</v>
      </c>
      <c r="BB624" s="239" t="str">
        <f>'Q100a-geral'!BB1997</f>
        <v>Poluição do arx</v>
      </c>
      <c r="BC624" s="239" t="str">
        <f>'Q100a-geral'!BC1997</f>
        <v>Poluição do arxmeta/RPI</v>
      </c>
      <c r="BD624" s="239" t="str">
        <f>'Q100a-geral'!BD1997</f>
        <v>Poluição do armeta/RPI</v>
      </c>
    </row>
    <row r="625" spans="1:56" s="1" customFormat="1" ht="25.5" customHeight="1" x14ac:dyDescent="0.25">
      <c r="A625" s="275" t="str">
        <f>'Q100a-geral'!A2000</f>
        <v>5.2</v>
      </c>
      <c r="B625" s="54" t="str">
        <f>'Q100a-geral'!B2000</f>
        <v>Poluição do ar</v>
      </c>
      <c r="C625" s="229" t="str">
        <f>'Q100a-geral'!C2000</f>
        <v>x</v>
      </c>
      <c r="D625" s="428" t="str">
        <f>'Q100a-geral'!D2000</f>
        <v>PM 10 média</v>
      </c>
      <c r="E625" s="957" t="str">
        <f>'Q100a-geral'!E2000</f>
        <v>Americana</v>
      </c>
      <c r="F625" s="446" t="str">
        <f>'Q100a-geral'!F2000</f>
        <v>resultado de PM10 média selecionado e apresentado em relatório da Organização das Nações Unidas (ONU) que apresenta comparação de cidades de todo o mundo em WHO(2014a)</v>
      </c>
      <c r="G625" s="252" t="str">
        <f>'Q100a-geral'!G2000</f>
        <v>registro na fonte</v>
      </c>
      <c r="H625" s="173" t="str">
        <f>'Q100a-geral'!H2000</f>
        <v>benchmarking</v>
      </c>
      <c r="I625" s="167" t="str">
        <f>'Q100a-geral'!I2000</f>
        <v>x</v>
      </c>
      <c r="J625" s="93" t="str">
        <f>'Q100a-geral'!J2000</f>
        <v>x</v>
      </c>
      <c r="K625" s="93" t="str">
        <f>'Q100a-geral'!K2000</f>
        <v>x</v>
      </c>
      <c r="L625" s="93" t="str">
        <f>'Q100a-geral'!L2000</f>
        <v>x</v>
      </c>
      <c r="M625" s="93" t="str">
        <f>'Q100a-geral'!M2000</f>
        <v>x</v>
      </c>
      <c r="N625" s="93" t="str">
        <f>'Q100a-geral'!N2000</f>
        <v>x</v>
      </c>
      <c r="O625" s="93" t="str">
        <f>'Q100a-geral'!O2000</f>
        <v>x</v>
      </c>
      <c r="P625" s="93" t="str">
        <f>'Q100a-geral'!P2000</f>
        <v>x</v>
      </c>
      <c r="Q625" s="93" t="str">
        <f>'Q100a-geral'!Q2000</f>
        <v>x</v>
      </c>
      <c r="R625" s="93" t="str">
        <f>'Q100a-geral'!R2000</f>
        <v>x</v>
      </c>
      <c r="S625" s="1138" t="str">
        <f>'Q100a-geral'!S2000</f>
        <v>só para pesquisa</v>
      </c>
      <c r="T625" s="93" t="str">
        <f>'Q100a-geral'!T2000</f>
        <v>x</v>
      </c>
      <c r="U625" s="93" t="str">
        <f>'Q100a-geral'!U2000</f>
        <v>x</v>
      </c>
      <c r="V625" s="107" t="str">
        <f>'Q100a-geral'!V2000</f>
        <v>só para pesquisa</v>
      </c>
      <c r="W625" s="116" t="str">
        <f>'Q100a-geral'!W2000</f>
        <v>x</v>
      </c>
      <c r="X625" s="93" t="str">
        <f>'Q100a-geral'!X2000</f>
        <v>x</v>
      </c>
      <c r="Y625" s="93" t="str">
        <f>'Q100a-geral'!Y2000</f>
        <v>x</v>
      </c>
      <c r="Z625" s="93" t="str">
        <f>'Q100a-geral'!Z2000</f>
        <v>x</v>
      </c>
      <c r="AA625" s="93" t="str">
        <f>'Q100a-geral'!AA2000</f>
        <v>x</v>
      </c>
      <c r="AB625" s="93" t="str">
        <f>'Q100a-geral'!AB2000</f>
        <v>x</v>
      </c>
      <c r="AC625" s="93" t="str">
        <f>'Q100a-geral'!AC2000</f>
        <v>x</v>
      </c>
      <c r="AD625" s="93" t="str">
        <f>'Q100a-geral'!AD2000</f>
        <v>x</v>
      </c>
      <c r="AE625" s="93" t="str">
        <f>'Q100a-geral'!AE2000</f>
        <v>x</v>
      </c>
      <c r="AF625" s="93" t="str">
        <f>'Q100a-geral'!AF2000</f>
        <v>x</v>
      </c>
      <c r="AG625" s="85">
        <f>'Q100a-geral'!AG2000</f>
        <v>34</v>
      </c>
      <c r="AH625" s="93" t="str">
        <f>'Q100a-geral'!AH2000</f>
        <v>x</v>
      </c>
      <c r="AI625" s="93" t="str">
        <f>'Q100a-geral'!AI2000</f>
        <v>x</v>
      </c>
      <c r="AJ625" s="93" t="str">
        <f>'Q100a-geral'!AJ2000</f>
        <v>x</v>
      </c>
      <c r="AK625" s="137" t="str">
        <f>'Q100a-geral'!AK2000</f>
        <v>x</v>
      </c>
      <c r="AL625" s="213" t="str">
        <f>'Q100a-geral'!AL2000</f>
        <v>x</v>
      </c>
      <c r="AM625" s="137" t="str">
        <f>'Q100a-geral'!AM2000</f>
        <v>x</v>
      </c>
      <c r="AN625" s="137" t="str">
        <f>'Q100a-geral'!AN2000</f>
        <v>x</v>
      </c>
      <c r="AO625" s="137" t="str">
        <f>'Q100a-geral'!AO2000</f>
        <v>x</v>
      </c>
      <c r="AP625" s="137" t="str">
        <f>'Q100a-geral'!AP2000</f>
        <v>x</v>
      </c>
      <c r="AQ625" s="137" t="str">
        <f>'Q100a-geral'!AQ2000</f>
        <v>x</v>
      </c>
      <c r="AR625" s="137"/>
      <c r="AS625" s="137"/>
      <c r="AT625" s="137"/>
      <c r="AU625" s="137"/>
      <c r="AV625" s="137" t="str">
        <f>'Q100a-geral'!AV2000</f>
        <v>x</v>
      </c>
      <c r="AW625" s="137"/>
      <c r="AX625" s="137"/>
      <c r="AY625" s="137"/>
      <c r="AZ625" s="137"/>
      <c r="BA625" s="137" t="str">
        <f>'Q100a-geral'!BA2000</f>
        <v>x</v>
      </c>
      <c r="BB625" s="239" t="str">
        <f>'Q100a-geral'!BB2000</f>
        <v>Poluição do arx</v>
      </c>
      <c r="BC625" s="239" t="str">
        <f>'Q100a-geral'!BC2000</f>
        <v>Poluição do arxbenchmarking</v>
      </c>
      <c r="BD625" s="239" t="str">
        <f>'Q100a-geral'!BD2000</f>
        <v>Poluição do arbenchmarking</v>
      </c>
    </row>
    <row r="626" spans="1:56" s="1" customFormat="1" ht="25.5" customHeight="1" x14ac:dyDescent="0.25">
      <c r="A626" s="275" t="str">
        <f>'Q100a-geral'!A2001</f>
        <v>5.2</v>
      </c>
      <c r="B626" s="54" t="str">
        <f>'Q100a-geral'!B2001</f>
        <v>Poluição do ar</v>
      </c>
      <c r="C626" s="229" t="str">
        <f>'Q100a-geral'!C2001</f>
        <v>x</v>
      </c>
      <c r="D626" s="429" t="str">
        <f>'Q100a-geral'!D2001</f>
        <v>PM 10 média</v>
      </c>
      <c r="E626" s="958" t="str">
        <f>'Q100a-geral'!E2001</f>
        <v>Araçatuba</v>
      </c>
      <c r="F626" s="446" t="str">
        <f>'Q100a-geral'!F2001</f>
        <v>resultado de PM10 média selecionado e apresentado em relatório da Organização das Nações Unidas (ONU) que apresenta comparação de cidades de todo o mundo em WHO(2014a)</v>
      </c>
      <c r="G626" s="252" t="str">
        <f>'Q100a-geral'!G2001</f>
        <v>registro na fonte</v>
      </c>
      <c r="H626" s="173" t="str">
        <f>'Q100a-geral'!H2001</f>
        <v>benchmarking</v>
      </c>
      <c r="I626" s="167" t="str">
        <f>'Q100a-geral'!I2001</f>
        <v>x</v>
      </c>
      <c r="J626" s="93" t="str">
        <f>'Q100a-geral'!J2001</f>
        <v>x</v>
      </c>
      <c r="K626" s="93" t="str">
        <f>'Q100a-geral'!K2001</f>
        <v>x</v>
      </c>
      <c r="L626" s="93" t="str">
        <f>'Q100a-geral'!L2001</f>
        <v>x</v>
      </c>
      <c r="M626" s="93" t="str">
        <f>'Q100a-geral'!M2001</f>
        <v>x</v>
      </c>
      <c r="N626" s="93" t="str">
        <f>'Q100a-geral'!N2001</f>
        <v>x</v>
      </c>
      <c r="O626" s="93" t="str">
        <f>'Q100a-geral'!O2001</f>
        <v>x</v>
      </c>
      <c r="P626" s="93" t="str">
        <f>'Q100a-geral'!P2001</f>
        <v>x</v>
      </c>
      <c r="Q626" s="93" t="str">
        <f>'Q100a-geral'!Q2001</f>
        <v>x</v>
      </c>
      <c r="R626" s="93" t="str">
        <f>'Q100a-geral'!R2001</f>
        <v>x</v>
      </c>
      <c r="S626" s="1138" t="str">
        <f>'Q100a-geral'!S2001</f>
        <v>só para pesquisa</v>
      </c>
      <c r="T626" s="93" t="str">
        <f>'Q100a-geral'!T2001</f>
        <v>x</v>
      </c>
      <c r="U626" s="93" t="str">
        <f>'Q100a-geral'!U2001</f>
        <v>x</v>
      </c>
      <c r="V626" s="107" t="str">
        <f>'Q100a-geral'!V2001</f>
        <v>só para pesquisa</v>
      </c>
      <c r="W626" s="116" t="str">
        <f>'Q100a-geral'!W2001</f>
        <v>x</v>
      </c>
      <c r="X626" s="93" t="str">
        <f>'Q100a-geral'!X2001</f>
        <v>x</v>
      </c>
      <c r="Y626" s="93" t="str">
        <f>'Q100a-geral'!Y2001</f>
        <v>x</v>
      </c>
      <c r="Z626" s="93" t="str">
        <f>'Q100a-geral'!Z2001</f>
        <v>x</v>
      </c>
      <c r="AA626" s="93" t="str">
        <f>'Q100a-geral'!AA2001</f>
        <v>x</v>
      </c>
      <c r="AB626" s="93" t="str">
        <f>'Q100a-geral'!AB2001</f>
        <v>x</v>
      </c>
      <c r="AC626" s="93" t="str">
        <f>'Q100a-geral'!AC2001</f>
        <v>x</v>
      </c>
      <c r="AD626" s="93" t="str">
        <f>'Q100a-geral'!AD2001</f>
        <v>x</v>
      </c>
      <c r="AE626" s="93" t="str">
        <f>'Q100a-geral'!AE2001</f>
        <v>x</v>
      </c>
      <c r="AF626" s="93" t="str">
        <f>'Q100a-geral'!AF2001</f>
        <v>x</v>
      </c>
      <c r="AG626" s="85">
        <f>'Q100a-geral'!AG2001</f>
        <v>39</v>
      </c>
      <c r="AH626" s="93" t="str">
        <f>'Q100a-geral'!AH2001</f>
        <v>x</v>
      </c>
      <c r="AI626" s="93" t="str">
        <f>'Q100a-geral'!AI2001</f>
        <v>x</v>
      </c>
      <c r="AJ626" s="93" t="str">
        <f>'Q100a-geral'!AJ2001</f>
        <v>x</v>
      </c>
      <c r="AK626" s="137" t="str">
        <f>'Q100a-geral'!AK2001</f>
        <v>x</v>
      </c>
      <c r="AL626" s="213" t="str">
        <f>'Q100a-geral'!AL2001</f>
        <v>x</v>
      </c>
      <c r="AM626" s="137" t="str">
        <f>'Q100a-geral'!AM2001</f>
        <v>x</v>
      </c>
      <c r="AN626" s="137" t="str">
        <f>'Q100a-geral'!AN2001</f>
        <v>x</v>
      </c>
      <c r="AO626" s="137" t="str">
        <f>'Q100a-geral'!AO2001</f>
        <v>x</v>
      </c>
      <c r="AP626" s="137" t="str">
        <f>'Q100a-geral'!AP2001</f>
        <v>x</v>
      </c>
      <c r="AQ626" s="137" t="str">
        <f>'Q100a-geral'!AQ2001</f>
        <v>x</v>
      </c>
      <c r="AR626" s="137"/>
      <c r="AS626" s="137"/>
      <c r="AT626" s="137"/>
      <c r="AU626" s="137"/>
      <c r="AV626" s="137" t="str">
        <f>'Q100a-geral'!AV2001</f>
        <v>x</v>
      </c>
      <c r="AW626" s="137"/>
      <c r="AX626" s="137"/>
      <c r="AY626" s="137"/>
      <c r="AZ626" s="137"/>
      <c r="BA626" s="137" t="str">
        <f>'Q100a-geral'!BA2001</f>
        <v>x</v>
      </c>
      <c r="BB626" s="239" t="str">
        <f>'Q100a-geral'!BB2001</f>
        <v>Poluição do arx</v>
      </c>
      <c r="BC626" s="239" t="str">
        <f>'Q100a-geral'!BC2001</f>
        <v>Poluição do arxbenchmarking</v>
      </c>
      <c r="BD626" s="239" t="str">
        <f>'Q100a-geral'!BD2001</f>
        <v>Poluição do arbenchmarking</v>
      </c>
    </row>
    <row r="627" spans="1:56" s="1" customFormat="1" ht="25.5" customHeight="1" x14ac:dyDescent="0.25">
      <c r="A627" s="275" t="str">
        <f>'Q100a-geral'!A2002</f>
        <v>5.2</v>
      </c>
      <c r="B627" s="54" t="str">
        <f>'Q100a-geral'!B2002</f>
        <v>Poluição do ar</v>
      </c>
      <c r="C627" s="229" t="str">
        <f>'Q100a-geral'!C2002</f>
        <v>x</v>
      </c>
      <c r="D627" s="428" t="str">
        <f>'Q100a-geral'!D2002</f>
        <v>PM 10 média</v>
      </c>
      <c r="E627" s="957" t="str">
        <f>'Q100a-geral'!E2002</f>
        <v>Araraquara</v>
      </c>
      <c r="F627" s="446" t="str">
        <f>'Q100a-geral'!F2002</f>
        <v>resultado de PM10 média selecionado e apresentado em relatório da Organização das Nações Unidas (ONU) que apresenta comparação de cidades de todo o mundo em WHO(2014a)</v>
      </c>
      <c r="G627" s="252" t="str">
        <f>'Q100a-geral'!G2002</f>
        <v>registro na fonte</v>
      </c>
      <c r="H627" s="173" t="str">
        <f>'Q100a-geral'!H2002</f>
        <v>benchmarking</v>
      </c>
      <c r="I627" s="167" t="str">
        <f>'Q100a-geral'!I2002</f>
        <v>x</v>
      </c>
      <c r="J627" s="93" t="str">
        <f>'Q100a-geral'!J2002</f>
        <v>x</v>
      </c>
      <c r="K627" s="93" t="str">
        <f>'Q100a-geral'!K2002</f>
        <v>x</v>
      </c>
      <c r="L627" s="93" t="str">
        <f>'Q100a-geral'!L2002</f>
        <v>x</v>
      </c>
      <c r="M627" s="93" t="str">
        <f>'Q100a-geral'!M2002</f>
        <v>x</v>
      </c>
      <c r="N627" s="93" t="str">
        <f>'Q100a-geral'!N2002</f>
        <v>x</v>
      </c>
      <c r="O627" s="93" t="str">
        <f>'Q100a-geral'!O2002</f>
        <v>x</v>
      </c>
      <c r="P627" s="93" t="str">
        <f>'Q100a-geral'!P2002</f>
        <v>x</v>
      </c>
      <c r="Q627" s="93" t="str">
        <f>'Q100a-geral'!Q2002</f>
        <v>x</v>
      </c>
      <c r="R627" s="93" t="str">
        <f>'Q100a-geral'!R2002</f>
        <v>x</v>
      </c>
      <c r="S627" s="1138" t="str">
        <f>'Q100a-geral'!S2002</f>
        <v>só para pesquisa</v>
      </c>
      <c r="T627" s="93" t="str">
        <f>'Q100a-geral'!T2002</f>
        <v>x</v>
      </c>
      <c r="U627" s="93" t="str">
        <f>'Q100a-geral'!U2002</f>
        <v>x</v>
      </c>
      <c r="V627" s="107" t="str">
        <f>'Q100a-geral'!V2002</f>
        <v>só para pesquisa</v>
      </c>
      <c r="W627" s="116" t="str">
        <f>'Q100a-geral'!W2002</f>
        <v>x</v>
      </c>
      <c r="X627" s="93" t="str">
        <f>'Q100a-geral'!X2002</f>
        <v>x</v>
      </c>
      <c r="Y627" s="93" t="str">
        <f>'Q100a-geral'!Y2002</f>
        <v>x</v>
      </c>
      <c r="Z627" s="93" t="str">
        <f>'Q100a-geral'!Z2002</f>
        <v>x</v>
      </c>
      <c r="AA627" s="93" t="str">
        <f>'Q100a-geral'!AA2002</f>
        <v>x</v>
      </c>
      <c r="AB627" s="93" t="str">
        <f>'Q100a-geral'!AB2002</f>
        <v>x</v>
      </c>
      <c r="AC627" s="93" t="str">
        <f>'Q100a-geral'!AC2002</f>
        <v>x</v>
      </c>
      <c r="AD627" s="93" t="str">
        <f>'Q100a-geral'!AD2002</f>
        <v>x</v>
      </c>
      <c r="AE627" s="93" t="str">
        <f>'Q100a-geral'!AE2002</f>
        <v>x</v>
      </c>
      <c r="AF627" s="93" t="str">
        <f>'Q100a-geral'!AF2002</f>
        <v>x</v>
      </c>
      <c r="AG627" s="85">
        <f>'Q100a-geral'!AG2002</f>
        <v>31</v>
      </c>
      <c r="AH627" s="93" t="str">
        <f>'Q100a-geral'!AH2002</f>
        <v>x</v>
      </c>
      <c r="AI627" s="93" t="str">
        <f>'Q100a-geral'!AI2002</f>
        <v>x</v>
      </c>
      <c r="AJ627" s="93" t="str">
        <f>'Q100a-geral'!AJ2002</f>
        <v>x</v>
      </c>
      <c r="AK627" s="137" t="str">
        <f>'Q100a-geral'!AK2002</f>
        <v>x</v>
      </c>
      <c r="AL627" s="213" t="str">
        <f>'Q100a-geral'!AL2002</f>
        <v>x</v>
      </c>
      <c r="AM627" s="137" t="str">
        <f>'Q100a-geral'!AM2002</f>
        <v>x</v>
      </c>
      <c r="AN627" s="137" t="str">
        <f>'Q100a-geral'!AN2002</f>
        <v>x</v>
      </c>
      <c r="AO627" s="137" t="str">
        <f>'Q100a-geral'!AO2002</f>
        <v>x</v>
      </c>
      <c r="AP627" s="137" t="str">
        <f>'Q100a-geral'!AP2002</f>
        <v>x</v>
      </c>
      <c r="AQ627" s="137" t="str">
        <f>'Q100a-geral'!AQ2002</f>
        <v>x</v>
      </c>
      <c r="AR627" s="137"/>
      <c r="AS627" s="137"/>
      <c r="AT627" s="137"/>
      <c r="AU627" s="137"/>
      <c r="AV627" s="137" t="str">
        <f>'Q100a-geral'!AV2002</f>
        <v>x</v>
      </c>
      <c r="AW627" s="137"/>
      <c r="AX627" s="137"/>
      <c r="AY627" s="137"/>
      <c r="AZ627" s="137"/>
      <c r="BA627" s="137" t="str">
        <f>'Q100a-geral'!BA2002</f>
        <v>x</v>
      </c>
      <c r="BB627" s="239" t="str">
        <f>'Q100a-geral'!BB2002</f>
        <v>Poluição do arx</v>
      </c>
      <c r="BC627" s="239" t="str">
        <f>'Q100a-geral'!BC2002</f>
        <v>Poluição do arxbenchmarking</v>
      </c>
      <c r="BD627" s="239" t="str">
        <f>'Q100a-geral'!BD2002</f>
        <v>Poluição do arbenchmarking</v>
      </c>
    </row>
    <row r="628" spans="1:56" s="1" customFormat="1" ht="25.5" customHeight="1" x14ac:dyDescent="0.25">
      <c r="A628" s="275" t="str">
        <f>'Q100a-geral'!A2003</f>
        <v>5.2</v>
      </c>
      <c r="B628" s="54" t="str">
        <f>'Q100a-geral'!B2003</f>
        <v>Poluição do ar</v>
      </c>
      <c r="C628" s="229" t="str">
        <f>'Q100a-geral'!C2003</f>
        <v>x</v>
      </c>
      <c r="D628" s="429" t="str">
        <f>'Q100a-geral'!D2003</f>
        <v>PM 10 média</v>
      </c>
      <c r="E628" s="958" t="str">
        <f>'Q100a-geral'!E2003</f>
        <v>Araucária</v>
      </c>
      <c r="F628" s="446" t="str">
        <f>'Q100a-geral'!F2003</f>
        <v>resultado de PM10 média selecionado e apresentado em relatório da Organização das Nações Unidas (ONU) que apresenta comparação de cidades de todo o mundo em WHO(2014a)</v>
      </c>
      <c r="G628" s="252" t="str">
        <f>'Q100a-geral'!G2003</f>
        <v>registro na fonte</v>
      </c>
      <c r="H628" s="173" t="str">
        <f>'Q100a-geral'!H2003</f>
        <v>benchmarking</v>
      </c>
      <c r="I628" s="167" t="str">
        <f>'Q100a-geral'!I2003</f>
        <v>x</v>
      </c>
      <c r="J628" s="93" t="str">
        <f>'Q100a-geral'!J2003</f>
        <v>x</v>
      </c>
      <c r="K628" s="93" t="str">
        <f>'Q100a-geral'!K2003</f>
        <v>x</v>
      </c>
      <c r="L628" s="93" t="str">
        <f>'Q100a-geral'!L2003</f>
        <v>x</v>
      </c>
      <c r="M628" s="93" t="str">
        <f>'Q100a-geral'!M2003</f>
        <v>x</v>
      </c>
      <c r="N628" s="93" t="str">
        <f>'Q100a-geral'!N2003</f>
        <v>x</v>
      </c>
      <c r="O628" s="93" t="str">
        <f>'Q100a-geral'!O2003</f>
        <v>x</v>
      </c>
      <c r="P628" s="93" t="str">
        <f>'Q100a-geral'!P2003</f>
        <v>x</v>
      </c>
      <c r="Q628" s="93" t="str">
        <f>'Q100a-geral'!Q2003</f>
        <v>x</v>
      </c>
      <c r="R628" s="93" t="str">
        <f>'Q100a-geral'!R2003</f>
        <v>x</v>
      </c>
      <c r="S628" s="1138" t="str">
        <f>'Q100a-geral'!S2003</f>
        <v>só para pesquisa</v>
      </c>
      <c r="T628" s="93" t="str">
        <f>'Q100a-geral'!T2003</f>
        <v>x</v>
      </c>
      <c r="U628" s="93" t="str">
        <f>'Q100a-geral'!U2003</f>
        <v>x</v>
      </c>
      <c r="V628" s="107" t="str">
        <f>'Q100a-geral'!V2003</f>
        <v>só para pesquisa</v>
      </c>
      <c r="W628" s="116" t="str">
        <f>'Q100a-geral'!W2003</f>
        <v>x</v>
      </c>
      <c r="X628" s="93" t="str">
        <f>'Q100a-geral'!X2003</f>
        <v>x</v>
      </c>
      <c r="Y628" s="93" t="str">
        <f>'Q100a-geral'!Y2003</f>
        <v>x</v>
      </c>
      <c r="Z628" s="93" t="str">
        <f>'Q100a-geral'!Z2003</f>
        <v>x</v>
      </c>
      <c r="AA628" s="93" t="str">
        <f>'Q100a-geral'!AA2003</f>
        <v>x</v>
      </c>
      <c r="AB628" s="93" t="str">
        <f>'Q100a-geral'!AB2003</f>
        <v>x</v>
      </c>
      <c r="AC628" s="93" t="str">
        <f>'Q100a-geral'!AC2003</f>
        <v>x</v>
      </c>
      <c r="AD628" s="93" t="str">
        <f>'Q100a-geral'!AD2003</f>
        <v>x</v>
      </c>
      <c r="AE628" s="93" t="str">
        <f>'Q100a-geral'!AE2003</f>
        <v>x</v>
      </c>
      <c r="AF628" s="93" t="str">
        <f>'Q100a-geral'!AF2003</f>
        <v>x</v>
      </c>
      <c r="AG628" s="85">
        <f>'Q100a-geral'!AG2003</f>
        <v>30.909999999999997</v>
      </c>
      <c r="AH628" s="93" t="str">
        <f>'Q100a-geral'!AH2003</f>
        <v>x</v>
      </c>
      <c r="AI628" s="93" t="str">
        <f>'Q100a-geral'!AI2003</f>
        <v>x</v>
      </c>
      <c r="AJ628" s="93" t="str">
        <f>'Q100a-geral'!AJ2003</f>
        <v>x</v>
      </c>
      <c r="AK628" s="137" t="str">
        <f>'Q100a-geral'!AK2003</f>
        <v>x</v>
      </c>
      <c r="AL628" s="213" t="str">
        <f>'Q100a-geral'!AL2003</f>
        <v>x</v>
      </c>
      <c r="AM628" s="137" t="str">
        <f>'Q100a-geral'!AM2003</f>
        <v>x</v>
      </c>
      <c r="AN628" s="137" t="str">
        <f>'Q100a-geral'!AN2003</f>
        <v>x</v>
      </c>
      <c r="AO628" s="137" t="str">
        <f>'Q100a-geral'!AO2003</f>
        <v>x</v>
      </c>
      <c r="AP628" s="137" t="str">
        <f>'Q100a-geral'!AP2003</f>
        <v>x</v>
      </c>
      <c r="AQ628" s="137" t="str">
        <f>'Q100a-geral'!AQ2003</f>
        <v>x</v>
      </c>
      <c r="AR628" s="137"/>
      <c r="AS628" s="137"/>
      <c r="AT628" s="137"/>
      <c r="AU628" s="137"/>
      <c r="AV628" s="137" t="str">
        <f>'Q100a-geral'!AV2003</f>
        <v>x</v>
      </c>
      <c r="AW628" s="137"/>
      <c r="AX628" s="137"/>
      <c r="AY628" s="137"/>
      <c r="AZ628" s="137"/>
      <c r="BA628" s="137" t="str">
        <f>'Q100a-geral'!BA2003</f>
        <v>x</v>
      </c>
      <c r="BB628" s="239" t="str">
        <f>'Q100a-geral'!BB2003</f>
        <v>Poluição do arx</v>
      </c>
      <c r="BC628" s="239" t="str">
        <f>'Q100a-geral'!BC2003</f>
        <v>Poluição do arxbenchmarking</v>
      </c>
      <c r="BD628" s="239" t="str">
        <f>'Q100a-geral'!BD2003</f>
        <v>Poluição do arbenchmarking</v>
      </c>
    </row>
    <row r="629" spans="1:56" s="1" customFormat="1" ht="25.5" customHeight="1" x14ac:dyDescent="0.25">
      <c r="A629" s="275" t="str">
        <f>'Q100a-geral'!A2004</f>
        <v>5.2</v>
      </c>
      <c r="B629" s="54" t="str">
        <f>'Q100a-geral'!B2004</f>
        <v>Poluição do ar</v>
      </c>
      <c r="C629" s="229" t="str">
        <f>'Q100a-geral'!C2004</f>
        <v>x</v>
      </c>
      <c r="D629" s="428" t="str">
        <f>'Q100a-geral'!D2004</f>
        <v>PM 10 média</v>
      </c>
      <c r="E629" s="957" t="str">
        <f>'Q100a-geral'!E2004</f>
        <v>Bauru</v>
      </c>
      <c r="F629" s="446" t="str">
        <f>'Q100a-geral'!F2004</f>
        <v>resultado de PM10 média selecionado e apresentado em relatório da Organização das Nações Unidas (ONU) que apresenta comparação de cidades de todo o mundo em WHO(2014a)</v>
      </c>
      <c r="G629" s="252" t="str">
        <f>'Q100a-geral'!G2004</f>
        <v>registro na fonte</v>
      </c>
      <c r="H629" s="173" t="str">
        <f>'Q100a-geral'!H2004</f>
        <v>benchmarking</v>
      </c>
      <c r="I629" s="167" t="str">
        <f>'Q100a-geral'!I2004</f>
        <v>x</v>
      </c>
      <c r="J629" s="93" t="str">
        <f>'Q100a-geral'!J2004</f>
        <v>x</v>
      </c>
      <c r="K629" s="93" t="str">
        <f>'Q100a-geral'!K2004</f>
        <v>x</v>
      </c>
      <c r="L629" s="93" t="str">
        <f>'Q100a-geral'!L2004</f>
        <v>x</v>
      </c>
      <c r="M629" s="93" t="str">
        <f>'Q100a-geral'!M2004</f>
        <v>x</v>
      </c>
      <c r="N629" s="93" t="str">
        <f>'Q100a-geral'!N2004</f>
        <v>x</v>
      </c>
      <c r="O629" s="93" t="str">
        <f>'Q100a-geral'!O2004</f>
        <v>x</v>
      </c>
      <c r="P629" s="93" t="str">
        <f>'Q100a-geral'!P2004</f>
        <v>x</v>
      </c>
      <c r="Q629" s="93" t="str">
        <f>'Q100a-geral'!Q2004</f>
        <v>x</v>
      </c>
      <c r="R629" s="93" t="str">
        <f>'Q100a-geral'!R2004</f>
        <v>x</v>
      </c>
      <c r="S629" s="1138" t="str">
        <f>'Q100a-geral'!S2004</f>
        <v>só para pesquisa</v>
      </c>
      <c r="T629" s="93" t="str">
        <f>'Q100a-geral'!T2004</f>
        <v>x</v>
      </c>
      <c r="U629" s="93" t="str">
        <f>'Q100a-geral'!U2004</f>
        <v>x</v>
      </c>
      <c r="V629" s="107" t="str">
        <f>'Q100a-geral'!V2004</f>
        <v>só para pesquisa</v>
      </c>
      <c r="W629" s="116" t="str">
        <f>'Q100a-geral'!W2004</f>
        <v>x</v>
      </c>
      <c r="X629" s="93" t="str">
        <f>'Q100a-geral'!X2004</f>
        <v>x</v>
      </c>
      <c r="Y629" s="93" t="str">
        <f>'Q100a-geral'!Y2004</f>
        <v>x</v>
      </c>
      <c r="Z629" s="93" t="str">
        <f>'Q100a-geral'!Z2004</f>
        <v>x</v>
      </c>
      <c r="AA629" s="93" t="str">
        <f>'Q100a-geral'!AA2004</f>
        <v>x</v>
      </c>
      <c r="AB629" s="93" t="str">
        <f>'Q100a-geral'!AB2004</f>
        <v>x</v>
      </c>
      <c r="AC629" s="93" t="str">
        <f>'Q100a-geral'!AC2004</f>
        <v>x</v>
      </c>
      <c r="AD629" s="93" t="str">
        <f>'Q100a-geral'!AD2004</f>
        <v>x</v>
      </c>
      <c r="AE629" s="93" t="str">
        <f>'Q100a-geral'!AE2004</f>
        <v>x</v>
      </c>
      <c r="AF629" s="93" t="str">
        <f>'Q100a-geral'!AF2004</f>
        <v>x</v>
      </c>
      <c r="AG629" s="85">
        <f>'Q100a-geral'!AG2004</f>
        <v>30</v>
      </c>
      <c r="AH629" s="93" t="str">
        <f>'Q100a-geral'!AH2004</f>
        <v>x</v>
      </c>
      <c r="AI629" s="93" t="str">
        <f>'Q100a-geral'!AI2004</f>
        <v>x</v>
      </c>
      <c r="AJ629" s="93" t="str">
        <f>'Q100a-geral'!AJ2004</f>
        <v>x</v>
      </c>
      <c r="AK629" s="137" t="str">
        <f>'Q100a-geral'!AK2004</f>
        <v>x</v>
      </c>
      <c r="AL629" s="213" t="str">
        <f>'Q100a-geral'!AL2004</f>
        <v>x</v>
      </c>
      <c r="AM629" s="137" t="str">
        <f>'Q100a-geral'!AM2004</f>
        <v>x</v>
      </c>
      <c r="AN629" s="137" t="str">
        <f>'Q100a-geral'!AN2004</f>
        <v>x</v>
      </c>
      <c r="AO629" s="137" t="str">
        <f>'Q100a-geral'!AO2004</f>
        <v>x</v>
      </c>
      <c r="AP629" s="137" t="str">
        <f>'Q100a-geral'!AP2004</f>
        <v>x</v>
      </c>
      <c r="AQ629" s="137" t="str">
        <f>'Q100a-geral'!AQ2004</f>
        <v>x</v>
      </c>
      <c r="AR629" s="137"/>
      <c r="AS629" s="137"/>
      <c r="AT629" s="137"/>
      <c r="AU629" s="137"/>
      <c r="AV629" s="137" t="str">
        <f>'Q100a-geral'!AV2004</f>
        <v>x</v>
      </c>
      <c r="AW629" s="137"/>
      <c r="AX629" s="137"/>
      <c r="AY629" s="137"/>
      <c r="AZ629" s="137"/>
      <c r="BA629" s="137" t="str">
        <f>'Q100a-geral'!BA2004</f>
        <v>x</v>
      </c>
      <c r="BB629" s="239" t="str">
        <f>'Q100a-geral'!BB2004</f>
        <v>Poluição do arx</v>
      </c>
      <c r="BC629" s="239" t="str">
        <f>'Q100a-geral'!BC2004</f>
        <v>Poluição do arxbenchmarking</v>
      </c>
      <c r="BD629" s="239" t="str">
        <f>'Q100a-geral'!BD2004</f>
        <v>Poluição do arbenchmarking</v>
      </c>
    </row>
    <row r="630" spans="1:56" s="1" customFormat="1" ht="178.5" customHeight="1" x14ac:dyDescent="0.25">
      <c r="A630" s="275" t="str">
        <f>'Q100a-geral'!A2043</f>
        <v>5.2</v>
      </c>
      <c r="B630" s="54" t="str">
        <f>'Q100a-geral'!B2043</f>
        <v>Poluição do ar</v>
      </c>
      <c r="C630" s="229" t="str">
        <f>'Q100a-geral'!C2043</f>
        <v>CMMCE</v>
      </c>
      <c r="D630" s="287" t="str">
        <f>'Q100a-geral'!D2043</f>
        <v>PM10 média
(RMBH/BH em Praça Rui Barbosa)</v>
      </c>
      <c r="E630" s="951" t="str">
        <f>'Q100a-geral'!E2043</f>
        <v>Belo Horizonte</v>
      </c>
      <c r="F630" s="492" t="str">
        <f>'Q100a-geral'!F2043</f>
        <v>concentração média diária de PM10 (média de 24 horas em µg/m3), que é "calculada quando pelo menos 75% do período de tempo considerado na análise apresentam dados válidos", medida na Praça da Estação em Belo Horizonte
obs.1: na RMBH existem nove estações automáticas de monitoramento da qualidade do ar operadas pela FEAM/MG, sendo três em BH (Aeroporto Carlos Prates, Avenida Amazonas, Praça Rui Barbosa), uma em Contagem (Praça Tancredo Neves), três em Betim (Bairro Jardim das Alterosas, Bairro Petrovale, Centro Administrativo), duas em Ibirité (Bairro Cascata, Bairro Piratininga) (FEAM/MG, 2013, p.5-10)
obs.2: este indicador (relativo às medições na Praça da Estação, em Belo Horizonte) foi selecionado como indicador de referência da ação "atuar em rede com órgãos reguladores e gestores do meio ambiente para reduzir as emissões veiculares e a poluição sonora e visual" do Plano de Redução de Emissões de Gases de Efeito Estufa - Pregee do Comitê Municipal sobre Mudanças Climáticas e Ecoeficiência - CMMCE vinculado à Secretaria Municipal de Meio Ambiente - SMMA da Prefeitura de Belo Horizonte (BH, 2015a)
obs.3: o resultado do ano 2011 desta estação (51,7 µg/m3) foi apresentado como sendo de Belo Horizonte em relatório (WHO, 2014) da Organização das Nações Unidas (ONU) que apresenta comparação de cidades de todo o mundo (veja PM10 média Belo Horizonte)
obs.4: indicador tático da BHTrans com o nome "Concentração de material particulado (PM10)" (BHTRANS, 2015d)
obs.5: resultados de 2001 a 2011 conforme FEAM/MG (2003a; 2003b, p.26; 2005, p.25; 2006, p.27; 2007, p.27; 2008, p.20; 2009, p.20; 2010, p.20; 2011, p.21; 2013, p.11, 21); resultado de 2012 conforme FEAM(2015c, p.29), que está anunciado em IEMA(2015a) como 30,50 em vez de 30,4</v>
      </c>
      <c r="G630" s="252" t="str">
        <f>'Q100a-geral'!G2043</f>
        <v>registro na fonte</v>
      </c>
      <c r="H630" s="173" t="str">
        <f>'Q100a-geral'!H2043</f>
        <v>x</v>
      </c>
      <c r="I630" s="57">
        <f>'Q100a-geral'!I2043</f>
        <v>1</v>
      </c>
      <c r="J630" s="107" t="str">
        <f>'Q100a-geral'!J2043</f>
        <v>x</v>
      </c>
      <c r="K630" s="107" t="str">
        <f>'Q100a-geral'!K2043</f>
        <v>x</v>
      </c>
      <c r="L630" s="107" t="str">
        <f>'Q100a-geral'!L2043</f>
        <v>x</v>
      </c>
      <c r="M630" s="107" t="str">
        <f>'Q100a-geral'!M2043</f>
        <v>x</v>
      </c>
      <c r="N630" s="107" t="str">
        <f>'Q100a-geral'!N2043</f>
        <v>x</v>
      </c>
      <c r="O630" s="107" t="str">
        <f>'Q100a-geral'!O2043</f>
        <v>x</v>
      </c>
      <c r="P630" s="107" t="str">
        <f>'Q100a-geral'!P2043</f>
        <v>x</v>
      </c>
      <c r="Q630" s="107" t="str">
        <f>'Q100a-geral'!Q2043</f>
        <v>x</v>
      </c>
      <c r="R630" s="107" t="str">
        <f>'Q100a-geral'!R2043</f>
        <v>x</v>
      </c>
      <c r="S630" s="107" t="str">
        <f>'Q100a-geral'!S2043</f>
        <v>só para pesquisa</v>
      </c>
      <c r="T630" s="107" t="str">
        <f>'Q100a-geral'!T2043</f>
        <v>x</v>
      </c>
      <c r="U630" s="84">
        <f>'Q100a-geral'!U2043</f>
        <v>13.2</v>
      </c>
      <c r="V630" s="107" t="s">
        <v>432</v>
      </c>
      <c r="W630" s="116">
        <f>'Q100a-geral'!W2043</f>
        <v>21.3</v>
      </c>
      <c r="X630" s="117">
        <f>'Q100a-geral'!X2043</f>
        <v>25.6</v>
      </c>
      <c r="Y630" s="117">
        <f>'Q100a-geral'!Y2043</f>
        <v>38.9</v>
      </c>
      <c r="Z630" s="117">
        <f>'Q100a-geral'!Z2043</f>
        <v>28.6</v>
      </c>
      <c r="AA630" s="117">
        <f>'Q100a-geral'!AA2043</f>
        <v>21.5</v>
      </c>
      <c r="AB630" s="117">
        <f>'Q100a-geral'!AB2043</f>
        <v>25.9</v>
      </c>
      <c r="AC630" s="117">
        <f>'Q100a-geral'!AC2043</f>
        <v>26.1</v>
      </c>
      <c r="AD630" s="118">
        <f>'Q100a-geral'!AD2043</f>
        <v>27.8</v>
      </c>
      <c r="AE630" s="118">
        <f>'Q100a-geral'!AE2043</f>
        <v>28</v>
      </c>
      <c r="AF630" s="118">
        <f>'Q100a-geral'!AF2043</f>
        <v>31.3</v>
      </c>
      <c r="AG630" s="119">
        <f>'Q100a-geral'!AG2043</f>
        <v>51.7</v>
      </c>
      <c r="AH630" s="84">
        <f>'Q100a-geral'!AH2043</f>
        <v>30.4</v>
      </c>
      <c r="AI630" s="132"/>
      <c r="AJ630" s="107" t="str">
        <f>'Q100a-geral'!AJ2043</f>
        <v>aguardando atualização da fonte</v>
      </c>
      <c r="AK630" s="107" t="str">
        <f>'Q100a-geral'!AK2043</f>
        <v>aguardando atualização da fonte</v>
      </c>
      <c r="AL630" s="213" t="str">
        <f>'Q100a-geral'!AL2043</f>
        <v>x</v>
      </c>
      <c r="AM630" s="137" t="str">
        <f>'Q100a-geral'!AM2043</f>
        <v>x</v>
      </c>
      <c r="AN630" s="137" t="str">
        <f>'Q100a-geral'!AN2043</f>
        <v>x</v>
      </c>
      <c r="AO630" s="137" t="str">
        <f>'Q100a-geral'!AO2043</f>
        <v>x</v>
      </c>
      <c r="AP630" s="137" t="str">
        <f>'Q100a-geral'!AP2043</f>
        <v>x</v>
      </c>
      <c r="AQ630" s="137" t="str">
        <f>'Q100a-geral'!AQ2043</f>
        <v>x</v>
      </c>
      <c r="AR630" s="137"/>
      <c r="AS630" s="137"/>
      <c r="AT630" s="137"/>
      <c r="AU630" s="137"/>
      <c r="AV630" s="137" t="str">
        <f>'Q100a-geral'!AV2043</f>
        <v>x</v>
      </c>
      <c r="AW630" s="137"/>
      <c r="AX630" s="137"/>
      <c r="AY630" s="137"/>
      <c r="AZ630" s="137"/>
      <c r="BA630" s="137" t="str">
        <f>'Q100a-geral'!BA2043</f>
        <v>x</v>
      </c>
      <c r="BB630" s="239" t="str">
        <f>'Q100a-geral'!BB2043</f>
        <v>Poluição do arCMMCE</v>
      </c>
      <c r="BC630" s="239" t="str">
        <f>'Q100a-geral'!BC2043</f>
        <v>Poluição do arCMMCEx</v>
      </c>
      <c r="BD630" s="239" t="str">
        <f>'Q100a-geral'!BD2043</f>
        <v>Poluição do arx</v>
      </c>
    </row>
    <row r="631" spans="1:56" s="1" customFormat="1" ht="38.25" x14ac:dyDescent="0.25">
      <c r="A631" s="275" t="str">
        <f>'Q100a-geral'!A2045</f>
        <v>5.2</v>
      </c>
      <c r="B631" s="54" t="str">
        <f>'Q100a-geral'!B2045</f>
        <v>Poluição do ar</v>
      </c>
      <c r="C631" s="229" t="str">
        <f>'Q100a-geral'!C2045</f>
        <v>x</v>
      </c>
      <c r="D631" s="322" t="str">
        <f>'Q100a-geral'!D2045</f>
        <v>PM10 omissos
(RMBH/BH em Praça Rui Barbosa)</v>
      </c>
      <c r="E631" s="11" t="str">
        <f>'Q100a-geral'!E2045</f>
        <v>Belo Horizonte</v>
      </c>
      <c r="F631" s="447" t="str">
        <f>'Q100a-geral'!F2045</f>
        <v>n.º de dias no ano nos quais não há medições de PM10 na estação RMBH/BH/Praça Rui Barbosa
obs.: resultados de 2001 a 2011 conforme FEAM/MG (2003a, 2003b; 2005; 2006; 2007; 2008; 2009; 2010; 2011; 2013); resultado de 2012 conforme FEAM(2015, p.29_</v>
      </c>
      <c r="G631" s="252" t="str">
        <f>'Q100a-geral'!G2045</f>
        <v>registro na fonte</v>
      </c>
      <c r="H631" s="173" t="str">
        <f>'Q100a-geral'!H2045</f>
        <v>x</v>
      </c>
      <c r="I631" s="57">
        <f>'Q100a-geral'!I2045</f>
        <v>1</v>
      </c>
      <c r="J631" s="107" t="str">
        <f>'Q100a-geral'!J2045</f>
        <v>x</v>
      </c>
      <c r="K631" s="107" t="str">
        <f>'Q100a-geral'!K2045</f>
        <v>x</v>
      </c>
      <c r="L631" s="107" t="str">
        <f>'Q100a-geral'!L2045</f>
        <v>x</v>
      </c>
      <c r="M631" s="107" t="str">
        <f>'Q100a-geral'!M2045</f>
        <v>x</v>
      </c>
      <c r="N631" s="107" t="str">
        <f>'Q100a-geral'!N2045</f>
        <v>x</v>
      </c>
      <c r="O631" s="107" t="str">
        <f>'Q100a-geral'!O2045</f>
        <v>x</v>
      </c>
      <c r="P631" s="107" t="str">
        <f>'Q100a-geral'!P2045</f>
        <v>x</v>
      </c>
      <c r="Q631" s="107" t="str">
        <f>'Q100a-geral'!Q2045</f>
        <v>x</v>
      </c>
      <c r="R631" s="107" t="str">
        <f>'Q100a-geral'!R2045</f>
        <v>x</v>
      </c>
      <c r="S631" s="107" t="str">
        <f>'Q100a-geral'!S2045</f>
        <v>só para pesquisa</v>
      </c>
      <c r="T631" s="107" t="str">
        <f>'Q100a-geral'!T2045</f>
        <v>x</v>
      </c>
      <c r="U631" s="107" t="str">
        <f>'Q100a-geral'!U2045</f>
        <v>x</v>
      </c>
      <c r="V631" s="107" t="str">
        <f>'Q100a-geral'!V2045</f>
        <v>só para pesquisa</v>
      </c>
      <c r="W631" s="116">
        <f>'Q100a-geral'!W2045</f>
        <v>67</v>
      </c>
      <c r="X631" s="120">
        <f>'Q100a-geral'!X2045</f>
        <v>119</v>
      </c>
      <c r="Y631" s="120">
        <f>'Q100a-geral'!Y2045</f>
        <v>73</v>
      </c>
      <c r="Z631" s="120">
        <f>'Q100a-geral'!Z2045</f>
        <v>154</v>
      </c>
      <c r="AA631" s="120">
        <f>'Q100a-geral'!AA2045</f>
        <v>16</v>
      </c>
      <c r="AB631" s="120">
        <f>'Q100a-geral'!AB2045</f>
        <v>6</v>
      </c>
      <c r="AC631" s="120">
        <f>'Q100a-geral'!AC2045</f>
        <v>52</v>
      </c>
      <c r="AD631" s="120">
        <f>'Q100a-geral'!AD2045</f>
        <v>49</v>
      </c>
      <c r="AE631" s="88">
        <f>'Q100a-geral'!AE2045</f>
        <v>190</v>
      </c>
      <c r="AF631" s="88">
        <f>'Q100a-geral'!AF2045</f>
        <v>255</v>
      </c>
      <c r="AG631" s="121">
        <f>'Q100a-geral'!AG2045</f>
        <v>162</v>
      </c>
      <c r="AH631" s="84">
        <f>'Q100a-geral'!AH2045</f>
        <v>8</v>
      </c>
      <c r="AI631" s="84" t="str">
        <f>'Q100a-geral'!AI2045</f>
        <v>aguardando atualização da fonte</v>
      </c>
      <c r="AJ631" s="84" t="str">
        <f>'Q100a-geral'!AJ2045</f>
        <v>aguardando atualização da fonte</v>
      </c>
      <c r="AK631" s="137" t="str">
        <f>'Q100a-geral'!AK2045</f>
        <v>aguardando atualização da fonte</v>
      </c>
      <c r="AL631" s="213" t="str">
        <f>'Q100a-geral'!AL2045</f>
        <v>x</v>
      </c>
      <c r="AM631" s="137" t="str">
        <f>'Q100a-geral'!AM2045</f>
        <v>x</v>
      </c>
      <c r="AN631" s="137" t="str">
        <f>'Q100a-geral'!AN2045</f>
        <v>x</v>
      </c>
      <c r="AO631" s="137" t="str">
        <f>'Q100a-geral'!AO2045</f>
        <v>x</v>
      </c>
      <c r="AP631" s="137" t="str">
        <f>'Q100a-geral'!AP2045</f>
        <v>x</v>
      </c>
      <c r="AQ631" s="137" t="str">
        <f>'Q100a-geral'!AQ2045</f>
        <v>x</v>
      </c>
      <c r="AR631" s="137"/>
      <c r="AS631" s="137"/>
      <c r="AT631" s="137"/>
      <c r="AU631" s="137"/>
      <c r="AV631" s="137" t="str">
        <f>'Q100a-geral'!AV2045</f>
        <v>x</v>
      </c>
      <c r="AW631" s="137"/>
      <c r="AX631" s="137"/>
      <c r="AY631" s="137"/>
      <c r="AZ631" s="137"/>
      <c r="BA631" s="137" t="str">
        <f>'Q100a-geral'!BA2045</f>
        <v>x</v>
      </c>
      <c r="BB631" s="239" t="str">
        <f>'Q100a-geral'!BB2045</f>
        <v>Poluição do arx</v>
      </c>
      <c r="BC631" s="239" t="str">
        <f>'Q100a-geral'!BC2045</f>
        <v>Poluição do arxx</v>
      </c>
      <c r="BD631" s="239" t="str">
        <f>'Q100a-geral'!BD2045</f>
        <v>Poluição do arx</v>
      </c>
    </row>
    <row r="632" spans="1:56" s="1" customFormat="1" ht="65.25" customHeight="1" x14ac:dyDescent="0.25">
      <c r="A632" s="275" t="str">
        <f>'Q100a-geral'!A2046</f>
        <v>5.2</v>
      </c>
      <c r="B632" s="54" t="str">
        <f>'Q100a-geral'!B2046</f>
        <v>Poluição do ar</v>
      </c>
      <c r="C632" s="229" t="str">
        <f>'Q100a-geral'!C2046</f>
        <v>x</v>
      </c>
      <c r="D632" s="322" t="str">
        <f>'Q100a-geral'!D2046</f>
        <v>PM10
representativo
(RMBH/BH em Praça Rui Barbosa)</v>
      </c>
      <c r="E632" s="11" t="str">
        <f>'Q100a-geral'!E2046</f>
        <v>Belo Horizonte</v>
      </c>
      <c r="F632" s="446" t="str">
        <f>'Q100a-geral'!F2046</f>
        <v>percentual do n.º de dias no ano nos quais há medições de PM10 no monitoramento automático da qualidade do ar na estação RMBH/BH/Praça Rui Barbosa
obs.: atenção para os anos de 2004, 2008, 2012 e 2016 são bissextos e, portanto, têm 365 dias</v>
      </c>
      <c r="G632" s="14" t="str">
        <f>'Q100a-geral'!G2046</f>
        <v>((n.º de dias do ano - PM10 omissos) / n.º de dias do ano) x 100</v>
      </c>
      <c r="H632" s="173" t="str">
        <f>'Q100a-geral'!H2046</f>
        <v>x</v>
      </c>
      <c r="I632" s="57">
        <f>'Q100a-geral'!I2046</f>
        <v>1</v>
      </c>
      <c r="J632" s="107" t="str">
        <f>'Q100a-geral'!J2046</f>
        <v>x</v>
      </c>
      <c r="K632" s="107" t="str">
        <f>'Q100a-geral'!K2046</f>
        <v>x</v>
      </c>
      <c r="L632" s="107" t="str">
        <f>'Q100a-geral'!L2046</f>
        <v>x</v>
      </c>
      <c r="M632" s="107" t="str">
        <f>'Q100a-geral'!M2046</f>
        <v>x</v>
      </c>
      <c r="N632" s="107" t="str">
        <f>'Q100a-geral'!N2046</f>
        <v>x</v>
      </c>
      <c r="O632" s="107" t="str">
        <f>'Q100a-geral'!O2046</f>
        <v>x</v>
      </c>
      <c r="P632" s="107" t="str">
        <f>'Q100a-geral'!P2046</f>
        <v>x</v>
      </c>
      <c r="Q632" s="107" t="str">
        <f>'Q100a-geral'!Q2046</f>
        <v>x</v>
      </c>
      <c r="R632" s="107" t="str">
        <f>'Q100a-geral'!R2046</f>
        <v>x</v>
      </c>
      <c r="S632" s="107" t="str">
        <f>'Q100a-geral'!S2046</f>
        <v>só para pesquisa</v>
      </c>
      <c r="T632" s="107" t="str">
        <f>'Q100a-geral'!T2046</f>
        <v>x</v>
      </c>
      <c r="U632" s="107" t="str">
        <f>'Q100a-geral'!U2046</f>
        <v>x</v>
      </c>
      <c r="V632" s="107" t="str">
        <f>'Q100a-geral'!V2046</f>
        <v>só para pesquisa</v>
      </c>
      <c r="W632" s="21">
        <f>'Q100a-geral'!W2046</f>
        <v>0.81643835616438354</v>
      </c>
      <c r="X632" s="21">
        <f>'Q100a-geral'!X2046</f>
        <v>0.67397260273972603</v>
      </c>
      <c r="Y632" s="21">
        <f>'Q100a-geral'!Y2046</f>
        <v>0.8</v>
      </c>
      <c r="Z632" s="21">
        <f>'Q100a-geral'!Z2046</f>
        <v>0.57923497267759561</v>
      </c>
      <c r="AA632" s="21">
        <f>'Q100a-geral'!AA2046</f>
        <v>0.95616438356164379</v>
      </c>
      <c r="AB632" s="21">
        <f>'Q100a-geral'!AB2046</f>
        <v>0.98356164383561639</v>
      </c>
      <c r="AC632" s="21">
        <f>'Q100a-geral'!AC2046</f>
        <v>0.8575342465753425</v>
      </c>
      <c r="AD632" s="21">
        <f>'Q100a-geral'!AD2046</f>
        <v>0.86612021857923494</v>
      </c>
      <c r="AE632" s="21">
        <f>'Q100a-geral'!AE2046</f>
        <v>0.47945205479452052</v>
      </c>
      <c r="AF632" s="21">
        <f>'Q100a-geral'!AF2046</f>
        <v>0.30136986301369861</v>
      </c>
      <c r="AG632" s="21">
        <f>'Q100a-geral'!AG2046</f>
        <v>0.55616438356164388</v>
      </c>
      <c r="AH632" s="84">
        <f>'Q100a-geral'!AH2046</f>
        <v>0.97540983606557374</v>
      </c>
      <c r="AI632" s="84" t="e">
        <f>'Q100a-geral'!AI2046</f>
        <v>#VALUE!</v>
      </c>
      <c r="AJ632" s="84" t="e">
        <f>'Q100a-geral'!AJ2046</f>
        <v>#VALUE!</v>
      </c>
      <c r="AK632" s="137" t="e">
        <f>'Q100a-geral'!AK2046</f>
        <v>#VALUE!</v>
      </c>
      <c r="AL632" s="213" t="str">
        <f>'Q100a-geral'!AL2046</f>
        <v>x</v>
      </c>
      <c r="AM632" s="137" t="e">
        <f>'Q100a-geral'!AM2046</f>
        <v>#VALUE!</v>
      </c>
      <c r="AN632" s="137" t="str">
        <f>'Q100a-geral'!AN2046</f>
        <v>x</v>
      </c>
      <c r="AO632" s="137" t="str">
        <f>'Q100a-geral'!AO2046</f>
        <v>x</v>
      </c>
      <c r="AP632" s="137" t="str">
        <f>'Q100a-geral'!AP2046</f>
        <v>x</v>
      </c>
      <c r="AQ632" s="137" t="str">
        <f>'Q100a-geral'!AQ2046</f>
        <v>x</v>
      </c>
      <c r="AR632" s="137"/>
      <c r="AS632" s="137"/>
      <c r="AT632" s="137"/>
      <c r="AU632" s="137"/>
      <c r="AV632" s="137" t="str">
        <f>'Q100a-geral'!AV2046</f>
        <v>x</v>
      </c>
      <c r="AW632" s="137"/>
      <c r="AX632" s="137"/>
      <c r="AY632" s="137"/>
      <c r="AZ632" s="137"/>
      <c r="BA632" s="137" t="str">
        <f>'Q100a-geral'!BA2046</f>
        <v>x</v>
      </c>
      <c r="BB632" s="239" t="str">
        <f>'Q100a-geral'!BB2046</f>
        <v>Poluição do arx</v>
      </c>
      <c r="BC632" s="239" t="str">
        <f>'Q100a-geral'!BC2046</f>
        <v>Poluição do arxx</v>
      </c>
      <c r="BD632" s="239" t="str">
        <f>'Q100a-geral'!BD2046</f>
        <v>Poluição do arx</v>
      </c>
    </row>
    <row r="633" spans="1:56" s="1" customFormat="1" ht="88.5" customHeight="1" x14ac:dyDescent="0.25">
      <c r="A633" s="275" t="str">
        <f>'Q100a-geral'!A2044</f>
        <v>5.2</v>
      </c>
      <c r="B633" s="54" t="str">
        <f>'Q100a-geral'!B2044</f>
        <v>Poluição do ar</v>
      </c>
      <c r="C633" s="229" t="str">
        <f>'Q100a-geral'!C2044</f>
        <v>x</v>
      </c>
      <c r="D633" s="322" t="str">
        <f>'Q100a-geral'!D2044</f>
        <v>PM10
representatividade
(RMBH/BH em Praça Rui Barbosa)</v>
      </c>
      <c r="E633" s="11" t="str">
        <f>'Q100a-geral'!E2044</f>
        <v>Belo Horizonte</v>
      </c>
      <c r="F633" s="446" t="str">
        <f>'Q100a-geral'!F2044</f>
        <v>avaliação se há representatividade (sim ou não) do resultado de "PM10 representativo" na estação RMBH/BH/Praça Rui Barbosa
obs.1: considera-se que há representatividade do monitoramento automático da qualidade do ar quando o número de registros válidos alcança pelo menos 75%; quando os 75% não são alcançados, o resultado é considerado válido para o ano, mas deve levar a ressalva de que não há representatividade
obs.2: resultados sim/não de 2001-2011 a partir de FEAM/MG(2003a, 2003b; 2005; 2006; 2007; 2008; 2009; 2010; 2011; 2013); de 2012 conforme FEAM/MG(2015, p.29)</v>
      </c>
      <c r="G633" s="14" t="str">
        <f>'Q100a-geral'!G2044</f>
        <v>registro na fonte</v>
      </c>
      <c r="H633" s="173" t="str">
        <f>'Q100a-geral'!H2044</f>
        <v>x</v>
      </c>
      <c r="I633" s="57">
        <f>'Q100a-geral'!I2044</f>
        <v>1</v>
      </c>
      <c r="J633" s="107" t="str">
        <f>'Q100a-geral'!J2044</f>
        <v>x</v>
      </c>
      <c r="K633" s="107" t="str">
        <f>'Q100a-geral'!K2044</f>
        <v>x</v>
      </c>
      <c r="L633" s="107" t="str">
        <f>'Q100a-geral'!L2044</f>
        <v>x</v>
      </c>
      <c r="M633" s="107" t="str">
        <f>'Q100a-geral'!M2044</f>
        <v>x</v>
      </c>
      <c r="N633" s="107" t="str">
        <f>'Q100a-geral'!N2044</f>
        <v>x</v>
      </c>
      <c r="O633" s="107" t="str">
        <f>'Q100a-geral'!O2044</f>
        <v>x</v>
      </c>
      <c r="P633" s="107" t="str">
        <f>'Q100a-geral'!P2044</f>
        <v>x</v>
      </c>
      <c r="Q633" s="107" t="str">
        <f>'Q100a-geral'!Q2044</f>
        <v>x</v>
      </c>
      <c r="R633" s="107" t="str">
        <f>'Q100a-geral'!R2044</f>
        <v>x</v>
      </c>
      <c r="S633" s="107" t="str">
        <f>'Q100a-geral'!S2044</f>
        <v>só para pesquisa</v>
      </c>
      <c r="T633" s="107" t="str">
        <f>'Q100a-geral'!T2044</f>
        <v>x</v>
      </c>
      <c r="U633" s="107" t="str">
        <f>'Q100a-geral'!U2044</f>
        <v>x</v>
      </c>
      <c r="V633" s="107" t="str">
        <f>'Q100a-geral'!V2044</f>
        <v>só para pesquisa</v>
      </c>
      <c r="W633" s="95" t="str">
        <f>'Q100a-geral'!W2044</f>
        <v>sim</v>
      </c>
      <c r="X633" s="95" t="str">
        <f>'Q100a-geral'!X2044</f>
        <v>não</v>
      </c>
      <c r="Y633" s="95" t="str">
        <f>'Q100a-geral'!Y2044</f>
        <v>sim</v>
      </c>
      <c r="Z633" s="95" t="str">
        <f>'Q100a-geral'!Z2044</f>
        <v>não</v>
      </c>
      <c r="AA633" s="95" t="str">
        <f>'Q100a-geral'!AA2044</f>
        <v>sim</v>
      </c>
      <c r="AB633" s="95" t="str">
        <f>'Q100a-geral'!AB2044</f>
        <v>sim</v>
      </c>
      <c r="AC633" s="95" t="str">
        <f>'Q100a-geral'!AC2044</f>
        <v>sim</v>
      </c>
      <c r="AD633" s="95" t="str">
        <f>'Q100a-geral'!AD2044</f>
        <v>sim</v>
      </c>
      <c r="AE633" s="95" t="str">
        <f>'Q100a-geral'!AE2044</f>
        <v>não</v>
      </c>
      <c r="AF633" s="95" t="str">
        <f>'Q100a-geral'!AF2044</f>
        <v>não</v>
      </c>
      <c r="AG633" s="95" t="str">
        <f>'Q100a-geral'!AG2044</f>
        <v>não</v>
      </c>
      <c r="AH633" s="84" t="str">
        <f>'Q100a-geral'!AH2044</f>
        <v>sim</v>
      </c>
      <c r="AI633" s="84" t="str">
        <f>'Q100a-geral'!AI2044</f>
        <v>aguardando atualização da fonte</v>
      </c>
      <c r="AJ633" s="84" t="str">
        <f>'Q100a-geral'!AJ2044</f>
        <v>aguardando atualização da fonte</v>
      </c>
      <c r="AK633" s="137" t="str">
        <f>'Q100a-geral'!AK2044</f>
        <v>aguardando atualização da fonte</v>
      </c>
      <c r="AL633" s="213" t="str">
        <f>'Q100a-geral'!AL2044</f>
        <v>x</v>
      </c>
      <c r="AM633" s="137" t="str">
        <f>'Q100a-geral'!AM2044</f>
        <v>x</v>
      </c>
      <c r="AN633" s="137" t="str">
        <f>'Q100a-geral'!AN2044</f>
        <v>x</v>
      </c>
      <c r="AO633" s="137" t="str">
        <f>'Q100a-geral'!AO2044</f>
        <v>x</v>
      </c>
      <c r="AP633" s="137" t="str">
        <f>'Q100a-geral'!AP2044</f>
        <v>x</v>
      </c>
      <c r="AQ633" s="137" t="str">
        <f>'Q100a-geral'!AQ2044</f>
        <v>x</v>
      </c>
      <c r="AR633" s="137"/>
      <c r="AS633" s="137"/>
      <c r="AT633" s="137"/>
      <c r="AU633" s="137"/>
      <c r="AV633" s="137" t="str">
        <f>'Q100a-geral'!AV2044</f>
        <v>x</v>
      </c>
      <c r="AW633" s="137"/>
      <c r="AX633" s="137"/>
      <c r="AY633" s="137"/>
      <c r="AZ633" s="137"/>
      <c r="BA633" s="137" t="str">
        <f>'Q100a-geral'!BA2044</f>
        <v>x</v>
      </c>
      <c r="BB633" s="239" t="str">
        <f>'Q100a-geral'!BB2044</f>
        <v>Poluição do arx</v>
      </c>
      <c r="BC633" s="239" t="str">
        <f>'Q100a-geral'!BC2044</f>
        <v>Poluição do arxx</v>
      </c>
      <c r="BD633" s="239" t="str">
        <f>'Q100a-geral'!BD2044</f>
        <v>Poluição do arx</v>
      </c>
    </row>
    <row r="634" spans="1:56" s="1" customFormat="1" ht="41.25" customHeight="1" x14ac:dyDescent="0.25">
      <c r="A634" s="275" t="str">
        <f>'Q100a-geral'!A2005</f>
        <v>5.2</v>
      </c>
      <c r="B634" s="54" t="str">
        <f>'Q100a-geral'!B2005</f>
        <v>Poluição do ar</v>
      </c>
      <c r="C634" s="229" t="str">
        <f>'Q100a-geral'!C2005</f>
        <v>x</v>
      </c>
      <c r="D634" s="429" t="str">
        <f>'Q100a-geral'!D2005</f>
        <v>PM 10 média</v>
      </c>
      <c r="E634" s="958" t="str">
        <f>'Q100a-geral'!E2005</f>
        <v>Betim</v>
      </c>
      <c r="F634" s="446" t="str">
        <f>'Q100a-geral'!F2005</f>
        <v>resultado de PM10 média selecionado e apresentado em relatório da Organização das Nações Unidas (ONU) que apresenta comparação de cidades de todo o mundo em WHO(2014a)
obs.: consulte PM10 média (RMBH/Betim em Bairro Jardim das Alterosas. Bairro Petrovale e Centro Administrativo)</v>
      </c>
      <c r="G634" s="252" t="str">
        <f>'Q100a-geral'!G2005</f>
        <v>registro na fonte</v>
      </c>
      <c r="H634" s="173" t="str">
        <f>'Q100a-geral'!H2005</f>
        <v>RMBH</v>
      </c>
      <c r="I634" s="167">
        <f>'Q100a-geral'!I2005</f>
        <v>1</v>
      </c>
      <c r="J634" s="93" t="str">
        <f>'Q100a-geral'!J2005</f>
        <v>x</v>
      </c>
      <c r="K634" s="93" t="str">
        <f>'Q100a-geral'!K2005</f>
        <v>x</v>
      </c>
      <c r="L634" s="93" t="str">
        <f>'Q100a-geral'!L2005</f>
        <v>x</v>
      </c>
      <c r="M634" s="93" t="str">
        <f>'Q100a-geral'!M2005</f>
        <v>x</v>
      </c>
      <c r="N634" s="93" t="str">
        <f>'Q100a-geral'!N2005</f>
        <v>x</v>
      </c>
      <c r="O634" s="93" t="str">
        <f>'Q100a-geral'!O2005</f>
        <v>x</v>
      </c>
      <c r="P634" s="93" t="str">
        <f>'Q100a-geral'!P2005</f>
        <v>x</v>
      </c>
      <c r="Q634" s="93" t="str">
        <f>'Q100a-geral'!Q2005</f>
        <v>x</v>
      </c>
      <c r="R634" s="93" t="str">
        <f>'Q100a-geral'!R2005</f>
        <v>x</v>
      </c>
      <c r="S634" s="1138" t="str">
        <f>'Q100a-geral'!S2005</f>
        <v>só para pesquisa</v>
      </c>
      <c r="T634" s="93" t="str">
        <f>'Q100a-geral'!T2005</f>
        <v>x</v>
      </c>
      <c r="U634" s="93" t="str">
        <f>'Q100a-geral'!U2005</f>
        <v>x</v>
      </c>
      <c r="V634" s="107" t="str">
        <f>'Q100a-geral'!V1881</f>
        <v>só para pesquisa</v>
      </c>
      <c r="W634" s="93" t="str">
        <f>'Q100a-geral'!W2005</f>
        <v>x</v>
      </c>
      <c r="X634" s="93" t="str">
        <f>'Q100a-geral'!X2005</f>
        <v>x</v>
      </c>
      <c r="Y634" s="93" t="str">
        <f>'Q100a-geral'!Y2005</f>
        <v>x</v>
      </c>
      <c r="Z634" s="93" t="str">
        <f>'Q100a-geral'!Z2005</f>
        <v>x</v>
      </c>
      <c r="AA634" s="93" t="str">
        <f>'Q100a-geral'!AA2005</f>
        <v>x</v>
      </c>
      <c r="AB634" s="93" t="str">
        <f>'Q100a-geral'!AB2005</f>
        <v>x</v>
      </c>
      <c r="AC634" s="93" t="str">
        <f>'Q100a-geral'!AC2005</f>
        <v>x</v>
      </c>
      <c r="AD634" s="93" t="str">
        <f>'Q100a-geral'!AD2005</f>
        <v>x</v>
      </c>
      <c r="AE634" s="93" t="str">
        <f>'Q100a-geral'!AE2005</f>
        <v>x</v>
      </c>
      <c r="AF634" s="93" t="str">
        <f>'Q100a-geral'!AF2005</f>
        <v>x</v>
      </c>
      <c r="AG634" s="85">
        <f>'Q100a-geral'!AG2005</f>
        <v>42.633333333333333</v>
      </c>
      <c r="AH634" s="93" t="str">
        <f>'Q100a-geral'!AH2005</f>
        <v>x</v>
      </c>
      <c r="AI634" s="93" t="str">
        <f>'Q100a-geral'!AI2005</f>
        <v>x</v>
      </c>
      <c r="AJ634" s="137" t="str">
        <f>'Q100a-geral'!AJ2047</f>
        <v>aguardando atualização da fonte</v>
      </c>
      <c r="AK634" s="137" t="str">
        <f>'Q100a-geral'!AK2005</f>
        <v>x</v>
      </c>
      <c r="AL634" s="213" t="str">
        <f>'Q100a-geral'!AL2005</f>
        <v>x</v>
      </c>
      <c r="AM634" s="137" t="str">
        <f>'Q100a-geral'!AM2005</f>
        <v>x</v>
      </c>
      <c r="AN634" s="137" t="str">
        <f>'Q100a-geral'!AN2005</f>
        <v>x</v>
      </c>
      <c r="AO634" s="137" t="str">
        <f>'Q100a-geral'!AO2005</f>
        <v>x</v>
      </c>
      <c r="AP634" s="137" t="str">
        <f>'Q100a-geral'!AP2005</f>
        <v>x</v>
      </c>
      <c r="AQ634" s="137" t="str">
        <f>'Q100a-geral'!AQ2005</f>
        <v>x</v>
      </c>
      <c r="AR634" s="137"/>
      <c r="AS634" s="137"/>
      <c r="AT634" s="137"/>
      <c r="AU634" s="137"/>
      <c r="AV634" s="137" t="str">
        <f>'Q100a-geral'!AV2005</f>
        <v>x</v>
      </c>
      <c r="AW634" s="137"/>
      <c r="AX634" s="137"/>
      <c r="AY634" s="137"/>
      <c r="AZ634" s="137"/>
      <c r="BA634" s="137" t="str">
        <f>'Q100a-geral'!BA2005</f>
        <v>x</v>
      </c>
      <c r="BB634" s="239" t="str">
        <f>'Q100a-geral'!BB2005</f>
        <v>Poluição do arx</v>
      </c>
      <c r="BC634" s="239" t="str">
        <f>'Q100a-geral'!BC2005</f>
        <v>Poluição do arxRMBH</v>
      </c>
      <c r="BD634" s="239" t="str">
        <f>'Q100a-geral'!BD2005</f>
        <v>Poluição do arRMBH</v>
      </c>
    </row>
    <row r="635" spans="1:56" s="1" customFormat="1" ht="43.5" customHeight="1" x14ac:dyDescent="0.25">
      <c r="A635" s="275" t="str">
        <f>'Q100a-geral'!A2007</f>
        <v>5.2</v>
      </c>
      <c r="B635" s="54" t="str">
        <f>'Q100a-geral'!B2007</f>
        <v>Poluição do ar</v>
      </c>
      <c r="C635" s="229" t="str">
        <f>'Q100a-geral'!C2007</f>
        <v>x</v>
      </c>
      <c r="D635" s="428" t="str">
        <f>'Q100a-geral'!D2007</f>
        <v>PM 10 média
(Campinas-Centro)</v>
      </c>
      <c r="E635" s="957" t="str">
        <f>'Q100a-geral'!E2007</f>
        <v>Campinas</v>
      </c>
      <c r="F635" s="446" t="str">
        <f>'Q100a-geral'!F2007</f>
        <v>resultado de PM10 média selecionado e apresentado em relatório da Organização das Nações Unidas (ONU) que apresenta comparação de cidades de todo o mundo em WHO(2014a)</v>
      </c>
      <c r="G635" s="252" t="str">
        <f>'Q100a-geral'!G2007</f>
        <v>registro na fonte</v>
      </c>
      <c r="H635" s="173" t="str">
        <f>'Q100a-geral'!H2007</f>
        <v>benchmarking</v>
      </c>
      <c r="I635" s="167" t="str">
        <f>'Q100a-geral'!I2007</f>
        <v>x</v>
      </c>
      <c r="J635" s="93" t="str">
        <f>'Q100a-geral'!J2007</f>
        <v>x</v>
      </c>
      <c r="K635" s="93" t="str">
        <f>'Q100a-geral'!K2007</f>
        <v>x</v>
      </c>
      <c r="L635" s="93" t="str">
        <f>'Q100a-geral'!L2007</f>
        <v>x</v>
      </c>
      <c r="M635" s="93" t="str">
        <f>'Q100a-geral'!M2007</f>
        <v>x</v>
      </c>
      <c r="N635" s="93" t="str">
        <f>'Q100a-geral'!N2007</f>
        <v>x</v>
      </c>
      <c r="O635" s="93" t="str">
        <f>'Q100a-geral'!O2007</f>
        <v>x</v>
      </c>
      <c r="P635" s="93" t="str">
        <f>'Q100a-geral'!P2007</f>
        <v>x</v>
      </c>
      <c r="Q635" s="93" t="str">
        <f>'Q100a-geral'!Q2007</f>
        <v>x</v>
      </c>
      <c r="R635" s="93" t="str">
        <f>'Q100a-geral'!R2007</f>
        <v>x</v>
      </c>
      <c r="S635" s="1138" t="str">
        <f>'Q100a-geral'!S2007</f>
        <v>só para pesquisa</v>
      </c>
      <c r="T635" s="93" t="str">
        <f>'Q100a-geral'!T2007</f>
        <v>x</v>
      </c>
      <c r="U635" s="93" t="str">
        <f>'Q100a-geral'!U2007</f>
        <v>x</v>
      </c>
      <c r="V635" s="107" t="str">
        <f>'Q100a-geral'!V1883</f>
        <v>só para pesquisa</v>
      </c>
      <c r="W635" s="93" t="str">
        <f>'Q100a-geral'!W2007</f>
        <v>x</v>
      </c>
      <c r="X635" s="93" t="str">
        <f>'Q100a-geral'!X2007</f>
        <v>x</v>
      </c>
      <c r="Y635" s="93" t="str">
        <f>'Q100a-geral'!Y2007</f>
        <v>x</v>
      </c>
      <c r="Z635" s="93" t="str">
        <f>'Q100a-geral'!Z2007</f>
        <v>x</v>
      </c>
      <c r="AA635" s="93" t="str">
        <f>'Q100a-geral'!AA2007</f>
        <v>x</v>
      </c>
      <c r="AB635" s="93" t="str">
        <f>'Q100a-geral'!AB2007</f>
        <v>x</v>
      </c>
      <c r="AC635" s="93" t="str">
        <f>'Q100a-geral'!AC2007</f>
        <v>x</v>
      </c>
      <c r="AD635" s="93" t="str">
        <f>'Q100a-geral'!AD2007</f>
        <v>x</v>
      </c>
      <c r="AE635" s="93" t="str">
        <f>'Q100a-geral'!AE2007</f>
        <v>x</v>
      </c>
      <c r="AF635" s="93" t="str">
        <f>'Q100a-geral'!AF2007</f>
        <v>x</v>
      </c>
      <c r="AG635" s="85">
        <f>'Q100a-geral'!AG2007</f>
        <v>31</v>
      </c>
      <c r="AH635" s="93" t="str">
        <f>'Q100a-geral'!AH2007</f>
        <v>x</v>
      </c>
      <c r="AI635" s="93" t="str">
        <f>'Q100a-geral'!AI2007</f>
        <v>x</v>
      </c>
      <c r="AJ635" s="137" t="str">
        <f>'Q100a-geral'!AJ2048</f>
        <v>aguardando atualização da fonte</v>
      </c>
      <c r="AK635" s="137" t="str">
        <f>'Q100a-geral'!AK2007</f>
        <v>x</v>
      </c>
      <c r="AL635" s="213" t="str">
        <f>'Q100a-geral'!AL2007</f>
        <v>x</v>
      </c>
      <c r="AM635" s="137" t="str">
        <f>'Q100a-geral'!AM2007</f>
        <v>x</v>
      </c>
      <c r="AN635" s="137" t="str">
        <f>'Q100a-geral'!AN2007</f>
        <v>x</v>
      </c>
      <c r="AO635" s="137" t="str">
        <f>'Q100a-geral'!AO2007</f>
        <v>x</v>
      </c>
      <c r="AP635" s="137" t="str">
        <f>'Q100a-geral'!AP2007</f>
        <v>x</v>
      </c>
      <c r="AQ635" s="137" t="str">
        <f>'Q100a-geral'!AQ2007</f>
        <v>x</v>
      </c>
      <c r="AR635" s="137"/>
      <c r="AS635" s="137"/>
      <c r="AT635" s="137"/>
      <c r="AU635" s="137"/>
      <c r="AV635" s="137" t="str">
        <f>'Q100a-geral'!AV2007</f>
        <v>x</v>
      </c>
      <c r="AW635" s="137"/>
      <c r="AX635" s="137"/>
      <c r="AY635" s="137"/>
      <c r="AZ635" s="137"/>
      <c r="BA635" s="137" t="str">
        <f>'Q100a-geral'!BA2007</f>
        <v>x</v>
      </c>
      <c r="BB635" s="239" t="str">
        <f>'Q100a-geral'!BB2007</f>
        <v>Poluição do arx</v>
      </c>
      <c r="BC635" s="239" t="str">
        <f>'Q100a-geral'!BC2007</f>
        <v>Poluição do arxbenchmarking</v>
      </c>
      <c r="BD635" s="239" t="str">
        <f>'Q100a-geral'!BD2007</f>
        <v>Poluição do arbenchmarking</v>
      </c>
    </row>
    <row r="636" spans="1:56" s="1" customFormat="1" ht="25.5" customHeight="1" x14ac:dyDescent="0.25">
      <c r="A636" s="275" t="str">
        <f>'Q100a-geral'!A2008</f>
        <v>5.2</v>
      </c>
      <c r="B636" s="54" t="str">
        <f>'Q100a-geral'!B2008</f>
        <v>Poluição do ar</v>
      </c>
      <c r="C636" s="229" t="str">
        <f>'Q100a-geral'!C2008</f>
        <v>x</v>
      </c>
      <c r="D636" s="429" t="str">
        <f>'Q100a-geral'!D2008</f>
        <v>PM 10 média</v>
      </c>
      <c r="E636" s="958" t="str">
        <f>'Q100a-geral'!E2008</f>
        <v>Carapicuíba</v>
      </c>
      <c r="F636" s="446" t="str">
        <f>'Q100a-geral'!F2008</f>
        <v>resultado de PM10 média selecionado e apresentado em relatório da Organização das Nações Unidas (ONU) que apresenta comparação de cidades de todo o mundo em WHO(2014a)</v>
      </c>
      <c r="G636" s="252" t="str">
        <f>'Q100a-geral'!G2008</f>
        <v>registro na fonte</v>
      </c>
      <c r="H636" s="173" t="str">
        <f>'Q100a-geral'!H2008</f>
        <v>benchmarking</v>
      </c>
      <c r="I636" s="167" t="str">
        <f>'Q100a-geral'!I2008</f>
        <v>x</v>
      </c>
      <c r="J636" s="93" t="str">
        <f>'Q100a-geral'!J2008</f>
        <v>x</v>
      </c>
      <c r="K636" s="93" t="str">
        <f>'Q100a-geral'!K2008</f>
        <v>x</v>
      </c>
      <c r="L636" s="93" t="str">
        <f>'Q100a-geral'!L2008</f>
        <v>x</v>
      </c>
      <c r="M636" s="93" t="str">
        <f>'Q100a-geral'!M2008</f>
        <v>x</v>
      </c>
      <c r="N636" s="93" t="str">
        <f>'Q100a-geral'!N2008</f>
        <v>x</v>
      </c>
      <c r="O636" s="93" t="str">
        <f>'Q100a-geral'!O2008</f>
        <v>x</v>
      </c>
      <c r="P636" s="93" t="str">
        <f>'Q100a-geral'!P2008</f>
        <v>x</v>
      </c>
      <c r="Q636" s="93" t="str">
        <f>'Q100a-geral'!Q2008</f>
        <v>x</v>
      </c>
      <c r="R636" s="93" t="str">
        <f>'Q100a-geral'!R2008</f>
        <v>x</v>
      </c>
      <c r="S636" s="1138" t="str">
        <f>'Q100a-geral'!S2008</f>
        <v>só para pesquisa</v>
      </c>
      <c r="T636" s="93" t="str">
        <f>'Q100a-geral'!T2008</f>
        <v>x</v>
      </c>
      <c r="U636" s="93" t="str">
        <f>'Q100a-geral'!U2008</f>
        <v>x</v>
      </c>
      <c r="V636" s="107" t="str">
        <f>'Q100a-geral'!V1884</f>
        <v>só para pesquisa</v>
      </c>
      <c r="W636" s="93" t="str">
        <f>'Q100a-geral'!W2008</f>
        <v>x</v>
      </c>
      <c r="X636" s="93" t="str">
        <f>'Q100a-geral'!X2008</f>
        <v>x</v>
      </c>
      <c r="Y636" s="93" t="str">
        <f>'Q100a-geral'!Y2008</f>
        <v>x</v>
      </c>
      <c r="Z636" s="93" t="str">
        <f>'Q100a-geral'!Z2008</f>
        <v>x</v>
      </c>
      <c r="AA636" s="93" t="str">
        <f>'Q100a-geral'!AA2008</f>
        <v>x</v>
      </c>
      <c r="AB636" s="93" t="str">
        <f>'Q100a-geral'!AB2008</f>
        <v>x</v>
      </c>
      <c r="AC636" s="93" t="str">
        <f>'Q100a-geral'!AC2008</f>
        <v>x</v>
      </c>
      <c r="AD636" s="93" t="str">
        <f>'Q100a-geral'!AD2008</f>
        <v>x</v>
      </c>
      <c r="AE636" s="93" t="str">
        <f>'Q100a-geral'!AE2008</f>
        <v>x</v>
      </c>
      <c r="AF636" s="93" t="str">
        <f>'Q100a-geral'!AF2008</f>
        <v>x</v>
      </c>
      <c r="AG636" s="85">
        <f>'Q100a-geral'!AG2008</f>
        <v>34</v>
      </c>
      <c r="AH636" s="93" t="str">
        <f>'Q100a-geral'!AH2008</f>
        <v>x</v>
      </c>
      <c r="AI636" s="93" t="str">
        <f>'Q100a-geral'!AI2008</f>
        <v>x</v>
      </c>
      <c r="AJ636" s="137" t="str">
        <f>'Q100a-geral'!AJ2049</f>
        <v>aguardando atualização da fonte</v>
      </c>
      <c r="AK636" s="137" t="str">
        <f>'Q100a-geral'!AK2008</f>
        <v>x</v>
      </c>
      <c r="AL636" s="213" t="str">
        <f>'Q100a-geral'!AL2008</f>
        <v>x</v>
      </c>
      <c r="AM636" s="137" t="str">
        <f>'Q100a-geral'!AM2008</f>
        <v>x</v>
      </c>
      <c r="AN636" s="137" t="str">
        <f>'Q100a-geral'!AN2008</f>
        <v>x</v>
      </c>
      <c r="AO636" s="137" t="str">
        <f>'Q100a-geral'!AO2008</f>
        <v>x</v>
      </c>
      <c r="AP636" s="137" t="str">
        <f>'Q100a-geral'!AP2008</f>
        <v>x</v>
      </c>
      <c r="AQ636" s="137" t="str">
        <f>'Q100a-geral'!AQ2008</f>
        <v>x</v>
      </c>
      <c r="AR636" s="137"/>
      <c r="AS636" s="137"/>
      <c r="AT636" s="137"/>
      <c r="AU636" s="137"/>
      <c r="AV636" s="137" t="str">
        <f>'Q100a-geral'!AV2008</f>
        <v>x</v>
      </c>
      <c r="AW636" s="137"/>
      <c r="AX636" s="137"/>
      <c r="AY636" s="137"/>
      <c r="AZ636" s="137"/>
      <c r="BA636" s="137" t="str">
        <f>'Q100a-geral'!BA2008</f>
        <v>x</v>
      </c>
      <c r="BB636" s="239" t="str">
        <f>'Q100a-geral'!BB2008</f>
        <v>Poluição do arx</v>
      </c>
      <c r="BC636" s="239" t="str">
        <f>'Q100a-geral'!BC2008</f>
        <v>Poluição do arxbenchmarking</v>
      </c>
      <c r="BD636" s="239" t="str">
        <f>'Q100a-geral'!BD2008</f>
        <v>Poluição do arbenchmarking</v>
      </c>
    </row>
    <row r="637" spans="1:56" s="1" customFormat="1" ht="25.5" customHeight="1" x14ac:dyDescent="0.25">
      <c r="A637" s="275" t="str">
        <f>'Q100a-geral'!A2009</f>
        <v>5.2</v>
      </c>
      <c r="B637" s="54" t="str">
        <f>'Q100a-geral'!B2009</f>
        <v>Poluição do ar</v>
      </c>
      <c r="C637" s="229" t="str">
        <f>'Q100a-geral'!C2009</f>
        <v>x</v>
      </c>
      <c r="D637" s="429" t="str">
        <f>'Q100a-geral'!D2009</f>
        <v>PM 10 média</v>
      </c>
      <c r="E637" s="958" t="str">
        <f>'Q100a-geral'!E2009</f>
        <v>Catanduva</v>
      </c>
      <c r="F637" s="446" t="str">
        <f>'Q100a-geral'!F2009</f>
        <v>resultado de PM10 média selecionado e apresentado em relatório da Organização das Nações Unidas (ONU) que apresenta comparação de cidades de todo o mundo em WHO(2014a)</v>
      </c>
      <c r="G637" s="252" t="str">
        <f>'Q100a-geral'!G2009</f>
        <v>registro na fonte</v>
      </c>
      <c r="H637" s="173" t="str">
        <f>'Q100a-geral'!H2009</f>
        <v>benchmarking</v>
      </c>
      <c r="I637" s="167" t="str">
        <f>'Q100a-geral'!I2009</f>
        <v>x</v>
      </c>
      <c r="J637" s="93" t="str">
        <f>'Q100a-geral'!J2009</f>
        <v>x</v>
      </c>
      <c r="K637" s="93" t="str">
        <f>'Q100a-geral'!K2009</f>
        <v>x</v>
      </c>
      <c r="L637" s="93" t="str">
        <f>'Q100a-geral'!L2009</f>
        <v>x</v>
      </c>
      <c r="M637" s="93" t="str">
        <f>'Q100a-geral'!M2009</f>
        <v>x</v>
      </c>
      <c r="N637" s="93" t="str">
        <f>'Q100a-geral'!N2009</f>
        <v>x</v>
      </c>
      <c r="O637" s="93" t="str">
        <f>'Q100a-geral'!O2009</f>
        <v>x</v>
      </c>
      <c r="P637" s="93" t="str">
        <f>'Q100a-geral'!P2009</f>
        <v>x</v>
      </c>
      <c r="Q637" s="93" t="str">
        <f>'Q100a-geral'!Q2009</f>
        <v>x</v>
      </c>
      <c r="R637" s="93" t="str">
        <f>'Q100a-geral'!R2009</f>
        <v>x</v>
      </c>
      <c r="S637" s="1138" t="str">
        <f>'Q100a-geral'!S2009</f>
        <v>só para pesquisa</v>
      </c>
      <c r="T637" s="93" t="str">
        <f>'Q100a-geral'!T2009</f>
        <v>x</v>
      </c>
      <c r="U637" s="93" t="str">
        <f>'Q100a-geral'!U2009</f>
        <v>x</v>
      </c>
      <c r="V637" s="107" t="str">
        <f>'Q100a-geral'!V1885</f>
        <v>só para pesquisa</v>
      </c>
      <c r="W637" s="93" t="str">
        <f>'Q100a-geral'!W2009</f>
        <v>x</v>
      </c>
      <c r="X637" s="93" t="str">
        <f>'Q100a-geral'!X2009</f>
        <v>x</v>
      </c>
      <c r="Y637" s="93" t="str">
        <f>'Q100a-geral'!Y2009</f>
        <v>x</v>
      </c>
      <c r="Z637" s="93" t="str">
        <f>'Q100a-geral'!Z2009</f>
        <v>x</v>
      </c>
      <c r="AA637" s="93" t="str">
        <f>'Q100a-geral'!AA2009</f>
        <v>x</v>
      </c>
      <c r="AB637" s="93" t="str">
        <f>'Q100a-geral'!AB2009</f>
        <v>x</v>
      </c>
      <c r="AC637" s="93" t="str">
        <f>'Q100a-geral'!AC2009</f>
        <v>x</v>
      </c>
      <c r="AD637" s="93" t="str">
        <f>'Q100a-geral'!AD2009</f>
        <v>x</v>
      </c>
      <c r="AE637" s="93" t="str">
        <f>'Q100a-geral'!AE2009</f>
        <v>x</v>
      </c>
      <c r="AF637" s="93" t="str">
        <f>'Q100a-geral'!AF2009</f>
        <v>x</v>
      </c>
      <c r="AG637" s="85">
        <f>'Q100a-geral'!AG2009</f>
        <v>38</v>
      </c>
      <c r="AH637" s="93" t="str">
        <f>'Q100a-geral'!AH2009</f>
        <v>x</v>
      </c>
      <c r="AI637" s="93" t="str">
        <f>'Q100a-geral'!AI2009</f>
        <v>x</v>
      </c>
      <c r="AJ637" s="137" t="str">
        <f>'Q100a-geral'!AJ2050</f>
        <v>aguardando atualização da fonte</v>
      </c>
      <c r="AK637" s="137" t="str">
        <f>'Q100a-geral'!AK2009</f>
        <v>x</v>
      </c>
      <c r="AL637" s="213" t="str">
        <f>'Q100a-geral'!AL2009</f>
        <v>x</v>
      </c>
      <c r="AM637" s="137" t="str">
        <f>'Q100a-geral'!AM2009</f>
        <v>x</v>
      </c>
      <c r="AN637" s="137" t="str">
        <f>'Q100a-geral'!AN2009</f>
        <v>x</v>
      </c>
      <c r="AO637" s="137" t="str">
        <f>'Q100a-geral'!AO2009</f>
        <v>x</v>
      </c>
      <c r="AP637" s="137" t="str">
        <f>'Q100a-geral'!AP2009</f>
        <v>x</v>
      </c>
      <c r="AQ637" s="137" t="str">
        <f>'Q100a-geral'!AQ2009</f>
        <v>x</v>
      </c>
      <c r="AR637" s="137"/>
      <c r="AS637" s="137"/>
      <c r="AT637" s="137"/>
      <c r="AU637" s="137"/>
      <c r="AV637" s="137" t="str">
        <f>'Q100a-geral'!AV2009</f>
        <v>x</v>
      </c>
      <c r="AW637" s="137"/>
      <c r="AX637" s="137"/>
      <c r="AY637" s="137"/>
      <c r="AZ637" s="137"/>
      <c r="BA637" s="137" t="str">
        <f>'Q100a-geral'!BA2009</f>
        <v>x</v>
      </c>
      <c r="BB637" s="239" t="str">
        <f>'Q100a-geral'!BB2009</f>
        <v>Poluição do arx</v>
      </c>
      <c r="BC637" s="239" t="str">
        <f>'Q100a-geral'!BC2009</f>
        <v>Poluição do arxbenchmarking</v>
      </c>
      <c r="BD637" s="239" t="str">
        <f>'Q100a-geral'!BD2009</f>
        <v>Poluição do arbenchmarking</v>
      </c>
    </row>
    <row r="638" spans="1:56" s="1" customFormat="1" ht="25.5" customHeight="1" x14ac:dyDescent="0.25">
      <c r="A638" s="275" t="str">
        <f>'Q100a-geral'!A2010</f>
        <v>5.2</v>
      </c>
      <c r="B638" s="54" t="str">
        <f>'Q100a-geral'!B2010</f>
        <v>Poluição do ar</v>
      </c>
      <c r="C638" s="229" t="str">
        <f>'Q100a-geral'!C2010</f>
        <v>x</v>
      </c>
      <c r="D638" s="287" t="str">
        <f>'Q100a-geral'!D2010</f>
        <v>PM 10 média</v>
      </c>
      <c r="E638" s="950" t="str">
        <f>'Q100a-geral'!E2010</f>
        <v>Colombo</v>
      </c>
      <c r="F638" s="446" t="str">
        <f>'Q100a-geral'!F2010</f>
        <v>resultado de PM10 média selecionado e apresentado em relatório da Organização das Nações Unidas (ONU) que apresenta comparação de cidades de todo o mundo em WHO(2014a)</v>
      </c>
      <c r="G638" s="252" t="str">
        <f>'Q100a-geral'!G2010</f>
        <v>registro na fonte</v>
      </c>
      <c r="H638" s="173" t="str">
        <f>'Q100a-geral'!H2010</f>
        <v>benchmarking</v>
      </c>
      <c r="I638" s="167" t="str">
        <f>'Q100a-geral'!I2010</f>
        <v>x</v>
      </c>
      <c r="J638" s="93" t="str">
        <f>'Q100a-geral'!J2010</f>
        <v>x</v>
      </c>
      <c r="K638" s="93" t="str">
        <f>'Q100a-geral'!K2010</f>
        <v>x</v>
      </c>
      <c r="L638" s="93" t="str">
        <f>'Q100a-geral'!L2010</f>
        <v>x</v>
      </c>
      <c r="M638" s="93" t="str">
        <f>'Q100a-geral'!M2010</f>
        <v>x</v>
      </c>
      <c r="N638" s="93" t="str">
        <f>'Q100a-geral'!N2010</f>
        <v>x</v>
      </c>
      <c r="O638" s="93" t="str">
        <f>'Q100a-geral'!O2010</f>
        <v>x</v>
      </c>
      <c r="P638" s="93" t="str">
        <f>'Q100a-geral'!P2010</f>
        <v>x</v>
      </c>
      <c r="Q638" s="93" t="str">
        <f>'Q100a-geral'!Q2010</f>
        <v>x</v>
      </c>
      <c r="R638" s="93" t="str">
        <f>'Q100a-geral'!R2010</f>
        <v>x</v>
      </c>
      <c r="S638" s="1138" t="str">
        <f>'Q100a-geral'!S2010</f>
        <v>só para pesquisa</v>
      </c>
      <c r="T638" s="93" t="str">
        <f>'Q100a-geral'!T2010</f>
        <v>x</v>
      </c>
      <c r="U638" s="93" t="str">
        <f>'Q100a-geral'!U2010</f>
        <v>x</v>
      </c>
      <c r="V638" s="107" t="str">
        <f>'Q100a-geral'!V1886</f>
        <v>só para pesquisa</v>
      </c>
      <c r="W638" s="93" t="str">
        <f>'Q100a-geral'!W2010</f>
        <v>x</v>
      </c>
      <c r="X638" s="93" t="str">
        <f>'Q100a-geral'!X2010</f>
        <v>x</v>
      </c>
      <c r="Y638" s="93" t="str">
        <f>'Q100a-geral'!Y2010</f>
        <v>x</v>
      </c>
      <c r="Z638" s="93" t="str">
        <f>'Q100a-geral'!Z2010</f>
        <v>x</v>
      </c>
      <c r="AA638" s="93" t="str">
        <f>'Q100a-geral'!AA2010</f>
        <v>x</v>
      </c>
      <c r="AB638" s="93" t="str">
        <f>'Q100a-geral'!AB2010</f>
        <v>x</v>
      </c>
      <c r="AC638" s="93" t="str">
        <f>'Q100a-geral'!AC2010</f>
        <v>x</v>
      </c>
      <c r="AD638" s="93" t="str">
        <f>'Q100a-geral'!AD2010</f>
        <v>x</v>
      </c>
      <c r="AE638" s="93" t="str">
        <f>'Q100a-geral'!AE2010</f>
        <v>x</v>
      </c>
      <c r="AF638" s="93" t="str">
        <f>'Q100a-geral'!AF2010</f>
        <v>x</v>
      </c>
      <c r="AG638" s="85">
        <f>'Q100a-geral'!AG2010</f>
        <v>45.7</v>
      </c>
      <c r="AH638" s="93" t="str">
        <f>'Q100a-geral'!AH2010</f>
        <v>x</v>
      </c>
      <c r="AI638" s="93" t="str">
        <f>'Q100a-geral'!AI2010</f>
        <v>x</v>
      </c>
      <c r="AJ638" s="137" t="str">
        <f>'Q100a-geral'!AJ2051</f>
        <v>aguardando atualização da fonte</v>
      </c>
      <c r="AK638" s="137" t="str">
        <f>'Q100a-geral'!AK2010</f>
        <v>x</v>
      </c>
      <c r="AL638" s="213" t="str">
        <f>'Q100a-geral'!AL2010</f>
        <v>x</v>
      </c>
      <c r="AM638" s="137" t="str">
        <f>'Q100a-geral'!AM2010</f>
        <v>x</v>
      </c>
      <c r="AN638" s="137" t="str">
        <f>'Q100a-geral'!AN2010</f>
        <v>x</v>
      </c>
      <c r="AO638" s="137" t="str">
        <f>'Q100a-geral'!AO2010</f>
        <v>x</v>
      </c>
      <c r="AP638" s="137" t="str">
        <f>'Q100a-geral'!AP2010</f>
        <v>x</v>
      </c>
      <c r="AQ638" s="137" t="str">
        <f>'Q100a-geral'!AQ2010</f>
        <v>x</v>
      </c>
      <c r="AR638" s="137"/>
      <c r="AS638" s="137"/>
      <c r="AT638" s="137"/>
      <c r="AU638" s="137"/>
      <c r="AV638" s="137" t="str">
        <f>'Q100a-geral'!AV2010</f>
        <v>x</v>
      </c>
      <c r="AW638" s="137"/>
      <c r="AX638" s="137"/>
      <c r="AY638" s="137"/>
      <c r="AZ638" s="137"/>
      <c r="BA638" s="137" t="str">
        <f>'Q100a-geral'!BA2010</f>
        <v>x</v>
      </c>
      <c r="BB638" s="239" t="str">
        <f>'Q100a-geral'!BB2010</f>
        <v>Poluição do arx</v>
      </c>
      <c r="BC638" s="239" t="str">
        <f>'Q100a-geral'!BC2010</f>
        <v>Poluição do arxbenchmarking</v>
      </c>
      <c r="BD638" s="239" t="str">
        <f>'Q100a-geral'!BD2010</f>
        <v>Poluição do arbenchmarking</v>
      </c>
    </row>
    <row r="639" spans="1:56" s="1" customFormat="1" ht="25.5" customHeight="1" x14ac:dyDescent="0.25">
      <c r="A639" s="275" t="str">
        <f>'Q100a-geral'!A2011</f>
        <v>5.2</v>
      </c>
      <c r="B639" s="54" t="str">
        <f>'Q100a-geral'!B2011</f>
        <v>Poluição do ar</v>
      </c>
      <c r="C639" s="229" t="str">
        <f>'Q100a-geral'!C2011</f>
        <v>x</v>
      </c>
      <c r="D639" s="287" t="str">
        <f>'Q100a-geral'!D2011</f>
        <v>PM 10 média</v>
      </c>
      <c r="E639" s="950" t="str">
        <f>'Q100a-geral'!E2011</f>
        <v>Curitiba</v>
      </c>
      <c r="F639" s="446" t="str">
        <f>'Q100a-geral'!F2011</f>
        <v>resultado de PM10 média selecionado e apresentado em relatório da Organização das Nações Unidas (ONU) que apresenta comparação de cidades de todo o mundo em WHO(2014a)</v>
      </c>
      <c r="G639" s="252" t="str">
        <f>'Q100a-geral'!G2011</f>
        <v>registro na fonte</v>
      </c>
      <c r="H639" s="173" t="str">
        <f>'Q100a-geral'!H2011</f>
        <v>benchmarking</v>
      </c>
      <c r="I639" s="167" t="str">
        <f>'Q100a-geral'!I2011</f>
        <v>x</v>
      </c>
      <c r="J639" s="93" t="str">
        <f>'Q100a-geral'!J2011</f>
        <v>x</v>
      </c>
      <c r="K639" s="93" t="str">
        <f>'Q100a-geral'!K2011</f>
        <v>x</v>
      </c>
      <c r="L639" s="93" t="str">
        <f>'Q100a-geral'!L2011</f>
        <v>x</v>
      </c>
      <c r="M639" s="93" t="str">
        <f>'Q100a-geral'!M2011</f>
        <v>x</v>
      </c>
      <c r="N639" s="93" t="str">
        <f>'Q100a-geral'!N2011</f>
        <v>x</v>
      </c>
      <c r="O639" s="93" t="str">
        <f>'Q100a-geral'!O2011</f>
        <v>x</v>
      </c>
      <c r="P639" s="93" t="str">
        <f>'Q100a-geral'!P2011</f>
        <v>x</v>
      </c>
      <c r="Q639" s="93" t="str">
        <f>'Q100a-geral'!Q2011</f>
        <v>x</v>
      </c>
      <c r="R639" s="93" t="str">
        <f>'Q100a-geral'!R2011</f>
        <v>x</v>
      </c>
      <c r="S639" s="1138" t="str">
        <f>'Q100a-geral'!S2011</f>
        <v>só para pesquisa</v>
      </c>
      <c r="T639" s="93" t="str">
        <f>'Q100a-geral'!T2011</f>
        <v>x</v>
      </c>
      <c r="U639" s="93" t="str">
        <f>'Q100a-geral'!U2011</f>
        <v>x</v>
      </c>
      <c r="V639" s="107" t="str">
        <f>'Q100a-geral'!V1851</f>
        <v>só para pesquisa</v>
      </c>
      <c r="W639" s="93" t="str">
        <f>'Q100a-geral'!W2011</f>
        <v>x</v>
      </c>
      <c r="X639" s="93" t="str">
        <f>'Q100a-geral'!X2011</f>
        <v>x</v>
      </c>
      <c r="Y639" s="93" t="str">
        <f>'Q100a-geral'!Y2011</f>
        <v>x</v>
      </c>
      <c r="Z639" s="93" t="str">
        <f>'Q100a-geral'!Z2011</f>
        <v>x</v>
      </c>
      <c r="AA639" s="93" t="str">
        <f>'Q100a-geral'!AA2011</f>
        <v>x</v>
      </c>
      <c r="AB639" s="93" t="str">
        <f>'Q100a-geral'!AB2011</f>
        <v>x</v>
      </c>
      <c r="AC639" s="93" t="str">
        <f>'Q100a-geral'!AC2011</f>
        <v>x</v>
      </c>
      <c r="AD639" s="93" t="str">
        <f>'Q100a-geral'!AD2011</f>
        <v>x</v>
      </c>
      <c r="AE639" s="93" t="str">
        <f>'Q100a-geral'!AE2011</f>
        <v>x</v>
      </c>
      <c r="AF639" s="93" t="str">
        <f>'Q100a-geral'!AF2011</f>
        <v>x</v>
      </c>
      <c r="AG639" s="85">
        <f>'Q100a-geral'!AG2011</f>
        <v>31.478571428571424</v>
      </c>
      <c r="AH639" s="93" t="str">
        <f>'Q100a-geral'!AH2011</f>
        <v>x</v>
      </c>
      <c r="AI639" s="93" t="str">
        <f>'Q100a-geral'!AI2011</f>
        <v>x</v>
      </c>
      <c r="AJ639" s="137" t="str">
        <f>'Q100a-geral'!AJ2052</f>
        <v>aguardando atualização da fonte</v>
      </c>
      <c r="AK639" s="137" t="str">
        <f>'Q100a-geral'!AK2011</f>
        <v>x</v>
      </c>
      <c r="AL639" s="213" t="str">
        <f>'Q100a-geral'!AL2011</f>
        <v>x</v>
      </c>
      <c r="AM639" s="137" t="str">
        <f>'Q100a-geral'!AM2011</f>
        <v>x</v>
      </c>
      <c r="AN639" s="137" t="str">
        <f>'Q100a-geral'!AN2011</f>
        <v>x</v>
      </c>
      <c r="AO639" s="137" t="str">
        <f>'Q100a-geral'!AO2011</f>
        <v>x</v>
      </c>
      <c r="AP639" s="137" t="str">
        <f>'Q100a-geral'!AP2011</f>
        <v>x</v>
      </c>
      <c r="AQ639" s="137" t="str">
        <f>'Q100a-geral'!AQ2011</f>
        <v>x</v>
      </c>
      <c r="AR639" s="137"/>
      <c r="AS639" s="137"/>
      <c r="AT639" s="137"/>
      <c r="AU639" s="137"/>
      <c r="AV639" s="137" t="str">
        <f>'Q100a-geral'!AV2011</f>
        <v>x</v>
      </c>
      <c r="AW639" s="137"/>
      <c r="AX639" s="137"/>
      <c r="AY639" s="137"/>
      <c r="AZ639" s="137"/>
      <c r="BA639" s="137" t="str">
        <f>'Q100a-geral'!BA2011</f>
        <v>x</v>
      </c>
      <c r="BB639" s="239" t="str">
        <f>'Q100a-geral'!BB2011</f>
        <v>Poluição do arx</v>
      </c>
      <c r="BC639" s="239" t="str">
        <f>'Q100a-geral'!BC2011</f>
        <v>Poluição do arxbenchmarking</v>
      </c>
      <c r="BD639" s="239" t="str">
        <f>'Q100a-geral'!BD2011</f>
        <v>Poluição do arbenchmarking</v>
      </c>
    </row>
    <row r="640" spans="1:56" s="1" customFormat="1" ht="25.5" customHeight="1" x14ac:dyDescent="0.25">
      <c r="A640" s="275" t="str">
        <f>'Q100a-geral'!A2012</f>
        <v>5.2</v>
      </c>
      <c r="B640" s="54" t="str">
        <f>'Q100a-geral'!B2012</f>
        <v>Poluição do ar</v>
      </c>
      <c r="C640" s="229" t="str">
        <f>'Q100a-geral'!C2012</f>
        <v>x</v>
      </c>
      <c r="D640" s="287" t="str">
        <f>'Q100a-geral'!D2012</f>
        <v>PM 10 média</v>
      </c>
      <c r="E640" s="950" t="str">
        <f>'Q100a-geral'!E2012</f>
        <v>Diadema</v>
      </c>
      <c r="F640" s="446" t="str">
        <f>'Q100a-geral'!F2012</f>
        <v>resultado de PM10 média selecionado e apresentado em relatório da Organização das Nações Unidas (ONU) que apresenta comparação de cidades de todo o mundo em WHO(2014a)</v>
      </c>
      <c r="G640" s="252" t="str">
        <f>'Q100a-geral'!G2012</f>
        <v>registro na fonte</v>
      </c>
      <c r="H640" s="173" t="str">
        <f>'Q100a-geral'!H2012</f>
        <v>benchmarking</v>
      </c>
      <c r="I640" s="167" t="str">
        <f>'Q100a-geral'!I2012</f>
        <v>x</v>
      </c>
      <c r="J640" s="93" t="str">
        <f>'Q100a-geral'!J2012</f>
        <v>x</v>
      </c>
      <c r="K640" s="93" t="str">
        <f>'Q100a-geral'!K2012</f>
        <v>x</v>
      </c>
      <c r="L640" s="93" t="str">
        <f>'Q100a-geral'!L2012</f>
        <v>x</v>
      </c>
      <c r="M640" s="93" t="str">
        <f>'Q100a-geral'!M2012</f>
        <v>x</v>
      </c>
      <c r="N640" s="93" t="str">
        <f>'Q100a-geral'!N2012</f>
        <v>x</v>
      </c>
      <c r="O640" s="93" t="str">
        <f>'Q100a-geral'!O2012</f>
        <v>x</v>
      </c>
      <c r="P640" s="93" t="str">
        <f>'Q100a-geral'!P2012</f>
        <v>x</v>
      </c>
      <c r="Q640" s="93" t="str">
        <f>'Q100a-geral'!Q2012</f>
        <v>x</v>
      </c>
      <c r="R640" s="93" t="str">
        <f>'Q100a-geral'!R2012</f>
        <v>x</v>
      </c>
      <c r="S640" s="1138" t="str">
        <f>'Q100a-geral'!S2012</f>
        <v>só para pesquisa</v>
      </c>
      <c r="T640" s="93" t="str">
        <f>'Q100a-geral'!T2012</f>
        <v>x</v>
      </c>
      <c r="U640" s="93" t="str">
        <f>'Q100a-geral'!U2012</f>
        <v>x</v>
      </c>
      <c r="V640" s="107" t="str">
        <f>'Q100a-geral'!V1887</f>
        <v>só para pesquisa</v>
      </c>
      <c r="W640" s="93" t="str">
        <f>'Q100a-geral'!W2012</f>
        <v>x</v>
      </c>
      <c r="X640" s="93" t="str">
        <f>'Q100a-geral'!X2012</f>
        <v>x</v>
      </c>
      <c r="Y640" s="93" t="str">
        <f>'Q100a-geral'!Y2012</f>
        <v>x</v>
      </c>
      <c r="Z640" s="93" t="str">
        <f>'Q100a-geral'!Z2012</f>
        <v>x</v>
      </c>
      <c r="AA640" s="93" t="str">
        <f>'Q100a-geral'!AA2012</f>
        <v>x</v>
      </c>
      <c r="AB640" s="93" t="str">
        <f>'Q100a-geral'!AB2012</f>
        <v>x</v>
      </c>
      <c r="AC640" s="93" t="str">
        <f>'Q100a-geral'!AC2012</f>
        <v>x</v>
      </c>
      <c r="AD640" s="93" t="str">
        <f>'Q100a-geral'!AD2012</f>
        <v>x</v>
      </c>
      <c r="AE640" s="93" t="str">
        <f>'Q100a-geral'!AE2012</f>
        <v>x</v>
      </c>
      <c r="AF640" s="93" t="str">
        <f>'Q100a-geral'!AF2012</f>
        <v>x</v>
      </c>
      <c r="AG640" s="85">
        <f>'Q100a-geral'!AG2012</f>
        <v>35</v>
      </c>
      <c r="AH640" s="93" t="str">
        <f>'Q100a-geral'!AH2012</f>
        <v>x</v>
      </c>
      <c r="AI640" s="93" t="str">
        <f>'Q100a-geral'!AI2012</f>
        <v>x</v>
      </c>
      <c r="AJ640" s="93" t="str">
        <f>'Q100a-geral'!AJ2012</f>
        <v>x</v>
      </c>
      <c r="AK640" s="137" t="str">
        <f>'Q100a-geral'!AK2012</f>
        <v>x</v>
      </c>
      <c r="AL640" s="213" t="str">
        <f>'Q100a-geral'!AL2012</f>
        <v>x</v>
      </c>
      <c r="AM640" s="137" t="str">
        <f>'Q100a-geral'!AM2012</f>
        <v>x</v>
      </c>
      <c r="AN640" s="137" t="str">
        <f>'Q100a-geral'!AN2012</f>
        <v>x</v>
      </c>
      <c r="AO640" s="137" t="str">
        <f>'Q100a-geral'!AO2012</f>
        <v>x</v>
      </c>
      <c r="AP640" s="137" t="str">
        <f>'Q100a-geral'!AP2012</f>
        <v>x</v>
      </c>
      <c r="AQ640" s="137" t="str">
        <f>'Q100a-geral'!AQ2012</f>
        <v>x</v>
      </c>
      <c r="AR640" s="137"/>
      <c r="AS640" s="137"/>
      <c r="AT640" s="137"/>
      <c r="AU640" s="137"/>
      <c r="AV640" s="137" t="str">
        <f>'Q100a-geral'!AV2012</f>
        <v>x</v>
      </c>
      <c r="AW640" s="137"/>
      <c r="AX640" s="137"/>
      <c r="AY640" s="137"/>
      <c r="AZ640" s="137"/>
      <c r="BA640" s="137" t="str">
        <f>'Q100a-geral'!BA2012</f>
        <v>x</v>
      </c>
      <c r="BB640" s="239" t="str">
        <f>'Q100a-geral'!BB2012</f>
        <v>Poluição do arx</v>
      </c>
      <c r="BC640" s="239" t="str">
        <f>'Q100a-geral'!BC2012</f>
        <v>Poluição do arxbenchmarking</v>
      </c>
      <c r="BD640" s="239" t="str">
        <f>'Q100a-geral'!BD2012</f>
        <v>Poluição do arbenchmarking</v>
      </c>
    </row>
    <row r="641" spans="1:56" s="1" customFormat="1" ht="43.5" customHeight="1" x14ac:dyDescent="0.25">
      <c r="A641" s="275" t="str">
        <f>'Q100a-geral'!A2013</f>
        <v>5.2</v>
      </c>
      <c r="B641" s="54" t="str">
        <f>'Q100a-geral'!B2013</f>
        <v>Poluição do ar</v>
      </c>
      <c r="C641" s="229" t="str">
        <f>'Q100a-geral'!C2013</f>
        <v>x</v>
      </c>
      <c r="D641" s="287" t="str">
        <f>'Q100a-geral'!D2013</f>
        <v>PM 10 média
(Grande Vitoria)</v>
      </c>
      <c r="E641" s="950" t="str">
        <f>'Q100a-geral'!E2013</f>
        <v>Vitória</v>
      </c>
      <c r="F641" s="446" t="str">
        <f>'Q100a-geral'!F2013</f>
        <v>resultado de PM10 média selecionado e apresentado em relatório da Organização das Nações Unidas (ONU) que apresenta comparação de cidades de todo o mundo em WHO(2014a)</v>
      </c>
      <c r="G641" s="252" t="str">
        <f>'Q100a-geral'!G2013</f>
        <v>registro na fonte</v>
      </c>
      <c r="H641" s="173" t="str">
        <f>'Q100a-geral'!H2013</f>
        <v>benchmarking</v>
      </c>
      <c r="I641" s="167" t="str">
        <f>'Q100a-geral'!I2013</f>
        <v>x</v>
      </c>
      <c r="J641" s="93" t="str">
        <f>'Q100a-geral'!J2013</f>
        <v>x</v>
      </c>
      <c r="K641" s="93" t="str">
        <f>'Q100a-geral'!K2013</f>
        <v>x</v>
      </c>
      <c r="L641" s="93" t="str">
        <f>'Q100a-geral'!L2013</f>
        <v>x</v>
      </c>
      <c r="M641" s="93" t="str">
        <f>'Q100a-geral'!M2013</f>
        <v>x</v>
      </c>
      <c r="N641" s="93" t="str">
        <f>'Q100a-geral'!N2013</f>
        <v>x</v>
      </c>
      <c r="O641" s="93" t="str">
        <f>'Q100a-geral'!O2013</f>
        <v>x</v>
      </c>
      <c r="P641" s="93" t="str">
        <f>'Q100a-geral'!P2013</f>
        <v>x</v>
      </c>
      <c r="Q641" s="93" t="str">
        <f>'Q100a-geral'!Q2013</f>
        <v>x</v>
      </c>
      <c r="R641" s="93" t="str">
        <f>'Q100a-geral'!R2013</f>
        <v>x</v>
      </c>
      <c r="S641" s="1138" t="str">
        <f>'Q100a-geral'!S2013</f>
        <v>só para pesquisa</v>
      </c>
      <c r="T641" s="93" t="str">
        <f>'Q100a-geral'!T2013</f>
        <v>x</v>
      </c>
      <c r="U641" s="93" t="str">
        <f>'Q100a-geral'!U2013</f>
        <v>x</v>
      </c>
      <c r="V641" s="107" t="str">
        <f>'Q100a-geral'!V1888</f>
        <v>só para pesquisa</v>
      </c>
      <c r="W641" s="93" t="str">
        <f>'Q100a-geral'!W2013</f>
        <v>x</v>
      </c>
      <c r="X641" s="93" t="str">
        <f>'Q100a-geral'!X2013</f>
        <v>x</v>
      </c>
      <c r="Y641" s="93" t="str">
        <f>'Q100a-geral'!Y2013</f>
        <v>x</v>
      </c>
      <c r="Z641" s="93" t="str">
        <f>'Q100a-geral'!Z2013</f>
        <v>x</v>
      </c>
      <c r="AA641" s="93" t="str">
        <f>'Q100a-geral'!AA2013</f>
        <v>x</v>
      </c>
      <c r="AB641" s="93" t="str">
        <f>'Q100a-geral'!AB2013</f>
        <v>x</v>
      </c>
      <c r="AC641" s="93" t="str">
        <f>'Q100a-geral'!AC2013</f>
        <v>x</v>
      </c>
      <c r="AD641" s="93" t="str">
        <f>'Q100a-geral'!AD2013</f>
        <v>x</v>
      </c>
      <c r="AE641" s="93" t="str">
        <f>'Q100a-geral'!AE2013</f>
        <v>x</v>
      </c>
      <c r="AF641" s="93" t="str">
        <f>'Q100a-geral'!AF2013</f>
        <v>x</v>
      </c>
      <c r="AG641" s="85">
        <f>'Q100a-geral'!AG2013</f>
        <v>30</v>
      </c>
      <c r="AH641" s="93" t="str">
        <f>'Q100a-geral'!AH2013</f>
        <v>x</v>
      </c>
      <c r="AI641" s="93" t="str">
        <f>'Q100a-geral'!AI2013</f>
        <v>x</v>
      </c>
      <c r="AJ641" s="93" t="str">
        <f>'Q100a-geral'!AJ2013</f>
        <v>x</v>
      </c>
      <c r="AK641" s="137" t="str">
        <f>'Q100a-geral'!AK2013</f>
        <v>x</v>
      </c>
      <c r="AL641" s="213" t="str">
        <f>'Q100a-geral'!AL2013</f>
        <v>x</v>
      </c>
      <c r="AM641" s="137" t="str">
        <f>'Q100a-geral'!AM2013</f>
        <v>x</v>
      </c>
      <c r="AN641" s="137" t="str">
        <f>'Q100a-geral'!AN2013</f>
        <v>x</v>
      </c>
      <c r="AO641" s="137" t="str">
        <f>'Q100a-geral'!AO2013</f>
        <v>x</v>
      </c>
      <c r="AP641" s="137" t="str">
        <f>'Q100a-geral'!AP2013</f>
        <v>x</v>
      </c>
      <c r="AQ641" s="137" t="str">
        <f>'Q100a-geral'!AQ2013</f>
        <v>x</v>
      </c>
      <c r="AR641" s="137"/>
      <c r="AS641" s="137"/>
      <c r="AT641" s="137"/>
      <c r="AU641" s="137"/>
      <c r="AV641" s="137" t="str">
        <f>'Q100a-geral'!AV2013</f>
        <v>x</v>
      </c>
      <c r="AW641" s="137"/>
      <c r="AX641" s="137"/>
      <c r="AY641" s="137"/>
      <c r="AZ641" s="137"/>
      <c r="BA641" s="137" t="str">
        <f>'Q100a-geral'!BA2013</f>
        <v>x</v>
      </c>
      <c r="BB641" s="239" t="str">
        <f>'Q100a-geral'!BB2013</f>
        <v>Poluição do arx</v>
      </c>
      <c r="BC641" s="239" t="str">
        <f>'Q100a-geral'!BC2013</f>
        <v>Poluição do arxbenchmarking</v>
      </c>
      <c r="BD641" s="239" t="str">
        <f>'Q100a-geral'!BD2013</f>
        <v>Poluição do arbenchmarking</v>
      </c>
    </row>
    <row r="642" spans="1:56" s="1" customFormat="1" ht="25.5" customHeight="1" x14ac:dyDescent="0.25">
      <c r="A642" s="275" t="str">
        <f>'Q100a-geral'!A2014</f>
        <v>5.2</v>
      </c>
      <c r="B642" s="54" t="str">
        <f>'Q100a-geral'!B2014</f>
        <v>Poluição do ar</v>
      </c>
      <c r="C642" s="229" t="str">
        <f>'Q100a-geral'!C2014</f>
        <v>x</v>
      </c>
      <c r="D642" s="287" t="str">
        <f>'Q100a-geral'!D2014</f>
        <v>PM 10 média</v>
      </c>
      <c r="E642" s="950" t="str">
        <f>'Q100a-geral'!E2014</f>
        <v>Ibirité</v>
      </c>
      <c r="F642" s="446" t="str">
        <f>'Q100a-geral'!F2014</f>
        <v>resultado de PM10 média selecionado e apresentado em relatório da Organização das Nações Unidas (ONU) que apresenta comparação de cidades de todo o mundo em WHO(2014a)
obs.: consulte PM10 média (RMBH/Ibirité em Bairro Cascata e Bairro Piratininga)</v>
      </c>
      <c r="G642" s="252" t="str">
        <f>'Q100a-geral'!G2014</f>
        <v>registro na fonte</v>
      </c>
      <c r="H642" s="173" t="str">
        <f>'Q100a-geral'!H2014</f>
        <v>RMBH</v>
      </c>
      <c r="I642" s="167">
        <f>'Q100a-geral'!I2014</f>
        <v>1</v>
      </c>
      <c r="J642" s="93" t="str">
        <f>'Q100a-geral'!J2014</f>
        <v>x</v>
      </c>
      <c r="K642" s="93" t="str">
        <f>'Q100a-geral'!K2014</f>
        <v>x</v>
      </c>
      <c r="L642" s="93" t="str">
        <f>'Q100a-geral'!L2014</f>
        <v>x</v>
      </c>
      <c r="M642" s="93" t="str">
        <f>'Q100a-geral'!M2014</f>
        <v>x</v>
      </c>
      <c r="N642" s="93" t="str">
        <f>'Q100a-geral'!N2014</f>
        <v>x</v>
      </c>
      <c r="O642" s="93" t="str">
        <f>'Q100a-geral'!O2014</f>
        <v>x</v>
      </c>
      <c r="P642" s="93" t="str">
        <f>'Q100a-geral'!P2014</f>
        <v>x</v>
      </c>
      <c r="Q642" s="93" t="str">
        <f>'Q100a-geral'!Q2014</f>
        <v>x</v>
      </c>
      <c r="R642" s="93" t="str">
        <f>'Q100a-geral'!R2014</f>
        <v>x</v>
      </c>
      <c r="S642" s="1138" t="str">
        <f>'Q100a-geral'!S2014</f>
        <v>só para pesquisa</v>
      </c>
      <c r="T642" s="93" t="str">
        <f>'Q100a-geral'!T2014</f>
        <v>x</v>
      </c>
      <c r="U642" s="93" t="str">
        <f>'Q100a-geral'!U2014</f>
        <v>x</v>
      </c>
      <c r="V642" s="107" t="str">
        <f>'Q100a-geral'!V1889</f>
        <v>só para pesquisa</v>
      </c>
      <c r="W642" s="93" t="str">
        <f>'Q100a-geral'!W2014</f>
        <v>x</v>
      </c>
      <c r="X642" s="93" t="str">
        <f>'Q100a-geral'!X2014</f>
        <v>x</v>
      </c>
      <c r="Y642" s="93" t="str">
        <f>'Q100a-geral'!Y2014</f>
        <v>x</v>
      </c>
      <c r="Z642" s="93" t="str">
        <f>'Q100a-geral'!Z2014</f>
        <v>x</v>
      </c>
      <c r="AA642" s="93" t="str">
        <f>'Q100a-geral'!AA2014</f>
        <v>x</v>
      </c>
      <c r="AB642" s="93" t="str">
        <f>'Q100a-geral'!AB2014</f>
        <v>x</v>
      </c>
      <c r="AC642" s="93" t="str">
        <f>'Q100a-geral'!AC2014</f>
        <v>x</v>
      </c>
      <c r="AD642" s="93" t="str">
        <f>'Q100a-geral'!AD2014</f>
        <v>x</v>
      </c>
      <c r="AE642" s="93" t="str">
        <f>'Q100a-geral'!AE2014</f>
        <v>x</v>
      </c>
      <c r="AF642" s="93" t="str">
        <f>'Q100a-geral'!AF2014</f>
        <v>x</v>
      </c>
      <c r="AG642" s="85">
        <f>'Q100a-geral'!AG2014</f>
        <v>30.7</v>
      </c>
      <c r="AH642" s="93" t="str">
        <f>'Q100a-geral'!AH2014</f>
        <v>x</v>
      </c>
      <c r="AI642" s="93" t="str">
        <f>'Q100a-geral'!AI2014</f>
        <v>x</v>
      </c>
      <c r="AJ642" s="93" t="str">
        <f>'Q100a-geral'!AJ2014</f>
        <v>x</v>
      </c>
      <c r="AK642" s="137" t="str">
        <f>'Q100a-geral'!AK2014</f>
        <v>x</v>
      </c>
      <c r="AL642" s="213" t="str">
        <f>'Q100a-geral'!AL2014</f>
        <v>x</v>
      </c>
      <c r="AM642" s="137" t="str">
        <f>'Q100a-geral'!AM2014</f>
        <v>x</v>
      </c>
      <c r="AN642" s="137" t="str">
        <f>'Q100a-geral'!AN2014</f>
        <v>x</v>
      </c>
      <c r="AO642" s="137" t="str">
        <f>'Q100a-geral'!AO2014</f>
        <v>x</v>
      </c>
      <c r="AP642" s="137" t="str">
        <f>'Q100a-geral'!AP2014</f>
        <v>x</v>
      </c>
      <c r="AQ642" s="137" t="str">
        <f>'Q100a-geral'!AQ2014</f>
        <v>x</v>
      </c>
      <c r="AR642" s="137"/>
      <c r="AS642" s="137"/>
      <c r="AT642" s="137"/>
      <c r="AU642" s="137"/>
      <c r="AV642" s="137" t="str">
        <f>'Q100a-geral'!AV2014</f>
        <v>x</v>
      </c>
      <c r="AW642" s="137"/>
      <c r="AX642" s="137"/>
      <c r="AY642" s="137"/>
      <c r="AZ642" s="137"/>
      <c r="BA642" s="137" t="str">
        <f>'Q100a-geral'!BA2014</f>
        <v>x</v>
      </c>
      <c r="BB642" s="239" t="str">
        <f>'Q100a-geral'!BB2014</f>
        <v>Poluição do arx</v>
      </c>
      <c r="BC642" s="239" t="str">
        <f>'Q100a-geral'!BC2014</f>
        <v>Poluição do arxRMBH</v>
      </c>
      <c r="BD642" s="239" t="str">
        <f>'Q100a-geral'!BD2014</f>
        <v>Poluição do arRMBH</v>
      </c>
    </row>
    <row r="643" spans="1:56" s="1" customFormat="1" ht="25.5" customHeight="1" x14ac:dyDescent="0.25">
      <c r="A643" s="275" t="str">
        <f>'Q100a-geral'!A2015</f>
        <v>5.2</v>
      </c>
      <c r="B643" s="54" t="str">
        <f>'Q100a-geral'!B2015</f>
        <v>Poluição do ar</v>
      </c>
      <c r="C643" s="229" t="str">
        <f>'Q100a-geral'!C2015</f>
        <v>x</v>
      </c>
      <c r="D643" s="287" t="str">
        <f>'Q100a-geral'!D2015</f>
        <v>PM 10 média</v>
      </c>
      <c r="E643" s="950" t="str">
        <f>'Q100a-geral'!E2015</f>
        <v>Jacareí</v>
      </c>
      <c r="F643" s="446" t="str">
        <f>'Q100a-geral'!F2015</f>
        <v>resultado de PM10 média selecionado e apresentado em relatório da Organização das Nações Unidas (ONU) que apresenta comparação de cidades de todo o mundo em WHO(2014a)</v>
      </c>
      <c r="G643" s="252" t="str">
        <f>'Q100a-geral'!G2015</f>
        <v>registro na fonte</v>
      </c>
      <c r="H643" s="173" t="str">
        <f>'Q100a-geral'!H2015</f>
        <v>benchmarking</v>
      </c>
      <c r="I643" s="167" t="str">
        <f>'Q100a-geral'!I2015</f>
        <v>x</v>
      </c>
      <c r="J643" s="93" t="str">
        <f>'Q100a-geral'!J2015</f>
        <v>x</v>
      </c>
      <c r="K643" s="93" t="str">
        <f>'Q100a-geral'!K2015</f>
        <v>x</v>
      </c>
      <c r="L643" s="93" t="str">
        <f>'Q100a-geral'!L2015</f>
        <v>x</v>
      </c>
      <c r="M643" s="93" t="str">
        <f>'Q100a-geral'!M2015</f>
        <v>x</v>
      </c>
      <c r="N643" s="93" t="str">
        <f>'Q100a-geral'!N2015</f>
        <v>x</v>
      </c>
      <c r="O643" s="93" t="str">
        <f>'Q100a-geral'!O2015</f>
        <v>x</v>
      </c>
      <c r="P643" s="93" t="str">
        <f>'Q100a-geral'!P2015</f>
        <v>x</v>
      </c>
      <c r="Q643" s="93" t="str">
        <f>'Q100a-geral'!Q2015</f>
        <v>x</v>
      </c>
      <c r="R643" s="93" t="str">
        <f>'Q100a-geral'!R2015</f>
        <v>x</v>
      </c>
      <c r="S643" s="1138" t="str">
        <f>'Q100a-geral'!S2015</f>
        <v>só para pesquisa</v>
      </c>
      <c r="T643" s="93" t="str">
        <f>'Q100a-geral'!T2015</f>
        <v>x</v>
      </c>
      <c r="U643" s="93" t="str">
        <f>'Q100a-geral'!U2015</f>
        <v>x</v>
      </c>
      <c r="V643" s="107" t="str">
        <f>'Q100a-geral'!V1891</f>
        <v>só para pesquisa</v>
      </c>
      <c r="W643" s="93" t="str">
        <f>'Q100a-geral'!W2015</f>
        <v>x</v>
      </c>
      <c r="X643" s="93" t="str">
        <f>'Q100a-geral'!X2015</f>
        <v>x</v>
      </c>
      <c r="Y643" s="93" t="str">
        <f>'Q100a-geral'!Y2015</f>
        <v>x</v>
      </c>
      <c r="Z643" s="93" t="str">
        <f>'Q100a-geral'!Z2015</f>
        <v>x</v>
      </c>
      <c r="AA643" s="93" t="str">
        <f>'Q100a-geral'!AA2015</f>
        <v>x</v>
      </c>
      <c r="AB643" s="93" t="str">
        <f>'Q100a-geral'!AB2015</f>
        <v>x</v>
      </c>
      <c r="AC643" s="93" t="str">
        <f>'Q100a-geral'!AC2015</f>
        <v>x</v>
      </c>
      <c r="AD643" s="93" t="str">
        <f>'Q100a-geral'!AD2015</f>
        <v>x</v>
      </c>
      <c r="AE643" s="93" t="str">
        <f>'Q100a-geral'!AE2015</f>
        <v>x</v>
      </c>
      <c r="AF643" s="93" t="str">
        <f>'Q100a-geral'!AF2015</f>
        <v>x</v>
      </c>
      <c r="AG643" s="85">
        <f>'Q100a-geral'!AG2015</f>
        <v>26</v>
      </c>
      <c r="AH643" s="93" t="str">
        <f>'Q100a-geral'!AH2015</f>
        <v>x</v>
      </c>
      <c r="AI643" s="93" t="str">
        <f>'Q100a-geral'!AI2015</f>
        <v>x</v>
      </c>
      <c r="AJ643" s="93" t="str">
        <f>'Q100a-geral'!AJ2015</f>
        <v>x</v>
      </c>
      <c r="AK643" s="137" t="str">
        <f>'Q100a-geral'!AK2015</f>
        <v>x</v>
      </c>
      <c r="AL643" s="213" t="str">
        <f>'Q100a-geral'!AL2015</f>
        <v>x</v>
      </c>
      <c r="AM643" s="137" t="str">
        <f>'Q100a-geral'!AM2015</f>
        <v>x</v>
      </c>
      <c r="AN643" s="137" t="str">
        <f>'Q100a-geral'!AN2015</f>
        <v>x</v>
      </c>
      <c r="AO643" s="137" t="str">
        <f>'Q100a-geral'!AO2015</f>
        <v>x</v>
      </c>
      <c r="AP643" s="137" t="str">
        <f>'Q100a-geral'!AP2015</f>
        <v>x</v>
      </c>
      <c r="AQ643" s="137" t="str">
        <f>'Q100a-geral'!AQ2015</f>
        <v>x</v>
      </c>
      <c r="AR643" s="137"/>
      <c r="AS643" s="137"/>
      <c r="AT643" s="137"/>
      <c r="AU643" s="137"/>
      <c r="AV643" s="137" t="str">
        <f>'Q100a-geral'!AV2015</f>
        <v>x</v>
      </c>
      <c r="AW643" s="137"/>
      <c r="AX643" s="137"/>
      <c r="AY643" s="137"/>
      <c r="AZ643" s="137"/>
      <c r="BA643" s="137" t="str">
        <f>'Q100a-geral'!BA2015</f>
        <v>x</v>
      </c>
      <c r="BB643" s="239" t="str">
        <f>'Q100a-geral'!BB2015</f>
        <v>Poluição do arx</v>
      </c>
      <c r="BC643" s="239" t="str">
        <f>'Q100a-geral'!BC2015</f>
        <v>Poluição do arxbenchmarking</v>
      </c>
      <c r="BD643" s="239" t="str">
        <f>'Q100a-geral'!BD2015</f>
        <v>Poluição do arbenchmarking</v>
      </c>
    </row>
    <row r="644" spans="1:56" s="1" customFormat="1" ht="25.5" customHeight="1" x14ac:dyDescent="0.25">
      <c r="A644" s="275" t="str">
        <f>'Q100a-geral'!A2016</f>
        <v>5.2</v>
      </c>
      <c r="B644" s="54" t="str">
        <f>'Q100a-geral'!B2016</f>
        <v>Poluição do ar</v>
      </c>
      <c r="C644" s="229" t="str">
        <f>'Q100a-geral'!C2016</f>
        <v>x</v>
      </c>
      <c r="D644" s="287" t="str">
        <f>'Q100a-geral'!D2016</f>
        <v>PM 10 média</v>
      </c>
      <c r="E644" s="950" t="str">
        <f>'Q100a-geral'!E2016</f>
        <v>Jaú</v>
      </c>
      <c r="F644" s="446" t="str">
        <f>'Q100a-geral'!F2016</f>
        <v>resultado de PM10 média selecionado e apresentado em relatório da Organização das Nações Unidas (ONU) que apresenta comparação de cidades de todo o mundo em WHO(2014a)</v>
      </c>
      <c r="G644" s="252" t="str">
        <f>'Q100a-geral'!G2016</f>
        <v>registro na fonte</v>
      </c>
      <c r="H644" s="173" t="str">
        <f>'Q100a-geral'!H2016</f>
        <v>benchmarking</v>
      </c>
      <c r="I644" s="167" t="str">
        <f>'Q100a-geral'!I2016</f>
        <v>x</v>
      </c>
      <c r="J644" s="93" t="str">
        <f>'Q100a-geral'!J2016</f>
        <v>x</v>
      </c>
      <c r="K644" s="93" t="str">
        <f>'Q100a-geral'!K2016</f>
        <v>x</v>
      </c>
      <c r="L644" s="93" t="str">
        <f>'Q100a-geral'!L2016</f>
        <v>x</v>
      </c>
      <c r="M644" s="93" t="str">
        <f>'Q100a-geral'!M2016</f>
        <v>x</v>
      </c>
      <c r="N644" s="93" t="str">
        <f>'Q100a-geral'!N2016</f>
        <v>x</v>
      </c>
      <c r="O644" s="93" t="str">
        <f>'Q100a-geral'!O2016</f>
        <v>x</v>
      </c>
      <c r="P644" s="93" t="str">
        <f>'Q100a-geral'!P2016</f>
        <v>x</v>
      </c>
      <c r="Q644" s="93" t="str">
        <f>'Q100a-geral'!Q2016</f>
        <v>x</v>
      </c>
      <c r="R644" s="93" t="str">
        <f>'Q100a-geral'!R2016</f>
        <v>x</v>
      </c>
      <c r="S644" s="1138" t="str">
        <f>'Q100a-geral'!S2016</f>
        <v>só para pesquisa</v>
      </c>
      <c r="T644" s="93" t="str">
        <f>'Q100a-geral'!T2016</f>
        <v>x</v>
      </c>
      <c r="U644" s="93" t="str">
        <f>'Q100a-geral'!U2016</f>
        <v>x</v>
      </c>
      <c r="V644" s="107" t="str">
        <f>'Q100a-geral'!V1893</f>
        <v>só para pesquisa</v>
      </c>
      <c r="W644" s="93" t="str">
        <f>'Q100a-geral'!W2016</f>
        <v>x</v>
      </c>
      <c r="X644" s="93" t="str">
        <f>'Q100a-geral'!X2016</f>
        <v>x</v>
      </c>
      <c r="Y644" s="93" t="str">
        <f>'Q100a-geral'!Y2016</f>
        <v>x</v>
      </c>
      <c r="Z644" s="93" t="str">
        <f>'Q100a-geral'!Z2016</f>
        <v>x</v>
      </c>
      <c r="AA644" s="93" t="str">
        <f>'Q100a-geral'!AA2016</f>
        <v>x</v>
      </c>
      <c r="AB644" s="93" t="str">
        <f>'Q100a-geral'!AB2016</f>
        <v>x</v>
      </c>
      <c r="AC644" s="93" t="str">
        <f>'Q100a-geral'!AC2016</f>
        <v>x</v>
      </c>
      <c r="AD644" s="93" t="str">
        <f>'Q100a-geral'!AD2016</f>
        <v>x</v>
      </c>
      <c r="AE644" s="93" t="str">
        <f>'Q100a-geral'!AE2016</f>
        <v>x</v>
      </c>
      <c r="AF644" s="93" t="str">
        <f>'Q100a-geral'!AF2016</f>
        <v>x</v>
      </c>
      <c r="AG644" s="85">
        <f>'Q100a-geral'!AG2016</f>
        <v>33</v>
      </c>
      <c r="AH644" s="93" t="str">
        <f>'Q100a-geral'!AH2016</f>
        <v>x</v>
      </c>
      <c r="AI644" s="93" t="str">
        <f>'Q100a-geral'!AI2016</f>
        <v>x</v>
      </c>
      <c r="AJ644" s="93" t="str">
        <f>'Q100a-geral'!AJ2016</f>
        <v>x</v>
      </c>
      <c r="AK644" s="137" t="str">
        <f>'Q100a-geral'!AK2016</f>
        <v>x</v>
      </c>
      <c r="AL644" s="213" t="str">
        <f>'Q100a-geral'!AL2016</f>
        <v>x</v>
      </c>
      <c r="AM644" s="137" t="str">
        <f>'Q100a-geral'!AM2016</f>
        <v>x</v>
      </c>
      <c r="AN644" s="137" t="str">
        <f>'Q100a-geral'!AN2016</f>
        <v>x</v>
      </c>
      <c r="AO644" s="137" t="str">
        <f>'Q100a-geral'!AO2016</f>
        <v>x</v>
      </c>
      <c r="AP644" s="137" t="str">
        <f>'Q100a-geral'!AP2016</f>
        <v>x</v>
      </c>
      <c r="AQ644" s="137" t="str">
        <f>'Q100a-geral'!AQ2016</f>
        <v>x</v>
      </c>
      <c r="AR644" s="137"/>
      <c r="AS644" s="137"/>
      <c r="AT644" s="137"/>
      <c r="AU644" s="137"/>
      <c r="AV644" s="137" t="str">
        <f>'Q100a-geral'!AV2016</f>
        <v>x</v>
      </c>
      <c r="AW644" s="137"/>
      <c r="AX644" s="137"/>
      <c r="AY644" s="137"/>
      <c r="AZ644" s="137"/>
      <c r="BA644" s="137" t="str">
        <f>'Q100a-geral'!BA2016</f>
        <v>x</v>
      </c>
      <c r="BB644" s="239" t="str">
        <f>'Q100a-geral'!BB2016</f>
        <v>Poluição do arx</v>
      </c>
      <c r="BC644" s="239" t="str">
        <f>'Q100a-geral'!BC2016</f>
        <v>Poluição do arxbenchmarking</v>
      </c>
      <c r="BD644" s="239" t="str">
        <f>'Q100a-geral'!BD2016</f>
        <v>Poluição do arbenchmarking</v>
      </c>
    </row>
    <row r="645" spans="1:56" s="1" customFormat="1" ht="25.5" customHeight="1" x14ac:dyDescent="0.25">
      <c r="A645" s="275" t="str">
        <f>'Q100a-geral'!A2017</f>
        <v>5.2</v>
      </c>
      <c r="B645" s="54" t="str">
        <f>'Q100a-geral'!B2017</f>
        <v>Poluição do ar</v>
      </c>
      <c r="C645" s="229" t="str">
        <f>'Q100a-geral'!C2017</f>
        <v>x</v>
      </c>
      <c r="D645" s="287" t="str">
        <f>'Q100a-geral'!D2017</f>
        <v>PM 10 média</v>
      </c>
      <c r="E645" s="950" t="str">
        <f>'Q100a-geral'!E2017</f>
        <v>Jundiaí</v>
      </c>
      <c r="F645" s="446" t="str">
        <f>'Q100a-geral'!F2017</f>
        <v>resultado de PM10 média selecionado e apresentado em relatório da Organização das Nações Unidas (ONU) que apresenta comparação de cidades de todo o mundo em WHO(2014a)</v>
      </c>
      <c r="G645" s="252" t="str">
        <f>'Q100a-geral'!G2017</f>
        <v>registro na fonte</v>
      </c>
      <c r="H645" s="173" t="str">
        <f>'Q100a-geral'!H2017</f>
        <v>benchmarking</v>
      </c>
      <c r="I645" s="167" t="str">
        <f>'Q100a-geral'!I2017</f>
        <v>x</v>
      </c>
      <c r="J645" s="93" t="str">
        <f>'Q100a-geral'!J2017</f>
        <v>x</v>
      </c>
      <c r="K645" s="93" t="str">
        <f>'Q100a-geral'!K2017</f>
        <v>x</v>
      </c>
      <c r="L645" s="93" t="str">
        <f>'Q100a-geral'!L2017</f>
        <v>x</v>
      </c>
      <c r="M645" s="93" t="str">
        <f>'Q100a-geral'!M2017</f>
        <v>x</v>
      </c>
      <c r="N645" s="93" t="str">
        <f>'Q100a-geral'!N2017</f>
        <v>x</v>
      </c>
      <c r="O645" s="93" t="str">
        <f>'Q100a-geral'!O2017</f>
        <v>x</v>
      </c>
      <c r="P645" s="93" t="str">
        <f>'Q100a-geral'!P2017</f>
        <v>x</v>
      </c>
      <c r="Q645" s="93" t="str">
        <f>'Q100a-geral'!Q2017</f>
        <v>x</v>
      </c>
      <c r="R645" s="93" t="str">
        <f>'Q100a-geral'!R2017</f>
        <v>x</v>
      </c>
      <c r="S645" s="1138" t="str">
        <f>'Q100a-geral'!S2017</f>
        <v>só para pesquisa</v>
      </c>
      <c r="T645" s="93" t="str">
        <f>'Q100a-geral'!T2017</f>
        <v>x</v>
      </c>
      <c r="U645" s="93" t="str">
        <f>'Q100a-geral'!U2017</f>
        <v>x</v>
      </c>
      <c r="V645" s="107" t="str">
        <f>'Q100a-geral'!V1894</f>
        <v>só para pesquisa</v>
      </c>
      <c r="W645" s="93" t="str">
        <f>'Q100a-geral'!W2017</f>
        <v>x</v>
      </c>
      <c r="X645" s="93" t="str">
        <f>'Q100a-geral'!X2017</f>
        <v>x</v>
      </c>
      <c r="Y645" s="93" t="str">
        <f>'Q100a-geral'!Y2017</f>
        <v>x</v>
      </c>
      <c r="Z645" s="93" t="str">
        <f>'Q100a-geral'!Z2017</f>
        <v>x</v>
      </c>
      <c r="AA645" s="93" t="str">
        <f>'Q100a-geral'!AA2017</f>
        <v>x</v>
      </c>
      <c r="AB645" s="93" t="str">
        <f>'Q100a-geral'!AB2017</f>
        <v>x</v>
      </c>
      <c r="AC645" s="93" t="str">
        <f>'Q100a-geral'!AC2017</f>
        <v>x</v>
      </c>
      <c r="AD645" s="93" t="str">
        <f>'Q100a-geral'!AD2017</f>
        <v>x</v>
      </c>
      <c r="AE645" s="93" t="str">
        <f>'Q100a-geral'!AE2017</f>
        <v>x</v>
      </c>
      <c r="AF645" s="93" t="str">
        <f>'Q100a-geral'!AF2017</f>
        <v>x</v>
      </c>
      <c r="AG645" s="85">
        <f>'Q100a-geral'!AG2017</f>
        <v>29</v>
      </c>
      <c r="AH645" s="93" t="str">
        <f>'Q100a-geral'!AH2017</f>
        <v>x</v>
      </c>
      <c r="AI645" s="93" t="str">
        <f>'Q100a-geral'!AI2017</f>
        <v>x</v>
      </c>
      <c r="AJ645" s="93" t="str">
        <f>'Q100a-geral'!AJ2017</f>
        <v>x</v>
      </c>
      <c r="AK645" s="137" t="str">
        <f>'Q100a-geral'!AK2017</f>
        <v>x</v>
      </c>
      <c r="AL645" s="213" t="str">
        <f>'Q100a-geral'!AL2017</f>
        <v>x</v>
      </c>
      <c r="AM645" s="137" t="str">
        <f>'Q100a-geral'!AM2017</f>
        <v>x</v>
      </c>
      <c r="AN645" s="137" t="str">
        <f>'Q100a-geral'!AN2017</f>
        <v>x</v>
      </c>
      <c r="AO645" s="137" t="str">
        <f>'Q100a-geral'!AO2017</f>
        <v>x</v>
      </c>
      <c r="AP645" s="137" t="str">
        <f>'Q100a-geral'!AP2017</f>
        <v>x</v>
      </c>
      <c r="AQ645" s="137" t="str">
        <f>'Q100a-geral'!AQ2017</f>
        <v>x</v>
      </c>
      <c r="AR645" s="137"/>
      <c r="AS645" s="137"/>
      <c r="AT645" s="137"/>
      <c r="AU645" s="137"/>
      <c r="AV645" s="137" t="str">
        <f>'Q100a-geral'!AV2017</f>
        <v>x</v>
      </c>
      <c r="AW645" s="137"/>
      <c r="AX645" s="137"/>
      <c r="AY645" s="137"/>
      <c r="AZ645" s="137"/>
      <c r="BA645" s="137" t="str">
        <f>'Q100a-geral'!BA2017</f>
        <v>x</v>
      </c>
      <c r="BB645" s="239" t="str">
        <f>'Q100a-geral'!BB2017</f>
        <v>Poluição do arx</v>
      </c>
      <c r="BC645" s="239" t="str">
        <f>'Q100a-geral'!BC2017</f>
        <v>Poluição do arxbenchmarking</v>
      </c>
      <c r="BD645" s="239" t="str">
        <f>'Q100a-geral'!BD2017</f>
        <v>Poluição do arbenchmarking</v>
      </c>
    </row>
    <row r="646" spans="1:56" s="1" customFormat="1" ht="25.5" customHeight="1" x14ac:dyDescent="0.25">
      <c r="A646" s="275" t="str">
        <f>'Q100a-geral'!A2018</f>
        <v>5.2</v>
      </c>
      <c r="B646" s="54" t="str">
        <f>'Q100a-geral'!B2018</f>
        <v>Poluição do ar</v>
      </c>
      <c r="C646" s="229" t="str">
        <f>'Q100a-geral'!C2018</f>
        <v>x</v>
      </c>
      <c r="D646" s="287" t="str">
        <f>'Q100a-geral'!D2018</f>
        <v>PM 10 média</v>
      </c>
      <c r="E646" s="950" t="str">
        <f>'Q100a-geral'!E2018</f>
        <v>Limeira</v>
      </c>
      <c r="F646" s="446" t="str">
        <f>'Q100a-geral'!F2018</f>
        <v>resultado de PM10 média selecionado e apresentado em relatório da Organização das Nações Unidas (ONU) que apresenta comparação de cidades de todo o mundo em WHO(2014a)</v>
      </c>
      <c r="G646" s="252" t="str">
        <f>'Q100a-geral'!G2018</f>
        <v>registro na fonte</v>
      </c>
      <c r="H646" s="173" t="str">
        <f>'Q100a-geral'!H2018</f>
        <v>benchmarking</v>
      </c>
      <c r="I646" s="167" t="str">
        <f>'Q100a-geral'!I2018</f>
        <v>x</v>
      </c>
      <c r="J646" s="93" t="str">
        <f>'Q100a-geral'!J2018</f>
        <v>x</v>
      </c>
      <c r="K646" s="93" t="str">
        <f>'Q100a-geral'!K2018</f>
        <v>x</v>
      </c>
      <c r="L646" s="93" t="str">
        <f>'Q100a-geral'!L2018</f>
        <v>x</v>
      </c>
      <c r="M646" s="93" t="str">
        <f>'Q100a-geral'!M2018</f>
        <v>x</v>
      </c>
      <c r="N646" s="93" t="str">
        <f>'Q100a-geral'!N2018</f>
        <v>x</v>
      </c>
      <c r="O646" s="93" t="str">
        <f>'Q100a-geral'!O2018</f>
        <v>x</v>
      </c>
      <c r="P646" s="93" t="str">
        <f>'Q100a-geral'!P2018</f>
        <v>x</v>
      </c>
      <c r="Q646" s="93" t="str">
        <f>'Q100a-geral'!Q2018</f>
        <v>x</v>
      </c>
      <c r="R646" s="93" t="str">
        <f>'Q100a-geral'!R2018</f>
        <v>x</v>
      </c>
      <c r="S646" s="1138" t="str">
        <f>'Q100a-geral'!S2018</f>
        <v>só para pesquisa</v>
      </c>
      <c r="T646" s="93" t="str">
        <f>'Q100a-geral'!T2018</f>
        <v>x</v>
      </c>
      <c r="U646" s="93" t="str">
        <f>'Q100a-geral'!U2018</f>
        <v>x</v>
      </c>
      <c r="V646" s="107" t="str">
        <f>'Q100a-geral'!V1895</f>
        <v>só para pesquisa</v>
      </c>
      <c r="W646" s="93" t="str">
        <f>'Q100a-geral'!W2018</f>
        <v>x</v>
      </c>
      <c r="X646" s="93" t="str">
        <f>'Q100a-geral'!X2018</f>
        <v>x</v>
      </c>
      <c r="Y646" s="93" t="str">
        <f>'Q100a-geral'!Y2018</f>
        <v>x</v>
      </c>
      <c r="Z646" s="93" t="str">
        <f>'Q100a-geral'!Z2018</f>
        <v>x</v>
      </c>
      <c r="AA646" s="93" t="str">
        <f>'Q100a-geral'!AA2018</f>
        <v>x</v>
      </c>
      <c r="AB646" s="93" t="str">
        <f>'Q100a-geral'!AB2018</f>
        <v>x</v>
      </c>
      <c r="AC646" s="93" t="str">
        <f>'Q100a-geral'!AC2018</f>
        <v>x</v>
      </c>
      <c r="AD646" s="93" t="str">
        <f>'Q100a-geral'!AD2018</f>
        <v>x</v>
      </c>
      <c r="AE646" s="93" t="str">
        <f>'Q100a-geral'!AE2018</f>
        <v>x</v>
      </c>
      <c r="AF646" s="93" t="str">
        <f>'Q100a-geral'!AF2018</f>
        <v>x</v>
      </c>
      <c r="AG646" s="85">
        <f>'Q100a-geral'!AG2018</f>
        <v>46</v>
      </c>
      <c r="AH646" s="93" t="str">
        <f>'Q100a-geral'!AH2018</f>
        <v>x</v>
      </c>
      <c r="AI646" s="93" t="str">
        <f>'Q100a-geral'!AI2018</f>
        <v>x</v>
      </c>
      <c r="AJ646" s="93" t="str">
        <f>'Q100a-geral'!AJ2018</f>
        <v>x</v>
      </c>
      <c r="AK646" s="137" t="str">
        <f>'Q100a-geral'!AK2018</f>
        <v>x</v>
      </c>
      <c r="AL646" s="213" t="str">
        <f>'Q100a-geral'!AL2018</f>
        <v>x</v>
      </c>
      <c r="AM646" s="137" t="str">
        <f>'Q100a-geral'!AM2018</f>
        <v>x</v>
      </c>
      <c r="AN646" s="137" t="str">
        <f>'Q100a-geral'!AN2018</f>
        <v>x</v>
      </c>
      <c r="AO646" s="137" t="str">
        <f>'Q100a-geral'!AO2018</f>
        <v>x</v>
      </c>
      <c r="AP646" s="137" t="str">
        <f>'Q100a-geral'!AP2018</f>
        <v>x</v>
      </c>
      <c r="AQ646" s="137" t="str">
        <f>'Q100a-geral'!AQ2018</f>
        <v>x</v>
      </c>
      <c r="AR646" s="137"/>
      <c r="AS646" s="137"/>
      <c r="AT646" s="137"/>
      <c r="AU646" s="137"/>
      <c r="AV646" s="137" t="str">
        <f>'Q100a-geral'!AV2018</f>
        <v>x</v>
      </c>
      <c r="AW646" s="137"/>
      <c r="AX646" s="137"/>
      <c r="AY646" s="137"/>
      <c r="AZ646" s="137"/>
      <c r="BA646" s="137" t="str">
        <f>'Q100a-geral'!BA2018</f>
        <v>x</v>
      </c>
      <c r="BB646" s="239" t="str">
        <f>'Q100a-geral'!BB2018</f>
        <v>Poluição do arx</v>
      </c>
      <c r="BC646" s="239" t="str">
        <f>'Q100a-geral'!BC2018</f>
        <v>Poluição do arxbenchmarking</v>
      </c>
      <c r="BD646" s="239" t="str">
        <f>'Q100a-geral'!BD2018</f>
        <v>Poluição do arbenchmarking</v>
      </c>
    </row>
    <row r="647" spans="1:56" s="1" customFormat="1" ht="25.5" customHeight="1" x14ac:dyDescent="0.25">
      <c r="A647" s="275" t="str">
        <f>'Q100a-geral'!A2019</f>
        <v>5.2</v>
      </c>
      <c r="B647" s="54" t="str">
        <f>'Q100a-geral'!B2019</f>
        <v>Poluição do ar</v>
      </c>
      <c r="C647" s="229" t="str">
        <f>'Q100a-geral'!C2019</f>
        <v>x</v>
      </c>
      <c r="D647" s="287" t="str">
        <f>'Q100a-geral'!D2019</f>
        <v>PM 10 média</v>
      </c>
      <c r="E647" s="950" t="str">
        <f>'Q100a-geral'!E2019</f>
        <v>Marília</v>
      </c>
      <c r="F647" s="446" t="str">
        <f>'Q100a-geral'!F2019</f>
        <v>resultado de PM10 média selecionado e apresentado em relatório da Organização das Nações Unidas (ONU) que apresenta comparação de cidades de todo o mundo em WHO(2014a)</v>
      </c>
      <c r="G647" s="252" t="str">
        <f>'Q100a-geral'!G2019</f>
        <v>registro na fonte</v>
      </c>
      <c r="H647" s="173" t="str">
        <f>'Q100a-geral'!H2019</f>
        <v>benchmarking</v>
      </c>
      <c r="I647" s="167" t="str">
        <f>'Q100a-geral'!I2019</f>
        <v>x</v>
      </c>
      <c r="J647" s="93" t="str">
        <f>'Q100a-geral'!J2019</f>
        <v>x</v>
      </c>
      <c r="K647" s="93" t="str">
        <f>'Q100a-geral'!K2019</f>
        <v>x</v>
      </c>
      <c r="L647" s="93" t="str">
        <f>'Q100a-geral'!L2019</f>
        <v>x</v>
      </c>
      <c r="M647" s="93" t="str">
        <f>'Q100a-geral'!M2019</f>
        <v>x</v>
      </c>
      <c r="N647" s="93" t="str">
        <f>'Q100a-geral'!N2019</f>
        <v>x</v>
      </c>
      <c r="O647" s="93" t="str">
        <f>'Q100a-geral'!O2019</f>
        <v>x</v>
      </c>
      <c r="P647" s="93" t="str">
        <f>'Q100a-geral'!P2019</f>
        <v>x</v>
      </c>
      <c r="Q647" s="93" t="str">
        <f>'Q100a-geral'!Q2019</f>
        <v>x</v>
      </c>
      <c r="R647" s="93" t="str">
        <f>'Q100a-geral'!R2019</f>
        <v>x</v>
      </c>
      <c r="S647" s="1138" t="str">
        <f>'Q100a-geral'!S2019</f>
        <v>só para pesquisa</v>
      </c>
      <c r="T647" s="93" t="str">
        <f>'Q100a-geral'!T2019</f>
        <v>x</v>
      </c>
      <c r="U647" s="93" t="str">
        <f>'Q100a-geral'!U2019</f>
        <v>x</v>
      </c>
      <c r="V647" s="107" t="str">
        <f>'Q100a-geral'!V1896</f>
        <v>só para pesquisa</v>
      </c>
      <c r="W647" s="93" t="str">
        <f>'Q100a-geral'!W2019</f>
        <v>x</v>
      </c>
      <c r="X647" s="93" t="str">
        <f>'Q100a-geral'!X2019</f>
        <v>x</v>
      </c>
      <c r="Y647" s="93" t="str">
        <f>'Q100a-geral'!Y2019</f>
        <v>x</v>
      </c>
      <c r="Z647" s="93" t="str">
        <f>'Q100a-geral'!Z2019</f>
        <v>x</v>
      </c>
      <c r="AA647" s="93" t="str">
        <f>'Q100a-geral'!AA2019</f>
        <v>x</v>
      </c>
      <c r="AB647" s="93" t="str">
        <f>'Q100a-geral'!AB2019</f>
        <v>x</v>
      </c>
      <c r="AC647" s="93" t="str">
        <f>'Q100a-geral'!AC2019</f>
        <v>x</v>
      </c>
      <c r="AD647" s="93" t="str">
        <f>'Q100a-geral'!AD2019</f>
        <v>x</v>
      </c>
      <c r="AE647" s="93" t="str">
        <f>'Q100a-geral'!AE2019</f>
        <v>x</v>
      </c>
      <c r="AF647" s="93" t="str">
        <f>'Q100a-geral'!AF2019</f>
        <v>x</v>
      </c>
      <c r="AG647" s="85">
        <f>'Q100a-geral'!AG2019</f>
        <v>21</v>
      </c>
      <c r="AH647" s="93" t="str">
        <f>'Q100a-geral'!AH2019</f>
        <v>x</v>
      </c>
      <c r="AI647" s="93" t="str">
        <f>'Q100a-geral'!AI2019</f>
        <v>x</v>
      </c>
      <c r="AJ647" s="93" t="str">
        <f>'Q100a-geral'!AJ2019</f>
        <v>x</v>
      </c>
      <c r="AK647" s="137" t="str">
        <f>'Q100a-geral'!AK2019</f>
        <v>x</v>
      </c>
      <c r="AL647" s="213" t="str">
        <f>'Q100a-geral'!AL2019</f>
        <v>x</v>
      </c>
      <c r="AM647" s="137" t="str">
        <f>'Q100a-geral'!AM2019</f>
        <v>x</v>
      </c>
      <c r="AN647" s="137" t="str">
        <f>'Q100a-geral'!AN2019</f>
        <v>x</v>
      </c>
      <c r="AO647" s="137" t="str">
        <f>'Q100a-geral'!AO2019</f>
        <v>x</v>
      </c>
      <c r="AP647" s="137" t="str">
        <f>'Q100a-geral'!AP2019</f>
        <v>x</v>
      </c>
      <c r="AQ647" s="137" t="str">
        <f>'Q100a-geral'!AQ2019</f>
        <v>x</v>
      </c>
      <c r="AR647" s="137"/>
      <c r="AS647" s="137"/>
      <c r="AT647" s="137"/>
      <c r="AU647" s="137"/>
      <c r="AV647" s="137" t="str">
        <f>'Q100a-geral'!AV2019</f>
        <v>x</v>
      </c>
      <c r="AW647" s="137"/>
      <c r="AX647" s="137"/>
      <c r="AY647" s="137"/>
      <c r="AZ647" s="137"/>
      <c r="BA647" s="137" t="str">
        <f>'Q100a-geral'!BA2019</f>
        <v>x</v>
      </c>
      <c r="BB647" s="239" t="str">
        <f>'Q100a-geral'!BB2019</f>
        <v>Poluição do arx</v>
      </c>
      <c r="BC647" s="239" t="str">
        <f>'Q100a-geral'!BC2019</f>
        <v>Poluição do arxbenchmarking</v>
      </c>
      <c r="BD647" s="239" t="str">
        <f>'Q100a-geral'!BD2019</f>
        <v>Poluição do arbenchmarking</v>
      </c>
    </row>
    <row r="648" spans="1:56" s="1" customFormat="1" ht="25.5" customHeight="1" x14ac:dyDescent="0.25">
      <c r="A648" s="275" t="str">
        <f>'Q100a-geral'!A2020</f>
        <v>5.2</v>
      </c>
      <c r="B648" s="54" t="str">
        <f>'Q100a-geral'!B2020</f>
        <v>Poluição do ar</v>
      </c>
      <c r="C648" s="229" t="str">
        <f>'Q100a-geral'!C2020</f>
        <v>x</v>
      </c>
      <c r="D648" s="287" t="str">
        <f>'Q100a-geral'!D2020</f>
        <v>PM 10 média</v>
      </c>
      <c r="E648" s="950" t="str">
        <f>'Q100a-geral'!E2020</f>
        <v>Mauá</v>
      </c>
      <c r="F648" s="446" t="str">
        <f>'Q100a-geral'!F2020</f>
        <v>resultado de PM10 média selecionado e apresentado em relatório da Organização das Nações Unidas (ONU) que apresenta comparação de cidades de todo o mundo em WHO(2014a)</v>
      </c>
      <c r="G648" s="252" t="str">
        <f>'Q100a-geral'!G2020</f>
        <v>registro na fonte</v>
      </c>
      <c r="H648" s="173" t="str">
        <f>'Q100a-geral'!H2020</f>
        <v>benchmarking</v>
      </c>
      <c r="I648" s="167" t="str">
        <f>'Q100a-geral'!I2020</f>
        <v>x</v>
      </c>
      <c r="J648" s="93" t="str">
        <f>'Q100a-geral'!J2020</f>
        <v>x</v>
      </c>
      <c r="K648" s="93" t="str">
        <f>'Q100a-geral'!K2020</f>
        <v>x</v>
      </c>
      <c r="L648" s="93" t="str">
        <f>'Q100a-geral'!L2020</f>
        <v>x</v>
      </c>
      <c r="M648" s="93" t="str">
        <f>'Q100a-geral'!M2020</f>
        <v>x</v>
      </c>
      <c r="N648" s="93" t="str">
        <f>'Q100a-geral'!N2020</f>
        <v>x</v>
      </c>
      <c r="O648" s="93" t="str">
        <f>'Q100a-geral'!O2020</f>
        <v>x</v>
      </c>
      <c r="P648" s="93" t="str">
        <f>'Q100a-geral'!P2020</f>
        <v>x</v>
      </c>
      <c r="Q648" s="93" t="str">
        <f>'Q100a-geral'!Q2020</f>
        <v>x</v>
      </c>
      <c r="R648" s="93" t="str">
        <f>'Q100a-geral'!R2020</f>
        <v>x</v>
      </c>
      <c r="S648" s="1138" t="str">
        <f>'Q100a-geral'!S2020</f>
        <v>só para pesquisa</v>
      </c>
      <c r="T648" s="93" t="str">
        <f>'Q100a-geral'!T2020</f>
        <v>x</v>
      </c>
      <c r="U648" s="93" t="str">
        <f>'Q100a-geral'!U2020</f>
        <v>x</v>
      </c>
      <c r="V648" s="107" t="str">
        <f>'Q100a-geral'!V1898</f>
        <v>só para pesquisa</v>
      </c>
      <c r="W648" s="93" t="str">
        <f>'Q100a-geral'!W2020</f>
        <v>x</v>
      </c>
      <c r="X648" s="93" t="str">
        <f>'Q100a-geral'!X2020</f>
        <v>x</v>
      </c>
      <c r="Y648" s="93" t="str">
        <f>'Q100a-geral'!Y2020</f>
        <v>x</v>
      </c>
      <c r="Z648" s="93" t="str">
        <f>'Q100a-geral'!Z2020</f>
        <v>x</v>
      </c>
      <c r="AA648" s="93" t="str">
        <f>'Q100a-geral'!AA2020</f>
        <v>x</v>
      </c>
      <c r="AB648" s="93" t="str">
        <f>'Q100a-geral'!AB2020</f>
        <v>x</v>
      </c>
      <c r="AC648" s="93" t="str">
        <f>'Q100a-geral'!AC2020</f>
        <v>x</v>
      </c>
      <c r="AD648" s="93" t="str">
        <f>'Q100a-geral'!AD2020</f>
        <v>x</v>
      </c>
      <c r="AE648" s="93" t="str">
        <f>'Q100a-geral'!AE2020</f>
        <v>x</v>
      </c>
      <c r="AF648" s="93" t="str">
        <f>'Q100a-geral'!AF2020</f>
        <v>x</v>
      </c>
      <c r="AG648" s="85">
        <f>'Q100a-geral'!AG2020</f>
        <v>35</v>
      </c>
      <c r="AH648" s="93" t="str">
        <f>'Q100a-geral'!AH2020</f>
        <v>x</v>
      </c>
      <c r="AI648" s="93" t="str">
        <f>'Q100a-geral'!AI2020</f>
        <v>x</v>
      </c>
      <c r="AJ648" s="93" t="str">
        <f>'Q100a-geral'!AJ2020</f>
        <v>x</v>
      </c>
      <c r="AK648" s="137" t="str">
        <f>'Q100a-geral'!AK2020</f>
        <v>x</v>
      </c>
      <c r="AL648" s="213" t="str">
        <f>'Q100a-geral'!AL2020</f>
        <v>x</v>
      </c>
      <c r="AM648" s="137" t="str">
        <f>'Q100a-geral'!AM2020</f>
        <v>x</v>
      </c>
      <c r="AN648" s="137" t="str">
        <f>'Q100a-geral'!AN2020</f>
        <v>x</v>
      </c>
      <c r="AO648" s="137" t="str">
        <f>'Q100a-geral'!AO2020</f>
        <v>x</v>
      </c>
      <c r="AP648" s="137" t="str">
        <f>'Q100a-geral'!AP2020</f>
        <v>x</v>
      </c>
      <c r="AQ648" s="137" t="str">
        <f>'Q100a-geral'!AQ2020</f>
        <v>x</v>
      </c>
      <c r="AR648" s="137"/>
      <c r="AS648" s="137"/>
      <c r="AT648" s="137"/>
      <c r="AU648" s="137"/>
      <c r="AV648" s="137" t="str">
        <f>'Q100a-geral'!AV2020</f>
        <v>x</v>
      </c>
      <c r="AW648" s="137"/>
      <c r="AX648" s="137"/>
      <c r="AY648" s="137"/>
      <c r="AZ648" s="137"/>
      <c r="BA648" s="137" t="str">
        <f>'Q100a-geral'!BA2020</f>
        <v>x</v>
      </c>
      <c r="BB648" s="239" t="str">
        <f>'Q100a-geral'!BB2020</f>
        <v>Poluição do arx</v>
      </c>
      <c r="BC648" s="239" t="str">
        <f>'Q100a-geral'!BC2020</f>
        <v>Poluição do arxbenchmarking</v>
      </c>
      <c r="BD648" s="239" t="str">
        <f>'Q100a-geral'!BD2020</f>
        <v>Poluição do arbenchmarking</v>
      </c>
    </row>
    <row r="649" spans="1:56" s="1" customFormat="1" ht="25.5" customHeight="1" x14ac:dyDescent="0.25">
      <c r="A649" s="275" t="str">
        <f>'Q100a-geral'!A2021</f>
        <v>5.2</v>
      </c>
      <c r="B649" s="54" t="str">
        <f>'Q100a-geral'!B2021</f>
        <v>Poluição do ar</v>
      </c>
      <c r="C649" s="229" t="str">
        <f>'Q100a-geral'!C2021</f>
        <v>x</v>
      </c>
      <c r="D649" s="287" t="str">
        <f>'Q100a-geral'!D2021</f>
        <v>PM 10 média</v>
      </c>
      <c r="E649" s="950" t="str">
        <f>'Q100a-geral'!E2021</f>
        <v>Osasco</v>
      </c>
      <c r="F649" s="446" t="str">
        <f>'Q100a-geral'!F2021</f>
        <v>resultado de PM10 média selecionado e apresentado em relatório da Organização das Nações Unidas (ONU) que apresenta comparação de cidades de todo o mundo em WHO(2014a)</v>
      </c>
      <c r="G649" s="252" t="str">
        <f>'Q100a-geral'!G2021</f>
        <v>registro na fonte</v>
      </c>
      <c r="H649" s="173" t="str">
        <f>'Q100a-geral'!H2021</f>
        <v>benchmarking</v>
      </c>
      <c r="I649" s="167" t="str">
        <f>'Q100a-geral'!I2021</f>
        <v>x</v>
      </c>
      <c r="J649" s="93" t="str">
        <f>'Q100a-geral'!J2021</f>
        <v>x</v>
      </c>
      <c r="K649" s="93" t="str">
        <f>'Q100a-geral'!K2021</f>
        <v>x</v>
      </c>
      <c r="L649" s="93" t="str">
        <f>'Q100a-geral'!L2021</f>
        <v>x</v>
      </c>
      <c r="M649" s="93" t="str">
        <f>'Q100a-geral'!M2021</f>
        <v>x</v>
      </c>
      <c r="N649" s="93" t="str">
        <f>'Q100a-geral'!N2021</f>
        <v>x</v>
      </c>
      <c r="O649" s="93" t="str">
        <f>'Q100a-geral'!O2021</f>
        <v>x</v>
      </c>
      <c r="P649" s="93" t="str">
        <f>'Q100a-geral'!P2021</f>
        <v>x</v>
      </c>
      <c r="Q649" s="93" t="str">
        <f>'Q100a-geral'!Q2021</f>
        <v>x</v>
      </c>
      <c r="R649" s="93" t="str">
        <f>'Q100a-geral'!R2021</f>
        <v>x</v>
      </c>
      <c r="S649" s="1138" t="str">
        <f>'Q100a-geral'!S2021</f>
        <v>só para pesquisa</v>
      </c>
      <c r="T649" s="93" t="str">
        <f>'Q100a-geral'!T2021</f>
        <v>x</v>
      </c>
      <c r="U649" s="93" t="str">
        <f>'Q100a-geral'!U2021</f>
        <v>x</v>
      </c>
      <c r="V649" s="107" t="str">
        <f>'Q100a-geral'!V1899</f>
        <v>só para pesquisa</v>
      </c>
      <c r="W649" s="93" t="str">
        <f>'Q100a-geral'!W2021</f>
        <v>x</v>
      </c>
      <c r="X649" s="93" t="str">
        <f>'Q100a-geral'!X2021</f>
        <v>x</v>
      </c>
      <c r="Y649" s="93" t="str">
        <f>'Q100a-geral'!Y2021</f>
        <v>x</v>
      </c>
      <c r="Z649" s="93" t="str">
        <f>'Q100a-geral'!Z2021</f>
        <v>x</v>
      </c>
      <c r="AA649" s="93" t="str">
        <f>'Q100a-geral'!AA2021</f>
        <v>x</v>
      </c>
      <c r="AB649" s="93" t="str">
        <f>'Q100a-geral'!AB2021</f>
        <v>x</v>
      </c>
      <c r="AC649" s="93" t="str">
        <f>'Q100a-geral'!AC2021</f>
        <v>x</v>
      </c>
      <c r="AD649" s="93" t="str">
        <f>'Q100a-geral'!AD2021</f>
        <v>x</v>
      </c>
      <c r="AE649" s="93" t="str">
        <f>'Q100a-geral'!AE2021</f>
        <v>x</v>
      </c>
      <c r="AF649" s="93" t="str">
        <f>'Q100a-geral'!AF2021</f>
        <v>x</v>
      </c>
      <c r="AG649" s="85">
        <f>'Q100a-geral'!AG2021</f>
        <v>45</v>
      </c>
      <c r="AH649" s="93" t="str">
        <f>'Q100a-geral'!AH2021</f>
        <v>x</v>
      </c>
      <c r="AI649" s="93" t="str">
        <f>'Q100a-geral'!AI2021</f>
        <v>x</v>
      </c>
      <c r="AJ649" s="93" t="str">
        <f>'Q100a-geral'!AJ2021</f>
        <v>x</v>
      </c>
      <c r="AK649" s="137" t="str">
        <f>'Q100a-geral'!AK2021</f>
        <v>x</v>
      </c>
      <c r="AL649" s="213" t="str">
        <f>'Q100a-geral'!AL2021</f>
        <v>x</v>
      </c>
      <c r="AM649" s="137" t="str">
        <f>'Q100a-geral'!AM2021</f>
        <v>x</v>
      </c>
      <c r="AN649" s="137" t="str">
        <f>'Q100a-geral'!AN2021</f>
        <v>x</v>
      </c>
      <c r="AO649" s="137" t="str">
        <f>'Q100a-geral'!AO2021</f>
        <v>x</v>
      </c>
      <c r="AP649" s="137" t="str">
        <f>'Q100a-geral'!AP2021</f>
        <v>x</v>
      </c>
      <c r="AQ649" s="137" t="str">
        <f>'Q100a-geral'!AQ2021</f>
        <v>x</v>
      </c>
      <c r="AR649" s="137"/>
      <c r="AS649" s="137"/>
      <c r="AT649" s="137"/>
      <c r="AU649" s="137"/>
      <c r="AV649" s="137" t="str">
        <f>'Q100a-geral'!AV2021</f>
        <v>x</v>
      </c>
      <c r="AW649" s="137"/>
      <c r="AX649" s="137"/>
      <c r="AY649" s="137"/>
      <c r="AZ649" s="137"/>
      <c r="BA649" s="137" t="str">
        <f>'Q100a-geral'!BA2021</f>
        <v>x</v>
      </c>
      <c r="BB649" s="239" t="str">
        <f>'Q100a-geral'!BB2021</f>
        <v>Poluição do arx</v>
      </c>
      <c r="BC649" s="239" t="str">
        <f>'Q100a-geral'!BC2021</f>
        <v>Poluição do arxbenchmarking</v>
      </c>
      <c r="BD649" s="239" t="str">
        <f>'Q100a-geral'!BD2021</f>
        <v>Poluição do arbenchmarking</v>
      </c>
    </row>
    <row r="650" spans="1:56" s="1" customFormat="1" ht="25.5" customHeight="1" x14ac:dyDescent="0.25">
      <c r="A650" s="275" t="str">
        <f>'Q100a-geral'!A2022</f>
        <v>5.2</v>
      </c>
      <c r="B650" s="54" t="str">
        <f>'Q100a-geral'!B2022</f>
        <v>Poluição do ar</v>
      </c>
      <c r="C650" s="229" t="str">
        <f>'Q100a-geral'!C2022</f>
        <v>x</v>
      </c>
      <c r="D650" s="287" t="str">
        <f>'Q100a-geral'!D2022</f>
        <v>PM 10 média</v>
      </c>
      <c r="E650" s="950" t="str">
        <f>'Q100a-geral'!E2022</f>
        <v>Paulínia</v>
      </c>
      <c r="F650" s="446" t="str">
        <f>'Q100a-geral'!F2022</f>
        <v>resultado de PM10 média selecionado e apresentado em relatório da Organização das Nações Unidas (ONU) que apresenta comparação de cidades de todo o mundo em WHO(2014a)</v>
      </c>
      <c r="G650" s="252" t="str">
        <f>'Q100a-geral'!G2022</f>
        <v>registro na fonte</v>
      </c>
      <c r="H650" s="173" t="str">
        <f>'Q100a-geral'!H2022</f>
        <v>benchmarking</v>
      </c>
      <c r="I650" s="167" t="str">
        <f>'Q100a-geral'!I2022</f>
        <v>x</v>
      </c>
      <c r="J650" s="93" t="str">
        <f>'Q100a-geral'!J2022</f>
        <v>x</v>
      </c>
      <c r="K650" s="93" t="str">
        <f>'Q100a-geral'!K2022</f>
        <v>x</v>
      </c>
      <c r="L650" s="93" t="str">
        <f>'Q100a-geral'!L2022</f>
        <v>x</v>
      </c>
      <c r="M650" s="93" t="str">
        <f>'Q100a-geral'!M2022</f>
        <v>x</v>
      </c>
      <c r="N650" s="93" t="str">
        <f>'Q100a-geral'!N2022</f>
        <v>x</v>
      </c>
      <c r="O650" s="93" t="str">
        <f>'Q100a-geral'!O2022</f>
        <v>x</v>
      </c>
      <c r="P650" s="93" t="str">
        <f>'Q100a-geral'!P2022</f>
        <v>x</v>
      </c>
      <c r="Q650" s="93" t="str">
        <f>'Q100a-geral'!Q2022</f>
        <v>x</v>
      </c>
      <c r="R650" s="93" t="str">
        <f>'Q100a-geral'!R2022</f>
        <v>x</v>
      </c>
      <c r="S650" s="1138" t="str">
        <f>'Q100a-geral'!S2022</f>
        <v>só para pesquisa</v>
      </c>
      <c r="T650" s="93" t="str">
        <f>'Q100a-geral'!T2022</f>
        <v>x</v>
      </c>
      <c r="U650" s="93" t="str">
        <f>'Q100a-geral'!U2022</f>
        <v>x</v>
      </c>
      <c r="V650" s="107" t="str">
        <f>'Q100a-geral'!V1914</f>
        <v>só para pesquisa</v>
      </c>
      <c r="W650" s="93" t="str">
        <f>'Q100a-geral'!W2022</f>
        <v>x</v>
      </c>
      <c r="X650" s="93" t="str">
        <f>'Q100a-geral'!X2022</f>
        <v>x</v>
      </c>
      <c r="Y650" s="93" t="str">
        <f>'Q100a-geral'!Y2022</f>
        <v>x</v>
      </c>
      <c r="Z650" s="93" t="str">
        <f>'Q100a-geral'!Z2022</f>
        <v>x</v>
      </c>
      <c r="AA650" s="93" t="str">
        <f>'Q100a-geral'!AA2022</f>
        <v>x</v>
      </c>
      <c r="AB650" s="93" t="str">
        <f>'Q100a-geral'!AB2022</f>
        <v>x</v>
      </c>
      <c r="AC650" s="93" t="str">
        <f>'Q100a-geral'!AC2022</f>
        <v>x</v>
      </c>
      <c r="AD650" s="93" t="str">
        <f>'Q100a-geral'!AD2022</f>
        <v>x</v>
      </c>
      <c r="AE650" s="93" t="str">
        <f>'Q100a-geral'!AE2022</f>
        <v>x</v>
      </c>
      <c r="AF650" s="93" t="str">
        <f>'Q100a-geral'!AF2022</f>
        <v>x</v>
      </c>
      <c r="AG650" s="85">
        <f>'Q100a-geral'!AG2022</f>
        <v>32</v>
      </c>
      <c r="AH650" s="93" t="str">
        <f>'Q100a-geral'!AH2022</f>
        <v>x</v>
      </c>
      <c r="AI650" s="93" t="str">
        <f>'Q100a-geral'!AI2022</f>
        <v>x</v>
      </c>
      <c r="AJ650" s="93" t="str">
        <f>'Q100a-geral'!AJ2022</f>
        <v>x</v>
      </c>
      <c r="AK650" s="137" t="str">
        <f>'Q100a-geral'!AK2022</f>
        <v>x</v>
      </c>
      <c r="AL650" s="213" t="str">
        <f>'Q100a-geral'!AL2022</f>
        <v>x</v>
      </c>
      <c r="AM650" s="137" t="str">
        <f>'Q100a-geral'!AM2022</f>
        <v>x</v>
      </c>
      <c r="AN650" s="137" t="str">
        <f>'Q100a-geral'!AN2022</f>
        <v>x</v>
      </c>
      <c r="AO650" s="137" t="str">
        <f>'Q100a-geral'!AO2022</f>
        <v>x</v>
      </c>
      <c r="AP650" s="137" t="str">
        <f>'Q100a-geral'!AP2022</f>
        <v>x</v>
      </c>
      <c r="AQ650" s="137" t="str">
        <f>'Q100a-geral'!AQ2022</f>
        <v>x</v>
      </c>
      <c r="AR650" s="137"/>
      <c r="AS650" s="137"/>
      <c r="AT650" s="137"/>
      <c r="AU650" s="137"/>
      <c r="AV650" s="137" t="str">
        <f>'Q100a-geral'!AV2022</f>
        <v>x</v>
      </c>
      <c r="AW650" s="137"/>
      <c r="AX650" s="137"/>
      <c r="AY650" s="137"/>
      <c r="AZ650" s="137"/>
      <c r="BA650" s="137" t="str">
        <f>'Q100a-geral'!BA2022</f>
        <v>x</v>
      </c>
      <c r="BB650" s="239" t="str">
        <f>'Q100a-geral'!BB2022</f>
        <v>Poluição do arx</v>
      </c>
      <c r="BC650" s="239" t="str">
        <f>'Q100a-geral'!BC2022</f>
        <v>Poluição do arxbenchmarking</v>
      </c>
      <c r="BD650" s="239" t="str">
        <f>'Q100a-geral'!BD2022</f>
        <v>Poluição do arbenchmarking</v>
      </c>
    </row>
    <row r="651" spans="1:56" s="1" customFormat="1" ht="25.5" customHeight="1" x14ac:dyDescent="0.25">
      <c r="A651" s="275" t="str">
        <f>'Q100a-geral'!A2023</f>
        <v>5.2</v>
      </c>
      <c r="B651" s="54" t="str">
        <f>'Q100a-geral'!B2023</f>
        <v>Poluição do ar</v>
      </c>
      <c r="C651" s="229" t="str">
        <f>'Q100a-geral'!C2023</f>
        <v>x</v>
      </c>
      <c r="D651" s="287" t="str">
        <f>'Q100a-geral'!D2023</f>
        <v>PM 10 média</v>
      </c>
      <c r="E651" s="950" t="str">
        <f>'Q100a-geral'!E2023</f>
        <v>Piracicaba</v>
      </c>
      <c r="F651" s="446" t="str">
        <f>'Q100a-geral'!F2023</f>
        <v>resultado de PM10 média selecionado e apresentado em relatório da Organização das Nações Unidas (ONU) que apresenta comparação de cidades de todo o mundo em WHO(2014a)</v>
      </c>
      <c r="G651" s="252" t="str">
        <f>'Q100a-geral'!G2023</f>
        <v>registro na fonte</v>
      </c>
      <c r="H651" s="173" t="str">
        <f>'Q100a-geral'!H2023</f>
        <v>benchmarking</v>
      </c>
      <c r="I651" s="167" t="str">
        <f>'Q100a-geral'!I2023</f>
        <v>x</v>
      </c>
      <c r="J651" s="93" t="str">
        <f>'Q100a-geral'!J2023</f>
        <v>x</v>
      </c>
      <c r="K651" s="93" t="str">
        <f>'Q100a-geral'!K2023</f>
        <v>x</v>
      </c>
      <c r="L651" s="93" t="str">
        <f>'Q100a-geral'!L2023</f>
        <v>x</v>
      </c>
      <c r="M651" s="93" t="str">
        <f>'Q100a-geral'!M2023</f>
        <v>x</v>
      </c>
      <c r="N651" s="93" t="str">
        <f>'Q100a-geral'!N2023</f>
        <v>x</v>
      </c>
      <c r="O651" s="93" t="str">
        <f>'Q100a-geral'!O2023</f>
        <v>x</v>
      </c>
      <c r="P651" s="93" t="str">
        <f>'Q100a-geral'!P2023</f>
        <v>x</v>
      </c>
      <c r="Q651" s="93" t="str">
        <f>'Q100a-geral'!Q2023</f>
        <v>x</v>
      </c>
      <c r="R651" s="93" t="str">
        <f>'Q100a-geral'!R2023</f>
        <v>x</v>
      </c>
      <c r="S651" s="1138" t="str">
        <f>'Q100a-geral'!S2023</f>
        <v>só para pesquisa</v>
      </c>
      <c r="T651" s="93" t="str">
        <f>'Q100a-geral'!T2023</f>
        <v>x</v>
      </c>
      <c r="U651" s="93" t="str">
        <f>'Q100a-geral'!U2023</f>
        <v>x</v>
      </c>
      <c r="V651" s="107" t="str">
        <f>'Q100a-geral'!V1916</f>
        <v>só para pesquisa</v>
      </c>
      <c r="W651" s="93" t="str">
        <f>'Q100a-geral'!W2023</f>
        <v>x</v>
      </c>
      <c r="X651" s="93" t="str">
        <f>'Q100a-geral'!X2023</f>
        <v>x</v>
      </c>
      <c r="Y651" s="93" t="str">
        <f>'Q100a-geral'!Y2023</f>
        <v>x</v>
      </c>
      <c r="Z651" s="93" t="str">
        <f>'Q100a-geral'!Z2023</f>
        <v>x</v>
      </c>
      <c r="AA651" s="93" t="str">
        <f>'Q100a-geral'!AA2023</f>
        <v>x</v>
      </c>
      <c r="AB651" s="93" t="str">
        <f>'Q100a-geral'!AB2023</f>
        <v>x</v>
      </c>
      <c r="AC651" s="93" t="str">
        <f>'Q100a-geral'!AC2023</f>
        <v>x</v>
      </c>
      <c r="AD651" s="93" t="str">
        <f>'Q100a-geral'!AD2023</f>
        <v>x</v>
      </c>
      <c r="AE651" s="93" t="str">
        <f>'Q100a-geral'!AE2023</f>
        <v>x</v>
      </c>
      <c r="AF651" s="93" t="str">
        <f>'Q100a-geral'!AF2023</f>
        <v>x</v>
      </c>
      <c r="AG651" s="85">
        <f>'Q100a-geral'!AG2023</f>
        <v>41.5</v>
      </c>
      <c r="AH651" s="93" t="str">
        <f>'Q100a-geral'!AH2023</f>
        <v>x</v>
      </c>
      <c r="AI651" s="93" t="str">
        <f>'Q100a-geral'!AI2023</f>
        <v>x</v>
      </c>
      <c r="AJ651" s="93" t="str">
        <f>'Q100a-geral'!AJ2023</f>
        <v>x</v>
      </c>
      <c r="AK651" s="137" t="str">
        <f>'Q100a-geral'!AK2023</f>
        <v>x</v>
      </c>
      <c r="AL651" s="213" t="str">
        <f>'Q100a-geral'!AL2023</f>
        <v>x</v>
      </c>
      <c r="AM651" s="137" t="str">
        <f>'Q100a-geral'!AM2023</f>
        <v>x</v>
      </c>
      <c r="AN651" s="137" t="str">
        <f>'Q100a-geral'!AN2023</f>
        <v>x</v>
      </c>
      <c r="AO651" s="137" t="str">
        <f>'Q100a-geral'!AO2023</f>
        <v>x</v>
      </c>
      <c r="AP651" s="137" t="str">
        <f>'Q100a-geral'!AP2023</f>
        <v>x</v>
      </c>
      <c r="AQ651" s="137" t="str">
        <f>'Q100a-geral'!AQ2023</f>
        <v>x</v>
      </c>
      <c r="AR651" s="137"/>
      <c r="AS651" s="137"/>
      <c r="AT651" s="137"/>
      <c r="AU651" s="137"/>
      <c r="AV651" s="137" t="str">
        <f>'Q100a-geral'!AV2023</f>
        <v>x</v>
      </c>
      <c r="AW651" s="137"/>
      <c r="AX651" s="137"/>
      <c r="AY651" s="137"/>
      <c r="AZ651" s="137"/>
      <c r="BA651" s="137" t="str">
        <f>'Q100a-geral'!BA2023</f>
        <v>x</v>
      </c>
      <c r="BB651" s="239" t="str">
        <f>'Q100a-geral'!BB2023</f>
        <v>Poluição do arx</v>
      </c>
      <c r="BC651" s="239" t="str">
        <f>'Q100a-geral'!BC2023</f>
        <v>Poluição do arxbenchmarking</v>
      </c>
      <c r="BD651" s="239" t="str">
        <f>'Q100a-geral'!BD2023</f>
        <v>Poluição do arbenchmarking</v>
      </c>
    </row>
    <row r="652" spans="1:56" s="1" customFormat="1" ht="25.5" customHeight="1" x14ac:dyDescent="0.25">
      <c r="A652" s="275" t="str">
        <f>'Q100a-geral'!A2024</f>
        <v>5.2</v>
      </c>
      <c r="B652" s="54" t="str">
        <f>'Q100a-geral'!B2024</f>
        <v>Poluição do ar</v>
      </c>
      <c r="C652" s="229" t="str">
        <f>'Q100a-geral'!C2024</f>
        <v>x</v>
      </c>
      <c r="D652" s="287" t="str">
        <f>'Q100a-geral'!D2024</f>
        <v>PM 10 média</v>
      </c>
      <c r="E652" s="950" t="str">
        <f>'Q100a-geral'!E2024</f>
        <v>Pirassununga</v>
      </c>
      <c r="F652" s="446" t="str">
        <f>'Q100a-geral'!F2024</f>
        <v>resultado de PM10 média selecionado e apresentado em relatório da Organização das Nações Unidas (ONU) que apresenta comparação de cidades de todo o mundo em WHO(2014a)</v>
      </c>
      <c r="G652" s="252" t="str">
        <f>'Q100a-geral'!G2024</f>
        <v>registro na fonte</v>
      </c>
      <c r="H652" s="173" t="str">
        <f>'Q100a-geral'!H2024</f>
        <v>benchmarking</v>
      </c>
      <c r="I652" s="167" t="str">
        <f>'Q100a-geral'!I2024</f>
        <v>x</v>
      </c>
      <c r="J652" s="93" t="str">
        <f>'Q100a-geral'!J2024</f>
        <v>x</v>
      </c>
      <c r="K652" s="93" t="str">
        <f>'Q100a-geral'!K2024</f>
        <v>x</v>
      </c>
      <c r="L652" s="93" t="str">
        <f>'Q100a-geral'!L2024</f>
        <v>x</v>
      </c>
      <c r="M652" s="93" t="str">
        <f>'Q100a-geral'!M2024</f>
        <v>x</v>
      </c>
      <c r="N652" s="93" t="str">
        <f>'Q100a-geral'!N2024</f>
        <v>x</v>
      </c>
      <c r="O652" s="93" t="str">
        <f>'Q100a-geral'!O2024</f>
        <v>x</v>
      </c>
      <c r="P652" s="93" t="str">
        <f>'Q100a-geral'!P2024</f>
        <v>x</v>
      </c>
      <c r="Q652" s="93" t="str">
        <f>'Q100a-geral'!Q2024</f>
        <v>x</v>
      </c>
      <c r="R652" s="93" t="str">
        <f>'Q100a-geral'!R2024</f>
        <v>x</v>
      </c>
      <c r="S652" s="1138" t="str">
        <f>'Q100a-geral'!S2024</f>
        <v>só para pesquisa</v>
      </c>
      <c r="T652" s="93" t="str">
        <f>'Q100a-geral'!T2024</f>
        <v>x</v>
      </c>
      <c r="U652" s="93" t="str">
        <f>'Q100a-geral'!U2024</f>
        <v>x</v>
      </c>
      <c r="V652" s="107" t="str">
        <f>'Q100a-geral'!V1917</f>
        <v>só para pesquisa</v>
      </c>
      <c r="W652" s="93" t="str">
        <f>'Q100a-geral'!W2024</f>
        <v>x</v>
      </c>
      <c r="X652" s="93" t="str">
        <f>'Q100a-geral'!X2024</f>
        <v>x</v>
      </c>
      <c r="Y652" s="93" t="str">
        <f>'Q100a-geral'!Y2024</f>
        <v>x</v>
      </c>
      <c r="Z652" s="93" t="str">
        <f>'Q100a-geral'!Z2024</f>
        <v>x</v>
      </c>
      <c r="AA652" s="93" t="str">
        <f>'Q100a-geral'!AA2024</f>
        <v>x</v>
      </c>
      <c r="AB652" s="93" t="str">
        <f>'Q100a-geral'!AB2024</f>
        <v>x</v>
      </c>
      <c r="AC652" s="93" t="str">
        <f>'Q100a-geral'!AC2024</f>
        <v>x</v>
      </c>
      <c r="AD652" s="93" t="str">
        <f>'Q100a-geral'!AD2024</f>
        <v>x</v>
      </c>
      <c r="AE652" s="93" t="str">
        <f>'Q100a-geral'!AE2024</f>
        <v>x</v>
      </c>
      <c r="AF652" s="93" t="str">
        <f>'Q100a-geral'!AF2024</f>
        <v>x</v>
      </c>
      <c r="AG652" s="85">
        <f>'Q100a-geral'!AG2024</f>
        <v>31</v>
      </c>
      <c r="AH652" s="93" t="str">
        <f>'Q100a-geral'!AH2024</f>
        <v>x</v>
      </c>
      <c r="AI652" s="93" t="str">
        <f>'Q100a-geral'!AI2024</f>
        <v>x</v>
      </c>
      <c r="AJ652" s="93" t="str">
        <f>'Q100a-geral'!AJ2024</f>
        <v>x</v>
      </c>
      <c r="AK652" s="137" t="str">
        <f>'Q100a-geral'!AK2024</f>
        <v>x</v>
      </c>
      <c r="AL652" s="213" t="str">
        <f>'Q100a-geral'!AL2024</f>
        <v>x</v>
      </c>
      <c r="AM652" s="137" t="str">
        <f>'Q100a-geral'!AM2024</f>
        <v>x</v>
      </c>
      <c r="AN652" s="137" t="str">
        <f>'Q100a-geral'!AN2024</f>
        <v>x</v>
      </c>
      <c r="AO652" s="137" t="str">
        <f>'Q100a-geral'!AO2024</f>
        <v>x</v>
      </c>
      <c r="AP652" s="137" t="str">
        <f>'Q100a-geral'!AP2024</f>
        <v>x</v>
      </c>
      <c r="AQ652" s="137" t="str">
        <f>'Q100a-geral'!AQ2024</f>
        <v>x</v>
      </c>
      <c r="AR652" s="137"/>
      <c r="AS652" s="137"/>
      <c r="AT652" s="137"/>
      <c r="AU652" s="137"/>
      <c r="AV652" s="137" t="str">
        <f>'Q100a-geral'!AV2024</f>
        <v>x</v>
      </c>
      <c r="AW652" s="137"/>
      <c r="AX652" s="137"/>
      <c r="AY652" s="137"/>
      <c r="AZ652" s="137"/>
      <c r="BA652" s="137" t="str">
        <f>'Q100a-geral'!BA2024</f>
        <v>x</v>
      </c>
      <c r="BB652" s="239" t="str">
        <f>'Q100a-geral'!BB2024</f>
        <v>Poluição do arx</v>
      </c>
      <c r="BC652" s="239" t="str">
        <f>'Q100a-geral'!BC2024</f>
        <v>Poluição do arxbenchmarking</v>
      </c>
      <c r="BD652" s="239" t="str">
        <f>'Q100a-geral'!BD2024</f>
        <v>Poluição do arbenchmarking</v>
      </c>
    </row>
    <row r="653" spans="1:56" s="1" customFormat="1" ht="43.5" customHeight="1" x14ac:dyDescent="0.25">
      <c r="A653" s="275" t="str">
        <f>'Q100a-geral'!A2025</f>
        <v>5.2</v>
      </c>
      <c r="B653" s="54" t="str">
        <f>'Q100a-geral'!B2025</f>
        <v>Poluição do ar</v>
      </c>
      <c r="C653" s="229" t="str">
        <f>'Q100a-geral'!C2025</f>
        <v>x</v>
      </c>
      <c r="D653" s="287" t="str">
        <f>'Q100a-geral'!D2025</f>
        <v>PM 10 média</v>
      </c>
      <c r="E653" s="950" t="str">
        <f>'Q100a-geral'!E2025</f>
        <v>Presidente Prudente</v>
      </c>
      <c r="F653" s="446" t="str">
        <f>'Q100a-geral'!F2025</f>
        <v>resultado de PM10 média selecionado e apresentado em relatório da Organização das Nações Unidas (ONU) que apresenta comparação de cidades de todo o mundo em WHO(2014a)</v>
      </c>
      <c r="G653" s="252" t="str">
        <f>'Q100a-geral'!G2025</f>
        <v>registro na fonte</v>
      </c>
      <c r="H653" s="173" t="str">
        <f>'Q100a-geral'!H2025</f>
        <v>benchmarking</v>
      </c>
      <c r="I653" s="167" t="str">
        <f>'Q100a-geral'!I2025</f>
        <v>x</v>
      </c>
      <c r="J653" s="93" t="str">
        <f>'Q100a-geral'!J2025</f>
        <v>x</v>
      </c>
      <c r="K653" s="93" t="str">
        <f>'Q100a-geral'!K2025</f>
        <v>x</v>
      </c>
      <c r="L653" s="93" t="str">
        <f>'Q100a-geral'!L2025</f>
        <v>x</v>
      </c>
      <c r="M653" s="93" t="str">
        <f>'Q100a-geral'!M2025</f>
        <v>x</v>
      </c>
      <c r="N653" s="93" t="str">
        <f>'Q100a-geral'!N2025</f>
        <v>x</v>
      </c>
      <c r="O653" s="93" t="str">
        <f>'Q100a-geral'!O2025</f>
        <v>x</v>
      </c>
      <c r="P653" s="93" t="str">
        <f>'Q100a-geral'!P2025</f>
        <v>x</v>
      </c>
      <c r="Q653" s="93" t="str">
        <f>'Q100a-geral'!Q2025</f>
        <v>x</v>
      </c>
      <c r="R653" s="93" t="str">
        <f>'Q100a-geral'!R2025</f>
        <v>x</v>
      </c>
      <c r="S653" s="1138" t="str">
        <f>'Q100a-geral'!S2025</f>
        <v>só para pesquisa</v>
      </c>
      <c r="T653" s="93" t="str">
        <f>'Q100a-geral'!T2025</f>
        <v>x</v>
      </c>
      <c r="U653" s="93" t="str">
        <f>'Q100a-geral'!U2025</f>
        <v>x</v>
      </c>
      <c r="V653" s="107" t="str">
        <f>'Q100a-geral'!V1919</f>
        <v>só para pesquisa</v>
      </c>
      <c r="W653" s="93" t="str">
        <f>'Q100a-geral'!W2025</f>
        <v>x</v>
      </c>
      <c r="X653" s="93" t="str">
        <f>'Q100a-geral'!X2025</f>
        <v>x</v>
      </c>
      <c r="Y653" s="93" t="str">
        <f>'Q100a-geral'!Y2025</f>
        <v>x</v>
      </c>
      <c r="Z653" s="93" t="str">
        <f>'Q100a-geral'!Z2025</f>
        <v>x</v>
      </c>
      <c r="AA653" s="93" t="str">
        <f>'Q100a-geral'!AA2025</f>
        <v>x</v>
      </c>
      <c r="AB653" s="93" t="str">
        <f>'Q100a-geral'!AB2025</f>
        <v>x</v>
      </c>
      <c r="AC653" s="93" t="str">
        <f>'Q100a-geral'!AC2025</f>
        <v>x</v>
      </c>
      <c r="AD653" s="93" t="str">
        <f>'Q100a-geral'!AD2025</f>
        <v>x</v>
      </c>
      <c r="AE653" s="93" t="str">
        <f>'Q100a-geral'!AE2025</f>
        <v>x</v>
      </c>
      <c r="AF653" s="93" t="str">
        <f>'Q100a-geral'!AF2025</f>
        <v>x</v>
      </c>
      <c r="AG653" s="85">
        <f>'Q100a-geral'!AG2025</f>
        <v>22</v>
      </c>
      <c r="AH653" s="93" t="str">
        <f>'Q100a-geral'!AH2025</f>
        <v>x</v>
      </c>
      <c r="AI653" s="93" t="str">
        <f>'Q100a-geral'!AI2025</f>
        <v>x</v>
      </c>
      <c r="AJ653" s="93" t="str">
        <f>'Q100a-geral'!AJ2025</f>
        <v>x</v>
      </c>
      <c r="AK653" s="137" t="str">
        <f>'Q100a-geral'!AK2025</f>
        <v>x</v>
      </c>
      <c r="AL653" s="213" t="str">
        <f>'Q100a-geral'!AL2025</f>
        <v>x</v>
      </c>
      <c r="AM653" s="137" t="str">
        <f>'Q100a-geral'!AM2025</f>
        <v>x</v>
      </c>
      <c r="AN653" s="137" t="str">
        <f>'Q100a-geral'!AN2025</f>
        <v>x</v>
      </c>
      <c r="AO653" s="137" t="str">
        <f>'Q100a-geral'!AO2025</f>
        <v>x</v>
      </c>
      <c r="AP653" s="137" t="str">
        <f>'Q100a-geral'!AP2025</f>
        <v>x</v>
      </c>
      <c r="AQ653" s="137" t="str">
        <f>'Q100a-geral'!AQ2025</f>
        <v>x</v>
      </c>
      <c r="AR653" s="137"/>
      <c r="AS653" s="137"/>
      <c r="AT653" s="137"/>
      <c r="AU653" s="137"/>
      <c r="AV653" s="137" t="str">
        <f>'Q100a-geral'!AV2025</f>
        <v>x</v>
      </c>
      <c r="AW653" s="137"/>
      <c r="AX653" s="137"/>
      <c r="AY653" s="137"/>
      <c r="AZ653" s="137"/>
      <c r="BA653" s="137" t="str">
        <f>'Q100a-geral'!BA2025</f>
        <v>x</v>
      </c>
      <c r="BB653" s="239" t="str">
        <f>'Q100a-geral'!BB2025</f>
        <v>Poluição do arx</v>
      </c>
      <c r="BC653" s="239" t="str">
        <f>'Q100a-geral'!BC2025</f>
        <v>Poluição do arxbenchmarking</v>
      </c>
      <c r="BD653" s="239" t="str">
        <f>'Q100a-geral'!BD2025</f>
        <v>Poluição do arbenchmarking</v>
      </c>
    </row>
    <row r="654" spans="1:56" s="1" customFormat="1" ht="43.5" customHeight="1" x14ac:dyDescent="0.25">
      <c r="A654" s="275" t="str">
        <f>'Q100a-geral'!A2026</f>
        <v>5.2</v>
      </c>
      <c r="B654" s="54" t="str">
        <f>'Q100a-geral'!B2026</f>
        <v>Poluição do ar</v>
      </c>
      <c r="C654" s="229" t="str">
        <f>'Q100a-geral'!C2026</f>
        <v>x</v>
      </c>
      <c r="D654" s="287" t="str">
        <f>'Q100a-geral'!D2026</f>
        <v>PM 10 média</v>
      </c>
      <c r="E654" s="950" t="str">
        <f>'Q100a-geral'!E2026</f>
        <v>Ribeirão Preto</v>
      </c>
      <c r="F654" s="446" t="str">
        <f>'Q100a-geral'!F2026</f>
        <v>resultado de PM10 média selecionado e apresentado em relatório da Organização das Nações Unidas (ONU) que apresenta comparação de cidades de todo o mundo em WHO(2014a)</v>
      </c>
      <c r="G654" s="252" t="str">
        <f>'Q100a-geral'!G2026</f>
        <v>registro na fonte</v>
      </c>
      <c r="H654" s="173" t="str">
        <f>'Q100a-geral'!H2026</f>
        <v>benchmarking</v>
      </c>
      <c r="I654" s="167" t="str">
        <f>'Q100a-geral'!I2026</f>
        <v>x</v>
      </c>
      <c r="J654" s="93" t="str">
        <f>'Q100a-geral'!J2026</f>
        <v>x</v>
      </c>
      <c r="K654" s="93" t="str">
        <f>'Q100a-geral'!K2026</f>
        <v>x</v>
      </c>
      <c r="L654" s="93" t="str">
        <f>'Q100a-geral'!L2026</f>
        <v>x</v>
      </c>
      <c r="M654" s="93" t="str">
        <f>'Q100a-geral'!M2026</f>
        <v>x</v>
      </c>
      <c r="N654" s="93" t="str">
        <f>'Q100a-geral'!N2026</f>
        <v>x</v>
      </c>
      <c r="O654" s="93" t="str">
        <f>'Q100a-geral'!O2026</f>
        <v>x</v>
      </c>
      <c r="P654" s="93" t="str">
        <f>'Q100a-geral'!P2026</f>
        <v>x</v>
      </c>
      <c r="Q654" s="93" t="str">
        <f>'Q100a-geral'!Q2026</f>
        <v>x</v>
      </c>
      <c r="R654" s="93" t="str">
        <f>'Q100a-geral'!R2026</f>
        <v>x</v>
      </c>
      <c r="S654" s="1138" t="str">
        <f>'Q100a-geral'!S2026</f>
        <v>só para pesquisa</v>
      </c>
      <c r="T654" s="93" t="str">
        <f>'Q100a-geral'!T2026</f>
        <v>x</v>
      </c>
      <c r="U654" s="93" t="str">
        <f>'Q100a-geral'!U2026</f>
        <v>x</v>
      </c>
      <c r="V654" s="107" t="str">
        <f>'Q100a-geral'!V1922</f>
        <v>só para pesquisa</v>
      </c>
      <c r="W654" s="93" t="str">
        <f>'Q100a-geral'!W2026</f>
        <v>x</v>
      </c>
      <c r="X654" s="93" t="str">
        <f>'Q100a-geral'!X2026</f>
        <v>x</v>
      </c>
      <c r="Y654" s="93" t="str">
        <f>'Q100a-geral'!Y2026</f>
        <v>x</v>
      </c>
      <c r="Z654" s="93" t="str">
        <f>'Q100a-geral'!Z2026</f>
        <v>x</v>
      </c>
      <c r="AA654" s="93" t="str">
        <f>'Q100a-geral'!AA2026</f>
        <v>x</v>
      </c>
      <c r="AB654" s="93" t="str">
        <f>'Q100a-geral'!AB2026</f>
        <v>x</v>
      </c>
      <c r="AC654" s="93" t="str">
        <f>'Q100a-geral'!AC2026</f>
        <v>x</v>
      </c>
      <c r="AD654" s="93" t="str">
        <f>'Q100a-geral'!AD2026</f>
        <v>x</v>
      </c>
      <c r="AE654" s="93" t="str">
        <f>'Q100a-geral'!AE2026</f>
        <v>x</v>
      </c>
      <c r="AF654" s="93" t="str">
        <f>'Q100a-geral'!AF2026</f>
        <v>x</v>
      </c>
      <c r="AG654" s="85">
        <f>'Q100a-geral'!AG2026</f>
        <v>30</v>
      </c>
      <c r="AH654" s="93" t="str">
        <f>'Q100a-geral'!AH2026</f>
        <v>x</v>
      </c>
      <c r="AI654" s="93" t="str">
        <f>'Q100a-geral'!AI2026</f>
        <v>x</v>
      </c>
      <c r="AJ654" s="93" t="str">
        <f>'Q100a-geral'!AJ2026</f>
        <v>x</v>
      </c>
      <c r="AK654" s="137" t="str">
        <f>'Q100a-geral'!AK2026</f>
        <v>x</v>
      </c>
      <c r="AL654" s="213" t="str">
        <f>'Q100a-geral'!AL2026</f>
        <v>x</v>
      </c>
      <c r="AM654" s="137" t="str">
        <f>'Q100a-geral'!AM2026</f>
        <v>x</v>
      </c>
      <c r="AN654" s="137" t="str">
        <f>'Q100a-geral'!AN2026</f>
        <v>x</v>
      </c>
      <c r="AO654" s="137" t="str">
        <f>'Q100a-geral'!AO2026</f>
        <v>x</v>
      </c>
      <c r="AP654" s="137" t="str">
        <f>'Q100a-geral'!AP2026</f>
        <v>x</v>
      </c>
      <c r="AQ654" s="137" t="str">
        <f>'Q100a-geral'!AQ2026</f>
        <v>x</v>
      </c>
      <c r="AR654" s="137"/>
      <c r="AS654" s="137"/>
      <c r="AT654" s="137"/>
      <c r="AU654" s="137"/>
      <c r="AV654" s="137" t="str">
        <f>'Q100a-geral'!AV2026</f>
        <v>x</v>
      </c>
      <c r="AW654" s="137"/>
      <c r="AX654" s="137"/>
      <c r="AY654" s="137"/>
      <c r="AZ654" s="137"/>
      <c r="BA654" s="137" t="str">
        <f>'Q100a-geral'!BA2026</f>
        <v>x</v>
      </c>
      <c r="BB654" s="239" t="str">
        <f>'Q100a-geral'!BB2026</f>
        <v>Poluição do arx</v>
      </c>
      <c r="BC654" s="239" t="str">
        <f>'Q100a-geral'!BC2026</f>
        <v>Poluição do arxbenchmarking</v>
      </c>
      <c r="BD654" s="239" t="str">
        <f>'Q100a-geral'!BD2026</f>
        <v>Poluição do arbenchmarking</v>
      </c>
    </row>
    <row r="655" spans="1:56" s="1" customFormat="1" ht="25.5" customHeight="1" x14ac:dyDescent="0.25">
      <c r="A655" s="275" t="str">
        <f>'Q100a-geral'!A2027</f>
        <v>5.2</v>
      </c>
      <c r="B655" s="54" t="str">
        <f>'Q100a-geral'!B2027</f>
        <v>Poluição do ar</v>
      </c>
      <c r="C655" s="229" t="str">
        <f>'Q100a-geral'!C2027</f>
        <v>x</v>
      </c>
      <c r="D655" s="287" t="str">
        <f>'Q100a-geral'!D2027</f>
        <v>PM 10 média</v>
      </c>
      <c r="E655" s="950" t="str">
        <f>'Q100a-geral'!E2027</f>
        <v>Rio Claro</v>
      </c>
      <c r="F655" s="446" t="str">
        <f>'Q100a-geral'!F2027</f>
        <v>resultado de PM10 média selecionado e apresentado em relatório da Organização das Nações Unidas (ONU) que apresenta comparação de cidades de todo o mundo em WHO(2014a)</v>
      </c>
      <c r="G655" s="252" t="str">
        <f>'Q100a-geral'!G2027</f>
        <v>registro na fonte</v>
      </c>
      <c r="H655" s="173" t="str">
        <f>'Q100a-geral'!H2027</f>
        <v>benchmarking</v>
      </c>
      <c r="I655" s="167" t="str">
        <f>'Q100a-geral'!I2027</f>
        <v>x</v>
      </c>
      <c r="J655" s="93" t="str">
        <f>'Q100a-geral'!J2027</f>
        <v>x</v>
      </c>
      <c r="K655" s="93" t="str">
        <f>'Q100a-geral'!K2027</f>
        <v>x</v>
      </c>
      <c r="L655" s="93" t="str">
        <f>'Q100a-geral'!L2027</f>
        <v>x</v>
      </c>
      <c r="M655" s="93" t="str">
        <f>'Q100a-geral'!M2027</f>
        <v>x</v>
      </c>
      <c r="N655" s="93" t="str">
        <f>'Q100a-geral'!N2027</f>
        <v>x</v>
      </c>
      <c r="O655" s="93" t="str">
        <f>'Q100a-geral'!O2027</f>
        <v>x</v>
      </c>
      <c r="P655" s="93" t="str">
        <f>'Q100a-geral'!P2027</f>
        <v>x</v>
      </c>
      <c r="Q655" s="93" t="str">
        <f>'Q100a-geral'!Q2027</f>
        <v>x</v>
      </c>
      <c r="R655" s="93" t="str">
        <f>'Q100a-geral'!R2027</f>
        <v>x</v>
      </c>
      <c r="S655" s="1138" t="str">
        <f>'Q100a-geral'!S2027</f>
        <v>só para pesquisa</v>
      </c>
      <c r="T655" s="93" t="str">
        <f>'Q100a-geral'!T2027</f>
        <v>x</v>
      </c>
      <c r="U655" s="93" t="str">
        <f>'Q100a-geral'!U2027</f>
        <v>x</v>
      </c>
      <c r="V655" s="107" t="str">
        <f>'Q100a-geral'!V1924</f>
        <v>só para pesquisa</v>
      </c>
      <c r="W655" s="93" t="str">
        <f>'Q100a-geral'!W2027</f>
        <v>x</v>
      </c>
      <c r="X655" s="93" t="str">
        <f>'Q100a-geral'!X2027</f>
        <v>x</v>
      </c>
      <c r="Y655" s="93" t="str">
        <f>'Q100a-geral'!Y2027</f>
        <v>x</v>
      </c>
      <c r="Z655" s="93" t="str">
        <f>'Q100a-geral'!Z2027</f>
        <v>x</v>
      </c>
      <c r="AA655" s="93" t="str">
        <f>'Q100a-geral'!AA2027</f>
        <v>x</v>
      </c>
      <c r="AB655" s="93" t="str">
        <f>'Q100a-geral'!AB2027</f>
        <v>x</v>
      </c>
      <c r="AC655" s="93" t="str">
        <f>'Q100a-geral'!AC2027</f>
        <v>x</v>
      </c>
      <c r="AD655" s="93" t="str">
        <f>'Q100a-geral'!AD2027</f>
        <v>x</v>
      </c>
      <c r="AE655" s="93" t="str">
        <f>'Q100a-geral'!AE2027</f>
        <v>x</v>
      </c>
      <c r="AF655" s="93" t="str">
        <f>'Q100a-geral'!AF2027</f>
        <v>x</v>
      </c>
      <c r="AG655" s="85">
        <f>'Q100a-geral'!AG2027</f>
        <v>50</v>
      </c>
      <c r="AH655" s="93" t="str">
        <f>'Q100a-geral'!AH2027</f>
        <v>x</v>
      </c>
      <c r="AI655" s="93" t="str">
        <f>'Q100a-geral'!AI2027</f>
        <v>x</v>
      </c>
      <c r="AJ655" s="93" t="str">
        <f>'Q100a-geral'!AJ2027</f>
        <v>x</v>
      </c>
      <c r="AK655" s="137" t="str">
        <f>'Q100a-geral'!AK2027</f>
        <v>x</v>
      </c>
      <c r="AL655" s="213" t="str">
        <f>'Q100a-geral'!AL2027</f>
        <v>x</v>
      </c>
      <c r="AM655" s="137" t="str">
        <f>'Q100a-geral'!AM2027</f>
        <v>x</v>
      </c>
      <c r="AN655" s="137" t="str">
        <f>'Q100a-geral'!AN2027</f>
        <v>x</v>
      </c>
      <c r="AO655" s="137" t="str">
        <f>'Q100a-geral'!AO2027</f>
        <v>x</v>
      </c>
      <c r="AP655" s="137" t="str">
        <f>'Q100a-geral'!AP2027</f>
        <v>x</v>
      </c>
      <c r="AQ655" s="137" t="str">
        <f>'Q100a-geral'!AQ2027</f>
        <v>x</v>
      </c>
      <c r="AR655" s="137"/>
      <c r="AS655" s="137"/>
      <c r="AT655" s="137"/>
      <c r="AU655" s="137"/>
      <c r="AV655" s="137" t="str">
        <f>'Q100a-geral'!AV2027</f>
        <v>x</v>
      </c>
      <c r="AW655" s="137"/>
      <c r="AX655" s="137"/>
      <c r="AY655" s="137"/>
      <c r="AZ655" s="137"/>
      <c r="BA655" s="137" t="str">
        <f>'Q100a-geral'!BA2027</f>
        <v>x</v>
      </c>
      <c r="BB655" s="239" t="str">
        <f>'Q100a-geral'!BB2027</f>
        <v>Poluição do arx</v>
      </c>
      <c r="BC655" s="239" t="str">
        <f>'Q100a-geral'!BC2027</f>
        <v>Poluição do arxbenchmarking</v>
      </c>
      <c r="BD655" s="239" t="str">
        <f>'Q100a-geral'!BD2027</f>
        <v>Poluição do arbenchmarking</v>
      </c>
    </row>
    <row r="656" spans="1:56" s="1" customFormat="1" ht="43.5" customHeight="1" x14ac:dyDescent="0.25">
      <c r="A656" s="275" t="str">
        <f>'Q100a-geral'!A2028</f>
        <v>5.2</v>
      </c>
      <c r="B656" s="54" t="str">
        <f>'Q100a-geral'!B2028</f>
        <v>Poluição do ar</v>
      </c>
      <c r="C656" s="229" t="str">
        <f>'Q100a-geral'!C2028</f>
        <v>x</v>
      </c>
      <c r="D656" s="287" t="str">
        <f>'Q100a-geral'!D2028</f>
        <v>PM 10 média</v>
      </c>
      <c r="E656" s="950" t="str">
        <f>'Q100a-geral'!E2028</f>
        <v>Rio de Janeiro</v>
      </c>
      <c r="F656" s="446" t="str">
        <f>'Q100a-geral'!F2028</f>
        <v>resultado de PM10 média selecionado e apresentado em relatório da Organização das Nações Unidas (ONU) que apresenta comparação de cidades de todo o mundo em WHO(2014a)</v>
      </c>
      <c r="G656" s="252" t="str">
        <f>'Q100a-geral'!G2028</f>
        <v>registro na fonte</v>
      </c>
      <c r="H656" s="173" t="str">
        <f>'Q100a-geral'!H2028</f>
        <v>benchmarking</v>
      </c>
      <c r="I656" s="167" t="str">
        <f>'Q100a-geral'!I2028</f>
        <v>x</v>
      </c>
      <c r="J656" s="93" t="str">
        <f>'Q100a-geral'!J2028</f>
        <v>x</v>
      </c>
      <c r="K656" s="93" t="str">
        <f>'Q100a-geral'!K2028</f>
        <v>x</v>
      </c>
      <c r="L656" s="93" t="str">
        <f>'Q100a-geral'!L2028</f>
        <v>x</v>
      </c>
      <c r="M656" s="93" t="str">
        <f>'Q100a-geral'!M2028</f>
        <v>x</v>
      </c>
      <c r="N656" s="93" t="str">
        <f>'Q100a-geral'!N2028</f>
        <v>x</v>
      </c>
      <c r="O656" s="93" t="str">
        <f>'Q100a-geral'!O2028</f>
        <v>x</v>
      </c>
      <c r="P656" s="93" t="str">
        <f>'Q100a-geral'!P2028</f>
        <v>x</v>
      </c>
      <c r="Q656" s="93" t="str">
        <f>'Q100a-geral'!Q2028</f>
        <v>x</v>
      </c>
      <c r="R656" s="93" t="str">
        <f>'Q100a-geral'!R2028</f>
        <v>x</v>
      </c>
      <c r="S656" s="1138" t="str">
        <f>'Q100a-geral'!S2028</f>
        <v>só para pesquisa</v>
      </c>
      <c r="T656" s="93" t="str">
        <f>'Q100a-geral'!T2028</f>
        <v>x</v>
      </c>
      <c r="U656" s="93" t="str">
        <f>'Q100a-geral'!U2028</f>
        <v>x</v>
      </c>
      <c r="V656" s="107" t="str">
        <f>'Q100a-geral'!V1923</f>
        <v>só para pesquisa</v>
      </c>
      <c r="W656" s="93" t="str">
        <f>'Q100a-geral'!W2028</f>
        <v>x</v>
      </c>
      <c r="X656" s="93" t="str">
        <f>'Q100a-geral'!X2028</f>
        <v>x</v>
      </c>
      <c r="Y656" s="93" t="str">
        <f>'Q100a-geral'!Y2028</f>
        <v>x</v>
      </c>
      <c r="Z656" s="93" t="str">
        <f>'Q100a-geral'!Z2028</f>
        <v>x</v>
      </c>
      <c r="AA656" s="93" t="str">
        <f>'Q100a-geral'!AA2028</f>
        <v>x</v>
      </c>
      <c r="AB656" s="93" t="str">
        <f>'Q100a-geral'!AB2028</f>
        <v>x</v>
      </c>
      <c r="AC656" s="93" t="str">
        <f>'Q100a-geral'!AC2028</f>
        <v>x</v>
      </c>
      <c r="AD656" s="93" t="str">
        <f>'Q100a-geral'!AD2028</f>
        <v>x</v>
      </c>
      <c r="AE656" s="93" t="str">
        <f>'Q100a-geral'!AE2028</f>
        <v>x</v>
      </c>
      <c r="AF656" s="93" t="str">
        <f>'Q100a-geral'!AF2028</f>
        <v>x</v>
      </c>
      <c r="AG656" s="85">
        <f>'Q100a-geral'!AG2028</f>
        <v>67</v>
      </c>
      <c r="AH656" s="93" t="str">
        <f>'Q100a-geral'!AH2028</f>
        <v>x</v>
      </c>
      <c r="AI656" s="93" t="str">
        <f>'Q100a-geral'!AI2028</f>
        <v>x</v>
      </c>
      <c r="AJ656" s="93" t="str">
        <f>'Q100a-geral'!AJ2028</f>
        <v>x</v>
      </c>
      <c r="AK656" s="137" t="str">
        <f>'Q100a-geral'!AK2028</f>
        <v>x</v>
      </c>
      <c r="AL656" s="213" t="str">
        <f>'Q100a-geral'!AL2028</f>
        <v>x</v>
      </c>
      <c r="AM656" s="137" t="str">
        <f>'Q100a-geral'!AM2028</f>
        <v>x</v>
      </c>
      <c r="AN656" s="137" t="str">
        <f>'Q100a-geral'!AN2028</f>
        <v>x</v>
      </c>
      <c r="AO656" s="137" t="str">
        <f>'Q100a-geral'!AO2028</f>
        <v>x</v>
      </c>
      <c r="AP656" s="137" t="str">
        <f>'Q100a-geral'!AP2028</f>
        <v>x</v>
      </c>
      <c r="AQ656" s="137" t="str">
        <f>'Q100a-geral'!AQ2028</f>
        <v>x</v>
      </c>
      <c r="AR656" s="137"/>
      <c r="AS656" s="137"/>
      <c r="AT656" s="137"/>
      <c r="AU656" s="137"/>
      <c r="AV656" s="137" t="str">
        <f>'Q100a-geral'!AV2028</f>
        <v>x</v>
      </c>
      <c r="AW656" s="137"/>
      <c r="AX656" s="137"/>
      <c r="AY656" s="137"/>
      <c r="AZ656" s="137"/>
      <c r="BA656" s="137" t="str">
        <f>'Q100a-geral'!BA2028</f>
        <v>x</v>
      </c>
      <c r="BB656" s="239" t="str">
        <f>'Q100a-geral'!BB2028</f>
        <v>Poluição do arx</v>
      </c>
      <c r="BC656" s="239" t="str">
        <f>'Q100a-geral'!BC2028</f>
        <v>Poluição do arxbenchmarking</v>
      </c>
      <c r="BD656" s="239" t="str">
        <f>'Q100a-geral'!BD2028</f>
        <v>Poluição do arbenchmarking</v>
      </c>
    </row>
    <row r="657" spans="1:56" s="1" customFormat="1" ht="25.5" customHeight="1" x14ac:dyDescent="0.25">
      <c r="A657" s="275" t="str">
        <f>'Q100a-geral'!A2029</f>
        <v>5.2</v>
      </c>
      <c r="B657" s="54" t="str">
        <f>'Q100a-geral'!B2029</f>
        <v>Poluição do ar</v>
      </c>
      <c r="C657" s="229" t="str">
        <f>'Q100a-geral'!C2029</f>
        <v>x</v>
      </c>
      <c r="D657" s="287" t="str">
        <f>'Q100a-geral'!D2029</f>
        <v>PM 10 média</v>
      </c>
      <c r="E657" s="950" t="str">
        <f>'Q100a-geral'!E2029</f>
        <v>Salvador</v>
      </c>
      <c r="F657" s="446" t="str">
        <f>'Q100a-geral'!F2029</f>
        <v>resultado de PM10 média selecionado e apresentado em relatório da Organização das Nações Unidas (ONU) que apresenta comparação de cidades de todo o mundo (WHO, 2014)</v>
      </c>
      <c r="G657" s="252" t="str">
        <f>'Q100a-geral'!G2029</f>
        <v>registro na fonte</v>
      </c>
      <c r="H657" s="173" t="str">
        <f>'Q100a-geral'!H2029</f>
        <v>benchmarking</v>
      </c>
      <c r="I657" s="167" t="str">
        <f>'Q100a-geral'!I2029</f>
        <v>x</v>
      </c>
      <c r="J657" s="93" t="str">
        <f>'Q100a-geral'!J2029</f>
        <v>x</v>
      </c>
      <c r="K657" s="93" t="str">
        <f>'Q100a-geral'!K2029</f>
        <v>x</v>
      </c>
      <c r="L657" s="93" t="str">
        <f>'Q100a-geral'!L2029</f>
        <v>x</v>
      </c>
      <c r="M657" s="93" t="str">
        <f>'Q100a-geral'!M2029</f>
        <v>x</v>
      </c>
      <c r="N657" s="93" t="str">
        <f>'Q100a-geral'!N2029</f>
        <v>x</v>
      </c>
      <c r="O657" s="93" t="str">
        <f>'Q100a-geral'!O2029</f>
        <v>x</v>
      </c>
      <c r="P657" s="93" t="str">
        <f>'Q100a-geral'!P2029</f>
        <v>x</v>
      </c>
      <c r="Q657" s="93" t="str">
        <f>'Q100a-geral'!Q2029</f>
        <v>x</v>
      </c>
      <c r="R657" s="93" t="str">
        <f>'Q100a-geral'!R2029</f>
        <v>x</v>
      </c>
      <c r="S657" s="1138" t="str">
        <f>'Q100a-geral'!S2029</f>
        <v>só para pesquisa</v>
      </c>
      <c r="T657" s="93" t="str">
        <f>'Q100a-geral'!T2029</f>
        <v>x</v>
      </c>
      <c r="U657" s="93" t="str">
        <f>'Q100a-geral'!U2029</f>
        <v>x</v>
      </c>
      <c r="V657" s="107" t="str">
        <f>'Q100a-geral'!V1929</f>
        <v>só para pesquisa</v>
      </c>
      <c r="W657" s="93" t="str">
        <f>'Q100a-geral'!W2029</f>
        <v>x</v>
      </c>
      <c r="X657" s="93" t="str">
        <f>'Q100a-geral'!X2029</f>
        <v>x</v>
      </c>
      <c r="Y657" s="93" t="str">
        <f>'Q100a-geral'!Y2029</f>
        <v>x</v>
      </c>
      <c r="Z657" s="93" t="str">
        <f>'Q100a-geral'!Z2029</f>
        <v>x</v>
      </c>
      <c r="AA657" s="93" t="str">
        <f>'Q100a-geral'!AA2029</f>
        <v>x</v>
      </c>
      <c r="AB657" s="93" t="str">
        <f>'Q100a-geral'!AB2029</f>
        <v>x</v>
      </c>
      <c r="AC657" s="93" t="str">
        <f>'Q100a-geral'!AC2029</f>
        <v>x</v>
      </c>
      <c r="AD657" s="93" t="str">
        <f>'Q100a-geral'!AD2029</f>
        <v>x</v>
      </c>
      <c r="AE657" s="93" t="str">
        <f>'Q100a-geral'!AE2029</f>
        <v>x</v>
      </c>
      <c r="AF657" s="93" t="str">
        <f>'Q100a-geral'!AF2029</f>
        <v>x</v>
      </c>
      <c r="AG657" s="85">
        <f>'Q100a-geral'!AG2029</f>
        <v>17</v>
      </c>
      <c r="AH657" s="93" t="str">
        <f>'Q100a-geral'!AH2029</f>
        <v>x</v>
      </c>
      <c r="AI657" s="93" t="str">
        <f>'Q100a-geral'!AI2029</f>
        <v>x</v>
      </c>
      <c r="AJ657" s="93" t="str">
        <f>'Q100a-geral'!AJ2029</f>
        <v>x</v>
      </c>
      <c r="AK657" s="137" t="str">
        <f>'Q100a-geral'!AK2029</f>
        <v>x</v>
      </c>
      <c r="AL657" s="213" t="str">
        <f>'Q100a-geral'!AL2029</f>
        <v>x</v>
      </c>
      <c r="AM657" s="137" t="str">
        <f>'Q100a-geral'!AM2029</f>
        <v>x</v>
      </c>
      <c r="AN657" s="137" t="str">
        <f>'Q100a-geral'!AN2029</f>
        <v>x</v>
      </c>
      <c r="AO657" s="137" t="str">
        <f>'Q100a-geral'!AO2029</f>
        <v>x</v>
      </c>
      <c r="AP657" s="137" t="str">
        <f>'Q100a-geral'!AP2029</f>
        <v>x</v>
      </c>
      <c r="AQ657" s="137" t="str">
        <f>'Q100a-geral'!AQ2029</f>
        <v>x</v>
      </c>
      <c r="AR657" s="137"/>
      <c r="AS657" s="137"/>
      <c r="AT657" s="137"/>
      <c r="AU657" s="137"/>
      <c r="AV657" s="137" t="str">
        <f>'Q100a-geral'!AV2029</f>
        <v>x</v>
      </c>
      <c r="AW657" s="137"/>
      <c r="AX657" s="137"/>
      <c r="AY657" s="137"/>
      <c r="AZ657" s="137"/>
      <c r="BA657" s="137" t="str">
        <f>'Q100a-geral'!BA2029</f>
        <v>x</v>
      </c>
      <c r="BB657" s="239" t="str">
        <f>'Q100a-geral'!BB2029</f>
        <v>Poluição do arx</v>
      </c>
      <c r="BC657" s="239" t="str">
        <f>'Q100a-geral'!BC2029</f>
        <v>Poluição do arxbenchmarking</v>
      </c>
      <c r="BD657" s="239" t="str">
        <f>'Q100a-geral'!BD2029</f>
        <v>Poluição do arbenchmarking</v>
      </c>
    </row>
    <row r="658" spans="1:56" s="1" customFormat="1" ht="43.5" customHeight="1" x14ac:dyDescent="0.25">
      <c r="A658" s="275" t="str">
        <f>'Q100a-geral'!A2030</f>
        <v>5.2</v>
      </c>
      <c r="B658" s="54" t="str">
        <f>'Q100a-geral'!B2030</f>
        <v>Poluição do ar</v>
      </c>
      <c r="C658" s="229" t="str">
        <f>'Q100a-geral'!C2030</f>
        <v>x</v>
      </c>
      <c r="D658" s="287" t="str">
        <f>'Q100a-geral'!D2030</f>
        <v>PM 10 média</v>
      </c>
      <c r="E658" s="950" t="str">
        <f>'Q100a-geral'!E2030</f>
        <v>Santa Gertrudes</v>
      </c>
      <c r="F658" s="446" t="str">
        <f>'Q100a-geral'!F2030</f>
        <v>resultado de PM10 média selecionado e apresentado em relatório da Organização das Nações Unidas (ONU) que apresenta comparação de cidades de todo o mundo (WHO, 2014)</v>
      </c>
      <c r="G658" s="252" t="str">
        <f>'Q100a-geral'!G2030</f>
        <v>registro na fonte</v>
      </c>
      <c r="H658" s="173" t="str">
        <f>'Q100a-geral'!H2030</f>
        <v>benchmarking</v>
      </c>
      <c r="I658" s="167" t="str">
        <f>'Q100a-geral'!I2030</f>
        <v>x</v>
      </c>
      <c r="J658" s="93" t="str">
        <f>'Q100a-geral'!J2030</f>
        <v>x</v>
      </c>
      <c r="K658" s="93" t="str">
        <f>'Q100a-geral'!K2030</f>
        <v>x</v>
      </c>
      <c r="L658" s="93" t="str">
        <f>'Q100a-geral'!L2030</f>
        <v>x</v>
      </c>
      <c r="M658" s="93" t="str">
        <f>'Q100a-geral'!M2030</f>
        <v>x</v>
      </c>
      <c r="N658" s="93" t="str">
        <f>'Q100a-geral'!N2030</f>
        <v>x</v>
      </c>
      <c r="O658" s="93" t="str">
        <f>'Q100a-geral'!O2030</f>
        <v>x</v>
      </c>
      <c r="P658" s="93" t="str">
        <f>'Q100a-geral'!P2030</f>
        <v>x</v>
      </c>
      <c r="Q658" s="93" t="str">
        <f>'Q100a-geral'!Q2030</f>
        <v>x</v>
      </c>
      <c r="R658" s="93" t="str">
        <f>'Q100a-geral'!R2030</f>
        <v>x</v>
      </c>
      <c r="S658" s="1138" t="str">
        <f>'Q100a-geral'!S2030</f>
        <v>só para pesquisa</v>
      </c>
      <c r="T658" s="93" t="str">
        <f>'Q100a-geral'!T2030</f>
        <v>x</v>
      </c>
      <c r="U658" s="93" t="str">
        <f>'Q100a-geral'!U2030</f>
        <v>x</v>
      </c>
      <c r="V658" s="107" t="str">
        <f>'Q100a-geral'!V1930</f>
        <v>só para pesquisa</v>
      </c>
      <c r="W658" s="93" t="str">
        <f>'Q100a-geral'!W2030</f>
        <v>x</v>
      </c>
      <c r="X658" s="93" t="str">
        <f>'Q100a-geral'!X2030</f>
        <v>x</v>
      </c>
      <c r="Y658" s="93" t="str">
        <f>'Q100a-geral'!Y2030</f>
        <v>x</v>
      </c>
      <c r="Z658" s="93" t="str">
        <f>'Q100a-geral'!Z2030</f>
        <v>x</v>
      </c>
      <c r="AA658" s="93" t="str">
        <f>'Q100a-geral'!AA2030</f>
        <v>x</v>
      </c>
      <c r="AB658" s="93" t="str">
        <f>'Q100a-geral'!AB2030</f>
        <v>x</v>
      </c>
      <c r="AC658" s="93" t="str">
        <f>'Q100a-geral'!AC2030</f>
        <v>x</v>
      </c>
      <c r="AD658" s="93" t="str">
        <f>'Q100a-geral'!AD2030</f>
        <v>x</v>
      </c>
      <c r="AE658" s="93" t="str">
        <f>'Q100a-geral'!AE2030</f>
        <v>x</v>
      </c>
      <c r="AF658" s="93" t="str">
        <f>'Q100a-geral'!AF2030</f>
        <v>x</v>
      </c>
      <c r="AG658" s="85">
        <f>'Q100a-geral'!AG2030</f>
        <v>81</v>
      </c>
      <c r="AH658" s="93" t="str">
        <f>'Q100a-geral'!AH2030</f>
        <v>x</v>
      </c>
      <c r="AI658" s="93" t="str">
        <f>'Q100a-geral'!AI2030</f>
        <v>x</v>
      </c>
      <c r="AJ658" s="93" t="str">
        <f>'Q100a-geral'!AJ2030</f>
        <v>x</v>
      </c>
      <c r="AK658" s="137" t="str">
        <f>'Q100a-geral'!AK2030</f>
        <v>x</v>
      </c>
      <c r="AL658" s="213" t="str">
        <f>'Q100a-geral'!AL2030</f>
        <v>x</v>
      </c>
      <c r="AM658" s="137" t="str">
        <f>'Q100a-geral'!AM2030</f>
        <v>x</v>
      </c>
      <c r="AN658" s="137" t="str">
        <f>'Q100a-geral'!AN2030</f>
        <v>x</v>
      </c>
      <c r="AO658" s="137" t="str">
        <f>'Q100a-geral'!AO2030</f>
        <v>x</v>
      </c>
      <c r="AP658" s="137" t="str">
        <f>'Q100a-geral'!AP2030</f>
        <v>x</v>
      </c>
      <c r="AQ658" s="137" t="str">
        <f>'Q100a-geral'!AQ2030</f>
        <v>x</v>
      </c>
      <c r="AR658" s="137"/>
      <c r="AS658" s="137"/>
      <c r="AT658" s="137"/>
      <c r="AU658" s="137"/>
      <c r="AV658" s="137" t="str">
        <f>'Q100a-geral'!AV2030</f>
        <v>x</v>
      </c>
      <c r="AW658" s="137"/>
      <c r="AX658" s="137"/>
      <c r="AY658" s="137"/>
      <c r="AZ658" s="137"/>
      <c r="BA658" s="137" t="str">
        <f>'Q100a-geral'!BA2030</f>
        <v>x</v>
      </c>
      <c r="BB658" s="239" t="str">
        <f>'Q100a-geral'!BB2030</f>
        <v>Poluição do arx</v>
      </c>
      <c r="BC658" s="239" t="str">
        <f>'Q100a-geral'!BC2030</f>
        <v>Poluição do arxbenchmarking</v>
      </c>
      <c r="BD658" s="239" t="str">
        <f>'Q100a-geral'!BD2030</f>
        <v>Poluição do arbenchmarking</v>
      </c>
    </row>
    <row r="659" spans="1:56" s="1" customFormat="1" ht="25.5" customHeight="1" x14ac:dyDescent="0.25">
      <c r="A659" s="275" t="str">
        <f>'Q100a-geral'!A2031</f>
        <v>5.2</v>
      </c>
      <c r="B659" s="54" t="str">
        <f>'Q100a-geral'!B2031</f>
        <v>Poluição do ar</v>
      </c>
      <c r="C659" s="229" t="str">
        <f>'Q100a-geral'!C2031</f>
        <v>x</v>
      </c>
      <c r="D659" s="287" t="str">
        <f>'Q100a-geral'!D2031</f>
        <v>PM 10 média</v>
      </c>
      <c r="E659" s="950" t="str">
        <f>'Q100a-geral'!E2031</f>
        <v>Santo André</v>
      </c>
      <c r="F659" s="446" t="str">
        <f>'Q100a-geral'!F2031</f>
        <v>resultado de PM10 média selecionado e apresentado em relatório da Organização das Nações Unidas (ONU) que apresenta comparação de cidades de todo o mundo (WHO, 2014)</v>
      </c>
      <c r="G659" s="252" t="str">
        <f>'Q100a-geral'!G2031</f>
        <v>registro na fonte</v>
      </c>
      <c r="H659" s="173" t="str">
        <f>'Q100a-geral'!H2031</f>
        <v>benchmarking</v>
      </c>
      <c r="I659" s="167" t="str">
        <f>'Q100a-geral'!I2031</f>
        <v>x</v>
      </c>
      <c r="J659" s="93" t="str">
        <f>'Q100a-geral'!J2031</f>
        <v>x</v>
      </c>
      <c r="K659" s="93" t="str">
        <f>'Q100a-geral'!K2031</f>
        <v>x</v>
      </c>
      <c r="L659" s="93" t="str">
        <f>'Q100a-geral'!L2031</f>
        <v>x</v>
      </c>
      <c r="M659" s="93" t="str">
        <f>'Q100a-geral'!M2031</f>
        <v>x</v>
      </c>
      <c r="N659" s="93" t="str">
        <f>'Q100a-geral'!N2031</f>
        <v>x</v>
      </c>
      <c r="O659" s="93" t="str">
        <f>'Q100a-geral'!O2031</f>
        <v>x</v>
      </c>
      <c r="P659" s="93" t="str">
        <f>'Q100a-geral'!P2031</f>
        <v>x</v>
      </c>
      <c r="Q659" s="93" t="str">
        <f>'Q100a-geral'!Q2031</f>
        <v>x</v>
      </c>
      <c r="R659" s="93" t="str">
        <f>'Q100a-geral'!R2031</f>
        <v>x</v>
      </c>
      <c r="S659" s="1138" t="str">
        <f>'Q100a-geral'!S2031</f>
        <v>só para pesquisa</v>
      </c>
      <c r="T659" s="93" t="str">
        <f>'Q100a-geral'!T2031</f>
        <v>x</v>
      </c>
      <c r="U659" s="93" t="str">
        <f>'Q100a-geral'!U2031</f>
        <v>x</v>
      </c>
      <c r="V659" s="107" t="str">
        <f>'Q100a-geral'!V1931</f>
        <v>só para pesquisa</v>
      </c>
      <c r="W659" s="93" t="str">
        <f>'Q100a-geral'!W2031</f>
        <v>x</v>
      </c>
      <c r="X659" s="93" t="str">
        <f>'Q100a-geral'!X2031</f>
        <v>x</v>
      </c>
      <c r="Y659" s="93" t="str">
        <f>'Q100a-geral'!Y2031</f>
        <v>x</v>
      </c>
      <c r="Z659" s="93" t="str">
        <f>'Q100a-geral'!Z2031</f>
        <v>x</v>
      </c>
      <c r="AA659" s="93" t="str">
        <f>'Q100a-geral'!AA2031</f>
        <v>x</v>
      </c>
      <c r="AB659" s="93" t="str">
        <f>'Q100a-geral'!AB2031</f>
        <v>x</v>
      </c>
      <c r="AC659" s="93" t="str">
        <f>'Q100a-geral'!AC2031</f>
        <v>x</v>
      </c>
      <c r="AD659" s="93" t="str">
        <f>'Q100a-geral'!AD2031</f>
        <v>x</v>
      </c>
      <c r="AE659" s="93" t="str">
        <f>'Q100a-geral'!AE2031</f>
        <v>x</v>
      </c>
      <c r="AF659" s="93" t="str">
        <f>'Q100a-geral'!AF2031</f>
        <v>x</v>
      </c>
      <c r="AG659" s="85">
        <f>'Q100a-geral'!AG2031</f>
        <v>35.5</v>
      </c>
      <c r="AH659" s="93" t="str">
        <f>'Q100a-geral'!AH2031</f>
        <v>x</v>
      </c>
      <c r="AI659" s="93" t="str">
        <f>'Q100a-geral'!AI2031</f>
        <v>x</v>
      </c>
      <c r="AJ659" s="93" t="str">
        <f>'Q100a-geral'!AJ2031</f>
        <v>x</v>
      </c>
      <c r="AK659" s="137" t="str">
        <f>'Q100a-geral'!AK2031</f>
        <v>x</v>
      </c>
      <c r="AL659" s="213" t="str">
        <f>'Q100a-geral'!AL2031</f>
        <v>x</v>
      </c>
      <c r="AM659" s="137" t="str">
        <f>'Q100a-geral'!AM2031</f>
        <v>x</v>
      </c>
      <c r="AN659" s="137" t="str">
        <f>'Q100a-geral'!AN2031</f>
        <v>x</v>
      </c>
      <c r="AO659" s="137" t="str">
        <f>'Q100a-geral'!AO2031</f>
        <v>x</v>
      </c>
      <c r="AP659" s="137" t="str">
        <f>'Q100a-geral'!AP2031</f>
        <v>x</v>
      </c>
      <c r="AQ659" s="137" t="str">
        <f>'Q100a-geral'!AQ2031</f>
        <v>x</v>
      </c>
      <c r="AR659" s="137"/>
      <c r="AS659" s="137"/>
      <c r="AT659" s="137"/>
      <c r="AU659" s="137"/>
      <c r="AV659" s="137" t="str">
        <f>'Q100a-geral'!AV2031</f>
        <v>x</v>
      </c>
      <c r="AW659" s="137"/>
      <c r="AX659" s="137"/>
      <c r="AY659" s="137"/>
      <c r="AZ659" s="137"/>
      <c r="BA659" s="137" t="str">
        <f>'Q100a-geral'!BA2031</f>
        <v>x</v>
      </c>
      <c r="BB659" s="239" t="str">
        <f>'Q100a-geral'!BB2031</f>
        <v>Poluição do arx</v>
      </c>
      <c r="BC659" s="239" t="str">
        <f>'Q100a-geral'!BC2031</f>
        <v>Poluição do arxbenchmarking</v>
      </c>
      <c r="BD659" s="239" t="str">
        <f>'Q100a-geral'!BD2031</f>
        <v>Poluição do arbenchmarking</v>
      </c>
    </row>
    <row r="660" spans="1:56" s="1" customFormat="1" ht="43.5" customHeight="1" x14ac:dyDescent="0.25">
      <c r="A660" s="275" t="str">
        <f>'Q100a-geral'!A2032</f>
        <v>5.2</v>
      </c>
      <c r="B660" s="54" t="str">
        <f>'Q100a-geral'!B2032</f>
        <v>Poluição do ar</v>
      </c>
      <c r="C660" s="229" t="str">
        <f>'Q100a-geral'!C2032</f>
        <v>x</v>
      </c>
      <c r="D660" s="287" t="str">
        <f>'Q100a-geral'!D2032</f>
        <v>PM 10 média</v>
      </c>
      <c r="E660" s="950" t="str">
        <f>'Q100a-geral'!E2032</f>
        <v>São Bernardo do Campo</v>
      </c>
      <c r="F660" s="446" t="str">
        <f>'Q100a-geral'!F2032</f>
        <v>resultado de PM10 média selecionado e apresentado em relatório da Organização das Nações Unidas (ONU) que apresenta comparação de cidades de todo o mundo (WHO, 2014)</v>
      </c>
      <c r="G660" s="252" t="str">
        <f>'Q100a-geral'!G2032</f>
        <v>registro na fonte</v>
      </c>
      <c r="H660" s="173" t="str">
        <f>'Q100a-geral'!H2032</f>
        <v>benchmarking</v>
      </c>
      <c r="I660" s="167" t="str">
        <f>'Q100a-geral'!I2032</f>
        <v>x</v>
      </c>
      <c r="J660" s="93" t="str">
        <f>'Q100a-geral'!J2032</f>
        <v>x</v>
      </c>
      <c r="K660" s="93" t="str">
        <f>'Q100a-geral'!K2032</f>
        <v>x</v>
      </c>
      <c r="L660" s="93" t="str">
        <f>'Q100a-geral'!L2032</f>
        <v>x</v>
      </c>
      <c r="M660" s="93" t="str">
        <f>'Q100a-geral'!M2032</f>
        <v>x</v>
      </c>
      <c r="N660" s="93" t="str">
        <f>'Q100a-geral'!N2032</f>
        <v>x</v>
      </c>
      <c r="O660" s="93" t="str">
        <f>'Q100a-geral'!O2032</f>
        <v>x</v>
      </c>
      <c r="P660" s="93" t="str">
        <f>'Q100a-geral'!P2032</f>
        <v>x</v>
      </c>
      <c r="Q660" s="93" t="str">
        <f>'Q100a-geral'!Q2032</f>
        <v>x</v>
      </c>
      <c r="R660" s="93" t="str">
        <f>'Q100a-geral'!R2032</f>
        <v>x</v>
      </c>
      <c r="S660" s="1138" t="str">
        <f>'Q100a-geral'!S2032</f>
        <v>só para pesquisa</v>
      </c>
      <c r="T660" s="93" t="str">
        <f>'Q100a-geral'!T2032</f>
        <v>x</v>
      </c>
      <c r="U660" s="93" t="str">
        <f>'Q100a-geral'!U2032</f>
        <v>x</v>
      </c>
      <c r="V660" s="107" t="str">
        <f>'Q100a-geral'!V1932</f>
        <v>só para pesquisa</v>
      </c>
      <c r="W660" s="93" t="str">
        <f>'Q100a-geral'!W2032</f>
        <v>x</v>
      </c>
      <c r="X660" s="93" t="str">
        <f>'Q100a-geral'!X2032</f>
        <v>x</v>
      </c>
      <c r="Y660" s="93" t="str">
        <f>'Q100a-geral'!Y2032</f>
        <v>x</v>
      </c>
      <c r="Z660" s="93" t="str">
        <f>'Q100a-geral'!Z2032</f>
        <v>x</v>
      </c>
      <c r="AA660" s="93" t="str">
        <f>'Q100a-geral'!AA2032</f>
        <v>x</v>
      </c>
      <c r="AB660" s="93" t="str">
        <f>'Q100a-geral'!AB2032</f>
        <v>x</v>
      </c>
      <c r="AC660" s="93" t="str">
        <f>'Q100a-geral'!AC2032</f>
        <v>x</v>
      </c>
      <c r="AD660" s="93" t="str">
        <f>'Q100a-geral'!AD2032</f>
        <v>x</v>
      </c>
      <c r="AE660" s="93" t="str">
        <f>'Q100a-geral'!AE2032</f>
        <v>x</v>
      </c>
      <c r="AF660" s="93" t="str">
        <f>'Q100a-geral'!AF2032</f>
        <v>x</v>
      </c>
      <c r="AG660" s="85">
        <f>'Q100a-geral'!AG2032</f>
        <v>35</v>
      </c>
      <c r="AH660" s="93" t="str">
        <f>'Q100a-geral'!AH2032</f>
        <v>x</v>
      </c>
      <c r="AI660" s="93" t="str">
        <f>'Q100a-geral'!AI2032</f>
        <v>x</v>
      </c>
      <c r="AJ660" s="93" t="str">
        <f>'Q100a-geral'!AJ2032</f>
        <v>x</v>
      </c>
      <c r="AK660" s="137" t="str">
        <f>'Q100a-geral'!AK2032</f>
        <v>x</v>
      </c>
      <c r="AL660" s="213" t="str">
        <f>'Q100a-geral'!AL2032</f>
        <v>x</v>
      </c>
      <c r="AM660" s="137" t="str">
        <f>'Q100a-geral'!AM2032</f>
        <v>x</v>
      </c>
      <c r="AN660" s="137" t="str">
        <f>'Q100a-geral'!AN2032</f>
        <v>x</v>
      </c>
      <c r="AO660" s="137" t="str">
        <f>'Q100a-geral'!AO2032</f>
        <v>x</v>
      </c>
      <c r="AP660" s="137" t="str">
        <f>'Q100a-geral'!AP2032</f>
        <v>x</v>
      </c>
      <c r="AQ660" s="137" t="str">
        <f>'Q100a-geral'!AQ2032</f>
        <v>x</v>
      </c>
      <c r="AR660" s="137"/>
      <c r="AS660" s="137"/>
      <c r="AT660" s="137"/>
      <c r="AU660" s="137"/>
      <c r="AV660" s="137" t="str">
        <f>'Q100a-geral'!AV2032</f>
        <v>x</v>
      </c>
      <c r="AW660" s="137"/>
      <c r="AX660" s="137"/>
      <c r="AY660" s="137"/>
      <c r="AZ660" s="137"/>
      <c r="BA660" s="137" t="str">
        <f>'Q100a-geral'!BA2032</f>
        <v>x</v>
      </c>
      <c r="BB660" s="239" t="str">
        <f>'Q100a-geral'!BB2032</f>
        <v>Poluição do arx</v>
      </c>
      <c r="BC660" s="239" t="str">
        <f>'Q100a-geral'!BC2032</f>
        <v>Poluição do arxbenchmarking</v>
      </c>
      <c r="BD660" s="239" t="str">
        <f>'Q100a-geral'!BD2032</f>
        <v>Poluição do arbenchmarking</v>
      </c>
    </row>
    <row r="661" spans="1:56" s="1" customFormat="1" ht="43.5" customHeight="1" x14ac:dyDescent="0.25">
      <c r="A661" s="275" t="str">
        <f>'Q100a-geral'!A2033</f>
        <v>5.2</v>
      </c>
      <c r="B661" s="54" t="str">
        <f>'Q100a-geral'!B2033</f>
        <v>Poluição do ar</v>
      </c>
      <c r="C661" s="229" t="str">
        <f>'Q100a-geral'!C2033</f>
        <v>x</v>
      </c>
      <c r="D661" s="287" t="str">
        <f>'Q100a-geral'!D2033</f>
        <v>PM 10 média</v>
      </c>
      <c r="E661" s="950" t="str">
        <f>'Q100a-geral'!E2033</f>
        <v>São Caetano do Sul</v>
      </c>
      <c r="F661" s="446" t="str">
        <f>'Q100a-geral'!F2033</f>
        <v>resultado de PM10 média selecionado e apresentado em relatório da Organização das Nações Unidas (ONU) que apresenta comparação de cidades de todo o mundo (WHO, 2014)</v>
      </c>
      <c r="G661" s="252" t="str">
        <f>'Q100a-geral'!G2033</f>
        <v>registro na fonte</v>
      </c>
      <c r="H661" s="173" t="str">
        <f>'Q100a-geral'!H2033</f>
        <v>benchmarking</v>
      </c>
      <c r="I661" s="167" t="str">
        <f>'Q100a-geral'!I2033</f>
        <v>x</v>
      </c>
      <c r="J661" s="93" t="str">
        <f>'Q100a-geral'!J2033</f>
        <v>x</v>
      </c>
      <c r="K661" s="93" t="str">
        <f>'Q100a-geral'!K2033</f>
        <v>x</v>
      </c>
      <c r="L661" s="93" t="str">
        <f>'Q100a-geral'!L2033</f>
        <v>x</v>
      </c>
      <c r="M661" s="93" t="str">
        <f>'Q100a-geral'!M2033</f>
        <v>x</v>
      </c>
      <c r="N661" s="93" t="str">
        <f>'Q100a-geral'!N2033</f>
        <v>x</v>
      </c>
      <c r="O661" s="93" t="str">
        <f>'Q100a-geral'!O2033</f>
        <v>x</v>
      </c>
      <c r="P661" s="93" t="str">
        <f>'Q100a-geral'!P2033</f>
        <v>x</v>
      </c>
      <c r="Q661" s="93" t="str">
        <f>'Q100a-geral'!Q2033</f>
        <v>x</v>
      </c>
      <c r="R661" s="93" t="str">
        <f>'Q100a-geral'!R2033</f>
        <v>x</v>
      </c>
      <c r="S661" s="1138" t="str">
        <f>'Q100a-geral'!S2033</f>
        <v>só para pesquisa</v>
      </c>
      <c r="T661" s="93" t="str">
        <f>'Q100a-geral'!T2033</f>
        <v>x</v>
      </c>
      <c r="U661" s="93" t="str">
        <f>'Q100a-geral'!U2033</f>
        <v>x</v>
      </c>
      <c r="V661" s="107" t="str">
        <f>'Q100a-geral'!V1933</f>
        <v>só para pesquisa</v>
      </c>
      <c r="W661" s="93" t="str">
        <f>'Q100a-geral'!W2033</f>
        <v>x</v>
      </c>
      <c r="X661" s="93" t="str">
        <f>'Q100a-geral'!X2033</f>
        <v>x</v>
      </c>
      <c r="Y661" s="93" t="str">
        <f>'Q100a-geral'!Y2033</f>
        <v>x</v>
      </c>
      <c r="Z661" s="93" t="str">
        <f>'Q100a-geral'!Z2033</f>
        <v>x</v>
      </c>
      <c r="AA661" s="93" t="str">
        <f>'Q100a-geral'!AA2033</f>
        <v>x</v>
      </c>
      <c r="AB661" s="93" t="str">
        <f>'Q100a-geral'!AB2033</f>
        <v>x</v>
      </c>
      <c r="AC661" s="93" t="str">
        <f>'Q100a-geral'!AC2033</f>
        <v>x</v>
      </c>
      <c r="AD661" s="93" t="str">
        <f>'Q100a-geral'!AD2033</f>
        <v>x</v>
      </c>
      <c r="AE661" s="93" t="str">
        <f>'Q100a-geral'!AE2033</f>
        <v>x</v>
      </c>
      <c r="AF661" s="93" t="str">
        <f>'Q100a-geral'!AF2033</f>
        <v>x</v>
      </c>
      <c r="AG661" s="85">
        <f>'Q100a-geral'!AG2033</f>
        <v>39</v>
      </c>
      <c r="AH661" s="93" t="str">
        <f>'Q100a-geral'!AH2033</f>
        <v>x</v>
      </c>
      <c r="AI661" s="93" t="str">
        <f>'Q100a-geral'!AI2033</f>
        <v>x</v>
      </c>
      <c r="AJ661" s="93" t="str">
        <f>'Q100a-geral'!AJ2033</f>
        <v>x</v>
      </c>
      <c r="AK661" s="137" t="str">
        <f>'Q100a-geral'!AK2033</f>
        <v>x</v>
      </c>
      <c r="AL661" s="213" t="str">
        <f>'Q100a-geral'!AL2033</f>
        <v>x</v>
      </c>
      <c r="AM661" s="137" t="str">
        <f>'Q100a-geral'!AM2033</f>
        <v>x</v>
      </c>
      <c r="AN661" s="137" t="str">
        <f>'Q100a-geral'!AN2033</f>
        <v>x</v>
      </c>
      <c r="AO661" s="137" t="str">
        <f>'Q100a-geral'!AO2033</f>
        <v>x</v>
      </c>
      <c r="AP661" s="137" t="str">
        <f>'Q100a-geral'!AP2033</f>
        <v>x</v>
      </c>
      <c r="AQ661" s="137" t="str">
        <f>'Q100a-geral'!AQ2033</f>
        <v>x</v>
      </c>
      <c r="AR661" s="137"/>
      <c r="AS661" s="137"/>
      <c r="AT661" s="137"/>
      <c r="AU661" s="137"/>
      <c r="AV661" s="137" t="str">
        <f>'Q100a-geral'!AV2033</f>
        <v>x</v>
      </c>
      <c r="AW661" s="137"/>
      <c r="AX661" s="137"/>
      <c r="AY661" s="137"/>
      <c r="AZ661" s="137"/>
      <c r="BA661" s="137" t="str">
        <f>'Q100a-geral'!BA2033</f>
        <v>x</v>
      </c>
      <c r="BB661" s="239" t="str">
        <f>'Q100a-geral'!BB2033</f>
        <v>Poluição do arx</v>
      </c>
      <c r="BC661" s="239" t="str">
        <f>'Q100a-geral'!BC2033</f>
        <v>Poluição do arxbenchmarking</v>
      </c>
      <c r="BD661" s="239" t="str">
        <f>'Q100a-geral'!BD2033</f>
        <v>Poluição do arbenchmarking</v>
      </c>
    </row>
    <row r="662" spans="1:56" s="1" customFormat="1" ht="43.5" customHeight="1" x14ac:dyDescent="0.25">
      <c r="A662" s="275" t="str">
        <f>'Q100a-geral'!A2034</f>
        <v>5.2</v>
      </c>
      <c r="B662" s="54" t="str">
        <f>'Q100a-geral'!B2034</f>
        <v>Poluição do ar</v>
      </c>
      <c r="C662" s="229" t="str">
        <f>'Q100a-geral'!C2034</f>
        <v>x</v>
      </c>
      <c r="D662" s="287" t="str">
        <f>'Q100a-geral'!D2034</f>
        <v>PM 10 média</v>
      </c>
      <c r="E662" s="950" t="str">
        <f>'Q100a-geral'!E2034</f>
        <v>São José do Rio Preto</v>
      </c>
      <c r="F662" s="446" t="str">
        <f>'Q100a-geral'!F2034</f>
        <v>resultado de PM10 média selecionado e apresentado em relatório da Organização das Nações Unidas (ONU) que apresenta comparação de cidades de todo o mundo (WHO, 2014)</v>
      </c>
      <c r="G662" s="252" t="str">
        <f>'Q100a-geral'!G2034</f>
        <v>registro na fonte</v>
      </c>
      <c r="H662" s="173" t="str">
        <f>'Q100a-geral'!H2034</f>
        <v>benchmarking</v>
      </c>
      <c r="I662" s="167" t="str">
        <f>'Q100a-geral'!I2034</f>
        <v>x</v>
      </c>
      <c r="J662" s="93" t="str">
        <f>'Q100a-geral'!J2034</f>
        <v>x</v>
      </c>
      <c r="K662" s="93" t="str">
        <f>'Q100a-geral'!K2034</f>
        <v>x</v>
      </c>
      <c r="L662" s="93" t="str">
        <f>'Q100a-geral'!L2034</f>
        <v>x</v>
      </c>
      <c r="M662" s="93" t="str">
        <f>'Q100a-geral'!M2034</f>
        <v>x</v>
      </c>
      <c r="N662" s="93" t="str">
        <f>'Q100a-geral'!N2034</f>
        <v>x</v>
      </c>
      <c r="O662" s="93" t="str">
        <f>'Q100a-geral'!O2034</f>
        <v>x</v>
      </c>
      <c r="P662" s="93" t="str">
        <f>'Q100a-geral'!P2034</f>
        <v>x</v>
      </c>
      <c r="Q662" s="93" t="str">
        <f>'Q100a-geral'!Q2034</f>
        <v>x</v>
      </c>
      <c r="R662" s="93" t="str">
        <f>'Q100a-geral'!R2034</f>
        <v>x</v>
      </c>
      <c r="S662" s="1138" t="str">
        <f>'Q100a-geral'!S2034</f>
        <v>só para pesquisa</v>
      </c>
      <c r="T662" s="93" t="str">
        <f>'Q100a-geral'!T2034</f>
        <v>x</v>
      </c>
      <c r="U662" s="93" t="str">
        <f>'Q100a-geral'!U2034</f>
        <v>x</v>
      </c>
      <c r="V662" s="107" t="str">
        <f>'Q100a-geral'!V1934</f>
        <v>só para pesquisa</v>
      </c>
      <c r="W662" s="93" t="str">
        <f>'Q100a-geral'!W2034</f>
        <v>x</v>
      </c>
      <c r="X662" s="93" t="str">
        <f>'Q100a-geral'!X2034</f>
        <v>x</v>
      </c>
      <c r="Y662" s="93" t="str">
        <f>'Q100a-geral'!Y2034</f>
        <v>x</v>
      </c>
      <c r="Z662" s="93" t="str">
        <f>'Q100a-geral'!Z2034</f>
        <v>x</v>
      </c>
      <c r="AA662" s="93" t="str">
        <f>'Q100a-geral'!AA2034</f>
        <v>x</v>
      </c>
      <c r="AB662" s="93" t="str">
        <f>'Q100a-geral'!AB2034</f>
        <v>x</v>
      </c>
      <c r="AC662" s="93" t="str">
        <f>'Q100a-geral'!AC2034</f>
        <v>x</v>
      </c>
      <c r="AD662" s="93" t="str">
        <f>'Q100a-geral'!AD2034</f>
        <v>x</v>
      </c>
      <c r="AE662" s="93" t="str">
        <f>'Q100a-geral'!AE2034</f>
        <v>x</v>
      </c>
      <c r="AF662" s="93" t="str">
        <f>'Q100a-geral'!AF2034</f>
        <v>x</v>
      </c>
      <c r="AG662" s="85">
        <f>'Q100a-geral'!AG2034</f>
        <v>38</v>
      </c>
      <c r="AH662" s="93" t="str">
        <f>'Q100a-geral'!AH2034</f>
        <v>x</v>
      </c>
      <c r="AI662" s="93" t="str">
        <f>'Q100a-geral'!AI2034</f>
        <v>x</v>
      </c>
      <c r="AJ662" s="93" t="str">
        <f>'Q100a-geral'!AJ2034</f>
        <v>x</v>
      </c>
      <c r="AK662" s="137" t="str">
        <f>'Q100a-geral'!AK2034</f>
        <v>x</v>
      </c>
      <c r="AL662" s="213" t="str">
        <f>'Q100a-geral'!AL2034</f>
        <v>x</v>
      </c>
      <c r="AM662" s="137" t="str">
        <f>'Q100a-geral'!AM2034</f>
        <v>x</v>
      </c>
      <c r="AN662" s="137" t="str">
        <f>'Q100a-geral'!AN2034</f>
        <v>x</v>
      </c>
      <c r="AO662" s="137" t="str">
        <f>'Q100a-geral'!AO2034</f>
        <v>x</v>
      </c>
      <c r="AP662" s="137" t="str">
        <f>'Q100a-geral'!AP2034</f>
        <v>x</v>
      </c>
      <c r="AQ662" s="137" t="str">
        <f>'Q100a-geral'!AQ2034</f>
        <v>x</v>
      </c>
      <c r="AR662" s="137"/>
      <c r="AS662" s="137"/>
      <c r="AT662" s="137"/>
      <c r="AU662" s="137"/>
      <c r="AV662" s="137" t="str">
        <f>'Q100a-geral'!AV2034</f>
        <v>x</v>
      </c>
      <c r="AW662" s="137"/>
      <c r="AX662" s="137"/>
      <c r="AY662" s="137"/>
      <c r="AZ662" s="137"/>
      <c r="BA662" s="137" t="str">
        <f>'Q100a-geral'!BA2034</f>
        <v>x</v>
      </c>
      <c r="BB662" s="239" t="str">
        <f>'Q100a-geral'!BB2034</f>
        <v>Poluição do arx</v>
      </c>
      <c r="BC662" s="239" t="str">
        <f>'Q100a-geral'!BC2034</f>
        <v>Poluição do arxbenchmarking</v>
      </c>
      <c r="BD662" s="239" t="str">
        <f>'Q100a-geral'!BD2034</f>
        <v>Poluição do arbenchmarking</v>
      </c>
    </row>
    <row r="663" spans="1:56" s="1" customFormat="1" ht="43.5" customHeight="1" x14ac:dyDescent="0.25">
      <c r="A663" s="275" t="str">
        <f>'Q100a-geral'!A2035</f>
        <v>5.2</v>
      </c>
      <c r="B663" s="54" t="str">
        <f>'Q100a-geral'!B2035</f>
        <v>Poluição do ar</v>
      </c>
      <c r="C663" s="229" t="str">
        <f>'Q100a-geral'!C2035</f>
        <v>x</v>
      </c>
      <c r="D663" s="287" t="str">
        <f>'Q100a-geral'!D2035</f>
        <v>PM 10 média</v>
      </c>
      <c r="E663" s="950" t="str">
        <f>'Q100a-geral'!E2035</f>
        <v>São José dos Campos</v>
      </c>
      <c r="F663" s="446" t="str">
        <f>'Q100a-geral'!F2035</f>
        <v>resultado de PM10 média selecionado e apresentado em relatório da Organização das Nações Unidas (ONU) que apresenta comparação de cidades de todo o mundo (WHO, 2014)</v>
      </c>
      <c r="G663" s="252" t="str">
        <f>'Q100a-geral'!G2035</f>
        <v>registro na fonte</v>
      </c>
      <c r="H663" s="173" t="str">
        <f>'Q100a-geral'!H2035</f>
        <v>benchmarking</v>
      </c>
      <c r="I663" s="167" t="str">
        <f>'Q100a-geral'!I2035</f>
        <v>x</v>
      </c>
      <c r="J663" s="93" t="str">
        <f>'Q100a-geral'!J2035</f>
        <v>x</v>
      </c>
      <c r="K663" s="93" t="str">
        <f>'Q100a-geral'!K2035</f>
        <v>x</v>
      </c>
      <c r="L663" s="93" t="str">
        <f>'Q100a-geral'!L2035</f>
        <v>x</v>
      </c>
      <c r="M663" s="93" t="str">
        <f>'Q100a-geral'!M2035</f>
        <v>x</v>
      </c>
      <c r="N663" s="93" t="str">
        <f>'Q100a-geral'!N2035</f>
        <v>x</v>
      </c>
      <c r="O663" s="93" t="str">
        <f>'Q100a-geral'!O2035</f>
        <v>x</v>
      </c>
      <c r="P663" s="93" t="str">
        <f>'Q100a-geral'!P2035</f>
        <v>x</v>
      </c>
      <c r="Q663" s="93" t="str">
        <f>'Q100a-geral'!Q2035</f>
        <v>x</v>
      </c>
      <c r="R663" s="93" t="str">
        <f>'Q100a-geral'!R2035</f>
        <v>x</v>
      </c>
      <c r="S663" s="1138" t="str">
        <f>'Q100a-geral'!S2035</f>
        <v>só para pesquisa</v>
      </c>
      <c r="T663" s="93" t="str">
        <f>'Q100a-geral'!T2035</f>
        <v>x</v>
      </c>
      <c r="U663" s="93" t="str">
        <f>'Q100a-geral'!U2035</f>
        <v>x</v>
      </c>
      <c r="V663" s="107" t="str">
        <f>'Q100a-geral'!V1939</f>
        <v>só para pesquisa</v>
      </c>
      <c r="W663" s="93" t="str">
        <f>'Q100a-geral'!W2035</f>
        <v>x</v>
      </c>
      <c r="X663" s="93" t="str">
        <f>'Q100a-geral'!X2035</f>
        <v>x</v>
      </c>
      <c r="Y663" s="93" t="str">
        <f>'Q100a-geral'!Y2035</f>
        <v>x</v>
      </c>
      <c r="Z663" s="93" t="str">
        <f>'Q100a-geral'!Z2035</f>
        <v>x</v>
      </c>
      <c r="AA663" s="93" t="str">
        <f>'Q100a-geral'!AA2035</f>
        <v>x</v>
      </c>
      <c r="AB663" s="93" t="str">
        <f>'Q100a-geral'!AB2035</f>
        <v>x</v>
      </c>
      <c r="AC663" s="93" t="str">
        <f>'Q100a-geral'!AC2035</f>
        <v>x</v>
      </c>
      <c r="AD663" s="93" t="str">
        <f>'Q100a-geral'!AD2035</f>
        <v>x</v>
      </c>
      <c r="AE663" s="93" t="str">
        <f>'Q100a-geral'!AE2035</f>
        <v>x</v>
      </c>
      <c r="AF663" s="93" t="str">
        <f>'Q100a-geral'!AF2035</f>
        <v>x</v>
      </c>
      <c r="AG663" s="85">
        <f>'Q100a-geral'!AG2035</f>
        <v>23</v>
      </c>
      <c r="AH663" s="93" t="str">
        <f>'Q100a-geral'!AH2035</f>
        <v>x</v>
      </c>
      <c r="AI663" s="93" t="str">
        <f>'Q100a-geral'!AI2035</f>
        <v>x</v>
      </c>
      <c r="AJ663" s="93" t="str">
        <f>'Q100a-geral'!AJ2035</f>
        <v>x</v>
      </c>
      <c r="AK663" s="137" t="str">
        <f>'Q100a-geral'!AK2035</f>
        <v>x</v>
      </c>
      <c r="AL663" s="213" t="str">
        <f>'Q100a-geral'!AL2035</f>
        <v>x</v>
      </c>
      <c r="AM663" s="137" t="str">
        <f>'Q100a-geral'!AM2035</f>
        <v>x</v>
      </c>
      <c r="AN663" s="137" t="str">
        <f>'Q100a-geral'!AN2035</f>
        <v>x</v>
      </c>
      <c r="AO663" s="137" t="str">
        <f>'Q100a-geral'!AO2035</f>
        <v>x</v>
      </c>
      <c r="AP663" s="137" t="str">
        <f>'Q100a-geral'!AP2035</f>
        <v>x</v>
      </c>
      <c r="AQ663" s="137" t="str">
        <f>'Q100a-geral'!AQ2035</f>
        <v>x</v>
      </c>
      <c r="AR663" s="137"/>
      <c r="AS663" s="137"/>
      <c r="AT663" s="137"/>
      <c r="AU663" s="137"/>
      <c r="AV663" s="137" t="str">
        <f>'Q100a-geral'!AV2035</f>
        <v>x</v>
      </c>
      <c r="AW663" s="137"/>
      <c r="AX663" s="137"/>
      <c r="AY663" s="137"/>
      <c r="AZ663" s="137"/>
      <c r="BA663" s="137" t="str">
        <f>'Q100a-geral'!BA2035</f>
        <v>x</v>
      </c>
      <c r="BB663" s="239" t="str">
        <f>'Q100a-geral'!BB2035</f>
        <v>Poluição do arx</v>
      </c>
      <c r="BC663" s="239" t="str">
        <f>'Q100a-geral'!BC2035</f>
        <v>Poluição do arxbenchmarking</v>
      </c>
      <c r="BD663" s="239" t="str">
        <f>'Q100a-geral'!BD2035</f>
        <v>Poluição do arbenchmarking</v>
      </c>
    </row>
    <row r="664" spans="1:56" s="1" customFormat="1" ht="25.5" customHeight="1" x14ac:dyDescent="0.25">
      <c r="A664" s="275" t="str">
        <f>'Q100a-geral'!A2036</f>
        <v>5.2</v>
      </c>
      <c r="B664" s="54" t="str">
        <f>'Q100a-geral'!B2036</f>
        <v>Poluição do ar</v>
      </c>
      <c r="C664" s="229" t="str">
        <f>'Q100a-geral'!C2036</f>
        <v>x</v>
      </c>
      <c r="D664" s="287" t="str">
        <f>'Q100a-geral'!D2036</f>
        <v>PM 10 média</v>
      </c>
      <c r="E664" s="950" t="str">
        <f>'Q100a-geral'!E2036</f>
        <v>São Paulo</v>
      </c>
      <c r="F664" s="446" t="str">
        <f>'Q100a-geral'!F2036</f>
        <v>resultado de PM10 média selecionado e apresentado em relatório da Organização das Nações Unidas (ONU) que apresenta comparação de cidades de todo o mundo (WHO, 2014)</v>
      </c>
      <c r="G664" s="252" t="str">
        <f>'Q100a-geral'!G2036</f>
        <v>registro na fonte</v>
      </c>
      <c r="H664" s="173" t="str">
        <f>'Q100a-geral'!H2036</f>
        <v>benchmarking</v>
      </c>
      <c r="I664" s="167" t="str">
        <f>'Q100a-geral'!I2036</f>
        <v>x</v>
      </c>
      <c r="J664" s="93" t="str">
        <f>'Q100a-geral'!J2036</f>
        <v>x</v>
      </c>
      <c r="K664" s="93" t="str">
        <f>'Q100a-geral'!K2036</f>
        <v>x</v>
      </c>
      <c r="L664" s="93" t="str">
        <f>'Q100a-geral'!L2036</f>
        <v>x</v>
      </c>
      <c r="M664" s="93" t="str">
        <f>'Q100a-geral'!M2036</f>
        <v>x</v>
      </c>
      <c r="N664" s="93" t="str">
        <f>'Q100a-geral'!N2036</f>
        <v>x</v>
      </c>
      <c r="O664" s="93" t="str">
        <f>'Q100a-geral'!O2036</f>
        <v>x</v>
      </c>
      <c r="P664" s="93" t="str">
        <f>'Q100a-geral'!P2036</f>
        <v>x</v>
      </c>
      <c r="Q664" s="93" t="str">
        <f>'Q100a-geral'!Q2036</f>
        <v>x</v>
      </c>
      <c r="R664" s="93" t="str">
        <f>'Q100a-geral'!R2036</f>
        <v>x</v>
      </c>
      <c r="S664" s="1138" t="str">
        <f>'Q100a-geral'!S2036</f>
        <v>só para pesquisa</v>
      </c>
      <c r="T664" s="93" t="str">
        <f>'Q100a-geral'!T2036</f>
        <v>x</v>
      </c>
      <c r="U664" s="93" t="str">
        <f>'Q100a-geral'!U2036</f>
        <v>x</v>
      </c>
      <c r="V664" s="107" t="str">
        <f>'Q100a-geral'!V1940</f>
        <v>só para pesquisa</v>
      </c>
      <c r="W664" s="93" t="str">
        <f>'Q100a-geral'!W2036</f>
        <v>x</v>
      </c>
      <c r="X664" s="93" t="str">
        <f>'Q100a-geral'!X2036</f>
        <v>x</v>
      </c>
      <c r="Y664" s="93" t="str">
        <f>'Q100a-geral'!Y2036</f>
        <v>x</v>
      </c>
      <c r="Z664" s="93" t="str">
        <f>'Q100a-geral'!Z2036</f>
        <v>x</v>
      </c>
      <c r="AA664" s="93" t="str">
        <f>'Q100a-geral'!AA2036</f>
        <v>x</v>
      </c>
      <c r="AB664" s="93" t="str">
        <f>'Q100a-geral'!AB2036</f>
        <v>x</v>
      </c>
      <c r="AC664" s="93" t="str">
        <f>'Q100a-geral'!AC2036</f>
        <v>x</v>
      </c>
      <c r="AD664" s="93" t="str">
        <f>'Q100a-geral'!AD2036</f>
        <v>x</v>
      </c>
      <c r="AE664" s="93" t="str">
        <f>'Q100a-geral'!AE2036</f>
        <v>x</v>
      </c>
      <c r="AF664" s="93" t="str">
        <f>'Q100a-geral'!AF2036</f>
        <v>x</v>
      </c>
      <c r="AG664" s="85">
        <f>'Q100a-geral'!AG2036</f>
        <v>34.555555555555557</v>
      </c>
      <c r="AH664" s="93" t="str">
        <f>'Q100a-geral'!AH2036</f>
        <v>x</v>
      </c>
      <c r="AI664" s="93" t="str">
        <f>'Q100a-geral'!AI2036</f>
        <v>x</v>
      </c>
      <c r="AJ664" s="93" t="str">
        <f>'Q100a-geral'!AJ2036</f>
        <v>x</v>
      </c>
      <c r="AK664" s="137" t="str">
        <f>'Q100a-geral'!AK2036</f>
        <v>x</v>
      </c>
      <c r="AL664" s="213" t="str">
        <f>'Q100a-geral'!AL2036</f>
        <v>x</v>
      </c>
      <c r="AM664" s="137" t="str">
        <f>'Q100a-geral'!AM2036</f>
        <v>x</v>
      </c>
      <c r="AN664" s="137" t="str">
        <f>'Q100a-geral'!AN2036</f>
        <v>x</v>
      </c>
      <c r="AO664" s="137" t="str">
        <f>'Q100a-geral'!AO2036</f>
        <v>x</v>
      </c>
      <c r="AP664" s="137" t="str">
        <f>'Q100a-geral'!AP2036</f>
        <v>x</v>
      </c>
      <c r="AQ664" s="137" t="str">
        <f>'Q100a-geral'!AQ2036</f>
        <v>x</v>
      </c>
      <c r="AR664" s="137"/>
      <c r="AS664" s="137"/>
      <c r="AT664" s="137"/>
      <c r="AU664" s="137"/>
      <c r="AV664" s="137" t="str">
        <f>'Q100a-geral'!AV2036</f>
        <v>x</v>
      </c>
      <c r="AW664" s="137"/>
      <c r="AX664" s="137"/>
      <c r="AY664" s="137"/>
      <c r="AZ664" s="137"/>
      <c r="BA664" s="137" t="str">
        <f>'Q100a-geral'!BA2036</f>
        <v>x</v>
      </c>
      <c r="BB664" s="239" t="str">
        <f>'Q100a-geral'!BB2036</f>
        <v>Poluição do arx</v>
      </c>
      <c r="BC664" s="239" t="str">
        <f>'Q100a-geral'!BC2036</f>
        <v>Poluição do arxbenchmarking</v>
      </c>
      <c r="BD664" s="239" t="str">
        <f>'Q100a-geral'!BD2036</f>
        <v>Poluição do arbenchmarking</v>
      </c>
    </row>
    <row r="665" spans="1:56" s="1" customFormat="1" ht="25.5" customHeight="1" x14ac:dyDescent="0.25">
      <c r="A665" s="275" t="str">
        <f>'Q100a-geral'!A2037</f>
        <v>5.2</v>
      </c>
      <c r="B665" s="54" t="str">
        <f>'Q100a-geral'!B2037</f>
        <v>Poluição do ar</v>
      </c>
      <c r="C665" s="229" t="str">
        <f>'Q100a-geral'!C2037</f>
        <v>x</v>
      </c>
      <c r="D665" s="287" t="str">
        <f>'Q100a-geral'!D2037</f>
        <v>PM 10 média</v>
      </c>
      <c r="E665" s="950" t="str">
        <f>'Q100a-geral'!E2037</f>
        <v>Sorocaba</v>
      </c>
      <c r="F665" s="446" t="str">
        <f>'Q100a-geral'!F2037</f>
        <v>resultado de PM10 média selecionado e apresentado em relatório da Organização das Nações Unidas (ONU) que apresenta comparação de cidades de todo o mundo (WHO, 2014)</v>
      </c>
      <c r="G665" s="252" t="str">
        <f>'Q100a-geral'!G2037</f>
        <v>registro na fonte</v>
      </c>
      <c r="H665" s="173" t="str">
        <f>'Q100a-geral'!H2037</f>
        <v>benchmarking</v>
      </c>
      <c r="I665" s="167" t="str">
        <f>'Q100a-geral'!I2037</f>
        <v>x</v>
      </c>
      <c r="J665" s="93" t="str">
        <f>'Q100a-geral'!J2037</f>
        <v>x</v>
      </c>
      <c r="K665" s="93" t="str">
        <f>'Q100a-geral'!K2037</f>
        <v>x</v>
      </c>
      <c r="L665" s="93" t="str">
        <f>'Q100a-geral'!L2037</f>
        <v>x</v>
      </c>
      <c r="M665" s="93" t="str">
        <f>'Q100a-geral'!M2037</f>
        <v>x</v>
      </c>
      <c r="N665" s="93" t="str">
        <f>'Q100a-geral'!N2037</f>
        <v>x</v>
      </c>
      <c r="O665" s="93" t="str">
        <f>'Q100a-geral'!O2037</f>
        <v>x</v>
      </c>
      <c r="P665" s="93" t="str">
        <f>'Q100a-geral'!P2037</f>
        <v>x</v>
      </c>
      <c r="Q665" s="93" t="str">
        <f>'Q100a-geral'!Q2037</f>
        <v>x</v>
      </c>
      <c r="R665" s="93" t="str">
        <f>'Q100a-geral'!R2037</f>
        <v>x</v>
      </c>
      <c r="S665" s="1138" t="str">
        <f>'Q100a-geral'!S2037</f>
        <v>só para pesquisa</v>
      </c>
      <c r="T665" s="93" t="str">
        <f>'Q100a-geral'!T2037</f>
        <v>x</v>
      </c>
      <c r="U665" s="93" t="str">
        <f>'Q100a-geral'!U2037</f>
        <v>x</v>
      </c>
      <c r="V665" s="107" t="str">
        <f>'Q100a-geral'!V1941</f>
        <v>só para pesquisa</v>
      </c>
      <c r="W665" s="93" t="str">
        <f>'Q100a-geral'!W2037</f>
        <v>x</v>
      </c>
      <c r="X665" s="93" t="str">
        <f>'Q100a-geral'!X2037</f>
        <v>x</v>
      </c>
      <c r="Y665" s="93" t="str">
        <f>'Q100a-geral'!Y2037</f>
        <v>x</v>
      </c>
      <c r="Z665" s="93" t="str">
        <f>'Q100a-geral'!Z2037</f>
        <v>x</v>
      </c>
      <c r="AA665" s="93" t="str">
        <f>'Q100a-geral'!AA2037</f>
        <v>x</v>
      </c>
      <c r="AB665" s="93" t="str">
        <f>'Q100a-geral'!AB2037</f>
        <v>x</v>
      </c>
      <c r="AC665" s="93" t="str">
        <f>'Q100a-geral'!AC2037</f>
        <v>x</v>
      </c>
      <c r="AD665" s="93" t="str">
        <f>'Q100a-geral'!AD2037</f>
        <v>x</v>
      </c>
      <c r="AE665" s="93" t="str">
        <f>'Q100a-geral'!AE2037</f>
        <v>x</v>
      </c>
      <c r="AF665" s="93" t="str">
        <f>'Q100a-geral'!AF2037</f>
        <v>x</v>
      </c>
      <c r="AG665" s="85">
        <f>'Q100a-geral'!AG2037</f>
        <v>32</v>
      </c>
      <c r="AH665" s="93" t="str">
        <f>'Q100a-geral'!AH2037</f>
        <v>x</v>
      </c>
      <c r="AI665" s="93" t="str">
        <f>'Q100a-geral'!AI2037</f>
        <v>x</v>
      </c>
      <c r="AJ665" s="93" t="str">
        <f>'Q100a-geral'!AJ2037</f>
        <v>x</v>
      </c>
      <c r="AK665" s="137" t="str">
        <f>'Q100a-geral'!AK2037</f>
        <v>x</v>
      </c>
      <c r="AL665" s="213" t="str">
        <f>'Q100a-geral'!AL2037</f>
        <v>x</v>
      </c>
      <c r="AM665" s="137" t="str">
        <f>'Q100a-geral'!AM2037</f>
        <v>x</v>
      </c>
      <c r="AN665" s="137" t="str">
        <f>'Q100a-geral'!AN2037</f>
        <v>x</v>
      </c>
      <c r="AO665" s="137" t="str">
        <f>'Q100a-geral'!AO2037</f>
        <v>x</v>
      </c>
      <c r="AP665" s="137" t="str">
        <f>'Q100a-geral'!AP2037</f>
        <v>x</v>
      </c>
      <c r="AQ665" s="137" t="str">
        <f>'Q100a-geral'!AQ2037</f>
        <v>x</v>
      </c>
      <c r="AR665" s="137"/>
      <c r="AS665" s="137"/>
      <c r="AT665" s="137"/>
      <c r="AU665" s="137"/>
      <c r="AV665" s="137" t="str">
        <f>'Q100a-geral'!AV2037</f>
        <v>x</v>
      </c>
      <c r="AW665" s="137"/>
      <c r="AX665" s="137"/>
      <c r="AY665" s="137"/>
      <c r="AZ665" s="137"/>
      <c r="BA665" s="137" t="str">
        <f>'Q100a-geral'!BA2037</f>
        <v>x</v>
      </c>
      <c r="BB665" s="239" t="str">
        <f>'Q100a-geral'!BB2037</f>
        <v>Poluição do arx</v>
      </c>
      <c r="BC665" s="239" t="str">
        <f>'Q100a-geral'!BC2037</f>
        <v>Poluição do arxbenchmarking</v>
      </c>
      <c r="BD665" s="239" t="str">
        <f>'Q100a-geral'!BD2037</f>
        <v>Poluição do arbenchmarking</v>
      </c>
    </row>
    <row r="666" spans="1:56" s="1" customFormat="1" ht="38.25" customHeight="1" x14ac:dyDescent="0.25">
      <c r="A666" s="275" t="str">
        <f>'Q100a-geral'!A2038</f>
        <v>5.2</v>
      </c>
      <c r="B666" s="54" t="str">
        <f>'Q100a-geral'!B2038</f>
        <v>Poluição do ar</v>
      </c>
      <c r="C666" s="229" t="str">
        <f>'Q100a-geral'!C2038</f>
        <v>x</v>
      </c>
      <c r="D666" s="287" t="str">
        <f>'Q100a-geral'!D2038</f>
        <v>PM 10 média</v>
      </c>
      <c r="E666" s="950" t="str">
        <f>'Q100a-geral'!E2038</f>
        <v>Taboão da Serra</v>
      </c>
      <c r="F666" s="446" t="str">
        <f>'Q100a-geral'!F2038</f>
        <v>resultado de PM10 média selecionado e apresentado em relatório da Organização das Nações Unidas (ONU) que apresenta comparação de cidades de todo o mundo (WHO, 2014)</v>
      </c>
      <c r="G666" s="252" t="str">
        <f>'Q100a-geral'!G2038</f>
        <v>registro na fonte</v>
      </c>
      <c r="H666" s="173" t="str">
        <f>'Q100a-geral'!H2038</f>
        <v>benchmarking</v>
      </c>
      <c r="I666" s="167" t="str">
        <f>'Q100a-geral'!I2038</f>
        <v>x</v>
      </c>
      <c r="J666" s="93" t="str">
        <f>'Q100a-geral'!J2038</f>
        <v>x</v>
      </c>
      <c r="K666" s="93" t="str">
        <f>'Q100a-geral'!K2038</f>
        <v>x</v>
      </c>
      <c r="L666" s="93" t="str">
        <f>'Q100a-geral'!L2038</f>
        <v>x</v>
      </c>
      <c r="M666" s="93" t="str">
        <f>'Q100a-geral'!M2038</f>
        <v>x</v>
      </c>
      <c r="N666" s="93" t="str">
        <f>'Q100a-geral'!N2038</f>
        <v>x</v>
      </c>
      <c r="O666" s="93" t="str">
        <f>'Q100a-geral'!O2038</f>
        <v>x</v>
      </c>
      <c r="P666" s="93" t="str">
        <f>'Q100a-geral'!P2038</f>
        <v>x</v>
      </c>
      <c r="Q666" s="93" t="str">
        <f>'Q100a-geral'!Q2038</f>
        <v>x</v>
      </c>
      <c r="R666" s="93" t="str">
        <f>'Q100a-geral'!R2038</f>
        <v>x</v>
      </c>
      <c r="S666" s="1138" t="str">
        <f>'Q100a-geral'!S2038</f>
        <v>só para pesquisa</v>
      </c>
      <c r="T666" s="93" t="str">
        <f>'Q100a-geral'!T2038</f>
        <v>x</v>
      </c>
      <c r="U666" s="93" t="str">
        <f>'Q100a-geral'!U2038</f>
        <v>x</v>
      </c>
      <c r="V666" s="107" t="str">
        <f>'Q100a-geral'!V1953</f>
        <v>só para pesquisa</v>
      </c>
      <c r="W666" s="93" t="str">
        <f>'Q100a-geral'!W2038</f>
        <v>x</v>
      </c>
      <c r="X666" s="93" t="str">
        <f>'Q100a-geral'!X2038</f>
        <v>x</v>
      </c>
      <c r="Y666" s="93" t="str">
        <f>'Q100a-geral'!Y2038</f>
        <v>x</v>
      </c>
      <c r="Z666" s="93" t="str">
        <f>'Q100a-geral'!Z2038</f>
        <v>x</v>
      </c>
      <c r="AA666" s="93" t="str">
        <f>'Q100a-geral'!AA2038</f>
        <v>x</v>
      </c>
      <c r="AB666" s="93" t="str">
        <f>'Q100a-geral'!AB2038</f>
        <v>x</v>
      </c>
      <c r="AC666" s="93" t="str">
        <f>'Q100a-geral'!AC2038</f>
        <v>x</v>
      </c>
      <c r="AD666" s="93" t="str">
        <f>'Q100a-geral'!AD2038</f>
        <v>x</v>
      </c>
      <c r="AE666" s="93" t="str">
        <f>'Q100a-geral'!AE2038</f>
        <v>x</v>
      </c>
      <c r="AF666" s="93" t="str">
        <f>'Q100a-geral'!AF2038</f>
        <v>x</v>
      </c>
      <c r="AG666" s="85">
        <f>'Q100a-geral'!AG2038</f>
        <v>35</v>
      </c>
      <c r="AH666" s="93" t="str">
        <f>'Q100a-geral'!AH2038</f>
        <v>x</v>
      </c>
      <c r="AI666" s="93" t="str">
        <f>'Q100a-geral'!AI2038</f>
        <v>x</v>
      </c>
      <c r="AJ666" s="93" t="str">
        <f>'Q100a-geral'!AJ2038</f>
        <v>x</v>
      </c>
      <c r="AK666" s="137" t="str">
        <f>'Q100a-geral'!AK2038</f>
        <v>x</v>
      </c>
      <c r="AL666" s="213" t="str">
        <f>'Q100a-geral'!AL2038</f>
        <v>x</v>
      </c>
      <c r="AM666" s="137" t="str">
        <f>'Q100a-geral'!AM2038</f>
        <v>x</v>
      </c>
      <c r="AN666" s="137" t="str">
        <f>'Q100a-geral'!AN2038</f>
        <v>x</v>
      </c>
      <c r="AO666" s="137" t="str">
        <f>'Q100a-geral'!AO2038</f>
        <v>x</v>
      </c>
      <c r="AP666" s="137" t="str">
        <f>'Q100a-geral'!AP2038</f>
        <v>x</v>
      </c>
      <c r="AQ666" s="137" t="str">
        <f>'Q100a-geral'!AQ2038</f>
        <v>x</v>
      </c>
      <c r="AR666" s="137"/>
      <c r="AS666" s="137"/>
      <c r="AT666" s="137"/>
      <c r="AU666" s="137"/>
      <c r="AV666" s="137" t="str">
        <f>'Q100a-geral'!AV2038</f>
        <v>x</v>
      </c>
      <c r="AW666" s="137"/>
      <c r="AX666" s="137"/>
      <c r="AY666" s="137"/>
      <c r="AZ666" s="137"/>
      <c r="BA666" s="137" t="str">
        <f>'Q100a-geral'!BA2038</f>
        <v>x</v>
      </c>
      <c r="BB666" s="239" t="str">
        <f>'Q100a-geral'!BB2038</f>
        <v>Poluição do arx</v>
      </c>
      <c r="BC666" s="239" t="str">
        <f>'Q100a-geral'!BC2038</f>
        <v>Poluição do arxbenchmarking</v>
      </c>
      <c r="BD666" s="239" t="str">
        <f>'Q100a-geral'!BD2038</f>
        <v>Poluição do arbenchmarking</v>
      </c>
    </row>
    <row r="667" spans="1:56" s="1" customFormat="1" ht="25.5" customHeight="1" x14ac:dyDescent="0.25">
      <c r="A667" s="275" t="str">
        <f>'Q100a-geral'!A2039</f>
        <v>5.2</v>
      </c>
      <c r="B667" s="54" t="str">
        <f>'Q100a-geral'!B2039</f>
        <v>Poluição do ar</v>
      </c>
      <c r="C667" s="229" t="str">
        <f>'Q100a-geral'!C2039</f>
        <v>x</v>
      </c>
      <c r="D667" s="287" t="str">
        <f>'Q100a-geral'!D2039</f>
        <v>PM 10 média</v>
      </c>
      <c r="E667" s="950" t="str">
        <f>'Q100a-geral'!E2039</f>
        <v>Tatuí</v>
      </c>
      <c r="F667" s="446" t="str">
        <f>'Q100a-geral'!F2039</f>
        <v>resultado de PM10 média selecionado e apresentado em relatório da Organização das Nações Unidas (ONU) que apresenta comparação de cidades de todo o mundo (WHO, 2014)</v>
      </c>
      <c r="G667" s="252" t="str">
        <f>'Q100a-geral'!G2039</f>
        <v>registro na fonte</v>
      </c>
      <c r="H667" s="173" t="str">
        <f>'Q100a-geral'!H2039</f>
        <v>benchmarking</v>
      </c>
      <c r="I667" s="167" t="str">
        <f>'Q100a-geral'!I2039</f>
        <v>x</v>
      </c>
      <c r="J667" s="93" t="str">
        <f>'Q100a-geral'!J2039</f>
        <v>x</v>
      </c>
      <c r="K667" s="93" t="str">
        <f>'Q100a-geral'!K2039</f>
        <v>x</v>
      </c>
      <c r="L667" s="93" t="str">
        <f>'Q100a-geral'!L2039</f>
        <v>x</v>
      </c>
      <c r="M667" s="93" t="str">
        <f>'Q100a-geral'!M2039</f>
        <v>x</v>
      </c>
      <c r="N667" s="93" t="str">
        <f>'Q100a-geral'!N2039</f>
        <v>x</v>
      </c>
      <c r="O667" s="93" t="str">
        <f>'Q100a-geral'!O2039</f>
        <v>x</v>
      </c>
      <c r="P667" s="93" t="str">
        <f>'Q100a-geral'!P2039</f>
        <v>x</v>
      </c>
      <c r="Q667" s="93" t="str">
        <f>'Q100a-geral'!Q2039</f>
        <v>x</v>
      </c>
      <c r="R667" s="93" t="str">
        <f>'Q100a-geral'!R2039</f>
        <v>x</v>
      </c>
      <c r="S667" s="1138" t="str">
        <f>'Q100a-geral'!S2039</f>
        <v>só para pesquisa</v>
      </c>
      <c r="T667" s="93" t="str">
        <f>'Q100a-geral'!T2039</f>
        <v>x</v>
      </c>
      <c r="U667" s="93" t="str">
        <f>'Q100a-geral'!U2039</f>
        <v>x</v>
      </c>
      <c r="V667" s="107" t="str">
        <f>'Q100a-geral'!V1990</f>
        <v>só para pesquisa</v>
      </c>
      <c r="W667" s="93" t="str">
        <f>'Q100a-geral'!W2039</f>
        <v>x</v>
      </c>
      <c r="X667" s="93" t="str">
        <f>'Q100a-geral'!X2039</f>
        <v>x</v>
      </c>
      <c r="Y667" s="93" t="str">
        <f>'Q100a-geral'!Y2039</f>
        <v>x</v>
      </c>
      <c r="Z667" s="93" t="str">
        <f>'Q100a-geral'!Z2039</f>
        <v>x</v>
      </c>
      <c r="AA667" s="93" t="str">
        <f>'Q100a-geral'!AA2039</f>
        <v>x</v>
      </c>
      <c r="AB667" s="93" t="str">
        <f>'Q100a-geral'!AB2039</f>
        <v>x</v>
      </c>
      <c r="AC667" s="93" t="str">
        <f>'Q100a-geral'!AC2039</f>
        <v>x</v>
      </c>
      <c r="AD667" s="93" t="str">
        <f>'Q100a-geral'!AD2039</f>
        <v>x</v>
      </c>
      <c r="AE667" s="93" t="str">
        <f>'Q100a-geral'!AE2039</f>
        <v>x</v>
      </c>
      <c r="AF667" s="93" t="str">
        <f>'Q100a-geral'!AF2039</f>
        <v>x</v>
      </c>
      <c r="AG667" s="85">
        <f>'Q100a-geral'!AG2039</f>
        <v>25</v>
      </c>
      <c r="AH667" s="93" t="str">
        <f>'Q100a-geral'!AH2039</f>
        <v>x</v>
      </c>
      <c r="AI667" s="93" t="str">
        <f>'Q100a-geral'!AI2039</f>
        <v>x</v>
      </c>
      <c r="AJ667" s="93" t="str">
        <f>'Q100a-geral'!AJ2039</f>
        <v>x</v>
      </c>
      <c r="AK667" s="137" t="str">
        <f>'Q100a-geral'!AK2039</f>
        <v>x</v>
      </c>
      <c r="AL667" s="213" t="str">
        <f>'Q100a-geral'!AL2039</f>
        <v>x</v>
      </c>
      <c r="AM667" s="137" t="str">
        <f>'Q100a-geral'!AM2039</f>
        <v>x</v>
      </c>
      <c r="AN667" s="137" t="str">
        <f>'Q100a-geral'!AN2039</f>
        <v>x</v>
      </c>
      <c r="AO667" s="137" t="str">
        <f>'Q100a-geral'!AO2039</f>
        <v>x</v>
      </c>
      <c r="AP667" s="137" t="str">
        <f>'Q100a-geral'!AP2039</f>
        <v>x</v>
      </c>
      <c r="AQ667" s="137" t="str">
        <f>'Q100a-geral'!AQ2039</f>
        <v>x</v>
      </c>
      <c r="AR667" s="137"/>
      <c r="AS667" s="137"/>
      <c r="AT667" s="137"/>
      <c r="AU667" s="137"/>
      <c r="AV667" s="137" t="str">
        <f>'Q100a-geral'!AV2039</f>
        <v>x</v>
      </c>
      <c r="AW667" s="137"/>
      <c r="AX667" s="137"/>
      <c r="AY667" s="137"/>
      <c r="AZ667" s="137"/>
      <c r="BA667" s="137" t="str">
        <f>'Q100a-geral'!BA2039</f>
        <v>x</v>
      </c>
      <c r="BB667" s="239" t="str">
        <f>'Q100a-geral'!BB2039</f>
        <v>Poluição do arx</v>
      </c>
      <c r="BC667" s="239" t="str">
        <f>'Q100a-geral'!BC2039</f>
        <v>Poluição do arxbenchmarking</v>
      </c>
      <c r="BD667" s="239" t="str">
        <f>'Q100a-geral'!BD2039</f>
        <v>Poluição do arbenchmarking</v>
      </c>
    </row>
    <row r="668" spans="1:56" s="1" customFormat="1" ht="114" customHeight="1" x14ac:dyDescent="0.25">
      <c r="A668" s="275" t="str">
        <f>'Q100a-geral'!A2093</f>
        <v>5.2</v>
      </c>
      <c r="B668" s="1174" t="str">
        <f>'Q100a-geral'!B2093</f>
        <v>Poluição do ar</v>
      </c>
      <c r="C668" s="167" t="str">
        <f>'Q100a-geral'!C2093</f>
        <v>x</v>
      </c>
      <c r="D668" s="378" t="str">
        <f>'Q100a-geral'!D2093</f>
        <v>PM 10
(ND)</v>
      </c>
      <c r="E668" s="483" t="str">
        <f>'Q100a-geral'!E2093</f>
        <v>Belo Horizonte</v>
      </c>
      <c r="F668" s="354" t="str">
        <f>'Q100a-geral'!F2093</f>
        <v xml:space="preserve">n.º de dias no ano em uma mesma estação de monitoramento da qualidade do ar existente na RMBH na qual o padrão máximo primário de  150 μg/m3 foi ultrapassado
obs.1: resultados de 2006 conforme FEAM(2007, p.21); 2007 conforme FEAM(2008, p.15); 2008 conforme FEAM(2009, p.15,20); resultado não-representativos de 2009 conforme FEAM(2010, p.15), de 2010 conforme FEAM(2011, p.15,20); de 2011 conforme FEAM(2013, p.18); de 2012 conforme FEAM(2015, p.27)
obs.2: este indicador faz parte dos "indicadores urbanos globais" do Global City Institute com a denominação de "n.º de dias com excesso de particulas inaláveis com diâmetro inferior a 10 micra, ou PM10" </v>
      </c>
      <c r="G668" s="1175" t="str">
        <f>'Q100a-geral'!G2093</f>
        <v>registro na fonte</v>
      </c>
      <c r="H668" s="167" t="str">
        <f>'Q100a-geral'!H2093</f>
        <v>x</v>
      </c>
      <c r="I668" s="172">
        <f>'Q100a-geral'!I2093</f>
        <v>1</v>
      </c>
      <c r="J668" s="343" t="str">
        <f>'Q100a-geral'!J2093</f>
        <v>x</v>
      </c>
      <c r="K668" s="343" t="str">
        <f>'Q100a-geral'!K2093</f>
        <v>x</v>
      </c>
      <c r="L668" s="343" t="str">
        <f>'Q100a-geral'!L2093</f>
        <v>x</v>
      </c>
      <c r="M668" s="343" t="str">
        <f>'Q100a-geral'!M2093</f>
        <v>x</v>
      </c>
      <c r="N668" s="343" t="str">
        <f>'Q100a-geral'!N2093</f>
        <v>x</v>
      </c>
      <c r="O668" s="343" t="str">
        <f>'Q100a-geral'!O2093</f>
        <v>x</v>
      </c>
      <c r="P668" s="343" t="str">
        <f>'Q100a-geral'!P2093</f>
        <v>x</v>
      </c>
      <c r="Q668" s="343" t="str">
        <f>'Q100a-geral'!Q2093</f>
        <v>x</v>
      </c>
      <c r="R668" s="343" t="str">
        <f>'Q100a-geral'!R2093</f>
        <v>x</v>
      </c>
      <c r="S668" s="109" t="str">
        <f>'Q100a-geral'!S2093</f>
        <v>só para pesquisa</v>
      </c>
      <c r="T668" s="343" t="str">
        <f>'Q100a-geral'!T2093</f>
        <v>x</v>
      </c>
      <c r="U668" s="343" t="str">
        <f>'Q100a-geral'!U2093</f>
        <v>x</v>
      </c>
      <c r="V668" s="109" t="str">
        <f>'Q100a-geral'!V2093</f>
        <v>só para pesquisa</v>
      </c>
      <c r="W668" s="343" t="str">
        <f>'Q100a-geral'!W2093</f>
        <v>x</v>
      </c>
      <c r="X668" s="343" t="str">
        <f>'Q100a-geral'!X2093</f>
        <v>x</v>
      </c>
      <c r="Y668" s="343" t="str">
        <f>'Q100a-geral'!Y2093</f>
        <v>x</v>
      </c>
      <c r="Z668" s="343" t="str">
        <f>'Q100a-geral'!Z2093</f>
        <v>x</v>
      </c>
      <c r="AA668" s="343" t="str">
        <f>'Q100a-geral'!AA2093</f>
        <v>x</v>
      </c>
      <c r="AB668" s="394">
        <f>'Q100a-geral'!AB2093</f>
        <v>2</v>
      </c>
      <c r="AC668" s="394">
        <f>'Q100a-geral'!AC2093</f>
        <v>0</v>
      </c>
      <c r="AD668" s="394">
        <f>'Q100a-geral'!AD2093</f>
        <v>4</v>
      </c>
      <c r="AE668" s="394">
        <f>'Q100a-geral'!AE2093</f>
        <v>0</v>
      </c>
      <c r="AF668" s="394">
        <f>'Q100a-geral'!AF2093</f>
        <v>1</v>
      </c>
      <c r="AG668" s="394">
        <f>'Q100a-geral'!AG2093</f>
        <v>7</v>
      </c>
      <c r="AH668" s="394">
        <f>'Q100a-geral'!AH2093</f>
        <v>6</v>
      </c>
      <c r="AI668" s="622" t="str">
        <f>'Q100a-geral'!AI2093</f>
        <v>aguardando atualização da fonte</v>
      </c>
      <c r="AJ668" s="622" t="str">
        <f>'Q100a-geral'!AJ2093</f>
        <v>aguardando atualização da fonte</v>
      </c>
      <c r="AK668" s="622" t="str">
        <f>'Q100a-geral'!AK2093</f>
        <v>aguardando atualização da fonte</v>
      </c>
      <c r="AL668" s="601" t="str">
        <f>'Q100a-geral'!AL2093</f>
        <v>x</v>
      </c>
      <c r="AM668" s="395" t="str">
        <f>'Q100a-geral'!AM2093</f>
        <v>x</v>
      </c>
      <c r="AN668" s="395" t="str">
        <f>'Q100a-geral'!AN2093</f>
        <v>x</v>
      </c>
      <c r="AO668" s="395" t="str">
        <f>'Q100a-geral'!AO2093</f>
        <v>x</v>
      </c>
      <c r="AP668" s="395" t="str">
        <f>'Q100a-geral'!AP2093</f>
        <v>x</v>
      </c>
      <c r="AQ668" s="395" t="str">
        <f>'Q100a-geral'!AQ2093</f>
        <v>x</v>
      </c>
      <c r="AR668" s="395" t="str">
        <f>'Q100a-geral'!AR2093</f>
        <v>x</v>
      </c>
      <c r="AS668" s="395" t="str">
        <f>'Q100a-geral'!AS2093</f>
        <v>x</v>
      </c>
      <c r="AT668" s="395" t="str">
        <f>'Q100a-geral'!AT2093</f>
        <v>x</v>
      </c>
      <c r="AU668" s="395" t="str">
        <f>'Q100a-geral'!AU2093</f>
        <v>x</v>
      </c>
      <c r="AV668" s="395" t="str">
        <f>'Q100a-geral'!AV2093</f>
        <v>x</v>
      </c>
      <c r="AW668" s="395" t="str">
        <f>'Q100a-geral'!AW2093</f>
        <v>x</v>
      </c>
      <c r="AX668" s="395" t="str">
        <f>'Q100a-geral'!AX2093</f>
        <v>x</v>
      </c>
      <c r="AY668" s="395" t="str">
        <f>'Q100a-geral'!AY2093</f>
        <v>x</v>
      </c>
      <c r="AZ668" s="395" t="str">
        <f>'Q100a-geral'!AZ2093</f>
        <v>x</v>
      </c>
      <c r="BA668" s="395" t="str">
        <f>'Q100a-geral'!BA2093</f>
        <v>x</v>
      </c>
      <c r="BB668" s="396" t="str">
        <f>'Q100a-geral'!BB2093</f>
        <v>Poluição do arx</v>
      </c>
      <c r="BC668" s="396" t="str">
        <f>'Q100a-geral'!BC2093</f>
        <v>Poluição do arxx</v>
      </c>
      <c r="BD668" s="396" t="str">
        <f>'Q100a-geral'!BD2093</f>
        <v>Poluição do arx</v>
      </c>
    </row>
    <row r="669" spans="1:56" s="1" customFormat="1" ht="114" customHeight="1" x14ac:dyDescent="0.25">
      <c r="A669" s="275" t="str">
        <f>'Q100a-geral'!A2094</f>
        <v>5.2</v>
      </c>
      <c r="B669" s="1174" t="str">
        <f>'Q100a-geral'!B2094</f>
        <v>Poluição do ar</v>
      </c>
      <c r="C669" s="167" t="str">
        <f>'Q100a-geral'!C2094</f>
        <v>x</v>
      </c>
      <c r="D669" s="378" t="str">
        <f>'Q100a-geral'!D2094</f>
        <v>PM 10
(ND padrão)</v>
      </c>
      <c r="E669" s="483" t="str">
        <f>'Q100a-geral'!E2094</f>
        <v>Belo Horizonte</v>
      </c>
      <c r="F669" s="354" t="str">
        <f>'Q100a-geral'!F2094</f>
        <v>"o valor de 150 μg/m3 corresponde ao padrão primário [de PM10] e não deve ser ultrapassado mais de uma vez ao ano, segundo a Resolução CONAMA nº 03/90" conforme FEAM(2015, p.27)</v>
      </c>
      <c r="G669" s="1175" t="str">
        <f>'Q100a-geral'!G2094</f>
        <v>RPI Brasil</v>
      </c>
      <c r="H669" s="167" t="str">
        <f>'Q100a-geral'!H2094</f>
        <v>RPI/meta</v>
      </c>
      <c r="I669" s="172" t="str">
        <f>'Q100a-geral'!I2094</f>
        <v>x</v>
      </c>
      <c r="J669" s="343">
        <f>'Q100a-geral'!J2094</f>
        <v>1</v>
      </c>
      <c r="K669" s="343">
        <f>'Q100a-geral'!K2094</f>
        <v>1</v>
      </c>
      <c r="L669" s="343">
        <f>'Q100a-geral'!L2094</f>
        <v>1</v>
      </c>
      <c r="M669" s="343">
        <f>'Q100a-geral'!M2094</f>
        <v>1</v>
      </c>
      <c r="N669" s="343">
        <f>'Q100a-geral'!N2094</f>
        <v>1</v>
      </c>
      <c r="O669" s="343">
        <f>'Q100a-geral'!O2094</f>
        <v>1</v>
      </c>
      <c r="P669" s="343">
        <f>'Q100a-geral'!P2094</f>
        <v>1</v>
      </c>
      <c r="Q669" s="343">
        <f>'Q100a-geral'!Q2094</f>
        <v>1</v>
      </c>
      <c r="R669" s="343">
        <f>'Q100a-geral'!R2094</f>
        <v>1</v>
      </c>
      <c r="S669" s="109" t="str">
        <f>'Q100a-geral'!S2094</f>
        <v>só para pesquisa</v>
      </c>
      <c r="T669" s="343">
        <f>'Q100a-geral'!T2094</f>
        <v>1</v>
      </c>
      <c r="U669" s="343">
        <f>'Q100a-geral'!U2094</f>
        <v>1</v>
      </c>
      <c r="V669" s="109" t="str">
        <f>'Q100a-geral'!V2094</f>
        <v>só para pesquisa</v>
      </c>
      <c r="W669" s="343">
        <f>'Q100a-geral'!W2094</f>
        <v>1</v>
      </c>
      <c r="X669" s="343">
        <f>'Q100a-geral'!X2094</f>
        <v>1</v>
      </c>
      <c r="Y669" s="343">
        <f>'Q100a-geral'!Y2094</f>
        <v>1</v>
      </c>
      <c r="Z669" s="343">
        <f>'Q100a-geral'!Z2094</f>
        <v>1</v>
      </c>
      <c r="AA669" s="343">
        <f>'Q100a-geral'!AA2094</f>
        <v>1</v>
      </c>
      <c r="AB669" s="394">
        <f>'Q100a-geral'!AB2094</f>
        <v>1</v>
      </c>
      <c r="AC669" s="394">
        <f>'Q100a-geral'!AC2094</f>
        <v>1</v>
      </c>
      <c r="AD669" s="394">
        <f>'Q100a-geral'!AD2094</f>
        <v>1</v>
      </c>
      <c r="AE669" s="394">
        <f>'Q100a-geral'!AE2094</f>
        <v>1</v>
      </c>
      <c r="AF669" s="394">
        <f>'Q100a-geral'!AF2094</f>
        <v>1</v>
      </c>
      <c r="AG669" s="394">
        <f>'Q100a-geral'!AG2094</f>
        <v>1</v>
      </c>
      <c r="AH669" s="394">
        <f>'Q100a-geral'!AH2094</f>
        <v>1</v>
      </c>
      <c r="AI669" s="110">
        <f>'Q100a-geral'!AI2094</f>
        <v>1</v>
      </c>
      <c r="AJ669" s="110">
        <f>'Q100a-geral'!AJ2094</f>
        <v>1</v>
      </c>
      <c r="AK669" s="110">
        <f>'Q100a-geral'!AK2094</f>
        <v>1</v>
      </c>
      <c r="AL669" s="601" t="str">
        <f>'Q100a-geral'!AL2094</f>
        <v>x</v>
      </c>
      <c r="AM669" s="395" t="str">
        <f>'Q100a-geral'!AM2094</f>
        <v>x</v>
      </c>
      <c r="AN669" s="395" t="str">
        <f>'Q100a-geral'!AN2094</f>
        <v>x</v>
      </c>
      <c r="AO669" s="395" t="str">
        <f>'Q100a-geral'!AO2094</f>
        <v>x</v>
      </c>
      <c r="AP669" s="395" t="str">
        <f>'Q100a-geral'!AP2094</f>
        <v>x</v>
      </c>
      <c r="AQ669" s="395" t="str">
        <f>'Q100a-geral'!AQ2094</f>
        <v>x</v>
      </c>
      <c r="AR669" s="395" t="str">
        <f>'Q100a-geral'!AR2094</f>
        <v>x</v>
      </c>
      <c r="AS669" s="395" t="str">
        <f>'Q100a-geral'!AS2094</f>
        <v>x</v>
      </c>
      <c r="AT669" s="395" t="str">
        <f>'Q100a-geral'!AT2094</f>
        <v>x</v>
      </c>
      <c r="AU669" s="395" t="str">
        <f>'Q100a-geral'!AU2094</f>
        <v>x</v>
      </c>
      <c r="AV669" s="395" t="str">
        <f>'Q100a-geral'!AV2094</f>
        <v>x</v>
      </c>
      <c r="AW669" s="395" t="str">
        <f>'Q100a-geral'!AW2094</f>
        <v>x</v>
      </c>
      <c r="AX669" s="395" t="str">
        <f>'Q100a-geral'!AX2094</f>
        <v>x</v>
      </c>
      <c r="AY669" s="395" t="str">
        <f>'Q100a-geral'!AY2094</f>
        <v>x</v>
      </c>
      <c r="AZ669" s="395" t="str">
        <f>'Q100a-geral'!AZ2094</f>
        <v>x</v>
      </c>
      <c r="BA669" s="395" t="str">
        <f>'Q100a-geral'!BA2094</f>
        <v>x</v>
      </c>
      <c r="BB669" s="396" t="str">
        <f>'Q100a-geral'!BB2094</f>
        <v>Poluição do arx</v>
      </c>
      <c r="BC669" s="396" t="str">
        <f>'Q100a-geral'!BC2094</f>
        <v>Poluição do arxRPI/meta</v>
      </c>
      <c r="BD669" s="396" t="str">
        <f>'Q100a-geral'!BD2094</f>
        <v>Poluição do arRPI/meta</v>
      </c>
    </row>
    <row r="670" spans="1:56" s="1" customFormat="1" ht="25.5" customHeight="1" x14ac:dyDescent="0.25">
      <c r="A670" s="275" t="str">
        <f>'Q100a-geral'!A2141</f>
        <v>3.1</v>
      </c>
      <c r="B670" s="54" t="str">
        <f>'Q100a-geral'!B2141</f>
        <v>Normas produzidas</v>
      </c>
      <c r="C670" s="230" t="str">
        <f>'Q100a-geral'!C2141</f>
        <v>x</v>
      </c>
      <c r="D670" s="9" t="str">
        <f>'Q100a-geral'!D2141</f>
        <v>POP</v>
      </c>
      <c r="E670" s="5" t="str">
        <f>'Q100a-geral'!E2141</f>
        <v>Belo Horizonte</v>
      </c>
      <c r="F670" s="448" t="str">
        <f>'Q100a-geral'!F2141</f>
        <v>Procedimento Operacional Padrão
obs.: instrumento utilizado pela BHTrans na forma de POP.AD, POP.EM, POP.ET, POP.TP, POP.TS conforme BHTRANS(2014i)</v>
      </c>
      <c r="G670" s="5" t="str">
        <f>'Q100a-geral'!G2141</f>
        <v>verbete
MFO</v>
      </c>
      <c r="H670" s="173" t="str">
        <f>'Q100a-geral'!H2141</f>
        <v>sigla/verbete</v>
      </c>
      <c r="I670" s="57" t="str">
        <f>'Q100a-geral'!I2141</f>
        <v>x</v>
      </c>
      <c r="J670" s="11" t="str">
        <f>'Q100a-geral'!J2141</f>
        <v>x</v>
      </c>
      <c r="K670" s="11" t="str">
        <f>'Q100a-geral'!K2141</f>
        <v>x</v>
      </c>
      <c r="L670" s="11" t="str">
        <f>'Q100a-geral'!L2141</f>
        <v>x</v>
      </c>
      <c r="M670" s="11" t="str">
        <f>'Q100a-geral'!M2141</f>
        <v>x</v>
      </c>
      <c r="N670" s="11" t="str">
        <f>'Q100a-geral'!N2141</f>
        <v>x</v>
      </c>
      <c r="O670" s="11" t="str">
        <f>'Q100a-geral'!O2141</f>
        <v>x</v>
      </c>
      <c r="P670" s="11" t="str">
        <f>'Q100a-geral'!P2141</f>
        <v>x</v>
      </c>
      <c r="Q670" s="11" t="str">
        <f>'Q100a-geral'!Q2141</f>
        <v>x</v>
      </c>
      <c r="R670" s="11" t="str">
        <f>'Q100a-geral'!R2141</f>
        <v>x</v>
      </c>
      <c r="S670" s="107" t="str">
        <f>'Q100a-geral'!S2141</f>
        <v>só para pesquisa</v>
      </c>
      <c r="T670" s="11" t="str">
        <f>'Q100a-geral'!T2141</f>
        <v>x</v>
      </c>
      <c r="U670" s="11" t="str">
        <f>'Q100a-geral'!U2141</f>
        <v>x</v>
      </c>
      <c r="V670" s="107" t="str">
        <f>'Q100a-geral'!V2141</f>
        <v>só para pesquisa</v>
      </c>
      <c r="W670" s="11" t="str">
        <f>'Q100a-geral'!W2141</f>
        <v>x</v>
      </c>
      <c r="X670" s="11" t="str">
        <f>'Q100a-geral'!X2141</f>
        <v>x</v>
      </c>
      <c r="Y670" s="11" t="str">
        <f>'Q100a-geral'!Y2141</f>
        <v>x</v>
      </c>
      <c r="Z670" s="11" t="str">
        <f>'Q100a-geral'!Z2141</f>
        <v>x</v>
      </c>
      <c r="AA670" s="11" t="str">
        <f>'Q100a-geral'!AA2141</f>
        <v>x</v>
      </c>
      <c r="AB670" s="11" t="str">
        <f>'Q100a-geral'!AB2141</f>
        <v>x</v>
      </c>
      <c r="AC670" s="11" t="str">
        <f>'Q100a-geral'!AC2141</f>
        <v>x</v>
      </c>
      <c r="AD670" s="11" t="str">
        <f>'Q100a-geral'!AD2141</f>
        <v>x</v>
      </c>
      <c r="AE670" s="11" t="str">
        <f>'Q100a-geral'!AE2141</f>
        <v>x</v>
      </c>
      <c r="AF670" s="11" t="str">
        <f>'Q100a-geral'!AF2141</f>
        <v>x</v>
      </c>
      <c r="AG670" s="11" t="str">
        <f>'Q100a-geral'!AG2141</f>
        <v>x</v>
      </c>
      <c r="AH670" s="11" t="str">
        <f>'Q100a-geral'!AH2141</f>
        <v>x</v>
      </c>
      <c r="AI670" s="11" t="str">
        <f>'Q100a-geral'!AI2141</f>
        <v>x</v>
      </c>
      <c r="AJ670" s="11" t="str">
        <f>'Q100a-geral'!AJ2141</f>
        <v>x</v>
      </c>
      <c r="AK670" s="137" t="str">
        <f>'Q100a-geral'!AK2141</f>
        <v>x</v>
      </c>
      <c r="AL670" s="173" t="str">
        <f>'Q100a-geral'!AL2141</f>
        <v>x</v>
      </c>
      <c r="AM670" s="137" t="str">
        <f>'Q100a-geral'!AM2141</f>
        <v>x</v>
      </c>
      <c r="AN670" s="137" t="str">
        <f>'Q100a-geral'!AN2141</f>
        <v>x</v>
      </c>
      <c r="AO670" s="137" t="str">
        <f>'Q100a-geral'!AO2141</f>
        <v>x</v>
      </c>
      <c r="AP670" s="137" t="str">
        <f>'Q100a-geral'!AP2141</f>
        <v>x</v>
      </c>
      <c r="AQ670" s="137" t="str">
        <f>'Q100a-geral'!AQ2141</f>
        <v>x</v>
      </c>
      <c r="AR670" s="137"/>
      <c r="AS670" s="137"/>
      <c r="AT670" s="137"/>
      <c r="AU670" s="137"/>
      <c r="AV670" s="137" t="str">
        <f>'Q100a-geral'!AV2141</f>
        <v>x</v>
      </c>
      <c r="AW670" s="137"/>
      <c r="AX670" s="137"/>
      <c r="AY670" s="137"/>
      <c r="AZ670" s="137"/>
      <c r="BA670" s="137" t="str">
        <f>'Q100a-geral'!BA2141</f>
        <v>x</v>
      </c>
      <c r="BB670" s="239" t="str">
        <f>'Q100a-geral'!BB2141</f>
        <v>Normas produzidasx</v>
      </c>
      <c r="BC670" s="239" t="str">
        <f>'Q100a-geral'!BC2141</f>
        <v>Normas produzidasxsigla/verbete</v>
      </c>
      <c r="BD670" s="239" t="str">
        <f>'Q100a-geral'!BD2141</f>
        <v>Normas produzidassigla/verbete</v>
      </c>
    </row>
    <row r="671" spans="1:56" s="1" customFormat="1" ht="25.5" customHeight="1" x14ac:dyDescent="0.25">
      <c r="A671" s="275" t="str">
        <f>'Q100a-geral'!A2142</f>
        <v>3.1</v>
      </c>
      <c r="B671" s="54" t="str">
        <f>'Q100a-geral'!B2142</f>
        <v>Normas produzidas</v>
      </c>
      <c r="C671" s="230" t="str">
        <f>'Q100a-geral'!C2142</f>
        <v>x</v>
      </c>
      <c r="D671" s="9" t="str">
        <f>'Q100a-geral'!D2142</f>
        <v>POP.AD</v>
      </c>
      <c r="E671" s="5" t="str">
        <f>'Q100a-geral'!E2142</f>
        <v>Belo Horizonte</v>
      </c>
      <c r="F671" s="448" t="str">
        <f>'Q100a-geral'!F2142</f>
        <v>Procedimento Operacional Padrão [tipo] Administrativo conforme BHTRANS(2014i)</v>
      </c>
      <c r="G671" s="5" t="str">
        <f>'Q100a-geral'!G2142</f>
        <v>verbete
MFO</v>
      </c>
      <c r="H671" s="173" t="str">
        <f>'Q100a-geral'!H2142</f>
        <v>sigla/verbete</v>
      </c>
      <c r="I671" s="57" t="str">
        <f>'Q100a-geral'!I2142</f>
        <v>x</v>
      </c>
      <c r="J671" s="11" t="str">
        <f>'Q100a-geral'!J2142</f>
        <v>x</v>
      </c>
      <c r="K671" s="11" t="str">
        <f>'Q100a-geral'!K2142</f>
        <v>x</v>
      </c>
      <c r="L671" s="11" t="str">
        <f>'Q100a-geral'!L2142</f>
        <v>x</v>
      </c>
      <c r="M671" s="11" t="str">
        <f>'Q100a-geral'!M2142</f>
        <v>x</v>
      </c>
      <c r="N671" s="11" t="str">
        <f>'Q100a-geral'!N2142</f>
        <v>x</v>
      </c>
      <c r="O671" s="11" t="str">
        <f>'Q100a-geral'!O2142</f>
        <v>x</v>
      </c>
      <c r="P671" s="11" t="str">
        <f>'Q100a-geral'!P2142</f>
        <v>x</v>
      </c>
      <c r="Q671" s="11" t="str">
        <f>'Q100a-geral'!Q2142</f>
        <v>x</v>
      </c>
      <c r="R671" s="11" t="str">
        <f>'Q100a-geral'!R2142</f>
        <v>x</v>
      </c>
      <c r="S671" s="107" t="str">
        <f>'Q100a-geral'!S2142</f>
        <v>só para pesquisa</v>
      </c>
      <c r="T671" s="11" t="str">
        <f>'Q100a-geral'!T2142</f>
        <v>x</v>
      </c>
      <c r="U671" s="11" t="str">
        <f>'Q100a-geral'!U2142</f>
        <v>x</v>
      </c>
      <c r="V671" s="107" t="str">
        <f>'Q100a-geral'!V2142</f>
        <v>só para pesquisa</v>
      </c>
      <c r="W671" s="11" t="str">
        <f>'Q100a-geral'!W2142</f>
        <v>x</v>
      </c>
      <c r="X671" s="11" t="str">
        <f>'Q100a-geral'!X2142</f>
        <v>x</v>
      </c>
      <c r="Y671" s="11" t="str">
        <f>'Q100a-geral'!Y2142</f>
        <v>x</v>
      </c>
      <c r="Z671" s="11" t="str">
        <f>'Q100a-geral'!Z2142</f>
        <v>x</v>
      </c>
      <c r="AA671" s="11" t="str">
        <f>'Q100a-geral'!AA2142</f>
        <v>x</v>
      </c>
      <c r="AB671" s="11" t="str">
        <f>'Q100a-geral'!AB2142</f>
        <v>x</v>
      </c>
      <c r="AC671" s="11" t="str">
        <f>'Q100a-geral'!AC2142</f>
        <v>x</v>
      </c>
      <c r="AD671" s="11" t="str">
        <f>'Q100a-geral'!AD2142</f>
        <v>x</v>
      </c>
      <c r="AE671" s="11" t="str">
        <f>'Q100a-geral'!AE2142</f>
        <v>x</v>
      </c>
      <c r="AF671" s="11" t="str">
        <f>'Q100a-geral'!AF2142</f>
        <v>x</v>
      </c>
      <c r="AG671" s="11" t="str">
        <f>'Q100a-geral'!AG2142</f>
        <v>x</v>
      </c>
      <c r="AH671" s="11" t="str">
        <f>'Q100a-geral'!AH2142</f>
        <v>x</v>
      </c>
      <c r="AI671" s="11" t="str">
        <f>'Q100a-geral'!AI2142</f>
        <v>x</v>
      </c>
      <c r="AJ671" s="11" t="str">
        <f>'Q100a-geral'!AJ2142</f>
        <v>x</v>
      </c>
      <c r="AK671" s="137" t="str">
        <f>'Q100a-geral'!AK2142</f>
        <v>x</v>
      </c>
      <c r="AL671" s="173" t="str">
        <f>'Q100a-geral'!AL2142</f>
        <v>x</v>
      </c>
      <c r="AM671" s="137" t="str">
        <f>'Q100a-geral'!AM2142</f>
        <v>x</v>
      </c>
      <c r="AN671" s="137" t="str">
        <f>'Q100a-geral'!AN2142</f>
        <v>x</v>
      </c>
      <c r="AO671" s="137" t="str">
        <f>'Q100a-geral'!AO2142</f>
        <v>x</v>
      </c>
      <c r="AP671" s="137" t="str">
        <f>'Q100a-geral'!AP2142</f>
        <v>x</v>
      </c>
      <c r="AQ671" s="137" t="str">
        <f>'Q100a-geral'!AQ2142</f>
        <v>x</v>
      </c>
      <c r="AR671" s="137"/>
      <c r="AS671" s="137"/>
      <c r="AT671" s="137"/>
      <c r="AU671" s="137"/>
      <c r="AV671" s="137" t="str">
        <f>'Q100a-geral'!AV2142</f>
        <v>x</v>
      </c>
      <c r="AW671" s="137"/>
      <c r="AX671" s="137"/>
      <c r="AY671" s="137"/>
      <c r="AZ671" s="137"/>
      <c r="BA671" s="137" t="str">
        <f>'Q100a-geral'!BA2142</f>
        <v>x</v>
      </c>
      <c r="BB671" s="239" t="str">
        <f>'Q100a-geral'!BB2142</f>
        <v>Normas produzidasx</v>
      </c>
      <c r="BC671" s="239" t="str">
        <f>'Q100a-geral'!BC2142</f>
        <v>Normas produzidasxsigla/verbete</v>
      </c>
      <c r="BD671" s="239" t="str">
        <f>'Q100a-geral'!BD2142</f>
        <v>Normas produzidassigla/verbete</v>
      </c>
    </row>
    <row r="672" spans="1:56" s="1" customFormat="1" ht="25.5" customHeight="1" x14ac:dyDescent="0.25">
      <c r="A672" s="275" t="str">
        <f>'Q100a-geral'!A2143</f>
        <v>3.1</v>
      </c>
      <c r="B672" s="54" t="str">
        <f>'Q100a-geral'!B2143</f>
        <v>Normas produzidas</v>
      </c>
      <c r="C672" s="230" t="str">
        <f>'Q100a-geral'!C2143</f>
        <v>x</v>
      </c>
      <c r="D672" s="9" t="str">
        <f>'Q100a-geral'!D2143</f>
        <v>POP.EM</v>
      </c>
      <c r="E672" s="5" t="str">
        <f>'Q100a-geral'!E2143</f>
        <v>Belo Horizonte</v>
      </c>
      <c r="F672" s="448" t="str">
        <f>'Q100a-geral'!F2143</f>
        <v>Procedimento Operacional Padrão [tipo] emergenciais conforme BHTRANS(2014i)</v>
      </c>
      <c r="G672" s="5" t="str">
        <f>'Q100a-geral'!G2143</f>
        <v>verbete
MFO</v>
      </c>
      <c r="H672" s="173" t="str">
        <f>'Q100a-geral'!H2143</f>
        <v>sigla/verbete</v>
      </c>
      <c r="I672" s="57" t="str">
        <f>'Q100a-geral'!I2143</f>
        <v>x</v>
      </c>
      <c r="J672" s="11" t="str">
        <f>'Q100a-geral'!J2143</f>
        <v>x</v>
      </c>
      <c r="K672" s="11" t="str">
        <f>'Q100a-geral'!K2143</f>
        <v>x</v>
      </c>
      <c r="L672" s="11" t="str">
        <f>'Q100a-geral'!L2143</f>
        <v>x</v>
      </c>
      <c r="M672" s="11" t="str">
        <f>'Q100a-geral'!M2143</f>
        <v>x</v>
      </c>
      <c r="N672" s="11" t="str">
        <f>'Q100a-geral'!N2143</f>
        <v>x</v>
      </c>
      <c r="O672" s="11" t="str">
        <f>'Q100a-geral'!O2143</f>
        <v>x</v>
      </c>
      <c r="P672" s="11" t="str">
        <f>'Q100a-geral'!P2143</f>
        <v>x</v>
      </c>
      <c r="Q672" s="11" t="str">
        <f>'Q100a-geral'!Q2143</f>
        <v>x</v>
      </c>
      <c r="R672" s="11" t="str">
        <f>'Q100a-geral'!R2143</f>
        <v>x</v>
      </c>
      <c r="S672" s="107" t="str">
        <f>'Q100a-geral'!S2143</f>
        <v>só para pesquisa</v>
      </c>
      <c r="T672" s="11" t="str">
        <f>'Q100a-geral'!T2143</f>
        <v>x</v>
      </c>
      <c r="U672" s="11" t="str">
        <f>'Q100a-geral'!U2143</f>
        <v>x</v>
      </c>
      <c r="V672" s="107" t="str">
        <f>'Q100a-geral'!V2143</f>
        <v>só para pesquisa</v>
      </c>
      <c r="W672" s="11" t="str">
        <f>'Q100a-geral'!W2143</f>
        <v>x</v>
      </c>
      <c r="X672" s="11" t="str">
        <f>'Q100a-geral'!X2143</f>
        <v>x</v>
      </c>
      <c r="Y672" s="11" t="str">
        <f>'Q100a-geral'!Y2143</f>
        <v>x</v>
      </c>
      <c r="Z672" s="11" t="str">
        <f>'Q100a-geral'!Z2143</f>
        <v>x</v>
      </c>
      <c r="AA672" s="11" t="str">
        <f>'Q100a-geral'!AA2143</f>
        <v>x</v>
      </c>
      <c r="AB672" s="11" t="str">
        <f>'Q100a-geral'!AB2143</f>
        <v>x</v>
      </c>
      <c r="AC672" s="11" t="str">
        <f>'Q100a-geral'!AC2143</f>
        <v>x</v>
      </c>
      <c r="AD672" s="11" t="str">
        <f>'Q100a-geral'!AD2143</f>
        <v>x</v>
      </c>
      <c r="AE672" s="11" t="str">
        <f>'Q100a-geral'!AE2143</f>
        <v>x</v>
      </c>
      <c r="AF672" s="11" t="str">
        <f>'Q100a-geral'!AF2143</f>
        <v>x</v>
      </c>
      <c r="AG672" s="11" t="str">
        <f>'Q100a-geral'!AG2143</f>
        <v>x</v>
      </c>
      <c r="AH672" s="11" t="str">
        <f>'Q100a-geral'!AH2143</f>
        <v>x</v>
      </c>
      <c r="AI672" s="11" t="str">
        <f>'Q100a-geral'!AI2143</f>
        <v>x</v>
      </c>
      <c r="AJ672" s="11" t="str">
        <f>'Q100a-geral'!AJ2143</f>
        <v>x</v>
      </c>
      <c r="AK672" s="137" t="str">
        <f>'Q100a-geral'!AK2143</f>
        <v>x</v>
      </c>
      <c r="AL672" s="173" t="str">
        <f>'Q100a-geral'!AL2143</f>
        <v>x</v>
      </c>
      <c r="AM672" s="137" t="str">
        <f>'Q100a-geral'!AM2143</f>
        <v>x</v>
      </c>
      <c r="AN672" s="137" t="str">
        <f>'Q100a-geral'!AN2143</f>
        <v>x</v>
      </c>
      <c r="AO672" s="137" t="str">
        <f>'Q100a-geral'!AO2143</f>
        <v>x</v>
      </c>
      <c r="AP672" s="137" t="str">
        <f>'Q100a-geral'!AP2143</f>
        <v>x</v>
      </c>
      <c r="AQ672" s="137" t="str">
        <f>'Q100a-geral'!AQ2143</f>
        <v>x</v>
      </c>
      <c r="AR672" s="137"/>
      <c r="AS672" s="137"/>
      <c r="AT672" s="137"/>
      <c r="AU672" s="137"/>
      <c r="AV672" s="137" t="str">
        <f>'Q100a-geral'!AV2143</f>
        <v>x</v>
      </c>
      <c r="AW672" s="137"/>
      <c r="AX672" s="137"/>
      <c r="AY672" s="137"/>
      <c r="AZ672" s="137"/>
      <c r="BA672" s="137" t="str">
        <f>'Q100a-geral'!BA2143</f>
        <v>x</v>
      </c>
      <c r="BB672" s="239" t="str">
        <f>'Q100a-geral'!BB2143</f>
        <v>Normas produzidasx</v>
      </c>
      <c r="BC672" s="239" t="str">
        <f>'Q100a-geral'!BC2143</f>
        <v>Normas produzidasxsigla/verbete</v>
      </c>
      <c r="BD672" s="239" t="str">
        <f>'Q100a-geral'!BD2143</f>
        <v>Normas produzidassigla/verbete</v>
      </c>
    </row>
    <row r="673" spans="1:56" s="1" customFormat="1" ht="25.5" customHeight="1" x14ac:dyDescent="0.25">
      <c r="A673" s="275" t="str">
        <f>'Q100a-geral'!A2144</f>
        <v>3.1</v>
      </c>
      <c r="B673" s="54" t="str">
        <f>'Q100a-geral'!B2144</f>
        <v>Normas produzidas</v>
      </c>
      <c r="C673" s="230" t="str">
        <f>'Q100a-geral'!C2144</f>
        <v>x</v>
      </c>
      <c r="D673" s="9" t="str">
        <f>'Q100a-geral'!D2144</f>
        <v>POP.ET</v>
      </c>
      <c r="E673" s="5" t="str">
        <f>'Q100a-geral'!E2144</f>
        <v>Belo Horizonte</v>
      </c>
      <c r="F673" s="448" t="str">
        <f>'Q100a-geral'!F2144</f>
        <v>Procedimento Operacional Padrão [relativo às] Estações [do transporte coletivo] conforme BHTRANS(2014i)</v>
      </c>
      <c r="G673" s="5" t="str">
        <f>'Q100a-geral'!G2144</f>
        <v>verbete
MFO</v>
      </c>
      <c r="H673" s="173" t="str">
        <f>'Q100a-geral'!H2144</f>
        <v>sigla/verbete</v>
      </c>
      <c r="I673" s="57" t="str">
        <f>'Q100a-geral'!I2144</f>
        <v>x</v>
      </c>
      <c r="J673" s="11" t="str">
        <f>'Q100a-geral'!J2144</f>
        <v>x</v>
      </c>
      <c r="K673" s="11" t="str">
        <f>'Q100a-geral'!K2144</f>
        <v>x</v>
      </c>
      <c r="L673" s="11" t="str">
        <f>'Q100a-geral'!L2144</f>
        <v>x</v>
      </c>
      <c r="M673" s="11" t="str">
        <f>'Q100a-geral'!M2144</f>
        <v>x</v>
      </c>
      <c r="N673" s="11" t="str">
        <f>'Q100a-geral'!N2144</f>
        <v>x</v>
      </c>
      <c r="O673" s="11" t="str">
        <f>'Q100a-geral'!O2144</f>
        <v>x</v>
      </c>
      <c r="P673" s="11" t="str">
        <f>'Q100a-geral'!P2144</f>
        <v>x</v>
      </c>
      <c r="Q673" s="11" t="str">
        <f>'Q100a-geral'!Q2144</f>
        <v>x</v>
      </c>
      <c r="R673" s="11" t="str">
        <f>'Q100a-geral'!R2144</f>
        <v>x</v>
      </c>
      <c r="S673" s="107" t="str">
        <f>'Q100a-geral'!S2144</f>
        <v>só para pesquisa</v>
      </c>
      <c r="T673" s="11" t="str">
        <f>'Q100a-geral'!T2144</f>
        <v>x</v>
      </c>
      <c r="U673" s="11" t="str">
        <f>'Q100a-geral'!U2144</f>
        <v>x</v>
      </c>
      <c r="V673" s="107" t="str">
        <f>'Q100a-geral'!V2144</f>
        <v>só para pesquisa</v>
      </c>
      <c r="W673" s="11" t="str">
        <f>'Q100a-geral'!W2144</f>
        <v>x</v>
      </c>
      <c r="X673" s="11" t="str">
        <f>'Q100a-geral'!X2144</f>
        <v>x</v>
      </c>
      <c r="Y673" s="11" t="str">
        <f>'Q100a-geral'!Y2144</f>
        <v>x</v>
      </c>
      <c r="Z673" s="11" t="str">
        <f>'Q100a-geral'!Z2144</f>
        <v>x</v>
      </c>
      <c r="AA673" s="11" t="str">
        <f>'Q100a-geral'!AA2144</f>
        <v>x</v>
      </c>
      <c r="AB673" s="11" t="str">
        <f>'Q100a-geral'!AB2144</f>
        <v>x</v>
      </c>
      <c r="AC673" s="11" t="str">
        <f>'Q100a-geral'!AC2144</f>
        <v>x</v>
      </c>
      <c r="AD673" s="11" t="str">
        <f>'Q100a-geral'!AD2144</f>
        <v>x</v>
      </c>
      <c r="AE673" s="11" t="str">
        <f>'Q100a-geral'!AE2144</f>
        <v>x</v>
      </c>
      <c r="AF673" s="11" t="str">
        <f>'Q100a-geral'!AF2144</f>
        <v>x</v>
      </c>
      <c r="AG673" s="11" t="str">
        <f>'Q100a-geral'!AG2144</f>
        <v>x</v>
      </c>
      <c r="AH673" s="11" t="str">
        <f>'Q100a-geral'!AH2144</f>
        <v>x</v>
      </c>
      <c r="AI673" s="11" t="str">
        <f>'Q100a-geral'!AI2144</f>
        <v>x</v>
      </c>
      <c r="AJ673" s="11" t="str">
        <f>'Q100a-geral'!AJ2144</f>
        <v>x</v>
      </c>
      <c r="AK673" s="137" t="str">
        <f>'Q100a-geral'!AK2144</f>
        <v>x</v>
      </c>
      <c r="AL673" s="173" t="str">
        <f>'Q100a-geral'!AL2144</f>
        <v>x</v>
      </c>
      <c r="AM673" s="137" t="str">
        <f>'Q100a-geral'!AM2144</f>
        <v>x</v>
      </c>
      <c r="AN673" s="137" t="str">
        <f>'Q100a-geral'!AN2144</f>
        <v>x</v>
      </c>
      <c r="AO673" s="137" t="str">
        <f>'Q100a-geral'!AO2144</f>
        <v>x</v>
      </c>
      <c r="AP673" s="137" t="str">
        <f>'Q100a-geral'!AP2144</f>
        <v>x</v>
      </c>
      <c r="AQ673" s="137" t="str">
        <f>'Q100a-geral'!AQ2144</f>
        <v>x</v>
      </c>
      <c r="AR673" s="137"/>
      <c r="AS673" s="137"/>
      <c r="AT673" s="137"/>
      <c r="AU673" s="137"/>
      <c r="AV673" s="137" t="str">
        <f>'Q100a-geral'!AV2144</f>
        <v>x</v>
      </c>
      <c r="AW673" s="137"/>
      <c r="AX673" s="137"/>
      <c r="AY673" s="137"/>
      <c r="AZ673" s="137"/>
      <c r="BA673" s="137" t="str">
        <f>'Q100a-geral'!BA2144</f>
        <v>x</v>
      </c>
      <c r="BB673" s="239" t="str">
        <f>'Q100a-geral'!BB2144</f>
        <v>Normas produzidasx</v>
      </c>
      <c r="BC673" s="239" t="str">
        <f>'Q100a-geral'!BC2144</f>
        <v>Normas produzidasxsigla/verbete</v>
      </c>
      <c r="BD673" s="239" t="str">
        <f>'Q100a-geral'!BD2144</f>
        <v>Normas produzidassigla/verbete</v>
      </c>
    </row>
    <row r="674" spans="1:56" s="1" customFormat="1" ht="25.5" customHeight="1" x14ac:dyDescent="0.25">
      <c r="A674" s="275" t="str">
        <f>'Q100a-geral'!A2145</f>
        <v>3.1</v>
      </c>
      <c r="B674" s="54" t="str">
        <f>'Q100a-geral'!B2145</f>
        <v>Normas produzidas</v>
      </c>
      <c r="C674" s="230" t="str">
        <f>'Q100a-geral'!C2145</f>
        <v>x</v>
      </c>
      <c r="D674" s="9" t="str">
        <f>'Q100a-geral'!D2145</f>
        <v>POP.TP</v>
      </c>
      <c r="E674" s="5" t="str">
        <f>'Q100a-geral'!E2145</f>
        <v>Belo Horizonte</v>
      </c>
      <c r="F674" s="448" t="str">
        <f>'Q100a-geral'!F2145</f>
        <v>Procedimento Operacional Padrão [de] Transportes conforme BHTRANS(2014i)</v>
      </c>
      <c r="G674" s="5" t="str">
        <f>'Q100a-geral'!G2145</f>
        <v>verbete
MFO</v>
      </c>
      <c r="H674" s="173" t="str">
        <f>'Q100a-geral'!H2145</f>
        <v>sigla/verbete</v>
      </c>
      <c r="I674" s="57" t="str">
        <f>'Q100a-geral'!I2145</f>
        <v>x</v>
      </c>
      <c r="J674" s="11" t="str">
        <f>'Q100a-geral'!J2145</f>
        <v>x</v>
      </c>
      <c r="K674" s="11" t="str">
        <f>'Q100a-geral'!K2145</f>
        <v>x</v>
      </c>
      <c r="L674" s="11" t="str">
        <f>'Q100a-geral'!L2145</f>
        <v>x</v>
      </c>
      <c r="M674" s="11" t="str">
        <f>'Q100a-geral'!M2145</f>
        <v>x</v>
      </c>
      <c r="N674" s="11" t="str">
        <f>'Q100a-geral'!N2145</f>
        <v>x</v>
      </c>
      <c r="O674" s="11" t="str">
        <f>'Q100a-geral'!O2145</f>
        <v>x</v>
      </c>
      <c r="P674" s="11" t="str">
        <f>'Q100a-geral'!P2145</f>
        <v>x</v>
      </c>
      <c r="Q674" s="11" t="str">
        <f>'Q100a-geral'!Q2145</f>
        <v>x</v>
      </c>
      <c r="R674" s="11" t="str">
        <f>'Q100a-geral'!R2145</f>
        <v>x</v>
      </c>
      <c r="S674" s="107" t="str">
        <f>'Q100a-geral'!S2145</f>
        <v>só para pesquisa</v>
      </c>
      <c r="T674" s="11" t="str">
        <f>'Q100a-geral'!T2145</f>
        <v>x</v>
      </c>
      <c r="U674" s="11" t="str">
        <f>'Q100a-geral'!U2145</f>
        <v>x</v>
      </c>
      <c r="V674" s="107" t="str">
        <f>'Q100a-geral'!V2145</f>
        <v>só para pesquisa</v>
      </c>
      <c r="W674" s="11" t="str">
        <f>'Q100a-geral'!W2145</f>
        <v>x</v>
      </c>
      <c r="X674" s="11" t="str">
        <f>'Q100a-geral'!X2145</f>
        <v>x</v>
      </c>
      <c r="Y674" s="11" t="str">
        <f>'Q100a-geral'!Y2145</f>
        <v>x</v>
      </c>
      <c r="Z674" s="11" t="str">
        <f>'Q100a-geral'!Z2145</f>
        <v>x</v>
      </c>
      <c r="AA674" s="11" t="str">
        <f>'Q100a-geral'!AA2145</f>
        <v>x</v>
      </c>
      <c r="AB674" s="11" t="str">
        <f>'Q100a-geral'!AB2145</f>
        <v>x</v>
      </c>
      <c r="AC674" s="11" t="str">
        <f>'Q100a-geral'!AC2145</f>
        <v>x</v>
      </c>
      <c r="AD674" s="11" t="str">
        <f>'Q100a-geral'!AD2145</f>
        <v>x</v>
      </c>
      <c r="AE674" s="11" t="str">
        <f>'Q100a-geral'!AE2145</f>
        <v>x</v>
      </c>
      <c r="AF674" s="11" t="str">
        <f>'Q100a-geral'!AF2145</f>
        <v>x</v>
      </c>
      <c r="AG674" s="11" t="str">
        <f>'Q100a-geral'!AG2145</f>
        <v>x</v>
      </c>
      <c r="AH674" s="11" t="str">
        <f>'Q100a-geral'!AH2145</f>
        <v>x</v>
      </c>
      <c r="AI674" s="11" t="str">
        <f>'Q100a-geral'!AI2145</f>
        <v>x</v>
      </c>
      <c r="AJ674" s="11" t="str">
        <f>'Q100a-geral'!AJ2145</f>
        <v>x</v>
      </c>
      <c r="AK674" s="137" t="str">
        <f>'Q100a-geral'!AK2145</f>
        <v>x</v>
      </c>
      <c r="AL674" s="173" t="str">
        <f>'Q100a-geral'!AL2145</f>
        <v>x</v>
      </c>
      <c r="AM674" s="137" t="str">
        <f>'Q100a-geral'!AM2145</f>
        <v>x</v>
      </c>
      <c r="AN674" s="137" t="str">
        <f>'Q100a-geral'!AN2145</f>
        <v>x</v>
      </c>
      <c r="AO674" s="137" t="str">
        <f>'Q100a-geral'!AO2145</f>
        <v>x</v>
      </c>
      <c r="AP674" s="137" t="str">
        <f>'Q100a-geral'!AP2145</f>
        <v>x</v>
      </c>
      <c r="AQ674" s="137" t="str">
        <f>'Q100a-geral'!AQ2145</f>
        <v>x</v>
      </c>
      <c r="AR674" s="137"/>
      <c r="AS674" s="137"/>
      <c r="AT674" s="137"/>
      <c r="AU674" s="137"/>
      <c r="AV674" s="137" t="str">
        <f>'Q100a-geral'!AV2145</f>
        <v>x</v>
      </c>
      <c r="AW674" s="137"/>
      <c r="AX674" s="137"/>
      <c r="AY674" s="137"/>
      <c r="AZ674" s="137"/>
      <c r="BA674" s="137" t="str">
        <f>'Q100a-geral'!BA2145</f>
        <v>x</v>
      </c>
      <c r="BB674" s="239" t="str">
        <f>'Q100a-geral'!BB2145</f>
        <v>Normas produzidasx</v>
      </c>
      <c r="BC674" s="239" t="str">
        <f>'Q100a-geral'!BC2145</f>
        <v>Normas produzidasxsigla/verbete</v>
      </c>
      <c r="BD674" s="239" t="str">
        <f>'Q100a-geral'!BD2145</f>
        <v>Normas produzidassigla/verbete</v>
      </c>
    </row>
    <row r="675" spans="1:56" s="1" customFormat="1" ht="31.5" customHeight="1" x14ac:dyDescent="0.25">
      <c r="A675" s="275" t="str">
        <f>'Q100a-geral'!A2146</f>
        <v>3.1</v>
      </c>
      <c r="B675" s="54" t="str">
        <f>'Q100a-geral'!B2146</f>
        <v>Normas produzidas</v>
      </c>
      <c r="C675" s="230" t="str">
        <f>'Q100a-geral'!C2146</f>
        <v>x</v>
      </c>
      <c r="D675" s="33" t="str">
        <f>'Q100a-geral'!D2146</f>
        <v>POP.TS</v>
      </c>
      <c r="E675" s="59" t="str">
        <f>'Q100a-geral'!E2146</f>
        <v>Belo Horizonte</v>
      </c>
      <c r="F675" s="473" t="str">
        <f>'Q100a-geral'!F2146</f>
        <v>Procedimento Operacional Padrão [de] Trânsito conforme BHTRANS(2014i)</v>
      </c>
      <c r="G675" s="5" t="str">
        <f>'Q100a-geral'!G2146</f>
        <v>verbete
MFO</v>
      </c>
      <c r="H675" s="173" t="str">
        <f>'Q100a-geral'!H2146</f>
        <v>sigla/verbete</v>
      </c>
      <c r="I675" s="57" t="str">
        <f>'Q100a-geral'!I2146</f>
        <v>x</v>
      </c>
      <c r="J675" s="11" t="str">
        <f>'Q100a-geral'!J2146</f>
        <v>x</v>
      </c>
      <c r="K675" s="11" t="str">
        <f>'Q100a-geral'!K2146</f>
        <v>x</v>
      </c>
      <c r="L675" s="11" t="str">
        <f>'Q100a-geral'!L2146</f>
        <v>x</v>
      </c>
      <c r="M675" s="11" t="str">
        <f>'Q100a-geral'!M2146</f>
        <v>x</v>
      </c>
      <c r="N675" s="11" t="str">
        <f>'Q100a-geral'!N2146</f>
        <v>x</v>
      </c>
      <c r="O675" s="11" t="str">
        <f>'Q100a-geral'!O2146</f>
        <v>x</v>
      </c>
      <c r="P675" s="11" t="str">
        <f>'Q100a-geral'!P2146</f>
        <v>x</v>
      </c>
      <c r="Q675" s="11" t="str">
        <f>'Q100a-geral'!Q2146</f>
        <v>x</v>
      </c>
      <c r="R675" s="11" t="str">
        <f>'Q100a-geral'!R2146</f>
        <v>x</v>
      </c>
      <c r="S675" s="107" t="str">
        <f>'Q100a-geral'!S2146</f>
        <v>só para pesquisa</v>
      </c>
      <c r="T675" s="11" t="str">
        <f>'Q100a-geral'!T2146</f>
        <v>x</v>
      </c>
      <c r="U675" s="11" t="str">
        <f>'Q100a-geral'!U2146</f>
        <v>x</v>
      </c>
      <c r="V675" s="107" t="str">
        <f>'Q100a-geral'!V2146</f>
        <v>só para pesquisa</v>
      </c>
      <c r="W675" s="11" t="str">
        <f>'Q100a-geral'!W2146</f>
        <v>x</v>
      </c>
      <c r="X675" s="11" t="str">
        <f>'Q100a-geral'!X2146</f>
        <v>x</v>
      </c>
      <c r="Y675" s="11" t="str">
        <f>'Q100a-geral'!Y2146</f>
        <v>x</v>
      </c>
      <c r="Z675" s="11" t="str">
        <f>'Q100a-geral'!Z2146</f>
        <v>x</v>
      </c>
      <c r="AA675" s="11" t="str">
        <f>'Q100a-geral'!AA2146</f>
        <v>x</v>
      </c>
      <c r="AB675" s="11" t="str">
        <f>'Q100a-geral'!AB2146</f>
        <v>x</v>
      </c>
      <c r="AC675" s="11" t="str">
        <f>'Q100a-geral'!AC2146</f>
        <v>x</v>
      </c>
      <c r="AD675" s="11" t="str">
        <f>'Q100a-geral'!AD2146</f>
        <v>x</v>
      </c>
      <c r="AE675" s="11" t="str">
        <f>'Q100a-geral'!AE2146</f>
        <v>x</v>
      </c>
      <c r="AF675" s="11" t="str">
        <f>'Q100a-geral'!AF2146</f>
        <v>x</v>
      </c>
      <c r="AG675" s="11" t="str">
        <f>'Q100a-geral'!AG2146</f>
        <v>x</v>
      </c>
      <c r="AH675" s="11" t="str">
        <f>'Q100a-geral'!AH2146</f>
        <v>x</v>
      </c>
      <c r="AI675" s="11" t="str">
        <f>'Q100a-geral'!AI2146</f>
        <v>x</v>
      </c>
      <c r="AJ675" s="11" t="str">
        <f>'Q100a-geral'!AJ2146</f>
        <v>x</v>
      </c>
      <c r="AK675" s="137" t="str">
        <f>'Q100a-geral'!AK2146</f>
        <v>x</v>
      </c>
      <c r="AL675" s="173" t="str">
        <f>'Q100a-geral'!AL2146</f>
        <v>x</v>
      </c>
      <c r="AM675" s="137" t="str">
        <f>'Q100a-geral'!AM2146</f>
        <v>x</v>
      </c>
      <c r="AN675" s="137" t="str">
        <f>'Q100a-geral'!AN2146</f>
        <v>x</v>
      </c>
      <c r="AO675" s="137" t="str">
        <f>'Q100a-geral'!AO2146</f>
        <v>x</v>
      </c>
      <c r="AP675" s="137" t="str">
        <f>'Q100a-geral'!AP2146</f>
        <v>x</v>
      </c>
      <c r="AQ675" s="137" t="str">
        <f>'Q100a-geral'!AQ2146</f>
        <v>x</v>
      </c>
      <c r="AR675" s="137"/>
      <c r="AS675" s="137"/>
      <c r="AT675" s="137"/>
      <c r="AU675" s="137"/>
      <c r="AV675" s="137" t="str">
        <f>'Q100a-geral'!AV2146</f>
        <v>x</v>
      </c>
      <c r="AW675" s="137"/>
      <c r="AX675" s="137"/>
      <c r="AY675" s="137"/>
      <c r="AZ675" s="137"/>
      <c r="BA675" s="137" t="str">
        <f>'Q100a-geral'!BA2146</f>
        <v>x</v>
      </c>
      <c r="BB675" s="239" t="str">
        <f>'Q100a-geral'!BB2146</f>
        <v>Normas produzidasx</v>
      </c>
      <c r="BC675" s="239" t="str">
        <f>'Q100a-geral'!BC2146</f>
        <v>Normas produzidasxsigla/verbete</v>
      </c>
      <c r="BD675" s="239" t="str">
        <f>'Q100a-geral'!BD2146</f>
        <v>Normas produzidassigla/verbete</v>
      </c>
    </row>
    <row r="676" spans="1:56" s="1" customFormat="1" ht="31.5" customHeight="1" x14ac:dyDescent="0.25">
      <c r="A676" s="275" t="str">
        <f>'Q100a-geral'!A2151</f>
        <v>8.5</v>
      </c>
      <c r="B676" s="54" t="str">
        <f>'Q100a-geral'!B2151</f>
        <v>Transporte convencional</v>
      </c>
      <c r="C676" s="230" t="str">
        <f>'Q100a-geral'!C2151</f>
        <v>x</v>
      </c>
      <c r="D676" s="38" t="str">
        <f>'Q100a-geral'!D2151</f>
        <v>PQ tcc(ano)</v>
      </c>
      <c r="E676" s="471" t="str">
        <f>'Q100a-geral'!E2151</f>
        <v>Belo Horizonte</v>
      </c>
      <c r="F676" s="632" t="str">
        <f>'Q100a-geral'!F2151</f>
        <v>produção quilométrica do transporte coletivo convencional (em km) no ano
obs.: resultados de 1996 a 2012 em BHTRANS (2013e)</v>
      </c>
      <c r="G676" s="252" t="str">
        <f>'Q100a-geral'!G2151</f>
        <v>registro na fonte
∑ PQ tcc (janeiro a dezembro)</v>
      </c>
      <c r="H676" s="173" t="str">
        <f>'Q100a-geral'!H2151</f>
        <v>x</v>
      </c>
      <c r="I676" s="167">
        <f>'Q100a-geral'!I2151</f>
        <v>1</v>
      </c>
      <c r="J676" s="107" t="str">
        <f>'Q100a-geral'!J2151</f>
        <v>x</v>
      </c>
      <c r="K676" s="107" t="str">
        <f>'Q100a-geral'!K2151</f>
        <v>x</v>
      </c>
      <c r="L676" s="107" t="str">
        <f>'Q100a-geral'!L2151</f>
        <v>x</v>
      </c>
      <c r="M676" s="84" t="str">
        <f>'Q100a-geral'!M2151</f>
        <v>x</v>
      </c>
      <c r="N676" s="84" t="str">
        <f>'Q100a-geral'!N2151</f>
        <v>x</v>
      </c>
      <c r="O676" s="84" t="str">
        <f>'Q100a-geral'!O2151</f>
        <v>x</v>
      </c>
      <c r="P676" s="87">
        <f>'Q100a-geral'!P2151</f>
        <v>180252379</v>
      </c>
      <c r="Q676" s="87">
        <f>'Q100a-geral'!Q2151</f>
        <v>184713146</v>
      </c>
      <c r="R676" s="87">
        <f>'Q100a-geral'!R2151</f>
        <v>199080063</v>
      </c>
      <c r="S676" s="107" t="str">
        <f>'Q100a-geral'!S2151</f>
        <v>só para pesquisa</v>
      </c>
      <c r="T676" s="87">
        <f>'Q100a-geral'!T2151</f>
        <v>199302791.66999999</v>
      </c>
      <c r="U676" s="87">
        <f>'Q100a-geral'!U2151</f>
        <v>199518542.34209999</v>
      </c>
      <c r="V676" s="107" t="str">
        <f>'Q100a-geral'!V2151</f>
        <v>só para pesquisa</v>
      </c>
      <c r="W676" s="87">
        <f>'Q100a-geral'!W2151</f>
        <v>201599943.48859999</v>
      </c>
      <c r="X676" s="87">
        <f>'Q100a-geral'!X2151</f>
        <v>201809036.72800002</v>
      </c>
      <c r="Y676" s="87">
        <f>'Q100a-geral'!Y2151</f>
        <v>193644314.65389997</v>
      </c>
      <c r="Z676" s="87">
        <f>'Q100a-geral'!Z2151</f>
        <v>183547043.36062998</v>
      </c>
      <c r="AA676" s="87">
        <f>'Q100a-geral'!AA2151</f>
        <v>183794278.48679999</v>
      </c>
      <c r="AB676" s="87">
        <f>'Q100a-geral'!AB2151</f>
        <v>184151461.74589998</v>
      </c>
      <c r="AC676" s="87">
        <f>'Q100a-geral'!AC2151</f>
        <v>184787759.97229999</v>
      </c>
      <c r="AD676" s="87">
        <f>'Q100a-geral'!AD2151</f>
        <v>192461038.4228</v>
      </c>
      <c r="AE676" s="87">
        <f>'Q100a-geral'!AE2151</f>
        <v>195965777.29999998</v>
      </c>
      <c r="AF676" s="87">
        <f>'Q100a-geral'!AF2151</f>
        <v>182026616.84</v>
      </c>
      <c r="AG676" s="87">
        <f>'Q100a-geral'!AG2151</f>
        <v>185530793.29999998</v>
      </c>
      <c r="AH676" s="87">
        <f>'Q100a-geral'!AH2151</f>
        <v>185432984.69999999</v>
      </c>
      <c r="AI676" s="312" t="str">
        <f>'Q100a-geral'!AI2151</f>
        <v>aguardando atualização da fonte</v>
      </c>
      <c r="AJ676" s="312" t="str">
        <f>'Q100a-geral'!AJ2151</f>
        <v>aguardando atualização da fonte</v>
      </c>
      <c r="AK676" s="137" t="str">
        <f>'Q100a-geral'!AK2151</f>
        <v>aguardando atualização da fonte</v>
      </c>
      <c r="AL676" s="215" t="str">
        <f>'Q100a-geral'!AL2151</f>
        <v>x</v>
      </c>
      <c r="AM676" s="137" t="str">
        <f>'Q100a-geral'!AM2151</f>
        <v>x</v>
      </c>
      <c r="AN676" s="137" t="str">
        <f>'Q100a-geral'!AN2151</f>
        <v>x</v>
      </c>
      <c r="AO676" s="137" t="str">
        <f>'Q100a-geral'!AO2151</f>
        <v>x</v>
      </c>
      <c r="AP676" s="137" t="str">
        <f>'Q100a-geral'!AP2151</f>
        <v>x</v>
      </c>
      <c r="AQ676" s="137" t="str">
        <f>'Q100a-geral'!AQ2151</f>
        <v>x</v>
      </c>
      <c r="AR676" s="137"/>
      <c r="AS676" s="137"/>
      <c r="AT676" s="137"/>
      <c r="AU676" s="137"/>
      <c r="AV676" s="137" t="str">
        <f>'Q100a-geral'!AV2151</f>
        <v>x</v>
      </c>
      <c r="AW676" s="137"/>
      <c r="AX676" s="137"/>
      <c r="AY676" s="137"/>
      <c r="AZ676" s="137"/>
      <c r="BA676" s="137" t="str">
        <f>'Q100a-geral'!BA2151</f>
        <v>x</v>
      </c>
      <c r="BB676" s="239" t="str">
        <f>'Q100a-geral'!BB2151</f>
        <v>Transporte convencionalx</v>
      </c>
      <c r="BC676" s="239" t="str">
        <f>'Q100a-geral'!BC2151</f>
        <v>Transporte convencionalxx</v>
      </c>
      <c r="BD676" s="239" t="str">
        <f>'Q100a-geral'!BD2151</f>
        <v>Transporte convencionalx</v>
      </c>
    </row>
    <row r="677" spans="1:56" s="1" customFormat="1" ht="31.5" customHeight="1" x14ac:dyDescent="0.25">
      <c r="A677" s="275" t="str">
        <f>'Q100a-geral'!A2152</f>
        <v>8.5</v>
      </c>
      <c r="B677" s="54" t="str">
        <f>'Q100a-geral'!B2152</f>
        <v>Transporte convencional</v>
      </c>
      <c r="C677" s="230" t="str">
        <f>'Q100a-geral'!C2152</f>
        <v>x</v>
      </c>
      <c r="D677" s="38" t="str">
        <f>'Q100a-geral'!D2152</f>
        <v>PQ tcc(mês)</v>
      </c>
      <c r="E677" s="471" t="str">
        <f>'Q100a-geral'!E2152</f>
        <v>Belo Horizonte</v>
      </c>
      <c r="F677" s="632" t="str">
        <f>'Q100a-geral'!F2152</f>
        <v>média mensal da produção quilométrica do transporte coletivo convencional (em km)</v>
      </c>
      <c r="G677" s="252" t="str">
        <f>'Q100a-geral'!G2152</f>
        <v>PQ tcc(ano) / 12</v>
      </c>
      <c r="H677" s="173" t="str">
        <f>'Q100a-geral'!H2152</f>
        <v>x</v>
      </c>
      <c r="I677" s="167">
        <f>'Q100a-geral'!I2152</f>
        <v>1</v>
      </c>
      <c r="J677" s="109" t="str">
        <f>'Q100a-geral'!J2152</f>
        <v>x</v>
      </c>
      <c r="K677" s="109" t="str">
        <f>'Q100a-geral'!K2152</f>
        <v>x</v>
      </c>
      <c r="L677" s="109" t="str">
        <f>'Q100a-geral'!L2152</f>
        <v>x</v>
      </c>
      <c r="M677" s="84" t="str">
        <f>'Q100a-geral'!M2152</f>
        <v>x</v>
      </c>
      <c r="N677" s="84" t="str">
        <f>'Q100a-geral'!N2152</f>
        <v>x</v>
      </c>
      <c r="O677" s="84" t="str">
        <f>'Q100a-geral'!O2152</f>
        <v>x</v>
      </c>
      <c r="P677" s="87">
        <f>'Q100a-geral'!P2152</f>
        <v>15021031.583333334</v>
      </c>
      <c r="Q677" s="87">
        <f>'Q100a-geral'!Q2152</f>
        <v>15392762.166666666</v>
      </c>
      <c r="R677" s="87">
        <f>'Q100a-geral'!R2152</f>
        <v>16590005.25</v>
      </c>
      <c r="S677" s="107" t="str">
        <f>'Q100a-geral'!S2152</f>
        <v>só para pesquisa</v>
      </c>
      <c r="T677" s="87">
        <f>'Q100a-geral'!T2152</f>
        <v>16608565.972499998</v>
      </c>
      <c r="U677" s="87">
        <f>'Q100a-geral'!U2152</f>
        <v>16626545.195175</v>
      </c>
      <c r="V677" s="107" t="str">
        <f>'Q100a-geral'!V2152</f>
        <v>só para pesquisa</v>
      </c>
      <c r="W677" s="87">
        <f>'Q100a-geral'!W2152</f>
        <v>16799995.290716667</v>
      </c>
      <c r="X677" s="87">
        <f>'Q100a-geral'!X2152</f>
        <v>16817419.727333333</v>
      </c>
      <c r="Y677" s="87">
        <f>'Q100a-geral'!Y2152</f>
        <v>16137026.221158331</v>
      </c>
      <c r="Z677" s="87">
        <f>'Q100a-geral'!Z2152</f>
        <v>15295586.946719164</v>
      </c>
      <c r="AA677" s="87">
        <f>'Q100a-geral'!AA2152</f>
        <v>15316189.873899998</v>
      </c>
      <c r="AB677" s="87">
        <f>'Q100a-geral'!AB2152</f>
        <v>15345955.145491665</v>
      </c>
      <c r="AC677" s="87">
        <f>'Q100a-geral'!AC2152</f>
        <v>15398979.997691667</v>
      </c>
      <c r="AD677" s="87">
        <f>'Q100a-geral'!AD2152</f>
        <v>16038419.868566668</v>
      </c>
      <c r="AE677" s="87">
        <f>'Q100a-geral'!AE2152</f>
        <v>16330481.441666665</v>
      </c>
      <c r="AF677" s="87">
        <f>'Q100a-geral'!AF2152</f>
        <v>15168884.736666666</v>
      </c>
      <c r="AG677" s="87">
        <f>'Q100a-geral'!AG2152</f>
        <v>15460899.441666665</v>
      </c>
      <c r="AH677" s="87">
        <f>'Q100a-geral'!AH2152</f>
        <v>15452748.725</v>
      </c>
      <c r="AI677" s="312" t="e">
        <f>'Q100a-geral'!AI2152</f>
        <v>#VALUE!</v>
      </c>
      <c r="AJ677" s="312" t="e">
        <f>'Q100a-geral'!AJ2152</f>
        <v>#VALUE!</v>
      </c>
      <c r="AK677" s="137" t="e">
        <f>'Q100a-geral'!AK2152</f>
        <v>#VALUE!</v>
      </c>
      <c r="AL677" s="215" t="str">
        <f>'Q100a-geral'!AL2152</f>
        <v>x</v>
      </c>
      <c r="AM677" s="137" t="str">
        <f>'Q100a-geral'!AM2152</f>
        <v>x</v>
      </c>
      <c r="AN677" s="137" t="str">
        <f>'Q100a-geral'!AN2152</f>
        <v>x</v>
      </c>
      <c r="AO677" s="137" t="str">
        <f>'Q100a-geral'!AO2152</f>
        <v>x</v>
      </c>
      <c r="AP677" s="137" t="str">
        <f>'Q100a-geral'!AP2152</f>
        <v>x</v>
      </c>
      <c r="AQ677" s="137" t="str">
        <f>'Q100a-geral'!AQ2152</f>
        <v>x</v>
      </c>
      <c r="AR677" s="137"/>
      <c r="AS677" s="137"/>
      <c r="AT677" s="137"/>
      <c r="AU677" s="137"/>
      <c r="AV677" s="137" t="str">
        <f>'Q100a-geral'!AV2152</f>
        <v>x</v>
      </c>
      <c r="AW677" s="137"/>
      <c r="AX677" s="137"/>
      <c r="AY677" s="137"/>
      <c r="AZ677" s="137"/>
      <c r="BA677" s="137" t="str">
        <f>'Q100a-geral'!BA2152</f>
        <v>x</v>
      </c>
      <c r="BB677" s="239" t="str">
        <f>'Q100a-geral'!BB2152</f>
        <v>Transporte convencionalx</v>
      </c>
      <c r="BC677" s="239" t="str">
        <f>'Q100a-geral'!BC2152</f>
        <v>Transporte convencionalxx</v>
      </c>
      <c r="BD677" s="239" t="str">
        <f>'Q100a-geral'!BD2152</f>
        <v>Transporte convencionalx</v>
      </c>
    </row>
    <row r="678" spans="1:56" s="1" customFormat="1" ht="158.25" customHeight="1" x14ac:dyDescent="0.25">
      <c r="A678" s="275" t="str">
        <f>'Q100a-geral'!A2153</f>
        <v>2.4</v>
      </c>
      <c r="B678" s="54" t="str">
        <f>'Q100a-geral'!B2153</f>
        <v>População</v>
      </c>
      <c r="C678" s="229" t="str">
        <f>'Q100a-geral'!C2153</f>
        <v>-</v>
      </c>
      <c r="D678" s="336" t="str">
        <f>'Q100a-geral'!D2153</f>
        <v>Pr(BH)</v>
      </c>
      <c r="E678" s="355" t="str">
        <f>'Q100a-geral'!E2153</f>
        <v>Belo Horizonte</v>
      </c>
      <c r="F678" s="492" t="str">
        <f>'Q100a-geral'!F2153</f>
        <v>população reestimada de Belo Horizonte, segundo metodologia estabelecida por: OLIVEIRA, Marcos Fontoura de. Ausências, avanços e contradições da atual política de mobilidade urbana de Belo Horizonte: uma pesquisa sobre o direito de acesso amplo e democrático ao espaço urbano. 2014. 705f. Tese (Doutorado em Ciências Sociais) - Pontifícia Universidade Católica de Minas Gerais (PUC Minas), Belo Horizonte. "Essa reestimativa [...] tomou como base o crescimento populacional medido entre dois censos consecutivos, considerando crescimentos lineares da população entre 1991 e 2000 e entre 2000 e 2010" (OLIVEIRA, 2014, p.192/Gráfico 8)</v>
      </c>
      <c r="G678" s="14" t="str">
        <f>'Q100a-geral'!G2153</f>
        <v>POTÊNCIA (TXP; intervalo)
onde 
a) TXP = 1 + [[TXP(entre censos)] / 100)]
b) intervalo = 1 / (n.º de anos entre dois censos consecutivos)</v>
      </c>
      <c r="H678" s="168" t="str">
        <f>'Q100a-geral'!H2153</f>
        <v>x</v>
      </c>
      <c r="I678" s="167">
        <f>'Q100a-geral'!I2153</f>
        <v>1</v>
      </c>
      <c r="J678" s="93" t="str">
        <f>'Q100a-geral'!J2153</f>
        <v>x</v>
      </c>
      <c r="K678" s="313">
        <v>2020161</v>
      </c>
      <c r="L678" s="87">
        <f>'Q100a-geral'!L2153</f>
        <v>2043331.7785140099</v>
      </c>
      <c r="M678" s="87">
        <f>'Q100a-geral'!M2153</f>
        <v>2066768.3204879346</v>
      </c>
      <c r="N678" s="87">
        <f>'Q100a-geral'!N2153</f>
        <v>2090473.674167071</v>
      </c>
      <c r="O678" s="87">
        <f>'Q100a-geral'!O2153</f>
        <v>2114450.922759383</v>
      </c>
      <c r="P678" s="87">
        <f>'Q100a-geral'!P2153</f>
        <v>2138703.1848365152</v>
      </c>
      <c r="Q678" s="87">
        <f>'Q100a-geral'!Q2153</f>
        <v>2163233.6147394064</v>
      </c>
      <c r="R678" s="87">
        <f>'Q100a-geral'!R2153</f>
        <v>2188045.4029885544</v>
      </c>
      <c r="S678" s="107" t="str">
        <f>'Q100a-geral'!S2153</f>
        <v>só para pesquisa</v>
      </c>
      <c r="T678" s="87">
        <f>'Q100a-geral'!T2153</f>
        <v>2213141.7766989889</v>
      </c>
      <c r="U678" s="143">
        <v>2238526</v>
      </c>
      <c r="V678" s="107" t="str">
        <f>'Q100a-geral'!V2153</f>
        <v>só para pesquisa</v>
      </c>
      <c r="W678" s="87">
        <f>'Q100a-geral'!W2153</f>
        <v>2251827.1506822067</v>
      </c>
      <c r="X678" s="87">
        <f>'Q100a-geral'!X2153</f>
        <v>2265207.3357868283</v>
      </c>
      <c r="Y678" s="87">
        <f>'Q100a-geral'!Y2153</f>
        <v>2278667.0249303719</v>
      </c>
      <c r="Z678" s="87">
        <f>'Q100a-geral'!Z2153</f>
        <v>2292206.6905197706</v>
      </c>
      <c r="AA678" s="87">
        <f>'Q100a-geral'!AA2153</f>
        <v>2305826.8077689628</v>
      </c>
      <c r="AB678" s="87">
        <f>'Q100a-geral'!AB2153</f>
        <v>2319527.8547155727</v>
      </c>
      <c r="AC678" s="87">
        <f>'Q100a-geral'!AC2153</f>
        <v>2333310.3122376865</v>
      </c>
      <c r="AD678" s="87">
        <f>'Q100a-geral'!AD2153</f>
        <v>2347174.664070732</v>
      </c>
      <c r="AE678" s="87">
        <f>'Q100a-geral'!AE2153</f>
        <v>2361121.3968244558</v>
      </c>
      <c r="AF678" s="143">
        <v>2375151</v>
      </c>
      <c r="AG678" s="133"/>
      <c r="AH678" s="133"/>
      <c r="AI678" s="133"/>
      <c r="AJ678" s="133"/>
      <c r="AK678" s="133"/>
      <c r="AL678" s="213" t="str">
        <f>'Q100a-geral'!AL2153</f>
        <v>x</v>
      </c>
      <c r="AM678" s="137" t="str">
        <f>'Q100a-geral'!AM2153</f>
        <v>x</v>
      </c>
      <c r="AN678" s="137" t="str">
        <f>'Q100a-geral'!AN2153</f>
        <v>x</v>
      </c>
      <c r="AO678" s="137" t="str">
        <f>'Q100a-geral'!AO2153</f>
        <v>x</v>
      </c>
      <c r="AP678" s="137" t="str">
        <f>'Q100a-geral'!AP2153</f>
        <v>x</v>
      </c>
      <c r="AQ678" s="137" t="str">
        <f>'Q100a-geral'!AQ2153</f>
        <v>x</v>
      </c>
      <c r="AR678" s="137"/>
      <c r="AS678" s="137"/>
      <c r="AT678" s="137"/>
      <c r="AU678" s="137"/>
      <c r="AV678" s="137" t="str">
        <f>'Q100a-geral'!AV2153</f>
        <v>x</v>
      </c>
      <c r="AW678" s="137"/>
      <c r="AX678" s="137"/>
      <c r="AY678" s="137"/>
      <c r="AZ678" s="137"/>
      <c r="BA678" s="137" t="str">
        <f>'Q100a-geral'!BA2153</f>
        <v>x</v>
      </c>
      <c r="BB678" s="239" t="str">
        <f>'Q100a-geral'!BB2153</f>
        <v>População-</v>
      </c>
      <c r="BC678" s="239" t="str">
        <f>'Q100a-geral'!BC2153</f>
        <v>População-x</v>
      </c>
      <c r="BD678" s="239" t="str">
        <f>'Q100a-geral'!BD2153</f>
        <v>Populaçãox</v>
      </c>
    </row>
    <row r="679" spans="1:56" s="1" customFormat="1" ht="25.5" x14ac:dyDescent="0.25">
      <c r="A679" s="262" t="str">
        <f>'Q100a-geral'!A2161</f>
        <v>x</v>
      </c>
      <c r="B679" s="54" t="str">
        <f>'Q100a-geral'!B2161</f>
        <v>geral</v>
      </c>
      <c r="C679" s="230" t="str">
        <f>'Q100a-geral'!C2161</f>
        <v>x</v>
      </c>
      <c r="D679" s="9" t="str">
        <f>'Q100a-geral'!D2161</f>
        <v>PT</v>
      </c>
      <c r="E679" s="5" t="str">
        <f>'Q100a-geral'!E2161</f>
        <v>x</v>
      </c>
      <c r="F679" s="448" t="str">
        <f>'Q100a-geral'!F2161</f>
        <v>pico da tarde</v>
      </c>
      <c r="G679" s="53" t="str">
        <f>'Q100a-geral'!G2161</f>
        <v>sigla</v>
      </c>
      <c r="H679" s="173" t="str">
        <f>'Q100a-geral'!H2161</f>
        <v>sigla/verbete</v>
      </c>
      <c r="I679" s="57" t="str">
        <f>'Q100a-geral'!I2161</f>
        <v>x</v>
      </c>
      <c r="J679" s="11" t="str">
        <f>'Q100a-geral'!J2161</f>
        <v>x</v>
      </c>
      <c r="K679" s="100" t="str">
        <f>'Q100a-geral'!K2161</f>
        <v>x</v>
      </c>
      <c r="L679" s="100" t="str">
        <f>'Q100a-geral'!L2161</f>
        <v>x</v>
      </c>
      <c r="M679" s="100" t="str">
        <f>'Q100a-geral'!M2161</f>
        <v>x</v>
      </c>
      <c r="N679" s="100" t="str">
        <f>'Q100a-geral'!N2161</f>
        <v>x</v>
      </c>
      <c r="O679" s="100" t="str">
        <f>'Q100a-geral'!O2161</f>
        <v>x</v>
      </c>
      <c r="P679" s="100" t="str">
        <f>'Q100a-geral'!P2161</f>
        <v>x</v>
      </c>
      <c r="Q679" s="100" t="str">
        <f>'Q100a-geral'!Q2161</f>
        <v>x</v>
      </c>
      <c r="R679" s="100" t="str">
        <f>'Q100a-geral'!R2161</f>
        <v>x</v>
      </c>
      <c r="S679" s="649" t="str">
        <f>'Q100a-geral'!S2161</f>
        <v>só para pesquisa</v>
      </c>
      <c r="T679" s="100" t="str">
        <f>'Q100a-geral'!T2161</f>
        <v>x</v>
      </c>
      <c r="U679" s="100" t="str">
        <f>'Q100a-geral'!U2161</f>
        <v>x</v>
      </c>
      <c r="V679" s="107" t="str">
        <f>'Q100a-geral'!V2161</f>
        <v>só para pesquisa</v>
      </c>
      <c r="W679" s="100" t="str">
        <f>'Q100a-geral'!W2161</f>
        <v>x</v>
      </c>
      <c r="X679" s="100" t="str">
        <f>'Q100a-geral'!X2161</f>
        <v>x</v>
      </c>
      <c r="Y679" s="100" t="str">
        <f>'Q100a-geral'!Y2161</f>
        <v>x</v>
      </c>
      <c r="Z679" s="100" t="str">
        <f>'Q100a-geral'!Z2161</f>
        <v>x</v>
      </c>
      <c r="AA679" s="100" t="str">
        <f>'Q100a-geral'!AA2161</f>
        <v>x</v>
      </c>
      <c r="AB679" s="100" t="str">
        <f>'Q100a-geral'!AB2161</f>
        <v>x</v>
      </c>
      <c r="AC679" s="100" t="str">
        <f>'Q100a-geral'!AC2161</f>
        <v>x</v>
      </c>
      <c r="AD679" s="100" t="str">
        <f>'Q100a-geral'!AD2161</f>
        <v>x</v>
      </c>
      <c r="AE679" s="100" t="str">
        <f>'Q100a-geral'!AE2161</f>
        <v>x</v>
      </c>
      <c r="AF679" s="100" t="str">
        <f>'Q100a-geral'!AF2161</f>
        <v>x</v>
      </c>
      <c r="AG679" s="100" t="str">
        <f>'Q100a-geral'!AG2161</f>
        <v>x</v>
      </c>
      <c r="AH679" s="100" t="str">
        <f>'Q100a-geral'!AH2161</f>
        <v>x</v>
      </c>
      <c r="AI679" s="100" t="str">
        <f>'Q100a-geral'!AI2161</f>
        <v>x</v>
      </c>
      <c r="AJ679" s="100" t="str">
        <f>'Q100a-geral'!AJ2161</f>
        <v>x</v>
      </c>
      <c r="AK679" s="137" t="str">
        <f>'Q100a-geral'!AK2161</f>
        <v>x</v>
      </c>
      <c r="AL679" s="219" t="str">
        <f>'Q100a-geral'!AL2161</f>
        <v>x</v>
      </c>
      <c r="AM679" s="137" t="str">
        <f>'Q100a-geral'!AM2161</f>
        <v>x</v>
      </c>
      <c r="AN679" s="137" t="str">
        <f>'Q100a-geral'!AN2161</f>
        <v>x</v>
      </c>
      <c r="AO679" s="137" t="str">
        <f>'Q100a-geral'!AO2161</f>
        <v>x</v>
      </c>
      <c r="AP679" s="137" t="str">
        <f>'Q100a-geral'!AP2161</f>
        <v>x</v>
      </c>
      <c r="AQ679" s="137" t="str">
        <f>'Q100a-geral'!AQ2161</f>
        <v>x</v>
      </c>
      <c r="AR679" s="137"/>
      <c r="AS679" s="137"/>
      <c r="AT679" s="137"/>
      <c r="AU679" s="137"/>
      <c r="AV679" s="137" t="str">
        <f>'Q100a-geral'!AV2161</f>
        <v>x</v>
      </c>
      <c r="AW679" s="137"/>
      <c r="AX679" s="137"/>
      <c r="AY679" s="137"/>
      <c r="AZ679" s="137"/>
      <c r="BA679" s="137" t="str">
        <f>'Q100a-geral'!BA2161</f>
        <v>x</v>
      </c>
      <c r="BB679" s="239" t="str">
        <f>'Q100a-geral'!BB2161</f>
        <v>geralx</v>
      </c>
      <c r="BC679" s="239" t="str">
        <f>'Q100a-geral'!BC2161</f>
        <v>geralxsigla/verbete</v>
      </c>
      <c r="BD679" s="239" t="str">
        <f>'Q100a-geral'!BD2161</f>
        <v>geralsigla/verbete</v>
      </c>
    </row>
    <row r="680" spans="1:56" s="1" customFormat="1" ht="63.75" customHeight="1" x14ac:dyDescent="0.25">
      <c r="A680" s="275" t="str">
        <f>'Q100a-geral'!A2169</f>
        <v>5.2</v>
      </c>
      <c r="B680" s="54" t="str">
        <f>'Q100a-geral'!B2169</f>
        <v>Poluição do ar</v>
      </c>
      <c r="C680" s="229" t="str">
        <f>'Q100a-geral'!C2169</f>
        <v>x</v>
      </c>
      <c r="D680" s="287" t="str">
        <f>'Q100a-geral'!D2169</f>
        <v>QA boa em relação a QA monitorada</v>
      </c>
      <c r="E680" s="951" t="str">
        <f>'Q100a-geral'!E2169</f>
        <v>Belo Horizonte</v>
      </c>
      <c r="F680" s="492" t="str">
        <f>'Q100a-geral'!F2169</f>
        <v>percentual de dias com qualidade do ar boa em relação à quantidade de dias com qualidade do ar monitorada
obs.1: esse indicador foi especialmente criado para substituir o indicador IdAmb ou InAmb contido no Balanço da Mobilidade de Belo Horizonte (anos-base 2010 e 2011) e apresenta resultados diferentes dos lá publicados.
obs.2: indicador estratégico da BHTrans denominado como: "Percentual de dias com qualidade do ar boa" (BHTRANS, 2015d)
obs.3: indicador do BH 2030 denominado "Número de dias em que a qualidade do ar em Belo Horizonte foi classificada como boa dividida pelo total de dias monitorados", com resultado de 2011 exatamente como apresentado no SisMob-BH (citado como fonte) conforme BH(2016e1, p.90)
obs.4: este indicador está inserido no Portal da Gestão da PBH com denominação "% de dias com qualidade do ar boa", polaridade "Quanto Maior, Melhor", sem resultados e sem fórmula e por isto o SisMob-BH enviou e-mail à DPL com as informações em dd/mm/aaaa</v>
      </c>
      <c r="G680" s="188" t="str">
        <f>'Q100a-geral'!G2169</f>
        <v>(QA boa / Qa monitorada) x 100</v>
      </c>
      <c r="H680" s="173" t="str">
        <f>'Q100a-geral'!H2169</f>
        <v>x</v>
      </c>
      <c r="I680" s="167">
        <f>'Q100a-geral'!I2169</f>
        <v>1</v>
      </c>
      <c r="J680" s="107" t="str">
        <f>'Q100a-geral'!J2169</f>
        <v>x</v>
      </c>
      <c r="K680" s="107" t="str">
        <f>'Q100a-geral'!K2169</f>
        <v>x</v>
      </c>
      <c r="L680" s="107" t="str">
        <f>'Q100a-geral'!L2169</f>
        <v>x</v>
      </c>
      <c r="M680" s="107" t="str">
        <f>'Q100a-geral'!M2169</f>
        <v>x</v>
      </c>
      <c r="N680" s="107" t="str">
        <f>'Q100a-geral'!N2169</f>
        <v>x</v>
      </c>
      <c r="O680" s="107" t="str">
        <f>'Q100a-geral'!O2169</f>
        <v>x</v>
      </c>
      <c r="P680" s="107" t="str">
        <f>'Q100a-geral'!P2169</f>
        <v>x</v>
      </c>
      <c r="Q680" s="107" t="str">
        <f>'Q100a-geral'!Q2169</f>
        <v>x</v>
      </c>
      <c r="R680" s="107" t="str">
        <f>'Q100a-geral'!R2169</f>
        <v>x</v>
      </c>
      <c r="S680" s="107" t="str">
        <f>'Q100a-geral'!S2169</f>
        <v>só para pesquisa</v>
      </c>
      <c r="T680" s="107" t="str">
        <f>'Q100a-geral'!T2169</f>
        <v>x</v>
      </c>
      <c r="U680" s="107" t="str">
        <f>'Q100a-geral'!U2169</f>
        <v>x</v>
      </c>
      <c r="V680" s="107" t="str">
        <f>'Q100a-geral'!V2169</f>
        <v>só para pesquisa</v>
      </c>
      <c r="W680" s="47">
        <f>'Q100a-geral'!W2169</f>
        <v>0.93506493506493504</v>
      </c>
      <c r="X680" s="47">
        <f>'Q100a-geral'!X2169</f>
        <v>0.86470588235294121</v>
      </c>
      <c r="Y680" s="47">
        <f>'Q100a-geral'!Y2169</f>
        <v>0.78212290502793291</v>
      </c>
      <c r="Z680" s="47">
        <f>'Q100a-geral'!Z2169</f>
        <v>0.9017857142857143</v>
      </c>
      <c r="AA680" s="47">
        <f>'Q100a-geral'!AA2169</f>
        <v>0.93093922651933703</v>
      </c>
      <c r="AB680" s="47">
        <f>'Q100a-geral'!AB2169</f>
        <v>0.84722222222222221</v>
      </c>
      <c r="AC680" s="47">
        <f>'Q100a-geral'!AC2169</f>
        <v>0.79420289855072468</v>
      </c>
      <c r="AD680" s="47">
        <f>'Q100a-geral'!AD2169</f>
        <v>0.75652173913043474</v>
      </c>
      <c r="AE680" s="47">
        <f>'Q100a-geral'!AE2169</f>
        <v>0.85648148148148151</v>
      </c>
      <c r="AF680" s="47">
        <f>'Q100a-geral'!AF2169</f>
        <v>0.80478087649402386</v>
      </c>
      <c r="AG680" s="47">
        <f>'Q100a-geral'!AG2169</f>
        <v>0.6657303370786517</v>
      </c>
      <c r="AH680" s="47">
        <f>'Q100a-geral'!AH2169</f>
        <v>0.7016574585635359</v>
      </c>
      <c r="AI680" s="420"/>
      <c r="AJ680" s="420"/>
      <c r="AK680" s="420"/>
      <c r="AL680" s="213" t="str">
        <f>'Q100a-geral'!AL2169</f>
        <v>x</v>
      </c>
      <c r="AM680" s="137" t="str">
        <f>'Q100a-geral'!AM2169</f>
        <v>x</v>
      </c>
      <c r="AN680" s="137" t="str">
        <f>'Q100a-geral'!AN2169</f>
        <v>x</v>
      </c>
      <c r="AO680" s="137" t="str">
        <f>'Q100a-geral'!AO2169</f>
        <v>x</v>
      </c>
      <c r="AP680" s="137" t="str">
        <f>'Q100a-geral'!AP2169</f>
        <v>x</v>
      </c>
      <c r="AQ680" s="137" t="str">
        <f>'Q100a-geral'!AQ2169</f>
        <v>x</v>
      </c>
      <c r="AR680" s="137"/>
      <c r="AS680" s="137"/>
      <c r="AT680" s="137"/>
      <c r="AU680" s="137"/>
      <c r="AV680" s="137" t="str">
        <f>'Q100a-geral'!AV2169</f>
        <v>x</v>
      </c>
      <c r="AW680" s="137"/>
      <c r="AX680" s="137"/>
      <c r="AY680" s="137"/>
      <c r="AZ680" s="137"/>
      <c r="BA680" s="137" t="str">
        <f>'Q100a-geral'!BA2169</f>
        <v>x</v>
      </c>
      <c r="BB680" s="239" t="str">
        <f>'Q100a-geral'!BB2169</f>
        <v>Poluição do arx</v>
      </c>
      <c r="BC680" s="239" t="str">
        <f>'Q100a-geral'!BC2169</f>
        <v>Poluição do arxx</v>
      </c>
      <c r="BD680" s="239" t="str">
        <f>'Q100a-geral'!BD2169</f>
        <v>Poluição do arx</v>
      </c>
    </row>
    <row r="681" spans="1:56" s="1" customFormat="1" ht="63.75" customHeight="1" x14ac:dyDescent="0.25">
      <c r="A681" s="275" t="str">
        <f>'Q100a-geral'!A2170</f>
        <v>5.2</v>
      </c>
      <c r="B681" s="54" t="str">
        <f>'Q100a-geral'!B2170</f>
        <v>Poluição do ar</v>
      </c>
      <c r="C681" s="229" t="str">
        <f>'Q100a-geral'!C2170</f>
        <v>x</v>
      </c>
      <c r="D681" s="287" t="str">
        <f>'Q100a-geral'!D2170</f>
        <v>QA boa em relação a QA monitorada
(meta)</v>
      </c>
      <c r="E681" s="951" t="str">
        <f>'Q100a-geral'!E2170</f>
        <v>Belo Horizonte</v>
      </c>
      <c r="F681" s="492" t="str">
        <f>'Q100a-geral'!F2170</f>
        <v>"Garantir, no mínimo, 83% de dias com qualidade do ar classificada como boa em relação ao total de dias monitorados no ano." conforme BH(2016e, p.90)</v>
      </c>
      <c r="G681" s="188" t="str">
        <f>'Q100a-geral'!G2170</f>
        <v>meta PBH</v>
      </c>
      <c r="H681" s="173" t="str">
        <f>'Q100a-geral'!H2170</f>
        <v>meta/RPI</v>
      </c>
      <c r="I681" s="167" t="str">
        <f>'Q100a-geral'!I2170</f>
        <v>x</v>
      </c>
      <c r="J681" s="107" t="str">
        <f>'Q100a-geral'!J2170</f>
        <v>x</v>
      </c>
      <c r="K681" s="107" t="str">
        <f>'Q100a-geral'!K2170</f>
        <v>x</v>
      </c>
      <c r="L681" s="107" t="str">
        <f>'Q100a-geral'!L2170</f>
        <v>x</v>
      </c>
      <c r="M681" s="107" t="str">
        <f>'Q100a-geral'!M2170</f>
        <v>x</v>
      </c>
      <c r="N681" s="107" t="str">
        <f>'Q100a-geral'!N2170</f>
        <v>x</v>
      </c>
      <c r="O681" s="107" t="str">
        <f>'Q100a-geral'!O2170</f>
        <v>x</v>
      </c>
      <c r="P681" s="107" t="str">
        <f>'Q100a-geral'!P2170</f>
        <v>x</v>
      </c>
      <c r="Q681" s="107" t="str">
        <f>'Q100a-geral'!Q2170</f>
        <v>x</v>
      </c>
      <c r="R681" s="107" t="str">
        <f>'Q100a-geral'!R2170</f>
        <v>x</v>
      </c>
      <c r="S681" s="107" t="str">
        <f>'Q100a-geral'!S2170</f>
        <v>só para pesquisa</v>
      </c>
      <c r="T681" s="107" t="str">
        <f>'Q100a-geral'!T2170</f>
        <v>x</v>
      </c>
      <c r="U681" s="107" t="str">
        <f>'Q100a-geral'!U2170</f>
        <v>x</v>
      </c>
      <c r="V681" s="107" t="str">
        <f>'Q100a-geral'!V2170</f>
        <v>só para pesquisa</v>
      </c>
      <c r="W681" s="757">
        <v>0.83</v>
      </c>
      <c r="X681" s="757">
        <v>0.83</v>
      </c>
      <c r="Y681" s="757">
        <v>0.83</v>
      </c>
      <c r="Z681" s="757">
        <v>0.83</v>
      </c>
      <c r="AA681" s="757">
        <v>0.83</v>
      </c>
      <c r="AB681" s="757">
        <v>0.83</v>
      </c>
      <c r="AC681" s="757">
        <v>0.83</v>
      </c>
      <c r="AD681" s="757">
        <v>0.83</v>
      </c>
      <c r="AE681" s="757">
        <v>0.83</v>
      </c>
      <c r="AF681" s="757">
        <v>0.83</v>
      </c>
      <c r="AG681" s="757">
        <v>0.83</v>
      </c>
      <c r="AH681" s="757">
        <v>0.83</v>
      </c>
      <c r="AI681" s="757">
        <v>0.83</v>
      </c>
      <c r="AJ681" s="757">
        <v>0.83</v>
      </c>
      <c r="AK681" s="757">
        <v>0.83</v>
      </c>
      <c r="AL681" s="213">
        <f>'Q100a-geral'!AL2170</f>
        <v>0</v>
      </c>
      <c r="AM681" s="95">
        <f>'Q100a-geral'!AM2170</f>
        <v>0.83</v>
      </c>
      <c r="AN681" s="137" t="str">
        <f>'Q100a-geral'!AN2170</f>
        <v>x</v>
      </c>
      <c r="AO681" s="137" t="str">
        <f>'Q100a-geral'!AO2170</f>
        <v>x</v>
      </c>
      <c r="AP681" s="137" t="str">
        <f>'Q100a-geral'!AP2170</f>
        <v>x</v>
      </c>
      <c r="AQ681" s="137" t="str">
        <f>'Q100a-geral'!AQ2170</f>
        <v>x</v>
      </c>
      <c r="AR681" s="137"/>
      <c r="AS681" s="137"/>
      <c r="AT681" s="137"/>
      <c r="AU681" s="137"/>
      <c r="AV681" s="137" t="str">
        <f>'Q100a-geral'!AV2170</f>
        <v>x</v>
      </c>
      <c r="AW681" s="137"/>
      <c r="AX681" s="137"/>
      <c r="AY681" s="137"/>
      <c r="AZ681" s="137"/>
      <c r="BA681" s="137" t="str">
        <f>'Q100a-geral'!BA2170</f>
        <v>x</v>
      </c>
      <c r="BB681" s="239" t="str">
        <f>'Q100a-geral'!BB2170</f>
        <v>Poluição do arx</v>
      </c>
      <c r="BC681" s="239" t="str">
        <f>'Q100a-geral'!BC2170</f>
        <v>Poluição do arxmeta/RPI</v>
      </c>
      <c r="BD681" s="239" t="str">
        <f>'Q100a-geral'!BD2170</f>
        <v>Poluição do armeta/RPI</v>
      </c>
    </row>
    <row r="682" spans="1:56" s="1" customFormat="1" ht="98.25" customHeight="1" x14ac:dyDescent="0.25">
      <c r="A682" s="275" t="str">
        <f>'Q100a-geral'!A2176</f>
        <v>3.4</v>
      </c>
      <c r="B682" s="54" t="str">
        <f>'Q100a-geral'!B2176</f>
        <v>Qualidade da informação</v>
      </c>
      <c r="C682" s="230" t="str">
        <f>'Q100a-geral'!C2176</f>
        <v>x</v>
      </c>
      <c r="D682" s="9" t="str">
        <f>'Q100a-geral'!D2176</f>
        <v>QIS(BHTrans)</v>
      </c>
      <c r="E682" s="5" t="str">
        <f>'Q100a-geral'!E2176</f>
        <v>Belo Horizonte</v>
      </c>
      <c r="F682" s="445" t="str">
        <f>'Q100a-geral'!F2176</f>
        <v>qualidade média das informações publicadas no SisMob-BH
obs.: esse indicador foi apurado de março/2011 a abril/2013 (até que se decida por sua retomada, acesse metodologia de apuração e resultados mensais em OLIVEIRA, 2014. p.149)</v>
      </c>
      <c r="G682" s="5" t="str">
        <f>'Q100a-geral'!G2176</f>
        <v>registro na fonte
∑ pontuação de todas as áreas da BHTrans / n.º de áreas</v>
      </c>
      <c r="H682" s="173" t="str">
        <f>'Q100a-geral'!H2176</f>
        <v>x</v>
      </c>
      <c r="I682" s="57">
        <f>'Q100a-geral'!I2176</f>
        <v>1</v>
      </c>
      <c r="J682" s="109" t="str">
        <f>'Q100a-geral'!J2176</f>
        <v>x</v>
      </c>
      <c r="K682" s="109" t="str">
        <f>'Q100a-geral'!K2176</f>
        <v>x</v>
      </c>
      <c r="L682" s="109" t="str">
        <f>'Q100a-geral'!L2176</f>
        <v>x</v>
      </c>
      <c r="M682" s="109" t="str">
        <f>'Q100a-geral'!M2176</f>
        <v>x</v>
      </c>
      <c r="N682" s="109" t="str">
        <f>'Q100a-geral'!N2176</f>
        <v>x</v>
      </c>
      <c r="O682" s="109" t="str">
        <f>'Q100a-geral'!O2176</f>
        <v>x</v>
      </c>
      <c r="P682" s="109" t="str">
        <f>'Q100a-geral'!P2176</f>
        <v>x</v>
      </c>
      <c r="Q682" s="109" t="str">
        <f>'Q100a-geral'!Q2176</f>
        <v>x</v>
      </c>
      <c r="R682" s="109" t="str">
        <f>'Q100a-geral'!R2176</f>
        <v>x</v>
      </c>
      <c r="S682" s="109" t="str">
        <f>'Q100a-geral'!S2176</f>
        <v>só para pesquisa</v>
      </c>
      <c r="T682" s="109" t="str">
        <f>'Q100a-geral'!T2176</f>
        <v>x</v>
      </c>
      <c r="U682" s="109" t="str">
        <f>'Q100a-geral'!U2176</f>
        <v>x</v>
      </c>
      <c r="V682" s="109" t="str">
        <f>'Q100a-geral'!V2176</f>
        <v>só para pesquisa</v>
      </c>
      <c r="W682" s="109" t="str">
        <f>'Q100a-geral'!W2176</f>
        <v>x</v>
      </c>
      <c r="X682" s="109" t="str">
        <f>'Q100a-geral'!X2176</f>
        <v>x</v>
      </c>
      <c r="Y682" s="109" t="str">
        <f>'Q100a-geral'!Y2176</f>
        <v>x</v>
      </c>
      <c r="Z682" s="109" t="str">
        <f>'Q100a-geral'!Z2176</f>
        <v>x</v>
      </c>
      <c r="AA682" s="109" t="str">
        <f>'Q100a-geral'!AA2176</f>
        <v>x</v>
      </c>
      <c r="AB682" s="109" t="str">
        <f>'Q100a-geral'!AB2176</f>
        <v>x</v>
      </c>
      <c r="AC682" s="109" t="str">
        <f>'Q100a-geral'!AC2176</f>
        <v>x</v>
      </c>
      <c r="AD682" s="109" t="str">
        <f>'Q100a-geral'!AD2176</f>
        <v>x</v>
      </c>
      <c r="AE682" s="109" t="str">
        <f>'Q100a-geral'!AE2176</f>
        <v>x</v>
      </c>
      <c r="AF682" s="109" t="str">
        <f>'Q100a-geral'!AF2176</f>
        <v>x</v>
      </c>
      <c r="AG682" s="192" t="str">
        <f>'Q100a-geral'!AG2176</f>
        <v>x</v>
      </c>
      <c r="AH682" s="192" t="str">
        <f>'Q100a-geral'!AH2176</f>
        <v>x</v>
      </c>
      <c r="AI682" s="192" t="str">
        <f>'Q100a-geral'!AI2176</f>
        <v>x</v>
      </c>
      <c r="AJ682" s="109" t="str">
        <f>'Q100a-geral'!AJ2176</f>
        <v>x</v>
      </c>
      <c r="AK682" s="137" t="str">
        <f>'Q100a-geral'!AK2176</f>
        <v>x</v>
      </c>
      <c r="AL682" s="167" t="str">
        <f>'Q100a-geral'!AL2176</f>
        <v>x</v>
      </c>
      <c r="AM682" s="137" t="str">
        <f>'Q100a-geral'!AM2176</f>
        <v>x</v>
      </c>
      <c r="AN682" s="137" t="str">
        <f>'Q100a-geral'!AN2176</f>
        <v>x</v>
      </c>
      <c r="AO682" s="137" t="str">
        <f>'Q100a-geral'!AO2176</f>
        <v>x</v>
      </c>
      <c r="AP682" s="137" t="str">
        <f>'Q100a-geral'!AP2176</f>
        <v>x</v>
      </c>
      <c r="AQ682" s="137" t="str">
        <f>'Q100a-geral'!AQ2176</f>
        <v>x</v>
      </c>
      <c r="AR682" s="137"/>
      <c r="AS682" s="137"/>
      <c r="AT682" s="137"/>
      <c r="AU682" s="137"/>
      <c r="AV682" s="137" t="str">
        <f>'Q100a-geral'!AV2176</f>
        <v>x</v>
      </c>
      <c r="AW682" s="137"/>
      <c r="AX682" s="137"/>
      <c r="AY682" s="137"/>
      <c r="AZ682" s="137"/>
      <c r="BA682" s="137" t="str">
        <f>'Q100a-geral'!BA2176</f>
        <v>x</v>
      </c>
      <c r="BB682" s="239" t="str">
        <f>'Q100a-geral'!BB2176</f>
        <v>Qualidade da informaçãox</v>
      </c>
      <c r="BC682" s="239" t="str">
        <f>'Q100a-geral'!BC2176</f>
        <v>Qualidade da informaçãoxx</v>
      </c>
      <c r="BD682" s="239" t="str">
        <f>'Q100a-geral'!BD2176</f>
        <v>Qualidade da informaçãox</v>
      </c>
    </row>
    <row r="683" spans="1:56" s="1" customFormat="1" ht="126" customHeight="1" x14ac:dyDescent="0.25">
      <c r="A683" s="275" t="str">
        <f>'Q100a-geral'!A2184</f>
        <v>1.2</v>
      </c>
      <c r="B683" s="54" t="str">
        <f>'Q100a-geral'!B2184</f>
        <v>Atendimento ao usuário em geral</v>
      </c>
      <c r="C683" s="230" t="str">
        <f>'Q100a-geral'!C2184</f>
        <v>x</v>
      </c>
      <c r="D683" s="36" t="str">
        <f>'Q100a-geral'!D2184</f>
        <v>R</v>
      </c>
      <c r="E683" s="464" t="str">
        <f>'Q100a-geral'!E2184</f>
        <v>Belo Horizonte</v>
      </c>
      <c r="F683" s="445" t="str">
        <f>'Q100a-geral'!F2184</f>
        <v>n.º total de reclamações registradas
obs.: "reclamações = n.º total de contatos manifestando insatisfação com os serviços, aí incluindo as reiterações de solicitações", componente de IRE, recomendado em ANTP(2011a, p.19)</v>
      </c>
      <c r="G683" s="252" t="str">
        <f>'Q100a-geral'!G2184</f>
        <v>registro na fonte</v>
      </c>
      <c r="H683" s="169" t="str">
        <f>'Q100a-geral'!H2184</f>
        <v>ainda não incorporado ao SisMob-BH</v>
      </c>
      <c r="I683" s="172">
        <f>'Q100a-geral'!I2184</f>
        <v>1</v>
      </c>
      <c r="J683" s="109" t="str">
        <f>'Q100a-geral'!J2184</f>
        <v>x</v>
      </c>
      <c r="K683" s="110" t="str">
        <f>'Q100a-geral'!K2184</f>
        <v>x</v>
      </c>
      <c r="L683" s="110" t="str">
        <f>'Q100a-geral'!L2184</f>
        <v>x</v>
      </c>
      <c r="M683" s="110" t="str">
        <f>'Q100a-geral'!M2184</f>
        <v>x</v>
      </c>
      <c r="N683" s="110" t="str">
        <f>'Q100a-geral'!N2184</f>
        <v>x</v>
      </c>
      <c r="O683" s="110" t="str">
        <f>'Q100a-geral'!O2184</f>
        <v>x</v>
      </c>
      <c r="P683" s="110" t="str">
        <f>'Q100a-geral'!P2184</f>
        <v>x</v>
      </c>
      <c r="Q683" s="110" t="str">
        <f>'Q100a-geral'!Q2184</f>
        <v>x</v>
      </c>
      <c r="R683" s="110" t="str">
        <f>'Q100a-geral'!R2184</f>
        <v>x</v>
      </c>
      <c r="S683" s="109" t="str">
        <f>'Q100a-geral'!S2184</f>
        <v>só para pesquisa</v>
      </c>
      <c r="T683" s="110" t="str">
        <f>'Q100a-geral'!T2184</f>
        <v>x</v>
      </c>
      <c r="U683" s="110" t="str">
        <f>'Q100a-geral'!U2184</f>
        <v>x</v>
      </c>
      <c r="V683" s="107" t="str">
        <f>'Q100a-geral'!V2184</f>
        <v>só para pesquisa</v>
      </c>
      <c r="W683" s="110" t="str">
        <f>'Q100a-geral'!W2184</f>
        <v>x</v>
      </c>
      <c r="X683" s="110" t="str">
        <f>'Q100a-geral'!X2184</f>
        <v>x</v>
      </c>
      <c r="Y683" s="110" t="str">
        <f>'Q100a-geral'!Y2184</f>
        <v>x</v>
      </c>
      <c r="Z683" s="110" t="str">
        <f>'Q100a-geral'!Z2184</f>
        <v>x</v>
      </c>
      <c r="AA683" s="110" t="str">
        <f>'Q100a-geral'!AA2184</f>
        <v>x</v>
      </c>
      <c r="AB683" s="110" t="str">
        <f>'Q100a-geral'!AB2184</f>
        <v>x</v>
      </c>
      <c r="AC683" s="110" t="str">
        <f>'Q100a-geral'!AC2184</f>
        <v>x</v>
      </c>
      <c r="AD683" s="110" t="str">
        <f>'Q100a-geral'!AD2184</f>
        <v>x</v>
      </c>
      <c r="AE683" s="110" t="str">
        <f>'Q100a-geral'!AE2184</f>
        <v>x</v>
      </c>
      <c r="AF683" s="110" t="str">
        <f>'Q100a-geral'!AF2184</f>
        <v>x</v>
      </c>
      <c r="AG683" s="110" t="str">
        <f>'Q100a-geral'!AG2184</f>
        <v>x</v>
      </c>
      <c r="AH683" s="110" t="str">
        <f>'Q100a-geral'!AH2184</f>
        <v>x</v>
      </c>
      <c r="AI683" s="110" t="str">
        <f>'Q100a-geral'!AI2184</f>
        <v>x</v>
      </c>
      <c r="AJ683" s="110" t="str">
        <f>'Q100a-geral'!AJ2184</f>
        <v>x</v>
      </c>
      <c r="AK683" s="137" t="str">
        <f>'Q100a-geral'!AK2184</f>
        <v>x</v>
      </c>
      <c r="AL683" s="168" t="str">
        <f>'Q100a-geral'!AL2184</f>
        <v>x</v>
      </c>
      <c r="AM683" s="137" t="str">
        <f>'Q100a-geral'!AM2184</f>
        <v>x</v>
      </c>
      <c r="AN683" s="137" t="str">
        <f>'Q100a-geral'!AN2184</f>
        <v>x</v>
      </c>
      <c r="AO683" s="137" t="str">
        <f>'Q100a-geral'!AO2184</f>
        <v>x</v>
      </c>
      <c r="AP683" s="137" t="str">
        <f>'Q100a-geral'!AP2184</f>
        <v>x</v>
      </c>
      <c r="AQ683" s="137" t="str">
        <f>'Q100a-geral'!AQ2184</f>
        <v>x</v>
      </c>
      <c r="AR683" s="137"/>
      <c r="AS683" s="137"/>
      <c r="AT683" s="137"/>
      <c r="AU683" s="137"/>
      <c r="AV683" s="137" t="str">
        <f>'Q100a-geral'!AV2184</f>
        <v>x</v>
      </c>
      <c r="AW683" s="137"/>
      <c r="AX683" s="137"/>
      <c r="AY683" s="137"/>
      <c r="AZ683" s="137"/>
      <c r="BA683" s="137" t="str">
        <f>'Q100a-geral'!BA2184</f>
        <v>x</v>
      </c>
      <c r="BB683" s="239" t="str">
        <f>'Q100a-geral'!BB2184</f>
        <v>Atendimento ao usuário em geralx</v>
      </c>
      <c r="BC683" s="239" t="str">
        <f>'Q100a-geral'!BC2184</f>
        <v>Atendimento ao usuário em geralxainda não incorporado ao SisMob-BH</v>
      </c>
      <c r="BD683" s="239" t="str">
        <f>'Q100a-geral'!BD2184</f>
        <v>Atendimento ao usuário em geralainda não incorporado ao SisMob-BH</v>
      </c>
    </row>
    <row r="684" spans="1:56" ht="54" customHeight="1" x14ac:dyDescent="0.25">
      <c r="A684" s="275" t="str">
        <f>'Q100a-geral'!A2185</f>
        <v>1.2</v>
      </c>
      <c r="B684" s="54" t="str">
        <f>'Q100a-geral'!B2185</f>
        <v>Atendimento ao usuário em geral</v>
      </c>
      <c r="C684" s="230" t="str">
        <f>'Q100a-geral'!C2185</f>
        <v>x</v>
      </c>
      <c r="D684" s="9" t="str">
        <f>'Q100a-geral'!D2185</f>
        <v>R tcc por milhão de passageiros</v>
      </c>
      <c r="E684" s="5" t="str">
        <f>'Q100a-geral'!E2185</f>
        <v>Belo Horizonte</v>
      </c>
      <c r="F684" s="632" t="str">
        <f>'Q100a-geral'!F2185</f>
        <v>taxa de reclamações do transporte coletivo convencional (por milhão de passageiros)
obs.: resultados relativos ao período 2010-2013 disponíveis em BHTRANS (2015e, p.44)</v>
      </c>
      <c r="G684" s="252" t="str">
        <f>'Q100a-geral'!G2185</f>
        <v>registro na fonte</v>
      </c>
      <c r="H684" s="57" t="str">
        <f>'Q100a-geral'!H2185</f>
        <v>x</v>
      </c>
      <c r="I684" s="172">
        <f>'Q100a-geral'!I2185</f>
        <v>1</v>
      </c>
      <c r="J684" s="109" t="str">
        <f>'Q100a-geral'!J2185</f>
        <v>x</v>
      </c>
      <c r="K684" s="110" t="str">
        <f>'Q100a-geral'!K2185</f>
        <v>x</v>
      </c>
      <c r="L684" s="110" t="str">
        <f>'Q100a-geral'!L2185</f>
        <v>x</v>
      </c>
      <c r="M684" s="110" t="str">
        <f>'Q100a-geral'!M2185</f>
        <v>x</v>
      </c>
      <c r="N684" s="110" t="str">
        <f>'Q100a-geral'!N2185</f>
        <v>x</v>
      </c>
      <c r="O684" s="110" t="str">
        <f>'Q100a-geral'!O2185</f>
        <v>x</v>
      </c>
      <c r="P684" s="110" t="str">
        <f>'Q100a-geral'!P2185</f>
        <v>x</v>
      </c>
      <c r="Q684" s="110" t="str">
        <f>'Q100a-geral'!Q2185</f>
        <v>x</v>
      </c>
      <c r="R684" s="110" t="str">
        <f>'Q100a-geral'!R2185</f>
        <v>x</v>
      </c>
      <c r="S684" s="109" t="str">
        <f>'Q100a-geral'!S2185</f>
        <v>só para pesquisa</v>
      </c>
      <c r="T684" s="110" t="str">
        <f>'Q100a-geral'!T2185</f>
        <v>x</v>
      </c>
      <c r="U684" s="110" t="str">
        <f>'Q100a-geral'!U2185</f>
        <v>x</v>
      </c>
      <c r="V684" s="107" t="str">
        <f>'Q100a-geral'!V2185</f>
        <v>só para pesquisa</v>
      </c>
      <c r="W684" s="110" t="str">
        <f>'Q100a-geral'!W2185</f>
        <v>x</v>
      </c>
      <c r="X684" s="110" t="str">
        <f>'Q100a-geral'!X2185</f>
        <v>x</v>
      </c>
      <c r="Y684" s="110" t="str">
        <f>'Q100a-geral'!Y2185</f>
        <v>x</v>
      </c>
      <c r="Z684" s="110" t="str">
        <f>'Q100a-geral'!Z2185</f>
        <v>x</v>
      </c>
      <c r="AA684" s="110" t="str">
        <f>'Q100a-geral'!AA2185</f>
        <v>x</v>
      </c>
      <c r="AB684" s="110" t="str">
        <f>'Q100a-geral'!AB2185</f>
        <v>x</v>
      </c>
      <c r="AC684" s="110" t="str">
        <f>'Q100a-geral'!AC2185</f>
        <v>x</v>
      </c>
      <c r="AD684" s="110" t="str">
        <f>'Q100a-geral'!AD2185</f>
        <v>x</v>
      </c>
      <c r="AE684" s="110" t="str">
        <f>'Q100a-geral'!AE2185</f>
        <v>x</v>
      </c>
      <c r="AF684" s="110">
        <f>'Q100a-geral'!AF2185</f>
        <v>49.5</v>
      </c>
      <c r="AG684" s="110">
        <f>'Q100a-geral'!AG2185</f>
        <v>79.099999999999994</v>
      </c>
      <c r="AH684" s="110">
        <f>'Q100a-geral'!AH2185</f>
        <v>83.5</v>
      </c>
      <c r="AI684" s="110">
        <f>'Q100a-geral'!AI2185</f>
        <v>93.4</v>
      </c>
      <c r="AJ684" s="110" t="str">
        <f>'Q100a-geral'!AJ2185</f>
        <v>x</v>
      </c>
      <c r="AK684" s="137" t="str">
        <f>'Q100a-geral'!AK2185</f>
        <v>x</v>
      </c>
      <c r="AL684" s="168" t="str">
        <f>'Q100a-geral'!AL2185</f>
        <v>x</v>
      </c>
      <c r="AM684" s="137" t="str">
        <f>'Q100a-geral'!AM2185</f>
        <v>x</v>
      </c>
      <c r="AN684" s="137" t="str">
        <f>'Q100a-geral'!AN2185</f>
        <v>x</v>
      </c>
      <c r="AO684" s="137" t="str">
        <f>'Q100a-geral'!AO2185</f>
        <v>x</v>
      </c>
      <c r="AP684" s="137" t="str">
        <f>'Q100a-geral'!AP2185</f>
        <v>x</v>
      </c>
      <c r="AQ684" s="137" t="str">
        <f>'Q100a-geral'!AQ2185</f>
        <v>x</v>
      </c>
      <c r="AR684" s="137"/>
      <c r="AS684" s="137"/>
      <c r="AT684" s="137"/>
      <c r="AU684" s="137"/>
      <c r="AV684" s="137" t="str">
        <f>'Q100a-geral'!AV2185</f>
        <v>x</v>
      </c>
      <c r="AW684" s="137"/>
      <c r="AX684" s="137"/>
      <c r="AY684" s="137"/>
      <c r="AZ684" s="137"/>
      <c r="BA684" s="137" t="str">
        <f>'Q100a-geral'!BA2185</f>
        <v>x</v>
      </c>
      <c r="BB684" s="239" t="str">
        <f>'Q100a-geral'!BB2185</f>
        <v>Atendimento ao usuário em geralx</v>
      </c>
      <c r="BC684" s="239" t="str">
        <f>'Q100a-geral'!BC2185</f>
        <v>Atendimento ao usuário em geralxx</v>
      </c>
      <c r="BD684" s="239" t="str">
        <f>'Q100a-geral'!BD2185</f>
        <v>Atendimento ao usuário em geralx</v>
      </c>
    </row>
    <row r="685" spans="1:56" ht="42" customHeight="1" x14ac:dyDescent="0.25">
      <c r="A685" s="275" t="str">
        <f>'Q100a-geral'!A2187</f>
        <v>1.2</v>
      </c>
      <c r="B685" s="54" t="str">
        <f>'Q100a-geral'!B2187</f>
        <v>Atendimento ao usuário em geral</v>
      </c>
      <c r="C685" s="230" t="str">
        <f>'Q100a-geral'!C2187</f>
        <v>x</v>
      </c>
      <c r="D685" s="9" t="str">
        <f>'Q100a-geral'!D2187</f>
        <v>R suplementar por milhão de passageiros</v>
      </c>
      <c r="E685" s="5" t="str">
        <f>'Q100a-geral'!E2187</f>
        <v>Belo Horizonte</v>
      </c>
      <c r="F685" s="632" t="str">
        <f>'Q100a-geral'!F2187</f>
        <v>taxa de reclamações do transporte coletivo suplementar (por milhão de passageiros)
obs.: resultados relativos ao período 2010-2013 disponíveis em BHTRANS (2015e, p.44)</v>
      </c>
      <c r="G685" s="252" t="str">
        <f>'Q100a-geral'!G2187</f>
        <v>registro na fonte</v>
      </c>
      <c r="H685" s="57" t="str">
        <f>'Q100a-geral'!H2187</f>
        <v>x</v>
      </c>
      <c r="I685" s="172">
        <f>'Q100a-geral'!I2187</f>
        <v>1</v>
      </c>
      <c r="J685" s="109" t="str">
        <f>'Q100a-geral'!J2187</f>
        <v>x</v>
      </c>
      <c r="K685" s="110" t="str">
        <f>'Q100a-geral'!K2187</f>
        <v>x</v>
      </c>
      <c r="L685" s="110" t="str">
        <f>'Q100a-geral'!L2187</f>
        <v>x</v>
      </c>
      <c r="M685" s="110" t="str">
        <f>'Q100a-geral'!M2187</f>
        <v>x</v>
      </c>
      <c r="N685" s="110" t="str">
        <f>'Q100a-geral'!N2187</f>
        <v>x</v>
      </c>
      <c r="O685" s="110" t="str">
        <f>'Q100a-geral'!O2187</f>
        <v>x</v>
      </c>
      <c r="P685" s="110" t="str">
        <f>'Q100a-geral'!P2187</f>
        <v>x</v>
      </c>
      <c r="Q685" s="110" t="str">
        <f>'Q100a-geral'!Q2187</f>
        <v>x</v>
      </c>
      <c r="R685" s="110" t="str">
        <f>'Q100a-geral'!R2187</f>
        <v>x</v>
      </c>
      <c r="S685" s="109" t="str">
        <f>'Q100a-geral'!S2187</f>
        <v>só para pesquisa</v>
      </c>
      <c r="T685" s="110" t="str">
        <f>'Q100a-geral'!T2187</f>
        <v>x</v>
      </c>
      <c r="U685" s="110" t="str">
        <f>'Q100a-geral'!U2187</f>
        <v>x</v>
      </c>
      <c r="V685" s="107" t="str">
        <f>'Q100a-geral'!V2187</f>
        <v>só para pesquisa</v>
      </c>
      <c r="W685" s="110" t="str">
        <f>'Q100a-geral'!W2187</f>
        <v>x</v>
      </c>
      <c r="X685" s="110" t="str">
        <f>'Q100a-geral'!X2187</f>
        <v>x</v>
      </c>
      <c r="Y685" s="110" t="str">
        <f>'Q100a-geral'!Y2187</f>
        <v>x</v>
      </c>
      <c r="Z685" s="110" t="str">
        <f>'Q100a-geral'!Z2187</f>
        <v>x</v>
      </c>
      <c r="AA685" s="110" t="str">
        <f>'Q100a-geral'!AA2187</f>
        <v>x</v>
      </c>
      <c r="AB685" s="110" t="str">
        <f>'Q100a-geral'!AB2187</f>
        <v>x</v>
      </c>
      <c r="AC685" s="110" t="str">
        <f>'Q100a-geral'!AC2187</f>
        <v>x</v>
      </c>
      <c r="AD685" s="110" t="str">
        <f>'Q100a-geral'!AD2187</f>
        <v>x</v>
      </c>
      <c r="AE685" s="110" t="str">
        <f>'Q100a-geral'!AE2187</f>
        <v>x</v>
      </c>
      <c r="AF685" s="110">
        <f>'Q100a-geral'!AF2187</f>
        <v>53.6</v>
      </c>
      <c r="AG685" s="110">
        <f>'Q100a-geral'!AG2187</f>
        <v>69.2</v>
      </c>
      <c r="AH685" s="110">
        <f>'Q100a-geral'!AH2187</f>
        <v>94.1</v>
      </c>
      <c r="AI685" s="110">
        <f>'Q100a-geral'!AI2187</f>
        <v>71.599999999999994</v>
      </c>
      <c r="AJ685" s="110" t="str">
        <f>'Q100a-geral'!AJ2187</f>
        <v>x</v>
      </c>
      <c r="AK685" s="137" t="str">
        <f>'Q100a-geral'!AK2187</f>
        <v>x</v>
      </c>
      <c r="AL685" s="168" t="str">
        <f>'Q100a-geral'!AL2187</f>
        <v>x</v>
      </c>
      <c r="AM685" s="137" t="str">
        <f>'Q100a-geral'!AM2187</f>
        <v>x</v>
      </c>
      <c r="AN685" s="137" t="str">
        <f>'Q100a-geral'!AN2187</f>
        <v>x</v>
      </c>
      <c r="AO685" s="137" t="str">
        <f>'Q100a-geral'!AO2187</f>
        <v>x</v>
      </c>
      <c r="AP685" s="137" t="str">
        <f>'Q100a-geral'!AP2187</f>
        <v>x</v>
      </c>
      <c r="AQ685" s="137" t="str">
        <f>'Q100a-geral'!AQ2187</f>
        <v>x</v>
      </c>
      <c r="AR685" s="137"/>
      <c r="AS685" s="137"/>
      <c r="AT685" s="137"/>
      <c r="AU685" s="137"/>
      <c r="AV685" s="137" t="str">
        <f>'Q100a-geral'!AV2187</f>
        <v>x</v>
      </c>
      <c r="AW685" s="137"/>
      <c r="AX685" s="137"/>
      <c r="AY685" s="137"/>
      <c r="AZ685" s="137"/>
      <c r="BA685" s="137" t="str">
        <f>'Q100a-geral'!BA2187</f>
        <v>x</v>
      </c>
      <c r="BB685" s="239" t="str">
        <f>'Q100a-geral'!BB2187</f>
        <v>Atendimento ao usuário em geralx</v>
      </c>
      <c r="BC685" s="239" t="str">
        <f>'Q100a-geral'!BC2187</f>
        <v>Atendimento ao usuário em geralxx</v>
      </c>
      <c r="BD685" s="239" t="str">
        <f>'Q100a-geral'!BD2187</f>
        <v>Atendimento ao usuário em geralx</v>
      </c>
    </row>
    <row r="686" spans="1:56" s="1" customFormat="1" ht="41.25" customHeight="1" x14ac:dyDescent="0.25">
      <c r="A686" s="275" t="str">
        <f>'Q100a-geral'!A2188</f>
        <v>1.2</v>
      </c>
      <c r="B686" s="54" t="str">
        <f>'Q100a-geral'!B2188</f>
        <v>Atendimento ao usuário em geral</v>
      </c>
      <c r="C686" s="229" t="str">
        <f>'Q100a-geral'!C2188</f>
        <v>acessibilidade</v>
      </c>
      <c r="D686" s="34" t="str">
        <f>'Q100a-geral'!D2188</f>
        <v>R ac</v>
      </c>
      <c r="E686" s="114" t="str">
        <f>'Q100a-geral'!E2188</f>
        <v>Belo Horizonte</v>
      </c>
      <c r="F686" s="484" t="str">
        <f>'Q100a-geral'!F2188</f>
        <v>n.º total de reclamações registradas envolvendo acessibilidade</v>
      </c>
      <c r="G686" s="252" t="str">
        <f>'Q100a-geral'!G2188</f>
        <v>registro na fonte</v>
      </c>
      <c r="H686" s="264" t="str">
        <f>'Q100a-geral'!H2188</f>
        <v>ainda não incorporado ao SisMob-BH</v>
      </c>
      <c r="I686" s="230">
        <f>'Q100a-geral'!I2188</f>
        <v>1</v>
      </c>
      <c r="J686" s="109" t="str">
        <f>'Q100a-geral'!J2188</f>
        <v>x</v>
      </c>
      <c r="K686" s="263" t="str">
        <f>'Q100a-geral'!K2188</f>
        <v>x</v>
      </c>
      <c r="L686" s="263" t="str">
        <f>'Q100a-geral'!L2188</f>
        <v>x</v>
      </c>
      <c r="M686" s="263" t="str">
        <f>'Q100a-geral'!M2188</f>
        <v>x</v>
      </c>
      <c r="N686" s="263" t="str">
        <f>'Q100a-geral'!N2188</f>
        <v>x</v>
      </c>
      <c r="O686" s="263" t="str">
        <f>'Q100a-geral'!O2188</f>
        <v>x</v>
      </c>
      <c r="P686" s="263" t="str">
        <f>'Q100a-geral'!P2188</f>
        <v>x</v>
      </c>
      <c r="Q686" s="263" t="str">
        <f>'Q100a-geral'!Q2188</f>
        <v>x</v>
      </c>
      <c r="R686" s="263" t="str">
        <f>'Q100a-geral'!R2188</f>
        <v>x</v>
      </c>
      <c r="S686" s="255" t="str">
        <f>'Q100a-geral'!S2188</f>
        <v>só para pesquisa</v>
      </c>
      <c r="T686" s="110" t="str">
        <f>'Q100a-geral'!T2188</f>
        <v>x</v>
      </c>
      <c r="U686" s="110" t="str">
        <f>'Q100a-geral'!U2188</f>
        <v>x</v>
      </c>
      <c r="V686" s="353" t="str">
        <f>'Q100a-geral'!V2188</f>
        <v>só para pesquisa</v>
      </c>
      <c r="W686" s="110" t="str">
        <f>'Q100a-geral'!W2188</f>
        <v>x</v>
      </c>
      <c r="X686" s="110" t="str">
        <f>'Q100a-geral'!X2188</f>
        <v>x</v>
      </c>
      <c r="Y686" s="110" t="str">
        <f>'Q100a-geral'!Y2188</f>
        <v>x</v>
      </c>
      <c r="Z686" s="110" t="str">
        <f>'Q100a-geral'!Z2188</f>
        <v>x</v>
      </c>
      <c r="AA686" s="110" t="str">
        <f>'Q100a-geral'!AA2188</f>
        <v>x</v>
      </c>
      <c r="AB686" s="110" t="str">
        <f>'Q100a-geral'!AB2188</f>
        <v>x</v>
      </c>
      <c r="AC686" s="110" t="str">
        <f>'Q100a-geral'!AC2188</f>
        <v>x</v>
      </c>
      <c r="AD686" s="110" t="str">
        <f>'Q100a-geral'!AD2188</f>
        <v>x</v>
      </c>
      <c r="AE686" s="110" t="str">
        <f>'Q100a-geral'!AE2188</f>
        <v>x</v>
      </c>
      <c r="AF686" s="110" t="str">
        <f>'Q100a-geral'!AF2188</f>
        <v>x</v>
      </c>
      <c r="AG686" s="110" t="str">
        <f>'Q100a-geral'!AG2188</f>
        <v>x</v>
      </c>
      <c r="AH686" s="110" t="str">
        <f>'Q100a-geral'!AH2188</f>
        <v>x</v>
      </c>
      <c r="AI686" s="110" t="str">
        <f>'Q100a-geral'!AI2188</f>
        <v>x</v>
      </c>
      <c r="AJ686" s="110" t="str">
        <f>'Q100a-geral'!AJ2188</f>
        <v>x</v>
      </c>
      <c r="AK686" s="256" t="str">
        <f>'Q100a-geral'!AK2188</f>
        <v>x</v>
      </c>
      <c r="AL686" s="171" t="str">
        <f>'Q100a-geral'!AL2188</f>
        <v>x</v>
      </c>
      <c r="AM686" s="256" t="str">
        <f>'Q100a-geral'!AM2188</f>
        <v>x</v>
      </c>
      <c r="AN686" s="256" t="str">
        <f>'Q100a-geral'!AN2188</f>
        <v>x</v>
      </c>
      <c r="AO686" s="256" t="str">
        <f>'Q100a-geral'!AO2188</f>
        <v>x</v>
      </c>
      <c r="AP686" s="256" t="str">
        <f>'Q100a-geral'!AP2188</f>
        <v>x</v>
      </c>
      <c r="AQ686" s="256" t="str">
        <f>'Q100a-geral'!AQ2188</f>
        <v>x</v>
      </c>
      <c r="AR686" s="256"/>
      <c r="AS686" s="256"/>
      <c r="AT686" s="256"/>
      <c r="AU686" s="256"/>
      <c r="AV686" s="256" t="str">
        <f>'Q100a-geral'!AV2188</f>
        <v>x</v>
      </c>
      <c r="AW686" s="256"/>
      <c r="AX686" s="256"/>
      <c r="AY686" s="256"/>
      <c r="AZ686" s="256"/>
      <c r="BA686" s="256" t="str">
        <f>'Q100a-geral'!BA2188</f>
        <v>x</v>
      </c>
      <c r="BB686" s="257" t="str">
        <f>'Q100a-geral'!BB2188</f>
        <v>Atendimento ao usuário em geralacessibilidade</v>
      </c>
      <c r="BC686" s="257" t="str">
        <f>'Q100a-geral'!BC2188</f>
        <v>Atendimento ao usuário em geralacessibilidadeainda não incorporado ao SisMob-BH</v>
      </c>
      <c r="BD686" s="257" t="str">
        <f>'Q100a-geral'!BD2188</f>
        <v>Atendimento ao usuário em geralainda não incorporado ao SisMob-BH</v>
      </c>
    </row>
    <row r="687" spans="1:56" s="1" customFormat="1" ht="47.25" customHeight="1" x14ac:dyDescent="0.25">
      <c r="A687" s="275" t="str">
        <f>'Q100a-geral'!A2189</f>
        <v>1.2</v>
      </c>
      <c r="B687" s="54" t="str">
        <f>'Q100a-geral'!B2189</f>
        <v>Atendimento ao usuário em geral</v>
      </c>
      <c r="C687" s="230" t="str">
        <f>'Q100a-geral'!C2189</f>
        <v>x</v>
      </c>
      <c r="D687" s="36" t="str">
        <f>'Q100a-geral'!D2189</f>
        <v>R at</v>
      </c>
      <c r="E687" s="464" t="str">
        <f>'Q100a-geral'!E2189</f>
        <v>Belo Horizonte</v>
      </c>
      <c r="F687" s="445" t="str">
        <f>'Q100a-geral'!F2189</f>
        <v>n.º de reclamações registradas contra agentes de trânsito
obs.: "n.º de reclamações contra agentes de trânsito" para compor o indicador IRA recomendado em ANTP(2011a, p.20)</v>
      </c>
      <c r="G687" s="252" t="str">
        <f>'Q100a-geral'!G2189</f>
        <v>registro na fonte</v>
      </c>
      <c r="H687" s="169" t="str">
        <f>'Q100a-geral'!H2189</f>
        <v>ainda não incorporado ao SisMob-BH</v>
      </c>
      <c r="I687" s="172">
        <f>'Q100a-geral'!I2189</f>
        <v>1</v>
      </c>
      <c r="J687" s="109" t="str">
        <f>'Q100a-geral'!J2189</f>
        <v>x</v>
      </c>
      <c r="K687" s="110" t="str">
        <f>'Q100a-geral'!K2189</f>
        <v>x</v>
      </c>
      <c r="L687" s="110" t="str">
        <f>'Q100a-geral'!L2189</f>
        <v>x</v>
      </c>
      <c r="M687" s="110" t="str">
        <f>'Q100a-geral'!M2189</f>
        <v>x</v>
      </c>
      <c r="N687" s="110" t="str">
        <f>'Q100a-geral'!N2189</f>
        <v>x</v>
      </c>
      <c r="O687" s="110" t="str">
        <f>'Q100a-geral'!O2189</f>
        <v>x</v>
      </c>
      <c r="P687" s="110" t="str">
        <f>'Q100a-geral'!P2189</f>
        <v>x</v>
      </c>
      <c r="Q687" s="110" t="str">
        <f>'Q100a-geral'!Q2189</f>
        <v>x</v>
      </c>
      <c r="R687" s="110" t="str">
        <f>'Q100a-geral'!R2189</f>
        <v>x</v>
      </c>
      <c r="S687" s="109" t="str">
        <f>'Q100a-geral'!S2189</f>
        <v>só para pesquisa</v>
      </c>
      <c r="T687" s="110" t="str">
        <f>'Q100a-geral'!T2189</f>
        <v>x</v>
      </c>
      <c r="U687" s="110" t="str">
        <f>'Q100a-geral'!U2189</f>
        <v>x</v>
      </c>
      <c r="V687" s="107" t="str">
        <f>'Q100a-geral'!V2189</f>
        <v>só para pesquisa</v>
      </c>
      <c r="W687" s="110" t="str">
        <f>'Q100a-geral'!W2189</f>
        <v>x</v>
      </c>
      <c r="X687" s="110" t="str">
        <f>'Q100a-geral'!X2189</f>
        <v>x</v>
      </c>
      <c r="Y687" s="110" t="str">
        <f>'Q100a-geral'!Y2189</f>
        <v>x</v>
      </c>
      <c r="Z687" s="110" t="str">
        <f>'Q100a-geral'!Z2189</f>
        <v>x</v>
      </c>
      <c r="AA687" s="110" t="str">
        <f>'Q100a-geral'!AA2189</f>
        <v>x</v>
      </c>
      <c r="AB687" s="110" t="str">
        <f>'Q100a-geral'!AB2189</f>
        <v>x</v>
      </c>
      <c r="AC687" s="110" t="str">
        <f>'Q100a-geral'!AC2189</f>
        <v>x</v>
      </c>
      <c r="AD687" s="110" t="str">
        <f>'Q100a-geral'!AD2189</f>
        <v>x</v>
      </c>
      <c r="AE687" s="110" t="str">
        <f>'Q100a-geral'!AE2189</f>
        <v>x</v>
      </c>
      <c r="AF687" s="110" t="str">
        <f>'Q100a-geral'!AF2189</f>
        <v>x</v>
      </c>
      <c r="AG687" s="110" t="str">
        <f>'Q100a-geral'!AG2189</f>
        <v>x</v>
      </c>
      <c r="AH687" s="110" t="str">
        <f>'Q100a-geral'!AH2189</f>
        <v>x</v>
      </c>
      <c r="AI687" s="110" t="str">
        <f>'Q100a-geral'!AI2189</f>
        <v>x</v>
      </c>
      <c r="AJ687" s="110" t="str">
        <f>'Q100a-geral'!AJ2189</f>
        <v>x</v>
      </c>
      <c r="AK687" s="84" t="str">
        <f>'Q100a-geral'!AK2189</f>
        <v>x</v>
      </c>
      <c r="AL687" s="168" t="str">
        <f>'Q100a-geral'!AL2189</f>
        <v>x</v>
      </c>
      <c r="AM687" s="137" t="str">
        <f>'Q100a-geral'!AM2189</f>
        <v>x</v>
      </c>
      <c r="AN687" s="137" t="str">
        <f>'Q100a-geral'!AN2189</f>
        <v>x</v>
      </c>
      <c r="AO687" s="137" t="str">
        <f>'Q100a-geral'!AO2189</f>
        <v>x</v>
      </c>
      <c r="AP687" s="137" t="str">
        <f>'Q100a-geral'!AP2189</f>
        <v>x</v>
      </c>
      <c r="AQ687" s="137" t="str">
        <f>'Q100a-geral'!AQ2189</f>
        <v>x</v>
      </c>
      <c r="AR687" s="137"/>
      <c r="AS687" s="137"/>
      <c r="AT687" s="137"/>
      <c r="AU687" s="137"/>
      <c r="AV687" s="137" t="str">
        <f>'Q100a-geral'!AV2189</f>
        <v>x</v>
      </c>
      <c r="AW687" s="137"/>
      <c r="AX687" s="137"/>
      <c r="AY687" s="137"/>
      <c r="AZ687" s="137"/>
      <c r="BA687" s="137" t="str">
        <f>'Q100a-geral'!BA2189</f>
        <v>x</v>
      </c>
      <c r="BB687" s="239" t="str">
        <f>'Q100a-geral'!BB2189</f>
        <v>Atendimento ao usuário em geralx</v>
      </c>
      <c r="BC687" s="239" t="str">
        <f>'Q100a-geral'!BC2189</f>
        <v>Atendimento ao usuário em geralxainda não incorporado ao SisMob-BH</v>
      </c>
      <c r="BD687" s="239" t="str">
        <f>'Q100a-geral'!BD2189</f>
        <v>Atendimento ao usuário em geralainda não incorporado ao SisMob-BH</v>
      </c>
    </row>
    <row r="688" spans="1:56" s="1" customFormat="1" ht="51" customHeight="1" x14ac:dyDescent="0.25">
      <c r="A688" s="275" t="str">
        <f>'Q100a-geral'!A2190</f>
        <v>1.2</v>
      </c>
      <c r="B688" s="54" t="str">
        <f>'Q100a-geral'!B2190</f>
        <v>Atendimento ao usuário em geral</v>
      </c>
      <c r="C688" s="230" t="str">
        <f>'Q100a-geral'!C2190</f>
        <v>x</v>
      </c>
      <c r="D688" s="36" t="str">
        <f>'Q100a-geral'!D2190</f>
        <v>R at/RH at</v>
      </c>
      <c r="E688" s="464" t="str">
        <f>'Q100a-geral'!E2190</f>
        <v>Belo Horizonte</v>
      </c>
      <c r="F688" s="445" t="str">
        <f>'Q100a-geral'!F2190</f>
        <v>n.º de reclamações contra agentes de trânsito em relação ao total de agentes de trânsito
obs.: indicador denominado pela ANTP como "IRA = índice de reclamações contra agentes de trânsito")</v>
      </c>
      <c r="G688" s="24" t="str">
        <f>'Q100a-geral'!G2190</f>
        <v>(Rat/RHat) x 100</v>
      </c>
      <c r="H688" s="169" t="str">
        <f>'Q100a-geral'!H2190</f>
        <v>ainda não incorporado ao SisMob-BH</v>
      </c>
      <c r="I688" s="172">
        <f>'Q100a-geral'!I2190</f>
        <v>1</v>
      </c>
      <c r="J688" s="109" t="str">
        <f>'Q100a-geral'!J2190</f>
        <v>x</v>
      </c>
      <c r="K688" s="110" t="str">
        <f>'Q100a-geral'!K2190</f>
        <v>x</v>
      </c>
      <c r="L688" s="110" t="str">
        <f>'Q100a-geral'!L2190</f>
        <v>x</v>
      </c>
      <c r="M688" s="110" t="str">
        <f>'Q100a-geral'!M2190</f>
        <v>x</v>
      </c>
      <c r="N688" s="110" t="str">
        <f>'Q100a-geral'!N2190</f>
        <v>x</v>
      </c>
      <c r="O688" s="110" t="str">
        <f>'Q100a-geral'!O2190</f>
        <v>x</v>
      </c>
      <c r="P688" s="110" t="str">
        <f>'Q100a-geral'!P2190</f>
        <v>x</v>
      </c>
      <c r="Q688" s="110" t="str">
        <f>'Q100a-geral'!Q2190</f>
        <v>x</v>
      </c>
      <c r="R688" s="110" t="str">
        <f>'Q100a-geral'!R2190</f>
        <v>x</v>
      </c>
      <c r="S688" s="109" t="str">
        <f>'Q100a-geral'!S2190</f>
        <v>só para pesquisa</v>
      </c>
      <c r="T688" s="110" t="str">
        <f>'Q100a-geral'!T2190</f>
        <v>x</v>
      </c>
      <c r="U688" s="110" t="str">
        <f>'Q100a-geral'!U2190</f>
        <v>x</v>
      </c>
      <c r="V688" s="107" t="str">
        <f>'Q100a-geral'!V2190</f>
        <v>só para pesquisa</v>
      </c>
      <c r="W688" s="110" t="str">
        <f>'Q100a-geral'!W2190</f>
        <v>x</v>
      </c>
      <c r="X688" s="110" t="str">
        <f>'Q100a-geral'!X2190</f>
        <v>x</v>
      </c>
      <c r="Y688" s="110" t="str">
        <f>'Q100a-geral'!Y2190</f>
        <v>x</v>
      </c>
      <c r="Z688" s="110" t="str">
        <f>'Q100a-geral'!Z2190</f>
        <v>x</v>
      </c>
      <c r="AA688" s="110" t="str">
        <f>'Q100a-geral'!AA2190</f>
        <v>x</v>
      </c>
      <c r="AB688" s="110" t="str">
        <f>'Q100a-geral'!AB2190</f>
        <v>x</v>
      </c>
      <c r="AC688" s="110" t="str">
        <f>'Q100a-geral'!AC2190</f>
        <v>x</v>
      </c>
      <c r="AD688" s="110" t="str">
        <f>'Q100a-geral'!AD2190</f>
        <v>x</v>
      </c>
      <c r="AE688" s="110" t="str">
        <f>'Q100a-geral'!AE2190</f>
        <v>x</v>
      </c>
      <c r="AF688" s="110" t="str">
        <f>'Q100a-geral'!AF2190</f>
        <v>x</v>
      </c>
      <c r="AG688" s="110" t="str">
        <f>'Q100a-geral'!AG2190</f>
        <v>x</v>
      </c>
      <c r="AH688" s="110" t="str">
        <f>'Q100a-geral'!AH2190</f>
        <v>x</v>
      </c>
      <c r="AI688" s="110" t="str">
        <f>'Q100a-geral'!AI2190</f>
        <v>x</v>
      </c>
      <c r="AJ688" s="110" t="str">
        <f>'Q100a-geral'!AJ2190</f>
        <v>x</v>
      </c>
      <c r="AK688" s="84" t="str">
        <f>'Q100a-geral'!AK2190</f>
        <v>x</v>
      </c>
      <c r="AL688" s="168" t="str">
        <f>'Q100a-geral'!AL2190</f>
        <v>x</v>
      </c>
      <c r="AM688" s="137" t="str">
        <f>'Q100a-geral'!AM2190</f>
        <v>x</v>
      </c>
      <c r="AN688" s="137" t="str">
        <f>'Q100a-geral'!AN2190</f>
        <v>x</v>
      </c>
      <c r="AO688" s="137" t="str">
        <f>'Q100a-geral'!AO2190</f>
        <v>x</v>
      </c>
      <c r="AP688" s="137" t="str">
        <f>'Q100a-geral'!AP2190</f>
        <v>x</v>
      </c>
      <c r="AQ688" s="137" t="str">
        <f>'Q100a-geral'!AQ2190</f>
        <v>x</v>
      </c>
      <c r="AR688" s="137"/>
      <c r="AS688" s="137"/>
      <c r="AT688" s="137"/>
      <c r="AU688" s="137"/>
      <c r="AV688" s="137" t="str">
        <f>'Q100a-geral'!AV2190</f>
        <v>x</v>
      </c>
      <c r="AW688" s="137"/>
      <c r="AX688" s="137"/>
      <c r="AY688" s="137"/>
      <c r="AZ688" s="137"/>
      <c r="BA688" s="137" t="str">
        <f>'Q100a-geral'!BA2190</f>
        <v>x</v>
      </c>
      <c r="BB688" s="239" t="str">
        <f>'Q100a-geral'!BB2190</f>
        <v>Atendimento ao usuário em geralx</v>
      </c>
      <c r="BC688" s="239" t="str">
        <f>'Q100a-geral'!BC2190</f>
        <v>Atendimento ao usuário em geralxainda não incorporado ao SisMob-BH</v>
      </c>
      <c r="BD688" s="239" t="str">
        <f>'Q100a-geral'!BD2190</f>
        <v>Atendimento ao usuário em geralainda não incorporado ao SisMob-BH</v>
      </c>
    </row>
    <row r="689" spans="1:57" s="1" customFormat="1" ht="25.5" customHeight="1" x14ac:dyDescent="0.25">
      <c r="A689" s="275" t="str">
        <f>'Q100a-geral'!A2217</f>
        <v>3.5</v>
      </c>
      <c r="B689" s="54" t="str">
        <f>'Q100a-geral'!B2217</f>
        <v>Recursos humanos</v>
      </c>
      <c r="C689" s="230" t="str">
        <f>'Q100a-geral'!C2217</f>
        <v>x</v>
      </c>
      <c r="D689" s="322" t="str">
        <f>'Q100a-geral'!D2217</f>
        <v>RH</v>
      </c>
      <c r="E689" s="11" t="str">
        <f>'Q100a-geral'!E2217</f>
        <v>Belo Horizonte
(BHTrans)</v>
      </c>
      <c r="F689" s="447" t="str">
        <f>'Q100a-geral'!F2217</f>
        <v>n.º total de empregados da BHTrans
obs.: indicador operacional da BHTrans com o nome "número total de empregados" conforme BHTRANS(2015d3)</v>
      </c>
      <c r="G689" s="14" t="str">
        <f>'Q100a-geral'!G2217</f>
        <v>RH = RH dr + RH nd</v>
      </c>
      <c r="H689" s="173" t="str">
        <f>'Q100a-geral'!H2217</f>
        <v>x</v>
      </c>
      <c r="I689" s="57">
        <f>'Q100a-geral'!I2217</f>
        <v>1</v>
      </c>
      <c r="J689" s="11" t="str">
        <f>'Q100a-geral'!J2217</f>
        <v>x</v>
      </c>
      <c r="K689" s="58" t="str">
        <f>'Q100a-geral'!K2217</f>
        <v>x</v>
      </c>
      <c r="L689" s="58" t="str">
        <f>'Q100a-geral'!L2217</f>
        <v>x</v>
      </c>
      <c r="M689" s="58" t="str">
        <f>'Q100a-geral'!M2217</f>
        <v>x</v>
      </c>
      <c r="N689" s="58" t="str">
        <f>'Q100a-geral'!N2217</f>
        <v>x</v>
      </c>
      <c r="O689" s="58" t="str">
        <f>'Q100a-geral'!O2217</f>
        <v>x</v>
      </c>
      <c r="P689" s="58" t="str">
        <f>'Q100a-geral'!P2217</f>
        <v>x</v>
      </c>
      <c r="Q689" s="58" t="str">
        <f>'Q100a-geral'!Q2217</f>
        <v>x</v>
      </c>
      <c r="R689" s="58" t="str">
        <f>'Q100a-geral'!R2217</f>
        <v>x</v>
      </c>
      <c r="S689" s="107" t="str">
        <f>'Q100a-geral'!S2217</f>
        <v>só para pesquisa</v>
      </c>
      <c r="T689" s="58" t="str">
        <f>'Q100a-geral'!T2217</f>
        <v>x</v>
      </c>
      <c r="U689" s="58" t="str">
        <f>'Q100a-geral'!U2217</f>
        <v>x</v>
      </c>
      <c r="V689" s="107" t="str">
        <f>'Q100a-geral'!V2217</f>
        <v>só para pesquisa</v>
      </c>
      <c r="W689" s="58" t="str">
        <f>'Q100a-geral'!W2217</f>
        <v>x</v>
      </c>
      <c r="X689" s="58" t="str">
        <f>'Q100a-geral'!X2217</f>
        <v>x</v>
      </c>
      <c r="Y689" s="58" t="str">
        <f>'Q100a-geral'!Y2217</f>
        <v>x</v>
      </c>
      <c r="Z689" s="58" t="str">
        <f>'Q100a-geral'!Z2217</f>
        <v>x</v>
      </c>
      <c r="AA689" s="58" t="str">
        <f>'Q100a-geral'!AA2217</f>
        <v>x</v>
      </c>
      <c r="AB689" s="20">
        <f>'Q100a-geral'!AB2217</f>
        <v>1922</v>
      </c>
      <c r="AC689" s="20">
        <f>'Q100a-geral'!AC2217</f>
        <v>1896</v>
      </c>
      <c r="AD689" s="20">
        <f>'Q100a-geral'!AD2217</f>
        <v>1944</v>
      </c>
      <c r="AE689" s="20">
        <f>'Q100a-geral'!AE2217</f>
        <v>1890</v>
      </c>
      <c r="AF689" s="20">
        <f>'Q100a-geral'!AF2217</f>
        <v>1846</v>
      </c>
      <c r="AG689" s="20">
        <f>'Q100a-geral'!AG2217</f>
        <v>1783</v>
      </c>
      <c r="AH689" s="20">
        <f>'Q100a-geral'!AH2217</f>
        <v>1795</v>
      </c>
      <c r="AI689" s="20">
        <f>'Q100a-geral'!AI2217</f>
        <v>1765</v>
      </c>
      <c r="AJ689" s="20">
        <f>'Q100a-geral'!AJ2217</f>
        <v>1729</v>
      </c>
      <c r="AK689" s="20">
        <f>'Q100a-geral'!AK2217</f>
        <v>1898</v>
      </c>
      <c r="AL689" s="215" t="str">
        <f>'Q100a-geral'!AL2217</f>
        <v>x</v>
      </c>
      <c r="AM689" s="137" t="str">
        <f>'Q100a-geral'!AM2217</f>
        <v>x</v>
      </c>
      <c r="AN689" s="137" t="str">
        <f>'Q100a-geral'!AN2217</f>
        <v>x</v>
      </c>
      <c r="AO689" s="137" t="str">
        <f>'Q100a-geral'!AO2217</f>
        <v>x</v>
      </c>
      <c r="AP689" s="137" t="str">
        <f>'Q100a-geral'!AP2217</f>
        <v>x</v>
      </c>
      <c r="AQ689" s="137" t="str">
        <f>'Q100a-geral'!AQ2217</f>
        <v>x</v>
      </c>
      <c r="AR689" s="137"/>
      <c r="AS689" s="137"/>
      <c r="AT689" s="137"/>
      <c r="AU689" s="137"/>
      <c r="AV689" s="137" t="str">
        <f>'Q100a-geral'!AV2217</f>
        <v>x</v>
      </c>
      <c r="AW689" s="137"/>
      <c r="AX689" s="137"/>
      <c r="AY689" s="137"/>
      <c r="AZ689" s="137"/>
      <c r="BA689" s="137" t="str">
        <f>'Q100a-geral'!BA2217</f>
        <v>x</v>
      </c>
      <c r="BB689" s="239" t="str">
        <f>'Q100a-geral'!BB2217</f>
        <v>Recursos humanosx</v>
      </c>
      <c r="BC689" s="239" t="str">
        <f>'Q100a-geral'!BC2217</f>
        <v>Recursos humanosxx</v>
      </c>
      <c r="BD689" s="239" t="str">
        <f>'Q100a-geral'!BD2217</f>
        <v>Recursos humanosx</v>
      </c>
    </row>
    <row r="690" spans="1:57" s="1" customFormat="1" ht="25.5" customHeight="1" x14ac:dyDescent="0.25">
      <c r="A690" s="275" t="str">
        <f>'Q100a-geral'!A2218</f>
        <v>3.5</v>
      </c>
      <c r="B690" s="54" t="str">
        <f>'Q100a-geral'!B2218</f>
        <v>Recursos humanos</v>
      </c>
      <c r="C690" s="230" t="str">
        <f>'Q100a-geral'!C2218</f>
        <v>x</v>
      </c>
      <c r="D690" s="322" t="str">
        <f>'Q100a-geral'!D2218</f>
        <v>RH por mil veículos</v>
      </c>
      <c r="E690" s="11" t="str">
        <f>'Q100a-geral'!E2218</f>
        <v>Belo Horizonte
(BHTrans)</v>
      </c>
      <c r="F690" s="447" t="str">
        <f>'Q100a-geral'!F2218</f>
        <v>n.º total de empregados  da BHTrans por mil veículos</v>
      </c>
      <c r="G690" s="14" t="str">
        <f>'Q100a-geral'!G2218</f>
        <v>(RH/F) x 1.000</v>
      </c>
      <c r="H690" s="173" t="str">
        <f>'Q100a-geral'!H2218</f>
        <v>x</v>
      </c>
      <c r="I690" s="57">
        <f>'Q100a-geral'!I2218</f>
        <v>1</v>
      </c>
      <c r="J690" s="11" t="str">
        <f>'Q100a-geral'!J2218</f>
        <v>x</v>
      </c>
      <c r="K690" s="58" t="str">
        <f>'Q100a-geral'!K2218</f>
        <v>x</v>
      </c>
      <c r="L690" s="58" t="str">
        <f>'Q100a-geral'!L2218</f>
        <v>x</v>
      </c>
      <c r="M690" s="58" t="str">
        <f>'Q100a-geral'!M2218</f>
        <v>x</v>
      </c>
      <c r="N690" s="58" t="str">
        <f>'Q100a-geral'!N2218</f>
        <v>x</v>
      </c>
      <c r="O690" s="58" t="str">
        <f>'Q100a-geral'!O2218</f>
        <v>x</v>
      </c>
      <c r="P690" s="23" t="str">
        <f>'Q100a-geral'!P2218</f>
        <v>x</v>
      </c>
      <c r="Q690" s="23" t="str">
        <f>'Q100a-geral'!Q2218</f>
        <v>x</v>
      </c>
      <c r="R690" s="23" t="str">
        <f>'Q100a-geral'!R2218</f>
        <v>x</v>
      </c>
      <c r="S690" s="649" t="str">
        <f>'Q100a-geral'!S2218</f>
        <v>só para pesquisa</v>
      </c>
      <c r="T690" s="23" t="str">
        <f>'Q100a-geral'!T2218</f>
        <v>x</v>
      </c>
      <c r="U690" s="23" t="str">
        <f>'Q100a-geral'!U2218</f>
        <v>x</v>
      </c>
      <c r="V690" s="107" t="str">
        <f>'Q100a-geral'!V2218</f>
        <v>só para pesquisa</v>
      </c>
      <c r="W690" s="23" t="str">
        <f>'Q100a-geral'!W2218</f>
        <v>x</v>
      </c>
      <c r="X690" s="23" t="str">
        <f>'Q100a-geral'!X2218</f>
        <v>x</v>
      </c>
      <c r="Y690" s="23" t="str">
        <f>'Q100a-geral'!Y2218</f>
        <v>x</v>
      </c>
      <c r="Z690" s="23" t="str">
        <f>'Q100a-geral'!Z2218</f>
        <v>x</v>
      </c>
      <c r="AA690" s="23" t="str">
        <f>'Q100a-geral'!AA2218</f>
        <v>x</v>
      </c>
      <c r="AB690" s="64">
        <f>'Q100a-geral'!AB2218</f>
        <v>2.063810619068021</v>
      </c>
      <c r="AC690" s="64">
        <f>'Q100a-geral'!AC2218</f>
        <v>1.8579765107083535</v>
      </c>
      <c r="AD690" s="64">
        <f>'Q100a-geral'!AD2218</f>
        <v>1.7556867905341027</v>
      </c>
      <c r="AE690" s="64">
        <f>'Q100a-geral'!AE2218</f>
        <v>1.5490216166376396</v>
      </c>
      <c r="AF690" s="64">
        <f>'Q100a-geral'!AF2218</f>
        <v>1.3854895859367553</v>
      </c>
      <c r="AG690" s="64">
        <f>'Q100a-geral'!AG2218</f>
        <v>1.2469708678791356</v>
      </c>
      <c r="AH690" s="64">
        <f>'Q100a-geral'!AH2218</f>
        <v>1.1908434422341416</v>
      </c>
      <c r="AI690" s="22">
        <f>'Q100a-geral'!AI2218</f>
        <v>1.1166468960063267</v>
      </c>
      <c r="AJ690" s="22">
        <f>'Q100a-geral'!AJ2218</f>
        <v>1.0592967225518697</v>
      </c>
      <c r="AK690" s="22">
        <f>'Q100a-geral'!AK2218</f>
        <v>1.120614885756914</v>
      </c>
      <c r="AL690" s="215" t="str">
        <f>'Q100a-geral'!AL2218</f>
        <v>x</v>
      </c>
      <c r="AM690" s="137" t="str">
        <f>'Q100a-geral'!AM2218</f>
        <v>x</v>
      </c>
      <c r="AN690" s="137" t="str">
        <f>'Q100a-geral'!AN2218</f>
        <v>x</v>
      </c>
      <c r="AO690" s="137" t="str">
        <f>'Q100a-geral'!AO2218</f>
        <v>x</v>
      </c>
      <c r="AP690" s="137" t="str">
        <f>'Q100a-geral'!AP2218</f>
        <v>x</v>
      </c>
      <c r="AQ690" s="137" t="str">
        <f>'Q100a-geral'!AQ2218</f>
        <v>x</v>
      </c>
      <c r="AR690" s="137"/>
      <c r="AS690" s="137"/>
      <c r="AT690" s="137"/>
      <c r="AU690" s="137"/>
      <c r="AV690" s="137" t="str">
        <f>'Q100a-geral'!AV2218</f>
        <v>x</v>
      </c>
      <c r="AW690" s="137"/>
      <c r="AX690" s="137"/>
      <c r="AY690" s="137"/>
      <c r="AZ690" s="137"/>
      <c r="BA690" s="137" t="str">
        <f>'Q100a-geral'!BA2218</f>
        <v>x</v>
      </c>
      <c r="BB690" s="239" t="str">
        <f>'Q100a-geral'!BB2218</f>
        <v>Recursos humanosx</v>
      </c>
      <c r="BC690" s="239" t="str">
        <f>'Q100a-geral'!BC2218</f>
        <v>Recursos humanosxx</v>
      </c>
      <c r="BD690" s="239" t="str">
        <f>'Q100a-geral'!BD2218</f>
        <v>Recursos humanosx</v>
      </c>
    </row>
    <row r="691" spans="1:57" s="1" customFormat="1" ht="25.5" customHeight="1" x14ac:dyDescent="0.25">
      <c r="A691" s="275" t="str">
        <f>'Q100a-geral'!A2219</f>
        <v>3.5</v>
      </c>
      <c r="B691" s="54" t="str">
        <f>'Q100a-geral'!B2219</f>
        <v>Recursos humanos</v>
      </c>
      <c r="C691" s="230" t="str">
        <f>'Q100a-geral'!C2219</f>
        <v>x</v>
      </c>
      <c r="D691" s="322" t="str">
        <f>'Q100a-geral'!D2219</f>
        <v>RH por milhão de habitantes</v>
      </c>
      <c r="E691" s="11" t="str">
        <f>'Q100a-geral'!E2219</f>
        <v>Belo Horizonte
(BHTrans)</v>
      </c>
      <c r="F691" s="447" t="str">
        <f>'Q100a-geral'!F2219</f>
        <v>n.º total de empregados  da BHTrans por milhão de habitantes</v>
      </c>
      <c r="G691" s="14" t="str">
        <f>'Q100a-geral'!G2219</f>
        <v>(RH/P) x 1.000.000</v>
      </c>
      <c r="H691" s="173" t="str">
        <f>'Q100a-geral'!H2219</f>
        <v>x</v>
      </c>
      <c r="I691" s="57">
        <f>'Q100a-geral'!I2219</f>
        <v>1</v>
      </c>
      <c r="J691" s="11" t="str">
        <f>'Q100a-geral'!J2219</f>
        <v>x</v>
      </c>
      <c r="K691" s="58" t="str">
        <f>'Q100a-geral'!K2219</f>
        <v>x</v>
      </c>
      <c r="L691" s="58" t="str">
        <f>'Q100a-geral'!L2219</f>
        <v>x</v>
      </c>
      <c r="M691" s="58" t="str">
        <f>'Q100a-geral'!M2219</f>
        <v>x</v>
      </c>
      <c r="N691" s="58" t="str">
        <f>'Q100a-geral'!N2219</f>
        <v>x</v>
      </c>
      <c r="O691" s="58" t="str">
        <f>'Q100a-geral'!O2219</f>
        <v>x</v>
      </c>
      <c r="P691" s="23" t="str">
        <f>'Q100a-geral'!P2219</f>
        <v>x</v>
      </c>
      <c r="Q691" s="23" t="str">
        <f>'Q100a-geral'!Q2219</f>
        <v>x</v>
      </c>
      <c r="R691" s="23" t="str">
        <f>'Q100a-geral'!R2219</f>
        <v>x</v>
      </c>
      <c r="S691" s="649" t="str">
        <f>'Q100a-geral'!S2219</f>
        <v>só para pesquisa</v>
      </c>
      <c r="T691" s="23" t="str">
        <f>'Q100a-geral'!T2219</f>
        <v>x</v>
      </c>
      <c r="U691" s="23" t="str">
        <f>'Q100a-geral'!U2219</f>
        <v>x</v>
      </c>
      <c r="V691" s="107" t="str">
        <f>'Q100a-geral'!V2219</f>
        <v>só para pesquisa</v>
      </c>
      <c r="W691" s="23" t="str">
        <f>'Q100a-geral'!W2219</f>
        <v>x</v>
      </c>
      <c r="X691" s="23" t="str">
        <f>'Q100a-geral'!X2219</f>
        <v>x</v>
      </c>
      <c r="Y691" s="23" t="str">
        <f>'Q100a-geral'!Y2219</f>
        <v>x</v>
      </c>
      <c r="Z691" s="23" t="str">
        <f>'Q100a-geral'!Z2219</f>
        <v>x</v>
      </c>
      <c r="AA691" s="23" t="str">
        <f>'Q100a-geral'!AA2219</f>
        <v>x</v>
      </c>
      <c r="AB691" s="72">
        <f>'Q100a-geral'!AB2219</f>
        <v>800.86002866762226</v>
      </c>
      <c r="AC691" s="72">
        <f>'Q100a-geral'!AC2219</f>
        <v>785.76440246885852</v>
      </c>
      <c r="AD691" s="72">
        <f>'Q100a-geral'!AD2219</f>
        <v>798.47468334153439</v>
      </c>
      <c r="AE691" s="72">
        <f>'Q100a-geral'!AE2219</f>
        <v>770.60543900657956</v>
      </c>
      <c r="AF691" s="72">
        <f>'Q100a-geral'!AF2219</f>
        <v>777.21374346304719</v>
      </c>
      <c r="AG691" s="72">
        <f>'Q100a-geral'!AG2219</f>
        <v>747.38854143961373</v>
      </c>
      <c r="AH691" s="72">
        <f>'Q100a-geral'!AH2219</f>
        <v>749.23250625577839</v>
      </c>
      <c r="AI691" s="20">
        <f>'Q100a-geral'!AI2219</f>
        <v>711.93325171983315</v>
      </c>
      <c r="AJ691" s="20">
        <f>'Q100a-geral'!AJ2219</f>
        <v>694.06838480371596</v>
      </c>
      <c r="AK691" s="20">
        <f>'Q100a-geral'!AK2219</f>
        <v>758.42428364269028</v>
      </c>
      <c r="AL691" s="215" t="str">
        <f>'Q100a-geral'!AL2219</f>
        <v>x</v>
      </c>
      <c r="AM691" s="137" t="str">
        <f>'Q100a-geral'!AM2219</f>
        <v>x</v>
      </c>
      <c r="AN691" s="137" t="str">
        <f>'Q100a-geral'!AN2219</f>
        <v>x</v>
      </c>
      <c r="AO691" s="137" t="str">
        <f>'Q100a-geral'!AO2219</f>
        <v>x</v>
      </c>
      <c r="AP691" s="137" t="str">
        <f>'Q100a-geral'!AP2219</f>
        <v>x</v>
      </c>
      <c r="AQ691" s="137" t="str">
        <f>'Q100a-geral'!AQ2219</f>
        <v>x</v>
      </c>
      <c r="AR691" s="137"/>
      <c r="AS691" s="137"/>
      <c r="AT691" s="137"/>
      <c r="AU691" s="137"/>
      <c r="AV691" s="137" t="str">
        <f>'Q100a-geral'!AV2219</f>
        <v>x</v>
      </c>
      <c r="AW691" s="137"/>
      <c r="AX691" s="137"/>
      <c r="AY691" s="137"/>
      <c r="AZ691" s="137"/>
      <c r="BA691" s="137" t="str">
        <f>'Q100a-geral'!BA2219</f>
        <v>x</v>
      </c>
      <c r="BB691" s="239" t="str">
        <f>'Q100a-geral'!BB2219</f>
        <v>Recursos humanosx</v>
      </c>
      <c r="BC691" s="239" t="str">
        <f>'Q100a-geral'!BC2219</f>
        <v>Recursos humanosxx</v>
      </c>
      <c r="BD691" s="239" t="str">
        <f>'Q100a-geral'!BD2219</f>
        <v>Recursos humanosx</v>
      </c>
    </row>
    <row r="692" spans="1:57" s="1" customFormat="1" ht="38.25" customHeight="1" x14ac:dyDescent="0.25">
      <c r="A692" s="275" t="str">
        <f>'Q100a-geral'!A2220</f>
        <v>3.5</v>
      </c>
      <c r="B692" s="54" t="str">
        <f>'Q100a-geral'!B2220</f>
        <v>Recursos humanos</v>
      </c>
      <c r="C692" s="230" t="str">
        <f>'Q100a-geral'!C2220</f>
        <v>x</v>
      </c>
      <c r="D692" s="322" t="str">
        <f>'Q100a-geral'!D2220</f>
        <v>RH at</v>
      </c>
      <c r="E692" s="11" t="str">
        <f>'Q100a-geral'!E2220</f>
        <v>Belo Horizonte</v>
      </c>
      <c r="F692" s="445" t="str">
        <f>'Q100a-geral'!F2220</f>
        <v>n.º de agentes de trânsito
obs.1: este indicador é denominado pela ANTP como "n.º de agentes de trânsito em operação" como componente do indicador "IRA"
obs.2: indicador operacional da BHTrans com o nome "número total de agentes de trânsito" (BHTRANS, 2015d3)
obs.3: SisMob-BH aguarda informações solicitadas à gerência responsável pelo RH</v>
      </c>
      <c r="G692" s="252" t="str">
        <f>'Q100a-geral'!G2220</f>
        <v>registro na fonte</v>
      </c>
      <c r="H692" s="173" t="str">
        <f>'Q100a-geral'!H2220</f>
        <v>x</v>
      </c>
      <c r="I692" s="57">
        <f>'Q100a-geral'!I2220</f>
        <v>1</v>
      </c>
      <c r="J692" s="11" t="str">
        <f>'Q100a-geral'!J2220</f>
        <v>x</v>
      </c>
      <c r="K692" s="93" t="str">
        <f>'Q100a-geral'!K2220</f>
        <v>ainda não encontrado</v>
      </c>
      <c r="L692" s="93" t="str">
        <f>'Q100a-geral'!L2220</f>
        <v>ainda não encontrado</v>
      </c>
      <c r="M692" s="93" t="str">
        <f>'Q100a-geral'!M2220</f>
        <v>ainda não encontrado</v>
      </c>
      <c r="N692" s="93" t="str">
        <f>'Q100a-geral'!N2220</f>
        <v>ainda não encontrado</v>
      </c>
      <c r="O692" s="93" t="str">
        <f>'Q100a-geral'!O2220</f>
        <v>ainda não encontrado</v>
      </c>
      <c r="P692" s="93" t="str">
        <f>'Q100a-geral'!P2220</f>
        <v>ainda não encontrado</v>
      </c>
      <c r="Q692" s="93" t="str">
        <f>'Q100a-geral'!Q2220</f>
        <v>ainda não encontrado</v>
      </c>
      <c r="R692" s="93" t="str">
        <f>'Q100a-geral'!R2220</f>
        <v>ainda não encontrado</v>
      </c>
      <c r="S692" s="649" t="str">
        <f>'Q100a-geral'!S2220</f>
        <v>só para pesquisa</v>
      </c>
      <c r="T692" s="93" t="str">
        <f>'Q100a-geral'!T2220</f>
        <v>ainda não encontrado</v>
      </c>
      <c r="U692" s="93" t="str">
        <f>'Q100a-geral'!U2220</f>
        <v>ainda não encontrado</v>
      </c>
      <c r="V692" s="107" t="str">
        <f>'Q100a-geral'!V2220</f>
        <v>só para pesquisa</v>
      </c>
      <c r="W692" s="93" t="str">
        <f>'Q100a-geral'!W2220</f>
        <v>ainda não encontrado</v>
      </c>
      <c r="X692" s="93" t="str">
        <f>'Q100a-geral'!X2220</f>
        <v>ainda não encontrado</v>
      </c>
      <c r="Y692" s="93" t="str">
        <f>'Q100a-geral'!Y2220</f>
        <v>ainda não encontrado</v>
      </c>
      <c r="Z692" s="93" t="str">
        <f>'Q100a-geral'!Z2220</f>
        <v>ainda não encontrado</v>
      </c>
      <c r="AA692" s="93" t="str">
        <f>'Q100a-geral'!AA2220</f>
        <v>ainda não encontrado</v>
      </c>
      <c r="AB692" s="93" t="str">
        <f>'Q100a-geral'!AB2220</f>
        <v>ainda não encontrado</v>
      </c>
      <c r="AC692" s="93" t="str">
        <f>'Q100a-geral'!AC2220</f>
        <v>ainda não encontrado</v>
      </c>
      <c r="AD692" s="93" t="str">
        <f>'Q100a-geral'!AD2220</f>
        <v>ainda não encontrado</v>
      </c>
      <c r="AE692" s="93" t="str">
        <f>'Q100a-geral'!AE2220</f>
        <v>ainda não encontrado</v>
      </c>
      <c r="AF692" s="93" t="str">
        <f>'Q100a-geral'!AF2220</f>
        <v>ainda não encontrado</v>
      </c>
      <c r="AG692" s="93" t="str">
        <f>'Q100a-geral'!AG2220</f>
        <v>ainda não encontrado</v>
      </c>
      <c r="AH692" s="93" t="str">
        <f>'Q100a-geral'!AH2220</f>
        <v>ainda não encontrado</v>
      </c>
      <c r="AI692" s="93" t="str">
        <f>'Q100a-geral'!AI2220</f>
        <v>ainda não encontrado</v>
      </c>
      <c r="AJ692" s="93" t="str">
        <f>'Q100a-geral'!AJ2220</f>
        <v>ainda não encontrado</v>
      </c>
      <c r="AK692" s="999" t="str">
        <f>'Q100a-geral'!AK2220</f>
        <v>ainda não encontrado</v>
      </c>
      <c r="AL692" s="173" t="str">
        <f>'Q100a-geral'!AL2220</f>
        <v>x</v>
      </c>
      <c r="AM692" s="137" t="str">
        <f>'Q100a-geral'!AM2220</f>
        <v>x</v>
      </c>
      <c r="AN692" s="137" t="str">
        <f>'Q100a-geral'!AN2220</f>
        <v>x</v>
      </c>
      <c r="AO692" s="137" t="str">
        <f>'Q100a-geral'!AO2220</f>
        <v>x</v>
      </c>
      <c r="AP692" s="137" t="str">
        <f>'Q100a-geral'!AP2220</f>
        <v>x</v>
      </c>
      <c r="AQ692" s="137" t="str">
        <f>'Q100a-geral'!AQ2220</f>
        <v>x</v>
      </c>
      <c r="AR692" s="137"/>
      <c r="AS692" s="137"/>
      <c r="AT692" s="137"/>
      <c r="AU692" s="137"/>
      <c r="AV692" s="137" t="str">
        <f>'Q100a-geral'!AV2220</f>
        <v>x</v>
      </c>
      <c r="AW692" s="137"/>
      <c r="AX692" s="137"/>
      <c r="AY692" s="137"/>
      <c r="AZ692" s="137"/>
      <c r="BA692" s="137" t="str">
        <f>'Q100a-geral'!BA2220</f>
        <v>x</v>
      </c>
      <c r="BB692" s="239" t="str">
        <f>'Q100a-geral'!BB2220</f>
        <v>Recursos humanosx</v>
      </c>
      <c r="BC692" s="239" t="str">
        <f>'Q100a-geral'!BC2220</f>
        <v>Recursos humanosxx</v>
      </c>
      <c r="BD692" s="239" t="str">
        <f>'Q100a-geral'!BD2220</f>
        <v>Recursos humanosx</v>
      </c>
    </row>
    <row r="693" spans="1:57" s="1" customFormat="1" ht="38.25" customHeight="1" x14ac:dyDescent="0.25">
      <c r="A693" s="275" t="str">
        <f>'Q100a-geral'!A2221</f>
        <v>3.5</v>
      </c>
      <c r="B693" s="54" t="str">
        <f>'Q100a-geral'!B2221</f>
        <v>Recursos humanos</v>
      </c>
      <c r="C693" s="230" t="str">
        <f>'Q100a-geral'!C2221</f>
        <v>x</v>
      </c>
      <c r="D693" s="322" t="str">
        <f>'Q100a-geral'!D2221</f>
        <v>RH at por 10 mil veículos</v>
      </c>
      <c r="E693" s="11" t="str">
        <f>'Q100a-geral'!E2221</f>
        <v>Belo Horizonte</v>
      </c>
      <c r="F693" s="445" t="str">
        <f>'Q100a-geral'!F2221</f>
        <v>n.º de agentes de trânsito por 10 mil veículos
obs.: indicador denominado pela ANTP como "IAT"</v>
      </c>
      <c r="G693" s="11" t="str">
        <f>'Q100a-geral'!G2221</f>
        <v>(RHa/F) x 10.000</v>
      </c>
      <c r="H693" s="173" t="str">
        <f>'Q100a-geral'!H2221</f>
        <v>x</v>
      </c>
      <c r="I693" s="57">
        <f>'Q100a-geral'!I2221</f>
        <v>1</v>
      </c>
      <c r="J693" s="11" t="str">
        <f>'Q100a-geral'!J2221</f>
        <v>x</v>
      </c>
      <c r="K693" s="58" t="e">
        <f>'Q100a-geral'!K2221</f>
        <v>#VALUE!</v>
      </c>
      <c r="L693" s="58" t="e">
        <f>'Q100a-geral'!L2221</f>
        <v>#VALUE!</v>
      </c>
      <c r="M693" s="58" t="e">
        <f>'Q100a-geral'!M2221</f>
        <v>#VALUE!</v>
      </c>
      <c r="N693" s="58" t="e">
        <f>'Q100a-geral'!N2221</f>
        <v>#VALUE!</v>
      </c>
      <c r="O693" s="58" t="e">
        <f>'Q100a-geral'!O2221</f>
        <v>#VALUE!</v>
      </c>
      <c r="P693" s="58" t="e">
        <f>'Q100a-geral'!P2221</f>
        <v>#VALUE!</v>
      </c>
      <c r="Q693" s="58" t="e">
        <f>'Q100a-geral'!Q2221</f>
        <v>#VALUE!</v>
      </c>
      <c r="R693" s="58" t="e">
        <f>'Q100a-geral'!R2221</f>
        <v>#VALUE!</v>
      </c>
      <c r="S693" s="649" t="str">
        <f>'Q100a-geral'!S2221</f>
        <v>só para pesquisa</v>
      </c>
      <c r="T693" s="58" t="e">
        <f>'Q100a-geral'!T2221</f>
        <v>#VALUE!</v>
      </c>
      <c r="U693" s="58" t="e">
        <f>'Q100a-geral'!U2221</f>
        <v>#VALUE!</v>
      </c>
      <c r="V693" s="107" t="str">
        <f>'Q100a-geral'!V2221</f>
        <v>só para pesquisa</v>
      </c>
      <c r="W693" s="58" t="e">
        <f>'Q100a-geral'!W2221</f>
        <v>#VALUE!</v>
      </c>
      <c r="X693" s="58" t="e">
        <f>'Q100a-geral'!X2221</f>
        <v>#VALUE!</v>
      </c>
      <c r="Y693" s="58" t="e">
        <f>'Q100a-geral'!Y2221</f>
        <v>#VALUE!</v>
      </c>
      <c r="Z693" s="58" t="e">
        <f>'Q100a-geral'!Z2221</f>
        <v>#VALUE!</v>
      </c>
      <c r="AA693" s="58" t="e">
        <f>'Q100a-geral'!AA2221</f>
        <v>#VALUE!</v>
      </c>
      <c r="AB693" s="58" t="e">
        <f>'Q100a-geral'!AB2221</f>
        <v>#VALUE!</v>
      </c>
      <c r="AC693" s="58" t="e">
        <f>'Q100a-geral'!AC2221</f>
        <v>#VALUE!</v>
      </c>
      <c r="AD693" s="58" t="e">
        <f>'Q100a-geral'!AD2221</f>
        <v>#VALUE!</v>
      </c>
      <c r="AE693" s="58" t="e">
        <f>'Q100a-geral'!AE2221</f>
        <v>#VALUE!</v>
      </c>
      <c r="AF693" s="58" t="e">
        <f>'Q100a-geral'!AF2221</f>
        <v>#VALUE!</v>
      </c>
      <c r="AG693" s="58" t="e">
        <f>'Q100a-geral'!AG2221</f>
        <v>#VALUE!</v>
      </c>
      <c r="AH693" s="58" t="e">
        <f>'Q100a-geral'!AH2221</f>
        <v>#VALUE!</v>
      </c>
      <c r="AI693" s="58" t="e">
        <f>'Q100a-geral'!AI2221</f>
        <v>#VALUE!</v>
      </c>
      <c r="AJ693" s="58" t="e">
        <f>'Q100a-geral'!AJ2221</f>
        <v>#VALUE!</v>
      </c>
      <c r="AK693" s="58" t="e">
        <f>'Q100a-geral'!AK2221</f>
        <v>#VALUE!</v>
      </c>
      <c r="AL693" s="173" t="str">
        <f>'Q100a-geral'!AL2221</f>
        <v>x</v>
      </c>
      <c r="AM693" s="137" t="str">
        <f>'Q100a-geral'!AM2221</f>
        <v>x</v>
      </c>
      <c r="AN693" s="137" t="str">
        <f>'Q100a-geral'!AN2221</f>
        <v>x</v>
      </c>
      <c r="AO693" s="137" t="str">
        <f>'Q100a-geral'!AO2221</f>
        <v>x</v>
      </c>
      <c r="AP693" s="137" t="str">
        <f>'Q100a-geral'!AP2221</f>
        <v>x</v>
      </c>
      <c r="AQ693" s="137" t="str">
        <f>'Q100a-geral'!AQ2221</f>
        <v>x</v>
      </c>
      <c r="AR693" s="137"/>
      <c r="AS693" s="137"/>
      <c r="AT693" s="137"/>
      <c r="AU693" s="137"/>
      <c r="AV693" s="137" t="str">
        <f>'Q100a-geral'!AV2221</f>
        <v>x</v>
      </c>
      <c r="AW693" s="137"/>
      <c r="AX693" s="137"/>
      <c r="AY693" s="137"/>
      <c r="AZ693" s="137"/>
      <c r="BA693" s="137" t="str">
        <f>'Q100a-geral'!BA2221</f>
        <v>x</v>
      </c>
      <c r="BB693" s="239" t="str">
        <f>'Q100a-geral'!BB2221</f>
        <v>Recursos humanosx</v>
      </c>
      <c r="BC693" s="239" t="str">
        <f>'Q100a-geral'!BC2221</f>
        <v>Recursos humanosxx</v>
      </c>
      <c r="BD693" s="239" t="str">
        <f>'Q100a-geral'!BD2221</f>
        <v>Recursos humanosx</v>
      </c>
    </row>
    <row r="694" spans="1:57" s="1" customFormat="1" ht="27" customHeight="1" x14ac:dyDescent="0.25">
      <c r="A694" s="275" t="str">
        <f>'Q100a-geral'!A2222</f>
        <v>3.5</v>
      </c>
      <c r="B694" s="54" t="str">
        <f>'Q100a-geral'!B2222</f>
        <v>Recursos humanos</v>
      </c>
      <c r="C694" s="230" t="str">
        <f>'Q100a-geral'!C2222</f>
        <v>x</v>
      </c>
      <c r="D694" s="1350" t="s">
        <v>4562</v>
      </c>
      <c r="E694" s="1348" t="str">
        <f>'Q100a-geral'!E2222</f>
        <v>Belo Horizonte
(BHTrans)</v>
      </c>
      <c r="F694" s="447" t="str">
        <f>'Q100a-geral'!F2222</f>
        <v>n.º de empregados concursados (diretos) da BHTrans
obs.1: resultados de 2006-2012 conforme BHTRANS(2012e)
obs.2: resultados de 2013 conforme BHTRANS(2014___, p.4); de 2014 conforme BHTRANS(2015r6, p.4); de 2015 conforme BHTRANS(2016s4,p.4)
obs.3: indicador operacional da BHTrans com o nome "número de empregados concursados" (BHTRANS, 2015d3)</v>
      </c>
      <c r="G694" s="14" t="str">
        <f>'Q100a-geral'!G2222</f>
        <v>registro da fonte (componente de 
RH dr)</v>
      </c>
      <c r="H694" s="173" t="str">
        <f>'Q100a-geral'!H2222</f>
        <v>x</v>
      </c>
      <c r="I694" s="57">
        <f>'Q100a-geral'!I2222</f>
        <v>1</v>
      </c>
      <c r="J694" s="11" t="str">
        <f>'Q100a-geral'!J2222</f>
        <v>x</v>
      </c>
      <c r="K694" s="93" t="str">
        <f>'Q100a-geral'!K2222</f>
        <v>ainda não encontrado</v>
      </c>
      <c r="L694" s="93" t="str">
        <f>'Q100a-geral'!L2222</f>
        <v>ainda não encontrado</v>
      </c>
      <c r="M694" s="93" t="str">
        <f>'Q100a-geral'!M2222</f>
        <v>ainda não encontrado</v>
      </c>
      <c r="N694" s="93" t="str">
        <f>'Q100a-geral'!N2222</f>
        <v>ainda não encontrado</v>
      </c>
      <c r="O694" s="93" t="str">
        <f>'Q100a-geral'!O2222</f>
        <v>ainda não encontrado</v>
      </c>
      <c r="P694" s="93" t="str">
        <f>'Q100a-geral'!P2222</f>
        <v>ainda não encontrado</v>
      </c>
      <c r="Q694" s="93" t="str">
        <f>'Q100a-geral'!Q2222</f>
        <v>ainda não encontrado</v>
      </c>
      <c r="R694" s="93" t="str">
        <f>'Q100a-geral'!R2222</f>
        <v>ainda não encontrado</v>
      </c>
      <c r="S694" s="107" t="str">
        <f>'Q100a-geral'!S2222</f>
        <v>só para pesquisa</v>
      </c>
      <c r="T694" s="93" t="str">
        <f>'Q100a-geral'!T2222</f>
        <v>ainda não encontrado</v>
      </c>
      <c r="U694" s="93" t="str">
        <f>'Q100a-geral'!U2222</f>
        <v>ainda não encontrado</v>
      </c>
      <c r="V694" s="107" t="str">
        <f>'Q100a-geral'!V2222</f>
        <v>só para pesquisa</v>
      </c>
      <c r="W694" s="93" t="str">
        <f>'Q100a-geral'!W2222</f>
        <v>ainda não encontrado</v>
      </c>
      <c r="X694" s="93" t="str">
        <f>'Q100a-geral'!X2222</f>
        <v>ainda não encontrado</v>
      </c>
      <c r="Y694" s="93" t="str">
        <f>'Q100a-geral'!Y2222</f>
        <v>ainda não encontrado</v>
      </c>
      <c r="Z694" s="93" t="str">
        <f>'Q100a-geral'!Z2222</f>
        <v>ainda não encontrado</v>
      </c>
      <c r="AA694" s="93" t="str">
        <f>'Q100a-geral'!AA2222</f>
        <v>ainda não encontrado</v>
      </c>
      <c r="AB694" s="87">
        <f>'Q100a-geral'!AB2222</f>
        <v>1018</v>
      </c>
      <c r="AC694" s="87">
        <f>'Q100a-geral'!AC2222</f>
        <v>1016</v>
      </c>
      <c r="AD694" s="87">
        <f>'Q100a-geral'!AD2222</f>
        <v>1040</v>
      </c>
      <c r="AE694" s="87">
        <f>'Q100a-geral'!AE2222</f>
        <v>1039</v>
      </c>
      <c r="AF694" s="87">
        <f>'Q100a-geral'!AF2222</f>
        <v>1043</v>
      </c>
      <c r="AG694" s="87">
        <f>'Q100a-geral'!AG2222</f>
        <v>1035</v>
      </c>
      <c r="AH694" s="87">
        <f>'Q100a-geral'!AH2222</f>
        <v>1015</v>
      </c>
      <c r="AI694" s="86">
        <f>'Q100a-geral'!AI2222</f>
        <v>981</v>
      </c>
      <c r="AJ694" s="86">
        <f>'Q100a-geral'!AJ2222</f>
        <v>1073</v>
      </c>
      <c r="AK694" s="86">
        <f>'Q100a-geral'!AK2222</f>
        <v>1077</v>
      </c>
      <c r="AL694" s="215" t="str">
        <f>'Q100a-geral'!AL2222</f>
        <v>x</v>
      </c>
      <c r="AM694" s="137" t="str">
        <f>'Q100a-geral'!AM2222</f>
        <v>x</v>
      </c>
      <c r="AN694" s="137" t="str">
        <f>'Q100a-geral'!AN2222</f>
        <v>x</v>
      </c>
      <c r="AO694" s="137" t="str">
        <f>'Q100a-geral'!AO2222</f>
        <v>x</v>
      </c>
      <c r="AP694" s="137" t="str">
        <f>'Q100a-geral'!AP2222</f>
        <v>x</v>
      </c>
      <c r="AQ694" s="137" t="str">
        <f>'Q100a-geral'!AQ2222</f>
        <v>x</v>
      </c>
      <c r="AR694" s="137"/>
      <c r="AS694" s="137"/>
      <c r="AT694" s="137"/>
      <c r="AU694" s="137"/>
      <c r="AV694" s="137" t="str">
        <f>'Q100a-geral'!AV2222</f>
        <v>x</v>
      </c>
      <c r="AW694" s="137"/>
      <c r="AX694" s="137"/>
      <c r="AY694" s="137"/>
      <c r="AZ694" s="137"/>
      <c r="BA694" s="137" t="str">
        <f>'Q100a-geral'!BA2222</f>
        <v>x</v>
      </c>
      <c r="BB694" s="239" t="str">
        <f>'Q100a-geral'!BB2222</f>
        <v>Recursos humanosx</v>
      </c>
      <c r="BC694" s="239" t="str">
        <f>'Q100a-geral'!BC2222</f>
        <v>Recursos humanosxx</v>
      </c>
      <c r="BD694" s="239" t="str">
        <f>'Q100a-geral'!BD2222</f>
        <v>Recursos humanosx</v>
      </c>
    </row>
    <row r="695" spans="1:57" s="1" customFormat="1" ht="38.25" customHeight="1" x14ac:dyDescent="0.25">
      <c r="A695" s="275" t="str">
        <f>'Q100a-geral'!A2223</f>
        <v>3.5</v>
      </c>
      <c r="B695" s="54" t="str">
        <f>'Q100a-geral'!B2223</f>
        <v>Recursos humanos</v>
      </c>
      <c r="C695" s="230" t="str">
        <f>'Q100a-geral'!C2223</f>
        <v>x</v>
      </c>
      <c r="D695" s="103" t="str">
        <f>'Q100a-geral'!D2223</f>
        <v>RH c em relação a RH</v>
      </c>
      <c r="E695" s="472" t="str">
        <f>'Q100a-geral'!E2223</f>
        <v>Belo Horizonte
(BHTrans)</v>
      </c>
      <c r="F695" s="484" t="str">
        <f>'Q100a-geral'!F2223</f>
        <v>percentual de empregados concursados em relação ao total de empregados da BHTrans</v>
      </c>
      <c r="G695" s="11" t="str">
        <f>'Q100a-geral'!G2223</f>
        <v>(RH c / RH) x 100</v>
      </c>
      <c r="H695" s="173" t="str">
        <f>'Q100a-geral'!H2223</f>
        <v>x</v>
      </c>
      <c r="I695" s="57">
        <f>'Q100a-geral'!I2223</f>
        <v>1</v>
      </c>
      <c r="J695" s="11" t="str">
        <f>'Q100a-geral'!J2223</f>
        <v>x</v>
      </c>
      <c r="K695" s="58" t="str">
        <f>'Q100a-geral'!K2223</f>
        <v>x</v>
      </c>
      <c r="L695" s="58" t="str">
        <f>'Q100a-geral'!L2223</f>
        <v>x</v>
      </c>
      <c r="M695" s="58" t="str">
        <f>'Q100a-geral'!M2223</f>
        <v>x</v>
      </c>
      <c r="N695" s="58" t="str">
        <f>'Q100a-geral'!N2223</f>
        <v>x</v>
      </c>
      <c r="O695" s="58" t="str">
        <f>'Q100a-geral'!O2223</f>
        <v>x</v>
      </c>
      <c r="P695" s="58" t="str">
        <f>'Q100a-geral'!P2223</f>
        <v>x</v>
      </c>
      <c r="Q695" s="58" t="str">
        <f>'Q100a-geral'!Q2223</f>
        <v>x</v>
      </c>
      <c r="R695" s="58" t="str">
        <f>'Q100a-geral'!R2223</f>
        <v>x</v>
      </c>
      <c r="S695" s="107" t="str">
        <f>'Q100a-geral'!S2223</f>
        <v>só para pesquisa</v>
      </c>
      <c r="T695" s="58" t="str">
        <f>'Q100a-geral'!T2223</f>
        <v>x</v>
      </c>
      <c r="U695" s="58" t="str">
        <f>'Q100a-geral'!U2223</f>
        <v>x</v>
      </c>
      <c r="V695" s="107" t="str">
        <f>'Q100a-geral'!V2223</f>
        <v>só para pesquisa</v>
      </c>
      <c r="W695" s="58" t="str">
        <f>'Q100a-geral'!W2223</f>
        <v>x</v>
      </c>
      <c r="X695" s="58" t="str">
        <f>'Q100a-geral'!X2223</f>
        <v>x</v>
      </c>
      <c r="Y695" s="58" t="str">
        <f>'Q100a-geral'!Y2223</f>
        <v>x</v>
      </c>
      <c r="Z695" s="58" t="str">
        <f>'Q100a-geral'!Z2223</f>
        <v>x</v>
      </c>
      <c r="AA695" s="58" t="str">
        <f>'Q100a-geral'!AA2223</f>
        <v>x</v>
      </c>
      <c r="AB695" s="47">
        <f>'Q100a-geral'!AB2223</f>
        <v>0.5296566077003122</v>
      </c>
      <c r="AC695" s="47">
        <f>'Q100a-geral'!AC2223</f>
        <v>0.53586497890295359</v>
      </c>
      <c r="AD695" s="47">
        <f>'Q100a-geral'!AD2223</f>
        <v>0.53497942386831276</v>
      </c>
      <c r="AE695" s="47">
        <f>'Q100a-geral'!AE2223</f>
        <v>0.54973544973544974</v>
      </c>
      <c r="AF695" s="47">
        <f>'Q100a-geral'!AF2223</f>
        <v>0.56500541711809316</v>
      </c>
      <c r="AG695" s="47">
        <f>'Q100a-geral'!AG2223</f>
        <v>0.58048233314638253</v>
      </c>
      <c r="AH695" s="47">
        <f>'Q100a-geral'!AH2223</f>
        <v>0.56545961002785516</v>
      </c>
      <c r="AI695" s="47">
        <f>'Q100a-geral'!AI2223</f>
        <v>0.55580736543909348</v>
      </c>
      <c r="AJ695" s="47">
        <f>'Q100a-geral'!AJ2223</f>
        <v>0.62058993637941007</v>
      </c>
      <c r="AK695" s="47">
        <f>'Q100a-geral'!AK2223</f>
        <v>0.56743940990516328</v>
      </c>
      <c r="AL695" s="215" t="str">
        <f>'Q100a-geral'!AL2223</f>
        <v>x</v>
      </c>
      <c r="AM695" s="137" t="str">
        <f>'Q100a-geral'!AM2223</f>
        <v>x</v>
      </c>
      <c r="AN695" s="137" t="str">
        <f>'Q100a-geral'!AN2223</f>
        <v>x</v>
      </c>
      <c r="AO695" s="137" t="str">
        <f>'Q100a-geral'!AO2223</f>
        <v>x</v>
      </c>
      <c r="AP695" s="137" t="str">
        <f>'Q100a-geral'!AP2223</f>
        <v>x</v>
      </c>
      <c r="AQ695" s="137" t="str">
        <f>'Q100a-geral'!AQ2223</f>
        <v>x</v>
      </c>
      <c r="AR695" s="137"/>
      <c r="AS695" s="137"/>
      <c r="AT695" s="137"/>
      <c r="AU695" s="137"/>
      <c r="AV695" s="137" t="str">
        <f>'Q100a-geral'!AV2223</f>
        <v>x</v>
      </c>
      <c r="AW695" s="137"/>
      <c r="AX695" s="137"/>
      <c r="AY695" s="137"/>
      <c r="AZ695" s="137"/>
      <c r="BA695" s="137" t="str">
        <f>'Q100a-geral'!BA2223</f>
        <v>x</v>
      </c>
      <c r="BB695" s="239" t="str">
        <f>'Q100a-geral'!BB2223</f>
        <v>Recursos humanosx</v>
      </c>
      <c r="BC695" s="239" t="str">
        <f>'Q100a-geral'!BC2223</f>
        <v>Recursos humanosxx</v>
      </c>
      <c r="BD695" s="239" t="str">
        <f>'Q100a-geral'!BD2223</f>
        <v>Recursos humanosx</v>
      </c>
    </row>
    <row r="696" spans="1:57" s="1" customFormat="1" ht="25.5" customHeight="1" x14ac:dyDescent="0.25">
      <c r="A696" s="275" t="str">
        <f>'Q100a-geral'!A2225</f>
        <v>3.5</v>
      </c>
      <c r="B696" s="54" t="str">
        <f>'Q100a-geral'!B2225</f>
        <v>Recursos humanos</v>
      </c>
      <c r="C696" s="230" t="str">
        <f>'Q100a-geral'!C2225</f>
        <v>acessibilidade</v>
      </c>
      <c r="D696" s="240" t="str">
        <f>'Q100a-geral'!D2225</f>
        <v>RH d</v>
      </c>
      <c r="E696" s="252" t="str">
        <f>'Q100a-geral'!E2225</f>
        <v>Belo Horizonte</v>
      </c>
      <c r="F696" s="447" t="str">
        <f>'Q100a-geral'!F2225</f>
        <v>n.º de empregados diretos com deficiência da BHTrans
obs.: resultados de 1996 a 2014 em BHTRANS (2015r); de 2015 conforme BHTRANS(2016s5)</v>
      </c>
      <c r="G696" s="252" t="str">
        <f>'Q100a-geral'!G2225</f>
        <v>registro na fonte</v>
      </c>
      <c r="H696" s="173" t="str">
        <f>'Q100a-geral'!H2225</f>
        <v>x</v>
      </c>
      <c r="I696" s="57">
        <f>'Q100a-geral'!I2225</f>
        <v>1</v>
      </c>
      <c r="J696" s="11" t="str">
        <f>'Q100a-geral'!J2225</f>
        <v>x</v>
      </c>
      <c r="K696" s="93" t="str">
        <f>'Q100a-geral'!K2225</f>
        <v>ainda não encontrado</v>
      </c>
      <c r="L696" s="93" t="str">
        <f>'Q100a-geral'!L2225</f>
        <v>ainda não encontrado</v>
      </c>
      <c r="M696" s="93" t="str">
        <f>'Q100a-geral'!M2225</f>
        <v>ainda não encontrado</v>
      </c>
      <c r="N696" s="93" t="str">
        <f>'Q100a-geral'!N2225</f>
        <v>ainda não encontrado</v>
      </c>
      <c r="O696" s="93" t="str">
        <f>'Q100a-geral'!O2225</f>
        <v>ainda não encontrado</v>
      </c>
      <c r="P696" s="84">
        <f>'Q100a-geral'!P2225</f>
        <v>1</v>
      </c>
      <c r="Q696" s="84">
        <f>'Q100a-geral'!Q2225</f>
        <v>2</v>
      </c>
      <c r="R696" s="84">
        <f>'Q100a-geral'!R2225</f>
        <v>12</v>
      </c>
      <c r="S696" s="649" t="str">
        <f>'Q100a-geral'!S2225</f>
        <v>só para pesquisa</v>
      </c>
      <c r="T696" s="84">
        <f>'Q100a-geral'!T2225</f>
        <v>13</v>
      </c>
      <c r="U696" s="84">
        <f>'Q100a-geral'!U2225</f>
        <v>20</v>
      </c>
      <c r="V696" s="107" t="str">
        <f>'Q100a-geral'!V2225</f>
        <v>só para pesquisa</v>
      </c>
      <c r="W696" s="84">
        <f>'Q100a-geral'!W2225</f>
        <v>19</v>
      </c>
      <c r="X696" s="84">
        <f>'Q100a-geral'!X2225</f>
        <v>18</v>
      </c>
      <c r="Y696" s="84">
        <f>'Q100a-geral'!Y2225</f>
        <v>23</v>
      </c>
      <c r="Z696" s="84">
        <f>'Q100a-geral'!Z2225</f>
        <v>23</v>
      </c>
      <c r="AA696" s="84">
        <f>'Q100a-geral'!AA2225</f>
        <v>28</v>
      </c>
      <c r="AB696" s="84">
        <f>'Q100a-geral'!AB2225</f>
        <v>22</v>
      </c>
      <c r="AC696" s="84">
        <f>'Q100a-geral'!AC2225</f>
        <v>21</v>
      </c>
      <c r="AD696" s="84">
        <f>'Q100a-geral'!AD2225</f>
        <v>23</v>
      </c>
      <c r="AE696" s="84">
        <f>'Q100a-geral'!AE2225</f>
        <v>22</v>
      </c>
      <c r="AF696" s="84">
        <f>'Q100a-geral'!AF2225</f>
        <v>21</v>
      </c>
      <c r="AG696" s="84">
        <f>'Q100a-geral'!AG2225</f>
        <v>20</v>
      </c>
      <c r="AH696" s="84">
        <f>'Q100a-geral'!AH2225</f>
        <v>20</v>
      </c>
      <c r="AI696" s="84">
        <f>'Q100a-geral'!AI2225</f>
        <v>20</v>
      </c>
      <c r="AJ696" s="84">
        <f>'Q100a-geral'!AJ2225</f>
        <v>23</v>
      </c>
      <c r="AK696" s="999">
        <f>'Q100a-geral'!AK2225</f>
        <v>23</v>
      </c>
      <c r="AL696" s="212" t="str">
        <f>'Q100a-geral'!AL2225</f>
        <v>x</v>
      </c>
      <c r="AM696" s="137" t="str">
        <f>'Q100a-geral'!AM2225</f>
        <v>x</v>
      </c>
      <c r="AN696" s="137" t="str">
        <f>'Q100a-geral'!AN2225</f>
        <v>x</v>
      </c>
      <c r="AO696" s="137" t="str">
        <f>'Q100a-geral'!AO2225</f>
        <v>x</v>
      </c>
      <c r="AP696" s="137" t="str">
        <f>'Q100a-geral'!AP2225</f>
        <v>x</v>
      </c>
      <c r="AQ696" s="137" t="str">
        <f>'Q100a-geral'!AQ2225</f>
        <v>x</v>
      </c>
      <c r="AR696" s="137"/>
      <c r="AS696" s="137"/>
      <c r="AT696" s="137"/>
      <c r="AU696" s="137"/>
      <c r="AV696" s="137" t="str">
        <f>'Q100a-geral'!AV2225</f>
        <v>x</v>
      </c>
      <c r="AW696" s="137"/>
      <c r="AX696" s="137"/>
      <c r="AY696" s="137"/>
      <c r="AZ696" s="137"/>
      <c r="BA696" s="137" t="str">
        <f>'Q100a-geral'!BA2225</f>
        <v>x</v>
      </c>
      <c r="BB696" s="239" t="str">
        <f>'Q100a-geral'!BB2225</f>
        <v>Recursos humanosacessibilidade</v>
      </c>
      <c r="BC696" s="239" t="str">
        <f>'Q100a-geral'!BC2225</f>
        <v>Recursos humanosacessibilidadex</v>
      </c>
      <c r="BD696" s="239" t="str">
        <f>'Q100a-geral'!BD2225</f>
        <v>Recursos humanosx</v>
      </c>
    </row>
    <row r="697" spans="1:57" s="1" customFormat="1" ht="54.75" customHeight="1" x14ac:dyDescent="0.25">
      <c r="A697" s="275" t="str">
        <f>'Q100a-geral'!A2226</f>
        <v>3.5</v>
      </c>
      <c r="B697" s="54" t="str">
        <f>'Q100a-geral'!B2226</f>
        <v>Recursos humanos</v>
      </c>
      <c r="C697" s="230" t="str">
        <f>'Q100a-geral'!C2226</f>
        <v>acessibilidade</v>
      </c>
      <c r="D697" s="240" t="str">
        <f>'Q100a-geral'!D2226</f>
        <v>RH d / RH dr
% de empregados diretos com deficiência</v>
      </c>
      <c r="E697" s="252" t="str">
        <f>'Q100a-geral'!E2226</f>
        <v>Brasil</v>
      </c>
      <c r="F697" s="447" t="str">
        <f>'Q100a-geral'!F2226</f>
        <v>percentual de empregados com deficiência em relação ao total de empregados em um governo municipal
obs.1: este indicador é denominado "Percentual de pessoas com deficiência empregadas no governo do município, em relação ao total de funcionários" pelo Programa Cidades Sustentáveis, com "Referência de Meta: Garantir a inclusão de pessoas com deficiência no Executivo e no Legislativo do município" , com resultados anuais que retragem a até 2003 conforme PROGRAMA(2016)
obs.2: os resultados deste indicador são importantes para serem comparados com os resultados da BHTrans e, por isto, são aqui tomados como benchmarking e não como indicador de mobilidade propriamente dito
obs.3: das com resultados apresentados pelo Programa Cidades Sustentáveis o SisMob-BH selecionou as cidades Curitiba, Joinville, Porto Alegre, Recife e Salvador, que são intergrantes de uma das categorias "benchmarking SisMob-BH BR"</v>
      </c>
      <c r="G697" s="252" t="str">
        <f>'Q100a-geral'!G2226</f>
        <v>verbete
MFO</v>
      </c>
      <c r="H697" s="173" t="str">
        <f>'Q100a-geral'!H2226</f>
        <v>sigla/verbete</v>
      </c>
      <c r="I697" s="57" t="str">
        <f>'Q100a-geral'!I2226</f>
        <v>x</v>
      </c>
      <c r="J697" s="1139">
        <f>'Q100a-geral'!J2226</f>
        <v>0</v>
      </c>
      <c r="K697" s="1138">
        <f>'Q100a-geral'!K2226</f>
        <v>0</v>
      </c>
      <c r="L697" s="1138">
        <f>'Q100a-geral'!L2226</f>
        <v>0</v>
      </c>
      <c r="M697" s="1138">
        <f>'Q100a-geral'!M2226</f>
        <v>0</v>
      </c>
      <c r="N697" s="1138">
        <f>'Q100a-geral'!N2226</f>
        <v>0</v>
      </c>
      <c r="O697" s="1138">
        <f>'Q100a-geral'!O2226</f>
        <v>0</v>
      </c>
      <c r="P697" s="84">
        <f>'Q100a-geral'!P2226</f>
        <v>0</v>
      </c>
      <c r="Q697" s="84">
        <f>'Q100a-geral'!Q2226</f>
        <v>0</v>
      </c>
      <c r="R697" s="84">
        <f>'Q100a-geral'!R2226</f>
        <v>0</v>
      </c>
      <c r="S697" s="649">
        <f>'Q100a-geral'!S2226</f>
        <v>0</v>
      </c>
      <c r="T697" s="84">
        <f>'Q100a-geral'!T2226</f>
        <v>0</v>
      </c>
      <c r="U697" s="84">
        <f>'Q100a-geral'!U2226</f>
        <v>0</v>
      </c>
      <c r="V697" s="107">
        <f>'Q100a-geral'!V2226</f>
        <v>0</v>
      </c>
      <c r="W697" s="84">
        <f>'Q100a-geral'!W2226</f>
        <v>0</v>
      </c>
      <c r="X697" s="84">
        <f>'Q100a-geral'!X2226</f>
        <v>0</v>
      </c>
      <c r="Y697" s="84">
        <f>'Q100a-geral'!Y2226</f>
        <v>0</v>
      </c>
      <c r="Z697" s="84">
        <f>'Q100a-geral'!Z2226</f>
        <v>0</v>
      </c>
      <c r="AA697" s="84">
        <f>'Q100a-geral'!AA2226</f>
        <v>0</v>
      </c>
      <c r="AB697" s="84">
        <f>'Q100a-geral'!AB2226</f>
        <v>0</v>
      </c>
      <c r="AC697" s="84">
        <f>'Q100a-geral'!AC2226</f>
        <v>0</v>
      </c>
      <c r="AD697" s="84">
        <f>'Q100a-geral'!AD2226</f>
        <v>0</v>
      </c>
      <c r="AE697" s="84">
        <f>'Q100a-geral'!AE2226</f>
        <v>0</v>
      </c>
      <c r="AF697" s="84">
        <f>'Q100a-geral'!AF2226</f>
        <v>0</v>
      </c>
      <c r="AG697" s="84">
        <f>'Q100a-geral'!AG2226</f>
        <v>0</v>
      </c>
      <c r="AH697" s="84">
        <f>'Q100a-geral'!AH2226</f>
        <v>0</v>
      </c>
      <c r="AI697" s="84">
        <f>'Q100a-geral'!AI2226</f>
        <v>0</v>
      </c>
      <c r="AJ697" s="84">
        <f>'Q100a-geral'!AJ2226</f>
        <v>0</v>
      </c>
      <c r="AK697" s="1138">
        <f>'Q100a-geral'!AK2226</f>
        <v>0</v>
      </c>
      <c r="AL697" s="212">
        <f>'Q100a-geral'!AL2226</f>
        <v>0</v>
      </c>
      <c r="AM697" s="137">
        <f>'Q100a-geral'!AM2226</f>
        <v>0</v>
      </c>
      <c r="AN697" s="137">
        <f>'Q100a-geral'!AN2226</f>
        <v>0</v>
      </c>
      <c r="AO697" s="137">
        <f>'Q100a-geral'!AO2226</f>
        <v>0</v>
      </c>
      <c r="AP697" s="137">
        <f>'Q100a-geral'!AP2226</f>
        <v>0</v>
      </c>
      <c r="AQ697" s="137">
        <f>'Q100a-geral'!AQ2226</f>
        <v>0</v>
      </c>
      <c r="AR697" s="137"/>
      <c r="AS697" s="137"/>
      <c r="AT697" s="137"/>
      <c r="AU697" s="137"/>
      <c r="AV697" s="137">
        <f>'Q100a-geral'!AV2226</f>
        <v>0</v>
      </c>
      <c r="AW697" s="137"/>
      <c r="AX697" s="137"/>
      <c r="AY697" s="137"/>
      <c r="AZ697" s="137"/>
      <c r="BA697" s="137">
        <f>'Q100a-geral'!BA2226</f>
        <v>0</v>
      </c>
      <c r="BB697" s="239">
        <f>'Q100a-geral'!BB2226</f>
        <v>0</v>
      </c>
      <c r="BC697" s="239">
        <f>'Q100a-geral'!BC2226</f>
        <v>0</v>
      </c>
      <c r="BD697" s="239">
        <f>'Q100a-geral'!BD2226</f>
        <v>0</v>
      </c>
    </row>
    <row r="698" spans="1:57" s="1" customFormat="1" ht="44.25" customHeight="1" x14ac:dyDescent="0.25">
      <c r="A698" s="275" t="str">
        <f>'Q100a-geral'!A2228</f>
        <v>3.5</v>
      </c>
      <c r="B698" s="54" t="str">
        <f>'Q100a-geral'!B2228</f>
        <v>Recursos humanos</v>
      </c>
      <c r="C698" s="230" t="str">
        <f>'Q100a-geral'!C2228</f>
        <v>acessibilidade</v>
      </c>
      <c r="D698" s="240" t="str">
        <f>'Q100a-geral'!D2228</f>
        <v xml:space="preserve">RH d/RH dr
% de empregados com deficiência </v>
      </c>
      <c r="E698" s="252" t="str">
        <f>'Q100a-geral'!E2228</f>
        <v>Belo Horizonte</v>
      </c>
      <c r="F698" s="447" t="str">
        <f>'Q100a-geral'!F2228</f>
        <v>percentual de empregados com deficiência em relação ao total de empregados do governo municipal de Belo Horizonte
obs.1: não há resultados em PROGRAMA(2016c1)
obs.2: resultados solicitados por e-mail pelo SisMob-BH à CAPD-PBH em 25/07/2016 e ainda não obtidos</v>
      </c>
      <c r="G698" s="252" t="str">
        <f>'Q100a-geral'!G2228</f>
        <v>registro na fonte</v>
      </c>
      <c r="H698" s="173" t="str">
        <f>'Q100a-geral'!H2228</f>
        <v>benchmarking</v>
      </c>
      <c r="I698" s="57" t="str">
        <f>'Q100a-geral'!I2228</f>
        <v>x</v>
      </c>
      <c r="J698" s="1139" t="str">
        <f>'Q100a-geral'!J2228</f>
        <v>x</v>
      </c>
      <c r="K698" s="1138" t="str">
        <f>'Q100a-geral'!K2228</f>
        <v>x</v>
      </c>
      <c r="L698" s="1138" t="str">
        <f>'Q100a-geral'!L2228</f>
        <v>x</v>
      </c>
      <c r="M698" s="1138" t="str">
        <f>'Q100a-geral'!M2228</f>
        <v>x</v>
      </c>
      <c r="N698" s="1138" t="str">
        <f>'Q100a-geral'!N2228</f>
        <v>x</v>
      </c>
      <c r="O698" s="1138" t="str">
        <f>'Q100a-geral'!O2228</f>
        <v>x</v>
      </c>
      <c r="P698" s="84" t="str">
        <f>'Q100a-geral'!P2228</f>
        <v>x</v>
      </c>
      <c r="Q698" s="84" t="str">
        <f>'Q100a-geral'!Q2228</f>
        <v>x</v>
      </c>
      <c r="R698" s="84" t="str">
        <f>'Q100a-geral'!R2228</f>
        <v>x</v>
      </c>
      <c r="S698" s="649" t="str">
        <f>'Q100a-geral'!S2228</f>
        <v>só para pesquisa</v>
      </c>
      <c r="T698" s="84" t="str">
        <f>'Q100a-geral'!T2228</f>
        <v>x</v>
      </c>
      <c r="U698" s="84" t="str">
        <f>'Q100a-geral'!U2228</f>
        <v>x</v>
      </c>
      <c r="V698" s="107" t="str">
        <f>'Q100a-geral'!V2228</f>
        <v>só para pesquisa</v>
      </c>
      <c r="W698" s="84" t="str">
        <f>'Q100a-geral'!W2228</f>
        <v>x</v>
      </c>
      <c r="X698" s="84" t="str">
        <f>'Q100a-geral'!X2228</f>
        <v>x</v>
      </c>
      <c r="Y698" s="84" t="str">
        <f>'Q100a-geral'!Y2228</f>
        <v>x</v>
      </c>
      <c r="Z698" s="84" t="str">
        <f>'Q100a-geral'!Z2228</f>
        <v>x</v>
      </c>
      <c r="AA698" s="84" t="str">
        <f>'Q100a-geral'!AA2228</f>
        <v>x</v>
      </c>
      <c r="AB698" s="84" t="str">
        <f>'Q100a-geral'!AB2228</f>
        <v>x</v>
      </c>
      <c r="AC698" s="84" t="str">
        <f>'Q100a-geral'!AC2228</f>
        <v>x</v>
      </c>
      <c r="AD698" s="84" t="str">
        <f>'Q100a-geral'!AD2228</f>
        <v>x</v>
      </c>
      <c r="AE698" s="84" t="str">
        <f>'Q100a-geral'!AE2228</f>
        <v>x</v>
      </c>
      <c r="AF698" s="84" t="str">
        <f>'Q100a-geral'!AF2228</f>
        <v>x</v>
      </c>
      <c r="AG698" s="84" t="str">
        <f>'Q100a-geral'!AG2228</f>
        <v>x</v>
      </c>
      <c r="AH698" s="84" t="str">
        <f>'Q100a-geral'!AH2228</f>
        <v>x</v>
      </c>
      <c r="AI698" s="84" t="str">
        <f>'Q100a-geral'!AI2228</f>
        <v>x</v>
      </c>
      <c r="AJ698" s="84" t="str">
        <f>'Q100a-geral'!AJ2228</f>
        <v>x</v>
      </c>
      <c r="AK698" s="1138" t="str">
        <f>'Q100a-geral'!AK2228</f>
        <v>ainda não encontrado</v>
      </c>
      <c r="AL698" s="212" t="str">
        <f>'Q100a-geral'!AL2228</f>
        <v>x</v>
      </c>
      <c r="AM698" s="137" t="str">
        <f>'Q100a-geral'!AM2228</f>
        <v>x</v>
      </c>
      <c r="AN698" s="137" t="str">
        <f>'Q100a-geral'!AN2228</f>
        <v>x</v>
      </c>
      <c r="AO698" s="137" t="str">
        <f>'Q100a-geral'!AO2228</f>
        <v>x</v>
      </c>
      <c r="AP698" s="137" t="str">
        <f>'Q100a-geral'!AP2228</f>
        <v>x</v>
      </c>
      <c r="AQ698" s="137" t="str">
        <f>'Q100a-geral'!AQ2228</f>
        <v>x</v>
      </c>
      <c r="AR698" s="137"/>
      <c r="AS698" s="137"/>
      <c r="AT698" s="137"/>
      <c r="AU698" s="137"/>
      <c r="AV698" s="137" t="str">
        <f>'Q100a-geral'!AV2228</f>
        <v>x</v>
      </c>
      <c r="AW698" s="137"/>
      <c r="AX698" s="137"/>
      <c r="AY698" s="137"/>
      <c r="AZ698" s="137"/>
      <c r="BA698" s="137" t="str">
        <f>'Q100a-geral'!BA2228</f>
        <v>x</v>
      </c>
      <c r="BB698" s="239" t="str">
        <f>'Q100a-geral'!BB2228</f>
        <v>Recursos humanosacessibilidade</v>
      </c>
      <c r="BC698" s="239" t="str">
        <f>'Q100a-geral'!BC2228</f>
        <v>Recursos humanosacessibilidadebenchmarking</v>
      </c>
      <c r="BD698" s="239" t="str">
        <f>'Q100a-geral'!BD2228</f>
        <v>Recursos humanosbenchmarking</v>
      </c>
    </row>
    <row r="699" spans="1:57" s="1" customFormat="1" ht="25.5" customHeight="1" x14ac:dyDescent="0.25">
      <c r="A699" s="275" t="str">
        <f>'Q100a-geral'!A2231</f>
        <v>3.5</v>
      </c>
      <c r="B699" s="54" t="str">
        <f>'Q100a-geral'!B2231</f>
        <v>Recursos humanos</v>
      </c>
      <c r="C699" s="230" t="str">
        <f>'Q100a-geral'!C2231</f>
        <v>acessibilidade</v>
      </c>
      <c r="D699" s="336" t="str">
        <f>'Q100a-geral'!D2231</f>
        <v xml:space="preserve">RH d/RH dr
% de empregados com deficiência </v>
      </c>
      <c r="E699" s="355" t="str">
        <f>'Q100a-geral'!E2231</f>
        <v>Curitiba</v>
      </c>
      <c r="F699" s="490" t="str">
        <f>'Q100a-geral'!F2231</f>
        <v>percentual de empregados com deficiência em relação ao total de empregados no governo municipal de Curitiba
obs.: resultados de 2000-2012 conforme PROGRAMA(2016c2)</v>
      </c>
      <c r="G699" s="252" t="str">
        <f>'Q100a-geral'!G2231</f>
        <v>registro na fonte</v>
      </c>
      <c r="H699" s="173" t="str">
        <f>'Q100a-geral'!H2231</f>
        <v>benchmarking</v>
      </c>
      <c r="I699" s="57" t="str">
        <f>'Q100a-geral'!I2231</f>
        <v>x</v>
      </c>
      <c r="J699" s="1139" t="str">
        <f>'Q100a-geral'!J2231</f>
        <v>x</v>
      </c>
      <c r="K699" s="1138" t="str">
        <f>'Q100a-geral'!K2231</f>
        <v>x</v>
      </c>
      <c r="L699" s="1138" t="str">
        <f>'Q100a-geral'!L2231</f>
        <v>x</v>
      </c>
      <c r="M699" s="1138" t="str">
        <f>'Q100a-geral'!M2231</f>
        <v>x</v>
      </c>
      <c r="N699" s="1138" t="str">
        <f>'Q100a-geral'!N2231</f>
        <v>x</v>
      </c>
      <c r="O699" s="1138" t="str">
        <f>'Q100a-geral'!O2231</f>
        <v>x</v>
      </c>
      <c r="P699" s="84" t="str">
        <f>'Q100a-geral'!P2231</f>
        <v>x</v>
      </c>
      <c r="Q699" s="84" t="str">
        <f>'Q100a-geral'!Q2231</f>
        <v>x</v>
      </c>
      <c r="R699" s="84" t="str">
        <f>'Q100a-geral'!R2231</f>
        <v>x</v>
      </c>
      <c r="S699" s="649" t="str">
        <f>'Q100a-geral'!S2231</f>
        <v>só para pesquisa</v>
      </c>
      <c r="T699" s="84" t="str">
        <f>'Q100a-geral'!T2231</f>
        <v>x</v>
      </c>
      <c r="U699" s="125">
        <f>'Q100a-geral'!U2231</f>
        <v>3.7000000000000002E-3</v>
      </c>
      <c r="V699" s="107" t="str">
        <f>'Q100a-geral'!V2231</f>
        <v>só para pesquisa</v>
      </c>
      <c r="W699" s="125">
        <f>'Q100a-geral'!W2231</f>
        <v>3.7000000000000002E-3</v>
      </c>
      <c r="X699" s="125">
        <f>'Q100a-geral'!X2231</f>
        <v>3.3999999999999998E-3</v>
      </c>
      <c r="Y699" s="125">
        <f>'Q100a-geral'!Y2231</f>
        <v>3.3999999999999998E-3</v>
      </c>
      <c r="Z699" s="125">
        <f>'Q100a-geral'!Z2231</f>
        <v>3.3999999999999998E-3</v>
      </c>
      <c r="AA699" s="125">
        <f>'Q100a-geral'!AA2231</f>
        <v>3.0999999999999999E-3</v>
      </c>
      <c r="AB699" s="125">
        <f>'Q100a-geral'!AB2231</f>
        <v>3.0000000000000001E-3</v>
      </c>
      <c r="AC699" s="125">
        <f>'Q100a-geral'!AC2231</f>
        <v>2.8E-3</v>
      </c>
      <c r="AD699" s="125">
        <f>'Q100a-geral'!AD2231</f>
        <v>2.8E-3</v>
      </c>
      <c r="AE699" s="125">
        <f>'Q100a-geral'!AE2231</f>
        <v>3.0000000000000001E-3</v>
      </c>
      <c r="AF699" s="755">
        <f>'Q100a-geral'!AF2231</f>
        <v>3.0000000000000001E-3</v>
      </c>
      <c r="AG699" s="125">
        <f>'Q100a-geral'!AG2231</f>
        <v>2.8999999999999998E-3</v>
      </c>
      <c r="AH699" s="125">
        <f>'Q100a-geral'!AH2231</f>
        <v>2.8999999999999998E-3</v>
      </c>
      <c r="AI699" s="125" t="str">
        <f>'Q100a-geral'!AI2231</f>
        <v>x</v>
      </c>
      <c r="AJ699" s="125" t="str">
        <f>'Q100a-geral'!AJ2231</f>
        <v>x</v>
      </c>
      <c r="AK699" s="662" t="str">
        <f>'Q100a-geral'!AK2231</f>
        <v>x</v>
      </c>
      <c r="AL699" s="212" t="str">
        <f>'Q100a-geral'!AL2231</f>
        <v>x</v>
      </c>
      <c r="AM699" s="137" t="str">
        <f>'Q100a-geral'!AM2231</f>
        <v>x</v>
      </c>
      <c r="AN699" s="137" t="str">
        <f>'Q100a-geral'!AN2231</f>
        <v>x</v>
      </c>
      <c r="AO699" s="137" t="str">
        <f>'Q100a-geral'!AO2231</f>
        <v>x</v>
      </c>
      <c r="AP699" s="137" t="str">
        <f>'Q100a-geral'!AP2231</f>
        <v>x</v>
      </c>
      <c r="AQ699" s="137" t="str">
        <f>'Q100a-geral'!AQ2231</f>
        <v>x</v>
      </c>
      <c r="AR699" s="137"/>
      <c r="AS699" s="137"/>
      <c r="AT699" s="137"/>
      <c r="AU699" s="137"/>
      <c r="AV699" s="137" t="str">
        <f>'Q100a-geral'!AV2231</f>
        <v>x</v>
      </c>
      <c r="AW699" s="137"/>
      <c r="AX699" s="137"/>
      <c r="AY699" s="137"/>
      <c r="AZ699" s="137"/>
      <c r="BA699" s="137" t="str">
        <f>'Q100a-geral'!BA2231</f>
        <v>x</v>
      </c>
      <c r="BB699" s="239" t="str">
        <f>'Q100a-geral'!BB2231</f>
        <v>Recursos humanosacessibilidade</v>
      </c>
      <c r="BC699" s="239" t="str">
        <f>'Q100a-geral'!BC2231</f>
        <v>Recursos humanosacessibilidadebenchmarking</v>
      </c>
      <c r="BD699" s="239" t="str">
        <f>'Q100a-geral'!BD2231</f>
        <v>Recursos humanosbenchmarking</v>
      </c>
      <c r="BE699" s="478" t="s">
        <v>3702</v>
      </c>
    </row>
    <row r="700" spans="1:57" s="1" customFormat="1" ht="25.5" customHeight="1" x14ac:dyDescent="0.25">
      <c r="A700" s="275" t="str">
        <f>'Q100a-geral'!A2232</f>
        <v>3.5</v>
      </c>
      <c r="B700" s="54" t="str">
        <f>'Q100a-geral'!B2232</f>
        <v>Recursos humanos</v>
      </c>
      <c r="C700" s="230" t="str">
        <f>'Q100a-geral'!C2232</f>
        <v>acessibilidade</v>
      </c>
      <c r="D700" s="336" t="str">
        <f>'Q100a-geral'!D2232</f>
        <v xml:space="preserve">RH d/RH dr
% de empregados com deficiência </v>
      </c>
      <c r="E700" s="355" t="str">
        <f>'Q100a-geral'!E2232</f>
        <v>Joinville</v>
      </c>
      <c r="F700" s="490" t="str">
        <f>'Q100a-geral'!F2232</f>
        <v>percentual de empregados com deficiência em relação ao total de empregados no governo municipal de Joinville
obs.: resultados de 2012-2015 conforme PROGRAMA(2016c5)</v>
      </c>
      <c r="G700" s="252" t="str">
        <f>'Q100a-geral'!G2232</f>
        <v>registro na fonte</v>
      </c>
      <c r="H700" s="173" t="str">
        <f>'Q100a-geral'!H2232</f>
        <v>benchmarking</v>
      </c>
      <c r="I700" s="57" t="str">
        <f>'Q100a-geral'!I2232</f>
        <v>x</v>
      </c>
      <c r="J700" s="1139" t="str">
        <f>'Q100a-geral'!J2232</f>
        <v>x</v>
      </c>
      <c r="K700" s="1138" t="str">
        <f>'Q100a-geral'!K2232</f>
        <v>x</v>
      </c>
      <c r="L700" s="1138" t="str">
        <f>'Q100a-geral'!L2232</f>
        <v>x</v>
      </c>
      <c r="M700" s="1138" t="str">
        <f>'Q100a-geral'!M2232</f>
        <v>x</v>
      </c>
      <c r="N700" s="1138" t="str">
        <f>'Q100a-geral'!N2232</f>
        <v>x</v>
      </c>
      <c r="O700" s="1138" t="str">
        <f>'Q100a-geral'!O2232</f>
        <v>x</v>
      </c>
      <c r="P700" s="84" t="str">
        <f>'Q100a-geral'!P2232</f>
        <v>x</v>
      </c>
      <c r="Q700" s="84" t="str">
        <f>'Q100a-geral'!Q2232</f>
        <v>x</v>
      </c>
      <c r="R700" s="84" t="str">
        <f>'Q100a-geral'!R2232</f>
        <v>x</v>
      </c>
      <c r="S700" s="649" t="str">
        <f>'Q100a-geral'!S2232</f>
        <v>só para pesquisa</v>
      </c>
      <c r="T700" s="84" t="str">
        <f>'Q100a-geral'!T2232</f>
        <v>x</v>
      </c>
      <c r="U700" s="84" t="str">
        <f>'Q100a-geral'!U2232</f>
        <v>x</v>
      </c>
      <c r="V700" s="107" t="str">
        <f>'Q100a-geral'!V2232</f>
        <v>só para pesquisa</v>
      </c>
      <c r="W700" s="84" t="str">
        <f>'Q100a-geral'!W2232</f>
        <v>x</v>
      </c>
      <c r="X700" s="84" t="str">
        <f>'Q100a-geral'!X2232</f>
        <v>x</v>
      </c>
      <c r="Y700" s="84" t="str">
        <f>'Q100a-geral'!Y2232</f>
        <v>x</v>
      </c>
      <c r="Z700" s="84" t="str">
        <f>'Q100a-geral'!Z2232</f>
        <v>x</v>
      </c>
      <c r="AA700" s="84" t="str">
        <f>'Q100a-geral'!AA2232</f>
        <v>x</v>
      </c>
      <c r="AB700" s="84" t="str">
        <f>'Q100a-geral'!AB2232</f>
        <v>x</v>
      </c>
      <c r="AC700" s="84" t="str">
        <f>'Q100a-geral'!AC2232</f>
        <v>x</v>
      </c>
      <c r="AD700" s="125" t="str">
        <f>'Q100a-geral'!AD2232</f>
        <v>x</v>
      </c>
      <c r="AE700" s="125" t="str">
        <f>'Q100a-geral'!AE2232</f>
        <v>x</v>
      </c>
      <c r="AF700" s="125" t="str">
        <f>'Q100a-geral'!AF2232</f>
        <v>x</v>
      </c>
      <c r="AG700" s="125" t="str">
        <f>'Q100a-geral'!AG2232</f>
        <v>x</v>
      </c>
      <c r="AH700" s="755">
        <f>'Q100a-geral'!AH2232</f>
        <v>1.8700000000000001E-2</v>
      </c>
      <c r="AI700" s="125">
        <f>'Q100a-geral'!AI2232</f>
        <v>1.7100000000000001E-2</v>
      </c>
      <c r="AJ700" s="125">
        <f>'Q100a-geral'!AJ2232</f>
        <v>1.55E-2</v>
      </c>
      <c r="AK700" s="662">
        <f>'Q100a-geral'!AK2232</f>
        <v>1.3899999999999999E-2</v>
      </c>
      <c r="AL700" s="212" t="str">
        <f>'Q100a-geral'!AL2232</f>
        <v>x</v>
      </c>
      <c r="AM700" s="137" t="str">
        <f>'Q100a-geral'!AM2232</f>
        <v>x</v>
      </c>
      <c r="AN700" s="137" t="str">
        <f>'Q100a-geral'!AN2232</f>
        <v>x</v>
      </c>
      <c r="AO700" s="137" t="str">
        <f>'Q100a-geral'!AO2232</f>
        <v>x</v>
      </c>
      <c r="AP700" s="137" t="str">
        <f>'Q100a-geral'!AP2232</f>
        <v>x</v>
      </c>
      <c r="AQ700" s="137" t="str">
        <f>'Q100a-geral'!AQ2232</f>
        <v>x</v>
      </c>
      <c r="AR700" s="137"/>
      <c r="AS700" s="137"/>
      <c r="AT700" s="137"/>
      <c r="AU700" s="137"/>
      <c r="AV700" s="137" t="str">
        <f>'Q100a-geral'!AV2232</f>
        <v>x</v>
      </c>
      <c r="AW700" s="137"/>
      <c r="AX700" s="137"/>
      <c r="AY700" s="137"/>
      <c r="AZ700" s="137"/>
      <c r="BA700" s="137" t="str">
        <f>'Q100a-geral'!BA2232</f>
        <v>x</v>
      </c>
      <c r="BB700" s="239" t="str">
        <f>'Q100a-geral'!BB2232</f>
        <v>Recursos humanosacessibilidade</v>
      </c>
      <c r="BC700" s="239" t="str">
        <f>'Q100a-geral'!BC2232</f>
        <v>Recursos humanosacessibilidadebenchmarking</v>
      </c>
      <c r="BD700" s="239" t="str">
        <f>'Q100a-geral'!BD2232</f>
        <v>Recursos humanosbenchmarking</v>
      </c>
      <c r="BE700" s="478" t="s">
        <v>3703</v>
      </c>
    </row>
    <row r="701" spans="1:57" s="1" customFormat="1" ht="25.5" customHeight="1" x14ac:dyDescent="0.25">
      <c r="A701" s="275" t="str">
        <f>'Q100a-geral'!A2233</f>
        <v>3.5</v>
      </c>
      <c r="B701" s="54" t="str">
        <f>'Q100a-geral'!B2233</f>
        <v>Recursos humanos</v>
      </c>
      <c r="C701" s="230" t="str">
        <f>'Q100a-geral'!C2233</f>
        <v>acessibilidade</v>
      </c>
      <c r="D701" s="336" t="str">
        <f>'Q100a-geral'!D2233</f>
        <v xml:space="preserve">RH d/RH dr
% de empregados com deficiência </v>
      </c>
      <c r="E701" s="355" t="str">
        <f>'Q100a-geral'!E2233</f>
        <v>Porto Alegre</v>
      </c>
      <c r="F701" s="490" t="str">
        <f>'Q100a-geral'!F2233</f>
        <v>percentual de empregados com deficiência em relação ao total de empregados no governo municipal de Porto Alegre
obs.: resultados de 2006-2015 conforme PROGRAMA(2016c3)</v>
      </c>
      <c r="G701" s="252" t="str">
        <f>'Q100a-geral'!G2233</f>
        <v>registro na fonte</v>
      </c>
      <c r="H701" s="173" t="str">
        <f>'Q100a-geral'!H2233</f>
        <v>benchmarking</v>
      </c>
      <c r="I701" s="57" t="str">
        <f>'Q100a-geral'!I2233</f>
        <v>x</v>
      </c>
      <c r="J701" s="1139" t="str">
        <f>'Q100a-geral'!J2233</f>
        <v>x</v>
      </c>
      <c r="K701" s="1138" t="str">
        <f>'Q100a-geral'!K2233</f>
        <v>x</v>
      </c>
      <c r="L701" s="1138" t="str">
        <f>'Q100a-geral'!L2233</f>
        <v>x</v>
      </c>
      <c r="M701" s="1138" t="str">
        <f>'Q100a-geral'!M2233</f>
        <v>x</v>
      </c>
      <c r="N701" s="1138" t="str">
        <f>'Q100a-geral'!N2233</f>
        <v>x</v>
      </c>
      <c r="O701" s="1138" t="str">
        <f>'Q100a-geral'!O2233</f>
        <v>x</v>
      </c>
      <c r="P701" s="84" t="str">
        <f>'Q100a-geral'!P2233</f>
        <v>x</v>
      </c>
      <c r="Q701" s="84" t="str">
        <f>'Q100a-geral'!Q2233</f>
        <v>x</v>
      </c>
      <c r="R701" s="84" t="str">
        <f>'Q100a-geral'!R2233</f>
        <v>x</v>
      </c>
      <c r="S701" s="649" t="str">
        <f>'Q100a-geral'!S2233</f>
        <v>só para pesquisa</v>
      </c>
      <c r="T701" s="84" t="str">
        <f>'Q100a-geral'!T2233</f>
        <v>x</v>
      </c>
      <c r="U701" s="84" t="str">
        <f>'Q100a-geral'!U2233</f>
        <v>x</v>
      </c>
      <c r="V701" s="107" t="str">
        <f>'Q100a-geral'!V2233</f>
        <v>só para pesquisa</v>
      </c>
      <c r="W701" s="84" t="str">
        <f>'Q100a-geral'!W2233</f>
        <v>x</v>
      </c>
      <c r="X701" s="84" t="str">
        <f>'Q100a-geral'!X2233</f>
        <v>x</v>
      </c>
      <c r="Y701" s="84" t="str">
        <f>'Q100a-geral'!Y2233</f>
        <v>x</v>
      </c>
      <c r="Z701" s="84" t="str">
        <f>'Q100a-geral'!Z2233</f>
        <v>x</v>
      </c>
      <c r="AA701" s="84" t="str">
        <f>'Q100a-geral'!AA2233</f>
        <v>x</v>
      </c>
      <c r="AB701" s="125">
        <f>'Q100a-geral'!AB2233</f>
        <v>1.6999999999999999E-3</v>
      </c>
      <c r="AC701" s="125">
        <f>'Q100a-geral'!AC2233</f>
        <v>1.6999999999999999E-3</v>
      </c>
      <c r="AD701" s="125">
        <f>'Q100a-geral'!AD2233</f>
        <v>1.9E-3</v>
      </c>
      <c r="AE701" s="125">
        <f>'Q100a-geral'!AE2233</f>
        <v>2.2000000000000001E-3</v>
      </c>
      <c r="AF701" s="125">
        <f>'Q100a-geral'!AF2233</f>
        <v>2.2000000000000001E-3</v>
      </c>
      <c r="AG701" s="125">
        <f>'Q100a-geral'!AG2233</f>
        <v>2.3999999999999998E-3</v>
      </c>
      <c r="AH701" s="125">
        <f>'Q100a-geral'!AH2233</f>
        <v>2.8E-3</v>
      </c>
      <c r="AI701" s="125">
        <f>'Q100a-geral'!AI2233</f>
        <v>2.7000000000000001E-3</v>
      </c>
      <c r="AJ701" s="125">
        <f>'Q100a-geral'!AJ2233</f>
        <v>3.8E-3</v>
      </c>
      <c r="AK701" s="759">
        <f>'Q100a-geral'!AK2233</f>
        <v>4.0000000000000001E-3</v>
      </c>
      <c r="AL701" s="212" t="str">
        <f>'Q100a-geral'!AL2233</f>
        <v>x</v>
      </c>
      <c r="AM701" s="137" t="str">
        <f>'Q100a-geral'!AM2233</f>
        <v>x</v>
      </c>
      <c r="AN701" s="137" t="str">
        <f>'Q100a-geral'!AN2233</f>
        <v>x</v>
      </c>
      <c r="AO701" s="137" t="str">
        <f>'Q100a-geral'!AO2233</f>
        <v>x</v>
      </c>
      <c r="AP701" s="137" t="str">
        <f>'Q100a-geral'!AP2233</f>
        <v>x</v>
      </c>
      <c r="AQ701" s="137" t="str">
        <f>'Q100a-geral'!AQ2233</f>
        <v>x</v>
      </c>
      <c r="AR701" s="137"/>
      <c r="AS701" s="137"/>
      <c r="AT701" s="137"/>
      <c r="AU701" s="137"/>
      <c r="AV701" s="137" t="str">
        <f>'Q100a-geral'!AV2233</f>
        <v>x</v>
      </c>
      <c r="AW701" s="137"/>
      <c r="AX701" s="137"/>
      <c r="AY701" s="137"/>
      <c r="AZ701" s="137"/>
      <c r="BA701" s="137" t="str">
        <f>'Q100a-geral'!BA2233</f>
        <v>x</v>
      </c>
      <c r="BB701" s="239" t="str">
        <f>'Q100a-geral'!BB2233</f>
        <v>Recursos humanosacessibilidade</v>
      </c>
      <c r="BC701" s="239" t="str">
        <f>'Q100a-geral'!BC2233</f>
        <v>Recursos humanosacessibilidadebenchmarking</v>
      </c>
      <c r="BD701" s="239" t="str">
        <f>'Q100a-geral'!BD2233</f>
        <v>Recursos humanosbenchmarking</v>
      </c>
      <c r="BE701" s="478" t="s">
        <v>3704</v>
      </c>
    </row>
    <row r="702" spans="1:57" s="1" customFormat="1" ht="25.5" customHeight="1" x14ac:dyDescent="0.25">
      <c r="A702" s="275" t="str">
        <f>'Q100a-geral'!A2234</f>
        <v>3.5</v>
      </c>
      <c r="B702" s="54" t="str">
        <f>'Q100a-geral'!B2234</f>
        <v>Recursos humanos</v>
      </c>
      <c r="C702" s="230" t="str">
        <f>'Q100a-geral'!C2234</f>
        <v>acessibilidade</v>
      </c>
      <c r="D702" s="336" t="str">
        <f>'Q100a-geral'!D2234</f>
        <v xml:space="preserve">RH d/RH dr
% de empregados com deficiência </v>
      </c>
      <c r="E702" s="355" t="str">
        <f>'Q100a-geral'!E2234</f>
        <v>Recife</v>
      </c>
      <c r="F702" s="490" t="str">
        <f>'Q100a-geral'!F2234</f>
        <v>percentual de empregados com deficiência em relação ao total de empregados no governo municipal de Recife
obs.: resultado de 2012 conforme PROGRAMA(2016c4)</v>
      </c>
      <c r="G702" s="252" t="str">
        <f>'Q100a-geral'!G2234</f>
        <v>registro na fonte</v>
      </c>
      <c r="H702" s="173" t="str">
        <f>'Q100a-geral'!H2234</f>
        <v>benchmarking</v>
      </c>
      <c r="I702" s="57" t="str">
        <f>'Q100a-geral'!I2234</f>
        <v>x</v>
      </c>
      <c r="J702" s="1139" t="str">
        <f>'Q100a-geral'!J2234</f>
        <v>x</v>
      </c>
      <c r="K702" s="1138" t="str">
        <f>'Q100a-geral'!K2234</f>
        <v>x</v>
      </c>
      <c r="L702" s="1138" t="str">
        <f>'Q100a-geral'!L2234</f>
        <v>x</v>
      </c>
      <c r="M702" s="1138" t="str">
        <f>'Q100a-geral'!M2234</f>
        <v>x</v>
      </c>
      <c r="N702" s="1138" t="str">
        <f>'Q100a-geral'!N2234</f>
        <v>x</v>
      </c>
      <c r="O702" s="1138" t="str">
        <f>'Q100a-geral'!O2234</f>
        <v>x</v>
      </c>
      <c r="P702" s="84" t="str">
        <f>'Q100a-geral'!P2234</f>
        <v>x</v>
      </c>
      <c r="Q702" s="84" t="str">
        <f>'Q100a-geral'!Q2234</f>
        <v>x</v>
      </c>
      <c r="R702" s="84" t="str">
        <f>'Q100a-geral'!R2234</f>
        <v>x</v>
      </c>
      <c r="S702" s="649" t="str">
        <f>'Q100a-geral'!S2234</f>
        <v>só para pesquisa</v>
      </c>
      <c r="T702" s="84" t="str">
        <f>'Q100a-geral'!T2234</f>
        <v>x</v>
      </c>
      <c r="U702" s="84" t="str">
        <f>'Q100a-geral'!U2234</f>
        <v>x</v>
      </c>
      <c r="V702" s="107" t="str">
        <f>'Q100a-geral'!V2234</f>
        <v>só para pesquisa</v>
      </c>
      <c r="W702" s="84" t="str">
        <f>'Q100a-geral'!W2234</f>
        <v>x</v>
      </c>
      <c r="X702" s="84" t="str">
        <f>'Q100a-geral'!X2234</f>
        <v>x</v>
      </c>
      <c r="Y702" s="84" t="str">
        <f>'Q100a-geral'!Y2234</f>
        <v>x</v>
      </c>
      <c r="Z702" s="84" t="str">
        <f>'Q100a-geral'!Z2234</f>
        <v>x</v>
      </c>
      <c r="AA702" s="84" t="str">
        <f>'Q100a-geral'!AA2234</f>
        <v>x</v>
      </c>
      <c r="AB702" s="84" t="str">
        <f>'Q100a-geral'!AB2234</f>
        <v>x</v>
      </c>
      <c r="AC702" s="84" t="str">
        <f>'Q100a-geral'!AC2234</f>
        <v>x</v>
      </c>
      <c r="AD702" s="125" t="str">
        <f>'Q100a-geral'!AD2234</f>
        <v>x</v>
      </c>
      <c r="AE702" s="125" t="str">
        <f>'Q100a-geral'!AE2234</f>
        <v>x</v>
      </c>
      <c r="AF702" s="125" t="str">
        <f>'Q100a-geral'!AF2234</f>
        <v>x</v>
      </c>
      <c r="AG702" s="125" t="str">
        <f>'Q100a-geral'!AG2234</f>
        <v>x</v>
      </c>
      <c r="AH702" s="755">
        <f>'Q100a-geral'!AH2234</f>
        <v>2.3999999999999998E-3</v>
      </c>
      <c r="AI702" s="125" t="str">
        <f>'Q100a-geral'!AI2234</f>
        <v>x</v>
      </c>
      <c r="AJ702" s="125" t="str">
        <f>'Q100a-geral'!AJ2234</f>
        <v>x</v>
      </c>
      <c r="AK702" s="662" t="str">
        <f>'Q100a-geral'!AK2234</f>
        <v>x</v>
      </c>
      <c r="AL702" s="212" t="str">
        <f>'Q100a-geral'!AL2234</f>
        <v>x</v>
      </c>
      <c r="AM702" s="137" t="str">
        <f>'Q100a-geral'!AM2234</f>
        <v>x</v>
      </c>
      <c r="AN702" s="137" t="str">
        <f>'Q100a-geral'!AN2234</f>
        <v>x</v>
      </c>
      <c r="AO702" s="137" t="str">
        <f>'Q100a-geral'!AO2234</f>
        <v>x</v>
      </c>
      <c r="AP702" s="137" t="str">
        <f>'Q100a-geral'!AP2234</f>
        <v>x</v>
      </c>
      <c r="AQ702" s="137" t="str">
        <f>'Q100a-geral'!AQ2234</f>
        <v>x</v>
      </c>
      <c r="AR702" s="137"/>
      <c r="AS702" s="137"/>
      <c r="AT702" s="137"/>
      <c r="AU702" s="137"/>
      <c r="AV702" s="137" t="str">
        <f>'Q100a-geral'!AV2234</f>
        <v>x</v>
      </c>
      <c r="AW702" s="137"/>
      <c r="AX702" s="137"/>
      <c r="AY702" s="137"/>
      <c r="AZ702" s="137"/>
      <c r="BA702" s="137" t="str">
        <f>'Q100a-geral'!BA2234</f>
        <v>x</v>
      </c>
      <c r="BB702" s="239" t="str">
        <f>'Q100a-geral'!BB2234</f>
        <v>Recursos humanosacessibilidade</v>
      </c>
      <c r="BC702" s="239" t="str">
        <f>'Q100a-geral'!BC2234</f>
        <v>Recursos humanosacessibilidadebenchmarking</v>
      </c>
      <c r="BD702" s="239" t="str">
        <f>'Q100a-geral'!BD2234</f>
        <v>Recursos humanosbenchmarking</v>
      </c>
      <c r="BE702" s="478" t="s">
        <v>3701</v>
      </c>
    </row>
    <row r="703" spans="1:57" s="1" customFormat="1" ht="25.5" customHeight="1" x14ac:dyDescent="0.25">
      <c r="A703" s="275" t="str">
        <f>'Q100a-geral'!A2235</f>
        <v>3.5</v>
      </c>
      <c r="B703" s="54" t="str">
        <f>'Q100a-geral'!B2235</f>
        <v>Recursos humanos</v>
      </c>
      <c r="C703" s="230" t="str">
        <f>'Q100a-geral'!C2235</f>
        <v>acessibilidade</v>
      </c>
      <c r="D703" s="336" t="str">
        <f>'Q100a-geral'!D2235</f>
        <v xml:space="preserve">RH d/RH dr
% de empregados com deficiência </v>
      </c>
      <c r="E703" s="355" t="str">
        <f>'Q100a-geral'!E2235</f>
        <v>Salvador</v>
      </c>
      <c r="F703" s="490" t="str">
        <f>'Q100a-geral'!F2235</f>
        <v>percentual de empregados com deficiência em relação ao total de empregados no governo municipal de Salvador
obs.: resultado de 2013 conforme PROGRAMA(2016c6)</v>
      </c>
      <c r="G703" s="252" t="str">
        <f>'Q100a-geral'!G2235</f>
        <v>registro na fonte</v>
      </c>
      <c r="H703" s="173" t="str">
        <f>'Q100a-geral'!H2235</f>
        <v>benchmarking</v>
      </c>
      <c r="I703" s="57" t="str">
        <f>'Q100a-geral'!I2235</f>
        <v>x</v>
      </c>
      <c r="J703" s="1139" t="str">
        <f>'Q100a-geral'!J2235</f>
        <v>x</v>
      </c>
      <c r="K703" s="1138" t="str">
        <f>'Q100a-geral'!K2235</f>
        <v>x</v>
      </c>
      <c r="L703" s="1138" t="str">
        <f>'Q100a-geral'!L2235</f>
        <v>x</v>
      </c>
      <c r="M703" s="1138" t="str">
        <f>'Q100a-geral'!M2235</f>
        <v>x</v>
      </c>
      <c r="N703" s="1138" t="str">
        <f>'Q100a-geral'!N2235</f>
        <v>x</v>
      </c>
      <c r="O703" s="1138" t="str">
        <f>'Q100a-geral'!O2235</f>
        <v>x</v>
      </c>
      <c r="P703" s="84" t="str">
        <f>'Q100a-geral'!P2235</f>
        <v>x</v>
      </c>
      <c r="Q703" s="84" t="str">
        <f>'Q100a-geral'!Q2235</f>
        <v>x</v>
      </c>
      <c r="R703" s="84" t="str">
        <f>'Q100a-geral'!R2235</f>
        <v>x</v>
      </c>
      <c r="S703" s="649" t="str">
        <f>'Q100a-geral'!S2235</f>
        <v>só para pesquisa</v>
      </c>
      <c r="T703" s="84" t="str">
        <f>'Q100a-geral'!T2235</f>
        <v>x</v>
      </c>
      <c r="U703" s="84" t="str">
        <f>'Q100a-geral'!U2235</f>
        <v>x</v>
      </c>
      <c r="V703" s="107" t="str">
        <f>'Q100a-geral'!V2235</f>
        <v>só para pesquisa</v>
      </c>
      <c r="W703" s="84" t="str">
        <f>'Q100a-geral'!W2235</f>
        <v>x</v>
      </c>
      <c r="X703" s="84" t="str">
        <f>'Q100a-geral'!X2235</f>
        <v>x</v>
      </c>
      <c r="Y703" s="84" t="str">
        <f>'Q100a-geral'!Y2235</f>
        <v>x</v>
      </c>
      <c r="Z703" s="84" t="str">
        <f>'Q100a-geral'!Z2235</f>
        <v>x</v>
      </c>
      <c r="AA703" s="84" t="str">
        <f>'Q100a-geral'!AA2235</f>
        <v>x</v>
      </c>
      <c r="AB703" s="84" t="str">
        <f>'Q100a-geral'!AB2235</f>
        <v>x</v>
      </c>
      <c r="AC703" s="84" t="str">
        <f>'Q100a-geral'!AC2235</f>
        <v>x</v>
      </c>
      <c r="AD703" s="125" t="str">
        <f>'Q100a-geral'!AD2235</f>
        <v>x</v>
      </c>
      <c r="AE703" s="125" t="str">
        <f>'Q100a-geral'!AE2235</f>
        <v>x</v>
      </c>
      <c r="AF703" s="125" t="str">
        <f>'Q100a-geral'!AF2235</f>
        <v>x</v>
      </c>
      <c r="AG703" s="125" t="str">
        <f>'Q100a-geral'!AG2235</f>
        <v>x</v>
      </c>
      <c r="AH703" s="125" t="str">
        <f>'Q100a-geral'!AH2235</f>
        <v>x</v>
      </c>
      <c r="AI703" s="755">
        <f>'Q100a-geral'!AI2235</f>
        <v>2E-3</v>
      </c>
      <c r="AJ703" s="125" t="str">
        <f>'Q100a-geral'!AJ2235</f>
        <v>x</v>
      </c>
      <c r="AK703" s="662" t="str">
        <f>'Q100a-geral'!AK2235</f>
        <v>x</v>
      </c>
      <c r="AL703" s="212" t="str">
        <f>'Q100a-geral'!AL2235</f>
        <v>x</v>
      </c>
      <c r="AM703" s="137" t="str">
        <f>'Q100a-geral'!AM2235</f>
        <v>x</v>
      </c>
      <c r="AN703" s="137" t="str">
        <f>'Q100a-geral'!AN2235</f>
        <v>x</v>
      </c>
      <c r="AO703" s="137" t="str">
        <f>'Q100a-geral'!AO2235</f>
        <v>x</v>
      </c>
      <c r="AP703" s="137" t="str">
        <f>'Q100a-geral'!AP2235</f>
        <v>x</v>
      </c>
      <c r="AQ703" s="137" t="str">
        <f>'Q100a-geral'!AQ2235</f>
        <v>x</v>
      </c>
      <c r="AR703" s="137"/>
      <c r="AS703" s="137"/>
      <c r="AT703" s="137"/>
      <c r="AU703" s="137"/>
      <c r="AV703" s="137" t="str">
        <f>'Q100a-geral'!AV2235</f>
        <v>x</v>
      </c>
      <c r="AW703" s="137"/>
      <c r="AX703" s="137"/>
      <c r="AY703" s="137"/>
      <c r="AZ703" s="137"/>
      <c r="BA703" s="137" t="str">
        <f>'Q100a-geral'!BA2235</f>
        <v>x</v>
      </c>
      <c r="BB703" s="239" t="str">
        <f>'Q100a-geral'!BB2235</f>
        <v>Recursos humanosacessibilidade</v>
      </c>
      <c r="BC703" s="239" t="str">
        <f>'Q100a-geral'!BC2235</f>
        <v>Recursos humanosacessibilidadebenchmarking</v>
      </c>
      <c r="BD703" s="239" t="str">
        <f>'Q100a-geral'!BD2235</f>
        <v>Recursos humanosbenchmarking</v>
      </c>
      <c r="BE703" s="478" t="s">
        <v>3700</v>
      </c>
    </row>
    <row r="704" spans="1:57" s="1" customFormat="1" ht="70.5" customHeight="1" x14ac:dyDescent="0.25">
      <c r="A704" s="275" t="str">
        <f>'Q100a-geral'!A2230</f>
        <v>3.5</v>
      </c>
      <c r="B704" s="54" t="str">
        <f>'Q100a-geral'!B2230</f>
        <v>Recursos humanos</v>
      </c>
      <c r="C704" s="230" t="str">
        <f>'Q100a-geral'!C2230</f>
        <v>acessibilidade</v>
      </c>
      <c r="D704" s="336" t="str">
        <f>'Q100a-geral'!D2230</f>
        <v xml:space="preserve">RH d/RH dr
% de empregados com deficiência </v>
      </c>
      <c r="E704" s="355" t="str">
        <f>'Q100a-geral'!E2230</f>
        <v>Belo Horizonte
(BHTrans)</v>
      </c>
      <c r="F704" s="492" t="str">
        <f>'Q100a-geral'!F2230</f>
        <v>percentual de empregados com deficiência em relação ao total de empregados diretos da BHTrans
obs.: resultado apresentado em OLIVEIRA(2015e) e analisado em OLIVEIRA(2016g)</v>
      </c>
      <c r="G704" s="14" t="str">
        <f>'Q100a-geral'!G2230</f>
        <v>(RHd / RHdr) x 100</v>
      </c>
      <c r="H704" s="173" t="str">
        <f>'Q100a-geral'!H2230</f>
        <v>x</v>
      </c>
      <c r="I704" s="57">
        <f>'Q100a-geral'!I2230</f>
        <v>1</v>
      </c>
      <c r="J704" s="11" t="str">
        <f>'Q100a-geral'!J2230</f>
        <v>x</v>
      </c>
      <c r="K704" s="58" t="str">
        <f>'Q100a-geral'!K2230</f>
        <v>x</v>
      </c>
      <c r="L704" s="58" t="str">
        <f>'Q100a-geral'!L2230</f>
        <v>x</v>
      </c>
      <c r="M704" s="58" t="str">
        <f>'Q100a-geral'!M2230</f>
        <v>x</v>
      </c>
      <c r="N704" s="58" t="str">
        <f>'Q100a-geral'!N2230</f>
        <v>x</v>
      </c>
      <c r="O704" s="58" t="str">
        <f>'Q100a-geral'!O2230</f>
        <v>x</v>
      </c>
      <c r="P704" s="47">
        <f>'Q100a-geral'!P2230</f>
        <v>1.9120458891013384E-3</v>
      </c>
      <c r="Q704" s="47">
        <f>'Q100a-geral'!Q2230</f>
        <v>3.2626427406199023E-3</v>
      </c>
      <c r="R704" s="47">
        <f>'Q100a-geral'!R2230</f>
        <v>1.6713091922005572E-2</v>
      </c>
      <c r="S704" s="649" t="str">
        <f>'Q100a-geral'!S2230</f>
        <v>só para pesquisa</v>
      </c>
      <c r="T704" s="47">
        <f>'Q100a-geral'!T2230</f>
        <v>1.6709511568123392E-2</v>
      </c>
      <c r="U704" s="47">
        <f>'Q100a-geral'!U2230</f>
        <v>2.1413276231263382E-2</v>
      </c>
      <c r="V704" s="107" t="str">
        <f>'Q100a-geral'!V2230</f>
        <v>só para pesquisa</v>
      </c>
      <c r="W704" s="47">
        <f>'Q100a-geral'!W2230</f>
        <v>2.0810514786418401E-2</v>
      </c>
      <c r="X704" s="47">
        <f>'Q100a-geral'!X2230</f>
        <v>2.0618556701030927E-2</v>
      </c>
      <c r="Y704" s="47">
        <f>'Q100a-geral'!Y2230</f>
        <v>2.5109170305676855E-2</v>
      </c>
      <c r="Z704" s="47">
        <f>'Q100a-geral'!Z2230</f>
        <v>2.454642475987193E-2</v>
      </c>
      <c r="AA704" s="755">
        <f>'Q100a-geral'!AA2230</f>
        <v>2.6291079812206571E-2</v>
      </c>
      <c r="AB704" s="47">
        <f>'Q100a-geral'!AB2230</f>
        <v>2.0813623462630087E-2</v>
      </c>
      <c r="AC704" s="47">
        <f>'Q100a-geral'!AC2230</f>
        <v>1.9924098671726755E-2</v>
      </c>
      <c r="AD704" s="47">
        <f>'Q100a-geral'!AD2230</f>
        <v>2.1475256769374416E-2</v>
      </c>
      <c r="AE704" s="47">
        <f>'Q100a-geral'!AE2230</f>
        <v>2.0446096654275093E-2</v>
      </c>
      <c r="AF704" s="47">
        <f>'Q100a-geral'!AF2230</f>
        <v>1.9462465245597776E-2</v>
      </c>
      <c r="AG704" s="47">
        <f>'Q100a-geral'!AG2230</f>
        <v>1.8656716417910446E-2</v>
      </c>
      <c r="AH704" s="47">
        <f>'Q100a-geral'!AH2230</f>
        <v>1.8993352326685659E-2</v>
      </c>
      <c r="AI704" s="47">
        <f>'Q100a-geral'!AI2230</f>
        <v>1.968503937007874E-2</v>
      </c>
      <c r="AJ704" s="47">
        <f>'Q100a-geral'!AJ2230</f>
        <v>2.0683453237410072E-2</v>
      </c>
      <c r="AK704" s="755">
        <f>'Q100a-geral'!AK2230</f>
        <v>2.0572450805008944E-2</v>
      </c>
      <c r="AL704" s="212" t="str">
        <f>'Q100a-geral'!AL2230</f>
        <v>x</v>
      </c>
      <c r="AM704" s="137" t="str">
        <f>'Q100a-geral'!AM2230</f>
        <v>x</v>
      </c>
      <c r="AN704" s="137" t="str">
        <f>'Q100a-geral'!AN2230</f>
        <v>x</v>
      </c>
      <c r="AO704" s="137" t="str">
        <f>'Q100a-geral'!AO2230</f>
        <v>x</v>
      </c>
      <c r="AP704" s="137" t="str">
        <f>'Q100a-geral'!AP2230</f>
        <v>x</v>
      </c>
      <c r="AQ704" s="137" t="str">
        <f>'Q100a-geral'!AQ2230</f>
        <v>x</v>
      </c>
      <c r="AR704" s="137"/>
      <c r="AS704" s="137"/>
      <c r="AT704" s="137"/>
      <c r="AU704" s="137"/>
      <c r="AV704" s="137" t="str">
        <f>'Q100a-geral'!AV2230</f>
        <v>x</v>
      </c>
      <c r="AW704" s="137"/>
      <c r="AX704" s="137"/>
      <c r="AY704" s="137"/>
      <c r="AZ704" s="137"/>
      <c r="BA704" s="137" t="str">
        <f>'Q100a-geral'!BA2230</f>
        <v>x</v>
      </c>
      <c r="BB704" s="239" t="str">
        <f>'Q100a-geral'!BB2230</f>
        <v>Recursos humanosacessibilidade</v>
      </c>
      <c r="BC704" s="239" t="str">
        <f>'Q100a-geral'!BC2230</f>
        <v>Recursos humanosacessibilidadex</v>
      </c>
      <c r="BD704" s="239" t="str">
        <f>'Q100a-geral'!BD2230</f>
        <v>Recursos humanosx</v>
      </c>
      <c r="BE704" s="478" t="s">
        <v>4582</v>
      </c>
    </row>
    <row r="705" spans="1:69" s="274" customFormat="1" ht="266.25" customHeight="1" x14ac:dyDescent="0.25">
      <c r="A705" s="275" t="str">
        <f>'Q100a-geral'!A2229</f>
        <v>3.5</v>
      </c>
      <c r="B705" s="54" t="str">
        <f>'Q100a-geral'!B2229</f>
        <v>Recursos humanos</v>
      </c>
      <c r="C705" s="167" t="str">
        <f>'Q100a-geral'!C2229</f>
        <v>acessibilidade</v>
      </c>
      <c r="D705" s="287" t="str">
        <f>'Q100a-geral'!D2229</f>
        <v>RH d/RH dr (RPI)
% de empregados diretos com deficiência (RPI)</v>
      </c>
      <c r="E705" s="458" t="str">
        <f>'Q100a-geral'!E2229</f>
        <v>Belo Horizonte</v>
      </c>
      <c r="F705" s="488" t="str">
        <f>'Q100a-geral'!F2229</f>
        <v>1994: "Ficam reservados 5% (cinco por cento) dos cargos e empregos públicos de provimento efetivo do quadro de pessoal da Administração Direta e Indireta do Poder Executivo para pessoas portadoras de deficiência, observada a prescrição do artigo seguinte. [...] Até que seja totalmente cumprido o percentual do art. 1º, todos os concursos públicos realizados a partir da publicação desta Lei terão 10% (dez por cento) das vagas oferecidas reservadas para portadores de deficiência." conforme BH(1994a, art.1º combinado com art.5º)
obs.: este ém um RPI para toda a administração municpal de Belo Horizonte, incluindo a BHTrans</v>
      </c>
      <c r="G705" s="252" t="str">
        <f>'Q100a-geral'!G2229</f>
        <v>RPI municipal</v>
      </c>
      <c r="H705" s="167" t="str">
        <f>'Q100a-geral'!H2229</f>
        <v>meta/RPI</v>
      </c>
      <c r="I705" s="167" t="str">
        <f>'Q100a-geral'!I2229</f>
        <v>x</v>
      </c>
      <c r="J705" s="109" t="str">
        <f>'Q100a-geral'!J2229</f>
        <v>x</v>
      </c>
      <c r="K705" s="110" t="str">
        <f>'Q100a-geral'!K2229</f>
        <v>depende de RH</v>
      </c>
      <c r="L705" s="110" t="str">
        <f>'Q100a-geral'!L2229</f>
        <v>depende de RH</v>
      </c>
      <c r="M705" s="110" t="str">
        <f>'Q100a-geral'!M2229</f>
        <v>depende de RH</v>
      </c>
      <c r="N705" s="110">
        <f>'Q100a-geral'!N2229</f>
        <v>0.05</v>
      </c>
      <c r="O705" s="110">
        <f>'Q100a-geral'!O2229</f>
        <v>0.05</v>
      </c>
      <c r="P705" s="95">
        <f>'Q100a-geral'!P2229</f>
        <v>0.05</v>
      </c>
      <c r="Q705" s="95">
        <f>'Q100a-geral'!Q2229</f>
        <v>0.05</v>
      </c>
      <c r="R705" s="95">
        <f>'Q100a-geral'!R2229</f>
        <v>0.05</v>
      </c>
      <c r="S705" s="109" t="str">
        <f>'Q100a-geral'!S2229</f>
        <v>só para pesquisa</v>
      </c>
      <c r="T705" s="95">
        <f>'Q100a-geral'!T2229</f>
        <v>0.05</v>
      </c>
      <c r="U705" s="95">
        <f>'Q100a-geral'!U2229</f>
        <v>0.05</v>
      </c>
      <c r="V705" s="107" t="str">
        <f>'Q100a-geral'!V2229</f>
        <v>só para pesquisa</v>
      </c>
      <c r="W705" s="95">
        <f>'Q100a-geral'!W2229</f>
        <v>0.05</v>
      </c>
      <c r="X705" s="95">
        <f>'Q100a-geral'!X2229</f>
        <v>0.05</v>
      </c>
      <c r="Y705" s="95">
        <f>'Q100a-geral'!Y2229</f>
        <v>0.05</v>
      </c>
      <c r="Z705" s="95">
        <f>'Q100a-geral'!Z2229</f>
        <v>0.05</v>
      </c>
      <c r="AA705" s="95">
        <f>'Q100a-geral'!AA2229</f>
        <v>0.05</v>
      </c>
      <c r="AB705" s="95">
        <f>'Q100a-geral'!AB2229</f>
        <v>0.05</v>
      </c>
      <c r="AC705" s="95">
        <f>'Q100a-geral'!AC2229</f>
        <v>0.05</v>
      </c>
      <c r="AD705" s="95">
        <f>'Q100a-geral'!AD2229</f>
        <v>0.05</v>
      </c>
      <c r="AE705" s="95">
        <f>'Q100a-geral'!AE2229</f>
        <v>0.05</v>
      </c>
      <c r="AF705" s="95">
        <f>'Q100a-geral'!AF2229</f>
        <v>0.05</v>
      </c>
      <c r="AG705" s="95">
        <f>'Q100a-geral'!AG2229</f>
        <v>0.05</v>
      </c>
      <c r="AH705" s="95">
        <f>'Q100a-geral'!AH2229</f>
        <v>0.05</v>
      </c>
      <c r="AI705" s="95">
        <f>'Q100a-geral'!AI2229</f>
        <v>0.05</v>
      </c>
      <c r="AJ705" s="95">
        <f>'Q100a-geral'!AJ2229</f>
        <v>0.05</v>
      </c>
      <c r="AK705" s="95">
        <f>'Q100a-geral'!AK2229</f>
        <v>0.05</v>
      </c>
      <c r="AL705" s="226" t="str">
        <f>'Q100a-geral'!AL2229</f>
        <v>x</v>
      </c>
      <c r="AM705" s="137" t="str">
        <f>'Q100a-geral'!AM2229</f>
        <v>x</v>
      </c>
      <c r="AN705" s="137" t="str">
        <f>'Q100a-geral'!AN2229</f>
        <v>x</v>
      </c>
      <c r="AO705" s="137" t="str">
        <f>'Q100a-geral'!AO2229</f>
        <v>x</v>
      </c>
      <c r="AP705" s="137" t="str">
        <f>'Q100a-geral'!AP2229</f>
        <v>x</v>
      </c>
      <c r="AQ705" s="137" t="str">
        <f>'Q100a-geral'!AQ2229</f>
        <v>x</v>
      </c>
      <c r="AR705" s="137"/>
      <c r="AS705" s="137"/>
      <c r="AT705" s="137"/>
      <c r="AU705" s="137"/>
      <c r="AV705" s="137" t="str">
        <f>'Q100a-geral'!AV2229</f>
        <v>x</v>
      </c>
      <c r="AW705" s="137"/>
      <c r="AX705" s="137"/>
      <c r="AY705" s="137"/>
      <c r="AZ705" s="137"/>
      <c r="BA705" s="137" t="str">
        <f>'Q100a-geral'!BA2229</f>
        <v>x</v>
      </c>
      <c r="BB705" s="239" t="str">
        <f>'Q100a-geral'!BB2229</f>
        <v>Recursos humanosacessibilidade</v>
      </c>
      <c r="BC705" s="239" t="str">
        <f>'Q100a-geral'!BC2229</f>
        <v>Recursos humanosacessibilidademeta/RPI</v>
      </c>
      <c r="BD705" s="239" t="str">
        <f>'Q100a-geral'!BD2229</f>
        <v>Recursos humanosmeta/RPI</v>
      </c>
      <c r="BE705" s="478" t="s">
        <v>4581</v>
      </c>
    </row>
    <row r="706" spans="1:69" s="1" customFormat="1" ht="25.5" customHeight="1" x14ac:dyDescent="0.25">
      <c r="A706" s="275" t="str">
        <f>'Q100a-geral'!A2236</f>
        <v>3.5</v>
      </c>
      <c r="B706" s="54" t="str">
        <f>'Q100a-geral'!B2236</f>
        <v>Recursos humanos</v>
      </c>
      <c r="C706" s="230" t="str">
        <f>'Q100a-geral'!C2236</f>
        <v>x</v>
      </c>
      <c r="D706" s="287" t="str">
        <f>'Q100a-geral'!D2236</f>
        <v>RH dr</v>
      </c>
      <c r="E706" s="1000" t="str">
        <f>'Q100a-geral'!E2236</f>
        <v>Belo Horizonte
(BHTrans)</v>
      </c>
      <c r="F706" s="631" t="str">
        <f>'Q100a-geral'!F2236</f>
        <v>n.º de empregados diretos da BHTrans
obs.1: resultados de 1992-1995 com registro em BHTRANS(2011e, p.3); de 1996-2005 com registro em BHTRANS(2015r); resultados de 2006-2015 com uso da fórmula 
obs.2: indicador operacional da BHTrans com o nome "número de empregados diretos"(BHTRANS, 2015d3)</v>
      </c>
      <c r="G706" s="14" t="str">
        <f>'Q100a-geral'!G2236</f>
        <v>registro na fonte
ou
RH c + RH ran</v>
      </c>
      <c r="H706" s="173" t="str">
        <f>'Q100a-geral'!H2236</f>
        <v>x</v>
      </c>
      <c r="I706" s="57">
        <f>'Q100a-geral'!I2236</f>
        <v>1</v>
      </c>
      <c r="J706" s="11" t="str">
        <f>'Q100a-geral'!J2236</f>
        <v>x</v>
      </c>
      <c r="K706" s="93" t="e">
        <f>'Q100a-geral'!K2236</f>
        <v>#VALUE!</v>
      </c>
      <c r="L706" s="93">
        <f>'Q100a-geral'!L2236</f>
        <v>192</v>
      </c>
      <c r="M706" s="93">
        <f>'Q100a-geral'!M2236</f>
        <v>325</v>
      </c>
      <c r="N706" s="93">
        <f>'Q100a-geral'!N2236</f>
        <v>414</v>
      </c>
      <c r="O706" s="93">
        <f>'Q100a-geral'!O2236</f>
        <v>489</v>
      </c>
      <c r="P706" s="87">
        <f>'Q100a-geral'!P2236</f>
        <v>523</v>
      </c>
      <c r="Q706" s="87">
        <f>'Q100a-geral'!Q2236</f>
        <v>613</v>
      </c>
      <c r="R706" s="87">
        <f>'Q100a-geral'!R2236</f>
        <v>718</v>
      </c>
      <c r="S706" s="649" t="str">
        <f>'Q100a-geral'!S2236</f>
        <v>só para pesquisa</v>
      </c>
      <c r="T706" s="84">
        <f>'Q100a-geral'!T2236</f>
        <v>778</v>
      </c>
      <c r="U706" s="106">
        <f>'Q100a-geral'!U2236</f>
        <v>934</v>
      </c>
      <c r="V706" s="107" t="str">
        <f>'Q100a-geral'!V2236</f>
        <v>só para pesquisa</v>
      </c>
      <c r="W706" s="87">
        <f>'Q100a-geral'!W2236</f>
        <v>913</v>
      </c>
      <c r="X706" s="87">
        <f>'Q100a-geral'!X2236</f>
        <v>873</v>
      </c>
      <c r="Y706" s="87">
        <f>'Q100a-geral'!Y2236</f>
        <v>916</v>
      </c>
      <c r="Z706" s="87">
        <f>'Q100a-geral'!Z2236</f>
        <v>937</v>
      </c>
      <c r="AA706" s="87">
        <f>'Q100a-geral'!AA2236</f>
        <v>1065</v>
      </c>
      <c r="AB706" s="20">
        <f>'Q100a-geral'!AB2236</f>
        <v>1057</v>
      </c>
      <c r="AC706" s="20">
        <f>'Q100a-geral'!AC2236</f>
        <v>1054</v>
      </c>
      <c r="AD706" s="20">
        <f>'Q100a-geral'!AD2236</f>
        <v>1071</v>
      </c>
      <c r="AE706" s="20">
        <f>'Q100a-geral'!AE2236</f>
        <v>1076</v>
      </c>
      <c r="AF706" s="20">
        <f>'Q100a-geral'!AF2236</f>
        <v>1079</v>
      </c>
      <c r="AG706" s="20">
        <f>'Q100a-geral'!AG2236</f>
        <v>1072</v>
      </c>
      <c r="AH706" s="20">
        <f>'Q100a-geral'!AH2236</f>
        <v>1053</v>
      </c>
      <c r="AI706" s="87">
        <f>'Q100a-geral'!AI2236</f>
        <v>1016</v>
      </c>
      <c r="AJ706" s="87">
        <f>'Q100a-geral'!AJ2236</f>
        <v>1112</v>
      </c>
      <c r="AK706" s="87">
        <f>'Q100a-geral'!AK2236</f>
        <v>1118</v>
      </c>
      <c r="AL706" s="215" t="str">
        <f>'Q100a-geral'!AL2236</f>
        <v>x</v>
      </c>
      <c r="AM706" s="137" t="str">
        <f>'Q100a-geral'!AM2236</f>
        <v>x</v>
      </c>
      <c r="AN706" s="137" t="str">
        <f>'Q100a-geral'!AN2236</f>
        <v>x</v>
      </c>
      <c r="AO706" s="137" t="str">
        <f>'Q100a-geral'!AO2236</f>
        <v>x</v>
      </c>
      <c r="AP706" s="137" t="str">
        <f>'Q100a-geral'!AP2236</f>
        <v>x</v>
      </c>
      <c r="AQ706" s="137" t="str">
        <f>'Q100a-geral'!AQ2236</f>
        <v>x</v>
      </c>
      <c r="AR706" s="137"/>
      <c r="AS706" s="137"/>
      <c r="AT706" s="137"/>
      <c r="AU706" s="137"/>
      <c r="AV706" s="137" t="str">
        <f>'Q100a-geral'!AV2236</f>
        <v>x</v>
      </c>
      <c r="AW706" s="137"/>
      <c r="AX706" s="137"/>
      <c r="AY706" s="137"/>
      <c r="AZ706" s="137"/>
      <c r="BA706" s="137" t="str">
        <f>'Q100a-geral'!BA2236</f>
        <v>x</v>
      </c>
      <c r="BB706" s="239" t="str">
        <f>'Q100a-geral'!BB2236</f>
        <v>Recursos humanosx</v>
      </c>
      <c r="BC706" s="239" t="str">
        <f>'Q100a-geral'!BC2236</f>
        <v>Recursos humanosxx</v>
      </c>
      <c r="BD706" s="239" t="str">
        <f>'Q100a-geral'!BD2236</f>
        <v>Recursos humanosx</v>
      </c>
    </row>
    <row r="707" spans="1:69" s="1" customFormat="1" ht="51.75" customHeight="1" x14ac:dyDescent="0.25">
      <c r="A707" s="275" t="str">
        <f>'Q100a-geral'!A2239</f>
        <v>3.5</v>
      </c>
      <c r="B707" s="54" t="str">
        <f>'Q100a-geral'!B2239</f>
        <v>Recursos humanos</v>
      </c>
      <c r="C707" s="230" t="str">
        <f>'Q100a-geral'!C2239</f>
        <v>x</v>
      </c>
      <c r="D707" s="1351" t="s">
        <v>4560</v>
      </c>
      <c r="E707" s="488" t="str">
        <f>'Q100a-geral'!E2239</f>
        <v>Belo Horizonte
(BHTrans)</v>
      </c>
      <c r="F707" s="14" t="str">
        <f>'Q100a-geral'!F2239</f>
        <v>n.º de estagiários da BHTrans
obs.: resultados de 1992-2012 (buscar)
obs.: resultados de 2012 conforme BHTRANS(2013d4, p.8);  de 2013 conforme BHTRANS(2014j4, p.7); de 2014 conforme BHTRANS (2015r2, p.7); de 2015 conforme BHTRANS(2016s, p.7), sempre tomando o mês de dezembro</v>
      </c>
      <c r="G707" s="409" t="str">
        <f>'Q100a-geral'!G2239</f>
        <v>registro da fonte (componente de
 RH nd)</v>
      </c>
      <c r="H707" s="167" t="str">
        <f>'Q100a-geral'!H2239</f>
        <v>x</v>
      </c>
      <c r="I707" s="57">
        <f>'Q100a-geral'!I2239</f>
        <v>1</v>
      </c>
      <c r="J707" s="107" t="str">
        <f>'Q100a-geral'!J2239</f>
        <v>x</v>
      </c>
      <c r="K707" s="622" t="str">
        <f>'Q100a-geral'!K2239</f>
        <v>buscar</v>
      </c>
      <c r="L707" s="622" t="str">
        <f>'Q100a-geral'!L2239</f>
        <v>buscar</v>
      </c>
      <c r="M707" s="622" t="str">
        <f>'Q100a-geral'!M2239</f>
        <v>buscar</v>
      </c>
      <c r="N707" s="622" t="str">
        <f>'Q100a-geral'!N2239</f>
        <v>buscar</v>
      </c>
      <c r="O707" s="622" t="str">
        <f>'Q100a-geral'!O2239</f>
        <v>buscar</v>
      </c>
      <c r="P707" s="622" t="str">
        <f>'Q100a-geral'!P2239</f>
        <v>buscar</v>
      </c>
      <c r="Q707" s="622" t="str">
        <f>'Q100a-geral'!Q2239</f>
        <v>buscar</v>
      </c>
      <c r="R707" s="622" t="str">
        <f>'Q100a-geral'!R2239</f>
        <v>buscar</v>
      </c>
      <c r="S707" s="109" t="str">
        <f>'Q100a-geral'!S2239</f>
        <v>só para pesquisa</v>
      </c>
      <c r="T707" s="622" t="str">
        <f>'Q100a-geral'!T2239</f>
        <v>buscar</v>
      </c>
      <c r="U707" s="622" t="str">
        <f>'Q100a-geral'!U2239</f>
        <v>buscar</v>
      </c>
      <c r="V707" s="109" t="str">
        <f>'Q100a-geral'!V2239</f>
        <v>só para pesquisa</v>
      </c>
      <c r="W707" s="622" t="str">
        <f>'Q100a-geral'!W2239</f>
        <v>buscar</v>
      </c>
      <c r="X707" s="622" t="str">
        <f>'Q100a-geral'!X2239</f>
        <v>buscar</v>
      </c>
      <c r="Y707" s="622" t="str">
        <f>'Q100a-geral'!Y2239</f>
        <v>buscar</v>
      </c>
      <c r="Z707" s="622" t="str">
        <f>'Q100a-geral'!Z2239</f>
        <v>buscar</v>
      </c>
      <c r="AA707" s="622" t="str">
        <f>'Q100a-geral'!AA2239</f>
        <v>buscar</v>
      </c>
      <c r="AB707" s="622" t="str">
        <f>'Q100a-geral'!AB2239</f>
        <v>buscar</v>
      </c>
      <c r="AC707" s="622" t="str">
        <f>'Q100a-geral'!AC2239</f>
        <v>buscar</v>
      </c>
      <c r="AD707" s="622" t="str">
        <f>'Q100a-geral'!AD2239</f>
        <v>buscar</v>
      </c>
      <c r="AE707" s="622" t="str">
        <f>'Q100a-geral'!AE2239</f>
        <v>buscar</v>
      </c>
      <c r="AF707" s="622" t="str">
        <f>'Q100a-geral'!AF2239</f>
        <v>buscar</v>
      </c>
      <c r="AG707" s="622" t="str">
        <f>'Q100a-geral'!AG2239</f>
        <v>buscar</v>
      </c>
      <c r="AH707" s="622">
        <f>'Q100a-geral'!AH2239</f>
        <v>96</v>
      </c>
      <c r="AI707" s="622">
        <f>'Q100a-geral'!AI2239</f>
        <v>102</v>
      </c>
      <c r="AJ707" s="110">
        <f>'Q100a-geral'!AJ2239</f>
        <v>98</v>
      </c>
      <c r="AK707" s="110">
        <f>'Q100a-geral'!AK2239</f>
        <v>62</v>
      </c>
      <c r="AL707" s="601" t="str">
        <f>'Q100a-geral'!AL2239</f>
        <v>x</v>
      </c>
      <c r="AM707" s="137" t="str">
        <f>'Q100a-geral'!AM2239</f>
        <v>x</v>
      </c>
      <c r="AN707" s="137" t="str">
        <f>'Q100a-geral'!AN2239</f>
        <v>x</v>
      </c>
      <c r="AO707" s="137" t="str">
        <f>'Q100a-geral'!AO2239</f>
        <v>x</v>
      </c>
      <c r="AP707" s="137" t="str">
        <f>'Q100a-geral'!AP2239</f>
        <v>x</v>
      </c>
      <c r="AQ707" s="137" t="str">
        <f>'Q100a-geral'!AQ2239</f>
        <v>x</v>
      </c>
      <c r="AR707" s="137" t="str">
        <f>'Q100a-geral'!AR2239</f>
        <v>x</v>
      </c>
      <c r="AS707" s="137" t="str">
        <f>'Q100a-geral'!AS2239</f>
        <v>x</v>
      </c>
      <c r="AT707" s="137" t="str">
        <f>'Q100a-geral'!AT2239</f>
        <v>x</v>
      </c>
      <c r="AU707" s="137" t="str">
        <f>'Q100a-geral'!AU2239</f>
        <v>x</v>
      </c>
      <c r="AV707" s="137" t="str">
        <f>'Q100a-geral'!AV2239</f>
        <v>x</v>
      </c>
      <c r="AW707" s="137" t="str">
        <f>'Q100a-geral'!AW2239</f>
        <v>x</v>
      </c>
      <c r="AX707" s="137" t="str">
        <f>'Q100a-geral'!AX2239</f>
        <v>x</v>
      </c>
      <c r="AY707" s="137" t="str">
        <f>'Q100a-geral'!AY2239</f>
        <v>x</v>
      </c>
      <c r="AZ707" s="137" t="str">
        <f>'Q100a-geral'!AZ2239</f>
        <v>x</v>
      </c>
      <c r="BA707" s="137" t="str">
        <f>'Q100a-geral'!BA2239</f>
        <v>x</v>
      </c>
      <c r="BB707" s="239" t="str">
        <f>'Q100a-geral'!BB2239</f>
        <v>Recursos humanosx</v>
      </c>
      <c r="BC707" s="239" t="str">
        <f>'Q100a-geral'!BC2239</f>
        <v>Recursos humanosxx</v>
      </c>
      <c r="BD707" s="239" t="str">
        <f>'Q100a-geral'!BD2239</f>
        <v>Recursos humanosx</v>
      </c>
    </row>
    <row r="708" spans="1:69" s="1" customFormat="1" ht="38.25" customHeight="1" x14ac:dyDescent="0.25">
      <c r="A708" s="275" t="str">
        <f>'Q100a-geral'!A2241</f>
        <v>3.5</v>
      </c>
      <c r="B708" s="54" t="str">
        <f>'Q100a-geral'!B2241</f>
        <v>Recursos humanos</v>
      </c>
      <c r="C708" s="230" t="str">
        <f>'Q100a-geral'!C2241</f>
        <v>x</v>
      </c>
      <c r="D708" s="336" t="str">
        <f>'Q100a-geral'!D2241</f>
        <v>RH nd</v>
      </c>
      <c r="E708" s="1349" t="str">
        <f>'Q100a-geral'!E2241</f>
        <v>Belo Horizonte
(BHTrans)</v>
      </c>
      <c r="F708" s="446" t="str">
        <f>'Q100a-geral'!F2241</f>
        <v>n.º de empregados não diretos (estagiários e terceirizados) da BHTrans
obs.1: resultados de 2006-2012  conforme BHTRANS(2012e); de 2013-2014 faltando; de 2015 conforme fórmula
obs.2: indicador operacional da BHTrans com o nome "número de empregados não diretos (estagiários e terceirizados" (BHTRANS, 2015d3)</v>
      </c>
      <c r="G708" s="188" t="str">
        <f>'Q100a-geral'!G2241</f>
        <v>registro da fonte
ou
RH e + RH t
(componente de RH)</v>
      </c>
      <c r="H708" s="173" t="str">
        <f>'Q100a-geral'!H2241</f>
        <v>x</v>
      </c>
      <c r="I708" s="57">
        <f>'Q100a-geral'!I2241</f>
        <v>1</v>
      </c>
      <c r="J708" s="11" t="str">
        <f>'Q100a-geral'!J2241</f>
        <v>x</v>
      </c>
      <c r="K708" s="93" t="e">
        <f>'Q100a-geral'!K2241</f>
        <v>#VALUE!</v>
      </c>
      <c r="L708" s="93" t="e">
        <f>'Q100a-geral'!L2241</f>
        <v>#VALUE!</v>
      </c>
      <c r="M708" s="93" t="e">
        <f>'Q100a-geral'!M2241</f>
        <v>#VALUE!</v>
      </c>
      <c r="N708" s="93" t="e">
        <f>'Q100a-geral'!N2241</f>
        <v>#VALUE!</v>
      </c>
      <c r="O708" s="93" t="e">
        <f>'Q100a-geral'!O2241</f>
        <v>#VALUE!</v>
      </c>
      <c r="P708" s="93" t="e">
        <f>'Q100a-geral'!P2241</f>
        <v>#VALUE!</v>
      </c>
      <c r="Q708" s="93" t="e">
        <f>'Q100a-geral'!Q2241</f>
        <v>#VALUE!</v>
      </c>
      <c r="R708" s="93" t="e">
        <f>'Q100a-geral'!R2241</f>
        <v>#VALUE!</v>
      </c>
      <c r="S708" s="107" t="str">
        <f>'Q100a-geral'!S2241</f>
        <v>só para pesquisa</v>
      </c>
      <c r="T708" s="93" t="e">
        <f>'Q100a-geral'!T2241</f>
        <v>#VALUE!</v>
      </c>
      <c r="U708" s="93" t="e">
        <f>'Q100a-geral'!U2241</f>
        <v>#VALUE!</v>
      </c>
      <c r="V708" s="107" t="str">
        <f>'Q100a-geral'!V2241</f>
        <v>só para pesquisa</v>
      </c>
      <c r="W708" s="93" t="e">
        <f>'Q100a-geral'!W2241</f>
        <v>#VALUE!</v>
      </c>
      <c r="X708" s="93" t="e">
        <f>'Q100a-geral'!X2241</f>
        <v>#VALUE!</v>
      </c>
      <c r="Y708" s="93" t="e">
        <f>'Q100a-geral'!Y2241</f>
        <v>#VALUE!</v>
      </c>
      <c r="Z708" s="93" t="e">
        <f>'Q100a-geral'!Z2241</f>
        <v>#VALUE!</v>
      </c>
      <c r="AA708" s="93" t="e">
        <f>'Q100a-geral'!AA2241</f>
        <v>#VALUE!</v>
      </c>
      <c r="AB708" s="87">
        <f>'Q100a-geral'!AB2241</f>
        <v>865</v>
      </c>
      <c r="AC708" s="87">
        <f>'Q100a-geral'!AC2241</f>
        <v>842</v>
      </c>
      <c r="AD708" s="87">
        <f>'Q100a-geral'!AD2241</f>
        <v>873</v>
      </c>
      <c r="AE708" s="87">
        <f>'Q100a-geral'!AE2241</f>
        <v>814</v>
      </c>
      <c r="AF708" s="87">
        <f>'Q100a-geral'!AF2241</f>
        <v>767</v>
      </c>
      <c r="AG708" s="87">
        <f>'Q100a-geral'!AG2241</f>
        <v>711</v>
      </c>
      <c r="AH708" s="87">
        <f>'Q100a-geral'!AH2241</f>
        <v>742</v>
      </c>
      <c r="AI708" s="999">
        <f>'Q100a-geral'!AI2241</f>
        <v>749</v>
      </c>
      <c r="AJ708" s="999">
        <f>'Q100a-geral'!AJ2241</f>
        <v>617</v>
      </c>
      <c r="AK708" s="84">
        <f>'Q100a-geral'!AK2241</f>
        <v>780</v>
      </c>
      <c r="AL708" s="215" t="str">
        <f>'Q100a-geral'!AL2241</f>
        <v>x</v>
      </c>
      <c r="AM708" s="137" t="str">
        <f>'Q100a-geral'!AM2241</f>
        <v>x</v>
      </c>
      <c r="AN708" s="137" t="str">
        <f>'Q100a-geral'!AN2241</f>
        <v>x</v>
      </c>
      <c r="AO708" s="137" t="str">
        <f>'Q100a-geral'!AO2241</f>
        <v>x</v>
      </c>
      <c r="AP708" s="137" t="str">
        <f>'Q100a-geral'!AP2241</f>
        <v>x</v>
      </c>
      <c r="AQ708" s="137" t="str">
        <f>'Q100a-geral'!AQ2241</f>
        <v>x</v>
      </c>
      <c r="AR708" s="137"/>
      <c r="AS708" s="137"/>
      <c r="AT708" s="137"/>
      <c r="AU708" s="137"/>
      <c r="AV708" s="137" t="str">
        <f>'Q100a-geral'!AV2241</f>
        <v>x</v>
      </c>
      <c r="AW708" s="137"/>
      <c r="AX708" s="137"/>
      <c r="AY708" s="137"/>
      <c r="AZ708" s="137"/>
      <c r="BA708" s="137" t="str">
        <f>'Q100a-geral'!BA2241</f>
        <v>x</v>
      </c>
      <c r="BB708" s="239" t="str">
        <f>'Q100a-geral'!BB2241</f>
        <v>Recursos humanosx</v>
      </c>
      <c r="BC708" s="239" t="str">
        <f>'Q100a-geral'!BC2241</f>
        <v>Recursos humanosxx</v>
      </c>
      <c r="BD708" s="239" t="str">
        <f>'Q100a-geral'!BD2241</f>
        <v>Recursos humanosx</v>
      </c>
    </row>
    <row r="709" spans="1:69" s="1" customFormat="1" ht="75" customHeight="1" x14ac:dyDescent="0.25">
      <c r="A709" s="275" t="str">
        <f>'Q100a-geral'!A2245</f>
        <v>3.5</v>
      </c>
      <c r="B709" s="54" t="str">
        <f>'Q100a-geral'!B2245</f>
        <v>Recursos humanos</v>
      </c>
      <c r="C709" s="230" t="str">
        <f>'Q100a-geral'!C2245</f>
        <v>x</v>
      </c>
      <c r="D709" s="1350" t="s">
        <v>4563</v>
      </c>
      <c r="E709" s="1348" t="str">
        <f>'Q100a-geral'!E2245</f>
        <v>Belo Horizonte
(BHTrans)</v>
      </c>
      <c r="F709" s="447" t="str">
        <f>'Q100a-geral'!F2245</f>
        <v>n.º de empregados diretos não concursados ocupando cargo de confiança na BHTrans
obs.1: os empregados não concursados só podem ocupar os chamados cargos de recrutamento amplo
obs.2: resultados de 2006 a 2012 conforme BHTRANS(2012e); de 2013 conforme BHTRANS(2014j); de 2014 conforme BHTRANS(2015r3); de 2015 conforme BHTRANS(2016s2, p.20)
obs.3: indicador operacional da BHTrans com o nome "número de empregados não concursados em cargo de confiança" (BHTRANS, 2015d3)</v>
      </c>
      <c r="G709" s="14" t="str">
        <f>'Q100a-geral'!G2245</f>
        <v>registro da fonte (componente de RH dr)</v>
      </c>
      <c r="H709" s="173" t="str">
        <f>'Q100a-geral'!H2245</f>
        <v>x</v>
      </c>
      <c r="I709" s="57">
        <f>'Q100a-geral'!I2245</f>
        <v>1</v>
      </c>
      <c r="J709" s="11" t="str">
        <f>'Q100a-geral'!J2245</f>
        <v>x</v>
      </c>
      <c r="K709" s="93" t="str">
        <f>'Q100a-geral'!K2245</f>
        <v>buscar</v>
      </c>
      <c r="L709" s="93" t="str">
        <f>'Q100a-geral'!L2245</f>
        <v>buscar</v>
      </c>
      <c r="M709" s="93" t="str">
        <f>'Q100a-geral'!M2245</f>
        <v>buscar</v>
      </c>
      <c r="N709" s="93" t="str">
        <f>'Q100a-geral'!N2245</f>
        <v>buscar</v>
      </c>
      <c r="O709" s="93" t="str">
        <f>'Q100a-geral'!O2245</f>
        <v>buscar</v>
      </c>
      <c r="P709" s="93" t="str">
        <f>'Q100a-geral'!P2245</f>
        <v>buscar</v>
      </c>
      <c r="Q709" s="93" t="str">
        <f>'Q100a-geral'!Q2245</f>
        <v>buscar</v>
      </c>
      <c r="R709" s="93" t="str">
        <f>'Q100a-geral'!R2245</f>
        <v>buscar</v>
      </c>
      <c r="S709" s="107" t="str">
        <f>'Q100a-geral'!S2245</f>
        <v>só para pesquisa</v>
      </c>
      <c r="T709" s="93" t="str">
        <f>'Q100a-geral'!T2245</f>
        <v>buscar</v>
      </c>
      <c r="U709" s="93" t="str">
        <f>'Q100a-geral'!U2245</f>
        <v>buscar</v>
      </c>
      <c r="V709" s="107" t="str">
        <f>'Q100a-geral'!V2245</f>
        <v>só para pesquisa</v>
      </c>
      <c r="W709" s="93" t="str">
        <f>'Q100a-geral'!W2245</f>
        <v>buscar</v>
      </c>
      <c r="X709" s="93" t="str">
        <f>'Q100a-geral'!X2245</f>
        <v>buscar</v>
      </c>
      <c r="Y709" s="93" t="str">
        <f>'Q100a-geral'!Y2245</f>
        <v>buscar</v>
      </c>
      <c r="Z709" s="93" t="str">
        <f>'Q100a-geral'!Z2245</f>
        <v>buscar</v>
      </c>
      <c r="AA709" s="93" t="str">
        <f>'Q100a-geral'!AA2245</f>
        <v>buscar</v>
      </c>
      <c r="AB709" s="87">
        <f>'Q100a-geral'!AB2245</f>
        <v>39</v>
      </c>
      <c r="AC709" s="87">
        <f>'Q100a-geral'!AC2245</f>
        <v>38</v>
      </c>
      <c r="AD709" s="87">
        <f>'Q100a-geral'!AD2245</f>
        <v>31</v>
      </c>
      <c r="AE709" s="87">
        <f>'Q100a-geral'!AE2245</f>
        <v>37</v>
      </c>
      <c r="AF709" s="87">
        <f>'Q100a-geral'!AF2245</f>
        <v>36</v>
      </c>
      <c r="AG709" s="87">
        <f>'Q100a-geral'!AG2245</f>
        <v>37</v>
      </c>
      <c r="AH709" s="87">
        <f>'Q100a-geral'!AH2245</f>
        <v>38</v>
      </c>
      <c r="AI709" s="999">
        <f>'Q100a-geral'!AI2245</f>
        <v>35</v>
      </c>
      <c r="AJ709" s="999">
        <f>'Q100a-geral'!AJ2245</f>
        <v>39</v>
      </c>
      <c r="AK709" s="84">
        <f>'Q100a-geral'!AK2245</f>
        <v>41</v>
      </c>
      <c r="AL709" s="215" t="str">
        <f>'Q100a-geral'!AL2245</f>
        <v>x</v>
      </c>
      <c r="AM709" s="137" t="str">
        <f>'Q100a-geral'!AM2245</f>
        <v>x</v>
      </c>
      <c r="AN709" s="137" t="str">
        <f>'Q100a-geral'!AN2245</f>
        <v>x</v>
      </c>
      <c r="AO709" s="137" t="str">
        <f>'Q100a-geral'!AO2245</f>
        <v>x</v>
      </c>
      <c r="AP709" s="137" t="str">
        <f>'Q100a-geral'!AP2245</f>
        <v>x</v>
      </c>
      <c r="AQ709" s="137" t="str">
        <f>'Q100a-geral'!AQ2245</f>
        <v>x</v>
      </c>
      <c r="AR709" s="137"/>
      <c r="AS709" s="137"/>
      <c r="AT709" s="137"/>
      <c r="AU709" s="137"/>
      <c r="AV709" s="137" t="str">
        <f>'Q100a-geral'!AV2245</f>
        <v>x</v>
      </c>
      <c r="AW709" s="137"/>
      <c r="AX709" s="137"/>
      <c r="AY709" s="137"/>
      <c r="AZ709" s="137"/>
      <c r="BA709" s="137" t="str">
        <f>'Q100a-geral'!BA2245</f>
        <v>x</v>
      </c>
      <c r="BB709" s="239" t="str">
        <f>'Q100a-geral'!BB2245</f>
        <v>Recursos humanosx</v>
      </c>
      <c r="BC709" s="239" t="str">
        <f>'Q100a-geral'!BC2245</f>
        <v>Recursos humanosxx</v>
      </c>
      <c r="BD709" s="239" t="str">
        <f>'Q100a-geral'!BD2245</f>
        <v>Recursos humanosx</v>
      </c>
    </row>
    <row r="710" spans="1:69" s="1" customFormat="1" ht="96.75" customHeight="1" x14ac:dyDescent="0.25">
      <c r="A710" s="275" t="str">
        <f>'Q100a-geral'!A2249</f>
        <v>3.5</v>
      </c>
      <c r="B710" s="1172" t="str">
        <f>'Q100a-geral'!B2249</f>
        <v>Recursos humanos</v>
      </c>
      <c r="C710" s="230" t="str">
        <f>'Q100a-geral'!C2249</f>
        <v>x</v>
      </c>
      <c r="D710" s="1352" t="s">
        <v>4561</v>
      </c>
      <c r="E710" s="488" t="str">
        <f>'Q100a-geral'!E2249</f>
        <v>Belo Horizonte
(BHTrans)</v>
      </c>
      <c r="F710" s="188" t="str">
        <f>'Q100a-geral'!F2249</f>
        <v>n.º de empregados terceirizados da BHTrans
obs.: resultados de 1992-2014 (buscar em cada relatório)
obs.: resultados de 2013 conforme BHTRANS(2014j4, p.7); 2014 conforme BHTRANS(2015r2, p.7); de 2015 conforme BHTRANS(2016s, p.7), sempre como resultado de Assprom+Aprendizes+APPA+CincoEstrelas+Conservo+Essencial no mês de dezembro</v>
      </c>
      <c r="G710" s="409" t="str">
        <f>'Q100a-geral'!G2249</f>
        <v>registro da fonte (componente de
 RH nd)</v>
      </c>
      <c r="H710" s="167" t="str">
        <f>'Q100a-geral'!H2249</f>
        <v>x</v>
      </c>
      <c r="I710" s="57">
        <f>'Q100a-geral'!I2249</f>
        <v>1</v>
      </c>
      <c r="J710" s="107" t="str">
        <f>'Q100a-geral'!J2249</f>
        <v>x</v>
      </c>
      <c r="K710" s="622" t="str">
        <f>'Q100a-geral'!K2249</f>
        <v>buscar</v>
      </c>
      <c r="L710" s="622" t="str">
        <f>'Q100a-geral'!L2249</f>
        <v>buscar</v>
      </c>
      <c r="M710" s="622" t="str">
        <f>'Q100a-geral'!M2249</f>
        <v>buscar</v>
      </c>
      <c r="N710" s="622" t="str">
        <f>'Q100a-geral'!N2249</f>
        <v>buscar</v>
      </c>
      <c r="O710" s="622" t="str">
        <f>'Q100a-geral'!O2249</f>
        <v>buscar</v>
      </c>
      <c r="P710" s="622" t="str">
        <f>'Q100a-geral'!P2249</f>
        <v>buscar</v>
      </c>
      <c r="Q710" s="622" t="str">
        <f>'Q100a-geral'!Q2249</f>
        <v>buscar</v>
      </c>
      <c r="R710" s="622" t="str">
        <f>'Q100a-geral'!R2249</f>
        <v>buscar</v>
      </c>
      <c r="S710" s="109" t="str">
        <f>'Q100a-geral'!S2249</f>
        <v>só para pesquisa</v>
      </c>
      <c r="T710" s="622" t="str">
        <f>'Q100a-geral'!T2249</f>
        <v>buscar</v>
      </c>
      <c r="U710" s="622" t="str">
        <f>'Q100a-geral'!U2249</f>
        <v>buscar</v>
      </c>
      <c r="V710" s="109" t="str">
        <f>'Q100a-geral'!V2249</f>
        <v>só para pesquisa</v>
      </c>
      <c r="W710" s="622" t="str">
        <f>'Q100a-geral'!W2249</f>
        <v>buscar</v>
      </c>
      <c r="X710" s="622" t="str">
        <f>'Q100a-geral'!X2249</f>
        <v>buscar</v>
      </c>
      <c r="Y710" s="622" t="str">
        <f>'Q100a-geral'!Y2249</f>
        <v>buscar</v>
      </c>
      <c r="Z710" s="622" t="str">
        <f>'Q100a-geral'!Z2249</f>
        <v>buscar</v>
      </c>
      <c r="AA710" s="622" t="str">
        <f>'Q100a-geral'!AA2249</f>
        <v>buscar</v>
      </c>
      <c r="AB710" s="622" t="str">
        <f>'Q100a-geral'!AB2249</f>
        <v>buscar</v>
      </c>
      <c r="AC710" s="622" t="str">
        <f>'Q100a-geral'!AC2249</f>
        <v>buscar</v>
      </c>
      <c r="AD710" s="622" t="str">
        <f>'Q100a-geral'!AD2249</f>
        <v>buscar</v>
      </c>
      <c r="AE710" s="622" t="str">
        <f>'Q100a-geral'!AE2249</f>
        <v>buscar</v>
      </c>
      <c r="AF710" s="622" t="str">
        <f>'Q100a-geral'!AF2249</f>
        <v>buscar</v>
      </c>
      <c r="AG710" s="622" t="str">
        <f>'Q100a-geral'!AG2249</f>
        <v>buscar</v>
      </c>
      <c r="AH710" s="622">
        <f>'Q100a-geral'!AH2249</f>
        <v>646</v>
      </c>
      <c r="AI710" s="622">
        <f>'Q100a-geral'!AI2249</f>
        <v>647</v>
      </c>
      <c r="AJ710" s="622">
        <f>'Q100a-geral'!AJ2249</f>
        <v>519</v>
      </c>
      <c r="AK710" s="87">
        <f>'Q100a-geral'!AK2249</f>
        <v>718</v>
      </c>
      <c r="AL710" s="601" t="str">
        <f>'Q100a-geral'!AL2249</f>
        <v>x</v>
      </c>
      <c r="AM710" s="137" t="str">
        <f>'Q100a-geral'!AM2249</f>
        <v>x</v>
      </c>
      <c r="AN710" s="137" t="str">
        <f>'Q100a-geral'!AN2249</f>
        <v>x</v>
      </c>
      <c r="AO710" s="137" t="str">
        <f>'Q100a-geral'!AO2249</f>
        <v>x</v>
      </c>
      <c r="AP710" s="137" t="str">
        <f>'Q100a-geral'!AP2249</f>
        <v>x</v>
      </c>
      <c r="AQ710" s="137" t="str">
        <f>'Q100a-geral'!AQ2249</f>
        <v>x</v>
      </c>
      <c r="AR710" s="137" t="str">
        <f>'Q100a-geral'!AR2249</f>
        <v>x</v>
      </c>
      <c r="AS710" s="137" t="str">
        <f>'Q100a-geral'!AS2249</f>
        <v>x</v>
      </c>
      <c r="AT710" s="137" t="str">
        <f>'Q100a-geral'!AT2249</f>
        <v>x</v>
      </c>
      <c r="AU710" s="137" t="str">
        <f>'Q100a-geral'!AU2249</f>
        <v>x</v>
      </c>
      <c r="AV710" s="137" t="str">
        <f>'Q100a-geral'!AV2249</f>
        <v>x</v>
      </c>
      <c r="AW710" s="137" t="str">
        <f>'Q100a-geral'!AW2249</f>
        <v>x</v>
      </c>
      <c r="AX710" s="137" t="str">
        <f>'Q100a-geral'!AX2249</f>
        <v>x</v>
      </c>
      <c r="AY710" s="137" t="str">
        <f>'Q100a-geral'!AY2249</f>
        <v>x</v>
      </c>
      <c r="AZ710" s="137" t="str">
        <f>'Q100a-geral'!AZ2249</f>
        <v>x</v>
      </c>
      <c r="BA710" s="137" t="str">
        <f>'Q100a-geral'!BA2249</f>
        <v>x</v>
      </c>
      <c r="BB710" s="239" t="str">
        <f>'Q100a-geral'!BB2249</f>
        <v>Recursos humanosx</v>
      </c>
      <c r="BC710" s="239" t="str">
        <f>'Q100a-geral'!BC2249</f>
        <v>Recursos humanosxx</v>
      </c>
      <c r="BD710" s="239" t="str">
        <f>'Q100a-geral'!BD2249</f>
        <v>Recursos humanosx</v>
      </c>
    </row>
    <row r="711" spans="1:69" ht="38.25" customHeight="1" x14ac:dyDescent="0.25">
      <c r="A711" s="275" t="str">
        <f>'Q100a-geral'!A2257</f>
        <v>9.2</v>
      </c>
      <c r="B711" s="53" t="str">
        <f>'Q100a-geral'!B2257</f>
        <v>Estacionamento</v>
      </c>
      <c r="C711" s="229" t="str">
        <f>'Q100a-geral'!C2257</f>
        <v>acessibilidade</v>
      </c>
      <c r="D711" s="336" t="str">
        <f>'Q100a-geral'!D2257</f>
        <v>RL vfd</v>
      </c>
      <c r="E711" s="355" t="str">
        <f>'Q100a-geral'!E2257</f>
        <v>Belo Horizonte</v>
      </c>
      <c r="F711" s="492" t="str">
        <f>'Q100a-geral'!F2257</f>
        <v>n.º total de vagas físicas (rotativas e livres) de estacionamento reservado para pessoa com deficiência em Belo Horizonte
obs.: "Em set/2002 já estavam implantadas 100 vagas para pessoas com deficiência" conforme BHTRANS(2016z2)</v>
      </c>
      <c r="G711" s="17" t="str">
        <f>'Q100a-geral'!G2257</f>
        <v>RT vfd + EL vfd</v>
      </c>
      <c r="H711" s="168" t="str">
        <f>'Q100a-geral'!H2257</f>
        <v>x</v>
      </c>
      <c r="I711" s="57">
        <f>'Q100a-geral'!I2257</f>
        <v>1</v>
      </c>
      <c r="J711" s="107" t="str">
        <f>'Q100a-geral'!J2257</f>
        <v>x</v>
      </c>
      <c r="K711" s="137" t="str">
        <f>'Q100a-geral'!K2257</f>
        <v>x</v>
      </c>
      <c r="L711" s="137" t="str">
        <f>'Q100a-geral'!L2257</f>
        <v>x</v>
      </c>
      <c r="M711" s="137" t="str">
        <f>'Q100a-geral'!M2257</f>
        <v>x</v>
      </c>
      <c r="N711" s="137" t="str">
        <f>'Q100a-geral'!N2257</f>
        <v>x</v>
      </c>
      <c r="O711" s="137" t="str">
        <f>'Q100a-geral'!O2257</f>
        <v>x</v>
      </c>
      <c r="P711" s="137" t="str">
        <f>'Q100a-geral'!P2257</f>
        <v>x</v>
      </c>
      <c r="Q711" s="137" t="str">
        <f>'Q100a-geral'!Q2257</f>
        <v>x</v>
      </c>
      <c r="R711" s="137" t="str">
        <f>'Q100a-geral'!R2257</f>
        <v>x</v>
      </c>
      <c r="S711" s="649" t="str">
        <f>'Q100a-geral'!S2257</f>
        <v>só para pesquisa</v>
      </c>
      <c r="T711" s="137" t="str">
        <f>'Q100a-geral'!T2257</f>
        <v>x</v>
      </c>
      <c r="U711" s="137" t="str">
        <f>'Q100a-geral'!U2257</f>
        <v>x</v>
      </c>
      <c r="V711" s="107" t="str">
        <f>'Q100a-geral'!V2257</f>
        <v>só para pesquisa</v>
      </c>
      <c r="W711" s="23" t="str">
        <f>'Q100a-geral'!W2257</f>
        <v>x</v>
      </c>
      <c r="X711" s="23">
        <f>'Q100a-geral'!X2257</f>
        <v>147</v>
      </c>
      <c r="Y711" s="23">
        <f>'Q100a-geral'!Y2257</f>
        <v>343</v>
      </c>
      <c r="Z711" s="23">
        <f>'Q100a-geral'!Z2257</f>
        <v>512</v>
      </c>
      <c r="AA711" s="23">
        <f>'Q100a-geral'!AA2257</f>
        <v>532</v>
      </c>
      <c r="AB711" s="23">
        <f>'Q100a-geral'!AB2257</f>
        <v>534</v>
      </c>
      <c r="AC711" s="23">
        <f>'Q100a-geral'!AC2257</f>
        <v>546</v>
      </c>
      <c r="AD711" s="23">
        <f>'Q100a-geral'!AD2257</f>
        <v>553</v>
      </c>
      <c r="AE711" s="23">
        <f>'Q100a-geral'!AE2257</f>
        <v>576</v>
      </c>
      <c r="AF711" s="23">
        <f>'Q100a-geral'!AF2257</f>
        <v>609</v>
      </c>
      <c r="AG711" s="23">
        <f>'Q100a-geral'!AG2257</f>
        <v>650</v>
      </c>
      <c r="AH711" s="23">
        <f>'Q100a-geral'!AH2257</f>
        <v>703</v>
      </c>
      <c r="AI711" s="23">
        <f>'Q100a-geral'!AI2257</f>
        <v>732</v>
      </c>
      <c r="AJ711" s="23">
        <f>'Q100a-geral'!AJ2257</f>
        <v>774</v>
      </c>
      <c r="AK711" s="23">
        <f>'Q100a-geral'!AK2257</f>
        <v>840</v>
      </c>
      <c r="AL711" s="212" t="str">
        <f>'Q100a-geral'!AL2257</f>
        <v>x</v>
      </c>
      <c r="AM711" s="137" t="str">
        <f>'Q100a-geral'!AM2257</f>
        <v>x</v>
      </c>
      <c r="AN711" s="137" t="str">
        <f>'Q100a-geral'!AN2257</f>
        <v>x</v>
      </c>
      <c r="AO711" s="137" t="str">
        <f>'Q100a-geral'!AO2257</f>
        <v>x</v>
      </c>
      <c r="AP711" s="137" t="str">
        <f>'Q100a-geral'!AP2257</f>
        <v>x</v>
      </c>
      <c r="AQ711" s="137" t="str">
        <f>'Q100a-geral'!AQ2257</f>
        <v>x</v>
      </c>
      <c r="AR711" s="137"/>
      <c r="AS711" s="137"/>
      <c r="AT711" s="137"/>
      <c r="AU711" s="137"/>
      <c r="AV711" s="137" t="str">
        <f>'Q100a-geral'!AV2257</f>
        <v>x</v>
      </c>
      <c r="AW711" s="137"/>
      <c r="AX711" s="137"/>
      <c r="AY711" s="137"/>
      <c r="AZ711" s="137"/>
      <c r="BA711" s="137" t="str">
        <f>'Q100a-geral'!BA2257</f>
        <v>x</v>
      </c>
      <c r="BB711" s="239" t="str">
        <f>'Q100a-geral'!BB2257</f>
        <v>Estacionamentoacessibilidade</v>
      </c>
      <c r="BC711" s="239" t="str">
        <f>'Q100a-geral'!BC2257</f>
        <v>Estacionamentoacessibilidadex</v>
      </c>
      <c r="BD711" s="239" t="str">
        <f>'Q100a-geral'!BD2257</f>
        <v>Estacionamentox</v>
      </c>
    </row>
    <row r="712" spans="1:69" ht="38.25" customHeight="1" x14ac:dyDescent="0.25">
      <c r="A712" s="275" t="str">
        <f>'Q100a-geral'!A2259</f>
        <v>9.2</v>
      </c>
      <c r="B712" s="53" t="str">
        <f>'Q100a-geral'!B2259</f>
        <v>Estacionamento</v>
      </c>
      <c r="C712" s="229" t="str">
        <f>'Q100a-geral'!C2259</f>
        <v>acessibilidade</v>
      </c>
      <c r="D712" s="336" t="str">
        <f>'Q100a-geral'!D2259</f>
        <v>RL vfi</v>
      </c>
      <c r="E712" s="355" t="str">
        <f>'Q100a-geral'!E2259</f>
        <v>Belo Horizonte</v>
      </c>
      <c r="F712" s="492" t="str">
        <f>'Q100a-geral'!F2259</f>
        <v>n.º total de vagas físicas (rotativas e livres) reservadas para idoso
obs.: "As primeiras vagas de Idosos foram implantadas em nov/2009" conforme BHTRANS(2016z2)</v>
      </c>
      <c r="G712" s="17" t="str">
        <f>'Q100a-geral'!G2259</f>
        <v>RT vfi + EL vfi</v>
      </c>
      <c r="H712" s="168" t="str">
        <f>'Q100a-geral'!H2259</f>
        <v>x</v>
      </c>
      <c r="I712" s="57">
        <f>'Q100a-geral'!I2259</f>
        <v>1</v>
      </c>
      <c r="J712" s="107" t="str">
        <f>'Q100a-geral'!J2259</f>
        <v>x</v>
      </c>
      <c r="K712" s="137" t="str">
        <f>'Q100a-geral'!K2259</f>
        <v>x</v>
      </c>
      <c r="L712" s="137" t="str">
        <f>'Q100a-geral'!L2259</f>
        <v>x</v>
      </c>
      <c r="M712" s="137" t="str">
        <f>'Q100a-geral'!M2259</f>
        <v>x</v>
      </c>
      <c r="N712" s="137" t="str">
        <f>'Q100a-geral'!N2259</f>
        <v>x</v>
      </c>
      <c r="O712" s="137" t="str">
        <f>'Q100a-geral'!O2259</f>
        <v>x</v>
      </c>
      <c r="P712" s="137" t="str">
        <f>'Q100a-geral'!P2259</f>
        <v>x</v>
      </c>
      <c r="Q712" s="137" t="str">
        <f>'Q100a-geral'!Q2259</f>
        <v>x</v>
      </c>
      <c r="R712" s="137" t="str">
        <f>'Q100a-geral'!R2259</f>
        <v>x</v>
      </c>
      <c r="S712" s="649" t="str">
        <f>'Q100a-geral'!S2259</f>
        <v>só para pesquisa</v>
      </c>
      <c r="T712" s="137" t="str">
        <f>'Q100a-geral'!T2259</f>
        <v>x</v>
      </c>
      <c r="U712" s="137" t="str">
        <f>'Q100a-geral'!U2259</f>
        <v>x</v>
      </c>
      <c r="V712" s="107" t="str">
        <f>'Q100a-geral'!V2259</f>
        <v>só para pesquisa</v>
      </c>
      <c r="W712" s="23" t="str">
        <f>'Q100a-geral'!W2259</f>
        <v>x</v>
      </c>
      <c r="X712" s="23">
        <f>'Q100a-geral'!X2259</f>
        <v>0</v>
      </c>
      <c r="Y712" s="23">
        <f>'Q100a-geral'!Y2259</f>
        <v>0</v>
      </c>
      <c r="Z712" s="23">
        <f>'Q100a-geral'!Z2259</f>
        <v>0</v>
      </c>
      <c r="AA712" s="23">
        <f>'Q100a-geral'!AA2259</f>
        <v>0</v>
      </c>
      <c r="AB712" s="23">
        <f>'Q100a-geral'!AB2259</f>
        <v>0</v>
      </c>
      <c r="AC712" s="23">
        <f>'Q100a-geral'!AC2259</f>
        <v>0</v>
      </c>
      <c r="AD712" s="23">
        <f>'Q100a-geral'!AD2259</f>
        <v>0</v>
      </c>
      <c r="AE712" s="23">
        <f>'Q100a-geral'!AE2259</f>
        <v>55</v>
      </c>
      <c r="AF712" s="23">
        <f>'Q100a-geral'!AF2259</f>
        <v>105</v>
      </c>
      <c r="AG712" s="23">
        <f>'Q100a-geral'!AG2259</f>
        <v>137</v>
      </c>
      <c r="AH712" s="23">
        <f>'Q100a-geral'!AH2259</f>
        <v>167</v>
      </c>
      <c r="AI712" s="23">
        <f>'Q100a-geral'!AI2259</f>
        <v>176</v>
      </c>
      <c r="AJ712" s="23">
        <f>'Q100a-geral'!AJ2259</f>
        <v>247</v>
      </c>
      <c r="AK712" s="23">
        <f>'Q100a-geral'!AK2259</f>
        <v>450</v>
      </c>
      <c r="AL712" s="212" t="str">
        <f>'Q100a-geral'!AL2259</f>
        <v>x</v>
      </c>
      <c r="AM712" s="137" t="str">
        <f>'Q100a-geral'!AM2259</f>
        <v>x</v>
      </c>
      <c r="AN712" s="137" t="str">
        <f>'Q100a-geral'!AN2259</f>
        <v>x</v>
      </c>
      <c r="AO712" s="137" t="str">
        <f>'Q100a-geral'!AO2259</f>
        <v>x</v>
      </c>
      <c r="AP712" s="137" t="str">
        <f>'Q100a-geral'!AP2259</f>
        <v>x</v>
      </c>
      <c r="AQ712" s="137" t="str">
        <f>'Q100a-geral'!AQ2259</f>
        <v>x</v>
      </c>
      <c r="AR712" s="137"/>
      <c r="AS712" s="137"/>
      <c r="AT712" s="137"/>
      <c r="AU712" s="137"/>
      <c r="AV712" s="137" t="str">
        <f>'Q100a-geral'!AV2259</f>
        <v>x</v>
      </c>
      <c r="AW712" s="137"/>
      <c r="AX712" s="137"/>
      <c r="AY712" s="137"/>
      <c r="AZ712" s="137"/>
      <c r="BA712" s="137" t="str">
        <f>'Q100a-geral'!BA2259</f>
        <v>x</v>
      </c>
      <c r="BB712" s="239" t="str">
        <f>'Q100a-geral'!BB2259</f>
        <v>Estacionamentoacessibilidade</v>
      </c>
      <c r="BC712" s="239" t="str">
        <f>'Q100a-geral'!BC2259</f>
        <v>Estacionamentoacessibilidadex</v>
      </c>
      <c r="BD712" s="239" t="str">
        <f>'Q100a-geral'!BD2259</f>
        <v>Estacionamentox</v>
      </c>
    </row>
    <row r="713" spans="1:69" ht="38.25" customHeight="1" x14ac:dyDescent="0.25">
      <c r="A713" s="275" t="str">
        <f>'Q100a-geral'!A2260</f>
        <v>9.2</v>
      </c>
      <c r="B713" s="53" t="str">
        <f>'Q100a-geral'!B2260</f>
        <v>Estacionamento</v>
      </c>
      <c r="C713" s="229" t="str">
        <f>'Q100a-geral'!C2260</f>
        <v>acessibilidade</v>
      </c>
      <c r="D713" s="336" t="str">
        <f>'Q100a-geral'!D2260</f>
        <v>RL vfdi</v>
      </c>
      <c r="E713" s="355" t="str">
        <f>'Q100a-geral'!E2260</f>
        <v>Belo Horizonte</v>
      </c>
      <c r="F713" s="492" t="str">
        <f>'Q100a-geral'!F2260</f>
        <v xml:space="preserve">n.º total de vagas físicas (rotativas e livres) reservadas para inclusão, ou seja, para idoso ou para pessoa com deficiência </v>
      </c>
      <c r="G713" s="17" t="str">
        <f>'Q100a-geral'!G2260</f>
        <v>RL vfd + RL vfi</v>
      </c>
      <c r="H713" s="168" t="str">
        <f>'Q100a-geral'!H2260</f>
        <v>x</v>
      </c>
      <c r="I713" s="57">
        <f>'Q100a-geral'!I2260</f>
        <v>1</v>
      </c>
      <c r="J713" s="107" t="str">
        <f>'Q100a-geral'!J2260</f>
        <v>x</v>
      </c>
      <c r="K713" s="137" t="str">
        <f>'Q100a-geral'!K2260</f>
        <v>x</v>
      </c>
      <c r="L713" s="137" t="str">
        <f>'Q100a-geral'!L2260</f>
        <v>x</v>
      </c>
      <c r="M713" s="137" t="str">
        <f>'Q100a-geral'!M2260</f>
        <v>x</v>
      </c>
      <c r="N713" s="137" t="str">
        <f>'Q100a-geral'!N2260</f>
        <v>x</v>
      </c>
      <c r="O713" s="137" t="str">
        <f>'Q100a-geral'!O2260</f>
        <v>x</v>
      </c>
      <c r="P713" s="137" t="str">
        <f>'Q100a-geral'!P2260</f>
        <v>x</v>
      </c>
      <c r="Q713" s="137" t="str">
        <f>'Q100a-geral'!Q2260</f>
        <v>x</v>
      </c>
      <c r="R713" s="137" t="str">
        <f>'Q100a-geral'!R2260</f>
        <v>x</v>
      </c>
      <c r="S713" s="649" t="str">
        <f>'Q100a-geral'!S2260</f>
        <v>só para pesquisa</v>
      </c>
      <c r="T713" s="137" t="str">
        <f>'Q100a-geral'!T2260</f>
        <v>x</v>
      </c>
      <c r="U713" s="137" t="str">
        <f>'Q100a-geral'!U2260</f>
        <v>x</v>
      </c>
      <c r="V713" s="107" t="str">
        <f>'Q100a-geral'!V2260</f>
        <v>só para pesquisa</v>
      </c>
      <c r="W713" s="23" t="str">
        <f>'Q100a-geral'!W2260</f>
        <v>x</v>
      </c>
      <c r="X713" s="23">
        <f>'Q100a-geral'!X2260</f>
        <v>147</v>
      </c>
      <c r="Y713" s="23">
        <f>'Q100a-geral'!Y2260</f>
        <v>343</v>
      </c>
      <c r="Z713" s="23">
        <f>'Q100a-geral'!Z2260</f>
        <v>512</v>
      </c>
      <c r="AA713" s="23">
        <f>'Q100a-geral'!AA2260</f>
        <v>532</v>
      </c>
      <c r="AB713" s="23">
        <f>'Q100a-geral'!AB2260</f>
        <v>534</v>
      </c>
      <c r="AC713" s="23">
        <f>'Q100a-geral'!AC2260</f>
        <v>546</v>
      </c>
      <c r="AD713" s="23">
        <f>'Q100a-geral'!AD2260</f>
        <v>553</v>
      </c>
      <c r="AE713" s="23">
        <f>'Q100a-geral'!AE2260</f>
        <v>631</v>
      </c>
      <c r="AF713" s="23">
        <f>'Q100a-geral'!AF2260</f>
        <v>714</v>
      </c>
      <c r="AG713" s="23">
        <f>'Q100a-geral'!AG2260</f>
        <v>787</v>
      </c>
      <c r="AH713" s="23">
        <f>'Q100a-geral'!AH2260</f>
        <v>870</v>
      </c>
      <c r="AI713" s="23">
        <f>'Q100a-geral'!AI2260</f>
        <v>908</v>
      </c>
      <c r="AJ713" s="20">
        <f>'Q100a-geral'!AJ2260</f>
        <v>1021</v>
      </c>
      <c r="AK713" s="20">
        <f>'Q100a-geral'!AK2260</f>
        <v>1290</v>
      </c>
      <c r="AL713" s="212" t="str">
        <f>'Q100a-geral'!AL2260</f>
        <v>x</v>
      </c>
      <c r="AM713" s="137" t="str">
        <f>'Q100a-geral'!AM2260</f>
        <v>x</v>
      </c>
      <c r="AN713" s="137" t="str">
        <f>'Q100a-geral'!AN2260</f>
        <v>x</v>
      </c>
      <c r="AO713" s="137" t="str">
        <f>'Q100a-geral'!AO2260</f>
        <v>x</v>
      </c>
      <c r="AP713" s="137" t="str">
        <f>'Q100a-geral'!AP2260</f>
        <v>x</v>
      </c>
      <c r="AQ713" s="137" t="str">
        <f>'Q100a-geral'!AQ2260</f>
        <v>x</v>
      </c>
      <c r="AR713" s="137"/>
      <c r="AS713" s="137"/>
      <c r="AT713" s="137"/>
      <c r="AU713" s="137"/>
      <c r="AV713" s="137" t="str">
        <f>'Q100a-geral'!AV2260</f>
        <v>x</v>
      </c>
      <c r="AW713" s="137"/>
      <c r="AX713" s="137"/>
      <c r="AY713" s="137"/>
      <c r="AZ713" s="137"/>
      <c r="BA713" s="137" t="str">
        <f>'Q100a-geral'!BA2260</f>
        <v>x</v>
      </c>
      <c r="BB713" s="239" t="str">
        <f>'Q100a-geral'!BB2260</f>
        <v>Estacionamentoacessibilidade</v>
      </c>
      <c r="BC713" s="239" t="str">
        <f>'Q100a-geral'!BC2260</f>
        <v>Estacionamentoacessibilidadex</v>
      </c>
      <c r="BD713" s="239" t="str">
        <f>'Q100a-geral'!BD2260</f>
        <v>Estacionamentox</v>
      </c>
    </row>
    <row r="714" spans="1:69" s="274" customFormat="1" ht="89.25" customHeight="1" x14ac:dyDescent="0.25">
      <c r="A714" s="262" t="str">
        <f>'Q100a-geral'!A2268</f>
        <v>x</v>
      </c>
      <c r="B714" s="252" t="str">
        <f>'Q100a-geral'!B2268</f>
        <v>geral</v>
      </c>
      <c r="C714" s="167" t="str">
        <f>'Q100a-geral'!C2268</f>
        <v>x</v>
      </c>
      <c r="D714" s="31" t="str">
        <f>'Q100a-geral'!D2268</f>
        <v>RPI</v>
      </c>
      <c r="E714" s="13" t="str">
        <f>'Q100a-geral'!E2268</f>
        <v>x</v>
      </c>
      <c r="F714" s="449" t="str">
        <f>'Q100a-geral'!F2268</f>
        <v>Requisito de parte interessada RPI 
obs.: RPI é uma "Tradução mensurável de necessidade ou expectativa, implícita ou explícita, de parte interessada” conforme PNQ(2013) citado por ANTP(2013b, p.99)</v>
      </c>
      <c r="G714" s="252" t="str">
        <f>'Q100a-geral'!G2268</f>
        <v>verbete
MFO</v>
      </c>
      <c r="H714" s="171" t="str">
        <f>'Q100a-geral'!H2268</f>
        <v>sigla/verbete</v>
      </c>
      <c r="I714" s="171" t="str">
        <f>'Q100a-geral'!I2268</f>
        <v>x</v>
      </c>
      <c r="J714" s="77" t="str">
        <f>'Q100a-geral'!J2268</f>
        <v>x</v>
      </c>
      <c r="K714" s="77" t="str">
        <f>'Q100a-geral'!K2268</f>
        <v>x</v>
      </c>
      <c r="L714" s="77" t="str">
        <f>'Q100a-geral'!L2268</f>
        <v>x</v>
      </c>
      <c r="M714" s="77" t="str">
        <f>'Q100a-geral'!M2268</f>
        <v>x</v>
      </c>
      <c r="N714" s="77" t="str">
        <f>'Q100a-geral'!N2268</f>
        <v>x</v>
      </c>
      <c r="O714" s="77" t="str">
        <f>'Q100a-geral'!O2268</f>
        <v>x</v>
      </c>
      <c r="P714" s="77" t="str">
        <f>'Q100a-geral'!P2268</f>
        <v>x</v>
      </c>
      <c r="Q714" s="77" t="str">
        <f>'Q100a-geral'!Q2268</f>
        <v>x</v>
      </c>
      <c r="R714" s="77" t="str">
        <f>'Q100a-geral'!R2268</f>
        <v>x</v>
      </c>
      <c r="S714" s="153" t="str">
        <f>'Q100a-geral'!S2268</f>
        <v>só para pesquisa</v>
      </c>
      <c r="T714" s="77" t="str">
        <f>'Q100a-geral'!T2268</f>
        <v>x</v>
      </c>
      <c r="U714" s="77" t="str">
        <f>'Q100a-geral'!U2268</f>
        <v>x</v>
      </c>
      <c r="V714" s="107" t="str">
        <f>'Q100a-geral'!V2268</f>
        <v>só para pesquisa</v>
      </c>
      <c r="W714" s="77" t="str">
        <f>'Q100a-geral'!W2268</f>
        <v>x</v>
      </c>
      <c r="X714" s="77" t="str">
        <f>'Q100a-geral'!X2268</f>
        <v>x</v>
      </c>
      <c r="Y714" s="77" t="str">
        <f>'Q100a-geral'!Y2268</f>
        <v>x</v>
      </c>
      <c r="Z714" s="77" t="str">
        <f>'Q100a-geral'!Z2268</f>
        <v>x</v>
      </c>
      <c r="AA714" s="77" t="str">
        <f>'Q100a-geral'!AA2268</f>
        <v>x</v>
      </c>
      <c r="AB714" s="77" t="str">
        <f>'Q100a-geral'!AB2268</f>
        <v>x</v>
      </c>
      <c r="AC714" s="77" t="str">
        <f>'Q100a-geral'!AC2268</f>
        <v>x</v>
      </c>
      <c r="AD714" s="77" t="str">
        <f>'Q100a-geral'!AD2268</f>
        <v>x</v>
      </c>
      <c r="AE714" s="77" t="str">
        <f>'Q100a-geral'!AE2268</f>
        <v>x</v>
      </c>
      <c r="AF714" s="77" t="str">
        <f>'Q100a-geral'!AF2268</f>
        <v>x</v>
      </c>
      <c r="AG714" s="77" t="str">
        <f>'Q100a-geral'!AG2268</f>
        <v>x</v>
      </c>
      <c r="AH714" s="77" t="str">
        <f>'Q100a-geral'!AH2268</f>
        <v>x</v>
      </c>
      <c r="AI714" s="77" t="str">
        <f>'Q100a-geral'!AI2268</f>
        <v>x</v>
      </c>
      <c r="AJ714" s="77" t="str">
        <f>'Q100a-geral'!AJ2268</f>
        <v>x</v>
      </c>
      <c r="AK714" s="137" t="str">
        <f>'Q100a-geral'!AK2268</f>
        <v>x</v>
      </c>
      <c r="AL714" s="171" t="str">
        <f>'Q100a-geral'!AL2268</f>
        <v>x</v>
      </c>
      <c r="AM714" s="137" t="str">
        <f>'Q100a-geral'!AM2268</f>
        <v>x</v>
      </c>
      <c r="AN714" s="137" t="str">
        <f>'Q100a-geral'!AN2268</f>
        <v>x</v>
      </c>
      <c r="AO714" s="137" t="str">
        <f>'Q100a-geral'!AO2268</f>
        <v>x</v>
      </c>
      <c r="AP714" s="137" t="str">
        <f>'Q100a-geral'!AP2268</f>
        <v>x</v>
      </c>
      <c r="AQ714" s="137" t="str">
        <f>'Q100a-geral'!AQ2268</f>
        <v>x</v>
      </c>
      <c r="AR714" s="137"/>
      <c r="AS714" s="137"/>
      <c r="AT714" s="137"/>
      <c r="AU714" s="137"/>
      <c r="AV714" s="137" t="str">
        <f>'Q100a-geral'!AV2268</f>
        <v>x</v>
      </c>
      <c r="AW714" s="137"/>
      <c r="AX714" s="137"/>
      <c r="AY714" s="137"/>
      <c r="AZ714" s="137"/>
      <c r="BA714" s="137" t="str">
        <f>'Q100a-geral'!BA2268</f>
        <v>x</v>
      </c>
      <c r="BB714" s="239" t="str">
        <f>'Q100a-geral'!BB2268</f>
        <v>geralx</v>
      </c>
      <c r="BC714" s="239" t="str">
        <f>'Q100a-geral'!BC2268</f>
        <v>geralxsigla/verbete</v>
      </c>
      <c r="BD714" s="239" t="str">
        <f>'Q100a-geral'!BD2268</f>
        <v>geralsigla/verbete</v>
      </c>
    </row>
    <row r="715" spans="1:69" s="1" customFormat="1" ht="41.25" customHeight="1" x14ac:dyDescent="0.25">
      <c r="A715" s="275" t="str">
        <f>'Q100a-geral'!A2269</f>
        <v>1.2</v>
      </c>
      <c r="B715" s="54" t="str">
        <f>'Q100a-geral'!B2269</f>
        <v>Atendimento ao usuário em geral</v>
      </c>
      <c r="C715" s="230" t="str">
        <f>'Q100a-geral'!C2269</f>
        <v>x</v>
      </c>
      <c r="D715" s="36" t="str">
        <f>'Q100a-geral'!D2269</f>
        <v>RS</v>
      </c>
      <c r="E715" s="464" t="str">
        <f>'Q100a-geral'!E2269</f>
        <v>Belo Horizonte</v>
      </c>
      <c r="F715" s="445" t="str">
        <f>'Q100a-geral'!F2269</f>
        <v>n.º total de solicitações e reclamações registradas</v>
      </c>
      <c r="G715" s="24" t="str">
        <f>'Q100a-geral'!G2269</f>
        <v>R + S</v>
      </c>
      <c r="H715" s="169" t="str">
        <f>'Q100a-geral'!H2269</f>
        <v>ainda não incorporado ao SisMob-BH</v>
      </c>
      <c r="I715" s="172">
        <f>'Q100a-geral'!I2269</f>
        <v>1</v>
      </c>
      <c r="J715" s="109" t="str">
        <f>'Q100a-geral'!J2269</f>
        <v>x</v>
      </c>
      <c r="K715" s="110" t="str">
        <f>'Q100a-geral'!K2269</f>
        <v>x</v>
      </c>
      <c r="L715" s="110" t="str">
        <f>'Q100a-geral'!L2269</f>
        <v>x</v>
      </c>
      <c r="M715" s="110" t="str">
        <f>'Q100a-geral'!M2269</f>
        <v>x</v>
      </c>
      <c r="N715" s="110" t="str">
        <f>'Q100a-geral'!N2269</f>
        <v>x</v>
      </c>
      <c r="O715" s="110" t="str">
        <f>'Q100a-geral'!O2269</f>
        <v>x</v>
      </c>
      <c r="P715" s="110" t="str">
        <f>'Q100a-geral'!P2269</f>
        <v>x</v>
      </c>
      <c r="Q715" s="110" t="str">
        <f>'Q100a-geral'!Q2269</f>
        <v>x</v>
      </c>
      <c r="R715" s="110" t="str">
        <f>'Q100a-geral'!R2269</f>
        <v>x</v>
      </c>
      <c r="S715" s="109" t="str">
        <f>'Q100a-geral'!S2269</f>
        <v>só para pesquisa</v>
      </c>
      <c r="T715" s="110" t="str">
        <f>'Q100a-geral'!T2269</f>
        <v>x</v>
      </c>
      <c r="U715" s="110" t="str">
        <f>'Q100a-geral'!U2269</f>
        <v>x</v>
      </c>
      <c r="V715" s="107" t="str">
        <f>'Q100a-geral'!V2269</f>
        <v>só para pesquisa</v>
      </c>
      <c r="W715" s="110" t="str">
        <f>'Q100a-geral'!W2269</f>
        <v>x</v>
      </c>
      <c r="X715" s="110" t="str">
        <f>'Q100a-geral'!X2269</f>
        <v>x</v>
      </c>
      <c r="Y715" s="110" t="str">
        <f>'Q100a-geral'!Y2269</f>
        <v>x</v>
      </c>
      <c r="Z715" s="110" t="str">
        <f>'Q100a-geral'!Z2269</f>
        <v>x</v>
      </c>
      <c r="AA715" s="110" t="str">
        <f>'Q100a-geral'!AA2269</f>
        <v>x</v>
      </c>
      <c r="AB715" s="110" t="str">
        <f>'Q100a-geral'!AB2269</f>
        <v>x</v>
      </c>
      <c r="AC715" s="110" t="str">
        <f>'Q100a-geral'!AC2269</f>
        <v>x</v>
      </c>
      <c r="AD715" s="110" t="str">
        <f>'Q100a-geral'!AD2269</f>
        <v>x</v>
      </c>
      <c r="AE715" s="110" t="str">
        <f>'Q100a-geral'!AE2269</f>
        <v>x</v>
      </c>
      <c r="AF715" s="110" t="str">
        <f>'Q100a-geral'!AF2269</f>
        <v>x</v>
      </c>
      <c r="AG715" s="110" t="str">
        <f>'Q100a-geral'!AG2269</f>
        <v>x</v>
      </c>
      <c r="AH715" s="110" t="str">
        <f>'Q100a-geral'!AH2269</f>
        <v>x</v>
      </c>
      <c r="AI715" s="110" t="str">
        <f>'Q100a-geral'!AI2269</f>
        <v>x</v>
      </c>
      <c r="AJ715" s="110" t="str">
        <f>'Q100a-geral'!AJ2269</f>
        <v>x</v>
      </c>
      <c r="AK715" s="84" t="str">
        <f>'Q100a-geral'!AK2269</f>
        <v>x</v>
      </c>
      <c r="AL715" s="168" t="str">
        <f>'Q100a-geral'!AL2269</f>
        <v>x</v>
      </c>
      <c r="AM715" s="137" t="str">
        <f>'Q100a-geral'!AM2269</f>
        <v>x</v>
      </c>
      <c r="AN715" s="137" t="str">
        <f>'Q100a-geral'!AN2269</f>
        <v>x</v>
      </c>
      <c r="AO715" s="137" t="str">
        <f>'Q100a-geral'!AO2269</f>
        <v>x</v>
      </c>
      <c r="AP715" s="137" t="str">
        <f>'Q100a-geral'!AP2269</f>
        <v>x</v>
      </c>
      <c r="AQ715" s="137" t="str">
        <f>'Q100a-geral'!AQ2269</f>
        <v>x</v>
      </c>
      <c r="AR715" s="137"/>
      <c r="AS715" s="137"/>
      <c r="AT715" s="137"/>
      <c r="AU715" s="137"/>
      <c r="AV715" s="137" t="str">
        <f>'Q100a-geral'!AV2269</f>
        <v>x</v>
      </c>
      <c r="AW715" s="137"/>
      <c r="AX715" s="137"/>
      <c r="AY715" s="137"/>
      <c r="AZ715" s="137"/>
      <c r="BA715" s="137" t="str">
        <f>'Q100a-geral'!BA2269</f>
        <v>x</v>
      </c>
      <c r="BB715" s="239" t="str">
        <f>'Q100a-geral'!BB2269</f>
        <v>Atendimento ao usuário em geralx</v>
      </c>
      <c r="BC715" s="239" t="str">
        <f>'Q100a-geral'!BC2269</f>
        <v>Atendimento ao usuário em geralxainda não incorporado ao SisMob-BH</v>
      </c>
      <c r="BD715" s="239" t="str">
        <f>'Q100a-geral'!BD2269</f>
        <v>Atendimento ao usuário em geralainda não incorporado ao SisMob-BH</v>
      </c>
    </row>
    <row r="716" spans="1:69" ht="38.25" customHeight="1" x14ac:dyDescent="0.25">
      <c r="A716" s="275" t="str">
        <f>'Q100a-geral'!A2271</f>
        <v>9.2</v>
      </c>
      <c r="B716" s="53" t="str">
        <f>'Q100a-geral'!B2271</f>
        <v>Estacionamento</v>
      </c>
      <c r="C716" s="229" t="str">
        <f>'Q100a-geral'!C2271</f>
        <v>-</v>
      </c>
      <c r="D716" s="336" t="str">
        <f>'Q100a-geral'!D2271</f>
        <v>RT $</v>
      </c>
      <c r="E716" s="355" t="str">
        <f>'Q100a-geral'!E2271</f>
        <v>Belo Horizonte</v>
      </c>
      <c r="F716" s="492" t="str">
        <f>'Q100a-geral'!F2271</f>
        <v>receita bruta média mensal do sistema de estacionamento rotativo de Belo Horizonte proveniente da venda de talões
obs.: resultados de 2001-2014 conforme BHTRANS(2015k; 2015m); de 2014-2015 conforme BHTRANS(2016z)</v>
      </c>
      <c r="G716" s="61" t="str">
        <f>'Q100a-geral'!G2271</f>
        <v>registro na fonte
∑ (receita mensal de janeiro a dezembro) / 12</v>
      </c>
      <c r="H716" s="168" t="str">
        <f>'Q100a-geral'!H2271</f>
        <v>x</v>
      </c>
      <c r="I716" s="57">
        <f>'Q100a-geral'!I2271</f>
        <v>1</v>
      </c>
      <c r="J716" s="107" t="str">
        <f>'Q100a-geral'!J2271</f>
        <v>x</v>
      </c>
      <c r="K716" s="84" t="str">
        <f>'Q100a-geral'!K2271</f>
        <v>x</v>
      </c>
      <c r="L716" s="84" t="str">
        <f>'Q100a-geral'!L2271</f>
        <v>x</v>
      </c>
      <c r="M716" s="84" t="str">
        <f>'Q100a-geral'!M2271</f>
        <v>x</v>
      </c>
      <c r="N716" s="84" t="str">
        <f>'Q100a-geral'!N2271</f>
        <v>x</v>
      </c>
      <c r="O716" s="84" t="str">
        <f>'Q100a-geral'!O2271</f>
        <v>x</v>
      </c>
      <c r="P716" s="84" t="str">
        <f>'Q100a-geral'!P2271</f>
        <v>x</v>
      </c>
      <c r="Q716" s="84" t="str">
        <f>'Q100a-geral'!Q2271</f>
        <v>x</v>
      </c>
      <c r="R716" s="84" t="str">
        <f>'Q100a-geral'!R2271</f>
        <v>x</v>
      </c>
      <c r="S716" s="649" t="str">
        <f>'Q100a-geral'!S2271</f>
        <v>só para pesquisa</v>
      </c>
      <c r="T716" s="84" t="str">
        <f>'Q100a-geral'!T2271</f>
        <v>x</v>
      </c>
      <c r="U716" s="84" t="str">
        <f>'Q100a-geral'!U2271</f>
        <v>x</v>
      </c>
      <c r="V716" s="107" t="str">
        <f>'Q100a-geral'!V2271</f>
        <v>só para pesquisa</v>
      </c>
      <c r="W716" s="86">
        <f>'Q100a-geral'!W2271</f>
        <v>681239</v>
      </c>
      <c r="X716" s="86">
        <f>'Q100a-geral'!X2271</f>
        <v>731511</v>
      </c>
      <c r="Y716" s="86">
        <f>'Q100a-geral'!Y2271</f>
        <v>778764</v>
      </c>
      <c r="Z716" s="86">
        <f>'Q100a-geral'!Z2271</f>
        <v>985715</v>
      </c>
      <c r="AA716" s="86">
        <f>'Q100a-geral'!AA2271</f>
        <v>965985</v>
      </c>
      <c r="AB716" s="86">
        <f>'Q100a-geral'!AB2271</f>
        <v>952122</v>
      </c>
      <c r="AC716" s="86">
        <f>'Q100a-geral'!AC2271</f>
        <v>1095961</v>
      </c>
      <c r="AD716" s="86">
        <f>'Q100a-geral'!AD2271</f>
        <v>1206074</v>
      </c>
      <c r="AE716" s="86">
        <f>'Q100a-geral'!AE2271</f>
        <v>1275856</v>
      </c>
      <c r="AF716" s="86">
        <f>'Q100a-geral'!AF2271</f>
        <v>1355694</v>
      </c>
      <c r="AG716" s="86">
        <f>'Q100a-geral'!AG2271</f>
        <v>1451421</v>
      </c>
      <c r="AH716" s="86">
        <f>'Q100a-geral'!AH2271</f>
        <v>1690981</v>
      </c>
      <c r="AI716" s="86">
        <f>'Q100a-geral'!AI2271</f>
        <v>1619711</v>
      </c>
      <c r="AJ716" s="86">
        <f>'Q100a-geral'!AJ2271</f>
        <v>1574796</v>
      </c>
      <c r="AK716" s="87">
        <f>'Q100a-geral'!AK2271</f>
        <v>1658729.6666666667</v>
      </c>
      <c r="AL716" s="212" t="str">
        <f>'Q100a-geral'!AL2271</f>
        <v>x</v>
      </c>
      <c r="AM716" s="137" t="str">
        <f>'Q100a-geral'!AM2271</f>
        <v>x</v>
      </c>
      <c r="AN716" s="137" t="str">
        <f>'Q100a-geral'!AN2271</f>
        <v>x</v>
      </c>
      <c r="AO716" s="137" t="str">
        <f>'Q100a-geral'!AO2271</f>
        <v>x</v>
      </c>
      <c r="AP716" s="137" t="str">
        <f>'Q100a-geral'!AP2271</f>
        <v>x</v>
      </c>
      <c r="AQ716" s="137" t="str">
        <f>'Q100a-geral'!AQ2271</f>
        <v>x</v>
      </c>
      <c r="AR716" s="137"/>
      <c r="AS716" s="137"/>
      <c r="AT716" s="137"/>
      <c r="AU716" s="137"/>
      <c r="AV716" s="137" t="str">
        <f>'Q100a-geral'!AV2271</f>
        <v>x</v>
      </c>
      <c r="AW716" s="137"/>
      <c r="AX716" s="137"/>
      <c r="AY716" s="137"/>
      <c r="AZ716" s="137"/>
      <c r="BA716" s="137" t="str">
        <f>'Q100a-geral'!BA2271</f>
        <v>x</v>
      </c>
      <c r="BB716" s="239" t="str">
        <f>'Q100a-geral'!BB2271</f>
        <v>Estacionamento-</v>
      </c>
      <c r="BC716" s="239" t="str">
        <f>'Q100a-geral'!BC2271</f>
        <v>Estacionamento-x</v>
      </c>
      <c r="BD716" s="239" t="str">
        <f>'Q100a-geral'!BD2271</f>
        <v>Estacionamentox</v>
      </c>
    </row>
    <row r="717" spans="1:69" ht="87.75" customHeight="1" x14ac:dyDescent="0.25">
      <c r="A717" s="275" t="str">
        <f>'Q100a-geral'!A2272</f>
        <v>9.2</v>
      </c>
      <c r="B717" s="53" t="str">
        <f>'Q100a-geral'!B2272</f>
        <v>Estacionamento</v>
      </c>
      <c r="C717" s="229" t="str">
        <f>'Q100a-geral'!C2272</f>
        <v>-</v>
      </c>
      <c r="D717" s="240" t="str">
        <f>'Q100a-geral'!D2272</f>
        <v>RT fr</v>
      </c>
      <c r="E717" s="252" t="str">
        <f>'Q100a-geral'!E2272</f>
        <v>Belo Horizonte</v>
      </c>
      <c r="F717" s="446" t="str">
        <f>'Q100a-geral'!F2272</f>
        <v xml:space="preserve">fator de rotatividade de projeto do local (expresso em nº de veículos que podem utilizar diariamente cada vaga regulamentada em um local específico)
obs.1: o período diário de funcionamento (PF) do estacionamento rotativo nos dias úteis é de 10 horas (de 8h00 às 18h00) e os tempos máximos de permanência (TP) regulamentados são de 1h, 2h e 5h
obs.2: RTfr = 10 veículos nos locais com TP=1; RTfr = 5 veículos nos locais com TP=2 e RTfr = 2 veículos nos locais com TP=5                                                                                                                                                                                                                                                                                                                                               </v>
      </c>
      <c r="G717" s="61" t="str">
        <f>'Q100a-geral'!G2272</f>
        <v>definição
(RT fr = PF/TP)</v>
      </c>
      <c r="H717" s="168" t="str">
        <f>'Q100a-geral'!H2272</f>
        <v>sigla/verbete</v>
      </c>
      <c r="I717" s="167" t="str">
        <f>'Q100a-geral'!I2272</f>
        <v>x</v>
      </c>
      <c r="J717" s="109" t="str">
        <f>'Q100a-geral'!J2272</f>
        <v>x</v>
      </c>
      <c r="K717" s="109" t="str">
        <f>'Q100a-geral'!K2272</f>
        <v>x</v>
      </c>
      <c r="L717" s="109" t="str">
        <f>'Q100a-geral'!L2272</f>
        <v>x</v>
      </c>
      <c r="M717" s="109" t="str">
        <f>'Q100a-geral'!M2272</f>
        <v>x</v>
      </c>
      <c r="N717" s="109" t="str">
        <f>'Q100a-geral'!N2272</f>
        <v>x</v>
      </c>
      <c r="O717" s="109" t="str">
        <f>'Q100a-geral'!O2272</f>
        <v>x</v>
      </c>
      <c r="P717" s="109" t="str">
        <f>'Q100a-geral'!P2272</f>
        <v>x</v>
      </c>
      <c r="Q717" s="109" t="str">
        <f>'Q100a-geral'!Q2272</f>
        <v>x</v>
      </c>
      <c r="R717" s="109" t="str">
        <f>'Q100a-geral'!R2272</f>
        <v>x</v>
      </c>
      <c r="S717" s="109" t="str">
        <f>'Q100a-geral'!S2272</f>
        <v>só para pesquisa</v>
      </c>
      <c r="T717" s="109" t="str">
        <f>'Q100a-geral'!T2272</f>
        <v>x</v>
      </c>
      <c r="U717" s="109" t="str">
        <f>'Q100a-geral'!U2272</f>
        <v>x</v>
      </c>
      <c r="V717" s="109" t="str">
        <f>'Q100a-geral'!V2272</f>
        <v>só para pesquisa</v>
      </c>
      <c r="W717" s="109" t="str">
        <f>'Q100a-geral'!W2272</f>
        <v>x</v>
      </c>
      <c r="X717" s="109" t="str">
        <f>'Q100a-geral'!X2272</f>
        <v>x</v>
      </c>
      <c r="Y717" s="109" t="str">
        <f>'Q100a-geral'!Y2272</f>
        <v>x</v>
      </c>
      <c r="Z717" s="109" t="str">
        <f>'Q100a-geral'!Z2272</f>
        <v>x</v>
      </c>
      <c r="AA717" s="109" t="str">
        <f>'Q100a-geral'!AA2272</f>
        <v>x</v>
      </c>
      <c r="AB717" s="109" t="str">
        <f>'Q100a-geral'!AB2272</f>
        <v>x</v>
      </c>
      <c r="AC717" s="109" t="str">
        <f>'Q100a-geral'!AC2272</f>
        <v>x</v>
      </c>
      <c r="AD717" s="109" t="str">
        <f>'Q100a-geral'!AD2272</f>
        <v>x</v>
      </c>
      <c r="AE717" s="109" t="str">
        <f>'Q100a-geral'!AE2272</f>
        <v>x</v>
      </c>
      <c r="AF717" s="109" t="str">
        <f>'Q100a-geral'!AF2272</f>
        <v>x</v>
      </c>
      <c r="AG717" s="109" t="str">
        <f>'Q100a-geral'!AG2272</f>
        <v>x</v>
      </c>
      <c r="AH717" s="109" t="str">
        <f>'Q100a-geral'!AH2272</f>
        <v>x</v>
      </c>
      <c r="AI717" s="109" t="str">
        <f>'Q100a-geral'!AI2272</f>
        <v>x</v>
      </c>
      <c r="AJ717" s="109" t="str">
        <f>'Q100a-geral'!AJ2272</f>
        <v>x</v>
      </c>
      <c r="AK717" s="137" t="str">
        <f>'Q100a-geral'!AK2272</f>
        <v>x</v>
      </c>
      <c r="AL717" s="173" t="str">
        <f>'Q100a-geral'!AL2272</f>
        <v>x</v>
      </c>
      <c r="AM717" s="137" t="str">
        <f>'Q100a-geral'!AM2272</f>
        <v>x</v>
      </c>
      <c r="AN717" s="137" t="str">
        <f>'Q100a-geral'!AN2272</f>
        <v>x</v>
      </c>
      <c r="AO717" s="137" t="str">
        <f>'Q100a-geral'!AO2272</f>
        <v>x</v>
      </c>
      <c r="AP717" s="137" t="str">
        <f>'Q100a-geral'!AP2272</f>
        <v>x</v>
      </c>
      <c r="AQ717" s="137" t="str">
        <f>'Q100a-geral'!AQ2272</f>
        <v>x</v>
      </c>
      <c r="AR717" s="137"/>
      <c r="AS717" s="137"/>
      <c r="AT717" s="137"/>
      <c r="AU717" s="137"/>
      <c r="AV717" s="137" t="str">
        <f>'Q100a-geral'!AV2272</f>
        <v>x</v>
      </c>
      <c r="AW717" s="137"/>
      <c r="AX717" s="137"/>
      <c r="AY717" s="137"/>
      <c r="AZ717" s="137"/>
      <c r="BA717" s="137" t="str">
        <f>'Q100a-geral'!BA2272</f>
        <v>x</v>
      </c>
      <c r="BB717" s="239" t="str">
        <f>'Q100a-geral'!BB2272</f>
        <v>Estacionamento-</v>
      </c>
      <c r="BC717" s="239" t="str">
        <f>'Q100a-geral'!BC2272</f>
        <v>Estacionamento-sigla/verbete</v>
      </c>
      <c r="BD717" s="239" t="str">
        <f>'Q100a-geral'!BD2272</f>
        <v>Estacionamentosigla/verbete</v>
      </c>
    </row>
    <row r="718" spans="1:69" ht="114.75" customHeight="1" x14ac:dyDescent="0.25">
      <c r="A718" s="275" t="str">
        <f>'Q100a-geral'!A2273</f>
        <v>9.2</v>
      </c>
      <c r="B718" s="53" t="str">
        <f>'Q100a-geral'!B2273</f>
        <v>Estacionamento</v>
      </c>
      <c r="C718" s="229" t="str">
        <f>'Q100a-geral'!C2273</f>
        <v>-</v>
      </c>
      <c r="D718" s="326" t="str">
        <f>'Q100a-geral'!D2273</f>
        <v>RT inf</v>
      </c>
      <c r="E718" s="465" t="str">
        <f>'Q100a-geral'!E2273</f>
        <v>Belo Horizonte</v>
      </c>
      <c r="F718" s="492" t="str">
        <f>'Q100a-geral'!F2273</f>
        <v>veículos infratores no estacionamento rotativo (expresso em %)
obs.1: indicador denominado pela ANTP como "IER"
obs.2: o "n.º de veículos infratores" é o valor apurado em cada pesquisa, em determinado trecho e em determinado período; o "n.º de veículos estacionados" é o valor apurado no trecho pesquisado; o "n.º de pesquisas realizadas" é o valor apurado em todos os trechos de um mesmo período
obs.3: o valor anual é tomado como sendo o valor apurado em dezembro de cada ano, com resultados de 2001-2014 conforme BHTRANS(2015k; 2015m); de 2014-2015 conforme BHTRANS(2016z)</v>
      </c>
      <c r="G718" s="61" t="str">
        <f>'Q100a-geral'!G2273</f>
        <v>registro na fonte
(∑ (n.º de veículos infratores / n.º de veículos estacionados)
/ n.º de pesquisas realizadas)
x 100</v>
      </c>
      <c r="H718" s="168" t="str">
        <f>'Q100a-geral'!H2273</f>
        <v>x</v>
      </c>
      <c r="I718" s="167">
        <f>'Q100a-geral'!I2273</f>
        <v>1</v>
      </c>
      <c r="J718" s="107" t="str">
        <f>'Q100a-geral'!J2273</f>
        <v>x</v>
      </c>
      <c r="K718" s="84" t="str">
        <f>'Q100a-geral'!K2273</f>
        <v>x</v>
      </c>
      <c r="L718" s="84" t="str">
        <f>'Q100a-geral'!L2273</f>
        <v>x</v>
      </c>
      <c r="M718" s="84" t="str">
        <f>'Q100a-geral'!M2273</f>
        <v>x</v>
      </c>
      <c r="N718" s="84" t="str">
        <f>'Q100a-geral'!N2273</f>
        <v>x</v>
      </c>
      <c r="O718" s="84" t="str">
        <f>'Q100a-geral'!O2273</f>
        <v>x</v>
      </c>
      <c r="P718" s="84" t="str">
        <f>'Q100a-geral'!P2273</f>
        <v>x</v>
      </c>
      <c r="Q718" s="84" t="str">
        <f>'Q100a-geral'!Q2273</f>
        <v>x</v>
      </c>
      <c r="R718" s="84" t="str">
        <f>'Q100a-geral'!R2273</f>
        <v>x</v>
      </c>
      <c r="S718" s="649" t="str">
        <f>'Q100a-geral'!S2273</f>
        <v>só para pesquisa</v>
      </c>
      <c r="T718" s="84" t="str">
        <f>'Q100a-geral'!T2273</f>
        <v>x</v>
      </c>
      <c r="U718" s="84" t="str">
        <f>'Q100a-geral'!U2273</f>
        <v>x</v>
      </c>
      <c r="V718" s="107" t="str">
        <f>'Q100a-geral'!V2273</f>
        <v>só para pesquisa</v>
      </c>
      <c r="W718" s="419">
        <f>'Q100a-geral'!W2273/100</f>
        <v>0.56020000000000003</v>
      </c>
      <c r="X718" s="419">
        <f>'Q100a-geral'!X2273/100</f>
        <v>0.52390000000000003</v>
      </c>
      <c r="Y718" s="419">
        <f>'Q100a-geral'!Y2273/100</f>
        <v>0.58540000000000003</v>
      </c>
      <c r="Z718" s="419">
        <f>'Q100a-geral'!Z2273/100</f>
        <v>0.59970000000000001</v>
      </c>
      <c r="AA718" s="419">
        <f>'Q100a-geral'!AA2273/100</f>
        <v>0.61609999999999998</v>
      </c>
      <c r="AB718" s="419">
        <f>'Q100a-geral'!AB2273/100</f>
        <v>0.64599999999999991</v>
      </c>
      <c r="AC718" s="419">
        <f>'Q100a-geral'!AC2273/100</f>
        <v>0.59240000000000004</v>
      </c>
      <c r="AD718" s="419">
        <f>'Q100a-geral'!AD2273/100</f>
        <v>0.66659999999999997</v>
      </c>
      <c r="AE718" s="419">
        <f>'Q100a-geral'!AE2273/100</f>
        <v>0.6976</v>
      </c>
      <c r="AF718" s="419">
        <f>'Q100a-geral'!AF2273/100</f>
        <v>0.75309999999999999</v>
      </c>
      <c r="AG718" s="419">
        <f>'Q100a-geral'!AG2273/100</f>
        <v>0.75099999999999989</v>
      </c>
      <c r="AH718" s="419">
        <f>'Q100a-geral'!AH2273/100</f>
        <v>0.77129999999999999</v>
      </c>
      <c r="AI718" s="419">
        <f>'Q100a-geral'!AI2273/100</f>
        <v>0.80090000000000006</v>
      </c>
      <c r="AJ718" s="419">
        <f>'Q100a-geral'!AJ2273/100</f>
        <v>0.78859999999999997</v>
      </c>
      <c r="AK718" s="419">
        <f>'Q100a-geral'!AK2273/100</f>
        <v>0.78760000000000008</v>
      </c>
      <c r="AL718" s="212" t="str">
        <f>'Q100a-geral'!AL2273</f>
        <v>x</v>
      </c>
      <c r="AM718" s="137" t="str">
        <f>'Q100a-geral'!AM2273</f>
        <v>x</v>
      </c>
      <c r="AN718" s="137" t="str">
        <f>'Q100a-geral'!AN2273</f>
        <v>x</v>
      </c>
      <c r="AO718" s="137" t="str">
        <f>'Q100a-geral'!AO2273</f>
        <v>x</v>
      </c>
      <c r="AP718" s="137" t="str">
        <f>'Q100a-geral'!AP2273</f>
        <v>x</v>
      </c>
      <c r="AQ718" s="137" t="str">
        <f>'Q100a-geral'!AQ2273</f>
        <v>x</v>
      </c>
      <c r="AR718" s="137"/>
      <c r="AS718" s="137"/>
      <c r="AT718" s="137"/>
      <c r="AU718" s="137"/>
      <c r="AV718" s="137" t="str">
        <f>'Q100a-geral'!AV2273</f>
        <v>x</v>
      </c>
      <c r="AW718" s="137"/>
      <c r="AX718" s="137"/>
      <c r="AY718" s="137"/>
      <c r="AZ718" s="137"/>
      <c r="BA718" s="137" t="str">
        <f>'Q100a-geral'!BA2273</f>
        <v>x</v>
      </c>
      <c r="BB718" s="239" t="str">
        <f>'Q100a-geral'!BB2273</f>
        <v>Estacionamento-</v>
      </c>
      <c r="BC718" s="239" t="str">
        <f>'Q100a-geral'!BC2273</f>
        <v>Estacionamento-x</v>
      </c>
      <c r="BD718" s="239" t="str">
        <f>'Q100a-geral'!BD2273</f>
        <v>Estacionamentox</v>
      </c>
    </row>
    <row r="719" spans="1:69" ht="114.75" customHeight="1" x14ac:dyDescent="0.25">
      <c r="A719" s="275" t="str">
        <f>'Q100a-geral'!A2274</f>
        <v>9.2</v>
      </c>
      <c r="B719" s="53" t="str">
        <f>'Q100a-geral'!B2274</f>
        <v>Estacionamento</v>
      </c>
      <c r="C719" s="229" t="str">
        <f>'Q100a-geral'!C2274</f>
        <v>-</v>
      </c>
      <c r="D719" s="240" t="str">
        <f>'Q100a-geral'!D2274</f>
        <v>RT ocup</v>
      </c>
      <c r="E719" s="252" t="str">
        <f>'Q100a-geral'!E2274</f>
        <v>Belo Horizonte</v>
      </c>
      <c r="F719" s="446" t="str">
        <f>'Q100a-geral'!F2274</f>
        <v>ocupação média no estacionamento rotativo (expressa em % de vagas ocupadas)
obs.1: o "n.º de veículos estacionados" é o valor apurado em cada pesquisa, em determinado trecho e em determinado período; o "n.º de vagas físicas existentes" é o valor apurado no trecho pesquisado; o "n.º de pesquisas realizadas" é o valor apurado em todos os trechos de um mesmo período
obs.2: o valor anual é tomado como sendo o valor apurado em dezembro de cada ano, com resultados de 2001-2014 conforme BHTRANS(2015k; 2015m); de 2014-2015 conforme BHTRANS(2016z)</v>
      </c>
      <c r="G719" s="188" t="str">
        <f>'Q100a-geral'!G2274</f>
        <v>registro na fonte
(∑ (n.º de veículos estacionados / n.º de vagas físicas existentes) 
/ n.º de pesquisas realizadas)
x100</v>
      </c>
      <c r="H719" s="168" t="str">
        <f>'Q100a-geral'!H2274</f>
        <v>x</v>
      </c>
      <c r="I719" s="167">
        <f>'Q100a-geral'!I2274</f>
        <v>1</v>
      </c>
      <c r="J719" s="107" t="str">
        <f>'Q100a-geral'!J2274</f>
        <v>x</v>
      </c>
      <c r="K719" s="84" t="str">
        <f>'Q100a-geral'!K2274</f>
        <v>x</v>
      </c>
      <c r="L719" s="84" t="str">
        <f>'Q100a-geral'!L2274</f>
        <v>x</v>
      </c>
      <c r="M719" s="84" t="str">
        <f>'Q100a-geral'!M2274</f>
        <v>x</v>
      </c>
      <c r="N719" s="84" t="str">
        <f>'Q100a-geral'!N2274</f>
        <v>x</v>
      </c>
      <c r="O719" s="84" t="str">
        <f>'Q100a-geral'!O2274</f>
        <v>x</v>
      </c>
      <c r="P719" s="84" t="str">
        <f>'Q100a-geral'!P2274</f>
        <v>x</v>
      </c>
      <c r="Q719" s="84" t="str">
        <f>'Q100a-geral'!Q2274</f>
        <v>x</v>
      </c>
      <c r="R719" s="84" t="str">
        <f>'Q100a-geral'!R2274</f>
        <v>x</v>
      </c>
      <c r="S719" s="649" t="str">
        <f>'Q100a-geral'!S2274</f>
        <v>só para pesquisa</v>
      </c>
      <c r="T719" s="84" t="str">
        <f>'Q100a-geral'!T2274</f>
        <v>x</v>
      </c>
      <c r="U719" s="84" t="str">
        <f>'Q100a-geral'!U2274</f>
        <v>x</v>
      </c>
      <c r="V719" s="107" t="str">
        <f>'Q100a-geral'!V2274</f>
        <v>só para pesquisa</v>
      </c>
      <c r="W719" s="84">
        <f>'Q100a-geral'!W2274</f>
        <v>53.89</v>
      </c>
      <c r="X719" s="84">
        <f>'Q100a-geral'!X2274</f>
        <v>55.03</v>
      </c>
      <c r="Y719" s="84">
        <f>'Q100a-geral'!Y2274</f>
        <v>52.82</v>
      </c>
      <c r="Z719" s="84">
        <f>'Q100a-geral'!Z2274</f>
        <v>54.88</v>
      </c>
      <c r="AA719" s="83">
        <f>'Q100a-geral'!AA2274</f>
        <v>55.7</v>
      </c>
      <c r="AB719" s="84">
        <f>'Q100a-geral'!AB2274</f>
        <v>63.42</v>
      </c>
      <c r="AC719" s="84">
        <f>'Q100a-geral'!AC2274</f>
        <v>64.459999999999994</v>
      </c>
      <c r="AD719" s="84">
        <f>'Q100a-geral'!AD2274</f>
        <v>70.040000000000006</v>
      </c>
      <c r="AE719" s="83">
        <f>'Q100a-geral'!AE2274</f>
        <v>75.92</v>
      </c>
      <c r="AF719" s="83">
        <f>'Q100a-geral'!AF2274</f>
        <v>76.010000000000005</v>
      </c>
      <c r="AG719" s="83">
        <f>'Q100a-geral'!AG2274</f>
        <v>78.739999999999995</v>
      </c>
      <c r="AH719" s="83">
        <f>'Q100a-geral'!AH2274</f>
        <v>74.260000000000005</v>
      </c>
      <c r="AI719" s="83">
        <f>'Q100a-geral'!AI2274</f>
        <v>76.36</v>
      </c>
      <c r="AJ719" s="83">
        <f>'Q100a-geral'!AJ2274</f>
        <v>71.37</v>
      </c>
      <c r="AK719" s="84">
        <f>'Q100a-geral'!AK2274</f>
        <v>66.73</v>
      </c>
      <c r="AL719" s="212" t="str">
        <f>'Q100a-geral'!AL2274</f>
        <v>x</v>
      </c>
      <c r="AM719" s="137" t="str">
        <f>'Q100a-geral'!AM2274</f>
        <v>x</v>
      </c>
      <c r="AN719" s="137" t="str">
        <f>'Q100a-geral'!AN2274</f>
        <v>x</v>
      </c>
      <c r="AO719" s="137" t="str">
        <f>'Q100a-geral'!AO2274</f>
        <v>x</v>
      </c>
      <c r="AP719" s="137" t="str">
        <f>'Q100a-geral'!AP2274</f>
        <v>x</v>
      </c>
      <c r="AQ719" s="137" t="str">
        <f>'Q100a-geral'!AQ2274</f>
        <v>x</v>
      </c>
      <c r="AR719" s="137"/>
      <c r="AS719" s="137"/>
      <c r="AT719" s="137"/>
      <c r="AU719" s="137"/>
      <c r="AV719" s="137" t="str">
        <f>'Q100a-geral'!AV2274</f>
        <v>x</v>
      </c>
      <c r="AW719" s="137"/>
      <c r="AX719" s="137"/>
      <c r="AY719" s="137"/>
      <c r="AZ719" s="137"/>
      <c r="BA719" s="137" t="str">
        <f>'Q100a-geral'!BA2274</f>
        <v>x</v>
      </c>
      <c r="BB719" s="239" t="str">
        <f>'Q100a-geral'!BB2274</f>
        <v>Estacionamento-</v>
      </c>
      <c r="BC719" s="239" t="str">
        <f>'Q100a-geral'!BC2274</f>
        <v>Estacionamento-x</v>
      </c>
      <c r="BD719" s="239" t="str">
        <f>'Q100a-geral'!BD2274</f>
        <v>Estacionamentox</v>
      </c>
    </row>
    <row r="720" spans="1:69" ht="63.75" customHeight="1" x14ac:dyDescent="0.25">
      <c r="A720" s="275" t="str">
        <f>'Q100a-geral'!A2275</f>
        <v>9.2</v>
      </c>
      <c r="B720" s="53" t="str">
        <f>'Q100a-geral'!B2275</f>
        <v>Estacionamento</v>
      </c>
      <c r="C720" s="229" t="str">
        <f>'Q100a-geral'!C2275</f>
        <v>-</v>
      </c>
      <c r="D720" s="336" t="str">
        <f>'Q100a-geral'!D2275</f>
        <v>RT qr</v>
      </c>
      <c r="E720" s="355" t="str">
        <f>'Q100a-geral'!E2275</f>
        <v>Belo Horizonte</v>
      </c>
      <c r="F720" s="492" t="str">
        <f>'Q100a-geral'!F2275</f>
        <v>n.º de quarteirões de estacionamento rotativo
obs.1: "quarteirão", nesse indicador é considerado como cada face de uma quadra 
obs.2: o valor anual é tomado como sendo o valor apurado em dezembro de cada ano, com resultados de 2001-2014 conforme BHTRANS(2015k; 2015m); de 2014-2015 conforme BHTRANS(2016z)</v>
      </c>
      <c r="G720" s="252" t="str">
        <f>'Q100a-geral'!G2275</f>
        <v>registro na fonte</v>
      </c>
      <c r="H720" s="168" t="str">
        <f>'Q100a-geral'!H2275</f>
        <v>x</v>
      </c>
      <c r="I720" s="167">
        <f>'Q100a-geral'!I2275</f>
        <v>1</v>
      </c>
      <c r="J720" s="107" t="str">
        <f>'Q100a-geral'!J2275</f>
        <v>x</v>
      </c>
      <c r="K720" s="84" t="str">
        <f>'Q100a-geral'!K2275</f>
        <v>x</v>
      </c>
      <c r="L720" s="84" t="str">
        <f>'Q100a-geral'!L2275</f>
        <v>x</v>
      </c>
      <c r="M720" s="84" t="str">
        <f>'Q100a-geral'!M2275</f>
        <v>x</v>
      </c>
      <c r="N720" s="84" t="str">
        <f>'Q100a-geral'!N2275</f>
        <v>x</v>
      </c>
      <c r="O720" s="84" t="str">
        <f>'Q100a-geral'!O2275</f>
        <v>x</v>
      </c>
      <c r="P720" s="84" t="str">
        <f>'Q100a-geral'!P2275</f>
        <v>x</v>
      </c>
      <c r="Q720" s="84" t="str">
        <f>'Q100a-geral'!Q2275</f>
        <v>x</v>
      </c>
      <c r="R720" s="84" t="str">
        <f>'Q100a-geral'!R2275</f>
        <v>x</v>
      </c>
      <c r="S720" s="649" t="str">
        <f>'Q100a-geral'!S2275</f>
        <v>só para pesquisa</v>
      </c>
      <c r="T720" s="84" t="str">
        <f>'Q100a-geral'!T2275</f>
        <v>x</v>
      </c>
      <c r="U720" s="84" t="str">
        <f>'Q100a-geral'!U2275</f>
        <v>x</v>
      </c>
      <c r="V720" s="107" t="str">
        <f>'Q100a-geral'!V2275</f>
        <v>só para pesquisa</v>
      </c>
      <c r="W720" s="93">
        <f>'Q100a-geral'!W2275</f>
        <v>446</v>
      </c>
      <c r="X720" s="93">
        <f>'Q100a-geral'!X2275</f>
        <v>442</v>
      </c>
      <c r="Y720" s="93">
        <f>'Q100a-geral'!Y2275</f>
        <v>445</v>
      </c>
      <c r="Z720" s="93">
        <f>'Q100a-geral'!Z2275</f>
        <v>477</v>
      </c>
      <c r="AA720" s="93">
        <f>'Q100a-geral'!AA2275</f>
        <v>475</v>
      </c>
      <c r="AB720" s="94">
        <f>'Q100a-geral'!AB2275</f>
        <v>503</v>
      </c>
      <c r="AC720" s="93">
        <f>'Q100a-geral'!AC2275</f>
        <v>523</v>
      </c>
      <c r="AD720" s="94">
        <f>'Q100a-geral'!AD2275</f>
        <v>604</v>
      </c>
      <c r="AE720" s="94">
        <f>'Q100a-geral'!AE2275</f>
        <v>632</v>
      </c>
      <c r="AF720" s="93">
        <f>'Q100a-geral'!AF2275</f>
        <v>711</v>
      </c>
      <c r="AG720" s="94">
        <f>'Q100a-geral'!AG2275</f>
        <v>775</v>
      </c>
      <c r="AH720" s="94">
        <f>'Q100a-geral'!AH2275</f>
        <v>795</v>
      </c>
      <c r="AI720" s="94">
        <f>'Q100a-geral'!AI2275</f>
        <v>791</v>
      </c>
      <c r="AJ720" s="94">
        <f>'Q100a-geral'!AJ2275</f>
        <v>815</v>
      </c>
      <c r="AK720" s="84">
        <f>'Q100a-geral'!AK2275</f>
        <v>817</v>
      </c>
      <c r="AL720" s="212" t="str">
        <f>'Q100a-geral'!AL2275</f>
        <v>x</v>
      </c>
      <c r="AM720" s="137" t="str">
        <f>'Q100a-geral'!AM2275</f>
        <v>x</v>
      </c>
      <c r="AN720" s="137" t="str">
        <f>'Q100a-geral'!AN2275</f>
        <v>x</v>
      </c>
      <c r="AO720" s="137" t="str">
        <f>'Q100a-geral'!AO2275</f>
        <v>x</v>
      </c>
      <c r="AP720" s="137" t="str">
        <f>'Q100a-geral'!AP2275</f>
        <v>x</v>
      </c>
      <c r="AQ720" s="137" t="str">
        <f>'Q100a-geral'!AQ2275</f>
        <v>x</v>
      </c>
      <c r="AR720" s="137"/>
      <c r="AS720" s="137"/>
      <c r="AT720" s="137"/>
      <c r="AU720" s="137"/>
      <c r="AV720" s="137" t="str">
        <f>'Q100a-geral'!AV2275</f>
        <v>x</v>
      </c>
      <c r="AW720" s="137"/>
      <c r="AX720" s="137"/>
      <c r="AY720" s="137"/>
      <c r="AZ720" s="137"/>
      <c r="BA720" s="137" t="str">
        <f>'Q100a-geral'!BA2275</f>
        <v>x</v>
      </c>
      <c r="BB720" s="239" t="str">
        <f>'Q100a-geral'!BB2275</f>
        <v>Estacionamento-</v>
      </c>
      <c r="BC720" s="239" t="str">
        <f>'Q100a-geral'!BC2275</f>
        <v>Estacionamento-x</v>
      </c>
      <c r="BD720" s="239" t="str">
        <f>'Q100a-geral'!BD2275</f>
        <v>Estacionamentox</v>
      </c>
      <c r="BM720" s="46"/>
      <c r="BN720" s="46"/>
      <c r="BO720" s="46"/>
      <c r="BP720" s="46"/>
      <c r="BQ720" s="46"/>
    </row>
    <row r="721" spans="1:69" ht="114.75" customHeight="1" x14ac:dyDescent="0.25">
      <c r="A721" s="275" t="str">
        <f>'Q100a-geral'!A2276</f>
        <v>9.2</v>
      </c>
      <c r="B721" s="53" t="str">
        <f>'Q100a-geral'!B2276</f>
        <v>Estacionamento</v>
      </c>
      <c r="C721" s="229" t="str">
        <f>'Q100a-geral'!C2276</f>
        <v>-</v>
      </c>
      <c r="D721" s="336" t="str">
        <f>'Q100a-geral'!D2276</f>
        <v>RT rot</v>
      </c>
      <c r="E721" s="355" t="str">
        <f>'Q100a-geral'!E2276</f>
        <v>Belo Horizonte</v>
      </c>
      <c r="F721" s="492" t="str">
        <f>'Q100a-geral'!F2276</f>
        <v>rotatividade média no estacionamento rotativo (expressa em n.º de veículos estacionados por vaga)
obs.1: o "n.º de veículos diferentes estacionados" é o valor apurado em cada pesquisa, em determinado trecho e em determinado período; o "n.º de vagas físicas existentes" é o valor apurado no trecho pesquisado; o "n.º de pesquisas realizadas" é o valor apurado em todos os trechos de um mesmo período
obs.2: o valor anual é tomado como sendo o valor apurado em dezembro de cada ano, com resultados de 2001-2014 conforme BHTRANS(2015k; 2015m); de 2014-2015 conforme BHTRANS(2016z)</v>
      </c>
      <c r="G721" s="188" t="str">
        <f>'Q100a-geral'!G2276</f>
        <v>registro na fonte
∑ (n.º de veículos diferentes estacionados / n.º de vagas físicas existentes) 
/ n.º de pesquisas realizadas</v>
      </c>
      <c r="H721" s="168" t="str">
        <f>'Q100a-geral'!H2276</f>
        <v>x</v>
      </c>
      <c r="I721" s="167">
        <f>'Q100a-geral'!I2276</f>
        <v>1</v>
      </c>
      <c r="J721" s="107" t="str">
        <f>'Q100a-geral'!J2276</f>
        <v>x</v>
      </c>
      <c r="K721" s="84" t="str">
        <f>'Q100a-geral'!K2276</f>
        <v>x</v>
      </c>
      <c r="L721" s="84" t="str">
        <f>'Q100a-geral'!L2276</f>
        <v>x</v>
      </c>
      <c r="M721" s="84" t="str">
        <f>'Q100a-geral'!M2276</f>
        <v>x</v>
      </c>
      <c r="N721" s="84" t="str">
        <f>'Q100a-geral'!N2276</f>
        <v>x</v>
      </c>
      <c r="O721" s="84" t="str">
        <f>'Q100a-geral'!O2276</f>
        <v>x</v>
      </c>
      <c r="P721" s="84" t="str">
        <f>'Q100a-geral'!P2276</f>
        <v>x</v>
      </c>
      <c r="Q721" s="84" t="str">
        <f>'Q100a-geral'!Q2276</f>
        <v>x</v>
      </c>
      <c r="R721" s="84" t="str">
        <f>'Q100a-geral'!R2276</f>
        <v>x</v>
      </c>
      <c r="S721" s="649" t="str">
        <f>'Q100a-geral'!S2276</f>
        <v>só para pesquisa</v>
      </c>
      <c r="T721" s="84" t="str">
        <f>'Q100a-geral'!T2276</f>
        <v>x</v>
      </c>
      <c r="U721" s="84" t="str">
        <f>'Q100a-geral'!U2276</f>
        <v>x</v>
      </c>
      <c r="V721" s="107" t="str">
        <f>'Q100a-geral'!V2276</f>
        <v>só para pesquisa</v>
      </c>
      <c r="W721" s="84">
        <f>'Q100a-geral'!W2276</f>
        <v>3.35</v>
      </c>
      <c r="X721" s="84">
        <f>'Q100a-geral'!X2276</f>
        <v>3.49</v>
      </c>
      <c r="Y721" s="84">
        <f>'Q100a-geral'!Y2276</f>
        <v>3.62</v>
      </c>
      <c r="Z721" s="84">
        <f>'Q100a-geral'!Z2276</f>
        <v>3.98</v>
      </c>
      <c r="AA721" s="84">
        <f>'Q100a-geral'!AA2276</f>
        <v>3.73</v>
      </c>
      <c r="AB721" s="84">
        <f>'Q100a-geral'!AB2276</f>
        <v>3.58</v>
      </c>
      <c r="AC721" s="84">
        <f>'Q100a-geral'!AC2276</f>
        <v>3.36</v>
      </c>
      <c r="AD721" s="84">
        <f>'Q100a-geral'!AD2276</f>
        <v>3.82</v>
      </c>
      <c r="AE721" s="83">
        <f>'Q100a-geral'!AE2276</f>
        <v>3.93</v>
      </c>
      <c r="AF721" s="83">
        <f>'Q100a-geral'!AF2276</f>
        <v>3.65</v>
      </c>
      <c r="AG721" s="83">
        <f>'Q100a-geral'!AG2276</f>
        <v>3.52</v>
      </c>
      <c r="AH721" s="83">
        <f>'Q100a-geral'!AH2276</f>
        <v>3.34</v>
      </c>
      <c r="AI721" s="83">
        <f>'Q100a-geral'!AI2276</f>
        <v>3.13</v>
      </c>
      <c r="AJ721" s="83">
        <f>'Q100a-geral'!AJ2276</f>
        <v>2.92</v>
      </c>
      <c r="AK721" s="83">
        <f>'Q100a-geral'!AK2276</f>
        <v>2.57</v>
      </c>
      <c r="AL721" s="212" t="str">
        <f>'Q100a-geral'!AL2276</f>
        <v>x</v>
      </c>
      <c r="AM721" s="137" t="str">
        <f>'Q100a-geral'!AM2276</f>
        <v>x</v>
      </c>
      <c r="AN721" s="137" t="str">
        <f>'Q100a-geral'!AN2276</f>
        <v>x</v>
      </c>
      <c r="AO721" s="137" t="str">
        <f>'Q100a-geral'!AO2276</f>
        <v>x</v>
      </c>
      <c r="AP721" s="137" t="str">
        <f>'Q100a-geral'!AP2276</f>
        <v>x</v>
      </c>
      <c r="AQ721" s="137" t="str">
        <f>'Q100a-geral'!AQ2276</f>
        <v>x</v>
      </c>
      <c r="AR721" s="137"/>
      <c r="AS721" s="137"/>
      <c r="AT721" s="137"/>
      <c r="AU721" s="137"/>
      <c r="AV721" s="137" t="str">
        <f>'Q100a-geral'!AV2276</f>
        <v>x</v>
      </c>
      <c r="AW721" s="137"/>
      <c r="AX721" s="137"/>
      <c r="AY721" s="137"/>
      <c r="AZ721" s="137"/>
      <c r="BA721" s="137" t="str">
        <f>'Q100a-geral'!BA2276</f>
        <v>x</v>
      </c>
      <c r="BB721" s="239" t="str">
        <f>'Q100a-geral'!BB2276</f>
        <v>Estacionamento-</v>
      </c>
      <c r="BC721" s="239" t="str">
        <f>'Q100a-geral'!BC2276</f>
        <v>Estacionamento-x</v>
      </c>
      <c r="BD721" s="239" t="str">
        <f>'Q100a-geral'!BD2276</f>
        <v>Estacionamentox</v>
      </c>
      <c r="BM721" s="68"/>
      <c r="BN721" s="68"/>
      <c r="BO721" s="68"/>
      <c r="BP721" s="46"/>
      <c r="BQ721" s="46"/>
    </row>
    <row r="722" spans="1:69" ht="38.25" customHeight="1" x14ac:dyDescent="0.25">
      <c r="A722" s="275" t="str">
        <f>'Q100a-geral'!A2277</f>
        <v>9.2</v>
      </c>
      <c r="B722" s="53" t="str">
        <f>'Q100a-geral'!B2277</f>
        <v>Estacionamento</v>
      </c>
      <c r="C722" s="229" t="str">
        <f>'Q100a-geral'!C2277</f>
        <v>-</v>
      </c>
      <c r="D722" s="336" t="str">
        <f>'Q100a-geral'!D2277</f>
        <v>RT tl</v>
      </c>
      <c r="E722" s="355" t="str">
        <f>'Q100a-geral'!E2277</f>
        <v>Belo Horizonte</v>
      </c>
      <c r="F722" s="492" t="str">
        <f>'Q100a-geral'!F2277</f>
        <v>n.º de talões (com dez folhas/cada) de estacionamento rotativo vendidos no ano
obs.: resultados de 2001-2014 conforme BHTRANS(2015k; 2015m); de 2014-2015 conforme BHTRANS(2016z)</v>
      </c>
      <c r="G722" s="252" t="str">
        <f>'Q100a-geral'!G2277</f>
        <v>registro na fonte</v>
      </c>
      <c r="H722" s="168" t="str">
        <f>'Q100a-geral'!H2277</f>
        <v>x</v>
      </c>
      <c r="I722" s="167">
        <f>'Q100a-geral'!I2277</f>
        <v>1</v>
      </c>
      <c r="J722" s="107" t="str">
        <f>'Q100a-geral'!J2277</f>
        <v>x</v>
      </c>
      <c r="K722" s="84" t="str">
        <f>'Q100a-geral'!K2277</f>
        <v>x</v>
      </c>
      <c r="L722" s="84" t="str">
        <f>'Q100a-geral'!L2277</f>
        <v>x</v>
      </c>
      <c r="M722" s="84" t="str">
        <f>'Q100a-geral'!M2277</f>
        <v>x</v>
      </c>
      <c r="N722" s="84" t="str">
        <f>'Q100a-geral'!N2277</f>
        <v>x</v>
      </c>
      <c r="O722" s="84" t="str">
        <f>'Q100a-geral'!O2277</f>
        <v>x</v>
      </c>
      <c r="P722" s="84" t="str">
        <f>'Q100a-geral'!P2277</f>
        <v>x</v>
      </c>
      <c r="Q722" s="84" t="str">
        <f>'Q100a-geral'!Q2277</f>
        <v>x</v>
      </c>
      <c r="R722" s="84" t="str">
        <f>'Q100a-geral'!R2277</f>
        <v>x</v>
      </c>
      <c r="S722" s="649" t="str">
        <f>'Q100a-geral'!S2277</f>
        <v>só para pesquisa</v>
      </c>
      <c r="T722" s="84" t="str">
        <f>'Q100a-geral'!T2277</f>
        <v>x</v>
      </c>
      <c r="U722" s="84" t="str">
        <f>'Q100a-geral'!U2277</f>
        <v>x</v>
      </c>
      <c r="V722" s="107" t="str">
        <f>'Q100a-geral'!V2277</f>
        <v>só para pesquisa</v>
      </c>
      <c r="W722" s="86">
        <f>'Q100a-geral'!W2277</f>
        <v>549520</v>
      </c>
      <c r="X722" s="86">
        <f>'Q100a-geral'!X2277</f>
        <v>585209</v>
      </c>
      <c r="Y722" s="86">
        <f>'Q100a-geral'!Y2277</f>
        <v>496995</v>
      </c>
      <c r="Z722" s="86">
        <f>'Q100a-geral'!Z2277</f>
        <v>591429</v>
      </c>
      <c r="AA722" s="86">
        <f>'Q100a-geral'!AA2277</f>
        <v>579591</v>
      </c>
      <c r="AB722" s="86">
        <f>'Q100a-geral'!AB2277</f>
        <v>571073</v>
      </c>
      <c r="AC722" s="86">
        <f>'Q100a-geral'!AC2277</f>
        <v>580569</v>
      </c>
      <c r="AD722" s="86">
        <f>'Q100a-geral'!AD2277</f>
        <v>605732</v>
      </c>
      <c r="AE722" s="86">
        <f>'Q100a-geral'!AE2277</f>
        <v>608773</v>
      </c>
      <c r="AF722" s="86">
        <f>'Q100a-geral'!AF2277</f>
        <v>612265</v>
      </c>
      <c r="AG722" s="86">
        <f>'Q100a-geral'!AG2277</f>
        <v>645076</v>
      </c>
      <c r="AH722" s="86">
        <f>'Q100a-geral'!AH2277</f>
        <v>700777</v>
      </c>
      <c r="AI722" s="86">
        <f>'Q100a-geral'!AI2277</f>
        <v>639170</v>
      </c>
      <c r="AJ722" s="86">
        <f>'Q100a-geral'!AJ2277</f>
        <v>579651</v>
      </c>
      <c r="AK722" s="86">
        <f>'Q100a-geral'!AK2277</f>
        <v>553890</v>
      </c>
      <c r="AL722" s="212" t="str">
        <f>'Q100a-geral'!AL2277</f>
        <v>x</v>
      </c>
      <c r="AM722" s="137" t="str">
        <f>'Q100a-geral'!AM2277</f>
        <v>x</v>
      </c>
      <c r="AN722" s="137" t="str">
        <f>'Q100a-geral'!AN2277</f>
        <v>x</v>
      </c>
      <c r="AO722" s="137" t="str">
        <f>'Q100a-geral'!AO2277</f>
        <v>x</v>
      </c>
      <c r="AP722" s="137" t="str">
        <f>'Q100a-geral'!AP2277</f>
        <v>x</v>
      </c>
      <c r="AQ722" s="137" t="str">
        <f>'Q100a-geral'!AQ2277</f>
        <v>x</v>
      </c>
      <c r="AR722" s="137"/>
      <c r="AS722" s="137"/>
      <c r="AT722" s="137"/>
      <c r="AU722" s="137"/>
      <c r="AV722" s="137" t="str">
        <f>'Q100a-geral'!AV2277</f>
        <v>x</v>
      </c>
      <c r="AW722" s="137"/>
      <c r="AX722" s="137"/>
      <c r="AY722" s="137"/>
      <c r="AZ722" s="137"/>
      <c r="BA722" s="137" t="str">
        <f>'Q100a-geral'!BA2277</f>
        <v>x</v>
      </c>
      <c r="BB722" s="239" t="str">
        <f>'Q100a-geral'!BB2277</f>
        <v>Estacionamento-</v>
      </c>
      <c r="BC722" s="239" t="str">
        <f>'Q100a-geral'!BC2277</f>
        <v>Estacionamento-x</v>
      </c>
      <c r="BD722" s="239" t="str">
        <f>'Q100a-geral'!BD2277</f>
        <v>Estacionamentox</v>
      </c>
      <c r="BM722" s="68"/>
      <c r="BN722" s="68"/>
      <c r="BO722" s="68"/>
    </row>
    <row r="723" spans="1:69" ht="99.75" customHeight="1" x14ac:dyDescent="0.25">
      <c r="A723" s="275" t="str">
        <f>'Q100a-geral'!A2278</f>
        <v>9.2</v>
      </c>
      <c r="B723" s="53" t="str">
        <f>'Q100a-geral'!B2278</f>
        <v>Estacionamento</v>
      </c>
      <c r="C723" s="229" t="str">
        <f>'Q100a-geral'!C2278</f>
        <v>-</v>
      </c>
      <c r="D723" s="240" t="str">
        <f>'Q100a-geral'!D2278</f>
        <v>RT ve</v>
      </c>
      <c r="E723" s="252" t="str">
        <f>'Q100a-geral'!E2278</f>
        <v>Belo Horizonte</v>
      </c>
      <c r="F723" s="446" t="str">
        <f>'Q100a-geral'!F2278</f>
        <v>média de veículos estacionados nos quarteirões regulamentados como estacionamento rotativo (expressa em n.º de veículos/dia)
obs.1: o "n.º de veículos estacionados" é o valor apurado em cada pesquisa, em determinado trecho e em determinado período; o "n.º de pesquisas realizadas" é o valor apurado em todos os trechos de um mesmo período
obs.2: o valor anual é tomado como sendo o valor apurado em dezembro de cada ano, com resultados de 2001-2014 conforme BHTRANS(2015k; 2015m); de 2014-2015 conforme BHTRANS(2016z)</v>
      </c>
      <c r="G723" s="188" t="str">
        <f>'Q100a-geral'!G2278</f>
        <v>registro na fonte
∑ (n.º de veículos estacionados em cada pesquisa) 
/ n.º de pesquisas realizadas</v>
      </c>
      <c r="H723" s="168" t="str">
        <f>'Q100a-geral'!H2278</f>
        <v>x</v>
      </c>
      <c r="I723" s="167">
        <f>'Q100a-geral'!I2278</f>
        <v>1</v>
      </c>
      <c r="J723" s="107" t="str">
        <f>'Q100a-geral'!J2278</f>
        <v>x</v>
      </c>
      <c r="K723" s="84" t="str">
        <f>'Q100a-geral'!K2278</f>
        <v>x</v>
      </c>
      <c r="L723" s="84" t="str">
        <f>'Q100a-geral'!L2278</f>
        <v>x</v>
      </c>
      <c r="M723" s="84" t="str">
        <f>'Q100a-geral'!M2278</f>
        <v>x</v>
      </c>
      <c r="N723" s="84" t="str">
        <f>'Q100a-geral'!N2278</f>
        <v>x</v>
      </c>
      <c r="O723" s="84" t="str">
        <f>'Q100a-geral'!O2278</f>
        <v>x</v>
      </c>
      <c r="P723" s="84" t="str">
        <f>'Q100a-geral'!P2278</f>
        <v>x</v>
      </c>
      <c r="Q723" s="84" t="str">
        <f>'Q100a-geral'!Q2278</f>
        <v>x</v>
      </c>
      <c r="R723" s="84" t="str">
        <f>'Q100a-geral'!R2278</f>
        <v>x</v>
      </c>
      <c r="S723" s="649" t="str">
        <f>'Q100a-geral'!S2278</f>
        <v>só para pesquisa</v>
      </c>
      <c r="T723" s="84" t="str">
        <f>'Q100a-geral'!T2278</f>
        <v>x</v>
      </c>
      <c r="U723" s="84" t="str">
        <f>'Q100a-geral'!U2278</f>
        <v>x</v>
      </c>
      <c r="V723" s="107" t="str">
        <f>'Q100a-geral'!V2278</f>
        <v>só para pesquisa</v>
      </c>
      <c r="W723" s="86">
        <f>'Q100a-geral'!W2278</f>
        <v>40939</v>
      </c>
      <c r="X723" s="86">
        <f>'Q100a-geral'!X2278</f>
        <v>40621</v>
      </c>
      <c r="Y723" s="86">
        <f>'Q100a-geral'!Y2278</f>
        <v>42823</v>
      </c>
      <c r="Z723" s="86">
        <f>'Q100a-geral'!Z2278</f>
        <v>48114</v>
      </c>
      <c r="AA723" s="86">
        <f>'Q100a-geral'!AA2278</f>
        <v>38407</v>
      </c>
      <c r="AB723" s="86">
        <f>'Q100a-geral'!AB2278</f>
        <v>45715</v>
      </c>
      <c r="AC723" s="86">
        <f>'Q100a-geral'!AC2278</f>
        <v>43674</v>
      </c>
      <c r="AD723" s="86">
        <f>'Q100a-geral'!AD2278</f>
        <v>56852</v>
      </c>
      <c r="AE723" s="86">
        <f>'Q100a-geral'!AE2278</f>
        <v>57895</v>
      </c>
      <c r="AF723" s="86">
        <f>'Q100a-geral'!AF2278</f>
        <v>62460</v>
      </c>
      <c r="AG723" s="86">
        <f>'Q100a-geral'!AG2278</f>
        <v>66467</v>
      </c>
      <c r="AH723" s="86">
        <f>'Q100a-geral'!AH2278</f>
        <v>66983</v>
      </c>
      <c r="AI723" s="86">
        <f>'Q100a-geral'!AI2278</f>
        <v>63627</v>
      </c>
      <c r="AJ723" s="86">
        <f>'Q100a-geral'!AJ2278</f>
        <v>58344</v>
      </c>
      <c r="AK723" s="86">
        <f>'Q100a-geral'!AK2278</f>
        <v>52163</v>
      </c>
      <c r="AL723" s="212" t="str">
        <f>'Q100a-geral'!AL2278</f>
        <v>x</v>
      </c>
      <c r="AM723" s="137" t="str">
        <f>'Q100a-geral'!AM2278</f>
        <v>x</v>
      </c>
      <c r="AN723" s="137" t="str">
        <f>'Q100a-geral'!AN2278</f>
        <v>x</v>
      </c>
      <c r="AO723" s="137" t="str">
        <f>'Q100a-geral'!AO2278</f>
        <v>x</v>
      </c>
      <c r="AP723" s="137" t="str">
        <f>'Q100a-geral'!AP2278</f>
        <v>x</v>
      </c>
      <c r="AQ723" s="137" t="str">
        <f>'Q100a-geral'!AQ2278</f>
        <v>x</v>
      </c>
      <c r="AR723" s="137"/>
      <c r="AS723" s="137"/>
      <c r="AT723" s="137"/>
      <c r="AU723" s="137"/>
      <c r="AV723" s="137" t="str">
        <f>'Q100a-geral'!AV2278</f>
        <v>x</v>
      </c>
      <c r="AW723" s="137"/>
      <c r="AX723" s="137"/>
      <c r="AY723" s="137"/>
      <c r="AZ723" s="137"/>
      <c r="BA723" s="137" t="str">
        <f>'Q100a-geral'!BA2278</f>
        <v>x</v>
      </c>
      <c r="BB723" s="239" t="str">
        <f>'Q100a-geral'!BB2278</f>
        <v>Estacionamento-</v>
      </c>
      <c r="BC723" s="239" t="str">
        <f>'Q100a-geral'!BC2278</f>
        <v>Estacionamento-x</v>
      </c>
      <c r="BD723" s="239" t="str">
        <f>'Q100a-geral'!BD2278</f>
        <v>Estacionamentox</v>
      </c>
      <c r="BM723" s="68"/>
      <c r="BN723" s="68"/>
      <c r="BO723" s="68"/>
    </row>
    <row r="724" spans="1:69" ht="38.25" customHeight="1" x14ac:dyDescent="0.25">
      <c r="A724" s="275" t="str">
        <f>'Q100a-geral'!A2279</f>
        <v>9.2</v>
      </c>
      <c r="B724" s="53" t="str">
        <f>'Q100a-geral'!B2279</f>
        <v>Estacionamento</v>
      </c>
      <c r="C724" s="229" t="str">
        <f>'Q100a-geral'!C2279</f>
        <v>x</v>
      </c>
      <c r="D724" s="336" t="str">
        <f>'Q100a-geral'!D2279</f>
        <v>RT vf</v>
      </c>
      <c r="E724" s="355" t="str">
        <f>'Q100a-geral'!E2279</f>
        <v>Belo Horizonte</v>
      </c>
      <c r="F724" s="492" t="str">
        <f>'Q100a-geral'!F2279</f>
        <v>n.º de vagas físicas para veículos da categoria "Facc"
obs.: o valor anual é tomado como sendo o valor apurado em dezembro de cada ano, com resultados de 2001-2014 conforme BHTRANS(2015k; 2015m); de 2014-2015 conforme BHTRANS(2016z)</v>
      </c>
      <c r="G724" s="252" t="str">
        <f>'Q100a-geral'!G2279</f>
        <v>registro na fonte</v>
      </c>
      <c r="H724" s="168" t="str">
        <f>'Q100a-geral'!H2279</f>
        <v>x</v>
      </c>
      <c r="I724" s="167">
        <f>'Q100a-geral'!I2279</f>
        <v>1</v>
      </c>
      <c r="J724" s="107" t="str">
        <f>'Q100a-geral'!J2279</f>
        <v>x</v>
      </c>
      <c r="K724" s="84" t="str">
        <f>'Q100a-geral'!K2279</f>
        <v>x</v>
      </c>
      <c r="L724" s="84" t="str">
        <f>'Q100a-geral'!L2279</f>
        <v>x</v>
      </c>
      <c r="M724" s="84" t="str">
        <f>'Q100a-geral'!M2279</f>
        <v>x</v>
      </c>
      <c r="N724" s="84" t="str">
        <f>'Q100a-geral'!N2279</f>
        <v>x</v>
      </c>
      <c r="O724" s="84" t="str">
        <f>'Q100a-geral'!O2279</f>
        <v>x</v>
      </c>
      <c r="P724" s="84" t="str">
        <f>'Q100a-geral'!P2279</f>
        <v>x</v>
      </c>
      <c r="Q724" s="84" t="str">
        <f>'Q100a-geral'!Q2279</f>
        <v>x</v>
      </c>
      <c r="R724" s="84" t="str">
        <f>'Q100a-geral'!R2279</f>
        <v>x</v>
      </c>
      <c r="S724" s="649" t="str">
        <f>'Q100a-geral'!S2279</f>
        <v>só para pesquisa</v>
      </c>
      <c r="T724" s="84" t="str">
        <f>'Q100a-geral'!T2279</f>
        <v>x</v>
      </c>
      <c r="U724" s="84" t="str">
        <f>'Q100a-geral'!U2279</f>
        <v>x</v>
      </c>
      <c r="V724" s="107" t="str">
        <f>'Q100a-geral'!V2279</f>
        <v>só para pesquisa</v>
      </c>
      <c r="W724" s="86">
        <f>'Q100a-geral'!W2279</f>
        <v>12387</v>
      </c>
      <c r="X724" s="86">
        <f>'Q100a-geral'!X2279</f>
        <v>12243</v>
      </c>
      <c r="Y724" s="86">
        <f>'Q100a-geral'!Y2279</f>
        <v>11956</v>
      </c>
      <c r="Z724" s="86">
        <f>'Q100a-geral'!Z2279</f>
        <v>12166</v>
      </c>
      <c r="AA724" s="86">
        <f>'Q100a-geral'!AA2279</f>
        <v>12172</v>
      </c>
      <c r="AB724" s="86">
        <f>'Q100a-geral'!AB2279</f>
        <v>13039</v>
      </c>
      <c r="AC724" s="86">
        <f>'Q100a-geral'!AC2279</f>
        <v>13563</v>
      </c>
      <c r="AD724" s="86">
        <f>'Q100a-geral'!AD2279</f>
        <v>15340</v>
      </c>
      <c r="AE724" s="86">
        <f>'Q100a-geral'!AE2279</f>
        <v>16099</v>
      </c>
      <c r="AF724" s="86">
        <f>'Q100a-geral'!AF2279</f>
        <v>18685</v>
      </c>
      <c r="AG724" s="86">
        <f>'Q100a-geral'!AG2279</f>
        <v>20619</v>
      </c>
      <c r="AH724" s="86">
        <f>'Q100a-geral'!AH2279</f>
        <v>20806</v>
      </c>
      <c r="AI724" s="86">
        <f>'Q100a-geral'!AI2279</f>
        <v>20828</v>
      </c>
      <c r="AJ724" s="86">
        <f>'Q100a-geral'!AJ2279</f>
        <v>21071</v>
      </c>
      <c r="AK724" s="86">
        <f>'Q100a-geral'!AK2279</f>
        <v>21272</v>
      </c>
      <c r="AL724" s="212" t="str">
        <f>'Q100a-geral'!AL2279</f>
        <v>x</v>
      </c>
      <c r="AM724" s="137" t="str">
        <f>'Q100a-geral'!AM2279</f>
        <v>x</v>
      </c>
      <c r="AN724" s="137" t="str">
        <f>'Q100a-geral'!AN2279</f>
        <v>x</v>
      </c>
      <c r="AO724" s="137" t="str">
        <f>'Q100a-geral'!AO2279</f>
        <v>x</v>
      </c>
      <c r="AP724" s="137" t="str">
        <f>'Q100a-geral'!AP2279</f>
        <v>x</v>
      </c>
      <c r="AQ724" s="137" t="str">
        <f>'Q100a-geral'!AQ2279</f>
        <v>x</v>
      </c>
      <c r="AR724" s="137"/>
      <c r="AS724" s="137"/>
      <c r="AT724" s="137"/>
      <c r="AU724" s="137"/>
      <c r="AV724" s="137" t="str">
        <f>'Q100a-geral'!AV2279</f>
        <v>x</v>
      </c>
      <c r="AW724" s="137"/>
      <c r="AX724" s="137"/>
      <c r="AY724" s="137"/>
      <c r="AZ724" s="137"/>
      <c r="BA724" s="137" t="str">
        <f>'Q100a-geral'!BA2279</f>
        <v>x</v>
      </c>
      <c r="BB724" s="239" t="str">
        <f>'Q100a-geral'!BB2279</f>
        <v>Estacionamentox</v>
      </c>
      <c r="BC724" s="239" t="str">
        <f>'Q100a-geral'!BC2279</f>
        <v>Estacionamentoxx</v>
      </c>
      <c r="BD724" s="239" t="str">
        <f>'Q100a-geral'!BD2279</f>
        <v>Estacionamentox</v>
      </c>
      <c r="BM724" s="68"/>
      <c r="BN724" s="68"/>
      <c r="BO724" s="68"/>
    </row>
    <row r="725" spans="1:69" ht="25.5" customHeight="1" x14ac:dyDescent="0.25">
      <c r="A725" s="275" t="str">
        <f>'Q100a-geral'!A2280</f>
        <v>9.2</v>
      </c>
      <c r="B725" s="53" t="str">
        <f>'Q100a-geral'!B2280</f>
        <v>Estacionamento</v>
      </c>
      <c r="C725" s="230" t="str">
        <f>'Q100a-geral'!C2280</f>
        <v>acessibilidade</v>
      </c>
      <c r="D725" s="240" t="str">
        <f>'Q100a-geral'!D2280</f>
        <v>RT vfd</v>
      </c>
      <c r="E725" s="252" t="str">
        <f>'Q100a-geral'!E2280</f>
        <v>Belo Horizonte</v>
      </c>
      <c r="F725" s="446" t="str">
        <f>'Q100a-geral'!F2280</f>
        <v>n.º de vagas físicas reservadas para pessoa com deficiência em quarteirão rotativo (BHTRANS, 2015k; 2015m)
obs.: resultados de 2002-2014 conforme BHTRANS(2015k; 2015m); 2002-2015 conforme BHTRANS(2016z2)</v>
      </c>
      <c r="G725" s="252" t="str">
        <f>'Q100a-geral'!G2280</f>
        <v>registro na fonte</v>
      </c>
      <c r="H725" s="168" t="str">
        <f>'Q100a-geral'!H2280</f>
        <v>x</v>
      </c>
      <c r="I725" s="57">
        <f>'Q100a-geral'!I2280</f>
        <v>1</v>
      </c>
      <c r="J725" s="107" t="str">
        <f>'Q100a-geral'!J2280</f>
        <v>x</v>
      </c>
      <c r="K725" s="84" t="str">
        <f>'Q100a-geral'!K2280</f>
        <v>x</v>
      </c>
      <c r="L725" s="84" t="str">
        <f>'Q100a-geral'!L2280</f>
        <v>x</v>
      </c>
      <c r="M725" s="84" t="str">
        <f>'Q100a-geral'!M2280</f>
        <v>x</v>
      </c>
      <c r="N725" s="84" t="str">
        <f>'Q100a-geral'!N2280</f>
        <v>x</v>
      </c>
      <c r="O725" s="84" t="str">
        <f>'Q100a-geral'!O2280</f>
        <v>x</v>
      </c>
      <c r="P725" s="84" t="str">
        <f>'Q100a-geral'!P2280</f>
        <v>x</v>
      </c>
      <c r="Q725" s="84" t="str">
        <f>'Q100a-geral'!Q2280</f>
        <v>x</v>
      </c>
      <c r="R725" s="84" t="str">
        <f>'Q100a-geral'!R2280</f>
        <v>x</v>
      </c>
      <c r="S725" s="649" t="str">
        <f>'Q100a-geral'!S2280</f>
        <v>só para pesquisa</v>
      </c>
      <c r="T725" s="84" t="str">
        <f>'Q100a-geral'!T2280</f>
        <v>x</v>
      </c>
      <c r="U725" s="84" t="str">
        <f>'Q100a-geral'!U2280</f>
        <v>x</v>
      </c>
      <c r="V725" s="107" t="str">
        <f>'Q100a-geral'!V2280</f>
        <v>só para pesquisa</v>
      </c>
      <c r="W725" s="84" t="str">
        <f>'Q100a-geral'!W2280</f>
        <v>x</v>
      </c>
      <c r="X725" s="84">
        <f>'Q100a-geral'!X2280</f>
        <v>77</v>
      </c>
      <c r="Y725" s="84">
        <f>'Q100a-geral'!Y2280</f>
        <v>154</v>
      </c>
      <c r="Z725" s="84">
        <f>'Q100a-geral'!Z2280</f>
        <v>282</v>
      </c>
      <c r="AA725" s="84">
        <f>'Q100a-geral'!AA2280</f>
        <v>286</v>
      </c>
      <c r="AB725" s="84">
        <f>'Q100a-geral'!AB2280</f>
        <v>290</v>
      </c>
      <c r="AC725" s="84">
        <f>'Q100a-geral'!AC2280</f>
        <v>302</v>
      </c>
      <c r="AD725" s="84">
        <f>'Q100a-geral'!AD2280</f>
        <v>322</v>
      </c>
      <c r="AE725" s="84">
        <f>'Q100a-geral'!AE2280</f>
        <v>339</v>
      </c>
      <c r="AF725" s="84">
        <f>'Q100a-geral'!AF2280</f>
        <v>364</v>
      </c>
      <c r="AG725" s="84">
        <f>'Q100a-geral'!AG2280</f>
        <v>396</v>
      </c>
      <c r="AH725" s="84">
        <f>'Q100a-geral'!AH2280</f>
        <v>423</v>
      </c>
      <c r="AI725" s="84">
        <f>'Q100a-geral'!AI2280</f>
        <v>433</v>
      </c>
      <c r="AJ725" s="84">
        <f>'Q100a-geral'!AJ2280</f>
        <v>451</v>
      </c>
      <c r="AK725" s="84">
        <f>'Q100a-geral'!AK2280</f>
        <v>466</v>
      </c>
      <c r="AL725" s="212" t="str">
        <f>'Q100a-geral'!AL2280</f>
        <v>x</v>
      </c>
      <c r="AM725" s="137" t="str">
        <f>'Q100a-geral'!AM2280</f>
        <v>x</v>
      </c>
      <c r="AN725" s="137" t="str">
        <f>'Q100a-geral'!AN2280</f>
        <v>x</v>
      </c>
      <c r="AO725" s="137" t="str">
        <f>'Q100a-geral'!AO2280</f>
        <v>x</v>
      </c>
      <c r="AP725" s="137" t="str">
        <f>'Q100a-geral'!AP2280</f>
        <v>x</v>
      </c>
      <c r="AQ725" s="137" t="str">
        <f>'Q100a-geral'!AQ2280</f>
        <v>x</v>
      </c>
      <c r="AR725" s="137"/>
      <c r="AS725" s="137"/>
      <c r="AT725" s="137"/>
      <c r="AU725" s="137"/>
      <c r="AV725" s="137" t="str">
        <f>'Q100a-geral'!AV2280</f>
        <v>x</v>
      </c>
      <c r="AW725" s="137"/>
      <c r="AX725" s="137"/>
      <c r="AY725" s="137"/>
      <c r="AZ725" s="137"/>
      <c r="BA725" s="137" t="str">
        <f>'Q100a-geral'!BA2280</f>
        <v>x</v>
      </c>
      <c r="BB725" s="239" t="str">
        <f>'Q100a-geral'!BB2280</f>
        <v>Estacionamentoacessibilidade</v>
      </c>
      <c r="BC725" s="239" t="str">
        <f>'Q100a-geral'!BC2280</f>
        <v>Estacionamentoacessibilidadex</v>
      </c>
      <c r="BD725" s="239" t="str">
        <f>'Q100a-geral'!BD2280</f>
        <v>Estacionamentox</v>
      </c>
      <c r="BM725" s="68"/>
      <c r="BN725" s="68"/>
      <c r="BO725" s="68"/>
    </row>
    <row r="726" spans="1:69" ht="102" customHeight="1" x14ac:dyDescent="0.25">
      <c r="A726" s="275" t="str">
        <f>'Q100a-geral'!A2281</f>
        <v>9.2</v>
      </c>
      <c r="B726" s="53" t="str">
        <f>'Q100a-geral'!B2281</f>
        <v>Estacionamento</v>
      </c>
      <c r="C726" s="230" t="str">
        <f>'Q100a-geral'!C2281</f>
        <v>acessibilidade</v>
      </c>
      <c r="D726" s="336" t="str">
        <f>'Q100a-geral'!D2281</f>
        <v>RT vfd / RT vf
% de vagas reservadas para PcD</v>
      </c>
      <c r="E726" s="355" t="str">
        <f>'Q100a-geral'!E2281</f>
        <v>Belo Horizonte</v>
      </c>
      <c r="F726" s="492" t="str">
        <f>'Q100a-geral'!F2281</f>
        <v>percentual de vagas físicas reservadas para PcD em quarteirão rotativo, em relação ao total de vagas físicas rotativas
obs.1: esse resultado é uma aproximação do que, efetivamente, seria o "% de vagas reservadas para PcD", pois o correto seria usar como denominador o n.º total de vagas de estacionamento existentes (rotativas ou não) nos quarteirões rotativos (em vez de n.º de vagas físicas rotativas), mas essa é uma variável para a qual não há resultados disponíveis
obs.2: acesse o verbete "estacionamento reservado para PcD"</v>
      </c>
      <c r="G726" s="252" t="str">
        <f>'Q100a-geral'!G2281</f>
        <v>(RT vfd / RT vf) x 100</v>
      </c>
      <c r="H726" s="168" t="str">
        <f>'Q100a-geral'!H2281</f>
        <v>x</v>
      </c>
      <c r="I726" s="57">
        <f>'Q100a-geral'!I2281</f>
        <v>1</v>
      </c>
      <c r="J726" s="107" t="str">
        <f>'Q100a-geral'!J2281</f>
        <v>x</v>
      </c>
      <c r="K726" s="23" t="str">
        <f>'Q100a-geral'!K2281</f>
        <v>x</v>
      </c>
      <c r="L726" s="23" t="str">
        <f>'Q100a-geral'!L2281</f>
        <v>x</v>
      </c>
      <c r="M726" s="23" t="str">
        <f>'Q100a-geral'!M2281</f>
        <v>x</v>
      </c>
      <c r="N726" s="23" t="str">
        <f>'Q100a-geral'!N2281</f>
        <v>x</v>
      </c>
      <c r="O726" s="23" t="str">
        <f>'Q100a-geral'!O2281</f>
        <v>x</v>
      </c>
      <c r="P726" s="23" t="str">
        <f>'Q100a-geral'!P2281</f>
        <v>x</v>
      </c>
      <c r="Q726" s="23" t="str">
        <f>'Q100a-geral'!Q2281</f>
        <v>x</v>
      </c>
      <c r="R726" s="23" t="str">
        <f>'Q100a-geral'!R2281</f>
        <v>x</v>
      </c>
      <c r="S726" s="649" t="str">
        <f>'Q100a-geral'!S2281</f>
        <v>só para pesquisa</v>
      </c>
      <c r="T726" s="23" t="str">
        <f>'Q100a-geral'!T2281</f>
        <v>x</v>
      </c>
      <c r="U726" s="133"/>
      <c r="V726" s="107" t="str">
        <f>'Q100a-geral'!V2281</f>
        <v>só para pesquisa</v>
      </c>
      <c r="W726" s="133"/>
      <c r="X726" s="47">
        <f>'Q100a-geral'!X2281</f>
        <v>6.2893081761006293E-3</v>
      </c>
      <c r="Y726" s="47">
        <f>'Q100a-geral'!Y2281</f>
        <v>1.288056206088993E-2</v>
      </c>
      <c r="Z726" s="47">
        <f>'Q100a-geral'!Z2281</f>
        <v>2.3179352293276344E-2</v>
      </c>
      <c r="AA726" s="47">
        <f>'Q100a-geral'!AA2281</f>
        <v>2.3496549457771937E-2</v>
      </c>
      <c r="AB726" s="47">
        <f>'Q100a-geral'!AB2281</f>
        <v>2.2240969399493826E-2</v>
      </c>
      <c r="AC726" s="47">
        <f>'Q100a-geral'!AC2281</f>
        <v>2.2266460222664604E-2</v>
      </c>
      <c r="AD726" s="47">
        <f>'Q100a-geral'!AD2281</f>
        <v>2.0990873533246416E-2</v>
      </c>
      <c r="AE726" s="47">
        <f>'Q100a-geral'!AE2281</f>
        <v>2.1057208522268465E-2</v>
      </c>
      <c r="AF726" s="47">
        <f>'Q100a-geral'!AF2281</f>
        <v>1.948086700561948E-2</v>
      </c>
      <c r="AG726" s="47">
        <f>'Q100a-geral'!AG2281</f>
        <v>1.9205587079877781E-2</v>
      </c>
      <c r="AH726" s="47">
        <f>'Q100a-geral'!AH2281</f>
        <v>2.0330673844083439E-2</v>
      </c>
      <c r="AI726" s="47">
        <f>'Q100a-geral'!AI2281</f>
        <v>2.0789322066449012E-2</v>
      </c>
      <c r="AJ726" s="47">
        <f>'Q100a-geral'!AJ2281</f>
        <v>2.140382516254568E-2</v>
      </c>
      <c r="AK726" s="47">
        <f>'Q100a-geral'!AK2281</f>
        <v>2.1906731854080482E-2</v>
      </c>
      <c r="AL726" s="212" t="str">
        <f>'Q100a-geral'!AL2281</f>
        <v>x</v>
      </c>
      <c r="AM726" s="137" t="str">
        <f>'Q100a-geral'!AM2281</f>
        <v>x</v>
      </c>
      <c r="AN726" s="137" t="str">
        <f>'Q100a-geral'!AN2281</f>
        <v>x</v>
      </c>
      <c r="AO726" s="137" t="str">
        <f>'Q100a-geral'!AO2281</f>
        <v>x</v>
      </c>
      <c r="AP726" s="137" t="str">
        <f>'Q100a-geral'!AP2281</f>
        <v>x</v>
      </c>
      <c r="AQ726" s="137" t="str">
        <f>'Q100a-geral'!AQ2281</f>
        <v>x</v>
      </c>
      <c r="AR726" s="137"/>
      <c r="AS726" s="137"/>
      <c r="AT726" s="137"/>
      <c r="AU726" s="137"/>
      <c r="AV726" s="137" t="str">
        <f>'Q100a-geral'!AV2281</f>
        <v>x</v>
      </c>
      <c r="AW726" s="137"/>
      <c r="AX726" s="137"/>
      <c r="AY726" s="137"/>
      <c r="AZ726" s="137"/>
      <c r="BA726" s="137" t="str">
        <f>'Q100a-geral'!BA2281</f>
        <v>x</v>
      </c>
      <c r="BB726" s="239" t="str">
        <f>'Q100a-geral'!BB2281</f>
        <v>Estacionamentoacessibilidade</v>
      </c>
      <c r="BC726" s="239" t="str">
        <f>'Q100a-geral'!BC2281</f>
        <v>Estacionamentoacessibilidadex</v>
      </c>
      <c r="BD726" s="239" t="str">
        <f>'Q100a-geral'!BD2281</f>
        <v>Estacionamentox</v>
      </c>
      <c r="BM726" s="68"/>
      <c r="BN726" s="68"/>
      <c r="BO726" s="68"/>
    </row>
    <row r="727" spans="1:69" s="274" customFormat="1" ht="255" customHeight="1" x14ac:dyDescent="0.25">
      <c r="A727" s="275" t="str">
        <f>'Q100a-geral'!A2282</f>
        <v>9.2</v>
      </c>
      <c r="B727" s="53" t="str">
        <f>'Q100a-geral'!B2282</f>
        <v>Estacionamento</v>
      </c>
      <c r="C727" s="57" t="str">
        <f>'Q100a-geral'!C2282</f>
        <v>acessibilidade</v>
      </c>
      <c r="D727" s="336" t="str">
        <f>'Q100a-geral'!D2282</f>
        <v>RT vfd / RT vf
% de vagas reservadas para PcD
(RPI)</v>
      </c>
      <c r="E727" s="355" t="str">
        <f>'Q100a-geral'!E2282</f>
        <v>Brasil</v>
      </c>
      <c r="F727" s="486" t="str">
        <f>'Q100a-geral'!F2282</f>
        <v>2000: "Art.7º  - Em todas as áreas de estacionamento de veículos, localizadas em vias ou em espaços públicos, deverão ser reservadas vagas próximas dos acessos de circulação de pedestres, devidamente sinalizadas, para veículos que transportem pessoas portadoras de deficiência com dificuldade de locomoção. Parágrafo único. As vagas a que se refere o caput deste artigo deverão ser em número equivalente a dois por cento do total, garantida, no mínimo, uma vaga, devidamente sinalizada e com as especificações técnicas de desenho e traçado de acordo com as normas técnicas vigentes." conforme BRASIL(2000a).
2004: "Art.25 - Nos estacionamentos externos ou internos das edificações de uso público ou de uso coletivo, ou naqueles localizados nas vias públicas, serão reservados, pelo menos, dois por cento do total de vagas para veículos que transportem pessoa portadora de deficiência física ou visual definidas neste Decreto, sendo assegurada, no mínimo, uma vaga, em locais próximos à entrada principal ou ao elevador, de fácil acesso à circulação de pedestres, com especificações técnicas de desenho e traçado conforme o estabelecido nas normas técnicas de acessibilidade da ABNT. §1º - Os veículos estacionados nas vagas reservadas deverão portar identificação a ser colocada em local de ampla visibilidade, confeccionado e fornecido pelos órgãos de trânsito, que disciplinarão sobre suas características e condições de uso, [...] §3º - Aplica-se o disposto no caput aos estacionamentos localizados em áreas públicas e de uso coletivo." conforme BRASIL(2004a)
2008: emitida resolução do Contran "Considerando a necessidade de uniformizar, em âmbito nacional, os procedimentos para sinalização e fiscalização do uso de vagas regulamentadas para estacionamento exclusivo de veículos utilizados no transporte de pessoas portadoras de deficiência e com dificuldade de
locomoção" conforme BRASIL(2008b)
2015: "Art.47 - Em todas as áreas de estacionamento aberto ao público, de uso público ou privado de uso coletivo e em vias públicas, devem ser reservadas vagas próximas aos acessos de circulação de pedestres, devidamente sinalizadas, para veículos que transportem pessoa com deficiência com comprometimento de mobilidade, desde que devidamente identificados. § 1o  As vagas a que se refere o caput deste artigo devem equivaler a 2% (dois por cento) do total, garantida, no mínimo, 1 (uma) vaga devidamente sinalizada e com as especificações de desenho e traçado de acordo com as normas técnicas vigentes de acessibilidade." conforme BRASIL (2015a)
obs.: acesse o verbete "estacionamento reservado para PcD"</v>
      </c>
      <c r="G727" s="252" t="str">
        <f>'Q100a-geral'!G2282</f>
        <v>RPI Brasil</v>
      </c>
      <c r="H727" s="167" t="str">
        <f>'Q100a-geral'!H2282</f>
        <v>meta/RPI</v>
      </c>
      <c r="I727" s="167" t="str">
        <f>'Q100a-geral'!I2282</f>
        <v>x</v>
      </c>
      <c r="J727" s="109" t="str">
        <f>'Q100a-geral'!J2282</f>
        <v>x</v>
      </c>
      <c r="K727" s="109" t="str">
        <f>'Q100a-geral'!K2282</f>
        <v>x</v>
      </c>
      <c r="L727" s="109" t="str">
        <f>'Q100a-geral'!L2282</f>
        <v>x</v>
      </c>
      <c r="M727" s="109" t="str">
        <f>'Q100a-geral'!M2282</f>
        <v>x</v>
      </c>
      <c r="N727" s="109" t="str">
        <f>'Q100a-geral'!N2282</f>
        <v>x</v>
      </c>
      <c r="O727" s="109" t="str">
        <f>'Q100a-geral'!O2282</f>
        <v>x</v>
      </c>
      <c r="P727" s="109" t="str">
        <f>'Q100a-geral'!P2282</f>
        <v>x</v>
      </c>
      <c r="Q727" s="109" t="str">
        <f>'Q100a-geral'!Q2282</f>
        <v>x</v>
      </c>
      <c r="R727" s="109" t="str">
        <f>'Q100a-geral'!R2282</f>
        <v>x</v>
      </c>
      <c r="S727" s="109" t="str">
        <f>'Q100a-geral'!S2282</f>
        <v>só para pesquisa</v>
      </c>
      <c r="T727" s="109" t="str">
        <f>'Q100a-geral'!T2282</f>
        <v>x</v>
      </c>
      <c r="U727" s="95">
        <f>'Q100a-geral'!U2282</f>
        <v>0.02</v>
      </c>
      <c r="V727" s="107" t="str">
        <f>'Q100a-geral'!V2282</f>
        <v>só para pesquisa</v>
      </c>
      <c r="W727" s="95">
        <f>'Q100a-geral'!W2282</f>
        <v>0.02</v>
      </c>
      <c r="X727" s="95">
        <f>'Q100a-geral'!X2282</f>
        <v>0.02</v>
      </c>
      <c r="Y727" s="95">
        <f>'Q100a-geral'!Y2282</f>
        <v>0.02</v>
      </c>
      <c r="Z727" s="95">
        <f>'Q100a-geral'!Z2282</f>
        <v>0.02</v>
      </c>
      <c r="AA727" s="95">
        <f>'Q100a-geral'!AA2282</f>
        <v>0.02</v>
      </c>
      <c r="AB727" s="95">
        <f>'Q100a-geral'!AB2282</f>
        <v>0.02</v>
      </c>
      <c r="AC727" s="95">
        <f>'Q100a-geral'!AC2282</f>
        <v>0.02</v>
      </c>
      <c r="AD727" s="95">
        <f>'Q100a-geral'!AD2282</f>
        <v>0.02</v>
      </c>
      <c r="AE727" s="95">
        <f>'Q100a-geral'!AE2282</f>
        <v>0.02</v>
      </c>
      <c r="AF727" s="95">
        <f>'Q100a-geral'!AF2282</f>
        <v>0.02</v>
      </c>
      <c r="AG727" s="95">
        <f>'Q100a-geral'!AG2282</f>
        <v>0.02</v>
      </c>
      <c r="AH727" s="95">
        <f>'Q100a-geral'!AH2282</f>
        <v>0.02</v>
      </c>
      <c r="AI727" s="95">
        <f>'Q100a-geral'!AI2282</f>
        <v>0.02</v>
      </c>
      <c r="AJ727" s="95">
        <f>'Q100a-geral'!AJ2282</f>
        <v>0.02</v>
      </c>
      <c r="AK727" s="95">
        <f>'Q100a-geral'!AK2282</f>
        <v>0.02</v>
      </c>
      <c r="AL727" s="227" t="str">
        <f>'Q100a-geral'!AL2282</f>
        <v>x</v>
      </c>
      <c r="AM727" s="137" t="str">
        <f>'Q100a-geral'!AM2282</f>
        <v>x</v>
      </c>
      <c r="AN727" s="137" t="str">
        <f>'Q100a-geral'!AN2282</f>
        <v>x</v>
      </c>
      <c r="AO727" s="137" t="str">
        <f>'Q100a-geral'!AO2282</f>
        <v>x</v>
      </c>
      <c r="AP727" s="137" t="str">
        <f>'Q100a-geral'!AP2282</f>
        <v>x</v>
      </c>
      <c r="AQ727" s="137" t="str">
        <f>'Q100a-geral'!AQ2282</f>
        <v>x</v>
      </c>
      <c r="AR727" s="137"/>
      <c r="AS727" s="137"/>
      <c r="AT727" s="137"/>
      <c r="AU727" s="137"/>
      <c r="AV727" s="137" t="str">
        <f>'Q100a-geral'!AV2282</f>
        <v>x</v>
      </c>
      <c r="AW727" s="137"/>
      <c r="AX727" s="137"/>
      <c r="AY727" s="137"/>
      <c r="AZ727" s="137"/>
      <c r="BA727" s="137" t="str">
        <f>'Q100a-geral'!BA2282</f>
        <v>x</v>
      </c>
      <c r="BB727" s="239" t="str">
        <f>'Q100a-geral'!BB2282</f>
        <v>Estacionamentoacessibilidade</v>
      </c>
      <c r="BC727" s="239" t="str">
        <f>'Q100a-geral'!BC2282</f>
        <v>Estacionamentoacessibilidademeta/RPI</v>
      </c>
      <c r="BD727" s="239" t="str">
        <f>'Q100a-geral'!BD2282</f>
        <v>Estacionamentometa/RPI</v>
      </c>
    </row>
    <row r="728" spans="1:69" ht="25.5" x14ac:dyDescent="0.25">
      <c r="A728" s="275" t="str">
        <f>'Q100a-geral'!A2283</f>
        <v>9.2</v>
      </c>
      <c r="B728" s="53" t="str">
        <f>'Q100a-geral'!B2283</f>
        <v>Estacionamento</v>
      </c>
      <c r="C728" s="230" t="str">
        <f>'Q100a-geral'!C2283</f>
        <v>acessibilidade</v>
      </c>
      <c r="D728" s="240" t="str">
        <f>'Q100a-geral'!D2283</f>
        <v>RT vfi</v>
      </c>
      <c r="E728" s="252" t="str">
        <f>'Q100a-geral'!E2283</f>
        <v>Belo Horizonte</v>
      </c>
      <c r="F728" s="446" t="str">
        <f>'Q100a-geral'!F2283</f>
        <v>n.º de vagas físicas reservadas para idoso em quarteirão rotativo (BHTRANS, 2015k; 2015m)</v>
      </c>
      <c r="G728" s="252" t="str">
        <f>'Q100a-geral'!G2283</f>
        <v>registro na fonte</v>
      </c>
      <c r="H728" s="173" t="str">
        <f>'Q100a-geral'!H2283</f>
        <v>x</v>
      </c>
      <c r="I728" s="57">
        <f>'Q100a-geral'!I2283</f>
        <v>1</v>
      </c>
      <c r="J728" s="107" t="str">
        <f>'Q100a-geral'!J2283</f>
        <v>x</v>
      </c>
      <c r="K728" s="137" t="str">
        <f>'Q100a-geral'!K2283</f>
        <v>x</v>
      </c>
      <c r="L728" s="137" t="str">
        <f>'Q100a-geral'!L2283</f>
        <v>x</v>
      </c>
      <c r="M728" s="137" t="str">
        <f>'Q100a-geral'!M2283</f>
        <v>x</v>
      </c>
      <c r="N728" s="137" t="str">
        <f>'Q100a-geral'!N2283</f>
        <v>x</v>
      </c>
      <c r="O728" s="137" t="str">
        <f>'Q100a-geral'!O2283</f>
        <v>x</v>
      </c>
      <c r="P728" s="137" t="str">
        <f>'Q100a-geral'!P2283</f>
        <v>x</v>
      </c>
      <c r="Q728" s="137" t="str">
        <f>'Q100a-geral'!Q2283</f>
        <v>x</v>
      </c>
      <c r="R728" s="137" t="str">
        <f>'Q100a-geral'!R2283</f>
        <v>x</v>
      </c>
      <c r="S728" s="649" t="str">
        <f>'Q100a-geral'!S2283</f>
        <v>só para pesquisa</v>
      </c>
      <c r="T728" s="137" t="str">
        <f>'Q100a-geral'!T2283</f>
        <v>x</v>
      </c>
      <c r="U728" s="137" t="str">
        <f>'Q100a-geral'!U2283</f>
        <v>x</v>
      </c>
      <c r="V728" s="107" t="str">
        <f>'Q100a-geral'!V2283</f>
        <v>só para pesquisa</v>
      </c>
      <c r="W728" s="84" t="str">
        <f>'Q100a-geral'!W2283</f>
        <v>x</v>
      </c>
      <c r="X728" s="84">
        <f>'Q100a-geral'!X2283</f>
        <v>0</v>
      </c>
      <c r="Y728" s="84">
        <f>'Q100a-geral'!Y2283</f>
        <v>0</v>
      </c>
      <c r="Z728" s="84">
        <f>'Q100a-geral'!Z2283</f>
        <v>0</v>
      </c>
      <c r="AA728" s="84">
        <f>'Q100a-geral'!AA2283</f>
        <v>0</v>
      </c>
      <c r="AB728" s="84">
        <f>'Q100a-geral'!AB2283</f>
        <v>0</v>
      </c>
      <c r="AC728" s="84">
        <f>'Q100a-geral'!AC2283</f>
        <v>0</v>
      </c>
      <c r="AD728" s="84">
        <f>'Q100a-geral'!AD2283</f>
        <v>0</v>
      </c>
      <c r="AE728" s="84">
        <f>'Q100a-geral'!AE2283</f>
        <v>55</v>
      </c>
      <c r="AF728" s="84">
        <f>'Q100a-geral'!AF2283</f>
        <v>64</v>
      </c>
      <c r="AG728" s="84">
        <f>'Q100a-geral'!AG2283</f>
        <v>83</v>
      </c>
      <c r="AH728" s="84">
        <f>'Q100a-geral'!AH2283</f>
        <v>106</v>
      </c>
      <c r="AI728" s="84">
        <f>'Q100a-geral'!AI2283</f>
        <v>109</v>
      </c>
      <c r="AJ728" s="84">
        <f>'Q100a-geral'!AJ2283</f>
        <v>141</v>
      </c>
      <c r="AK728" s="84">
        <f>'Q100a-geral'!AK2283</f>
        <v>283</v>
      </c>
      <c r="AL728" s="212" t="str">
        <f>'Q100a-geral'!AL2283</f>
        <v>x</v>
      </c>
      <c r="AM728" s="137" t="str">
        <f>'Q100a-geral'!AM2283</f>
        <v>x</v>
      </c>
      <c r="AN728" s="137" t="str">
        <f>'Q100a-geral'!AN2283</f>
        <v>x</v>
      </c>
      <c r="AO728" s="137" t="str">
        <f>'Q100a-geral'!AO2283</f>
        <v>x</v>
      </c>
      <c r="AP728" s="137" t="str">
        <f>'Q100a-geral'!AP2283</f>
        <v>x</v>
      </c>
      <c r="AQ728" s="137" t="str">
        <f>'Q100a-geral'!AQ2283</f>
        <v>x</v>
      </c>
      <c r="AR728" s="137"/>
      <c r="AS728" s="137"/>
      <c r="AT728" s="137"/>
      <c r="AU728" s="137"/>
      <c r="AV728" s="137" t="str">
        <f>'Q100a-geral'!AV2283</f>
        <v>x</v>
      </c>
      <c r="AW728" s="137"/>
      <c r="AX728" s="137"/>
      <c r="AY728" s="137"/>
      <c r="AZ728" s="137"/>
      <c r="BA728" s="137" t="str">
        <f>'Q100a-geral'!BA2283</f>
        <v>x</v>
      </c>
      <c r="BB728" s="239" t="str">
        <f>'Q100a-geral'!BB2283</f>
        <v>Estacionamentoacessibilidade</v>
      </c>
      <c r="BC728" s="239" t="str">
        <f>'Q100a-geral'!BC2283</f>
        <v>Estacionamentoacessibilidadex</v>
      </c>
      <c r="BD728" s="239" t="str">
        <f>'Q100a-geral'!BD2283</f>
        <v>Estacionamentox</v>
      </c>
      <c r="BM728" s="68"/>
      <c r="BN728" s="68"/>
      <c r="BO728" s="68"/>
    </row>
    <row r="729" spans="1:69" ht="102" customHeight="1" x14ac:dyDescent="0.25">
      <c r="A729" s="275" t="str">
        <f>'Q100a-geral'!A2284</f>
        <v>9.2</v>
      </c>
      <c r="B729" s="53" t="str">
        <f>'Q100a-geral'!B2284</f>
        <v>Estacionamento</v>
      </c>
      <c r="C729" s="230" t="str">
        <f>'Q100a-geral'!C2284</f>
        <v>acessibilidade</v>
      </c>
      <c r="D729" s="336" t="str">
        <f>'Q100a-geral'!D2284</f>
        <v>RT vfi / RT vf
% de vagas reservadas para idoso</v>
      </c>
      <c r="E729" s="355" t="str">
        <f>'Q100a-geral'!E2284</f>
        <v>Belo Horizonte</v>
      </c>
      <c r="F729" s="492" t="str">
        <f>'Q100a-geral'!F2284</f>
        <v>percentual de vagas físicas reservadas para idoso em quarteirão rotativo, em relação ao total de vagas físicas rotativas
obs.1: esse resultado é uma aproximação do que, efetivamente, seria o "% de vagas reservadas para idoso", pois o correto seria usar como denominador o n.º total de vagas de estacionamento existentes (rotativas ou não) nos quarteirões rotativos (em vez de n.º de vagas físicas rotativas), mas essa é uma variável para a qual não há resultados disponíveis
obs.2: acesse o verbete "estacionamento reservado para PcD"</v>
      </c>
      <c r="G729" s="252" t="str">
        <f>'Q100a-geral'!G2284</f>
        <v>(RT vfi / RT vf) x 100</v>
      </c>
      <c r="H729" s="173" t="str">
        <f>'Q100a-geral'!H2284</f>
        <v>x</v>
      </c>
      <c r="I729" s="57">
        <f>'Q100a-geral'!I2284</f>
        <v>1</v>
      </c>
      <c r="J729" s="109" t="str">
        <f>'Q100a-geral'!J2284</f>
        <v>x</v>
      </c>
      <c r="K729" s="109" t="str">
        <f>'Q100a-geral'!K2284</f>
        <v>x</v>
      </c>
      <c r="L729" s="109" t="str">
        <f>'Q100a-geral'!L2284</f>
        <v>x</v>
      </c>
      <c r="M729" s="109" t="str">
        <f>'Q100a-geral'!M2284</f>
        <v>x</v>
      </c>
      <c r="N729" s="109" t="str">
        <f>'Q100a-geral'!N2284</f>
        <v>x</v>
      </c>
      <c r="O729" s="109" t="str">
        <f>'Q100a-geral'!O2284</f>
        <v>x</v>
      </c>
      <c r="P729" s="109" t="str">
        <f>'Q100a-geral'!P2284</f>
        <v>x</v>
      </c>
      <c r="Q729" s="109" t="str">
        <f>'Q100a-geral'!Q2284</f>
        <v>x</v>
      </c>
      <c r="R729" s="109" t="str">
        <f>'Q100a-geral'!R2284</f>
        <v>x</v>
      </c>
      <c r="S729" s="109" t="str">
        <f>'Q100a-geral'!S2284</f>
        <v>só para pesquisa</v>
      </c>
      <c r="T729" s="109" t="str">
        <f>'Q100a-geral'!T2284</f>
        <v>x</v>
      </c>
      <c r="U729" s="139"/>
      <c r="V729" s="107" t="str">
        <f>'Q100a-geral'!V2284</f>
        <v>só para pesquisa</v>
      </c>
      <c r="W729" s="133"/>
      <c r="X729" s="150"/>
      <c r="Y729" s="150"/>
      <c r="Z729" s="150"/>
      <c r="AA729" s="150"/>
      <c r="AB729" s="150"/>
      <c r="AC729" s="150"/>
      <c r="AD729" s="150"/>
      <c r="AE729" s="47">
        <f>'Q100a-geral'!AE2284</f>
        <v>3.4163612646748247E-3</v>
      </c>
      <c r="AF729" s="47">
        <f>'Q100a-geral'!AF2284</f>
        <v>3.425207385603425E-3</v>
      </c>
      <c r="AG729" s="47">
        <f>'Q100a-geral'!AG2284</f>
        <v>4.0254134536107473E-3</v>
      </c>
      <c r="AH729" s="47">
        <f>'Q100a-geral'!AH2284</f>
        <v>5.0946842257041242E-3</v>
      </c>
      <c r="AI729" s="47">
        <f>'Q100a-geral'!AI2284</f>
        <v>5.2333397349721526E-3</v>
      </c>
      <c r="AJ729" s="47">
        <f>'Q100a-geral'!AJ2284</f>
        <v>6.6916615253191586E-3</v>
      </c>
      <c r="AK729" s="47">
        <f>'Q100a-geral'!AK2284</f>
        <v>1.3303873636705528E-2</v>
      </c>
      <c r="AL729" s="212" t="str">
        <f>'Q100a-geral'!AL2284</f>
        <v>x</v>
      </c>
      <c r="AM729" s="137" t="str">
        <f>'Q100a-geral'!AM2284</f>
        <v>x</v>
      </c>
      <c r="AN729" s="137" t="str">
        <f>'Q100a-geral'!AN2284</f>
        <v>x</v>
      </c>
      <c r="AO729" s="137" t="str">
        <f>'Q100a-geral'!AO2284</f>
        <v>x</v>
      </c>
      <c r="AP729" s="137" t="str">
        <f>'Q100a-geral'!AP2284</f>
        <v>x</v>
      </c>
      <c r="AQ729" s="137" t="str">
        <f>'Q100a-geral'!AQ2284</f>
        <v>x</v>
      </c>
      <c r="AR729" s="137"/>
      <c r="AS729" s="137"/>
      <c r="AT729" s="137"/>
      <c r="AU729" s="137"/>
      <c r="AV729" s="137" t="str">
        <f>'Q100a-geral'!AV2284</f>
        <v>x</v>
      </c>
      <c r="AW729" s="137"/>
      <c r="AX729" s="137"/>
      <c r="AY729" s="137"/>
      <c r="AZ729" s="137"/>
      <c r="BA729" s="137" t="str">
        <f>'Q100a-geral'!BA2284</f>
        <v>x</v>
      </c>
      <c r="BB729" s="239" t="str">
        <f>'Q100a-geral'!BB2284</f>
        <v>Estacionamentoacessibilidade</v>
      </c>
      <c r="BC729" s="239" t="str">
        <f>'Q100a-geral'!BC2284</f>
        <v>Estacionamentoacessibilidadex</v>
      </c>
      <c r="BD729" s="239" t="str">
        <f>'Q100a-geral'!BD2284</f>
        <v>Estacionamentox</v>
      </c>
      <c r="BM729" s="68"/>
      <c r="BN729" s="68"/>
      <c r="BO729" s="68"/>
    </row>
    <row r="730" spans="1:69" s="274" customFormat="1" ht="76.5" customHeight="1" x14ac:dyDescent="0.25">
      <c r="A730" s="275" t="str">
        <f>'Q100a-geral'!A2285</f>
        <v>9.2</v>
      </c>
      <c r="B730" s="53" t="str">
        <f>'Q100a-geral'!B2285</f>
        <v>Estacionamento</v>
      </c>
      <c r="C730" s="57" t="str">
        <f>'Q100a-geral'!C2285</f>
        <v>acessibilidade</v>
      </c>
      <c r="D730" s="336" t="str">
        <f>'Q100a-geral'!D2285</f>
        <v>RT vfi / RT vf
% de vagas reservadas para idoso (RPI)</v>
      </c>
      <c r="E730" s="355" t="str">
        <f>'Q100a-geral'!E2285</f>
        <v>Brasil</v>
      </c>
      <c r="F730" s="488" t="str">
        <f>'Q100a-geral'!F2285</f>
        <v>2003: "Art.41 - É assegurada a reserva, para os idosos, nos termos da lei local, de 5% (cinco por cento) das vagas nos estacionamentos públicos e privados, as quais deverão ser posicionadas de forma a garantir a melhor comodidade ao idoso." conforme BRASIL(2003a, Capítulo X)
2008: emitida resolução do Contran "Considerando a necessidade de uniformizar, em âmbito nacional, os procedimentos para sinalização e fiscalização do uso de vagas regulamentadas para estacionamento exclusivo de veículos utilizados por idosos" conforme BRASIL(2008a)
obs.: acesse o verbete "estacionamento reservado para PcD"</v>
      </c>
      <c r="G730" s="252" t="str">
        <f>'Q100a-geral'!G2285</f>
        <v>RPI Brasil</v>
      </c>
      <c r="H730" s="167" t="str">
        <f>'Q100a-geral'!H2285</f>
        <v>meta/RPI</v>
      </c>
      <c r="I730" s="167" t="str">
        <f>'Q100a-geral'!I2285</f>
        <v>x</v>
      </c>
      <c r="J730" s="109" t="str">
        <f>'Q100a-geral'!J2285</f>
        <v>x</v>
      </c>
      <c r="K730" s="109" t="str">
        <f>'Q100a-geral'!K2285</f>
        <v>x</v>
      </c>
      <c r="L730" s="109" t="str">
        <f>'Q100a-geral'!L2285</f>
        <v>x</v>
      </c>
      <c r="M730" s="109" t="str">
        <f>'Q100a-geral'!M2285</f>
        <v>x</v>
      </c>
      <c r="N730" s="109" t="str">
        <f>'Q100a-geral'!N2285</f>
        <v>x</v>
      </c>
      <c r="O730" s="109" t="str">
        <f>'Q100a-geral'!O2285</f>
        <v>x</v>
      </c>
      <c r="P730" s="109" t="str">
        <f>'Q100a-geral'!P2285</f>
        <v>x</v>
      </c>
      <c r="Q730" s="109" t="str">
        <f>'Q100a-geral'!Q2285</f>
        <v>x</v>
      </c>
      <c r="R730" s="109" t="str">
        <f>'Q100a-geral'!R2285</f>
        <v>x</v>
      </c>
      <c r="S730" s="109" t="str">
        <f>'Q100a-geral'!S2285</f>
        <v>só para pesquisa</v>
      </c>
      <c r="T730" s="109" t="str">
        <f>'Q100a-geral'!T2285</f>
        <v>x</v>
      </c>
      <c r="U730" s="139"/>
      <c r="V730" s="109" t="str">
        <f>'Q100a-geral'!V2285</f>
        <v>só para pesquisa</v>
      </c>
      <c r="W730" s="139"/>
      <c r="X730" s="139"/>
      <c r="Y730" s="95">
        <f>'Q100a-geral'!Y2285</f>
        <v>0.05</v>
      </c>
      <c r="Z730" s="95">
        <f>'Q100a-geral'!Z2285</f>
        <v>0.05</v>
      </c>
      <c r="AA730" s="95">
        <f>'Q100a-geral'!AA2285</f>
        <v>0.05</v>
      </c>
      <c r="AB730" s="95">
        <f>'Q100a-geral'!AB2285</f>
        <v>0.05</v>
      </c>
      <c r="AC730" s="95">
        <f>'Q100a-geral'!AC2285</f>
        <v>0.05</v>
      </c>
      <c r="AD730" s="95">
        <f>'Q100a-geral'!AD2285</f>
        <v>0.05</v>
      </c>
      <c r="AE730" s="95">
        <f>'Q100a-geral'!AE2285</f>
        <v>0.05</v>
      </c>
      <c r="AF730" s="95">
        <f>'Q100a-geral'!AF2285</f>
        <v>0.05</v>
      </c>
      <c r="AG730" s="95">
        <f>'Q100a-geral'!AG2285</f>
        <v>0.05</v>
      </c>
      <c r="AH730" s="95">
        <f>'Q100a-geral'!AH2285</f>
        <v>0.05</v>
      </c>
      <c r="AI730" s="95">
        <f>'Q100a-geral'!AI2285</f>
        <v>0.05</v>
      </c>
      <c r="AJ730" s="95">
        <f>'Q100a-geral'!AJ2285</f>
        <v>0.05</v>
      </c>
      <c r="AK730" s="95">
        <f>'Q100a-geral'!AK2285</f>
        <v>0.05</v>
      </c>
      <c r="AL730" s="227" t="str">
        <f>'Q100a-geral'!AL2285</f>
        <v>x</v>
      </c>
      <c r="AM730" s="137" t="str">
        <f>'Q100a-geral'!AM2285</f>
        <v>x</v>
      </c>
      <c r="AN730" s="137" t="str">
        <f>'Q100a-geral'!AN2285</f>
        <v>x</v>
      </c>
      <c r="AO730" s="137" t="str">
        <f>'Q100a-geral'!AO2285</f>
        <v>x</v>
      </c>
      <c r="AP730" s="137" t="str">
        <f>'Q100a-geral'!AP2285</f>
        <v>x</v>
      </c>
      <c r="AQ730" s="137" t="str">
        <f>'Q100a-geral'!AQ2285</f>
        <v>x</v>
      </c>
      <c r="AR730" s="137"/>
      <c r="AS730" s="137"/>
      <c r="AT730" s="137"/>
      <c r="AU730" s="137"/>
      <c r="AV730" s="137" t="str">
        <f>'Q100a-geral'!AV2285</f>
        <v>x</v>
      </c>
      <c r="AW730" s="137"/>
      <c r="AX730" s="137"/>
      <c r="AY730" s="137"/>
      <c r="AZ730" s="137"/>
      <c r="BA730" s="137" t="str">
        <f>'Q100a-geral'!BA2285</f>
        <v>x</v>
      </c>
      <c r="BB730" s="239" t="str">
        <f>'Q100a-geral'!BB2285</f>
        <v>Estacionamentoacessibilidade</v>
      </c>
      <c r="BC730" s="239" t="str">
        <f>'Q100a-geral'!BC2285</f>
        <v>Estacionamentoacessibilidademeta/RPI</v>
      </c>
      <c r="BD730" s="239" t="str">
        <f>'Q100a-geral'!BD2285</f>
        <v>Estacionamentometa/RPI</v>
      </c>
    </row>
    <row r="731" spans="1:69" ht="25.5" customHeight="1" x14ac:dyDescent="0.25">
      <c r="A731" s="275" t="str">
        <f>'Q100a-geral'!A2286</f>
        <v>9.2</v>
      </c>
      <c r="B731" s="53" t="str">
        <f>'Q100a-geral'!B2286</f>
        <v>Estacionamento</v>
      </c>
      <c r="C731" s="230" t="str">
        <f>'Q100a-geral'!C2286</f>
        <v>acessibilidade</v>
      </c>
      <c r="D731" s="240" t="str">
        <f>'Q100a-geral'!D2286</f>
        <v>RT vfdi</v>
      </c>
      <c r="E731" s="252" t="str">
        <f>'Q100a-geral'!E2286</f>
        <v>Belo Horizonte</v>
      </c>
      <c r="F731" s="446" t="str">
        <f>'Q100a-geral'!F2286</f>
        <v xml:space="preserve">n.º total de vagas físicas reservadas para inclusão, ou seja, para idoso ou para pessoa com deficiência em quarteirão rotativo </v>
      </c>
      <c r="G731" s="14" t="str">
        <f>'Q100a-geral'!G2286</f>
        <v>RT vfd + RT vfi</v>
      </c>
      <c r="H731" s="173" t="str">
        <f>'Q100a-geral'!H2286</f>
        <v>x</v>
      </c>
      <c r="I731" s="57">
        <f>'Q100a-geral'!I2286</f>
        <v>1</v>
      </c>
      <c r="J731" s="109" t="str">
        <f>'Q100a-geral'!J2286</f>
        <v>x</v>
      </c>
      <c r="K731" s="109" t="str">
        <f>'Q100a-geral'!K2286</f>
        <v>x</v>
      </c>
      <c r="L731" s="109" t="str">
        <f>'Q100a-geral'!L2286</f>
        <v>x</v>
      </c>
      <c r="M731" s="109" t="str">
        <f>'Q100a-geral'!M2286</f>
        <v>x</v>
      </c>
      <c r="N731" s="109" t="str">
        <f>'Q100a-geral'!N2286</f>
        <v>x</v>
      </c>
      <c r="O731" s="109" t="str">
        <f>'Q100a-geral'!O2286</f>
        <v>x</v>
      </c>
      <c r="P731" s="109" t="str">
        <f>'Q100a-geral'!P2286</f>
        <v>x</v>
      </c>
      <c r="Q731" s="109" t="str">
        <f>'Q100a-geral'!Q2286</f>
        <v>x</v>
      </c>
      <c r="R731" s="109" t="str">
        <f>'Q100a-geral'!R2286</f>
        <v>x</v>
      </c>
      <c r="S731" s="109" t="str">
        <f>'Q100a-geral'!S2286</f>
        <v>só para pesquisa</v>
      </c>
      <c r="T731" s="109" t="str">
        <f>'Q100a-geral'!T2286</f>
        <v>x</v>
      </c>
      <c r="U731" s="109" t="str">
        <f>'Q100a-geral'!U2286</f>
        <v>x</v>
      </c>
      <c r="V731" s="107" t="str">
        <f>'Q100a-geral'!V2286</f>
        <v>só para pesquisa</v>
      </c>
      <c r="W731" s="23" t="str">
        <f>'Q100a-geral'!W2286</f>
        <v>x</v>
      </c>
      <c r="X731" s="23">
        <f>'Q100a-geral'!X2286</f>
        <v>77</v>
      </c>
      <c r="Y731" s="23">
        <f>'Q100a-geral'!Y2286</f>
        <v>154</v>
      </c>
      <c r="Z731" s="23">
        <f>'Q100a-geral'!Z2286</f>
        <v>282</v>
      </c>
      <c r="AA731" s="23">
        <f>'Q100a-geral'!AA2286</f>
        <v>286</v>
      </c>
      <c r="AB731" s="23">
        <f>'Q100a-geral'!AB2286</f>
        <v>290</v>
      </c>
      <c r="AC731" s="23">
        <f>'Q100a-geral'!AC2286</f>
        <v>302</v>
      </c>
      <c r="AD731" s="23">
        <f>'Q100a-geral'!AD2286</f>
        <v>322</v>
      </c>
      <c r="AE731" s="23">
        <f>'Q100a-geral'!AE2286</f>
        <v>394</v>
      </c>
      <c r="AF731" s="23">
        <f>'Q100a-geral'!AF2286</f>
        <v>428</v>
      </c>
      <c r="AG731" s="23">
        <f>'Q100a-geral'!AG2286</f>
        <v>479</v>
      </c>
      <c r="AH731" s="23">
        <f>'Q100a-geral'!AH2286</f>
        <v>529</v>
      </c>
      <c r="AI731" s="23">
        <f>'Q100a-geral'!AI2286</f>
        <v>542</v>
      </c>
      <c r="AJ731" s="23">
        <f>'Q100a-geral'!AJ2286</f>
        <v>592</v>
      </c>
      <c r="AK731" s="23">
        <f>'Q100a-geral'!AK2286</f>
        <v>749</v>
      </c>
      <c r="AL731" s="212" t="str">
        <f>'Q100a-geral'!AL2286</f>
        <v>x</v>
      </c>
      <c r="AM731" s="137" t="str">
        <f>'Q100a-geral'!AM2286</f>
        <v>x</v>
      </c>
      <c r="AN731" s="137" t="str">
        <f>'Q100a-geral'!AN2286</f>
        <v>x</v>
      </c>
      <c r="AO731" s="137" t="str">
        <f>'Q100a-geral'!AO2286</f>
        <v>x</v>
      </c>
      <c r="AP731" s="137" t="str">
        <f>'Q100a-geral'!AP2286</f>
        <v>x</v>
      </c>
      <c r="AQ731" s="137" t="str">
        <f>'Q100a-geral'!AQ2286</f>
        <v>x</v>
      </c>
      <c r="AR731" s="137"/>
      <c r="AS731" s="137"/>
      <c r="AT731" s="137"/>
      <c r="AU731" s="137"/>
      <c r="AV731" s="137" t="str">
        <f>'Q100a-geral'!AV2286</f>
        <v>x</v>
      </c>
      <c r="AW731" s="137"/>
      <c r="AX731" s="137"/>
      <c r="AY731" s="137"/>
      <c r="AZ731" s="137"/>
      <c r="BA731" s="137" t="str">
        <f>'Q100a-geral'!BA2286</f>
        <v>x</v>
      </c>
      <c r="BB731" s="239" t="str">
        <f>'Q100a-geral'!BB2286</f>
        <v>Estacionamentoacessibilidade</v>
      </c>
      <c r="BC731" s="239" t="str">
        <f>'Q100a-geral'!BC2286</f>
        <v>Estacionamentoacessibilidadex</v>
      </c>
      <c r="BD731" s="239" t="str">
        <f>'Q100a-geral'!BD2286</f>
        <v>Estacionamentox</v>
      </c>
      <c r="BM731" s="68"/>
      <c r="BN731" s="68"/>
      <c r="BO731" s="68"/>
    </row>
    <row r="732" spans="1:69" ht="114.75" customHeight="1" x14ac:dyDescent="0.25">
      <c r="A732" s="275" t="str">
        <f>'Q100a-geral'!A2287</f>
        <v>9.2</v>
      </c>
      <c r="B732" s="53" t="str">
        <f>'Q100a-geral'!B2287</f>
        <v>Estacionamento</v>
      </c>
      <c r="C732" s="230" t="str">
        <f>'Q100a-geral'!C2287</f>
        <v>acessibilidade</v>
      </c>
      <c r="D732" s="240" t="str">
        <f>'Q100a-geral'!D2287</f>
        <v>RT vfdi / RT vf
% de vagas reservadas para inclusão</v>
      </c>
      <c r="E732" s="252" t="str">
        <f>'Q100a-geral'!E2287</f>
        <v>Belo Horizonte</v>
      </c>
      <c r="F732" s="446" t="str">
        <f>'Q100a-geral'!F2287</f>
        <v>percentual de vagas físicas reservadas para inclusão, ou seja, para idoso ou para pessoa com deficiência em quarteirão rotativo, em relação ao total de vagas físicas rotativas
obs.: esse resultado é uma aproximação do que, efetivamente, seria o "% de vagas reservadas para inclusão", pois o correto seria usar como denominador o n.º total de vagas de estacionamento existentes (rotativas ou não) nos quarteirões rotativos (em vez de n.º de vagas físicas rotativas), mas essa é uma variável para a qual não há resultados disponíveis</v>
      </c>
      <c r="G732" s="252" t="str">
        <f>'Q100a-geral'!G2287</f>
        <v>(RT vfdi / RT vf) x 100</v>
      </c>
      <c r="H732" s="173" t="str">
        <f>'Q100a-geral'!H2287</f>
        <v>x</v>
      </c>
      <c r="I732" s="57">
        <f>'Q100a-geral'!I2287</f>
        <v>1</v>
      </c>
      <c r="J732" s="109" t="str">
        <f>'Q100a-geral'!J2287</f>
        <v>x</v>
      </c>
      <c r="K732" s="109" t="str">
        <f>'Q100a-geral'!K2287</f>
        <v>x</v>
      </c>
      <c r="L732" s="109" t="str">
        <f>'Q100a-geral'!L2287</f>
        <v>x</v>
      </c>
      <c r="M732" s="109" t="str">
        <f>'Q100a-geral'!M2287</f>
        <v>x</v>
      </c>
      <c r="N732" s="109" t="str">
        <f>'Q100a-geral'!N2287</f>
        <v>x</v>
      </c>
      <c r="O732" s="109" t="str">
        <f>'Q100a-geral'!O2287</f>
        <v>x</v>
      </c>
      <c r="P732" s="109" t="str">
        <f>'Q100a-geral'!P2287</f>
        <v>x</v>
      </c>
      <c r="Q732" s="109" t="str">
        <f>'Q100a-geral'!Q2287</f>
        <v>x</v>
      </c>
      <c r="R732" s="109" t="str">
        <f>'Q100a-geral'!R2287</f>
        <v>x</v>
      </c>
      <c r="S732" s="109" t="str">
        <f>'Q100a-geral'!S2287</f>
        <v>só para pesquisa</v>
      </c>
      <c r="T732" s="109" t="str">
        <f>'Q100a-geral'!T2287</f>
        <v>x</v>
      </c>
      <c r="U732" s="109" t="str">
        <f>'Q100a-geral'!U2287</f>
        <v>x</v>
      </c>
      <c r="V732" s="107" t="str">
        <f>'Q100a-geral'!V2287</f>
        <v>só para pesquisa</v>
      </c>
      <c r="W732" s="23" t="str">
        <f>'Q100a-geral'!W2287</f>
        <v>x</v>
      </c>
      <c r="X732" s="47">
        <f>'Q100a-geral'!X2287</f>
        <v>6.2893081761006293E-3</v>
      </c>
      <c r="Y732" s="47">
        <f>'Q100a-geral'!Y2287</f>
        <v>1.288056206088993E-2</v>
      </c>
      <c r="Z732" s="47">
        <f>'Q100a-geral'!Z2287</f>
        <v>2.3179352293276344E-2</v>
      </c>
      <c r="AA732" s="47">
        <f>'Q100a-geral'!AA2287</f>
        <v>2.3496549457771937E-2</v>
      </c>
      <c r="AB732" s="47">
        <f>'Q100a-geral'!AB2287</f>
        <v>2.2240969399493826E-2</v>
      </c>
      <c r="AC732" s="47">
        <f>'Q100a-geral'!AC2287</f>
        <v>2.2266460222664604E-2</v>
      </c>
      <c r="AD732" s="47">
        <f>'Q100a-geral'!AD2287</f>
        <v>2.0990873533246416E-2</v>
      </c>
      <c r="AE732" s="47">
        <f>'Q100a-geral'!AE2287</f>
        <v>2.4473569786943289E-2</v>
      </c>
      <c r="AF732" s="47">
        <f>'Q100a-geral'!AF2287</f>
        <v>2.2906074391222907E-2</v>
      </c>
      <c r="AG732" s="47">
        <f>'Q100a-geral'!AG2287</f>
        <v>2.3231000533488529E-2</v>
      </c>
      <c r="AH732" s="47">
        <f>'Q100a-geral'!AH2287</f>
        <v>2.542535806978756E-2</v>
      </c>
      <c r="AI732" s="47">
        <f>'Q100a-geral'!AI2287</f>
        <v>2.6022661801421165E-2</v>
      </c>
      <c r="AJ732" s="47">
        <f>'Q100a-geral'!AJ2287</f>
        <v>2.8095486687864837E-2</v>
      </c>
      <c r="AK732" s="47">
        <f>'Q100a-geral'!AK2287</f>
        <v>3.5210605490786008E-2</v>
      </c>
      <c r="AL732" s="212" t="str">
        <f>'Q100a-geral'!AL2287</f>
        <v>x</v>
      </c>
      <c r="AM732" s="137" t="str">
        <f>'Q100a-geral'!AM2287</f>
        <v>x</v>
      </c>
      <c r="AN732" s="137" t="str">
        <f>'Q100a-geral'!AN2287</f>
        <v>x</v>
      </c>
      <c r="AO732" s="137" t="str">
        <f>'Q100a-geral'!AO2287</f>
        <v>x</v>
      </c>
      <c r="AP732" s="137" t="str">
        <f>'Q100a-geral'!AP2287</f>
        <v>x</v>
      </c>
      <c r="AQ732" s="137" t="str">
        <f>'Q100a-geral'!AQ2287</f>
        <v>x</v>
      </c>
      <c r="AR732" s="137"/>
      <c r="AS732" s="137"/>
      <c r="AT732" s="137"/>
      <c r="AU732" s="137"/>
      <c r="AV732" s="137" t="str">
        <f>'Q100a-geral'!AV2287</f>
        <v>x</v>
      </c>
      <c r="AW732" s="137"/>
      <c r="AX732" s="137"/>
      <c r="AY732" s="137"/>
      <c r="AZ732" s="137"/>
      <c r="BA732" s="137" t="str">
        <f>'Q100a-geral'!BA2287</f>
        <v>x</v>
      </c>
      <c r="BB732" s="239" t="str">
        <f>'Q100a-geral'!BB2287</f>
        <v>Estacionamentoacessibilidade</v>
      </c>
      <c r="BC732" s="239" t="str">
        <f>'Q100a-geral'!BC2287</f>
        <v>Estacionamentoacessibilidadex</v>
      </c>
      <c r="BD732" s="239" t="str">
        <f>'Q100a-geral'!BD2287</f>
        <v>Estacionamentox</v>
      </c>
      <c r="BM732" s="68"/>
      <c r="BN732" s="68"/>
      <c r="BO732" s="68"/>
    </row>
    <row r="733" spans="1:69" ht="106.5" customHeight="1" x14ac:dyDescent="0.25">
      <c r="A733" s="275" t="str">
        <f>'Q100a-geral'!A2288</f>
        <v>9.2</v>
      </c>
      <c r="B733" s="53" t="str">
        <f>'Q100a-geral'!B2288</f>
        <v>Estacionamento</v>
      </c>
      <c r="C733" s="229" t="str">
        <f>'Q100a-geral'!C2288</f>
        <v>x</v>
      </c>
      <c r="D733" s="240" t="str">
        <f>'Q100a-geral'!D2288</f>
        <v>RT vfm</v>
      </c>
      <c r="E733" s="252" t="str">
        <f>'Q100a-geral'!E2288</f>
        <v>Belo Horizonte</v>
      </c>
      <c r="F733" s="446" t="str">
        <f>'Q100a-geral'!F2288</f>
        <v>n.º de vagas físicas reservadas para motofretistas
obs.1: essa tipologia surge em Belo Horizonte em 02/06/2014 com a criação de "360 vagas de estacionamento para motofretistas em 17 locais da Área Central, cujo período máximo de permanência é de uma hora, nos dias úteis, de 8h às 18h, e no sábado, de 8h às 13h. Para essas vagas de estacionamento rotativo para motocicletas não será necessário o uso da folha do rotativo." conforme (BHTRANS, 2014f1)
obs.2: o valor anual é tomado como sendo o valor apurado em dezembro de cada ano, com resultado de 2014 conforme BHTRANS(2014f2); de 2015 conforme BHTRANS(2015m2)</v>
      </c>
      <c r="G733" s="252" t="str">
        <f>'Q100a-geral'!G2288</f>
        <v>registro na fonte</v>
      </c>
      <c r="H733" s="173" t="str">
        <f>'Q100a-geral'!H2288</f>
        <v>x</v>
      </c>
      <c r="I733" s="167">
        <f>'Q100a-geral'!I2288</f>
        <v>1</v>
      </c>
      <c r="J733" s="107" t="str">
        <f>'Q100a-geral'!J2288</f>
        <v>x</v>
      </c>
      <c r="K733" s="86">
        <f>'Q100a-geral'!K2288</f>
        <v>0</v>
      </c>
      <c r="L733" s="86">
        <f>'Q100a-geral'!L2288</f>
        <v>0</v>
      </c>
      <c r="M733" s="86">
        <f>'Q100a-geral'!M2288</f>
        <v>0</v>
      </c>
      <c r="N733" s="86">
        <f>'Q100a-geral'!N2288</f>
        <v>0</v>
      </c>
      <c r="O733" s="86">
        <f>'Q100a-geral'!O2288</f>
        <v>0</v>
      </c>
      <c r="P733" s="86">
        <f>'Q100a-geral'!P2288</f>
        <v>0</v>
      </c>
      <c r="Q733" s="86">
        <f>'Q100a-geral'!Q2288</f>
        <v>0</v>
      </c>
      <c r="R733" s="86">
        <f>'Q100a-geral'!R2288</f>
        <v>0</v>
      </c>
      <c r="S733" s="86" t="str">
        <f>'Q100a-geral'!S2288</f>
        <v>só para pesquisa</v>
      </c>
      <c r="T733" s="86">
        <f>'Q100a-geral'!T2288</f>
        <v>0</v>
      </c>
      <c r="U733" s="86">
        <f>'Q100a-geral'!U2288</f>
        <v>0</v>
      </c>
      <c r="V733" s="86" t="str">
        <f>'Q100a-geral'!V2288</f>
        <v>só para pesquisa</v>
      </c>
      <c r="W733" s="86">
        <f>'Q100a-geral'!W2288</f>
        <v>0</v>
      </c>
      <c r="X733" s="86">
        <f>'Q100a-geral'!X2288</f>
        <v>0</v>
      </c>
      <c r="Y733" s="86">
        <f>'Q100a-geral'!Y2288</f>
        <v>0</v>
      </c>
      <c r="Z733" s="86">
        <f>'Q100a-geral'!Z2288</f>
        <v>0</v>
      </c>
      <c r="AA733" s="86">
        <f>'Q100a-geral'!AA2288</f>
        <v>0</v>
      </c>
      <c r="AB733" s="86">
        <f>'Q100a-geral'!AB2288</f>
        <v>0</v>
      </c>
      <c r="AC733" s="86">
        <f>'Q100a-geral'!AC2288</f>
        <v>0</v>
      </c>
      <c r="AD733" s="86">
        <f>'Q100a-geral'!AD2288</f>
        <v>0</v>
      </c>
      <c r="AE733" s="86">
        <f>'Q100a-geral'!AE2288</f>
        <v>0</v>
      </c>
      <c r="AF733" s="86">
        <f>'Q100a-geral'!AF2288</f>
        <v>0</v>
      </c>
      <c r="AG733" s="86">
        <f>'Q100a-geral'!AG2288</f>
        <v>0</v>
      </c>
      <c r="AH733" s="86">
        <f>'Q100a-geral'!AH2288</f>
        <v>0</v>
      </c>
      <c r="AI733" s="86">
        <f>'Q100a-geral'!AI2288</f>
        <v>0</v>
      </c>
      <c r="AJ733" s="92">
        <f>'Q100a-geral'!AJ2288</f>
        <v>363</v>
      </c>
      <c r="AK733" s="92">
        <f>'Q100a-geral'!AK2288</f>
        <v>374</v>
      </c>
      <c r="AL733" s="216" t="str">
        <f>'Q100a-geral'!AL2288</f>
        <v>x</v>
      </c>
      <c r="AM733" s="137" t="str">
        <f>'Q100a-geral'!AM2288</f>
        <v>x</v>
      </c>
      <c r="AN733" s="137" t="str">
        <f>'Q100a-geral'!AN2288</f>
        <v>x</v>
      </c>
      <c r="AO733" s="137" t="str">
        <f>'Q100a-geral'!AO2288</f>
        <v>x</v>
      </c>
      <c r="AP733" s="137" t="str">
        <f>'Q100a-geral'!AP2288</f>
        <v>x</v>
      </c>
      <c r="AQ733" s="137" t="str">
        <f>'Q100a-geral'!AQ2288</f>
        <v>x</v>
      </c>
      <c r="AR733" s="137"/>
      <c r="AS733" s="137"/>
      <c r="AT733" s="137"/>
      <c r="AU733" s="137"/>
      <c r="AV733" s="137" t="str">
        <f>'Q100a-geral'!AV2288</f>
        <v>x</v>
      </c>
      <c r="AW733" s="137"/>
      <c r="AX733" s="137"/>
      <c r="AY733" s="137"/>
      <c r="AZ733" s="137"/>
      <c r="BA733" s="137" t="str">
        <f>'Q100a-geral'!BA2288</f>
        <v>x</v>
      </c>
      <c r="BB733" s="239" t="str">
        <f>'Q100a-geral'!BB2288</f>
        <v>Estacionamentox</v>
      </c>
      <c r="BC733" s="239" t="str">
        <f>'Q100a-geral'!BC2288</f>
        <v>Estacionamentoxx</v>
      </c>
      <c r="BD733" s="239" t="str">
        <f>'Q100a-geral'!BD2288</f>
        <v>Estacionamentox</v>
      </c>
      <c r="BM733" s="68"/>
      <c r="BN733" s="68"/>
      <c r="BO733" s="68"/>
    </row>
    <row r="734" spans="1:69" ht="51" customHeight="1" x14ac:dyDescent="0.25">
      <c r="A734" s="275" t="str">
        <f>'Q100a-geral'!A2289</f>
        <v>9.2</v>
      </c>
      <c r="B734" s="53" t="str">
        <f>'Q100a-geral'!B2289</f>
        <v>Estacionamento</v>
      </c>
      <c r="C734" s="229" t="str">
        <f>'Q100a-geral'!C2289</f>
        <v>x</v>
      </c>
      <c r="D734" s="336" t="str">
        <f>'Q100a-geral'!D2289</f>
        <v>RT vr</v>
      </c>
      <c r="E734" s="355" t="str">
        <f>'Q100a-geral'!E2289</f>
        <v>Belo Horizonte</v>
      </c>
      <c r="F734" s="492" t="str">
        <f>'Q100a-geral'!F2289</f>
        <v>n.º de vagas rotativas
obs.: o valor anual é tomado como sendo o valor apurado em dezembro de cada ano, com resultados de 2001-2014 conforme BHTRANS(2015k; 2015m); de 2014-2015 conforme BHTRANS(2016z)</v>
      </c>
      <c r="G734" s="188" t="str">
        <f>'Q100a-geral'!G2289</f>
        <v>registro na fonte
∑ (RT vf de determinado local x RT fr)</v>
      </c>
      <c r="H734" s="173" t="str">
        <f>'Q100a-geral'!H2289</f>
        <v>x</v>
      </c>
      <c r="I734" s="167">
        <f>'Q100a-geral'!I2289</f>
        <v>1</v>
      </c>
      <c r="J734" s="107" t="str">
        <f>'Q100a-geral'!J2289</f>
        <v>x</v>
      </c>
      <c r="K734" s="84" t="str">
        <f>'Q100a-geral'!K2289</f>
        <v>x</v>
      </c>
      <c r="L734" s="84" t="str">
        <f>'Q100a-geral'!L2289</f>
        <v>x</v>
      </c>
      <c r="M734" s="84" t="str">
        <f>'Q100a-geral'!M2289</f>
        <v>x</v>
      </c>
      <c r="N734" s="84" t="str">
        <f>'Q100a-geral'!N2289</f>
        <v>x</v>
      </c>
      <c r="O734" s="84" t="str">
        <f>'Q100a-geral'!O2289</f>
        <v>x</v>
      </c>
      <c r="P734" s="84" t="str">
        <f>'Q100a-geral'!P2289</f>
        <v>x</v>
      </c>
      <c r="Q734" s="84" t="str">
        <f>'Q100a-geral'!Q2289</f>
        <v>x</v>
      </c>
      <c r="R734" s="84" t="str">
        <f>'Q100a-geral'!R2289</f>
        <v>x</v>
      </c>
      <c r="S734" s="649" t="str">
        <f>'Q100a-geral'!S2289</f>
        <v>só para pesquisa</v>
      </c>
      <c r="T734" s="84" t="str">
        <f>'Q100a-geral'!T2289</f>
        <v>x</v>
      </c>
      <c r="U734" s="84" t="str">
        <f>'Q100a-geral'!U2289</f>
        <v>x</v>
      </c>
      <c r="V734" s="107" t="str">
        <f>'Q100a-geral'!V2289</f>
        <v>só para pesquisa</v>
      </c>
      <c r="W734" s="86">
        <f>'Q100a-geral'!W2289</f>
        <v>65102</v>
      </c>
      <c r="X734" s="86">
        <f>'Q100a-geral'!X2289</f>
        <v>64588</v>
      </c>
      <c r="Y734" s="86">
        <f>'Q100a-geral'!Y2289</f>
        <v>65729</v>
      </c>
      <c r="Z734" s="86">
        <f>'Q100a-geral'!Z2289</f>
        <v>66318</v>
      </c>
      <c r="AA734" s="86">
        <f>'Q100a-geral'!AA2289</f>
        <v>57136</v>
      </c>
      <c r="AB734" s="86">
        <f>'Q100a-geral'!AB2289</f>
        <v>60520</v>
      </c>
      <c r="AC734" s="86">
        <f>'Q100a-geral'!AC2289</f>
        <v>62899</v>
      </c>
      <c r="AD734" s="86">
        <f>'Q100a-geral'!AD2289</f>
        <v>71504</v>
      </c>
      <c r="AE734" s="86">
        <f>'Q100a-geral'!AE2289</f>
        <v>74005</v>
      </c>
      <c r="AF734" s="86">
        <f>'Q100a-geral'!AF2289</f>
        <v>84363</v>
      </c>
      <c r="AG734" s="86">
        <f>'Q100a-geral'!AG2289</f>
        <v>90949</v>
      </c>
      <c r="AH734" s="86">
        <f>'Q100a-geral'!AH2289</f>
        <v>90950</v>
      </c>
      <c r="AI734" s="86">
        <f>'Q100a-geral'!AI2289</f>
        <v>95264</v>
      </c>
      <c r="AJ734" s="86">
        <f>'Q100a-geral'!AJ2289</f>
        <v>97864</v>
      </c>
      <c r="AK734" s="86">
        <f>'Q100a-geral'!AK2289</f>
        <v>97492</v>
      </c>
      <c r="AL734" s="212" t="str">
        <f>'Q100a-geral'!AL2289</f>
        <v>x</v>
      </c>
      <c r="AM734" s="137" t="str">
        <f>'Q100a-geral'!AM2289</f>
        <v>x</v>
      </c>
      <c r="AN734" s="137" t="str">
        <f>'Q100a-geral'!AN2289</f>
        <v>x</v>
      </c>
      <c r="AO734" s="137" t="str">
        <f>'Q100a-geral'!AO2289</f>
        <v>x</v>
      </c>
      <c r="AP734" s="137" t="str">
        <f>'Q100a-geral'!AP2289</f>
        <v>x</v>
      </c>
      <c r="AQ734" s="137" t="str">
        <f>'Q100a-geral'!AQ2289</f>
        <v>x</v>
      </c>
      <c r="AR734" s="137"/>
      <c r="AS734" s="137"/>
      <c r="AT734" s="137"/>
      <c r="AU734" s="137"/>
      <c r="AV734" s="137" t="str">
        <f>'Q100a-geral'!AV2289</f>
        <v>x</v>
      </c>
      <c r="AW734" s="137"/>
      <c r="AX734" s="137"/>
      <c r="AY734" s="137"/>
      <c r="AZ734" s="137"/>
      <c r="BA734" s="137" t="str">
        <f>'Q100a-geral'!BA2289</f>
        <v>x</v>
      </c>
      <c r="BB734" s="239" t="str">
        <f>'Q100a-geral'!BB2289</f>
        <v>Estacionamentox</v>
      </c>
      <c r="BC734" s="239" t="str">
        <f>'Q100a-geral'!BC2289</f>
        <v>Estacionamentoxx</v>
      </c>
      <c r="BD734" s="239" t="str">
        <f>'Q100a-geral'!BD2289</f>
        <v>Estacionamentox</v>
      </c>
      <c r="BM734" s="68"/>
      <c r="BN734" s="68"/>
      <c r="BO734" s="68"/>
    </row>
    <row r="735" spans="1:69" s="1" customFormat="1" ht="41.25" customHeight="1" x14ac:dyDescent="0.25">
      <c r="A735" s="275" t="str">
        <f>'Q100a-geral'!A2295</f>
        <v>1.2</v>
      </c>
      <c r="B735" s="54" t="str">
        <f>'Q100a-geral'!B2295</f>
        <v>Atendimento ao usuário em geral</v>
      </c>
      <c r="C735" s="229" t="str">
        <f>'Q100a-geral'!C2295</f>
        <v>x</v>
      </c>
      <c r="D735" s="36" t="str">
        <f>'Q100a-geral'!D2295</f>
        <v>S</v>
      </c>
      <c r="E735" s="464" t="str">
        <f>'Q100a-geral'!E2295</f>
        <v>Belo Horizonte</v>
      </c>
      <c r="F735" s="445" t="str">
        <f>'Q100a-geral'!F2295</f>
        <v>n.º total de solicitações registradas</v>
      </c>
      <c r="G735" s="252" t="str">
        <f>'Q100a-geral'!G2295</f>
        <v>registro na fonte</v>
      </c>
      <c r="H735" s="169" t="str">
        <f>'Q100a-geral'!H2295</f>
        <v>ainda não incorporado ao SisMob-BH</v>
      </c>
      <c r="I735" s="172">
        <f>'Q100a-geral'!I2295</f>
        <v>1</v>
      </c>
      <c r="J735" s="109" t="str">
        <f>'Q100a-geral'!J2295</f>
        <v>x</v>
      </c>
      <c r="K735" s="110" t="str">
        <f>'Q100a-geral'!K2295</f>
        <v>x</v>
      </c>
      <c r="L735" s="110" t="str">
        <f>'Q100a-geral'!L2295</f>
        <v>x</v>
      </c>
      <c r="M735" s="110" t="str">
        <f>'Q100a-geral'!M2295</f>
        <v>x</v>
      </c>
      <c r="N735" s="110" t="str">
        <f>'Q100a-geral'!N2295</f>
        <v>x</v>
      </c>
      <c r="O735" s="110" t="str">
        <f>'Q100a-geral'!O2295</f>
        <v>x</v>
      </c>
      <c r="P735" s="110" t="str">
        <f>'Q100a-geral'!P2295</f>
        <v>x</v>
      </c>
      <c r="Q735" s="110" t="str">
        <f>'Q100a-geral'!Q2295</f>
        <v>x</v>
      </c>
      <c r="R735" s="110" t="str">
        <f>'Q100a-geral'!R2295</f>
        <v>x</v>
      </c>
      <c r="S735" s="109" t="str">
        <f>'Q100a-geral'!S2295</f>
        <v>só para pesquisa</v>
      </c>
      <c r="T735" s="110" t="str">
        <f>'Q100a-geral'!T2295</f>
        <v>x</v>
      </c>
      <c r="U735" s="110" t="str">
        <f>'Q100a-geral'!U2295</f>
        <v>x</v>
      </c>
      <c r="V735" s="107" t="str">
        <f>'Q100a-geral'!V2295</f>
        <v>só para pesquisa</v>
      </c>
      <c r="W735" s="110" t="str">
        <f>'Q100a-geral'!W2295</f>
        <v>x</v>
      </c>
      <c r="X735" s="110" t="str">
        <f>'Q100a-geral'!X2295</f>
        <v>x</v>
      </c>
      <c r="Y735" s="110" t="str">
        <f>'Q100a-geral'!Y2295</f>
        <v>x</v>
      </c>
      <c r="Z735" s="110" t="str">
        <f>'Q100a-geral'!Z2295</f>
        <v>x</v>
      </c>
      <c r="AA735" s="110" t="str">
        <f>'Q100a-geral'!AA2295</f>
        <v>x</v>
      </c>
      <c r="AB735" s="110" t="str">
        <f>'Q100a-geral'!AB2295</f>
        <v>x</v>
      </c>
      <c r="AC735" s="110" t="str">
        <f>'Q100a-geral'!AC2295</f>
        <v>x</v>
      </c>
      <c r="AD735" s="110" t="str">
        <f>'Q100a-geral'!AD2295</f>
        <v>x</v>
      </c>
      <c r="AE735" s="110" t="str">
        <f>'Q100a-geral'!AE2295</f>
        <v>x</v>
      </c>
      <c r="AF735" s="110" t="str">
        <f>'Q100a-geral'!AF2295</f>
        <v>x</v>
      </c>
      <c r="AG735" s="110" t="str">
        <f>'Q100a-geral'!AG2295</f>
        <v>x</v>
      </c>
      <c r="AH735" s="110" t="str">
        <f>'Q100a-geral'!AH2295</f>
        <v>x</v>
      </c>
      <c r="AI735" s="110" t="str">
        <f>'Q100a-geral'!AI2295</f>
        <v>x</v>
      </c>
      <c r="AJ735" s="110" t="str">
        <f>'Q100a-geral'!AJ2295</f>
        <v>x</v>
      </c>
      <c r="AK735" s="110" t="str">
        <f>'Q100a-geral'!AK2295</f>
        <v>x</v>
      </c>
      <c r="AL735" s="168" t="str">
        <f>'Q100a-geral'!AL2295</f>
        <v>x</v>
      </c>
      <c r="AM735" s="137" t="str">
        <f>'Q100a-geral'!AM2295</f>
        <v>x</v>
      </c>
      <c r="AN735" s="137" t="str">
        <f>'Q100a-geral'!AN2295</f>
        <v>x</v>
      </c>
      <c r="AO735" s="137" t="str">
        <f>'Q100a-geral'!AO2295</f>
        <v>x</v>
      </c>
      <c r="AP735" s="137" t="str">
        <f>'Q100a-geral'!AP2295</f>
        <v>x</v>
      </c>
      <c r="AQ735" s="137" t="str">
        <f>'Q100a-geral'!AQ2295</f>
        <v>x</v>
      </c>
      <c r="AR735" s="137"/>
      <c r="AS735" s="137"/>
      <c r="AT735" s="137"/>
      <c r="AU735" s="137"/>
      <c r="AV735" s="137" t="str">
        <f>'Q100a-geral'!AV2295</f>
        <v>x</v>
      </c>
      <c r="AW735" s="137"/>
      <c r="AX735" s="137"/>
      <c r="AY735" s="137"/>
      <c r="AZ735" s="137"/>
      <c r="BA735" s="137" t="str">
        <f>'Q100a-geral'!BA2295</f>
        <v>x</v>
      </c>
      <c r="BB735" s="239" t="str">
        <f>'Q100a-geral'!BB2295</f>
        <v>Atendimento ao usuário em geralx</v>
      </c>
      <c r="BC735" s="239" t="str">
        <f>'Q100a-geral'!BC2295</f>
        <v>Atendimento ao usuário em geralxainda não incorporado ao SisMob-BH</v>
      </c>
      <c r="BD735" s="239" t="str">
        <f>'Q100a-geral'!BD2295</f>
        <v>Atendimento ao usuário em geralainda não incorporado ao SisMob-BH</v>
      </c>
      <c r="BM735" s="193"/>
      <c r="BN735" s="193"/>
      <c r="BO735" s="193"/>
    </row>
    <row r="736" spans="1:69" s="1" customFormat="1" ht="63.75" customHeight="1" x14ac:dyDescent="0.25">
      <c r="A736" s="275" t="str">
        <f>'Q100a-geral'!A867</f>
        <v>8.7</v>
      </c>
      <c r="B736" s="53" t="str">
        <f>'Q100a-geral'!B867</f>
        <v>Transporte de baixa capacidade</v>
      </c>
      <c r="C736" s="229" t="str">
        <f>'Q100a-geral'!C867</f>
        <v>x</v>
      </c>
      <c r="D736" s="9" t="str">
        <f>'Q100a-geral'!D867</f>
        <v>F tcs
(n.º)</v>
      </c>
      <c r="E736" s="5" t="str">
        <f>'Q100a-geral'!E867</f>
        <v>Belo Horizonte</v>
      </c>
      <c r="F736" s="632" t="str">
        <f>'Q100a-geral'!F867</f>
        <v>frota total em n.º de ônibus do transporte coletivo suplementar de Belo Horizonte 
obs.1: resultado de dezembro tomado como representativo do ano com resultados de 2001 conforme BHTRANS(2005a); de 2002-2004 conforme BHTRANS(2006a); de 2005 conforme BHTRANS(2011b); de 2006-2012 conforme BHTRANS(2013h); de 2013 conforme BHTRANS(2014b); de 2014 com fórmula confirmado em BHTRANS(2015u); de 2015 com fórmula confirmado e, BHTRANS(2016p1)
obs.2: há divergência na frota de 2008, qual seja, 288 conforme BHTRANS(2011b) e 289 conforme BHTRANS(2013h), aqui assumindo-se esta última
obs.2: consulte definição de "transporte suplementar"</v>
      </c>
      <c r="G736" s="5" t="str">
        <f>'Q100a-geral'!G867</f>
        <v>registro na fonte
ou
∑ (n.º de veículos por categoria na escala "acessibilidade em ônibus urbano")</v>
      </c>
      <c r="H736" s="173" t="str">
        <f>'Q100a-geral'!H867</f>
        <v>x</v>
      </c>
      <c r="I736" s="167">
        <f>'Q100a-geral'!I867</f>
        <v>1</v>
      </c>
      <c r="J736" s="252" t="str">
        <f>'Q100a-geral'!J867</f>
        <v>serviço não existia antes de 2001</v>
      </c>
      <c r="K736" s="252" t="str">
        <f>'Q100a-geral'!K867</f>
        <v>serviço não existia antes de 2001</v>
      </c>
      <c r="L736" s="252" t="str">
        <f>'Q100a-geral'!L867</f>
        <v>serviço não existia antes de 2001</v>
      </c>
      <c r="M736" s="252" t="str">
        <f>'Q100a-geral'!M867</f>
        <v>serviço não existia antes de 2001</v>
      </c>
      <c r="N736" s="252" t="str">
        <f>'Q100a-geral'!N867</f>
        <v>serviço não existia antes de 2001</v>
      </c>
      <c r="O736" s="252" t="str">
        <f>'Q100a-geral'!O867</f>
        <v>serviço não existia antes de 2001</v>
      </c>
      <c r="P736" s="252" t="str">
        <f>'Q100a-geral'!P867</f>
        <v>serviço não existia antes de 2001</v>
      </c>
      <c r="Q736" s="252" t="str">
        <f>'Q100a-geral'!Q867</f>
        <v>serviço não existia antes de 2001</v>
      </c>
      <c r="R736" s="252" t="str">
        <f>'Q100a-geral'!R867</f>
        <v>serviço não existia antes de 2001</v>
      </c>
      <c r="S736" s="109" t="str">
        <f>'Q100a-geral'!S867</f>
        <v>só para pesquisa</v>
      </c>
      <c r="T736" s="252" t="str">
        <f>'Q100a-geral'!T867</f>
        <v>serviço não existia antes de 2001</v>
      </c>
      <c r="U736" s="252" t="str">
        <f>'Q100a-geral'!U867</f>
        <v>serviço não existia antes de 2001</v>
      </c>
      <c r="V736" s="107" t="str">
        <f>'Q100a-geral'!V867</f>
        <v>só para pesquisa</v>
      </c>
      <c r="W736" s="110">
        <f>'Q100a-geral'!W867</f>
        <v>273</v>
      </c>
      <c r="X736" s="110">
        <f>'Q100a-geral'!X867</f>
        <v>273</v>
      </c>
      <c r="Y736" s="110">
        <f>'Q100a-geral'!Y867</f>
        <v>287</v>
      </c>
      <c r="Z736" s="110">
        <f>'Q100a-geral'!Z867</f>
        <v>287</v>
      </c>
      <c r="AA736" s="110">
        <f>'Q100a-geral'!AA867</f>
        <v>284</v>
      </c>
      <c r="AB736" s="88">
        <f>'Q100a-geral'!AB867</f>
        <v>289</v>
      </c>
      <c r="AC736" s="88">
        <f>'Q100a-geral'!AC867</f>
        <v>289</v>
      </c>
      <c r="AD736" s="88">
        <f>'Q100a-geral'!AD867</f>
        <v>289</v>
      </c>
      <c r="AE736" s="88">
        <f>'Q100a-geral'!AE867</f>
        <v>288</v>
      </c>
      <c r="AF736" s="88">
        <f>'Q100a-geral'!AF867</f>
        <v>285</v>
      </c>
      <c r="AG736" s="88">
        <f>'Q100a-geral'!AG867</f>
        <v>285</v>
      </c>
      <c r="AH736" s="88">
        <f>'Q100a-geral'!AH867</f>
        <v>285</v>
      </c>
      <c r="AI736" s="88">
        <f>'Q100a-geral'!AI867</f>
        <v>282</v>
      </c>
      <c r="AJ736" s="72">
        <f>'Q100a-geral'!AJ867</f>
        <v>277</v>
      </c>
      <c r="AK736" s="72">
        <f>'Q100a-geral'!AK867</f>
        <v>274</v>
      </c>
      <c r="AL736" s="215" t="str">
        <f>'Q100a-geral'!AL867</f>
        <v>x</v>
      </c>
      <c r="AM736" s="137" t="str">
        <f>'Q100a-geral'!AM867</f>
        <v>x</v>
      </c>
      <c r="AN736" s="137" t="str">
        <f>'Q100a-geral'!AN867</f>
        <v>x</v>
      </c>
      <c r="AO736" s="137" t="str">
        <f>'Q100a-geral'!AO867</f>
        <v>x</v>
      </c>
      <c r="AP736" s="137" t="str">
        <f>'Q100a-geral'!AP867</f>
        <v>x</v>
      </c>
      <c r="AQ736" s="137" t="str">
        <f>'Q100a-geral'!AQ867</f>
        <v>x</v>
      </c>
      <c r="AR736" s="137"/>
      <c r="AS736" s="137"/>
      <c r="AT736" s="137"/>
      <c r="AU736" s="137"/>
      <c r="AV736" s="137" t="str">
        <f>'Q100a-geral'!AV867</f>
        <v>x</v>
      </c>
      <c r="AW736" s="137"/>
      <c r="AX736" s="137"/>
      <c r="AY736" s="137"/>
      <c r="AZ736" s="137"/>
      <c r="BA736" s="137" t="str">
        <f>'Q100a-geral'!BA867</f>
        <v>x</v>
      </c>
      <c r="BB736" s="239" t="str">
        <f>'Q100a-geral'!BB867</f>
        <v>Transporte de baixa capacidadex</v>
      </c>
      <c r="BC736" s="239" t="str">
        <f>'Q100a-geral'!BC867</f>
        <v>Transporte de baixa capacidadexx</v>
      </c>
      <c r="BD736" s="239" t="str">
        <f>'Q100a-geral'!BD867</f>
        <v>Transporte de baixa capacidadex</v>
      </c>
      <c r="BM736" s="193"/>
      <c r="BN736" s="193"/>
      <c r="BO736" s="193"/>
    </row>
    <row r="737" spans="1:67" s="1" customFormat="1" ht="63.75" customHeight="1" x14ac:dyDescent="0.25">
      <c r="A737" s="275" t="str">
        <f>'Q100a-geral'!A906</f>
        <v>8.7</v>
      </c>
      <c r="B737" s="53" t="str">
        <f>'Q100a-geral'!B906</f>
        <v>Transporte de baixa capacidade</v>
      </c>
      <c r="C737" s="229" t="str">
        <f>'Q100a-geral'!C906</f>
        <v>acessibilidade</v>
      </c>
      <c r="D737" s="9" t="str">
        <f>'Q100a-geral'!D906</f>
        <v>F tcs eh</v>
      </c>
      <c r="E737" s="5" t="str">
        <f>'Q100a-geral'!E906</f>
        <v>Belo Horizonte</v>
      </c>
      <c r="F737" s="632" t="str">
        <f>'Q100a-geral'!F906</f>
        <v>frota em n.º de ônibus do transporte coletivo suplementar de Belo Horizonte equipados com  elevador hidráulico (plataforma elevatória veicular) de uso exclusivo ou não para cadeirantes e que não operam em plataforma elevada
obs.: a despeito da não existência de veículos com embarque em nível no transporte suplementar de Belo Horizonte, em 28/03/2016 o gestor do serviço atesta que "Todos os veículos do Transporte Suplementar são acessíveis a pessoas com mobilidade reduzida e possuem capacidade para transportar até 34 passageiros (sentados e em pé)" conforme BHTRANS(2016d)</v>
      </c>
      <c r="G737" s="5" t="str">
        <f>'Q100a-geral'!G906</f>
        <v>F tcs eh ec + F tcs eh ecp</v>
      </c>
      <c r="H737" s="173" t="str">
        <f>'Q100a-geral'!H906</f>
        <v>x</v>
      </c>
      <c r="I737" s="167">
        <f>'Q100a-geral'!I906</f>
        <v>1</v>
      </c>
      <c r="J737" s="252" t="str">
        <f>'Q100a-geral'!J906</f>
        <v>não gerenciado pela BHTrans</v>
      </c>
      <c r="K737" s="252" t="str">
        <f>'Q100a-geral'!K906</f>
        <v>não gerenciado pela BHTrans</v>
      </c>
      <c r="L737" s="252" t="str">
        <f>'Q100a-geral'!L906</f>
        <v>não gerenciado pela BHTrans</v>
      </c>
      <c r="M737" s="252" t="str">
        <f>'Q100a-geral'!M906</f>
        <v>serviço não existia antes de 2001</v>
      </c>
      <c r="N737" s="252" t="str">
        <f>'Q100a-geral'!N906</f>
        <v>serviço não existia antes de 2001</v>
      </c>
      <c r="O737" s="252" t="str">
        <f>'Q100a-geral'!O906</f>
        <v>serviço não existia antes de 2001</v>
      </c>
      <c r="P737" s="252" t="str">
        <f>'Q100a-geral'!P906</f>
        <v>serviço não existia antes de 2001</v>
      </c>
      <c r="Q737" s="252" t="str">
        <f>'Q100a-geral'!Q906</f>
        <v>serviço não existia antes de 2001</v>
      </c>
      <c r="R737" s="252" t="str">
        <f>'Q100a-geral'!R906</f>
        <v>serviço não existia antes de 2001</v>
      </c>
      <c r="S737" s="109" t="str">
        <f>'Q100a-geral'!S906</f>
        <v>só para pesquisa</v>
      </c>
      <c r="T737" s="252" t="str">
        <f>'Q100a-geral'!T906</f>
        <v>serviço não existia antes de 2001</v>
      </c>
      <c r="U737" s="252" t="str">
        <f>'Q100a-geral'!U906</f>
        <v>serviço não existia antes de 2001</v>
      </c>
      <c r="V737" s="107" t="str">
        <f>'Q100a-geral'!V906</f>
        <v>só para pesquisa</v>
      </c>
      <c r="W737" s="111">
        <f>'Q100a-geral'!W906</f>
        <v>0</v>
      </c>
      <c r="X737" s="111">
        <f>'Q100a-geral'!X906</f>
        <v>0</v>
      </c>
      <c r="Y737" s="111">
        <f>'Q100a-geral'!Y906</f>
        <v>0</v>
      </c>
      <c r="Z737" s="111" t="e">
        <f>'Q100a-geral'!Z906</f>
        <v>#VALUE!</v>
      </c>
      <c r="AA737" s="111" t="e">
        <f>'Q100a-geral'!AA906</f>
        <v>#VALUE!</v>
      </c>
      <c r="AB737" s="111" t="e">
        <f>'Q100a-geral'!AB906</f>
        <v>#VALUE!</v>
      </c>
      <c r="AC737" s="111" t="e">
        <f>'Q100a-geral'!AC906</f>
        <v>#VALUE!</v>
      </c>
      <c r="AD737" s="111" t="e">
        <f>'Q100a-geral'!AD906</f>
        <v>#VALUE!</v>
      </c>
      <c r="AE737" s="111" t="e">
        <f>'Q100a-geral'!AE906</f>
        <v>#VALUE!</v>
      </c>
      <c r="AF737" s="111" t="e">
        <f>'Q100a-geral'!AF906</f>
        <v>#VALUE!</v>
      </c>
      <c r="AG737" s="111" t="e">
        <f>'Q100a-geral'!AG906</f>
        <v>#VALUE!</v>
      </c>
      <c r="AH737" s="111" t="e">
        <f>'Q100a-geral'!AH906</f>
        <v>#VALUE!</v>
      </c>
      <c r="AI737" s="111" t="e">
        <f>'Q100a-geral'!AI906</f>
        <v>#VALUE!</v>
      </c>
      <c r="AJ737" s="111">
        <f>'Q100a-geral'!AJ906</f>
        <v>270</v>
      </c>
      <c r="AK737" s="111">
        <f>'Q100a-geral'!AK906</f>
        <v>269</v>
      </c>
      <c r="AL737" s="215" t="str">
        <f>'Q100a-geral'!AL906</f>
        <v>x</v>
      </c>
      <c r="AM737" s="137" t="str">
        <f>'Q100a-geral'!AM906</f>
        <v>x</v>
      </c>
      <c r="AN737" s="137" t="str">
        <f>'Q100a-geral'!AN906</f>
        <v>x</v>
      </c>
      <c r="AO737" s="137" t="str">
        <f>'Q100a-geral'!AO906</f>
        <v>x</v>
      </c>
      <c r="AP737" s="137" t="str">
        <f>'Q100a-geral'!AP906</f>
        <v>x</v>
      </c>
      <c r="AQ737" s="137" t="str">
        <f>'Q100a-geral'!AQ906</f>
        <v>x</v>
      </c>
      <c r="AR737" s="137"/>
      <c r="AS737" s="137"/>
      <c r="AT737" s="137"/>
      <c r="AU737" s="137"/>
      <c r="AV737" s="137" t="str">
        <f>'Q100a-geral'!AV906</f>
        <v>x</v>
      </c>
      <c r="AW737" s="137"/>
      <c r="AX737" s="137"/>
      <c r="AY737" s="137"/>
      <c r="AZ737" s="137"/>
      <c r="BA737" s="137" t="str">
        <f>'Q100a-geral'!BA906</f>
        <v>x</v>
      </c>
      <c r="BB737" s="239" t="str">
        <f>'Q100a-geral'!BB906</f>
        <v>Transporte de baixa capacidadeacessibilidade</v>
      </c>
      <c r="BC737" s="239" t="str">
        <f>'Q100a-geral'!BC906</f>
        <v>Transporte de baixa capacidadeacessibilidadex</v>
      </c>
      <c r="BD737" s="239" t="str">
        <f>'Q100a-geral'!BD906</f>
        <v>Transporte de baixa capacidadex</v>
      </c>
      <c r="BM737" s="193"/>
      <c r="BN737" s="193"/>
      <c r="BO737" s="193"/>
    </row>
    <row r="738" spans="1:67" s="1" customFormat="1" ht="63.75" customHeight="1" x14ac:dyDescent="0.25">
      <c r="A738" s="275" t="str">
        <f>'Q100a-geral'!A923</f>
        <v>8.7</v>
      </c>
      <c r="B738" s="53" t="str">
        <f>'Q100a-geral'!B923</f>
        <v>Transporte de baixa capacidade</v>
      </c>
      <c r="C738" s="229" t="str">
        <f>'Q100a-geral'!C923</f>
        <v>acessibilidade</v>
      </c>
      <c r="D738" s="9" t="str">
        <f>'Q100a-geral'!D923</f>
        <v>F tcs eh ec</v>
      </c>
      <c r="E738" s="5" t="str">
        <f>'Q100a-geral'!E923</f>
        <v>Belo Horizonte</v>
      </c>
      <c r="F738" s="632" t="str">
        <f>'Q100a-geral'!F923</f>
        <v xml:space="preserve">frota do transporte coletivo suplementar de Belo Horizonte em n.º de veículos com elevador hidráulico acionado exclusivamente para embarque/desembarque de pessoas em cadeira de rodas, que tenham chassis fabricados até 2008 (inclusive) e que não operam em plataformas elevadas (o embarque/desembarque nunca acontece em nível) 
obs.1: resultado de dezembro tomado como representativo do ano com resultado de 2014 conforme BHTRANS(2015c), 2015 conforme(BHTRANS,2016p1)
obs.2: em função dos resultados de "F tcc eh ec " para 2003, assume-se que F tcs ec" é zero de 2001 a 2003
obs.3: o edital de licitação do serviço em 2016 estabelece que "Todos os veículos com o chassi fabricado a partir de 31/01/2009, dotados de plataforma elevatória fa-bricada de acordo com a norma ABNT NBR 15646, devem ser identificados com o adesivo apresentado no Anexo - Manual de Identidade Visual do Veículo - MIVV, de forma a diferenciar os veículos cujo elevador permite a utilização por pessoas com deficiência ou mobilidade reduzida (em pé), dos veículos cujo elevador é acessível apenas para usuários de cadeira de rodas." conforme BHTRANS(2016h, p.64)
obs.4: esta categoria recebe peso 2, numa escala de 1 a 10, na classificação definida pelo SisMob-BH para classificar a acessibilidade - acesse "acessibilidade em ônibus urbano (escala)"
</v>
      </c>
      <c r="G738" s="252" t="str">
        <f>'Q100a-geral'!G923</f>
        <v>registro na fonte</v>
      </c>
      <c r="H738" s="173" t="str">
        <f>'Q100a-geral'!H923</f>
        <v>x</v>
      </c>
      <c r="I738" s="167">
        <f>'Q100a-geral'!I923</f>
        <v>1</v>
      </c>
      <c r="J738" s="252" t="str">
        <f>'Q100a-geral'!J923</f>
        <v>não gerenciado pela BHTrans</v>
      </c>
      <c r="K738" s="252" t="str">
        <f>'Q100a-geral'!K923</f>
        <v>não gerenciado pela BHTrans</v>
      </c>
      <c r="L738" s="252" t="str">
        <f>'Q100a-geral'!L923</f>
        <v>não gerenciado pela BHTrans</v>
      </c>
      <c r="M738" s="252" t="str">
        <f>'Q100a-geral'!M923</f>
        <v>serviço não existia antes de 2001</v>
      </c>
      <c r="N738" s="252" t="str">
        <f>'Q100a-geral'!N923</f>
        <v>serviço não existia antes de 2001</v>
      </c>
      <c r="O738" s="252" t="str">
        <f>'Q100a-geral'!O923</f>
        <v>serviço não existia antes de 2001</v>
      </c>
      <c r="P738" s="252" t="str">
        <f>'Q100a-geral'!P923</f>
        <v>serviço não existia antes de 2001</v>
      </c>
      <c r="Q738" s="252" t="str">
        <f>'Q100a-geral'!Q923</f>
        <v>serviço não existia antes de 2001</v>
      </c>
      <c r="R738" s="252" t="str">
        <f>'Q100a-geral'!R923</f>
        <v>serviço não existia antes de 2001</v>
      </c>
      <c r="S738" s="109" t="str">
        <f>'Q100a-geral'!S923</f>
        <v>só para pesquisa</v>
      </c>
      <c r="T738" s="252" t="str">
        <f>'Q100a-geral'!T923</f>
        <v>serviço não existia antes de 2001</v>
      </c>
      <c r="U738" s="252" t="str">
        <f>'Q100a-geral'!U923</f>
        <v>serviço não existia antes de 2001</v>
      </c>
      <c r="V738" s="107" t="str">
        <f>'Q100a-geral'!V923</f>
        <v>só para pesquisa</v>
      </c>
      <c r="W738" s="84">
        <f>'Q100a-geral'!W923</f>
        <v>0</v>
      </c>
      <c r="X738" s="84">
        <f>'Q100a-geral'!X923</f>
        <v>0</v>
      </c>
      <c r="Y738" s="84">
        <f>'Q100a-geral'!Y923</f>
        <v>0</v>
      </c>
      <c r="Z738" s="84" t="str">
        <f>'Q100a-geral'!Z923</f>
        <v>ainda não encontrado</v>
      </c>
      <c r="AA738" s="84" t="str">
        <f>'Q100a-geral'!AA923</f>
        <v>ainda não encontrado</v>
      </c>
      <c r="AB738" s="84" t="str">
        <f>'Q100a-geral'!AB923</f>
        <v>ainda não encontrado</v>
      </c>
      <c r="AC738" s="84" t="str">
        <f>'Q100a-geral'!AC923</f>
        <v>ainda não encontrado</v>
      </c>
      <c r="AD738" s="84" t="str">
        <f>'Q100a-geral'!AD923</f>
        <v>ainda não encontrado</v>
      </c>
      <c r="AE738" s="84" t="str">
        <f>'Q100a-geral'!AE923</f>
        <v>ainda não encontrado</v>
      </c>
      <c r="AF738" s="84" t="str">
        <f>'Q100a-geral'!AF923</f>
        <v>ainda não encontrado</v>
      </c>
      <c r="AG738" s="84" t="str">
        <f>'Q100a-geral'!AG923</f>
        <v>ainda não encontrado</v>
      </c>
      <c r="AH738" s="84" t="str">
        <f>'Q100a-geral'!AH923</f>
        <v>ainda não encontrado</v>
      </c>
      <c r="AI738" s="84" t="str">
        <f>'Q100a-geral'!AI923</f>
        <v>ainda não encontrado</v>
      </c>
      <c r="AJ738" s="84">
        <f>'Q100a-geral'!AJ923</f>
        <v>1</v>
      </c>
      <c r="AK738" s="84">
        <f>'Q100a-geral'!AK923</f>
        <v>0</v>
      </c>
      <c r="AL738" s="215" t="str">
        <f>'Q100a-geral'!AL923</f>
        <v>x</v>
      </c>
      <c r="AM738" s="137" t="str">
        <f>'Q100a-geral'!AM923</f>
        <v>x</v>
      </c>
      <c r="AN738" s="137" t="str">
        <f>'Q100a-geral'!AN923</f>
        <v>x</v>
      </c>
      <c r="AO738" s="137" t="str">
        <f>'Q100a-geral'!AO923</f>
        <v>x</v>
      </c>
      <c r="AP738" s="137" t="str">
        <f>'Q100a-geral'!AP923</f>
        <v>x</v>
      </c>
      <c r="AQ738" s="137" t="str">
        <f>'Q100a-geral'!AQ923</f>
        <v>x</v>
      </c>
      <c r="AR738" s="137"/>
      <c r="AS738" s="137"/>
      <c r="AT738" s="137"/>
      <c r="AU738" s="137"/>
      <c r="AV738" s="137" t="str">
        <f>'Q100a-geral'!AV923</f>
        <v>x</v>
      </c>
      <c r="AW738" s="137"/>
      <c r="AX738" s="137"/>
      <c r="AY738" s="137"/>
      <c r="AZ738" s="137"/>
      <c r="BA738" s="137" t="str">
        <f>'Q100a-geral'!BA923</f>
        <v>x</v>
      </c>
      <c r="BB738" s="239" t="str">
        <f>'Q100a-geral'!BB923</f>
        <v>Transporte de baixa capacidadeacessibilidade</v>
      </c>
      <c r="BC738" s="239" t="str">
        <f>'Q100a-geral'!BC923</f>
        <v>Transporte de baixa capacidadeacessibilidadex</v>
      </c>
      <c r="BD738" s="239" t="str">
        <f>'Q100a-geral'!BD923</f>
        <v>Transporte de baixa capacidadex</v>
      </c>
      <c r="BM738" s="193"/>
      <c r="BN738" s="193"/>
      <c r="BO738" s="193"/>
    </row>
    <row r="739" spans="1:67" s="1" customFormat="1" ht="63.75" customHeight="1" x14ac:dyDescent="0.25">
      <c r="A739" s="275" t="str">
        <f>'Q100a-geral'!A938</f>
        <v>8.7</v>
      </c>
      <c r="B739" s="53" t="str">
        <f>'Q100a-geral'!B938</f>
        <v>Transporte de baixa capacidade</v>
      </c>
      <c r="C739" s="229" t="str">
        <f>'Q100a-geral'!C938</f>
        <v>acessibilidade</v>
      </c>
      <c r="D739" s="9" t="str">
        <f>'Q100a-geral'!D938</f>
        <v>F tcs eh ecp</v>
      </c>
      <c r="E739" s="5" t="str">
        <f>'Q100a-geral'!E938</f>
        <v>Belo Horizonte</v>
      </c>
      <c r="F739" s="632" t="str">
        <f>'Q100a-geral'!F938</f>
        <v>frota do transporte coletivo suplementar de Belo Horizonte em n.º de veículos com elevador, que tenham chassis fabricado a partir de 2009 (inclusive) e que não operam em plataformas elevadas (o embarque/desembarque nunca acontece em nível e pessoas em pé podem utilizar o elevador para embarque/desembarque caso se sintam seguras e o operador permita)
obs.1: esta categoria recebe peso 3, numa escala de 1 a 10, na classificação definida pelo SisMob-BH para classificar a acessibilidade - acesse "acessibilidade em ônibus urbano (escala)"
obs.2: o edital de licitação do serviço em 2016 estabelece que "Todos os veículos com o chassi fabricado a partir de 31/01/2009, dotados de plataforma elevatória fa-bricada de acordo com a norma ABNT NBR 15646, devem ser identificados com o adesivo apresentado no Anexo - Manual de Identidade Visual do Veículo - MIVV, de forma a diferenciar os veículos cujo elevador permite a utilização por pessoas com deficiência ou mobilidade reduzida (em pé), dos veículos cujo elevador é acessível apenas para usuários de cadeira de rodas." conforme BHTRANS(2016h, p.64)
obs.3: resultado de dezembro tomado como representativo do ano com resultado de 2014 conforme BHTRANS(2015c), 2015 conforme(BHTRANS,2016p1)</v>
      </c>
      <c r="G739" s="252" t="str">
        <f>'Q100a-geral'!G938</f>
        <v>registro na fonte</v>
      </c>
      <c r="H739" s="173" t="str">
        <f>'Q100a-geral'!H938</f>
        <v>x</v>
      </c>
      <c r="I739" s="167">
        <f>'Q100a-geral'!I938</f>
        <v>1</v>
      </c>
      <c r="J739" s="252" t="str">
        <f>'Q100a-geral'!J938</f>
        <v>não gerenciado pela BHTrans</v>
      </c>
      <c r="K739" s="252" t="str">
        <f>'Q100a-geral'!K938</f>
        <v>não gerenciado pela BHTrans</v>
      </c>
      <c r="L739" s="252" t="str">
        <f>'Q100a-geral'!L938</f>
        <v>não gerenciado pela BHTrans</v>
      </c>
      <c r="M739" s="252" t="str">
        <f>'Q100a-geral'!M938</f>
        <v>serviço não existia antes de 2001</v>
      </c>
      <c r="N739" s="252" t="str">
        <f>'Q100a-geral'!N938</f>
        <v>serviço não existia antes de 2001</v>
      </c>
      <c r="O739" s="252" t="str">
        <f>'Q100a-geral'!O938</f>
        <v>serviço não existia antes de 2001</v>
      </c>
      <c r="P739" s="252" t="str">
        <f>'Q100a-geral'!P938</f>
        <v>serviço não existia antes de 2001</v>
      </c>
      <c r="Q739" s="252" t="str">
        <f>'Q100a-geral'!Q938</f>
        <v>serviço não existia antes de 2001</v>
      </c>
      <c r="R739" s="252" t="str">
        <f>'Q100a-geral'!R938</f>
        <v>serviço não existia antes de 2001</v>
      </c>
      <c r="S739" s="109" t="str">
        <f>'Q100a-geral'!S938</f>
        <v>só para pesquisa</v>
      </c>
      <c r="T739" s="252" t="str">
        <f>'Q100a-geral'!T938</f>
        <v>serviço não existia antes de 2001</v>
      </c>
      <c r="U739" s="252" t="str">
        <f>'Q100a-geral'!U938</f>
        <v>serviço não existia antes de 2001</v>
      </c>
      <c r="V739" s="107" t="str">
        <f>'Q100a-geral'!V938</f>
        <v>só para pesquisa</v>
      </c>
      <c r="W739" s="84">
        <f>'Q100a-geral'!W938</f>
        <v>0</v>
      </c>
      <c r="X739" s="84">
        <f>'Q100a-geral'!X938</f>
        <v>0</v>
      </c>
      <c r="Y739" s="84">
        <f>'Q100a-geral'!Y938</f>
        <v>0</v>
      </c>
      <c r="Z739" s="84">
        <f>'Q100a-geral'!Z938</f>
        <v>0</v>
      </c>
      <c r="AA739" s="84">
        <f>'Q100a-geral'!AA938</f>
        <v>0</v>
      </c>
      <c r="AB739" s="84">
        <f>'Q100a-geral'!AB938</f>
        <v>0</v>
      </c>
      <c r="AC739" s="84">
        <f>'Q100a-geral'!AC938</f>
        <v>0</v>
      </c>
      <c r="AD739" s="84">
        <f>'Q100a-geral'!AD938</f>
        <v>0</v>
      </c>
      <c r="AE739" s="84" t="str">
        <f>'Q100a-geral'!AE938</f>
        <v>ainda não encontrado</v>
      </c>
      <c r="AF739" s="84" t="str">
        <f>'Q100a-geral'!AF938</f>
        <v>ainda não encontrado</v>
      </c>
      <c r="AG739" s="84" t="str">
        <f>'Q100a-geral'!AG938</f>
        <v>ainda não encontrado</v>
      </c>
      <c r="AH739" s="84" t="str">
        <f>'Q100a-geral'!AH938</f>
        <v>ainda não encontrado</v>
      </c>
      <c r="AI739" s="84" t="str">
        <f>'Q100a-geral'!AI938</f>
        <v>ainda não encontrado</v>
      </c>
      <c r="AJ739" s="84">
        <f>'Q100a-geral'!AJ938</f>
        <v>269</v>
      </c>
      <c r="AK739" s="84">
        <f>'Q100a-geral'!AK938</f>
        <v>269</v>
      </c>
      <c r="AL739" s="215" t="str">
        <f>'Q100a-geral'!AL938</f>
        <v>x</v>
      </c>
      <c r="AM739" s="137" t="str">
        <f>'Q100a-geral'!AM938</f>
        <v>x</v>
      </c>
      <c r="AN739" s="137" t="str">
        <f>'Q100a-geral'!AN938</f>
        <v>x</v>
      </c>
      <c r="AO739" s="137" t="str">
        <f>'Q100a-geral'!AO938</f>
        <v>x</v>
      </c>
      <c r="AP739" s="137" t="str">
        <f>'Q100a-geral'!AP938</f>
        <v>x</v>
      </c>
      <c r="AQ739" s="137" t="str">
        <f>'Q100a-geral'!AQ938</f>
        <v>x</v>
      </c>
      <c r="AR739" s="137"/>
      <c r="AS739" s="137"/>
      <c r="AT739" s="137"/>
      <c r="AU739" s="137"/>
      <c r="AV739" s="137" t="str">
        <f>'Q100a-geral'!AV938</f>
        <v>x</v>
      </c>
      <c r="AW739" s="137"/>
      <c r="AX739" s="137"/>
      <c r="AY739" s="137"/>
      <c r="AZ739" s="137"/>
      <c r="BA739" s="137" t="str">
        <f>'Q100a-geral'!BA938</f>
        <v>x</v>
      </c>
      <c r="BB739" s="239" t="str">
        <f>'Q100a-geral'!BB938</f>
        <v>Transporte de baixa capacidadeacessibilidade</v>
      </c>
      <c r="BC739" s="239" t="str">
        <f>'Q100a-geral'!BC938</f>
        <v>Transporte de baixa capacidadeacessibilidadex</v>
      </c>
      <c r="BD739" s="239" t="str">
        <f>'Q100a-geral'!BD938</f>
        <v>Transporte de baixa capacidadex</v>
      </c>
      <c r="BM739" s="193"/>
      <c r="BN739" s="193"/>
      <c r="BO739" s="193"/>
    </row>
    <row r="740" spans="1:67" s="1" customFormat="1" ht="63.75" customHeight="1" x14ac:dyDescent="0.25">
      <c r="A740" s="275" t="str">
        <f>'Q100a-geral'!A1049</f>
        <v>8.7</v>
      </c>
      <c r="B740" s="53" t="str">
        <f>'Q100a-geral'!B1049</f>
        <v>Transporte de baixa capacidade</v>
      </c>
      <c r="C740" s="229" t="str">
        <f>'Q100a-geral'!C1049</f>
        <v>acessibilidade</v>
      </c>
      <c r="D740" s="9" t="str">
        <f>'Q100a-geral'!D1049</f>
        <v>F tcs nac</v>
      </c>
      <c r="E740" s="5" t="str">
        <f>'Q100a-geral'!E1049</f>
        <v>Belo Horizonte</v>
      </c>
      <c r="F740" s="632" t="str">
        <f>'Q100a-geral'!F1049</f>
        <v>frota em n.º de ônibus do transporte coletivo suplementar de Belo Horizonte  considerada pelo SisMob-BH como não "acessível", pois não fornece qualquer facilidade para o embarque/desembarque de pessoas com mobilidade (física) reduzida, ou seja, com o embarque/desembarque acontecendo exclusivamente com escada (sem elevador hidráulico, sem operação em plataforma elevada e sem piso-baixo em qualquer porta) e, portanto, tecnicamente "não-acessível"
obs.1: resultado de dezembro tomado como representativo do ano com resultado de 2014 conforme BHTRANS(2015c), 2015 conforme(BHTRANS,2016p1)
obs.2: esta categoria recebe peso 1, numa escala de 1 a 10, na classificação definida pelo SisMob-BH para classificar a acessibilidade - acesse "acessibilidade em ônibus urbano (escala)"</v>
      </c>
      <c r="G740" s="252" t="str">
        <f>'Q100a-geral'!G1049</f>
        <v>registro na fonte</v>
      </c>
      <c r="H740" s="173" t="str">
        <f>'Q100a-geral'!H1049</f>
        <v>x</v>
      </c>
      <c r="I740" s="167">
        <f>'Q100a-geral'!I1049</f>
        <v>1</v>
      </c>
      <c r="J740" s="252" t="str">
        <f>'Q100a-geral'!J1049</f>
        <v>serviço não existia antes de 2001</v>
      </c>
      <c r="K740" s="252" t="str">
        <f>'Q100a-geral'!K1049</f>
        <v>serviço não existia antes de 2001</v>
      </c>
      <c r="L740" s="252" t="str">
        <f>'Q100a-geral'!L1049</f>
        <v>serviço não existia antes de 2001</v>
      </c>
      <c r="M740" s="252" t="str">
        <f>'Q100a-geral'!M1049</f>
        <v>serviço não existia antes de 2001</v>
      </c>
      <c r="N740" s="252" t="str">
        <f>'Q100a-geral'!N1049</f>
        <v>serviço não existia antes de 2001</v>
      </c>
      <c r="O740" s="252" t="str">
        <f>'Q100a-geral'!O1049</f>
        <v>serviço não existia antes de 2001</v>
      </c>
      <c r="P740" s="252" t="str">
        <f>'Q100a-geral'!P1049</f>
        <v>serviço não existia antes de 2001</v>
      </c>
      <c r="Q740" s="252" t="str">
        <f>'Q100a-geral'!Q1049</f>
        <v>serviço não existia antes de 2001</v>
      </c>
      <c r="R740" s="252" t="str">
        <f>'Q100a-geral'!R1049</f>
        <v>serviço não existia antes de 2001</v>
      </c>
      <c r="S740" s="109" t="str">
        <f>'Q100a-geral'!S1049</f>
        <v>só para pesquisa</v>
      </c>
      <c r="T740" s="252" t="str">
        <f>'Q100a-geral'!T1049</f>
        <v>serviço não existia antes de 2001</v>
      </c>
      <c r="U740" s="252" t="str">
        <f>'Q100a-geral'!U1049</f>
        <v>serviço não existia antes de 2001</v>
      </c>
      <c r="V740" s="107" t="str">
        <f>'Q100a-geral'!V1049</f>
        <v>só para pesquisa</v>
      </c>
      <c r="W740" s="84" t="str">
        <f>'Q100a-geral'!W1049</f>
        <v>ainda não encontrado</v>
      </c>
      <c r="X740" s="84" t="str">
        <f>'Q100a-geral'!X1049</f>
        <v>ainda não encontrado</v>
      </c>
      <c r="Y740" s="84" t="str">
        <f>'Q100a-geral'!Y1049</f>
        <v>ainda não encontrado</v>
      </c>
      <c r="Z740" s="84" t="str">
        <f>'Q100a-geral'!Z1049</f>
        <v>ainda não encontrado</v>
      </c>
      <c r="AA740" s="84" t="str">
        <f>'Q100a-geral'!AA1049</f>
        <v>ainda não encontrado</v>
      </c>
      <c r="AB740" s="84" t="str">
        <f>'Q100a-geral'!AB1049</f>
        <v>ainda não encontrado</v>
      </c>
      <c r="AC740" s="84" t="str">
        <f>'Q100a-geral'!AC1049</f>
        <v>ainda não encontrado</v>
      </c>
      <c r="AD740" s="84" t="str">
        <f>'Q100a-geral'!AD1049</f>
        <v>ainda não encontrado</v>
      </c>
      <c r="AE740" s="84" t="str">
        <f>'Q100a-geral'!AE1049</f>
        <v>ainda não encontrado</v>
      </c>
      <c r="AF740" s="84" t="str">
        <f>'Q100a-geral'!AF1049</f>
        <v>ainda não encontrado</v>
      </c>
      <c r="AG740" s="84" t="str">
        <f>'Q100a-geral'!AG1049</f>
        <v>ainda não encontrado</v>
      </c>
      <c r="AH740" s="84" t="str">
        <f>'Q100a-geral'!AH1049</f>
        <v>ainda não encontrado</v>
      </c>
      <c r="AI740" s="84" t="str">
        <f>'Q100a-geral'!AI1049</f>
        <v>ainda não encontrado</v>
      </c>
      <c r="AJ740" s="84">
        <f>'Q100a-geral'!AJ1049</f>
        <v>7</v>
      </c>
      <c r="AK740" s="84">
        <f>'Q100a-geral'!AK1049</f>
        <v>5</v>
      </c>
      <c r="AL740" s="215" t="str">
        <f>'Q100a-geral'!AL1049</f>
        <v>x</v>
      </c>
      <c r="AM740" s="137" t="str">
        <f>'Q100a-geral'!AM1049</f>
        <v>x</v>
      </c>
      <c r="AN740" s="137" t="str">
        <f>'Q100a-geral'!AN1049</f>
        <v>x</v>
      </c>
      <c r="AO740" s="137" t="str">
        <f>'Q100a-geral'!AO1049</f>
        <v>x</v>
      </c>
      <c r="AP740" s="137" t="str">
        <f>'Q100a-geral'!AP1049</f>
        <v>x</v>
      </c>
      <c r="AQ740" s="137" t="str">
        <f>'Q100a-geral'!AQ1049</f>
        <v>x</v>
      </c>
      <c r="AR740" s="137"/>
      <c r="AS740" s="137"/>
      <c r="AT740" s="137"/>
      <c r="AU740" s="137"/>
      <c r="AV740" s="137" t="str">
        <f>'Q100a-geral'!AV1049</f>
        <v>x</v>
      </c>
      <c r="AW740" s="137"/>
      <c r="AX740" s="137"/>
      <c r="AY740" s="137"/>
      <c r="AZ740" s="137"/>
      <c r="BA740" s="137" t="str">
        <f>'Q100a-geral'!BA1049</f>
        <v>x</v>
      </c>
      <c r="BB740" s="239" t="str">
        <f>'Q100a-geral'!BB1049</f>
        <v>Transporte de baixa capacidadeacessibilidade</v>
      </c>
      <c r="BC740" s="239" t="str">
        <f>'Q100a-geral'!BC1049</f>
        <v>Transporte de baixa capacidadeacessibilidadex</v>
      </c>
      <c r="BD740" s="239" t="str">
        <f>'Q100a-geral'!BD1049</f>
        <v>Transporte de baixa capacidadex</v>
      </c>
      <c r="BM740" s="193"/>
      <c r="BN740" s="193"/>
      <c r="BO740" s="193"/>
    </row>
    <row r="741" spans="1:67" s="1" customFormat="1" ht="51" customHeight="1" x14ac:dyDescent="0.25">
      <c r="A741" s="275" t="str">
        <f>'Q100a-geral'!A2348</f>
        <v>9.1</v>
      </c>
      <c r="B741" s="11" t="str">
        <f>'Q100a-geral'!B2348</f>
        <v>Acidentes de trânsito</v>
      </c>
      <c r="C741" s="57" t="str">
        <f>'Q100a-geral'!C2348</f>
        <v>x</v>
      </c>
      <c r="D741" s="322" t="str">
        <f>'Q100a-geral'!D2348</f>
        <v>T</v>
      </c>
      <c r="E741" s="11" t="str">
        <f>'Q100a-geral'!E2348</f>
        <v>Belo Horizonte</v>
      </c>
      <c r="F741" s="447" t="str">
        <f>'Q100a-geral'!F2348</f>
        <v>n.º de acidentes de trânsito com atropelamento de pessoa
obs.1: nos relatórios anuais de acidentes de trânsito da BHTrans este indicador é denominado "total de atropelamentos de pessoas"
obs.2: é necessário apurar a descrição para melhor informar como a BHTrans apura os resultados desse indicador
obs.3: as fontes dos resultados aqui apresentados são os relatórios da BHTrans (2014d; 2015i) que, por sua vez, têm como fonte o sistema BH10 BHTrans - base de dados do Detran-MG</v>
      </c>
      <c r="G741" s="151" t="str">
        <f>'Q100a-geral'!G2348</f>
        <v>registro na fonte</v>
      </c>
      <c r="H741" s="173" t="str">
        <f>'Q100a-geral'!H2348</f>
        <v>x</v>
      </c>
      <c r="I741" s="57">
        <f>'Q100a-geral'!I2348</f>
        <v>1</v>
      </c>
      <c r="J741" s="107" t="str">
        <f>'Q100a-geral'!J2348</f>
        <v>x</v>
      </c>
      <c r="K741" s="161">
        <f>'Q100a-geral'!K2348</f>
        <v>4585</v>
      </c>
      <c r="L741" s="161">
        <f>'Q100a-geral'!L2348</f>
        <v>4219</v>
      </c>
      <c r="M741" s="161">
        <f>'Q100a-geral'!M2348</f>
        <v>5133</v>
      </c>
      <c r="N741" s="161">
        <f>'Q100a-geral'!N2348</f>
        <v>5146</v>
      </c>
      <c r="O741" s="161">
        <f>'Q100a-geral'!O2348</f>
        <v>4863</v>
      </c>
      <c r="P741" s="161">
        <f>'Q100a-geral'!P2348</f>
        <v>4843</v>
      </c>
      <c r="Q741" s="161">
        <f>'Q100a-geral'!Q2348</f>
        <v>4517</v>
      </c>
      <c r="R741" s="161">
        <f>'Q100a-geral'!R2348</f>
        <v>4551</v>
      </c>
      <c r="S741" s="649" t="str">
        <f>'Q100a-geral'!S2348</f>
        <v>só para pesquisa</v>
      </c>
      <c r="T741" s="161">
        <f>'Q100a-geral'!T2348</f>
        <v>4488</v>
      </c>
      <c r="U741" s="161">
        <f>'Q100a-geral'!U2348</f>
        <v>4148</v>
      </c>
      <c r="V741" s="107" t="str">
        <f>'Q100a-geral'!V2348</f>
        <v>só para pesquisa</v>
      </c>
      <c r="W741" s="161">
        <f>'Q100a-geral'!W2348</f>
        <v>3733</v>
      </c>
      <c r="X741" s="161">
        <f>'Q100a-geral'!X2348</f>
        <v>3268</v>
      </c>
      <c r="Y741" s="161">
        <f>'Q100a-geral'!Y2348</f>
        <v>3520</v>
      </c>
      <c r="Z741" s="162">
        <f>'Q100a-geral'!Z2348</f>
        <v>3581</v>
      </c>
      <c r="AA741" s="162">
        <f>'Q100a-geral'!AA2348</f>
        <v>3552</v>
      </c>
      <c r="AB741" s="162">
        <f>'Q100a-geral'!AB2348</f>
        <v>3335</v>
      </c>
      <c r="AC741" s="162">
        <f>'Q100a-geral'!AC2348</f>
        <v>3127</v>
      </c>
      <c r="AD741" s="162">
        <f>'Q100a-geral'!AD2348</f>
        <v>3087</v>
      </c>
      <c r="AE741" s="162">
        <f>'Q100a-geral'!AE2348</f>
        <v>3076</v>
      </c>
      <c r="AF741" s="162">
        <f>'Q100a-geral'!AF2348</f>
        <v>3116</v>
      </c>
      <c r="AG741" s="162">
        <f>'Q100a-geral'!AG2348</f>
        <v>2850</v>
      </c>
      <c r="AH741" s="162">
        <f>'Q100a-geral'!AH2348</f>
        <v>2559</v>
      </c>
      <c r="AI741" s="162">
        <f>'Q100a-geral'!AI2348</f>
        <v>2269</v>
      </c>
      <c r="AJ741" s="162">
        <f>'Q100a-geral'!AJ2348</f>
        <v>2260</v>
      </c>
      <c r="AK741" s="137" t="str">
        <f>'Q100a-geral'!AK2348</f>
        <v>x</v>
      </c>
      <c r="AL741" s="212" t="str">
        <f>'Q100a-geral'!AL2348</f>
        <v>x</v>
      </c>
      <c r="AM741" s="137" t="str">
        <f>'Q100a-geral'!AM2348</f>
        <v>x</v>
      </c>
      <c r="AN741" s="137" t="str">
        <f>'Q100a-geral'!AN2348</f>
        <v>x</v>
      </c>
      <c r="AO741" s="137" t="str">
        <f>'Q100a-geral'!AO2348</f>
        <v>x</v>
      </c>
      <c r="AP741" s="137" t="str">
        <f>'Q100a-geral'!AP2348</f>
        <v>x</v>
      </c>
      <c r="AQ741" s="137" t="str">
        <f>'Q100a-geral'!AQ2348</f>
        <v>x</v>
      </c>
      <c r="AR741" s="137"/>
      <c r="AS741" s="137"/>
      <c r="AT741" s="137"/>
      <c r="AU741" s="137"/>
      <c r="AV741" s="137" t="str">
        <f>'Q100a-geral'!AV2348</f>
        <v>x</v>
      </c>
      <c r="AW741" s="137"/>
      <c r="AX741" s="137"/>
      <c r="AY741" s="137"/>
      <c r="AZ741" s="137"/>
      <c r="BA741" s="137" t="str">
        <f>'Q100a-geral'!BA2348</f>
        <v>x</v>
      </c>
      <c r="BB741" s="239" t="str">
        <f>'Q100a-geral'!BB2348</f>
        <v>Acidentes de trânsitox</v>
      </c>
      <c r="BC741" s="239" t="str">
        <f>'Q100a-geral'!BC2348</f>
        <v>Acidentes de trânsitoxx</v>
      </c>
      <c r="BD741" s="239" t="str">
        <f>'Q100a-geral'!BD2348</f>
        <v>Acidentes de trânsitox</v>
      </c>
      <c r="BM741" s="193"/>
      <c r="BN741" s="193"/>
      <c r="BO741" s="193"/>
    </row>
    <row r="742" spans="1:67" s="1" customFormat="1" ht="63.75" customHeight="1" x14ac:dyDescent="0.25">
      <c r="A742" s="275" t="str">
        <f>'Q100a-geral'!A2349</f>
        <v>9.1</v>
      </c>
      <c r="B742" s="11" t="str">
        <f>'Q100a-geral'!B2349</f>
        <v>Acidentes de trânsito</v>
      </c>
      <c r="C742" s="57" t="str">
        <f>'Q100a-geral'!C2349</f>
        <v>x</v>
      </c>
      <c r="D742" s="36" t="str">
        <f>'Q100a-geral'!D2349</f>
        <v>T por 10 mil veículos</v>
      </c>
      <c r="E742" s="464" t="str">
        <f>'Q100a-geral'!E2349</f>
        <v>Belo Horizonte</v>
      </c>
      <c r="F742" s="633" t="str">
        <f>'Q100a-geral'!F2349</f>
        <v>n.º de acidentes de trânsito com atropelamento de pessoa por 10 mil veículos
obs.: nos relatórios anuais de acidentes de trânsito da BHTrans este indicador é denominado "taxa de atropelamentos por 10.000 veículos"</v>
      </c>
      <c r="G742" s="163" t="str">
        <f>'Q100a-geral'!G2349</f>
        <v>(T/F) x 10.000</v>
      </c>
      <c r="H742" s="173" t="str">
        <f>'Q100a-geral'!H2349</f>
        <v>x</v>
      </c>
      <c r="I742" s="57">
        <f>'Q100a-geral'!I2349</f>
        <v>1</v>
      </c>
      <c r="J742" s="107" t="str">
        <f>'Q100a-geral'!J2349</f>
        <v>x</v>
      </c>
      <c r="K742" s="64">
        <f>'Q100a-geral'!K2349</f>
        <v>95.559654442950773</v>
      </c>
      <c r="L742" s="64">
        <f>'Q100a-geral'!L2349</f>
        <v>86.072705832910003</v>
      </c>
      <c r="M742" s="64">
        <f>'Q100a-geral'!M2349</f>
        <v>100.85767337675735</v>
      </c>
      <c r="N742" s="64">
        <f>'Q100a-geral'!N2349</f>
        <v>95.851168058054583</v>
      </c>
      <c r="O742" s="64">
        <f>'Q100a-geral'!O2349</f>
        <v>85.494127223278028</v>
      </c>
      <c r="P742" s="64">
        <f>'Q100a-geral'!P2349</f>
        <v>80.878963787333248</v>
      </c>
      <c r="Q742" s="64">
        <f>'Q100a-geral'!Q2349</f>
        <v>73.81225508940156</v>
      </c>
      <c r="R742" s="64">
        <f>'Q100a-geral'!R2349</f>
        <v>72.943329876632646</v>
      </c>
      <c r="S742" s="649" t="str">
        <f>'Q100a-geral'!S2349</f>
        <v>só para pesquisa</v>
      </c>
      <c r="T742" s="64">
        <f>'Q100a-geral'!T2349</f>
        <v>68.495345887761033</v>
      </c>
      <c r="U742" s="64">
        <f>'Q100a-geral'!U2349</f>
        <v>61.024499541727785</v>
      </c>
      <c r="V742" s="107" t="str">
        <f>'Q100a-geral'!V2349</f>
        <v>só para pesquisa</v>
      </c>
      <c r="W742" s="64">
        <f>'Q100a-geral'!W2349</f>
        <v>52.000696500087066</v>
      </c>
      <c r="X742" s="64">
        <f>'Q100a-geral'!X2349</f>
        <v>43.488617506430806</v>
      </c>
      <c r="Y742" s="64">
        <f>'Q100a-geral'!Y2349</f>
        <v>44.525906614500521</v>
      </c>
      <c r="Z742" s="64">
        <f>'Q100a-geral'!Z2349</f>
        <v>43.577571362684402</v>
      </c>
      <c r="AA742" s="64">
        <f>'Q100a-geral'!AA2349</f>
        <v>41.162707421455366</v>
      </c>
      <c r="AB742" s="64">
        <f>'Q100a-geral'!AB2349</f>
        <v>35.810657724203175</v>
      </c>
      <c r="AC742" s="64">
        <f>'Q100a-geral'!AC2349</f>
        <v>30.642893190849268</v>
      </c>
      <c r="AD742" s="64">
        <f>'Q100a-geral'!AD2349</f>
        <v>27.879655979314684</v>
      </c>
      <c r="AE742" s="64">
        <f>'Q100a-geral'!AE2349</f>
        <v>25.210531707816823</v>
      </c>
      <c r="AF742" s="64">
        <f>'Q100a-geral'!AF2349</f>
        <v>23.386703953298646</v>
      </c>
      <c r="AG742" s="64">
        <f>'Q100a-geral'!AG2349</f>
        <v>19.931951617810071</v>
      </c>
      <c r="AH742" s="64">
        <f>'Q100a-geral'!AH2349</f>
        <v>16.976982555304559</v>
      </c>
      <c r="AI742" s="64">
        <f>'Q100a-geral'!AI2349</f>
        <v>14.355081059707395</v>
      </c>
      <c r="AJ742" s="329">
        <f>'Q100a-geral'!AJ2349</f>
        <v>13.846215112592397</v>
      </c>
      <c r="AK742" s="137" t="str">
        <f>'Q100a-geral'!AK2349</f>
        <v>x</v>
      </c>
      <c r="AL742" s="212" t="str">
        <f>'Q100a-geral'!AL2349</f>
        <v>x</v>
      </c>
      <c r="AM742" s="137" t="str">
        <f>'Q100a-geral'!AM2349</f>
        <v>x</v>
      </c>
      <c r="AN742" s="137" t="str">
        <f>'Q100a-geral'!AN2349</f>
        <v>x</v>
      </c>
      <c r="AO742" s="137" t="str">
        <f>'Q100a-geral'!AO2349</f>
        <v>x</v>
      </c>
      <c r="AP742" s="137" t="str">
        <f>'Q100a-geral'!AP2349</f>
        <v>x</v>
      </c>
      <c r="AQ742" s="137" t="str">
        <f>'Q100a-geral'!AQ2349</f>
        <v>x</v>
      </c>
      <c r="AR742" s="137"/>
      <c r="AS742" s="137"/>
      <c r="AT742" s="137"/>
      <c r="AU742" s="137"/>
      <c r="AV742" s="137" t="str">
        <f>'Q100a-geral'!AV2349</f>
        <v>x</v>
      </c>
      <c r="AW742" s="137"/>
      <c r="AX742" s="137"/>
      <c r="AY742" s="137"/>
      <c r="AZ742" s="137"/>
      <c r="BA742" s="137" t="str">
        <f>'Q100a-geral'!BA2349</f>
        <v>x</v>
      </c>
      <c r="BB742" s="239" t="str">
        <f>'Q100a-geral'!BB2349</f>
        <v>Acidentes de trânsitox</v>
      </c>
      <c r="BC742" s="239" t="str">
        <f>'Q100a-geral'!BC2349</f>
        <v>Acidentes de trânsitoxx</v>
      </c>
      <c r="BD742" s="239" t="str">
        <f>'Q100a-geral'!BD2349</f>
        <v>Acidentes de trânsitox</v>
      </c>
      <c r="BM742" s="193"/>
      <c r="BN742" s="193"/>
      <c r="BO742" s="193"/>
    </row>
    <row r="743" spans="1:67" s="1" customFormat="1" ht="25.5" customHeight="1" x14ac:dyDescent="0.25">
      <c r="A743" s="275" t="str">
        <f>'Q100a-geral'!A2350</f>
        <v>9.1</v>
      </c>
      <c r="B743" s="11" t="str">
        <f>'Q100a-geral'!B2350</f>
        <v>Acidentes de trânsito</v>
      </c>
      <c r="C743" s="57" t="str">
        <f>'Q100a-geral'!C2350</f>
        <v>x</v>
      </c>
      <c r="D743" s="36" t="str">
        <f>'Q100a-geral'!D2350</f>
        <v>T por 100 mil habit.</v>
      </c>
      <c r="E743" s="464" t="str">
        <f>'Q100a-geral'!E2350</f>
        <v>Belo Horizonte</v>
      </c>
      <c r="F743" s="447" t="str">
        <f>'Q100a-geral'!F2350</f>
        <v>n.º de acidentes de trânsito com atropelamento de pessoa por 100 mil habitantes</v>
      </c>
      <c r="G743" s="163" t="str">
        <f>'Q100a-geral'!G2350</f>
        <v>(T/P) x 100.000</v>
      </c>
      <c r="H743" s="173" t="str">
        <f>'Q100a-geral'!H2350</f>
        <v>x</v>
      </c>
      <c r="I743" s="57">
        <f>'Q100a-geral'!I2350</f>
        <v>1</v>
      </c>
      <c r="J743" s="107" t="str">
        <f>'Q100a-geral'!J2350</f>
        <v>x</v>
      </c>
      <c r="K743" s="64">
        <f>'Q100a-geral'!K2350</f>
        <v>226.9621084656124</v>
      </c>
      <c r="L743" s="64">
        <f>'Q100a-geral'!L2350</f>
        <v>208.01265332243392</v>
      </c>
      <c r="M743" s="64">
        <f>'Q100a-geral'!M2350</f>
        <v>252.06803332424849</v>
      </c>
      <c r="N743" s="64">
        <f>'Q100a-geral'!N2350</f>
        <v>251.69968207385671</v>
      </c>
      <c r="O743" s="64">
        <f>'Q100a-geral'!O2350</f>
        <v>236.91002680400922</v>
      </c>
      <c r="P743" s="64">
        <f>'Q100a-geral'!P2350</f>
        <v>231.56205652734374</v>
      </c>
      <c r="Q743" s="64">
        <f>'Q100a-geral'!Q2350</f>
        <v>215.11429107530475</v>
      </c>
      <c r="R743" s="64">
        <f>'Q100a-geral'!R2350</f>
        <v>215.87002831307845</v>
      </c>
      <c r="S743" s="649" t="str">
        <f>'Q100a-geral'!S2350</f>
        <v>só para pesquisa</v>
      </c>
      <c r="T743" s="64">
        <f>'Q100a-geral'!T2350</f>
        <v>212.03356631198602</v>
      </c>
      <c r="U743" s="64">
        <f>'Q100a-geral'!U2350</f>
        <v>185.30050577924939</v>
      </c>
      <c r="V743" s="107" t="str">
        <f>'Q100a-geral'!V2350</f>
        <v>só para pesquisa</v>
      </c>
      <c r="W743" s="64">
        <f>'Q100a-geral'!W2350</f>
        <v>165.27740082802515</v>
      </c>
      <c r="X743" s="64">
        <f>'Q100a-geral'!X2350</f>
        <v>143.05299964805809</v>
      </c>
      <c r="Y743" s="64">
        <f>'Q100a-geral'!Y2350</f>
        <v>152.65771884264632</v>
      </c>
      <c r="Z743" s="64">
        <f>'Q100a-geral'!Z2350</f>
        <v>152.34641558366417</v>
      </c>
      <c r="AA743" s="64">
        <f>'Q100a-geral'!AA2350</f>
        <v>149.53717990223672</v>
      </c>
      <c r="AB743" s="64">
        <f>'Q100a-geral'!AB2350</f>
        <v>138.96296543218108</v>
      </c>
      <c r="AC743" s="64">
        <f>'Q100a-geral'!AC2350</f>
        <v>129.59310582912028</v>
      </c>
      <c r="AD743" s="64">
        <f>'Q100a-geral'!AD2350</f>
        <v>126.79482240099365</v>
      </c>
      <c r="AE743" s="64">
        <f>'Q100a-geral'!AE2350</f>
        <v>125.41705451768458</v>
      </c>
      <c r="AF743" s="64">
        <f>'Q100a-geral'!AF2350</f>
        <v>131.19165897241902</v>
      </c>
      <c r="AG743" s="64">
        <f>'Q100a-geral'!AG2350</f>
        <v>119.46479770627589</v>
      </c>
      <c r="AH743" s="64">
        <f>'Q100a-geral'!AH2350</f>
        <v>106.81258961050344</v>
      </c>
      <c r="AI743" s="64">
        <f>'Q100a-geral'!AI2350</f>
        <v>91.522750603529815</v>
      </c>
      <c r="AJ743" s="329">
        <f>'Q100a-geral'!AJ2350</f>
        <v>90.722646018299486</v>
      </c>
      <c r="AK743" s="137" t="str">
        <f>'Q100a-geral'!AK2350</f>
        <v>x</v>
      </c>
      <c r="AL743" s="212" t="str">
        <f>'Q100a-geral'!AL2350</f>
        <v>x</v>
      </c>
      <c r="AM743" s="137" t="str">
        <f>'Q100a-geral'!AM2350</f>
        <v>x</v>
      </c>
      <c r="AN743" s="137" t="str">
        <f>'Q100a-geral'!AN2350</f>
        <v>x</v>
      </c>
      <c r="AO743" s="137" t="str">
        <f>'Q100a-geral'!AO2350</f>
        <v>x</v>
      </c>
      <c r="AP743" s="137" t="str">
        <f>'Q100a-geral'!AP2350</f>
        <v>x</v>
      </c>
      <c r="AQ743" s="137" t="str">
        <f>'Q100a-geral'!AQ2350</f>
        <v>x</v>
      </c>
      <c r="AR743" s="137"/>
      <c r="AS743" s="137"/>
      <c r="AT743" s="137"/>
      <c r="AU743" s="137"/>
      <c r="AV743" s="137" t="str">
        <f>'Q100a-geral'!AV2350</f>
        <v>x</v>
      </c>
      <c r="AW743" s="137"/>
      <c r="AX743" s="137"/>
      <c r="AY743" s="137"/>
      <c r="AZ743" s="137"/>
      <c r="BA743" s="137" t="str">
        <f>'Q100a-geral'!BA2350</f>
        <v>x</v>
      </c>
      <c r="BB743" s="239" t="str">
        <f>'Q100a-geral'!BB2350</f>
        <v>Acidentes de trânsitox</v>
      </c>
      <c r="BC743" s="239" t="str">
        <f>'Q100a-geral'!BC2350</f>
        <v>Acidentes de trânsitoxx</v>
      </c>
      <c r="BD743" s="239" t="str">
        <f>'Q100a-geral'!BD2350</f>
        <v>Acidentes de trânsitox</v>
      </c>
      <c r="BM743" s="193"/>
      <c r="BN743" s="193"/>
      <c r="BO743" s="193"/>
    </row>
    <row r="744" spans="1:67" s="1" customFormat="1" ht="25.5" customHeight="1" x14ac:dyDescent="0.25">
      <c r="A744" s="275" t="str">
        <f>'Q100a-geral'!A2351</f>
        <v>9.1</v>
      </c>
      <c r="B744" s="11" t="str">
        <f>'Q100a-geral'!B2351</f>
        <v>Acidentes de trânsito</v>
      </c>
      <c r="C744" s="57" t="str">
        <f>'Q100a-geral'!C2351</f>
        <v>x</v>
      </c>
      <c r="D744" s="36" t="str">
        <f>'Q100a-geral'!D2351</f>
        <v>T por mil AV</v>
      </c>
      <c r="E744" s="464" t="str">
        <f>'Q100a-geral'!E2351</f>
        <v>Belo Horizonte</v>
      </c>
      <c r="F744" s="447" t="str">
        <f>'Q100a-geral'!F2351</f>
        <v>n.º de acidentes de trânsito com atropelamento de pessoa por mil acidentes com vítima</v>
      </c>
      <c r="G744" s="163" t="str">
        <f>'Q100a-geral'!G2351</f>
        <v>(T/AV) x 1.000</v>
      </c>
      <c r="H744" s="173" t="str">
        <f>'Q100a-geral'!H2351</f>
        <v>x</v>
      </c>
      <c r="I744" s="57">
        <f>'Q100a-geral'!I2351</f>
        <v>1</v>
      </c>
      <c r="J744" s="107" t="str">
        <f>'Q100a-geral'!J2351</f>
        <v>x</v>
      </c>
      <c r="K744" s="64">
        <f>'Q100a-geral'!K2351</f>
        <v>134.67469525627845</v>
      </c>
      <c r="L744" s="64">
        <f>'Q100a-geral'!L2351</f>
        <v>107.09752754226531</v>
      </c>
      <c r="M744" s="64">
        <f>'Q100a-geral'!M2351</f>
        <v>119.38597511338529</v>
      </c>
      <c r="N744" s="64">
        <f>'Q100a-geral'!N2351</f>
        <v>134.77201896131785</v>
      </c>
      <c r="O744" s="64">
        <f>'Q100a-geral'!O2351</f>
        <v>126.1576776402833</v>
      </c>
      <c r="P744" s="64">
        <f>'Q100a-geral'!P2351</f>
        <v>193.86733917777511</v>
      </c>
      <c r="Q744" s="64">
        <f>'Q100a-geral'!Q2351</f>
        <v>404.96682804375109</v>
      </c>
      <c r="R744" s="64">
        <f>'Q100a-geral'!R2351</f>
        <v>408.30791315270056</v>
      </c>
      <c r="S744" s="649" t="str">
        <f>'Q100a-geral'!S2351</f>
        <v>só para pesquisa</v>
      </c>
      <c r="T744" s="64">
        <f>'Q100a-geral'!T2351</f>
        <v>390.77057030909884</v>
      </c>
      <c r="U744" s="64">
        <f>'Q100a-geral'!U2351</f>
        <v>361.51298588112252</v>
      </c>
      <c r="V744" s="107" t="str">
        <f>'Q100a-geral'!V2351</f>
        <v>só para pesquisa</v>
      </c>
      <c r="W744" s="64">
        <f>'Q100a-geral'!W2351</f>
        <v>342.13179360278616</v>
      </c>
      <c r="X744" s="64">
        <f>'Q100a-geral'!X2351</f>
        <v>335.73042942264232</v>
      </c>
      <c r="Y744" s="64">
        <f>'Q100a-geral'!Y2351</f>
        <v>296.0719993271091</v>
      </c>
      <c r="Z744" s="64">
        <f>'Q100a-geral'!Z2351</f>
        <v>273.92335347663123</v>
      </c>
      <c r="AA744" s="64">
        <f>'Q100a-geral'!AA2351</f>
        <v>261.2917463586877</v>
      </c>
      <c r="AB744" s="64">
        <f>'Q100a-geral'!AB2351</f>
        <v>241.70169589795623</v>
      </c>
      <c r="AC744" s="64">
        <f>'Q100a-geral'!AC2351</f>
        <v>208.59182175972248</v>
      </c>
      <c r="AD744" s="64">
        <f>'Q100a-geral'!AD2351</f>
        <v>196.3865385838794</v>
      </c>
      <c r="AE744" s="64">
        <f>'Q100a-geral'!AE2351</f>
        <v>187.8243878610246</v>
      </c>
      <c r="AF744" s="64">
        <f>'Q100a-geral'!AF2351</f>
        <v>185.23362263702296</v>
      </c>
      <c r="AG744" s="64">
        <f>'Q100a-geral'!AG2351</f>
        <v>174.91101018779921</v>
      </c>
      <c r="AH744" s="64">
        <f>'Q100a-geral'!AH2351</f>
        <v>167.69331585845347</v>
      </c>
      <c r="AI744" s="64">
        <f>'Q100a-geral'!AI2351</f>
        <v>160.41003888299753</v>
      </c>
      <c r="AJ744" s="329">
        <f>'Q100a-geral'!AJ2351</f>
        <v>151.01904443701972</v>
      </c>
      <c r="AK744" s="137" t="str">
        <f>'Q100a-geral'!AK2351</f>
        <v>x</v>
      </c>
      <c r="AL744" s="212" t="str">
        <f>'Q100a-geral'!AL2351</f>
        <v>x</v>
      </c>
      <c r="AM744" s="137" t="str">
        <f>'Q100a-geral'!AM2351</f>
        <v>x</v>
      </c>
      <c r="AN744" s="137" t="str">
        <f>'Q100a-geral'!AN2351</f>
        <v>x</v>
      </c>
      <c r="AO744" s="137" t="str">
        <f>'Q100a-geral'!AO2351</f>
        <v>x</v>
      </c>
      <c r="AP744" s="137" t="str">
        <f>'Q100a-geral'!AP2351</f>
        <v>x</v>
      </c>
      <c r="AQ744" s="137" t="str">
        <f>'Q100a-geral'!AQ2351</f>
        <v>x</v>
      </c>
      <c r="AR744" s="137"/>
      <c r="AS744" s="137"/>
      <c r="AT744" s="137"/>
      <c r="AU744" s="137"/>
      <c r="AV744" s="137" t="str">
        <f>'Q100a-geral'!AV2351</f>
        <v>x</v>
      </c>
      <c r="AW744" s="137"/>
      <c r="AX744" s="137"/>
      <c r="AY744" s="137"/>
      <c r="AZ744" s="137"/>
      <c r="BA744" s="137" t="str">
        <f>'Q100a-geral'!BA2351</f>
        <v>x</v>
      </c>
      <c r="BB744" s="239" t="str">
        <f>'Q100a-geral'!BB2351</f>
        <v>Acidentes de trânsitox</v>
      </c>
      <c r="BC744" s="239" t="str">
        <f>'Q100a-geral'!BC2351</f>
        <v>Acidentes de trânsitoxx</v>
      </c>
      <c r="BD744" s="239" t="str">
        <f>'Q100a-geral'!BD2351</f>
        <v>Acidentes de trânsitox</v>
      </c>
      <c r="BM744" s="193"/>
      <c r="BN744" s="193"/>
      <c r="BO744" s="193"/>
    </row>
    <row r="745" spans="1:67" s="1" customFormat="1" ht="63.75" customHeight="1" x14ac:dyDescent="0.25">
      <c r="A745" s="275" t="str">
        <f>'Q100a-geral'!A2383</f>
        <v>2.2</v>
      </c>
      <c r="B745" s="54" t="str">
        <f>'Q100a-geral'!B2383</f>
        <v>Frota e condutores de veículos automotores</v>
      </c>
      <c r="C745" s="229" t="str">
        <f>'Q100a-geral'!C2383</f>
        <v>-</v>
      </c>
      <c r="D745" s="27" t="str">
        <f>'Q100a-geral'!D2383</f>
        <v>TMA</v>
      </c>
      <c r="E745" s="61" t="str">
        <f>'Q100a-geral'!E2383</f>
        <v>x</v>
      </c>
      <c r="F745" s="447" t="str">
        <f>'Q100a-geral'!F2383</f>
        <v>Taxa de motorização de automóvel (fonte: BHTRANS. Balanço da mobilidade urbana de Belo Horizonte 2010. julho 2011, p. 10; BHTRANS. Balanço da mobilidade urbana de Belo Horizonte 2011. julho 2011, p. 13)</v>
      </c>
      <c r="G745" s="188" t="str">
        <f>'Q100a-geral'!G2383</f>
        <v>consulte:
P (população) por automóvel</v>
      </c>
      <c r="H745" s="167" t="str">
        <f>'Q100a-geral'!H2383</f>
        <v>sigla/verbete</v>
      </c>
      <c r="I745" s="167" t="str">
        <f>'Q100a-geral'!I2383</f>
        <v>x</v>
      </c>
      <c r="J745" s="11" t="str">
        <f>'Q100a-geral'!J2383</f>
        <v>x</v>
      </c>
      <c r="K745" s="11" t="str">
        <f>'Q100a-geral'!K2383</f>
        <v>x</v>
      </c>
      <c r="L745" s="11" t="str">
        <f>'Q100a-geral'!L2383</f>
        <v>x</v>
      </c>
      <c r="M745" s="11" t="str">
        <f>'Q100a-geral'!M2383</f>
        <v>x</v>
      </c>
      <c r="N745" s="11" t="str">
        <f>'Q100a-geral'!N2383</f>
        <v>x</v>
      </c>
      <c r="O745" s="11" t="str">
        <f>'Q100a-geral'!O2383</f>
        <v>x</v>
      </c>
      <c r="P745" s="11" t="str">
        <f>'Q100a-geral'!P2383</f>
        <v>x</v>
      </c>
      <c r="Q745" s="11" t="str">
        <f>'Q100a-geral'!Q2383</f>
        <v>x</v>
      </c>
      <c r="R745" s="11" t="str">
        <f>'Q100a-geral'!R2383</f>
        <v>x</v>
      </c>
      <c r="S745" s="109" t="str">
        <f>'Q100a-geral'!S2383</f>
        <v>só para pesquisa</v>
      </c>
      <c r="T745" s="11" t="str">
        <f>'Q100a-geral'!T2383</f>
        <v>x</v>
      </c>
      <c r="U745" s="11" t="str">
        <f>'Q100a-geral'!U2383</f>
        <v>x</v>
      </c>
      <c r="V745" s="107" t="str">
        <f>'Q100a-geral'!V2383</f>
        <v>só para pesquisa</v>
      </c>
      <c r="W745" s="11" t="str">
        <f>'Q100a-geral'!W2383</f>
        <v>x</v>
      </c>
      <c r="X745" s="11" t="str">
        <f>'Q100a-geral'!X2383</f>
        <v>x</v>
      </c>
      <c r="Y745" s="11" t="str">
        <f>'Q100a-geral'!Y2383</f>
        <v>x</v>
      </c>
      <c r="Z745" s="11" t="str">
        <f>'Q100a-geral'!Z2383</f>
        <v>x</v>
      </c>
      <c r="AA745" s="11" t="str">
        <f>'Q100a-geral'!AA2383</f>
        <v>x</v>
      </c>
      <c r="AB745" s="11" t="str">
        <f>'Q100a-geral'!AB2383</f>
        <v>x</v>
      </c>
      <c r="AC745" s="11" t="str">
        <f>'Q100a-geral'!AC2383</f>
        <v>x</v>
      </c>
      <c r="AD745" s="11" t="str">
        <f>'Q100a-geral'!AD2383</f>
        <v>x</v>
      </c>
      <c r="AE745" s="11" t="str">
        <f>'Q100a-geral'!AE2383</f>
        <v>x</v>
      </c>
      <c r="AF745" s="11" t="str">
        <f>'Q100a-geral'!AF2383</f>
        <v>x</v>
      </c>
      <c r="AG745" s="11" t="str">
        <f>'Q100a-geral'!AG2383</f>
        <v>x</v>
      </c>
      <c r="AH745" s="11" t="str">
        <f>'Q100a-geral'!AH2383</f>
        <v>x</v>
      </c>
      <c r="AI745" s="11" t="str">
        <f>'Q100a-geral'!AI2383</f>
        <v>x</v>
      </c>
      <c r="AJ745" s="11" t="str">
        <f>'Q100a-geral'!AJ2383</f>
        <v>x</v>
      </c>
      <c r="AK745" s="137" t="str">
        <f>'Q100a-geral'!AK2383</f>
        <v>x</v>
      </c>
      <c r="AL745" s="173" t="str">
        <f>'Q100a-geral'!AL2383</f>
        <v>x</v>
      </c>
      <c r="AM745" s="137" t="str">
        <f>'Q100a-geral'!AM2383</f>
        <v>x</v>
      </c>
      <c r="AN745" s="137" t="str">
        <f>'Q100a-geral'!AN2383</f>
        <v>x</v>
      </c>
      <c r="AO745" s="137" t="str">
        <f>'Q100a-geral'!AO2383</f>
        <v>x</v>
      </c>
      <c r="AP745" s="137" t="str">
        <f>'Q100a-geral'!AP2383</f>
        <v>x</v>
      </c>
      <c r="AQ745" s="137" t="str">
        <f>'Q100a-geral'!AQ2383</f>
        <v>x</v>
      </c>
      <c r="AR745" s="137"/>
      <c r="AS745" s="137"/>
      <c r="AT745" s="137"/>
      <c r="AU745" s="137"/>
      <c r="AV745" s="137" t="str">
        <f>'Q100a-geral'!AV2383</f>
        <v>x</v>
      </c>
      <c r="AW745" s="137"/>
      <c r="AX745" s="137"/>
      <c r="AY745" s="137"/>
      <c r="AZ745" s="137"/>
      <c r="BA745" s="137" t="str">
        <f>'Q100a-geral'!BA2383</f>
        <v>x</v>
      </c>
      <c r="BB745" s="239" t="str">
        <f>'Q100a-geral'!BB2383</f>
        <v>Frota e condutores de veículos automotores-</v>
      </c>
      <c r="BC745" s="239" t="str">
        <f>'Q100a-geral'!BC2383</f>
        <v>Frota e condutores de veículos automotores-sigla/verbete</v>
      </c>
      <c r="BD745" s="239" t="str">
        <f>'Q100a-geral'!BD2383</f>
        <v>Frota e condutores de veículos automotoressigla/verbete</v>
      </c>
      <c r="BM745" s="193"/>
      <c r="BN745" s="193"/>
      <c r="BO745" s="193"/>
    </row>
    <row r="746" spans="1:67" s="1" customFormat="1" ht="63.75" customHeight="1" x14ac:dyDescent="0.25">
      <c r="A746" s="275" t="str">
        <f>'Q100a-geral'!A2384</f>
        <v>2.2</v>
      </c>
      <c r="B746" s="54" t="str">
        <f>'Q100a-geral'!B2384</f>
        <v>Frota e condutores de veículos automotores</v>
      </c>
      <c r="C746" s="229" t="str">
        <f>'Q100a-geral'!C2384</f>
        <v>-</v>
      </c>
      <c r="D746" s="27" t="str">
        <f>'Q100a-geral'!D2384</f>
        <v>TMG</v>
      </c>
      <c r="E746" s="61" t="str">
        <f>'Q100a-geral'!E2384</f>
        <v>x</v>
      </c>
      <c r="F746" s="447" t="str">
        <f>'Q100a-geral'!F2384</f>
        <v>Taxa de motorização geral (fonte: BHTRANS. Balanço da mobilidade urbana de Belo Horizonte 2010. julho 2011, p. 10; BHTRANS. Balanço da mobilidade urbana de Belo Horizonte 2011. julho 2011, p. 13)</v>
      </c>
      <c r="G746" s="188" t="str">
        <f>'Q100a-geral'!G2384</f>
        <v>consulte:
P (população) por veículo</v>
      </c>
      <c r="H746" s="167" t="str">
        <f>'Q100a-geral'!H2384</f>
        <v>sigla/verbete</v>
      </c>
      <c r="I746" s="167" t="str">
        <f>'Q100a-geral'!I2384</f>
        <v>x</v>
      </c>
      <c r="J746" s="11" t="str">
        <f>'Q100a-geral'!J2384</f>
        <v>x</v>
      </c>
      <c r="K746" s="11" t="str">
        <f>'Q100a-geral'!K2384</f>
        <v>x</v>
      </c>
      <c r="L746" s="11" t="str">
        <f>'Q100a-geral'!L2384</f>
        <v>x</v>
      </c>
      <c r="M746" s="11" t="str">
        <f>'Q100a-geral'!M2384</f>
        <v>x</v>
      </c>
      <c r="N746" s="11" t="str">
        <f>'Q100a-geral'!N2384</f>
        <v>x</v>
      </c>
      <c r="O746" s="11" t="str">
        <f>'Q100a-geral'!O2384</f>
        <v>x</v>
      </c>
      <c r="P746" s="11" t="str">
        <f>'Q100a-geral'!P2384</f>
        <v>x</v>
      </c>
      <c r="Q746" s="11" t="str">
        <f>'Q100a-geral'!Q2384</f>
        <v>x</v>
      </c>
      <c r="R746" s="11" t="str">
        <f>'Q100a-geral'!R2384</f>
        <v>x</v>
      </c>
      <c r="S746" s="109" t="str">
        <f>'Q100a-geral'!S2384</f>
        <v>só para pesquisa</v>
      </c>
      <c r="T746" s="11" t="str">
        <f>'Q100a-geral'!T2384</f>
        <v>x</v>
      </c>
      <c r="U746" s="11" t="str">
        <f>'Q100a-geral'!U2384</f>
        <v>x</v>
      </c>
      <c r="V746" s="107" t="str">
        <f>'Q100a-geral'!V2384</f>
        <v>só para pesquisa</v>
      </c>
      <c r="W746" s="11" t="str">
        <f>'Q100a-geral'!W2384</f>
        <v>x</v>
      </c>
      <c r="X746" s="11" t="str">
        <f>'Q100a-geral'!X2384</f>
        <v>x</v>
      </c>
      <c r="Y746" s="11" t="str">
        <f>'Q100a-geral'!Y2384</f>
        <v>x</v>
      </c>
      <c r="Z746" s="11" t="str">
        <f>'Q100a-geral'!Z2384</f>
        <v>x</v>
      </c>
      <c r="AA746" s="11" t="str">
        <f>'Q100a-geral'!AA2384</f>
        <v>x</v>
      </c>
      <c r="AB746" s="11" t="str">
        <f>'Q100a-geral'!AB2384</f>
        <v>x</v>
      </c>
      <c r="AC746" s="11" t="str">
        <f>'Q100a-geral'!AC2384</f>
        <v>x</v>
      </c>
      <c r="AD746" s="11" t="str">
        <f>'Q100a-geral'!AD2384</f>
        <v>x</v>
      </c>
      <c r="AE746" s="11" t="str">
        <f>'Q100a-geral'!AE2384</f>
        <v>x</v>
      </c>
      <c r="AF746" s="11" t="str">
        <f>'Q100a-geral'!AF2384</f>
        <v>x</v>
      </c>
      <c r="AG746" s="11" t="str">
        <f>'Q100a-geral'!AG2384</f>
        <v>x</v>
      </c>
      <c r="AH746" s="11" t="str">
        <f>'Q100a-geral'!AH2384</f>
        <v>x</v>
      </c>
      <c r="AI746" s="11" t="str">
        <f>'Q100a-geral'!AI2384</f>
        <v>x</v>
      </c>
      <c r="AJ746" s="11" t="str">
        <f>'Q100a-geral'!AJ2384</f>
        <v>x</v>
      </c>
      <c r="AK746" s="137" t="str">
        <f>'Q100a-geral'!AK2384</f>
        <v>x</v>
      </c>
      <c r="AL746" s="173" t="str">
        <f>'Q100a-geral'!AL2384</f>
        <v>x</v>
      </c>
      <c r="AM746" s="137" t="str">
        <f>'Q100a-geral'!AM2384</f>
        <v>x</v>
      </c>
      <c r="AN746" s="137" t="str">
        <f>'Q100a-geral'!AN2384</f>
        <v>x</v>
      </c>
      <c r="AO746" s="137" t="str">
        <f>'Q100a-geral'!AO2384</f>
        <v>x</v>
      </c>
      <c r="AP746" s="137" t="str">
        <f>'Q100a-geral'!AP2384</f>
        <v>x</v>
      </c>
      <c r="AQ746" s="137" t="str">
        <f>'Q100a-geral'!AQ2384</f>
        <v>x</v>
      </c>
      <c r="AR746" s="137"/>
      <c r="AS746" s="137"/>
      <c r="AT746" s="137"/>
      <c r="AU746" s="137"/>
      <c r="AV746" s="137" t="str">
        <f>'Q100a-geral'!AV2384</f>
        <v>x</v>
      </c>
      <c r="AW746" s="137"/>
      <c r="AX746" s="137"/>
      <c r="AY746" s="137"/>
      <c r="AZ746" s="137"/>
      <c r="BA746" s="137" t="str">
        <f>'Q100a-geral'!BA2384</f>
        <v>x</v>
      </c>
      <c r="BB746" s="239" t="str">
        <f>'Q100a-geral'!BB2384</f>
        <v>Frota e condutores de veículos automotores-</v>
      </c>
      <c r="BC746" s="239" t="str">
        <f>'Q100a-geral'!BC2384</f>
        <v>Frota e condutores de veículos automotores-sigla/verbete</v>
      </c>
      <c r="BD746" s="239" t="str">
        <f>'Q100a-geral'!BD2384</f>
        <v>Frota e condutores de veículos automotoressigla/verbete</v>
      </c>
      <c r="BM746" s="193"/>
      <c r="BN746" s="193"/>
      <c r="BO746" s="193"/>
    </row>
    <row r="747" spans="1:67" s="1" customFormat="1" ht="63.75" customHeight="1" x14ac:dyDescent="0.25">
      <c r="A747" s="275" t="str">
        <f>'Q100a-geral'!A2385</f>
        <v>2.2</v>
      </c>
      <c r="B747" s="54" t="str">
        <f>'Q100a-geral'!B2385</f>
        <v>Frota e condutores de veículos automotores</v>
      </c>
      <c r="C747" s="229" t="str">
        <f>'Q100a-geral'!C2385</f>
        <v>-</v>
      </c>
      <c r="D747" s="27" t="str">
        <f>'Q100a-geral'!D2385</f>
        <v>TMM</v>
      </c>
      <c r="E747" s="61" t="str">
        <f>'Q100a-geral'!E2385</f>
        <v>x</v>
      </c>
      <c r="F747" s="447" t="str">
        <f>'Q100a-geral'!F2385</f>
        <v>Taxa de motorização de moto (motocicleta + motoneta) (fonte: BHTRANS. Balanço da mobilidade urbana de Belo Horizonte 2010. julho 2011, p. 10; BHTRANS. Balanço da mobilidade urbana de Belo Horizonte 2011. julho 2011, p. 13)</v>
      </c>
      <c r="G747" s="188" t="str">
        <f>'Q100a-geral'!G2385</f>
        <v>consulte:
P (população) por Fmmc</v>
      </c>
      <c r="H747" s="167" t="str">
        <f>'Q100a-geral'!H2385</f>
        <v>sigla/verbete</v>
      </c>
      <c r="I747" s="167" t="str">
        <f>'Q100a-geral'!I2385</f>
        <v>x</v>
      </c>
      <c r="J747" s="11" t="str">
        <f>'Q100a-geral'!J2385</f>
        <v>x</v>
      </c>
      <c r="K747" s="11" t="str">
        <f>'Q100a-geral'!K2385</f>
        <v>x</v>
      </c>
      <c r="L747" s="11" t="str">
        <f>'Q100a-geral'!L2385</f>
        <v>x</v>
      </c>
      <c r="M747" s="11" t="str">
        <f>'Q100a-geral'!M2385</f>
        <v>x</v>
      </c>
      <c r="N747" s="11" t="str">
        <f>'Q100a-geral'!N2385</f>
        <v>x</v>
      </c>
      <c r="O747" s="11" t="str">
        <f>'Q100a-geral'!O2385</f>
        <v>x</v>
      </c>
      <c r="P747" s="11" t="str">
        <f>'Q100a-geral'!P2385</f>
        <v>x</v>
      </c>
      <c r="Q747" s="11" t="str">
        <f>'Q100a-geral'!Q2385</f>
        <v>x</v>
      </c>
      <c r="R747" s="11" t="str">
        <f>'Q100a-geral'!R2385</f>
        <v>x</v>
      </c>
      <c r="S747" s="109" t="str">
        <f>'Q100a-geral'!S2385</f>
        <v>só para pesquisa</v>
      </c>
      <c r="T747" s="11" t="str">
        <f>'Q100a-geral'!T2385</f>
        <v>x</v>
      </c>
      <c r="U747" s="11" t="str">
        <f>'Q100a-geral'!U2385</f>
        <v>x</v>
      </c>
      <c r="V747" s="107" t="str">
        <f>'Q100a-geral'!V2385</f>
        <v>só para pesquisa</v>
      </c>
      <c r="W747" s="11" t="str">
        <f>'Q100a-geral'!W2385</f>
        <v>x</v>
      </c>
      <c r="X747" s="11" t="str">
        <f>'Q100a-geral'!X2385</f>
        <v>x</v>
      </c>
      <c r="Y747" s="11" t="str">
        <f>'Q100a-geral'!Y2385</f>
        <v>x</v>
      </c>
      <c r="Z747" s="11" t="str">
        <f>'Q100a-geral'!Z2385</f>
        <v>x</v>
      </c>
      <c r="AA747" s="11" t="str">
        <f>'Q100a-geral'!AA2385</f>
        <v>x</v>
      </c>
      <c r="AB747" s="11" t="str">
        <f>'Q100a-geral'!AB2385</f>
        <v>x</v>
      </c>
      <c r="AC747" s="11" t="str">
        <f>'Q100a-geral'!AC2385</f>
        <v>x</v>
      </c>
      <c r="AD747" s="11" t="str">
        <f>'Q100a-geral'!AD2385</f>
        <v>x</v>
      </c>
      <c r="AE747" s="11" t="str">
        <f>'Q100a-geral'!AE2385</f>
        <v>x</v>
      </c>
      <c r="AF747" s="11" t="str">
        <f>'Q100a-geral'!AF2385</f>
        <v>x</v>
      </c>
      <c r="AG747" s="11" t="str">
        <f>'Q100a-geral'!AG2385</f>
        <v>x</v>
      </c>
      <c r="AH747" s="11" t="str">
        <f>'Q100a-geral'!AH2385</f>
        <v>x</v>
      </c>
      <c r="AI747" s="11" t="str">
        <f>'Q100a-geral'!AI2385</f>
        <v>x</v>
      </c>
      <c r="AJ747" s="11" t="str">
        <f>'Q100a-geral'!AJ2385</f>
        <v>x</v>
      </c>
      <c r="AK747" s="137" t="str">
        <f>'Q100a-geral'!AK2385</f>
        <v>x</v>
      </c>
      <c r="AL747" s="173" t="str">
        <f>'Q100a-geral'!AL2385</f>
        <v>x</v>
      </c>
      <c r="AM747" s="137" t="str">
        <f>'Q100a-geral'!AM2385</f>
        <v>x</v>
      </c>
      <c r="AN747" s="137" t="str">
        <f>'Q100a-geral'!AN2385</f>
        <v>x</v>
      </c>
      <c r="AO747" s="137" t="str">
        <f>'Q100a-geral'!AO2385</f>
        <v>x</v>
      </c>
      <c r="AP747" s="137" t="str">
        <f>'Q100a-geral'!AP2385</f>
        <v>x</v>
      </c>
      <c r="AQ747" s="137" t="str">
        <f>'Q100a-geral'!AQ2385</f>
        <v>x</v>
      </c>
      <c r="AR747" s="137"/>
      <c r="AS747" s="137"/>
      <c r="AT747" s="137"/>
      <c r="AU747" s="137"/>
      <c r="AV747" s="137" t="str">
        <f>'Q100a-geral'!AV2385</f>
        <v>x</v>
      </c>
      <c r="AW747" s="137"/>
      <c r="AX747" s="137"/>
      <c r="AY747" s="137"/>
      <c r="AZ747" s="137"/>
      <c r="BA747" s="137" t="str">
        <f>'Q100a-geral'!BA2385</f>
        <v>x</v>
      </c>
      <c r="BB747" s="239" t="str">
        <f>'Q100a-geral'!BB2385</f>
        <v>Frota e condutores de veículos automotores-</v>
      </c>
      <c r="BC747" s="239" t="str">
        <f>'Q100a-geral'!BC2385</f>
        <v>Frota e condutores de veículos automotores-sigla/verbete</v>
      </c>
      <c r="BD747" s="239" t="str">
        <f>'Q100a-geral'!BD2385</f>
        <v>Frota e condutores de veículos automotoressigla/verbete</v>
      </c>
      <c r="BM747" s="193"/>
      <c r="BN747" s="193"/>
      <c r="BO747" s="193"/>
    </row>
    <row r="748" spans="1:67" s="1" customFormat="1" ht="51" customHeight="1" x14ac:dyDescent="0.25">
      <c r="A748" s="275" t="str">
        <f>'Q100a-geral'!A2386</f>
        <v>1.2</v>
      </c>
      <c r="B748" s="54" t="str">
        <f>'Q100a-geral'!B2386</f>
        <v>Atendimento ao usuário em geral</v>
      </c>
      <c r="C748" s="57" t="str">
        <f>'Q100a-geral'!C2386</f>
        <v>x</v>
      </c>
      <c r="D748" s="36" t="str">
        <f>'Q100a-geral'!D2386</f>
        <v>TMS</v>
      </c>
      <c r="E748" s="464" t="str">
        <f>'Q100a-geral'!E2386</f>
        <v>x</v>
      </c>
      <c r="F748" s="445" t="str">
        <f>'Q100a-geral'!F2386</f>
        <v>tempo médio de resposta à solicitação
obs.: indicador recomendado em ANTP(2011a, p.23)</v>
      </c>
      <c r="G748" s="24" t="str">
        <f>'Q100a-geral'!G2386</f>
        <v>consulte:
TRm</v>
      </c>
      <c r="H748" s="168" t="str">
        <f>'Q100a-geral'!H2386</f>
        <v>sigla/verbete</v>
      </c>
      <c r="I748" s="167" t="str">
        <f>'Q100a-geral'!I2386</f>
        <v>x</v>
      </c>
      <c r="J748" s="109" t="str">
        <f>'Q100a-geral'!J2386</f>
        <v>x</v>
      </c>
      <c r="K748" s="110" t="str">
        <f>'Q100a-geral'!K2386</f>
        <v>x</v>
      </c>
      <c r="L748" s="110" t="str">
        <f>'Q100a-geral'!L2386</f>
        <v>x</v>
      </c>
      <c r="M748" s="110" t="str">
        <f>'Q100a-geral'!M2386</f>
        <v>x</v>
      </c>
      <c r="N748" s="110" t="str">
        <f>'Q100a-geral'!N2386</f>
        <v>x</v>
      </c>
      <c r="O748" s="110" t="str">
        <f>'Q100a-geral'!O2386</f>
        <v>x</v>
      </c>
      <c r="P748" s="110" t="str">
        <f>'Q100a-geral'!P2386</f>
        <v>x</v>
      </c>
      <c r="Q748" s="110" t="str">
        <f>'Q100a-geral'!Q2386</f>
        <v>x</v>
      </c>
      <c r="R748" s="110" t="str">
        <f>'Q100a-geral'!R2386</f>
        <v>x</v>
      </c>
      <c r="S748" s="109" t="str">
        <f>'Q100a-geral'!S2386</f>
        <v>só para pesquisa</v>
      </c>
      <c r="T748" s="110" t="str">
        <f>'Q100a-geral'!T2386</f>
        <v>x</v>
      </c>
      <c r="U748" s="110" t="str">
        <f>'Q100a-geral'!U2386</f>
        <v>x</v>
      </c>
      <c r="V748" s="107" t="str">
        <f>'Q100a-geral'!V2386</f>
        <v>só para pesquisa</v>
      </c>
      <c r="W748" s="110" t="str">
        <f>'Q100a-geral'!W2386</f>
        <v>x</v>
      </c>
      <c r="X748" s="110" t="str">
        <f>'Q100a-geral'!X2386</f>
        <v>x</v>
      </c>
      <c r="Y748" s="110" t="str">
        <f>'Q100a-geral'!Y2386</f>
        <v>x</v>
      </c>
      <c r="Z748" s="110" t="str">
        <f>'Q100a-geral'!Z2386</f>
        <v>x</v>
      </c>
      <c r="AA748" s="110" t="str">
        <f>'Q100a-geral'!AA2386</f>
        <v>x</v>
      </c>
      <c r="AB748" s="110" t="str">
        <f>'Q100a-geral'!AB2386</f>
        <v>x</v>
      </c>
      <c r="AC748" s="110" t="str">
        <f>'Q100a-geral'!AC2386</f>
        <v>x</v>
      </c>
      <c r="AD748" s="110" t="str">
        <f>'Q100a-geral'!AD2386</f>
        <v>x</v>
      </c>
      <c r="AE748" s="110" t="str">
        <f>'Q100a-geral'!AE2386</f>
        <v>x</v>
      </c>
      <c r="AF748" s="110" t="str">
        <f>'Q100a-geral'!AF2386</f>
        <v>x</v>
      </c>
      <c r="AG748" s="110" t="str">
        <f>'Q100a-geral'!AG2386</f>
        <v>x</v>
      </c>
      <c r="AH748" s="110" t="str">
        <f>'Q100a-geral'!AH2386</f>
        <v>x</v>
      </c>
      <c r="AI748" s="110" t="str">
        <f>'Q100a-geral'!AI2386</f>
        <v>x</v>
      </c>
      <c r="AJ748" s="110" t="str">
        <f>'Q100a-geral'!AJ2386</f>
        <v>x</v>
      </c>
      <c r="AK748" s="137" t="str">
        <f>'Q100a-geral'!AK2386</f>
        <v>x</v>
      </c>
      <c r="AL748" s="168" t="str">
        <f>'Q100a-geral'!AL2386</f>
        <v>x</v>
      </c>
      <c r="AM748" s="137" t="str">
        <f>'Q100a-geral'!AM2386</f>
        <v>x</v>
      </c>
      <c r="AN748" s="137" t="str">
        <f>'Q100a-geral'!AN2386</f>
        <v>x</v>
      </c>
      <c r="AO748" s="137" t="str">
        <f>'Q100a-geral'!AO2386</f>
        <v>x</v>
      </c>
      <c r="AP748" s="137" t="str">
        <f>'Q100a-geral'!AP2386</f>
        <v>x</v>
      </c>
      <c r="AQ748" s="137" t="str">
        <f>'Q100a-geral'!AQ2386</f>
        <v>x</v>
      </c>
      <c r="AR748" s="137"/>
      <c r="AS748" s="137"/>
      <c r="AT748" s="137"/>
      <c r="AU748" s="137"/>
      <c r="AV748" s="137" t="str">
        <f>'Q100a-geral'!AV2386</f>
        <v>x</v>
      </c>
      <c r="AW748" s="137"/>
      <c r="AX748" s="137"/>
      <c r="AY748" s="137"/>
      <c r="AZ748" s="137"/>
      <c r="BA748" s="137" t="str">
        <f>'Q100a-geral'!BA2386</f>
        <v>x</v>
      </c>
      <c r="BB748" s="239" t="str">
        <f>'Q100a-geral'!BB2386</f>
        <v>Atendimento ao usuário em geralx</v>
      </c>
      <c r="BC748" s="239" t="str">
        <f>'Q100a-geral'!BC2386</f>
        <v>Atendimento ao usuário em geralxsigla/verbete</v>
      </c>
      <c r="BD748" s="239" t="str">
        <f>'Q100a-geral'!BD2386</f>
        <v>Atendimento ao usuário em geralsigla/verbete</v>
      </c>
      <c r="BM748" s="193"/>
      <c r="BN748" s="193"/>
      <c r="BO748" s="193"/>
    </row>
    <row r="749" spans="1:67" ht="25.5" customHeight="1" x14ac:dyDescent="0.25">
      <c r="A749" s="275" t="str">
        <f>'Q100a-geral'!A2388</f>
        <v>9.2</v>
      </c>
      <c r="B749" s="53" t="str">
        <f>'Q100a-geral'!B2388</f>
        <v>Estacionamento</v>
      </c>
      <c r="C749" s="229" t="str">
        <f>'Q100a-geral'!C2388</f>
        <v>-</v>
      </c>
      <c r="D749" s="240" t="str">
        <f>'Q100a-geral'!D2388</f>
        <v>TP</v>
      </c>
      <c r="E749" s="252" t="str">
        <f>'Q100a-geral'!E2388</f>
        <v>x</v>
      </c>
      <c r="F749" s="446" t="str">
        <f>'Q100a-geral'!F2388</f>
        <v>tempo máximo de permanência regulamentado em um determinado quarteirão de estacionamento rotativo, utilizado como componente de RT fr</v>
      </c>
      <c r="G749" s="60" t="str">
        <f>'Q100a-geral'!G2388</f>
        <v>verbete
MFO</v>
      </c>
      <c r="H749" s="168" t="str">
        <f>'Q100a-geral'!H2388</f>
        <v>sigla/verbete</v>
      </c>
      <c r="I749" s="167" t="str">
        <f>'Q100a-geral'!I2388</f>
        <v>x</v>
      </c>
      <c r="J749" s="107" t="str">
        <f>'Q100a-geral'!J2388</f>
        <v>x</v>
      </c>
      <c r="K749" s="107" t="str">
        <f>'Q100a-geral'!K2388</f>
        <v>x</v>
      </c>
      <c r="L749" s="107" t="str">
        <f>'Q100a-geral'!L2388</f>
        <v>x</v>
      </c>
      <c r="M749" s="107" t="str">
        <f>'Q100a-geral'!M2388</f>
        <v>x</v>
      </c>
      <c r="N749" s="107" t="str">
        <f>'Q100a-geral'!N2388</f>
        <v>x</v>
      </c>
      <c r="O749" s="107" t="str">
        <f>'Q100a-geral'!O2388</f>
        <v>x</v>
      </c>
      <c r="P749" s="107" t="str">
        <f>'Q100a-geral'!P2388</f>
        <v>x</v>
      </c>
      <c r="Q749" s="107" t="str">
        <f>'Q100a-geral'!Q2388</f>
        <v>x</v>
      </c>
      <c r="R749" s="107" t="str">
        <f>'Q100a-geral'!R2388</f>
        <v>x</v>
      </c>
      <c r="S749" s="107" t="str">
        <f>'Q100a-geral'!S2388</f>
        <v>só para pesquisa</v>
      </c>
      <c r="T749" s="107" t="str">
        <f>'Q100a-geral'!T2388</f>
        <v>x</v>
      </c>
      <c r="U749" s="107" t="str">
        <f>'Q100a-geral'!U2388</f>
        <v>x</v>
      </c>
      <c r="V749" s="107" t="str">
        <f>'Q100a-geral'!V2388</f>
        <v>só para pesquisa</v>
      </c>
      <c r="W749" s="107" t="str">
        <f>'Q100a-geral'!W2388</f>
        <v>x</v>
      </c>
      <c r="X749" s="107" t="str">
        <f>'Q100a-geral'!X2388</f>
        <v>x</v>
      </c>
      <c r="Y749" s="107" t="str">
        <f>'Q100a-geral'!Y2388</f>
        <v>x</v>
      </c>
      <c r="Z749" s="107" t="str">
        <f>'Q100a-geral'!Z2388</f>
        <v>x</v>
      </c>
      <c r="AA749" s="107" t="str">
        <f>'Q100a-geral'!AA2388</f>
        <v>x</v>
      </c>
      <c r="AB749" s="107" t="str">
        <f>'Q100a-geral'!AB2388</f>
        <v>x</v>
      </c>
      <c r="AC749" s="107" t="str">
        <f>'Q100a-geral'!AC2388</f>
        <v>x</v>
      </c>
      <c r="AD749" s="107" t="str">
        <f>'Q100a-geral'!AD2388</f>
        <v>x</v>
      </c>
      <c r="AE749" s="107" t="str">
        <f>'Q100a-geral'!AE2388</f>
        <v>x</v>
      </c>
      <c r="AF749" s="107" t="str">
        <f>'Q100a-geral'!AF2388</f>
        <v>x</v>
      </c>
      <c r="AG749" s="107" t="str">
        <f>'Q100a-geral'!AG2388</f>
        <v>x</v>
      </c>
      <c r="AH749" s="107" t="str">
        <f>'Q100a-geral'!AH2388</f>
        <v>x</v>
      </c>
      <c r="AI749" s="107" t="str">
        <f>'Q100a-geral'!AI2388</f>
        <v>x</v>
      </c>
      <c r="AJ749" s="107" t="str">
        <f>'Q100a-geral'!AJ2388</f>
        <v>x</v>
      </c>
      <c r="AK749" s="137" t="str">
        <f>'Q100a-geral'!AK2388</f>
        <v>x</v>
      </c>
      <c r="AL749" s="57" t="str">
        <f>'Q100a-geral'!AL2388</f>
        <v>x</v>
      </c>
      <c r="AM749" s="137" t="str">
        <f>'Q100a-geral'!AM2388</f>
        <v>x</v>
      </c>
      <c r="AN749" s="137" t="str">
        <f>'Q100a-geral'!AN2388</f>
        <v>x</v>
      </c>
      <c r="AO749" s="137" t="str">
        <f>'Q100a-geral'!AO2388</f>
        <v>x</v>
      </c>
      <c r="AP749" s="137" t="str">
        <f>'Q100a-geral'!AP2388</f>
        <v>x</v>
      </c>
      <c r="AQ749" s="137" t="str">
        <f>'Q100a-geral'!AQ2388</f>
        <v>x</v>
      </c>
      <c r="AR749" s="137"/>
      <c r="AS749" s="137"/>
      <c r="AT749" s="137"/>
      <c r="AU749" s="137"/>
      <c r="AV749" s="137" t="str">
        <f>'Q100a-geral'!AV2388</f>
        <v>x</v>
      </c>
      <c r="AW749" s="137"/>
      <c r="AX749" s="137"/>
      <c r="AY749" s="137"/>
      <c r="AZ749" s="137"/>
      <c r="BA749" s="137" t="str">
        <f>'Q100a-geral'!BA2388</f>
        <v>x</v>
      </c>
      <c r="BB749" s="239" t="str">
        <f>'Q100a-geral'!BB2388</f>
        <v>Estacionamento-</v>
      </c>
      <c r="BC749" s="239" t="str">
        <f>'Q100a-geral'!BC2388</f>
        <v>Estacionamento-sigla/verbete</v>
      </c>
      <c r="BD749" s="239" t="str">
        <f>'Q100a-geral'!BD2388</f>
        <v>Estacionamentosigla/verbete</v>
      </c>
      <c r="BM749" s="68"/>
      <c r="BN749" s="68"/>
      <c r="BO749" s="68"/>
    </row>
    <row r="750" spans="1:67" s="1" customFormat="1" ht="126" customHeight="1" x14ac:dyDescent="0.25">
      <c r="A750" s="275">
        <f>'Q100a-geral'!A2406</f>
        <v>7</v>
      </c>
      <c r="B750" s="54" t="str">
        <f>'Q100a-geral'!B2406</f>
        <v>Sistema de transporte de carga</v>
      </c>
      <c r="C750" s="167" t="str">
        <f>'Q100a-geral'!C2406</f>
        <v>x</v>
      </c>
      <c r="D750" s="36" t="str">
        <f>'Q100a-geral'!D2406</f>
        <v>transporte de cargas</v>
      </c>
      <c r="E750" s="464" t="str">
        <f>'Q100a-geral'!E2406</f>
        <v>Brasil</v>
      </c>
      <c r="F750" s="445" t="str">
        <f>'Q100a-geral'!F2406</f>
        <v>"transporte urbano de cargas: serviço de transporte de bens, animais ou mercadorias" conforme definição contida na Política Nacional de Mobilidade Urbana (BRASIL, 2012a, art.45/inciso IX )</v>
      </c>
      <c r="G750" s="24" t="str">
        <f>'Q100a-geral'!G2406</f>
        <v>verbete
MFO</v>
      </c>
      <c r="H750" s="173" t="str">
        <f>'Q100a-geral'!H2406</f>
        <v>sigla/verbete</v>
      </c>
      <c r="I750" s="57" t="str">
        <f>'Q100a-geral'!I2406</f>
        <v>x</v>
      </c>
      <c r="J750" s="109" t="str">
        <f>'Q100a-geral'!J2406</f>
        <v>x</v>
      </c>
      <c r="K750" s="109" t="str">
        <f>'Q100a-geral'!K2406</f>
        <v>x</v>
      </c>
      <c r="L750" s="109" t="str">
        <f>'Q100a-geral'!L2406</f>
        <v>x</v>
      </c>
      <c r="M750" s="109" t="str">
        <f>'Q100a-geral'!M2406</f>
        <v>x</v>
      </c>
      <c r="N750" s="109" t="str">
        <f>'Q100a-geral'!N2406</f>
        <v>x</v>
      </c>
      <c r="O750" s="109" t="str">
        <f>'Q100a-geral'!O2406</f>
        <v>x</v>
      </c>
      <c r="P750" s="109" t="str">
        <f>'Q100a-geral'!P2406</f>
        <v>x</v>
      </c>
      <c r="Q750" s="109" t="str">
        <f>'Q100a-geral'!Q2406</f>
        <v>x</v>
      </c>
      <c r="R750" s="109" t="str">
        <f>'Q100a-geral'!R2406</f>
        <v>x</v>
      </c>
      <c r="S750" s="109" t="str">
        <f>'Q100a-geral'!S2406</f>
        <v>só para pesquisa</v>
      </c>
      <c r="T750" s="109" t="str">
        <f>'Q100a-geral'!T2406</f>
        <v>x</v>
      </c>
      <c r="U750" s="109" t="str">
        <f>'Q100a-geral'!U2406</f>
        <v>x</v>
      </c>
      <c r="V750" s="109" t="str">
        <f>'Q100a-geral'!V2406</f>
        <v>só para pesquisa</v>
      </c>
      <c r="W750" s="109" t="str">
        <f>'Q100a-geral'!W2406</f>
        <v>x</v>
      </c>
      <c r="X750" s="109" t="str">
        <f>'Q100a-geral'!X2406</f>
        <v>x</v>
      </c>
      <c r="Y750" s="109" t="str">
        <f>'Q100a-geral'!Y2406</f>
        <v>x</v>
      </c>
      <c r="Z750" s="109" t="str">
        <f>'Q100a-geral'!Z2406</f>
        <v>x</v>
      </c>
      <c r="AA750" s="109" t="str">
        <f>'Q100a-geral'!AA2406</f>
        <v>x</v>
      </c>
      <c r="AB750" s="109" t="str">
        <f>'Q100a-geral'!AB2406</f>
        <v>x</v>
      </c>
      <c r="AC750" s="109" t="str">
        <f>'Q100a-geral'!AC2406</f>
        <v>x</v>
      </c>
      <c r="AD750" s="109" t="str">
        <f>'Q100a-geral'!AD2406</f>
        <v>x</v>
      </c>
      <c r="AE750" s="109" t="str">
        <f>'Q100a-geral'!AE2406</f>
        <v>x</v>
      </c>
      <c r="AF750" s="109" t="str">
        <f>'Q100a-geral'!AF2406</f>
        <v>x</v>
      </c>
      <c r="AG750" s="109" t="str">
        <f>'Q100a-geral'!AG2406</f>
        <v>x</v>
      </c>
      <c r="AH750" s="109" t="str">
        <f>'Q100a-geral'!AH2406</f>
        <v>x</v>
      </c>
      <c r="AI750" s="109" t="str">
        <f>'Q100a-geral'!AI2406</f>
        <v>x</v>
      </c>
      <c r="AJ750" s="109" t="str">
        <f>'Q100a-geral'!AJ2406</f>
        <v>x</v>
      </c>
      <c r="AK750" s="137" t="str">
        <f>'Q100a-geral'!AK2406</f>
        <v>x</v>
      </c>
      <c r="AL750" s="167" t="str">
        <f>'Q100a-geral'!AL2406</f>
        <v>x</v>
      </c>
      <c r="AM750" s="137" t="str">
        <f>'Q100a-geral'!AM2406</f>
        <v>x</v>
      </c>
      <c r="AN750" s="137" t="str">
        <f>'Q100a-geral'!AN2406</f>
        <v>x</v>
      </c>
      <c r="AO750" s="137" t="str">
        <f>'Q100a-geral'!AO2406</f>
        <v>x</v>
      </c>
      <c r="AP750" s="137" t="str">
        <f>'Q100a-geral'!AP2406</f>
        <v>x</v>
      </c>
      <c r="AQ750" s="137" t="str">
        <f>'Q100a-geral'!AQ2406</f>
        <v>x</v>
      </c>
      <c r="AR750" s="137"/>
      <c r="AS750" s="137"/>
      <c r="AT750" s="137"/>
      <c r="AU750" s="137"/>
      <c r="AV750" s="137" t="str">
        <f>'Q100a-geral'!AV2406</f>
        <v>x</v>
      </c>
      <c r="AW750" s="137"/>
      <c r="AX750" s="137"/>
      <c r="AY750" s="137"/>
      <c r="AZ750" s="137"/>
      <c r="BA750" s="137" t="str">
        <f>'Q100a-geral'!BA2406</f>
        <v>x</v>
      </c>
      <c r="BB750" s="239" t="str">
        <f>'Q100a-geral'!BB2406</f>
        <v>Sistema de transporte de cargax</v>
      </c>
      <c r="BC750" s="239" t="str">
        <f>'Q100a-geral'!BC2406</f>
        <v>Sistema de transporte de cargaxsigla/verbete</v>
      </c>
      <c r="BD750" s="239" t="str">
        <f>'Q100a-geral'!BD2406</f>
        <v>Sistema de transporte de cargasigla/verbete</v>
      </c>
      <c r="BM750" s="193"/>
      <c r="BN750" s="193"/>
      <c r="BO750" s="193"/>
    </row>
    <row r="751" spans="1:67" s="1" customFormat="1" ht="126" customHeight="1" x14ac:dyDescent="0.25">
      <c r="A751" s="275" t="str">
        <f>'Q100a-geral'!A2409</f>
        <v>2.5</v>
      </c>
      <c r="B751" s="54" t="str">
        <f>'Q100a-geral'!B2409</f>
        <v>Distribuição modal em pesquisas origem/destino</v>
      </c>
      <c r="C751" s="167" t="str">
        <f>'Q100a-geral'!C2409</f>
        <v>x</v>
      </c>
      <c r="D751" s="36" t="str">
        <f>'Q100a-geral'!D2409</f>
        <v>transporte motorizado</v>
      </c>
      <c r="E751" s="464" t="str">
        <f>'Q100a-geral'!E2409</f>
        <v>Brasil</v>
      </c>
      <c r="F751" s="635" t="str">
        <f>'Q100a-geral'!F2409</f>
        <v>"modos de transporte motorizado: modalidades que se utilizam de veículos automotores" 
obs.: definição contida na Política Nacional de Mobilidade Urbana em BRASIL(2012a, art.45/inciso IV)</v>
      </c>
      <c r="G751" s="24" t="str">
        <f>'Q100a-geral'!G2409</f>
        <v>verbete
MFO</v>
      </c>
      <c r="H751" s="173" t="str">
        <f>'Q100a-geral'!H2409</f>
        <v>sigla/verbete</v>
      </c>
      <c r="I751" s="57">
        <f>'Q100a-geral'!I2409</f>
        <v>0</v>
      </c>
      <c r="J751" s="109" t="str">
        <f>'Q100a-geral'!J2409</f>
        <v>x</v>
      </c>
      <c r="K751" s="109" t="str">
        <f>'Q100a-geral'!K2409</f>
        <v>x</v>
      </c>
      <c r="L751" s="109" t="str">
        <f>'Q100a-geral'!L2409</f>
        <v>x</v>
      </c>
      <c r="M751" s="109" t="str">
        <f>'Q100a-geral'!M2409</f>
        <v>x</v>
      </c>
      <c r="N751" s="109" t="str">
        <f>'Q100a-geral'!N2409</f>
        <v>x</v>
      </c>
      <c r="O751" s="109" t="str">
        <f>'Q100a-geral'!O2409</f>
        <v>x</v>
      </c>
      <c r="P751" s="109" t="str">
        <f>'Q100a-geral'!P2409</f>
        <v>x</v>
      </c>
      <c r="Q751" s="109" t="str">
        <f>'Q100a-geral'!Q2409</f>
        <v>x</v>
      </c>
      <c r="R751" s="109" t="str">
        <f>'Q100a-geral'!R2409</f>
        <v>x</v>
      </c>
      <c r="S751" s="109" t="str">
        <f>'Q100a-geral'!S2409</f>
        <v>só para pesquisa</v>
      </c>
      <c r="T751" s="109" t="str">
        <f>'Q100a-geral'!T2409</f>
        <v>x</v>
      </c>
      <c r="U751" s="109" t="str">
        <f>'Q100a-geral'!U2409</f>
        <v>x</v>
      </c>
      <c r="V751" s="109" t="str">
        <f>'Q100a-geral'!V2409</f>
        <v>só para pesquisa</v>
      </c>
      <c r="W751" s="109" t="str">
        <f>'Q100a-geral'!W2409</f>
        <v>x</v>
      </c>
      <c r="X751" s="109" t="str">
        <f>'Q100a-geral'!X2409</f>
        <v>x</v>
      </c>
      <c r="Y751" s="109" t="str">
        <f>'Q100a-geral'!Y2409</f>
        <v>x</v>
      </c>
      <c r="Z751" s="109" t="str">
        <f>'Q100a-geral'!Z2409</f>
        <v>x</v>
      </c>
      <c r="AA751" s="109" t="str">
        <f>'Q100a-geral'!AA2409</f>
        <v>x</v>
      </c>
      <c r="AB751" s="109" t="str">
        <f>'Q100a-geral'!AB2409</f>
        <v>x</v>
      </c>
      <c r="AC751" s="109" t="str">
        <f>'Q100a-geral'!AC2409</f>
        <v>x</v>
      </c>
      <c r="AD751" s="109" t="str">
        <f>'Q100a-geral'!AD2409</f>
        <v>x</v>
      </c>
      <c r="AE751" s="109" t="str">
        <f>'Q100a-geral'!AE2409</f>
        <v>x</v>
      </c>
      <c r="AF751" s="109" t="str">
        <f>'Q100a-geral'!AF2409</f>
        <v>x</v>
      </c>
      <c r="AG751" s="109" t="str">
        <f>'Q100a-geral'!AG2409</f>
        <v>x</v>
      </c>
      <c r="AH751" s="109" t="str">
        <f>'Q100a-geral'!AH2409</f>
        <v>x</v>
      </c>
      <c r="AI751" s="109" t="str">
        <f>'Q100a-geral'!AI2409</f>
        <v>x</v>
      </c>
      <c r="AJ751" s="109" t="str">
        <f>'Q100a-geral'!AJ2409</f>
        <v>x</v>
      </c>
      <c r="AK751" s="137">
        <f>'Q100a-geral'!AK2409</f>
        <v>0</v>
      </c>
      <c r="AL751" s="167" t="str">
        <f>'Q100a-geral'!AL2409</f>
        <v>x</v>
      </c>
      <c r="AM751" s="137">
        <f>'Q100a-geral'!AM2409</f>
        <v>0</v>
      </c>
      <c r="AN751" s="137">
        <f>'Q100a-geral'!AN2409</f>
        <v>0</v>
      </c>
      <c r="AO751" s="137">
        <f>'Q100a-geral'!AO2409</f>
        <v>0</v>
      </c>
      <c r="AP751" s="137">
        <f>'Q100a-geral'!AP2409</f>
        <v>0</v>
      </c>
      <c r="AQ751" s="137">
        <f>'Q100a-geral'!AQ2409</f>
        <v>0</v>
      </c>
      <c r="AR751" s="137"/>
      <c r="AS751" s="137"/>
      <c r="AT751" s="137"/>
      <c r="AU751" s="137"/>
      <c r="AV751" s="137" t="str">
        <f>'Q100a-geral'!AV2409</f>
        <v>x</v>
      </c>
      <c r="AW751" s="137"/>
      <c r="AX751" s="137"/>
      <c r="AY751" s="137"/>
      <c r="AZ751" s="137"/>
      <c r="BA751" s="137" t="str">
        <f>'Q100a-geral'!BA2409</f>
        <v>x</v>
      </c>
      <c r="BB751" s="239" t="str">
        <f>'Q100a-geral'!BB2409</f>
        <v>Distribuição modal em pesquisas origem/destinox</v>
      </c>
      <c r="BC751" s="239" t="str">
        <f>'Q100a-geral'!BC2409</f>
        <v>Distribuição modal em pesquisas origem/destinoxsigla/verbete</v>
      </c>
      <c r="BD751" s="239" t="str">
        <f>'Q100a-geral'!BD2409</f>
        <v>Distribuição modal em pesquisas origem/destinosigla/verbete</v>
      </c>
      <c r="BM751" s="193"/>
      <c r="BN751" s="193"/>
      <c r="BO751" s="193"/>
    </row>
    <row r="752" spans="1:67" s="1" customFormat="1" ht="78.75" customHeight="1" x14ac:dyDescent="0.25">
      <c r="A752" s="275" t="str">
        <f>'Q100a-geral'!A2410</f>
        <v>2.5</v>
      </c>
      <c r="B752" s="54" t="str">
        <f>'Q100a-geral'!B2410</f>
        <v>Distribuição modal em pesquisas origem/destino</v>
      </c>
      <c r="C752" s="167" t="str">
        <f>'Q100a-geral'!C2410</f>
        <v>x</v>
      </c>
      <c r="D752" s="36" t="str">
        <f>'Q100a-geral'!D2410</f>
        <v>transporte motorizado privado</v>
      </c>
      <c r="E752" s="464" t="str">
        <f>'Q100a-geral'!E2410</f>
        <v>Brasil</v>
      </c>
      <c r="F752" s="445" t="str">
        <f>'Q100a-geral'!F2410</f>
        <v>"transporte motorizado privado: meio motorizado de transporte de passageiros utilizado para a realização de viagens individualizadas por intermédio de veículos particulares"
obs.: definição contida na Política Nacional de Mobilidade Urbana em BRASIL(2012a, art.45/inciso X)</v>
      </c>
      <c r="G752" s="24" t="str">
        <f>'Q100a-geral'!G2410</f>
        <v>verbete
MFO</v>
      </c>
      <c r="H752" s="173" t="str">
        <f>'Q100a-geral'!H2410</f>
        <v>sigla/verbete</v>
      </c>
      <c r="I752" s="57" t="str">
        <f>'Q100a-geral'!I2410</f>
        <v>x</v>
      </c>
      <c r="J752" s="109" t="str">
        <f>'Q100a-geral'!J2410</f>
        <v>x</v>
      </c>
      <c r="K752" s="109" t="str">
        <f>'Q100a-geral'!K2410</f>
        <v>x</v>
      </c>
      <c r="L752" s="109" t="str">
        <f>'Q100a-geral'!L2410</f>
        <v>x</v>
      </c>
      <c r="M752" s="109" t="str">
        <f>'Q100a-geral'!M2410</f>
        <v>x</v>
      </c>
      <c r="N752" s="109" t="str">
        <f>'Q100a-geral'!N2410</f>
        <v>x</v>
      </c>
      <c r="O752" s="109" t="str">
        <f>'Q100a-geral'!O2410</f>
        <v>x</v>
      </c>
      <c r="P752" s="109" t="str">
        <f>'Q100a-geral'!P2410</f>
        <v>x</v>
      </c>
      <c r="Q752" s="109" t="str">
        <f>'Q100a-geral'!Q2410</f>
        <v>x</v>
      </c>
      <c r="R752" s="109" t="str">
        <f>'Q100a-geral'!R2410</f>
        <v>x</v>
      </c>
      <c r="S752" s="109" t="str">
        <f>'Q100a-geral'!S2410</f>
        <v>só para pesquisa</v>
      </c>
      <c r="T752" s="109" t="str">
        <f>'Q100a-geral'!T2410</f>
        <v>x</v>
      </c>
      <c r="U752" s="109" t="str">
        <f>'Q100a-geral'!U2410</f>
        <v>x</v>
      </c>
      <c r="V752" s="109" t="str">
        <f>'Q100a-geral'!V2410</f>
        <v>só para pesquisa</v>
      </c>
      <c r="W752" s="109" t="str">
        <f>'Q100a-geral'!W2410</f>
        <v>x</v>
      </c>
      <c r="X752" s="109" t="str">
        <f>'Q100a-geral'!X2410</f>
        <v>x</v>
      </c>
      <c r="Y752" s="109" t="str">
        <f>'Q100a-geral'!Y2410</f>
        <v>x</v>
      </c>
      <c r="Z752" s="109" t="str">
        <f>'Q100a-geral'!Z2410</f>
        <v>x</v>
      </c>
      <c r="AA752" s="109" t="str">
        <f>'Q100a-geral'!AA2410</f>
        <v>x</v>
      </c>
      <c r="AB752" s="109" t="str">
        <f>'Q100a-geral'!AB2410</f>
        <v>x</v>
      </c>
      <c r="AC752" s="109" t="str">
        <f>'Q100a-geral'!AC2410</f>
        <v>x</v>
      </c>
      <c r="AD752" s="109" t="str">
        <f>'Q100a-geral'!AD2410</f>
        <v>x</v>
      </c>
      <c r="AE752" s="109" t="str">
        <f>'Q100a-geral'!AE2410</f>
        <v>x</v>
      </c>
      <c r="AF752" s="109" t="str">
        <f>'Q100a-geral'!AF2410</f>
        <v>x</v>
      </c>
      <c r="AG752" s="109" t="str">
        <f>'Q100a-geral'!AG2410</f>
        <v>x</v>
      </c>
      <c r="AH752" s="109" t="str">
        <f>'Q100a-geral'!AH2410</f>
        <v>x</v>
      </c>
      <c r="AI752" s="109" t="str">
        <f>'Q100a-geral'!AI2410</f>
        <v>x</v>
      </c>
      <c r="AJ752" s="109" t="str">
        <f>'Q100a-geral'!AJ2410</f>
        <v>x</v>
      </c>
      <c r="AK752" s="137" t="str">
        <f>'Q100a-geral'!AK2410</f>
        <v>x</v>
      </c>
      <c r="AL752" s="167" t="str">
        <f>'Q100a-geral'!AL2410</f>
        <v>x</v>
      </c>
      <c r="AM752" s="137" t="str">
        <f>'Q100a-geral'!AM2410</f>
        <v>x</v>
      </c>
      <c r="AN752" s="137" t="str">
        <f>'Q100a-geral'!AN2410</f>
        <v>x</v>
      </c>
      <c r="AO752" s="137" t="str">
        <f>'Q100a-geral'!AO2410</f>
        <v>x</v>
      </c>
      <c r="AP752" s="137" t="str">
        <f>'Q100a-geral'!AP2410</f>
        <v>x</v>
      </c>
      <c r="AQ752" s="137" t="str">
        <f>'Q100a-geral'!AQ2410</f>
        <v>x</v>
      </c>
      <c r="AR752" s="137"/>
      <c r="AS752" s="137"/>
      <c r="AT752" s="137"/>
      <c r="AU752" s="137"/>
      <c r="AV752" s="137" t="str">
        <f>'Q100a-geral'!AV2410</f>
        <v>x</v>
      </c>
      <c r="AW752" s="137"/>
      <c r="AX752" s="137"/>
      <c r="AY752" s="137"/>
      <c r="AZ752" s="137"/>
      <c r="BA752" s="137" t="str">
        <f>'Q100a-geral'!BA2410</f>
        <v>x</v>
      </c>
      <c r="BB752" s="239" t="str">
        <f>'Q100a-geral'!BB2410</f>
        <v>Distribuição modal em pesquisas origem/destinox</v>
      </c>
      <c r="BC752" s="239" t="str">
        <f>'Q100a-geral'!BC2410</f>
        <v>Distribuição modal em pesquisas origem/destinoxsigla/verbete</v>
      </c>
      <c r="BD752" s="239" t="str">
        <f>'Q100a-geral'!BD2410</f>
        <v>Distribuição modal em pesquisas origem/destinosigla/verbete</v>
      </c>
      <c r="BM752" s="193"/>
      <c r="BN752" s="193"/>
      <c r="BO752" s="193"/>
    </row>
    <row r="753" spans="1:67" s="1" customFormat="1" ht="78.75" customHeight="1" x14ac:dyDescent="0.25">
      <c r="A753" s="275" t="str">
        <f>'Q100a-geral'!A2411</f>
        <v>2.5</v>
      </c>
      <c r="B753" s="54" t="str">
        <f>'Q100a-geral'!B2411</f>
        <v>Distribuição modal em pesquisas origem/destino</v>
      </c>
      <c r="C753" s="167" t="str">
        <f>'Q100a-geral'!C2411</f>
        <v>x</v>
      </c>
      <c r="D753" s="322" t="str">
        <f>'Q100a-geral'!D2411</f>
        <v>transporte não motorizado</v>
      </c>
      <c r="E753" s="11" t="str">
        <f>'Q100a-geral'!E2411</f>
        <v>Brasil</v>
      </c>
      <c r="F753" s="445" t="str">
        <f>'Q100a-geral'!F2411</f>
        <v>"modos de transporte não motorizado: modalidades que se utilizam do esforço humano ou tração animal"
obs.: definição contida na Política Nacional de Mobilidade Urbana em BRASIL(2012a, art.45/inciso V)</v>
      </c>
      <c r="G753" s="24" t="str">
        <f>'Q100a-geral'!G2411</f>
        <v>verbete
MFO</v>
      </c>
      <c r="H753" s="173" t="str">
        <f>'Q100a-geral'!H2411</f>
        <v>sigla/verbete</v>
      </c>
      <c r="I753" s="57" t="str">
        <f>'Q100a-geral'!I2411</f>
        <v>x</v>
      </c>
      <c r="J753" s="109" t="str">
        <f>'Q100a-geral'!J2411</f>
        <v>x</v>
      </c>
      <c r="K753" s="109" t="str">
        <f>'Q100a-geral'!K2411</f>
        <v>x</v>
      </c>
      <c r="L753" s="109" t="str">
        <f>'Q100a-geral'!L2411</f>
        <v>x</v>
      </c>
      <c r="M753" s="109" t="str">
        <f>'Q100a-geral'!M2411</f>
        <v>x</v>
      </c>
      <c r="N753" s="109" t="str">
        <f>'Q100a-geral'!N2411</f>
        <v>x</v>
      </c>
      <c r="O753" s="109" t="str">
        <f>'Q100a-geral'!O2411</f>
        <v>x</v>
      </c>
      <c r="P753" s="109" t="str">
        <f>'Q100a-geral'!P2411</f>
        <v>x</v>
      </c>
      <c r="Q753" s="109" t="str">
        <f>'Q100a-geral'!Q2411</f>
        <v>x</v>
      </c>
      <c r="R753" s="109" t="str">
        <f>'Q100a-geral'!R2411</f>
        <v>x</v>
      </c>
      <c r="S753" s="109" t="str">
        <f>'Q100a-geral'!S2411</f>
        <v>só para pesquisa</v>
      </c>
      <c r="T753" s="109" t="str">
        <f>'Q100a-geral'!T2411</f>
        <v>x</v>
      </c>
      <c r="U753" s="109" t="str">
        <f>'Q100a-geral'!U2411</f>
        <v>x</v>
      </c>
      <c r="V753" s="109" t="str">
        <f>'Q100a-geral'!V2411</f>
        <v>só para pesquisa</v>
      </c>
      <c r="W753" s="109" t="str">
        <f>'Q100a-geral'!W2411</f>
        <v>x</v>
      </c>
      <c r="X753" s="109" t="str">
        <f>'Q100a-geral'!X2411</f>
        <v>x</v>
      </c>
      <c r="Y753" s="109" t="str">
        <f>'Q100a-geral'!Y2411</f>
        <v>x</v>
      </c>
      <c r="Z753" s="109" t="str">
        <f>'Q100a-geral'!Z2411</f>
        <v>x</v>
      </c>
      <c r="AA753" s="109" t="str">
        <f>'Q100a-geral'!AA2411</f>
        <v>x</v>
      </c>
      <c r="AB753" s="109" t="str">
        <f>'Q100a-geral'!AB2411</f>
        <v>x</v>
      </c>
      <c r="AC753" s="109" t="str">
        <f>'Q100a-geral'!AC2411</f>
        <v>x</v>
      </c>
      <c r="AD753" s="109" t="str">
        <f>'Q100a-geral'!AD2411</f>
        <v>x</v>
      </c>
      <c r="AE753" s="109" t="str">
        <f>'Q100a-geral'!AE2411</f>
        <v>x</v>
      </c>
      <c r="AF753" s="109" t="str">
        <f>'Q100a-geral'!AF2411</f>
        <v>x</v>
      </c>
      <c r="AG753" s="109" t="str">
        <f>'Q100a-geral'!AG2411</f>
        <v>x</v>
      </c>
      <c r="AH753" s="109" t="str">
        <f>'Q100a-geral'!AH2411</f>
        <v>x</v>
      </c>
      <c r="AI753" s="109" t="str">
        <f>'Q100a-geral'!AI2411</f>
        <v>x</v>
      </c>
      <c r="AJ753" s="109" t="str">
        <f>'Q100a-geral'!AJ2411</f>
        <v>x</v>
      </c>
      <c r="AK753" s="137">
        <f>'Q100a-geral'!AK2411</f>
        <v>0</v>
      </c>
      <c r="AL753" s="167" t="str">
        <f>'Q100a-geral'!AL2411</f>
        <v>x</v>
      </c>
      <c r="AM753" s="137">
        <f>'Q100a-geral'!AM2411</f>
        <v>0</v>
      </c>
      <c r="AN753" s="137">
        <f>'Q100a-geral'!AN2411</f>
        <v>0</v>
      </c>
      <c r="AO753" s="137">
        <f>'Q100a-geral'!AO2411</f>
        <v>0</v>
      </c>
      <c r="AP753" s="137">
        <f>'Q100a-geral'!AP2411</f>
        <v>0</v>
      </c>
      <c r="AQ753" s="137">
        <f>'Q100a-geral'!AQ2411</f>
        <v>0</v>
      </c>
      <c r="AR753" s="137"/>
      <c r="AS753" s="137"/>
      <c r="AT753" s="137"/>
      <c r="AU753" s="137"/>
      <c r="AV753" s="137" t="str">
        <f>'Q100a-geral'!AV2411</f>
        <v>x</v>
      </c>
      <c r="AW753" s="137"/>
      <c r="AX753" s="137"/>
      <c r="AY753" s="137"/>
      <c r="AZ753" s="137"/>
      <c r="BA753" s="137" t="str">
        <f>'Q100a-geral'!BA2411</f>
        <v>x</v>
      </c>
      <c r="BB753" s="239" t="str">
        <f>'Q100a-geral'!BB2411</f>
        <v>Distribuição modal em pesquisas origem/destinox</v>
      </c>
      <c r="BC753" s="239" t="str">
        <f>'Q100a-geral'!BC2411</f>
        <v>Distribuição modal em pesquisas origem/destinoxsigla/verbete</v>
      </c>
      <c r="BD753" s="239" t="str">
        <f>'Q100a-geral'!BD2411</f>
        <v>Distribuição modal em pesquisas origem/destinosigla/verbete</v>
      </c>
      <c r="BM753" s="193"/>
      <c r="BN753" s="193"/>
      <c r="BO753" s="193"/>
    </row>
    <row r="754" spans="1:67" s="1" customFormat="1" ht="63" customHeight="1" x14ac:dyDescent="0.25">
      <c r="A754" s="275" t="str">
        <f>'Q100a-geral'!A2413</f>
        <v>2.5</v>
      </c>
      <c r="B754" s="54" t="str">
        <f>'Q100a-geral'!B2413</f>
        <v>Distribuição modal em pesquisas origem/destino</v>
      </c>
      <c r="C754" s="167" t="str">
        <f>'Q100a-geral'!C2413</f>
        <v>x</v>
      </c>
      <c r="D754" s="36" t="str">
        <f>'Q100a-geral'!D2413</f>
        <v>transporte privado coletivo</v>
      </c>
      <c r="E754" s="464" t="str">
        <f>'Q100a-geral'!E2413</f>
        <v>Brasil</v>
      </c>
      <c r="F754" s="445" t="str">
        <f>'Q100a-geral'!F2413</f>
        <v>"transporte privado coletivo: serviço de transporte de passageiros não aberto ao público para a realização de viagens com características operacionais exclusivas para cada linha e demanda"
obs.: definição contida na Política Nacional de Mobilidade Urbana em BRASIL(2012a, art.45/inciso VII)</v>
      </c>
      <c r="G754" s="24" t="str">
        <f>'Q100a-geral'!G2413</f>
        <v>verbete
MFO</v>
      </c>
      <c r="H754" s="173" t="str">
        <f>'Q100a-geral'!H2413</f>
        <v>sigla/verbete</v>
      </c>
      <c r="I754" s="57" t="str">
        <f>'Q100a-geral'!I2413</f>
        <v>x</v>
      </c>
      <c r="J754" s="109" t="str">
        <f>'Q100a-geral'!J2413</f>
        <v>x</v>
      </c>
      <c r="K754" s="109" t="str">
        <f>'Q100a-geral'!K2413</f>
        <v>x</v>
      </c>
      <c r="L754" s="109" t="str">
        <f>'Q100a-geral'!L2413</f>
        <v>x</v>
      </c>
      <c r="M754" s="109" t="str">
        <f>'Q100a-geral'!M2413</f>
        <v>x</v>
      </c>
      <c r="N754" s="109" t="str">
        <f>'Q100a-geral'!N2413</f>
        <v>x</v>
      </c>
      <c r="O754" s="109" t="str">
        <f>'Q100a-geral'!O2413</f>
        <v>x</v>
      </c>
      <c r="P754" s="109" t="str">
        <f>'Q100a-geral'!P2413</f>
        <v>x</v>
      </c>
      <c r="Q754" s="109" t="str">
        <f>'Q100a-geral'!Q2413</f>
        <v>x</v>
      </c>
      <c r="R754" s="109" t="str">
        <f>'Q100a-geral'!R2413</f>
        <v>x</v>
      </c>
      <c r="S754" s="109" t="str">
        <f>'Q100a-geral'!S2413</f>
        <v>só para pesquisa</v>
      </c>
      <c r="T754" s="109" t="str">
        <f>'Q100a-geral'!T2413</f>
        <v>x</v>
      </c>
      <c r="U754" s="109" t="str">
        <f>'Q100a-geral'!U2413</f>
        <v>x</v>
      </c>
      <c r="V754" s="109" t="str">
        <f>'Q100a-geral'!V2413</f>
        <v>só para pesquisa</v>
      </c>
      <c r="W754" s="109" t="str">
        <f>'Q100a-geral'!W2413</f>
        <v>x</v>
      </c>
      <c r="X754" s="109" t="str">
        <f>'Q100a-geral'!X2413</f>
        <v>x</v>
      </c>
      <c r="Y754" s="109" t="str">
        <f>'Q100a-geral'!Y2413</f>
        <v>x</v>
      </c>
      <c r="Z754" s="109" t="str">
        <f>'Q100a-geral'!Z2413</f>
        <v>x</v>
      </c>
      <c r="AA754" s="109" t="str">
        <f>'Q100a-geral'!AA2413</f>
        <v>x</v>
      </c>
      <c r="AB754" s="109" t="str">
        <f>'Q100a-geral'!AB2413</f>
        <v>x</v>
      </c>
      <c r="AC754" s="109" t="str">
        <f>'Q100a-geral'!AC2413</f>
        <v>x</v>
      </c>
      <c r="AD754" s="109" t="str">
        <f>'Q100a-geral'!AD2413</f>
        <v>x</v>
      </c>
      <c r="AE754" s="109" t="str">
        <f>'Q100a-geral'!AE2413</f>
        <v>x</v>
      </c>
      <c r="AF754" s="109" t="str">
        <f>'Q100a-geral'!AF2413</f>
        <v>x</v>
      </c>
      <c r="AG754" s="109" t="str">
        <f>'Q100a-geral'!AG2413</f>
        <v>x</v>
      </c>
      <c r="AH754" s="109" t="str">
        <f>'Q100a-geral'!AH2413</f>
        <v>x</v>
      </c>
      <c r="AI754" s="109" t="str">
        <f>'Q100a-geral'!AI2413</f>
        <v>x</v>
      </c>
      <c r="AJ754" s="109" t="str">
        <f>'Q100a-geral'!AJ2413</f>
        <v>x</v>
      </c>
      <c r="AK754" s="137" t="str">
        <f>'Q100a-geral'!AK2413</f>
        <v>x</v>
      </c>
      <c r="AL754" s="167" t="str">
        <f>'Q100a-geral'!AL2413</f>
        <v>x</v>
      </c>
      <c r="AM754" s="137" t="str">
        <f>'Q100a-geral'!AM2413</f>
        <v>x</v>
      </c>
      <c r="AN754" s="137" t="str">
        <f>'Q100a-geral'!AN2413</f>
        <v>x</v>
      </c>
      <c r="AO754" s="137" t="str">
        <f>'Q100a-geral'!AO2413</f>
        <v>x</v>
      </c>
      <c r="AP754" s="137" t="str">
        <f>'Q100a-geral'!AP2413</f>
        <v>x</v>
      </c>
      <c r="AQ754" s="137" t="str">
        <f>'Q100a-geral'!AQ2413</f>
        <v>x</v>
      </c>
      <c r="AR754" s="137"/>
      <c r="AS754" s="137"/>
      <c r="AT754" s="137"/>
      <c r="AU754" s="137"/>
      <c r="AV754" s="137" t="str">
        <f>'Q100a-geral'!AV2413</f>
        <v>x</v>
      </c>
      <c r="AW754" s="137"/>
      <c r="AX754" s="137"/>
      <c r="AY754" s="137"/>
      <c r="AZ754" s="137"/>
      <c r="BA754" s="137" t="str">
        <f>'Q100a-geral'!BA2413</f>
        <v>x</v>
      </c>
      <c r="BB754" s="239" t="str">
        <f>'Q100a-geral'!BB2413</f>
        <v>Distribuição modal em pesquisas origem/destinox</v>
      </c>
      <c r="BC754" s="239" t="str">
        <f>'Q100a-geral'!BC2413</f>
        <v>Distribuição modal em pesquisas origem/destinoxsigla/verbete</v>
      </c>
      <c r="BD754" s="239" t="str">
        <f>'Q100a-geral'!BD2413</f>
        <v>Distribuição modal em pesquisas origem/destinosigla/verbete</v>
      </c>
      <c r="BM754" s="193"/>
      <c r="BN754" s="193"/>
      <c r="BO754" s="193"/>
    </row>
    <row r="755" spans="1:67" s="1" customFormat="1" ht="78.75" customHeight="1" x14ac:dyDescent="0.25">
      <c r="A755" s="275" t="str">
        <f>'Q100a-geral'!A2414</f>
        <v>8.10</v>
      </c>
      <c r="B755" s="54" t="str">
        <f>'Q100a-geral'!B2414</f>
        <v>Sistema de transporte coletivo com um todo</v>
      </c>
      <c r="C755" s="167" t="str">
        <f>'Q100a-geral'!C2414</f>
        <v>x</v>
      </c>
      <c r="D755" s="36" t="str">
        <f>'Q100a-geral'!D2414</f>
        <v>transporte público coletivo</v>
      </c>
      <c r="E755" s="464" t="str">
        <f>'Q100a-geral'!E2414</f>
        <v>Brasil</v>
      </c>
      <c r="F755" s="445" t="str">
        <f>'Q100a-geral'!F2414</f>
        <v>"transporte público coletivo: serviço público de transporte de passageiros acessível a toda a população mediante pagamento individualizado, com itinerários e preços fixados pelo poder público"
obs.: definição contida na Política Nacional de Mobilidade Urbana em BRASIL(2012a, art.45/inciso VI)</v>
      </c>
      <c r="G755" s="24" t="str">
        <f>'Q100a-geral'!G2414</f>
        <v>verbete
MFO</v>
      </c>
      <c r="H755" s="173" t="str">
        <f>'Q100a-geral'!H2414</f>
        <v>sigla/verbete</v>
      </c>
      <c r="I755" s="57" t="str">
        <f>'Q100a-geral'!I2414</f>
        <v>x</v>
      </c>
      <c r="J755" s="109" t="str">
        <f>'Q100a-geral'!J2414</f>
        <v>x</v>
      </c>
      <c r="K755" s="109" t="str">
        <f>'Q100a-geral'!K2414</f>
        <v>x</v>
      </c>
      <c r="L755" s="109" t="str">
        <f>'Q100a-geral'!L2414</f>
        <v>x</v>
      </c>
      <c r="M755" s="109" t="str">
        <f>'Q100a-geral'!M2414</f>
        <v>x</v>
      </c>
      <c r="N755" s="109" t="str">
        <f>'Q100a-geral'!N2414</f>
        <v>x</v>
      </c>
      <c r="O755" s="109" t="str">
        <f>'Q100a-geral'!O2414</f>
        <v>x</v>
      </c>
      <c r="P755" s="109" t="str">
        <f>'Q100a-geral'!P2414</f>
        <v>x</v>
      </c>
      <c r="Q755" s="109" t="str">
        <f>'Q100a-geral'!Q2414</f>
        <v>x</v>
      </c>
      <c r="R755" s="109" t="str">
        <f>'Q100a-geral'!R2414</f>
        <v>x</v>
      </c>
      <c r="S755" s="109" t="str">
        <f>'Q100a-geral'!S2414</f>
        <v>só para pesquisa</v>
      </c>
      <c r="T755" s="109" t="str">
        <f>'Q100a-geral'!T2414</f>
        <v>x</v>
      </c>
      <c r="U755" s="109" t="str">
        <f>'Q100a-geral'!U2414</f>
        <v>x</v>
      </c>
      <c r="V755" s="109" t="str">
        <f>'Q100a-geral'!V2414</f>
        <v>só para pesquisa</v>
      </c>
      <c r="W755" s="109" t="str">
        <f>'Q100a-geral'!W2414</f>
        <v>x</v>
      </c>
      <c r="X755" s="109" t="str">
        <f>'Q100a-geral'!X2414</f>
        <v>x</v>
      </c>
      <c r="Y755" s="109" t="str">
        <f>'Q100a-geral'!Y2414</f>
        <v>x</v>
      </c>
      <c r="Z755" s="109" t="str">
        <f>'Q100a-geral'!Z2414</f>
        <v>x</v>
      </c>
      <c r="AA755" s="109" t="str">
        <f>'Q100a-geral'!AA2414</f>
        <v>x</v>
      </c>
      <c r="AB755" s="109" t="str">
        <f>'Q100a-geral'!AB2414</f>
        <v>x</v>
      </c>
      <c r="AC755" s="109" t="str">
        <f>'Q100a-geral'!AC2414</f>
        <v>x</v>
      </c>
      <c r="AD755" s="109" t="str">
        <f>'Q100a-geral'!AD2414</f>
        <v>x</v>
      </c>
      <c r="AE755" s="109" t="str">
        <f>'Q100a-geral'!AE2414</f>
        <v>x</v>
      </c>
      <c r="AF755" s="109" t="str">
        <f>'Q100a-geral'!AF2414</f>
        <v>x</v>
      </c>
      <c r="AG755" s="109" t="str">
        <f>'Q100a-geral'!AG2414</f>
        <v>x</v>
      </c>
      <c r="AH755" s="109" t="str">
        <f>'Q100a-geral'!AH2414</f>
        <v>x</v>
      </c>
      <c r="AI755" s="109" t="str">
        <f>'Q100a-geral'!AI2414</f>
        <v>x</v>
      </c>
      <c r="AJ755" s="109" t="str">
        <f>'Q100a-geral'!AJ2414</f>
        <v>x</v>
      </c>
      <c r="AK755" s="137" t="str">
        <f>'Q100a-geral'!AK2414</f>
        <v>x</v>
      </c>
      <c r="AL755" s="167" t="str">
        <f>'Q100a-geral'!AL2414</f>
        <v>x</v>
      </c>
      <c r="AM755" s="137" t="str">
        <f>'Q100a-geral'!AM2414</f>
        <v>x</v>
      </c>
      <c r="AN755" s="137" t="str">
        <f>'Q100a-geral'!AN2414</f>
        <v>x</v>
      </c>
      <c r="AO755" s="137" t="str">
        <f>'Q100a-geral'!AO2414</f>
        <v>x</v>
      </c>
      <c r="AP755" s="137" t="str">
        <f>'Q100a-geral'!AP2414</f>
        <v>x</v>
      </c>
      <c r="AQ755" s="137" t="str">
        <f>'Q100a-geral'!AQ2414</f>
        <v>x</v>
      </c>
      <c r="AR755" s="137"/>
      <c r="AS755" s="137"/>
      <c r="AT755" s="137"/>
      <c r="AU755" s="137"/>
      <c r="AV755" s="137" t="str">
        <f>'Q100a-geral'!AV2414</f>
        <v>x</v>
      </c>
      <c r="AW755" s="137"/>
      <c r="AX755" s="137"/>
      <c r="AY755" s="137"/>
      <c r="AZ755" s="137"/>
      <c r="BA755" s="137" t="str">
        <f>'Q100a-geral'!BA2414</f>
        <v>x</v>
      </c>
      <c r="BB755" s="239" t="str">
        <f>'Q100a-geral'!BB2414</f>
        <v>Sistema de transporte coletivo com um todox</v>
      </c>
      <c r="BC755" s="239" t="str">
        <f>'Q100a-geral'!BC2414</f>
        <v>Sistema de transporte coletivo com um todoxsigla/verbete</v>
      </c>
      <c r="BD755" s="239" t="str">
        <f>'Q100a-geral'!BD2414</f>
        <v>Sistema de transporte coletivo com um todosigla/verbete</v>
      </c>
      <c r="BM755" s="193"/>
      <c r="BN755" s="193"/>
      <c r="BO755" s="193"/>
    </row>
    <row r="756" spans="1:67" s="1" customFormat="1" ht="78.75" customHeight="1" x14ac:dyDescent="0.25">
      <c r="A756" s="275" t="str">
        <f>'Q100a-geral'!A2417</f>
        <v>2.5</v>
      </c>
      <c r="B756" s="54" t="str">
        <f>'Q100a-geral'!B2417</f>
        <v>Distribuição modal em pesquisas origem/destino</v>
      </c>
      <c r="C756" s="167" t="str">
        <f>'Q100a-geral'!C2417</f>
        <v>x</v>
      </c>
      <c r="D756" s="36" t="str">
        <f>'Q100a-geral'!D2417</f>
        <v>transporte público individual</v>
      </c>
      <c r="E756" s="464" t="str">
        <f>'Q100a-geral'!E2417</f>
        <v>Brasil</v>
      </c>
      <c r="F756" s="445" t="str">
        <f>'Q100a-geral'!F2417</f>
        <v>"transporte público individual: serviço remunerado de transporte de passageiros aberto ao público, por intermédio de veículos de aluguel, para a realização de viagens individualizadas"
obs.: definição contida na Política Nacional de Mobilidade Urbana em BRASIL(2012a, art.45/VIII)</v>
      </c>
      <c r="G756" s="24" t="str">
        <f>'Q100a-geral'!G2417</f>
        <v>verbete
MFO</v>
      </c>
      <c r="H756" s="173" t="str">
        <f>'Q100a-geral'!H2417</f>
        <v>sigla/verbete</v>
      </c>
      <c r="I756" s="57" t="str">
        <f>'Q100a-geral'!I2417</f>
        <v>x</v>
      </c>
      <c r="J756" s="109" t="str">
        <f>'Q100a-geral'!J2417</f>
        <v>x</v>
      </c>
      <c r="K756" s="109" t="str">
        <f>'Q100a-geral'!K2417</f>
        <v>x</v>
      </c>
      <c r="L756" s="109" t="str">
        <f>'Q100a-geral'!L2417</f>
        <v>x</v>
      </c>
      <c r="M756" s="109" t="str">
        <f>'Q100a-geral'!M2417</f>
        <v>x</v>
      </c>
      <c r="N756" s="109" t="str">
        <f>'Q100a-geral'!N2417</f>
        <v>x</v>
      </c>
      <c r="O756" s="109" t="str">
        <f>'Q100a-geral'!O2417</f>
        <v>x</v>
      </c>
      <c r="P756" s="109" t="str">
        <f>'Q100a-geral'!P2417</f>
        <v>x</v>
      </c>
      <c r="Q756" s="109" t="str">
        <f>'Q100a-geral'!Q2417</f>
        <v>x</v>
      </c>
      <c r="R756" s="109" t="str">
        <f>'Q100a-geral'!R2417</f>
        <v>x</v>
      </c>
      <c r="S756" s="109" t="str">
        <f>'Q100a-geral'!S2417</f>
        <v>só para pesquisa</v>
      </c>
      <c r="T756" s="109" t="str">
        <f>'Q100a-geral'!T2417</f>
        <v>x</v>
      </c>
      <c r="U756" s="109" t="str">
        <f>'Q100a-geral'!U2417</f>
        <v>x</v>
      </c>
      <c r="V756" s="109" t="str">
        <f>'Q100a-geral'!V2417</f>
        <v>só para pesquisa</v>
      </c>
      <c r="W756" s="109" t="str">
        <f>'Q100a-geral'!W2417</f>
        <v>x</v>
      </c>
      <c r="X756" s="109" t="str">
        <f>'Q100a-geral'!X2417</f>
        <v>x</v>
      </c>
      <c r="Y756" s="109" t="str">
        <f>'Q100a-geral'!Y2417</f>
        <v>x</v>
      </c>
      <c r="Z756" s="109" t="str">
        <f>'Q100a-geral'!Z2417</f>
        <v>x</v>
      </c>
      <c r="AA756" s="109" t="str">
        <f>'Q100a-geral'!AA2417</f>
        <v>x</v>
      </c>
      <c r="AB756" s="109" t="str">
        <f>'Q100a-geral'!AB2417</f>
        <v>x</v>
      </c>
      <c r="AC756" s="109" t="str">
        <f>'Q100a-geral'!AC2417</f>
        <v>x</v>
      </c>
      <c r="AD756" s="109" t="str">
        <f>'Q100a-geral'!AD2417</f>
        <v>x</v>
      </c>
      <c r="AE756" s="109" t="str">
        <f>'Q100a-geral'!AE2417</f>
        <v>x</v>
      </c>
      <c r="AF756" s="109" t="str">
        <f>'Q100a-geral'!AF2417</f>
        <v>x</v>
      </c>
      <c r="AG756" s="109" t="str">
        <f>'Q100a-geral'!AG2417</f>
        <v>x</v>
      </c>
      <c r="AH756" s="109" t="str">
        <f>'Q100a-geral'!AH2417</f>
        <v>x</v>
      </c>
      <c r="AI756" s="109" t="str">
        <f>'Q100a-geral'!AI2417</f>
        <v>x</v>
      </c>
      <c r="AJ756" s="109" t="str">
        <f>'Q100a-geral'!AJ2417</f>
        <v>x</v>
      </c>
      <c r="AK756" s="137" t="str">
        <f>'Q100a-geral'!AK2417</f>
        <v>x</v>
      </c>
      <c r="AL756" s="167" t="str">
        <f>'Q100a-geral'!AL2417</f>
        <v>x</v>
      </c>
      <c r="AM756" s="137" t="str">
        <f>'Q100a-geral'!AM2417</f>
        <v>x</v>
      </c>
      <c r="AN756" s="137" t="str">
        <f>'Q100a-geral'!AN2417</f>
        <v>x</v>
      </c>
      <c r="AO756" s="137" t="str">
        <f>'Q100a-geral'!AO2417</f>
        <v>x</v>
      </c>
      <c r="AP756" s="137" t="str">
        <f>'Q100a-geral'!AP2417</f>
        <v>x</v>
      </c>
      <c r="AQ756" s="137" t="str">
        <f>'Q100a-geral'!AQ2417</f>
        <v>x</v>
      </c>
      <c r="AR756" s="137"/>
      <c r="AS756" s="137"/>
      <c r="AT756" s="137"/>
      <c r="AU756" s="137"/>
      <c r="AV756" s="137" t="str">
        <f>'Q100a-geral'!AV2417</f>
        <v>x</v>
      </c>
      <c r="AW756" s="137"/>
      <c r="AX756" s="137"/>
      <c r="AY756" s="137"/>
      <c r="AZ756" s="137"/>
      <c r="BA756" s="137" t="str">
        <f>'Q100a-geral'!BA2417</f>
        <v>x</v>
      </c>
      <c r="BB756" s="239" t="str">
        <f>'Q100a-geral'!BB2417</f>
        <v>Distribuição modal em pesquisas origem/destinox</v>
      </c>
      <c r="BC756" s="239" t="str">
        <f>'Q100a-geral'!BC2417</f>
        <v>Distribuição modal em pesquisas origem/destinoxsigla/verbete</v>
      </c>
      <c r="BD756" s="239" t="str">
        <f>'Q100a-geral'!BD2417</f>
        <v>Distribuição modal em pesquisas origem/destinosigla/verbete</v>
      </c>
      <c r="BM756" s="193"/>
      <c r="BN756" s="193"/>
      <c r="BO756" s="193"/>
    </row>
    <row r="757" spans="1:67" s="1" customFormat="1" ht="63.75" customHeight="1" x14ac:dyDescent="0.25">
      <c r="A757" s="262" t="str">
        <f>'Q100a-geral'!A2419</f>
        <v>x</v>
      </c>
      <c r="B757" s="54" t="str">
        <f>'Q100a-geral'!B2419</f>
        <v>geral</v>
      </c>
      <c r="C757" s="230" t="str">
        <f>'Q100a-geral'!C2419</f>
        <v>x</v>
      </c>
      <c r="D757" s="36" t="str">
        <f>'Q100a-geral'!D2419</f>
        <v>transporte urbano</v>
      </c>
      <c r="E757" s="464" t="str">
        <f>'Q100a-geral'!E2419</f>
        <v>Brasil</v>
      </c>
      <c r="F757" s="448" t="str">
        <f>'Q100a-geral'!F2419</f>
        <v>"transporte urbano: conjunto dos modos e serviços de transporte público e privado utilizados para o deslocamento de pessoas e cargas nas cidades integrantes da Política Nacional de Mobilidade Urbana"
obs.: conforme BRASIL(2012a,art.45/inciso I)</v>
      </c>
      <c r="G757" s="24" t="str">
        <f>'Q100a-geral'!G2419</f>
        <v>verbete
MFO</v>
      </c>
      <c r="H757" s="173" t="str">
        <f>'Q100a-geral'!H2419</f>
        <v>sigla/verbete</v>
      </c>
      <c r="I757" s="172" t="str">
        <f>'Q100a-geral'!I2419</f>
        <v>x</v>
      </c>
      <c r="J757" s="109" t="str">
        <f>'Q100a-geral'!J2419</f>
        <v>x</v>
      </c>
      <c r="K757" s="109" t="str">
        <f>'Q100a-geral'!K2419</f>
        <v>x</v>
      </c>
      <c r="L757" s="109" t="str">
        <f>'Q100a-geral'!L2419</f>
        <v>x</v>
      </c>
      <c r="M757" s="109" t="str">
        <f>'Q100a-geral'!M2419</f>
        <v>x</v>
      </c>
      <c r="N757" s="109" t="str">
        <f>'Q100a-geral'!N2419</f>
        <v>x</v>
      </c>
      <c r="O757" s="109" t="str">
        <f>'Q100a-geral'!O2419</f>
        <v>x</v>
      </c>
      <c r="P757" s="109" t="str">
        <f>'Q100a-geral'!P2419</f>
        <v>x</v>
      </c>
      <c r="Q757" s="109" t="str">
        <f>'Q100a-geral'!Q2419</f>
        <v>x</v>
      </c>
      <c r="R757" s="109" t="str">
        <f>'Q100a-geral'!R2419</f>
        <v>x</v>
      </c>
      <c r="S757" s="109" t="str">
        <f>'Q100a-geral'!S2419</f>
        <v>só para pesquisa</v>
      </c>
      <c r="T757" s="109" t="str">
        <f>'Q100a-geral'!T2419</f>
        <v>x</v>
      </c>
      <c r="U757" s="109" t="str">
        <f>'Q100a-geral'!U2419</f>
        <v>x</v>
      </c>
      <c r="V757" s="109" t="str">
        <f>'Q100a-geral'!V2419</f>
        <v>só para pesquisa</v>
      </c>
      <c r="W757" s="109" t="str">
        <f>'Q100a-geral'!W2419</f>
        <v>x</v>
      </c>
      <c r="X757" s="109" t="str">
        <f>'Q100a-geral'!X2419</f>
        <v>x</v>
      </c>
      <c r="Y757" s="109" t="str">
        <f>'Q100a-geral'!Y2419</f>
        <v>x</v>
      </c>
      <c r="Z757" s="109" t="str">
        <f>'Q100a-geral'!Z2419</f>
        <v>x</v>
      </c>
      <c r="AA757" s="109" t="str">
        <f>'Q100a-geral'!AA2419</f>
        <v>x</v>
      </c>
      <c r="AB757" s="109" t="str">
        <f>'Q100a-geral'!AB2419</f>
        <v>x</v>
      </c>
      <c r="AC757" s="109" t="str">
        <f>'Q100a-geral'!AC2419</f>
        <v>x</v>
      </c>
      <c r="AD757" s="109" t="str">
        <f>'Q100a-geral'!AD2419</f>
        <v>x</v>
      </c>
      <c r="AE757" s="109" t="str">
        <f>'Q100a-geral'!AE2419</f>
        <v>x</v>
      </c>
      <c r="AF757" s="109" t="str">
        <f>'Q100a-geral'!AF2419</f>
        <v>x</v>
      </c>
      <c r="AG757" s="109" t="str">
        <f>'Q100a-geral'!AG2419</f>
        <v>x</v>
      </c>
      <c r="AH757" s="109" t="str">
        <f>'Q100a-geral'!AH2419</f>
        <v>x</v>
      </c>
      <c r="AI757" s="109" t="str">
        <f>'Q100a-geral'!AI2419</f>
        <v>x</v>
      </c>
      <c r="AJ757" s="109" t="str">
        <f>'Q100a-geral'!AJ2419</f>
        <v>x</v>
      </c>
      <c r="AK757" s="137" t="str">
        <f>'Q100a-geral'!AK2419</f>
        <v>x</v>
      </c>
      <c r="AL757" s="167" t="str">
        <f>'Q100a-geral'!AL2419</f>
        <v>x</v>
      </c>
      <c r="AM757" s="137" t="str">
        <f>'Q100a-geral'!AM2419</f>
        <v>x</v>
      </c>
      <c r="AN757" s="137" t="str">
        <f>'Q100a-geral'!AN2419</f>
        <v>x</v>
      </c>
      <c r="AO757" s="137" t="str">
        <f>'Q100a-geral'!AO2419</f>
        <v>x</v>
      </c>
      <c r="AP757" s="137" t="str">
        <f>'Q100a-geral'!AP2419</f>
        <v>x</v>
      </c>
      <c r="AQ757" s="137" t="str">
        <f>'Q100a-geral'!AQ2419</f>
        <v>x</v>
      </c>
      <c r="AR757" s="137"/>
      <c r="AS757" s="137"/>
      <c r="AT757" s="137"/>
      <c r="AU757" s="137"/>
      <c r="AV757" s="137" t="str">
        <f>'Q100a-geral'!AV2419</f>
        <v>x</v>
      </c>
      <c r="AW757" s="137"/>
      <c r="AX757" s="137"/>
      <c r="AY757" s="137"/>
      <c r="AZ757" s="137"/>
      <c r="BA757" s="137" t="str">
        <f>'Q100a-geral'!BA2419</f>
        <v>x</v>
      </c>
      <c r="BB757" s="239" t="str">
        <f>'Q100a-geral'!BB2419</f>
        <v>geralx</v>
      </c>
      <c r="BC757" s="239" t="str">
        <f>'Q100a-geral'!BC2419</f>
        <v>geralxsigla/verbete</v>
      </c>
      <c r="BD757" s="239" t="str">
        <f>'Q100a-geral'!BD2419</f>
        <v>geralsigla/verbete</v>
      </c>
      <c r="BM757" s="193"/>
      <c r="BN757" s="193"/>
      <c r="BO757" s="193"/>
    </row>
    <row r="758" spans="1:67" s="1" customFormat="1" ht="41.25" customHeight="1" x14ac:dyDescent="0.25">
      <c r="A758" s="275" t="str">
        <f>'Q100a-geral'!A2424</f>
        <v>1.2</v>
      </c>
      <c r="B758" s="54" t="str">
        <f>'Q100a-geral'!B2424</f>
        <v>Atendimento ao usuário em geral</v>
      </c>
      <c r="C758" s="230" t="str">
        <f>'Q100a-geral'!C2424</f>
        <v>x</v>
      </c>
      <c r="D758" s="36" t="str">
        <f>'Q100a-geral'!D2424</f>
        <v>TRm</v>
      </c>
      <c r="E758" s="464" t="str">
        <f>'Q100a-geral'!E2424</f>
        <v>Belo Horizonte</v>
      </c>
      <c r="F758" s="445" t="str">
        <f>'Q100a-geral'!F2424</f>
        <v>tempo médio de resposta a reclamações e solicitações registradas
obs.: indicador denominado por ANTP como "TMS"</v>
      </c>
      <c r="G758" s="24" t="str">
        <f>'Q100a-geral'!G2424</f>
        <v>∑TR / RS</v>
      </c>
      <c r="H758" s="169" t="str">
        <f>'Q100a-geral'!H2424</f>
        <v>ainda não incorporado ao SisMob-BH</v>
      </c>
      <c r="I758" s="167">
        <f>'Q100a-geral'!I2424</f>
        <v>1</v>
      </c>
      <c r="J758" s="109" t="str">
        <f>'Q100a-geral'!J2424</f>
        <v>x</v>
      </c>
      <c r="K758" s="110" t="str">
        <f>'Q100a-geral'!K2424</f>
        <v>x</v>
      </c>
      <c r="L758" s="110" t="str">
        <f>'Q100a-geral'!L2424</f>
        <v>x</v>
      </c>
      <c r="M758" s="110" t="str">
        <f>'Q100a-geral'!M2424</f>
        <v>x</v>
      </c>
      <c r="N758" s="110" t="str">
        <f>'Q100a-geral'!N2424</f>
        <v>x</v>
      </c>
      <c r="O758" s="110" t="str">
        <f>'Q100a-geral'!O2424</f>
        <v>x</v>
      </c>
      <c r="P758" s="110" t="str">
        <f>'Q100a-geral'!P2424</f>
        <v>x</v>
      </c>
      <c r="Q758" s="110" t="str">
        <f>'Q100a-geral'!Q2424</f>
        <v>x</v>
      </c>
      <c r="R758" s="110" t="str">
        <f>'Q100a-geral'!R2424</f>
        <v>x</v>
      </c>
      <c r="S758" s="109" t="str">
        <f>'Q100a-geral'!S2424</f>
        <v>só para pesquisa</v>
      </c>
      <c r="T758" s="110" t="str">
        <f>'Q100a-geral'!T2424</f>
        <v>x</v>
      </c>
      <c r="U758" s="110" t="str">
        <f>'Q100a-geral'!U2424</f>
        <v>x</v>
      </c>
      <c r="V758" s="107" t="str">
        <f>'Q100a-geral'!V2424</f>
        <v>só para pesquisa</v>
      </c>
      <c r="W758" s="110" t="str">
        <f>'Q100a-geral'!W2424</f>
        <v>x</v>
      </c>
      <c r="X758" s="110" t="str">
        <f>'Q100a-geral'!X2424</f>
        <v>x</v>
      </c>
      <c r="Y758" s="110" t="str">
        <f>'Q100a-geral'!Y2424</f>
        <v>x</v>
      </c>
      <c r="Z758" s="110" t="str">
        <f>'Q100a-geral'!Z2424</f>
        <v>x</v>
      </c>
      <c r="AA758" s="110" t="str">
        <f>'Q100a-geral'!AA2424</f>
        <v>x</v>
      </c>
      <c r="AB758" s="110" t="str">
        <f>'Q100a-geral'!AB2424</f>
        <v>x</v>
      </c>
      <c r="AC758" s="110" t="str">
        <f>'Q100a-geral'!AC2424</f>
        <v>x</v>
      </c>
      <c r="AD758" s="110" t="str">
        <f>'Q100a-geral'!AD2424</f>
        <v>x</v>
      </c>
      <c r="AE758" s="110" t="str">
        <f>'Q100a-geral'!AE2424</f>
        <v>x</v>
      </c>
      <c r="AF758" s="110" t="str">
        <f>'Q100a-geral'!AF2424</f>
        <v>x</v>
      </c>
      <c r="AG758" s="110" t="str">
        <f>'Q100a-geral'!AG2424</f>
        <v>x</v>
      </c>
      <c r="AH758" s="110" t="str">
        <f>'Q100a-geral'!AH2424</f>
        <v>x</v>
      </c>
      <c r="AI758" s="110" t="str">
        <f>'Q100a-geral'!AI2424</f>
        <v>x</v>
      </c>
      <c r="AJ758" s="110" t="str">
        <f>'Q100a-geral'!AJ2424</f>
        <v>x</v>
      </c>
      <c r="AK758" s="137" t="str">
        <f>'Q100a-geral'!AK2424</f>
        <v>x</v>
      </c>
      <c r="AL758" s="168" t="str">
        <f>'Q100a-geral'!AL2424</f>
        <v>x</v>
      </c>
      <c r="AM758" s="137" t="str">
        <f>'Q100a-geral'!AM2424</f>
        <v>x</v>
      </c>
      <c r="AN758" s="137" t="str">
        <f>'Q100a-geral'!AN2424</f>
        <v>x</v>
      </c>
      <c r="AO758" s="137" t="str">
        <f>'Q100a-geral'!AO2424</f>
        <v>x</v>
      </c>
      <c r="AP758" s="137" t="str">
        <f>'Q100a-geral'!AP2424</f>
        <v>x</v>
      </c>
      <c r="AQ758" s="137" t="str">
        <f>'Q100a-geral'!AQ2424</f>
        <v>x</v>
      </c>
      <c r="AR758" s="137"/>
      <c r="AS758" s="137"/>
      <c r="AT758" s="137"/>
      <c r="AU758" s="137"/>
      <c r="AV758" s="137" t="str">
        <f>'Q100a-geral'!AV2424</f>
        <v>x</v>
      </c>
      <c r="AW758" s="137"/>
      <c r="AX758" s="137"/>
      <c r="AY758" s="137"/>
      <c r="AZ758" s="137"/>
      <c r="BA758" s="137" t="str">
        <f>'Q100a-geral'!BA2424</f>
        <v>x</v>
      </c>
      <c r="BB758" s="239" t="str">
        <f>'Q100a-geral'!BB2424</f>
        <v>Atendimento ao usuário em geralx</v>
      </c>
      <c r="BC758" s="239" t="str">
        <f>'Q100a-geral'!BC2424</f>
        <v>Atendimento ao usuário em geralxainda não incorporado ao SisMob-BH</v>
      </c>
      <c r="BD758" s="239" t="str">
        <f>'Q100a-geral'!BD2424</f>
        <v>Atendimento ao usuário em geralainda não incorporado ao SisMob-BH</v>
      </c>
      <c r="BM758" s="193"/>
      <c r="BN758" s="193"/>
      <c r="BO758" s="193"/>
    </row>
    <row r="759" spans="1:67" s="1" customFormat="1" ht="105" customHeight="1" x14ac:dyDescent="0.25">
      <c r="A759" s="275" t="str">
        <f>'Q100a-geral'!A2452</f>
        <v>8.4</v>
      </c>
      <c r="B759" s="54" t="str">
        <f>'Q100a-geral'!B2452</f>
        <v>Táxi</v>
      </c>
      <c r="C759" s="229" t="str">
        <f>'Q100a-geral'!C2452</f>
        <v>x</v>
      </c>
      <c r="D759" s="287" t="str">
        <f>'Q100a-geral'!D2452</f>
        <v>TX gt</v>
      </c>
      <c r="E759" s="926" t="str">
        <f>'Q100a-geral'!E2452</f>
        <v>RMBH</v>
      </c>
      <c r="F759" s="490" t="str">
        <f>'Q100a-geral'!F2452</f>
        <v>frota total de táxi com gestão da BHTrans, ou seja, n.º de veículos vinculados às permissões de táxi pessoa física e às permissões de táxi pessoa jurídica gerenciadas pela BHTrans para operação em diversos municípios (Belo Horizonte, Ibirité e Ribeirão das Neves) com serviço prestado em diversas categorias (acessível, especial, lotação e convencional)
obs.: valores de dezembro usados para representar o ano com resultados de 2006-2012 conforme BHTRANS(2013g); de 2013 em BHTRANS(2014h); 2014 em diante conforme fórmula</v>
      </c>
      <c r="G759" s="14" t="str">
        <f>'Q100a-geral'!G2452</f>
        <v>a) de 2006 a 2013: registro na fonte
b) 2014:
TX pi = TX ac + TX esp + TX lot + TX cn
ou
TX pi = ∑TX (Belo Horizonte + Ibirité + Ribeirão das Neves)</v>
      </c>
      <c r="H759" s="173" t="str">
        <f>'Q100a-geral'!H2452</f>
        <v>x</v>
      </c>
      <c r="I759" s="57">
        <f>'Q100a-geral'!I2452</f>
        <v>1</v>
      </c>
      <c r="J759" s="93" t="str">
        <f>'Q100a-geral'!J2452</f>
        <v>x</v>
      </c>
      <c r="K759" s="84" t="str">
        <f>'Q100a-geral'!K2452</f>
        <v>x</v>
      </c>
      <c r="L759" s="84" t="str">
        <f>'Q100a-geral'!L2452</f>
        <v>x</v>
      </c>
      <c r="M759" s="84" t="str">
        <f>'Q100a-geral'!M2452</f>
        <v>x</v>
      </c>
      <c r="N759" s="84" t="str">
        <f>'Q100a-geral'!N2452</f>
        <v>x</v>
      </c>
      <c r="O759" s="84" t="str">
        <f>'Q100a-geral'!O2452</f>
        <v>x</v>
      </c>
      <c r="P759" s="84" t="str">
        <f>'Q100a-geral'!P2452</f>
        <v>x</v>
      </c>
      <c r="Q759" s="84" t="str">
        <f>'Q100a-geral'!Q2452</f>
        <v>x</v>
      </c>
      <c r="R759" s="84" t="str">
        <f>'Q100a-geral'!R2452</f>
        <v>x</v>
      </c>
      <c r="S759" s="649" t="str">
        <f>'Q100a-geral'!S2452</f>
        <v>só para pesquisa</v>
      </c>
      <c r="T759" s="84" t="str">
        <f>'Q100a-geral'!T2452</f>
        <v>x</v>
      </c>
      <c r="U759" s="84" t="str">
        <f>'Q100a-geral'!U2452</f>
        <v>x</v>
      </c>
      <c r="V759" s="107" t="str">
        <f>'Q100a-geral'!V2452</f>
        <v>só para pesquisa</v>
      </c>
      <c r="W759" s="84" t="str">
        <f>'Q100a-geral'!W2452</f>
        <v>x</v>
      </c>
      <c r="X759" s="84" t="str">
        <f>'Q100a-geral'!X2452</f>
        <v>x</v>
      </c>
      <c r="Y759" s="84" t="str">
        <f>'Q100a-geral'!Y2452</f>
        <v>x</v>
      </c>
      <c r="Z759" s="84" t="str">
        <f>'Q100a-geral'!Z2452</f>
        <v>x</v>
      </c>
      <c r="AA759" s="84" t="str">
        <f>'Q100a-geral'!AA2452</f>
        <v>x</v>
      </c>
      <c r="AB759" s="86">
        <f>'Q100a-geral'!AB2452</f>
        <v>6048</v>
      </c>
      <c r="AC759" s="86">
        <f>'Q100a-geral'!AC2452</f>
        <v>6035</v>
      </c>
      <c r="AD759" s="86">
        <f>'Q100a-geral'!AD2452</f>
        <v>6027</v>
      </c>
      <c r="AE759" s="86">
        <f>'Q100a-geral'!AE2452</f>
        <v>6017</v>
      </c>
      <c r="AF759" s="86">
        <f>'Q100a-geral'!AF2452</f>
        <v>5998</v>
      </c>
      <c r="AG759" s="86">
        <f>'Q100a-geral'!AG2452</f>
        <v>5997</v>
      </c>
      <c r="AH759" s="86">
        <f>'Q100a-geral'!AH2452</f>
        <v>5991</v>
      </c>
      <c r="AI759" s="87">
        <f>'Q100a-geral'!AI2452</f>
        <v>6515</v>
      </c>
      <c r="AJ759" s="67">
        <f>'Q100a-geral'!AJ2452</f>
        <v>6613</v>
      </c>
      <c r="AK759" s="137">
        <f>'Q100a-geral'!AK2452</f>
        <v>6915</v>
      </c>
      <c r="AL759" s="215" t="str">
        <f>'Q100a-geral'!AL2452</f>
        <v>x</v>
      </c>
      <c r="AM759" s="137" t="str">
        <f>'Q100a-geral'!AM2452</f>
        <v>x</v>
      </c>
      <c r="AN759" s="137" t="str">
        <f>'Q100a-geral'!AN2452</f>
        <v>x</v>
      </c>
      <c r="AO759" s="137" t="str">
        <f>'Q100a-geral'!AO2452</f>
        <v>x</v>
      </c>
      <c r="AP759" s="137" t="str">
        <f>'Q100a-geral'!AP2452</f>
        <v>x</v>
      </c>
      <c r="AQ759" s="137" t="str">
        <f>'Q100a-geral'!AQ2452</f>
        <v>x</v>
      </c>
      <c r="AR759" s="137"/>
      <c r="AS759" s="137"/>
      <c r="AT759" s="137"/>
      <c r="AU759" s="137"/>
      <c r="AV759" s="137" t="str">
        <f>'Q100a-geral'!AV2452</f>
        <v>x</v>
      </c>
      <c r="AW759" s="137"/>
      <c r="AX759" s="137"/>
      <c r="AY759" s="137"/>
      <c r="AZ759" s="137"/>
      <c r="BA759" s="137" t="str">
        <f>'Q100a-geral'!BA2452</f>
        <v>x</v>
      </c>
      <c r="BB759" s="239" t="str">
        <f>'Q100a-geral'!BB2452</f>
        <v>Táxix</v>
      </c>
      <c r="BC759" s="239" t="str">
        <f>'Q100a-geral'!BC2452</f>
        <v>Táxixx</v>
      </c>
      <c r="BD759" s="239" t="str">
        <f>'Q100a-geral'!BD2452</f>
        <v>Táxix</v>
      </c>
      <c r="BE759" s="845" t="s">
        <v>2907</v>
      </c>
      <c r="BM759" s="193"/>
      <c r="BN759" s="193"/>
      <c r="BO759" s="193"/>
    </row>
    <row r="760" spans="1:67" s="1" customFormat="1" ht="51" customHeight="1" x14ac:dyDescent="0.25">
      <c r="A760" s="275" t="str">
        <f>'Q100a-geral'!A2429</f>
        <v>8.4</v>
      </c>
      <c r="B760" s="54" t="str">
        <f>'Q100a-geral'!B2429</f>
        <v>Táxi</v>
      </c>
      <c r="C760" s="229" t="str">
        <f>'Q100a-geral'!C2429</f>
        <v>x</v>
      </c>
      <c r="D760" s="287" t="str">
        <f>'Q100a-geral'!D2429</f>
        <v>TX</v>
      </c>
      <c r="E760" s="926" t="str">
        <f>'Q100a-geral'!E2429</f>
        <v>Belo Horizonte</v>
      </c>
      <c r="F760" s="490" t="str">
        <f>'Q100a-geral'!F2429</f>
        <v>frota de táxi de Belo Horizonte, ou seja, número de veículos da praça integrada de táxi com placa de Belo Horizonte</v>
      </c>
      <c r="G760" s="14" t="str">
        <f>'Q100a-geral'!G2429</f>
        <v>TX(BH) = TX(BH)ac + TX(BH)esp + TX(BH)lot + TX(BH)cn</v>
      </c>
      <c r="H760" s="173" t="str">
        <f>'Q100a-geral'!H2429</f>
        <v>x</v>
      </c>
      <c r="I760" s="157">
        <f>'Q100a-geral'!I2429</f>
        <v>1</v>
      </c>
      <c r="J760" s="58" t="str">
        <f>'Q100a-geral'!J2429</f>
        <v>x</v>
      </c>
      <c r="K760" s="23" t="str">
        <f>'Q100a-geral'!K2429</f>
        <v>x</v>
      </c>
      <c r="L760" s="23" t="str">
        <f>'Q100a-geral'!L2429</f>
        <v>x</v>
      </c>
      <c r="M760" s="23" t="str">
        <f>'Q100a-geral'!M2429</f>
        <v>x</v>
      </c>
      <c r="N760" s="23" t="str">
        <f>'Q100a-geral'!N2429</f>
        <v>x</v>
      </c>
      <c r="O760" s="23" t="str">
        <f>'Q100a-geral'!O2429</f>
        <v>x</v>
      </c>
      <c r="P760" s="23" t="str">
        <f>'Q100a-geral'!P2429</f>
        <v>x</v>
      </c>
      <c r="Q760" s="23" t="str">
        <f>'Q100a-geral'!Q2429</f>
        <v>x</v>
      </c>
      <c r="R760" s="23" t="str">
        <f>'Q100a-geral'!R2429</f>
        <v>x</v>
      </c>
      <c r="S760" s="649" t="str">
        <f>'Q100a-geral'!S2429</f>
        <v>só para pesquisa</v>
      </c>
      <c r="T760" s="23" t="str">
        <f>'Q100a-geral'!T2429</f>
        <v>x</v>
      </c>
      <c r="U760" s="23" t="str">
        <f>'Q100a-geral'!U2429</f>
        <v>x</v>
      </c>
      <c r="V760" s="107" t="str">
        <f>'Q100a-geral'!V2429</f>
        <v>só para pesquisa</v>
      </c>
      <c r="W760" s="23" t="str">
        <f>'Q100a-geral'!W2429</f>
        <v>x</v>
      </c>
      <c r="X760" s="23" t="str">
        <f>'Q100a-geral'!X2429</f>
        <v>x</v>
      </c>
      <c r="Y760" s="23" t="str">
        <f>'Q100a-geral'!Y2429</f>
        <v>x</v>
      </c>
      <c r="Z760" s="23" t="str">
        <f>'Q100a-geral'!Z2429</f>
        <v>x</v>
      </c>
      <c r="AA760" s="23" t="str">
        <f>'Q100a-geral'!AA2429</f>
        <v>x</v>
      </c>
      <c r="AB760" s="23" t="str">
        <f>'Q100a-geral'!AB2429</f>
        <v>x</v>
      </c>
      <c r="AC760" s="23" t="str">
        <f>'Q100a-geral'!AC2429</f>
        <v>x</v>
      </c>
      <c r="AD760" s="23" t="str">
        <f>'Q100a-geral'!AD2429</f>
        <v>x</v>
      </c>
      <c r="AE760" s="23" t="str">
        <f>'Q100a-geral'!AE2429</f>
        <v>x</v>
      </c>
      <c r="AF760" s="23" t="str">
        <f>'Q100a-geral'!AF2429</f>
        <v>x</v>
      </c>
      <c r="AG760" s="23" t="str">
        <f>'Q100a-geral'!AG2429</f>
        <v>x</v>
      </c>
      <c r="AH760" s="23" t="str">
        <f>'Q100a-geral'!AH2429</f>
        <v>x</v>
      </c>
      <c r="AI760" s="23" t="str">
        <f>'Q100a-geral'!AI2429</f>
        <v>x</v>
      </c>
      <c r="AJ760" s="20">
        <f>'Q100a-geral'!AJ2429</f>
        <v>6577</v>
      </c>
      <c r="AK760" s="137">
        <f>'Q100a-geral'!AK2429</f>
        <v>6879</v>
      </c>
      <c r="AL760" s="213" t="str">
        <f>'Q100a-geral'!AL2429</f>
        <v>x</v>
      </c>
      <c r="AM760" s="137" t="str">
        <f>'Q100a-geral'!AM2429</f>
        <v>x</v>
      </c>
      <c r="AN760" s="137" t="str">
        <f>'Q100a-geral'!AN2429</f>
        <v>x</v>
      </c>
      <c r="AO760" s="137" t="str">
        <f>'Q100a-geral'!AO2429</f>
        <v>x</v>
      </c>
      <c r="AP760" s="137" t="str">
        <f>'Q100a-geral'!AP2429</f>
        <v>x</v>
      </c>
      <c r="AQ760" s="137" t="str">
        <f>'Q100a-geral'!AQ2429</f>
        <v>x</v>
      </c>
      <c r="AR760" s="137"/>
      <c r="AS760" s="137"/>
      <c r="AT760" s="137"/>
      <c r="AU760" s="137"/>
      <c r="AV760" s="137" t="str">
        <f>'Q100a-geral'!AV2429</f>
        <v>x</v>
      </c>
      <c r="AW760" s="137"/>
      <c r="AX760" s="137"/>
      <c r="AY760" s="137"/>
      <c r="AZ760" s="137"/>
      <c r="BA760" s="137" t="str">
        <f>'Q100a-geral'!BA2429</f>
        <v>x</v>
      </c>
      <c r="BB760" s="239" t="str">
        <f>'Q100a-geral'!BB2429</f>
        <v>Táxix</v>
      </c>
      <c r="BC760" s="239" t="str">
        <f>'Q100a-geral'!BC2429</f>
        <v>Táxixx</v>
      </c>
      <c r="BD760" s="239" t="str">
        <f>'Q100a-geral'!BD2429</f>
        <v>Táxix</v>
      </c>
      <c r="BE760" s="845" t="s">
        <v>1306</v>
      </c>
      <c r="BM760" s="193"/>
      <c r="BN760" s="193"/>
      <c r="BO760" s="193"/>
    </row>
    <row r="761" spans="1:67" s="1" customFormat="1" ht="36.75" customHeight="1" x14ac:dyDescent="0.25">
      <c r="A761" s="275" t="str">
        <f>'Q100a-geral'!A2461</f>
        <v>8.4</v>
      </c>
      <c r="B761" s="54" t="str">
        <f>'Q100a-geral'!B2461</f>
        <v>Táxi</v>
      </c>
      <c r="C761" s="229" t="str">
        <f>'Q100a-geral'!C2461</f>
        <v>x</v>
      </c>
      <c r="D761" s="287" t="str">
        <f>'Q100a-geral'!D2461</f>
        <v>TX por mil habitantes</v>
      </c>
      <c r="E761" s="926" t="str">
        <f>'Q100a-geral'!E2461</f>
        <v>Belo Horizonte</v>
      </c>
      <c r="F761" s="490" t="str">
        <f>'Q100a-geral'!F2461</f>
        <v>n.º de táxis por mil habitantes em Belo Horizonte</v>
      </c>
      <c r="G761" s="17" t="str">
        <f>'Q100a-geral'!G2461</f>
        <v>(TX / P) x 1.000</v>
      </c>
      <c r="H761" s="173" t="str">
        <f>'Q100a-geral'!H2461</f>
        <v>x</v>
      </c>
      <c r="I761" s="157">
        <f>'Q100a-geral'!I2461</f>
        <v>1</v>
      </c>
      <c r="J761" s="58" t="str">
        <f>'Q100a-geral'!J2461</f>
        <v>x</v>
      </c>
      <c r="K761" s="23" t="str">
        <f>'Q100a-geral'!K2461</f>
        <v>x</v>
      </c>
      <c r="L761" s="23" t="str">
        <f>'Q100a-geral'!L2461</f>
        <v>x</v>
      </c>
      <c r="M761" s="23" t="str">
        <f>'Q100a-geral'!M2461</f>
        <v>x</v>
      </c>
      <c r="N761" s="23" t="str">
        <f>'Q100a-geral'!N2461</f>
        <v>x</v>
      </c>
      <c r="O761" s="23" t="str">
        <f>'Q100a-geral'!O2461</f>
        <v>x</v>
      </c>
      <c r="P761" s="23" t="str">
        <f>'Q100a-geral'!P2461</f>
        <v>x</v>
      </c>
      <c r="Q761" s="23" t="str">
        <f>'Q100a-geral'!Q2461</f>
        <v>x</v>
      </c>
      <c r="R761" s="23" t="str">
        <f>'Q100a-geral'!R2461</f>
        <v>x</v>
      </c>
      <c r="S761" s="649" t="str">
        <f>'Q100a-geral'!S2461</f>
        <v>só para pesquisa</v>
      </c>
      <c r="T761" s="23" t="str">
        <f>'Q100a-geral'!T2461</f>
        <v>x</v>
      </c>
      <c r="U761" s="23" t="str">
        <f>'Q100a-geral'!U2461</f>
        <v>x</v>
      </c>
      <c r="V761" s="107" t="str">
        <f>'Q100a-geral'!V2461</f>
        <v>só para pesquisa</v>
      </c>
      <c r="W761" s="23" t="str">
        <f>'Q100a-geral'!W2461</f>
        <v>x</v>
      </c>
      <c r="X761" s="23" t="str">
        <f>'Q100a-geral'!X2461</f>
        <v>x</v>
      </c>
      <c r="Y761" s="23" t="str">
        <f>'Q100a-geral'!Y2461</f>
        <v>x</v>
      </c>
      <c r="Z761" s="23" t="str">
        <f>'Q100a-geral'!Z2461</f>
        <v>x</v>
      </c>
      <c r="AA761" s="23" t="str">
        <f>'Q100a-geral'!AA2461</f>
        <v>x</v>
      </c>
      <c r="AB761" s="23" t="str">
        <f>'Q100a-geral'!AB2461</f>
        <v>x</v>
      </c>
      <c r="AC761" s="23" t="str">
        <f>'Q100a-geral'!AC2461</f>
        <v>x</v>
      </c>
      <c r="AD761" s="23" t="str">
        <f>'Q100a-geral'!AD2461</f>
        <v>x</v>
      </c>
      <c r="AE761" s="23" t="str">
        <f>'Q100a-geral'!AE2461</f>
        <v>x</v>
      </c>
      <c r="AF761" s="23" t="str">
        <f>'Q100a-geral'!AF2461</f>
        <v>x</v>
      </c>
      <c r="AG761" s="23" t="str">
        <f>'Q100a-geral'!AG2461</f>
        <v>x</v>
      </c>
      <c r="AH761" s="23" t="str">
        <f>'Q100a-geral'!AH2461</f>
        <v>x</v>
      </c>
      <c r="AI761" s="23" t="str">
        <f>'Q100a-geral'!AI2461</f>
        <v>x</v>
      </c>
      <c r="AJ761" s="64">
        <f>'Q100a-geral'!AJ2461</f>
        <v>2.6401895701874145</v>
      </c>
      <c r="AK761" s="268">
        <f>'Q100a-geral'!AK2461</f>
        <v>2.7487885390822266</v>
      </c>
      <c r="AL761" s="213" t="str">
        <f>'Q100a-geral'!AL2461</f>
        <v>x</v>
      </c>
      <c r="AM761" s="137" t="str">
        <f>'Q100a-geral'!AM2461</f>
        <v>x</v>
      </c>
      <c r="AN761" s="137" t="str">
        <f>'Q100a-geral'!AN2461</f>
        <v>x</v>
      </c>
      <c r="AO761" s="137" t="str">
        <f>'Q100a-geral'!AO2461</f>
        <v>x</v>
      </c>
      <c r="AP761" s="137" t="str">
        <f>'Q100a-geral'!AP2461</f>
        <v>x</v>
      </c>
      <c r="AQ761" s="137" t="str">
        <f>'Q100a-geral'!AQ2461</f>
        <v>x</v>
      </c>
      <c r="AR761" s="137"/>
      <c r="AS761" s="137"/>
      <c r="AT761" s="137"/>
      <c r="AU761" s="137"/>
      <c r="AV761" s="137" t="str">
        <f>'Q100a-geral'!AV2461</f>
        <v>x</v>
      </c>
      <c r="AW761" s="137"/>
      <c r="AX761" s="137"/>
      <c r="AY761" s="137"/>
      <c r="AZ761" s="137"/>
      <c r="BA761" s="137" t="str">
        <f>'Q100a-geral'!BA2461</f>
        <v>x</v>
      </c>
      <c r="BB761" s="239" t="str">
        <f>'Q100a-geral'!BB2461</f>
        <v>Táxix</v>
      </c>
      <c r="BC761" s="239" t="str">
        <f>'Q100a-geral'!BC2461</f>
        <v>Táxixx</v>
      </c>
      <c r="BD761" s="239" t="str">
        <f>'Q100a-geral'!BD2461</f>
        <v>Táxix</v>
      </c>
      <c r="BE761" s="845" t="s">
        <v>1306</v>
      </c>
      <c r="BM761" s="193"/>
      <c r="BN761" s="193"/>
      <c r="BO761" s="193"/>
    </row>
    <row r="762" spans="1:67" s="1" customFormat="1" ht="36.75" customHeight="1" x14ac:dyDescent="0.25">
      <c r="A762" s="275" t="str">
        <f>'Q100a-geral'!A2464</f>
        <v>8.4</v>
      </c>
      <c r="B762" s="54" t="str">
        <f>'Q100a-geral'!B2464</f>
        <v>Táxi</v>
      </c>
      <c r="C762" s="229" t="str">
        <f>'Q100a-geral'!C2464</f>
        <v>x</v>
      </c>
      <c r="D762" s="287" t="str">
        <f>'Q100a-geral'!D2464</f>
        <v>TX por mil habitantes</v>
      </c>
      <c r="E762" s="926" t="str">
        <f>'Q100a-geral'!E2464</f>
        <v>Brasil
(&gt; 1 milhão habitantes)</v>
      </c>
      <c r="F762" s="490" t="str">
        <f>'Q100a-geral'!F2464</f>
        <v>n.º de táxis por mil habitantes nas cidades brasileiras com mais de um milhão de habitantes
obs.: resultado de 2013 conforme ANTP(2015a, p.82)</v>
      </c>
      <c r="G762" s="17" t="str">
        <f>'Q100a-geral'!G2464</f>
        <v>registro na fonte</v>
      </c>
      <c r="H762" s="173" t="str">
        <f>'Q100a-geral'!H2464</f>
        <v>benchmarking</v>
      </c>
      <c r="I762" s="157" t="str">
        <f>'Q100a-geral'!I2464</f>
        <v>x</v>
      </c>
      <c r="J762" s="58" t="str">
        <f>'Q100a-geral'!J2464</f>
        <v>x</v>
      </c>
      <c r="K762" s="23" t="str">
        <f>'Q100a-geral'!K2464</f>
        <v>x</v>
      </c>
      <c r="L762" s="23" t="str">
        <f>'Q100a-geral'!L2464</f>
        <v>x</v>
      </c>
      <c r="M762" s="23" t="str">
        <f>'Q100a-geral'!M2464</f>
        <v>x</v>
      </c>
      <c r="N762" s="23" t="str">
        <f>'Q100a-geral'!N2464</f>
        <v>x</v>
      </c>
      <c r="O762" s="23" t="str">
        <f>'Q100a-geral'!O2464</f>
        <v>x</v>
      </c>
      <c r="P762" s="23" t="str">
        <f>'Q100a-geral'!P2464</f>
        <v>x</v>
      </c>
      <c r="Q762" s="23" t="str">
        <f>'Q100a-geral'!Q2464</f>
        <v>x</v>
      </c>
      <c r="R762" s="23" t="str">
        <f>'Q100a-geral'!R2464</f>
        <v>x</v>
      </c>
      <c r="S762" s="649" t="str">
        <f>'Q100a-geral'!S2464</f>
        <v>só para pesquisa</v>
      </c>
      <c r="T762" s="23" t="str">
        <f>'Q100a-geral'!T2464</f>
        <v>x</v>
      </c>
      <c r="U762" s="23" t="str">
        <f>'Q100a-geral'!U2464</f>
        <v>x</v>
      </c>
      <c r="V762" s="107" t="str">
        <f>'Q100a-geral'!V2464</f>
        <v>só para pesquisa</v>
      </c>
      <c r="W762" s="23" t="str">
        <f>'Q100a-geral'!W2464</f>
        <v>x</v>
      </c>
      <c r="X762" s="23" t="str">
        <f>'Q100a-geral'!X2464</f>
        <v>x</v>
      </c>
      <c r="Y762" s="23" t="str">
        <f>'Q100a-geral'!Y2464</f>
        <v>x</v>
      </c>
      <c r="Z762" s="23" t="str">
        <f>'Q100a-geral'!Z2464</f>
        <v>x</v>
      </c>
      <c r="AA762" s="23" t="str">
        <f>'Q100a-geral'!AA2464</f>
        <v>x</v>
      </c>
      <c r="AB762" s="23" t="str">
        <f>'Q100a-geral'!AB2464</f>
        <v>x</v>
      </c>
      <c r="AC762" s="23" t="str">
        <f>'Q100a-geral'!AC2464</f>
        <v>x</v>
      </c>
      <c r="AD762" s="23" t="str">
        <f>'Q100a-geral'!AD2464</f>
        <v>x</v>
      </c>
      <c r="AE762" s="23" t="str">
        <f>'Q100a-geral'!AE2464</f>
        <v>x</v>
      </c>
      <c r="AF762" s="23" t="str">
        <f>'Q100a-geral'!AF2464</f>
        <v>x</v>
      </c>
      <c r="AG762" s="23" t="str">
        <f>'Q100a-geral'!AG2464</f>
        <v>x</v>
      </c>
      <c r="AH762" s="23" t="str">
        <f>'Q100a-geral'!AH2464</f>
        <v>x</v>
      </c>
      <c r="AI762" s="23">
        <f>'Q100a-geral'!AI2464</f>
        <v>2.73</v>
      </c>
      <c r="AJ762" s="64" t="str">
        <f>'Q100a-geral'!AJ2464</f>
        <v>x</v>
      </c>
      <c r="AK762" s="137" t="str">
        <f>'Q100a-geral'!AK2464</f>
        <v>x</v>
      </c>
      <c r="AL762" s="213" t="str">
        <f>'Q100a-geral'!AL2464</f>
        <v>x</v>
      </c>
      <c r="AM762" s="137" t="str">
        <f>'Q100a-geral'!AM2464</f>
        <v>x</v>
      </c>
      <c r="AN762" s="137" t="str">
        <f>'Q100a-geral'!AN2464</f>
        <v>x</v>
      </c>
      <c r="AO762" s="137" t="str">
        <f>'Q100a-geral'!AO2464</f>
        <v>x</v>
      </c>
      <c r="AP762" s="137" t="str">
        <f>'Q100a-geral'!AP2464</f>
        <v>x</v>
      </c>
      <c r="AQ762" s="137" t="str">
        <f>'Q100a-geral'!AQ2464</f>
        <v>x</v>
      </c>
      <c r="AR762" s="137"/>
      <c r="AS762" s="137"/>
      <c r="AT762" s="137"/>
      <c r="AU762" s="137"/>
      <c r="AV762" s="137" t="str">
        <f>'Q100a-geral'!AV2464</f>
        <v>x</v>
      </c>
      <c r="AW762" s="137"/>
      <c r="AX762" s="137"/>
      <c r="AY762" s="137"/>
      <c r="AZ762" s="137"/>
      <c r="BA762" s="137" t="str">
        <f>'Q100a-geral'!BA2464</f>
        <v>x</v>
      </c>
      <c r="BB762" s="239" t="str">
        <f>'Q100a-geral'!BB2464</f>
        <v>Táxix</v>
      </c>
      <c r="BC762" s="239" t="str">
        <f>'Q100a-geral'!BC2464</f>
        <v>Táxixbenchmarking</v>
      </c>
      <c r="BD762" s="239" t="str">
        <f>'Q100a-geral'!BD2464</f>
        <v>Táxibenchmarking</v>
      </c>
      <c r="BE762" s="371" t="s">
        <v>2922</v>
      </c>
      <c r="BM762" s="927"/>
      <c r="BN762" s="927"/>
      <c r="BO762" s="927"/>
    </row>
    <row r="763" spans="1:67" s="1" customFormat="1" ht="36.75" customHeight="1" x14ac:dyDescent="0.25">
      <c r="A763" s="275" t="str">
        <f>'Q100a-geral'!A2465</f>
        <v>8.4</v>
      </c>
      <c r="B763" s="54" t="str">
        <f>'Q100a-geral'!B2465</f>
        <v>Táxi</v>
      </c>
      <c r="C763" s="229" t="str">
        <f>'Q100a-geral'!C2465</f>
        <v>x</v>
      </c>
      <c r="D763" s="287" t="str">
        <f>'Q100a-geral'!D2465</f>
        <v>TX por mil habitantes</v>
      </c>
      <c r="E763" s="926" t="str">
        <f>'Q100a-geral'!E2465</f>
        <v>Brasil
(500 mil a 1 milhão habitantes)</v>
      </c>
      <c r="F763" s="490" t="str">
        <f>'Q100a-geral'!F2465</f>
        <v>n.º de táxis por mil habitantes nas cidades brasileiras população entre 500 mil e um milhão de habitantes
obs.: resultado de 2013 conforme ANTP(2015a, p.82)</v>
      </c>
      <c r="G763" s="17" t="str">
        <f>'Q100a-geral'!G2465</f>
        <v>registro na fonte</v>
      </c>
      <c r="H763" s="173" t="str">
        <f>'Q100a-geral'!H2465</f>
        <v>benchmarking</v>
      </c>
      <c r="I763" s="157" t="str">
        <f>'Q100a-geral'!I2465</f>
        <v>x</v>
      </c>
      <c r="J763" s="58" t="str">
        <f>'Q100a-geral'!J2465</f>
        <v>x</v>
      </c>
      <c r="K763" s="23" t="str">
        <f>'Q100a-geral'!K2465</f>
        <v>x</v>
      </c>
      <c r="L763" s="23" t="str">
        <f>'Q100a-geral'!L2465</f>
        <v>x</v>
      </c>
      <c r="M763" s="23" t="str">
        <f>'Q100a-geral'!M2465</f>
        <v>x</v>
      </c>
      <c r="N763" s="23" t="str">
        <f>'Q100a-geral'!N2465</f>
        <v>x</v>
      </c>
      <c r="O763" s="23" t="str">
        <f>'Q100a-geral'!O2465</f>
        <v>x</v>
      </c>
      <c r="P763" s="23" t="str">
        <f>'Q100a-geral'!P2465</f>
        <v>x</v>
      </c>
      <c r="Q763" s="23" t="str">
        <f>'Q100a-geral'!Q2465</f>
        <v>x</v>
      </c>
      <c r="R763" s="23" t="str">
        <f>'Q100a-geral'!R2465</f>
        <v>x</v>
      </c>
      <c r="S763" s="649" t="str">
        <f>'Q100a-geral'!S2465</f>
        <v>só para pesquisa</v>
      </c>
      <c r="T763" s="23" t="str">
        <f>'Q100a-geral'!T2465</f>
        <v>x</v>
      </c>
      <c r="U763" s="23" t="str">
        <f>'Q100a-geral'!U2465</f>
        <v>x</v>
      </c>
      <c r="V763" s="107" t="str">
        <f>'Q100a-geral'!V2465</f>
        <v>só para pesquisa</v>
      </c>
      <c r="W763" s="23" t="str">
        <f>'Q100a-geral'!W2465</f>
        <v>x</v>
      </c>
      <c r="X763" s="23" t="str">
        <f>'Q100a-geral'!X2465</f>
        <v>x</v>
      </c>
      <c r="Y763" s="23" t="str">
        <f>'Q100a-geral'!Y2465</f>
        <v>x</v>
      </c>
      <c r="Z763" s="23" t="str">
        <f>'Q100a-geral'!Z2465</f>
        <v>x</v>
      </c>
      <c r="AA763" s="23" t="str">
        <f>'Q100a-geral'!AA2465</f>
        <v>x</v>
      </c>
      <c r="AB763" s="23" t="str">
        <f>'Q100a-geral'!AB2465</f>
        <v>x</v>
      </c>
      <c r="AC763" s="23" t="str">
        <f>'Q100a-geral'!AC2465</f>
        <v>x</v>
      </c>
      <c r="AD763" s="23" t="str">
        <f>'Q100a-geral'!AD2465</f>
        <v>x</v>
      </c>
      <c r="AE763" s="23" t="str">
        <f>'Q100a-geral'!AE2465</f>
        <v>x</v>
      </c>
      <c r="AF763" s="23" t="str">
        <f>'Q100a-geral'!AF2465</f>
        <v>x</v>
      </c>
      <c r="AG763" s="23" t="str">
        <f>'Q100a-geral'!AG2465</f>
        <v>x</v>
      </c>
      <c r="AH763" s="23" t="str">
        <f>'Q100a-geral'!AH2465</f>
        <v>x</v>
      </c>
      <c r="AI763" s="23">
        <f>'Q100a-geral'!AI2465</f>
        <v>1.1599999999999999</v>
      </c>
      <c r="AJ763" s="64" t="str">
        <f>'Q100a-geral'!AJ2465</f>
        <v>x</v>
      </c>
      <c r="AK763" s="137" t="str">
        <f>'Q100a-geral'!AK2465</f>
        <v>x</v>
      </c>
      <c r="AL763" s="213" t="str">
        <f>'Q100a-geral'!AL2465</f>
        <v>x</v>
      </c>
      <c r="AM763" s="137" t="str">
        <f>'Q100a-geral'!AM2465</f>
        <v>x</v>
      </c>
      <c r="AN763" s="137" t="str">
        <f>'Q100a-geral'!AN2465</f>
        <v>x</v>
      </c>
      <c r="AO763" s="137" t="str">
        <f>'Q100a-geral'!AO2465</f>
        <v>x</v>
      </c>
      <c r="AP763" s="137" t="str">
        <f>'Q100a-geral'!AP2465</f>
        <v>x</v>
      </c>
      <c r="AQ763" s="137" t="str">
        <f>'Q100a-geral'!AQ2465</f>
        <v>x</v>
      </c>
      <c r="AR763" s="137"/>
      <c r="AS763" s="137"/>
      <c r="AT763" s="137"/>
      <c r="AU763" s="137"/>
      <c r="AV763" s="137" t="str">
        <f>'Q100a-geral'!AV2465</f>
        <v>x</v>
      </c>
      <c r="AW763" s="137"/>
      <c r="AX763" s="137"/>
      <c r="AY763" s="137"/>
      <c r="AZ763" s="137"/>
      <c r="BA763" s="137" t="str">
        <f>'Q100a-geral'!BA2465</f>
        <v>x</v>
      </c>
      <c r="BB763" s="239" t="str">
        <f>'Q100a-geral'!BB2465</f>
        <v>Táxix</v>
      </c>
      <c r="BC763" s="239" t="str">
        <f>'Q100a-geral'!BC2465</f>
        <v>Táxixbenchmarking</v>
      </c>
      <c r="BD763" s="239" t="str">
        <f>'Q100a-geral'!BD2465</f>
        <v>Táxibenchmarking</v>
      </c>
      <c r="BE763" s="371" t="s">
        <v>2923</v>
      </c>
      <c r="BM763" s="927"/>
      <c r="BN763" s="927"/>
      <c r="BO763" s="927"/>
    </row>
    <row r="764" spans="1:67" s="1" customFormat="1" ht="36.75" customHeight="1" x14ac:dyDescent="0.25">
      <c r="A764" s="275" t="str">
        <f>'Q100a-geral'!A2466</f>
        <v>8.4</v>
      </c>
      <c r="B764" s="54" t="str">
        <f>'Q100a-geral'!B2466</f>
        <v>Táxi</v>
      </c>
      <c r="C764" s="229" t="str">
        <f>'Q100a-geral'!C2466</f>
        <v>x</v>
      </c>
      <c r="D764" s="287" t="str">
        <f>'Q100a-geral'!D2466</f>
        <v>TX por mil habitantes</v>
      </c>
      <c r="E764" s="926" t="str">
        <f>'Q100a-geral'!E2466</f>
        <v>Brasil
(250 a 500 mil habitantes)</v>
      </c>
      <c r="F764" s="490" t="str">
        <f>'Q100a-geral'!F2466</f>
        <v>n.º de táxis por mil habitantes nas cidades brasileiras população entre 250 e 500 mil habitantes
obs.: resultado de 2013 conforme ANTP(2015a, p.82)</v>
      </c>
      <c r="G764" s="17" t="str">
        <f>'Q100a-geral'!G2466</f>
        <v>registro na fonte</v>
      </c>
      <c r="H764" s="173" t="str">
        <f>'Q100a-geral'!H2466</f>
        <v>benchmarking</v>
      </c>
      <c r="I764" s="157" t="str">
        <f>'Q100a-geral'!I2466</f>
        <v>x</v>
      </c>
      <c r="J764" s="58" t="str">
        <f>'Q100a-geral'!J2466</f>
        <v>x</v>
      </c>
      <c r="K764" s="23" t="str">
        <f>'Q100a-geral'!K2466</f>
        <v>x</v>
      </c>
      <c r="L764" s="23" t="str">
        <f>'Q100a-geral'!L2466</f>
        <v>x</v>
      </c>
      <c r="M764" s="23" t="str">
        <f>'Q100a-geral'!M2466</f>
        <v>x</v>
      </c>
      <c r="N764" s="23" t="str">
        <f>'Q100a-geral'!N2466</f>
        <v>x</v>
      </c>
      <c r="O764" s="23" t="str">
        <f>'Q100a-geral'!O2466</f>
        <v>x</v>
      </c>
      <c r="P764" s="23" t="str">
        <f>'Q100a-geral'!P2466</f>
        <v>x</v>
      </c>
      <c r="Q764" s="23" t="str">
        <f>'Q100a-geral'!Q2466</f>
        <v>x</v>
      </c>
      <c r="R764" s="23" t="str">
        <f>'Q100a-geral'!R2466</f>
        <v>x</v>
      </c>
      <c r="S764" s="649" t="str">
        <f>'Q100a-geral'!S2466</f>
        <v>só para pesquisa</v>
      </c>
      <c r="T764" s="23" t="str">
        <f>'Q100a-geral'!T2466</f>
        <v>x</v>
      </c>
      <c r="U764" s="23" t="str">
        <f>'Q100a-geral'!U2466</f>
        <v>x</v>
      </c>
      <c r="V764" s="107" t="str">
        <f>'Q100a-geral'!V2466</f>
        <v>só para pesquisa</v>
      </c>
      <c r="W764" s="23" t="str">
        <f>'Q100a-geral'!W2466</f>
        <v>x</v>
      </c>
      <c r="X764" s="23" t="str">
        <f>'Q100a-geral'!X2466</f>
        <v>x</v>
      </c>
      <c r="Y764" s="23" t="str">
        <f>'Q100a-geral'!Y2466</f>
        <v>x</v>
      </c>
      <c r="Z764" s="23" t="str">
        <f>'Q100a-geral'!Z2466</f>
        <v>x</v>
      </c>
      <c r="AA764" s="23" t="str">
        <f>'Q100a-geral'!AA2466</f>
        <v>x</v>
      </c>
      <c r="AB764" s="23" t="str">
        <f>'Q100a-geral'!AB2466</f>
        <v>x</v>
      </c>
      <c r="AC764" s="23" t="str">
        <f>'Q100a-geral'!AC2466</f>
        <v>x</v>
      </c>
      <c r="AD764" s="23" t="str">
        <f>'Q100a-geral'!AD2466</f>
        <v>x</v>
      </c>
      <c r="AE764" s="23" t="str">
        <f>'Q100a-geral'!AE2466</f>
        <v>x</v>
      </c>
      <c r="AF764" s="23" t="str">
        <f>'Q100a-geral'!AF2466</f>
        <v>x</v>
      </c>
      <c r="AG764" s="23" t="str">
        <f>'Q100a-geral'!AG2466</f>
        <v>x</v>
      </c>
      <c r="AH764" s="23" t="str">
        <f>'Q100a-geral'!AH2466</f>
        <v>x</v>
      </c>
      <c r="AI764" s="23">
        <f>'Q100a-geral'!AI2466</f>
        <v>1</v>
      </c>
      <c r="AJ764" s="64" t="str">
        <f>'Q100a-geral'!AJ2466</f>
        <v>x</v>
      </c>
      <c r="AK764" s="137" t="str">
        <f>'Q100a-geral'!AK2466</f>
        <v>x</v>
      </c>
      <c r="AL764" s="213" t="str">
        <f>'Q100a-geral'!AL2466</f>
        <v>x</v>
      </c>
      <c r="AM764" s="137" t="str">
        <f>'Q100a-geral'!AM2466</f>
        <v>x</v>
      </c>
      <c r="AN764" s="137" t="str">
        <f>'Q100a-geral'!AN2466</f>
        <v>x</v>
      </c>
      <c r="AO764" s="137" t="str">
        <f>'Q100a-geral'!AO2466</f>
        <v>x</v>
      </c>
      <c r="AP764" s="137" t="str">
        <f>'Q100a-geral'!AP2466</f>
        <v>x</v>
      </c>
      <c r="AQ764" s="137" t="str">
        <f>'Q100a-geral'!AQ2466</f>
        <v>x</v>
      </c>
      <c r="AR764" s="137"/>
      <c r="AS764" s="137"/>
      <c r="AT764" s="137"/>
      <c r="AU764" s="137"/>
      <c r="AV764" s="137" t="str">
        <f>'Q100a-geral'!AV2466</f>
        <v>x</v>
      </c>
      <c r="AW764" s="137"/>
      <c r="AX764" s="137"/>
      <c r="AY764" s="137"/>
      <c r="AZ764" s="137"/>
      <c r="BA764" s="137" t="str">
        <f>'Q100a-geral'!BA2466</f>
        <v>x</v>
      </c>
      <c r="BB764" s="239" t="str">
        <f>'Q100a-geral'!BB2466</f>
        <v>Táxix</v>
      </c>
      <c r="BC764" s="239" t="str">
        <f>'Q100a-geral'!BC2466</f>
        <v>Táxixbenchmarking</v>
      </c>
      <c r="BD764" s="239" t="str">
        <f>'Q100a-geral'!BD2466</f>
        <v>Táxibenchmarking</v>
      </c>
      <c r="BE764" s="371" t="s">
        <v>2924</v>
      </c>
      <c r="BM764" s="927"/>
      <c r="BN764" s="927"/>
      <c r="BO764" s="927"/>
    </row>
    <row r="765" spans="1:67" s="1" customFormat="1" ht="36.75" customHeight="1" x14ac:dyDescent="0.25">
      <c r="A765" s="275" t="str">
        <f>'Q100a-geral'!A2467</f>
        <v>8.4</v>
      </c>
      <c r="B765" s="54" t="str">
        <f>'Q100a-geral'!B2467</f>
        <v>Táxi</v>
      </c>
      <c r="C765" s="229" t="str">
        <f>'Q100a-geral'!C2467</f>
        <v>x</v>
      </c>
      <c r="D765" s="287" t="str">
        <f>'Q100a-geral'!D2467</f>
        <v>TX por mil habitantes</v>
      </c>
      <c r="E765" s="926" t="str">
        <f>'Q100a-geral'!E2467</f>
        <v>Brasil
(100 a 250 mil habitantes)</v>
      </c>
      <c r="F765" s="490" t="str">
        <f>'Q100a-geral'!F2467</f>
        <v>n.º de táxis por mil habitantes nas cidades brasileiras população entre 100 e 250 mil habitantes
obs.: resultado de 2013 conforme ANTP(2015a, p.82)</v>
      </c>
      <c r="G765" s="17" t="str">
        <f>'Q100a-geral'!G2467</f>
        <v>registro na fonte</v>
      </c>
      <c r="H765" s="173" t="str">
        <f>'Q100a-geral'!H2467</f>
        <v>benchmarking</v>
      </c>
      <c r="I765" s="157" t="str">
        <f>'Q100a-geral'!I2467</f>
        <v>x</v>
      </c>
      <c r="J765" s="58" t="str">
        <f>'Q100a-geral'!J2467</f>
        <v>x</v>
      </c>
      <c r="K765" s="23" t="str">
        <f>'Q100a-geral'!K2467</f>
        <v>x</v>
      </c>
      <c r="L765" s="23" t="str">
        <f>'Q100a-geral'!L2467</f>
        <v>x</v>
      </c>
      <c r="M765" s="23" t="str">
        <f>'Q100a-geral'!M2467</f>
        <v>x</v>
      </c>
      <c r="N765" s="23" t="str">
        <f>'Q100a-geral'!N2467</f>
        <v>x</v>
      </c>
      <c r="O765" s="23" t="str">
        <f>'Q100a-geral'!O2467</f>
        <v>x</v>
      </c>
      <c r="P765" s="23" t="str">
        <f>'Q100a-geral'!P2467</f>
        <v>x</v>
      </c>
      <c r="Q765" s="23" t="str">
        <f>'Q100a-geral'!Q2467</f>
        <v>x</v>
      </c>
      <c r="R765" s="23" t="str">
        <f>'Q100a-geral'!R2467</f>
        <v>x</v>
      </c>
      <c r="S765" s="649" t="str">
        <f>'Q100a-geral'!S2467</f>
        <v>só para pesquisa</v>
      </c>
      <c r="T765" s="23" t="str">
        <f>'Q100a-geral'!T2467</f>
        <v>x</v>
      </c>
      <c r="U765" s="23" t="str">
        <f>'Q100a-geral'!U2467</f>
        <v>x</v>
      </c>
      <c r="V765" s="107" t="str">
        <f>'Q100a-geral'!V2467</f>
        <v>só para pesquisa</v>
      </c>
      <c r="W765" s="23" t="str">
        <f>'Q100a-geral'!W2467</f>
        <v>x</v>
      </c>
      <c r="X765" s="23" t="str">
        <f>'Q100a-geral'!X2467</f>
        <v>x</v>
      </c>
      <c r="Y765" s="23" t="str">
        <f>'Q100a-geral'!Y2467</f>
        <v>x</v>
      </c>
      <c r="Z765" s="23" t="str">
        <f>'Q100a-geral'!Z2467</f>
        <v>x</v>
      </c>
      <c r="AA765" s="23" t="str">
        <f>'Q100a-geral'!AA2467</f>
        <v>x</v>
      </c>
      <c r="AB765" s="23" t="str">
        <f>'Q100a-geral'!AB2467</f>
        <v>x</v>
      </c>
      <c r="AC765" s="23" t="str">
        <f>'Q100a-geral'!AC2467</f>
        <v>x</v>
      </c>
      <c r="AD765" s="23" t="str">
        <f>'Q100a-geral'!AD2467</f>
        <v>x</v>
      </c>
      <c r="AE765" s="23" t="str">
        <f>'Q100a-geral'!AE2467</f>
        <v>x</v>
      </c>
      <c r="AF765" s="23" t="str">
        <f>'Q100a-geral'!AF2467</f>
        <v>x</v>
      </c>
      <c r="AG765" s="23" t="str">
        <f>'Q100a-geral'!AG2467</f>
        <v>x</v>
      </c>
      <c r="AH765" s="23" t="str">
        <f>'Q100a-geral'!AH2467</f>
        <v>x</v>
      </c>
      <c r="AI765" s="23">
        <f>'Q100a-geral'!AI2467</f>
        <v>0.96</v>
      </c>
      <c r="AJ765" s="64" t="str">
        <f>'Q100a-geral'!AJ2467</f>
        <v>x</v>
      </c>
      <c r="AK765" s="137" t="str">
        <f>'Q100a-geral'!AK2467</f>
        <v>x</v>
      </c>
      <c r="AL765" s="213" t="str">
        <f>'Q100a-geral'!AL2467</f>
        <v>x</v>
      </c>
      <c r="AM765" s="137" t="str">
        <f>'Q100a-geral'!AM2467</f>
        <v>x</v>
      </c>
      <c r="AN765" s="137" t="str">
        <f>'Q100a-geral'!AN2467</f>
        <v>x</v>
      </c>
      <c r="AO765" s="137" t="str">
        <f>'Q100a-geral'!AO2467</f>
        <v>x</v>
      </c>
      <c r="AP765" s="137" t="str">
        <f>'Q100a-geral'!AP2467</f>
        <v>x</v>
      </c>
      <c r="AQ765" s="137" t="str">
        <f>'Q100a-geral'!AQ2467</f>
        <v>x</v>
      </c>
      <c r="AR765" s="137"/>
      <c r="AS765" s="137"/>
      <c r="AT765" s="137"/>
      <c r="AU765" s="137"/>
      <c r="AV765" s="137" t="str">
        <f>'Q100a-geral'!AV2467</f>
        <v>x</v>
      </c>
      <c r="AW765" s="137"/>
      <c r="AX765" s="137"/>
      <c r="AY765" s="137"/>
      <c r="AZ765" s="137"/>
      <c r="BA765" s="137" t="str">
        <f>'Q100a-geral'!BA2467</f>
        <v>x</v>
      </c>
      <c r="BB765" s="239" t="str">
        <f>'Q100a-geral'!BB2467</f>
        <v>Táxix</v>
      </c>
      <c r="BC765" s="239" t="str">
        <f>'Q100a-geral'!BC2467</f>
        <v>Táxixbenchmarking</v>
      </c>
      <c r="BD765" s="239" t="str">
        <f>'Q100a-geral'!BD2467</f>
        <v>Táxibenchmarking</v>
      </c>
      <c r="BE765" s="371" t="s">
        <v>2925</v>
      </c>
      <c r="BM765" s="927"/>
      <c r="BN765" s="927"/>
      <c r="BO765" s="927"/>
    </row>
    <row r="766" spans="1:67" s="1" customFormat="1" ht="36.75" customHeight="1" x14ac:dyDescent="0.25">
      <c r="A766" s="275" t="str">
        <f>'Q100a-geral'!A2468</f>
        <v>8.4</v>
      </c>
      <c r="B766" s="54" t="str">
        <f>'Q100a-geral'!B2468</f>
        <v>Táxi</v>
      </c>
      <c r="C766" s="229" t="str">
        <f>'Q100a-geral'!C2468</f>
        <v>x</v>
      </c>
      <c r="D766" s="287" t="str">
        <f>'Q100a-geral'!D2468</f>
        <v>TX por mil habitantes</v>
      </c>
      <c r="E766" s="926" t="str">
        <f>'Q100a-geral'!E2468</f>
        <v>Brasil
(60 a 100 mil habitantes)</v>
      </c>
      <c r="F766" s="490" t="str">
        <f>'Q100a-geral'!F2468</f>
        <v>n.º de táxis por mil habitantes nas cidades brasileiras população entre 60 e 100 mil habitantes
obs.: resultado de 2013 conforme ANTP(2015a, p.82)</v>
      </c>
      <c r="G766" s="17" t="str">
        <f>'Q100a-geral'!G2468</f>
        <v>registro na fonte</v>
      </c>
      <c r="H766" s="173" t="str">
        <f>'Q100a-geral'!H2468</f>
        <v>benchmarking</v>
      </c>
      <c r="I766" s="157" t="str">
        <f>'Q100a-geral'!I2468</f>
        <v>x</v>
      </c>
      <c r="J766" s="58" t="str">
        <f>'Q100a-geral'!J2468</f>
        <v>x</v>
      </c>
      <c r="K766" s="23" t="str">
        <f>'Q100a-geral'!K2468</f>
        <v>x</v>
      </c>
      <c r="L766" s="23" t="str">
        <f>'Q100a-geral'!L2468</f>
        <v>x</v>
      </c>
      <c r="M766" s="23" t="str">
        <f>'Q100a-geral'!M2468</f>
        <v>x</v>
      </c>
      <c r="N766" s="23" t="str">
        <f>'Q100a-geral'!N2468</f>
        <v>x</v>
      </c>
      <c r="O766" s="23" t="str">
        <f>'Q100a-geral'!O2468</f>
        <v>x</v>
      </c>
      <c r="P766" s="23" t="str">
        <f>'Q100a-geral'!P2468</f>
        <v>x</v>
      </c>
      <c r="Q766" s="23" t="str">
        <f>'Q100a-geral'!Q2468</f>
        <v>x</v>
      </c>
      <c r="R766" s="23" t="str">
        <f>'Q100a-geral'!R2468</f>
        <v>x</v>
      </c>
      <c r="S766" s="649" t="str">
        <f>'Q100a-geral'!S2468</f>
        <v>só para pesquisa</v>
      </c>
      <c r="T766" s="23" t="str">
        <f>'Q100a-geral'!T2468</f>
        <v>x</v>
      </c>
      <c r="U766" s="23" t="str">
        <f>'Q100a-geral'!U2468</f>
        <v>x</v>
      </c>
      <c r="V766" s="107" t="str">
        <f>'Q100a-geral'!V2468</f>
        <v>só para pesquisa</v>
      </c>
      <c r="W766" s="23" t="str">
        <f>'Q100a-geral'!W2468</f>
        <v>x</v>
      </c>
      <c r="X766" s="23" t="str">
        <f>'Q100a-geral'!X2468</f>
        <v>x</v>
      </c>
      <c r="Y766" s="23" t="str">
        <f>'Q100a-geral'!Y2468</f>
        <v>x</v>
      </c>
      <c r="Z766" s="23" t="str">
        <f>'Q100a-geral'!Z2468</f>
        <v>x</v>
      </c>
      <c r="AA766" s="23" t="str">
        <f>'Q100a-geral'!AA2468</f>
        <v>x</v>
      </c>
      <c r="AB766" s="23" t="str">
        <f>'Q100a-geral'!AB2468</f>
        <v>x</v>
      </c>
      <c r="AC766" s="23" t="str">
        <f>'Q100a-geral'!AC2468</f>
        <v>x</v>
      </c>
      <c r="AD766" s="23" t="str">
        <f>'Q100a-geral'!AD2468</f>
        <v>x</v>
      </c>
      <c r="AE766" s="23" t="str">
        <f>'Q100a-geral'!AE2468</f>
        <v>x</v>
      </c>
      <c r="AF766" s="23" t="str">
        <f>'Q100a-geral'!AF2468</f>
        <v>x</v>
      </c>
      <c r="AG766" s="23" t="str">
        <f>'Q100a-geral'!AG2468</f>
        <v>x</v>
      </c>
      <c r="AH766" s="23" t="str">
        <f>'Q100a-geral'!AH2468</f>
        <v>x</v>
      </c>
      <c r="AI766" s="23">
        <f>'Q100a-geral'!AI2468</f>
        <v>0.84</v>
      </c>
      <c r="AJ766" s="64" t="str">
        <f>'Q100a-geral'!AJ2468</f>
        <v>x</v>
      </c>
      <c r="AK766" s="137" t="str">
        <f>'Q100a-geral'!AK2468</f>
        <v>x</v>
      </c>
      <c r="AL766" s="213" t="str">
        <f>'Q100a-geral'!AL2468</f>
        <v>x</v>
      </c>
      <c r="AM766" s="137" t="str">
        <f>'Q100a-geral'!AM2468</f>
        <v>x</v>
      </c>
      <c r="AN766" s="137" t="str">
        <f>'Q100a-geral'!AN2468</f>
        <v>x</v>
      </c>
      <c r="AO766" s="137" t="str">
        <f>'Q100a-geral'!AO2468</f>
        <v>x</v>
      </c>
      <c r="AP766" s="137" t="str">
        <f>'Q100a-geral'!AP2468</f>
        <v>x</v>
      </c>
      <c r="AQ766" s="137" t="str">
        <f>'Q100a-geral'!AQ2468</f>
        <v>x</v>
      </c>
      <c r="AR766" s="137"/>
      <c r="AS766" s="137"/>
      <c r="AT766" s="137"/>
      <c r="AU766" s="137"/>
      <c r="AV766" s="137" t="str">
        <f>'Q100a-geral'!AV2468</f>
        <v>x</v>
      </c>
      <c r="AW766" s="137"/>
      <c r="AX766" s="137"/>
      <c r="AY766" s="137"/>
      <c r="AZ766" s="137"/>
      <c r="BA766" s="137" t="str">
        <f>'Q100a-geral'!BA2468</f>
        <v>x</v>
      </c>
      <c r="BB766" s="239" t="str">
        <f>'Q100a-geral'!BB2468</f>
        <v>Táxix</v>
      </c>
      <c r="BC766" s="239" t="str">
        <f>'Q100a-geral'!BC2468</f>
        <v>Táxixbenchmarking</v>
      </c>
      <c r="BD766" s="239" t="str">
        <f>'Q100a-geral'!BD2468</f>
        <v>Táxibenchmarking</v>
      </c>
      <c r="BE766" s="371" t="s">
        <v>2926</v>
      </c>
      <c r="BM766" s="927"/>
      <c r="BN766" s="927"/>
      <c r="BO766" s="927"/>
    </row>
    <row r="767" spans="1:67" s="1" customFormat="1" ht="36.75" customHeight="1" x14ac:dyDescent="0.25">
      <c r="A767" s="275" t="str">
        <f>'Q100a-geral'!A2469</f>
        <v>8.4</v>
      </c>
      <c r="B767" s="54" t="str">
        <f>'Q100a-geral'!B2469</f>
        <v>Táxi</v>
      </c>
      <c r="C767" s="229" t="str">
        <f>'Q100a-geral'!C2469</f>
        <v>x</v>
      </c>
      <c r="D767" s="287" t="str">
        <f>'Q100a-geral'!D2469</f>
        <v>TX por mil habitantes</v>
      </c>
      <c r="E767" s="926" t="str">
        <f>'Q100a-geral'!E2469</f>
        <v>Brasil</v>
      </c>
      <c r="F767" s="490" t="str">
        <f>'Q100a-geral'!F2469</f>
        <v>n.º de táxis por mil habitantes nas cidades brasileiras
obs.: resultado de 2013 conforme ANTP(2015a, p.82)</v>
      </c>
      <c r="G767" s="17" t="str">
        <f>'Q100a-geral'!G2469</f>
        <v>registro na fonte</v>
      </c>
      <c r="H767" s="173" t="str">
        <f>'Q100a-geral'!H2469</f>
        <v>benchmarking</v>
      </c>
      <c r="I767" s="157" t="str">
        <f>'Q100a-geral'!I2469</f>
        <v>x</v>
      </c>
      <c r="J767" s="58" t="str">
        <f>'Q100a-geral'!J2469</f>
        <v>x</v>
      </c>
      <c r="K767" s="23" t="str">
        <f>'Q100a-geral'!K2469</f>
        <v>x</v>
      </c>
      <c r="L767" s="23" t="str">
        <f>'Q100a-geral'!L2469</f>
        <v>x</v>
      </c>
      <c r="M767" s="23" t="str">
        <f>'Q100a-geral'!M2469</f>
        <v>x</v>
      </c>
      <c r="N767" s="23" t="str">
        <f>'Q100a-geral'!N2469</f>
        <v>x</v>
      </c>
      <c r="O767" s="23" t="str">
        <f>'Q100a-geral'!O2469</f>
        <v>x</v>
      </c>
      <c r="P767" s="23" t="str">
        <f>'Q100a-geral'!P2469</f>
        <v>x</v>
      </c>
      <c r="Q767" s="23" t="str">
        <f>'Q100a-geral'!Q2469</f>
        <v>x</v>
      </c>
      <c r="R767" s="23" t="str">
        <f>'Q100a-geral'!R2469</f>
        <v>x</v>
      </c>
      <c r="S767" s="649" t="str">
        <f>'Q100a-geral'!S2469</f>
        <v>só para pesquisa</v>
      </c>
      <c r="T767" s="23" t="str">
        <f>'Q100a-geral'!T2469</f>
        <v>x</v>
      </c>
      <c r="U767" s="23" t="str">
        <f>'Q100a-geral'!U2469</f>
        <v>x</v>
      </c>
      <c r="V767" s="107" t="str">
        <f>'Q100a-geral'!V2469</f>
        <v>só para pesquisa</v>
      </c>
      <c r="W767" s="23" t="str">
        <f>'Q100a-geral'!W2469</f>
        <v>x</v>
      </c>
      <c r="X767" s="23" t="str">
        <f>'Q100a-geral'!X2469</f>
        <v>x</v>
      </c>
      <c r="Y767" s="23" t="str">
        <f>'Q100a-geral'!Y2469</f>
        <v>x</v>
      </c>
      <c r="Z767" s="23" t="str">
        <f>'Q100a-geral'!Z2469</f>
        <v>x</v>
      </c>
      <c r="AA767" s="23" t="str">
        <f>'Q100a-geral'!AA2469</f>
        <v>x</v>
      </c>
      <c r="AB767" s="23" t="str">
        <f>'Q100a-geral'!AB2469</f>
        <v>x</v>
      </c>
      <c r="AC767" s="23" t="str">
        <f>'Q100a-geral'!AC2469</f>
        <v>x</v>
      </c>
      <c r="AD767" s="23" t="str">
        <f>'Q100a-geral'!AD2469</f>
        <v>x</v>
      </c>
      <c r="AE767" s="23" t="str">
        <f>'Q100a-geral'!AE2469</f>
        <v>x</v>
      </c>
      <c r="AF767" s="23" t="str">
        <f>'Q100a-geral'!AF2469</f>
        <v>x</v>
      </c>
      <c r="AG767" s="23" t="str">
        <f>'Q100a-geral'!AG2469</f>
        <v>x</v>
      </c>
      <c r="AH767" s="23" t="str">
        <f>'Q100a-geral'!AH2469</f>
        <v>x</v>
      </c>
      <c r="AI767" s="23">
        <f>'Q100a-geral'!AI2469</f>
        <v>1.6</v>
      </c>
      <c r="AJ767" s="64" t="str">
        <f>'Q100a-geral'!AJ2469</f>
        <v>x</v>
      </c>
      <c r="AK767" s="137" t="str">
        <f>'Q100a-geral'!AK2469</f>
        <v>x</v>
      </c>
      <c r="AL767" s="213" t="str">
        <f>'Q100a-geral'!AL2469</f>
        <v>x</v>
      </c>
      <c r="AM767" s="137" t="str">
        <f>'Q100a-geral'!AM2469</f>
        <v>x</v>
      </c>
      <c r="AN767" s="137" t="str">
        <f>'Q100a-geral'!AN2469</f>
        <v>x</v>
      </c>
      <c r="AO767" s="137" t="str">
        <f>'Q100a-geral'!AO2469</f>
        <v>x</v>
      </c>
      <c r="AP767" s="137" t="str">
        <f>'Q100a-geral'!AP2469</f>
        <v>x</v>
      </c>
      <c r="AQ767" s="137" t="str">
        <f>'Q100a-geral'!AQ2469</f>
        <v>x</v>
      </c>
      <c r="AR767" s="137"/>
      <c r="AS767" s="137"/>
      <c r="AT767" s="137"/>
      <c r="AU767" s="137"/>
      <c r="AV767" s="137" t="str">
        <f>'Q100a-geral'!AV2469</f>
        <v>x</v>
      </c>
      <c r="AW767" s="137"/>
      <c r="AX767" s="137"/>
      <c r="AY767" s="137"/>
      <c r="AZ767" s="137"/>
      <c r="BA767" s="137" t="str">
        <f>'Q100a-geral'!BA2469</f>
        <v>x</v>
      </c>
      <c r="BB767" s="239" t="str">
        <f>'Q100a-geral'!BB2469</f>
        <v>Táxix</v>
      </c>
      <c r="BC767" s="239" t="str">
        <f>'Q100a-geral'!BC2469</f>
        <v>Táxixbenchmarking</v>
      </c>
      <c r="BD767" s="239" t="str">
        <f>'Q100a-geral'!BD2469</f>
        <v>Táxibenchmarking</v>
      </c>
      <c r="BE767" s="371" t="s">
        <v>1767</v>
      </c>
      <c r="BM767" s="927"/>
      <c r="BN767" s="927"/>
      <c r="BO767" s="927"/>
    </row>
    <row r="768" spans="1:67" s="1" customFormat="1" ht="51" customHeight="1" x14ac:dyDescent="0.25">
      <c r="A768" s="275" t="str">
        <f>'Q100a-geral'!A2430</f>
        <v>8.4</v>
      </c>
      <c r="B768" s="54" t="str">
        <f>'Q100a-geral'!B2430</f>
        <v>Táxi</v>
      </c>
      <c r="C768" s="229" t="str">
        <f>'Q100a-geral'!C2430</f>
        <v>x</v>
      </c>
      <c r="D768" s="287" t="str">
        <f>'Q100a-geral'!D2430</f>
        <v>TX</v>
      </c>
      <c r="E768" s="926" t="str">
        <f>'Q100a-geral'!E2430</f>
        <v>Contagem</v>
      </c>
      <c r="F768" s="490" t="str">
        <f>'Q100a-geral'!F2430</f>
        <v>frota de táxi de Contagem, ou seja, n.º de veículos da praça integrada de táxi com placa de Contagem
obs.: em 2014 todos são da categoria "convencional"
obs.: valores de dezembro usados para representar o ano com resultados de 2014 conforme BHTRANS(2015a); de 2015 conforme BHTRANS(2016p3)</v>
      </c>
      <c r="G768" s="252" t="str">
        <f>'Q100a-geral'!G2430</f>
        <v>registro na fonte</v>
      </c>
      <c r="H768" s="173" t="str">
        <f>'Q100a-geral'!H2430</f>
        <v>x</v>
      </c>
      <c r="I768" s="157">
        <f>'Q100a-geral'!I2430</f>
        <v>1</v>
      </c>
      <c r="J768" s="93" t="str">
        <f>'Q100a-geral'!J2430</f>
        <v>x</v>
      </c>
      <c r="K768" s="84" t="str">
        <f>'Q100a-geral'!K2430</f>
        <v>x</v>
      </c>
      <c r="L768" s="84" t="str">
        <f>'Q100a-geral'!L2430</f>
        <v>x</v>
      </c>
      <c r="M768" s="84" t="str">
        <f>'Q100a-geral'!M2430</f>
        <v>x</v>
      </c>
      <c r="N768" s="84" t="str">
        <f>'Q100a-geral'!N2430</f>
        <v>x</v>
      </c>
      <c r="O768" s="84" t="str">
        <f>'Q100a-geral'!O2430</f>
        <v>x</v>
      </c>
      <c r="P768" s="84" t="str">
        <f>'Q100a-geral'!P2430</f>
        <v>x</v>
      </c>
      <c r="Q768" s="84" t="str">
        <f>'Q100a-geral'!Q2430</f>
        <v>x</v>
      </c>
      <c r="R768" s="84" t="str">
        <f>'Q100a-geral'!R2430</f>
        <v>x</v>
      </c>
      <c r="S768" s="649" t="str">
        <f>'Q100a-geral'!S2430</f>
        <v>só para pesquisa</v>
      </c>
      <c r="T768" s="84" t="str">
        <f>'Q100a-geral'!T2430</f>
        <v>x</v>
      </c>
      <c r="U768" s="84" t="str">
        <f>'Q100a-geral'!U2430</f>
        <v>x</v>
      </c>
      <c r="V768" s="107" t="str">
        <f>'Q100a-geral'!V2430</f>
        <v>só para pesquisa</v>
      </c>
      <c r="W768" s="84" t="str">
        <f>'Q100a-geral'!W2430</f>
        <v>x</v>
      </c>
      <c r="X768" s="84" t="str">
        <f>'Q100a-geral'!X2430</f>
        <v>x</v>
      </c>
      <c r="Y768" s="84" t="str">
        <f>'Q100a-geral'!Y2430</f>
        <v>x</v>
      </c>
      <c r="Z768" s="84" t="str">
        <f>'Q100a-geral'!Z2430</f>
        <v>x</v>
      </c>
      <c r="AA768" s="84" t="str">
        <f>'Q100a-geral'!AA2430</f>
        <v>x</v>
      </c>
      <c r="AB768" s="84" t="str">
        <f>'Q100a-geral'!AB2430</f>
        <v>x</v>
      </c>
      <c r="AC768" s="84" t="str">
        <f>'Q100a-geral'!AC2430</f>
        <v>x</v>
      </c>
      <c r="AD768" s="84" t="str">
        <f>'Q100a-geral'!AD2430</f>
        <v>x</v>
      </c>
      <c r="AE768" s="84" t="str">
        <f>'Q100a-geral'!AE2430</f>
        <v>x</v>
      </c>
      <c r="AF768" s="84" t="str">
        <f>'Q100a-geral'!AF2430</f>
        <v>x</v>
      </c>
      <c r="AG768" s="84" t="str">
        <f>'Q100a-geral'!AG2430</f>
        <v>x</v>
      </c>
      <c r="AH768" s="84" t="str">
        <f>'Q100a-geral'!AH2430</f>
        <v>x</v>
      </c>
      <c r="AI768" s="84" t="str">
        <f>'Q100a-geral'!AI2430</f>
        <v>x</v>
      </c>
      <c r="AJ768" s="84">
        <f>'Q100a-geral'!AJ2430</f>
        <v>382</v>
      </c>
      <c r="AK768" s="137">
        <f>'Q100a-geral'!AK2430</f>
        <v>380</v>
      </c>
      <c r="AL768" s="213" t="str">
        <f>'Q100a-geral'!AL2430</f>
        <v>x</v>
      </c>
      <c r="AM768" s="137" t="str">
        <f>'Q100a-geral'!AM2430</f>
        <v>x</v>
      </c>
      <c r="AN768" s="137" t="str">
        <f>'Q100a-geral'!AN2430</f>
        <v>x</v>
      </c>
      <c r="AO768" s="137" t="str">
        <f>'Q100a-geral'!AO2430</f>
        <v>x</v>
      </c>
      <c r="AP768" s="137" t="str">
        <f>'Q100a-geral'!AP2430</f>
        <v>x</v>
      </c>
      <c r="AQ768" s="137" t="str">
        <f>'Q100a-geral'!AQ2430</f>
        <v>x</v>
      </c>
      <c r="AR768" s="137"/>
      <c r="AS768" s="137"/>
      <c r="AT768" s="137"/>
      <c r="AU768" s="137"/>
      <c r="AV768" s="137" t="str">
        <f>'Q100a-geral'!AV2430</f>
        <v>x</v>
      </c>
      <c r="AW768" s="137"/>
      <c r="AX768" s="137"/>
      <c r="AY768" s="137"/>
      <c r="AZ768" s="137"/>
      <c r="BA768" s="137" t="str">
        <f>'Q100a-geral'!BA2430</f>
        <v>x</v>
      </c>
      <c r="BB768" s="239" t="str">
        <f>'Q100a-geral'!BB2430</f>
        <v>Táxix</v>
      </c>
      <c r="BC768" s="239" t="str">
        <f>'Q100a-geral'!BC2430</f>
        <v>Táxixx</v>
      </c>
      <c r="BD768" s="239" t="str">
        <f>'Q100a-geral'!BD2430</f>
        <v>Táxix</v>
      </c>
      <c r="BE768" s="845" t="s">
        <v>1371</v>
      </c>
      <c r="BM768" s="193"/>
      <c r="BN768" s="193"/>
      <c r="BO768" s="193"/>
    </row>
    <row r="769" spans="1:67" s="1" customFormat="1" ht="51" customHeight="1" x14ac:dyDescent="0.25">
      <c r="A769" s="275" t="str">
        <f>'Q100a-geral'!A2431</f>
        <v>8.4</v>
      </c>
      <c r="B769" s="54" t="str">
        <f>'Q100a-geral'!B2431</f>
        <v>Táxi</v>
      </c>
      <c r="C769" s="229" t="str">
        <f>'Q100a-geral'!C2431</f>
        <v>x</v>
      </c>
      <c r="D769" s="287" t="str">
        <f>'Q100a-geral'!D2431</f>
        <v>TX</v>
      </c>
      <c r="E769" s="926" t="str">
        <f>'Q100a-geral'!E2431</f>
        <v>Ibirité</v>
      </c>
      <c r="F769" s="490" t="str">
        <f>'Q100a-geral'!F2431</f>
        <v>frota de táxi de Ibirité, ou seja, n.º de veículos da frota da praça integrada de táxi com placa de Ibirité
obs.: em 2014 todos são da categoria "convencional", ou seja, TX(IB) = TX(IB)cn
obs.: valores de dezembro usados para representar o ano com resultados de 2014 conforme BHTRANS(2015a); de 2015 conforme BHTRANS(2016p3)</v>
      </c>
      <c r="G769" s="14" t="str">
        <f>'Q100a-geral'!G2431</f>
        <v>registro na fonte</v>
      </c>
      <c r="H769" s="173" t="str">
        <f>'Q100a-geral'!H2431</f>
        <v>x</v>
      </c>
      <c r="I769" s="157">
        <f>'Q100a-geral'!I2431</f>
        <v>1</v>
      </c>
      <c r="J769" s="93" t="str">
        <f>'Q100a-geral'!J2431</f>
        <v>x</v>
      </c>
      <c r="K769" s="84" t="str">
        <f>'Q100a-geral'!K2431</f>
        <v>x</v>
      </c>
      <c r="L769" s="84" t="str">
        <f>'Q100a-geral'!L2431</f>
        <v>x</v>
      </c>
      <c r="M769" s="84" t="str">
        <f>'Q100a-geral'!M2431</f>
        <v>x</v>
      </c>
      <c r="N769" s="84" t="str">
        <f>'Q100a-geral'!N2431</f>
        <v>x</v>
      </c>
      <c r="O769" s="84" t="str">
        <f>'Q100a-geral'!O2431</f>
        <v>x</v>
      </c>
      <c r="P769" s="84" t="str">
        <f>'Q100a-geral'!P2431</f>
        <v>x</v>
      </c>
      <c r="Q769" s="84" t="str">
        <f>'Q100a-geral'!Q2431</f>
        <v>x</v>
      </c>
      <c r="R769" s="84" t="str">
        <f>'Q100a-geral'!R2431</f>
        <v>x</v>
      </c>
      <c r="S769" s="649" t="str">
        <f>'Q100a-geral'!S2431</f>
        <v>só para pesquisa</v>
      </c>
      <c r="T769" s="84" t="str">
        <f>'Q100a-geral'!T2431</f>
        <v>x</v>
      </c>
      <c r="U769" s="84" t="str">
        <f>'Q100a-geral'!U2431</f>
        <v>x</v>
      </c>
      <c r="V769" s="107" t="str">
        <f>'Q100a-geral'!V2431</f>
        <v>só para pesquisa</v>
      </c>
      <c r="W769" s="84" t="str">
        <f>'Q100a-geral'!W2431</f>
        <v>x</v>
      </c>
      <c r="X769" s="84" t="str">
        <f>'Q100a-geral'!X2431</f>
        <v>x</v>
      </c>
      <c r="Y769" s="84" t="str">
        <f>'Q100a-geral'!Y2431</f>
        <v>x</v>
      </c>
      <c r="Z769" s="84" t="str">
        <f>'Q100a-geral'!Z2431</f>
        <v>x</v>
      </c>
      <c r="AA769" s="84" t="str">
        <f>'Q100a-geral'!AA2431</f>
        <v>x</v>
      </c>
      <c r="AB769" s="84" t="str">
        <f>'Q100a-geral'!AB2431</f>
        <v>x</v>
      </c>
      <c r="AC769" s="84" t="str">
        <f>'Q100a-geral'!AC2431</f>
        <v>x</v>
      </c>
      <c r="AD769" s="84" t="str">
        <f>'Q100a-geral'!AD2431</f>
        <v>x</v>
      </c>
      <c r="AE769" s="84" t="str">
        <f>'Q100a-geral'!AE2431</f>
        <v>x</v>
      </c>
      <c r="AF769" s="84" t="str">
        <f>'Q100a-geral'!AF2431</f>
        <v>x</v>
      </c>
      <c r="AG769" s="84" t="str">
        <f>'Q100a-geral'!AG2431</f>
        <v>x</v>
      </c>
      <c r="AH769" s="84" t="str">
        <f>'Q100a-geral'!AH2431</f>
        <v>x</v>
      </c>
      <c r="AI769" s="84" t="str">
        <f>'Q100a-geral'!AI2431</f>
        <v>x</v>
      </c>
      <c r="AJ769" s="84">
        <f>'Q100a-geral'!AJ2431</f>
        <v>25</v>
      </c>
      <c r="AK769" s="137">
        <f>'Q100a-geral'!AK2431</f>
        <v>25</v>
      </c>
      <c r="AL769" s="213" t="str">
        <f>'Q100a-geral'!AL2431</f>
        <v>x</v>
      </c>
      <c r="AM769" s="137" t="str">
        <f>'Q100a-geral'!AM2431</f>
        <v>x</v>
      </c>
      <c r="AN769" s="137" t="str">
        <f>'Q100a-geral'!AN2431</f>
        <v>x</v>
      </c>
      <c r="AO769" s="137" t="str">
        <f>'Q100a-geral'!AO2431</f>
        <v>x</v>
      </c>
      <c r="AP769" s="137" t="str">
        <f>'Q100a-geral'!AP2431</f>
        <v>x</v>
      </c>
      <c r="AQ769" s="137" t="str">
        <f>'Q100a-geral'!AQ2431</f>
        <v>x</v>
      </c>
      <c r="AR769" s="137"/>
      <c r="AS769" s="137"/>
      <c r="AT769" s="137"/>
      <c r="AU769" s="137"/>
      <c r="AV769" s="137" t="str">
        <f>'Q100a-geral'!AV2431</f>
        <v>x</v>
      </c>
      <c r="AW769" s="137"/>
      <c r="AX769" s="137"/>
      <c r="AY769" s="137"/>
      <c r="AZ769" s="137"/>
      <c r="BA769" s="137" t="str">
        <f>'Q100a-geral'!BA2431</f>
        <v>x</v>
      </c>
      <c r="BB769" s="239" t="str">
        <f>'Q100a-geral'!BB2431</f>
        <v>Táxix</v>
      </c>
      <c r="BC769" s="239" t="str">
        <f>'Q100a-geral'!BC2431</f>
        <v>Táxixx</v>
      </c>
      <c r="BD769" s="239" t="str">
        <f>'Q100a-geral'!BD2431</f>
        <v>Táxix</v>
      </c>
      <c r="BE769" s="845" t="s">
        <v>1269</v>
      </c>
      <c r="BM769" s="193"/>
      <c r="BN769" s="193"/>
      <c r="BO769" s="193"/>
    </row>
    <row r="770" spans="1:67" s="1" customFormat="1" ht="51" customHeight="1" x14ac:dyDescent="0.25">
      <c r="A770" s="275" t="str">
        <f>'Q100a-geral'!A2432</f>
        <v>8.4</v>
      </c>
      <c r="B770" s="54" t="str">
        <f>'Q100a-geral'!B2432</f>
        <v>Táxi</v>
      </c>
      <c r="C770" s="229" t="str">
        <f>'Q100a-geral'!C2432</f>
        <v>x</v>
      </c>
      <c r="D770" s="287" t="str">
        <f>'Q100a-geral'!D2432</f>
        <v>TX</v>
      </c>
      <c r="E770" s="926" t="str">
        <f>'Q100a-geral'!E2432</f>
        <v>Ribeirão das Neves</v>
      </c>
      <c r="F770" s="490" t="str">
        <f>'Q100a-geral'!F2432</f>
        <v>frota de táxi de Ribeirão das Neves, ou seja, n.º de veículos da praça integrada de táxi com placa de Ribeirão das Neves</v>
      </c>
      <c r="G770" s="14" t="str">
        <f>'Q100a-geral'!G2432</f>
        <v>TX(RN) = TX(RN)ac + TX(RN)esp + TX(RN)lot + TX(RN)cn</v>
      </c>
      <c r="H770" s="173" t="str">
        <f>'Q100a-geral'!H2432</f>
        <v>x</v>
      </c>
      <c r="I770" s="157">
        <f>'Q100a-geral'!I2432</f>
        <v>1</v>
      </c>
      <c r="J770" s="58" t="str">
        <f>'Q100a-geral'!J2432</f>
        <v>x</v>
      </c>
      <c r="K770" s="23" t="str">
        <f>'Q100a-geral'!K2432</f>
        <v>x</v>
      </c>
      <c r="L770" s="23" t="str">
        <f>'Q100a-geral'!L2432</f>
        <v>x</v>
      </c>
      <c r="M770" s="23" t="str">
        <f>'Q100a-geral'!M2432</f>
        <v>x</v>
      </c>
      <c r="N770" s="23" t="str">
        <f>'Q100a-geral'!N2432</f>
        <v>x</v>
      </c>
      <c r="O770" s="23" t="str">
        <f>'Q100a-geral'!O2432</f>
        <v>x</v>
      </c>
      <c r="P770" s="23" t="str">
        <f>'Q100a-geral'!P2432</f>
        <v>x</v>
      </c>
      <c r="Q770" s="23" t="str">
        <f>'Q100a-geral'!Q2432</f>
        <v>x</v>
      </c>
      <c r="R770" s="23" t="str">
        <f>'Q100a-geral'!R2432</f>
        <v>x</v>
      </c>
      <c r="S770" s="649" t="str">
        <f>'Q100a-geral'!S2432</f>
        <v>só para pesquisa</v>
      </c>
      <c r="T770" s="23" t="str">
        <f>'Q100a-geral'!T2432</f>
        <v>x</v>
      </c>
      <c r="U770" s="23" t="str">
        <f>'Q100a-geral'!U2432</f>
        <v>x</v>
      </c>
      <c r="V770" s="107" t="str">
        <f>'Q100a-geral'!V2432</f>
        <v>só para pesquisa</v>
      </c>
      <c r="W770" s="23" t="str">
        <f>'Q100a-geral'!W2432</f>
        <v>x</v>
      </c>
      <c r="X770" s="23" t="str">
        <f>'Q100a-geral'!X2432</f>
        <v>x</v>
      </c>
      <c r="Y770" s="23" t="str">
        <f>'Q100a-geral'!Y2432</f>
        <v>x</v>
      </c>
      <c r="Z770" s="23" t="str">
        <f>'Q100a-geral'!Z2432</f>
        <v>x</v>
      </c>
      <c r="AA770" s="23" t="str">
        <f>'Q100a-geral'!AA2432</f>
        <v>x</v>
      </c>
      <c r="AB770" s="23" t="str">
        <f>'Q100a-geral'!AB2432</f>
        <v>x</v>
      </c>
      <c r="AC770" s="23" t="str">
        <f>'Q100a-geral'!AC2432</f>
        <v>x</v>
      </c>
      <c r="AD770" s="23" t="str">
        <f>'Q100a-geral'!AD2432</f>
        <v>x</v>
      </c>
      <c r="AE770" s="23" t="str">
        <f>'Q100a-geral'!AE2432</f>
        <v>x</v>
      </c>
      <c r="AF770" s="23" t="str">
        <f>'Q100a-geral'!AF2432</f>
        <v>x</v>
      </c>
      <c r="AG770" s="23" t="str">
        <f>'Q100a-geral'!AG2432</f>
        <v>x</v>
      </c>
      <c r="AH770" s="23" t="str">
        <f>'Q100a-geral'!AH2432</f>
        <v>x</v>
      </c>
      <c r="AI770" s="23" t="str">
        <f>'Q100a-geral'!AI2432</f>
        <v>x</v>
      </c>
      <c r="AJ770" s="23">
        <f>'Q100a-geral'!AJ2432</f>
        <v>11</v>
      </c>
      <c r="AK770" s="137">
        <f>'Q100a-geral'!AK2432</f>
        <v>11</v>
      </c>
      <c r="AL770" s="213" t="str">
        <f>'Q100a-geral'!AL2432</f>
        <v>x</v>
      </c>
      <c r="AM770" s="137" t="str">
        <f>'Q100a-geral'!AM2432</f>
        <v>x</v>
      </c>
      <c r="AN770" s="137" t="str">
        <f>'Q100a-geral'!AN2432</f>
        <v>x</v>
      </c>
      <c r="AO770" s="137" t="str">
        <f>'Q100a-geral'!AO2432</f>
        <v>x</v>
      </c>
      <c r="AP770" s="137" t="str">
        <f>'Q100a-geral'!AP2432</f>
        <v>x</v>
      </c>
      <c r="AQ770" s="137" t="str">
        <f>'Q100a-geral'!AQ2432</f>
        <v>x</v>
      </c>
      <c r="AR770" s="137"/>
      <c r="AS770" s="137"/>
      <c r="AT770" s="137"/>
      <c r="AU770" s="137"/>
      <c r="AV770" s="137" t="str">
        <f>'Q100a-geral'!AV2432</f>
        <v>x</v>
      </c>
      <c r="AW770" s="137"/>
      <c r="AX770" s="137"/>
      <c r="AY770" s="137"/>
      <c r="AZ770" s="137"/>
      <c r="BA770" s="137" t="str">
        <f>'Q100a-geral'!BA2432</f>
        <v>x</v>
      </c>
      <c r="BB770" s="239" t="str">
        <f>'Q100a-geral'!BB2432</f>
        <v>Táxix</v>
      </c>
      <c r="BC770" s="239" t="str">
        <f>'Q100a-geral'!BC2432</f>
        <v>Táxixx</v>
      </c>
      <c r="BD770" s="239" t="str">
        <f>'Q100a-geral'!BD2432</f>
        <v>Táxix</v>
      </c>
      <c r="BE770" s="845" t="s">
        <v>1757</v>
      </c>
      <c r="BM770" s="193"/>
      <c r="BN770" s="193"/>
      <c r="BO770" s="193"/>
    </row>
    <row r="771" spans="1:67" s="1" customFormat="1" ht="51" customHeight="1" x14ac:dyDescent="0.25">
      <c r="A771" s="275" t="str">
        <f>'Q100a-geral'!A2433</f>
        <v>8.4</v>
      </c>
      <c r="B771" s="54" t="str">
        <f>'Q100a-geral'!B2433</f>
        <v>Táxi</v>
      </c>
      <c r="C771" s="229" t="str">
        <f>'Q100a-geral'!C2433</f>
        <v>x</v>
      </c>
      <c r="D771" s="287" t="str">
        <f>'Q100a-geral'!D2433</f>
        <v>TX</v>
      </c>
      <c r="E771" s="926" t="str">
        <f>'Q100a-geral'!E2433</f>
        <v>Sabará</v>
      </c>
      <c r="F771" s="490" t="str">
        <f>'Q100a-geral'!F2433</f>
        <v>frota de táxi de Sabará, ou seja, n.º de veículos da praça integrada de táxi com placa de Sabará
obs.1: em 2014 todos são da categoria "convencional", ou seja, TX(SB) = TX(SB)cn
obs.2: valores de dezembro usados para representar o ano com resultados de 2014 conforme BHTRANS(2015a); de 2015 conforme BHTRANS(2016p3)</v>
      </c>
      <c r="G771" s="14" t="str">
        <f>'Q100a-geral'!G2433</f>
        <v>registro na fonte</v>
      </c>
      <c r="H771" s="173" t="str">
        <f>'Q100a-geral'!H2433</f>
        <v>x</v>
      </c>
      <c r="I771" s="157">
        <f>'Q100a-geral'!I2433</f>
        <v>1</v>
      </c>
      <c r="J771" s="93" t="str">
        <f>'Q100a-geral'!J2433</f>
        <v>x</v>
      </c>
      <c r="K771" s="84" t="str">
        <f>'Q100a-geral'!K2433</f>
        <v>x</v>
      </c>
      <c r="L771" s="84" t="str">
        <f>'Q100a-geral'!L2433</f>
        <v>x</v>
      </c>
      <c r="M771" s="84" t="str">
        <f>'Q100a-geral'!M2433</f>
        <v>x</v>
      </c>
      <c r="N771" s="84" t="str">
        <f>'Q100a-geral'!N2433</f>
        <v>x</v>
      </c>
      <c r="O771" s="84" t="str">
        <f>'Q100a-geral'!O2433</f>
        <v>x</v>
      </c>
      <c r="P771" s="84" t="str">
        <f>'Q100a-geral'!P2433</f>
        <v>x</v>
      </c>
      <c r="Q771" s="84" t="str">
        <f>'Q100a-geral'!Q2433</f>
        <v>x</v>
      </c>
      <c r="R771" s="84" t="str">
        <f>'Q100a-geral'!R2433</f>
        <v>x</v>
      </c>
      <c r="S771" s="649" t="str">
        <f>'Q100a-geral'!S2433</f>
        <v>só para pesquisa</v>
      </c>
      <c r="T771" s="84" t="str">
        <f>'Q100a-geral'!T2433</f>
        <v>x</v>
      </c>
      <c r="U771" s="84" t="str">
        <f>'Q100a-geral'!U2433</f>
        <v>x</v>
      </c>
      <c r="V771" s="107" t="str">
        <f>'Q100a-geral'!V2433</f>
        <v>só para pesquisa</v>
      </c>
      <c r="W771" s="84" t="str">
        <f>'Q100a-geral'!W2433</f>
        <v>x</v>
      </c>
      <c r="X771" s="84" t="str">
        <f>'Q100a-geral'!X2433</f>
        <v>x</v>
      </c>
      <c r="Y771" s="84" t="str">
        <f>'Q100a-geral'!Y2433</f>
        <v>x</v>
      </c>
      <c r="Z771" s="84" t="str">
        <f>'Q100a-geral'!Z2433</f>
        <v>x</v>
      </c>
      <c r="AA771" s="84" t="str">
        <f>'Q100a-geral'!AA2433</f>
        <v>x</v>
      </c>
      <c r="AB771" s="84" t="str">
        <f>'Q100a-geral'!AB2433</f>
        <v>x</v>
      </c>
      <c r="AC771" s="84" t="str">
        <f>'Q100a-geral'!AC2433</f>
        <v>x</v>
      </c>
      <c r="AD771" s="84" t="str">
        <f>'Q100a-geral'!AD2433</f>
        <v>x</v>
      </c>
      <c r="AE771" s="84" t="str">
        <f>'Q100a-geral'!AE2433</f>
        <v>x</v>
      </c>
      <c r="AF771" s="84" t="str">
        <f>'Q100a-geral'!AF2433</f>
        <v>x</v>
      </c>
      <c r="AG771" s="84" t="str">
        <f>'Q100a-geral'!AG2433</f>
        <v>x</v>
      </c>
      <c r="AH771" s="84" t="str">
        <f>'Q100a-geral'!AH2433</f>
        <v>x</v>
      </c>
      <c r="AI771" s="84" t="str">
        <f>'Q100a-geral'!AI2433</f>
        <v>x</v>
      </c>
      <c r="AJ771" s="84">
        <f>'Q100a-geral'!AJ2433</f>
        <v>28</v>
      </c>
      <c r="AK771" s="137">
        <f>'Q100a-geral'!AK2433</f>
        <v>30</v>
      </c>
      <c r="AL771" s="213" t="str">
        <f>'Q100a-geral'!AL2433</f>
        <v>x</v>
      </c>
      <c r="AM771" s="137" t="str">
        <f>'Q100a-geral'!AM2433</f>
        <v>x</v>
      </c>
      <c r="AN771" s="137" t="str">
        <f>'Q100a-geral'!AN2433</f>
        <v>x</v>
      </c>
      <c r="AO771" s="137" t="str">
        <f>'Q100a-geral'!AO2433</f>
        <v>x</v>
      </c>
      <c r="AP771" s="137" t="str">
        <f>'Q100a-geral'!AP2433</f>
        <v>x</v>
      </c>
      <c r="AQ771" s="137" t="str">
        <f>'Q100a-geral'!AQ2433</f>
        <v>x</v>
      </c>
      <c r="AR771" s="137"/>
      <c r="AS771" s="137"/>
      <c r="AT771" s="137"/>
      <c r="AU771" s="137"/>
      <c r="AV771" s="137" t="str">
        <f>'Q100a-geral'!AV2433</f>
        <v>x</v>
      </c>
      <c r="AW771" s="137"/>
      <c r="AX771" s="137"/>
      <c r="AY771" s="137"/>
      <c r="AZ771" s="137"/>
      <c r="BA771" s="137" t="str">
        <f>'Q100a-geral'!BA2433</f>
        <v>x</v>
      </c>
      <c r="BB771" s="239" t="str">
        <f>'Q100a-geral'!BB2433</f>
        <v>Táxix</v>
      </c>
      <c r="BC771" s="239" t="str">
        <f>'Q100a-geral'!BC2433</f>
        <v>Táxixx</v>
      </c>
      <c r="BD771" s="239" t="str">
        <f>'Q100a-geral'!BD2433</f>
        <v>Táxix</v>
      </c>
      <c r="BE771" s="845" t="s">
        <v>1760</v>
      </c>
      <c r="BM771" s="193"/>
      <c r="BN771" s="193"/>
      <c r="BO771" s="193"/>
    </row>
    <row r="772" spans="1:67" s="1" customFormat="1" ht="69" customHeight="1" x14ac:dyDescent="0.25">
      <c r="A772" s="275" t="str">
        <f>'Q100a-geral'!A2441</f>
        <v>8.4</v>
      </c>
      <c r="B772" s="54" t="str">
        <f>'Q100a-geral'!B2441</f>
        <v>Táxi</v>
      </c>
      <c r="C772" s="229" t="str">
        <f>'Q100a-geral'!C2441</f>
        <v>acessibilidade</v>
      </c>
      <c r="D772" s="362" t="str">
        <f>'Q100a-geral'!D2441</f>
        <v>TX ac pi</v>
      </c>
      <c r="E772" s="490" t="str">
        <f>'Q100a-geral'!E2441</f>
        <v>RMBH</v>
      </c>
      <c r="F772" s="925" t="str">
        <f>'Q100a-geral'!F2441</f>
        <v>n.º de veículos da frota de táxi na modalidade "acessível" da praça integrada de Belo Horizonte
obs.1: essa categoria é destinada à prestação de serviço de táxi para atender às necessidades de deslocamento de usuários com deficiência ou mobilidade reduzida
obs.2: em 2014 todos são de Belo Horizonte (TX ac Belo Horizonte = TX ac praça integrada = TX ac gestão BHTrans)
obs.3: o SisMob-BH assume que de 1991 a 2005 os resultados são iguais aos de 2006
obs.4: valores de dezembro usados para representar o ano com resultados de 2006-2012 conforme BHTRANS(2013g); de 2013 conforme BHTRANS(2014h); de 2014 conforme BHTRANS(2015a); de 2015 conforme BHTRANS(2016p3)</v>
      </c>
      <c r="G772" s="111" t="str">
        <f>'Q100a-geral'!G2441</f>
        <v>TX ac (Belo Horizonte)</v>
      </c>
      <c r="H772" s="173" t="str">
        <f>'Q100a-geral'!H2441</f>
        <v>x</v>
      </c>
      <c r="I772" s="157">
        <f>'Q100a-geral'!I2441</f>
        <v>1</v>
      </c>
      <c r="J772" s="23">
        <f>'Q100a-geral'!J2441</f>
        <v>0</v>
      </c>
      <c r="K772" s="23">
        <f>'Q100a-geral'!K2441</f>
        <v>0</v>
      </c>
      <c r="L772" s="23">
        <f>'Q100a-geral'!L2441</f>
        <v>0</v>
      </c>
      <c r="M772" s="23">
        <f>'Q100a-geral'!M2441</f>
        <v>0</v>
      </c>
      <c r="N772" s="23">
        <f>'Q100a-geral'!N2441</f>
        <v>0</v>
      </c>
      <c r="O772" s="23">
        <f>'Q100a-geral'!O2441</f>
        <v>0</v>
      </c>
      <c r="P772" s="23">
        <f>'Q100a-geral'!P2441</f>
        <v>0</v>
      </c>
      <c r="Q772" s="23">
        <f>'Q100a-geral'!Q2441</f>
        <v>0</v>
      </c>
      <c r="R772" s="23">
        <f>'Q100a-geral'!R2441</f>
        <v>0</v>
      </c>
      <c r="S772" s="109" t="str">
        <f>'Q100a-geral'!S2441</f>
        <v>só para pesquisa</v>
      </c>
      <c r="T772" s="23">
        <f>'Q100a-geral'!T2441</f>
        <v>0</v>
      </c>
      <c r="U772" s="23">
        <f>'Q100a-geral'!U2441</f>
        <v>0</v>
      </c>
      <c r="V772" s="109" t="str">
        <f>'Q100a-geral'!V2441</f>
        <v>só para pesquisa</v>
      </c>
      <c r="W772" s="23">
        <f>'Q100a-geral'!W2441</f>
        <v>0</v>
      </c>
      <c r="X772" s="23">
        <f>'Q100a-geral'!X2441</f>
        <v>0</v>
      </c>
      <c r="Y772" s="23">
        <f>'Q100a-geral'!Y2441</f>
        <v>0</v>
      </c>
      <c r="Z772" s="23">
        <f>'Q100a-geral'!Z2441</f>
        <v>0</v>
      </c>
      <c r="AA772" s="23">
        <f>'Q100a-geral'!AA2441</f>
        <v>0</v>
      </c>
      <c r="AB772" s="23">
        <f>'Q100a-geral'!AB2441</f>
        <v>0</v>
      </c>
      <c r="AC772" s="23">
        <f>'Q100a-geral'!AC2441</f>
        <v>0</v>
      </c>
      <c r="AD772" s="23">
        <f>'Q100a-geral'!AD2441</f>
        <v>0</v>
      </c>
      <c r="AE772" s="23">
        <f>'Q100a-geral'!AE2441</f>
        <v>0</v>
      </c>
      <c r="AF772" s="23">
        <f>'Q100a-geral'!AF2441</f>
        <v>0</v>
      </c>
      <c r="AG772" s="23">
        <f>'Q100a-geral'!AG2441</f>
        <v>0</v>
      </c>
      <c r="AH772" s="23">
        <f>'Q100a-geral'!AH2441</f>
        <v>0</v>
      </c>
      <c r="AI772" s="23">
        <f>'Q100a-geral'!AI2441</f>
        <v>0</v>
      </c>
      <c r="AJ772" s="23">
        <f>'Q100a-geral'!AJ2441</f>
        <v>60</v>
      </c>
      <c r="AK772" s="23">
        <f>'Q100a-geral'!AK2441</f>
        <v>60</v>
      </c>
      <c r="AL772" s="601" t="str">
        <f>'Q100a-geral'!AL2441</f>
        <v>x</v>
      </c>
      <c r="AM772" s="137" t="str">
        <f>'Q100a-geral'!AM2441</f>
        <v>x</v>
      </c>
      <c r="AN772" s="137" t="str">
        <f>'Q100a-geral'!AN2441</f>
        <v>x</v>
      </c>
      <c r="AO772" s="137" t="str">
        <f>'Q100a-geral'!AO2441</f>
        <v>x</v>
      </c>
      <c r="AP772" s="137" t="str">
        <f>'Q100a-geral'!AP2441</f>
        <v>x</v>
      </c>
      <c r="AQ772" s="137" t="str">
        <f>'Q100a-geral'!AQ2441</f>
        <v>x</v>
      </c>
      <c r="AR772" s="137" t="str">
        <f>'Q100a-geral'!AR2441</f>
        <v>x</v>
      </c>
      <c r="AS772" s="137" t="str">
        <f>'Q100a-geral'!AS2441</f>
        <v>x</v>
      </c>
      <c r="AT772" s="137" t="str">
        <f>'Q100a-geral'!AT2441</f>
        <v>x</v>
      </c>
      <c r="AU772" s="137" t="str">
        <f>'Q100a-geral'!AU2441</f>
        <v>x</v>
      </c>
      <c r="AV772" s="137" t="str">
        <f>'Q100a-geral'!AV2441</f>
        <v>x</v>
      </c>
      <c r="AW772" s="137" t="str">
        <f>'Q100a-geral'!AW2441</f>
        <v>x</v>
      </c>
      <c r="AX772" s="137" t="str">
        <f>'Q100a-geral'!AX2441</f>
        <v>x</v>
      </c>
      <c r="AY772" s="137" t="str">
        <f>'Q100a-geral'!AY2441</f>
        <v>x</v>
      </c>
      <c r="AZ772" s="137" t="str">
        <f>'Q100a-geral'!AZ2441</f>
        <v>x</v>
      </c>
      <c r="BA772" s="137" t="str">
        <f>'Q100a-geral'!BA2441</f>
        <v>x</v>
      </c>
      <c r="BB772" s="239" t="str">
        <f>'Q100a-geral'!BB2441</f>
        <v>Táxiacessibilidade</v>
      </c>
      <c r="BC772" s="239" t="str">
        <f>'Q100a-geral'!BC2441</f>
        <v>Táxiacessibilidadex</v>
      </c>
      <c r="BD772" s="239" t="str">
        <f>'Q100a-geral'!BD2441</f>
        <v>Táxix</v>
      </c>
      <c r="BE772" s="845" t="s">
        <v>2451</v>
      </c>
      <c r="BM772" s="927"/>
      <c r="BN772" s="927"/>
      <c r="BO772" s="927"/>
    </row>
    <row r="773" spans="1:67" s="1" customFormat="1" ht="63.75" customHeight="1" x14ac:dyDescent="0.25">
      <c r="A773" s="275" t="str">
        <f>'Q100a-geral'!A2447</f>
        <v>8.4</v>
      </c>
      <c r="B773" s="54" t="str">
        <f>'Q100a-geral'!B2447</f>
        <v>Táxi</v>
      </c>
      <c r="C773" s="229" t="str">
        <f>'Q100a-geral'!C2447</f>
        <v>x</v>
      </c>
      <c r="D773" s="287" t="str">
        <f>'Q100a-geral'!D2447</f>
        <v>TX cn pi</v>
      </c>
      <c r="E773" s="926" t="str">
        <f>'Q100a-geral'!E2447</f>
        <v>RMBH</v>
      </c>
      <c r="F773" s="490" t="str">
        <f>'Q100a-geral'!F2447</f>
        <v>n.º de veículos da frota de táxi na modalidade "convencional" da praça integrada de Belo Horizonte
obs.1: esta categoria, também conhecida como "comum" é destinada à prestação do serviço geral de táxi que não atende a necessidades específicas de deslocamento
obs.2: acesse o verbete "táxi convencional"</v>
      </c>
      <c r="G773" s="14" t="str">
        <f>'Q100a-geral'!G2447</f>
        <v>TX(BH)cn + TX(IB)cn + TX(RN)cn+TX(SB)cn+TX(CT)cn</v>
      </c>
      <c r="H773" s="173" t="str">
        <f>'Q100a-geral'!H2447</f>
        <v>x</v>
      </c>
      <c r="I773" s="157">
        <f>'Q100a-geral'!I2447</f>
        <v>1</v>
      </c>
      <c r="J773" s="58" t="str">
        <f>'Q100a-geral'!J2447</f>
        <v>x</v>
      </c>
      <c r="K773" s="23" t="str">
        <f>'Q100a-geral'!K2447</f>
        <v>x</v>
      </c>
      <c r="L773" s="23" t="str">
        <f>'Q100a-geral'!L2447</f>
        <v>x</v>
      </c>
      <c r="M773" s="23" t="str">
        <f>'Q100a-geral'!M2447</f>
        <v>x</v>
      </c>
      <c r="N773" s="23" t="str">
        <f>'Q100a-geral'!N2447</f>
        <v>x</v>
      </c>
      <c r="O773" s="23" t="str">
        <f>'Q100a-geral'!O2447</f>
        <v>x</v>
      </c>
      <c r="P773" s="23" t="str">
        <f>'Q100a-geral'!P2447</f>
        <v>x</v>
      </c>
      <c r="Q773" s="23" t="str">
        <f>'Q100a-geral'!Q2447</f>
        <v>x</v>
      </c>
      <c r="R773" s="23" t="str">
        <f>'Q100a-geral'!R2447</f>
        <v>x</v>
      </c>
      <c r="S773" s="649" t="str">
        <f>'Q100a-geral'!S2447</f>
        <v>só para pesquisa</v>
      </c>
      <c r="T773" s="23" t="str">
        <f>'Q100a-geral'!T2447</f>
        <v>x</v>
      </c>
      <c r="U773" s="23" t="str">
        <f>'Q100a-geral'!U2447</f>
        <v>x</v>
      </c>
      <c r="V773" s="107" t="str">
        <f>'Q100a-geral'!V2447</f>
        <v>só para pesquisa</v>
      </c>
      <c r="W773" s="23" t="str">
        <f>'Q100a-geral'!W2447</f>
        <v>x</v>
      </c>
      <c r="X773" s="23" t="str">
        <f>'Q100a-geral'!X2447</f>
        <v>x</v>
      </c>
      <c r="Y773" s="23" t="str">
        <f>'Q100a-geral'!Y2447</f>
        <v>x</v>
      </c>
      <c r="Z773" s="23" t="str">
        <f>'Q100a-geral'!Z2447</f>
        <v>x</v>
      </c>
      <c r="AA773" s="23" t="str">
        <f>'Q100a-geral'!AA2447</f>
        <v>x</v>
      </c>
      <c r="AB773" s="23" t="str">
        <f>'Q100a-geral'!AB2447</f>
        <v>x</v>
      </c>
      <c r="AC773" s="23" t="str">
        <f>'Q100a-geral'!AC2447</f>
        <v>x</v>
      </c>
      <c r="AD773" s="23" t="str">
        <f>'Q100a-geral'!AD2447</f>
        <v>x</v>
      </c>
      <c r="AE773" s="23" t="str">
        <f>'Q100a-geral'!AE2447</f>
        <v>x</v>
      </c>
      <c r="AF773" s="23" t="str">
        <f>'Q100a-geral'!AF2447</f>
        <v>x</v>
      </c>
      <c r="AG773" s="23" t="str">
        <f>'Q100a-geral'!AG2447</f>
        <v>x</v>
      </c>
      <c r="AH773" s="23" t="str">
        <f>'Q100a-geral'!AH2447</f>
        <v>x</v>
      </c>
      <c r="AI773" s="23" t="str">
        <f>'Q100a-geral'!AI2447</f>
        <v>x</v>
      </c>
      <c r="AJ773" s="20">
        <f>'Q100a-geral'!AJ2447</f>
        <v>6757</v>
      </c>
      <c r="AK773" s="137">
        <f>'Q100a-geral'!AK2447</f>
        <v>7076</v>
      </c>
      <c r="AL773" s="213" t="str">
        <f>'Q100a-geral'!AL2447</f>
        <v>x</v>
      </c>
      <c r="AM773" s="137" t="str">
        <f>'Q100a-geral'!AM2447</f>
        <v>x</v>
      </c>
      <c r="AN773" s="137" t="str">
        <f>'Q100a-geral'!AN2447</f>
        <v>x</v>
      </c>
      <c r="AO773" s="137" t="str">
        <f>'Q100a-geral'!AO2447</f>
        <v>x</v>
      </c>
      <c r="AP773" s="137" t="str">
        <f>'Q100a-geral'!AP2447</f>
        <v>x</v>
      </c>
      <c r="AQ773" s="137" t="str">
        <f>'Q100a-geral'!AQ2447</f>
        <v>x</v>
      </c>
      <c r="AR773" s="137"/>
      <c r="AS773" s="137"/>
      <c r="AT773" s="137"/>
      <c r="AU773" s="137"/>
      <c r="AV773" s="137" t="str">
        <f>'Q100a-geral'!AV2447</f>
        <v>x</v>
      </c>
      <c r="AW773" s="137"/>
      <c r="AX773" s="137"/>
      <c r="AY773" s="137"/>
      <c r="AZ773" s="137"/>
      <c r="BA773" s="137" t="str">
        <f>'Q100a-geral'!BA2447</f>
        <v>x</v>
      </c>
      <c r="BB773" s="239" t="str">
        <f>'Q100a-geral'!BB2447</f>
        <v>Táxix</v>
      </c>
      <c r="BC773" s="239" t="str">
        <f>'Q100a-geral'!BC2447</f>
        <v>Táxixx</v>
      </c>
      <c r="BD773" s="239" t="str">
        <f>'Q100a-geral'!BD2447</f>
        <v>Táxix</v>
      </c>
      <c r="BE773" s="845" t="s">
        <v>2911</v>
      </c>
      <c r="BM773" s="193"/>
      <c r="BN773" s="193"/>
      <c r="BO773" s="193"/>
    </row>
    <row r="774" spans="1:67" s="1" customFormat="1" ht="106.5" customHeight="1" x14ac:dyDescent="0.25">
      <c r="A774" s="275" t="str">
        <f>'Q100a-geral'!A2451</f>
        <v>8.4</v>
      </c>
      <c r="B774" s="54" t="str">
        <f>'Q100a-geral'!B2451</f>
        <v>Táxi</v>
      </c>
      <c r="C774" s="229" t="str">
        <f>'Q100a-geral'!C2451</f>
        <v>x</v>
      </c>
      <c r="D774" s="287" t="str">
        <f>'Q100a-geral'!D2451</f>
        <v>TX esp pi</v>
      </c>
      <c r="E774" s="926" t="str">
        <f>'Q100a-geral'!E2451</f>
        <v>RMBH</v>
      </c>
      <c r="F774" s="490" t="str">
        <f>'Q100a-geral'!F2451</f>
        <v>n.º de veículos da frota de táxi na modalidade "especial"  da praça integrada de Belo Horizonte
obs.1: essa categoria foi criada em dezembro de 2011 pela BHTrans com o objetivo de oferecer um serviço de melhor qualidade que o prestado pelas demais categorias
obs.2: esta categoria é denominada "táxi especial/luxo" em ANTP(2003a, p.15 - item 2.4.1)
obs.3: em 2014 eles são apenas de Belo Horizonte e Ribeirão das Neves (TX esp = TX esp praça integrada = TX esp gestão BHTrans</v>
      </c>
      <c r="G774" s="14" t="str">
        <f>'Q100a-geral'!G2451</f>
        <v>TX(BH)esp + TX(RN)esp</v>
      </c>
      <c r="H774" s="173" t="str">
        <f>'Q100a-geral'!H2451</f>
        <v>x</v>
      </c>
      <c r="I774" s="157">
        <f>'Q100a-geral'!I2451</f>
        <v>1</v>
      </c>
      <c r="J774" s="58" t="str">
        <f>'Q100a-geral'!J2451</f>
        <v>x</v>
      </c>
      <c r="K774" s="23" t="str">
        <f>'Q100a-geral'!K2451</f>
        <v>x</v>
      </c>
      <c r="L774" s="23" t="str">
        <f>'Q100a-geral'!L2451</f>
        <v>x</v>
      </c>
      <c r="M774" s="23" t="str">
        <f>'Q100a-geral'!M2451</f>
        <v>x</v>
      </c>
      <c r="N774" s="23" t="str">
        <f>'Q100a-geral'!N2451</f>
        <v>x</v>
      </c>
      <c r="O774" s="23" t="str">
        <f>'Q100a-geral'!O2451</f>
        <v>x</v>
      </c>
      <c r="P774" s="23" t="str">
        <f>'Q100a-geral'!P2451</f>
        <v>x</v>
      </c>
      <c r="Q774" s="23" t="str">
        <f>'Q100a-geral'!Q2451</f>
        <v>x</v>
      </c>
      <c r="R774" s="23" t="str">
        <f>'Q100a-geral'!R2451</f>
        <v>x</v>
      </c>
      <c r="S774" s="649" t="str">
        <f>'Q100a-geral'!S2451</f>
        <v>só para pesquisa</v>
      </c>
      <c r="T774" s="23" t="str">
        <f>'Q100a-geral'!T2451</f>
        <v>x</v>
      </c>
      <c r="U774" s="23" t="str">
        <f>'Q100a-geral'!U2451</f>
        <v>x</v>
      </c>
      <c r="V774" s="107" t="str">
        <f>'Q100a-geral'!V2451</f>
        <v>só para pesquisa</v>
      </c>
      <c r="W774" s="23" t="str">
        <f>'Q100a-geral'!W2451</f>
        <v>x</v>
      </c>
      <c r="X774" s="23" t="str">
        <f>'Q100a-geral'!X2451</f>
        <v>x</v>
      </c>
      <c r="Y774" s="23" t="str">
        <f>'Q100a-geral'!Y2451</f>
        <v>x</v>
      </c>
      <c r="Z774" s="23" t="str">
        <f>'Q100a-geral'!Z2451</f>
        <v>x</v>
      </c>
      <c r="AA774" s="23" t="str">
        <f>'Q100a-geral'!AA2451</f>
        <v>x</v>
      </c>
      <c r="AB774" s="23" t="str">
        <f>'Q100a-geral'!AB2451</f>
        <v>x</v>
      </c>
      <c r="AC774" s="23" t="str">
        <f>'Q100a-geral'!AC2451</f>
        <v>x</v>
      </c>
      <c r="AD774" s="23" t="str">
        <f>'Q100a-geral'!AD2451</f>
        <v>x</v>
      </c>
      <c r="AE774" s="23" t="str">
        <f>'Q100a-geral'!AE2451</f>
        <v>x</v>
      </c>
      <c r="AF774" s="23" t="str">
        <f>'Q100a-geral'!AF2451</f>
        <v>x</v>
      </c>
      <c r="AG774" s="23" t="str">
        <f>'Q100a-geral'!AG2451</f>
        <v>x</v>
      </c>
      <c r="AH774" s="23" t="str">
        <f>'Q100a-geral'!AH2451</f>
        <v>x</v>
      </c>
      <c r="AI774" s="23" t="str">
        <f>'Q100a-geral'!AI2451</f>
        <v>x</v>
      </c>
      <c r="AJ774" s="23">
        <f>'Q100a-geral'!AJ2451</f>
        <v>93</v>
      </c>
      <c r="AK774" s="137">
        <f>'Q100a-geral'!AK2451</f>
        <v>76</v>
      </c>
      <c r="AL774" s="213" t="str">
        <f>'Q100a-geral'!AL2451</f>
        <v>x</v>
      </c>
      <c r="AM774" s="137" t="str">
        <f>'Q100a-geral'!AM2451</f>
        <v>x</v>
      </c>
      <c r="AN774" s="137" t="str">
        <f>'Q100a-geral'!AN2451</f>
        <v>x</v>
      </c>
      <c r="AO774" s="137" t="str">
        <f>'Q100a-geral'!AO2451</f>
        <v>x</v>
      </c>
      <c r="AP774" s="137" t="str">
        <f>'Q100a-geral'!AP2451</f>
        <v>x</v>
      </c>
      <c r="AQ774" s="137" t="str">
        <f>'Q100a-geral'!AQ2451</f>
        <v>x</v>
      </c>
      <c r="AR774" s="137"/>
      <c r="AS774" s="137"/>
      <c r="AT774" s="137"/>
      <c r="AU774" s="137"/>
      <c r="AV774" s="137" t="str">
        <f>'Q100a-geral'!AV2451</f>
        <v>x</v>
      </c>
      <c r="AW774" s="137"/>
      <c r="AX774" s="137"/>
      <c r="AY774" s="137"/>
      <c r="AZ774" s="137"/>
      <c r="BA774" s="137" t="str">
        <f>'Q100a-geral'!BA2451</f>
        <v>x</v>
      </c>
      <c r="BB774" s="239" t="str">
        <f>'Q100a-geral'!BB2451</f>
        <v>Táxix</v>
      </c>
      <c r="BC774" s="239" t="str">
        <f>'Q100a-geral'!BC2451</f>
        <v>Táxixx</v>
      </c>
      <c r="BD774" s="239" t="str">
        <f>'Q100a-geral'!BD2451</f>
        <v>Táxix</v>
      </c>
      <c r="BE774" s="845" t="s">
        <v>2912</v>
      </c>
      <c r="BM774" s="193"/>
      <c r="BN774" s="193"/>
      <c r="BO774" s="193"/>
    </row>
    <row r="775" spans="1:67" s="1" customFormat="1" ht="70.5" customHeight="1" x14ac:dyDescent="0.25">
      <c r="A775" s="275" t="str">
        <f>'Q100a-geral'!A2456</f>
        <v>8.4</v>
      </c>
      <c r="B775" s="11" t="str">
        <f>'Q100a-geral'!B2456</f>
        <v>Táxi</v>
      </c>
      <c r="C775" s="167" t="str">
        <f>'Q100a-geral'!C2456</f>
        <v>x</v>
      </c>
      <c r="D775" s="287" t="str">
        <f>'Q100a-geral'!D2456</f>
        <v>TX lot pi</v>
      </c>
      <c r="E775" s="926" t="str">
        <f>'Q100a-geral'!E2456</f>
        <v>RMBH</v>
      </c>
      <c r="F775" s="488" t="str">
        <f>'Q100a-geral'!F2456</f>
        <v>n.º de veículos da frota de táxi na modalidade "lotação" da praça integrada de Belo Horizonte
obs.1: essa categoria opera apenas no município de Belo Horizonte em rotas fixas e tarifa pré-fixada
obs.2: até 2015 todos são de Belo Horizonte (TX lot = TX lot praça integrada = TX lot gestão BHTrans)
obs.3: acesse o verbete "táxi lotação"</v>
      </c>
      <c r="G775" s="252" t="str">
        <f>'Q100a-geral'!G2456</f>
        <v>TX lot (Belo Horizonte)</v>
      </c>
      <c r="H775" s="57" t="str">
        <f>'Q100a-geral'!H2456</f>
        <v>x</v>
      </c>
      <c r="I775" s="157">
        <f>'Q100a-geral'!I2456</f>
        <v>1</v>
      </c>
      <c r="J775" s="93" t="str">
        <f>'Q100a-geral'!J2456</f>
        <v>x</v>
      </c>
      <c r="K775" s="84" t="str">
        <f>'Q100a-geral'!K2456</f>
        <v>x</v>
      </c>
      <c r="L775" s="84" t="str">
        <f>'Q100a-geral'!L2456</f>
        <v>x</v>
      </c>
      <c r="M775" s="84" t="str">
        <f>'Q100a-geral'!M2456</f>
        <v>x</v>
      </c>
      <c r="N775" s="84" t="str">
        <f>'Q100a-geral'!N2456</f>
        <v>x</v>
      </c>
      <c r="O775" s="84" t="str">
        <f>'Q100a-geral'!O2456</f>
        <v>x</v>
      </c>
      <c r="P775" s="84" t="str">
        <f>'Q100a-geral'!P2456</f>
        <v>x</v>
      </c>
      <c r="Q775" s="84" t="str">
        <f>'Q100a-geral'!Q2456</f>
        <v>x</v>
      </c>
      <c r="R775" s="84" t="str">
        <f>'Q100a-geral'!R2456</f>
        <v>x</v>
      </c>
      <c r="S775" s="649" t="str">
        <f>'Q100a-geral'!S2456</f>
        <v>só para pesquisa</v>
      </c>
      <c r="T775" s="84" t="str">
        <f>'Q100a-geral'!T2456</f>
        <v>x</v>
      </c>
      <c r="U775" s="84" t="str">
        <f>'Q100a-geral'!U2456</f>
        <v>x</v>
      </c>
      <c r="V775" s="107" t="str">
        <f>'Q100a-geral'!V2456</f>
        <v>só para pesquisa</v>
      </c>
      <c r="W775" s="84" t="str">
        <f>'Q100a-geral'!W2456</f>
        <v>x</v>
      </c>
      <c r="X775" s="84" t="str">
        <f>'Q100a-geral'!X2456</f>
        <v>x</v>
      </c>
      <c r="Y775" s="84" t="str">
        <f>'Q100a-geral'!Y2456</f>
        <v>x</v>
      </c>
      <c r="Z775" s="84" t="str">
        <f>'Q100a-geral'!Z2456</f>
        <v>x</v>
      </c>
      <c r="AA775" s="84" t="str">
        <f>'Q100a-geral'!AA2456</f>
        <v>x</v>
      </c>
      <c r="AB775" s="84" t="str">
        <f>'Q100a-geral'!AB2456</f>
        <v>x</v>
      </c>
      <c r="AC775" s="84" t="str">
        <f>'Q100a-geral'!AC2456</f>
        <v>x</v>
      </c>
      <c r="AD775" s="84" t="str">
        <f>'Q100a-geral'!AD2456</f>
        <v>x</v>
      </c>
      <c r="AE775" s="84" t="str">
        <f>'Q100a-geral'!AE2456</f>
        <v>x</v>
      </c>
      <c r="AF775" s="84" t="str">
        <f>'Q100a-geral'!AF2456</f>
        <v>x</v>
      </c>
      <c r="AG775" s="84" t="str">
        <f>'Q100a-geral'!AG2456</f>
        <v>x</v>
      </c>
      <c r="AH775" s="84" t="str">
        <f>'Q100a-geral'!AH2456</f>
        <v>x</v>
      </c>
      <c r="AI775" s="84" t="str">
        <f>'Q100a-geral'!AI2456</f>
        <v>x</v>
      </c>
      <c r="AJ775" s="84">
        <f>'Q100a-geral'!AJ2456</f>
        <v>113</v>
      </c>
      <c r="AK775" s="137">
        <f>'Q100a-geral'!AK2456</f>
        <v>113</v>
      </c>
      <c r="AL775" s="213" t="str">
        <f>'Q100a-geral'!AL2456</f>
        <v>x</v>
      </c>
      <c r="AM775" s="137" t="str">
        <f>'Q100a-geral'!AM2456</f>
        <v>x</v>
      </c>
      <c r="AN775" s="137" t="str">
        <f>'Q100a-geral'!AN2456</f>
        <v>x</v>
      </c>
      <c r="AO775" s="137" t="str">
        <f>'Q100a-geral'!AO2456</f>
        <v>x</v>
      </c>
      <c r="AP775" s="137" t="str">
        <f>'Q100a-geral'!AP2456</f>
        <v>x</v>
      </c>
      <c r="AQ775" s="137" t="str">
        <f>'Q100a-geral'!AQ2456</f>
        <v>x</v>
      </c>
      <c r="AR775" s="137"/>
      <c r="AS775" s="137"/>
      <c r="AT775" s="137"/>
      <c r="AU775" s="137"/>
      <c r="AV775" s="137" t="str">
        <f>'Q100a-geral'!AV2456</f>
        <v>x</v>
      </c>
      <c r="AW775" s="137"/>
      <c r="AX775" s="137"/>
      <c r="AY775" s="137"/>
      <c r="AZ775" s="137"/>
      <c r="BA775" s="137" t="str">
        <f>'Q100a-geral'!BA2456</f>
        <v>x</v>
      </c>
      <c r="BB775" s="239" t="str">
        <f>'Q100a-geral'!BB2456</f>
        <v>Táxix</v>
      </c>
      <c r="BC775" s="239" t="str">
        <f>'Q100a-geral'!BC2456</f>
        <v>Táxixx</v>
      </c>
      <c r="BD775" s="239" t="str">
        <f>'Q100a-geral'!BD2456</f>
        <v>Táxix</v>
      </c>
      <c r="BE775" s="845" t="s">
        <v>2913</v>
      </c>
      <c r="BM775" s="193"/>
      <c r="BN775" s="193"/>
      <c r="BO775" s="193"/>
    </row>
    <row r="776" spans="1:67" s="1" customFormat="1" ht="63.75" customHeight="1" x14ac:dyDescent="0.25">
      <c r="A776" s="275" t="str">
        <f>'Q100a-geral'!A2471</f>
        <v>2.2</v>
      </c>
      <c r="B776" s="54" t="str">
        <f>'Q100a-geral'!B2471</f>
        <v>Frota e condutores de veículos automotores</v>
      </c>
      <c r="C776" s="229" t="str">
        <f>'Q100a-geral'!C2471</f>
        <v>-</v>
      </c>
      <c r="D776" s="51" t="str">
        <f>'Q100a-geral'!D2471</f>
        <v>TXF anual</v>
      </c>
      <c r="E776" s="102" t="str">
        <f>'Q100a-geral'!E2471</f>
        <v>Belo Horizonte</v>
      </c>
      <c r="F776" s="446" t="str">
        <f>'Q100a-geral'!F2471</f>
        <v>taxa de crescimento anual da frota</v>
      </c>
      <c r="G776" s="14" t="str">
        <f>'Q100a-geral'!G2471</f>
        <v>[F(ano x) - F(ano x-1)] / F(ano x-1)] x 100</v>
      </c>
      <c r="H776" s="168" t="str">
        <f>'Q100a-geral'!H2471</f>
        <v>x</v>
      </c>
      <c r="I776" s="167">
        <f>'Q100a-geral'!I2471</f>
        <v>1</v>
      </c>
      <c r="J776" s="11" t="str">
        <f>'Q100a-geral'!J2471</f>
        <v>x</v>
      </c>
      <c r="K776" s="13" t="str">
        <f>'Q100a-geral'!K2471</f>
        <v>x</v>
      </c>
      <c r="L776" s="47">
        <f>'Q100a-geral'!L2471</f>
        <v>2.1596273486103729E-2</v>
      </c>
      <c r="M776" s="47">
        <f>'Q100a-geral'!M2471</f>
        <v>3.8288991302964093E-2</v>
      </c>
      <c r="N776" s="47">
        <f>'Q100a-geral'!N2471</f>
        <v>5.4896990774853369E-2</v>
      </c>
      <c r="O776" s="47">
        <f>'Q100a-geral'!O2471</f>
        <v>5.9486955971047209E-2</v>
      </c>
      <c r="P776" s="47">
        <f>'Q100a-geral'!P2471</f>
        <v>5.2715225268147065E-2</v>
      </c>
      <c r="Q776" s="47">
        <f>'Q100a-geral'!Q2471</f>
        <v>2.198077475467438E-2</v>
      </c>
      <c r="R776" s="47">
        <f>'Q100a-geral'!R2471</f>
        <v>1.9529118011366794E-2</v>
      </c>
      <c r="S776" s="649" t="str">
        <f>'Q100a-geral'!S2471</f>
        <v>só para pesquisa</v>
      </c>
      <c r="T776" s="47">
        <f>'Q100a-geral'!T2471</f>
        <v>5.0196422875771946E-2</v>
      </c>
      <c r="U776" s="47">
        <f>'Q100a-geral'!U2471</f>
        <v>3.739162152963782E-2</v>
      </c>
      <c r="V776" s="107" t="str">
        <f>'Q100a-geral'!V2471</f>
        <v>só para pesquisa</v>
      </c>
      <c r="W776" s="47">
        <f>'Q100a-geral'!W2471</f>
        <v>5.6122531545752925E-2</v>
      </c>
      <c r="X776" s="47">
        <f>'Q100a-geral'!X2471</f>
        <v>4.6785303848162978E-2</v>
      </c>
      <c r="Y776" s="47">
        <f>'Q100a-geral'!Y2471</f>
        <v>5.2018667635446152E-2</v>
      </c>
      <c r="Z776" s="47">
        <f>'Q100a-geral'!Z2471</f>
        <v>3.9468674380274009E-2</v>
      </c>
      <c r="AA776" s="47">
        <f>'Q100a-geral'!AA2471</f>
        <v>5.0092911130230129E-2</v>
      </c>
      <c r="AB776" s="47">
        <f>'Q100a-geral'!AB2471</f>
        <v>7.9231258626264178E-2</v>
      </c>
      <c r="AC776" s="47">
        <f>'Q100a-geral'!AC2471</f>
        <v>9.5757806132803311E-2</v>
      </c>
      <c r="AD776" s="47">
        <f>'Q100a-geral'!AD2471</f>
        <v>8.5053382526593266E-2</v>
      </c>
      <c r="AE776" s="47">
        <f>'Q100a-geral'!AE2471</f>
        <v>0.10193279079239817</v>
      </c>
      <c r="AF776" s="47">
        <f>'Q100a-geral'!AF2471</f>
        <v>9.2003688146706286E-2</v>
      </c>
      <c r="AG776" s="47">
        <f>'Q100a-geral'!AG2471</f>
        <v>7.3165258285730589E-2</v>
      </c>
      <c r="AH776" s="47">
        <f>'Q100a-geral'!AH2471</f>
        <v>5.4179940064271799E-2</v>
      </c>
      <c r="AI776" s="47">
        <f>'Q100a-geral'!AI2471</f>
        <v>4.8622237259799583E-2</v>
      </c>
      <c r="AJ776" s="47">
        <f>'Q100a-geral'!AJ2471</f>
        <v>3.2638987742190588E-2</v>
      </c>
      <c r="AK776" s="137" t="str">
        <f>'Q100a-geral'!AK2471</f>
        <v>x</v>
      </c>
      <c r="AL776" s="173" t="str">
        <f>'Q100a-geral'!AL2471</f>
        <v>x</v>
      </c>
      <c r="AM776" s="137" t="str">
        <f>'Q100a-geral'!AM2471</f>
        <v>x</v>
      </c>
      <c r="AN776" s="137" t="str">
        <f>'Q100a-geral'!AN2471</f>
        <v>x</v>
      </c>
      <c r="AO776" s="137" t="str">
        <f>'Q100a-geral'!AO2471</f>
        <v>x</v>
      </c>
      <c r="AP776" s="137" t="str">
        <f>'Q100a-geral'!AP2471</f>
        <v>x</v>
      </c>
      <c r="AQ776" s="137" t="str">
        <f>'Q100a-geral'!AQ2471</f>
        <v>x</v>
      </c>
      <c r="AR776" s="137"/>
      <c r="AS776" s="137"/>
      <c r="AT776" s="137"/>
      <c r="AU776" s="137"/>
      <c r="AV776" s="137" t="str">
        <f>'Q100a-geral'!AV2471</f>
        <v>x</v>
      </c>
      <c r="AW776" s="137"/>
      <c r="AX776" s="137"/>
      <c r="AY776" s="137"/>
      <c r="AZ776" s="137"/>
      <c r="BA776" s="137" t="str">
        <f>'Q100a-geral'!BA2471</f>
        <v>x</v>
      </c>
      <c r="BB776" s="239" t="str">
        <f>'Q100a-geral'!BB2471</f>
        <v>Frota e condutores de veículos automotores-</v>
      </c>
      <c r="BC776" s="239" t="str">
        <f>'Q100a-geral'!BC2471</f>
        <v>Frota e condutores de veículos automotores-x</v>
      </c>
      <c r="BD776" s="239" t="str">
        <f>'Q100a-geral'!BD2471</f>
        <v>Frota e condutores de veículos automotoresx</v>
      </c>
      <c r="BM776" s="193"/>
      <c r="BN776" s="193"/>
      <c r="BO776" s="193"/>
    </row>
    <row r="777" spans="1:67" s="1" customFormat="1" ht="63.75" customHeight="1" x14ac:dyDescent="0.25">
      <c r="A777" s="275" t="str">
        <f>'Q100a-geral'!A2472</f>
        <v>2.2</v>
      </c>
      <c r="B777" s="54" t="str">
        <f>'Q100a-geral'!B2472</f>
        <v>Frota e condutores de veículos automotores</v>
      </c>
      <c r="C777" s="229" t="str">
        <f>'Q100a-geral'!C2472</f>
        <v>-</v>
      </c>
      <c r="D777" s="51" t="str">
        <f>'Q100a-geral'!D2472</f>
        <v>TXFacc anual</v>
      </c>
      <c r="E777" s="102" t="str">
        <f>'Q100a-geral'!E2472</f>
        <v>Belo Horizonte</v>
      </c>
      <c r="F777" s="446" t="str">
        <f>'Q100a-geral'!F2472</f>
        <v>taxa de crescimento anual da frota</v>
      </c>
      <c r="G777" s="14" t="str">
        <f>'Q100a-geral'!G2472</f>
        <v>[F(ano x) - F(ano x-1)] / F(ano x-1)] x 100</v>
      </c>
      <c r="H777" s="168" t="str">
        <f>'Q100a-geral'!H2472</f>
        <v>x</v>
      </c>
      <c r="I777" s="167">
        <f>'Q100a-geral'!I2472</f>
        <v>1</v>
      </c>
      <c r="J777" s="11" t="str">
        <f>'Q100a-geral'!J2472</f>
        <v>x</v>
      </c>
      <c r="K777" s="13" t="str">
        <f>'Q100a-geral'!K2472</f>
        <v>x</v>
      </c>
      <c r="L777" s="23" t="str">
        <f>'Q100a-geral'!L2472</f>
        <v>x</v>
      </c>
      <c r="M777" s="23" t="str">
        <f>'Q100a-geral'!M2472</f>
        <v>x</v>
      </c>
      <c r="N777" s="23" t="str">
        <f>'Q100a-geral'!N2472</f>
        <v>x</v>
      </c>
      <c r="O777" s="23" t="str">
        <f>'Q100a-geral'!O2472</f>
        <v>x</v>
      </c>
      <c r="P777" s="23" t="str">
        <f>'Q100a-geral'!P2472</f>
        <v>x</v>
      </c>
      <c r="Q777" s="23" t="str">
        <f>'Q100a-geral'!Q2472</f>
        <v>x</v>
      </c>
      <c r="R777" s="23" t="str">
        <f>'Q100a-geral'!R2472</f>
        <v>x</v>
      </c>
      <c r="S777" s="649" t="str">
        <f>'Q100a-geral'!S2472</f>
        <v>só para pesquisa</v>
      </c>
      <c r="T777" s="23" t="str">
        <f>'Q100a-geral'!T2472</f>
        <v>x</v>
      </c>
      <c r="U777" s="47">
        <f>'Q100a-geral'!U2472</f>
        <v>4.0836111786843723E-2</v>
      </c>
      <c r="V777" s="107" t="str">
        <f>'Q100a-geral'!V2472</f>
        <v>só para pesquisa</v>
      </c>
      <c r="W777" s="47">
        <f>'Q100a-geral'!W2472</f>
        <v>4.9809759165758714E-2</v>
      </c>
      <c r="X777" s="47">
        <f>'Q100a-geral'!X2472</f>
        <v>3.7991219195976936E-2</v>
      </c>
      <c r="Y777" s="47">
        <f>'Q100a-geral'!Y2472</f>
        <v>4.946016786366518E-2</v>
      </c>
      <c r="Z777" s="47">
        <f>'Q100a-geral'!Z2472</f>
        <v>3.5870571404527478E-2</v>
      </c>
      <c r="AA777" s="47">
        <f>'Q100a-geral'!AA2472</f>
        <v>4.6628696769850778E-2</v>
      </c>
      <c r="AB777" s="47">
        <f>'Q100a-geral'!AB2472</f>
        <v>7.1096110664485901E-2</v>
      </c>
      <c r="AC777" s="47">
        <f>'Q100a-geral'!AC2472</f>
        <v>8.4064377621309791E-2</v>
      </c>
      <c r="AD777" s="47">
        <f>'Q100a-geral'!AD2472</f>
        <v>7.578839556220858E-2</v>
      </c>
      <c r="AE777" s="47">
        <f>'Q100a-geral'!AE2472</f>
        <v>9.8310813434930866E-2</v>
      </c>
      <c r="AF777" s="47">
        <f>'Q100a-geral'!AF2472</f>
        <v>9.1898270460425882E-2</v>
      </c>
      <c r="AG777" s="47">
        <f>'Q100a-geral'!AG2472</f>
        <v>6.9818331880654574E-2</v>
      </c>
      <c r="AH777" s="47">
        <f>'Q100a-geral'!AH2472</f>
        <v>5.462286988883594E-2</v>
      </c>
      <c r="AI777" s="47">
        <f>'Q100a-geral'!AI2472</f>
        <v>4.868723731419785E-2</v>
      </c>
      <c r="AJ777" s="47">
        <f>'Q100a-geral'!AJ2472</f>
        <v>3.2429503035402735E-2</v>
      </c>
      <c r="AK777" s="137" t="str">
        <f>'Q100a-geral'!AK2472</f>
        <v>x</v>
      </c>
      <c r="AL777" s="173" t="str">
        <f>'Q100a-geral'!AL2472</f>
        <v>x</v>
      </c>
      <c r="AM777" s="137" t="str">
        <f>'Q100a-geral'!AM2472</f>
        <v>x</v>
      </c>
      <c r="AN777" s="137" t="str">
        <f>'Q100a-geral'!AN2472</f>
        <v>x</v>
      </c>
      <c r="AO777" s="137" t="str">
        <f>'Q100a-geral'!AO2472</f>
        <v>x</v>
      </c>
      <c r="AP777" s="137" t="str">
        <f>'Q100a-geral'!AP2472</f>
        <v>x</v>
      </c>
      <c r="AQ777" s="137" t="str">
        <f>'Q100a-geral'!AQ2472</f>
        <v>x</v>
      </c>
      <c r="AR777" s="137"/>
      <c r="AS777" s="137"/>
      <c r="AT777" s="137"/>
      <c r="AU777" s="137"/>
      <c r="AV777" s="137" t="str">
        <f>'Q100a-geral'!AV2472</f>
        <v>x</v>
      </c>
      <c r="AW777" s="137"/>
      <c r="AX777" s="137"/>
      <c r="AY777" s="137"/>
      <c r="AZ777" s="137"/>
      <c r="BA777" s="137" t="str">
        <f>'Q100a-geral'!BA2472</f>
        <v>x</v>
      </c>
      <c r="BB777" s="239" t="str">
        <f>'Q100a-geral'!BB2472</f>
        <v>Frota e condutores de veículos automotores-</v>
      </c>
      <c r="BC777" s="239" t="str">
        <f>'Q100a-geral'!BC2472</f>
        <v>Frota e condutores de veículos automotores-x</v>
      </c>
      <c r="BD777" s="239" t="str">
        <f>'Q100a-geral'!BD2472</f>
        <v>Frota e condutores de veículos automotoresx</v>
      </c>
      <c r="BM777" s="193"/>
      <c r="BN777" s="193"/>
      <c r="BO777" s="193"/>
    </row>
    <row r="778" spans="1:67" s="1" customFormat="1" ht="63.75" customHeight="1" x14ac:dyDescent="0.25">
      <c r="A778" s="275" t="str">
        <f>'Q100a-geral'!A2473</f>
        <v>2.2</v>
      </c>
      <c r="B778" s="54" t="str">
        <f>'Q100a-geral'!B2473</f>
        <v>Frota e condutores de veículos automotores</v>
      </c>
      <c r="C778" s="229" t="str">
        <f>'Q100a-geral'!C2473</f>
        <v>-</v>
      </c>
      <c r="D778" s="51" t="str">
        <f>'Q100a-geral'!D2473</f>
        <v>TXFmmc anual</v>
      </c>
      <c r="E778" s="102" t="str">
        <f>'Q100a-geral'!E2473</f>
        <v>Belo Horizonte</v>
      </c>
      <c r="F778" s="446" t="str">
        <f>'Q100a-geral'!F2473</f>
        <v>taxa de crescimento anual da frota</v>
      </c>
      <c r="G778" s="14" t="str">
        <f>'Q100a-geral'!G2473</f>
        <v>[F(ano x) - F(ano x-1)] / F(ano x-1)] x 100</v>
      </c>
      <c r="H778" s="168" t="str">
        <f>'Q100a-geral'!H2473</f>
        <v>x</v>
      </c>
      <c r="I778" s="167">
        <f>'Q100a-geral'!I2473</f>
        <v>1</v>
      </c>
      <c r="J778" s="11" t="str">
        <f>'Q100a-geral'!J2473</f>
        <v>x</v>
      </c>
      <c r="K778" s="13" t="str">
        <f>'Q100a-geral'!K2473</f>
        <v>x</v>
      </c>
      <c r="L778" s="23" t="str">
        <f>'Q100a-geral'!L2473</f>
        <v>x</v>
      </c>
      <c r="M778" s="23" t="str">
        <f>'Q100a-geral'!M2473</f>
        <v>x</v>
      </c>
      <c r="N778" s="23" t="str">
        <f>'Q100a-geral'!N2473</f>
        <v>x</v>
      </c>
      <c r="O778" s="23" t="str">
        <f>'Q100a-geral'!O2473</f>
        <v>x</v>
      </c>
      <c r="P778" s="23" t="str">
        <f>'Q100a-geral'!P2473</f>
        <v>x</v>
      </c>
      <c r="Q778" s="23" t="str">
        <f>'Q100a-geral'!Q2473</f>
        <v>x</v>
      </c>
      <c r="R778" s="23" t="str">
        <f>'Q100a-geral'!R2473</f>
        <v>x</v>
      </c>
      <c r="S778" s="649" t="str">
        <f>'Q100a-geral'!S2473</f>
        <v>só para pesquisa</v>
      </c>
      <c r="T778" s="23" t="str">
        <f>'Q100a-geral'!T2473</f>
        <v>x</v>
      </c>
      <c r="U778" s="47">
        <f>'Q100a-geral'!U2473</f>
        <v>8.4711206703409953E-2</v>
      </c>
      <c r="V778" s="107" t="str">
        <f>'Q100a-geral'!V2473</f>
        <v>só para pesquisa</v>
      </c>
      <c r="W778" s="47">
        <f>'Q100a-geral'!W2473</f>
        <v>0.12960859237839512</v>
      </c>
      <c r="X778" s="47">
        <f>'Q100a-geral'!X2473</f>
        <v>0.14938745657341379</v>
      </c>
      <c r="Y778" s="47">
        <f>'Q100a-geral'!Y2473</f>
        <v>0.10999045497931913</v>
      </c>
      <c r="Z778" s="47">
        <f>'Q100a-geral'!Z2473</f>
        <v>0.15885573422764926</v>
      </c>
      <c r="AA778" s="47">
        <f>'Q100a-geral'!AA2473</f>
        <v>0.10151129139973782</v>
      </c>
      <c r="AB778" s="47">
        <f>'Q100a-geral'!AB2473</f>
        <v>0.15176386050793794</v>
      </c>
      <c r="AC778" s="47">
        <f>'Q100a-geral'!AC2473</f>
        <v>0.19652379049160193</v>
      </c>
      <c r="AD778" s="47">
        <f>'Q100a-geral'!AD2473</f>
        <v>0.15852635180824975</v>
      </c>
      <c r="AE778" s="47">
        <f>'Q100a-geral'!AE2473</f>
        <v>0.12899346699390299</v>
      </c>
      <c r="AF778" s="47">
        <f>'Q100a-geral'!AF2473</f>
        <v>9.5905172413793108E-2</v>
      </c>
      <c r="AG778" s="47">
        <f>'Q100a-geral'!AG2473</f>
        <v>8.6801825611994926E-2</v>
      </c>
      <c r="AH778" s="47">
        <f>'Q100a-geral'!AH2473</f>
        <v>5.3354112952571218E-2</v>
      </c>
      <c r="AI778" s="47">
        <f>'Q100a-geral'!AI2473</f>
        <v>4.4271777176476429E-2</v>
      </c>
      <c r="AJ778" s="47">
        <f>'Q100a-geral'!AJ2473</f>
        <v>3.2363121160831447E-2</v>
      </c>
      <c r="AK778" s="137" t="str">
        <f>'Q100a-geral'!AK2473</f>
        <v>x</v>
      </c>
      <c r="AL778" s="173" t="str">
        <f>'Q100a-geral'!AL2473</f>
        <v>x</v>
      </c>
      <c r="AM778" s="137" t="str">
        <f>'Q100a-geral'!AM2473</f>
        <v>x</v>
      </c>
      <c r="AN778" s="137" t="str">
        <f>'Q100a-geral'!AN2473</f>
        <v>x</v>
      </c>
      <c r="AO778" s="137" t="str">
        <f>'Q100a-geral'!AO2473</f>
        <v>x</v>
      </c>
      <c r="AP778" s="137" t="str">
        <f>'Q100a-geral'!AP2473</f>
        <v>x</v>
      </c>
      <c r="AQ778" s="137" t="str">
        <f>'Q100a-geral'!AQ2473</f>
        <v>x</v>
      </c>
      <c r="AR778" s="137"/>
      <c r="AS778" s="137"/>
      <c r="AT778" s="137"/>
      <c r="AU778" s="137"/>
      <c r="AV778" s="137" t="str">
        <f>'Q100a-geral'!AV2473</f>
        <v>x</v>
      </c>
      <c r="AW778" s="137"/>
      <c r="AX778" s="137"/>
      <c r="AY778" s="137"/>
      <c r="AZ778" s="137"/>
      <c r="BA778" s="137" t="str">
        <f>'Q100a-geral'!BA2473</f>
        <v>x</v>
      </c>
      <c r="BB778" s="239" t="str">
        <f>'Q100a-geral'!BB2473</f>
        <v>Frota e condutores de veículos automotores-</v>
      </c>
      <c r="BC778" s="239" t="str">
        <f>'Q100a-geral'!BC2473</f>
        <v>Frota e condutores de veículos automotores-x</v>
      </c>
      <c r="BD778" s="239" t="str">
        <f>'Q100a-geral'!BD2473</f>
        <v>Frota e condutores de veículos automotoresx</v>
      </c>
      <c r="BM778" s="193"/>
      <c r="BN778" s="193"/>
      <c r="BO778" s="193"/>
    </row>
    <row r="779" spans="1:67" s="1" customFormat="1" ht="38.25" customHeight="1" x14ac:dyDescent="0.25">
      <c r="A779" s="275" t="str">
        <f>'Q100a-geral'!A2474</f>
        <v>2.4</v>
      </c>
      <c r="B779" s="54" t="str">
        <f>'Q100a-geral'!B2474</f>
        <v>População</v>
      </c>
      <c r="C779" s="229" t="str">
        <f>'Q100a-geral'!C2474</f>
        <v>-</v>
      </c>
      <c r="D779" s="51" t="str">
        <f>'Q100a-geral'!D2474</f>
        <v>TXP anual</v>
      </c>
      <c r="E779" s="102" t="str">
        <f>'Q100a-geral'!E2474</f>
        <v>Belo Horizonte</v>
      </c>
      <c r="F779" s="446" t="str">
        <f>'Q100a-geral'!F2474</f>
        <v>taxa de crescimento anual da população de Belo Horizonte</v>
      </c>
      <c r="G779" s="14" t="str">
        <f>'Q100a-geral'!G2474</f>
        <v>a) anual = [[P(ano x) - P(ano x-1)] / P(ano x-1)] x 100</v>
      </c>
      <c r="H779" s="168" t="str">
        <f>'Q100a-geral'!H2474</f>
        <v>x</v>
      </c>
      <c r="I779" s="167">
        <f>'Q100a-geral'!I2474</f>
        <v>1</v>
      </c>
      <c r="J779" s="93" t="str">
        <f>'Q100a-geral'!J2474</f>
        <v>x</v>
      </c>
      <c r="K779" s="93" t="str">
        <f>'Q100a-geral'!K2474</f>
        <v>x</v>
      </c>
      <c r="L779" s="47">
        <f>'Q100a-geral'!L2474</f>
        <v>4.0001762235782196E-3</v>
      </c>
      <c r="M779" s="47">
        <f>'Q100a-geral'!M2474</f>
        <v>4.0000157772100177E-3</v>
      </c>
      <c r="N779" s="47">
        <f>'Q100a-geral'!N2474</f>
        <v>3.9997937491252755E-3</v>
      </c>
      <c r="O779" s="47">
        <f>'Q100a-geral'!O2474</f>
        <v>4.0000000000000001E-3</v>
      </c>
      <c r="P779" s="47">
        <f>'Q100a-geral'!P2474</f>
        <v>1.8887521569383996E-2</v>
      </c>
      <c r="Q779" s="47">
        <f>'Q100a-geral'!Q2474</f>
        <v>4.0000994526280358E-3</v>
      </c>
      <c r="R779" s="47">
        <f>'Q100a-geral'!R2474</f>
        <v>3.9998780844398597E-3</v>
      </c>
      <c r="S779" s="107" t="str">
        <f>'Q100a-geral'!S2474</f>
        <v>só para pesquisa</v>
      </c>
      <c r="T779" s="47">
        <f>'Q100a-geral'!T2474</f>
        <v>4.0000702016352238E-3</v>
      </c>
      <c r="U779" s="47">
        <f>'Q100a-geral'!U2474</f>
        <v>5.7581664576882484E-2</v>
      </c>
      <c r="V779" s="107" t="str">
        <f>'Q100a-geral'!V2474</f>
        <v>só para pesquisa</v>
      </c>
      <c r="W779" s="47">
        <f>'Q100a-geral'!W2474</f>
        <v>8.9795695917760168E-3</v>
      </c>
      <c r="X779" s="47">
        <f>'Q100a-geral'!X2474</f>
        <v>1.1441021470123221E-2</v>
      </c>
      <c r="Y779" s="47">
        <f>'Q100a-geral'!Y2474</f>
        <v>9.3430943221791685E-3</v>
      </c>
      <c r="Z779" s="47">
        <f>'Q100a-geral'!Z2474</f>
        <v>1.9408347254676443E-2</v>
      </c>
      <c r="AA779" s="47">
        <f>'Q100a-geral'!AA2474</f>
        <v>1.0535769287711374E-2</v>
      </c>
      <c r="AB779" s="47">
        <f>'Q100a-geral'!AB2474</f>
        <v>1.0352671145765492E-2</v>
      </c>
      <c r="AC779" s="47">
        <f>'Q100a-geral'!AC2474</f>
        <v>5.4239307976932565E-3</v>
      </c>
      <c r="AD779" s="47">
        <f>'Q100a-geral'!AD2474</f>
        <v>8.9952617909211888E-3</v>
      </c>
      <c r="AE779" s="47">
        <f>'Q100a-geral'!AE2474</f>
        <v>7.3830156548683546E-3</v>
      </c>
      <c r="AF779" s="47">
        <f>'Q100a-geral'!AF2474</f>
        <v>-3.1585037533377609E-2</v>
      </c>
      <c r="AG779" s="47">
        <f>'Q100a-geral'!AG2474</f>
        <v>4.4161402790812033E-3</v>
      </c>
      <c r="AH779" s="47">
        <f>'Q100a-geral'!AH2474</f>
        <v>4.2525276236146277E-3</v>
      </c>
      <c r="AI779" s="47">
        <f>'Q100a-geral'!AI2474</f>
        <v>3.4802789064962009E-2</v>
      </c>
      <c r="AJ779" s="47">
        <f>'Q100a-geral'!AJ2474</f>
        <v>4.8177511379839579E-3</v>
      </c>
      <c r="AK779" s="137" t="str">
        <f>'Q100a-geral'!AK2474</f>
        <v>x</v>
      </c>
      <c r="AL779" s="213" t="str">
        <f>'Q100a-geral'!AL2474</f>
        <v>x</v>
      </c>
      <c r="AM779" s="137" t="str">
        <f>'Q100a-geral'!AM2474</f>
        <v>x</v>
      </c>
      <c r="AN779" s="137" t="str">
        <f>'Q100a-geral'!AN2474</f>
        <v>x</v>
      </c>
      <c r="AO779" s="137" t="str">
        <f>'Q100a-geral'!AO2474</f>
        <v>x</v>
      </c>
      <c r="AP779" s="137" t="str">
        <f>'Q100a-geral'!AP2474</f>
        <v>x</v>
      </c>
      <c r="AQ779" s="137" t="str">
        <f>'Q100a-geral'!AQ2474</f>
        <v>x</v>
      </c>
      <c r="AR779" s="137"/>
      <c r="AS779" s="137"/>
      <c r="AT779" s="137"/>
      <c r="AU779" s="137"/>
      <c r="AV779" s="137" t="str">
        <f>'Q100a-geral'!AV2474</f>
        <v>x</v>
      </c>
      <c r="AW779" s="137"/>
      <c r="AX779" s="137"/>
      <c r="AY779" s="137"/>
      <c r="AZ779" s="137"/>
      <c r="BA779" s="137" t="str">
        <f>'Q100a-geral'!BA2474</f>
        <v>x</v>
      </c>
      <c r="BB779" s="239" t="str">
        <f>'Q100a-geral'!BB2474</f>
        <v>População-</v>
      </c>
      <c r="BC779" s="239" t="str">
        <f>'Q100a-geral'!BC2474</f>
        <v>População-x</v>
      </c>
      <c r="BD779" s="239" t="str">
        <f>'Q100a-geral'!BD2474</f>
        <v>Populaçãox</v>
      </c>
      <c r="BM779" s="193"/>
      <c r="BN779" s="193"/>
      <c r="BO779" s="193"/>
    </row>
    <row r="780" spans="1:67" s="1" customFormat="1" ht="76.5" customHeight="1" x14ac:dyDescent="0.25">
      <c r="A780" s="275" t="str">
        <f>'Q100a-geral'!A2475</f>
        <v>2.4</v>
      </c>
      <c r="B780" s="54" t="str">
        <f>'Q100a-geral'!B2475</f>
        <v>População</v>
      </c>
      <c r="C780" s="229" t="str">
        <f>'Q100a-geral'!C2475</f>
        <v>-</v>
      </c>
      <c r="D780" s="51" t="str">
        <f>'Q100a-geral'!D2475</f>
        <v>TXP entre censos</v>
      </c>
      <c r="E780" s="102" t="str">
        <f>'Q100a-geral'!E2475</f>
        <v>Belo Horizonte</v>
      </c>
      <c r="F780" s="446" t="str">
        <f>'Q100a-geral'!F2475</f>
        <v>taxa de crescimento da população de Belo Horizonte entre censos</v>
      </c>
      <c r="G780" s="14" t="str">
        <f>'Q100a-geral'!G2475</f>
        <v>a) entre 1991 a 2000 = [[P(ano x) - P(ano x-9)] / P(ano x-1)] x 100
b) entre 2000 e 2010 = [[P(ano x) - P(ano x-10)] / P(ano x-1)] x 100</v>
      </c>
      <c r="H780" s="168" t="str">
        <f>'Q100a-geral'!H2475</f>
        <v>x</v>
      </c>
      <c r="I780" s="167">
        <f>'Q100a-geral'!I2475</f>
        <v>1</v>
      </c>
      <c r="J780" s="58" t="str">
        <f>'Q100a-geral'!J2475</f>
        <v>x</v>
      </c>
      <c r="K780" s="107" t="str">
        <f>'Q100a-geral'!K2475</f>
        <v>x</v>
      </c>
      <c r="L780" s="107" t="str">
        <f>'Q100a-geral'!L2475</f>
        <v>x</v>
      </c>
      <c r="M780" s="107" t="str">
        <f>'Q100a-geral'!M2475</f>
        <v>x</v>
      </c>
      <c r="N780" s="107" t="str">
        <f>'Q100a-geral'!N2475</f>
        <v>x</v>
      </c>
      <c r="O780" s="107" t="str">
        <f>'Q100a-geral'!O2475</f>
        <v>x</v>
      </c>
      <c r="P780" s="107" t="str">
        <f>'Q100a-geral'!P2475</f>
        <v>x</v>
      </c>
      <c r="Q780" s="107" t="str">
        <f>'Q100a-geral'!Q2475</f>
        <v>x</v>
      </c>
      <c r="R780" s="107" t="str">
        <f>'Q100a-geral'!R2475</f>
        <v>x</v>
      </c>
      <c r="S780" s="107" t="str">
        <f>'Q100a-geral'!S2475</f>
        <v>só para pesquisa</v>
      </c>
      <c r="T780" s="107" t="str">
        <f>'Q100a-geral'!T2475</f>
        <v>x</v>
      </c>
      <c r="U780" s="47">
        <f>'Q100a-geral'!U2475</f>
        <v>0.1080928698257218</v>
      </c>
      <c r="V780" s="107" t="str">
        <f>'Q100a-geral'!V2475</f>
        <v>só para pesquisa</v>
      </c>
      <c r="W780" s="107" t="str">
        <f>'Q100a-geral'!W2475</f>
        <v>x</v>
      </c>
      <c r="X780" s="107" t="str">
        <f>'Q100a-geral'!X2475</f>
        <v>x</v>
      </c>
      <c r="Y780" s="107" t="str">
        <f>'Q100a-geral'!Y2475</f>
        <v>x</v>
      </c>
      <c r="Z780" s="107" t="str">
        <f>'Q100a-geral'!Z2475</f>
        <v>x</v>
      </c>
      <c r="AA780" s="107" t="str">
        <f>'Q100a-geral'!AA2475</f>
        <v>x</v>
      </c>
      <c r="AB780" s="107" t="str">
        <f>'Q100a-geral'!AB2475</f>
        <v>x</v>
      </c>
      <c r="AC780" s="107" t="str">
        <f>'Q100a-geral'!AC2475</f>
        <v>x</v>
      </c>
      <c r="AD780" s="107" t="str">
        <f>'Q100a-geral'!AD2475</f>
        <v>x</v>
      </c>
      <c r="AE780" s="107" t="str">
        <f>'Q100a-geral'!AE2475</f>
        <v>x</v>
      </c>
      <c r="AF780" s="47">
        <f>'Q100a-geral'!AF2475</f>
        <v>6.1033465771672964E-2</v>
      </c>
      <c r="AG780" s="107" t="str">
        <f>'Q100a-geral'!AG2475</f>
        <v>x</v>
      </c>
      <c r="AH780" s="107" t="str">
        <f>'Q100a-geral'!AH2475</f>
        <v>x</v>
      </c>
      <c r="AI780" s="107" t="str">
        <f>'Q100a-geral'!AI2475</f>
        <v>x</v>
      </c>
      <c r="AJ780" s="107" t="str">
        <f>'Q100a-geral'!AJ2475</f>
        <v>x</v>
      </c>
      <c r="AK780" s="137" t="str">
        <f>'Q100a-geral'!AK2475</f>
        <v>x</v>
      </c>
      <c r="AL780" s="173" t="str">
        <f>'Q100a-geral'!AL2475</f>
        <v>x</v>
      </c>
      <c r="AM780" s="137" t="str">
        <f>'Q100a-geral'!AM2475</f>
        <v>x</v>
      </c>
      <c r="AN780" s="137" t="str">
        <f>'Q100a-geral'!AN2475</f>
        <v>x</v>
      </c>
      <c r="AO780" s="137" t="str">
        <f>'Q100a-geral'!AO2475</f>
        <v>x</v>
      </c>
      <c r="AP780" s="137" t="str">
        <f>'Q100a-geral'!AP2475</f>
        <v>x</v>
      </c>
      <c r="AQ780" s="137" t="str">
        <f>'Q100a-geral'!AQ2475</f>
        <v>x</v>
      </c>
      <c r="AR780" s="137"/>
      <c r="AS780" s="137"/>
      <c r="AT780" s="137"/>
      <c r="AU780" s="137"/>
      <c r="AV780" s="137" t="str">
        <f>'Q100a-geral'!AV2475</f>
        <v>x</v>
      </c>
      <c r="AW780" s="137"/>
      <c r="AX780" s="137"/>
      <c r="AY780" s="137"/>
      <c r="AZ780" s="137"/>
      <c r="BA780" s="137" t="str">
        <f>'Q100a-geral'!BA2475</f>
        <v>x</v>
      </c>
      <c r="BB780" s="239" t="str">
        <f>'Q100a-geral'!BB2475</f>
        <v>População-</v>
      </c>
      <c r="BC780" s="239" t="str">
        <f>'Q100a-geral'!BC2475</f>
        <v>População-x</v>
      </c>
      <c r="BD780" s="239" t="str">
        <f>'Q100a-geral'!BD2475</f>
        <v>Populaçãox</v>
      </c>
      <c r="BM780" s="193"/>
      <c r="BN780" s="193"/>
      <c r="BO780" s="193"/>
    </row>
    <row r="781" spans="1:67" s="1" customFormat="1" ht="165.75" customHeight="1" x14ac:dyDescent="0.25">
      <c r="A781" s="275" t="str">
        <f>'Q100a-geral'!A2457</f>
        <v>8.4</v>
      </c>
      <c r="B781" s="54" t="str">
        <f>'Q100a-geral'!B2457</f>
        <v>Táxi</v>
      </c>
      <c r="C781" s="229" t="str">
        <f>'Q100a-geral'!C2457</f>
        <v>x</v>
      </c>
      <c r="D781" s="287" t="str">
        <f>'Q100a-geral'!D2457</f>
        <v>TX pi</v>
      </c>
      <c r="E781" s="926" t="str">
        <f>'Q100a-geral'!E2457</f>
        <v>RMBH</v>
      </c>
      <c r="F781" s="488" t="str">
        <f>'Q100a-geral'!F2457</f>
        <v>frota de táxi da praça integrada de Belo Horizonte, ou seja, n.º total de veículos que possuem placa das cidades pertencentes à praça integrada de táxi 
obs.: região definida pelo território de municípios conveniados na qual a frota de táxi pode operar seguindo-se as regras estabelecidas em convênios bilaterais: Belo Horizonte possui convênio com Contagem, Ibirité, Ribeirão das Neves e Sabará, destacando-se que Belo Horizonte, por meio da BHTrans, é responsável pela gestão das permissões de Belo Horizonte, Ibirité e Ribeirão das Neves (fonte: BHTRANS. Portal interno da Gerência de Controle de Permissões - Gecop/DTP (antiga Gecop/DAI). Indicadores mensais - Táxi - Informações gerais)</v>
      </c>
      <c r="G781" s="11" t="str">
        <f>'Q100a-geral'!G2457</f>
        <v>∑TX (Belo Horizonte + Contagem + Ibirité + Ribeirão das Neves + Sabará)</v>
      </c>
      <c r="H781" s="173" t="str">
        <f>'Q100a-geral'!H2457</f>
        <v>x</v>
      </c>
      <c r="I781" s="157">
        <f>'Q100a-geral'!I2457</f>
        <v>1</v>
      </c>
      <c r="J781" s="58" t="str">
        <f>'Q100a-geral'!J2457</f>
        <v>x</v>
      </c>
      <c r="K781" s="23" t="str">
        <f>'Q100a-geral'!K2457</f>
        <v>x</v>
      </c>
      <c r="L781" s="23" t="str">
        <f>'Q100a-geral'!L2457</f>
        <v>x</v>
      </c>
      <c r="M781" s="23" t="str">
        <f>'Q100a-geral'!M2457</f>
        <v>x</v>
      </c>
      <c r="N781" s="23" t="str">
        <f>'Q100a-geral'!N2457</f>
        <v>x</v>
      </c>
      <c r="O781" s="23" t="str">
        <f>'Q100a-geral'!O2457</f>
        <v>x</v>
      </c>
      <c r="P781" s="23" t="str">
        <f>'Q100a-geral'!P2457</f>
        <v>x</v>
      </c>
      <c r="Q781" s="23" t="str">
        <f>'Q100a-geral'!Q2457</f>
        <v>x</v>
      </c>
      <c r="R781" s="23" t="str">
        <f>'Q100a-geral'!R2457</f>
        <v>x</v>
      </c>
      <c r="S781" s="649" t="str">
        <f>'Q100a-geral'!S2457</f>
        <v>só para pesquisa</v>
      </c>
      <c r="T781" s="23" t="str">
        <f>'Q100a-geral'!T2457</f>
        <v>x</v>
      </c>
      <c r="U781" s="23" t="str">
        <f>'Q100a-geral'!U2457</f>
        <v>x</v>
      </c>
      <c r="V781" s="107" t="str">
        <f>'Q100a-geral'!V2457</f>
        <v>só para pesquisa</v>
      </c>
      <c r="W781" s="23" t="str">
        <f>'Q100a-geral'!W2457</f>
        <v>x</v>
      </c>
      <c r="X781" s="23" t="str">
        <f>'Q100a-geral'!X2457</f>
        <v>x</v>
      </c>
      <c r="Y781" s="23" t="str">
        <f>'Q100a-geral'!Y2457</f>
        <v>x</v>
      </c>
      <c r="Z781" s="23" t="str">
        <f>'Q100a-geral'!Z2457</f>
        <v>x</v>
      </c>
      <c r="AA781" s="23" t="str">
        <f>'Q100a-geral'!AA2457</f>
        <v>x</v>
      </c>
      <c r="AB781" s="23" t="str">
        <f>'Q100a-geral'!AB2457</f>
        <v>x</v>
      </c>
      <c r="AC781" s="23" t="str">
        <f>'Q100a-geral'!AC2457</f>
        <v>x</v>
      </c>
      <c r="AD781" s="23" t="str">
        <f>'Q100a-geral'!AD2457</f>
        <v>x</v>
      </c>
      <c r="AE781" s="23" t="str">
        <f>'Q100a-geral'!AE2457</f>
        <v>x</v>
      </c>
      <c r="AF781" s="23" t="str">
        <f>'Q100a-geral'!AF2457</f>
        <v>x</v>
      </c>
      <c r="AG781" s="23" t="str">
        <f>'Q100a-geral'!AG2457</f>
        <v>x</v>
      </c>
      <c r="AH781" s="23" t="str">
        <f>'Q100a-geral'!AH2457</f>
        <v>x</v>
      </c>
      <c r="AI781" s="23" t="str">
        <f>'Q100a-geral'!AI2457</f>
        <v>x</v>
      </c>
      <c r="AJ781" s="20">
        <f>'Q100a-geral'!AJ2457</f>
        <v>7023</v>
      </c>
      <c r="AK781" s="137">
        <f>'Q100a-geral'!AK2457</f>
        <v>7325</v>
      </c>
      <c r="AL781" s="213" t="str">
        <f>'Q100a-geral'!AL2457</f>
        <v>x</v>
      </c>
      <c r="AM781" s="137" t="str">
        <f>'Q100a-geral'!AM2457</f>
        <v>x</v>
      </c>
      <c r="AN781" s="137" t="str">
        <f>'Q100a-geral'!AN2457</f>
        <v>x</v>
      </c>
      <c r="AO781" s="137" t="str">
        <f>'Q100a-geral'!AO2457</f>
        <v>x</v>
      </c>
      <c r="AP781" s="137" t="str">
        <f>'Q100a-geral'!AP2457</f>
        <v>x</v>
      </c>
      <c r="AQ781" s="137" t="str">
        <f>'Q100a-geral'!AQ2457</f>
        <v>x</v>
      </c>
      <c r="AR781" s="137"/>
      <c r="AS781" s="137"/>
      <c r="AT781" s="137"/>
      <c r="AU781" s="137"/>
      <c r="AV781" s="137" t="str">
        <f>'Q100a-geral'!AV2457</f>
        <v>x</v>
      </c>
      <c r="AW781" s="137"/>
      <c r="AX781" s="137"/>
      <c r="AY781" s="137"/>
      <c r="AZ781" s="137"/>
      <c r="BA781" s="137" t="str">
        <f>'Q100a-geral'!BA2457</f>
        <v>x</v>
      </c>
      <c r="BB781" s="239" t="str">
        <f>'Q100a-geral'!BB2457</f>
        <v>Táxix</v>
      </c>
      <c r="BC781" s="239" t="str">
        <f>'Q100a-geral'!BC2457</f>
        <v>Táxixx</v>
      </c>
      <c r="BD781" s="239" t="str">
        <f>'Q100a-geral'!BD2457</f>
        <v>Táxix</v>
      </c>
      <c r="BE781" s="845" t="s">
        <v>2134</v>
      </c>
      <c r="BM781" s="193"/>
      <c r="BN781" s="193"/>
      <c r="BO781" s="193"/>
    </row>
    <row r="782" spans="1:67" s="1" customFormat="1" ht="25.5" x14ac:dyDescent="0.25">
      <c r="A782" s="262" t="str">
        <f>'Q100a-geral'!A2478</f>
        <v>x</v>
      </c>
      <c r="B782" s="252" t="str">
        <f>'Q100a-geral'!B2478</f>
        <v>geral</v>
      </c>
      <c r="C782" s="167" t="str">
        <f>'Q100a-geral'!C2478</f>
        <v>x</v>
      </c>
      <c r="D782" s="322" t="str">
        <f>'Q100a-geral'!D2478</f>
        <v>UIT</v>
      </c>
      <c r="E782" s="11" t="str">
        <f>'Q100a-geral'!E2478</f>
        <v>Belo Horizonte</v>
      </c>
      <c r="F782" s="449" t="str">
        <f>'Q100a-geral'!F2478</f>
        <v>Unidade Integrada de Trânsito</v>
      </c>
      <c r="G782" s="252" t="str">
        <f>'Q100a-geral'!G2478</f>
        <v>verbete
MFO</v>
      </c>
      <c r="H782" s="235" t="str">
        <f>'Q100a-geral'!H2478</f>
        <v>sigla/verbete</v>
      </c>
      <c r="I782" s="170" t="str">
        <f>'Q100a-geral'!I2478</f>
        <v>x</v>
      </c>
      <c r="J782" s="107" t="str">
        <f>'Q100a-geral'!J2478</f>
        <v>x</v>
      </c>
      <c r="K782" s="107" t="str">
        <f>'Q100a-geral'!K2478</f>
        <v>x</v>
      </c>
      <c r="L782" s="107" t="str">
        <f>'Q100a-geral'!L2478</f>
        <v>x</v>
      </c>
      <c r="M782" s="107" t="str">
        <f>'Q100a-geral'!M2478</f>
        <v>x</v>
      </c>
      <c r="N782" s="107" t="str">
        <f>'Q100a-geral'!N2478</f>
        <v>x</v>
      </c>
      <c r="O782" s="107" t="str">
        <f>'Q100a-geral'!O2478</f>
        <v>x</v>
      </c>
      <c r="P782" s="107" t="str">
        <f>'Q100a-geral'!P2478</f>
        <v>x</v>
      </c>
      <c r="Q782" s="107" t="str">
        <f>'Q100a-geral'!Q2478</f>
        <v>x</v>
      </c>
      <c r="R782" s="107" t="str">
        <f>'Q100a-geral'!R2478</f>
        <v>x</v>
      </c>
      <c r="S782" s="107" t="str">
        <f>'Q100a-geral'!S2478</f>
        <v>só para pesquisa</v>
      </c>
      <c r="T782" s="107" t="str">
        <f>'Q100a-geral'!T2478</f>
        <v>x</v>
      </c>
      <c r="U782" s="107" t="str">
        <f>'Q100a-geral'!U2478</f>
        <v>x</v>
      </c>
      <c r="V782" s="107" t="str">
        <f>'Q100a-geral'!V2478</f>
        <v>só para pesquisa</v>
      </c>
      <c r="W782" s="107" t="str">
        <f>'Q100a-geral'!W2478</f>
        <v>x</v>
      </c>
      <c r="X782" s="107" t="str">
        <f>'Q100a-geral'!X2478</f>
        <v>x</v>
      </c>
      <c r="Y782" s="107" t="str">
        <f>'Q100a-geral'!Y2478</f>
        <v>x</v>
      </c>
      <c r="Z782" s="107" t="str">
        <f>'Q100a-geral'!Z2478</f>
        <v>x</v>
      </c>
      <c r="AA782" s="107" t="str">
        <f>'Q100a-geral'!AA2478</f>
        <v>x</v>
      </c>
      <c r="AB782" s="107" t="str">
        <f>'Q100a-geral'!AB2478</f>
        <v>x</v>
      </c>
      <c r="AC782" s="107" t="str">
        <f>'Q100a-geral'!AC2478</f>
        <v>x</v>
      </c>
      <c r="AD782" s="107" t="str">
        <f>'Q100a-geral'!AD2478</f>
        <v>x</v>
      </c>
      <c r="AE782" s="107" t="str">
        <f>'Q100a-geral'!AE2478</f>
        <v>x</v>
      </c>
      <c r="AF782" s="107" t="str">
        <f>'Q100a-geral'!AF2478</f>
        <v>x</v>
      </c>
      <c r="AG782" s="107" t="str">
        <f>'Q100a-geral'!AG2478</f>
        <v>x</v>
      </c>
      <c r="AH782" s="107" t="str">
        <f>'Q100a-geral'!AH2478</f>
        <v>x</v>
      </c>
      <c r="AI782" s="107" t="str">
        <f>'Q100a-geral'!AI2478</f>
        <v>x</v>
      </c>
      <c r="AJ782" s="107" t="str">
        <f>'Q100a-geral'!AJ2478</f>
        <v>x</v>
      </c>
      <c r="AK782" s="137" t="str">
        <f>'Q100a-geral'!AK2478</f>
        <v>x</v>
      </c>
      <c r="AL782" s="57" t="str">
        <f>'Q100a-geral'!AL2478</f>
        <v>x</v>
      </c>
      <c r="AM782" s="137" t="str">
        <f>'Q100a-geral'!AM2478</f>
        <v>x</v>
      </c>
      <c r="AN782" s="137" t="str">
        <f>'Q100a-geral'!AN2478</f>
        <v>x</v>
      </c>
      <c r="AO782" s="137" t="str">
        <f>'Q100a-geral'!AO2478</f>
        <v>x</v>
      </c>
      <c r="AP782" s="137" t="str">
        <f>'Q100a-geral'!AP2478</f>
        <v>x</v>
      </c>
      <c r="AQ782" s="137" t="str">
        <f>'Q100a-geral'!AQ2478</f>
        <v>x</v>
      </c>
      <c r="AR782" s="137"/>
      <c r="AS782" s="137"/>
      <c r="AT782" s="137"/>
      <c r="AU782" s="137"/>
      <c r="AV782" s="137" t="str">
        <f>'Q100a-geral'!AV2478</f>
        <v>x</v>
      </c>
      <c r="AW782" s="137"/>
      <c r="AX782" s="137"/>
      <c r="AY782" s="137"/>
      <c r="AZ782" s="137"/>
      <c r="BA782" s="137" t="str">
        <f>'Q100a-geral'!BA2478</f>
        <v>x</v>
      </c>
      <c r="BB782" s="239" t="str">
        <f>'Q100a-geral'!BB2478</f>
        <v>geralx</v>
      </c>
      <c r="BC782" s="239" t="str">
        <f>'Q100a-geral'!BC2478</f>
        <v>geralxsigla/verbete</v>
      </c>
      <c r="BD782" s="239" t="str">
        <f>'Q100a-geral'!BD2478</f>
        <v>geralsigla/verbete</v>
      </c>
      <c r="BM782" s="193"/>
      <c r="BN782" s="193"/>
      <c r="BO782" s="193"/>
    </row>
    <row r="783" spans="1:67" s="1" customFormat="1" ht="128.25" customHeight="1" x14ac:dyDescent="0.25">
      <c r="A783" s="275" t="str">
        <f>'Q100a-geral'!A2480</f>
        <v>4.3</v>
      </c>
      <c r="B783" s="252" t="str">
        <f>'Q100a-geral'!B2480</f>
        <v>Fiscalização urbanística integrada</v>
      </c>
      <c r="C783" s="167" t="str">
        <f>'Q100a-geral'!C2480</f>
        <v>CMMCE</v>
      </c>
      <c r="D783" s="287" t="str">
        <f>'Q100a-geral'!D2480</f>
        <v>URB</v>
      </c>
      <c r="E783" s="458" t="str">
        <f>'Q100a-geral'!E2480</f>
        <v>Belo Horizonte</v>
      </c>
      <c r="F783" s="488" t="str">
        <f>'Q100a-geral'!F2480</f>
        <v>sigla utilizada para designar todos os 24 indicadores de "conformidade com a legislação urbanística" em Belo Horizonte, por vezes denominado genericamente como "conformidade", "conformidade urbanística" ou "índice de conformidade", podendo ser utilizada por local (sete locais em 2013) e/ou por quesito (quinze quesitos em 2013)
obs.1: o indicador surge no contexto do projeto de fiscalização urbanística integrada nas grandes avenidas de Belo Horizonte, denominado AMAR BH, lançado pela PBH em março de 2013 na Avenida Raja Gabáglia (RGB) sob a coordenação da Secretaria Municipal Adjunta de Fiscalização - Smafis/PBH (enquanto os resultados de 2014 não são consolidados, consulte Quadro 59 e Tabela 59 no SisMob-Bh com resultados de 2013 relativos a 24 indicadores)
obs.2: para índice de confomidade com a política de acessibilidade acesse os registros "IC"</v>
      </c>
      <c r="G783" s="252" t="str">
        <f>'Q100a-geral'!G2480</f>
        <v>definição
∑ nota de cada endereço com relação aos quesitos sob a responsabilidade dos fiscais urbanísticos / n.º de pontuações aplicadas</v>
      </c>
      <c r="H783" s="168" t="str">
        <f>'Q100a-geral'!H2480</f>
        <v>x</v>
      </c>
      <c r="I783" s="167">
        <f>'Q100a-geral'!I2480</f>
        <v>16</v>
      </c>
      <c r="J783" s="11" t="str">
        <f>'Q100a-geral'!J2480</f>
        <v>x</v>
      </c>
      <c r="K783" s="100" t="str">
        <f>'Q100a-geral'!K2480</f>
        <v>x</v>
      </c>
      <c r="L783" s="100" t="str">
        <f>'Q100a-geral'!L2480</f>
        <v>x</v>
      </c>
      <c r="M783" s="100" t="str">
        <f>'Q100a-geral'!M2480</f>
        <v>x</v>
      </c>
      <c r="N783" s="100" t="str">
        <f>'Q100a-geral'!N2480</f>
        <v>x</v>
      </c>
      <c r="O783" s="100" t="str">
        <f>'Q100a-geral'!O2480</f>
        <v>x</v>
      </c>
      <c r="P783" s="100" t="str">
        <f>'Q100a-geral'!P2480</f>
        <v>x</v>
      </c>
      <c r="Q783" s="100" t="str">
        <f>'Q100a-geral'!Q2480</f>
        <v>x</v>
      </c>
      <c r="R783" s="100" t="str">
        <f>'Q100a-geral'!R2480</f>
        <v>x</v>
      </c>
      <c r="S783" s="649" t="str">
        <f>'Q100a-geral'!S2480</f>
        <v>só para pesquisa</v>
      </c>
      <c r="T783" s="100" t="str">
        <f>'Q100a-geral'!T2480</f>
        <v>x</v>
      </c>
      <c r="U783" s="100" t="str">
        <f>'Q100a-geral'!U2480</f>
        <v>x</v>
      </c>
      <c r="V783" s="107" t="str">
        <f>'Q100a-geral'!V2480</f>
        <v>só para pesquisa</v>
      </c>
      <c r="W783" s="100" t="str">
        <f>'Q100a-geral'!W2480</f>
        <v>x</v>
      </c>
      <c r="X783" s="100" t="str">
        <f>'Q100a-geral'!X2480</f>
        <v>x</v>
      </c>
      <c r="Y783" s="100" t="str">
        <f>'Q100a-geral'!Y2480</f>
        <v>x</v>
      </c>
      <c r="Z783" s="100" t="str">
        <f>'Q100a-geral'!Z2480</f>
        <v>x</v>
      </c>
      <c r="AA783" s="100" t="str">
        <f>'Q100a-geral'!AA2480</f>
        <v>x</v>
      </c>
      <c r="AB783" s="100" t="str">
        <f>'Q100a-geral'!AB2480</f>
        <v>x</v>
      </c>
      <c r="AC783" s="100" t="str">
        <f>'Q100a-geral'!AC2480</f>
        <v>x</v>
      </c>
      <c r="AD783" s="100" t="str">
        <f>'Q100a-geral'!AD2480</f>
        <v>x</v>
      </c>
      <c r="AE783" s="100" t="str">
        <f>'Q100a-geral'!AE2480</f>
        <v>x</v>
      </c>
      <c r="AF783" s="100" t="str">
        <f>'Q100a-geral'!AF2480</f>
        <v>x</v>
      </c>
      <c r="AG783" s="100" t="str">
        <f>'Q100a-geral'!AG2480</f>
        <v>x</v>
      </c>
      <c r="AH783" s="100" t="str">
        <f>'Q100a-geral'!AH2480</f>
        <v>x</v>
      </c>
      <c r="AI783" s="100" t="str">
        <f>'Q100a-geral'!AI2480</f>
        <v>x</v>
      </c>
      <c r="AJ783" s="100" t="str">
        <f>'Q100a-geral'!AJ2480</f>
        <v>x</v>
      </c>
      <c r="AK783" s="137" t="str">
        <f>'Q100a-geral'!AK2480</f>
        <v>x</v>
      </c>
      <c r="AL783" s="219" t="str">
        <f>'Q100a-geral'!AL2480</f>
        <v>x</v>
      </c>
      <c r="AM783" s="137" t="str">
        <f>'Q100a-geral'!AM2480</f>
        <v>x</v>
      </c>
      <c r="AN783" s="137" t="str">
        <f>'Q100a-geral'!AN2480</f>
        <v>x</v>
      </c>
      <c r="AO783" s="137" t="str">
        <f>'Q100a-geral'!AO2480</f>
        <v>x</v>
      </c>
      <c r="AP783" s="137" t="str">
        <f>'Q100a-geral'!AP2480</f>
        <v>x</v>
      </c>
      <c r="AQ783" s="137" t="str">
        <f>'Q100a-geral'!AQ2480</f>
        <v>x</v>
      </c>
      <c r="AR783" s="137"/>
      <c r="AS783" s="137"/>
      <c r="AT783" s="137"/>
      <c r="AU783" s="137"/>
      <c r="AV783" s="137" t="str">
        <f>'Q100a-geral'!AV2480</f>
        <v>x</v>
      </c>
      <c r="AW783" s="137"/>
      <c r="AX783" s="137"/>
      <c r="AY783" s="137"/>
      <c r="AZ783" s="137"/>
      <c r="BA783" s="137" t="str">
        <f>'Q100a-geral'!BA2480</f>
        <v>x</v>
      </c>
      <c r="BB783" s="239" t="str">
        <f>'Q100a-geral'!BB2480</f>
        <v>Fiscalização urbanística integradaCMMCE</v>
      </c>
      <c r="BC783" s="239" t="str">
        <f>'Q100a-geral'!BC2480</f>
        <v>Fiscalização urbanística integradaCMMCEx</v>
      </c>
      <c r="BD783" s="239" t="str">
        <f>'Q100a-geral'!BD2480</f>
        <v>Fiscalização urbanística integradax</v>
      </c>
      <c r="BM783" s="193"/>
      <c r="BN783" s="193"/>
      <c r="BO783" s="193"/>
    </row>
    <row r="784" spans="1:67" s="1" customFormat="1" ht="63.75" customHeight="1" x14ac:dyDescent="0.25">
      <c r="A784" s="275" t="str">
        <f>'Q100a-geral'!A2486</f>
        <v>9.1</v>
      </c>
      <c r="B784" s="11" t="str">
        <f>'Q100a-geral'!B2486</f>
        <v>Acidentes de trânsito</v>
      </c>
      <c r="C784" s="57" t="str">
        <f>'Q100a-geral'!C2486</f>
        <v>x</v>
      </c>
      <c r="D784" s="322" t="str">
        <f>'Q100a-geral'!D2486</f>
        <v>V</v>
      </c>
      <c r="E784" s="11" t="str">
        <f>'Q100a-geral'!E2486</f>
        <v>Belo Horizonte</v>
      </c>
      <c r="F784" s="491" t="str">
        <f>'Q100a-geral'!F2486</f>
        <v>n.º total de vítimas em acidentes de trânsito 
obs.1: nos relatórios anuais de acidentes de trânsito da BHTrans este indicador é denominado "total de vítimas acidentes"
obs.2: é necessário apurar a descrição para melhor informar como a BHTrans apura os resultados desse indicador
obs.3: as fontes dos resultados aqui apresentados são os relatórios da BHTrans (2014d; 2015i) que, por sua vez, têm como fonte o sistema BH10 BHTrans - base de dados do Detran-MG</v>
      </c>
      <c r="G784" s="151" t="str">
        <f>'Q100a-geral'!G2486</f>
        <v>registro na fonte
(V = M+NF+NI)</v>
      </c>
      <c r="H784" s="173" t="str">
        <f>'Q100a-geral'!H2486</f>
        <v>x</v>
      </c>
      <c r="I784" s="57">
        <f>'Q100a-geral'!I2486</f>
        <v>1</v>
      </c>
      <c r="J784" s="107" t="str">
        <f>'Q100a-geral'!J2486</f>
        <v>x</v>
      </c>
      <c r="K784" s="161">
        <f>'Q100a-geral'!K2486</f>
        <v>10777</v>
      </c>
      <c r="L784" s="161">
        <f>'Q100a-geral'!L2486</f>
        <v>9750</v>
      </c>
      <c r="M784" s="161">
        <f>'Q100a-geral'!M2486</f>
        <v>12242</v>
      </c>
      <c r="N784" s="161">
        <f>'Q100a-geral'!N2486</f>
        <v>12838</v>
      </c>
      <c r="O784" s="161">
        <f>'Q100a-geral'!O2486</f>
        <v>12515</v>
      </c>
      <c r="P784" s="161">
        <f>'Q100a-geral'!P2486</f>
        <v>13063</v>
      </c>
      <c r="Q784" s="161">
        <f>'Q100a-geral'!Q2486</f>
        <v>13648</v>
      </c>
      <c r="R784" s="161">
        <f>'Q100a-geral'!R2486</f>
        <v>13395</v>
      </c>
      <c r="S784" s="649" t="str">
        <f>'Q100a-geral'!S2486</f>
        <v>só para pesquisa</v>
      </c>
      <c r="T784" s="161">
        <f>'Q100a-geral'!T2486</f>
        <v>13648</v>
      </c>
      <c r="U784" s="161">
        <f>'Q100a-geral'!U2486</f>
        <v>13346</v>
      </c>
      <c r="V784" s="107" t="str">
        <f>'Q100a-geral'!V2486</f>
        <v>só para pesquisa</v>
      </c>
      <c r="W784" s="161">
        <f>'Q100a-geral'!W2486</f>
        <v>13093</v>
      </c>
      <c r="X784" s="161">
        <f>'Q100a-geral'!X2486</f>
        <v>11812</v>
      </c>
      <c r="Y784" s="161">
        <f>'Q100a-geral'!Y2486</f>
        <v>14884</v>
      </c>
      <c r="Z784" s="162">
        <f>'Q100a-geral'!Z2486</f>
        <v>17004</v>
      </c>
      <c r="AA784" s="162">
        <f>'Q100a-geral'!AA2486</f>
        <v>17636</v>
      </c>
      <c r="AB784" s="162">
        <f>'Q100a-geral'!AB2486</f>
        <v>18209</v>
      </c>
      <c r="AC784" s="162">
        <f>'Q100a-geral'!AC2486</f>
        <v>20055</v>
      </c>
      <c r="AD784" s="162">
        <f>'Q100a-geral'!AD2486</f>
        <v>20799</v>
      </c>
      <c r="AE784" s="162">
        <f>'Q100a-geral'!AE2486</f>
        <v>21945</v>
      </c>
      <c r="AF784" s="162">
        <f>'Q100a-geral'!AF2486</f>
        <v>22167</v>
      </c>
      <c r="AG784" s="162">
        <f>'Q100a-geral'!AG2486</f>
        <v>21774</v>
      </c>
      <c r="AH784" s="162">
        <f>'Q100a-geral'!AH2486</f>
        <v>20369</v>
      </c>
      <c r="AI784" s="162">
        <f>'Q100a-geral'!AI2486</f>
        <v>19871</v>
      </c>
      <c r="AJ784" s="162">
        <f>'Q100a-geral'!AJ2486</f>
        <v>20757</v>
      </c>
      <c r="AK784" s="137" t="str">
        <f>'Q100a-geral'!AK2486</f>
        <v>x</v>
      </c>
      <c r="AL784" s="212" t="str">
        <f>'Q100a-geral'!AL2486</f>
        <v>x</v>
      </c>
      <c r="AM784" s="137" t="str">
        <f>'Q100a-geral'!AM2486</f>
        <v>x</v>
      </c>
      <c r="AN784" s="137" t="str">
        <f>'Q100a-geral'!AN2486</f>
        <v>x</v>
      </c>
      <c r="AO784" s="137" t="str">
        <f>'Q100a-geral'!AO2486</f>
        <v>x</v>
      </c>
      <c r="AP784" s="137" t="str">
        <f>'Q100a-geral'!AP2486</f>
        <v>x</v>
      </c>
      <c r="AQ784" s="137" t="str">
        <f>'Q100a-geral'!AQ2486</f>
        <v>x</v>
      </c>
      <c r="AR784" s="137"/>
      <c r="AS784" s="137"/>
      <c r="AT784" s="137"/>
      <c r="AU784" s="137"/>
      <c r="AV784" s="137" t="str">
        <f>'Q100a-geral'!AV2486</f>
        <v>x</v>
      </c>
      <c r="AW784" s="137"/>
      <c r="AX784" s="137"/>
      <c r="AY784" s="137"/>
      <c r="AZ784" s="137"/>
      <c r="BA784" s="137" t="str">
        <f>'Q100a-geral'!BA2486</f>
        <v>x</v>
      </c>
      <c r="BB784" s="239" t="str">
        <f>'Q100a-geral'!BB2486</f>
        <v>Acidentes de trânsitox</v>
      </c>
      <c r="BC784" s="239" t="str">
        <f>'Q100a-geral'!BC2486</f>
        <v>Acidentes de trânsitoxx</v>
      </c>
      <c r="BD784" s="239" t="str">
        <f>'Q100a-geral'!BD2486</f>
        <v>Acidentes de trânsitox</v>
      </c>
      <c r="BM784" s="193"/>
      <c r="BN784" s="193"/>
      <c r="BO784" s="193"/>
    </row>
    <row r="785" spans="1:67" s="1" customFormat="1" ht="25.5" customHeight="1" x14ac:dyDescent="0.25">
      <c r="A785" s="275" t="str">
        <f>'Q100a-geral'!A2487</f>
        <v>9.1</v>
      </c>
      <c r="B785" s="11" t="str">
        <f>'Q100a-geral'!B2487</f>
        <v>Acidentes de trânsito</v>
      </c>
      <c r="C785" s="57" t="str">
        <f>'Q100a-geral'!C2487</f>
        <v>x</v>
      </c>
      <c r="D785" s="322" t="str">
        <f>'Q100a-geral'!D2487</f>
        <v>V por 10 mil veículos</v>
      </c>
      <c r="E785" s="11" t="str">
        <f>'Q100a-geral'!E2487</f>
        <v>Belo Horizonte</v>
      </c>
      <c r="F785" s="496" t="str">
        <f>'Q100a-geral'!F2487</f>
        <v>n.º total de vítimas em acidentes de trânsito por 10 mil veículos</v>
      </c>
      <c r="G785" s="151" t="str">
        <f>'Q100a-geral'!G2487</f>
        <v>(V/F) x 10.000</v>
      </c>
      <c r="H785" s="173" t="str">
        <f>'Q100a-geral'!H2487</f>
        <v>x</v>
      </c>
      <c r="I785" s="57">
        <f>'Q100a-geral'!I2487</f>
        <v>1</v>
      </c>
      <c r="J785" s="107" t="str">
        <f>'Q100a-geral'!J2487</f>
        <v>x</v>
      </c>
      <c r="K785" s="64">
        <f>'Q100a-geral'!K2487</f>
        <v>224.61208199164244</v>
      </c>
      <c r="L785" s="64">
        <f>'Q100a-geral'!L2487</f>
        <v>198.91179944794325</v>
      </c>
      <c r="M785" s="64">
        <f>'Q100a-geral'!M2487</f>
        <v>240.54152298427107</v>
      </c>
      <c r="N785" s="64">
        <f>'Q100a-geral'!N2487</f>
        <v>239.12500884751356</v>
      </c>
      <c r="O785" s="64">
        <f>'Q100a-geral'!O2487</f>
        <v>220.02035825608155</v>
      </c>
      <c r="P785" s="64">
        <f>'Q100a-geral'!P2487</f>
        <v>218.15442988931122</v>
      </c>
      <c r="Q785" s="64">
        <f>'Q100a-geral'!Q2487</f>
        <v>223.02184136819847</v>
      </c>
      <c r="R785" s="64">
        <f>'Q100a-geral'!R2487</f>
        <v>214.69477119259381</v>
      </c>
      <c r="S785" s="649" t="str">
        <f>'Q100a-geral'!S2487</f>
        <v>só para pesquisa</v>
      </c>
      <c r="T785" s="64">
        <f>'Q100a-geral'!T2487</f>
        <v>208.2942247495906</v>
      </c>
      <c r="U785" s="64">
        <f>'Q100a-geral'!U2487</f>
        <v>196.3435320356555</v>
      </c>
      <c r="V785" s="107" t="str">
        <f>'Q100a-geral'!V2487</f>
        <v>só para pesquisa</v>
      </c>
      <c r="W785" s="64">
        <f>'Q100a-geral'!W2487</f>
        <v>182.3855127981891</v>
      </c>
      <c r="X785" s="64">
        <f>'Q100a-geral'!X2487</f>
        <v>157.18713279864158</v>
      </c>
      <c r="Y785" s="64">
        <f>'Q100a-geral'!Y2487</f>
        <v>188.27374830972323</v>
      </c>
      <c r="Z785" s="64">
        <f>'Q100a-geral'!Z2487</f>
        <v>206.92349160879243</v>
      </c>
      <c r="AA785" s="64">
        <f>'Q100a-geral'!AA2487</f>
        <v>204.37655069954582</v>
      </c>
      <c r="AB785" s="64">
        <f>'Q100a-geral'!AB2487</f>
        <v>195.52511739130901</v>
      </c>
      <c r="AC785" s="64">
        <f>'Q100a-geral'!AC2487</f>
        <v>196.52805338742633</v>
      </c>
      <c r="AD785" s="64">
        <f>'Q100a-geral'!AD2487</f>
        <v>187.84223022797738</v>
      </c>
      <c r="AE785" s="64">
        <f>'Q100a-geral'!AE2487</f>
        <v>179.85862104292593</v>
      </c>
      <c r="AF785" s="64">
        <f>'Q100a-geral'!AF2487</f>
        <v>166.37133072296888</v>
      </c>
      <c r="AG785" s="64">
        <f>'Q100a-geral'!AG2487</f>
        <v>152.28011036006896</v>
      </c>
      <c r="AH785" s="64">
        <f>'Q100a-geral'!AH2487</f>
        <v>135.13253523602916</v>
      </c>
      <c r="AI785" s="64">
        <f>'Q100a-geral'!AI2487</f>
        <v>125.71609331751681</v>
      </c>
      <c r="AJ785" s="64">
        <f>'Q100a-geral'!AJ2487</f>
        <v>127.17074650092053</v>
      </c>
      <c r="AK785" s="137" t="str">
        <f>'Q100a-geral'!AK2487</f>
        <v>x</v>
      </c>
      <c r="AL785" s="212" t="str">
        <f>'Q100a-geral'!AL2487</f>
        <v>x</v>
      </c>
      <c r="AM785" s="137" t="str">
        <f>'Q100a-geral'!AM2487</f>
        <v>x</v>
      </c>
      <c r="AN785" s="137" t="str">
        <f>'Q100a-geral'!AN2487</f>
        <v>x</v>
      </c>
      <c r="AO785" s="137" t="str">
        <f>'Q100a-geral'!AO2487</f>
        <v>x</v>
      </c>
      <c r="AP785" s="137" t="str">
        <f>'Q100a-geral'!AP2487</f>
        <v>x</v>
      </c>
      <c r="AQ785" s="137" t="str">
        <f>'Q100a-geral'!AQ2487</f>
        <v>x</v>
      </c>
      <c r="AR785" s="137"/>
      <c r="AS785" s="137"/>
      <c r="AT785" s="137"/>
      <c r="AU785" s="137"/>
      <c r="AV785" s="137" t="str">
        <f>'Q100a-geral'!AV2487</f>
        <v>x</v>
      </c>
      <c r="AW785" s="137"/>
      <c r="AX785" s="137"/>
      <c r="AY785" s="137"/>
      <c r="AZ785" s="137"/>
      <c r="BA785" s="137" t="str">
        <f>'Q100a-geral'!BA2487</f>
        <v>x</v>
      </c>
      <c r="BB785" s="239" t="str">
        <f>'Q100a-geral'!BB2487</f>
        <v>Acidentes de trânsitox</v>
      </c>
      <c r="BC785" s="239" t="str">
        <f>'Q100a-geral'!BC2487</f>
        <v>Acidentes de trânsitoxx</v>
      </c>
      <c r="BD785" s="239" t="str">
        <f>'Q100a-geral'!BD2487</f>
        <v>Acidentes de trânsitox</v>
      </c>
      <c r="BM785" s="193"/>
      <c r="BN785" s="193"/>
      <c r="BO785" s="193"/>
    </row>
    <row r="786" spans="1:67" s="1" customFormat="1" ht="25.5" customHeight="1" x14ac:dyDescent="0.25">
      <c r="A786" s="275" t="str">
        <f>'Q100a-geral'!A2488</f>
        <v>9.1</v>
      </c>
      <c r="B786" s="11" t="str">
        <f>'Q100a-geral'!B2488</f>
        <v>Acidentes de trânsito</v>
      </c>
      <c r="C786" s="57" t="str">
        <f>'Q100a-geral'!C2488</f>
        <v>x</v>
      </c>
      <c r="D786" s="322" t="str">
        <f>'Q100a-geral'!D2488</f>
        <v>V por 100 mil habit.</v>
      </c>
      <c r="E786" s="11" t="str">
        <f>'Q100a-geral'!E2488</f>
        <v>Belo Horizonte</v>
      </c>
      <c r="F786" s="491" t="str">
        <f>'Q100a-geral'!F2488</f>
        <v>n.º total de vítimasem acidentes de trânsito por 100 mil habitantes</v>
      </c>
      <c r="G786" s="151" t="str">
        <f>'Q100a-geral'!G2488</f>
        <v>(V/P) x 100.000</v>
      </c>
      <c r="H786" s="173" t="str">
        <f>'Q100a-geral'!H2488</f>
        <v>x</v>
      </c>
      <c r="I786" s="57">
        <f>'Q100a-geral'!I2488</f>
        <v>1</v>
      </c>
      <c r="J786" s="107" t="str">
        <f>'Q100a-geral'!J2488</f>
        <v>x</v>
      </c>
      <c r="K786" s="64">
        <f>'Q100a-geral'!K2488</f>
        <v>533.47233215570441</v>
      </c>
      <c r="L786" s="64">
        <f>'Q100a-geral'!L2488</f>
        <v>480.71186771598263</v>
      </c>
      <c r="M786" s="64">
        <f>'Q100a-geral'!M2488</f>
        <v>601.17219247135199</v>
      </c>
      <c r="N786" s="64">
        <f>'Q100a-geral'!N2488</f>
        <v>627.92858889704087</v>
      </c>
      <c r="O786" s="64">
        <f>'Q100a-geral'!O2488</f>
        <v>609.69133980098195</v>
      </c>
      <c r="P786" s="64">
        <f>'Q100a-geral'!P2488</f>
        <v>624.59119232225714</v>
      </c>
      <c r="Q786" s="64">
        <f>'Q100a-geral'!Q2488</f>
        <v>649.9623299968473</v>
      </c>
      <c r="R786" s="64">
        <f>'Q100a-geral'!R2488</f>
        <v>635.37223231238966</v>
      </c>
      <c r="S786" s="649" t="str">
        <f>'Q100a-geral'!S2488</f>
        <v>só para pesquisa</v>
      </c>
      <c r="T786" s="64">
        <f>'Q100a-geral'!T2488</f>
        <v>644.79369719830333</v>
      </c>
      <c r="U786" s="64">
        <f>'Q100a-geral'!U2488</f>
        <v>596.19588961664954</v>
      </c>
      <c r="V786" s="107" t="str">
        <f>'Q100a-geral'!V2488</f>
        <v>só para pesquisa</v>
      </c>
      <c r="W786" s="64">
        <f>'Q100a-geral'!W2488</f>
        <v>579.68845674828117</v>
      </c>
      <c r="X786" s="64">
        <f>'Q100a-geral'!X2488</f>
        <v>517.05692528851353</v>
      </c>
      <c r="Y786" s="64">
        <f>'Q100a-geral'!Y2488</f>
        <v>645.49928615168972</v>
      </c>
      <c r="Z786" s="64">
        <f>'Q100a-geral'!Z2488</f>
        <v>723.40085188065495</v>
      </c>
      <c r="AA786" s="64">
        <f>'Q100a-geral'!AA2488</f>
        <v>742.46557003261444</v>
      </c>
      <c r="AB786" s="64">
        <f>'Q100a-geral'!AB2488</f>
        <v>758.73362445414841</v>
      </c>
      <c r="AC786" s="64">
        <f>'Q100a-geral'!AC2488</f>
        <v>831.14478330764541</v>
      </c>
      <c r="AD786" s="64">
        <f>'Q100a-geral'!AD2488</f>
        <v>854.29397833439168</v>
      </c>
      <c r="AE786" s="64">
        <f>'Q100a-geral'!AE2488</f>
        <v>894.75853751319505</v>
      </c>
      <c r="AF786" s="64">
        <f>'Q100a-geral'!AF2488</f>
        <v>933.28803095045328</v>
      </c>
      <c r="AG786" s="64">
        <f>'Q100a-geral'!AG2488</f>
        <v>912.71105447594778</v>
      </c>
      <c r="AH786" s="64">
        <f>'Q100a-geral'!AH2488</f>
        <v>850.20149971721162</v>
      </c>
      <c r="AI786" s="64">
        <f>'Q100a-geral'!AI2488</f>
        <v>801.51986656797749</v>
      </c>
      <c r="AJ786" s="64">
        <f>'Q100a-geral'!AJ2488</f>
        <v>833.24334663798322</v>
      </c>
      <c r="AK786" s="137" t="str">
        <f>'Q100a-geral'!AK2488</f>
        <v>x</v>
      </c>
      <c r="AL786" s="212" t="str">
        <f>'Q100a-geral'!AL2488</f>
        <v>x</v>
      </c>
      <c r="AM786" s="137" t="str">
        <f>'Q100a-geral'!AM2488</f>
        <v>x</v>
      </c>
      <c r="AN786" s="137" t="str">
        <f>'Q100a-geral'!AN2488</f>
        <v>x</v>
      </c>
      <c r="AO786" s="137" t="str">
        <f>'Q100a-geral'!AO2488</f>
        <v>x</v>
      </c>
      <c r="AP786" s="137" t="str">
        <f>'Q100a-geral'!AP2488</f>
        <v>x</v>
      </c>
      <c r="AQ786" s="137" t="str">
        <f>'Q100a-geral'!AQ2488</f>
        <v>x</v>
      </c>
      <c r="AR786" s="137"/>
      <c r="AS786" s="137"/>
      <c r="AT786" s="137"/>
      <c r="AU786" s="137"/>
      <c r="AV786" s="137" t="str">
        <f>'Q100a-geral'!AV2488</f>
        <v>x</v>
      </c>
      <c r="AW786" s="137"/>
      <c r="AX786" s="137"/>
      <c r="AY786" s="137"/>
      <c r="AZ786" s="137"/>
      <c r="BA786" s="137" t="str">
        <f>'Q100a-geral'!BA2488</f>
        <v>x</v>
      </c>
      <c r="BB786" s="239" t="str">
        <f>'Q100a-geral'!BB2488</f>
        <v>Acidentes de trânsitox</v>
      </c>
      <c r="BC786" s="239" t="str">
        <f>'Q100a-geral'!BC2488</f>
        <v>Acidentes de trânsitoxx</v>
      </c>
      <c r="BD786" s="239" t="str">
        <f>'Q100a-geral'!BD2488</f>
        <v>Acidentes de trânsitox</v>
      </c>
      <c r="BM786" s="193"/>
      <c r="BN786" s="193"/>
      <c r="BO786" s="193"/>
    </row>
    <row r="787" spans="1:67" s="1" customFormat="1" ht="25.5" customHeight="1" x14ac:dyDescent="0.25">
      <c r="A787" s="275" t="str">
        <f>'Q100a-geral'!A2489</f>
        <v>9.1</v>
      </c>
      <c r="B787" s="11" t="str">
        <f>'Q100a-geral'!B2489</f>
        <v>Acidentes de trânsito</v>
      </c>
      <c r="C787" s="57" t="str">
        <f>'Q100a-geral'!C2489</f>
        <v>x</v>
      </c>
      <c r="D787" s="322" t="str">
        <f>'Q100a-geral'!D2489</f>
        <v>V por mil AV</v>
      </c>
      <c r="E787" s="11" t="str">
        <f>'Q100a-geral'!E2489</f>
        <v>Belo Horizonte</v>
      </c>
      <c r="F787" s="491" t="str">
        <f>'Q100a-geral'!F2489</f>
        <v>n.º total de vítimas por mil acidentes de trânsito com vítima</v>
      </c>
      <c r="G787" s="151" t="str">
        <f>'Q100a-geral'!G2489</f>
        <v>(V/AV) x 1.000</v>
      </c>
      <c r="H787" s="173" t="str">
        <f>'Q100a-geral'!H2489</f>
        <v>x</v>
      </c>
      <c r="I787" s="57">
        <f>'Q100a-geral'!I2489</f>
        <v>1</v>
      </c>
      <c r="J787" s="107" t="str">
        <f>'Q100a-geral'!J2489</f>
        <v>x</v>
      </c>
      <c r="K787" s="64">
        <f>'Q100a-geral'!K2489</f>
        <v>316.55162285210753</v>
      </c>
      <c r="L787" s="64">
        <f>'Q100a-geral'!L2489</f>
        <v>247.49961923135501</v>
      </c>
      <c r="M787" s="64">
        <f>'Q100a-geral'!M2489</f>
        <v>284.73078264914523</v>
      </c>
      <c r="N787" s="64">
        <f>'Q100a-geral'!N2489</f>
        <v>336.22292643322942</v>
      </c>
      <c r="O787" s="64">
        <f>'Q100a-geral'!O2489</f>
        <v>324.66858640101691</v>
      </c>
      <c r="P787" s="64">
        <f>'Q100a-geral'!P2489</f>
        <v>522.91741723710015</v>
      </c>
      <c r="Q787" s="20">
        <f>'Q100a-geral'!Q2489</f>
        <v>1223.5969159046083</v>
      </c>
      <c r="R787" s="20">
        <f>'Q100a-geral'!R2489</f>
        <v>1201.7764220348106</v>
      </c>
      <c r="S787" s="649" t="str">
        <f>'Q100a-geral'!S2489</f>
        <v>só para pesquisa</v>
      </c>
      <c r="T787" s="20">
        <f>'Q100a-geral'!T2489</f>
        <v>1188.3326077492382</v>
      </c>
      <c r="U787" s="20">
        <f>'Q100a-geral'!U2489</f>
        <v>1163.1514728952416</v>
      </c>
      <c r="V787" s="649" t="str">
        <f>'Q100a-geral'!V2489</f>
        <v>só para pesquisa</v>
      </c>
      <c r="W787" s="20">
        <f>'Q100a-geral'!W2489</f>
        <v>1199.9816698744385</v>
      </c>
      <c r="X787" s="20">
        <f>'Q100a-geral'!X2489</f>
        <v>1213.4785288678859</v>
      </c>
      <c r="Y787" s="20">
        <f>'Q100a-geral'!Y2489</f>
        <v>1251.9135335183785</v>
      </c>
      <c r="Z787" s="20">
        <f>'Q100a-geral'!Z2489</f>
        <v>1300.6960911802951</v>
      </c>
      <c r="AA787" s="20">
        <f>'Q100a-geral'!AA2489</f>
        <v>1297.3370604678535</v>
      </c>
      <c r="AB787" s="20">
        <f>'Q100a-geral'!AB2489</f>
        <v>1319.6840121756777</v>
      </c>
      <c r="AC787" s="20">
        <f>'Q100a-geral'!AC2489</f>
        <v>1337.8026816089655</v>
      </c>
      <c r="AD787" s="20">
        <f>'Q100a-geral'!AD2489</f>
        <v>1323.1757745403652</v>
      </c>
      <c r="AE787" s="20">
        <f>'Q100a-geral'!AE2489</f>
        <v>1339.9890089760029</v>
      </c>
      <c r="AF787" s="20">
        <f>'Q100a-geral'!AF2489</f>
        <v>1317.7386755439306</v>
      </c>
      <c r="AG787" s="20">
        <f>'Q100a-geral'!AG2489</f>
        <v>1336.3201178347858</v>
      </c>
      <c r="AH787" s="20">
        <f>'Q100a-geral'!AH2489</f>
        <v>1334.7968545216252</v>
      </c>
      <c r="AI787" s="20">
        <f>'Q100a-geral'!AI2489</f>
        <v>1404.8073524213503</v>
      </c>
      <c r="AJ787" s="20">
        <f>'Q100a-geral'!AJ2489</f>
        <v>1387.0364183093886</v>
      </c>
      <c r="AK787" s="137" t="str">
        <f>'Q100a-geral'!AK2489</f>
        <v>x</v>
      </c>
      <c r="AL787" s="212" t="str">
        <f>'Q100a-geral'!AL2489</f>
        <v>x</v>
      </c>
      <c r="AM787" s="137" t="str">
        <f>'Q100a-geral'!AM2489</f>
        <v>x</v>
      </c>
      <c r="AN787" s="137" t="str">
        <f>'Q100a-geral'!AN2489</f>
        <v>x</v>
      </c>
      <c r="AO787" s="137" t="str">
        <f>'Q100a-geral'!AO2489</f>
        <v>x</v>
      </c>
      <c r="AP787" s="137" t="str">
        <f>'Q100a-geral'!AP2489</f>
        <v>x</v>
      </c>
      <c r="AQ787" s="137" t="str">
        <f>'Q100a-geral'!AQ2489</f>
        <v>x</v>
      </c>
      <c r="AR787" s="137"/>
      <c r="AS787" s="137"/>
      <c r="AT787" s="137"/>
      <c r="AU787" s="137"/>
      <c r="AV787" s="137" t="str">
        <f>'Q100a-geral'!AV2489</f>
        <v>x</v>
      </c>
      <c r="AW787" s="137"/>
      <c r="AX787" s="137"/>
      <c r="AY787" s="137"/>
      <c r="AZ787" s="137"/>
      <c r="BA787" s="137" t="str">
        <f>'Q100a-geral'!BA2489</f>
        <v>x</v>
      </c>
      <c r="BB787" s="239" t="str">
        <f>'Q100a-geral'!BB2489</f>
        <v>Acidentes de trânsitox</v>
      </c>
      <c r="BC787" s="239" t="str">
        <f>'Q100a-geral'!BC2489</f>
        <v>Acidentes de trânsitoxx</v>
      </c>
      <c r="BD787" s="239" t="str">
        <f>'Q100a-geral'!BD2489</f>
        <v>Acidentes de trânsitox</v>
      </c>
      <c r="BM787" s="193"/>
      <c r="BN787" s="193"/>
      <c r="BO787" s="193"/>
    </row>
    <row r="788" spans="1:67" s="1" customFormat="1" ht="63.75" customHeight="1" x14ac:dyDescent="0.25">
      <c r="A788" s="275" t="str">
        <f>'Q100a-geral'!A2506</f>
        <v>9.1</v>
      </c>
      <c r="B788" s="11" t="str">
        <f>'Q100a-geral'!B2506</f>
        <v>Acidentes de trânsito</v>
      </c>
      <c r="C788" s="57" t="str">
        <f>'Q100a-geral'!C2506</f>
        <v>x</v>
      </c>
      <c r="D788" s="322" t="str">
        <f>'Q100a-geral'!D2506</f>
        <v>Vb</v>
      </c>
      <c r="E788" s="11" t="str">
        <f>'Q100a-geral'!E2506</f>
        <v>Belo Horizonte</v>
      </c>
      <c r="F788" s="447" t="str">
        <f>'Q100a-geral'!F2506</f>
        <v>n.º total de vítimas em acidentes de trânsito com bicicleta
obs.: nos relatórios anuais de acidentes de trânsito da BHTrans este indicador é denominado "total de vítimas acidentes com bicicletas"</v>
      </c>
      <c r="G788" s="14" t="str">
        <f>'Q100a-geral'!G2506</f>
        <v>registro na fonte (Vb = Mb+NFb+Nib)</v>
      </c>
      <c r="H788" s="173" t="str">
        <f>'Q100a-geral'!H2506</f>
        <v>x</v>
      </c>
      <c r="I788" s="57">
        <f>'Q100a-geral'!I2506</f>
        <v>1</v>
      </c>
      <c r="J788" s="107" t="str">
        <f>'Q100a-geral'!J2506</f>
        <v>x</v>
      </c>
      <c r="K788" s="93" t="str">
        <f>'Q100a-geral'!K2506</f>
        <v>x</v>
      </c>
      <c r="L788" s="93" t="str">
        <f>'Q100a-geral'!L2506</f>
        <v>x</v>
      </c>
      <c r="M788" s="93" t="str">
        <f>'Q100a-geral'!M2506</f>
        <v>x</v>
      </c>
      <c r="N788" s="93" t="str">
        <f>'Q100a-geral'!N2506</f>
        <v>x</v>
      </c>
      <c r="O788" s="93" t="str">
        <f>'Q100a-geral'!O2506</f>
        <v>x</v>
      </c>
      <c r="P788" s="93" t="str">
        <f>'Q100a-geral'!P2506</f>
        <v>x</v>
      </c>
      <c r="Q788" s="93" t="str">
        <f>'Q100a-geral'!Q2506</f>
        <v>x</v>
      </c>
      <c r="R788" s="93" t="str">
        <f>'Q100a-geral'!R2506</f>
        <v>x</v>
      </c>
      <c r="S788" s="649" t="str">
        <f>'Q100a-geral'!S2506</f>
        <v>só para pesquisa</v>
      </c>
      <c r="T788" s="93" t="str">
        <f>'Q100a-geral'!T2506</f>
        <v>x</v>
      </c>
      <c r="U788" s="93" t="str">
        <f>'Q100a-geral'!U2506</f>
        <v>x</v>
      </c>
      <c r="V788" s="107" t="str">
        <f>'Q100a-geral'!V2506</f>
        <v>só para pesquisa</v>
      </c>
      <c r="W788" s="93" t="str">
        <f>'Q100a-geral'!W2506</f>
        <v>x</v>
      </c>
      <c r="X788" s="93" t="str">
        <f>'Q100a-geral'!X2506</f>
        <v>x</v>
      </c>
      <c r="Y788" s="93" t="str">
        <f>'Q100a-geral'!Y2506</f>
        <v>x</v>
      </c>
      <c r="Z788" s="159">
        <f>'Q100a-geral'!Z2506</f>
        <v>1198</v>
      </c>
      <c r="AA788" s="159">
        <f>'Q100a-geral'!AA2506</f>
        <v>988</v>
      </c>
      <c r="AB788" s="159">
        <f>'Q100a-geral'!AB2506</f>
        <v>996</v>
      </c>
      <c r="AC788" s="159">
        <f>'Q100a-geral'!AC2506</f>
        <v>1021</v>
      </c>
      <c r="AD788" s="159">
        <f>'Q100a-geral'!AD2506</f>
        <v>485</v>
      </c>
      <c r="AE788" s="159">
        <f>'Q100a-geral'!AE2506</f>
        <v>794</v>
      </c>
      <c r="AF788" s="159">
        <f>'Q100a-geral'!AF2506</f>
        <v>658</v>
      </c>
      <c r="AG788" s="159">
        <f>'Q100a-geral'!AG2506</f>
        <v>535</v>
      </c>
      <c r="AH788" s="159">
        <f>'Q100a-geral'!AH2506</f>
        <v>529</v>
      </c>
      <c r="AI788" s="159">
        <f>'Q100a-geral'!AI2506</f>
        <v>498</v>
      </c>
      <c r="AJ788" s="330" t="str">
        <f>'Q100a-geral'!AJ2506</f>
        <v>em apuração</v>
      </c>
      <c r="AK788" s="137" t="str">
        <f>'Q100a-geral'!AK2506</f>
        <v>x</v>
      </c>
      <c r="AL788" s="212" t="str">
        <f>'Q100a-geral'!AL2506</f>
        <v>x</v>
      </c>
      <c r="AM788" s="137" t="str">
        <f>'Q100a-geral'!AM2506</f>
        <v>x</v>
      </c>
      <c r="AN788" s="137" t="str">
        <f>'Q100a-geral'!AN2506</f>
        <v>x</v>
      </c>
      <c r="AO788" s="137" t="str">
        <f>'Q100a-geral'!AO2506</f>
        <v>x</v>
      </c>
      <c r="AP788" s="137" t="str">
        <f>'Q100a-geral'!AP2506</f>
        <v>x</v>
      </c>
      <c r="AQ788" s="137" t="str">
        <f>'Q100a-geral'!AQ2506</f>
        <v>x</v>
      </c>
      <c r="AR788" s="137"/>
      <c r="AS788" s="137"/>
      <c r="AT788" s="137"/>
      <c r="AU788" s="137"/>
      <c r="AV788" s="137" t="str">
        <f>'Q100a-geral'!AV2506</f>
        <v>x</v>
      </c>
      <c r="AW788" s="137"/>
      <c r="AX788" s="137"/>
      <c r="AY788" s="137"/>
      <c r="AZ788" s="137"/>
      <c r="BA788" s="137" t="str">
        <f>'Q100a-geral'!BA2506</f>
        <v>x</v>
      </c>
      <c r="BB788" s="239" t="str">
        <f>'Q100a-geral'!BB2506</f>
        <v>Acidentes de trânsitox</v>
      </c>
      <c r="BC788" s="239" t="str">
        <f>'Q100a-geral'!BC2506</f>
        <v>Acidentes de trânsitoxx</v>
      </c>
      <c r="BD788" s="239" t="str">
        <f>'Q100a-geral'!BD2506</f>
        <v>Acidentes de trânsitox</v>
      </c>
      <c r="BM788" s="193"/>
      <c r="BN788" s="193"/>
      <c r="BO788" s="193"/>
    </row>
    <row r="789" spans="1:67" s="1" customFormat="1" ht="127.5" customHeight="1" x14ac:dyDescent="0.25">
      <c r="A789" s="275" t="str">
        <f>'Q100a-geral'!A2507</f>
        <v>9.1</v>
      </c>
      <c r="B789" s="11" t="str">
        <f>'Q100a-geral'!B2507</f>
        <v>Acidentes de trânsito</v>
      </c>
      <c r="C789" s="57" t="str">
        <f>'Q100a-geral'!C2507</f>
        <v>x</v>
      </c>
      <c r="D789" s="322" t="str">
        <f>'Q100a-geral'!D2507</f>
        <v>VDM</v>
      </c>
      <c r="E789" s="11" t="str">
        <f>'Q100a-geral'!E2507</f>
        <v>x</v>
      </c>
      <c r="F789" s="445" t="str">
        <f>'Q100a-geral'!F2507</f>
        <v>volume diário médio 
obs.: "(simples ou equivalente), que pode ser estimado a partir de contagem do volume em hora de pico, aplicando-se a esse valor o fator de expansão para o dia todo, da via considerada".
obs.: IPV é indicador recomendado em ANTP(2011a, p.43)</v>
      </c>
      <c r="G789" s="14" t="str">
        <f>'Q100a-geral'!G2507</f>
        <v>componete de IPV</v>
      </c>
      <c r="H789" s="173" t="str">
        <f>'Q100a-geral'!H2507</f>
        <v>ainda não incorporado ao SisMob-BH</v>
      </c>
      <c r="I789" s="173" t="str">
        <f>'Q100a-geral'!I2507</f>
        <v>x</v>
      </c>
      <c r="J789" s="107" t="str">
        <f>'Q100a-geral'!J2507</f>
        <v>x</v>
      </c>
      <c r="K789" s="107" t="str">
        <f>'Q100a-geral'!K2507</f>
        <v>x</v>
      </c>
      <c r="L789" s="107" t="str">
        <f>'Q100a-geral'!L2507</f>
        <v>x</v>
      </c>
      <c r="M789" s="107" t="str">
        <f>'Q100a-geral'!M2507</f>
        <v>x</v>
      </c>
      <c r="N789" s="107" t="str">
        <f>'Q100a-geral'!N2507</f>
        <v>x</v>
      </c>
      <c r="O789" s="107" t="str">
        <f>'Q100a-geral'!O2507</f>
        <v>x</v>
      </c>
      <c r="P789" s="107" t="str">
        <f>'Q100a-geral'!P2507</f>
        <v>x</v>
      </c>
      <c r="Q789" s="107" t="str">
        <f>'Q100a-geral'!Q2507</f>
        <v>x</v>
      </c>
      <c r="R789" s="107" t="str">
        <f>'Q100a-geral'!R2507</f>
        <v>x</v>
      </c>
      <c r="S789" s="107" t="str">
        <f>'Q100a-geral'!S2507</f>
        <v>só para pesquisa</v>
      </c>
      <c r="T789" s="107" t="str">
        <f>'Q100a-geral'!T2507</f>
        <v>x</v>
      </c>
      <c r="U789" s="107" t="str">
        <f>'Q100a-geral'!U2507</f>
        <v>x</v>
      </c>
      <c r="V789" s="107" t="str">
        <f>'Q100a-geral'!V2507</f>
        <v>só para pesquisa</v>
      </c>
      <c r="W789" s="107" t="str">
        <f>'Q100a-geral'!W2507</f>
        <v>x</v>
      </c>
      <c r="X789" s="107" t="str">
        <f>'Q100a-geral'!X2507</f>
        <v>x</v>
      </c>
      <c r="Y789" s="107" t="str">
        <f>'Q100a-geral'!Y2507</f>
        <v>x</v>
      </c>
      <c r="Z789" s="107" t="str">
        <f>'Q100a-geral'!Z2507</f>
        <v>x</v>
      </c>
      <c r="AA789" s="107" t="str">
        <f>'Q100a-geral'!AA2507</f>
        <v>x</v>
      </c>
      <c r="AB789" s="107" t="str">
        <f>'Q100a-geral'!AB2507</f>
        <v>x</v>
      </c>
      <c r="AC789" s="107" t="str">
        <f>'Q100a-geral'!AC2507</f>
        <v>x</v>
      </c>
      <c r="AD789" s="107" t="str">
        <f>'Q100a-geral'!AD2507</f>
        <v>x</v>
      </c>
      <c r="AE789" s="107" t="str">
        <f>'Q100a-geral'!AE2507</f>
        <v>x</v>
      </c>
      <c r="AF789" s="107" t="str">
        <f>'Q100a-geral'!AF2507</f>
        <v>x</v>
      </c>
      <c r="AG789" s="107" t="str">
        <f>'Q100a-geral'!AG2507</f>
        <v>x</v>
      </c>
      <c r="AH789" s="107" t="str">
        <f>'Q100a-geral'!AH2507</f>
        <v>x</v>
      </c>
      <c r="AI789" s="107" t="str">
        <f>'Q100a-geral'!AI2507</f>
        <v>x</v>
      </c>
      <c r="AJ789" s="107" t="str">
        <f>'Q100a-geral'!AJ2507</f>
        <v>x</v>
      </c>
      <c r="AK789" s="137" t="str">
        <f>'Q100a-geral'!AK2507</f>
        <v>x</v>
      </c>
      <c r="AL789" s="57" t="str">
        <f>'Q100a-geral'!AL2507</f>
        <v>x</v>
      </c>
      <c r="AM789" s="137" t="str">
        <f>'Q100a-geral'!AM2507</f>
        <v>x</v>
      </c>
      <c r="AN789" s="137" t="str">
        <f>'Q100a-geral'!AN2507</f>
        <v>x</v>
      </c>
      <c r="AO789" s="137" t="str">
        <f>'Q100a-geral'!AO2507</f>
        <v>x</v>
      </c>
      <c r="AP789" s="137" t="str">
        <f>'Q100a-geral'!AP2507</f>
        <v>x</v>
      </c>
      <c r="AQ789" s="137" t="str">
        <f>'Q100a-geral'!AQ2507</f>
        <v>x</v>
      </c>
      <c r="AR789" s="137"/>
      <c r="AS789" s="137"/>
      <c r="AT789" s="137"/>
      <c r="AU789" s="137"/>
      <c r="AV789" s="137" t="str">
        <f>'Q100a-geral'!AV2507</f>
        <v>x</v>
      </c>
      <c r="AW789" s="137"/>
      <c r="AX789" s="137"/>
      <c r="AY789" s="137"/>
      <c r="AZ789" s="137"/>
      <c r="BA789" s="137" t="str">
        <f>'Q100a-geral'!BA2507</f>
        <v>x</v>
      </c>
      <c r="BB789" s="239" t="str">
        <f>'Q100a-geral'!BB2507</f>
        <v>Acidentes de trânsitox</v>
      </c>
      <c r="BC789" s="239" t="str">
        <f>'Q100a-geral'!BC2507</f>
        <v>Acidentes de trânsitoxainda não incorporado ao SisMob-BH</v>
      </c>
      <c r="BD789" s="239" t="str">
        <f>'Q100a-geral'!BD2507</f>
        <v>Acidentes de trânsitoainda não incorporado ao SisMob-BH</v>
      </c>
      <c r="BM789" s="193"/>
      <c r="BN789" s="193"/>
      <c r="BO789" s="193"/>
    </row>
    <row r="790" spans="1:67" s="1" customFormat="1" ht="78.75" customHeight="1" x14ac:dyDescent="0.25">
      <c r="A790" s="275" t="str">
        <f>'Q100a-geral'!A2517</f>
        <v>2.5</v>
      </c>
      <c r="B790" s="54" t="str">
        <f>'Q100a-geral'!B2517</f>
        <v>Distribuição modal em pesquisas origem/destino</v>
      </c>
      <c r="C790" s="167" t="str">
        <f>'Q100a-geral'!C2517</f>
        <v>x</v>
      </c>
      <c r="D790" s="322" t="str">
        <f>'Q100a-geral'!D2517</f>
        <v>viagem</v>
      </c>
      <c r="E790" s="11" t="str">
        <f>'Q100a-geral'!E2517</f>
        <v>x</v>
      </c>
      <c r="F790" s="445" t="str">
        <f>'Q100a-geral'!F2517</f>
        <v>conjunto (somatória) de deslocamentos necessários para ir de um ponto a outro em uma pesquisa origem/destino; no caso de utilização de mais de um modo de transporte em uma mesma viagem, essa viagem é contada como sendo a do deslocamento no modo de maior capacidade, ou seja, por exemplo: metrô + ônibus = metrô; ônibus + automóvel = ônibus (o SisMob-BH buscará, sempre que possível, os resultados relativos a Belo Horizonte e à RMBH)</v>
      </c>
      <c r="G790" s="11" t="str">
        <f>'Q100a-geral'!G2517</f>
        <v>verbete
MFO</v>
      </c>
      <c r="H790" s="233" t="str">
        <f>'Q100a-geral'!H2517</f>
        <v>sigla/verbete</v>
      </c>
      <c r="I790" s="172" t="str">
        <f>'Q100a-geral'!I2517</f>
        <v>x</v>
      </c>
      <c r="J790" s="109" t="str">
        <f>'Q100a-geral'!J2517</f>
        <v>x</v>
      </c>
      <c r="K790" s="109" t="str">
        <f>'Q100a-geral'!K2517</f>
        <v>x</v>
      </c>
      <c r="L790" s="109" t="str">
        <f>'Q100a-geral'!L2517</f>
        <v>x</v>
      </c>
      <c r="M790" s="109" t="str">
        <f>'Q100a-geral'!M2517</f>
        <v>x</v>
      </c>
      <c r="N790" s="109" t="str">
        <f>'Q100a-geral'!N2517</f>
        <v>x</v>
      </c>
      <c r="O790" s="109" t="str">
        <f>'Q100a-geral'!O2517</f>
        <v>x</v>
      </c>
      <c r="P790" s="109" t="str">
        <f>'Q100a-geral'!P2517</f>
        <v>x</v>
      </c>
      <c r="Q790" s="109" t="str">
        <f>'Q100a-geral'!Q2517</f>
        <v>x</v>
      </c>
      <c r="R790" s="109" t="str">
        <f>'Q100a-geral'!R2517</f>
        <v>x</v>
      </c>
      <c r="S790" s="109" t="str">
        <f>'Q100a-geral'!S2517</f>
        <v>só para pesquisa</v>
      </c>
      <c r="T790" s="109" t="str">
        <f>'Q100a-geral'!T2517</f>
        <v>x</v>
      </c>
      <c r="U790" s="109" t="str">
        <f>'Q100a-geral'!U2517</f>
        <v>x</v>
      </c>
      <c r="V790" s="109" t="str">
        <f>'Q100a-geral'!V2517</f>
        <v>só para pesquisa</v>
      </c>
      <c r="W790" s="109" t="str">
        <f>'Q100a-geral'!W2517</f>
        <v>x</v>
      </c>
      <c r="X790" s="109" t="str">
        <f>'Q100a-geral'!X2517</f>
        <v>x</v>
      </c>
      <c r="Y790" s="109" t="str">
        <f>'Q100a-geral'!Y2517</f>
        <v>x</v>
      </c>
      <c r="Z790" s="109" t="str">
        <f>'Q100a-geral'!Z2517</f>
        <v>x</v>
      </c>
      <c r="AA790" s="109" t="str">
        <f>'Q100a-geral'!AA2517</f>
        <v>x</v>
      </c>
      <c r="AB790" s="109" t="str">
        <f>'Q100a-geral'!AB2517</f>
        <v>x</v>
      </c>
      <c r="AC790" s="109" t="str">
        <f>'Q100a-geral'!AC2517</f>
        <v>x</v>
      </c>
      <c r="AD790" s="109" t="str">
        <f>'Q100a-geral'!AD2517</f>
        <v>x</v>
      </c>
      <c r="AE790" s="109" t="str">
        <f>'Q100a-geral'!AE2517</f>
        <v>x</v>
      </c>
      <c r="AF790" s="109" t="str">
        <f>'Q100a-geral'!AF2517</f>
        <v>x</v>
      </c>
      <c r="AG790" s="109" t="str">
        <f>'Q100a-geral'!AG2517</f>
        <v>x</v>
      </c>
      <c r="AH790" s="109" t="str">
        <f>'Q100a-geral'!AH2517</f>
        <v>x</v>
      </c>
      <c r="AI790" s="109" t="str">
        <f>'Q100a-geral'!AI2517</f>
        <v>x</v>
      </c>
      <c r="AJ790" s="109" t="str">
        <f>'Q100a-geral'!AJ2517</f>
        <v>x</v>
      </c>
      <c r="AK790" s="137" t="str">
        <f>'Q100a-geral'!AK2517</f>
        <v>x</v>
      </c>
      <c r="AL790" s="167" t="str">
        <f>'Q100a-geral'!AL2517</f>
        <v>x</v>
      </c>
      <c r="AM790" s="137" t="str">
        <f>'Q100a-geral'!AM2517</f>
        <v>x</v>
      </c>
      <c r="AN790" s="137" t="str">
        <f>'Q100a-geral'!AN2517</f>
        <v>x</v>
      </c>
      <c r="AO790" s="137" t="str">
        <f>'Q100a-geral'!AO2517</f>
        <v>x</v>
      </c>
      <c r="AP790" s="137" t="str">
        <f>'Q100a-geral'!AP2517</f>
        <v>x</v>
      </c>
      <c r="AQ790" s="137" t="str">
        <f>'Q100a-geral'!AQ2517</f>
        <v>x</v>
      </c>
      <c r="AR790" s="137"/>
      <c r="AS790" s="137"/>
      <c r="AT790" s="137"/>
      <c r="AU790" s="137"/>
      <c r="AV790" s="137" t="str">
        <f>'Q100a-geral'!AV2517</f>
        <v>x</v>
      </c>
      <c r="AW790" s="137"/>
      <c r="AX790" s="137"/>
      <c r="AY790" s="137"/>
      <c r="AZ790" s="137"/>
      <c r="BA790" s="137" t="str">
        <f>'Q100a-geral'!BA2517</f>
        <v>x</v>
      </c>
      <c r="BB790" s="239" t="str">
        <f>'Q100a-geral'!BB2517</f>
        <v>Distribuição modal em pesquisas origem/destinox</v>
      </c>
      <c r="BC790" s="239" t="str">
        <f>'Q100a-geral'!BC2517</f>
        <v>Distribuição modal em pesquisas origem/destinoxsigla/verbete</v>
      </c>
      <c r="BD790" s="239" t="str">
        <f>'Q100a-geral'!BD2517</f>
        <v>Distribuição modal em pesquisas origem/destinosigla/verbete</v>
      </c>
      <c r="BM790" s="193"/>
      <c r="BN790" s="193"/>
      <c r="BO790" s="193"/>
    </row>
    <row r="791" spans="1:67" ht="57.75" x14ac:dyDescent="0.25">
      <c r="A791" s="275" t="str">
        <f>'Q100a-geral'!A2533</f>
        <v>8.10</v>
      </c>
      <c r="B791" s="266" t="str">
        <f>'Q100a-geral'!B2533</f>
        <v>Sistema de transporte coletivo com um todo</v>
      </c>
      <c r="C791" s="231" t="str">
        <f>'Q100a-geral'!C2533</f>
        <v>CMMCE</v>
      </c>
      <c r="D791" s="9" t="str">
        <f>'Q100a-geral'!D2533</f>
        <v>em processo de incorporação</v>
      </c>
      <c r="E791" s="5" t="str">
        <f>'Q100a-geral'!E2533</f>
        <v>Belo Horizonte</v>
      </c>
      <c r="F791" s="448" t="str">
        <f>'Q100a-geral'!F2533</f>
        <v>porcentagem de utilização do sistema de transporte coletivo (indicador organizado pelo ObsMob-BH e selecionado pelo CMMCE)</v>
      </c>
      <c r="G791" s="5" t="str">
        <f>'Q100a-geral'!G2533</f>
        <v>ainda não incorporado ao SisMob-BH</v>
      </c>
      <c r="H791" s="168" t="str">
        <f>'Q100a-geral'!H2533</f>
        <v>ainda não incorporado ao SisMob-BH</v>
      </c>
      <c r="I791" s="167">
        <f>'Q100a-geral'!I2533</f>
        <v>1</v>
      </c>
      <c r="J791" s="107" t="str">
        <f>'Q100a-geral'!J2533</f>
        <v>x</v>
      </c>
      <c r="K791" s="107" t="str">
        <f>'Q100a-geral'!K2533</f>
        <v>x</v>
      </c>
      <c r="L791" s="107" t="str">
        <f>'Q100a-geral'!L2533</f>
        <v>x</v>
      </c>
      <c r="M791" s="107" t="str">
        <f>'Q100a-geral'!M2533</f>
        <v>x</v>
      </c>
      <c r="N791" s="107" t="str">
        <f>'Q100a-geral'!N2533</f>
        <v>x</v>
      </c>
      <c r="O791" s="107" t="str">
        <f>'Q100a-geral'!O2533</f>
        <v>x</v>
      </c>
      <c r="P791" s="107" t="str">
        <f>'Q100a-geral'!P2533</f>
        <v>x</v>
      </c>
      <c r="Q791" s="107" t="str">
        <f>'Q100a-geral'!Q2533</f>
        <v>x</v>
      </c>
      <c r="R791" s="107" t="str">
        <f>'Q100a-geral'!R2533</f>
        <v>x</v>
      </c>
      <c r="S791" s="107" t="str">
        <f>'Q100a-geral'!S2533</f>
        <v>só para pesquisa</v>
      </c>
      <c r="T791" s="107" t="str">
        <f>'Q100a-geral'!T2533</f>
        <v>x</v>
      </c>
      <c r="U791" s="107" t="str">
        <f>'Q100a-geral'!U2533</f>
        <v>x</v>
      </c>
      <c r="V791" s="107" t="str">
        <f>'Q100a-geral'!V2533</f>
        <v>só para pesquisa</v>
      </c>
      <c r="W791" s="107" t="str">
        <f>'Q100a-geral'!W2533</f>
        <v>x</v>
      </c>
      <c r="X791" s="107" t="str">
        <f>'Q100a-geral'!X2533</f>
        <v>x</v>
      </c>
      <c r="Y791" s="107" t="str">
        <f>'Q100a-geral'!Y2533</f>
        <v>x</v>
      </c>
      <c r="Z791" s="107" t="str">
        <f>'Q100a-geral'!Z2533</f>
        <v>x</v>
      </c>
      <c r="AA791" s="107" t="str">
        <f>'Q100a-geral'!AA2533</f>
        <v>x</v>
      </c>
      <c r="AB791" s="107" t="str">
        <f>'Q100a-geral'!AB2533</f>
        <v>x</v>
      </c>
      <c r="AC791" s="107" t="str">
        <f>'Q100a-geral'!AC2533</f>
        <v>x</v>
      </c>
      <c r="AD791" s="107" t="str">
        <f>'Q100a-geral'!AD2533</f>
        <v>x</v>
      </c>
      <c r="AE791" s="107" t="str">
        <f>'Q100a-geral'!AE2533</f>
        <v>x</v>
      </c>
      <c r="AF791" s="107" t="str">
        <f>'Q100a-geral'!AF2533</f>
        <v>x</v>
      </c>
      <c r="AG791" s="107" t="str">
        <f>'Q100a-geral'!AG2533</f>
        <v>x</v>
      </c>
      <c r="AH791" s="107" t="str">
        <f>'Q100a-geral'!AH2533</f>
        <v>x</v>
      </c>
      <c r="AI791" s="107" t="str">
        <f>'Q100a-geral'!AI2533</f>
        <v>x</v>
      </c>
      <c r="AJ791" s="107" t="str">
        <f>'Q100a-geral'!AJ2533</f>
        <v>x</v>
      </c>
      <c r="AK791" s="137" t="str">
        <f>'Q100a-geral'!AK2533</f>
        <v>x</v>
      </c>
      <c r="AL791" s="173" t="str">
        <f>'Q100a-geral'!AL2533</f>
        <v>x</v>
      </c>
      <c r="AM791" s="137" t="str">
        <f>'Q100a-geral'!AM2533</f>
        <v>x</v>
      </c>
      <c r="AN791" s="137" t="str">
        <f>'Q100a-geral'!AN2533</f>
        <v>x</v>
      </c>
      <c r="AO791" s="137" t="str">
        <f>'Q100a-geral'!AO2533</f>
        <v>x</v>
      </c>
      <c r="AP791" s="137" t="str">
        <f>'Q100a-geral'!AP2533</f>
        <v>x</v>
      </c>
      <c r="AQ791" s="137" t="str">
        <f>'Q100a-geral'!AQ2533</f>
        <v>x</v>
      </c>
      <c r="AR791" s="137"/>
      <c r="AS791" s="137"/>
      <c r="AT791" s="137"/>
      <c r="AU791" s="137"/>
      <c r="AV791" s="137" t="str">
        <f>'Q100a-geral'!AV2533</f>
        <v>x</v>
      </c>
      <c r="AW791" s="137"/>
      <c r="AX791" s="137"/>
      <c r="AY791" s="137"/>
      <c r="AZ791" s="137"/>
      <c r="BA791" s="137" t="str">
        <f>'Q100a-geral'!BA2533</f>
        <v>x</v>
      </c>
      <c r="BB791" s="239" t="str">
        <f>'Q100a-geral'!BB2533</f>
        <v>Sistema de transporte coletivo com um todoCMMCE</v>
      </c>
      <c r="BC791" s="239" t="str">
        <f>'Q100a-geral'!BC2533</f>
        <v>Sistema de transporte coletivo com um todoCMMCEainda não incorporado ao SisMob-BH</v>
      </c>
      <c r="BD791" s="239" t="str">
        <f>'Q100a-geral'!BD2533</f>
        <v>Sistema de transporte coletivo com um todoainda não incorporado ao SisMob-BH</v>
      </c>
      <c r="BM791" s="193"/>
      <c r="BN791" s="193"/>
      <c r="BO791" s="193"/>
    </row>
    <row r="792" spans="1:67" ht="15.75" customHeight="1" x14ac:dyDescent="0.25">
      <c r="A792" s="275" t="str">
        <f>'Q100a-geral'!A2586</f>
        <v>x</v>
      </c>
      <c r="B792" s="11" t="str">
        <f>'Q100a-geral'!B2586</f>
        <v>x</v>
      </c>
      <c r="C792" s="57" t="str">
        <f>'Q100a-geral'!C2586</f>
        <v>x</v>
      </c>
      <c r="D792" s="9" t="str">
        <f>'Q100a-geral'!D2586</f>
        <v>x</v>
      </c>
      <c r="E792" s="5">
        <f>'Q100a-geral'!E2586</f>
        <v>0</v>
      </c>
      <c r="F792" s="445" t="str">
        <f>'Q100a-geral'!F2586</f>
        <v>x</v>
      </c>
      <c r="G792" s="5" t="str">
        <f>'Q100a-geral'!G2586</f>
        <v>x</v>
      </c>
      <c r="H792" s="168" t="str">
        <f>'Q100a-geral'!H2586</f>
        <v>x</v>
      </c>
      <c r="I792" s="167" t="str">
        <f>'Q100a-geral'!I2586</f>
        <v>x</v>
      </c>
      <c r="J792" s="107" t="str">
        <f>'Q100a-geral'!J2586</f>
        <v>x</v>
      </c>
      <c r="K792" s="107" t="str">
        <f>'Q100a-geral'!K2586</f>
        <v>x</v>
      </c>
      <c r="L792" s="107" t="str">
        <f>'Q100a-geral'!L2586</f>
        <v>x</v>
      </c>
      <c r="M792" s="107" t="str">
        <f>'Q100a-geral'!M2586</f>
        <v>x</v>
      </c>
      <c r="N792" s="107" t="str">
        <f>'Q100a-geral'!N2586</f>
        <v>x</v>
      </c>
      <c r="O792" s="107" t="str">
        <f>'Q100a-geral'!O2586</f>
        <v>x</v>
      </c>
      <c r="P792" s="107" t="str">
        <f>'Q100a-geral'!P2586</f>
        <v>x</v>
      </c>
      <c r="Q792" s="107" t="str">
        <f>'Q100a-geral'!Q2586</f>
        <v>x</v>
      </c>
      <c r="R792" s="107" t="str">
        <f>'Q100a-geral'!R2586</f>
        <v>x</v>
      </c>
      <c r="S792" s="107" t="str">
        <f>'Q100a-geral'!S2586</f>
        <v>só para pesquisa</v>
      </c>
      <c r="T792" s="107" t="str">
        <f>'Q100a-geral'!T2586</f>
        <v>x</v>
      </c>
      <c r="U792" s="107" t="str">
        <f>'Q100a-geral'!U2586</f>
        <v>x</v>
      </c>
      <c r="V792" s="107" t="str">
        <f>'Q100a-geral'!V2586</f>
        <v>só para pesquisa</v>
      </c>
      <c r="W792" s="107" t="str">
        <f>'Q100a-geral'!W2586</f>
        <v>x</v>
      </c>
      <c r="X792" s="107" t="str">
        <f>'Q100a-geral'!X2586</f>
        <v>x</v>
      </c>
      <c r="Y792" s="107" t="str">
        <f>'Q100a-geral'!Y2586</f>
        <v>x</v>
      </c>
      <c r="Z792" s="107" t="str">
        <f>'Q100a-geral'!Z2586</f>
        <v>x</v>
      </c>
      <c r="AA792" s="107" t="str">
        <f>'Q100a-geral'!AA2586</f>
        <v>x</v>
      </c>
      <c r="AB792" s="107" t="str">
        <f>'Q100a-geral'!AB2586</f>
        <v>x</v>
      </c>
      <c r="AC792" s="107" t="str">
        <f>'Q100a-geral'!AC2586</f>
        <v>x</v>
      </c>
      <c r="AD792" s="107" t="str">
        <f>'Q100a-geral'!AD2586</f>
        <v>x</v>
      </c>
      <c r="AE792" s="107" t="str">
        <f>'Q100a-geral'!AE2586</f>
        <v>x</v>
      </c>
      <c r="AF792" s="107" t="str">
        <f>'Q100a-geral'!AF2586</f>
        <v>x</v>
      </c>
      <c r="AG792" s="107" t="str">
        <f>'Q100a-geral'!AG2586</f>
        <v>x</v>
      </c>
      <c r="AH792" s="107" t="str">
        <f>'Q100a-geral'!AH2586</f>
        <v>x</v>
      </c>
      <c r="AI792" s="107" t="str">
        <f>'Q100a-geral'!AI2586</f>
        <v>x</v>
      </c>
      <c r="AJ792" s="107" t="str">
        <f>'Q100a-geral'!AJ2586</f>
        <v>x</v>
      </c>
      <c r="AK792" s="137" t="str">
        <f>'Q100a-geral'!AK2586</f>
        <v>x</v>
      </c>
      <c r="AL792" s="173" t="str">
        <f>'Q100a-geral'!AL2586</f>
        <v>x</v>
      </c>
      <c r="AM792" s="137" t="str">
        <f>'Q100a-geral'!AM2586</f>
        <v>x</v>
      </c>
      <c r="AN792" s="137" t="str">
        <f>'Q100a-geral'!AN2586</f>
        <v>x</v>
      </c>
      <c r="AO792" s="137" t="str">
        <f>'Q100a-geral'!AO2586</f>
        <v>x</v>
      </c>
      <c r="AP792" s="137" t="str">
        <f>'Q100a-geral'!AP2586</f>
        <v>x</v>
      </c>
      <c r="AQ792" s="137" t="str">
        <f>'Q100a-geral'!AQ2586</f>
        <v>x</v>
      </c>
      <c r="AR792" s="137"/>
      <c r="AS792" s="137"/>
      <c r="AT792" s="137"/>
      <c r="AU792" s="137"/>
      <c r="AV792" s="137" t="str">
        <f>'Q100a-geral'!AV2586</f>
        <v>x</v>
      </c>
      <c r="AW792" s="137"/>
      <c r="AX792" s="137"/>
      <c r="AY792" s="137"/>
      <c r="AZ792" s="137"/>
      <c r="BA792" s="137" t="str">
        <f>'Q100a-geral'!BA2586</f>
        <v>x</v>
      </c>
      <c r="BB792" s="239" t="str">
        <f>'Q100a-geral'!BB2586</f>
        <v>xx</v>
      </c>
      <c r="BC792" s="239" t="str">
        <f>'Q100a-geral'!BC2586</f>
        <v>xxx</v>
      </c>
      <c r="BD792" s="239" t="str">
        <f>'Q100a-geral'!BD2586</f>
        <v>xx</v>
      </c>
      <c r="BM792" s="193"/>
      <c r="BN792" s="193"/>
      <c r="BO792" s="193"/>
    </row>
    <row r="793" spans="1:67" ht="16.5" customHeight="1" thickBot="1" x14ac:dyDescent="0.3">
      <c r="A793" s="275"/>
      <c r="B793" s="267" t="s">
        <v>418</v>
      </c>
      <c r="C793" s="232"/>
      <c r="D793" s="39" t="s">
        <v>418</v>
      </c>
      <c r="E793" s="55" t="s">
        <v>432</v>
      </c>
      <c r="F793" s="638" t="s">
        <v>2</v>
      </c>
      <c r="G793" s="62" t="s">
        <v>2</v>
      </c>
      <c r="H793" s="236"/>
      <c r="I793" s="6">
        <f>SUM(I4:I792)</f>
        <v>1064</v>
      </c>
      <c r="J793" s="65"/>
      <c r="K793" s="16"/>
      <c r="L793" s="16"/>
      <c r="M793" s="16"/>
      <c r="N793" s="16"/>
      <c r="O793" s="16"/>
      <c r="P793" s="16"/>
      <c r="Q793" s="16"/>
      <c r="R793" s="16"/>
      <c r="S793" s="1160"/>
      <c r="T793" s="16"/>
      <c r="U793" s="16"/>
      <c r="V793" s="1160"/>
      <c r="BB793" s="193"/>
      <c r="BC793" s="193"/>
      <c r="BD793" s="193"/>
      <c r="BE793" s="193"/>
      <c r="BF793" s="193"/>
      <c r="BG793" s="193"/>
      <c r="BH793" s="193"/>
      <c r="BI793" s="193"/>
      <c r="BJ793" s="193"/>
      <c r="BK793" s="193"/>
      <c r="BL793" s="193"/>
      <c r="BM793" s="193"/>
      <c r="BN793" s="193"/>
      <c r="BO793" s="193"/>
    </row>
    <row r="794" spans="1:67" ht="33.75" customHeight="1" x14ac:dyDescent="0.25">
      <c r="B794" s="1798" t="s">
        <v>431</v>
      </c>
      <c r="C794" s="1798"/>
      <c r="D794" s="1799"/>
      <c r="E794" s="1799"/>
      <c r="F794" s="1799"/>
      <c r="G794" s="1799"/>
      <c r="H794" s="1799"/>
      <c r="I794" s="1799"/>
      <c r="J794" s="82"/>
      <c r="K794" s="16"/>
      <c r="L794" s="16"/>
      <c r="M794" s="16"/>
      <c r="N794" s="16"/>
      <c r="O794" s="16"/>
      <c r="P794" s="16"/>
      <c r="Q794" s="16"/>
      <c r="R794" s="16"/>
      <c r="S794" s="1160"/>
      <c r="T794" s="16"/>
      <c r="U794" s="16"/>
      <c r="V794" s="1160"/>
      <c r="BB794" s="193"/>
      <c r="BC794" s="193"/>
      <c r="BD794" s="193"/>
      <c r="BE794" s="193"/>
      <c r="BF794" s="193"/>
      <c r="BG794" s="193"/>
      <c r="BH794" s="193"/>
      <c r="BI794" s="193"/>
      <c r="BJ794" s="193"/>
      <c r="BK794" s="193"/>
      <c r="BL794" s="193"/>
      <c r="BM794" s="193"/>
      <c r="BN794" s="193"/>
      <c r="BO794" s="193"/>
    </row>
    <row r="795" spans="1:67" x14ac:dyDescent="0.25">
      <c r="B795" s="105"/>
      <c r="G795" s="32"/>
      <c r="H795" s="272"/>
      <c r="I795" s="272"/>
      <c r="J795" s="272"/>
      <c r="K795" s="193"/>
      <c r="L795" s="193"/>
      <c r="M795" s="193"/>
      <c r="N795" s="193"/>
      <c r="O795" s="193"/>
      <c r="P795" s="193"/>
      <c r="Q795" s="193"/>
      <c r="R795" s="193"/>
      <c r="S795" s="1140"/>
      <c r="T795" s="193"/>
      <c r="U795" s="193"/>
      <c r="V795" s="1140"/>
      <c r="W795" s="272"/>
      <c r="X795" s="272"/>
      <c r="BB795" s="68"/>
      <c r="BC795" s="68"/>
      <c r="BD795" s="68"/>
      <c r="BE795" s="68"/>
      <c r="BF795" s="68"/>
      <c r="BG795" s="68"/>
      <c r="BH795" s="68"/>
      <c r="BI795" s="68"/>
      <c r="BJ795" s="68"/>
      <c r="BK795" s="68"/>
      <c r="BL795" s="68"/>
      <c r="BM795" s="68"/>
      <c r="BN795" s="68"/>
      <c r="BO795" s="68"/>
    </row>
    <row r="796" spans="1:67" x14ac:dyDescent="0.25">
      <c r="B796" s="105"/>
      <c r="G796" s="105"/>
      <c r="H796" s="105"/>
      <c r="I796" s="105"/>
      <c r="J796" s="105"/>
    </row>
    <row r="797" spans="1:67" ht="16.5" customHeight="1" x14ac:dyDescent="0.25">
      <c r="A797" s="187" t="s">
        <v>998</v>
      </c>
      <c r="B797" s="187" t="s">
        <v>939</v>
      </c>
      <c r="C797" s="282" t="s">
        <v>936</v>
      </c>
      <c r="D797" s="166" t="s">
        <v>433</v>
      </c>
      <c r="E797" s="57"/>
      <c r="F797" s="480" t="s">
        <v>434</v>
      </c>
      <c r="G797" s="187" t="s">
        <v>435</v>
      </c>
      <c r="H797" s="187" t="s">
        <v>937</v>
      </c>
      <c r="I797" s="187" t="s">
        <v>940</v>
      </c>
      <c r="J797" s="187">
        <v>1990</v>
      </c>
      <c r="K797" s="187">
        <v>1991</v>
      </c>
      <c r="L797" s="187">
        <v>1992</v>
      </c>
      <c r="M797" s="187">
        <v>1993</v>
      </c>
      <c r="N797" s="187">
        <v>1994</v>
      </c>
      <c r="O797" s="187">
        <v>1995</v>
      </c>
      <c r="P797" s="187">
        <v>1996</v>
      </c>
      <c r="Q797" s="187">
        <v>1997</v>
      </c>
      <c r="R797" s="280" t="s">
        <v>1002</v>
      </c>
      <c r="S797" s="280" t="s">
        <v>1003</v>
      </c>
      <c r="T797" s="187">
        <v>1999</v>
      </c>
      <c r="U797" s="280" t="s">
        <v>1004</v>
      </c>
      <c r="V797" s="280" t="s">
        <v>1001</v>
      </c>
      <c r="W797" s="187">
        <v>2001</v>
      </c>
      <c r="X797" s="187">
        <v>2002</v>
      </c>
      <c r="Y797" s="187">
        <v>2003</v>
      </c>
      <c r="Z797" s="187">
        <v>2004</v>
      </c>
      <c r="AA797" s="187">
        <v>2005</v>
      </c>
      <c r="AB797" s="187">
        <v>2006</v>
      </c>
      <c r="AC797" s="187">
        <v>2007</v>
      </c>
      <c r="AD797" s="187">
        <v>2008</v>
      </c>
      <c r="AE797" s="187">
        <v>2009</v>
      </c>
      <c r="AF797" s="187">
        <v>2010</v>
      </c>
      <c r="AG797" s="187">
        <v>2011</v>
      </c>
      <c r="AH797" s="187">
        <v>2012</v>
      </c>
      <c r="AI797" s="187">
        <v>2013</v>
      </c>
      <c r="AJ797" s="187">
        <v>2014</v>
      </c>
      <c r="AK797" s="187">
        <v>2015</v>
      </c>
      <c r="AL797" s="187" t="s">
        <v>432</v>
      </c>
      <c r="AM797" s="187">
        <v>2016</v>
      </c>
      <c r="AN797" s="187">
        <v>2017</v>
      </c>
      <c r="AO797" s="187">
        <v>2018</v>
      </c>
      <c r="AP797" s="187">
        <v>2019</v>
      </c>
      <c r="AQ797" s="187">
        <v>2020</v>
      </c>
      <c r="AR797" s="187"/>
      <c r="AS797" s="187"/>
      <c r="AT797" s="187"/>
      <c r="AU797" s="187"/>
      <c r="AV797" s="187">
        <v>2025</v>
      </c>
      <c r="AW797" s="187"/>
      <c r="AX797" s="187"/>
      <c r="AY797" s="187"/>
      <c r="AZ797" s="187"/>
      <c r="BA797" s="187">
        <v>2030</v>
      </c>
      <c r="BB797" s="187" t="s">
        <v>938</v>
      </c>
      <c r="BC797" s="187"/>
      <c r="BD797" s="187"/>
    </row>
    <row r="798" spans="1:67" x14ac:dyDescent="0.25">
      <c r="A798" s="281" t="s">
        <v>651</v>
      </c>
      <c r="B798" s="281" t="s">
        <v>750</v>
      </c>
      <c r="C798" s="141" t="s">
        <v>432</v>
      </c>
      <c r="D798" s="131" t="s">
        <v>105</v>
      </c>
      <c r="E798" s="132"/>
      <c r="F798" s="639"/>
      <c r="G798" s="281"/>
      <c r="H798" s="281"/>
      <c r="I798" s="281"/>
      <c r="J798" s="281"/>
      <c r="K798" s="281"/>
      <c r="L798" s="281"/>
      <c r="M798" s="281"/>
      <c r="N798" s="281"/>
      <c r="O798" s="139"/>
      <c r="P798" s="139"/>
      <c r="Q798" s="139"/>
      <c r="R798" s="139"/>
      <c r="S798" s="139"/>
      <c r="T798" s="139"/>
      <c r="U798" s="139"/>
      <c r="V798" s="139"/>
      <c r="W798" s="139"/>
      <c r="X798" s="139"/>
      <c r="Y798" s="139"/>
      <c r="Z798" s="139"/>
      <c r="AA798" s="139"/>
      <c r="AB798" s="139"/>
      <c r="AC798" s="139"/>
      <c r="AD798" s="139"/>
      <c r="AE798" s="139"/>
      <c r="AF798" s="139"/>
      <c r="AG798" s="139"/>
      <c r="AH798" s="142"/>
      <c r="AI798" s="138"/>
      <c r="AJ798" s="141">
        <v>50</v>
      </c>
      <c r="AK798" s="138"/>
      <c r="AL798" s="316" t="s">
        <v>432</v>
      </c>
      <c r="AM798" s="138"/>
      <c r="AN798" s="138"/>
      <c r="AO798" s="141"/>
      <c r="AP798" s="141"/>
      <c r="AQ798" s="141"/>
      <c r="AR798" s="141"/>
      <c r="AS798" s="141"/>
      <c r="AT798" s="141"/>
      <c r="AU798" s="141"/>
      <c r="AV798" s="281"/>
      <c r="AW798" s="281"/>
      <c r="AX798" s="281"/>
      <c r="AY798" s="281"/>
      <c r="AZ798" s="281"/>
      <c r="BA798" s="281"/>
      <c r="BB798" s="281"/>
      <c r="BC798" s="281"/>
      <c r="BD798" s="281"/>
    </row>
    <row r="799" spans="1:67" x14ac:dyDescent="0.25">
      <c r="A799" s="281" t="s">
        <v>651</v>
      </c>
      <c r="B799" s="281" t="s">
        <v>750</v>
      </c>
      <c r="C799" s="141" t="s">
        <v>432</v>
      </c>
      <c r="D799" s="131" t="s">
        <v>1182</v>
      </c>
      <c r="E799" s="132"/>
      <c r="F799" s="639"/>
      <c r="G799" s="281"/>
      <c r="H799" s="281"/>
      <c r="I799" s="281"/>
      <c r="J799" s="281"/>
      <c r="K799" s="281"/>
      <c r="L799" s="281"/>
      <c r="M799" s="281"/>
      <c r="N799" s="281"/>
      <c r="O799" s="139"/>
      <c r="P799" s="139"/>
      <c r="Q799" s="139"/>
      <c r="R799" s="139"/>
      <c r="S799" s="139"/>
      <c r="T799" s="139"/>
      <c r="U799" s="139"/>
      <c r="V799" s="139"/>
      <c r="W799" s="139"/>
      <c r="X799" s="139"/>
      <c r="Y799" s="139"/>
      <c r="Z799" s="139"/>
      <c r="AA799" s="139"/>
      <c r="AB799" s="139"/>
      <c r="AC799" s="139"/>
      <c r="AD799" s="139"/>
      <c r="AE799" s="139"/>
      <c r="AF799" s="139"/>
      <c r="AG799" s="139"/>
      <c r="AH799" s="142"/>
      <c r="AI799" s="133"/>
      <c r="AJ799" s="133"/>
      <c r="AK799" s="133"/>
      <c r="AL799" s="316" t="s">
        <v>432</v>
      </c>
      <c r="AM799" s="133">
        <v>30</v>
      </c>
      <c r="AN799" s="133"/>
      <c r="AO799" s="141"/>
      <c r="AP799" s="141"/>
      <c r="AQ799" s="141"/>
      <c r="AR799" s="141"/>
      <c r="AS799" s="141"/>
      <c r="AT799" s="141"/>
      <c r="AU799" s="141"/>
      <c r="AV799" s="281"/>
      <c r="AW799" s="281"/>
      <c r="AX799" s="281"/>
      <c r="AY799" s="281"/>
      <c r="AZ799" s="281"/>
      <c r="BA799" s="281"/>
      <c r="BB799" s="281"/>
      <c r="BC799" s="281"/>
      <c r="BD799" s="281"/>
    </row>
    <row r="800" spans="1:67" x14ac:dyDescent="0.25">
      <c r="A800" s="281" t="s">
        <v>651</v>
      </c>
      <c r="B800" s="281" t="s">
        <v>750</v>
      </c>
      <c r="C800" s="141" t="s">
        <v>432</v>
      </c>
      <c r="D800" s="317" t="s">
        <v>1005</v>
      </c>
      <c r="E800" s="477"/>
      <c r="F800" s="640"/>
      <c r="G800" s="139"/>
      <c r="H800" s="139"/>
      <c r="I800" s="139"/>
      <c r="J800" s="139"/>
      <c r="K800" s="139"/>
      <c r="L800" s="139"/>
      <c r="M800" s="139"/>
      <c r="N800" s="139"/>
      <c r="O800" s="139"/>
      <c r="P800" s="139"/>
      <c r="Q800" s="139"/>
      <c r="R800" s="139"/>
      <c r="S800" s="139"/>
      <c r="T800" s="139"/>
      <c r="U800" s="139"/>
      <c r="V800" s="139"/>
      <c r="W800" s="139"/>
      <c r="X800" s="139"/>
      <c r="Y800" s="139"/>
      <c r="Z800" s="139"/>
      <c r="AA800" s="139"/>
      <c r="AB800" s="139"/>
      <c r="AC800" s="139"/>
      <c r="AD800" s="139"/>
      <c r="AE800" s="139"/>
      <c r="AF800" s="139"/>
      <c r="AG800" s="142">
        <v>50</v>
      </c>
      <c r="AH800" s="138"/>
      <c r="AI800" s="138"/>
      <c r="AJ800" s="138"/>
      <c r="AK800" s="138"/>
      <c r="AL800" s="316" t="s">
        <v>432</v>
      </c>
      <c r="AM800" s="138"/>
      <c r="AN800" s="133"/>
      <c r="AO800" s="133"/>
      <c r="AP800" s="133"/>
      <c r="AQ800" s="133"/>
      <c r="AR800" s="915"/>
      <c r="AS800" s="915"/>
      <c r="AT800" s="915"/>
      <c r="AU800" s="915"/>
    </row>
    <row r="801" spans="1:56" x14ac:dyDescent="0.25">
      <c r="A801" s="281" t="s">
        <v>651</v>
      </c>
      <c r="B801" s="281" t="s">
        <v>750</v>
      </c>
      <c r="C801" s="141" t="s">
        <v>432</v>
      </c>
      <c r="D801" s="317" t="s">
        <v>1005</v>
      </c>
      <c r="E801" s="477"/>
      <c r="F801" s="640"/>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42"/>
      <c r="AH801" s="133"/>
      <c r="AI801" s="133">
        <v>30</v>
      </c>
      <c r="AJ801" s="133"/>
      <c r="AK801" s="133"/>
      <c r="AL801" s="316" t="s">
        <v>432</v>
      </c>
      <c r="AM801" s="133"/>
      <c r="AN801" s="133"/>
      <c r="AO801" s="133"/>
      <c r="AP801" s="133"/>
      <c r="AQ801" s="133"/>
      <c r="AR801" s="915"/>
      <c r="AS801" s="915"/>
      <c r="AT801" s="915"/>
      <c r="AU801" s="915"/>
    </row>
    <row r="802" spans="1:56" x14ac:dyDescent="0.25">
      <c r="A802" s="281" t="s">
        <v>651</v>
      </c>
      <c r="B802" s="281" t="s">
        <v>750</v>
      </c>
      <c r="C802" s="141" t="s">
        <v>432</v>
      </c>
      <c r="D802" s="317" t="s">
        <v>1181</v>
      </c>
      <c r="E802" s="477"/>
      <c r="F802" s="640"/>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316" t="s">
        <v>432</v>
      </c>
      <c r="AM802" s="139"/>
      <c r="AN802" s="133"/>
      <c r="AO802" s="133"/>
      <c r="AP802" s="133"/>
      <c r="AQ802" s="142">
        <v>60</v>
      </c>
      <c r="AR802" s="916"/>
      <c r="AS802" s="916"/>
      <c r="AT802" s="916"/>
      <c r="AU802" s="916"/>
    </row>
    <row r="803" spans="1:56" ht="33" customHeight="1" x14ac:dyDescent="0.25">
      <c r="B803" s="105"/>
      <c r="C803" s="105"/>
      <c r="D803" s="52"/>
      <c r="E803" s="52"/>
      <c r="F803" s="641"/>
      <c r="G803" s="105"/>
      <c r="H803" s="105"/>
      <c r="I803" s="105"/>
      <c r="J803" s="105"/>
      <c r="O803" s="304">
        <v>1995</v>
      </c>
      <c r="P803" s="304">
        <v>1996</v>
      </c>
      <c r="Q803" s="304">
        <v>1997</v>
      </c>
      <c r="R803" s="131" t="s">
        <v>1079</v>
      </c>
      <c r="S803" s="131" t="s">
        <v>1080</v>
      </c>
      <c r="T803" s="304">
        <v>1999</v>
      </c>
      <c r="U803" s="131" t="s">
        <v>1077</v>
      </c>
      <c r="V803" s="131" t="s">
        <v>1078</v>
      </c>
      <c r="W803" s="304">
        <v>2001</v>
      </c>
      <c r="X803" s="304">
        <v>2002</v>
      </c>
      <c r="Y803" s="304">
        <v>2003</v>
      </c>
      <c r="Z803" s="304">
        <v>2004</v>
      </c>
      <c r="AA803" s="304">
        <v>2005</v>
      </c>
      <c r="AB803" s="304">
        <v>2006</v>
      </c>
      <c r="AC803" s="304">
        <v>2007</v>
      </c>
      <c r="AD803" s="304">
        <v>2008</v>
      </c>
      <c r="AE803" s="304">
        <v>2009</v>
      </c>
      <c r="AF803" s="304">
        <v>2010</v>
      </c>
      <c r="AG803" s="304">
        <v>2011</v>
      </c>
      <c r="AH803" s="304">
        <v>2012</v>
      </c>
      <c r="AI803" s="304">
        <v>2013</v>
      </c>
      <c r="AJ803" s="304">
        <v>2014</v>
      </c>
      <c r="AK803" s="304">
        <v>2015</v>
      </c>
      <c r="AL803" s="316" t="s">
        <v>432</v>
      </c>
      <c r="AM803" s="304">
        <v>2016</v>
      </c>
      <c r="AN803" s="304">
        <v>2017</v>
      </c>
      <c r="AO803" s="304">
        <v>2018</v>
      </c>
      <c r="AP803" s="304">
        <v>2019</v>
      </c>
      <c r="AQ803" s="304">
        <v>2020</v>
      </c>
      <c r="AR803" s="917"/>
      <c r="AS803" s="917"/>
      <c r="AT803" s="917"/>
      <c r="AU803" s="917"/>
    </row>
    <row r="805" spans="1:56" x14ac:dyDescent="0.25">
      <c r="B805" s="105"/>
      <c r="C805" s="105"/>
      <c r="D805" s="52"/>
      <c r="E805" s="52"/>
      <c r="F805" s="641"/>
      <c r="G805" s="105"/>
      <c r="H805" s="105"/>
      <c r="I805" s="105"/>
      <c r="J805" s="105"/>
    </row>
    <row r="806" spans="1:56" x14ac:dyDescent="0.25">
      <c r="B806" s="105"/>
      <c r="C806" s="105"/>
      <c r="D806" s="52"/>
      <c r="E806" s="52"/>
      <c r="F806" s="480" t="str">
        <f>'Q100a-geral'!$F$2591</f>
        <v>LEGENDA</v>
      </c>
      <c r="G806" s="105"/>
      <c r="H806" s="105"/>
      <c r="I806" s="105"/>
      <c r="J806" s="105"/>
    </row>
    <row r="807" spans="1:56" ht="72" customHeight="1" x14ac:dyDescent="0.25">
      <c r="A807" s="275" t="str">
        <f>'Q100a-geral'!A365</f>
        <v>8.2</v>
      </c>
      <c r="B807" s="1205" t="str">
        <f>'Q100a-geral'!B365</f>
        <v>BRT</v>
      </c>
      <c r="C807" s="167" t="str">
        <f>'Q100a-geral'!C365</f>
        <v>acessibilidade</v>
      </c>
      <c r="D807" s="324" t="str">
        <f>'Q100a-geral'!D365</f>
        <v>BRT IC</v>
      </c>
      <c r="E807" s="481" t="str">
        <f>'Q100a-geral'!E365</f>
        <v>x</v>
      </c>
      <c r="F807" s="1205" t="str">
        <f>'Q100a-geral'!F365</f>
        <v>índice de conformidade com a acessibilidade do sistema BRT de uma cidade/região
obs.: este indicador foi especialmente desenvolvido pelo WRI Brasil Cidades Sustentáveis para apoiar a elaboração do diagnóstico de acessibilidade do BRT de Belo Horizonnte conforme WRI(2016j2), mas pode ser adaptado para qualquer sistema de BRT</v>
      </c>
      <c r="G807" s="57" t="str">
        <f>'Q100a-geral'!G365</f>
        <v>verbete
MFO</v>
      </c>
      <c r="H807" s="167" t="str">
        <f>'Q100a-geral'!H365</f>
        <v>sigla/verbete</v>
      </c>
      <c r="I807" s="57" t="str">
        <f>'Q100a-geral'!I365</f>
        <v>x</v>
      </c>
      <c r="J807" s="107" t="str">
        <f>'Q100a-geral'!J365</f>
        <v>x</v>
      </c>
      <c r="K807" s="107" t="str">
        <f>'Q100a-geral'!K365</f>
        <v>x</v>
      </c>
      <c r="L807" s="107" t="str">
        <f>'Q100a-geral'!L365</f>
        <v>x</v>
      </c>
      <c r="M807" s="107" t="str">
        <f>'Q100a-geral'!M365</f>
        <v>x</v>
      </c>
      <c r="N807" s="107" t="str">
        <f>'Q100a-geral'!N365</f>
        <v>x</v>
      </c>
      <c r="O807" s="107" t="str">
        <f>'Q100a-geral'!O365</f>
        <v>x</v>
      </c>
      <c r="P807" s="107" t="str">
        <f>'Q100a-geral'!P365</f>
        <v>x</v>
      </c>
      <c r="Q807" s="107" t="str">
        <f>'Q100a-geral'!Q365</f>
        <v>x</v>
      </c>
      <c r="R807" s="107" t="str">
        <f>'Q100a-geral'!R365</f>
        <v>x</v>
      </c>
      <c r="S807" s="109" t="str">
        <f>'Q100a-geral'!S365</f>
        <v>só para pesquisa</v>
      </c>
      <c r="T807" s="107" t="str">
        <f>'Q100a-geral'!T365</f>
        <v>x</v>
      </c>
      <c r="U807" s="107" t="str">
        <f>'Q100a-geral'!U365</f>
        <v>x</v>
      </c>
      <c r="V807" s="109" t="str">
        <f>'Q100a-geral'!V365</f>
        <v>só para pesquisa</v>
      </c>
      <c r="W807" s="107" t="str">
        <f>'Q100a-geral'!W365</f>
        <v>x</v>
      </c>
      <c r="X807" s="107" t="str">
        <f>'Q100a-geral'!X365</f>
        <v>x</v>
      </c>
      <c r="Y807" s="107" t="str">
        <f>'Q100a-geral'!Y365</f>
        <v>x</v>
      </c>
      <c r="Z807" s="107" t="str">
        <f>'Q100a-geral'!Z365</f>
        <v>x</v>
      </c>
      <c r="AA807" s="107" t="str">
        <f>'Q100a-geral'!AA365</f>
        <v>x</v>
      </c>
      <c r="AB807" s="107" t="str">
        <f>'Q100a-geral'!AB365</f>
        <v>x</v>
      </c>
      <c r="AC807" s="107" t="str">
        <f>'Q100a-geral'!AC365</f>
        <v>x</v>
      </c>
      <c r="AD807" s="107" t="str">
        <f>'Q100a-geral'!AD365</f>
        <v>x</v>
      </c>
      <c r="AE807" s="107" t="str">
        <f>'Q100a-geral'!AE365</f>
        <v>x</v>
      </c>
      <c r="AF807" s="107" t="str">
        <f>'Q100a-geral'!AF365</f>
        <v>x</v>
      </c>
      <c r="AG807" s="107" t="str">
        <f>'Q100a-geral'!AG365</f>
        <v>x</v>
      </c>
      <c r="AH807" s="107" t="str">
        <f>'Q100a-geral'!AH365</f>
        <v>x</v>
      </c>
      <c r="AI807" s="107" t="str">
        <f>'Q100a-geral'!AI365</f>
        <v>x</v>
      </c>
      <c r="AJ807" s="107" t="str">
        <f>'Q100a-geral'!AJ365</f>
        <v>x</v>
      </c>
      <c r="AK807" s="107" t="str">
        <f>'Q100a-geral'!AK365</f>
        <v>x</v>
      </c>
      <c r="AL807" s="600" t="str">
        <f>'Q100a-geral'!AL365</f>
        <v>x</v>
      </c>
      <c r="AM807" s="137" t="str">
        <f>'Q100a-geral'!AM365</f>
        <v>x</v>
      </c>
      <c r="AN807" s="137" t="str">
        <f>'Q100a-geral'!AN365</f>
        <v>x</v>
      </c>
      <c r="AO807" s="137" t="str">
        <f>'Q100a-geral'!AO365</f>
        <v>x</v>
      </c>
      <c r="AP807" s="137" t="str">
        <f>'Q100a-geral'!AP365</f>
        <v>x</v>
      </c>
      <c r="AQ807" s="137" t="str">
        <f>'Q100a-geral'!AQ365</f>
        <v>x</v>
      </c>
      <c r="AR807" s="137" t="str">
        <f>'Q100a-geral'!AR365</f>
        <v>x</v>
      </c>
      <c r="AS807" s="137" t="str">
        <f>'Q100a-geral'!AS365</f>
        <v>x</v>
      </c>
      <c r="AT807" s="137" t="str">
        <f>'Q100a-geral'!AT365</f>
        <v>x</v>
      </c>
      <c r="AU807" s="137" t="str">
        <f>'Q100a-geral'!AU365</f>
        <v>x</v>
      </c>
      <c r="AV807" s="137" t="str">
        <f>'Q100a-geral'!AV365</f>
        <v>x</v>
      </c>
      <c r="AW807" s="137" t="str">
        <f>'Q100a-geral'!AW365</f>
        <v>x</v>
      </c>
      <c r="AX807" s="137" t="str">
        <f>'Q100a-geral'!AX365</f>
        <v>x</v>
      </c>
      <c r="AY807" s="137" t="str">
        <f>'Q100a-geral'!AY365</f>
        <v>x</v>
      </c>
      <c r="AZ807" s="137" t="str">
        <f>'Q100a-geral'!AZ365</f>
        <v>x</v>
      </c>
      <c r="BA807" s="137" t="str">
        <f>'Q100a-geral'!BA365</f>
        <v>x</v>
      </c>
      <c r="BB807" s="239" t="str">
        <f>'Q100a-geral'!BB365</f>
        <v>BRTacessibilidade</v>
      </c>
      <c r="BC807" s="239" t="str">
        <f>'Q100a-geral'!BC365</f>
        <v>BRTacessibilidadesigla/verbete</v>
      </c>
      <c r="BD807" s="239" t="str">
        <f>'Q100a-geral'!BD365</f>
        <v>BRTsigla/verbete</v>
      </c>
    </row>
    <row r="808" spans="1:56" ht="81.75" customHeight="1" x14ac:dyDescent="0.25">
      <c r="A808" s="275" t="str">
        <f>'Q100a-geral'!A366</f>
        <v>8.2</v>
      </c>
      <c r="B808" s="1205" t="str">
        <f>'Q100a-geral'!B366</f>
        <v>BRT</v>
      </c>
      <c r="C808" s="167" t="str">
        <f>'Q100a-geral'!C366</f>
        <v>acessibilidade</v>
      </c>
      <c r="D808" s="362" t="s">
        <v>5635</v>
      </c>
      <c r="E808" s="483" t="str">
        <f>'Q100a-geral'!E366</f>
        <v>Belo Horizonte</v>
      </c>
      <c r="F808" s="1205" t="str">
        <f>'Q100a-geral'!F366</f>
        <v>índice de conformidade com a acessibilidade do sistema BRT de Belo Horizonte
obs.1: para o índice de conformidade com a legislação urbanística de Belo Horizonte acesse os registros "URB"
obs.2: o sistema de BRT de Belo Horizonte é constituido, em 2016, por três corredores: Área Central, Antônio Carlos e Cristiano Machado
obs.3: calculado como a média ponderada dos BRT IC dos três corredores (∑ BRT IC de cada corredor x n.º de estações inspecionadas em cada corredor) / n.º total de estações inspecionadas no sistema
obs.4: os resultados de 2016 do "BRT IC" de Belo Horizonte têm como base o método definido pelo WRI Brasil Cidades Sustentáveis especialmente para Belo Horizonte que conta com um checklist composto por 92 diretrizes conforme WRI(2016j3)
obs.5: o relatório final de "Inspeção de acessibilidade do Move Belo Horizonte - Workshop Acessibilidade para Todos" com base no workshop realizado de 8 a 10/03/2016, que sustenta este indicador, é conforme WRI(2016j6/j7)
obs.6: acesse resultados nos indicadores "BRT IC" do sistema como um todo, de cada um dos três corredores, de cada um dos quatro módulos de análise (elementos das travessias, elementos das passarelas, elementos dos acessos à plataforma, elementos das plataformas) e de cada um dos dezesseis elementos em WRI(2016j6, p.39-40) e planilhas: recebida conforme WRI(2016j8), ajustada com 0% em mapas conforme BHTRANS(2016j6) e simulação com 100% para mapas conforme WRI(2016j10)</v>
      </c>
      <c r="G808" s="110" t="str">
        <f>'Q100a-geral'!G366</f>
        <v>registro na fonte</v>
      </c>
      <c r="H808" s="173" t="str">
        <f>'Q100a-geral'!H366</f>
        <v>x</v>
      </c>
      <c r="I808" s="57">
        <f>'Q100a-geral'!I366</f>
        <v>1</v>
      </c>
      <c r="J808" s="107" t="str">
        <f>'Q100a-geral'!J366</f>
        <v>x</v>
      </c>
      <c r="K808" s="107" t="str">
        <f>'Q100a-geral'!K366</f>
        <v>x</v>
      </c>
      <c r="L808" s="107" t="str">
        <f>'Q100a-geral'!L366</f>
        <v>x</v>
      </c>
      <c r="M808" s="107" t="str">
        <f>'Q100a-geral'!M366</f>
        <v>x</v>
      </c>
      <c r="N808" s="107" t="str">
        <f>'Q100a-geral'!N366</f>
        <v>x</v>
      </c>
      <c r="O808" s="107" t="str">
        <f>'Q100a-geral'!O366</f>
        <v>x</v>
      </c>
      <c r="P808" s="107" t="str">
        <f>'Q100a-geral'!P366</f>
        <v>x</v>
      </c>
      <c r="Q808" s="107" t="str">
        <f>'Q100a-geral'!Q366</f>
        <v>x</v>
      </c>
      <c r="R808" s="107" t="str">
        <f>'Q100a-geral'!R366</f>
        <v>x</v>
      </c>
      <c r="S808" s="109" t="str">
        <f>'Q100a-geral'!S366</f>
        <v>só para pesquisa</v>
      </c>
      <c r="T808" s="107" t="str">
        <f>'Q100a-geral'!T366</f>
        <v>x</v>
      </c>
      <c r="U808" s="107" t="str">
        <f>'Q100a-geral'!U366</f>
        <v>x</v>
      </c>
      <c r="V808" s="109" t="str">
        <f>'Q100a-geral'!V366</f>
        <v>só para pesquisa</v>
      </c>
      <c r="W808" s="107" t="str">
        <f>'Q100a-geral'!W366</f>
        <v>x</v>
      </c>
      <c r="X808" s="107" t="str">
        <f>'Q100a-geral'!X366</f>
        <v>x</v>
      </c>
      <c r="Y808" s="107" t="str">
        <f>'Q100a-geral'!Y366</f>
        <v>x</v>
      </c>
      <c r="Z808" s="107" t="str">
        <f>'Q100a-geral'!Z366</f>
        <v>x</v>
      </c>
      <c r="AA808" s="107" t="str">
        <f>'Q100a-geral'!AA366</f>
        <v>x</v>
      </c>
      <c r="AB808" s="107" t="str">
        <f>'Q100a-geral'!AB366</f>
        <v>x</v>
      </c>
      <c r="AC808" s="107" t="str">
        <f>'Q100a-geral'!AC366</f>
        <v>x</v>
      </c>
      <c r="AD808" s="107" t="str">
        <f>'Q100a-geral'!AD366</f>
        <v>x</v>
      </c>
      <c r="AE808" s="107" t="str">
        <f>'Q100a-geral'!AE366</f>
        <v>x</v>
      </c>
      <c r="AF808" s="107" t="str">
        <f>'Q100a-geral'!AF366</f>
        <v>x</v>
      </c>
      <c r="AG808" s="107" t="str">
        <f>'Q100a-geral'!AG366</f>
        <v>x</v>
      </c>
      <c r="AH808" s="107" t="str">
        <f>'Q100a-geral'!AH366</f>
        <v>x</v>
      </c>
      <c r="AI808" s="107" t="str">
        <f>'Q100a-geral'!AI366</f>
        <v>x</v>
      </c>
      <c r="AJ808" s="107" t="str">
        <f>'Q100a-geral'!AJ366</f>
        <v>x</v>
      </c>
      <c r="AK808" s="1441">
        <f>'Q100a-geral'!AK366</f>
        <v>0.62</v>
      </c>
      <c r="AL808" s="600" t="str">
        <f>'Q100a-geral'!AL366</f>
        <v>x</v>
      </c>
      <c r="AM808" s="137" t="str">
        <f>'Q100a-geral'!AM366</f>
        <v>x</v>
      </c>
      <c r="AN808" s="137" t="str">
        <f>'Q100a-geral'!AN366</f>
        <v>x</v>
      </c>
      <c r="AO808" s="137" t="str">
        <f>'Q100a-geral'!AO366</f>
        <v>x</v>
      </c>
      <c r="AP808" s="137" t="str">
        <f>'Q100a-geral'!AP366</f>
        <v>x</v>
      </c>
      <c r="AQ808" s="137" t="str">
        <f>'Q100a-geral'!AQ366</f>
        <v>x</v>
      </c>
      <c r="AR808" s="137" t="str">
        <f>'Q100a-geral'!AR366</f>
        <v>x</v>
      </c>
      <c r="AS808" s="137" t="str">
        <f>'Q100a-geral'!AS366</f>
        <v>x</v>
      </c>
      <c r="AT808" s="137" t="str">
        <f>'Q100a-geral'!AT366</f>
        <v>x</v>
      </c>
      <c r="AU808" s="137" t="str">
        <f>'Q100a-geral'!AU366</f>
        <v>x</v>
      </c>
      <c r="AV808" s="137" t="str">
        <f>'Q100a-geral'!AV366</f>
        <v>x</v>
      </c>
      <c r="AW808" s="137" t="str">
        <f>'Q100a-geral'!AW366</f>
        <v>x</v>
      </c>
      <c r="AX808" s="137" t="str">
        <f>'Q100a-geral'!AX366</f>
        <v>x</v>
      </c>
      <c r="AY808" s="137" t="str">
        <f>'Q100a-geral'!AY366</f>
        <v>x</v>
      </c>
      <c r="AZ808" s="137" t="str">
        <f>'Q100a-geral'!AZ366</f>
        <v>x</v>
      </c>
      <c r="BA808" s="137" t="str">
        <f>'Q100a-geral'!BA366</f>
        <v>x</v>
      </c>
      <c r="BB808" s="239" t="str">
        <f>'Q100a-geral'!BB366</f>
        <v>BRTacessibilidade</v>
      </c>
      <c r="BC808" s="239" t="str">
        <f>'Q100a-geral'!BC366</f>
        <v>BRTacessibilidadex</v>
      </c>
      <c r="BD808" s="239" t="str">
        <f>'Q100a-geral'!BD366</f>
        <v>BRTx</v>
      </c>
    </row>
    <row r="809" spans="1:56" ht="81.75" customHeight="1" x14ac:dyDescent="0.25">
      <c r="A809" s="275" t="str">
        <f>'Q100a-geral'!A367</f>
        <v>8.2</v>
      </c>
      <c r="B809" s="1205" t="str">
        <f>'Q100a-geral'!B367</f>
        <v>BRT</v>
      </c>
      <c r="C809" s="167" t="str">
        <f>'Q100a-geral'!C367</f>
        <v>acessibilidade</v>
      </c>
      <c r="D809" s="324" t="str">
        <f>'Q100a-geral'!D367</f>
        <v>BRT IC
(meta)</v>
      </c>
      <c r="E809" s="481" t="str">
        <f>'Q100a-geral'!E367</f>
        <v>Belo Horizonte</v>
      </c>
      <c r="F809" s="1205" t="str">
        <f>'Q100a-geral'!F367</f>
        <v>meta para alcance da acessibilidade total no sistema BRT de Belo Horizonte, com base no indicador "índice de conformidade com a acessibilidade do sistema BRT de Belo Horizonte"
obs.1: o ano-meta 2030 é o considerado como longo prazo conforme BH(2014b,p.452)
obs.2: metas de médio prazo (até 2020) e curto prazo (até 2017) estão propostas em OLIVEIRA(2017a1;2017a2)</v>
      </c>
      <c r="G809" s="110" t="str">
        <f>'Q100a-geral'!G367</f>
        <v>meta</v>
      </c>
      <c r="H809" s="173" t="str">
        <f>'Q100a-geral'!H367</f>
        <v>meta</v>
      </c>
      <c r="I809" s="57" t="str">
        <f>'Q100a-geral'!I367</f>
        <v>RPI/meta</v>
      </c>
      <c r="J809" s="107" t="str">
        <f>'Q100a-geral'!J367</f>
        <v>x</v>
      </c>
      <c r="K809" s="107" t="str">
        <f>'Q100a-geral'!K367</f>
        <v>x</v>
      </c>
      <c r="L809" s="107" t="str">
        <f>'Q100a-geral'!L367</f>
        <v>x</v>
      </c>
      <c r="M809" s="107" t="str">
        <f>'Q100a-geral'!M367</f>
        <v>x</v>
      </c>
      <c r="N809" s="107" t="str">
        <f>'Q100a-geral'!N367</f>
        <v>x</v>
      </c>
      <c r="O809" s="107" t="str">
        <f>'Q100a-geral'!O367</f>
        <v>x</v>
      </c>
      <c r="P809" s="107" t="str">
        <f>'Q100a-geral'!P367</f>
        <v>x</v>
      </c>
      <c r="Q809" s="107" t="str">
        <f>'Q100a-geral'!Q367</f>
        <v>x</v>
      </c>
      <c r="R809" s="107" t="str">
        <f>'Q100a-geral'!R367</f>
        <v>x</v>
      </c>
      <c r="S809" s="109" t="str">
        <f>'Q100a-geral'!S367</f>
        <v>só para pesquisa</v>
      </c>
      <c r="T809" s="107" t="str">
        <f>'Q100a-geral'!T367</f>
        <v>x</v>
      </c>
      <c r="U809" s="107" t="str">
        <f>'Q100a-geral'!U367</f>
        <v>x</v>
      </c>
      <c r="V809" s="109" t="str">
        <f>'Q100a-geral'!V367</f>
        <v>só para pesquisa</v>
      </c>
      <c r="W809" s="107" t="str">
        <f>'Q100a-geral'!W367</f>
        <v>x</v>
      </c>
      <c r="X809" s="107" t="str">
        <f>'Q100a-geral'!X367</f>
        <v>x</v>
      </c>
      <c r="Y809" s="107" t="str">
        <f>'Q100a-geral'!Y367</f>
        <v>x</v>
      </c>
      <c r="Z809" s="107" t="str">
        <f>'Q100a-geral'!Z367</f>
        <v>x</v>
      </c>
      <c r="AA809" s="107" t="str">
        <f>'Q100a-geral'!AA367</f>
        <v>x</v>
      </c>
      <c r="AB809" s="107" t="str">
        <f>'Q100a-geral'!AB367</f>
        <v>x</v>
      </c>
      <c r="AC809" s="107" t="str">
        <f>'Q100a-geral'!AC367</f>
        <v>x</v>
      </c>
      <c r="AD809" s="107" t="str">
        <f>'Q100a-geral'!AD367</f>
        <v>x</v>
      </c>
      <c r="AE809" s="107" t="str">
        <f>'Q100a-geral'!AE367</f>
        <v>x</v>
      </c>
      <c r="AF809" s="107" t="str">
        <f>'Q100a-geral'!AF367</f>
        <v>x</v>
      </c>
      <c r="AG809" s="107" t="str">
        <f>'Q100a-geral'!AG367</f>
        <v>x</v>
      </c>
      <c r="AH809" s="107" t="str">
        <f>'Q100a-geral'!AH367</f>
        <v>x</v>
      </c>
      <c r="AI809" s="107" t="str">
        <f>'Q100a-geral'!AI367</f>
        <v>x</v>
      </c>
      <c r="AJ809" s="107" t="str">
        <f>'Q100a-geral'!AJ367</f>
        <v>x</v>
      </c>
      <c r="AK809" s="95" t="str">
        <f>'Q100a-geral'!AK367</f>
        <v>x</v>
      </c>
      <c r="AL809" s="600" t="str">
        <f>'Q100a-geral'!AL367</f>
        <v>x</v>
      </c>
      <c r="AM809" s="137" t="str">
        <f>'Q100a-geral'!AM367</f>
        <v>x</v>
      </c>
      <c r="AN809" s="137" t="str">
        <f>'Q100a-geral'!AN367</f>
        <v>x</v>
      </c>
      <c r="AO809" s="137" t="str">
        <f>'Q100a-geral'!AO367</f>
        <v>x</v>
      </c>
      <c r="AP809" s="137" t="str">
        <f>'Q100a-geral'!AP367</f>
        <v>x</v>
      </c>
      <c r="AQ809" s="137" t="str">
        <f>'Q100a-geral'!AQ367</f>
        <v>x</v>
      </c>
      <c r="AR809" s="137" t="str">
        <f>'Q100a-geral'!AR367</f>
        <v>x</v>
      </c>
      <c r="AS809" s="137" t="str">
        <f>'Q100a-geral'!AS367</f>
        <v>x</v>
      </c>
      <c r="AT809" s="137" t="str">
        <f>'Q100a-geral'!AT367</f>
        <v>x</v>
      </c>
      <c r="AU809" s="137" t="str">
        <f>'Q100a-geral'!AU367</f>
        <v>x</v>
      </c>
      <c r="AV809" s="137" t="str">
        <f>'Q100a-geral'!AV367</f>
        <v>x</v>
      </c>
      <c r="AW809" s="137" t="str">
        <f>'Q100a-geral'!AW367</f>
        <v>x</v>
      </c>
      <c r="AX809" s="137" t="str">
        <f>'Q100a-geral'!AX367</f>
        <v>x</v>
      </c>
      <c r="AY809" s="137" t="str">
        <f>'Q100a-geral'!AY367</f>
        <v>x</v>
      </c>
      <c r="AZ809" s="137" t="str">
        <f>'Q100a-geral'!AZ367</f>
        <v>x</v>
      </c>
      <c r="BA809" s="137">
        <f>'Q100a-geral'!BA367</f>
        <v>1</v>
      </c>
      <c r="BB809" s="239" t="str">
        <f>'Q100a-geral'!BB367</f>
        <v>BRTacessibilidade</v>
      </c>
      <c r="BC809" s="239" t="str">
        <f>'Q100a-geral'!BC367</f>
        <v>BRTacessibilidademeta</v>
      </c>
      <c r="BD809" s="239" t="str">
        <f>'Q100a-geral'!BD367</f>
        <v>BRTmeta</v>
      </c>
    </row>
    <row r="810" spans="1:56" ht="51" x14ac:dyDescent="0.25">
      <c r="A810" s="406" t="str">
        <f>'Q100a-geral'!A397</f>
        <v>8.2</v>
      </c>
      <c r="B810" s="468" t="str">
        <f>'Q100a-geral'!B397</f>
        <v>BRT</v>
      </c>
      <c r="C810" s="13" t="str">
        <f>'Q100a-geral'!C397</f>
        <v>acessibilidade</v>
      </c>
      <c r="D810" s="362" t="s">
        <v>5636</v>
      </c>
      <c r="E810" s="483" t="str">
        <f>'Q100a-geral'!E397</f>
        <v>Belo Horizonte</v>
      </c>
      <c r="F810" s="619" t="str">
        <f>'Q100a-geral'!F397</f>
        <v>índice de conformidade com a acessibilidade do corredor de BRT de Belo Horizonte denominado "Área Central"
obs.1: calculado como a média dos BRT IC AC dos quatro modulos de análise (elementos das travessias, elementos das passarelas, acessos às plataformas e elementos das plataformas)</v>
      </c>
      <c r="G810" s="110" t="str">
        <f>'Q100a-geral'!G397</f>
        <v>registro na fonte</v>
      </c>
      <c r="H810" s="173" t="str">
        <f>'Q100a-geral'!H397</f>
        <v>x</v>
      </c>
      <c r="I810" s="57">
        <f>'Q100a-geral'!I397</f>
        <v>1</v>
      </c>
      <c r="J810" s="8" t="str">
        <f>'Q100a-geral'!J397</f>
        <v>x</v>
      </c>
      <c r="K810" s="8" t="str">
        <f>'Q100a-geral'!K397</f>
        <v>x</v>
      </c>
      <c r="L810" s="8" t="str">
        <f>'Q100a-geral'!L397</f>
        <v>x</v>
      </c>
      <c r="M810" s="8" t="str">
        <f>'Q100a-geral'!M397</f>
        <v>x</v>
      </c>
      <c r="N810" s="8" t="str">
        <f>'Q100a-geral'!N397</f>
        <v>x</v>
      </c>
      <c r="O810" s="8" t="str">
        <f>'Q100a-geral'!O397</f>
        <v>x</v>
      </c>
      <c r="P810" s="8" t="str">
        <f>'Q100a-geral'!P397</f>
        <v>x</v>
      </c>
      <c r="Q810" s="8" t="str">
        <f>'Q100a-geral'!Q397</f>
        <v>x</v>
      </c>
      <c r="R810" s="8" t="str">
        <f>'Q100a-geral'!R397</f>
        <v>x</v>
      </c>
      <c r="S810" s="8" t="str">
        <f>'Q100a-geral'!S397</f>
        <v>só para pesquisa</v>
      </c>
      <c r="T810" s="8" t="str">
        <f>'Q100a-geral'!T397</f>
        <v>x</v>
      </c>
      <c r="U810" s="8" t="str">
        <f>'Q100a-geral'!U397</f>
        <v>x</v>
      </c>
      <c r="V810" s="8" t="str">
        <f>'Q100a-geral'!V397</f>
        <v>só para pesquisa</v>
      </c>
      <c r="W810" s="8" t="str">
        <f>'Q100a-geral'!W397</f>
        <v>x</v>
      </c>
      <c r="X810" s="8" t="str">
        <f>'Q100a-geral'!X397</f>
        <v>x</v>
      </c>
      <c r="Y810" s="8" t="str">
        <f>'Q100a-geral'!Y397</f>
        <v>x</v>
      </c>
      <c r="Z810" s="8" t="str">
        <f>'Q100a-geral'!Z397</f>
        <v>x</v>
      </c>
      <c r="AA810" s="8" t="str">
        <f>'Q100a-geral'!AA397</f>
        <v>x</v>
      </c>
      <c r="AB810" s="8" t="str">
        <f>'Q100a-geral'!AB397</f>
        <v>x</v>
      </c>
      <c r="AC810" s="8" t="str">
        <f>'Q100a-geral'!AC397</f>
        <v>x</v>
      </c>
      <c r="AD810" s="8" t="str">
        <f>'Q100a-geral'!AD397</f>
        <v>x</v>
      </c>
      <c r="AE810" s="8" t="str">
        <f>'Q100a-geral'!AE397</f>
        <v>x</v>
      </c>
      <c r="AF810" s="8" t="str">
        <f>'Q100a-geral'!AF397</f>
        <v>x</v>
      </c>
      <c r="AG810" s="8" t="str">
        <f>'Q100a-geral'!AG397</f>
        <v>x</v>
      </c>
      <c r="AH810" s="8" t="str">
        <f>'Q100a-geral'!AH397</f>
        <v>x</v>
      </c>
      <c r="AI810" s="8" t="str">
        <f>'Q100a-geral'!AI397</f>
        <v>x</v>
      </c>
      <c r="AJ810" s="8" t="str">
        <f>'Q100a-geral'!AJ397</f>
        <v>x</v>
      </c>
      <c r="AK810" s="1441">
        <f>'Q100a-geral'!AK397</f>
        <v>0.65</v>
      </c>
      <c r="AL810" s="8" t="str">
        <f>'Q100a-geral'!AL397</f>
        <v>x</v>
      </c>
      <c r="AM810" s="8" t="str">
        <f>'Q100a-geral'!AM397</f>
        <v>x</v>
      </c>
      <c r="AN810" s="8" t="str">
        <f>'Q100a-geral'!AN397</f>
        <v>x</v>
      </c>
      <c r="AO810" s="8" t="str">
        <f>'Q100a-geral'!AO397</f>
        <v>x</v>
      </c>
      <c r="AP810" s="8" t="str">
        <f>'Q100a-geral'!AP397</f>
        <v>x</v>
      </c>
      <c r="AQ810" s="8" t="str">
        <f>'Q100a-geral'!AQ397</f>
        <v>x</v>
      </c>
      <c r="AR810" s="8" t="str">
        <f>'Q100a-geral'!AR397</f>
        <v>x</v>
      </c>
      <c r="AS810" s="8" t="str">
        <f>'Q100a-geral'!AS397</f>
        <v>x</v>
      </c>
      <c r="AT810" s="8" t="str">
        <f>'Q100a-geral'!AT397</f>
        <v>x</v>
      </c>
      <c r="AU810" s="8" t="str">
        <f>'Q100a-geral'!AU397</f>
        <v>x</v>
      </c>
      <c r="AV810" s="8" t="str">
        <f>'Q100a-geral'!AV397</f>
        <v>x</v>
      </c>
      <c r="AW810" s="8" t="str">
        <f>'Q100a-geral'!AW397</f>
        <v>x</v>
      </c>
      <c r="AX810" s="8" t="str">
        <f>'Q100a-geral'!AX397</f>
        <v>x</v>
      </c>
      <c r="AY810" s="8" t="str">
        <f>'Q100a-geral'!AY397</f>
        <v>x</v>
      </c>
      <c r="AZ810" s="8" t="str">
        <f>'Q100a-geral'!AZ397</f>
        <v>x</v>
      </c>
      <c r="BA810" s="8" t="str">
        <f>'Q100a-geral'!BA397</f>
        <v>x</v>
      </c>
      <c r="BB810" s="8" t="str">
        <f>'Q100a-geral'!BB397</f>
        <v>BRTacessibilidade</v>
      </c>
      <c r="BC810" s="8" t="str">
        <f>'Q100a-geral'!BC397</f>
        <v>BRTacessibilidadex</v>
      </c>
      <c r="BD810" s="8" t="str">
        <f>'Q100a-geral'!BD397</f>
        <v>BRTx</v>
      </c>
    </row>
    <row r="811" spans="1:56" ht="51" x14ac:dyDescent="0.25">
      <c r="A811" s="406" t="str">
        <f>'Q100a-geral'!A418</f>
        <v>8.2</v>
      </c>
      <c r="B811" s="468" t="str">
        <f>'Q100a-geral'!B418</f>
        <v>BRT</v>
      </c>
      <c r="C811" s="13" t="str">
        <f>'Q100a-geral'!C418</f>
        <v>acessibilidade</v>
      </c>
      <c r="D811" s="362" t="s">
        <v>5633</v>
      </c>
      <c r="E811" s="483" t="str">
        <f>'Q100a-geral'!E418</f>
        <v>Belo Horizonte</v>
      </c>
      <c r="F811" s="619" t="str">
        <f>'Q100a-geral'!F418</f>
        <v>índice de conformidade com a acessibilidade do corredor de BRT de Belo Horizonte denominado "Antônio Carlos"
obs.1: calculado como a média dos BRT IC ATC dos quatro modulos de análise (elementos das travessias, elementos das passarelas, acessos às plataformas e elementos das plataformas)</v>
      </c>
      <c r="G811" s="110" t="str">
        <f>'Q100a-geral'!G418</f>
        <v>registro na fonte</v>
      </c>
      <c r="H811" s="173" t="str">
        <f>'Q100a-geral'!H418</f>
        <v>x</v>
      </c>
      <c r="I811" s="57">
        <f>'Q100a-geral'!I418</f>
        <v>1</v>
      </c>
      <c r="J811" s="8" t="str">
        <f>'Q100a-geral'!J418</f>
        <v>x</v>
      </c>
      <c r="K811" s="8" t="str">
        <f>'Q100a-geral'!K418</f>
        <v>x</v>
      </c>
      <c r="L811" s="8" t="str">
        <f>'Q100a-geral'!L418</f>
        <v>x</v>
      </c>
      <c r="M811" s="8" t="str">
        <f>'Q100a-geral'!M418</f>
        <v>x</v>
      </c>
      <c r="N811" s="8" t="str">
        <f>'Q100a-geral'!N418</f>
        <v>x</v>
      </c>
      <c r="O811" s="8" t="str">
        <f>'Q100a-geral'!O418</f>
        <v>x</v>
      </c>
      <c r="P811" s="8" t="str">
        <f>'Q100a-geral'!P418</f>
        <v>x</v>
      </c>
      <c r="Q811" s="8" t="str">
        <f>'Q100a-geral'!Q418</f>
        <v>x</v>
      </c>
      <c r="R811" s="8" t="str">
        <f>'Q100a-geral'!R418</f>
        <v>x</v>
      </c>
      <c r="S811" s="8" t="str">
        <f>'Q100a-geral'!S418</f>
        <v>só para pesquisa</v>
      </c>
      <c r="T811" s="8" t="str">
        <f>'Q100a-geral'!T418</f>
        <v>x</v>
      </c>
      <c r="U811" s="8" t="str">
        <f>'Q100a-geral'!U418</f>
        <v>x</v>
      </c>
      <c r="V811" s="8" t="str">
        <f>'Q100a-geral'!V418</f>
        <v>só para pesquisa</v>
      </c>
      <c r="W811" s="8" t="str">
        <f>'Q100a-geral'!W418</f>
        <v>x</v>
      </c>
      <c r="X811" s="8" t="str">
        <f>'Q100a-geral'!X418</f>
        <v>x</v>
      </c>
      <c r="Y811" s="8" t="str">
        <f>'Q100a-geral'!Y418</f>
        <v>x</v>
      </c>
      <c r="Z811" s="8" t="str">
        <f>'Q100a-geral'!Z418</f>
        <v>x</v>
      </c>
      <c r="AA811" s="8" t="str">
        <f>'Q100a-geral'!AA418</f>
        <v>x</v>
      </c>
      <c r="AB811" s="8" t="str">
        <f>'Q100a-geral'!AB418</f>
        <v>x</v>
      </c>
      <c r="AC811" s="8" t="str">
        <f>'Q100a-geral'!AC418</f>
        <v>x</v>
      </c>
      <c r="AD811" s="8" t="str">
        <f>'Q100a-geral'!AD418</f>
        <v>x</v>
      </c>
      <c r="AE811" s="8" t="str">
        <f>'Q100a-geral'!AE418</f>
        <v>x</v>
      </c>
      <c r="AF811" s="8" t="str">
        <f>'Q100a-geral'!AF418</f>
        <v>x</v>
      </c>
      <c r="AG811" s="8" t="str">
        <f>'Q100a-geral'!AG418</f>
        <v>x</v>
      </c>
      <c r="AH811" s="8" t="str">
        <f>'Q100a-geral'!AH418</f>
        <v>x</v>
      </c>
      <c r="AI811" s="8" t="str">
        <f>'Q100a-geral'!AI418</f>
        <v>x</v>
      </c>
      <c r="AJ811" s="8" t="str">
        <f>'Q100a-geral'!AJ418</f>
        <v>x</v>
      </c>
      <c r="AK811" s="1441">
        <f>'Q100a-geral'!AK418</f>
        <v>0.62</v>
      </c>
      <c r="AL811" s="8" t="str">
        <f>'Q100a-geral'!AL418</f>
        <v>x</v>
      </c>
      <c r="AM811" s="8" t="str">
        <f>'Q100a-geral'!AM418</f>
        <v>x</v>
      </c>
      <c r="AN811" s="8" t="str">
        <f>'Q100a-geral'!AN418</f>
        <v>x</v>
      </c>
      <c r="AO811" s="8" t="str">
        <f>'Q100a-geral'!AO418</f>
        <v>x</v>
      </c>
      <c r="AP811" s="8" t="str">
        <f>'Q100a-geral'!AP418</f>
        <v>x</v>
      </c>
      <c r="AQ811" s="8" t="str">
        <f>'Q100a-geral'!AQ418</f>
        <v>x</v>
      </c>
      <c r="AR811" s="8" t="str">
        <f>'Q100a-geral'!AR418</f>
        <v>x</v>
      </c>
      <c r="AS811" s="8" t="str">
        <f>'Q100a-geral'!AS418</f>
        <v>x</v>
      </c>
      <c r="AT811" s="8" t="str">
        <f>'Q100a-geral'!AT418</f>
        <v>x</v>
      </c>
      <c r="AU811" s="8" t="str">
        <f>'Q100a-geral'!AU418</f>
        <v>x</v>
      </c>
      <c r="AV811" s="8" t="str">
        <f>'Q100a-geral'!AV418</f>
        <v>x</v>
      </c>
      <c r="AW811" s="8" t="str">
        <f>'Q100a-geral'!AW418</f>
        <v>x</v>
      </c>
      <c r="AX811" s="8" t="str">
        <f>'Q100a-geral'!AX418</f>
        <v>x</v>
      </c>
      <c r="AY811" s="8" t="str">
        <f>'Q100a-geral'!AY418</f>
        <v>x</v>
      </c>
      <c r="AZ811" s="8" t="str">
        <f>'Q100a-geral'!AZ418</f>
        <v>x</v>
      </c>
      <c r="BA811" s="8" t="str">
        <f>'Q100a-geral'!BA418</f>
        <v>x</v>
      </c>
      <c r="BB811" s="8" t="str">
        <f>'Q100a-geral'!BB418</f>
        <v>BRTacessibilidade</v>
      </c>
      <c r="BC811" s="8" t="str">
        <f>'Q100a-geral'!BC418</f>
        <v>BRTacessibilidadex</v>
      </c>
      <c r="BD811" s="8" t="str">
        <f>'Q100a-geral'!BD418</f>
        <v>BRTx</v>
      </c>
    </row>
    <row r="812" spans="1:56" ht="51" x14ac:dyDescent="0.25">
      <c r="A812" s="406" t="str">
        <f>'Q100a-geral'!A440</f>
        <v>8.2</v>
      </c>
      <c r="B812" s="468" t="str">
        <f>'Q100a-geral'!B440</f>
        <v>BRT</v>
      </c>
      <c r="C812" s="13" t="str">
        <f>'Q100a-geral'!C440</f>
        <v>acessibilidade</v>
      </c>
      <c r="D812" s="362" t="s">
        <v>5634</v>
      </c>
      <c r="E812" s="483" t="str">
        <f>'Q100a-geral'!E440</f>
        <v>Belo Horizonte</v>
      </c>
      <c r="F812" s="619" t="str">
        <f>'Q100a-geral'!F440</f>
        <v>índice de conformidade com a acessibilidade do corredor de BRT de Belo Horizonte denominado "Cristiano Machado"
obs.1: calculado como a média dos BRT IC CMC dos quatro modulos de análise (elementos das travessias, elementos das passarelas, acessos às plataformas e elementos das plataformas)</v>
      </c>
      <c r="G812" s="110" t="str">
        <f>'Q100a-geral'!G440</f>
        <v>registro na fonte</v>
      </c>
      <c r="H812" s="173" t="str">
        <f>'Q100a-geral'!H440</f>
        <v>x</v>
      </c>
      <c r="I812" s="57">
        <f>'Q100a-geral'!I440</f>
        <v>1</v>
      </c>
      <c r="J812" s="8" t="str">
        <f>'Q100a-geral'!J440</f>
        <v>x</v>
      </c>
      <c r="K812" s="8" t="str">
        <f>'Q100a-geral'!K440</f>
        <v>x</v>
      </c>
      <c r="L812" s="8" t="str">
        <f>'Q100a-geral'!L440</f>
        <v>x</v>
      </c>
      <c r="M812" s="8" t="str">
        <f>'Q100a-geral'!M440</f>
        <v>x</v>
      </c>
      <c r="N812" s="8" t="str">
        <f>'Q100a-geral'!N440</f>
        <v>x</v>
      </c>
      <c r="O812" s="8" t="str">
        <f>'Q100a-geral'!O440</f>
        <v>x</v>
      </c>
      <c r="P812" s="8" t="str">
        <f>'Q100a-geral'!P440</f>
        <v>x</v>
      </c>
      <c r="Q812" s="8" t="str">
        <f>'Q100a-geral'!Q440</f>
        <v>x</v>
      </c>
      <c r="R812" s="8" t="str">
        <f>'Q100a-geral'!R440</f>
        <v>x</v>
      </c>
      <c r="S812" s="8" t="str">
        <f>'Q100a-geral'!S440</f>
        <v>só para pesquisa</v>
      </c>
      <c r="T812" s="8" t="str">
        <f>'Q100a-geral'!T440</f>
        <v>x</v>
      </c>
      <c r="U812" s="8" t="str">
        <f>'Q100a-geral'!U440</f>
        <v>x</v>
      </c>
      <c r="V812" s="8" t="str">
        <f>'Q100a-geral'!V440</f>
        <v>só para pesquisa</v>
      </c>
      <c r="W812" s="8" t="str">
        <f>'Q100a-geral'!W440</f>
        <v>x</v>
      </c>
      <c r="X812" s="8" t="str">
        <f>'Q100a-geral'!X440</f>
        <v>x</v>
      </c>
      <c r="Y812" s="8" t="str">
        <f>'Q100a-geral'!Y440</f>
        <v>x</v>
      </c>
      <c r="Z812" s="8" t="str">
        <f>'Q100a-geral'!Z440</f>
        <v>x</v>
      </c>
      <c r="AA812" s="8" t="str">
        <f>'Q100a-geral'!AA440</f>
        <v>x</v>
      </c>
      <c r="AB812" s="8" t="str">
        <f>'Q100a-geral'!AB440</f>
        <v>x</v>
      </c>
      <c r="AC812" s="8" t="str">
        <f>'Q100a-geral'!AC440</f>
        <v>x</v>
      </c>
      <c r="AD812" s="8" t="str">
        <f>'Q100a-geral'!AD440</f>
        <v>x</v>
      </c>
      <c r="AE812" s="8" t="str">
        <f>'Q100a-geral'!AE440</f>
        <v>x</v>
      </c>
      <c r="AF812" s="8" t="str">
        <f>'Q100a-geral'!AF440</f>
        <v>x</v>
      </c>
      <c r="AG812" s="8" t="str">
        <f>'Q100a-geral'!AG440</f>
        <v>x</v>
      </c>
      <c r="AH812" s="8" t="str">
        <f>'Q100a-geral'!AH440</f>
        <v>x</v>
      </c>
      <c r="AI812" s="8" t="str">
        <f>'Q100a-geral'!AI440</f>
        <v>x</v>
      </c>
      <c r="AJ812" s="8" t="str">
        <f>'Q100a-geral'!AJ440</f>
        <v>x</v>
      </c>
      <c r="AK812" s="1441">
        <f>'Q100a-geral'!AK440</f>
        <v>0.61</v>
      </c>
      <c r="AL812" s="8" t="str">
        <f>'Q100a-geral'!AL440</f>
        <v>x</v>
      </c>
      <c r="AM812" s="8" t="str">
        <f>'Q100a-geral'!AM440</f>
        <v>x</v>
      </c>
      <c r="AN812" s="8" t="str">
        <f>'Q100a-geral'!AN440</f>
        <v>x</v>
      </c>
      <c r="AO812" s="8" t="str">
        <f>'Q100a-geral'!AO440</f>
        <v>x</v>
      </c>
      <c r="AP812" s="8" t="str">
        <f>'Q100a-geral'!AP440</f>
        <v>x</v>
      </c>
      <c r="AQ812" s="8" t="str">
        <f>'Q100a-geral'!AQ440</f>
        <v>x</v>
      </c>
      <c r="AR812" s="8" t="str">
        <f>'Q100a-geral'!AR440</f>
        <v>x</v>
      </c>
      <c r="AS812" s="8" t="str">
        <f>'Q100a-geral'!AS440</f>
        <v>x</v>
      </c>
      <c r="AT812" s="8" t="str">
        <f>'Q100a-geral'!AT440</f>
        <v>x</v>
      </c>
      <c r="AU812" s="8" t="str">
        <f>'Q100a-geral'!AU440</f>
        <v>x</v>
      </c>
      <c r="AV812" s="8" t="str">
        <f>'Q100a-geral'!AV440</f>
        <v>x</v>
      </c>
      <c r="AW812" s="8" t="str">
        <f>'Q100a-geral'!AW440</f>
        <v>x</v>
      </c>
      <c r="AX812" s="8" t="str">
        <f>'Q100a-geral'!AX440</f>
        <v>x</v>
      </c>
      <c r="AY812" s="8" t="str">
        <f>'Q100a-geral'!AY440</f>
        <v>x</v>
      </c>
      <c r="AZ812" s="8" t="str">
        <f>'Q100a-geral'!AZ440</f>
        <v>x</v>
      </c>
      <c r="BA812" s="8" t="str">
        <f>'Q100a-geral'!BA440</f>
        <v>x</v>
      </c>
      <c r="BB812" s="8" t="str">
        <f>'Q100a-geral'!BB440</f>
        <v>BRTacessibilidade</v>
      </c>
      <c r="BC812" s="8" t="str">
        <f>'Q100a-geral'!BC440</f>
        <v>BRTacessibilidadex</v>
      </c>
      <c r="BD812" s="8" t="str">
        <f>'Q100a-geral'!BD440</f>
        <v>BRTx</v>
      </c>
    </row>
    <row r="813" spans="1:56" ht="76.5" x14ac:dyDescent="0.25">
      <c r="A813" s="406" t="str">
        <f>'Q100a-geral'!A379</f>
        <v>8.2</v>
      </c>
      <c r="B813" s="468" t="str">
        <f>'Q100a-geral'!B379</f>
        <v>BRT</v>
      </c>
      <c r="C813" s="13" t="str">
        <f>'Q100a-geral'!C379</f>
        <v>acessibilidade</v>
      </c>
      <c r="D813" s="362" t="s">
        <v>5637</v>
      </c>
      <c r="E813" s="483" t="str">
        <f>'Q100a-geral'!E379</f>
        <v>Belo Horizonte</v>
      </c>
      <c r="F813" s="619" t="str">
        <f>'Q100a-geral'!F379</f>
        <v>índice de conformidade com a acessibilidade do módulo de análise "elementos das travessias" do sistema BRT de Belo Horizonte
obs.1: o sistema de BRT de Belo Horizonte é constituido, em 2016, por três corredores: Área Central, Antônio Carlos e Cristiano Machado
obs.2: calculado como a média dos três elementos do módulo de análise (calçadas, rebaixamentos das calçadas e travessias)</v>
      </c>
      <c r="G813" s="110" t="str">
        <f>'Q100a-geral'!G379</f>
        <v>registro na fonte</v>
      </c>
      <c r="H813" s="173" t="str">
        <f>'Q100a-geral'!H379</f>
        <v>x</v>
      </c>
      <c r="I813" s="57">
        <f>'Q100a-geral'!I379</f>
        <v>1</v>
      </c>
      <c r="J813" s="8" t="str">
        <f>'Q100a-geral'!J379</f>
        <v>x</v>
      </c>
      <c r="K813" s="8" t="str">
        <f>'Q100a-geral'!K379</f>
        <v>x</v>
      </c>
      <c r="L813" s="8" t="str">
        <f>'Q100a-geral'!L379</f>
        <v>x</v>
      </c>
      <c r="M813" s="8" t="str">
        <f>'Q100a-geral'!M379</f>
        <v>x</v>
      </c>
      <c r="N813" s="8" t="str">
        <f>'Q100a-geral'!N379</f>
        <v>x</v>
      </c>
      <c r="O813" s="8" t="str">
        <f>'Q100a-geral'!O379</f>
        <v>x</v>
      </c>
      <c r="P813" s="8" t="str">
        <f>'Q100a-geral'!P379</f>
        <v>x</v>
      </c>
      <c r="Q813" s="8" t="str">
        <f>'Q100a-geral'!Q379</f>
        <v>x</v>
      </c>
      <c r="R813" s="8" t="str">
        <f>'Q100a-geral'!R379</f>
        <v>x</v>
      </c>
      <c r="S813" s="8" t="str">
        <f>'Q100a-geral'!S379</f>
        <v>só para pesquisa</v>
      </c>
      <c r="T813" s="8" t="str">
        <f>'Q100a-geral'!T379</f>
        <v>x</v>
      </c>
      <c r="U813" s="8" t="str">
        <f>'Q100a-geral'!U379</f>
        <v>x</v>
      </c>
      <c r="V813" s="8" t="str">
        <f>'Q100a-geral'!V379</f>
        <v>só para pesquisa</v>
      </c>
      <c r="W813" s="8" t="str">
        <f>'Q100a-geral'!W379</f>
        <v>x</v>
      </c>
      <c r="X813" s="8" t="str">
        <f>'Q100a-geral'!X379</f>
        <v>x</v>
      </c>
      <c r="Y813" s="8" t="str">
        <f>'Q100a-geral'!Y379</f>
        <v>x</v>
      </c>
      <c r="Z813" s="8" t="str">
        <f>'Q100a-geral'!Z379</f>
        <v>x</v>
      </c>
      <c r="AA813" s="8" t="str">
        <f>'Q100a-geral'!AA379</f>
        <v>x</v>
      </c>
      <c r="AB813" s="8" t="str">
        <f>'Q100a-geral'!AB379</f>
        <v>x</v>
      </c>
      <c r="AC813" s="8" t="str">
        <f>'Q100a-geral'!AC379</f>
        <v>x</v>
      </c>
      <c r="AD813" s="8" t="str">
        <f>'Q100a-geral'!AD379</f>
        <v>x</v>
      </c>
      <c r="AE813" s="8" t="str">
        <f>'Q100a-geral'!AE379</f>
        <v>x</v>
      </c>
      <c r="AF813" s="8" t="str">
        <f>'Q100a-geral'!AF379</f>
        <v>x</v>
      </c>
      <c r="AG813" s="8" t="str">
        <f>'Q100a-geral'!AG379</f>
        <v>x</v>
      </c>
      <c r="AH813" s="8" t="str">
        <f>'Q100a-geral'!AH379</f>
        <v>x</v>
      </c>
      <c r="AI813" s="8" t="str">
        <f>'Q100a-geral'!AI379</f>
        <v>x</v>
      </c>
      <c r="AJ813" s="8" t="str">
        <f>'Q100a-geral'!AJ379</f>
        <v>x</v>
      </c>
      <c r="AK813" s="1441">
        <f>'Q100a-geral'!AK379</f>
        <v>0.6</v>
      </c>
      <c r="AL813" s="8" t="str">
        <f>'Q100a-geral'!AL379</f>
        <v>x</v>
      </c>
      <c r="AM813" s="8" t="str">
        <f>'Q100a-geral'!AM379</f>
        <v>x</v>
      </c>
      <c r="AN813" s="8" t="str">
        <f>'Q100a-geral'!AN379</f>
        <v>x</v>
      </c>
      <c r="AO813" s="8" t="str">
        <f>'Q100a-geral'!AO379</f>
        <v>x</v>
      </c>
      <c r="AP813" s="8" t="str">
        <f>'Q100a-geral'!AP379</f>
        <v>x</v>
      </c>
      <c r="AQ813" s="8" t="str">
        <f>'Q100a-geral'!AQ379</f>
        <v>x</v>
      </c>
      <c r="AR813" s="8" t="str">
        <f>'Q100a-geral'!AR379</f>
        <v>x</v>
      </c>
      <c r="AS813" s="8" t="str">
        <f>'Q100a-geral'!AS379</f>
        <v>x</v>
      </c>
      <c r="AT813" s="8" t="str">
        <f>'Q100a-geral'!AT379</f>
        <v>x</v>
      </c>
      <c r="AU813" s="8" t="str">
        <f>'Q100a-geral'!AU379</f>
        <v>x</v>
      </c>
      <c r="AV813" s="8" t="str">
        <f>'Q100a-geral'!AV379</f>
        <v>x</v>
      </c>
      <c r="AW813" s="8" t="str">
        <f>'Q100a-geral'!AW379</f>
        <v>x</v>
      </c>
      <c r="AX813" s="8" t="str">
        <f>'Q100a-geral'!AX379</f>
        <v>x</v>
      </c>
      <c r="AY813" s="8" t="str">
        <f>'Q100a-geral'!AY379</f>
        <v>x</v>
      </c>
      <c r="AZ813" s="8" t="str">
        <f>'Q100a-geral'!AZ379</f>
        <v>x</v>
      </c>
      <c r="BA813" s="8" t="str">
        <f>'Q100a-geral'!BA379</f>
        <v>x</v>
      </c>
      <c r="BB813" s="8" t="str">
        <f>'Q100a-geral'!BB379</f>
        <v>BRTacessibilidade</v>
      </c>
      <c r="BC813" s="8" t="str">
        <f>'Q100a-geral'!BC379</f>
        <v>BRTacessibilidadex</v>
      </c>
      <c r="BD813" s="8" t="str">
        <f>'Q100a-geral'!BD379</f>
        <v>BRTx</v>
      </c>
    </row>
    <row r="814" spans="1:56" ht="76.5" x14ac:dyDescent="0.25">
      <c r="A814" s="406" t="str">
        <f>'Q100a-geral'!A380</f>
        <v>8.2</v>
      </c>
      <c r="B814" s="468" t="str">
        <f>'Q100a-geral'!B380</f>
        <v>BRT</v>
      </c>
      <c r="C814" s="13" t="str">
        <f>'Q100a-geral'!C380</f>
        <v>acessibilidade</v>
      </c>
      <c r="D814" s="362" t="s">
        <v>5638</v>
      </c>
      <c r="E814" s="483" t="str">
        <f>'Q100a-geral'!E380</f>
        <v>Belo Horizonte</v>
      </c>
      <c r="F814" s="619" t="str">
        <f>'Q100a-geral'!F380</f>
        <v>índice de conformidade com a acessibilidade do módulo de análise "elementos das passarelas" do sistema BRT de Belo Horizonte
obs.1: o sistema de BRT de Belo Horizonte é constituido, em 2016, por três corredores: Área Central, Antônio Carlos e Cristiano Machado
obs.2: calculado como a média dos quatro elementos do módulo de análise (geral das passarelas, rampas das passarelas, escadarias das passarelas, corrimãos das passarelas)</v>
      </c>
      <c r="G814" s="110" t="str">
        <f>'Q100a-geral'!G380</f>
        <v>registro na fonte</v>
      </c>
      <c r="H814" s="173" t="str">
        <f>'Q100a-geral'!H380</f>
        <v>x</v>
      </c>
      <c r="I814" s="57">
        <f>'Q100a-geral'!I380</f>
        <v>1</v>
      </c>
      <c r="J814" s="8" t="str">
        <f>'Q100a-geral'!J380</f>
        <v>x</v>
      </c>
      <c r="K814" s="8" t="str">
        <f>'Q100a-geral'!K380</f>
        <v>x</v>
      </c>
      <c r="L814" s="8" t="str">
        <f>'Q100a-geral'!L380</f>
        <v>x</v>
      </c>
      <c r="M814" s="8" t="str">
        <f>'Q100a-geral'!M380</f>
        <v>x</v>
      </c>
      <c r="N814" s="8" t="str">
        <f>'Q100a-geral'!N380</f>
        <v>x</v>
      </c>
      <c r="O814" s="8" t="str">
        <f>'Q100a-geral'!O380</f>
        <v>x</v>
      </c>
      <c r="P814" s="8" t="str">
        <f>'Q100a-geral'!P380</f>
        <v>x</v>
      </c>
      <c r="Q814" s="8" t="str">
        <f>'Q100a-geral'!Q380</f>
        <v>x</v>
      </c>
      <c r="R814" s="8" t="str">
        <f>'Q100a-geral'!R380</f>
        <v>x</v>
      </c>
      <c r="S814" s="8" t="str">
        <f>'Q100a-geral'!S380</f>
        <v>só para pesquisa</v>
      </c>
      <c r="T814" s="8" t="str">
        <f>'Q100a-geral'!T380</f>
        <v>x</v>
      </c>
      <c r="U814" s="8" t="str">
        <f>'Q100a-geral'!U380</f>
        <v>x</v>
      </c>
      <c r="V814" s="8" t="str">
        <f>'Q100a-geral'!V380</f>
        <v>só para pesquisa</v>
      </c>
      <c r="W814" s="8" t="str">
        <f>'Q100a-geral'!W380</f>
        <v>x</v>
      </c>
      <c r="X814" s="8" t="str">
        <f>'Q100a-geral'!X380</f>
        <v>x</v>
      </c>
      <c r="Y814" s="8" t="str">
        <f>'Q100a-geral'!Y380</f>
        <v>x</v>
      </c>
      <c r="Z814" s="8" t="str">
        <f>'Q100a-geral'!Z380</f>
        <v>x</v>
      </c>
      <c r="AA814" s="8" t="str">
        <f>'Q100a-geral'!AA380</f>
        <v>x</v>
      </c>
      <c r="AB814" s="8" t="str">
        <f>'Q100a-geral'!AB380</f>
        <v>x</v>
      </c>
      <c r="AC814" s="8" t="str">
        <f>'Q100a-geral'!AC380</f>
        <v>x</v>
      </c>
      <c r="AD814" s="8" t="str">
        <f>'Q100a-geral'!AD380</f>
        <v>x</v>
      </c>
      <c r="AE814" s="8" t="str">
        <f>'Q100a-geral'!AE380</f>
        <v>x</v>
      </c>
      <c r="AF814" s="8" t="str">
        <f>'Q100a-geral'!AF380</f>
        <v>x</v>
      </c>
      <c r="AG814" s="8" t="str">
        <f>'Q100a-geral'!AG380</f>
        <v>x</v>
      </c>
      <c r="AH814" s="8" t="str">
        <f>'Q100a-geral'!AH380</f>
        <v>x</v>
      </c>
      <c r="AI814" s="8" t="str">
        <f>'Q100a-geral'!AI380</f>
        <v>x</v>
      </c>
      <c r="AJ814" s="8" t="str">
        <f>'Q100a-geral'!AJ380</f>
        <v>x</v>
      </c>
      <c r="AK814" s="1441">
        <f>'Q100a-geral'!AK380</f>
        <v>0.65</v>
      </c>
      <c r="AL814" s="8" t="str">
        <f>'Q100a-geral'!AL380</f>
        <v>x</v>
      </c>
      <c r="AM814" s="8" t="str">
        <f>'Q100a-geral'!AM380</f>
        <v>x</v>
      </c>
      <c r="AN814" s="8" t="str">
        <f>'Q100a-geral'!AN380</f>
        <v>x</v>
      </c>
      <c r="AO814" s="8" t="str">
        <f>'Q100a-geral'!AO380</f>
        <v>x</v>
      </c>
      <c r="AP814" s="8" t="str">
        <f>'Q100a-geral'!AP380</f>
        <v>x</v>
      </c>
      <c r="AQ814" s="8" t="str">
        <f>'Q100a-geral'!AQ380</f>
        <v>x</v>
      </c>
      <c r="AR814" s="8" t="str">
        <f>'Q100a-geral'!AR380</f>
        <v>x</v>
      </c>
      <c r="AS814" s="8" t="str">
        <f>'Q100a-geral'!AS380</f>
        <v>x</v>
      </c>
      <c r="AT814" s="8" t="str">
        <f>'Q100a-geral'!AT380</f>
        <v>x</v>
      </c>
      <c r="AU814" s="8" t="str">
        <f>'Q100a-geral'!AU380</f>
        <v>x</v>
      </c>
      <c r="AV814" s="8" t="str">
        <f>'Q100a-geral'!AV380</f>
        <v>x</v>
      </c>
      <c r="AW814" s="8" t="str">
        <f>'Q100a-geral'!AW380</f>
        <v>x</v>
      </c>
      <c r="AX814" s="8" t="str">
        <f>'Q100a-geral'!AX380</f>
        <v>x</v>
      </c>
      <c r="AY814" s="8" t="str">
        <f>'Q100a-geral'!AY380</f>
        <v>x</v>
      </c>
      <c r="AZ814" s="8" t="str">
        <f>'Q100a-geral'!AZ380</f>
        <v>x</v>
      </c>
      <c r="BA814" s="8" t="str">
        <f>'Q100a-geral'!BA380</f>
        <v>x</v>
      </c>
      <c r="BB814" s="8" t="str">
        <f>'Q100a-geral'!BB380</f>
        <v>BRTacessibilidade</v>
      </c>
      <c r="BC814" s="8" t="str">
        <f>'Q100a-geral'!BC380</f>
        <v>BRTacessibilidadex</v>
      </c>
      <c r="BD814" s="8" t="str">
        <f>'Q100a-geral'!BD380</f>
        <v>BRTx</v>
      </c>
    </row>
    <row r="815" spans="1:56" ht="76.5" x14ac:dyDescent="0.25">
      <c r="A815" s="406" t="str">
        <f>'Q100a-geral'!A381</f>
        <v>8.2</v>
      </c>
      <c r="B815" s="468" t="str">
        <f>'Q100a-geral'!B381</f>
        <v>BRT</v>
      </c>
      <c r="C815" s="13" t="str">
        <f>'Q100a-geral'!C381</f>
        <v>acessibilidade</v>
      </c>
      <c r="D815" s="362" t="s">
        <v>5639</v>
      </c>
      <c r="E815" s="483" t="str">
        <f>'Q100a-geral'!E404</f>
        <v>Belo Horizonte</v>
      </c>
      <c r="F815" s="619" t="str">
        <f>'Q100a-geral'!F381</f>
        <v>índice de conformidade com a acessibilidade do módulo de análise "elementos de acessos às plataformas" do sistema BRT de Belo Horizonte
obs.1: o sistema de BRT de Belo Horizonte é constituido, em 2016, por três corredores: Área Central, Antônio Carlos e Cristiano Machado
obs.2: calculado como a média dos três elementos do módulo de análise (rampas das plataformas, escadarias das plataformas, corrimãos das plataformas)</v>
      </c>
      <c r="G815" s="110" t="str">
        <f>'Q100a-geral'!G381</f>
        <v>registro na fonte</v>
      </c>
      <c r="H815" s="173" t="str">
        <f>'Q100a-geral'!H381</f>
        <v>x</v>
      </c>
      <c r="I815" s="57">
        <f>'Q100a-geral'!I381</f>
        <v>1</v>
      </c>
      <c r="J815" s="8" t="str">
        <f>'Q100a-geral'!J381</f>
        <v>x</v>
      </c>
      <c r="K815" s="8" t="str">
        <f>'Q100a-geral'!K381</f>
        <v>x</v>
      </c>
      <c r="L815" s="8" t="str">
        <f>'Q100a-geral'!L381</f>
        <v>x</v>
      </c>
      <c r="M815" s="8" t="str">
        <f>'Q100a-geral'!M381</f>
        <v>x</v>
      </c>
      <c r="N815" s="8" t="str">
        <f>'Q100a-geral'!N381</f>
        <v>x</v>
      </c>
      <c r="O815" s="8" t="str">
        <f>'Q100a-geral'!O381</f>
        <v>x</v>
      </c>
      <c r="P815" s="8" t="str">
        <f>'Q100a-geral'!P381</f>
        <v>x</v>
      </c>
      <c r="Q815" s="8" t="str">
        <f>'Q100a-geral'!Q381</f>
        <v>x</v>
      </c>
      <c r="R815" s="8" t="str">
        <f>'Q100a-geral'!R381</f>
        <v>x</v>
      </c>
      <c r="S815" s="8" t="str">
        <f>'Q100a-geral'!S381</f>
        <v>só para pesquisa</v>
      </c>
      <c r="T815" s="8" t="str">
        <f>'Q100a-geral'!T381</f>
        <v>x</v>
      </c>
      <c r="U815" s="8" t="str">
        <f>'Q100a-geral'!U381</f>
        <v>x</v>
      </c>
      <c r="V815" s="8" t="str">
        <f>'Q100a-geral'!V381</f>
        <v>só para pesquisa</v>
      </c>
      <c r="W815" s="8" t="str">
        <f>'Q100a-geral'!W381</f>
        <v>x</v>
      </c>
      <c r="X815" s="8" t="str">
        <f>'Q100a-geral'!X381</f>
        <v>x</v>
      </c>
      <c r="Y815" s="8" t="str">
        <f>'Q100a-geral'!Y381</f>
        <v>x</v>
      </c>
      <c r="Z815" s="8" t="str">
        <f>'Q100a-geral'!Z381</f>
        <v>x</v>
      </c>
      <c r="AA815" s="8" t="str">
        <f>'Q100a-geral'!AA381</f>
        <v>x</v>
      </c>
      <c r="AB815" s="8" t="str">
        <f>'Q100a-geral'!AB381</f>
        <v>x</v>
      </c>
      <c r="AC815" s="8" t="str">
        <f>'Q100a-geral'!AC381</f>
        <v>x</v>
      </c>
      <c r="AD815" s="8" t="str">
        <f>'Q100a-geral'!AD381</f>
        <v>x</v>
      </c>
      <c r="AE815" s="8" t="str">
        <f>'Q100a-geral'!AE381</f>
        <v>x</v>
      </c>
      <c r="AF815" s="8" t="str">
        <f>'Q100a-geral'!AF381</f>
        <v>x</v>
      </c>
      <c r="AG815" s="8" t="str">
        <f>'Q100a-geral'!AG381</f>
        <v>x</v>
      </c>
      <c r="AH815" s="8" t="str">
        <f>'Q100a-geral'!AH381</f>
        <v>x</v>
      </c>
      <c r="AI815" s="8" t="str">
        <f>'Q100a-geral'!AI381</f>
        <v>x</v>
      </c>
      <c r="AJ815" s="8" t="str">
        <f>'Q100a-geral'!AJ381</f>
        <v>x</v>
      </c>
      <c r="AK815" s="1441">
        <f>'Q100a-geral'!AK381</f>
        <v>0.69</v>
      </c>
      <c r="AL815" s="8" t="str">
        <f>'Q100a-geral'!AL381</f>
        <v>x</v>
      </c>
      <c r="AM815" s="8" t="str">
        <f>'Q100a-geral'!AM381</f>
        <v>x</v>
      </c>
      <c r="AN815" s="8" t="str">
        <f>'Q100a-geral'!AN381</f>
        <v>x</v>
      </c>
      <c r="AO815" s="8" t="str">
        <f>'Q100a-geral'!AO381</f>
        <v>x</v>
      </c>
      <c r="AP815" s="8" t="str">
        <f>'Q100a-geral'!AP381</f>
        <v>x</v>
      </c>
      <c r="AQ815" s="8" t="str">
        <f>'Q100a-geral'!AQ381</f>
        <v>x</v>
      </c>
      <c r="AR815" s="8" t="str">
        <f>'Q100a-geral'!AR381</f>
        <v>x</v>
      </c>
      <c r="AS815" s="8" t="str">
        <f>'Q100a-geral'!AS381</f>
        <v>x</v>
      </c>
      <c r="AT815" s="8" t="str">
        <f>'Q100a-geral'!AT381</f>
        <v>x</v>
      </c>
      <c r="AU815" s="8" t="str">
        <f>'Q100a-geral'!AU381</f>
        <v>x</v>
      </c>
      <c r="AV815" s="8" t="str">
        <f>'Q100a-geral'!AV381</f>
        <v>x</v>
      </c>
      <c r="AW815" s="8" t="str">
        <f>'Q100a-geral'!AW381</f>
        <v>x</v>
      </c>
      <c r="AX815" s="8" t="str">
        <f>'Q100a-geral'!AX381</f>
        <v>x</v>
      </c>
      <c r="AY815" s="8" t="str">
        <f>'Q100a-geral'!AY381</f>
        <v>x</v>
      </c>
      <c r="AZ815" s="8" t="str">
        <f>'Q100a-geral'!AZ381</f>
        <v>x</v>
      </c>
      <c r="BA815" s="8" t="str">
        <f>'Q100a-geral'!BA381</f>
        <v>x</v>
      </c>
      <c r="BB815" s="8" t="str">
        <f>'Q100a-geral'!BB381</f>
        <v>BRTacessibilidade</v>
      </c>
      <c r="BC815" s="8" t="str">
        <f>'Q100a-geral'!BC381</f>
        <v>BRTacessibilidadex</v>
      </c>
      <c r="BD815" s="8" t="str">
        <f>'Q100a-geral'!BD381</f>
        <v>BRTx</v>
      </c>
    </row>
    <row r="816" spans="1:56" ht="76.5" x14ac:dyDescent="0.25">
      <c r="A816" s="406" t="str">
        <f>'Q100a-geral'!A382</f>
        <v>8.2</v>
      </c>
      <c r="B816" s="468" t="str">
        <f>'Q100a-geral'!B382</f>
        <v>BRT</v>
      </c>
      <c r="C816" s="13" t="str">
        <f>'Q100a-geral'!C382</f>
        <v>acessibilidade</v>
      </c>
      <c r="D816" s="362" t="s">
        <v>5640</v>
      </c>
      <c r="E816" s="483" t="str">
        <f>'Q100a-geral'!E382</f>
        <v>Belo Horizonte</v>
      </c>
      <c r="F816" s="619" t="str">
        <f>'Q100a-geral'!F382</f>
        <v>índice de conformidade com a acessibilidade do módulo de análise "elementos das plataformas" do sistema BRT de Belo Horizonte
obs.1: o sistema de BRT de Belo Horizonte é constituido, em 2016, por três corredores: Área Central, Antônio Carlos e Cristiano Machado
obs.2: calculado como a média dos seis elementos do módulo de análise (bilheterias, máquinas de venda automática, catracas, planos e mapas acessíveis, geral da plataforma, sinalização)</v>
      </c>
      <c r="G816" s="110" t="str">
        <f>'Q100a-geral'!G382</f>
        <v>registro na fonte</v>
      </c>
      <c r="H816" s="173" t="str">
        <f>'Q100a-geral'!H382</f>
        <v>x</v>
      </c>
      <c r="I816" s="57">
        <f>'Q100a-geral'!I382</f>
        <v>1</v>
      </c>
      <c r="J816" s="8" t="str">
        <f>'Q100a-geral'!J382</f>
        <v>x</v>
      </c>
      <c r="K816" s="8" t="str">
        <f>'Q100a-geral'!K382</f>
        <v>x</v>
      </c>
      <c r="L816" s="8" t="str">
        <f>'Q100a-geral'!L382</f>
        <v>x</v>
      </c>
      <c r="M816" s="8" t="str">
        <f>'Q100a-geral'!M382</f>
        <v>x</v>
      </c>
      <c r="N816" s="8" t="str">
        <f>'Q100a-geral'!N382</f>
        <v>x</v>
      </c>
      <c r="O816" s="8" t="str">
        <f>'Q100a-geral'!O382</f>
        <v>x</v>
      </c>
      <c r="P816" s="8" t="str">
        <f>'Q100a-geral'!P382</f>
        <v>x</v>
      </c>
      <c r="Q816" s="8" t="str">
        <f>'Q100a-geral'!Q382</f>
        <v>x</v>
      </c>
      <c r="R816" s="8" t="str">
        <f>'Q100a-geral'!R382</f>
        <v>x</v>
      </c>
      <c r="S816" s="8" t="str">
        <f>'Q100a-geral'!S382</f>
        <v>só para pesquisa</v>
      </c>
      <c r="T816" s="8" t="str">
        <f>'Q100a-geral'!T382</f>
        <v>x</v>
      </c>
      <c r="U816" s="8" t="str">
        <f>'Q100a-geral'!U382</f>
        <v>x</v>
      </c>
      <c r="V816" s="8" t="str">
        <f>'Q100a-geral'!V382</f>
        <v>só para pesquisa</v>
      </c>
      <c r="W816" s="8" t="str">
        <f>'Q100a-geral'!W382</f>
        <v>x</v>
      </c>
      <c r="X816" s="8" t="str">
        <f>'Q100a-geral'!X382</f>
        <v>x</v>
      </c>
      <c r="Y816" s="8" t="str">
        <f>'Q100a-geral'!Y382</f>
        <v>x</v>
      </c>
      <c r="Z816" s="8" t="str">
        <f>'Q100a-geral'!Z382</f>
        <v>x</v>
      </c>
      <c r="AA816" s="8" t="str">
        <f>'Q100a-geral'!AA382</f>
        <v>x</v>
      </c>
      <c r="AB816" s="8" t="str">
        <f>'Q100a-geral'!AB382</f>
        <v>x</v>
      </c>
      <c r="AC816" s="8" t="str">
        <f>'Q100a-geral'!AC382</f>
        <v>x</v>
      </c>
      <c r="AD816" s="8" t="str">
        <f>'Q100a-geral'!AD382</f>
        <v>x</v>
      </c>
      <c r="AE816" s="8" t="str">
        <f>'Q100a-geral'!AE382</f>
        <v>x</v>
      </c>
      <c r="AF816" s="8" t="str">
        <f>'Q100a-geral'!AF382</f>
        <v>x</v>
      </c>
      <c r="AG816" s="8" t="str">
        <f>'Q100a-geral'!AG382</f>
        <v>x</v>
      </c>
      <c r="AH816" s="8" t="str">
        <f>'Q100a-geral'!AH382</f>
        <v>x</v>
      </c>
      <c r="AI816" s="8" t="str">
        <f>'Q100a-geral'!AI382</f>
        <v>x</v>
      </c>
      <c r="AJ816" s="8" t="str">
        <f>'Q100a-geral'!AJ382</f>
        <v>x</v>
      </c>
      <c r="AK816" s="1441">
        <f>'Q100a-geral'!AK382</f>
        <v>0.44</v>
      </c>
      <c r="AL816" s="8" t="str">
        <f>'Q100a-geral'!AL382</f>
        <v>x</v>
      </c>
      <c r="AM816" s="8" t="str">
        <f>'Q100a-geral'!AM382</f>
        <v>x</v>
      </c>
      <c r="AN816" s="8" t="str">
        <f>'Q100a-geral'!AN382</f>
        <v>x</v>
      </c>
      <c r="AO816" s="8" t="str">
        <f>'Q100a-geral'!AO382</f>
        <v>x</v>
      </c>
      <c r="AP816" s="8" t="str">
        <f>'Q100a-geral'!AP382</f>
        <v>x</v>
      </c>
      <c r="AQ816" s="8" t="str">
        <f>'Q100a-geral'!AQ382</f>
        <v>x</v>
      </c>
      <c r="AR816" s="8" t="str">
        <f>'Q100a-geral'!AR382</f>
        <v>x</v>
      </c>
      <c r="AS816" s="8" t="str">
        <f>'Q100a-geral'!AS382</f>
        <v>x</v>
      </c>
      <c r="AT816" s="8" t="str">
        <f>'Q100a-geral'!AT382</f>
        <v>x</v>
      </c>
      <c r="AU816" s="8" t="str">
        <f>'Q100a-geral'!AU382</f>
        <v>x</v>
      </c>
      <c r="AV816" s="8" t="str">
        <f>'Q100a-geral'!AV382</f>
        <v>x</v>
      </c>
      <c r="AW816" s="8" t="str">
        <f>'Q100a-geral'!AW382</f>
        <v>x</v>
      </c>
      <c r="AX816" s="8" t="str">
        <f>'Q100a-geral'!AX382</f>
        <v>x</v>
      </c>
      <c r="AY816" s="8" t="str">
        <f>'Q100a-geral'!AY382</f>
        <v>x</v>
      </c>
      <c r="AZ816" s="8" t="str">
        <f>'Q100a-geral'!AZ382</f>
        <v>x</v>
      </c>
      <c r="BA816" s="8" t="str">
        <f>'Q100a-geral'!BA382</f>
        <v>x</v>
      </c>
      <c r="BB816" s="8" t="str">
        <f>'Q100a-geral'!BB382</f>
        <v>BRTacessibilidade</v>
      </c>
      <c r="BC816" s="8" t="str">
        <f>'Q100a-geral'!BC382</f>
        <v>BRTacessibilidadex</v>
      </c>
      <c r="BD816" s="8" t="str">
        <f>'Q100a-geral'!BD382</f>
        <v>BRTx</v>
      </c>
    </row>
    <row r="817" spans="1:56" ht="51" x14ac:dyDescent="0.25">
      <c r="A817" s="406" t="str">
        <f>'Q100a-geral'!A403</f>
        <v>8.2</v>
      </c>
      <c r="B817" s="468" t="str">
        <f>'Q100a-geral'!B403</f>
        <v>BRT</v>
      </c>
      <c r="C817" s="13" t="str">
        <f>'Q100a-geral'!C403</f>
        <v>acessibilidade</v>
      </c>
      <c r="D817" s="324" t="str">
        <f>'Q100a-geral'!D403</f>
        <v>BRT IC AC (módulo travessias)</v>
      </c>
      <c r="E817" s="481" t="str">
        <f>'Q100a-geral'!E403</f>
        <v>Belo Horizonte</v>
      </c>
      <c r="F817" s="619" t="str">
        <f>'Q100a-geral'!F403</f>
        <v>índice de conformidade com a acessibilidade do módulo de análise "elementos das travessias" do corredor de BRT denominado "Área Central"
obs.1: calculado como a média dos três elementos do módulo de análise (calçadas, rebaixamentos das calçadas e travessias)</v>
      </c>
      <c r="G817" s="110" t="str">
        <f>'Q100a-geral'!G403</f>
        <v>registro na fonte</v>
      </c>
      <c r="H817" s="173" t="str">
        <f>'Q100a-geral'!H403</f>
        <v>x</v>
      </c>
      <c r="I817" s="57">
        <f>'Q100a-geral'!I403</f>
        <v>1</v>
      </c>
      <c r="J817" s="8" t="str">
        <f>'Q100a-geral'!J403</f>
        <v>x</v>
      </c>
      <c r="K817" s="8" t="str">
        <f>'Q100a-geral'!K403</f>
        <v>x</v>
      </c>
      <c r="L817" s="8" t="str">
        <f>'Q100a-geral'!L403</f>
        <v>x</v>
      </c>
      <c r="M817" s="8" t="str">
        <f>'Q100a-geral'!M403</f>
        <v>x</v>
      </c>
      <c r="N817" s="8" t="str">
        <f>'Q100a-geral'!N403</f>
        <v>x</v>
      </c>
      <c r="O817" s="8" t="str">
        <f>'Q100a-geral'!O403</f>
        <v>x</v>
      </c>
      <c r="P817" s="8" t="str">
        <f>'Q100a-geral'!P403</f>
        <v>x</v>
      </c>
      <c r="Q817" s="8" t="str">
        <f>'Q100a-geral'!Q403</f>
        <v>x</v>
      </c>
      <c r="R817" s="8" t="str">
        <f>'Q100a-geral'!R403</f>
        <v>x</v>
      </c>
      <c r="S817" s="8" t="str">
        <f>'Q100a-geral'!S403</f>
        <v>só para pesquisa</v>
      </c>
      <c r="T817" s="8" t="str">
        <f>'Q100a-geral'!T403</f>
        <v>x</v>
      </c>
      <c r="U817" s="8" t="str">
        <f>'Q100a-geral'!U403</f>
        <v>x</v>
      </c>
      <c r="V817" s="8" t="str">
        <f>'Q100a-geral'!V403</f>
        <v>só para pesquisa</v>
      </c>
      <c r="W817" s="8" t="str">
        <f>'Q100a-geral'!W403</f>
        <v>x</v>
      </c>
      <c r="X817" s="8" t="str">
        <f>'Q100a-geral'!X403</f>
        <v>x</v>
      </c>
      <c r="Y817" s="8" t="str">
        <f>'Q100a-geral'!Y403</f>
        <v>x</v>
      </c>
      <c r="Z817" s="8" t="str">
        <f>'Q100a-geral'!Z403</f>
        <v>x</v>
      </c>
      <c r="AA817" s="8" t="str">
        <f>'Q100a-geral'!AA403</f>
        <v>x</v>
      </c>
      <c r="AB817" s="8" t="str">
        <f>'Q100a-geral'!AB403</f>
        <v>x</v>
      </c>
      <c r="AC817" s="8" t="str">
        <f>'Q100a-geral'!AC403</f>
        <v>x</v>
      </c>
      <c r="AD817" s="8" t="str">
        <f>'Q100a-geral'!AD403</f>
        <v>x</v>
      </c>
      <c r="AE817" s="8" t="str">
        <f>'Q100a-geral'!AE403</f>
        <v>x</v>
      </c>
      <c r="AF817" s="8" t="str">
        <f>'Q100a-geral'!AF403</f>
        <v>x</v>
      </c>
      <c r="AG817" s="8" t="str">
        <f>'Q100a-geral'!AG403</f>
        <v>x</v>
      </c>
      <c r="AH817" s="8" t="str">
        <f>'Q100a-geral'!AH403</f>
        <v>x</v>
      </c>
      <c r="AI817" s="8" t="str">
        <f>'Q100a-geral'!AI403</f>
        <v>x</v>
      </c>
      <c r="AJ817" s="8" t="str">
        <f>'Q100a-geral'!AJ403</f>
        <v>x</v>
      </c>
      <c r="AK817" s="95">
        <f>'Q100a-geral'!AK403</f>
        <v>0.78</v>
      </c>
      <c r="AL817" s="8" t="str">
        <f>'Q100a-geral'!AL403</f>
        <v>x</v>
      </c>
      <c r="AM817" s="8" t="str">
        <f>'Q100a-geral'!AM403</f>
        <v>x</v>
      </c>
      <c r="AN817" s="8" t="str">
        <f>'Q100a-geral'!AN403</f>
        <v>x</v>
      </c>
      <c r="AO817" s="8" t="str">
        <f>'Q100a-geral'!AO403</f>
        <v>x</v>
      </c>
      <c r="AP817" s="8" t="str">
        <f>'Q100a-geral'!AP403</f>
        <v>x</v>
      </c>
      <c r="AQ817" s="8" t="str">
        <f>'Q100a-geral'!AQ403</f>
        <v>x</v>
      </c>
      <c r="AR817" s="8" t="str">
        <f>'Q100a-geral'!AR403</f>
        <v>x</v>
      </c>
      <c r="AS817" s="8" t="str">
        <f>'Q100a-geral'!AS403</f>
        <v>x</v>
      </c>
      <c r="AT817" s="8" t="str">
        <f>'Q100a-geral'!AT403</f>
        <v>x</v>
      </c>
      <c r="AU817" s="8" t="str">
        <f>'Q100a-geral'!AU403</f>
        <v>x</v>
      </c>
      <c r="AV817" s="8" t="str">
        <f>'Q100a-geral'!AV403</f>
        <v>x</v>
      </c>
      <c r="AW817" s="8" t="str">
        <f>'Q100a-geral'!AW403</f>
        <v>x</v>
      </c>
      <c r="AX817" s="8" t="str">
        <f>'Q100a-geral'!AX403</f>
        <v>x</v>
      </c>
      <c r="AY817" s="8" t="str">
        <f>'Q100a-geral'!AY403</f>
        <v>x</v>
      </c>
      <c r="AZ817" s="8" t="str">
        <f>'Q100a-geral'!AZ403</f>
        <v>x</v>
      </c>
      <c r="BA817" s="8" t="str">
        <f>'Q100a-geral'!BA403</f>
        <v>x</v>
      </c>
      <c r="BB817" s="8" t="str">
        <f>'Q100a-geral'!BB403</f>
        <v>BRTacessibilidade</v>
      </c>
      <c r="BC817" s="8" t="str">
        <f>'Q100a-geral'!BC403</f>
        <v>BRTacessibilidadex</v>
      </c>
      <c r="BD817" s="8" t="str">
        <f>'Q100a-geral'!BD403</f>
        <v>BRTx</v>
      </c>
    </row>
    <row r="818" spans="1:56" ht="51" x14ac:dyDescent="0.25">
      <c r="A818" s="406" t="str">
        <f>'Q100a-geral'!A424</f>
        <v>8.2</v>
      </c>
      <c r="B818" s="468" t="str">
        <f>'Q100a-geral'!B424</f>
        <v>BRT</v>
      </c>
      <c r="C818" s="13" t="str">
        <f>'Q100a-geral'!C424</f>
        <v>acessibilidade</v>
      </c>
      <c r="D818" s="324" t="str">
        <f>'Q100a-geral'!D424</f>
        <v>BRT IC ATC (módulo travessias)</v>
      </c>
      <c r="E818" s="481" t="str">
        <f>'Q100a-geral'!E424</f>
        <v>Belo Horizonte</v>
      </c>
      <c r="F818" s="619" t="str">
        <f>'Q100a-geral'!F424</f>
        <v>índice de conformidade com a acessibilidade do módulo de análise "elementos das travessias" do corredor de BRT denominado "Antônio Carlos"
obs.1: calculado como a média dos três elementos do módulo de análise (calçadas, rebaixamentos das calçadas e travessias)</v>
      </c>
      <c r="G818" s="110" t="str">
        <f>'Q100a-geral'!G424</f>
        <v>registro na fonte</v>
      </c>
      <c r="H818" s="173" t="str">
        <f>'Q100a-geral'!H424</f>
        <v>x</v>
      </c>
      <c r="I818" s="57">
        <f>'Q100a-geral'!I424</f>
        <v>1</v>
      </c>
      <c r="J818" s="8" t="str">
        <f>'Q100a-geral'!J424</f>
        <v>x</v>
      </c>
      <c r="K818" s="8" t="str">
        <f>'Q100a-geral'!K424</f>
        <v>x</v>
      </c>
      <c r="L818" s="8" t="str">
        <f>'Q100a-geral'!L424</f>
        <v>x</v>
      </c>
      <c r="M818" s="8" t="str">
        <f>'Q100a-geral'!M424</f>
        <v>x</v>
      </c>
      <c r="N818" s="8" t="str">
        <f>'Q100a-geral'!N424</f>
        <v>x</v>
      </c>
      <c r="O818" s="8" t="str">
        <f>'Q100a-geral'!O424</f>
        <v>x</v>
      </c>
      <c r="P818" s="8" t="str">
        <f>'Q100a-geral'!P424</f>
        <v>x</v>
      </c>
      <c r="Q818" s="8" t="str">
        <f>'Q100a-geral'!Q424</f>
        <v>x</v>
      </c>
      <c r="R818" s="8" t="str">
        <f>'Q100a-geral'!R424</f>
        <v>x</v>
      </c>
      <c r="S818" s="8" t="str">
        <f>'Q100a-geral'!S424</f>
        <v>só para pesquisa</v>
      </c>
      <c r="T818" s="8" t="str">
        <f>'Q100a-geral'!T424</f>
        <v>x</v>
      </c>
      <c r="U818" s="8" t="str">
        <f>'Q100a-geral'!U424</f>
        <v>x</v>
      </c>
      <c r="V818" s="8" t="str">
        <f>'Q100a-geral'!V424</f>
        <v>só para pesquisa</v>
      </c>
      <c r="W818" s="8" t="str">
        <f>'Q100a-geral'!W424</f>
        <v>x</v>
      </c>
      <c r="X818" s="8" t="str">
        <f>'Q100a-geral'!X424</f>
        <v>x</v>
      </c>
      <c r="Y818" s="8" t="str">
        <f>'Q100a-geral'!Y424</f>
        <v>x</v>
      </c>
      <c r="Z818" s="8" t="str">
        <f>'Q100a-geral'!Z424</f>
        <v>x</v>
      </c>
      <c r="AA818" s="8" t="str">
        <f>'Q100a-geral'!AA424</f>
        <v>x</v>
      </c>
      <c r="AB818" s="8" t="str">
        <f>'Q100a-geral'!AB424</f>
        <v>x</v>
      </c>
      <c r="AC818" s="8" t="str">
        <f>'Q100a-geral'!AC424</f>
        <v>x</v>
      </c>
      <c r="AD818" s="8" t="str">
        <f>'Q100a-geral'!AD424</f>
        <v>x</v>
      </c>
      <c r="AE818" s="8" t="str">
        <f>'Q100a-geral'!AE424</f>
        <v>x</v>
      </c>
      <c r="AF818" s="8" t="str">
        <f>'Q100a-geral'!AF424</f>
        <v>x</v>
      </c>
      <c r="AG818" s="8" t="str">
        <f>'Q100a-geral'!AG424</f>
        <v>x</v>
      </c>
      <c r="AH818" s="8" t="str">
        <f>'Q100a-geral'!AH424</f>
        <v>x</v>
      </c>
      <c r="AI818" s="8" t="str">
        <f>'Q100a-geral'!AI424</f>
        <v>x</v>
      </c>
      <c r="AJ818" s="8" t="str">
        <f>'Q100a-geral'!AJ424</f>
        <v>x</v>
      </c>
      <c r="AK818" s="95">
        <f>'Q100a-geral'!AK424</f>
        <v>0.59</v>
      </c>
      <c r="AL818" s="8" t="str">
        <f>'Q100a-geral'!AL424</f>
        <v>x</v>
      </c>
      <c r="AM818" s="8" t="str">
        <f>'Q100a-geral'!AM424</f>
        <v>x</v>
      </c>
      <c r="AN818" s="8" t="str">
        <f>'Q100a-geral'!AN424</f>
        <v>x</v>
      </c>
      <c r="AO818" s="8" t="str">
        <f>'Q100a-geral'!AO424</f>
        <v>x</v>
      </c>
      <c r="AP818" s="8" t="str">
        <f>'Q100a-geral'!AP424</f>
        <v>x</v>
      </c>
      <c r="AQ818" s="8" t="str">
        <f>'Q100a-geral'!AQ424</f>
        <v>x</v>
      </c>
      <c r="AR818" s="8" t="str">
        <f>'Q100a-geral'!AR424</f>
        <v>x</v>
      </c>
      <c r="AS818" s="8" t="str">
        <f>'Q100a-geral'!AS424</f>
        <v>x</v>
      </c>
      <c r="AT818" s="8" t="str">
        <f>'Q100a-geral'!AT424</f>
        <v>x</v>
      </c>
      <c r="AU818" s="8" t="str">
        <f>'Q100a-geral'!AU424</f>
        <v>x</v>
      </c>
      <c r="AV818" s="8" t="str">
        <f>'Q100a-geral'!AV424</f>
        <v>x</v>
      </c>
      <c r="AW818" s="8" t="str">
        <f>'Q100a-geral'!AW424</f>
        <v>x</v>
      </c>
      <c r="AX818" s="8" t="str">
        <f>'Q100a-geral'!AX424</f>
        <v>x</v>
      </c>
      <c r="AY818" s="8" t="str">
        <f>'Q100a-geral'!AY424</f>
        <v>x</v>
      </c>
      <c r="AZ818" s="8" t="str">
        <f>'Q100a-geral'!AZ424</f>
        <v>x</v>
      </c>
      <c r="BA818" s="8" t="str">
        <f>'Q100a-geral'!BA424</f>
        <v>x</v>
      </c>
      <c r="BB818" s="8" t="str">
        <f>'Q100a-geral'!BB424</f>
        <v>BRTacessibilidade</v>
      </c>
      <c r="BC818" s="8" t="str">
        <f>'Q100a-geral'!BC424</f>
        <v>BRTacessibilidadex</v>
      </c>
      <c r="BD818" s="8" t="str">
        <f>'Q100a-geral'!BD424</f>
        <v>BRTx</v>
      </c>
    </row>
    <row r="819" spans="1:56" ht="51" x14ac:dyDescent="0.25">
      <c r="A819" s="406" t="str">
        <f>'Q100a-geral'!A446</f>
        <v>8.2</v>
      </c>
      <c r="B819" s="468" t="str">
        <f>'Q100a-geral'!B446</f>
        <v>BRT</v>
      </c>
      <c r="C819" s="13" t="str">
        <f>'Q100a-geral'!C446</f>
        <v>acessibilidade</v>
      </c>
      <c r="D819" s="324" t="str">
        <f>'Q100a-geral'!D446</f>
        <v>BRT IC CMC (módulo travessias)</v>
      </c>
      <c r="E819" s="481" t="str">
        <f>'Q100a-geral'!E446</f>
        <v>Belo Horizonte</v>
      </c>
      <c r="F819" s="619" t="str">
        <f>'Q100a-geral'!F446</f>
        <v>índice de conformidade com a acessibilidade do módulo de análise "elementos das travessias" do corredor de BRT denominado "Cristiano Machado"
obs.1: calculado como a média dos três elementos do módulo de análise (calçadas, rebaixamentos das calçadas e travessias)</v>
      </c>
      <c r="G819" s="110" t="str">
        <f>'Q100a-geral'!G446</f>
        <v>registro na fonte</v>
      </c>
      <c r="H819" s="173" t="str">
        <f>'Q100a-geral'!H446</f>
        <v>x</v>
      </c>
      <c r="I819" s="57">
        <f>'Q100a-geral'!I446</f>
        <v>1</v>
      </c>
      <c r="J819" s="8" t="str">
        <f>'Q100a-geral'!J446</f>
        <v>x</v>
      </c>
      <c r="K819" s="8" t="str">
        <f>'Q100a-geral'!K446</f>
        <v>x</v>
      </c>
      <c r="L819" s="8" t="str">
        <f>'Q100a-geral'!L446</f>
        <v>x</v>
      </c>
      <c r="M819" s="8" t="str">
        <f>'Q100a-geral'!M446</f>
        <v>x</v>
      </c>
      <c r="N819" s="8" t="str">
        <f>'Q100a-geral'!N446</f>
        <v>x</v>
      </c>
      <c r="O819" s="8" t="str">
        <f>'Q100a-geral'!O446</f>
        <v>x</v>
      </c>
      <c r="P819" s="8" t="str">
        <f>'Q100a-geral'!P446</f>
        <v>x</v>
      </c>
      <c r="Q819" s="8" t="str">
        <f>'Q100a-geral'!Q446</f>
        <v>x</v>
      </c>
      <c r="R819" s="8" t="str">
        <f>'Q100a-geral'!R446</f>
        <v>x</v>
      </c>
      <c r="S819" s="8" t="str">
        <f>'Q100a-geral'!S446</f>
        <v>só para pesquisa</v>
      </c>
      <c r="T819" s="8" t="str">
        <f>'Q100a-geral'!T446</f>
        <v>x</v>
      </c>
      <c r="U819" s="8" t="str">
        <f>'Q100a-geral'!U446</f>
        <v>x</v>
      </c>
      <c r="V819" s="8" t="str">
        <f>'Q100a-geral'!V446</f>
        <v>só para pesquisa</v>
      </c>
      <c r="W819" s="8" t="str">
        <f>'Q100a-geral'!W446</f>
        <v>x</v>
      </c>
      <c r="X819" s="8" t="str">
        <f>'Q100a-geral'!X446</f>
        <v>x</v>
      </c>
      <c r="Y819" s="8" t="str">
        <f>'Q100a-geral'!Y446</f>
        <v>x</v>
      </c>
      <c r="Z819" s="8" t="str">
        <f>'Q100a-geral'!Z446</f>
        <v>x</v>
      </c>
      <c r="AA819" s="8" t="str">
        <f>'Q100a-geral'!AA446</f>
        <v>x</v>
      </c>
      <c r="AB819" s="8" t="str">
        <f>'Q100a-geral'!AB446</f>
        <v>x</v>
      </c>
      <c r="AC819" s="8" t="str">
        <f>'Q100a-geral'!AC446</f>
        <v>x</v>
      </c>
      <c r="AD819" s="8" t="str">
        <f>'Q100a-geral'!AD446</f>
        <v>x</v>
      </c>
      <c r="AE819" s="8" t="str">
        <f>'Q100a-geral'!AE446</f>
        <v>x</v>
      </c>
      <c r="AF819" s="8" t="str">
        <f>'Q100a-geral'!AF446</f>
        <v>x</v>
      </c>
      <c r="AG819" s="8" t="str">
        <f>'Q100a-geral'!AG446</f>
        <v>x</v>
      </c>
      <c r="AH819" s="8" t="str">
        <f>'Q100a-geral'!AH446</f>
        <v>x</v>
      </c>
      <c r="AI819" s="8" t="str">
        <f>'Q100a-geral'!AI446</f>
        <v>x</v>
      </c>
      <c r="AJ819" s="8" t="str">
        <f>'Q100a-geral'!AJ446</f>
        <v>x</v>
      </c>
      <c r="AK819" s="95">
        <f>'Q100a-geral'!AK446</f>
        <v>0.56000000000000005</v>
      </c>
      <c r="AL819" s="8" t="str">
        <f>'Q100a-geral'!AL446</f>
        <v>x</v>
      </c>
      <c r="AM819" s="8" t="str">
        <f>'Q100a-geral'!AM446</f>
        <v>x</v>
      </c>
      <c r="AN819" s="8" t="str">
        <f>'Q100a-geral'!AN446</f>
        <v>x</v>
      </c>
      <c r="AO819" s="8" t="str">
        <f>'Q100a-geral'!AO446</f>
        <v>x</v>
      </c>
      <c r="AP819" s="8" t="str">
        <f>'Q100a-geral'!AP446</f>
        <v>x</v>
      </c>
      <c r="AQ819" s="8" t="str">
        <f>'Q100a-geral'!AQ446</f>
        <v>x</v>
      </c>
      <c r="AR819" s="8" t="str">
        <f>'Q100a-geral'!AR446</f>
        <v>x</v>
      </c>
      <c r="AS819" s="8" t="str">
        <f>'Q100a-geral'!AS446</f>
        <v>x</v>
      </c>
      <c r="AT819" s="8" t="str">
        <f>'Q100a-geral'!AT446</f>
        <v>x</v>
      </c>
      <c r="AU819" s="8" t="str">
        <f>'Q100a-geral'!AU446</f>
        <v>x</v>
      </c>
      <c r="AV819" s="8" t="str">
        <f>'Q100a-geral'!AV446</f>
        <v>x</v>
      </c>
      <c r="AW819" s="8" t="str">
        <f>'Q100a-geral'!AW446</f>
        <v>x</v>
      </c>
      <c r="AX819" s="8" t="str">
        <f>'Q100a-geral'!AX446</f>
        <v>x</v>
      </c>
      <c r="AY819" s="8" t="str">
        <f>'Q100a-geral'!AY446</f>
        <v>x</v>
      </c>
      <c r="AZ819" s="8" t="str">
        <f>'Q100a-geral'!AZ446</f>
        <v>x</v>
      </c>
      <c r="BA819" s="8" t="str">
        <f>'Q100a-geral'!BA446</f>
        <v>x</v>
      </c>
      <c r="BB819" s="8" t="str">
        <f>'Q100a-geral'!BB446</f>
        <v>BRTacessibilidade</v>
      </c>
      <c r="BC819" s="8" t="str">
        <f>'Q100a-geral'!BC446</f>
        <v>BRTacessibilidadex</v>
      </c>
      <c r="BD819" s="8" t="str">
        <f>'Q100a-geral'!BD446</f>
        <v>BRTx</v>
      </c>
    </row>
    <row r="820" spans="1:56" ht="51" x14ac:dyDescent="0.25">
      <c r="A820" s="406" t="str">
        <f>'Q100a-geral'!A404</f>
        <v>8.2</v>
      </c>
      <c r="B820" s="468" t="str">
        <f>'Q100a-geral'!B404</f>
        <v>BRT</v>
      </c>
      <c r="C820" s="13" t="str">
        <f>'Q100a-geral'!C404</f>
        <v>acessibilidade</v>
      </c>
      <c r="D820" s="324" t="str">
        <f>'Q100a-geral'!D404</f>
        <v>BRT IC AC (módulo passarelas)</v>
      </c>
      <c r="E820" s="481" t="str">
        <f>'Q100a-geral'!E404</f>
        <v>Belo Horizonte</v>
      </c>
      <c r="F820" s="619" t="str">
        <f>'Q100a-geral'!F404</f>
        <v>índice de conformidade com a acessibilidade do módulo de análise "elementos das passarelas" do corredor de BRT denominado "Área Central"
obs.1: calculado como a média dos quatro elementos do módulo de análise (geral das passarelas, rampas das passarelas, escadarias das passarelas, corrimãos das passarelas)</v>
      </c>
      <c r="G820" s="110" t="str">
        <f>'Q100a-geral'!G404</f>
        <v>registro na fonte</v>
      </c>
      <c r="H820" s="173" t="str">
        <f>'Q100a-geral'!H404</f>
        <v>x</v>
      </c>
      <c r="I820" s="57">
        <f>'Q100a-geral'!I404</f>
        <v>1</v>
      </c>
      <c r="J820" s="8" t="str">
        <f>'Q100a-geral'!J404</f>
        <v>x</v>
      </c>
      <c r="K820" s="8" t="str">
        <f>'Q100a-geral'!K404</f>
        <v>x</v>
      </c>
      <c r="L820" s="8" t="str">
        <f>'Q100a-geral'!L404</f>
        <v>x</v>
      </c>
      <c r="M820" s="8" t="str">
        <f>'Q100a-geral'!M404</f>
        <v>x</v>
      </c>
      <c r="N820" s="8" t="str">
        <f>'Q100a-geral'!N404</f>
        <v>x</v>
      </c>
      <c r="O820" s="8" t="str">
        <f>'Q100a-geral'!O404</f>
        <v>x</v>
      </c>
      <c r="P820" s="8" t="str">
        <f>'Q100a-geral'!P404</f>
        <v>x</v>
      </c>
      <c r="Q820" s="8" t="str">
        <f>'Q100a-geral'!Q404</f>
        <v>x</v>
      </c>
      <c r="R820" s="8" t="str">
        <f>'Q100a-geral'!R404</f>
        <v>x</v>
      </c>
      <c r="S820" s="8" t="str">
        <f>'Q100a-geral'!S404</f>
        <v>só para pesquisa</v>
      </c>
      <c r="T820" s="8" t="str">
        <f>'Q100a-geral'!T404</f>
        <v>x</v>
      </c>
      <c r="U820" s="8" t="str">
        <f>'Q100a-geral'!U404</f>
        <v>x</v>
      </c>
      <c r="V820" s="8" t="str">
        <f>'Q100a-geral'!V404</f>
        <v>só para pesquisa</v>
      </c>
      <c r="W820" s="8" t="str">
        <f>'Q100a-geral'!W404</f>
        <v>x</v>
      </c>
      <c r="X820" s="8" t="str">
        <f>'Q100a-geral'!X404</f>
        <v>x</v>
      </c>
      <c r="Y820" s="8" t="str">
        <f>'Q100a-geral'!Y404</f>
        <v>x</v>
      </c>
      <c r="Z820" s="8" t="str">
        <f>'Q100a-geral'!Z404</f>
        <v>x</v>
      </c>
      <c r="AA820" s="8" t="str">
        <f>'Q100a-geral'!AA404</f>
        <v>x</v>
      </c>
      <c r="AB820" s="8" t="str">
        <f>'Q100a-geral'!AB404</f>
        <v>x</v>
      </c>
      <c r="AC820" s="8" t="str">
        <f>'Q100a-geral'!AC404</f>
        <v>x</v>
      </c>
      <c r="AD820" s="8" t="str">
        <f>'Q100a-geral'!AD404</f>
        <v>x</v>
      </c>
      <c r="AE820" s="8" t="str">
        <f>'Q100a-geral'!AE404</f>
        <v>x</v>
      </c>
      <c r="AF820" s="8" t="str">
        <f>'Q100a-geral'!AF404</f>
        <v>x</v>
      </c>
      <c r="AG820" s="8" t="str">
        <f>'Q100a-geral'!AG404</f>
        <v>x</v>
      </c>
      <c r="AH820" s="8" t="str">
        <f>'Q100a-geral'!AH404</f>
        <v>x</v>
      </c>
      <c r="AI820" s="8" t="str">
        <f>'Q100a-geral'!AI404</f>
        <v>x</v>
      </c>
      <c r="AJ820" s="8" t="str">
        <f>'Q100a-geral'!AJ404</f>
        <v>x</v>
      </c>
      <c r="AK820" s="95" t="str">
        <f>'Q100a-geral'!AK404</f>
        <v>n.c.</v>
      </c>
      <c r="AL820" s="8" t="str">
        <f>'Q100a-geral'!AL404</f>
        <v>x</v>
      </c>
      <c r="AM820" s="8" t="str">
        <f>'Q100a-geral'!AM404</f>
        <v>x</v>
      </c>
      <c r="AN820" s="8" t="str">
        <f>'Q100a-geral'!AN404</f>
        <v>x</v>
      </c>
      <c r="AO820" s="8" t="str">
        <f>'Q100a-geral'!AO404</f>
        <v>x</v>
      </c>
      <c r="AP820" s="8" t="str">
        <f>'Q100a-geral'!AP404</f>
        <v>x</v>
      </c>
      <c r="AQ820" s="8" t="str">
        <f>'Q100a-geral'!AQ404</f>
        <v>x</v>
      </c>
      <c r="AR820" s="8" t="str">
        <f>'Q100a-geral'!AR404</f>
        <v>x</v>
      </c>
      <c r="AS820" s="8" t="str">
        <f>'Q100a-geral'!AS404</f>
        <v>x</v>
      </c>
      <c r="AT820" s="8" t="str">
        <f>'Q100a-geral'!AT404</f>
        <v>x</v>
      </c>
      <c r="AU820" s="8" t="str">
        <f>'Q100a-geral'!AU404</f>
        <v>x</v>
      </c>
      <c r="AV820" s="8" t="str">
        <f>'Q100a-geral'!AV404</f>
        <v>x</v>
      </c>
      <c r="AW820" s="8" t="str">
        <f>'Q100a-geral'!AW404</f>
        <v>x</v>
      </c>
      <c r="AX820" s="8" t="str">
        <f>'Q100a-geral'!AX404</f>
        <v>x</v>
      </c>
      <c r="AY820" s="8" t="str">
        <f>'Q100a-geral'!AY404</f>
        <v>x</v>
      </c>
      <c r="AZ820" s="8" t="str">
        <f>'Q100a-geral'!AZ404</f>
        <v>x</v>
      </c>
      <c r="BA820" s="8" t="str">
        <f>'Q100a-geral'!BA404</f>
        <v>x</v>
      </c>
      <c r="BB820" s="8" t="str">
        <f>'Q100a-geral'!BB404</f>
        <v>BRTacessibilidade</v>
      </c>
      <c r="BC820" s="8" t="str">
        <f>'Q100a-geral'!BC404</f>
        <v>BRTacessibilidadex</v>
      </c>
      <c r="BD820" s="8" t="str">
        <f>'Q100a-geral'!BD404</f>
        <v>BRTx</v>
      </c>
    </row>
    <row r="821" spans="1:56" ht="51" x14ac:dyDescent="0.25">
      <c r="A821" s="406" t="str">
        <f>'Q100a-geral'!A425</f>
        <v>8.2</v>
      </c>
      <c r="B821" s="468" t="str">
        <f>'Q100a-geral'!B425</f>
        <v>BRT</v>
      </c>
      <c r="C821" s="13" t="str">
        <f>'Q100a-geral'!C425</f>
        <v>acessibilidade</v>
      </c>
      <c r="D821" s="324" t="str">
        <f>'Q100a-geral'!D425</f>
        <v>BRT IC ATC (módulo passarelas)</v>
      </c>
      <c r="E821" s="481" t="str">
        <f>'Q100a-geral'!E425</f>
        <v>Belo Horizonte</v>
      </c>
      <c r="F821" s="619" t="str">
        <f>'Q100a-geral'!F425</f>
        <v>índice de conformidade com a acessibilidade do módulo de análise "elementos das passarelas"do corredor de BRT denominado "Antônio Carlos"
obs.1: calculado como a média dos quatro elementos do módulo de análise (geral das passarelas, rampas das passarelas, escadarias das passarelas, corrimãos das passarelas)</v>
      </c>
      <c r="G821" s="110" t="str">
        <f>'Q100a-geral'!G425</f>
        <v>registro na fonte</v>
      </c>
      <c r="H821" s="173" t="str">
        <f>'Q100a-geral'!H425</f>
        <v>x</v>
      </c>
      <c r="I821" s="57">
        <f>'Q100a-geral'!I425</f>
        <v>1</v>
      </c>
      <c r="J821" s="8" t="str">
        <f>'Q100a-geral'!J425</f>
        <v>x</v>
      </c>
      <c r="K821" s="8" t="str">
        <f>'Q100a-geral'!K425</f>
        <v>x</v>
      </c>
      <c r="L821" s="8" t="str">
        <f>'Q100a-geral'!L425</f>
        <v>x</v>
      </c>
      <c r="M821" s="8" t="str">
        <f>'Q100a-geral'!M425</f>
        <v>x</v>
      </c>
      <c r="N821" s="8" t="str">
        <f>'Q100a-geral'!N425</f>
        <v>x</v>
      </c>
      <c r="O821" s="8" t="str">
        <f>'Q100a-geral'!O425</f>
        <v>x</v>
      </c>
      <c r="P821" s="8" t="str">
        <f>'Q100a-geral'!P425</f>
        <v>x</v>
      </c>
      <c r="Q821" s="8" t="str">
        <f>'Q100a-geral'!Q425</f>
        <v>x</v>
      </c>
      <c r="R821" s="8" t="str">
        <f>'Q100a-geral'!R425</f>
        <v>x</v>
      </c>
      <c r="S821" s="8" t="str">
        <f>'Q100a-geral'!S425</f>
        <v>só para pesquisa</v>
      </c>
      <c r="T821" s="8" t="str">
        <f>'Q100a-geral'!T425</f>
        <v>x</v>
      </c>
      <c r="U821" s="8" t="str">
        <f>'Q100a-geral'!U425</f>
        <v>x</v>
      </c>
      <c r="V821" s="8" t="str">
        <f>'Q100a-geral'!V425</f>
        <v>só para pesquisa</v>
      </c>
      <c r="W821" s="8" t="str">
        <f>'Q100a-geral'!W425</f>
        <v>x</v>
      </c>
      <c r="X821" s="8" t="str">
        <f>'Q100a-geral'!X425</f>
        <v>x</v>
      </c>
      <c r="Y821" s="8" t="str">
        <f>'Q100a-geral'!Y425</f>
        <v>x</v>
      </c>
      <c r="Z821" s="8" t="str">
        <f>'Q100a-geral'!Z425</f>
        <v>x</v>
      </c>
      <c r="AA821" s="8" t="str">
        <f>'Q100a-geral'!AA425</f>
        <v>x</v>
      </c>
      <c r="AB821" s="8" t="str">
        <f>'Q100a-geral'!AB425</f>
        <v>x</v>
      </c>
      <c r="AC821" s="8" t="str">
        <f>'Q100a-geral'!AC425</f>
        <v>x</v>
      </c>
      <c r="AD821" s="8" t="str">
        <f>'Q100a-geral'!AD425</f>
        <v>x</v>
      </c>
      <c r="AE821" s="8" t="str">
        <f>'Q100a-geral'!AE425</f>
        <v>x</v>
      </c>
      <c r="AF821" s="8" t="str">
        <f>'Q100a-geral'!AF425</f>
        <v>x</v>
      </c>
      <c r="AG821" s="8" t="str">
        <f>'Q100a-geral'!AG425</f>
        <v>x</v>
      </c>
      <c r="AH821" s="8" t="str">
        <f>'Q100a-geral'!AH425</f>
        <v>x</v>
      </c>
      <c r="AI821" s="8" t="str">
        <f>'Q100a-geral'!AI425</f>
        <v>x</v>
      </c>
      <c r="AJ821" s="8" t="str">
        <f>'Q100a-geral'!AJ425</f>
        <v>x</v>
      </c>
      <c r="AK821" s="95">
        <f>'Q100a-geral'!AK425</f>
        <v>0.79</v>
      </c>
      <c r="AL821" s="8" t="str">
        <f>'Q100a-geral'!AL425</f>
        <v>x</v>
      </c>
      <c r="AM821" s="8" t="str">
        <f>'Q100a-geral'!AM425</f>
        <v>x</v>
      </c>
      <c r="AN821" s="8" t="str">
        <f>'Q100a-geral'!AN425</f>
        <v>x</v>
      </c>
      <c r="AO821" s="8" t="str">
        <f>'Q100a-geral'!AO425</f>
        <v>x</v>
      </c>
      <c r="AP821" s="8" t="str">
        <f>'Q100a-geral'!AP425</f>
        <v>x</v>
      </c>
      <c r="AQ821" s="8" t="str">
        <f>'Q100a-geral'!AQ425</f>
        <v>x</v>
      </c>
      <c r="AR821" s="8" t="str">
        <f>'Q100a-geral'!AR425</f>
        <v>x</v>
      </c>
      <c r="AS821" s="8" t="str">
        <f>'Q100a-geral'!AS425</f>
        <v>x</v>
      </c>
      <c r="AT821" s="8" t="str">
        <f>'Q100a-geral'!AT425</f>
        <v>x</v>
      </c>
      <c r="AU821" s="8" t="str">
        <f>'Q100a-geral'!AU425</f>
        <v>x</v>
      </c>
      <c r="AV821" s="8" t="str">
        <f>'Q100a-geral'!AV425</f>
        <v>x</v>
      </c>
      <c r="AW821" s="8" t="str">
        <f>'Q100a-geral'!AW425</f>
        <v>x</v>
      </c>
      <c r="AX821" s="8" t="str">
        <f>'Q100a-geral'!AX425</f>
        <v>x</v>
      </c>
      <c r="AY821" s="8" t="str">
        <f>'Q100a-geral'!AY425</f>
        <v>x</v>
      </c>
      <c r="AZ821" s="8" t="str">
        <f>'Q100a-geral'!AZ425</f>
        <v>x</v>
      </c>
      <c r="BA821" s="8" t="str">
        <f>'Q100a-geral'!BA425</f>
        <v>x</v>
      </c>
      <c r="BB821" s="8" t="str">
        <f>'Q100a-geral'!BB425</f>
        <v>BRTacessibilidade</v>
      </c>
      <c r="BC821" s="8" t="str">
        <f>'Q100a-geral'!BC425</f>
        <v>BRTacessibilidadex</v>
      </c>
      <c r="BD821" s="8" t="str">
        <f>'Q100a-geral'!BD425</f>
        <v>BRTx</v>
      </c>
    </row>
    <row r="822" spans="1:56" ht="51" x14ac:dyDescent="0.25">
      <c r="A822" s="406" t="str">
        <f>'Q100a-geral'!A447</f>
        <v>8.2</v>
      </c>
      <c r="B822" s="468" t="str">
        <f>'Q100a-geral'!B447</f>
        <v>BRT</v>
      </c>
      <c r="C822" s="13" t="str">
        <f>'Q100a-geral'!C447</f>
        <v>acessibilidade</v>
      </c>
      <c r="D822" s="324" t="str">
        <f>'Q100a-geral'!D447</f>
        <v>BRT IC CMC (módulo passarelas)</v>
      </c>
      <c r="E822" s="481" t="str">
        <f>'Q100a-geral'!E447</f>
        <v>Belo Horizonte</v>
      </c>
      <c r="F822" s="619" t="str">
        <f>'Q100a-geral'!F447</f>
        <v>índice de conformidade com a acessibilidade do módulo de análise "elementos das passarelas" do corredor de BRT denominado "Cristiano Machado"
obs.1: calculado como a média dos quatro elementos do módulo de análise (geral das passarelas, rampas das passarelas, escadarias das passarelas, corrimãos das passarelas)</v>
      </c>
      <c r="G822" s="110" t="str">
        <f>'Q100a-geral'!G447</f>
        <v>registro na fonte</v>
      </c>
      <c r="H822" s="173" t="str">
        <f>'Q100a-geral'!H447</f>
        <v>x</v>
      </c>
      <c r="I822" s="57">
        <f>'Q100a-geral'!I447</f>
        <v>1</v>
      </c>
      <c r="J822" s="8" t="str">
        <f>'Q100a-geral'!J447</f>
        <v>x</v>
      </c>
      <c r="K822" s="8" t="str">
        <f>'Q100a-geral'!K447</f>
        <v>x</v>
      </c>
      <c r="L822" s="8" t="str">
        <f>'Q100a-geral'!L447</f>
        <v>x</v>
      </c>
      <c r="M822" s="8" t="str">
        <f>'Q100a-geral'!M447</f>
        <v>x</v>
      </c>
      <c r="N822" s="8" t="str">
        <f>'Q100a-geral'!N447</f>
        <v>x</v>
      </c>
      <c r="O822" s="8" t="str">
        <f>'Q100a-geral'!O447</f>
        <v>x</v>
      </c>
      <c r="P822" s="8" t="str">
        <f>'Q100a-geral'!P447</f>
        <v>x</v>
      </c>
      <c r="Q822" s="8" t="str">
        <f>'Q100a-geral'!Q447</f>
        <v>x</v>
      </c>
      <c r="R822" s="8" t="str">
        <f>'Q100a-geral'!R447</f>
        <v>x</v>
      </c>
      <c r="S822" s="8" t="str">
        <f>'Q100a-geral'!S447</f>
        <v>só para pesquisa</v>
      </c>
      <c r="T822" s="8" t="str">
        <f>'Q100a-geral'!T447</f>
        <v>x</v>
      </c>
      <c r="U822" s="8" t="str">
        <f>'Q100a-geral'!U447</f>
        <v>x</v>
      </c>
      <c r="V822" s="8" t="str">
        <f>'Q100a-geral'!V447</f>
        <v>só para pesquisa</v>
      </c>
      <c r="W822" s="8" t="str">
        <f>'Q100a-geral'!W447</f>
        <v>x</v>
      </c>
      <c r="X822" s="8" t="str">
        <f>'Q100a-geral'!X447</f>
        <v>x</v>
      </c>
      <c r="Y822" s="8" t="str">
        <f>'Q100a-geral'!Y447</f>
        <v>x</v>
      </c>
      <c r="Z822" s="8" t="str">
        <f>'Q100a-geral'!Z447</f>
        <v>x</v>
      </c>
      <c r="AA822" s="8" t="str">
        <f>'Q100a-geral'!AA447</f>
        <v>x</v>
      </c>
      <c r="AB822" s="8" t="str">
        <f>'Q100a-geral'!AB447</f>
        <v>x</v>
      </c>
      <c r="AC822" s="8" t="str">
        <f>'Q100a-geral'!AC447</f>
        <v>x</v>
      </c>
      <c r="AD822" s="8" t="str">
        <f>'Q100a-geral'!AD447</f>
        <v>x</v>
      </c>
      <c r="AE822" s="8" t="str">
        <f>'Q100a-geral'!AE447</f>
        <v>x</v>
      </c>
      <c r="AF822" s="8" t="str">
        <f>'Q100a-geral'!AF447</f>
        <v>x</v>
      </c>
      <c r="AG822" s="8" t="str">
        <f>'Q100a-geral'!AG447</f>
        <v>x</v>
      </c>
      <c r="AH822" s="8" t="str">
        <f>'Q100a-geral'!AH447</f>
        <v>x</v>
      </c>
      <c r="AI822" s="8" t="str">
        <f>'Q100a-geral'!AI447</f>
        <v>x</v>
      </c>
      <c r="AJ822" s="8" t="str">
        <f>'Q100a-geral'!AJ447</f>
        <v>x</v>
      </c>
      <c r="AK822" s="95">
        <f>'Q100a-geral'!AK447</f>
        <v>0.62</v>
      </c>
      <c r="AL822" s="8" t="str">
        <f>'Q100a-geral'!AL447</f>
        <v>x</v>
      </c>
      <c r="AM822" s="8" t="str">
        <f>'Q100a-geral'!AM447</f>
        <v>x</v>
      </c>
      <c r="AN822" s="8" t="str">
        <f>'Q100a-geral'!AN447</f>
        <v>x</v>
      </c>
      <c r="AO822" s="8" t="str">
        <f>'Q100a-geral'!AO447</f>
        <v>x</v>
      </c>
      <c r="AP822" s="8" t="str">
        <f>'Q100a-geral'!AP447</f>
        <v>x</v>
      </c>
      <c r="AQ822" s="8" t="str">
        <f>'Q100a-geral'!AQ447</f>
        <v>x</v>
      </c>
      <c r="AR822" s="8" t="str">
        <f>'Q100a-geral'!AR447</f>
        <v>x</v>
      </c>
      <c r="AS822" s="8" t="str">
        <f>'Q100a-geral'!AS447</f>
        <v>x</v>
      </c>
      <c r="AT822" s="8" t="str">
        <f>'Q100a-geral'!AT447</f>
        <v>x</v>
      </c>
      <c r="AU822" s="8" t="str">
        <f>'Q100a-geral'!AU447</f>
        <v>x</v>
      </c>
      <c r="AV822" s="8" t="str">
        <f>'Q100a-geral'!AV447</f>
        <v>x</v>
      </c>
      <c r="AW822" s="8" t="str">
        <f>'Q100a-geral'!AW447</f>
        <v>x</v>
      </c>
      <c r="AX822" s="8" t="str">
        <f>'Q100a-geral'!AX447</f>
        <v>x</v>
      </c>
      <c r="AY822" s="8" t="str">
        <f>'Q100a-geral'!AY447</f>
        <v>x</v>
      </c>
      <c r="AZ822" s="8" t="str">
        <f>'Q100a-geral'!AZ447</f>
        <v>x</v>
      </c>
      <c r="BA822" s="8" t="str">
        <f>'Q100a-geral'!BA447</f>
        <v>x</v>
      </c>
      <c r="BB822" s="8" t="str">
        <f>'Q100a-geral'!BB447</f>
        <v>BRTacessibilidade</v>
      </c>
      <c r="BC822" s="8" t="str">
        <f>'Q100a-geral'!BC447</f>
        <v>BRTacessibilidadex</v>
      </c>
      <c r="BD822" s="8" t="str">
        <f>'Q100a-geral'!BD447</f>
        <v>BRTx</v>
      </c>
    </row>
    <row r="823" spans="1:56" ht="51" x14ac:dyDescent="0.25">
      <c r="A823" s="406" t="str">
        <f>'Q100a-geral'!A405</f>
        <v>8.2</v>
      </c>
      <c r="B823" s="468" t="str">
        <f>'Q100a-geral'!B405</f>
        <v>BRT</v>
      </c>
      <c r="C823" s="13" t="str">
        <f>'Q100a-geral'!C405</f>
        <v>acessibilidade</v>
      </c>
      <c r="D823" s="324" t="s">
        <v>5636</v>
      </c>
      <c r="E823" s="481" t="str">
        <f>'Q100a-geral'!E405</f>
        <v>Belo Horizonte</v>
      </c>
      <c r="F823" s="619" t="str">
        <f>'Q100a-geral'!F405</f>
        <v>índice de conformidade com a acessibilidade do módulo de análise "elementos de acessos às plataformas" do corredor de BRT denominado "Área Central"
obs.1: calculado como a média dos três elementos do módulo de análise (rampas das plataformas, escadarias das plataformas, corrimãos das plataformas)</v>
      </c>
      <c r="G823" s="110" t="str">
        <f>'Q100a-geral'!G405</f>
        <v>registro na fonte</v>
      </c>
      <c r="H823" s="173" t="str">
        <f>'Q100a-geral'!H405</f>
        <v>x</v>
      </c>
      <c r="I823" s="57">
        <f>'Q100a-geral'!I405</f>
        <v>1</v>
      </c>
      <c r="J823" s="8" t="str">
        <f>'Q100a-geral'!J405</f>
        <v>x</v>
      </c>
      <c r="K823" s="8" t="str">
        <f>'Q100a-geral'!K405</f>
        <v>x</v>
      </c>
      <c r="L823" s="8" t="str">
        <f>'Q100a-geral'!L405</f>
        <v>x</v>
      </c>
      <c r="M823" s="8" t="str">
        <f>'Q100a-geral'!M405</f>
        <v>x</v>
      </c>
      <c r="N823" s="8" t="str">
        <f>'Q100a-geral'!N405</f>
        <v>x</v>
      </c>
      <c r="O823" s="8" t="str">
        <f>'Q100a-geral'!O405</f>
        <v>x</v>
      </c>
      <c r="P823" s="8" t="str">
        <f>'Q100a-geral'!P405</f>
        <v>x</v>
      </c>
      <c r="Q823" s="8" t="str">
        <f>'Q100a-geral'!Q405</f>
        <v>x</v>
      </c>
      <c r="R823" s="8" t="str">
        <f>'Q100a-geral'!R405</f>
        <v>x</v>
      </c>
      <c r="S823" s="8" t="str">
        <f>'Q100a-geral'!S405</f>
        <v>só para pesquisa</v>
      </c>
      <c r="T823" s="8" t="str">
        <f>'Q100a-geral'!T405</f>
        <v>x</v>
      </c>
      <c r="U823" s="8" t="str">
        <f>'Q100a-geral'!U405</f>
        <v>x</v>
      </c>
      <c r="V823" s="8" t="str">
        <f>'Q100a-geral'!V405</f>
        <v>só para pesquisa</v>
      </c>
      <c r="W823" s="8" t="str">
        <f>'Q100a-geral'!W405</f>
        <v>x</v>
      </c>
      <c r="X823" s="8" t="str">
        <f>'Q100a-geral'!X405</f>
        <v>x</v>
      </c>
      <c r="Y823" s="8" t="str">
        <f>'Q100a-geral'!Y405</f>
        <v>x</v>
      </c>
      <c r="Z823" s="8" t="str">
        <f>'Q100a-geral'!Z405</f>
        <v>x</v>
      </c>
      <c r="AA823" s="8" t="str">
        <f>'Q100a-geral'!AA405</f>
        <v>x</v>
      </c>
      <c r="AB823" s="8" t="str">
        <f>'Q100a-geral'!AB405</f>
        <v>x</v>
      </c>
      <c r="AC823" s="8" t="str">
        <f>'Q100a-geral'!AC405</f>
        <v>x</v>
      </c>
      <c r="AD823" s="8" t="str">
        <f>'Q100a-geral'!AD405</f>
        <v>x</v>
      </c>
      <c r="AE823" s="8" t="str">
        <f>'Q100a-geral'!AE405</f>
        <v>x</v>
      </c>
      <c r="AF823" s="8" t="str">
        <f>'Q100a-geral'!AF405</f>
        <v>x</v>
      </c>
      <c r="AG823" s="8" t="str">
        <f>'Q100a-geral'!AG405</f>
        <v>x</v>
      </c>
      <c r="AH823" s="8" t="str">
        <f>'Q100a-geral'!AH405</f>
        <v>x</v>
      </c>
      <c r="AI823" s="8" t="str">
        <f>'Q100a-geral'!AI405</f>
        <v>x</v>
      </c>
      <c r="AJ823" s="8" t="str">
        <f>'Q100a-geral'!AJ405</f>
        <v>x</v>
      </c>
      <c r="AK823" s="10">
        <f>'Q100a-geral'!AK405</f>
        <v>0.73</v>
      </c>
      <c r="AL823" s="8" t="str">
        <f>'Q100a-geral'!AL405</f>
        <v>x</v>
      </c>
      <c r="AM823" s="8" t="str">
        <f>'Q100a-geral'!AM405</f>
        <v>x</v>
      </c>
      <c r="AN823" s="8" t="str">
        <f>'Q100a-geral'!AN405</f>
        <v>x</v>
      </c>
      <c r="AO823" s="8" t="str">
        <f>'Q100a-geral'!AO405</f>
        <v>x</v>
      </c>
      <c r="AP823" s="8" t="str">
        <f>'Q100a-geral'!AP405</f>
        <v>x</v>
      </c>
      <c r="AQ823" s="8" t="str">
        <f>'Q100a-geral'!AQ405</f>
        <v>x</v>
      </c>
      <c r="AR823" s="8" t="str">
        <f>'Q100a-geral'!AR405</f>
        <v>x</v>
      </c>
      <c r="AS823" s="8" t="str">
        <f>'Q100a-geral'!AS405</f>
        <v>x</v>
      </c>
      <c r="AT823" s="8" t="str">
        <f>'Q100a-geral'!AT405</f>
        <v>x</v>
      </c>
      <c r="AU823" s="8" t="str">
        <f>'Q100a-geral'!AU405</f>
        <v>x</v>
      </c>
      <c r="AV823" s="8" t="str">
        <f>'Q100a-geral'!AV405</f>
        <v>x</v>
      </c>
      <c r="AW823" s="8" t="str">
        <f>'Q100a-geral'!AW405</f>
        <v>x</v>
      </c>
      <c r="AX823" s="8" t="str">
        <f>'Q100a-geral'!AX405</f>
        <v>x</v>
      </c>
      <c r="AY823" s="8" t="str">
        <f>'Q100a-geral'!AY405</f>
        <v>x</v>
      </c>
      <c r="AZ823" s="8" t="str">
        <f>'Q100a-geral'!AZ405</f>
        <v>x</v>
      </c>
      <c r="BA823" s="8" t="str">
        <f>'Q100a-geral'!BA405</f>
        <v>x</v>
      </c>
      <c r="BB823" s="8" t="str">
        <f>'Q100a-geral'!BB405</f>
        <v>BRTacessibilidade</v>
      </c>
      <c r="BC823" s="8" t="str">
        <f>'Q100a-geral'!BC405</f>
        <v>BRTacessibilidadex</v>
      </c>
      <c r="BD823" s="8" t="str">
        <f>'Q100a-geral'!BD405</f>
        <v>BRTx</v>
      </c>
    </row>
    <row r="824" spans="1:56" ht="63.75" x14ac:dyDescent="0.25">
      <c r="A824" s="406" t="str">
        <f>'Q100a-geral'!A426</f>
        <v>8.2</v>
      </c>
      <c r="B824" s="468" t="str">
        <f>'Q100a-geral'!B426</f>
        <v>BRT</v>
      </c>
      <c r="C824" s="13" t="str">
        <f>'Q100a-geral'!C426</f>
        <v>acessibilidade</v>
      </c>
      <c r="D824" s="324" t="s">
        <v>5633</v>
      </c>
      <c r="E824" s="481" t="str">
        <f>'Q100a-geral'!E426</f>
        <v>Belo Horizonte</v>
      </c>
      <c r="F824" s="619" t="str">
        <f>'Q100a-geral'!F426</f>
        <v xml:space="preserve">índice de conformidade com a acessibilidade do módulo de análise "elementos de acessos às plataformas" do corredor de BRT denominado "Antônio Carlos"
obs.1: calculado como a média dos três elementos do módulo de análise (rampas das plataformas, escadarias das plataformas, corrimãos das plataformas)
</v>
      </c>
      <c r="G824" s="110" t="str">
        <f>'Q100a-geral'!G426</f>
        <v>registro na fonte</v>
      </c>
      <c r="H824" s="173" t="str">
        <f>'Q100a-geral'!H426</f>
        <v>x</v>
      </c>
      <c r="I824" s="57">
        <f>'Q100a-geral'!I426</f>
        <v>1</v>
      </c>
      <c r="J824" s="8" t="str">
        <f>'Q100a-geral'!J426</f>
        <v>x</v>
      </c>
      <c r="K824" s="8" t="str">
        <f>'Q100a-geral'!K426</f>
        <v>x</v>
      </c>
      <c r="L824" s="8" t="str">
        <f>'Q100a-geral'!L426</f>
        <v>x</v>
      </c>
      <c r="M824" s="8" t="str">
        <f>'Q100a-geral'!M426</f>
        <v>x</v>
      </c>
      <c r="N824" s="8" t="str">
        <f>'Q100a-geral'!N426</f>
        <v>x</v>
      </c>
      <c r="O824" s="8" t="str">
        <f>'Q100a-geral'!O426</f>
        <v>x</v>
      </c>
      <c r="P824" s="8" t="str">
        <f>'Q100a-geral'!P426</f>
        <v>x</v>
      </c>
      <c r="Q824" s="8" t="str">
        <f>'Q100a-geral'!Q426</f>
        <v>x</v>
      </c>
      <c r="R824" s="8" t="str">
        <f>'Q100a-geral'!R426</f>
        <v>x</v>
      </c>
      <c r="S824" s="8" t="str">
        <f>'Q100a-geral'!S426</f>
        <v>só para pesquisa</v>
      </c>
      <c r="T824" s="8" t="str">
        <f>'Q100a-geral'!T426</f>
        <v>x</v>
      </c>
      <c r="U824" s="8" t="str">
        <f>'Q100a-geral'!U426</f>
        <v>x</v>
      </c>
      <c r="V824" s="8" t="str">
        <f>'Q100a-geral'!V426</f>
        <v>só para pesquisa</v>
      </c>
      <c r="W824" s="8" t="str">
        <f>'Q100a-geral'!W426</f>
        <v>x</v>
      </c>
      <c r="X824" s="8" t="str">
        <f>'Q100a-geral'!X426</f>
        <v>x</v>
      </c>
      <c r="Y824" s="8" t="str">
        <f>'Q100a-geral'!Y426</f>
        <v>x</v>
      </c>
      <c r="Z824" s="8" t="str">
        <f>'Q100a-geral'!Z426</f>
        <v>x</v>
      </c>
      <c r="AA824" s="8" t="str">
        <f>'Q100a-geral'!AA426</f>
        <v>x</v>
      </c>
      <c r="AB824" s="8" t="str">
        <f>'Q100a-geral'!AB426</f>
        <v>x</v>
      </c>
      <c r="AC824" s="8" t="str">
        <f>'Q100a-geral'!AC426</f>
        <v>x</v>
      </c>
      <c r="AD824" s="8" t="str">
        <f>'Q100a-geral'!AD426</f>
        <v>x</v>
      </c>
      <c r="AE824" s="8" t="str">
        <f>'Q100a-geral'!AE426</f>
        <v>x</v>
      </c>
      <c r="AF824" s="8" t="str">
        <f>'Q100a-geral'!AF426</f>
        <v>x</v>
      </c>
      <c r="AG824" s="8" t="str">
        <f>'Q100a-geral'!AG426</f>
        <v>x</v>
      </c>
      <c r="AH824" s="8" t="str">
        <f>'Q100a-geral'!AH426</f>
        <v>x</v>
      </c>
      <c r="AI824" s="8" t="str">
        <f>'Q100a-geral'!AI426</f>
        <v>x</v>
      </c>
      <c r="AJ824" s="8" t="str">
        <f>'Q100a-geral'!AJ426</f>
        <v>x</v>
      </c>
      <c r="AK824" s="10">
        <f>'Q100a-geral'!AK426</f>
        <v>0.66</v>
      </c>
      <c r="AL824" s="8" t="str">
        <f>'Q100a-geral'!AL426</f>
        <v>x</v>
      </c>
      <c r="AM824" s="8" t="str">
        <f>'Q100a-geral'!AM426</f>
        <v>x</v>
      </c>
      <c r="AN824" s="8" t="str">
        <f>'Q100a-geral'!AN426</f>
        <v>x</v>
      </c>
      <c r="AO824" s="8" t="str">
        <f>'Q100a-geral'!AO426</f>
        <v>x</v>
      </c>
      <c r="AP824" s="8" t="str">
        <f>'Q100a-geral'!AP426</f>
        <v>x</v>
      </c>
      <c r="AQ824" s="8" t="str">
        <f>'Q100a-geral'!AQ426</f>
        <v>x</v>
      </c>
      <c r="AR824" s="8" t="str">
        <f>'Q100a-geral'!AR426</f>
        <v>x</v>
      </c>
      <c r="AS824" s="8" t="str">
        <f>'Q100a-geral'!AS426</f>
        <v>x</v>
      </c>
      <c r="AT824" s="8" t="str">
        <f>'Q100a-geral'!AT426</f>
        <v>x</v>
      </c>
      <c r="AU824" s="8" t="str">
        <f>'Q100a-geral'!AU426</f>
        <v>x</v>
      </c>
      <c r="AV824" s="8" t="str">
        <f>'Q100a-geral'!AV426</f>
        <v>x</v>
      </c>
      <c r="AW824" s="8" t="str">
        <f>'Q100a-geral'!AW426</f>
        <v>x</v>
      </c>
      <c r="AX824" s="8" t="str">
        <f>'Q100a-geral'!AX426</f>
        <v>x</v>
      </c>
      <c r="AY824" s="8" t="str">
        <f>'Q100a-geral'!AY426</f>
        <v>x</v>
      </c>
      <c r="AZ824" s="8" t="str">
        <f>'Q100a-geral'!AZ426</f>
        <v>x</v>
      </c>
      <c r="BA824" s="8" t="str">
        <f>'Q100a-geral'!BA426</f>
        <v>x</v>
      </c>
      <c r="BB824" s="8" t="str">
        <f>'Q100a-geral'!BB426</f>
        <v>BRTacessibilidade</v>
      </c>
      <c r="BC824" s="8" t="str">
        <f>'Q100a-geral'!BC426</f>
        <v>BRTacessibilidadex</v>
      </c>
      <c r="BD824" s="8" t="str">
        <f>'Q100a-geral'!BD426</f>
        <v>BRTx</v>
      </c>
    </row>
    <row r="825" spans="1:56" ht="51" x14ac:dyDescent="0.25">
      <c r="A825" s="406" t="str">
        <f>'Q100a-geral'!A448</f>
        <v>8.2</v>
      </c>
      <c r="B825" s="468" t="str">
        <f>'Q100a-geral'!B448</f>
        <v>BRT</v>
      </c>
      <c r="C825" s="13" t="str">
        <f>'Q100a-geral'!C448</f>
        <v>acessibilidade</v>
      </c>
      <c r="D825" s="324" t="s">
        <v>5634</v>
      </c>
      <c r="E825" s="481" t="str">
        <f>'Q100a-geral'!E448</f>
        <v>Belo Horizonte</v>
      </c>
      <c r="F825" s="619" t="str">
        <f>'Q100a-geral'!F448</f>
        <v>índice de conformidade com a acessibilidade do módulo de análise "elementos de acessos às plataformas" do corredor de BRT denominado "Cristiano Machado"
obs.1: calculado como a média dos três elementos do módulo de análise (rampas das plataformas, escadarias das plataformas, corrimãos das plataformas)</v>
      </c>
      <c r="G825" s="110" t="str">
        <f>'Q100a-geral'!G448</f>
        <v>registro na fonte</v>
      </c>
      <c r="H825" s="173" t="str">
        <f>'Q100a-geral'!H448</f>
        <v>x</v>
      </c>
      <c r="I825" s="57">
        <f>'Q100a-geral'!I448</f>
        <v>1</v>
      </c>
      <c r="J825" s="8" t="str">
        <f>'Q100a-geral'!J448</f>
        <v>x</v>
      </c>
      <c r="K825" s="8" t="str">
        <f>'Q100a-geral'!K448</f>
        <v>x</v>
      </c>
      <c r="L825" s="8" t="str">
        <f>'Q100a-geral'!L448</f>
        <v>x</v>
      </c>
      <c r="M825" s="8" t="str">
        <f>'Q100a-geral'!M448</f>
        <v>x</v>
      </c>
      <c r="N825" s="8" t="str">
        <f>'Q100a-geral'!N448</f>
        <v>x</v>
      </c>
      <c r="O825" s="8" t="str">
        <f>'Q100a-geral'!O448</f>
        <v>x</v>
      </c>
      <c r="P825" s="8" t="str">
        <f>'Q100a-geral'!P448</f>
        <v>x</v>
      </c>
      <c r="Q825" s="8" t="str">
        <f>'Q100a-geral'!Q448</f>
        <v>x</v>
      </c>
      <c r="R825" s="8" t="str">
        <f>'Q100a-geral'!R448</f>
        <v>x</v>
      </c>
      <c r="S825" s="8" t="str">
        <f>'Q100a-geral'!S448</f>
        <v>só para pesquisa</v>
      </c>
      <c r="T825" s="8" t="str">
        <f>'Q100a-geral'!T448</f>
        <v>x</v>
      </c>
      <c r="U825" s="8" t="str">
        <f>'Q100a-geral'!U448</f>
        <v>x</v>
      </c>
      <c r="V825" s="8" t="str">
        <f>'Q100a-geral'!V448</f>
        <v>só para pesquisa</v>
      </c>
      <c r="W825" s="8" t="str">
        <f>'Q100a-geral'!W448</f>
        <v>x</v>
      </c>
      <c r="X825" s="8" t="str">
        <f>'Q100a-geral'!X448</f>
        <v>x</v>
      </c>
      <c r="Y825" s="8" t="str">
        <f>'Q100a-geral'!Y448</f>
        <v>x</v>
      </c>
      <c r="Z825" s="8" t="str">
        <f>'Q100a-geral'!Z448</f>
        <v>x</v>
      </c>
      <c r="AA825" s="8" t="str">
        <f>'Q100a-geral'!AA448</f>
        <v>x</v>
      </c>
      <c r="AB825" s="8" t="str">
        <f>'Q100a-geral'!AB448</f>
        <v>x</v>
      </c>
      <c r="AC825" s="8" t="str">
        <f>'Q100a-geral'!AC448</f>
        <v>x</v>
      </c>
      <c r="AD825" s="8" t="str">
        <f>'Q100a-geral'!AD448</f>
        <v>x</v>
      </c>
      <c r="AE825" s="8" t="str">
        <f>'Q100a-geral'!AE448</f>
        <v>x</v>
      </c>
      <c r="AF825" s="8" t="str">
        <f>'Q100a-geral'!AF448</f>
        <v>x</v>
      </c>
      <c r="AG825" s="8" t="str">
        <f>'Q100a-geral'!AG448</f>
        <v>x</v>
      </c>
      <c r="AH825" s="8" t="str">
        <f>'Q100a-geral'!AH448</f>
        <v>x</v>
      </c>
      <c r="AI825" s="8" t="str">
        <f>'Q100a-geral'!AI448</f>
        <v>x</v>
      </c>
      <c r="AJ825" s="8" t="str">
        <f>'Q100a-geral'!AJ448</f>
        <v>x</v>
      </c>
      <c r="AK825" s="10">
        <f>'Q100a-geral'!AK448</f>
        <v>0.79</v>
      </c>
      <c r="AL825" s="8" t="str">
        <f>'Q100a-geral'!AL448</f>
        <v>x</v>
      </c>
      <c r="AM825" s="8" t="str">
        <f>'Q100a-geral'!AM448</f>
        <v>x</v>
      </c>
      <c r="AN825" s="8" t="str">
        <f>'Q100a-geral'!AN448</f>
        <v>x</v>
      </c>
      <c r="AO825" s="8" t="str">
        <f>'Q100a-geral'!AO448</f>
        <v>x</v>
      </c>
      <c r="AP825" s="8" t="str">
        <f>'Q100a-geral'!AP448</f>
        <v>x</v>
      </c>
      <c r="AQ825" s="8" t="str">
        <f>'Q100a-geral'!AQ448</f>
        <v>x</v>
      </c>
      <c r="AR825" s="8" t="str">
        <f>'Q100a-geral'!AR448</f>
        <v>x</v>
      </c>
      <c r="AS825" s="8" t="str">
        <f>'Q100a-geral'!AS448</f>
        <v>x</v>
      </c>
      <c r="AT825" s="8" t="str">
        <f>'Q100a-geral'!AT448</f>
        <v>x</v>
      </c>
      <c r="AU825" s="8" t="str">
        <f>'Q100a-geral'!AU448</f>
        <v>x</v>
      </c>
      <c r="AV825" s="8" t="str">
        <f>'Q100a-geral'!AV448</f>
        <v>x</v>
      </c>
      <c r="AW825" s="8" t="str">
        <f>'Q100a-geral'!AW448</f>
        <v>x</v>
      </c>
      <c r="AX825" s="8" t="str">
        <f>'Q100a-geral'!AX448</f>
        <v>x</v>
      </c>
      <c r="AY825" s="8" t="str">
        <f>'Q100a-geral'!AY448</f>
        <v>x</v>
      </c>
      <c r="AZ825" s="8" t="str">
        <f>'Q100a-geral'!AZ448</f>
        <v>x</v>
      </c>
      <c r="BA825" s="8" t="str">
        <f>'Q100a-geral'!BA448</f>
        <v>x</v>
      </c>
      <c r="BB825" s="8" t="str">
        <f>'Q100a-geral'!BB448</f>
        <v>BRTacessibilidade</v>
      </c>
      <c r="BC825" s="8" t="str">
        <f>'Q100a-geral'!BC448</f>
        <v>BRTacessibilidadex</v>
      </c>
      <c r="BD825" s="8" t="str">
        <f>'Q100a-geral'!BD448</f>
        <v>BRTx</v>
      </c>
    </row>
    <row r="826" spans="1:56" ht="51" x14ac:dyDescent="0.25">
      <c r="A826" s="406" t="str">
        <f>'Q100a-geral'!A406</f>
        <v>8.2</v>
      </c>
      <c r="B826" s="468" t="str">
        <f>'Q100a-geral'!B406</f>
        <v>BRT</v>
      </c>
      <c r="C826" s="13" t="str">
        <f>'Q100a-geral'!C406</f>
        <v>acessibilidade</v>
      </c>
      <c r="D826" s="324" t="str">
        <f>'Q100a-geral'!D406</f>
        <v>BRT IC AC (módulo plataformas)</v>
      </c>
      <c r="E826" s="481" t="str">
        <f>'Q100a-geral'!E406</f>
        <v>Belo Horizonte</v>
      </c>
      <c r="F826" s="619" t="str">
        <f>'Q100a-geral'!F406</f>
        <v>índice de conformidade com a acessibilidade do módulo de análise "elementos das plataformas"do corredor de BRT denominado "Área Central"
obs.1: calculado como a média dos seis elementos do módulo de análise (bilheterias, máquinas de venda automática, catracas, planos e mapas acessíveis, geral da plataforma, sinalização)</v>
      </c>
      <c r="G826" s="110" t="str">
        <f>'Q100a-geral'!G406</f>
        <v>registro na fonte</v>
      </c>
      <c r="H826" s="173" t="str">
        <f>'Q100a-geral'!H406</f>
        <v>x</v>
      </c>
      <c r="I826" s="57">
        <f>'Q100a-geral'!I406</f>
        <v>1</v>
      </c>
      <c r="J826" s="8" t="str">
        <f>'Q100a-geral'!J406</f>
        <v>x</v>
      </c>
      <c r="K826" s="8" t="str">
        <f>'Q100a-geral'!K406</f>
        <v>x</v>
      </c>
      <c r="L826" s="8" t="str">
        <f>'Q100a-geral'!L406</f>
        <v>x</v>
      </c>
      <c r="M826" s="8" t="str">
        <f>'Q100a-geral'!M406</f>
        <v>x</v>
      </c>
      <c r="N826" s="8" t="str">
        <f>'Q100a-geral'!N406</f>
        <v>x</v>
      </c>
      <c r="O826" s="8" t="str">
        <f>'Q100a-geral'!O406</f>
        <v>x</v>
      </c>
      <c r="P826" s="8" t="str">
        <f>'Q100a-geral'!P406</f>
        <v>x</v>
      </c>
      <c r="Q826" s="8" t="str">
        <f>'Q100a-geral'!Q406</f>
        <v>x</v>
      </c>
      <c r="R826" s="8" t="str">
        <f>'Q100a-geral'!R406</f>
        <v>x</v>
      </c>
      <c r="S826" s="8" t="str">
        <f>'Q100a-geral'!S406</f>
        <v>só para pesquisa</v>
      </c>
      <c r="T826" s="8" t="str">
        <f>'Q100a-geral'!T406</f>
        <v>x</v>
      </c>
      <c r="U826" s="8" t="str">
        <f>'Q100a-geral'!U406</f>
        <v>x</v>
      </c>
      <c r="V826" s="8" t="str">
        <f>'Q100a-geral'!V406</f>
        <v>só para pesquisa</v>
      </c>
      <c r="W826" s="8" t="str">
        <f>'Q100a-geral'!W406</f>
        <v>x</v>
      </c>
      <c r="X826" s="8" t="str">
        <f>'Q100a-geral'!X406</f>
        <v>x</v>
      </c>
      <c r="Y826" s="8" t="str">
        <f>'Q100a-geral'!Y406</f>
        <v>x</v>
      </c>
      <c r="Z826" s="8" t="str">
        <f>'Q100a-geral'!Z406</f>
        <v>x</v>
      </c>
      <c r="AA826" s="8" t="str">
        <f>'Q100a-geral'!AA406</f>
        <v>x</v>
      </c>
      <c r="AB826" s="8" t="str">
        <f>'Q100a-geral'!AB406</f>
        <v>x</v>
      </c>
      <c r="AC826" s="8" t="str">
        <f>'Q100a-geral'!AC406</f>
        <v>x</v>
      </c>
      <c r="AD826" s="8" t="str">
        <f>'Q100a-geral'!AD406</f>
        <v>x</v>
      </c>
      <c r="AE826" s="8" t="str">
        <f>'Q100a-geral'!AE406</f>
        <v>x</v>
      </c>
      <c r="AF826" s="8" t="str">
        <f>'Q100a-geral'!AF406</f>
        <v>x</v>
      </c>
      <c r="AG826" s="8" t="str">
        <f>'Q100a-geral'!AG406</f>
        <v>x</v>
      </c>
      <c r="AH826" s="8" t="str">
        <f>'Q100a-geral'!AH406</f>
        <v>x</v>
      </c>
      <c r="AI826" s="8" t="str">
        <f>'Q100a-geral'!AI406</f>
        <v>x</v>
      </c>
      <c r="AJ826" s="8" t="str">
        <f>'Q100a-geral'!AJ406</f>
        <v>x</v>
      </c>
      <c r="AK826" s="95">
        <f>'Q100a-geral'!AK406</f>
        <v>0.44</v>
      </c>
      <c r="AL826" s="8" t="str">
        <f>'Q100a-geral'!AL406</f>
        <v>x</v>
      </c>
      <c r="AM826" s="8" t="str">
        <f>'Q100a-geral'!AM406</f>
        <v>x</v>
      </c>
      <c r="AN826" s="8" t="str">
        <f>'Q100a-geral'!AN406</f>
        <v>x</v>
      </c>
      <c r="AO826" s="8" t="str">
        <f>'Q100a-geral'!AO406</f>
        <v>x</v>
      </c>
      <c r="AP826" s="8" t="str">
        <f>'Q100a-geral'!AP406</f>
        <v>x</v>
      </c>
      <c r="AQ826" s="8" t="str">
        <f>'Q100a-geral'!AQ406</f>
        <v>x</v>
      </c>
      <c r="AR826" s="8" t="str">
        <f>'Q100a-geral'!AR406</f>
        <v>x</v>
      </c>
      <c r="AS826" s="8" t="str">
        <f>'Q100a-geral'!AS406</f>
        <v>x</v>
      </c>
      <c r="AT826" s="8" t="str">
        <f>'Q100a-geral'!AT406</f>
        <v>x</v>
      </c>
      <c r="AU826" s="8" t="str">
        <f>'Q100a-geral'!AU406</f>
        <v>x</v>
      </c>
      <c r="AV826" s="8" t="str">
        <f>'Q100a-geral'!AV406</f>
        <v>x</v>
      </c>
      <c r="AW826" s="8" t="str">
        <f>'Q100a-geral'!AW406</f>
        <v>x</v>
      </c>
      <c r="AX826" s="8" t="str">
        <f>'Q100a-geral'!AX406</f>
        <v>x</v>
      </c>
      <c r="AY826" s="8" t="str">
        <f>'Q100a-geral'!AY406</f>
        <v>x</v>
      </c>
      <c r="AZ826" s="8" t="str">
        <f>'Q100a-geral'!AZ406</f>
        <v>x</v>
      </c>
      <c r="BA826" s="8" t="str">
        <f>'Q100a-geral'!BA406</f>
        <v>x</v>
      </c>
      <c r="BB826" s="8" t="str">
        <f>'Q100a-geral'!BB406</f>
        <v>BRTacessibilidade</v>
      </c>
      <c r="BC826" s="8" t="str">
        <f>'Q100a-geral'!BC406</f>
        <v>BRTacessibilidadex</v>
      </c>
      <c r="BD826" s="8" t="str">
        <f>'Q100a-geral'!BD406</f>
        <v>BRTx</v>
      </c>
    </row>
    <row r="827" spans="1:56" ht="51" x14ac:dyDescent="0.25">
      <c r="A827" s="406" t="str">
        <f>'Q100a-geral'!A427</f>
        <v>8.2</v>
      </c>
      <c r="B827" s="468" t="str">
        <f>'Q100a-geral'!B427</f>
        <v>BRT</v>
      </c>
      <c r="C827" s="13" t="str">
        <f>'Q100a-geral'!C427</f>
        <v>acessibilidade</v>
      </c>
      <c r="D827" s="324" t="str">
        <f>'Q100a-geral'!D427</f>
        <v>BRT IC ATC (módulo plataformas)</v>
      </c>
      <c r="E827" s="481" t="str">
        <f>'Q100a-geral'!E427</f>
        <v>Belo Horizonte</v>
      </c>
      <c r="F827" s="619" t="str">
        <f>'Q100a-geral'!F427</f>
        <v>índice de conformidade com a acessibilidade do módulo de análise "elementos das plataformas"do corredor de BRT denominado "Antônio Carlos"
obs.1: calculado como a média dos seis elementos do módulo de análise (bilheterias, máquinas de venda automática, catracas, planos e mapas acessíveis, geral da plataforma, sinalização)</v>
      </c>
      <c r="G827" s="110" t="str">
        <f>'Q100a-geral'!G427</f>
        <v>registro na fonte</v>
      </c>
      <c r="H827" s="173" t="str">
        <f>'Q100a-geral'!H427</f>
        <v>x</v>
      </c>
      <c r="I827" s="57">
        <f>'Q100a-geral'!I427</f>
        <v>1</v>
      </c>
      <c r="J827" s="8" t="str">
        <f>'Q100a-geral'!J427</f>
        <v>x</v>
      </c>
      <c r="K827" s="8" t="str">
        <f>'Q100a-geral'!K427</f>
        <v>x</v>
      </c>
      <c r="L827" s="8" t="str">
        <f>'Q100a-geral'!L427</f>
        <v>x</v>
      </c>
      <c r="M827" s="8" t="str">
        <f>'Q100a-geral'!M427</f>
        <v>x</v>
      </c>
      <c r="N827" s="8" t="str">
        <f>'Q100a-geral'!N427</f>
        <v>x</v>
      </c>
      <c r="O827" s="8" t="str">
        <f>'Q100a-geral'!O427</f>
        <v>x</v>
      </c>
      <c r="P827" s="8" t="str">
        <f>'Q100a-geral'!P427</f>
        <v>x</v>
      </c>
      <c r="Q827" s="8" t="str">
        <f>'Q100a-geral'!Q427</f>
        <v>x</v>
      </c>
      <c r="R827" s="8" t="str">
        <f>'Q100a-geral'!R427</f>
        <v>x</v>
      </c>
      <c r="S827" s="8" t="str">
        <f>'Q100a-geral'!S427</f>
        <v>só para pesquisa</v>
      </c>
      <c r="T827" s="8" t="str">
        <f>'Q100a-geral'!T427</f>
        <v>x</v>
      </c>
      <c r="U827" s="8" t="str">
        <f>'Q100a-geral'!U427</f>
        <v>x</v>
      </c>
      <c r="V827" s="8" t="str">
        <f>'Q100a-geral'!V427</f>
        <v>só para pesquisa</v>
      </c>
      <c r="W827" s="8" t="str">
        <f>'Q100a-geral'!W427</f>
        <v>x</v>
      </c>
      <c r="X827" s="8" t="str">
        <f>'Q100a-geral'!X427</f>
        <v>x</v>
      </c>
      <c r="Y827" s="8" t="str">
        <f>'Q100a-geral'!Y427</f>
        <v>x</v>
      </c>
      <c r="Z827" s="8" t="str">
        <f>'Q100a-geral'!Z427</f>
        <v>x</v>
      </c>
      <c r="AA827" s="8" t="str">
        <f>'Q100a-geral'!AA427</f>
        <v>x</v>
      </c>
      <c r="AB827" s="8" t="str">
        <f>'Q100a-geral'!AB427</f>
        <v>x</v>
      </c>
      <c r="AC827" s="8" t="str">
        <f>'Q100a-geral'!AC427</f>
        <v>x</v>
      </c>
      <c r="AD827" s="8" t="str">
        <f>'Q100a-geral'!AD427</f>
        <v>x</v>
      </c>
      <c r="AE827" s="8" t="str">
        <f>'Q100a-geral'!AE427</f>
        <v>x</v>
      </c>
      <c r="AF827" s="8" t="str">
        <f>'Q100a-geral'!AF427</f>
        <v>x</v>
      </c>
      <c r="AG827" s="8" t="str">
        <f>'Q100a-geral'!AG427</f>
        <v>x</v>
      </c>
      <c r="AH827" s="8" t="str">
        <f>'Q100a-geral'!AH427</f>
        <v>x</v>
      </c>
      <c r="AI827" s="8" t="str">
        <f>'Q100a-geral'!AI427</f>
        <v>x</v>
      </c>
      <c r="AJ827" s="8" t="str">
        <f>'Q100a-geral'!AJ427</f>
        <v>x</v>
      </c>
      <c r="AK827" s="95">
        <f>'Q100a-geral'!AK427</f>
        <v>0.43</v>
      </c>
      <c r="AL827" s="8" t="str">
        <f>'Q100a-geral'!AL427</f>
        <v>x</v>
      </c>
      <c r="AM827" s="8" t="str">
        <f>'Q100a-geral'!AM427</f>
        <v>x</v>
      </c>
      <c r="AN827" s="8" t="str">
        <f>'Q100a-geral'!AN427</f>
        <v>x</v>
      </c>
      <c r="AO827" s="8" t="str">
        <f>'Q100a-geral'!AO427</f>
        <v>x</v>
      </c>
      <c r="AP827" s="8" t="str">
        <f>'Q100a-geral'!AP427</f>
        <v>x</v>
      </c>
      <c r="AQ827" s="8" t="str">
        <f>'Q100a-geral'!AQ427</f>
        <v>x</v>
      </c>
      <c r="AR827" s="8" t="str">
        <f>'Q100a-geral'!AR427</f>
        <v>x</v>
      </c>
      <c r="AS827" s="8" t="str">
        <f>'Q100a-geral'!AS427</f>
        <v>x</v>
      </c>
      <c r="AT827" s="8" t="str">
        <f>'Q100a-geral'!AT427</f>
        <v>x</v>
      </c>
      <c r="AU827" s="8" t="str">
        <f>'Q100a-geral'!AU427</f>
        <v>x</v>
      </c>
      <c r="AV827" s="8" t="str">
        <f>'Q100a-geral'!AV427</f>
        <v>x</v>
      </c>
      <c r="AW827" s="8" t="str">
        <f>'Q100a-geral'!AW427</f>
        <v>x</v>
      </c>
      <c r="AX827" s="8" t="str">
        <f>'Q100a-geral'!AX427</f>
        <v>x</v>
      </c>
      <c r="AY827" s="8" t="str">
        <f>'Q100a-geral'!AY427</f>
        <v>x</v>
      </c>
      <c r="AZ827" s="8" t="str">
        <f>'Q100a-geral'!AZ427</f>
        <v>x</v>
      </c>
      <c r="BA827" s="8" t="str">
        <f>'Q100a-geral'!BA427</f>
        <v>x</v>
      </c>
      <c r="BB827" s="8" t="str">
        <f>'Q100a-geral'!BB427</f>
        <v>BRTacessibilidade</v>
      </c>
      <c r="BC827" s="8" t="str">
        <f>'Q100a-geral'!BC427</f>
        <v>BRTacessibilidadex</v>
      </c>
      <c r="BD827" s="8" t="str">
        <f>'Q100a-geral'!BD427</f>
        <v>BRTx</v>
      </c>
    </row>
    <row r="828" spans="1:56" ht="51" x14ac:dyDescent="0.25">
      <c r="A828" s="406" t="str">
        <f>'Q100a-geral'!A449</f>
        <v>8.2</v>
      </c>
      <c r="B828" s="468" t="str">
        <f>'Q100a-geral'!B449</f>
        <v>BRT</v>
      </c>
      <c r="C828" s="13" t="str">
        <f>'Q100a-geral'!C449</f>
        <v>acessibilidade</v>
      </c>
      <c r="D828" s="324" t="str">
        <f>'Q100a-geral'!D449</f>
        <v>BRT IC CMC (módulo plataformas)</v>
      </c>
      <c r="E828" s="481" t="str">
        <f>'Q100a-geral'!E449</f>
        <v>Belo Horizonte</v>
      </c>
      <c r="F828" s="619" t="str">
        <f>'Q100a-geral'!F449</f>
        <v>índice de conformidade com a acessibilidade do módulo de análise "elementos das plataformas"do corredor de BRT denominado "Cristiano Machado"
obs.1: calculado como a média dos seis elementos do módulo de análise (bilheterias, máquinas de venda automática, catracas, planos e mapas acessíveis, geral da plataforma, sinalização)</v>
      </c>
      <c r="G828" s="110" t="str">
        <f>'Q100a-geral'!G449</f>
        <v>registro na fonte</v>
      </c>
      <c r="H828" s="173" t="str">
        <f>'Q100a-geral'!H449</f>
        <v>x</v>
      </c>
      <c r="I828" s="57">
        <f>'Q100a-geral'!I449</f>
        <v>1</v>
      </c>
      <c r="J828" s="8" t="str">
        <f>'Q100a-geral'!J449</f>
        <v>x</v>
      </c>
      <c r="K828" s="8" t="str">
        <f>'Q100a-geral'!K449</f>
        <v>x</v>
      </c>
      <c r="L828" s="8" t="str">
        <f>'Q100a-geral'!L449</f>
        <v>x</v>
      </c>
      <c r="M828" s="8" t="str">
        <f>'Q100a-geral'!M449</f>
        <v>x</v>
      </c>
      <c r="N828" s="8" t="str">
        <f>'Q100a-geral'!N449</f>
        <v>x</v>
      </c>
      <c r="O828" s="8" t="str">
        <f>'Q100a-geral'!O449</f>
        <v>x</v>
      </c>
      <c r="P828" s="8" t="str">
        <f>'Q100a-geral'!P449</f>
        <v>x</v>
      </c>
      <c r="Q828" s="8" t="str">
        <f>'Q100a-geral'!Q449</f>
        <v>x</v>
      </c>
      <c r="R828" s="8" t="str">
        <f>'Q100a-geral'!R449</f>
        <v>x</v>
      </c>
      <c r="S828" s="8" t="str">
        <f>'Q100a-geral'!S449</f>
        <v>só para pesquisa</v>
      </c>
      <c r="T828" s="8" t="str">
        <f>'Q100a-geral'!T449</f>
        <v>x</v>
      </c>
      <c r="U828" s="8" t="str">
        <f>'Q100a-geral'!U449</f>
        <v>x</v>
      </c>
      <c r="V828" s="8" t="str">
        <f>'Q100a-geral'!V449</f>
        <v>só para pesquisa</v>
      </c>
      <c r="W828" s="8" t="str">
        <f>'Q100a-geral'!W449</f>
        <v>x</v>
      </c>
      <c r="X828" s="8" t="str">
        <f>'Q100a-geral'!X449</f>
        <v>x</v>
      </c>
      <c r="Y828" s="8" t="str">
        <f>'Q100a-geral'!Y449</f>
        <v>x</v>
      </c>
      <c r="Z828" s="8" t="str">
        <f>'Q100a-geral'!Z449</f>
        <v>x</v>
      </c>
      <c r="AA828" s="8" t="str">
        <f>'Q100a-geral'!AA449</f>
        <v>x</v>
      </c>
      <c r="AB828" s="8" t="str">
        <f>'Q100a-geral'!AB449</f>
        <v>x</v>
      </c>
      <c r="AC828" s="8" t="str">
        <f>'Q100a-geral'!AC449</f>
        <v>x</v>
      </c>
      <c r="AD828" s="8" t="str">
        <f>'Q100a-geral'!AD449</f>
        <v>x</v>
      </c>
      <c r="AE828" s="8" t="str">
        <f>'Q100a-geral'!AE449</f>
        <v>x</v>
      </c>
      <c r="AF828" s="8" t="str">
        <f>'Q100a-geral'!AF449</f>
        <v>x</v>
      </c>
      <c r="AG828" s="8" t="str">
        <f>'Q100a-geral'!AG449</f>
        <v>x</v>
      </c>
      <c r="AH828" s="8" t="str">
        <f>'Q100a-geral'!AH449</f>
        <v>x</v>
      </c>
      <c r="AI828" s="8" t="str">
        <f>'Q100a-geral'!AI449</f>
        <v>x</v>
      </c>
      <c r="AJ828" s="8" t="str">
        <f>'Q100a-geral'!AJ449</f>
        <v>x</v>
      </c>
      <c r="AK828" s="95">
        <f>'Q100a-geral'!AK449</f>
        <v>0.46</v>
      </c>
      <c r="AL828" s="8" t="str">
        <f>'Q100a-geral'!AL449</f>
        <v>x</v>
      </c>
      <c r="AM828" s="8" t="str">
        <f>'Q100a-geral'!AM449</f>
        <v>x</v>
      </c>
      <c r="AN828" s="8" t="str">
        <f>'Q100a-geral'!AN449</f>
        <v>x</v>
      </c>
      <c r="AO828" s="8" t="str">
        <f>'Q100a-geral'!AO449</f>
        <v>x</v>
      </c>
      <c r="AP828" s="8" t="str">
        <f>'Q100a-geral'!AP449</f>
        <v>x</v>
      </c>
      <c r="AQ828" s="8" t="str">
        <f>'Q100a-geral'!AQ449</f>
        <v>x</v>
      </c>
      <c r="AR828" s="8" t="str">
        <f>'Q100a-geral'!AR449</f>
        <v>x</v>
      </c>
      <c r="AS828" s="8" t="str">
        <f>'Q100a-geral'!AS449</f>
        <v>x</v>
      </c>
      <c r="AT828" s="8" t="str">
        <f>'Q100a-geral'!AT449</f>
        <v>x</v>
      </c>
      <c r="AU828" s="8" t="str">
        <f>'Q100a-geral'!AU449</f>
        <v>x</v>
      </c>
      <c r="AV828" s="8" t="str">
        <f>'Q100a-geral'!AV449</f>
        <v>x</v>
      </c>
      <c r="AW828" s="8" t="str">
        <f>'Q100a-geral'!AW449</f>
        <v>x</v>
      </c>
      <c r="AX828" s="8" t="str">
        <f>'Q100a-geral'!AX449</f>
        <v>x</v>
      </c>
      <c r="AY828" s="8" t="str">
        <f>'Q100a-geral'!AY449</f>
        <v>x</v>
      </c>
      <c r="AZ828" s="8" t="str">
        <f>'Q100a-geral'!AZ449</f>
        <v>x</v>
      </c>
      <c r="BA828" s="8" t="str">
        <f>'Q100a-geral'!BA449</f>
        <v>x</v>
      </c>
      <c r="BB828" s="8" t="str">
        <f>'Q100a-geral'!BB449</f>
        <v>BRTacessibilidade</v>
      </c>
      <c r="BC828" s="8" t="str">
        <f>'Q100a-geral'!BC449</f>
        <v>BRTacessibilidadex</v>
      </c>
      <c r="BD828" s="8" t="str">
        <f>'Q100a-geral'!BD449</f>
        <v>BRTx</v>
      </c>
    </row>
    <row r="829" spans="1:56" ht="140.25" x14ac:dyDescent="0.25">
      <c r="A829" s="406" t="str">
        <f>'Q100a-geral'!A374</f>
        <v>8.2</v>
      </c>
      <c r="B829" s="468" t="str">
        <f>'Q100a-geral'!B374</f>
        <v>BRT</v>
      </c>
      <c r="C829" s="13" t="str">
        <f>'Q100a-geral'!C374</f>
        <v>acessibilidade</v>
      </c>
      <c r="D829" s="324" t="str">
        <f>'Q100a-geral'!D374</f>
        <v>BRT IC (elementos de cada estação)</v>
      </c>
      <c r="E829" s="481" t="str">
        <f>'Q100a-geral'!E374</f>
        <v>Belo Horizonte</v>
      </c>
      <c r="F829" s="619" t="str">
        <f>'Q100a-geral'!F374</f>
        <v>índice de conformidade com a acessibilidade de cada um dos dezenove elementos (agrupados em quatro módulos de análise) de cada uma das 41 estações de transferência do sistema BRT de Belo Horizonte
obs.1: o BRT IC de cada elemento de cada estação é calculado após a aplicação do checklist, quando cada diretriz recebe um "sim" ou um "não" conforme o local inspecionado esteja ou não em conformidade com a legislação de acessibilidade 
obs.2: após o checklist, o resultado é obtido aplicando-se a fórmula (∑ sim / (sim + não) das diretrizes do elemento) x 100 
obs.3: resultados disponíveis de 2016 conforme WRI(2016j6, p.39-40) e BHTRANS(2016j9/j10), onde são encontrados 560 resultados pontuais (16 elementos x 35 estações) dos 779 resultados possíveis (19 elementos x 41 estações) com a aplicação do checklist</v>
      </c>
      <c r="G829" s="110" t="str">
        <f>'Q100a-geral'!G374</f>
        <v>verbete
MFO</v>
      </c>
      <c r="H829" s="57" t="str">
        <f>'Q100a-geral'!H374</f>
        <v>sigla/verbete</v>
      </c>
      <c r="I829" s="57" t="str">
        <f>'Q100a-geral'!I374</f>
        <v>x</v>
      </c>
      <c r="J829" s="8" t="str">
        <f>'Q100a-geral'!J374</f>
        <v>x</v>
      </c>
      <c r="K829" s="8" t="str">
        <f>'Q100a-geral'!K374</f>
        <v>x</v>
      </c>
      <c r="L829" s="8" t="str">
        <f>'Q100a-geral'!L374</f>
        <v>x</v>
      </c>
      <c r="M829" s="8" t="str">
        <f>'Q100a-geral'!M374</f>
        <v>x</v>
      </c>
      <c r="N829" s="8" t="str">
        <f>'Q100a-geral'!N374</f>
        <v>x</v>
      </c>
      <c r="O829" s="8" t="str">
        <f>'Q100a-geral'!O374</f>
        <v>x</v>
      </c>
      <c r="P829" s="8" t="str">
        <f>'Q100a-geral'!P374</f>
        <v>x</v>
      </c>
      <c r="Q829" s="8" t="str">
        <f>'Q100a-geral'!Q374</f>
        <v>x</v>
      </c>
      <c r="R829" s="8" t="str">
        <f>'Q100a-geral'!R374</f>
        <v>x</v>
      </c>
      <c r="S829" s="8" t="str">
        <f>'Q100a-geral'!S374</f>
        <v>só para pesquisa</v>
      </c>
      <c r="T829" s="8" t="str">
        <f>'Q100a-geral'!T374</f>
        <v>x</v>
      </c>
      <c r="U829" s="8" t="str">
        <f>'Q100a-geral'!U374</f>
        <v>x</v>
      </c>
      <c r="V829" s="8" t="str">
        <f>'Q100a-geral'!V374</f>
        <v>só para pesquisa</v>
      </c>
      <c r="W829" s="8" t="str">
        <f>'Q100a-geral'!W374</f>
        <v>x</v>
      </c>
      <c r="X829" s="8" t="str">
        <f>'Q100a-geral'!X374</f>
        <v>x</v>
      </c>
      <c r="Y829" s="8" t="str">
        <f>'Q100a-geral'!Y374</f>
        <v>x</v>
      </c>
      <c r="Z829" s="8" t="str">
        <f>'Q100a-geral'!Z374</f>
        <v>x</v>
      </c>
      <c r="AA829" s="8" t="str">
        <f>'Q100a-geral'!AA374</f>
        <v>x</v>
      </c>
      <c r="AB829" s="8" t="str">
        <f>'Q100a-geral'!AB374</f>
        <v>x</v>
      </c>
      <c r="AC829" s="8" t="str">
        <f>'Q100a-geral'!AC374</f>
        <v>x</v>
      </c>
      <c r="AD829" s="8" t="str">
        <f>'Q100a-geral'!AD374</f>
        <v>x</v>
      </c>
      <c r="AE829" s="8" t="str">
        <f>'Q100a-geral'!AE374</f>
        <v>x</v>
      </c>
      <c r="AF829" s="8" t="str">
        <f>'Q100a-geral'!AF374</f>
        <v>x</v>
      </c>
      <c r="AG829" s="8" t="str">
        <f>'Q100a-geral'!AG374</f>
        <v>x</v>
      </c>
      <c r="AH829" s="8" t="str">
        <f>'Q100a-geral'!AH374</f>
        <v>x</v>
      </c>
      <c r="AI829" s="8" t="str">
        <f>'Q100a-geral'!AI374</f>
        <v>x</v>
      </c>
      <c r="AJ829" s="8" t="str">
        <f>'Q100a-geral'!AJ374</f>
        <v>x</v>
      </c>
      <c r="AK829" s="57" t="str">
        <f>'Q100a-geral'!AK374</f>
        <v>x</v>
      </c>
      <c r="AL829" s="8" t="str">
        <f>'Q100a-geral'!AL374</f>
        <v>x</v>
      </c>
      <c r="AM829" s="8" t="str">
        <f>'Q100a-geral'!AM374</f>
        <v>x</v>
      </c>
      <c r="AN829" s="8" t="str">
        <f>'Q100a-geral'!AN374</f>
        <v>x</v>
      </c>
      <c r="AO829" s="8" t="str">
        <f>'Q100a-geral'!AO374</f>
        <v>x</v>
      </c>
      <c r="AP829" s="8" t="str">
        <f>'Q100a-geral'!AP374</f>
        <v>x</v>
      </c>
      <c r="AQ829" s="8" t="str">
        <f>'Q100a-geral'!AQ374</f>
        <v>x</v>
      </c>
      <c r="AR829" s="8" t="str">
        <f>'Q100a-geral'!AR374</f>
        <v>x</v>
      </c>
      <c r="AS829" s="8" t="str">
        <f>'Q100a-geral'!AS374</f>
        <v>x</v>
      </c>
      <c r="AT829" s="8" t="str">
        <f>'Q100a-geral'!AT374</f>
        <v>x</v>
      </c>
      <c r="AU829" s="8" t="str">
        <f>'Q100a-geral'!AU374</f>
        <v>x</v>
      </c>
      <c r="AV829" s="8" t="str">
        <f>'Q100a-geral'!AV374</f>
        <v>x</v>
      </c>
      <c r="AW829" s="8" t="str">
        <f>'Q100a-geral'!AW374</f>
        <v>x</v>
      </c>
      <c r="AX829" s="8" t="str">
        <f>'Q100a-geral'!AX374</f>
        <v>x</v>
      </c>
      <c r="AY829" s="8" t="str">
        <f>'Q100a-geral'!AY374</f>
        <v>x</v>
      </c>
      <c r="AZ829" s="8" t="str">
        <f>'Q100a-geral'!AZ374</f>
        <v>x</v>
      </c>
      <c r="BA829" s="8" t="str">
        <f>'Q100a-geral'!BA374</f>
        <v>x</v>
      </c>
      <c r="BB829" s="8" t="str">
        <f>'Q100a-geral'!BB374</f>
        <v>BRTacessibilidade</v>
      </c>
      <c r="BC829" s="8" t="str">
        <f>'Q100a-geral'!BC374</f>
        <v>BRTacessibilidadesigla/verbete</v>
      </c>
      <c r="BD829" s="8" t="str">
        <f>'Q100a-geral'!BD374</f>
        <v>BRTsigla/verbete</v>
      </c>
    </row>
    <row r="830" spans="1:56" ht="76.5" x14ac:dyDescent="0.25">
      <c r="A830" s="406" t="str">
        <f>'Q100a-geral'!A378</f>
        <v>8.2</v>
      </c>
      <c r="B830" s="468" t="str">
        <f>'Q100a-geral'!B378</f>
        <v>BRT</v>
      </c>
      <c r="C830" s="13" t="str">
        <f>'Q100a-geral'!C378</f>
        <v>acessibilidade</v>
      </c>
      <c r="D830" s="324" t="str">
        <f>'Q100a-geral'!D378</f>
        <v>BRT IC (módulos de análise de cada estação)</v>
      </c>
      <c r="E830" s="481" t="str">
        <f>'Q100a-geral'!E378</f>
        <v>Belo Horizonte</v>
      </c>
      <c r="F830" s="619" t="str">
        <f>'Q100a-geral'!F378</f>
        <v>índice de conformidade com a acessibilidade de cada um dos quatro módulos de análise de cada uma das 41 estações de transferência do sistema BRT de Belo Horizonte
obs.1: o BRT IC de cada módulo de análise de cada estação é calculado como a média dos seus elementos
obs.2: resultados de 2016 conforme BHTRANS(2016j9/j10), onde podem ser encontrados 140 resultados pontuais (4 módulos x 35 estações) dos 164 resultados possíveis (4 módulos x 41 estações)</v>
      </c>
      <c r="G830" s="110" t="str">
        <f>'Q100a-geral'!G378</f>
        <v>verbete
MFO</v>
      </c>
      <c r="H830" s="57" t="str">
        <f>'Q100a-geral'!H378</f>
        <v>sigla/verbete</v>
      </c>
      <c r="I830" s="57" t="str">
        <f>'Q100a-geral'!I378</f>
        <v>x</v>
      </c>
      <c r="J830" s="8" t="str">
        <f>'Q100a-geral'!J378</f>
        <v>x</v>
      </c>
      <c r="K830" s="8" t="str">
        <f>'Q100a-geral'!K378</f>
        <v>x</v>
      </c>
      <c r="L830" s="8" t="str">
        <f>'Q100a-geral'!L378</f>
        <v>x</v>
      </c>
      <c r="M830" s="8" t="str">
        <f>'Q100a-geral'!M378</f>
        <v>x</v>
      </c>
      <c r="N830" s="8" t="str">
        <f>'Q100a-geral'!N378</f>
        <v>x</v>
      </c>
      <c r="O830" s="8" t="str">
        <f>'Q100a-geral'!O378</f>
        <v>x</v>
      </c>
      <c r="P830" s="8" t="str">
        <f>'Q100a-geral'!P378</f>
        <v>x</v>
      </c>
      <c r="Q830" s="8" t="str">
        <f>'Q100a-geral'!Q378</f>
        <v>x</v>
      </c>
      <c r="R830" s="8" t="str">
        <f>'Q100a-geral'!R378</f>
        <v>x</v>
      </c>
      <c r="S830" s="8" t="str">
        <f>'Q100a-geral'!S378</f>
        <v>só para pesquisa</v>
      </c>
      <c r="T830" s="8" t="str">
        <f>'Q100a-geral'!T378</f>
        <v>x</v>
      </c>
      <c r="U830" s="8" t="str">
        <f>'Q100a-geral'!U378</f>
        <v>x</v>
      </c>
      <c r="V830" s="8" t="str">
        <f>'Q100a-geral'!V378</f>
        <v>só para pesquisa</v>
      </c>
      <c r="W830" s="8" t="str">
        <f>'Q100a-geral'!W378</f>
        <v>x</v>
      </c>
      <c r="X830" s="8" t="str">
        <f>'Q100a-geral'!X378</f>
        <v>x</v>
      </c>
      <c r="Y830" s="8" t="str">
        <f>'Q100a-geral'!Y378</f>
        <v>x</v>
      </c>
      <c r="Z830" s="8" t="str">
        <f>'Q100a-geral'!Z378</f>
        <v>x</v>
      </c>
      <c r="AA830" s="8" t="str">
        <f>'Q100a-geral'!AA378</f>
        <v>x</v>
      </c>
      <c r="AB830" s="8" t="str">
        <f>'Q100a-geral'!AB378</f>
        <v>x</v>
      </c>
      <c r="AC830" s="8" t="str">
        <f>'Q100a-geral'!AC378</f>
        <v>x</v>
      </c>
      <c r="AD830" s="8" t="str">
        <f>'Q100a-geral'!AD378</f>
        <v>x</v>
      </c>
      <c r="AE830" s="8" t="str">
        <f>'Q100a-geral'!AE378</f>
        <v>x</v>
      </c>
      <c r="AF830" s="8" t="str">
        <f>'Q100a-geral'!AF378</f>
        <v>x</v>
      </c>
      <c r="AG830" s="8" t="str">
        <f>'Q100a-geral'!AG378</f>
        <v>x</v>
      </c>
      <c r="AH830" s="8" t="str">
        <f>'Q100a-geral'!AH378</f>
        <v>x</v>
      </c>
      <c r="AI830" s="8" t="str">
        <f>'Q100a-geral'!AI378</f>
        <v>x</v>
      </c>
      <c r="AJ830" s="8" t="str">
        <f>'Q100a-geral'!AJ378</f>
        <v>x</v>
      </c>
      <c r="AK830" s="57" t="str">
        <f>'Q100a-geral'!AK378</f>
        <v>x</v>
      </c>
      <c r="AL830" s="8" t="str">
        <f>'Q100a-geral'!AL378</f>
        <v>x</v>
      </c>
      <c r="AM830" s="8" t="str">
        <f>'Q100a-geral'!AM378</f>
        <v>x</v>
      </c>
      <c r="AN830" s="8" t="str">
        <f>'Q100a-geral'!AN378</f>
        <v>x</v>
      </c>
      <c r="AO830" s="8" t="str">
        <f>'Q100a-geral'!AO378</f>
        <v>x</v>
      </c>
      <c r="AP830" s="8" t="str">
        <f>'Q100a-geral'!AP378</f>
        <v>x</v>
      </c>
      <c r="AQ830" s="8" t="str">
        <f>'Q100a-geral'!AQ378</f>
        <v>x</v>
      </c>
      <c r="AR830" s="8" t="str">
        <f>'Q100a-geral'!AR378</f>
        <v>x</v>
      </c>
      <c r="AS830" s="8" t="str">
        <f>'Q100a-geral'!AS378</f>
        <v>x</v>
      </c>
      <c r="AT830" s="8" t="str">
        <f>'Q100a-geral'!AT378</f>
        <v>x</v>
      </c>
      <c r="AU830" s="8" t="str">
        <f>'Q100a-geral'!AU378</f>
        <v>x</v>
      </c>
      <c r="AV830" s="8" t="str">
        <f>'Q100a-geral'!AV378</f>
        <v>x</v>
      </c>
      <c r="AW830" s="8" t="str">
        <f>'Q100a-geral'!AW378</f>
        <v>x</v>
      </c>
      <c r="AX830" s="8" t="str">
        <f>'Q100a-geral'!AX378</f>
        <v>x</v>
      </c>
      <c r="AY830" s="8" t="str">
        <f>'Q100a-geral'!AY378</f>
        <v>x</v>
      </c>
      <c r="AZ830" s="8" t="str">
        <f>'Q100a-geral'!AZ378</f>
        <v>x</v>
      </c>
      <c r="BA830" s="8" t="str">
        <f>'Q100a-geral'!BA378</f>
        <v>x</v>
      </c>
      <c r="BB830" s="8" t="str">
        <f>'Q100a-geral'!BB378</f>
        <v>BRTacessibilidade</v>
      </c>
      <c r="BC830" s="8" t="str">
        <f>'Q100a-geral'!BC378</f>
        <v>BRTacessibilidadesigla/verbete</v>
      </c>
      <c r="BD830" s="8" t="str">
        <f>'Q100a-geral'!BD378</f>
        <v>BRTsigla/verbete</v>
      </c>
    </row>
    <row r="831" spans="1:56" ht="76.5" x14ac:dyDescent="0.25">
      <c r="A831" s="406" t="str">
        <f>'Q100a-geral'!A373</f>
        <v>8.2</v>
      </c>
      <c r="B831" s="468" t="str">
        <f>'Q100a-geral'!B373</f>
        <v>BRT</v>
      </c>
      <c r="C831" s="13" t="str">
        <f>'Q100a-geral'!C373</f>
        <v>acessibilidade</v>
      </c>
      <c r="D831" s="324" t="str">
        <f>'Q100a-geral'!D373</f>
        <v>BRT IC (estações)</v>
      </c>
      <c r="E831" s="481" t="str">
        <f>'Q100a-geral'!E373</f>
        <v>Belo Horizonte</v>
      </c>
      <c r="F831" s="619" t="str">
        <f>'Q100a-geral'!F373</f>
        <v>índice de conformidade com a acessibilidade de cada uma das 41 estações de transferência do sistema BRT de Belo Horizonte
obs.1: o BRT IC de cada módulo de análise de cada estação é calculado como a média dos seus elementos
obs.2: resultados de 2016 conforme BHTRANS(2016j9/j10), onde podem ser encontrados 35 resultados dos 41 resultados possíveis</v>
      </c>
      <c r="G831" s="110" t="str">
        <f>'Q100a-geral'!G373</f>
        <v>verbete
MFO</v>
      </c>
      <c r="H831" s="57" t="str">
        <f>'Q100a-geral'!H373</f>
        <v>sigla/verbete</v>
      </c>
      <c r="I831" s="57" t="str">
        <f>'Q100a-geral'!I373</f>
        <v>x</v>
      </c>
      <c r="J831" s="8" t="str">
        <f>'Q100a-geral'!J373</f>
        <v>x</v>
      </c>
      <c r="K831" s="8" t="str">
        <f>'Q100a-geral'!K373</f>
        <v>x</v>
      </c>
      <c r="L831" s="8" t="str">
        <f>'Q100a-geral'!L373</f>
        <v>x</v>
      </c>
      <c r="M831" s="8" t="str">
        <f>'Q100a-geral'!M373</f>
        <v>x</v>
      </c>
      <c r="N831" s="8" t="str">
        <f>'Q100a-geral'!N373</f>
        <v>x</v>
      </c>
      <c r="O831" s="8" t="str">
        <f>'Q100a-geral'!O373</f>
        <v>x</v>
      </c>
      <c r="P831" s="8" t="str">
        <f>'Q100a-geral'!P373</f>
        <v>x</v>
      </c>
      <c r="Q831" s="8" t="str">
        <f>'Q100a-geral'!Q373</f>
        <v>x</v>
      </c>
      <c r="R831" s="8" t="str">
        <f>'Q100a-geral'!R373</f>
        <v>x</v>
      </c>
      <c r="S831" s="8" t="str">
        <f>'Q100a-geral'!S373</f>
        <v>só para pesquisa</v>
      </c>
      <c r="T831" s="8" t="str">
        <f>'Q100a-geral'!T373</f>
        <v>x</v>
      </c>
      <c r="U831" s="8" t="str">
        <f>'Q100a-geral'!U373</f>
        <v>x</v>
      </c>
      <c r="V831" s="8" t="str">
        <f>'Q100a-geral'!V373</f>
        <v>só para pesquisa</v>
      </c>
      <c r="W831" s="8" t="str">
        <f>'Q100a-geral'!W373</f>
        <v>x</v>
      </c>
      <c r="X831" s="8" t="str">
        <f>'Q100a-geral'!X373</f>
        <v>x</v>
      </c>
      <c r="Y831" s="8" t="str">
        <f>'Q100a-geral'!Y373</f>
        <v>x</v>
      </c>
      <c r="Z831" s="8" t="str">
        <f>'Q100a-geral'!Z373</f>
        <v>x</v>
      </c>
      <c r="AA831" s="8" t="str">
        <f>'Q100a-geral'!AA373</f>
        <v>x</v>
      </c>
      <c r="AB831" s="8" t="str">
        <f>'Q100a-geral'!AB373</f>
        <v>x</v>
      </c>
      <c r="AC831" s="8" t="str">
        <f>'Q100a-geral'!AC373</f>
        <v>x</v>
      </c>
      <c r="AD831" s="8" t="str">
        <f>'Q100a-geral'!AD373</f>
        <v>x</v>
      </c>
      <c r="AE831" s="8" t="str">
        <f>'Q100a-geral'!AE373</f>
        <v>x</v>
      </c>
      <c r="AF831" s="8" t="str">
        <f>'Q100a-geral'!AF373</f>
        <v>x</v>
      </c>
      <c r="AG831" s="8" t="str">
        <f>'Q100a-geral'!AG373</f>
        <v>x</v>
      </c>
      <c r="AH831" s="8" t="str">
        <f>'Q100a-geral'!AH373</f>
        <v>x</v>
      </c>
      <c r="AI831" s="8" t="str">
        <f>'Q100a-geral'!AI373</f>
        <v>x</v>
      </c>
      <c r="AJ831" s="8" t="str">
        <f>'Q100a-geral'!AJ373</f>
        <v>x</v>
      </c>
      <c r="AK831" s="57" t="str">
        <f>'Q100a-geral'!AK373</f>
        <v>x</v>
      </c>
      <c r="AL831" s="8" t="str">
        <f>'Q100a-geral'!AL373</f>
        <v>x</v>
      </c>
      <c r="AM831" s="8" t="str">
        <f>'Q100a-geral'!AM373</f>
        <v>x</v>
      </c>
      <c r="AN831" s="8" t="str">
        <f>'Q100a-geral'!AN373</f>
        <v>x</v>
      </c>
      <c r="AO831" s="8" t="str">
        <f>'Q100a-geral'!AO373</f>
        <v>x</v>
      </c>
      <c r="AP831" s="8" t="str">
        <f>'Q100a-geral'!AP373</f>
        <v>x</v>
      </c>
      <c r="AQ831" s="8" t="str">
        <f>'Q100a-geral'!AQ373</f>
        <v>x</v>
      </c>
      <c r="AR831" s="8" t="str">
        <f>'Q100a-geral'!AR373</f>
        <v>x</v>
      </c>
      <c r="AS831" s="8" t="str">
        <f>'Q100a-geral'!AS373</f>
        <v>x</v>
      </c>
      <c r="AT831" s="8" t="str">
        <f>'Q100a-geral'!AT373</f>
        <v>x</v>
      </c>
      <c r="AU831" s="8" t="str">
        <f>'Q100a-geral'!AU373</f>
        <v>x</v>
      </c>
      <c r="AV831" s="8" t="str">
        <f>'Q100a-geral'!AV373</f>
        <v>x</v>
      </c>
      <c r="AW831" s="8" t="str">
        <f>'Q100a-geral'!AW373</f>
        <v>x</v>
      </c>
      <c r="AX831" s="8" t="str">
        <f>'Q100a-geral'!AX373</f>
        <v>x</v>
      </c>
      <c r="AY831" s="8" t="str">
        <f>'Q100a-geral'!AY373</f>
        <v>x</v>
      </c>
      <c r="AZ831" s="8" t="str">
        <f>'Q100a-geral'!AZ373</f>
        <v>x</v>
      </c>
      <c r="BA831" s="8" t="str">
        <f>'Q100a-geral'!BA373</f>
        <v>x</v>
      </c>
      <c r="BB831" s="8" t="str">
        <f>'Q100a-geral'!BB373</f>
        <v>BRTacessibilidade</v>
      </c>
      <c r="BC831" s="8" t="str">
        <f>'Q100a-geral'!BC373</f>
        <v>BRTacessibilidadesigla/verbete</v>
      </c>
      <c r="BD831" s="8" t="str">
        <f>'Q100a-geral'!BD373</f>
        <v>BRTsigla/verbete</v>
      </c>
    </row>
    <row r="832" spans="1:56" ht="89.25" x14ac:dyDescent="0.25">
      <c r="A832" s="406" t="str">
        <f>'Q100a-geral'!A369</f>
        <v>8.2</v>
      </c>
      <c r="B832" s="468" t="str">
        <f>'Q100a-geral'!B369</f>
        <v>BRT</v>
      </c>
      <c r="C832" s="13" t="str">
        <f>'Q100a-geral'!C369</f>
        <v>acessibilidade</v>
      </c>
      <c r="D832" s="362" t="s">
        <v>5641</v>
      </c>
      <c r="E832" s="481" t="str">
        <f>'Q100a-geral'!E369</f>
        <v>Belo Horizonte</v>
      </c>
      <c r="F832" s="619" t="str">
        <f>'Q100a-geral'!F369</f>
        <v xml:space="preserve">índice de conformidade com a acessibilidade do elemento "calçadas" do módulo de análise "elementos das travessias" do sistema BRT de Belo Horizonte
obs.1: o sistema de BRT de Belo Horizonte é constituido, em 2016, por três corredores: Área Central, Antônio Carlos e Cristiano Machado
obs.2: calculado como a média dos BRT IC das estações inspecionadas com base na diretriz "pelo menos um em cada conjunto de catracas, cancelas, porta[s] giratórias ou outro dispositivo de segurança de ingresso deve ser acessível com largura mínima de 80cm" estabelecida em WRI(2016j,p.23) </v>
      </c>
      <c r="G832" s="110" t="str">
        <f>'Q100a-geral'!G369</f>
        <v>registro na fonte</v>
      </c>
      <c r="H832" s="173" t="str">
        <f>'Q100a-geral'!H369</f>
        <v>x</v>
      </c>
      <c r="I832" s="57">
        <f>'Q100a-geral'!I369</f>
        <v>1</v>
      </c>
      <c r="J832" s="8" t="str">
        <f>'Q100a-geral'!J369</f>
        <v>x</v>
      </c>
      <c r="K832" s="8" t="str">
        <f>'Q100a-geral'!K369</f>
        <v>x</v>
      </c>
      <c r="L832" s="8" t="str">
        <f>'Q100a-geral'!L369</f>
        <v>x</v>
      </c>
      <c r="M832" s="8" t="str">
        <f>'Q100a-geral'!M369</f>
        <v>x</v>
      </c>
      <c r="N832" s="8" t="str">
        <f>'Q100a-geral'!N369</f>
        <v>x</v>
      </c>
      <c r="O832" s="8" t="str">
        <f>'Q100a-geral'!O369</f>
        <v>x</v>
      </c>
      <c r="P832" s="8" t="str">
        <f>'Q100a-geral'!P369</f>
        <v>x</v>
      </c>
      <c r="Q832" s="8" t="str">
        <f>'Q100a-geral'!Q369</f>
        <v>x</v>
      </c>
      <c r="R832" s="8" t="str">
        <f>'Q100a-geral'!R369</f>
        <v>x</v>
      </c>
      <c r="S832" s="8" t="str">
        <f>'Q100a-geral'!S369</f>
        <v>só para pesquisa</v>
      </c>
      <c r="T832" s="8" t="str">
        <f>'Q100a-geral'!T369</f>
        <v>x</v>
      </c>
      <c r="U832" s="8" t="str">
        <f>'Q100a-geral'!U369</f>
        <v>x</v>
      </c>
      <c r="V832" s="8" t="str">
        <f>'Q100a-geral'!V369</f>
        <v>só para pesquisa</v>
      </c>
      <c r="W832" s="8" t="str">
        <f>'Q100a-geral'!W369</f>
        <v>x</v>
      </c>
      <c r="X832" s="8" t="str">
        <f>'Q100a-geral'!X369</f>
        <v>x</v>
      </c>
      <c r="Y832" s="8" t="str">
        <f>'Q100a-geral'!Y369</f>
        <v>x</v>
      </c>
      <c r="Z832" s="8" t="str">
        <f>'Q100a-geral'!Z369</f>
        <v>x</v>
      </c>
      <c r="AA832" s="8" t="str">
        <f>'Q100a-geral'!AA369</f>
        <v>x</v>
      </c>
      <c r="AB832" s="8" t="str">
        <f>'Q100a-geral'!AB369</f>
        <v>x</v>
      </c>
      <c r="AC832" s="8" t="str">
        <f>'Q100a-geral'!AC369</f>
        <v>x</v>
      </c>
      <c r="AD832" s="8" t="str">
        <f>'Q100a-geral'!AD369</f>
        <v>x</v>
      </c>
      <c r="AE832" s="8" t="str">
        <f>'Q100a-geral'!AE369</f>
        <v>x</v>
      </c>
      <c r="AF832" s="8" t="str">
        <f>'Q100a-geral'!AF369</f>
        <v>x</v>
      </c>
      <c r="AG832" s="8" t="str">
        <f>'Q100a-geral'!AG369</f>
        <v>x</v>
      </c>
      <c r="AH832" s="8" t="str">
        <f>'Q100a-geral'!AH369</f>
        <v>x</v>
      </c>
      <c r="AI832" s="8" t="str">
        <f>'Q100a-geral'!AI369</f>
        <v>x</v>
      </c>
      <c r="AJ832" s="8" t="str">
        <f>'Q100a-geral'!AJ369</f>
        <v>x</v>
      </c>
      <c r="AK832" s="1441">
        <f>'Q100a-geral'!AK369</f>
        <v>0.56000000000000005</v>
      </c>
      <c r="AL832" s="8" t="str">
        <f>'Q100a-geral'!AL369</f>
        <v>x</v>
      </c>
      <c r="AM832" s="8" t="str">
        <f>'Q100a-geral'!AM369</f>
        <v>x</v>
      </c>
      <c r="AN832" s="8" t="str">
        <f>'Q100a-geral'!AN369</f>
        <v>x</v>
      </c>
      <c r="AO832" s="8" t="str">
        <f>'Q100a-geral'!AO369</f>
        <v>x</v>
      </c>
      <c r="AP832" s="8" t="str">
        <f>'Q100a-geral'!AP369</f>
        <v>x</v>
      </c>
      <c r="AQ832" s="8" t="str">
        <f>'Q100a-geral'!AQ369</f>
        <v>x</v>
      </c>
      <c r="AR832" s="8" t="str">
        <f>'Q100a-geral'!AR369</f>
        <v>x</v>
      </c>
      <c r="AS832" s="8" t="str">
        <f>'Q100a-geral'!AS369</f>
        <v>x</v>
      </c>
      <c r="AT832" s="8" t="str">
        <f>'Q100a-geral'!AT369</f>
        <v>x</v>
      </c>
      <c r="AU832" s="8" t="str">
        <f>'Q100a-geral'!AU369</f>
        <v>x</v>
      </c>
      <c r="AV832" s="8" t="str">
        <f>'Q100a-geral'!AV369</f>
        <v>x</v>
      </c>
      <c r="AW832" s="8" t="str">
        <f>'Q100a-geral'!AW369</f>
        <v>x</v>
      </c>
      <c r="AX832" s="8" t="str">
        <f>'Q100a-geral'!AX369</f>
        <v>x</v>
      </c>
      <c r="AY832" s="8" t="str">
        <f>'Q100a-geral'!AY369</f>
        <v>x</v>
      </c>
      <c r="AZ832" s="8" t="str">
        <f>'Q100a-geral'!AZ369</f>
        <v>x</v>
      </c>
      <c r="BA832" s="8" t="str">
        <f>'Q100a-geral'!BA369</f>
        <v>x</v>
      </c>
      <c r="BB832" s="8" t="str">
        <f>'Q100a-geral'!BB369</f>
        <v>BRTacessibilidade</v>
      </c>
      <c r="BC832" s="8" t="str">
        <f>'Q100a-geral'!BC369</f>
        <v>BRTacessibilidadex</v>
      </c>
      <c r="BD832" s="8" t="str">
        <f>'Q100a-geral'!BD369</f>
        <v>BRTx</v>
      </c>
    </row>
    <row r="833" spans="1:56" ht="63.75" x14ac:dyDescent="0.25">
      <c r="A833" s="406" t="str">
        <f>'Q100a-geral'!A393</f>
        <v>8.2</v>
      </c>
      <c r="B833" s="468" t="str">
        <f>'Q100a-geral'!B393</f>
        <v>BRT</v>
      </c>
      <c r="C833" s="13" t="str">
        <f>'Q100a-geral'!C393</f>
        <v>acessibilidade</v>
      </c>
      <c r="D833" s="362" t="s">
        <v>5642</v>
      </c>
      <c r="E833" s="481" t="str">
        <f>'Q100a-geral'!E393</f>
        <v>Belo Horizonte</v>
      </c>
      <c r="F833" s="619" t="str">
        <f>'Q100a-geral'!F393</f>
        <v>índice de conformidade com a acessibilidade do elemento "rebaixamentos de calçadas" do módulo de análise "elementos das travessias" do sistema BRT de Belo Horizonte
obs.1: o sistema de BRT de Belo Horizonte é constituido, em 2016, por três corredores: Área Central, Antônio Carlos e Cristiano Machado
obs.2: calculado como a média dos BRT IC das estações inspecionadas</v>
      </c>
      <c r="G833" s="110" t="str">
        <f>'Q100a-geral'!G393</f>
        <v>registro na fonte</v>
      </c>
      <c r="H833" s="173" t="str">
        <f>'Q100a-geral'!H393</f>
        <v>x</v>
      </c>
      <c r="I833" s="57">
        <f>'Q100a-geral'!I393</f>
        <v>1</v>
      </c>
      <c r="J833" s="8" t="str">
        <f>'Q100a-geral'!J393</f>
        <v>x</v>
      </c>
      <c r="K833" s="8" t="str">
        <f>'Q100a-geral'!K393</f>
        <v>x</v>
      </c>
      <c r="L833" s="8" t="str">
        <f>'Q100a-geral'!L393</f>
        <v>x</v>
      </c>
      <c r="M833" s="8" t="str">
        <f>'Q100a-geral'!M393</f>
        <v>x</v>
      </c>
      <c r="N833" s="8" t="str">
        <f>'Q100a-geral'!N393</f>
        <v>x</v>
      </c>
      <c r="O833" s="8" t="str">
        <f>'Q100a-geral'!O393</f>
        <v>x</v>
      </c>
      <c r="P833" s="8" t="str">
        <f>'Q100a-geral'!P393</f>
        <v>x</v>
      </c>
      <c r="Q833" s="8" t="str">
        <f>'Q100a-geral'!Q393</f>
        <v>x</v>
      </c>
      <c r="R833" s="8" t="str">
        <f>'Q100a-geral'!R393</f>
        <v>x</v>
      </c>
      <c r="S833" s="8" t="str">
        <f>'Q100a-geral'!S393</f>
        <v>só para pesquisa</v>
      </c>
      <c r="T833" s="8" t="str">
        <f>'Q100a-geral'!T393</f>
        <v>x</v>
      </c>
      <c r="U833" s="8" t="str">
        <f>'Q100a-geral'!U393</f>
        <v>x</v>
      </c>
      <c r="V833" s="8" t="str">
        <f>'Q100a-geral'!V393</f>
        <v>só para pesquisa</v>
      </c>
      <c r="W833" s="8" t="str">
        <f>'Q100a-geral'!W393</f>
        <v>x</v>
      </c>
      <c r="X833" s="8" t="str">
        <f>'Q100a-geral'!X393</f>
        <v>x</v>
      </c>
      <c r="Y833" s="8" t="str">
        <f>'Q100a-geral'!Y393</f>
        <v>x</v>
      </c>
      <c r="Z833" s="8" t="str">
        <f>'Q100a-geral'!Z393</f>
        <v>x</v>
      </c>
      <c r="AA833" s="8" t="str">
        <f>'Q100a-geral'!AA393</f>
        <v>x</v>
      </c>
      <c r="AB833" s="8" t="str">
        <f>'Q100a-geral'!AB393</f>
        <v>x</v>
      </c>
      <c r="AC833" s="8" t="str">
        <f>'Q100a-geral'!AC393</f>
        <v>x</v>
      </c>
      <c r="AD833" s="8" t="str">
        <f>'Q100a-geral'!AD393</f>
        <v>x</v>
      </c>
      <c r="AE833" s="8" t="str">
        <f>'Q100a-geral'!AE393</f>
        <v>x</v>
      </c>
      <c r="AF833" s="8" t="str">
        <f>'Q100a-geral'!AF393</f>
        <v>x</v>
      </c>
      <c r="AG833" s="8" t="str">
        <f>'Q100a-geral'!AG393</f>
        <v>x</v>
      </c>
      <c r="AH833" s="8" t="str">
        <f>'Q100a-geral'!AH393</f>
        <v>x</v>
      </c>
      <c r="AI833" s="8" t="str">
        <f>'Q100a-geral'!AI393</f>
        <v>x</v>
      </c>
      <c r="AJ833" s="8" t="str">
        <f>'Q100a-geral'!AJ393</f>
        <v>x</v>
      </c>
      <c r="AK833" s="1441">
        <f>'Q100a-geral'!AK393</f>
        <v>0.64</v>
      </c>
      <c r="AL833" s="8" t="str">
        <f>'Q100a-geral'!AL393</f>
        <v>x</v>
      </c>
      <c r="AM833" s="8" t="str">
        <f>'Q100a-geral'!AM393</f>
        <v>x</v>
      </c>
      <c r="AN833" s="8" t="str">
        <f>'Q100a-geral'!AN393</f>
        <v>x</v>
      </c>
      <c r="AO833" s="8" t="str">
        <f>'Q100a-geral'!AO393</f>
        <v>x</v>
      </c>
      <c r="AP833" s="8" t="str">
        <f>'Q100a-geral'!AP393</f>
        <v>x</v>
      </c>
      <c r="AQ833" s="8" t="str">
        <f>'Q100a-geral'!AQ393</f>
        <v>x</v>
      </c>
      <c r="AR833" s="8" t="str">
        <f>'Q100a-geral'!AR393</f>
        <v>x</v>
      </c>
      <c r="AS833" s="8" t="str">
        <f>'Q100a-geral'!AS393</f>
        <v>x</v>
      </c>
      <c r="AT833" s="8" t="str">
        <f>'Q100a-geral'!AT393</f>
        <v>x</v>
      </c>
      <c r="AU833" s="8" t="str">
        <f>'Q100a-geral'!AU393</f>
        <v>x</v>
      </c>
      <c r="AV833" s="8" t="str">
        <f>'Q100a-geral'!AV393</f>
        <v>x</v>
      </c>
      <c r="AW833" s="8" t="str">
        <f>'Q100a-geral'!AW393</f>
        <v>x</v>
      </c>
      <c r="AX833" s="8" t="str">
        <f>'Q100a-geral'!AX393</f>
        <v>x</v>
      </c>
      <c r="AY833" s="8" t="str">
        <f>'Q100a-geral'!AY393</f>
        <v>x</v>
      </c>
      <c r="AZ833" s="8" t="str">
        <f>'Q100a-geral'!AZ393</f>
        <v>x</v>
      </c>
      <c r="BA833" s="8" t="str">
        <f>'Q100a-geral'!BA393</f>
        <v>x</v>
      </c>
      <c r="BB833" s="8" t="str">
        <f>'Q100a-geral'!BB393</f>
        <v>BRTacessibilidade</v>
      </c>
      <c r="BC833" s="8" t="str">
        <f>'Q100a-geral'!BC393</f>
        <v>BRTacessibilidadex</v>
      </c>
      <c r="BD833" s="8" t="str">
        <f>'Q100a-geral'!BD393</f>
        <v>BRTx</v>
      </c>
    </row>
    <row r="834" spans="1:56" ht="63.75" x14ac:dyDescent="0.25">
      <c r="A834" s="406" t="str">
        <f>'Q100a-geral'!A395</f>
        <v>8.2</v>
      </c>
      <c r="B834" s="468" t="str">
        <f>'Q100a-geral'!B395</f>
        <v>BRT</v>
      </c>
      <c r="C834" s="13" t="str">
        <f>'Q100a-geral'!C395</f>
        <v>acessibilidade</v>
      </c>
      <c r="D834" s="362" t="s">
        <v>5637</v>
      </c>
      <c r="E834" s="481" t="str">
        <f>'Q100a-geral'!E395</f>
        <v>Belo Horizonte</v>
      </c>
      <c r="F834" s="619" t="str">
        <f>'Q100a-geral'!F395</f>
        <v>índice de conformidade com a acessibilidade do elemento "travessias" do módulo de análise "elementos das travessias" do sistema BRT de Belo Horizonte
obs.1: o sistema de BRT de Belo Horizonte é constituido, em 2016, por três corredores: Área Central, Antônio Carlos e Cristiano Machado
obs.2: calculado como a média dos BRT IC das estações inspecionadas</v>
      </c>
      <c r="G834" s="110" t="str">
        <f>'Q100a-geral'!G395</f>
        <v>registro na fonte</v>
      </c>
      <c r="H834" s="173" t="str">
        <f>'Q100a-geral'!H395</f>
        <v>x</v>
      </c>
      <c r="I834" s="57">
        <f>'Q100a-geral'!I395</f>
        <v>1</v>
      </c>
      <c r="J834" s="8" t="str">
        <f>'Q100a-geral'!J395</f>
        <v>x</v>
      </c>
      <c r="K834" s="8" t="str">
        <f>'Q100a-geral'!K395</f>
        <v>x</v>
      </c>
      <c r="L834" s="8" t="str">
        <f>'Q100a-geral'!L395</f>
        <v>x</v>
      </c>
      <c r="M834" s="8" t="str">
        <f>'Q100a-geral'!M395</f>
        <v>x</v>
      </c>
      <c r="N834" s="8" t="str">
        <f>'Q100a-geral'!N395</f>
        <v>x</v>
      </c>
      <c r="O834" s="8" t="str">
        <f>'Q100a-geral'!O395</f>
        <v>x</v>
      </c>
      <c r="P834" s="8" t="str">
        <f>'Q100a-geral'!P395</f>
        <v>x</v>
      </c>
      <c r="Q834" s="8" t="str">
        <f>'Q100a-geral'!Q395</f>
        <v>x</v>
      </c>
      <c r="R834" s="8" t="str">
        <f>'Q100a-geral'!R395</f>
        <v>x</v>
      </c>
      <c r="S834" s="8" t="str">
        <f>'Q100a-geral'!S395</f>
        <v>só para pesquisa</v>
      </c>
      <c r="T834" s="8" t="str">
        <f>'Q100a-geral'!T395</f>
        <v>x</v>
      </c>
      <c r="U834" s="8" t="str">
        <f>'Q100a-geral'!U395</f>
        <v>x</v>
      </c>
      <c r="V834" s="8" t="str">
        <f>'Q100a-geral'!V395</f>
        <v>só para pesquisa</v>
      </c>
      <c r="W834" s="8" t="str">
        <f>'Q100a-geral'!W395</f>
        <v>x</v>
      </c>
      <c r="X834" s="8" t="str">
        <f>'Q100a-geral'!X395</f>
        <v>x</v>
      </c>
      <c r="Y834" s="8" t="str">
        <f>'Q100a-geral'!Y395</f>
        <v>x</v>
      </c>
      <c r="Z834" s="8" t="str">
        <f>'Q100a-geral'!Z395</f>
        <v>x</v>
      </c>
      <c r="AA834" s="8" t="str">
        <f>'Q100a-geral'!AA395</f>
        <v>x</v>
      </c>
      <c r="AB834" s="8" t="str">
        <f>'Q100a-geral'!AB395</f>
        <v>x</v>
      </c>
      <c r="AC834" s="8" t="str">
        <f>'Q100a-geral'!AC395</f>
        <v>x</v>
      </c>
      <c r="AD834" s="8" t="str">
        <f>'Q100a-geral'!AD395</f>
        <v>x</v>
      </c>
      <c r="AE834" s="8" t="str">
        <f>'Q100a-geral'!AE395</f>
        <v>x</v>
      </c>
      <c r="AF834" s="8" t="str">
        <f>'Q100a-geral'!AF395</f>
        <v>x</v>
      </c>
      <c r="AG834" s="8" t="str">
        <f>'Q100a-geral'!AG395</f>
        <v>x</v>
      </c>
      <c r="AH834" s="8" t="str">
        <f>'Q100a-geral'!AH395</f>
        <v>x</v>
      </c>
      <c r="AI834" s="8" t="str">
        <f>'Q100a-geral'!AI395</f>
        <v>x</v>
      </c>
      <c r="AJ834" s="8" t="str">
        <f>'Q100a-geral'!AJ395</f>
        <v>x</v>
      </c>
      <c r="AK834" s="1441">
        <f>'Q100a-geral'!AK395</f>
        <v>0.6</v>
      </c>
      <c r="AL834" s="8" t="str">
        <f>'Q100a-geral'!AL395</f>
        <v>x</v>
      </c>
      <c r="AM834" s="8" t="str">
        <f>'Q100a-geral'!AM395</f>
        <v>x</v>
      </c>
      <c r="AN834" s="8" t="str">
        <f>'Q100a-geral'!AN395</f>
        <v>x</v>
      </c>
      <c r="AO834" s="8" t="str">
        <f>'Q100a-geral'!AO395</f>
        <v>x</v>
      </c>
      <c r="AP834" s="8" t="str">
        <f>'Q100a-geral'!AP395</f>
        <v>x</v>
      </c>
      <c r="AQ834" s="8" t="str">
        <f>'Q100a-geral'!AQ395</f>
        <v>x</v>
      </c>
      <c r="AR834" s="8" t="str">
        <f>'Q100a-geral'!AR395</f>
        <v>x</v>
      </c>
      <c r="AS834" s="8" t="str">
        <f>'Q100a-geral'!AS395</f>
        <v>x</v>
      </c>
      <c r="AT834" s="8" t="str">
        <f>'Q100a-geral'!AT395</f>
        <v>x</v>
      </c>
      <c r="AU834" s="8" t="str">
        <f>'Q100a-geral'!AU395</f>
        <v>x</v>
      </c>
      <c r="AV834" s="8" t="str">
        <f>'Q100a-geral'!AV395</f>
        <v>x</v>
      </c>
      <c r="AW834" s="8" t="str">
        <f>'Q100a-geral'!AW395</f>
        <v>x</v>
      </c>
      <c r="AX834" s="8" t="str">
        <f>'Q100a-geral'!AX395</f>
        <v>x</v>
      </c>
      <c r="AY834" s="8" t="str">
        <f>'Q100a-geral'!AY395</f>
        <v>x</v>
      </c>
      <c r="AZ834" s="8" t="str">
        <f>'Q100a-geral'!AZ395</f>
        <v>x</v>
      </c>
      <c r="BA834" s="8" t="str">
        <f>'Q100a-geral'!BA395</f>
        <v>x</v>
      </c>
      <c r="BB834" s="8" t="str">
        <f>'Q100a-geral'!BB395</f>
        <v>BRTacessibilidade</v>
      </c>
      <c r="BC834" s="8" t="str">
        <f>'Q100a-geral'!BC395</f>
        <v>BRTacessibilidadex</v>
      </c>
      <c r="BD834" s="8" t="str">
        <f>'Q100a-geral'!BD395</f>
        <v>BRTx</v>
      </c>
    </row>
    <row r="835" spans="1:56" ht="63.75" x14ac:dyDescent="0.25">
      <c r="A835" s="406" t="str">
        <f>'Q100a-geral'!A385</f>
        <v>8.2</v>
      </c>
      <c r="B835" s="468" t="str">
        <f>'Q100a-geral'!B385</f>
        <v>BRT</v>
      </c>
      <c r="C835" s="13" t="str">
        <f>'Q100a-geral'!C385</f>
        <v>acessibilidade</v>
      </c>
      <c r="D835" s="362" t="s">
        <v>5643</v>
      </c>
      <c r="E835" s="481" t="str">
        <f>'Q100a-geral'!E385</f>
        <v>Belo Horizonte</v>
      </c>
      <c r="F835" s="619" t="str">
        <f>'Q100a-geral'!F385</f>
        <v xml:space="preserve">índice de conformidade com a acessibilidade do elemento "geral das passarelas" do módulo de análise "passarelas" do sistema BRT de Belo Horizonte
obs.1: o sistema de BRT de Belo Horizonte é constituido, em 2016, por três corredores: Área Central, Antônio Carlos e Cristiano Machado
obs.2: calculado como a média dos BRT IC das estações inspecionadas </v>
      </c>
      <c r="G835" s="110" t="str">
        <f>'Q100a-geral'!G385</f>
        <v>registro na fonte</v>
      </c>
      <c r="H835" s="173" t="str">
        <f>'Q100a-geral'!H385</f>
        <v>x</v>
      </c>
      <c r="I835" s="57">
        <f>'Q100a-geral'!I385</f>
        <v>1</v>
      </c>
      <c r="J835" s="8" t="str">
        <f>'Q100a-geral'!J385</f>
        <v>x</v>
      </c>
      <c r="K835" s="8" t="str">
        <f>'Q100a-geral'!K385</f>
        <v>x</v>
      </c>
      <c r="L835" s="8" t="str">
        <f>'Q100a-geral'!L385</f>
        <v>x</v>
      </c>
      <c r="M835" s="8" t="str">
        <f>'Q100a-geral'!M385</f>
        <v>x</v>
      </c>
      <c r="N835" s="8" t="str">
        <f>'Q100a-geral'!N385</f>
        <v>x</v>
      </c>
      <c r="O835" s="8" t="str">
        <f>'Q100a-geral'!O385</f>
        <v>x</v>
      </c>
      <c r="P835" s="8" t="str">
        <f>'Q100a-geral'!P385</f>
        <v>x</v>
      </c>
      <c r="Q835" s="8" t="str">
        <f>'Q100a-geral'!Q385</f>
        <v>x</v>
      </c>
      <c r="R835" s="8" t="str">
        <f>'Q100a-geral'!R385</f>
        <v>x</v>
      </c>
      <c r="S835" s="8" t="str">
        <f>'Q100a-geral'!S385</f>
        <v>só para pesquisa</v>
      </c>
      <c r="T835" s="8" t="str">
        <f>'Q100a-geral'!T385</f>
        <v>x</v>
      </c>
      <c r="U835" s="8" t="str">
        <f>'Q100a-geral'!U385</f>
        <v>x</v>
      </c>
      <c r="V835" s="8" t="str">
        <f>'Q100a-geral'!V385</f>
        <v>só para pesquisa</v>
      </c>
      <c r="W835" s="8" t="str">
        <f>'Q100a-geral'!W385</f>
        <v>x</v>
      </c>
      <c r="X835" s="8" t="str">
        <f>'Q100a-geral'!X385</f>
        <v>x</v>
      </c>
      <c r="Y835" s="8" t="str">
        <f>'Q100a-geral'!Y385</f>
        <v>x</v>
      </c>
      <c r="Z835" s="8" t="str">
        <f>'Q100a-geral'!Z385</f>
        <v>x</v>
      </c>
      <c r="AA835" s="8" t="str">
        <f>'Q100a-geral'!AA385</f>
        <v>x</v>
      </c>
      <c r="AB835" s="8" t="str">
        <f>'Q100a-geral'!AB385</f>
        <v>x</v>
      </c>
      <c r="AC835" s="8" t="str">
        <f>'Q100a-geral'!AC385</f>
        <v>x</v>
      </c>
      <c r="AD835" s="8" t="str">
        <f>'Q100a-geral'!AD385</f>
        <v>x</v>
      </c>
      <c r="AE835" s="8" t="str">
        <f>'Q100a-geral'!AE385</f>
        <v>x</v>
      </c>
      <c r="AF835" s="8" t="str">
        <f>'Q100a-geral'!AF385</f>
        <v>x</v>
      </c>
      <c r="AG835" s="8" t="str">
        <f>'Q100a-geral'!AG385</f>
        <v>x</v>
      </c>
      <c r="AH835" s="8" t="str">
        <f>'Q100a-geral'!AH385</f>
        <v>x</v>
      </c>
      <c r="AI835" s="8" t="str">
        <f>'Q100a-geral'!AI385</f>
        <v>x</v>
      </c>
      <c r="AJ835" s="8" t="str">
        <f>'Q100a-geral'!AJ385</f>
        <v>x</v>
      </c>
      <c r="AK835" s="1441">
        <f>'Q100a-geral'!AK385</f>
        <v>0.86</v>
      </c>
      <c r="AL835" s="8" t="str">
        <f>'Q100a-geral'!AL385</f>
        <v>x</v>
      </c>
      <c r="AM835" s="8" t="str">
        <f>'Q100a-geral'!AM385</f>
        <v>x</v>
      </c>
      <c r="AN835" s="8" t="str">
        <f>'Q100a-geral'!AN385</f>
        <v>x</v>
      </c>
      <c r="AO835" s="8" t="str">
        <f>'Q100a-geral'!AO385</f>
        <v>x</v>
      </c>
      <c r="AP835" s="8" t="str">
        <f>'Q100a-geral'!AP385</f>
        <v>x</v>
      </c>
      <c r="AQ835" s="8" t="str">
        <f>'Q100a-geral'!AQ385</f>
        <v>x</v>
      </c>
      <c r="AR835" s="8" t="str">
        <f>'Q100a-geral'!AR385</f>
        <v>x</v>
      </c>
      <c r="AS835" s="8" t="str">
        <f>'Q100a-geral'!AS385</f>
        <v>x</v>
      </c>
      <c r="AT835" s="8" t="str">
        <f>'Q100a-geral'!AT385</f>
        <v>x</v>
      </c>
      <c r="AU835" s="8" t="str">
        <f>'Q100a-geral'!AU385</f>
        <v>x</v>
      </c>
      <c r="AV835" s="8" t="str">
        <f>'Q100a-geral'!AV385</f>
        <v>x</v>
      </c>
      <c r="AW835" s="8" t="str">
        <f>'Q100a-geral'!AW385</f>
        <v>x</v>
      </c>
      <c r="AX835" s="8" t="str">
        <f>'Q100a-geral'!AX385</f>
        <v>x</v>
      </c>
      <c r="AY835" s="8" t="str">
        <f>'Q100a-geral'!AY385</f>
        <v>x</v>
      </c>
      <c r="AZ835" s="8" t="str">
        <f>'Q100a-geral'!AZ385</f>
        <v>x</v>
      </c>
      <c r="BA835" s="8" t="str">
        <f>'Q100a-geral'!BA385</f>
        <v>x</v>
      </c>
      <c r="BB835" s="8" t="str">
        <f>'Q100a-geral'!BB385</f>
        <v>BRTacessibilidade</v>
      </c>
      <c r="BC835" s="8" t="str">
        <f>'Q100a-geral'!BC385</f>
        <v>BRTacessibilidadex</v>
      </c>
      <c r="BD835" s="8" t="str">
        <f>'Q100a-geral'!BD385</f>
        <v>BRTx</v>
      </c>
    </row>
    <row r="836" spans="1:56" ht="76.5" x14ac:dyDescent="0.25">
      <c r="A836" s="406" t="str">
        <f>'Q100a-geral'!A386</f>
        <v>8.2</v>
      </c>
      <c r="B836" s="468" t="str">
        <f>'Q100a-geral'!B386</f>
        <v>BRT</v>
      </c>
      <c r="C836" s="13" t="str">
        <f>'Q100a-geral'!C386</f>
        <v>acessibilidade</v>
      </c>
      <c r="D836" s="362" t="s">
        <v>5644</v>
      </c>
      <c r="E836" s="481" t="str">
        <f>'Q100a-geral'!E386</f>
        <v>Belo Horizonte</v>
      </c>
      <c r="F836" s="619" t="str">
        <f>'Q100a-geral'!F386</f>
        <v>índice de conformidade com a acessibilidade do elemento "rampas das passarelas" do módulo de análise "passarelas" do sistema BRT de Belo Horizonte
obs.1: o sistema de BRT de Belo Horizonte é constituido, em 2016, por três corredores: Área Central, Antônio Carlos e Cristiano Machado
obs.2: calculado como a média dos BRT IC das estações inspecionadas 
obs.3: acesse os verbetes "IC"</v>
      </c>
      <c r="G836" s="110" t="str">
        <f>'Q100a-geral'!G386</f>
        <v>registro na fonte</v>
      </c>
      <c r="H836" s="173" t="str">
        <f>'Q100a-geral'!H386</f>
        <v>x</v>
      </c>
      <c r="I836" s="57">
        <f>'Q100a-geral'!I386</f>
        <v>1</v>
      </c>
      <c r="J836" s="8" t="str">
        <f>'Q100a-geral'!J386</f>
        <v>x</v>
      </c>
      <c r="K836" s="8" t="str">
        <f>'Q100a-geral'!K386</f>
        <v>x</v>
      </c>
      <c r="L836" s="8" t="str">
        <f>'Q100a-geral'!L386</f>
        <v>x</v>
      </c>
      <c r="M836" s="8" t="str">
        <f>'Q100a-geral'!M386</f>
        <v>x</v>
      </c>
      <c r="N836" s="8" t="str">
        <f>'Q100a-geral'!N386</f>
        <v>x</v>
      </c>
      <c r="O836" s="8" t="str">
        <f>'Q100a-geral'!O386</f>
        <v>x</v>
      </c>
      <c r="P836" s="8" t="str">
        <f>'Q100a-geral'!P386</f>
        <v>x</v>
      </c>
      <c r="Q836" s="8" t="str">
        <f>'Q100a-geral'!Q386</f>
        <v>x</v>
      </c>
      <c r="R836" s="8" t="str">
        <f>'Q100a-geral'!R386</f>
        <v>x</v>
      </c>
      <c r="S836" s="8" t="str">
        <f>'Q100a-geral'!S386</f>
        <v>só para pesquisa</v>
      </c>
      <c r="T836" s="8" t="str">
        <f>'Q100a-geral'!T386</f>
        <v>x</v>
      </c>
      <c r="U836" s="8" t="str">
        <f>'Q100a-geral'!U386</f>
        <v>x</v>
      </c>
      <c r="V836" s="8" t="str">
        <f>'Q100a-geral'!V386</f>
        <v>só para pesquisa</v>
      </c>
      <c r="W836" s="8" t="str">
        <f>'Q100a-geral'!W386</f>
        <v>x</v>
      </c>
      <c r="X836" s="8" t="str">
        <f>'Q100a-geral'!X386</f>
        <v>x</v>
      </c>
      <c r="Y836" s="8" t="str">
        <f>'Q100a-geral'!Y386</f>
        <v>x</v>
      </c>
      <c r="Z836" s="8" t="str">
        <f>'Q100a-geral'!Z386</f>
        <v>x</v>
      </c>
      <c r="AA836" s="8" t="str">
        <f>'Q100a-geral'!AA386</f>
        <v>x</v>
      </c>
      <c r="AB836" s="8" t="str">
        <f>'Q100a-geral'!AB386</f>
        <v>x</v>
      </c>
      <c r="AC836" s="8" t="str">
        <f>'Q100a-geral'!AC386</f>
        <v>x</v>
      </c>
      <c r="AD836" s="8" t="str">
        <f>'Q100a-geral'!AD386</f>
        <v>x</v>
      </c>
      <c r="AE836" s="8" t="str">
        <f>'Q100a-geral'!AE386</f>
        <v>x</v>
      </c>
      <c r="AF836" s="8" t="str">
        <f>'Q100a-geral'!AF386</f>
        <v>x</v>
      </c>
      <c r="AG836" s="8" t="str">
        <f>'Q100a-geral'!AG386</f>
        <v>x</v>
      </c>
      <c r="AH836" s="8" t="str">
        <f>'Q100a-geral'!AH386</f>
        <v>x</v>
      </c>
      <c r="AI836" s="8" t="str">
        <f>'Q100a-geral'!AI386</f>
        <v>x</v>
      </c>
      <c r="AJ836" s="8" t="str">
        <f>'Q100a-geral'!AJ386</f>
        <v>x</v>
      </c>
      <c r="AK836" s="1441">
        <f>'Q100a-geral'!AK386</f>
        <v>0.72</v>
      </c>
      <c r="AL836" s="8" t="str">
        <f>'Q100a-geral'!AL386</f>
        <v>x</v>
      </c>
      <c r="AM836" s="8" t="str">
        <f>'Q100a-geral'!AM386</f>
        <v>x</v>
      </c>
      <c r="AN836" s="8" t="str">
        <f>'Q100a-geral'!AN386</f>
        <v>x</v>
      </c>
      <c r="AO836" s="8" t="str">
        <f>'Q100a-geral'!AO386</f>
        <v>x</v>
      </c>
      <c r="AP836" s="8" t="str">
        <f>'Q100a-geral'!AP386</f>
        <v>x</v>
      </c>
      <c r="AQ836" s="8" t="str">
        <f>'Q100a-geral'!AQ386</f>
        <v>x</v>
      </c>
      <c r="AR836" s="8" t="str">
        <f>'Q100a-geral'!AR386</f>
        <v>x</v>
      </c>
      <c r="AS836" s="8" t="str">
        <f>'Q100a-geral'!AS386</f>
        <v>x</v>
      </c>
      <c r="AT836" s="8" t="str">
        <f>'Q100a-geral'!AT386</f>
        <v>x</v>
      </c>
      <c r="AU836" s="8" t="str">
        <f>'Q100a-geral'!AU386</f>
        <v>x</v>
      </c>
      <c r="AV836" s="8" t="str">
        <f>'Q100a-geral'!AV386</f>
        <v>x</v>
      </c>
      <c r="AW836" s="8" t="str">
        <f>'Q100a-geral'!AW386</f>
        <v>x</v>
      </c>
      <c r="AX836" s="8" t="str">
        <f>'Q100a-geral'!AX386</f>
        <v>x</v>
      </c>
      <c r="AY836" s="8" t="str">
        <f>'Q100a-geral'!AY386</f>
        <v>x</v>
      </c>
      <c r="AZ836" s="8" t="str">
        <f>'Q100a-geral'!AZ386</f>
        <v>x</v>
      </c>
      <c r="BA836" s="8" t="str">
        <f>'Q100a-geral'!BA386</f>
        <v>x</v>
      </c>
      <c r="BB836" s="8" t="str">
        <f>'Q100a-geral'!BB386</f>
        <v>BRTacessibilidade</v>
      </c>
      <c r="BC836" s="8" t="str">
        <f>'Q100a-geral'!BC386</f>
        <v>BRTacessibilidadex</v>
      </c>
      <c r="BD836" s="8" t="str">
        <f>'Q100a-geral'!BD386</f>
        <v>BRTx</v>
      </c>
    </row>
    <row r="837" spans="1:56" ht="63.75" x14ac:dyDescent="0.25">
      <c r="A837" s="406" t="str">
        <f>'Q100a-geral'!A384</f>
        <v>8.2</v>
      </c>
      <c r="B837" s="468" t="str">
        <f>'Q100a-geral'!B384</f>
        <v>BRT</v>
      </c>
      <c r="C837" s="13" t="str">
        <f>'Q100a-geral'!C384</f>
        <v>acessibilidade</v>
      </c>
      <c r="D837" s="362" t="s">
        <v>5645</v>
      </c>
      <c r="E837" s="481" t="str">
        <f>'Q100a-geral'!E384</f>
        <v>Belo Horizonte</v>
      </c>
      <c r="F837" s="619" t="str">
        <f>'Q100a-geral'!F384</f>
        <v xml:space="preserve">índice de conformidade com a acessibilidade do elemento "escadarias das passarelas" do módulo de análise "passarelas" do sistema BRT de Belo Horizonte
obs.1: o sistema de BRT de Belo Horizonte é constituido, em 2016, por três corredores: Área Central, Antônio Carlos e Cristiano Machado
obs.2: calculado como a média dos BRT IC das estações inspecionadas </v>
      </c>
      <c r="G837" s="110" t="str">
        <f>'Q100a-geral'!G384</f>
        <v>registro na fonte</v>
      </c>
      <c r="H837" s="173" t="str">
        <f>'Q100a-geral'!H384</f>
        <v>x</v>
      </c>
      <c r="I837" s="57">
        <f>'Q100a-geral'!I384</f>
        <v>1</v>
      </c>
      <c r="J837" s="8" t="str">
        <f>'Q100a-geral'!J384</f>
        <v>x</v>
      </c>
      <c r="K837" s="8" t="str">
        <f>'Q100a-geral'!K384</f>
        <v>x</v>
      </c>
      <c r="L837" s="8" t="str">
        <f>'Q100a-geral'!L384</f>
        <v>x</v>
      </c>
      <c r="M837" s="8" t="str">
        <f>'Q100a-geral'!M384</f>
        <v>x</v>
      </c>
      <c r="N837" s="8" t="str">
        <f>'Q100a-geral'!N384</f>
        <v>x</v>
      </c>
      <c r="O837" s="8" t="str">
        <f>'Q100a-geral'!O384</f>
        <v>x</v>
      </c>
      <c r="P837" s="8" t="str">
        <f>'Q100a-geral'!P384</f>
        <v>x</v>
      </c>
      <c r="Q837" s="8" t="str">
        <f>'Q100a-geral'!Q384</f>
        <v>x</v>
      </c>
      <c r="R837" s="8" t="str">
        <f>'Q100a-geral'!R384</f>
        <v>x</v>
      </c>
      <c r="S837" s="8" t="str">
        <f>'Q100a-geral'!S384</f>
        <v>só para pesquisa</v>
      </c>
      <c r="T837" s="8" t="str">
        <f>'Q100a-geral'!T384</f>
        <v>x</v>
      </c>
      <c r="U837" s="8" t="str">
        <f>'Q100a-geral'!U384</f>
        <v>x</v>
      </c>
      <c r="V837" s="8" t="str">
        <f>'Q100a-geral'!V384</f>
        <v>só para pesquisa</v>
      </c>
      <c r="W837" s="8" t="str">
        <f>'Q100a-geral'!W384</f>
        <v>x</v>
      </c>
      <c r="X837" s="8" t="str">
        <f>'Q100a-geral'!X384</f>
        <v>x</v>
      </c>
      <c r="Y837" s="8" t="str">
        <f>'Q100a-geral'!Y384</f>
        <v>x</v>
      </c>
      <c r="Z837" s="8" t="str">
        <f>'Q100a-geral'!Z384</f>
        <v>x</v>
      </c>
      <c r="AA837" s="8" t="str">
        <f>'Q100a-geral'!AA384</f>
        <v>x</v>
      </c>
      <c r="AB837" s="8" t="str">
        <f>'Q100a-geral'!AB384</f>
        <v>x</v>
      </c>
      <c r="AC837" s="8" t="str">
        <f>'Q100a-geral'!AC384</f>
        <v>x</v>
      </c>
      <c r="AD837" s="8" t="str">
        <f>'Q100a-geral'!AD384</f>
        <v>x</v>
      </c>
      <c r="AE837" s="8" t="str">
        <f>'Q100a-geral'!AE384</f>
        <v>x</v>
      </c>
      <c r="AF837" s="8" t="str">
        <f>'Q100a-geral'!AF384</f>
        <v>x</v>
      </c>
      <c r="AG837" s="8" t="str">
        <f>'Q100a-geral'!AG384</f>
        <v>x</v>
      </c>
      <c r="AH837" s="8" t="str">
        <f>'Q100a-geral'!AH384</f>
        <v>x</v>
      </c>
      <c r="AI837" s="8" t="str">
        <f>'Q100a-geral'!AI384</f>
        <v>x</v>
      </c>
      <c r="AJ837" s="8" t="str">
        <f>'Q100a-geral'!AJ384</f>
        <v>x</v>
      </c>
      <c r="AK837" s="1441">
        <f>'Q100a-geral'!AK384</f>
        <v>0.38</v>
      </c>
      <c r="AL837" s="8" t="str">
        <f>'Q100a-geral'!AL384</f>
        <v>x</v>
      </c>
      <c r="AM837" s="8" t="str">
        <f>'Q100a-geral'!AM384</f>
        <v>x</v>
      </c>
      <c r="AN837" s="8" t="str">
        <f>'Q100a-geral'!AN384</f>
        <v>x</v>
      </c>
      <c r="AO837" s="8" t="str">
        <f>'Q100a-geral'!AO384</f>
        <v>x</v>
      </c>
      <c r="AP837" s="8" t="str">
        <f>'Q100a-geral'!AP384</f>
        <v>x</v>
      </c>
      <c r="AQ837" s="8" t="str">
        <f>'Q100a-geral'!AQ384</f>
        <v>x</v>
      </c>
      <c r="AR837" s="8" t="str">
        <f>'Q100a-geral'!AR384</f>
        <v>x</v>
      </c>
      <c r="AS837" s="8" t="str">
        <f>'Q100a-geral'!AS384</f>
        <v>x</v>
      </c>
      <c r="AT837" s="8" t="str">
        <f>'Q100a-geral'!AT384</f>
        <v>x</v>
      </c>
      <c r="AU837" s="8" t="str">
        <f>'Q100a-geral'!AU384</f>
        <v>x</v>
      </c>
      <c r="AV837" s="8" t="str">
        <f>'Q100a-geral'!AV384</f>
        <v>x</v>
      </c>
      <c r="AW837" s="8" t="str">
        <f>'Q100a-geral'!AW384</f>
        <v>x</v>
      </c>
      <c r="AX837" s="8" t="str">
        <f>'Q100a-geral'!AX384</f>
        <v>x</v>
      </c>
      <c r="AY837" s="8" t="str">
        <f>'Q100a-geral'!AY384</f>
        <v>x</v>
      </c>
      <c r="AZ837" s="8" t="str">
        <f>'Q100a-geral'!AZ384</f>
        <v>x</v>
      </c>
      <c r="BA837" s="8" t="str">
        <f>'Q100a-geral'!BA384</f>
        <v>x</v>
      </c>
      <c r="BB837" s="8" t="str">
        <f>'Q100a-geral'!BB384</f>
        <v>BRTacessibilidade</v>
      </c>
      <c r="BC837" s="8" t="str">
        <f>'Q100a-geral'!BC384</f>
        <v>BRTacessibilidadex</v>
      </c>
      <c r="BD837" s="8" t="str">
        <f>'Q100a-geral'!BD384</f>
        <v>BRTx</v>
      </c>
    </row>
    <row r="838" spans="1:56" ht="63.75" x14ac:dyDescent="0.25">
      <c r="A838" s="406" t="str">
        <f>'Q100a-geral'!A383</f>
        <v>8.2</v>
      </c>
      <c r="B838" s="468" t="str">
        <f>'Q100a-geral'!B383</f>
        <v>BRT</v>
      </c>
      <c r="C838" s="13" t="str">
        <f>'Q100a-geral'!C383</f>
        <v>acessibilidade</v>
      </c>
      <c r="D838" s="362" t="s">
        <v>5646</v>
      </c>
      <c r="E838" s="481" t="str">
        <f>'Q100a-geral'!E383</f>
        <v>Belo Horizonte</v>
      </c>
      <c r="F838" s="619" t="str">
        <f>'Q100a-geral'!F383</f>
        <v xml:space="preserve">índice de conformidade com a acessibilidade do elemento "corrimãos das passarelas" do módulo de análise "passarelas"do sistema BRT de Belo Horizonte
obs.1: o sistema de BRT de Belo Horizonte é constituido, em 2016, por três corredores: Área Central, Antônio Carlos e Cristiano Machado
obs.2: calculado como a média dos BRT IC das estações inspecionadas </v>
      </c>
      <c r="G838" s="110" t="str">
        <f>'Q100a-geral'!G383</f>
        <v>registro na fonte</v>
      </c>
      <c r="H838" s="173" t="str">
        <f>'Q100a-geral'!H383</f>
        <v>x</v>
      </c>
      <c r="I838" s="57">
        <f>'Q100a-geral'!I383</f>
        <v>1</v>
      </c>
      <c r="J838" s="8" t="str">
        <f>'Q100a-geral'!J383</f>
        <v>x</v>
      </c>
      <c r="K838" s="8" t="str">
        <f>'Q100a-geral'!K383</f>
        <v>x</v>
      </c>
      <c r="L838" s="8" t="str">
        <f>'Q100a-geral'!L383</f>
        <v>x</v>
      </c>
      <c r="M838" s="8" t="str">
        <f>'Q100a-geral'!M383</f>
        <v>x</v>
      </c>
      <c r="N838" s="8" t="str">
        <f>'Q100a-geral'!N383</f>
        <v>x</v>
      </c>
      <c r="O838" s="8" t="str">
        <f>'Q100a-geral'!O383</f>
        <v>x</v>
      </c>
      <c r="P838" s="8" t="str">
        <f>'Q100a-geral'!P383</f>
        <v>x</v>
      </c>
      <c r="Q838" s="8" t="str">
        <f>'Q100a-geral'!Q383</f>
        <v>x</v>
      </c>
      <c r="R838" s="8" t="str">
        <f>'Q100a-geral'!R383</f>
        <v>x</v>
      </c>
      <c r="S838" s="8" t="str">
        <f>'Q100a-geral'!S383</f>
        <v>só para pesquisa</v>
      </c>
      <c r="T838" s="8" t="str">
        <f>'Q100a-geral'!T383</f>
        <v>x</v>
      </c>
      <c r="U838" s="8" t="str">
        <f>'Q100a-geral'!U383</f>
        <v>x</v>
      </c>
      <c r="V838" s="8" t="str">
        <f>'Q100a-geral'!V383</f>
        <v>só para pesquisa</v>
      </c>
      <c r="W838" s="8" t="str">
        <f>'Q100a-geral'!W383</f>
        <v>x</v>
      </c>
      <c r="X838" s="8" t="str">
        <f>'Q100a-geral'!X383</f>
        <v>x</v>
      </c>
      <c r="Y838" s="8" t="str">
        <f>'Q100a-geral'!Y383</f>
        <v>x</v>
      </c>
      <c r="Z838" s="8" t="str">
        <f>'Q100a-geral'!Z383</f>
        <v>x</v>
      </c>
      <c r="AA838" s="8" t="str">
        <f>'Q100a-geral'!AA383</f>
        <v>x</v>
      </c>
      <c r="AB838" s="8" t="str">
        <f>'Q100a-geral'!AB383</f>
        <v>x</v>
      </c>
      <c r="AC838" s="8" t="str">
        <f>'Q100a-geral'!AC383</f>
        <v>x</v>
      </c>
      <c r="AD838" s="8" t="str">
        <f>'Q100a-geral'!AD383</f>
        <v>x</v>
      </c>
      <c r="AE838" s="8" t="str">
        <f>'Q100a-geral'!AE383</f>
        <v>x</v>
      </c>
      <c r="AF838" s="8" t="str">
        <f>'Q100a-geral'!AF383</f>
        <v>x</v>
      </c>
      <c r="AG838" s="8" t="str">
        <f>'Q100a-geral'!AG383</f>
        <v>x</v>
      </c>
      <c r="AH838" s="8" t="str">
        <f>'Q100a-geral'!AH383</f>
        <v>x</v>
      </c>
      <c r="AI838" s="8" t="str">
        <f>'Q100a-geral'!AI383</f>
        <v>x</v>
      </c>
      <c r="AJ838" s="8" t="str">
        <f>'Q100a-geral'!AJ383</f>
        <v>x</v>
      </c>
      <c r="AK838" s="1441">
        <f>'Q100a-geral'!AK383</f>
        <v>0.62</v>
      </c>
      <c r="AL838" s="8" t="str">
        <f>'Q100a-geral'!AL383</f>
        <v>x</v>
      </c>
      <c r="AM838" s="8" t="str">
        <f>'Q100a-geral'!AM383</f>
        <v>x</v>
      </c>
      <c r="AN838" s="8" t="str">
        <f>'Q100a-geral'!AN383</f>
        <v>x</v>
      </c>
      <c r="AO838" s="8" t="str">
        <f>'Q100a-geral'!AO383</f>
        <v>x</v>
      </c>
      <c r="AP838" s="8" t="str">
        <f>'Q100a-geral'!AP383</f>
        <v>x</v>
      </c>
      <c r="AQ838" s="8" t="str">
        <f>'Q100a-geral'!AQ383</f>
        <v>x</v>
      </c>
      <c r="AR838" s="8" t="str">
        <f>'Q100a-geral'!AR383</f>
        <v>x</v>
      </c>
      <c r="AS838" s="8" t="str">
        <f>'Q100a-geral'!AS383</f>
        <v>x</v>
      </c>
      <c r="AT838" s="8" t="str">
        <f>'Q100a-geral'!AT383</f>
        <v>x</v>
      </c>
      <c r="AU838" s="8" t="str">
        <f>'Q100a-geral'!AU383</f>
        <v>x</v>
      </c>
      <c r="AV838" s="8" t="str">
        <f>'Q100a-geral'!AV383</f>
        <v>x</v>
      </c>
      <c r="AW838" s="8" t="str">
        <f>'Q100a-geral'!AW383</f>
        <v>x</v>
      </c>
      <c r="AX838" s="8" t="str">
        <f>'Q100a-geral'!AX383</f>
        <v>x</v>
      </c>
      <c r="AY838" s="8" t="str">
        <f>'Q100a-geral'!AY383</f>
        <v>x</v>
      </c>
      <c r="AZ838" s="8" t="str">
        <f>'Q100a-geral'!AZ383</f>
        <v>x</v>
      </c>
      <c r="BA838" s="8" t="str">
        <f>'Q100a-geral'!BA383</f>
        <v>x</v>
      </c>
      <c r="BB838" s="8" t="str">
        <f>'Q100a-geral'!BB383</f>
        <v>BRTacessibilidade</v>
      </c>
      <c r="BC838" s="8" t="str">
        <f>'Q100a-geral'!BC383</f>
        <v>BRTacessibilidadex</v>
      </c>
      <c r="BD838" s="8" t="str">
        <f>'Q100a-geral'!BD383</f>
        <v>BRTx</v>
      </c>
    </row>
    <row r="839" spans="1:56" ht="63.75" x14ac:dyDescent="0.25">
      <c r="A839" s="406" t="str">
        <f>'Q100a-geral'!A391</f>
        <v>8.2</v>
      </c>
      <c r="B839" s="468" t="str">
        <f>'Q100a-geral'!B391</f>
        <v>BRT</v>
      </c>
      <c r="C839" s="13" t="str">
        <f>'Q100a-geral'!C391</f>
        <v>acessibilidade</v>
      </c>
      <c r="D839" s="362" t="s">
        <v>5647</v>
      </c>
      <c r="E839" s="481" t="str">
        <f>'Q100a-geral'!E391</f>
        <v>Belo Horizonte</v>
      </c>
      <c r="F839" s="619" t="str">
        <f>'Q100a-geral'!F391</f>
        <v>índice de conformidade com a acessibilidade do elemento "rampas das plataformas" do módulo de análise "elementos de acesso à plataforma" do sistema BRT de Belo Horizonte
obs.1: o sistema de BRT de Belo Horizonte é constituido, em 2016, por três corredores: Área Central, Antônio Carlos e Cristiano Machado
obs.2: calculado como a média dos BRT IC das estações inspecionadas</v>
      </c>
      <c r="G839" s="110" t="str">
        <f>'Q100a-geral'!G391</f>
        <v>registro na fonte</v>
      </c>
      <c r="H839" s="173" t="str">
        <f>'Q100a-geral'!H391</f>
        <v>x</v>
      </c>
      <c r="I839" s="57">
        <f>'Q100a-geral'!I391</f>
        <v>1</v>
      </c>
      <c r="J839" s="8" t="str">
        <f>'Q100a-geral'!J391</f>
        <v>x</v>
      </c>
      <c r="K839" s="8" t="str">
        <f>'Q100a-geral'!K391</f>
        <v>x</v>
      </c>
      <c r="L839" s="8" t="str">
        <f>'Q100a-geral'!L391</f>
        <v>x</v>
      </c>
      <c r="M839" s="8" t="str">
        <f>'Q100a-geral'!M391</f>
        <v>x</v>
      </c>
      <c r="N839" s="8" t="str">
        <f>'Q100a-geral'!N391</f>
        <v>x</v>
      </c>
      <c r="O839" s="8" t="str">
        <f>'Q100a-geral'!O391</f>
        <v>x</v>
      </c>
      <c r="P839" s="8" t="str">
        <f>'Q100a-geral'!P391</f>
        <v>x</v>
      </c>
      <c r="Q839" s="8" t="str">
        <f>'Q100a-geral'!Q391</f>
        <v>x</v>
      </c>
      <c r="R839" s="8" t="str">
        <f>'Q100a-geral'!R391</f>
        <v>x</v>
      </c>
      <c r="S839" s="8" t="str">
        <f>'Q100a-geral'!S391</f>
        <v>só para pesquisa</v>
      </c>
      <c r="T839" s="8" t="str">
        <f>'Q100a-geral'!T391</f>
        <v>x</v>
      </c>
      <c r="U839" s="8" t="str">
        <f>'Q100a-geral'!U391</f>
        <v>x</v>
      </c>
      <c r="V839" s="8" t="str">
        <f>'Q100a-geral'!V391</f>
        <v>só para pesquisa</v>
      </c>
      <c r="W839" s="8" t="str">
        <f>'Q100a-geral'!W391</f>
        <v>x</v>
      </c>
      <c r="X839" s="8" t="str">
        <f>'Q100a-geral'!X391</f>
        <v>x</v>
      </c>
      <c r="Y839" s="8" t="str">
        <f>'Q100a-geral'!Y391</f>
        <v>x</v>
      </c>
      <c r="Z839" s="8" t="str">
        <f>'Q100a-geral'!Z391</f>
        <v>x</v>
      </c>
      <c r="AA839" s="8" t="str">
        <f>'Q100a-geral'!AA391</f>
        <v>x</v>
      </c>
      <c r="AB839" s="8" t="str">
        <f>'Q100a-geral'!AB391</f>
        <v>x</v>
      </c>
      <c r="AC839" s="8" t="str">
        <f>'Q100a-geral'!AC391</f>
        <v>x</v>
      </c>
      <c r="AD839" s="8" t="str">
        <f>'Q100a-geral'!AD391</f>
        <v>x</v>
      </c>
      <c r="AE839" s="8" t="str">
        <f>'Q100a-geral'!AE391</f>
        <v>x</v>
      </c>
      <c r="AF839" s="8" t="str">
        <f>'Q100a-geral'!AF391</f>
        <v>x</v>
      </c>
      <c r="AG839" s="8" t="str">
        <f>'Q100a-geral'!AG391</f>
        <v>x</v>
      </c>
      <c r="AH839" s="8" t="str">
        <f>'Q100a-geral'!AH391</f>
        <v>x</v>
      </c>
      <c r="AI839" s="8" t="str">
        <f>'Q100a-geral'!AI391</f>
        <v>x</v>
      </c>
      <c r="AJ839" s="8" t="str">
        <f>'Q100a-geral'!AJ391</f>
        <v>x</v>
      </c>
      <c r="AK839" s="1441">
        <f>'Q100a-geral'!AK391</f>
        <v>0.84</v>
      </c>
      <c r="AL839" s="8" t="str">
        <f>'Q100a-geral'!AL391</f>
        <v>x</v>
      </c>
      <c r="AM839" s="8" t="str">
        <f>'Q100a-geral'!AM391</f>
        <v>x</v>
      </c>
      <c r="AN839" s="8" t="str">
        <f>'Q100a-geral'!AN391</f>
        <v>x</v>
      </c>
      <c r="AO839" s="8" t="str">
        <f>'Q100a-geral'!AO391</f>
        <v>x</v>
      </c>
      <c r="AP839" s="8" t="str">
        <f>'Q100a-geral'!AP391</f>
        <v>x</v>
      </c>
      <c r="AQ839" s="8" t="str">
        <f>'Q100a-geral'!AQ391</f>
        <v>x</v>
      </c>
      <c r="AR839" s="8" t="str">
        <f>'Q100a-geral'!AR391</f>
        <v>x</v>
      </c>
      <c r="AS839" s="8" t="str">
        <f>'Q100a-geral'!AS391</f>
        <v>x</v>
      </c>
      <c r="AT839" s="8" t="str">
        <f>'Q100a-geral'!AT391</f>
        <v>x</v>
      </c>
      <c r="AU839" s="8" t="str">
        <f>'Q100a-geral'!AU391</f>
        <v>x</v>
      </c>
      <c r="AV839" s="8" t="str">
        <f>'Q100a-geral'!AV391</f>
        <v>x</v>
      </c>
      <c r="AW839" s="8" t="str">
        <f>'Q100a-geral'!AW391</f>
        <v>x</v>
      </c>
      <c r="AX839" s="8" t="str">
        <f>'Q100a-geral'!AX391</f>
        <v>x</v>
      </c>
      <c r="AY839" s="8" t="str">
        <f>'Q100a-geral'!AY391</f>
        <v>x</v>
      </c>
      <c r="AZ839" s="8" t="str">
        <f>'Q100a-geral'!AZ391</f>
        <v>x</v>
      </c>
      <c r="BA839" s="8" t="str">
        <f>'Q100a-geral'!BA391</f>
        <v>x</v>
      </c>
      <c r="BB839" s="8" t="str">
        <f>'Q100a-geral'!BB391</f>
        <v>BRTacessibilidade</v>
      </c>
      <c r="BC839" s="8" t="str">
        <f>'Q100a-geral'!BC391</f>
        <v>BRTacessibilidadex</v>
      </c>
      <c r="BD839" s="8" t="str">
        <f>'Q100a-geral'!BD391</f>
        <v>BRTx</v>
      </c>
    </row>
    <row r="840" spans="1:56" ht="63.75" x14ac:dyDescent="0.25">
      <c r="A840" s="406" t="str">
        <f>'Q100a-geral'!A389</f>
        <v>8.2</v>
      </c>
      <c r="B840" s="468" t="str">
        <f>'Q100a-geral'!B389</f>
        <v>BRT</v>
      </c>
      <c r="C840" s="13" t="str">
        <f>'Q100a-geral'!C389</f>
        <v>acessibilidade</v>
      </c>
      <c r="D840" s="362" t="s">
        <v>5648</v>
      </c>
      <c r="E840" s="481" t="str">
        <f>'Q100a-geral'!E389</f>
        <v>Belo Horizonte</v>
      </c>
      <c r="F840" s="619" t="str">
        <f>'Q100a-geral'!F389</f>
        <v xml:space="preserve">índice de conformidade com a acessibilidade do elemento "escadarias das plataformas" do módulo de análise "elementos de acesso às plataformas" do sistema BRT de Belo Horizonte
obs.1: o sistema de BRT de Belo Horizonte é constituido, em 2016, por três corredores: Área Central, Antônio Carlos e Cristiano Machado
obs.2: calculado como a média dos BRT IC das estações inspecionadas </v>
      </c>
      <c r="G840" s="110" t="str">
        <f>'Q100a-geral'!G389</f>
        <v>registro na fonte</v>
      </c>
      <c r="H840" s="173" t="str">
        <f>'Q100a-geral'!H389</f>
        <v>x</v>
      </c>
      <c r="I840" s="57">
        <f>'Q100a-geral'!I389</f>
        <v>1</v>
      </c>
      <c r="J840" s="8" t="str">
        <f>'Q100a-geral'!J389</f>
        <v>x</v>
      </c>
      <c r="K840" s="8" t="str">
        <f>'Q100a-geral'!K389</f>
        <v>x</v>
      </c>
      <c r="L840" s="8" t="str">
        <f>'Q100a-geral'!L389</f>
        <v>x</v>
      </c>
      <c r="M840" s="8" t="str">
        <f>'Q100a-geral'!M389</f>
        <v>x</v>
      </c>
      <c r="N840" s="8" t="str">
        <f>'Q100a-geral'!N389</f>
        <v>x</v>
      </c>
      <c r="O840" s="8" t="str">
        <f>'Q100a-geral'!O389</f>
        <v>x</v>
      </c>
      <c r="P840" s="8" t="str">
        <f>'Q100a-geral'!P389</f>
        <v>x</v>
      </c>
      <c r="Q840" s="8" t="str">
        <f>'Q100a-geral'!Q389</f>
        <v>x</v>
      </c>
      <c r="R840" s="8" t="str">
        <f>'Q100a-geral'!R389</f>
        <v>x</v>
      </c>
      <c r="S840" s="8" t="str">
        <f>'Q100a-geral'!S389</f>
        <v>só para pesquisa</v>
      </c>
      <c r="T840" s="8" t="str">
        <f>'Q100a-geral'!T389</f>
        <v>x</v>
      </c>
      <c r="U840" s="8" t="str">
        <f>'Q100a-geral'!U389</f>
        <v>x</v>
      </c>
      <c r="V840" s="8" t="str">
        <f>'Q100a-geral'!V389</f>
        <v>só para pesquisa</v>
      </c>
      <c r="W840" s="8" t="str">
        <f>'Q100a-geral'!W389</f>
        <v>x</v>
      </c>
      <c r="X840" s="8" t="str">
        <f>'Q100a-geral'!X389</f>
        <v>x</v>
      </c>
      <c r="Y840" s="8" t="str">
        <f>'Q100a-geral'!Y389</f>
        <v>x</v>
      </c>
      <c r="Z840" s="8" t="str">
        <f>'Q100a-geral'!Z389</f>
        <v>x</v>
      </c>
      <c r="AA840" s="8" t="str">
        <f>'Q100a-geral'!AA389</f>
        <v>x</v>
      </c>
      <c r="AB840" s="8" t="str">
        <f>'Q100a-geral'!AB389</f>
        <v>x</v>
      </c>
      <c r="AC840" s="8" t="str">
        <f>'Q100a-geral'!AC389</f>
        <v>x</v>
      </c>
      <c r="AD840" s="8" t="str">
        <f>'Q100a-geral'!AD389</f>
        <v>x</v>
      </c>
      <c r="AE840" s="8" t="str">
        <f>'Q100a-geral'!AE389</f>
        <v>x</v>
      </c>
      <c r="AF840" s="8" t="str">
        <f>'Q100a-geral'!AF389</f>
        <v>x</v>
      </c>
      <c r="AG840" s="8" t="str">
        <f>'Q100a-geral'!AG389</f>
        <v>x</v>
      </c>
      <c r="AH840" s="8" t="str">
        <f>'Q100a-geral'!AH389</f>
        <v>x</v>
      </c>
      <c r="AI840" s="8" t="str">
        <f>'Q100a-geral'!AI389</f>
        <v>x</v>
      </c>
      <c r="AJ840" s="8" t="str">
        <f>'Q100a-geral'!AJ389</f>
        <v>x</v>
      </c>
      <c r="AK840" s="1441">
        <f>'Q100a-geral'!AK389</f>
        <v>0.53</v>
      </c>
      <c r="AL840" s="8" t="str">
        <f>'Q100a-geral'!AL389</f>
        <v>x</v>
      </c>
      <c r="AM840" s="8" t="str">
        <f>'Q100a-geral'!AM389</f>
        <v>x</v>
      </c>
      <c r="AN840" s="8" t="str">
        <f>'Q100a-geral'!AN389</f>
        <v>x</v>
      </c>
      <c r="AO840" s="8" t="str">
        <f>'Q100a-geral'!AO389</f>
        <v>x</v>
      </c>
      <c r="AP840" s="8" t="str">
        <f>'Q100a-geral'!AP389</f>
        <v>x</v>
      </c>
      <c r="AQ840" s="8" t="str">
        <f>'Q100a-geral'!AQ389</f>
        <v>x</v>
      </c>
      <c r="AR840" s="8" t="str">
        <f>'Q100a-geral'!AR389</f>
        <v>x</v>
      </c>
      <c r="AS840" s="8" t="str">
        <f>'Q100a-geral'!AS389</f>
        <v>x</v>
      </c>
      <c r="AT840" s="8" t="str">
        <f>'Q100a-geral'!AT389</f>
        <v>x</v>
      </c>
      <c r="AU840" s="8" t="str">
        <f>'Q100a-geral'!AU389</f>
        <v>x</v>
      </c>
      <c r="AV840" s="8" t="str">
        <f>'Q100a-geral'!AV389</f>
        <v>x</v>
      </c>
      <c r="AW840" s="8" t="str">
        <f>'Q100a-geral'!AW389</f>
        <v>x</v>
      </c>
      <c r="AX840" s="8" t="str">
        <f>'Q100a-geral'!AX389</f>
        <v>x</v>
      </c>
      <c r="AY840" s="8" t="str">
        <f>'Q100a-geral'!AY389</f>
        <v>x</v>
      </c>
      <c r="AZ840" s="8" t="str">
        <f>'Q100a-geral'!AZ389</f>
        <v>x</v>
      </c>
      <c r="BA840" s="8" t="str">
        <f>'Q100a-geral'!BA389</f>
        <v>x</v>
      </c>
      <c r="BB840" s="8" t="str">
        <f>'Q100a-geral'!BB389</f>
        <v>BRTacessibilidade</v>
      </c>
      <c r="BC840" s="8" t="str">
        <f>'Q100a-geral'!BC389</f>
        <v>BRTacessibilidadex</v>
      </c>
      <c r="BD840" s="8" t="str">
        <f>'Q100a-geral'!BD389</f>
        <v>BRTx</v>
      </c>
    </row>
    <row r="841" spans="1:56" ht="63.75" x14ac:dyDescent="0.25">
      <c r="A841" s="406" t="str">
        <f>'Q100a-geral'!A388</f>
        <v>8.2</v>
      </c>
      <c r="B841" s="468" t="str">
        <f>'Q100a-geral'!B388</f>
        <v>BRT</v>
      </c>
      <c r="C841" s="13" t="str">
        <f>'Q100a-geral'!C388</f>
        <v>acessibilidade</v>
      </c>
      <c r="D841" s="362" t="s">
        <v>5649</v>
      </c>
      <c r="E841" s="481" t="str">
        <f>'Q100a-geral'!E388</f>
        <v>Belo Horizonte</v>
      </c>
      <c r="F841" s="619" t="str">
        <f>'Q100a-geral'!F388</f>
        <v xml:space="preserve">índice de conformidade com a acessibilidade do elemento "corrimãos das plataformas" do módulo de análise "elementos de acesso às plataformas" do sistema BRT de Belo Horizonte
obs.1: o sistema de BRT de Belo Horizonte é constituido, em 2016, por três corredores: Área Central, Antônio Carlos e Cristiano Machado
obs.2: calculado como a média dos BRT IC das estações inspecionadas </v>
      </c>
      <c r="G841" s="110" t="str">
        <f>'Q100a-geral'!G388</f>
        <v>registro na fonte</v>
      </c>
      <c r="H841" s="173" t="str">
        <f>'Q100a-geral'!H388</f>
        <v>x</v>
      </c>
      <c r="I841" s="57">
        <f>'Q100a-geral'!I388</f>
        <v>1</v>
      </c>
      <c r="J841" s="8" t="str">
        <f>'Q100a-geral'!J388</f>
        <v>x</v>
      </c>
      <c r="K841" s="8" t="str">
        <f>'Q100a-geral'!K388</f>
        <v>x</v>
      </c>
      <c r="L841" s="8" t="str">
        <f>'Q100a-geral'!L388</f>
        <v>x</v>
      </c>
      <c r="M841" s="8" t="str">
        <f>'Q100a-geral'!M388</f>
        <v>x</v>
      </c>
      <c r="N841" s="8" t="str">
        <f>'Q100a-geral'!N388</f>
        <v>x</v>
      </c>
      <c r="O841" s="8" t="str">
        <f>'Q100a-geral'!O388</f>
        <v>x</v>
      </c>
      <c r="P841" s="8" t="str">
        <f>'Q100a-geral'!P388</f>
        <v>x</v>
      </c>
      <c r="Q841" s="8" t="str">
        <f>'Q100a-geral'!Q388</f>
        <v>x</v>
      </c>
      <c r="R841" s="8" t="str">
        <f>'Q100a-geral'!R388</f>
        <v>x</v>
      </c>
      <c r="S841" s="8" t="str">
        <f>'Q100a-geral'!S388</f>
        <v>só para pesquisa</v>
      </c>
      <c r="T841" s="8" t="str">
        <f>'Q100a-geral'!T388</f>
        <v>x</v>
      </c>
      <c r="U841" s="8" t="str">
        <f>'Q100a-geral'!U388</f>
        <v>x</v>
      </c>
      <c r="V841" s="8" t="str">
        <f>'Q100a-geral'!V388</f>
        <v>só para pesquisa</v>
      </c>
      <c r="W841" s="8" t="str">
        <f>'Q100a-geral'!W388</f>
        <v>x</v>
      </c>
      <c r="X841" s="8" t="str">
        <f>'Q100a-geral'!X388</f>
        <v>x</v>
      </c>
      <c r="Y841" s="8" t="str">
        <f>'Q100a-geral'!Y388</f>
        <v>x</v>
      </c>
      <c r="Z841" s="8" t="str">
        <f>'Q100a-geral'!Z388</f>
        <v>x</v>
      </c>
      <c r="AA841" s="8" t="str">
        <f>'Q100a-geral'!AA388</f>
        <v>x</v>
      </c>
      <c r="AB841" s="8" t="str">
        <f>'Q100a-geral'!AB388</f>
        <v>x</v>
      </c>
      <c r="AC841" s="8" t="str">
        <f>'Q100a-geral'!AC388</f>
        <v>x</v>
      </c>
      <c r="AD841" s="8" t="str">
        <f>'Q100a-geral'!AD388</f>
        <v>x</v>
      </c>
      <c r="AE841" s="8" t="str">
        <f>'Q100a-geral'!AE388</f>
        <v>x</v>
      </c>
      <c r="AF841" s="8" t="str">
        <f>'Q100a-geral'!AF388</f>
        <v>x</v>
      </c>
      <c r="AG841" s="8" t="str">
        <f>'Q100a-geral'!AG388</f>
        <v>x</v>
      </c>
      <c r="AH841" s="8" t="str">
        <f>'Q100a-geral'!AH388</f>
        <v>x</v>
      </c>
      <c r="AI841" s="8" t="str">
        <f>'Q100a-geral'!AI388</f>
        <v>x</v>
      </c>
      <c r="AJ841" s="8" t="str">
        <f>'Q100a-geral'!AJ388</f>
        <v>x</v>
      </c>
      <c r="AK841" s="1441">
        <f>'Q100a-geral'!AK388</f>
        <v>0.71</v>
      </c>
      <c r="AL841" s="8" t="str">
        <f>'Q100a-geral'!AL388</f>
        <v>x</v>
      </c>
      <c r="AM841" s="8" t="str">
        <f>'Q100a-geral'!AM388</f>
        <v>x</v>
      </c>
      <c r="AN841" s="8" t="str">
        <f>'Q100a-geral'!AN388</f>
        <v>x</v>
      </c>
      <c r="AO841" s="8" t="str">
        <f>'Q100a-geral'!AO388</f>
        <v>x</v>
      </c>
      <c r="AP841" s="8" t="str">
        <f>'Q100a-geral'!AP388</f>
        <v>x</v>
      </c>
      <c r="AQ841" s="8" t="str">
        <f>'Q100a-geral'!AQ388</f>
        <v>x</v>
      </c>
      <c r="AR841" s="8" t="str">
        <f>'Q100a-geral'!AR388</f>
        <v>x</v>
      </c>
      <c r="AS841" s="8" t="str">
        <f>'Q100a-geral'!AS388</f>
        <v>x</v>
      </c>
      <c r="AT841" s="8" t="str">
        <f>'Q100a-geral'!AT388</f>
        <v>x</v>
      </c>
      <c r="AU841" s="8" t="str">
        <f>'Q100a-geral'!AU388</f>
        <v>x</v>
      </c>
      <c r="AV841" s="8" t="str">
        <f>'Q100a-geral'!AV388</f>
        <v>x</v>
      </c>
      <c r="AW841" s="8" t="str">
        <f>'Q100a-geral'!AW388</f>
        <v>x</v>
      </c>
      <c r="AX841" s="8" t="str">
        <f>'Q100a-geral'!AX388</f>
        <v>x</v>
      </c>
      <c r="AY841" s="8" t="str">
        <f>'Q100a-geral'!AY388</f>
        <v>x</v>
      </c>
      <c r="AZ841" s="8" t="str">
        <f>'Q100a-geral'!AZ388</f>
        <v>x</v>
      </c>
      <c r="BA841" s="8" t="str">
        <f>'Q100a-geral'!BA388</f>
        <v>x</v>
      </c>
      <c r="BB841" s="8" t="str">
        <f>'Q100a-geral'!BB388</f>
        <v>BRTacessibilidade</v>
      </c>
      <c r="BC841" s="8" t="str">
        <f>'Q100a-geral'!BC388</f>
        <v>BRTacessibilidadex</v>
      </c>
      <c r="BD841" s="8" t="str">
        <f>'Q100a-geral'!BD388</f>
        <v>BRTx</v>
      </c>
    </row>
    <row r="842" spans="1:56" ht="153" x14ac:dyDescent="0.25">
      <c r="A842" s="406" t="str">
        <f>'Q100a-geral'!A368</f>
        <v>8.2</v>
      </c>
      <c r="B842" s="468" t="str">
        <f>'Q100a-geral'!B368</f>
        <v>BRT</v>
      </c>
      <c r="C842" s="13" t="str">
        <f>'Q100a-geral'!C368</f>
        <v>acessibilidade</v>
      </c>
      <c r="D842" s="362" t="s">
        <v>5650</v>
      </c>
      <c r="E842" s="481" t="str">
        <f>'Q100a-geral'!E368</f>
        <v>Belo Horizonte</v>
      </c>
      <c r="F842" s="619" t="str">
        <f>'Q100a-geral'!F368</f>
        <v>índice de conformidade com a acessibilidade do elemento "bilheterias das plataformas" do módulo de análise "elementos das plataformas" do sistema BRT de Belo Horizonte
obs.1: o sistema de BRT de Belo Horizonte é constituido, em 2016, por três corredores: Área Central, Antônio Carlos e Cristiano Machado
obs.2: calculado como a média dos BRT IC das estações inspecionadas com base em quatro diretrizes estabelecidas em WRI(2016j6,p.23): "LOCALIZAÇÃO: "Deve estar localizada em rotas acessíveis, garantindo área livre de 80cm x 1,20m no piso em frente à bilheteria para a aproximação lateral e área de manobra com rotação de 180° (1,90m x 1,50m)."; DIMENSÕES DO BALCÃO: Extensão mínima: 90cm; Altura: entre 90 cm e 105 cm; Deve ser assegurada altura livre sob a superfície de no mínimo 73cm, com profundidade livre mínima de 30cm para permitir a aproximação frontal ou lateral."
obs.3: "O modelo de bilheteria adotado nas estações do Move não possui desenho universal e não atende ao recomendado em norma." conforme WRI(2016j6,p.65)</v>
      </c>
      <c r="G842" s="110" t="str">
        <f>'Q100a-geral'!G368</f>
        <v>registro na fonte</v>
      </c>
      <c r="H842" s="173" t="str">
        <f>'Q100a-geral'!H368</f>
        <v>x</v>
      </c>
      <c r="I842" s="57">
        <f>'Q100a-geral'!I368</f>
        <v>1</v>
      </c>
      <c r="J842" s="8" t="str">
        <f>'Q100a-geral'!J368</f>
        <v>x</v>
      </c>
      <c r="K842" s="8" t="str">
        <f>'Q100a-geral'!K368</f>
        <v>x</v>
      </c>
      <c r="L842" s="8" t="str">
        <f>'Q100a-geral'!L368</f>
        <v>x</v>
      </c>
      <c r="M842" s="8" t="str">
        <f>'Q100a-geral'!M368</f>
        <v>x</v>
      </c>
      <c r="N842" s="8" t="str">
        <f>'Q100a-geral'!N368</f>
        <v>x</v>
      </c>
      <c r="O842" s="8" t="str">
        <f>'Q100a-geral'!O368</f>
        <v>x</v>
      </c>
      <c r="P842" s="8" t="str">
        <f>'Q100a-geral'!P368</f>
        <v>x</v>
      </c>
      <c r="Q842" s="8" t="str">
        <f>'Q100a-geral'!Q368</f>
        <v>x</v>
      </c>
      <c r="R842" s="8" t="str">
        <f>'Q100a-geral'!R368</f>
        <v>x</v>
      </c>
      <c r="S842" s="8" t="str">
        <f>'Q100a-geral'!S368</f>
        <v>só para pesquisa</v>
      </c>
      <c r="T842" s="8" t="str">
        <f>'Q100a-geral'!T368</f>
        <v>x</v>
      </c>
      <c r="U842" s="8" t="str">
        <f>'Q100a-geral'!U368</f>
        <v>x</v>
      </c>
      <c r="V842" s="8" t="str">
        <f>'Q100a-geral'!V368</f>
        <v>só para pesquisa</v>
      </c>
      <c r="W842" s="8" t="str">
        <f>'Q100a-geral'!W368</f>
        <v>x</v>
      </c>
      <c r="X842" s="8" t="str">
        <f>'Q100a-geral'!X368</f>
        <v>x</v>
      </c>
      <c r="Y842" s="8" t="str">
        <f>'Q100a-geral'!Y368</f>
        <v>x</v>
      </c>
      <c r="Z842" s="8" t="str">
        <f>'Q100a-geral'!Z368</f>
        <v>x</v>
      </c>
      <c r="AA842" s="8" t="str">
        <f>'Q100a-geral'!AA368</f>
        <v>x</v>
      </c>
      <c r="AB842" s="8" t="str">
        <f>'Q100a-geral'!AB368</f>
        <v>x</v>
      </c>
      <c r="AC842" s="8" t="str">
        <f>'Q100a-geral'!AC368</f>
        <v>x</v>
      </c>
      <c r="AD842" s="8" t="str">
        <f>'Q100a-geral'!AD368</f>
        <v>x</v>
      </c>
      <c r="AE842" s="8" t="str">
        <f>'Q100a-geral'!AE368</f>
        <v>x</v>
      </c>
      <c r="AF842" s="8" t="str">
        <f>'Q100a-geral'!AF368</f>
        <v>x</v>
      </c>
      <c r="AG842" s="8" t="str">
        <f>'Q100a-geral'!AG368</f>
        <v>x</v>
      </c>
      <c r="AH842" s="8" t="str">
        <f>'Q100a-geral'!AH368</f>
        <v>x</v>
      </c>
      <c r="AI842" s="8" t="str">
        <f>'Q100a-geral'!AI368</f>
        <v>x</v>
      </c>
      <c r="AJ842" s="8" t="str">
        <f>'Q100a-geral'!AJ368</f>
        <v>x</v>
      </c>
      <c r="AK842" s="1441">
        <f>'Q100a-geral'!AK368</f>
        <v>0.4</v>
      </c>
      <c r="AL842" s="8" t="str">
        <f>'Q100a-geral'!AL368</f>
        <v>x</v>
      </c>
      <c r="AM842" s="8" t="str">
        <f>'Q100a-geral'!AM368</f>
        <v>x</v>
      </c>
      <c r="AN842" s="8" t="str">
        <f>'Q100a-geral'!AN368</f>
        <v>x</v>
      </c>
      <c r="AO842" s="8" t="str">
        <f>'Q100a-geral'!AO368</f>
        <v>x</v>
      </c>
      <c r="AP842" s="8" t="str">
        <f>'Q100a-geral'!AP368</f>
        <v>x</v>
      </c>
      <c r="AQ842" s="8" t="str">
        <f>'Q100a-geral'!AQ368</f>
        <v>x</v>
      </c>
      <c r="AR842" s="8" t="str">
        <f>'Q100a-geral'!AR368</f>
        <v>x</v>
      </c>
      <c r="AS842" s="8" t="str">
        <f>'Q100a-geral'!AS368</f>
        <v>x</v>
      </c>
      <c r="AT842" s="8" t="str">
        <f>'Q100a-geral'!AT368</f>
        <v>x</v>
      </c>
      <c r="AU842" s="8" t="str">
        <f>'Q100a-geral'!AU368</f>
        <v>x</v>
      </c>
      <c r="AV842" s="8" t="str">
        <f>'Q100a-geral'!AV368</f>
        <v>x</v>
      </c>
      <c r="AW842" s="8" t="str">
        <f>'Q100a-geral'!AW368</f>
        <v>x</v>
      </c>
      <c r="AX842" s="8" t="str">
        <f>'Q100a-geral'!AX368</f>
        <v>x</v>
      </c>
      <c r="AY842" s="8" t="str">
        <f>'Q100a-geral'!AY368</f>
        <v>x</v>
      </c>
      <c r="AZ842" s="8" t="str">
        <f>'Q100a-geral'!AZ368</f>
        <v>x</v>
      </c>
      <c r="BA842" s="8" t="str">
        <f>'Q100a-geral'!BA368</f>
        <v>x</v>
      </c>
      <c r="BB842" s="8" t="str">
        <f>'Q100a-geral'!BB368</f>
        <v>BRTacessibilidade</v>
      </c>
      <c r="BC842" s="8" t="str">
        <f>'Q100a-geral'!BC368</f>
        <v>BRTacessibilidadex</v>
      </c>
      <c r="BD842" s="8" t="str">
        <f>'Q100a-geral'!BD368</f>
        <v>BRTx</v>
      </c>
    </row>
    <row r="843" spans="1:56" ht="280.5" x14ac:dyDescent="0.25">
      <c r="A843" s="406" t="str">
        <f>'Q100a-geral'!A377</f>
        <v>8.2</v>
      </c>
      <c r="B843" s="468" t="str">
        <f>'Q100a-geral'!B377</f>
        <v>BRT</v>
      </c>
      <c r="C843" s="13" t="str">
        <f>'Q100a-geral'!C377</f>
        <v>acessibilidade</v>
      </c>
      <c r="D843" s="362" t="s">
        <v>5651</v>
      </c>
      <c r="E843" s="481" t="str">
        <f>'Q100a-geral'!E377</f>
        <v>Belo Horizonte</v>
      </c>
      <c r="F843" s="619" t="str">
        <f>'Q100a-geral'!F377</f>
        <v>índice de conformidade com a acessibilidade do elemento "máquinas de venda automática" do módulo de análise "elementos das plataformas" do sistema BRT de Belo Horizonte
obs.1: o sistema de BRT de Belo Horizonte é constituido, em 2016, por três corredores: Área Central, Antônio Carlos e Cristiano Machado
obs.2: calculado como a média dos BRT IC das estações inspecionadas com base em cinco diretrizes estabelecidas em WRI(2016j6,p.23): "PROPORÇÃO DE EQUIPAMENTOS ACESSÍVEIS: Nos locais em que forem previstas máquinas de autoatendimento, pelo menos uma para cada tipo de serviço deve ser acessível e estar localizada junto a rotas
acessíveis.; ESPAÇO DE APROXIMAÇÃO: Nos equipamentos acessíveis deve ser garantido um espaço de 1,20 m x 80 cm no piso posicionado para a aproximação frontal e alcance visual frontal ou lateral. Em caso de aproximação frontal, como descrito no item anterior, o equipamento deve ter espaço para posicionamento das pernas com altura mínima de 73 cm e profundidade mínima de 30 cm; CONTROLES: Os controles devem estar localizados à altura entre 0,80 m e 1,20 m do piso,
com profundidade de no máximo 30 cm em relação à face frontal externa do equipamento. Devem seguir o mesmo arranjo do teclado de telefone e a tecla do número cinco deve possuir um ponto relevo no centro.; DISPOSITIVOS PARA INSERÇÃO E RETIRADA DE PRODUTOS: Os dispositivos para inserção de dinheiro e retirada de produtos devem estar localizados à altura entre 40 cm e 1,20 m do piso, com profundidade de no máximo 30 cm em relação à face frontal externa do equipamento, e devem apresentar cor contrastante com a superfície de fundo, para serem facilmente identificados.; INSTRUÇÕES DE USO: Pelo menos um dos equipamentos acessíveis por tipo de serviço deve proporcionar instruções e informações visuais e auditivas ou táteis e conter as mesmas informações escritas em Braille."</v>
      </c>
      <c r="G843" s="110" t="str">
        <f>'Q100a-geral'!G377</f>
        <v>registro na fonte</v>
      </c>
      <c r="H843" s="173" t="str">
        <f>'Q100a-geral'!H377</f>
        <v>x</v>
      </c>
      <c r="I843" s="57">
        <f>'Q100a-geral'!I377</f>
        <v>1</v>
      </c>
      <c r="J843" s="8" t="str">
        <f>'Q100a-geral'!J377</f>
        <v>x</v>
      </c>
      <c r="K843" s="8" t="str">
        <f>'Q100a-geral'!K377</f>
        <v>x</v>
      </c>
      <c r="L843" s="8" t="str">
        <f>'Q100a-geral'!L377</f>
        <v>x</v>
      </c>
      <c r="M843" s="8" t="str">
        <f>'Q100a-geral'!M377</f>
        <v>x</v>
      </c>
      <c r="N843" s="8" t="str">
        <f>'Q100a-geral'!N377</f>
        <v>x</v>
      </c>
      <c r="O843" s="8" t="str">
        <f>'Q100a-geral'!O377</f>
        <v>x</v>
      </c>
      <c r="P843" s="8" t="str">
        <f>'Q100a-geral'!P377</f>
        <v>x</v>
      </c>
      <c r="Q843" s="8" t="str">
        <f>'Q100a-geral'!Q377</f>
        <v>x</v>
      </c>
      <c r="R843" s="8" t="str">
        <f>'Q100a-geral'!R377</f>
        <v>x</v>
      </c>
      <c r="S843" s="8" t="str">
        <f>'Q100a-geral'!S377</f>
        <v>só para pesquisa</v>
      </c>
      <c r="T843" s="8" t="str">
        <f>'Q100a-geral'!T377</f>
        <v>x</v>
      </c>
      <c r="U843" s="8" t="str">
        <f>'Q100a-geral'!U377</f>
        <v>x</v>
      </c>
      <c r="V843" s="8" t="str">
        <f>'Q100a-geral'!V377</f>
        <v>só para pesquisa</v>
      </c>
      <c r="W843" s="8" t="str">
        <f>'Q100a-geral'!W377</f>
        <v>x</v>
      </c>
      <c r="X843" s="8" t="str">
        <f>'Q100a-geral'!X377</f>
        <v>x</v>
      </c>
      <c r="Y843" s="8" t="str">
        <f>'Q100a-geral'!Y377</f>
        <v>x</v>
      </c>
      <c r="Z843" s="8" t="str">
        <f>'Q100a-geral'!Z377</f>
        <v>x</v>
      </c>
      <c r="AA843" s="8" t="str">
        <f>'Q100a-geral'!AA377</f>
        <v>x</v>
      </c>
      <c r="AB843" s="8" t="str">
        <f>'Q100a-geral'!AB377</f>
        <v>x</v>
      </c>
      <c r="AC843" s="8" t="str">
        <f>'Q100a-geral'!AC377</f>
        <v>x</v>
      </c>
      <c r="AD843" s="8" t="str">
        <f>'Q100a-geral'!AD377</f>
        <v>x</v>
      </c>
      <c r="AE843" s="8" t="str">
        <f>'Q100a-geral'!AE377</f>
        <v>x</v>
      </c>
      <c r="AF843" s="8" t="str">
        <f>'Q100a-geral'!AF377</f>
        <v>x</v>
      </c>
      <c r="AG843" s="8" t="str">
        <f>'Q100a-geral'!AG377</f>
        <v>x</v>
      </c>
      <c r="AH843" s="8" t="str">
        <f>'Q100a-geral'!AH377</f>
        <v>x</v>
      </c>
      <c r="AI843" s="8" t="str">
        <f>'Q100a-geral'!AI377</f>
        <v>x</v>
      </c>
      <c r="AJ843" s="8" t="str">
        <f>'Q100a-geral'!AJ377</f>
        <v>x</v>
      </c>
      <c r="AK843" s="1441">
        <f>'Q100a-geral'!AK377</f>
        <v>0.25</v>
      </c>
      <c r="AL843" s="8" t="str">
        <f>'Q100a-geral'!AL377</f>
        <v>x</v>
      </c>
      <c r="AM843" s="8" t="str">
        <f>'Q100a-geral'!AM377</f>
        <v>x</v>
      </c>
      <c r="AN843" s="8" t="str">
        <f>'Q100a-geral'!AN377</f>
        <v>x</v>
      </c>
      <c r="AO843" s="8" t="str">
        <f>'Q100a-geral'!AO377</f>
        <v>x</v>
      </c>
      <c r="AP843" s="8" t="str">
        <f>'Q100a-geral'!AP377</f>
        <v>x</v>
      </c>
      <c r="AQ843" s="8" t="str">
        <f>'Q100a-geral'!AQ377</f>
        <v>x</v>
      </c>
      <c r="AR843" s="8" t="str">
        <f>'Q100a-geral'!AR377</f>
        <v>x</v>
      </c>
      <c r="AS843" s="8" t="str">
        <f>'Q100a-geral'!AS377</f>
        <v>x</v>
      </c>
      <c r="AT843" s="8" t="str">
        <f>'Q100a-geral'!AT377</f>
        <v>x</v>
      </c>
      <c r="AU843" s="8" t="str">
        <f>'Q100a-geral'!AU377</f>
        <v>x</v>
      </c>
      <c r="AV843" s="8" t="str">
        <f>'Q100a-geral'!AV377</f>
        <v>x</v>
      </c>
      <c r="AW843" s="8" t="str">
        <f>'Q100a-geral'!AW377</f>
        <v>x</v>
      </c>
      <c r="AX843" s="8" t="str">
        <f>'Q100a-geral'!AX377</f>
        <v>x</v>
      </c>
      <c r="AY843" s="8" t="str">
        <f>'Q100a-geral'!AY377</f>
        <v>x</v>
      </c>
      <c r="AZ843" s="8" t="str">
        <f>'Q100a-geral'!AZ377</f>
        <v>x</v>
      </c>
      <c r="BA843" s="8" t="str">
        <f>'Q100a-geral'!BA377</f>
        <v>x</v>
      </c>
      <c r="BB843" s="8" t="str">
        <f>'Q100a-geral'!BB377</f>
        <v>BRTacessibilidade</v>
      </c>
      <c r="BC843" s="8" t="str">
        <f>'Q100a-geral'!BC377</f>
        <v>BRTacessibilidadex</v>
      </c>
      <c r="BD843" s="8" t="str">
        <f>'Q100a-geral'!BD377</f>
        <v>BRTx</v>
      </c>
    </row>
    <row r="844" spans="1:56" ht="63.75" x14ac:dyDescent="0.25">
      <c r="A844" s="406" t="str">
        <f>'Q100a-geral'!A370</f>
        <v>8.2</v>
      </c>
      <c r="B844" s="468" t="str">
        <f>'Q100a-geral'!B370</f>
        <v>BRT</v>
      </c>
      <c r="C844" s="13" t="str">
        <f>'Q100a-geral'!C370</f>
        <v>acessibilidade</v>
      </c>
      <c r="D844" s="362" t="s">
        <v>5652</v>
      </c>
      <c r="E844" s="481" t="str">
        <f>'Q100a-geral'!E370</f>
        <v>Belo Horizonte</v>
      </c>
      <c r="F844" s="619" t="str">
        <f>'Q100a-geral'!F370</f>
        <v>índice de conformidade com a acessibilidade do elemento "catracas" do módulo de análise "elementos das plataformas" do sistema BRT de Belo Horizonte
obs.1: o sistema de BRT de Belo Horizonte é constituido, em 2016, por três corredores: Área Central, Antônio Carlos e Cristiano Machado
obs.2: calculado como a média dos BRT IC das estações inspecionadas</v>
      </c>
      <c r="G844" s="110" t="str">
        <f>'Q100a-geral'!G370</f>
        <v>registro na fonte</v>
      </c>
      <c r="H844" s="173" t="str">
        <f>'Q100a-geral'!H370</f>
        <v>x</v>
      </c>
      <c r="I844" s="57">
        <f>'Q100a-geral'!I370</f>
        <v>1</v>
      </c>
      <c r="J844" s="8" t="str">
        <f>'Q100a-geral'!J370</f>
        <v>x</v>
      </c>
      <c r="K844" s="8" t="str">
        <f>'Q100a-geral'!K370</f>
        <v>x</v>
      </c>
      <c r="L844" s="8" t="str">
        <f>'Q100a-geral'!L370</f>
        <v>x</v>
      </c>
      <c r="M844" s="8" t="str">
        <f>'Q100a-geral'!M370</f>
        <v>x</v>
      </c>
      <c r="N844" s="8" t="str">
        <f>'Q100a-geral'!N370</f>
        <v>x</v>
      </c>
      <c r="O844" s="8" t="str">
        <f>'Q100a-geral'!O370</f>
        <v>x</v>
      </c>
      <c r="P844" s="8" t="str">
        <f>'Q100a-geral'!P370</f>
        <v>x</v>
      </c>
      <c r="Q844" s="8" t="str">
        <f>'Q100a-geral'!Q370</f>
        <v>x</v>
      </c>
      <c r="R844" s="8" t="str">
        <f>'Q100a-geral'!R370</f>
        <v>x</v>
      </c>
      <c r="S844" s="8" t="str">
        <f>'Q100a-geral'!S370</f>
        <v>só para pesquisa</v>
      </c>
      <c r="T844" s="8" t="str">
        <f>'Q100a-geral'!T370</f>
        <v>x</v>
      </c>
      <c r="U844" s="8" t="str">
        <f>'Q100a-geral'!U370</f>
        <v>x</v>
      </c>
      <c r="V844" s="8" t="str">
        <f>'Q100a-geral'!V370</f>
        <v>só para pesquisa</v>
      </c>
      <c r="W844" s="8" t="str">
        <f>'Q100a-geral'!W370</f>
        <v>x</v>
      </c>
      <c r="X844" s="8" t="str">
        <f>'Q100a-geral'!X370</f>
        <v>x</v>
      </c>
      <c r="Y844" s="8" t="str">
        <f>'Q100a-geral'!Y370</f>
        <v>x</v>
      </c>
      <c r="Z844" s="8" t="str">
        <f>'Q100a-geral'!Z370</f>
        <v>x</v>
      </c>
      <c r="AA844" s="8" t="str">
        <f>'Q100a-geral'!AA370</f>
        <v>x</v>
      </c>
      <c r="AB844" s="8" t="str">
        <f>'Q100a-geral'!AB370</f>
        <v>x</v>
      </c>
      <c r="AC844" s="8" t="str">
        <f>'Q100a-geral'!AC370</f>
        <v>x</v>
      </c>
      <c r="AD844" s="8" t="str">
        <f>'Q100a-geral'!AD370</f>
        <v>x</v>
      </c>
      <c r="AE844" s="8" t="str">
        <f>'Q100a-geral'!AE370</f>
        <v>x</v>
      </c>
      <c r="AF844" s="8" t="str">
        <f>'Q100a-geral'!AF370</f>
        <v>x</v>
      </c>
      <c r="AG844" s="8" t="str">
        <f>'Q100a-geral'!AG370</f>
        <v>x</v>
      </c>
      <c r="AH844" s="8" t="str">
        <f>'Q100a-geral'!AH370</f>
        <v>x</v>
      </c>
      <c r="AI844" s="8" t="str">
        <f>'Q100a-geral'!AI370</f>
        <v>x</v>
      </c>
      <c r="AJ844" s="8" t="str">
        <f>'Q100a-geral'!AJ370</f>
        <v>x</v>
      </c>
      <c r="AK844" s="1441">
        <f>'Q100a-geral'!AK370</f>
        <v>0.95</v>
      </c>
      <c r="AL844" s="8" t="str">
        <f>'Q100a-geral'!AL370</f>
        <v>x</v>
      </c>
      <c r="AM844" s="8" t="str">
        <f>'Q100a-geral'!AM370</f>
        <v>x</v>
      </c>
      <c r="AN844" s="8" t="str">
        <f>'Q100a-geral'!AN370</f>
        <v>x</v>
      </c>
      <c r="AO844" s="8" t="str">
        <f>'Q100a-geral'!AO370</f>
        <v>x</v>
      </c>
      <c r="AP844" s="8" t="str">
        <f>'Q100a-geral'!AP370</f>
        <v>x</v>
      </c>
      <c r="AQ844" s="8" t="str">
        <f>'Q100a-geral'!AQ370</f>
        <v>x</v>
      </c>
      <c r="AR844" s="8" t="str">
        <f>'Q100a-geral'!AR370</f>
        <v>x</v>
      </c>
      <c r="AS844" s="8" t="str">
        <f>'Q100a-geral'!AS370</f>
        <v>x</v>
      </c>
      <c r="AT844" s="8" t="str">
        <f>'Q100a-geral'!AT370</f>
        <v>x</v>
      </c>
      <c r="AU844" s="8" t="str">
        <f>'Q100a-geral'!AU370</f>
        <v>x</v>
      </c>
      <c r="AV844" s="8" t="str">
        <f>'Q100a-geral'!AV370</f>
        <v>x</v>
      </c>
      <c r="AW844" s="8" t="str">
        <f>'Q100a-geral'!AW370</f>
        <v>x</v>
      </c>
      <c r="AX844" s="8" t="str">
        <f>'Q100a-geral'!AX370</f>
        <v>x</v>
      </c>
      <c r="AY844" s="8" t="str">
        <f>'Q100a-geral'!AY370</f>
        <v>x</v>
      </c>
      <c r="AZ844" s="8" t="str">
        <f>'Q100a-geral'!AZ370</f>
        <v>x</v>
      </c>
      <c r="BA844" s="8" t="str">
        <f>'Q100a-geral'!BA370</f>
        <v>x</v>
      </c>
      <c r="BB844" s="8" t="str">
        <f>'Q100a-geral'!BB370</f>
        <v>BRTacessibilidade</v>
      </c>
      <c r="BC844" s="8" t="str">
        <f>'Q100a-geral'!BC370</f>
        <v>BRTacessibilidadex</v>
      </c>
      <c r="BD844" s="8" t="str">
        <f>'Q100a-geral'!BD370</f>
        <v>BRTx</v>
      </c>
    </row>
    <row r="845" spans="1:56" ht="89.25" x14ac:dyDescent="0.25">
      <c r="A845" s="406" t="str">
        <f>'Q100a-geral'!A376</f>
        <v>8.2</v>
      </c>
      <c r="B845" s="468" t="str">
        <f>'Q100a-geral'!B376</f>
        <v>BRT</v>
      </c>
      <c r="C845" s="13" t="str">
        <f>'Q100a-geral'!C376</f>
        <v>acessibilidade</v>
      </c>
      <c r="D845" s="362" t="s">
        <v>5653</v>
      </c>
      <c r="E845" s="481" t="str">
        <f>'Q100a-geral'!E376</f>
        <v>Belo Horizonte</v>
      </c>
      <c r="F845" s="619" t="str">
        <f>'Q100a-geral'!F376</f>
        <v>índice de conformidade com a acessibilidade do elemento "planos e mapas acessíveis" do módulo de análise "elementos das plataformas" do sistema BRT de Belo Horizonte
obs.1: o sistema de BRT de Belo Horizonte é constituido, em 2016, por três corredores: Área Central, Antônio Carlos e Cristiano Machado
obs.2: calculado como a média dos BRT IC das estações inspecionadas com base na diretriz "A sinalização deve estar localizada na faixa de alcance entre 1,20 m e 1,60 m em plano vertical, ou entre 0,90 m e 1,20 m em plano inclinado entre 15° e 30° da linha horizontal." em WRI(2016j6,p.23)</v>
      </c>
      <c r="G845" s="110" t="str">
        <f>'Q100a-geral'!G376</f>
        <v>registro na fonte</v>
      </c>
      <c r="H845" s="173" t="str">
        <f>'Q100a-geral'!H376</f>
        <v>x</v>
      </c>
      <c r="I845" s="57">
        <f>'Q100a-geral'!I376</f>
        <v>1</v>
      </c>
      <c r="J845" s="8" t="str">
        <f>'Q100a-geral'!J376</f>
        <v>x</v>
      </c>
      <c r="K845" s="8" t="str">
        <f>'Q100a-geral'!K376</f>
        <v>x</v>
      </c>
      <c r="L845" s="8" t="str">
        <f>'Q100a-geral'!L376</f>
        <v>x</v>
      </c>
      <c r="M845" s="8" t="str">
        <f>'Q100a-geral'!M376</f>
        <v>x</v>
      </c>
      <c r="N845" s="8" t="str">
        <f>'Q100a-geral'!N376</f>
        <v>x</v>
      </c>
      <c r="O845" s="8" t="str">
        <f>'Q100a-geral'!O376</f>
        <v>x</v>
      </c>
      <c r="P845" s="8" t="str">
        <f>'Q100a-geral'!P376</f>
        <v>x</v>
      </c>
      <c r="Q845" s="8" t="str">
        <f>'Q100a-geral'!Q376</f>
        <v>x</v>
      </c>
      <c r="R845" s="8" t="str">
        <f>'Q100a-geral'!R376</f>
        <v>x</v>
      </c>
      <c r="S845" s="8" t="str">
        <f>'Q100a-geral'!S376</f>
        <v>só para pesquisa</v>
      </c>
      <c r="T845" s="8" t="str">
        <f>'Q100a-geral'!T376</f>
        <v>x</v>
      </c>
      <c r="U845" s="8" t="str">
        <f>'Q100a-geral'!U376</f>
        <v>x</v>
      </c>
      <c r="V845" s="8" t="str">
        <f>'Q100a-geral'!V376</f>
        <v>só para pesquisa</v>
      </c>
      <c r="W845" s="8" t="str">
        <f>'Q100a-geral'!W376</f>
        <v>x</v>
      </c>
      <c r="X845" s="8" t="str">
        <f>'Q100a-geral'!X376</f>
        <v>x</v>
      </c>
      <c r="Y845" s="8" t="str">
        <f>'Q100a-geral'!Y376</f>
        <v>x</v>
      </c>
      <c r="Z845" s="8" t="str">
        <f>'Q100a-geral'!Z376</f>
        <v>x</v>
      </c>
      <c r="AA845" s="8" t="str">
        <f>'Q100a-geral'!AA376</f>
        <v>x</v>
      </c>
      <c r="AB845" s="8" t="str">
        <f>'Q100a-geral'!AB376</f>
        <v>x</v>
      </c>
      <c r="AC845" s="8" t="str">
        <f>'Q100a-geral'!AC376</f>
        <v>x</v>
      </c>
      <c r="AD845" s="8" t="str">
        <f>'Q100a-geral'!AD376</f>
        <v>x</v>
      </c>
      <c r="AE845" s="8" t="str">
        <f>'Q100a-geral'!AE376</f>
        <v>x</v>
      </c>
      <c r="AF845" s="8" t="str">
        <f>'Q100a-geral'!AF376</f>
        <v>x</v>
      </c>
      <c r="AG845" s="8" t="str">
        <f>'Q100a-geral'!AG376</f>
        <v>x</v>
      </c>
      <c r="AH845" s="8" t="str">
        <f>'Q100a-geral'!AH376</f>
        <v>x</v>
      </c>
      <c r="AI845" s="8" t="str">
        <f>'Q100a-geral'!AI376</f>
        <v>x</v>
      </c>
      <c r="AJ845" s="8" t="str">
        <f>'Q100a-geral'!AJ376</f>
        <v>x</v>
      </c>
      <c r="AK845" s="1441">
        <f>'Q100a-geral'!AK376</f>
        <v>0</v>
      </c>
      <c r="AL845" s="8" t="str">
        <f>'Q100a-geral'!AL376</f>
        <v>x</v>
      </c>
      <c r="AM845" s="8" t="str">
        <f>'Q100a-geral'!AM376</f>
        <v>x</v>
      </c>
      <c r="AN845" s="8" t="str">
        <f>'Q100a-geral'!AN376</f>
        <v>x</v>
      </c>
      <c r="AO845" s="8" t="str">
        <f>'Q100a-geral'!AO376</f>
        <v>x</v>
      </c>
      <c r="AP845" s="8" t="str">
        <f>'Q100a-geral'!AP376</f>
        <v>x</v>
      </c>
      <c r="AQ845" s="8" t="str">
        <f>'Q100a-geral'!AQ376</f>
        <v>x</v>
      </c>
      <c r="AR845" s="8" t="str">
        <f>'Q100a-geral'!AR376</f>
        <v>x</v>
      </c>
      <c r="AS845" s="8" t="str">
        <f>'Q100a-geral'!AS376</f>
        <v>x</v>
      </c>
      <c r="AT845" s="8" t="str">
        <f>'Q100a-geral'!AT376</f>
        <v>x</v>
      </c>
      <c r="AU845" s="8" t="str">
        <f>'Q100a-geral'!AU376</f>
        <v>x</v>
      </c>
      <c r="AV845" s="8" t="str">
        <f>'Q100a-geral'!AV376</f>
        <v>x</v>
      </c>
      <c r="AW845" s="8" t="str">
        <f>'Q100a-geral'!AW376</f>
        <v>x</v>
      </c>
      <c r="AX845" s="8" t="str">
        <f>'Q100a-geral'!AX376</f>
        <v>x</v>
      </c>
      <c r="AY845" s="8" t="str">
        <f>'Q100a-geral'!AY376</f>
        <v>x</v>
      </c>
      <c r="AZ845" s="8" t="str">
        <f>'Q100a-geral'!AZ376</f>
        <v>x</v>
      </c>
      <c r="BA845" s="8" t="str">
        <f>'Q100a-geral'!BA376</f>
        <v>x</v>
      </c>
      <c r="BB845" s="8" t="str">
        <f>'Q100a-geral'!BB376</f>
        <v>BRTacessibilidade</v>
      </c>
      <c r="BC845" s="8" t="str">
        <f>'Q100a-geral'!BC376</f>
        <v>BRTacessibilidadex</v>
      </c>
      <c r="BD845" s="8" t="str">
        <f>'Q100a-geral'!BD376</f>
        <v>BRTx</v>
      </c>
    </row>
    <row r="846" spans="1:56" ht="38.25" x14ac:dyDescent="0.25">
      <c r="A846" s="406" t="str">
        <f>'Q100a-geral'!A392</f>
        <v>8.2</v>
      </c>
      <c r="B846" s="468" t="str">
        <f>'Q100a-geral'!B392</f>
        <v>BRT</v>
      </c>
      <c r="C846" s="13" t="str">
        <f>'Q100a-geral'!C392</f>
        <v>acessibilidade</v>
      </c>
      <c r="D846" s="362" t="s">
        <v>5654</v>
      </c>
      <c r="E846" s="481" t="str">
        <f>'Q100a-geral'!E392</f>
        <v>Belo Horizonte</v>
      </c>
      <c r="F846" s="619" t="str">
        <f>'Q100a-geral'!F392</f>
        <v>índice de conformidade com a acessibilidade do elemento "geral das plataformas" do módulo de análise "elementos das plataformas" do corredor de BRT denominado "Área Central"
obs.1: calculado como a média dos BRT IC das estações inspecionadas</v>
      </c>
      <c r="G846" s="110" t="str">
        <f>'Q100a-geral'!G392</f>
        <v>registro na fonte</v>
      </c>
      <c r="H846" s="173" t="str">
        <f>'Q100a-geral'!H392</f>
        <v>x</v>
      </c>
      <c r="I846" s="57">
        <f>'Q100a-geral'!I392</f>
        <v>1</v>
      </c>
      <c r="J846" s="8" t="str">
        <f>'Q100a-geral'!J392</f>
        <v>x</v>
      </c>
      <c r="K846" s="8" t="str">
        <f>'Q100a-geral'!K392</f>
        <v>x</v>
      </c>
      <c r="L846" s="8" t="str">
        <f>'Q100a-geral'!L392</f>
        <v>x</v>
      </c>
      <c r="M846" s="8" t="str">
        <f>'Q100a-geral'!M392</f>
        <v>x</v>
      </c>
      <c r="N846" s="8" t="str">
        <f>'Q100a-geral'!N392</f>
        <v>x</v>
      </c>
      <c r="O846" s="8" t="str">
        <f>'Q100a-geral'!O392</f>
        <v>x</v>
      </c>
      <c r="P846" s="8" t="str">
        <f>'Q100a-geral'!P392</f>
        <v>x</v>
      </c>
      <c r="Q846" s="8" t="str">
        <f>'Q100a-geral'!Q392</f>
        <v>x</v>
      </c>
      <c r="R846" s="8" t="str">
        <f>'Q100a-geral'!R392</f>
        <v>x</v>
      </c>
      <c r="S846" s="8" t="str">
        <f>'Q100a-geral'!S392</f>
        <v>só para pesquisa</v>
      </c>
      <c r="T846" s="8" t="str">
        <f>'Q100a-geral'!T392</f>
        <v>x</v>
      </c>
      <c r="U846" s="8" t="str">
        <f>'Q100a-geral'!U392</f>
        <v>x</v>
      </c>
      <c r="V846" s="8" t="str">
        <f>'Q100a-geral'!V392</f>
        <v>só para pesquisa</v>
      </c>
      <c r="W846" s="8" t="str">
        <f>'Q100a-geral'!W392</f>
        <v>x</v>
      </c>
      <c r="X846" s="8" t="str">
        <f>'Q100a-geral'!X392</f>
        <v>x</v>
      </c>
      <c r="Y846" s="8" t="str">
        <f>'Q100a-geral'!Y392</f>
        <v>x</v>
      </c>
      <c r="Z846" s="8" t="str">
        <f>'Q100a-geral'!Z392</f>
        <v>x</v>
      </c>
      <c r="AA846" s="8" t="str">
        <f>'Q100a-geral'!AA392</f>
        <v>x</v>
      </c>
      <c r="AB846" s="8" t="str">
        <f>'Q100a-geral'!AB392</f>
        <v>x</v>
      </c>
      <c r="AC846" s="8" t="str">
        <f>'Q100a-geral'!AC392</f>
        <v>x</v>
      </c>
      <c r="AD846" s="8" t="str">
        <f>'Q100a-geral'!AD392</f>
        <v>x</v>
      </c>
      <c r="AE846" s="8" t="str">
        <f>'Q100a-geral'!AE392</f>
        <v>x</v>
      </c>
      <c r="AF846" s="8" t="str">
        <f>'Q100a-geral'!AF392</f>
        <v>x</v>
      </c>
      <c r="AG846" s="8" t="str">
        <f>'Q100a-geral'!AG392</f>
        <v>x</v>
      </c>
      <c r="AH846" s="8" t="str">
        <f>'Q100a-geral'!AH392</f>
        <v>x</v>
      </c>
      <c r="AI846" s="8" t="str">
        <f>'Q100a-geral'!AI392</f>
        <v>x</v>
      </c>
      <c r="AJ846" s="8" t="str">
        <f>'Q100a-geral'!AJ392</f>
        <v>x</v>
      </c>
      <c r="AK846" s="1441">
        <f>'Q100a-geral'!AK392</f>
        <v>0.57999999999999996</v>
      </c>
      <c r="AL846" s="8" t="str">
        <f>'Q100a-geral'!AL392</f>
        <v>x</v>
      </c>
      <c r="AM846" s="8" t="str">
        <f>'Q100a-geral'!AM392</f>
        <v>x</v>
      </c>
      <c r="AN846" s="8" t="str">
        <f>'Q100a-geral'!AN392</f>
        <v>x</v>
      </c>
      <c r="AO846" s="8" t="str">
        <f>'Q100a-geral'!AO392</f>
        <v>x</v>
      </c>
      <c r="AP846" s="8" t="str">
        <f>'Q100a-geral'!AP392</f>
        <v>x</v>
      </c>
      <c r="AQ846" s="8" t="str">
        <f>'Q100a-geral'!AQ392</f>
        <v>x</v>
      </c>
      <c r="AR846" s="8" t="str">
        <f>'Q100a-geral'!AR392</f>
        <v>x</v>
      </c>
      <c r="AS846" s="8" t="str">
        <f>'Q100a-geral'!AS392</f>
        <v>x</v>
      </c>
      <c r="AT846" s="8" t="str">
        <f>'Q100a-geral'!AT392</f>
        <v>x</v>
      </c>
      <c r="AU846" s="8" t="str">
        <f>'Q100a-geral'!AU392</f>
        <v>x</v>
      </c>
      <c r="AV846" s="8" t="str">
        <f>'Q100a-geral'!AV392</f>
        <v>x</v>
      </c>
      <c r="AW846" s="8" t="str">
        <f>'Q100a-geral'!AW392</f>
        <v>x</v>
      </c>
      <c r="AX846" s="8" t="str">
        <f>'Q100a-geral'!AX392</f>
        <v>x</v>
      </c>
      <c r="AY846" s="8" t="str">
        <f>'Q100a-geral'!AY392</f>
        <v>x</v>
      </c>
      <c r="AZ846" s="8" t="str">
        <f>'Q100a-geral'!AZ392</f>
        <v>x</v>
      </c>
      <c r="BA846" s="8" t="str">
        <f>'Q100a-geral'!BA392</f>
        <v>x</v>
      </c>
      <c r="BB846" s="8" t="str">
        <f>'Q100a-geral'!BB392</f>
        <v>BRTacessibilidade</v>
      </c>
      <c r="BC846" s="8" t="str">
        <f>'Q100a-geral'!BC392</f>
        <v>BRTacessibilidadex</v>
      </c>
      <c r="BD846" s="8" t="str">
        <f>'Q100a-geral'!BD392</f>
        <v>BRTx</v>
      </c>
    </row>
    <row r="847" spans="1:56" ht="63.75" x14ac:dyDescent="0.25">
      <c r="A847" s="406" t="str">
        <f>'Q100a-geral'!A394</f>
        <v>8.2</v>
      </c>
      <c r="B847" s="468" t="str">
        <f>'Q100a-geral'!B394</f>
        <v>BRT</v>
      </c>
      <c r="C847" s="13" t="str">
        <f>'Q100a-geral'!C394</f>
        <v>acessibilidade</v>
      </c>
      <c r="D847" s="362" t="s">
        <v>5655</v>
      </c>
      <c r="E847" s="481" t="str">
        <f>'Q100a-geral'!E394</f>
        <v>Belo Horizonte</v>
      </c>
      <c r="F847" s="619" t="str">
        <f>'Q100a-geral'!F394</f>
        <v>índice de conformidade com a acessibilidade do elemento "sinalização" do módulo de análise "elementos das plataformas" do sistema BRT de Belo Horizonte
obs.1: o sistema de BRT de Belo Horizonte é constituido, em 2016, por três corredores: Área Central, Antônio Carlos e Cristiano Machado
obs.2: calculado como a média dos BRT IC das estações inspecionadas</v>
      </c>
      <c r="G847" s="110" t="str">
        <f>'Q100a-geral'!G394</f>
        <v>registro na fonte</v>
      </c>
      <c r="H847" s="173" t="str">
        <f>'Q100a-geral'!H394</f>
        <v>x</v>
      </c>
      <c r="I847" s="57">
        <f>'Q100a-geral'!I394</f>
        <v>1</v>
      </c>
      <c r="J847" s="8" t="str">
        <f>'Q100a-geral'!J394</f>
        <v>x</v>
      </c>
      <c r="K847" s="8" t="str">
        <f>'Q100a-geral'!K394</f>
        <v>x</v>
      </c>
      <c r="L847" s="8" t="str">
        <f>'Q100a-geral'!L394</f>
        <v>x</v>
      </c>
      <c r="M847" s="8" t="str">
        <f>'Q100a-geral'!M394</f>
        <v>x</v>
      </c>
      <c r="N847" s="8" t="str">
        <f>'Q100a-geral'!N394</f>
        <v>x</v>
      </c>
      <c r="O847" s="8" t="str">
        <f>'Q100a-geral'!O394</f>
        <v>x</v>
      </c>
      <c r="P847" s="8" t="str">
        <f>'Q100a-geral'!P394</f>
        <v>x</v>
      </c>
      <c r="Q847" s="8" t="str">
        <f>'Q100a-geral'!Q394</f>
        <v>x</v>
      </c>
      <c r="R847" s="8" t="str">
        <f>'Q100a-geral'!R394</f>
        <v>x</v>
      </c>
      <c r="S847" s="8" t="str">
        <f>'Q100a-geral'!S394</f>
        <v>só para pesquisa</v>
      </c>
      <c r="T847" s="8" t="str">
        <f>'Q100a-geral'!T394</f>
        <v>x</v>
      </c>
      <c r="U847" s="8" t="str">
        <f>'Q100a-geral'!U394</f>
        <v>x</v>
      </c>
      <c r="V847" s="8" t="str">
        <f>'Q100a-geral'!V394</f>
        <v>só para pesquisa</v>
      </c>
      <c r="W847" s="8" t="str">
        <f>'Q100a-geral'!W394</f>
        <v>x</v>
      </c>
      <c r="X847" s="8" t="str">
        <f>'Q100a-geral'!X394</f>
        <v>x</v>
      </c>
      <c r="Y847" s="8" t="str">
        <f>'Q100a-geral'!Y394</f>
        <v>x</v>
      </c>
      <c r="Z847" s="8" t="str">
        <f>'Q100a-geral'!Z394</f>
        <v>x</v>
      </c>
      <c r="AA847" s="8" t="str">
        <f>'Q100a-geral'!AA394</f>
        <v>x</v>
      </c>
      <c r="AB847" s="8" t="str">
        <f>'Q100a-geral'!AB394</f>
        <v>x</v>
      </c>
      <c r="AC847" s="8" t="str">
        <f>'Q100a-geral'!AC394</f>
        <v>x</v>
      </c>
      <c r="AD847" s="8" t="str">
        <f>'Q100a-geral'!AD394</f>
        <v>x</v>
      </c>
      <c r="AE847" s="8" t="str">
        <f>'Q100a-geral'!AE394</f>
        <v>x</v>
      </c>
      <c r="AF847" s="8" t="str">
        <f>'Q100a-geral'!AF394</f>
        <v>x</v>
      </c>
      <c r="AG847" s="8" t="str">
        <f>'Q100a-geral'!AG394</f>
        <v>x</v>
      </c>
      <c r="AH847" s="8" t="str">
        <f>'Q100a-geral'!AH394</f>
        <v>x</v>
      </c>
      <c r="AI847" s="8" t="str">
        <f>'Q100a-geral'!AI394</f>
        <v>x</v>
      </c>
      <c r="AJ847" s="8" t="str">
        <f>'Q100a-geral'!AJ394</f>
        <v>x</v>
      </c>
      <c r="AK847" s="1441">
        <f>'Q100a-geral'!AK394</f>
        <v>0.51</v>
      </c>
      <c r="AL847" s="8" t="str">
        <f>'Q100a-geral'!AL394</f>
        <v>x</v>
      </c>
      <c r="AM847" s="8" t="str">
        <f>'Q100a-geral'!AM394</f>
        <v>x</v>
      </c>
      <c r="AN847" s="8" t="str">
        <f>'Q100a-geral'!AN394</f>
        <v>x</v>
      </c>
      <c r="AO847" s="8" t="str">
        <f>'Q100a-geral'!AO394</f>
        <v>x</v>
      </c>
      <c r="AP847" s="8" t="str">
        <f>'Q100a-geral'!AP394</f>
        <v>x</v>
      </c>
      <c r="AQ847" s="8" t="str">
        <f>'Q100a-geral'!AQ394</f>
        <v>x</v>
      </c>
      <c r="AR847" s="8" t="str">
        <f>'Q100a-geral'!AR394</f>
        <v>x</v>
      </c>
      <c r="AS847" s="8" t="str">
        <f>'Q100a-geral'!AS394</f>
        <v>x</v>
      </c>
      <c r="AT847" s="8" t="str">
        <f>'Q100a-geral'!AT394</f>
        <v>x</v>
      </c>
      <c r="AU847" s="8" t="str">
        <f>'Q100a-geral'!AU394</f>
        <v>x</v>
      </c>
      <c r="AV847" s="8" t="str">
        <f>'Q100a-geral'!AV394</f>
        <v>x</v>
      </c>
      <c r="AW847" s="8" t="str">
        <f>'Q100a-geral'!AW394</f>
        <v>x</v>
      </c>
      <c r="AX847" s="8" t="str">
        <f>'Q100a-geral'!AX394</f>
        <v>x</v>
      </c>
      <c r="AY847" s="8" t="str">
        <f>'Q100a-geral'!AY394</f>
        <v>x</v>
      </c>
      <c r="AZ847" s="8" t="str">
        <f>'Q100a-geral'!AZ394</f>
        <v>x</v>
      </c>
      <c r="BA847" s="8" t="str">
        <f>'Q100a-geral'!BA394</f>
        <v>x</v>
      </c>
      <c r="BB847" s="8" t="str">
        <f>'Q100a-geral'!BB394</f>
        <v>BRTacessibilidade</v>
      </c>
      <c r="BC847" s="8" t="str">
        <f>'Q100a-geral'!BC394</f>
        <v>BRTacessibilidadex</v>
      </c>
      <c r="BD847" s="8" t="str">
        <f>'Q100a-geral'!BD394</f>
        <v>BRTx</v>
      </c>
    </row>
    <row r="848" spans="1:56" ht="38.25" x14ac:dyDescent="0.25">
      <c r="A848" s="406" t="str">
        <f>'Q100a-geral'!A399</f>
        <v>8.2</v>
      </c>
      <c r="B848" s="468" t="str">
        <f>'Q100a-geral'!B399</f>
        <v>BRT</v>
      </c>
      <c r="C848" s="13" t="str">
        <f>'Q100a-geral'!C399</f>
        <v>acessibilidade</v>
      </c>
      <c r="D848" s="324" t="str">
        <f>'Q100a-geral'!D399</f>
        <v>BRT IC AC (calçadas)</v>
      </c>
      <c r="E848" s="481" t="str">
        <f>'Q100a-geral'!E399</f>
        <v>Belo Horizonte</v>
      </c>
      <c r="F848" s="619" t="str">
        <f>'Q100a-geral'!F399</f>
        <v>índice de conformidade com a acessibilidade do elemento "calçadas" do módulo de análise "elementos das travessias" do corredor de BRT denominado "Área Central"
obs.1: calculado como a média dos BRT IC das estações inspecionadas</v>
      </c>
      <c r="G848" s="110" t="str">
        <f>'Q100a-geral'!G399</f>
        <v>registro na fonte</v>
      </c>
      <c r="H848" s="173" t="str">
        <f>'Q100a-geral'!H399</f>
        <v>x</v>
      </c>
      <c r="I848" s="57">
        <f>'Q100a-geral'!I399</f>
        <v>1</v>
      </c>
      <c r="J848" s="8" t="str">
        <f>'Q100a-geral'!J399</f>
        <v>x</v>
      </c>
      <c r="K848" s="8" t="str">
        <f>'Q100a-geral'!K399</f>
        <v>x</v>
      </c>
      <c r="L848" s="8" t="str">
        <f>'Q100a-geral'!L399</f>
        <v>x</v>
      </c>
      <c r="M848" s="8" t="str">
        <f>'Q100a-geral'!M399</f>
        <v>x</v>
      </c>
      <c r="N848" s="8" t="str">
        <f>'Q100a-geral'!N399</f>
        <v>x</v>
      </c>
      <c r="O848" s="8" t="str">
        <f>'Q100a-geral'!O399</f>
        <v>x</v>
      </c>
      <c r="P848" s="8" t="str">
        <f>'Q100a-geral'!P399</f>
        <v>x</v>
      </c>
      <c r="Q848" s="8" t="str">
        <f>'Q100a-geral'!Q399</f>
        <v>x</v>
      </c>
      <c r="R848" s="8" t="str">
        <f>'Q100a-geral'!R399</f>
        <v>x</v>
      </c>
      <c r="S848" s="8" t="str">
        <f>'Q100a-geral'!S399</f>
        <v>só para pesquisa</v>
      </c>
      <c r="T848" s="8" t="str">
        <f>'Q100a-geral'!T399</f>
        <v>x</v>
      </c>
      <c r="U848" s="8" t="str">
        <f>'Q100a-geral'!U399</f>
        <v>x</v>
      </c>
      <c r="V848" s="8" t="str">
        <f>'Q100a-geral'!V399</f>
        <v>só para pesquisa</v>
      </c>
      <c r="W848" s="8" t="str">
        <f>'Q100a-geral'!W399</f>
        <v>x</v>
      </c>
      <c r="X848" s="8" t="str">
        <f>'Q100a-geral'!X399</f>
        <v>x</v>
      </c>
      <c r="Y848" s="8" t="str">
        <f>'Q100a-geral'!Y399</f>
        <v>x</v>
      </c>
      <c r="Z848" s="8" t="str">
        <f>'Q100a-geral'!Z399</f>
        <v>x</v>
      </c>
      <c r="AA848" s="8" t="str">
        <f>'Q100a-geral'!AA399</f>
        <v>x</v>
      </c>
      <c r="AB848" s="8" t="str">
        <f>'Q100a-geral'!AB399</f>
        <v>x</v>
      </c>
      <c r="AC848" s="8" t="str">
        <f>'Q100a-geral'!AC399</f>
        <v>x</v>
      </c>
      <c r="AD848" s="8" t="str">
        <f>'Q100a-geral'!AD399</f>
        <v>x</v>
      </c>
      <c r="AE848" s="8" t="str">
        <f>'Q100a-geral'!AE399</f>
        <v>x</v>
      </c>
      <c r="AF848" s="8" t="str">
        <f>'Q100a-geral'!AF399</f>
        <v>x</v>
      </c>
      <c r="AG848" s="8" t="str">
        <f>'Q100a-geral'!AG399</f>
        <v>x</v>
      </c>
      <c r="AH848" s="8" t="str">
        <f>'Q100a-geral'!AH399</f>
        <v>x</v>
      </c>
      <c r="AI848" s="8" t="str">
        <f>'Q100a-geral'!AI399</f>
        <v>x</v>
      </c>
      <c r="AJ848" s="8" t="str">
        <f>'Q100a-geral'!AJ399</f>
        <v>x</v>
      </c>
      <c r="AK848" s="95">
        <f>'Q100a-geral'!AK399</f>
        <v>0.64</v>
      </c>
      <c r="AL848" s="8" t="str">
        <f>'Q100a-geral'!AL399</f>
        <v>x</v>
      </c>
      <c r="AM848" s="8" t="str">
        <f>'Q100a-geral'!AM399</f>
        <v>x</v>
      </c>
      <c r="AN848" s="8" t="str">
        <f>'Q100a-geral'!AN399</f>
        <v>x</v>
      </c>
      <c r="AO848" s="8" t="str">
        <f>'Q100a-geral'!AO399</f>
        <v>x</v>
      </c>
      <c r="AP848" s="8" t="str">
        <f>'Q100a-geral'!AP399</f>
        <v>x</v>
      </c>
      <c r="AQ848" s="8" t="str">
        <f>'Q100a-geral'!AQ399</f>
        <v>x</v>
      </c>
      <c r="AR848" s="8" t="str">
        <f>'Q100a-geral'!AR399</f>
        <v>x</v>
      </c>
      <c r="AS848" s="8" t="str">
        <f>'Q100a-geral'!AS399</f>
        <v>x</v>
      </c>
      <c r="AT848" s="8" t="str">
        <f>'Q100a-geral'!AT399</f>
        <v>x</v>
      </c>
      <c r="AU848" s="8" t="str">
        <f>'Q100a-geral'!AU399</f>
        <v>x</v>
      </c>
      <c r="AV848" s="8" t="str">
        <f>'Q100a-geral'!AV399</f>
        <v>x</v>
      </c>
      <c r="AW848" s="8" t="str">
        <f>'Q100a-geral'!AW399</f>
        <v>x</v>
      </c>
      <c r="AX848" s="8" t="str">
        <f>'Q100a-geral'!AX399</f>
        <v>x</v>
      </c>
      <c r="AY848" s="8" t="str">
        <f>'Q100a-geral'!AY399</f>
        <v>x</v>
      </c>
      <c r="AZ848" s="8" t="str">
        <f>'Q100a-geral'!AZ399</f>
        <v>x</v>
      </c>
      <c r="BA848" s="8" t="str">
        <f>'Q100a-geral'!BA399</f>
        <v>x</v>
      </c>
      <c r="BB848" s="8" t="str">
        <f>'Q100a-geral'!BB399</f>
        <v>BRTacessibilidade</v>
      </c>
      <c r="BC848" s="8" t="str">
        <f>'Q100a-geral'!BC399</f>
        <v>BRTacessibilidadex</v>
      </c>
      <c r="BD848" s="8" t="str">
        <f>'Q100a-geral'!BD399</f>
        <v>BRTx</v>
      </c>
    </row>
    <row r="849" spans="1:56" ht="51" x14ac:dyDescent="0.25">
      <c r="A849" s="406" t="str">
        <f>'Q100a-geral'!A420</f>
        <v>8.2</v>
      </c>
      <c r="B849" s="468" t="str">
        <f>'Q100a-geral'!B420</f>
        <v>BRT</v>
      </c>
      <c r="C849" s="13" t="str">
        <f>'Q100a-geral'!C420</f>
        <v>acessibilidade</v>
      </c>
      <c r="D849" s="324" t="str">
        <f>'Q100a-geral'!D420</f>
        <v>BRT IC ATC (calçadas)</v>
      </c>
      <c r="E849" s="481" t="str">
        <f>'Q100a-geral'!E420</f>
        <v>Belo Horizonte</v>
      </c>
      <c r="F849" s="619" t="str">
        <f>'Q100a-geral'!F420</f>
        <v>índice de conformidade com a acessibilidade do elemento "calçadas" do módulo de análise "elementos das travessias" do corredor de BRT denominado "Antônio Carlos"
obs.1: calculado como a média dos BRT IC das estações inspecionadas
obs.2: acesse os verbetes "IC"</v>
      </c>
      <c r="G849" s="110" t="str">
        <f>'Q100a-geral'!G420</f>
        <v>registro na fonte</v>
      </c>
      <c r="H849" s="173" t="str">
        <f>'Q100a-geral'!H420</f>
        <v>x</v>
      </c>
      <c r="I849" s="57">
        <f>'Q100a-geral'!I420</f>
        <v>1</v>
      </c>
      <c r="J849" s="8" t="str">
        <f>'Q100a-geral'!J420</f>
        <v>x</v>
      </c>
      <c r="K849" s="8" t="str">
        <f>'Q100a-geral'!K420</f>
        <v>x</v>
      </c>
      <c r="L849" s="8" t="str">
        <f>'Q100a-geral'!L420</f>
        <v>x</v>
      </c>
      <c r="M849" s="8" t="str">
        <f>'Q100a-geral'!M420</f>
        <v>x</v>
      </c>
      <c r="N849" s="8" t="str">
        <f>'Q100a-geral'!N420</f>
        <v>x</v>
      </c>
      <c r="O849" s="8" t="str">
        <f>'Q100a-geral'!O420</f>
        <v>x</v>
      </c>
      <c r="P849" s="8" t="str">
        <f>'Q100a-geral'!P420</f>
        <v>x</v>
      </c>
      <c r="Q849" s="8" t="str">
        <f>'Q100a-geral'!Q420</f>
        <v>x</v>
      </c>
      <c r="R849" s="8" t="str">
        <f>'Q100a-geral'!R420</f>
        <v>x</v>
      </c>
      <c r="S849" s="8" t="str">
        <f>'Q100a-geral'!S420</f>
        <v>só para pesquisa</v>
      </c>
      <c r="T849" s="8" t="str">
        <f>'Q100a-geral'!T420</f>
        <v>x</v>
      </c>
      <c r="U849" s="8" t="str">
        <f>'Q100a-geral'!U420</f>
        <v>x</v>
      </c>
      <c r="V849" s="8" t="str">
        <f>'Q100a-geral'!V420</f>
        <v>só para pesquisa</v>
      </c>
      <c r="W849" s="8" t="str">
        <f>'Q100a-geral'!W420</f>
        <v>x</v>
      </c>
      <c r="X849" s="8" t="str">
        <f>'Q100a-geral'!X420</f>
        <v>x</v>
      </c>
      <c r="Y849" s="8" t="str">
        <f>'Q100a-geral'!Y420</f>
        <v>x</v>
      </c>
      <c r="Z849" s="8" t="str">
        <f>'Q100a-geral'!Z420</f>
        <v>x</v>
      </c>
      <c r="AA849" s="8" t="str">
        <f>'Q100a-geral'!AA420</f>
        <v>x</v>
      </c>
      <c r="AB849" s="8" t="str">
        <f>'Q100a-geral'!AB420</f>
        <v>x</v>
      </c>
      <c r="AC849" s="8" t="str">
        <f>'Q100a-geral'!AC420</f>
        <v>x</v>
      </c>
      <c r="AD849" s="8" t="str">
        <f>'Q100a-geral'!AD420</f>
        <v>x</v>
      </c>
      <c r="AE849" s="8" t="str">
        <f>'Q100a-geral'!AE420</f>
        <v>x</v>
      </c>
      <c r="AF849" s="8" t="str">
        <f>'Q100a-geral'!AF420</f>
        <v>x</v>
      </c>
      <c r="AG849" s="8" t="str">
        <f>'Q100a-geral'!AG420</f>
        <v>x</v>
      </c>
      <c r="AH849" s="8" t="str">
        <f>'Q100a-geral'!AH420</f>
        <v>x</v>
      </c>
      <c r="AI849" s="8" t="str">
        <f>'Q100a-geral'!AI420</f>
        <v>x</v>
      </c>
      <c r="AJ849" s="8" t="str">
        <f>'Q100a-geral'!AJ420</f>
        <v>x</v>
      </c>
      <c r="AK849" s="95">
        <f>'Q100a-geral'!AK420</f>
        <v>0.57999999999999996</v>
      </c>
      <c r="AL849" s="8" t="str">
        <f>'Q100a-geral'!AL420</f>
        <v>x</v>
      </c>
      <c r="AM849" s="8" t="str">
        <f>'Q100a-geral'!AM420</f>
        <v>x</v>
      </c>
      <c r="AN849" s="8" t="str">
        <f>'Q100a-geral'!AN420</f>
        <v>x</v>
      </c>
      <c r="AO849" s="8" t="str">
        <f>'Q100a-geral'!AO420</f>
        <v>x</v>
      </c>
      <c r="AP849" s="8" t="str">
        <f>'Q100a-geral'!AP420</f>
        <v>x</v>
      </c>
      <c r="AQ849" s="8" t="str">
        <f>'Q100a-geral'!AQ420</f>
        <v>x</v>
      </c>
      <c r="AR849" s="8" t="str">
        <f>'Q100a-geral'!AR420</f>
        <v>x</v>
      </c>
      <c r="AS849" s="8" t="str">
        <f>'Q100a-geral'!AS420</f>
        <v>x</v>
      </c>
      <c r="AT849" s="8" t="str">
        <f>'Q100a-geral'!AT420</f>
        <v>x</v>
      </c>
      <c r="AU849" s="8" t="str">
        <f>'Q100a-geral'!AU420</f>
        <v>x</v>
      </c>
      <c r="AV849" s="8" t="str">
        <f>'Q100a-geral'!AV420</f>
        <v>x</v>
      </c>
      <c r="AW849" s="8" t="str">
        <f>'Q100a-geral'!AW420</f>
        <v>x</v>
      </c>
      <c r="AX849" s="8" t="str">
        <f>'Q100a-geral'!AX420</f>
        <v>x</v>
      </c>
      <c r="AY849" s="8" t="str">
        <f>'Q100a-geral'!AY420</f>
        <v>x</v>
      </c>
      <c r="AZ849" s="8" t="str">
        <f>'Q100a-geral'!AZ420</f>
        <v>x</v>
      </c>
      <c r="BA849" s="8" t="str">
        <f>'Q100a-geral'!BA420</f>
        <v>x</v>
      </c>
      <c r="BB849" s="8" t="str">
        <f>'Q100a-geral'!BB420</f>
        <v>BRTacessibilidade</v>
      </c>
      <c r="BC849" s="8" t="str">
        <f>'Q100a-geral'!BC420</f>
        <v>BRTacessibilidadex</v>
      </c>
      <c r="BD849" s="8" t="str">
        <f>'Q100a-geral'!BD420</f>
        <v>BRTx</v>
      </c>
    </row>
    <row r="850" spans="1:56" ht="38.25" x14ac:dyDescent="0.25">
      <c r="A850" s="406" t="str">
        <f>'Q100a-geral'!A442</f>
        <v>8.2</v>
      </c>
      <c r="B850" s="468" t="str">
        <f>'Q100a-geral'!B442</f>
        <v>BRT</v>
      </c>
      <c r="C850" s="13" t="str">
        <f>'Q100a-geral'!C442</f>
        <v>acessibilidade</v>
      </c>
      <c r="D850" s="324" t="str">
        <f>'Q100a-geral'!D442</f>
        <v>BRT IC CMC (calçadas)</v>
      </c>
      <c r="E850" s="481" t="str">
        <f>'Q100a-geral'!E442</f>
        <v>Belo Horizonte</v>
      </c>
      <c r="F850" s="619" t="str">
        <f>'Q100a-geral'!F442</f>
        <v>índice de conformidade com a acessibilidade do elemento "calçadas" do módulo de análise "elementos das travessias" do corredor de BRT denominado "Cristiano Machado"
obs.1: calculado como a média dos BRT IC das estações inspecionadas</v>
      </c>
      <c r="G850" s="110" t="str">
        <f>'Q100a-geral'!G442</f>
        <v>registro na fonte</v>
      </c>
      <c r="H850" s="173" t="str">
        <f>'Q100a-geral'!H442</f>
        <v>x</v>
      </c>
      <c r="I850" s="57">
        <f>'Q100a-geral'!I442</f>
        <v>1</v>
      </c>
      <c r="J850" s="8" t="str">
        <f>'Q100a-geral'!J442</f>
        <v>x</v>
      </c>
      <c r="K850" s="8" t="str">
        <f>'Q100a-geral'!K442</f>
        <v>x</v>
      </c>
      <c r="L850" s="8" t="str">
        <f>'Q100a-geral'!L442</f>
        <v>x</v>
      </c>
      <c r="M850" s="8" t="str">
        <f>'Q100a-geral'!M442</f>
        <v>x</v>
      </c>
      <c r="N850" s="8" t="str">
        <f>'Q100a-geral'!N442</f>
        <v>x</v>
      </c>
      <c r="O850" s="8" t="str">
        <f>'Q100a-geral'!O442</f>
        <v>x</v>
      </c>
      <c r="P850" s="8" t="str">
        <f>'Q100a-geral'!P442</f>
        <v>x</v>
      </c>
      <c r="Q850" s="8" t="str">
        <f>'Q100a-geral'!Q442</f>
        <v>x</v>
      </c>
      <c r="R850" s="8" t="str">
        <f>'Q100a-geral'!R442</f>
        <v>x</v>
      </c>
      <c r="S850" s="8" t="str">
        <f>'Q100a-geral'!S442</f>
        <v>só para pesquisa</v>
      </c>
      <c r="T850" s="8" t="str">
        <f>'Q100a-geral'!T442</f>
        <v>x</v>
      </c>
      <c r="U850" s="8" t="str">
        <f>'Q100a-geral'!U442</f>
        <v>x</v>
      </c>
      <c r="V850" s="8" t="str">
        <f>'Q100a-geral'!V442</f>
        <v>só para pesquisa</v>
      </c>
      <c r="W850" s="8" t="str">
        <f>'Q100a-geral'!W442</f>
        <v>x</v>
      </c>
      <c r="X850" s="8" t="str">
        <f>'Q100a-geral'!X442</f>
        <v>x</v>
      </c>
      <c r="Y850" s="8" t="str">
        <f>'Q100a-geral'!Y442</f>
        <v>x</v>
      </c>
      <c r="Z850" s="8" t="str">
        <f>'Q100a-geral'!Z442</f>
        <v>x</v>
      </c>
      <c r="AA850" s="8" t="str">
        <f>'Q100a-geral'!AA442</f>
        <v>x</v>
      </c>
      <c r="AB850" s="8" t="str">
        <f>'Q100a-geral'!AB442</f>
        <v>x</v>
      </c>
      <c r="AC850" s="8" t="str">
        <f>'Q100a-geral'!AC442</f>
        <v>x</v>
      </c>
      <c r="AD850" s="8" t="str">
        <f>'Q100a-geral'!AD442</f>
        <v>x</v>
      </c>
      <c r="AE850" s="8" t="str">
        <f>'Q100a-geral'!AE442</f>
        <v>x</v>
      </c>
      <c r="AF850" s="8" t="str">
        <f>'Q100a-geral'!AF442</f>
        <v>x</v>
      </c>
      <c r="AG850" s="8" t="str">
        <f>'Q100a-geral'!AG442</f>
        <v>x</v>
      </c>
      <c r="AH850" s="8" t="str">
        <f>'Q100a-geral'!AH442</f>
        <v>x</v>
      </c>
      <c r="AI850" s="8" t="str">
        <f>'Q100a-geral'!AI442</f>
        <v>x</v>
      </c>
      <c r="AJ850" s="8" t="str">
        <f>'Q100a-geral'!AJ442</f>
        <v>x</v>
      </c>
      <c r="AK850" s="95">
        <f>'Q100a-geral'!AK442</f>
        <v>0.49</v>
      </c>
      <c r="AL850" s="8" t="str">
        <f>'Q100a-geral'!AL442</f>
        <v>x</v>
      </c>
      <c r="AM850" s="8" t="str">
        <f>'Q100a-geral'!AM442</f>
        <v>x</v>
      </c>
      <c r="AN850" s="8" t="str">
        <f>'Q100a-geral'!AN442</f>
        <v>x</v>
      </c>
      <c r="AO850" s="8" t="str">
        <f>'Q100a-geral'!AO442</f>
        <v>x</v>
      </c>
      <c r="AP850" s="8" t="str">
        <f>'Q100a-geral'!AP442</f>
        <v>x</v>
      </c>
      <c r="AQ850" s="8" t="str">
        <f>'Q100a-geral'!AQ442</f>
        <v>x</v>
      </c>
      <c r="AR850" s="8" t="str">
        <f>'Q100a-geral'!AR442</f>
        <v>x</v>
      </c>
      <c r="AS850" s="8" t="str">
        <f>'Q100a-geral'!AS442</f>
        <v>x</v>
      </c>
      <c r="AT850" s="8" t="str">
        <f>'Q100a-geral'!AT442</f>
        <v>x</v>
      </c>
      <c r="AU850" s="8" t="str">
        <f>'Q100a-geral'!AU442</f>
        <v>x</v>
      </c>
      <c r="AV850" s="8" t="str">
        <f>'Q100a-geral'!AV442</f>
        <v>x</v>
      </c>
      <c r="AW850" s="8" t="str">
        <f>'Q100a-geral'!AW442</f>
        <v>x</v>
      </c>
      <c r="AX850" s="8" t="str">
        <f>'Q100a-geral'!AX442</f>
        <v>x</v>
      </c>
      <c r="AY850" s="8" t="str">
        <f>'Q100a-geral'!AY442</f>
        <v>x</v>
      </c>
      <c r="AZ850" s="8" t="str">
        <f>'Q100a-geral'!AZ442</f>
        <v>x</v>
      </c>
      <c r="BA850" s="8" t="str">
        <f>'Q100a-geral'!BA442</f>
        <v>x</v>
      </c>
      <c r="BB850" s="8" t="str">
        <f>'Q100a-geral'!BB442</f>
        <v>BRTacessibilidade</v>
      </c>
      <c r="BC850" s="8" t="str">
        <f>'Q100a-geral'!BC442</f>
        <v>BRTacessibilidadex</v>
      </c>
      <c r="BD850" s="8" t="str">
        <f>'Q100a-geral'!BD442</f>
        <v>BRTx</v>
      </c>
    </row>
    <row r="851" spans="1:56" ht="38.25" x14ac:dyDescent="0.25">
      <c r="A851" s="406" t="str">
        <f>'Q100a-geral'!A414</f>
        <v>8.2</v>
      </c>
      <c r="B851" s="468" t="str">
        <f>'Q100a-geral'!B414</f>
        <v>BRT</v>
      </c>
      <c r="C851" s="13" t="str">
        <f>'Q100a-geral'!C414</f>
        <v>acessibilidade</v>
      </c>
      <c r="D851" s="324" t="str">
        <f>'Q100a-geral'!D414</f>
        <v>BRT IC AC (rebaixos)</v>
      </c>
      <c r="E851" s="481" t="str">
        <f>'Q100a-geral'!E414</f>
        <v>Belo Horizonte</v>
      </c>
      <c r="F851" s="619" t="str">
        <f>'Q100a-geral'!F414</f>
        <v>índice de conformidade com a acessibilidade do elemento "rebaixamentos de calçadas" do módulo de análise "elementos das travessias" do corredor de BRT denominado "Área Central"
obs.1: calculado como a média dos BRT IC das estações inspecionadas</v>
      </c>
      <c r="G851" s="110" t="str">
        <f>'Q100a-geral'!G414</f>
        <v>registro na fonte</v>
      </c>
      <c r="H851" s="173" t="str">
        <f>'Q100a-geral'!H414</f>
        <v>x</v>
      </c>
      <c r="I851" s="57">
        <f>'Q100a-geral'!I414</f>
        <v>1</v>
      </c>
      <c r="J851" s="8" t="str">
        <f>'Q100a-geral'!J414</f>
        <v>x</v>
      </c>
      <c r="K851" s="8" t="str">
        <f>'Q100a-geral'!K414</f>
        <v>x</v>
      </c>
      <c r="L851" s="8" t="str">
        <f>'Q100a-geral'!L414</f>
        <v>x</v>
      </c>
      <c r="M851" s="8" t="str">
        <f>'Q100a-geral'!M414</f>
        <v>x</v>
      </c>
      <c r="N851" s="8" t="str">
        <f>'Q100a-geral'!N414</f>
        <v>x</v>
      </c>
      <c r="O851" s="8" t="str">
        <f>'Q100a-geral'!O414</f>
        <v>x</v>
      </c>
      <c r="P851" s="8" t="str">
        <f>'Q100a-geral'!P414</f>
        <v>x</v>
      </c>
      <c r="Q851" s="8" t="str">
        <f>'Q100a-geral'!Q414</f>
        <v>x</v>
      </c>
      <c r="R851" s="8" t="str">
        <f>'Q100a-geral'!R414</f>
        <v>x</v>
      </c>
      <c r="S851" s="8" t="str">
        <f>'Q100a-geral'!S414</f>
        <v>só para pesquisa</v>
      </c>
      <c r="T851" s="8" t="str">
        <f>'Q100a-geral'!T414</f>
        <v>x</v>
      </c>
      <c r="U851" s="8" t="str">
        <f>'Q100a-geral'!U414</f>
        <v>x</v>
      </c>
      <c r="V851" s="8" t="str">
        <f>'Q100a-geral'!V414</f>
        <v>só para pesquisa</v>
      </c>
      <c r="W851" s="8" t="str">
        <f>'Q100a-geral'!W414</f>
        <v>x</v>
      </c>
      <c r="X851" s="8" t="str">
        <f>'Q100a-geral'!X414</f>
        <v>x</v>
      </c>
      <c r="Y851" s="8" t="str">
        <f>'Q100a-geral'!Y414</f>
        <v>x</v>
      </c>
      <c r="Z851" s="8" t="str">
        <f>'Q100a-geral'!Z414</f>
        <v>x</v>
      </c>
      <c r="AA851" s="8" t="str">
        <f>'Q100a-geral'!AA414</f>
        <v>x</v>
      </c>
      <c r="AB851" s="8" t="str">
        <f>'Q100a-geral'!AB414</f>
        <v>x</v>
      </c>
      <c r="AC851" s="8" t="str">
        <f>'Q100a-geral'!AC414</f>
        <v>x</v>
      </c>
      <c r="AD851" s="8" t="str">
        <f>'Q100a-geral'!AD414</f>
        <v>x</v>
      </c>
      <c r="AE851" s="8" t="str">
        <f>'Q100a-geral'!AE414</f>
        <v>x</v>
      </c>
      <c r="AF851" s="8" t="str">
        <f>'Q100a-geral'!AF414</f>
        <v>x</v>
      </c>
      <c r="AG851" s="8" t="str">
        <f>'Q100a-geral'!AG414</f>
        <v>x</v>
      </c>
      <c r="AH851" s="8" t="str">
        <f>'Q100a-geral'!AH414</f>
        <v>x</v>
      </c>
      <c r="AI851" s="8" t="str">
        <f>'Q100a-geral'!AI414</f>
        <v>x</v>
      </c>
      <c r="AJ851" s="8" t="str">
        <f>'Q100a-geral'!AJ414</f>
        <v>x</v>
      </c>
      <c r="AK851" s="95">
        <f>'Q100a-geral'!AK414</f>
        <v>0.97</v>
      </c>
      <c r="AL851" s="8" t="str">
        <f>'Q100a-geral'!AL414</f>
        <v>x</v>
      </c>
      <c r="AM851" s="8" t="str">
        <f>'Q100a-geral'!AM414</f>
        <v>x</v>
      </c>
      <c r="AN851" s="8" t="str">
        <f>'Q100a-geral'!AN414</f>
        <v>x</v>
      </c>
      <c r="AO851" s="8" t="str">
        <f>'Q100a-geral'!AO414</f>
        <v>x</v>
      </c>
      <c r="AP851" s="8" t="str">
        <f>'Q100a-geral'!AP414</f>
        <v>x</v>
      </c>
      <c r="AQ851" s="8" t="str">
        <f>'Q100a-geral'!AQ414</f>
        <v>x</v>
      </c>
      <c r="AR851" s="8" t="str">
        <f>'Q100a-geral'!AR414</f>
        <v>x</v>
      </c>
      <c r="AS851" s="8" t="str">
        <f>'Q100a-geral'!AS414</f>
        <v>x</v>
      </c>
      <c r="AT851" s="8" t="str">
        <f>'Q100a-geral'!AT414</f>
        <v>x</v>
      </c>
      <c r="AU851" s="8" t="str">
        <f>'Q100a-geral'!AU414</f>
        <v>x</v>
      </c>
      <c r="AV851" s="8" t="str">
        <f>'Q100a-geral'!AV414</f>
        <v>x</v>
      </c>
      <c r="AW851" s="8" t="str">
        <f>'Q100a-geral'!AW414</f>
        <v>x</v>
      </c>
      <c r="AX851" s="8" t="str">
        <f>'Q100a-geral'!AX414</f>
        <v>x</v>
      </c>
      <c r="AY851" s="8" t="str">
        <f>'Q100a-geral'!AY414</f>
        <v>x</v>
      </c>
      <c r="AZ851" s="8" t="str">
        <f>'Q100a-geral'!AZ414</f>
        <v>x</v>
      </c>
      <c r="BA851" s="8" t="str">
        <f>'Q100a-geral'!BA414</f>
        <v>x</v>
      </c>
      <c r="BB851" s="8" t="str">
        <f>'Q100a-geral'!BB414</f>
        <v>BRTacessibilidade</v>
      </c>
      <c r="BC851" s="8" t="str">
        <f>'Q100a-geral'!BC414</f>
        <v>BRTacessibilidadex</v>
      </c>
      <c r="BD851" s="8" t="str">
        <f>'Q100a-geral'!BD414</f>
        <v>BRTx</v>
      </c>
    </row>
    <row r="852" spans="1:56" ht="38.25" x14ac:dyDescent="0.25">
      <c r="A852" s="406" t="str">
        <f>'Q100a-geral'!A436</f>
        <v>8.2</v>
      </c>
      <c r="B852" s="468" t="str">
        <f>'Q100a-geral'!B436</f>
        <v>BRT</v>
      </c>
      <c r="C852" s="13" t="str">
        <f>'Q100a-geral'!C436</f>
        <v>acessibilidade</v>
      </c>
      <c r="D852" s="324" t="str">
        <f>'Q100a-geral'!D436</f>
        <v>BRT IC ATC (rebaixos)</v>
      </c>
      <c r="E852" s="481" t="str">
        <f>'Q100a-geral'!E436</f>
        <v>Belo Horizonte</v>
      </c>
      <c r="F852" s="619" t="str">
        <f>'Q100a-geral'!F436</f>
        <v>índice de conformidade com a acessibilidade do elemento "rebaixamentos de calçadas" do módulo de análise "elementos das travessias" do corredor de BRT denominado "Antônio Carlos"
obs.1: calculado como a média dos BRT IC das estações inspecionadas</v>
      </c>
      <c r="G852" s="110" t="str">
        <f>'Q100a-geral'!G436</f>
        <v>registro na fonte</v>
      </c>
      <c r="H852" s="173" t="str">
        <f>'Q100a-geral'!H436</f>
        <v>x</v>
      </c>
      <c r="I852" s="57">
        <f>'Q100a-geral'!I436</f>
        <v>1</v>
      </c>
      <c r="J852" s="8" t="str">
        <f>'Q100a-geral'!J436</f>
        <v>x</v>
      </c>
      <c r="K852" s="8" t="str">
        <f>'Q100a-geral'!K436</f>
        <v>x</v>
      </c>
      <c r="L852" s="8" t="str">
        <f>'Q100a-geral'!L436</f>
        <v>x</v>
      </c>
      <c r="M852" s="8" t="str">
        <f>'Q100a-geral'!M436</f>
        <v>x</v>
      </c>
      <c r="N852" s="8" t="str">
        <f>'Q100a-geral'!N436</f>
        <v>x</v>
      </c>
      <c r="O852" s="8" t="str">
        <f>'Q100a-geral'!O436</f>
        <v>x</v>
      </c>
      <c r="P852" s="8" t="str">
        <f>'Q100a-geral'!P436</f>
        <v>x</v>
      </c>
      <c r="Q852" s="8" t="str">
        <f>'Q100a-geral'!Q436</f>
        <v>x</v>
      </c>
      <c r="R852" s="8" t="str">
        <f>'Q100a-geral'!R436</f>
        <v>x</v>
      </c>
      <c r="S852" s="8" t="str">
        <f>'Q100a-geral'!S436</f>
        <v>só para pesquisa</v>
      </c>
      <c r="T852" s="8" t="str">
        <f>'Q100a-geral'!T436</f>
        <v>x</v>
      </c>
      <c r="U852" s="8" t="str">
        <f>'Q100a-geral'!U436</f>
        <v>x</v>
      </c>
      <c r="V852" s="8" t="str">
        <f>'Q100a-geral'!V436</f>
        <v>só para pesquisa</v>
      </c>
      <c r="W852" s="8" t="str">
        <f>'Q100a-geral'!W436</f>
        <v>x</v>
      </c>
      <c r="X852" s="8" t="str">
        <f>'Q100a-geral'!X436</f>
        <v>x</v>
      </c>
      <c r="Y852" s="8" t="str">
        <f>'Q100a-geral'!Y436</f>
        <v>x</v>
      </c>
      <c r="Z852" s="8" t="str">
        <f>'Q100a-geral'!Z436</f>
        <v>x</v>
      </c>
      <c r="AA852" s="8" t="str">
        <f>'Q100a-geral'!AA436</f>
        <v>x</v>
      </c>
      <c r="AB852" s="8" t="str">
        <f>'Q100a-geral'!AB436</f>
        <v>x</v>
      </c>
      <c r="AC852" s="8" t="str">
        <f>'Q100a-geral'!AC436</f>
        <v>x</v>
      </c>
      <c r="AD852" s="8" t="str">
        <f>'Q100a-geral'!AD436</f>
        <v>x</v>
      </c>
      <c r="AE852" s="8" t="str">
        <f>'Q100a-geral'!AE436</f>
        <v>x</v>
      </c>
      <c r="AF852" s="8" t="str">
        <f>'Q100a-geral'!AF436</f>
        <v>x</v>
      </c>
      <c r="AG852" s="8" t="str">
        <f>'Q100a-geral'!AG436</f>
        <v>x</v>
      </c>
      <c r="AH852" s="8" t="str">
        <f>'Q100a-geral'!AH436</f>
        <v>x</v>
      </c>
      <c r="AI852" s="8" t="str">
        <f>'Q100a-geral'!AI436</f>
        <v>x</v>
      </c>
      <c r="AJ852" s="8" t="str">
        <f>'Q100a-geral'!AJ436</f>
        <v>x</v>
      </c>
      <c r="AK852" s="95">
        <f>'Q100a-geral'!AK436</f>
        <v>0.63</v>
      </c>
      <c r="AL852" s="8" t="str">
        <f>'Q100a-geral'!AL436</f>
        <v>x</v>
      </c>
      <c r="AM852" s="8" t="str">
        <f>'Q100a-geral'!AM436</f>
        <v>x</v>
      </c>
      <c r="AN852" s="8" t="str">
        <f>'Q100a-geral'!AN436</f>
        <v>x</v>
      </c>
      <c r="AO852" s="8" t="str">
        <f>'Q100a-geral'!AO436</f>
        <v>x</v>
      </c>
      <c r="AP852" s="8" t="str">
        <f>'Q100a-geral'!AP436</f>
        <v>x</v>
      </c>
      <c r="AQ852" s="8" t="str">
        <f>'Q100a-geral'!AQ436</f>
        <v>x</v>
      </c>
      <c r="AR852" s="8" t="str">
        <f>'Q100a-geral'!AR436</f>
        <v>x</v>
      </c>
      <c r="AS852" s="8" t="str">
        <f>'Q100a-geral'!AS436</f>
        <v>x</v>
      </c>
      <c r="AT852" s="8" t="str">
        <f>'Q100a-geral'!AT436</f>
        <v>x</v>
      </c>
      <c r="AU852" s="8" t="str">
        <f>'Q100a-geral'!AU436</f>
        <v>x</v>
      </c>
      <c r="AV852" s="8" t="str">
        <f>'Q100a-geral'!AV436</f>
        <v>x</v>
      </c>
      <c r="AW852" s="8" t="str">
        <f>'Q100a-geral'!AW436</f>
        <v>x</v>
      </c>
      <c r="AX852" s="8" t="str">
        <f>'Q100a-geral'!AX436</f>
        <v>x</v>
      </c>
      <c r="AY852" s="8" t="str">
        <f>'Q100a-geral'!AY436</f>
        <v>x</v>
      </c>
      <c r="AZ852" s="8" t="str">
        <f>'Q100a-geral'!AZ436</f>
        <v>x</v>
      </c>
      <c r="BA852" s="8" t="str">
        <f>'Q100a-geral'!BA436</f>
        <v>x</v>
      </c>
      <c r="BB852" s="8" t="str">
        <f>'Q100a-geral'!BB436</f>
        <v>BRTacessibilidade</v>
      </c>
      <c r="BC852" s="8" t="str">
        <f>'Q100a-geral'!BC436</f>
        <v>BRTacessibilidadex</v>
      </c>
      <c r="BD852" s="8" t="str">
        <f>'Q100a-geral'!BD436</f>
        <v>BRTx</v>
      </c>
    </row>
    <row r="853" spans="1:56" ht="38.25" x14ac:dyDescent="0.25">
      <c r="A853" s="406" t="str">
        <f>'Q100a-geral'!A458</f>
        <v>8.2</v>
      </c>
      <c r="B853" s="468" t="str">
        <f>'Q100a-geral'!B458</f>
        <v>BRT</v>
      </c>
      <c r="C853" s="13" t="str">
        <f>'Q100a-geral'!C458</f>
        <v>acessibilidade</v>
      </c>
      <c r="D853" s="324" t="str">
        <f>'Q100a-geral'!D458</f>
        <v>BRT IC CMC (rebaixos)</v>
      </c>
      <c r="E853" s="481" t="str">
        <f>'Q100a-geral'!E458</f>
        <v>Belo Horizonte</v>
      </c>
      <c r="F853" s="619" t="str">
        <f>'Q100a-geral'!F458</f>
        <v>índice de conformidade com a acessibilidade do elemento "rebaixamentos de calçadas" do módulo de análise "elementos das travessias" do corredor de BRT denominado "Cristiano Machado"
obs.1: calculado como a média dos BRT IC das estações inspecionadas</v>
      </c>
      <c r="G853" s="110" t="str">
        <f>'Q100a-geral'!G458</f>
        <v>registro na fonte</v>
      </c>
      <c r="H853" s="173" t="str">
        <f>'Q100a-geral'!H458</f>
        <v>x</v>
      </c>
      <c r="I853" s="57">
        <f>'Q100a-geral'!I458</f>
        <v>1</v>
      </c>
      <c r="J853" s="8" t="str">
        <f>'Q100a-geral'!J458</f>
        <v>x</v>
      </c>
      <c r="K853" s="8" t="str">
        <f>'Q100a-geral'!K458</f>
        <v>x</v>
      </c>
      <c r="L853" s="8" t="str">
        <f>'Q100a-geral'!L458</f>
        <v>x</v>
      </c>
      <c r="M853" s="8" t="str">
        <f>'Q100a-geral'!M458</f>
        <v>x</v>
      </c>
      <c r="N853" s="8" t="str">
        <f>'Q100a-geral'!N458</f>
        <v>x</v>
      </c>
      <c r="O853" s="8" t="str">
        <f>'Q100a-geral'!O458</f>
        <v>x</v>
      </c>
      <c r="P853" s="8" t="str">
        <f>'Q100a-geral'!P458</f>
        <v>x</v>
      </c>
      <c r="Q853" s="8" t="str">
        <f>'Q100a-geral'!Q458</f>
        <v>x</v>
      </c>
      <c r="R853" s="8" t="str">
        <f>'Q100a-geral'!R458</f>
        <v>x</v>
      </c>
      <c r="S853" s="8" t="str">
        <f>'Q100a-geral'!S458</f>
        <v>só para pesquisa</v>
      </c>
      <c r="T853" s="8" t="str">
        <f>'Q100a-geral'!T458</f>
        <v>x</v>
      </c>
      <c r="U853" s="8" t="str">
        <f>'Q100a-geral'!U458</f>
        <v>x</v>
      </c>
      <c r="V853" s="8" t="str">
        <f>'Q100a-geral'!V458</f>
        <v>só para pesquisa</v>
      </c>
      <c r="W853" s="8" t="str">
        <f>'Q100a-geral'!W458</f>
        <v>x</v>
      </c>
      <c r="X853" s="8" t="str">
        <f>'Q100a-geral'!X458</f>
        <v>x</v>
      </c>
      <c r="Y853" s="8" t="str">
        <f>'Q100a-geral'!Y458</f>
        <v>x</v>
      </c>
      <c r="Z853" s="8" t="str">
        <f>'Q100a-geral'!Z458</f>
        <v>x</v>
      </c>
      <c r="AA853" s="8" t="str">
        <f>'Q100a-geral'!AA458</f>
        <v>x</v>
      </c>
      <c r="AB853" s="8" t="str">
        <f>'Q100a-geral'!AB458</f>
        <v>x</v>
      </c>
      <c r="AC853" s="8" t="str">
        <f>'Q100a-geral'!AC458</f>
        <v>x</v>
      </c>
      <c r="AD853" s="8" t="str">
        <f>'Q100a-geral'!AD458</f>
        <v>x</v>
      </c>
      <c r="AE853" s="8" t="str">
        <f>'Q100a-geral'!AE458</f>
        <v>x</v>
      </c>
      <c r="AF853" s="8" t="str">
        <f>'Q100a-geral'!AF458</f>
        <v>x</v>
      </c>
      <c r="AG853" s="8" t="str">
        <f>'Q100a-geral'!AG458</f>
        <v>x</v>
      </c>
      <c r="AH853" s="8" t="str">
        <f>'Q100a-geral'!AH458</f>
        <v>x</v>
      </c>
      <c r="AI853" s="8" t="str">
        <f>'Q100a-geral'!AI458</f>
        <v>x</v>
      </c>
      <c r="AJ853" s="8" t="str">
        <f>'Q100a-geral'!AJ458</f>
        <v>x</v>
      </c>
      <c r="AK853" s="95">
        <f>'Q100a-geral'!AK458</f>
        <v>0.56000000000000005</v>
      </c>
      <c r="AL853" s="8" t="str">
        <f>'Q100a-geral'!AL458</f>
        <v>x</v>
      </c>
      <c r="AM853" s="8" t="str">
        <f>'Q100a-geral'!AM458</f>
        <v>x</v>
      </c>
      <c r="AN853" s="8" t="str">
        <f>'Q100a-geral'!AN458</f>
        <v>x</v>
      </c>
      <c r="AO853" s="8" t="str">
        <f>'Q100a-geral'!AO458</f>
        <v>x</v>
      </c>
      <c r="AP853" s="8" t="str">
        <f>'Q100a-geral'!AP458</f>
        <v>x</v>
      </c>
      <c r="AQ853" s="8" t="str">
        <f>'Q100a-geral'!AQ458</f>
        <v>x</v>
      </c>
      <c r="AR853" s="8" t="str">
        <f>'Q100a-geral'!AR458</f>
        <v>x</v>
      </c>
      <c r="AS853" s="8" t="str">
        <f>'Q100a-geral'!AS458</f>
        <v>x</v>
      </c>
      <c r="AT853" s="8" t="str">
        <f>'Q100a-geral'!AT458</f>
        <v>x</v>
      </c>
      <c r="AU853" s="8" t="str">
        <f>'Q100a-geral'!AU458</f>
        <v>x</v>
      </c>
      <c r="AV853" s="8" t="str">
        <f>'Q100a-geral'!AV458</f>
        <v>x</v>
      </c>
      <c r="AW853" s="8" t="str">
        <f>'Q100a-geral'!AW458</f>
        <v>x</v>
      </c>
      <c r="AX853" s="8" t="str">
        <f>'Q100a-geral'!AX458</f>
        <v>x</v>
      </c>
      <c r="AY853" s="8" t="str">
        <f>'Q100a-geral'!AY458</f>
        <v>x</v>
      </c>
      <c r="AZ853" s="8" t="str">
        <f>'Q100a-geral'!AZ458</f>
        <v>x</v>
      </c>
      <c r="BA853" s="8" t="str">
        <f>'Q100a-geral'!BA458</f>
        <v>x</v>
      </c>
      <c r="BB853" s="8" t="str">
        <f>'Q100a-geral'!BB458</f>
        <v>BRTacessibilidade</v>
      </c>
      <c r="BC853" s="8" t="str">
        <f>'Q100a-geral'!BC458</f>
        <v>BRTacessibilidadex</v>
      </c>
      <c r="BD853" s="8" t="str">
        <f>'Q100a-geral'!BD458</f>
        <v>BRTx</v>
      </c>
    </row>
    <row r="854" spans="1:56" ht="38.25" x14ac:dyDescent="0.25">
      <c r="A854" s="406" t="str">
        <f>'Q100a-geral'!A416</f>
        <v>8.2</v>
      </c>
      <c r="B854" s="468" t="str">
        <f>'Q100a-geral'!B416</f>
        <v>BRT</v>
      </c>
      <c r="C854" s="13" t="str">
        <f>'Q100a-geral'!C416</f>
        <v>acessibilidade</v>
      </c>
      <c r="D854" s="324" t="str">
        <f>'Q100a-geral'!D416</f>
        <v>BRT IC AC (travessias)</v>
      </c>
      <c r="E854" s="481" t="str">
        <f>'Q100a-geral'!E416</f>
        <v>Belo Horizonte</v>
      </c>
      <c r="F854" s="619" t="str">
        <f>'Q100a-geral'!F416</f>
        <v>índice de conformidade com a acessibilidade do elemento "travessias" do módulo de análise "elementos das travessias" do corredor de BRT denominado "Área Central"
obs.1: calculado como a média dos BRT IC das estações inspecionadas</v>
      </c>
      <c r="G854" s="110" t="str">
        <f>'Q100a-geral'!G416</f>
        <v>registro na fonte</v>
      </c>
      <c r="H854" s="173" t="str">
        <f>'Q100a-geral'!H416</f>
        <v>x</v>
      </c>
      <c r="I854" s="57">
        <f>'Q100a-geral'!I416</f>
        <v>1</v>
      </c>
      <c r="J854" s="8" t="str">
        <f>'Q100a-geral'!J416</f>
        <v>x</v>
      </c>
      <c r="K854" s="8" t="str">
        <f>'Q100a-geral'!K416</f>
        <v>x</v>
      </c>
      <c r="L854" s="8" t="str">
        <f>'Q100a-geral'!L416</f>
        <v>x</v>
      </c>
      <c r="M854" s="8" t="str">
        <f>'Q100a-geral'!M416</f>
        <v>x</v>
      </c>
      <c r="N854" s="8" t="str">
        <f>'Q100a-geral'!N416</f>
        <v>x</v>
      </c>
      <c r="O854" s="8" t="str">
        <f>'Q100a-geral'!O416</f>
        <v>x</v>
      </c>
      <c r="P854" s="8" t="str">
        <f>'Q100a-geral'!P416</f>
        <v>x</v>
      </c>
      <c r="Q854" s="8" t="str">
        <f>'Q100a-geral'!Q416</f>
        <v>x</v>
      </c>
      <c r="R854" s="8" t="str">
        <f>'Q100a-geral'!R416</f>
        <v>x</v>
      </c>
      <c r="S854" s="8" t="str">
        <f>'Q100a-geral'!S416</f>
        <v>só para pesquisa</v>
      </c>
      <c r="T854" s="8" t="str">
        <f>'Q100a-geral'!T416</f>
        <v>x</v>
      </c>
      <c r="U854" s="8" t="str">
        <f>'Q100a-geral'!U416</f>
        <v>x</v>
      </c>
      <c r="V854" s="8" t="str">
        <f>'Q100a-geral'!V416</f>
        <v>só para pesquisa</v>
      </c>
      <c r="W854" s="8" t="str">
        <f>'Q100a-geral'!W416</f>
        <v>x</v>
      </c>
      <c r="X854" s="8" t="str">
        <f>'Q100a-geral'!X416</f>
        <v>x</v>
      </c>
      <c r="Y854" s="8" t="str">
        <f>'Q100a-geral'!Y416</f>
        <v>x</v>
      </c>
      <c r="Z854" s="8" t="str">
        <f>'Q100a-geral'!Z416</f>
        <v>x</v>
      </c>
      <c r="AA854" s="8" t="str">
        <f>'Q100a-geral'!AA416</f>
        <v>x</v>
      </c>
      <c r="AB854" s="8" t="str">
        <f>'Q100a-geral'!AB416</f>
        <v>x</v>
      </c>
      <c r="AC854" s="8" t="str">
        <f>'Q100a-geral'!AC416</f>
        <v>x</v>
      </c>
      <c r="AD854" s="8" t="str">
        <f>'Q100a-geral'!AD416</f>
        <v>x</v>
      </c>
      <c r="AE854" s="8" t="str">
        <f>'Q100a-geral'!AE416</f>
        <v>x</v>
      </c>
      <c r="AF854" s="8" t="str">
        <f>'Q100a-geral'!AF416</f>
        <v>x</v>
      </c>
      <c r="AG854" s="8" t="str">
        <f>'Q100a-geral'!AG416</f>
        <v>x</v>
      </c>
      <c r="AH854" s="8" t="str">
        <f>'Q100a-geral'!AH416</f>
        <v>x</v>
      </c>
      <c r="AI854" s="8" t="str">
        <f>'Q100a-geral'!AI416</f>
        <v>x</v>
      </c>
      <c r="AJ854" s="8" t="str">
        <f>'Q100a-geral'!AJ416</f>
        <v>x</v>
      </c>
      <c r="AK854" s="95">
        <f>'Q100a-geral'!AK416</f>
        <v>0.73</v>
      </c>
      <c r="AL854" s="8" t="str">
        <f>'Q100a-geral'!AL416</f>
        <v>x</v>
      </c>
      <c r="AM854" s="8" t="str">
        <f>'Q100a-geral'!AM416</f>
        <v>x</v>
      </c>
      <c r="AN854" s="8" t="str">
        <f>'Q100a-geral'!AN416</f>
        <v>x</v>
      </c>
      <c r="AO854" s="8" t="str">
        <f>'Q100a-geral'!AO416</f>
        <v>x</v>
      </c>
      <c r="AP854" s="8" t="str">
        <f>'Q100a-geral'!AP416</f>
        <v>x</v>
      </c>
      <c r="AQ854" s="8" t="str">
        <f>'Q100a-geral'!AQ416</f>
        <v>x</v>
      </c>
      <c r="AR854" s="8" t="str">
        <f>'Q100a-geral'!AR416</f>
        <v>x</v>
      </c>
      <c r="AS854" s="8" t="str">
        <f>'Q100a-geral'!AS416</f>
        <v>x</v>
      </c>
      <c r="AT854" s="8" t="str">
        <f>'Q100a-geral'!AT416</f>
        <v>x</v>
      </c>
      <c r="AU854" s="8" t="str">
        <f>'Q100a-geral'!AU416</f>
        <v>x</v>
      </c>
      <c r="AV854" s="8" t="str">
        <f>'Q100a-geral'!AV416</f>
        <v>x</v>
      </c>
      <c r="AW854" s="8" t="str">
        <f>'Q100a-geral'!AW416</f>
        <v>x</v>
      </c>
      <c r="AX854" s="8" t="str">
        <f>'Q100a-geral'!AX416</f>
        <v>x</v>
      </c>
      <c r="AY854" s="8" t="str">
        <f>'Q100a-geral'!AY416</f>
        <v>x</v>
      </c>
      <c r="AZ854" s="8" t="str">
        <f>'Q100a-geral'!AZ416</f>
        <v>x</v>
      </c>
      <c r="BA854" s="8" t="str">
        <f>'Q100a-geral'!BA416</f>
        <v>x</v>
      </c>
      <c r="BB854" s="8" t="str">
        <f>'Q100a-geral'!BB416</f>
        <v>BRTacessibilidade</v>
      </c>
      <c r="BC854" s="8" t="str">
        <f>'Q100a-geral'!BC416</f>
        <v>BRTacessibilidadex</v>
      </c>
      <c r="BD854" s="8" t="str">
        <f>'Q100a-geral'!BD416</f>
        <v>BRTx</v>
      </c>
    </row>
    <row r="855" spans="1:56" ht="38.25" x14ac:dyDescent="0.25">
      <c r="A855" s="406" t="str">
        <f>'Q100a-geral'!A438</f>
        <v>8.2</v>
      </c>
      <c r="B855" s="468" t="str">
        <f>'Q100a-geral'!B438</f>
        <v>BRT</v>
      </c>
      <c r="C855" s="13" t="str">
        <f>'Q100a-geral'!C438</f>
        <v>acessibilidade</v>
      </c>
      <c r="D855" s="324" t="str">
        <f>'Q100a-geral'!D438</f>
        <v>BRT IC ATC (travessias)</v>
      </c>
      <c r="E855" s="481" t="str">
        <f>'Q100a-geral'!E438</f>
        <v>Belo Horizonte</v>
      </c>
      <c r="F855" s="619" t="str">
        <f>'Q100a-geral'!F438</f>
        <v>índice de conformidade com a acessibilidade do elemento "travessias" do módulo de análise "elementos das travessias" do corredor de BRT denominado "Antônio Carlos"
obs.1: calculado como a média dos BRT IC das estações inspecionadas</v>
      </c>
      <c r="G855" s="110" t="str">
        <f>'Q100a-geral'!G438</f>
        <v>registro na fonte</v>
      </c>
      <c r="H855" s="173" t="str">
        <f>'Q100a-geral'!H438</f>
        <v>x</v>
      </c>
      <c r="I855" s="57">
        <f>'Q100a-geral'!I438</f>
        <v>1</v>
      </c>
      <c r="J855" s="8" t="str">
        <f>'Q100a-geral'!J438</f>
        <v>x</v>
      </c>
      <c r="K855" s="8" t="str">
        <f>'Q100a-geral'!K438</f>
        <v>x</v>
      </c>
      <c r="L855" s="8" t="str">
        <f>'Q100a-geral'!L438</f>
        <v>x</v>
      </c>
      <c r="M855" s="8" t="str">
        <f>'Q100a-geral'!M438</f>
        <v>x</v>
      </c>
      <c r="N855" s="8" t="str">
        <f>'Q100a-geral'!N438</f>
        <v>x</v>
      </c>
      <c r="O855" s="8" t="str">
        <f>'Q100a-geral'!O438</f>
        <v>x</v>
      </c>
      <c r="P855" s="8" t="str">
        <f>'Q100a-geral'!P438</f>
        <v>x</v>
      </c>
      <c r="Q855" s="8" t="str">
        <f>'Q100a-geral'!Q438</f>
        <v>x</v>
      </c>
      <c r="R855" s="8" t="str">
        <f>'Q100a-geral'!R438</f>
        <v>x</v>
      </c>
      <c r="S855" s="8" t="str">
        <f>'Q100a-geral'!S438</f>
        <v>só para pesquisa</v>
      </c>
      <c r="T855" s="8" t="str">
        <f>'Q100a-geral'!T438</f>
        <v>x</v>
      </c>
      <c r="U855" s="8" t="str">
        <f>'Q100a-geral'!U438</f>
        <v>x</v>
      </c>
      <c r="V855" s="8" t="str">
        <f>'Q100a-geral'!V438</f>
        <v>só para pesquisa</v>
      </c>
      <c r="W855" s="8" t="str">
        <f>'Q100a-geral'!W438</f>
        <v>x</v>
      </c>
      <c r="X855" s="8" t="str">
        <f>'Q100a-geral'!X438</f>
        <v>x</v>
      </c>
      <c r="Y855" s="8" t="str">
        <f>'Q100a-geral'!Y438</f>
        <v>x</v>
      </c>
      <c r="Z855" s="8" t="str">
        <f>'Q100a-geral'!Z438</f>
        <v>x</v>
      </c>
      <c r="AA855" s="8" t="str">
        <f>'Q100a-geral'!AA438</f>
        <v>x</v>
      </c>
      <c r="AB855" s="8" t="str">
        <f>'Q100a-geral'!AB438</f>
        <v>x</v>
      </c>
      <c r="AC855" s="8" t="str">
        <f>'Q100a-geral'!AC438</f>
        <v>x</v>
      </c>
      <c r="AD855" s="8" t="str">
        <f>'Q100a-geral'!AD438</f>
        <v>x</v>
      </c>
      <c r="AE855" s="8" t="str">
        <f>'Q100a-geral'!AE438</f>
        <v>x</v>
      </c>
      <c r="AF855" s="8" t="str">
        <f>'Q100a-geral'!AF438</f>
        <v>x</v>
      </c>
      <c r="AG855" s="8" t="str">
        <f>'Q100a-geral'!AG438</f>
        <v>x</v>
      </c>
      <c r="AH855" s="8" t="str">
        <f>'Q100a-geral'!AH438</f>
        <v>x</v>
      </c>
      <c r="AI855" s="8" t="str">
        <f>'Q100a-geral'!AI438</f>
        <v>x</v>
      </c>
      <c r="AJ855" s="8" t="str">
        <f>'Q100a-geral'!AJ438</f>
        <v>x</v>
      </c>
      <c r="AK855" s="95">
        <f>'Q100a-geral'!AK438</f>
        <v>0.56000000000000005</v>
      </c>
      <c r="AL855" s="8" t="str">
        <f>'Q100a-geral'!AL438</f>
        <v>x</v>
      </c>
      <c r="AM855" s="8" t="str">
        <f>'Q100a-geral'!AM438</f>
        <v>x</v>
      </c>
      <c r="AN855" s="8" t="str">
        <f>'Q100a-geral'!AN438</f>
        <v>x</v>
      </c>
      <c r="AO855" s="8" t="str">
        <f>'Q100a-geral'!AO438</f>
        <v>x</v>
      </c>
      <c r="AP855" s="8" t="str">
        <f>'Q100a-geral'!AP438</f>
        <v>x</v>
      </c>
      <c r="AQ855" s="8" t="str">
        <f>'Q100a-geral'!AQ438</f>
        <v>x</v>
      </c>
      <c r="AR855" s="8" t="str">
        <f>'Q100a-geral'!AR438</f>
        <v>x</v>
      </c>
      <c r="AS855" s="8" t="str">
        <f>'Q100a-geral'!AS438</f>
        <v>x</v>
      </c>
      <c r="AT855" s="8" t="str">
        <f>'Q100a-geral'!AT438</f>
        <v>x</v>
      </c>
      <c r="AU855" s="8" t="str">
        <f>'Q100a-geral'!AU438</f>
        <v>x</v>
      </c>
      <c r="AV855" s="8" t="str">
        <f>'Q100a-geral'!AV438</f>
        <v>x</v>
      </c>
      <c r="AW855" s="8" t="str">
        <f>'Q100a-geral'!AW438</f>
        <v>x</v>
      </c>
      <c r="AX855" s="8" t="str">
        <f>'Q100a-geral'!AX438</f>
        <v>x</v>
      </c>
      <c r="AY855" s="8" t="str">
        <f>'Q100a-geral'!AY438</f>
        <v>x</v>
      </c>
      <c r="AZ855" s="8" t="str">
        <f>'Q100a-geral'!AZ438</f>
        <v>x</v>
      </c>
      <c r="BA855" s="8" t="str">
        <f>'Q100a-geral'!BA438</f>
        <v>x</v>
      </c>
      <c r="BB855" s="8" t="str">
        <f>'Q100a-geral'!BB438</f>
        <v>BRTacessibilidade</v>
      </c>
      <c r="BC855" s="8" t="str">
        <f>'Q100a-geral'!BC438</f>
        <v>BRTacessibilidadex</v>
      </c>
      <c r="BD855" s="8" t="str">
        <f>'Q100a-geral'!BD438</f>
        <v>BRTx</v>
      </c>
    </row>
    <row r="856" spans="1:56" ht="38.25" x14ac:dyDescent="0.25">
      <c r="A856" s="406" t="str">
        <f>'Q100a-geral'!A460</f>
        <v>8.2</v>
      </c>
      <c r="B856" s="468" t="str">
        <f>'Q100a-geral'!B460</f>
        <v>BRT</v>
      </c>
      <c r="C856" s="13" t="str">
        <f>'Q100a-geral'!C460</f>
        <v>acessibilidade</v>
      </c>
      <c r="D856" s="324" t="str">
        <f>'Q100a-geral'!D460</f>
        <v>BRT IC CMC (travessias)</v>
      </c>
      <c r="E856" s="481" t="str">
        <f>'Q100a-geral'!E460</f>
        <v>Belo Horizonte</v>
      </c>
      <c r="F856" s="619" t="str">
        <f>'Q100a-geral'!F460</f>
        <v>índice de conformidade com a acessibilidade do elemento "travessias" do módulo de análise "elementos das travessias" do corredor de BRT denominado "Cristiano Machado"
obs.1: calculado como a média dos BRT IC das estações inspecionadas</v>
      </c>
      <c r="G856" s="110" t="str">
        <f>'Q100a-geral'!G460</f>
        <v>registro na fonte</v>
      </c>
      <c r="H856" s="173" t="str">
        <f>'Q100a-geral'!H460</f>
        <v>x</v>
      </c>
      <c r="I856" s="57">
        <f>'Q100a-geral'!I460</f>
        <v>1</v>
      </c>
      <c r="J856" s="8" t="str">
        <f>'Q100a-geral'!J460</f>
        <v>x</v>
      </c>
      <c r="K856" s="8" t="str">
        <f>'Q100a-geral'!K460</f>
        <v>x</v>
      </c>
      <c r="L856" s="8" t="str">
        <f>'Q100a-geral'!L460</f>
        <v>x</v>
      </c>
      <c r="M856" s="8" t="str">
        <f>'Q100a-geral'!M460</f>
        <v>x</v>
      </c>
      <c r="N856" s="8" t="str">
        <f>'Q100a-geral'!N460</f>
        <v>x</v>
      </c>
      <c r="O856" s="8" t="str">
        <f>'Q100a-geral'!O460</f>
        <v>x</v>
      </c>
      <c r="P856" s="8" t="str">
        <f>'Q100a-geral'!P460</f>
        <v>x</v>
      </c>
      <c r="Q856" s="8" t="str">
        <f>'Q100a-geral'!Q460</f>
        <v>x</v>
      </c>
      <c r="R856" s="8" t="str">
        <f>'Q100a-geral'!R460</f>
        <v>x</v>
      </c>
      <c r="S856" s="8" t="str">
        <f>'Q100a-geral'!S460</f>
        <v>só para pesquisa</v>
      </c>
      <c r="T856" s="8" t="str">
        <f>'Q100a-geral'!T460</f>
        <v>x</v>
      </c>
      <c r="U856" s="8" t="str">
        <f>'Q100a-geral'!U460</f>
        <v>x</v>
      </c>
      <c r="V856" s="8" t="str">
        <f>'Q100a-geral'!V460</f>
        <v>só para pesquisa</v>
      </c>
      <c r="W856" s="8" t="str">
        <f>'Q100a-geral'!W460</f>
        <v>x</v>
      </c>
      <c r="X856" s="8" t="str">
        <f>'Q100a-geral'!X460</f>
        <v>x</v>
      </c>
      <c r="Y856" s="8" t="str">
        <f>'Q100a-geral'!Y460</f>
        <v>x</v>
      </c>
      <c r="Z856" s="8" t="str">
        <f>'Q100a-geral'!Z460</f>
        <v>x</v>
      </c>
      <c r="AA856" s="8" t="str">
        <f>'Q100a-geral'!AA460</f>
        <v>x</v>
      </c>
      <c r="AB856" s="8" t="str">
        <f>'Q100a-geral'!AB460</f>
        <v>x</v>
      </c>
      <c r="AC856" s="8" t="str">
        <f>'Q100a-geral'!AC460</f>
        <v>x</v>
      </c>
      <c r="AD856" s="8" t="str">
        <f>'Q100a-geral'!AD460</f>
        <v>x</v>
      </c>
      <c r="AE856" s="8" t="str">
        <f>'Q100a-geral'!AE460</f>
        <v>x</v>
      </c>
      <c r="AF856" s="8" t="str">
        <f>'Q100a-geral'!AF460</f>
        <v>x</v>
      </c>
      <c r="AG856" s="8" t="str">
        <f>'Q100a-geral'!AG460</f>
        <v>x</v>
      </c>
      <c r="AH856" s="8" t="str">
        <f>'Q100a-geral'!AH460</f>
        <v>x</v>
      </c>
      <c r="AI856" s="8" t="str">
        <f>'Q100a-geral'!AI460</f>
        <v>x</v>
      </c>
      <c r="AJ856" s="8" t="str">
        <f>'Q100a-geral'!AJ460</f>
        <v>x</v>
      </c>
      <c r="AK856" s="95">
        <f>'Q100a-geral'!AK460</f>
        <v>0.63</v>
      </c>
      <c r="AL856" s="8" t="str">
        <f>'Q100a-geral'!AL460</f>
        <v>x</v>
      </c>
      <c r="AM856" s="8" t="str">
        <f>'Q100a-geral'!AM460</f>
        <v>x</v>
      </c>
      <c r="AN856" s="8" t="str">
        <f>'Q100a-geral'!AN460</f>
        <v>x</v>
      </c>
      <c r="AO856" s="8" t="str">
        <f>'Q100a-geral'!AO460</f>
        <v>x</v>
      </c>
      <c r="AP856" s="8" t="str">
        <f>'Q100a-geral'!AP460</f>
        <v>x</v>
      </c>
      <c r="AQ856" s="8" t="str">
        <f>'Q100a-geral'!AQ460</f>
        <v>x</v>
      </c>
      <c r="AR856" s="8" t="str">
        <f>'Q100a-geral'!AR460</f>
        <v>x</v>
      </c>
      <c r="AS856" s="8" t="str">
        <f>'Q100a-geral'!AS460</f>
        <v>x</v>
      </c>
      <c r="AT856" s="8" t="str">
        <f>'Q100a-geral'!AT460</f>
        <v>x</v>
      </c>
      <c r="AU856" s="8" t="str">
        <f>'Q100a-geral'!AU460</f>
        <v>x</v>
      </c>
      <c r="AV856" s="8" t="str">
        <f>'Q100a-geral'!AV460</f>
        <v>x</v>
      </c>
      <c r="AW856" s="8" t="str">
        <f>'Q100a-geral'!AW460</f>
        <v>x</v>
      </c>
      <c r="AX856" s="8" t="str">
        <f>'Q100a-geral'!AX460</f>
        <v>x</v>
      </c>
      <c r="AY856" s="8" t="str">
        <f>'Q100a-geral'!AY460</f>
        <v>x</v>
      </c>
      <c r="AZ856" s="8" t="str">
        <f>'Q100a-geral'!AZ460</f>
        <v>x</v>
      </c>
      <c r="BA856" s="8" t="str">
        <f>'Q100a-geral'!BA460</f>
        <v>x</v>
      </c>
      <c r="BB856" s="8" t="str">
        <f>'Q100a-geral'!BB460</f>
        <v>BRTacessibilidade</v>
      </c>
      <c r="BC856" s="8" t="str">
        <f>'Q100a-geral'!BC460</f>
        <v>BRTacessibilidadex</v>
      </c>
      <c r="BD856" s="8" t="str">
        <f>'Q100a-geral'!BD460</f>
        <v>BRTx</v>
      </c>
    </row>
    <row r="857" spans="1:56" ht="38.25" x14ac:dyDescent="0.25">
      <c r="A857" s="406" t="str">
        <f>'Q100a-geral'!A409</f>
        <v>8.2</v>
      </c>
      <c r="B857" s="468" t="str">
        <f>'Q100a-geral'!B409</f>
        <v>BRT</v>
      </c>
      <c r="C857" s="13" t="str">
        <f>'Q100a-geral'!C409</f>
        <v>acessibilidade</v>
      </c>
      <c r="D857" s="324" t="str">
        <f>'Q100a-geral'!D409</f>
        <v>BRT IC AC (passarelas geral)</v>
      </c>
      <c r="E857" s="481" t="str">
        <f>'Q100a-geral'!E409</f>
        <v>Belo Horizonte</v>
      </c>
      <c r="F857" s="619" t="str">
        <f>'Q100a-geral'!F409</f>
        <v>índice de conformidade com a acessibilidade do elemento "geral das passarelas" do módulo de análise "passarelas" do corredor de BRT denominado "Área Central"
obs.1: calculado como a média dos BRT IC das estações inspecionadas</v>
      </c>
      <c r="G857" s="110" t="str">
        <f>'Q100a-geral'!G409</f>
        <v>registro na fonte</v>
      </c>
      <c r="H857" s="173" t="str">
        <f>'Q100a-geral'!H409</f>
        <v>x</v>
      </c>
      <c r="I857" s="57">
        <f>'Q100a-geral'!I409</f>
        <v>1</v>
      </c>
      <c r="J857" s="8" t="str">
        <f>'Q100a-geral'!J409</f>
        <v>x</v>
      </c>
      <c r="K857" s="8" t="str">
        <f>'Q100a-geral'!K409</f>
        <v>x</v>
      </c>
      <c r="L857" s="8" t="str">
        <f>'Q100a-geral'!L409</f>
        <v>x</v>
      </c>
      <c r="M857" s="8" t="str">
        <f>'Q100a-geral'!M409</f>
        <v>x</v>
      </c>
      <c r="N857" s="8" t="str">
        <f>'Q100a-geral'!N409</f>
        <v>x</v>
      </c>
      <c r="O857" s="8" t="str">
        <f>'Q100a-geral'!O409</f>
        <v>x</v>
      </c>
      <c r="P857" s="8" t="str">
        <f>'Q100a-geral'!P409</f>
        <v>x</v>
      </c>
      <c r="Q857" s="8" t="str">
        <f>'Q100a-geral'!Q409</f>
        <v>x</v>
      </c>
      <c r="R857" s="8" t="str">
        <f>'Q100a-geral'!R409</f>
        <v>x</v>
      </c>
      <c r="S857" s="8" t="str">
        <f>'Q100a-geral'!S409</f>
        <v>só para pesquisa</v>
      </c>
      <c r="T857" s="8" t="str">
        <f>'Q100a-geral'!T409</f>
        <v>x</v>
      </c>
      <c r="U857" s="8" t="str">
        <f>'Q100a-geral'!U409</f>
        <v>x</v>
      </c>
      <c r="V857" s="8" t="str">
        <f>'Q100a-geral'!V409</f>
        <v>só para pesquisa</v>
      </c>
      <c r="W857" s="8" t="str">
        <f>'Q100a-geral'!W409</f>
        <v>x</v>
      </c>
      <c r="X857" s="8" t="str">
        <f>'Q100a-geral'!X409</f>
        <v>x</v>
      </c>
      <c r="Y857" s="8" t="str">
        <f>'Q100a-geral'!Y409</f>
        <v>x</v>
      </c>
      <c r="Z857" s="8" t="str">
        <f>'Q100a-geral'!Z409</f>
        <v>x</v>
      </c>
      <c r="AA857" s="8" t="str">
        <f>'Q100a-geral'!AA409</f>
        <v>x</v>
      </c>
      <c r="AB857" s="8" t="str">
        <f>'Q100a-geral'!AB409</f>
        <v>x</v>
      </c>
      <c r="AC857" s="8" t="str">
        <f>'Q100a-geral'!AC409</f>
        <v>x</v>
      </c>
      <c r="AD857" s="8" t="str">
        <f>'Q100a-geral'!AD409</f>
        <v>x</v>
      </c>
      <c r="AE857" s="8" t="str">
        <f>'Q100a-geral'!AE409</f>
        <v>x</v>
      </c>
      <c r="AF857" s="8" t="str">
        <f>'Q100a-geral'!AF409</f>
        <v>x</v>
      </c>
      <c r="AG857" s="8" t="str">
        <f>'Q100a-geral'!AG409</f>
        <v>x</v>
      </c>
      <c r="AH857" s="8" t="str">
        <f>'Q100a-geral'!AH409</f>
        <v>x</v>
      </c>
      <c r="AI857" s="8" t="str">
        <f>'Q100a-geral'!AI409</f>
        <v>x</v>
      </c>
      <c r="AJ857" s="8" t="str">
        <f>'Q100a-geral'!AJ409</f>
        <v>x</v>
      </c>
      <c r="AK857" s="882" t="str">
        <f>'Q100a-geral'!AK409</f>
        <v>x</v>
      </c>
      <c r="AL857" s="8" t="str">
        <f>'Q100a-geral'!AL409</f>
        <v>x</v>
      </c>
      <c r="AM857" s="8" t="str">
        <f>'Q100a-geral'!AM409</f>
        <v>x</v>
      </c>
      <c r="AN857" s="8" t="str">
        <f>'Q100a-geral'!AN409</f>
        <v>x</v>
      </c>
      <c r="AO857" s="8" t="str">
        <f>'Q100a-geral'!AO409</f>
        <v>x</v>
      </c>
      <c r="AP857" s="8" t="str">
        <f>'Q100a-geral'!AP409</f>
        <v>x</v>
      </c>
      <c r="AQ857" s="8" t="str">
        <f>'Q100a-geral'!AQ409</f>
        <v>x</v>
      </c>
      <c r="AR857" s="8" t="str">
        <f>'Q100a-geral'!AR409</f>
        <v>x</v>
      </c>
      <c r="AS857" s="8" t="str">
        <f>'Q100a-geral'!AS409</f>
        <v>x</v>
      </c>
      <c r="AT857" s="8" t="str">
        <f>'Q100a-geral'!AT409</f>
        <v>x</v>
      </c>
      <c r="AU857" s="8" t="str">
        <f>'Q100a-geral'!AU409</f>
        <v>x</v>
      </c>
      <c r="AV857" s="8" t="str">
        <f>'Q100a-geral'!AV409</f>
        <v>x</v>
      </c>
      <c r="AW857" s="8" t="str">
        <f>'Q100a-geral'!AW409</f>
        <v>x</v>
      </c>
      <c r="AX857" s="8" t="str">
        <f>'Q100a-geral'!AX409</f>
        <v>x</v>
      </c>
      <c r="AY857" s="8" t="str">
        <f>'Q100a-geral'!AY409</f>
        <v>x</v>
      </c>
      <c r="AZ857" s="8" t="str">
        <f>'Q100a-geral'!AZ409</f>
        <v>x</v>
      </c>
      <c r="BA857" s="8" t="str">
        <f>'Q100a-geral'!BA409</f>
        <v>x</v>
      </c>
      <c r="BB857" s="8" t="str">
        <f>'Q100a-geral'!BB409</f>
        <v>BRTacessibilidade</v>
      </c>
      <c r="BC857" s="8" t="str">
        <f>'Q100a-geral'!BC409</f>
        <v>BRTacessibilidadex</v>
      </c>
      <c r="BD857" s="8" t="str">
        <f>'Q100a-geral'!BD409</f>
        <v>BRTx</v>
      </c>
    </row>
    <row r="858" spans="1:56" ht="38.25" x14ac:dyDescent="0.25">
      <c r="A858" s="406" t="str">
        <f>'Q100a-geral'!A430</f>
        <v>8.2</v>
      </c>
      <c r="B858" s="468" t="str">
        <f>'Q100a-geral'!B430</f>
        <v>BRT</v>
      </c>
      <c r="C858" s="13" t="str">
        <f>'Q100a-geral'!C430</f>
        <v>acessibilidade</v>
      </c>
      <c r="D858" s="324" t="str">
        <f>'Q100a-geral'!D430</f>
        <v>BRT IC ATC (passarelas geral)</v>
      </c>
      <c r="E858" s="481" t="str">
        <f>'Q100a-geral'!E430</f>
        <v>Belo Horizonte</v>
      </c>
      <c r="F858" s="619" t="str">
        <f>'Q100a-geral'!F430</f>
        <v>índice de conformidade com a acessibilidade do elemento "geral das passarelas" do módulo de análise "passarelas" do corredor de BRT denominado "Antônio Carlos"
obs.1: calculado como a média dos BRT IC das estações inspecionadas</v>
      </c>
      <c r="G858" s="110" t="str">
        <f>'Q100a-geral'!G430</f>
        <v>registro na fonte</v>
      </c>
      <c r="H858" s="173" t="str">
        <f>'Q100a-geral'!H430</f>
        <v>x</v>
      </c>
      <c r="I858" s="57">
        <f>'Q100a-geral'!I430</f>
        <v>1</v>
      </c>
      <c r="J858" s="8" t="str">
        <f>'Q100a-geral'!J430</f>
        <v>x</v>
      </c>
      <c r="K858" s="8" t="str">
        <f>'Q100a-geral'!K430</f>
        <v>x</v>
      </c>
      <c r="L858" s="8" t="str">
        <f>'Q100a-geral'!L430</f>
        <v>x</v>
      </c>
      <c r="M858" s="8" t="str">
        <f>'Q100a-geral'!M430</f>
        <v>x</v>
      </c>
      <c r="N858" s="8" t="str">
        <f>'Q100a-geral'!N430</f>
        <v>x</v>
      </c>
      <c r="O858" s="8" t="str">
        <f>'Q100a-geral'!O430</f>
        <v>x</v>
      </c>
      <c r="P858" s="8" t="str">
        <f>'Q100a-geral'!P430</f>
        <v>x</v>
      </c>
      <c r="Q858" s="8" t="str">
        <f>'Q100a-geral'!Q430</f>
        <v>x</v>
      </c>
      <c r="R858" s="8" t="str">
        <f>'Q100a-geral'!R430</f>
        <v>x</v>
      </c>
      <c r="S858" s="8" t="str">
        <f>'Q100a-geral'!S430</f>
        <v>só para pesquisa</v>
      </c>
      <c r="T858" s="8" t="str">
        <f>'Q100a-geral'!T430</f>
        <v>x</v>
      </c>
      <c r="U858" s="8" t="str">
        <f>'Q100a-geral'!U430</f>
        <v>x</v>
      </c>
      <c r="V858" s="8" t="str">
        <f>'Q100a-geral'!V430</f>
        <v>só para pesquisa</v>
      </c>
      <c r="W858" s="8" t="str">
        <f>'Q100a-geral'!W430</f>
        <v>x</v>
      </c>
      <c r="X858" s="8" t="str">
        <f>'Q100a-geral'!X430</f>
        <v>x</v>
      </c>
      <c r="Y858" s="8" t="str">
        <f>'Q100a-geral'!Y430</f>
        <v>x</v>
      </c>
      <c r="Z858" s="8" t="str">
        <f>'Q100a-geral'!Z430</f>
        <v>x</v>
      </c>
      <c r="AA858" s="8" t="str">
        <f>'Q100a-geral'!AA430</f>
        <v>x</v>
      </c>
      <c r="AB858" s="8" t="str">
        <f>'Q100a-geral'!AB430</f>
        <v>x</v>
      </c>
      <c r="AC858" s="8" t="str">
        <f>'Q100a-geral'!AC430</f>
        <v>x</v>
      </c>
      <c r="AD858" s="8" t="str">
        <f>'Q100a-geral'!AD430</f>
        <v>x</v>
      </c>
      <c r="AE858" s="8" t="str">
        <f>'Q100a-geral'!AE430</f>
        <v>x</v>
      </c>
      <c r="AF858" s="8" t="str">
        <f>'Q100a-geral'!AF430</f>
        <v>x</v>
      </c>
      <c r="AG858" s="8" t="str">
        <f>'Q100a-geral'!AG430</f>
        <v>x</v>
      </c>
      <c r="AH858" s="8" t="str">
        <f>'Q100a-geral'!AH430</f>
        <v>x</v>
      </c>
      <c r="AI858" s="8" t="str">
        <f>'Q100a-geral'!AI430</f>
        <v>x</v>
      </c>
      <c r="AJ858" s="8" t="str">
        <f>'Q100a-geral'!AJ430</f>
        <v>x</v>
      </c>
      <c r="AK858" s="95">
        <f>'Q100a-geral'!AK430</f>
        <v>0.88</v>
      </c>
      <c r="AL858" s="8" t="str">
        <f>'Q100a-geral'!AL430</f>
        <v>x</v>
      </c>
      <c r="AM858" s="8" t="str">
        <f>'Q100a-geral'!AM430</f>
        <v>x</v>
      </c>
      <c r="AN858" s="8" t="str">
        <f>'Q100a-geral'!AN430</f>
        <v>x</v>
      </c>
      <c r="AO858" s="8" t="str">
        <f>'Q100a-geral'!AO430</f>
        <v>x</v>
      </c>
      <c r="AP858" s="8" t="str">
        <f>'Q100a-geral'!AP430</f>
        <v>x</v>
      </c>
      <c r="AQ858" s="8" t="str">
        <f>'Q100a-geral'!AQ430</f>
        <v>x</v>
      </c>
      <c r="AR858" s="8" t="str">
        <f>'Q100a-geral'!AR430</f>
        <v>x</v>
      </c>
      <c r="AS858" s="8" t="str">
        <f>'Q100a-geral'!AS430</f>
        <v>x</v>
      </c>
      <c r="AT858" s="8" t="str">
        <f>'Q100a-geral'!AT430</f>
        <v>x</v>
      </c>
      <c r="AU858" s="8" t="str">
        <f>'Q100a-geral'!AU430</f>
        <v>x</v>
      </c>
      <c r="AV858" s="8" t="str">
        <f>'Q100a-geral'!AV430</f>
        <v>x</v>
      </c>
      <c r="AW858" s="8" t="str">
        <f>'Q100a-geral'!AW430</f>
        <v>x</v>
      </c>
      <c r="AX858" s="8" t="str">
        <f>'Q100a-geral'!AX430</f>
        <v>x</v>
      </c>
      <c r="AY858" s="8" t="str">
        <f>'Q100a-geral'!AY430</f>
        <v>x</v>
      </c>
      <c r="AZ858" s="8" t="str">
        <f>'Q100a-geral'!AZ430</f>
        <v>x</v>
      </c>
      <c r="BA858" s="8" t="str">
        <f>'Q100a-geral'!BA430</f>
        <v>x</v>
      </c>
      <c r="BB858" s="8" t="str">
        <f>'Q100a-geral'!BB430</f>
        <v>BRTacessibilidade</v>
      </c>
      <c r="BC858" s="8" t="str">
        <f>'Q100a-geral'!BC430</f>
        <v>BRTacessibilidadex</v>
      </c>
      <c r="BD858" s="8" t="str">
        <f>'Q100a-geral'!BD430</f>
        <v>BRTx</v>
      </c>
    </row>
    <row r="859" spans="1:56" ht="38.25" x14ac:dyDescent="0.25">
      <c r="A859" s="406" t="str">
        <f>'Q100a-geral'!A452</f>
        <v>8.2</v>
      </c>
      <c r="B859" s="468" t="str">
        <f>'Q100a-geral'!B452</f>
        <v>BRT</v>
      </c>
      <c r="C859" s="13" t="str">
        <f>'Q100a-geral'!C452</f>
        <v>acessibilidade</v>
      </c>
      <c r="D859" s="324" t="str">
        <f>'Q100a-geral'!D452</f>
        <v>BRT IC CMC (passarelas geral)</v>
      </c>
      <c r="E859" s="481" t="str">
        <f>'Q100a-geral'!E452</f>
        <v>Belo Horizonte</v>
      </c>
      <c r="F859" s="619" t="str">
        <f>'Q100a-geral'!F452</f>
        <v>índice de conformidade com a acessibilidade do elemento "geral das passarelas" do módulo de análise "passarelas" do corredor de BRT denominado "Cristiano Machado"
obs.1: calculado como a média dos BRT IC das estações inspecionadas</v>
      </c>
      <c r="G859" s="110" t="str">
        <f>'Q100a-geral'!G452</f>
        <v>registro na fonte</v>
      </c>
      <c r="H859" s="173" t="str">
        <f>'Q100a-geral'!H452</f>
        <v>x</v>
      </c>
      <c r="I859" s="57">
        <f>'Q100a-geral'!I452</f>
        <v>1</v>
      </c>
      <c r="J859" s="8" t="str">
        <f>'Q100a-geral'!J452</f>
        <v>x</v>
      </c>
      <c r="K859" s="8" t="str">
        <f>'Q100a-geral'!K452</f>
        <v>x</v>
      </c>
      <c r="L859" s="8" t="str">
        <f>'Q100a-geral'!L452</f>
        <v>x</v>
      </c>
      <c r="M859" s="8" t="str">
        <f>'Q100a-geral'!M452</f>
        <v>x</v>
      </c>
      <c r="N859" s="8" t="str">
        <f>'Q100a-geral'!N452</f>
        <v>x</v>
      </c>
      <c r="O859" s="8" t="str">
        <f>'Q100a-geral'!O452</f>
        <v>x</v>
      </c>
      <c r="P859" s="8" t="str">
        <f>'Q100a-geral'!P452</f>
        <v>x</v>
      </c>
      <c r="Q859" s="8" t="str">
        <f>'Q100a-geral'!Q452</f>
        <v>x</v>
      </c>
      <c r="R859" s="8" t="str">
        <f>'Q100a-geral'!R452</f>
        <v>x</v>
      </c>
      <c r="S859" s="8" t="str">
        <f>'Q100a-geral'!S452</f>
        <v>só para pesquisa</v>
      </c>
      <c r="T859" s="8" t="str">
        <f>'Q100a-geral'!T452</f>
        <v>x</v>
      </c>
      <c r="U859" s="8" t="str">
        <f>'Q100a-geral'!U452</f>
        <v>x</v>
      </c>
      <c r="V859" s="8" t="str">
        <f>'Q100a-geral'!V452</f>
        <v>só para pesquisa</v>
      </c>
      <c r="W859" s="8" t="str">
        <f>'Q100a-geral'!W452</f>
        <v>x</v>
      </c>
      <c r="X859" s="8" t="str">
        <f>'Q100a-geral'!X452</f>
        <v>x</v>
      </c>
      <c r="Y859" s="8" t="str">
        <f>'Q100a-geral'!Y452</f>
        <v>x</v>
      </c>
      <c r="Z859" s="8" t="str">
        <f>'Q100a-geral'!Z452</f>
        <v>x</v>
      </c>
      <c r="AA859" s="8" t="str">
        <f>'Q100a-geral'!AA452</f>
        <v>x</v>
      </c>
      <c r="AB859" s="8" t="str">
        <f>'Q100a-geral'!AB452</f>
        <v>x</v>
      </c>
      <c r="AC859" s="8" t="str">
        <f>'Q100a-geral'!AC452</f>
        <v>x</v>
      </c>
      <c r="AD859" s="8" t="str">
        <f>'Q100a-geral'!AD452</f>
        <v>x</v>
      </c>
      <c r="AE859" s="8" t="str">
        <f>'Q100a-geral'!AE452</f>
        <v>x</v>
      </c>
      <c r="AF859" s="8" t="str">
        <f>'Q100a-geral'!AF452</f>
        <v>x</v>
      </c>
      <c r="AG859" s="8" t="str">
        <f>'Q100a-geral'!AG452</f>
        <v>x</v>
      </c>
      <c r="AH859" s="8" t="str">
        <f>'Q100a-geral'!AH452</f>
        <v>x</v>
      </c>
      <c r="AI859" s="8" t="str">
        <f>'Q100a-geral'!AI452</f>
        <v>x</v>
      </c>
      <c r="AJ859" s="8" t="str">
        <f>'Q100a-geral'!AJ452</f>
        <v>x</v>
      </c>
      <c r="AK859" s="95">
        <f>'Q100a-geral'!AK452</f>
        <v>0.85</v>
      </c>
      <c r="AL859" s="8" t="str">
        <f>'Q100a-geral'!AL452</f>
        <v>x</v>
      </c>
      <c r="AM859" s="8" t="str">
        <f>'Q100a-geral'!AM452</f>
        <v>x</v>
      </c>
      <c r="AN859" s="8" t="str">
        <f>'Q100a-geral'!AN452</f>
        <v>x</v>
      </c>
      <c r="AO859" s="8" t="str">
        <f>'Q100a-geral'!AO452</f>
        <v>x</v>
      </c>
      <c r="AP859" s="8" t="str">
        <f>'Q100a-geral'!AP452</f>
        <v>x</v>
      </c>
      <c r="AQ859" s="8" t="str">
        <f>'Q100a-geral'!AQ452</f>
        <v>x</v>
      </c>
      <c r="AR859" s="8" t="str">
        <f>'Q100a-geral'!AR452</f>
        <v>x</v>
      </c>
      <c r="AS859" s="8" t="str">
        <f>'Q100a-geral'!AS452</f>
        <v>x</v>
      </c>
      <c r="AT859" s="8" t="str">
        <f>'Q100a-geral'!AT452</f>
        <v>x</v>
      </c>
      <c r="AU859" s="8" t="str">
        <f>'Q100a-geral'!AU452</f>
        <v>x</v>
      </c>
      <c r="AV859" s="8" t="str">
        <f>'Q100a-geral'!AV452</f>
        <v>x</v>
      </c>
      <c r="AW859" s="8" t="str">
        <f>'Q100a-geral'!AW452</f>
        <v>x</v>
      </c>
      <c r="AX859" s="8" t="str">
        <f>'Q100a-geral'!AX452</f>
        <v>x</v>
      </c>
      <c r="AY859" s="8" t="str">
        <f>'Q100a-geral'!AY452</f>
        <v>x</v>
      </c>
      <c r="AZ859" s="8" t="str">
        <f>'Q100a-geral'!AZ452</f>
        <v>x</v>
      </c>
      <c r="BA859" s="8" t="str">
        <f>'Q100a-geral'!BA452</f>
        <v>x</v>
      </c>
      <c r="BB859" s="8" t="str">
        <f>'Q100a-geral'!BB452</f>
        <v>BRTacessibilidade</v>
      </c>
      <c r="BC859" s="8" t="str">
        <f>'Q100a-geral'!BC452</f>
        <v>BRTacessibilidadex</v>
      </c>
      <c r="BD859" s="8" t="str">
        <f>'Q100a-geral'!BD452</f>
        <v>BRTx</v>
      </c>
    </row>
    <row r="860" spans="1:56" ht="47.25" x14ac:dyDescent="0.25">
      <c r="A860" s="406" t="str">
        <f>'Q100a-geral'!A410</f>
        <v>8.2</v>
      </c>
      <c r="B860" s="468" t="str">
        <f>'Q100a-geral'!B410</f>
        <v>BRT</v>
      </c>
      <c r="C860" s="13" t="str">
        <f>'Q100a-geral'!C410</f>
        <v>acessibilidade</v>
      </c>
      <c r="D860" s="324" t="str">
        <f>'Q100a-geral'!D410</f>
        <v>BRT IC AC (passarelas rampas)</v>
      </c>
      <c r="E860" s="481" t="str">
        <f>'Q100a-geral'!E410</f>
        <v>Belo Horizonte</v>
      </c>
      <c r="F860" s="619" t="str">
        <f>'Q100a-geral'!F410</f>
        <v>índice de conformidade com a acessibilidade do elemento "rampas das passarelas" do módulo de análise "passarelas" do corredor de BRT denominado "Área Central"
obs.1: calculado como a média dos BRT IC das estações inspecionadas</v>
      </c>
      <c r="G860" s="110" t="str">
        <f>'Q100a-geral'!G410</f>
        <v>registro na fonte</v>
      </c>
      <c r="H860" s="173" t="str">
        <f>'Q100a-geral'!H410</f>
        <v>x</v>
      </c>
      <c r="I860" s="57">
        <f>'Q100a-geral'!I410</f>
        <v>1</v>
      </c>
      <c r="J860" s="8" t="str">
        <f>'Q100a-geral'!J410</f>
        <v>x</v>
      </c>
      <c r="K860" s="8" t="str">
        <f>'Q100a-geral'!K410</f>
        <v>x</v>
      </c>
      <c r="L860" s="8" t="str">
        <f>'Q100a-geral'!L410</f>
        <v>x</v>
      </c>
      <c r="M860" s="8" t="str">
        <f>'Q100a-geral'!M410</f>
        <v>x</v>
      </c>
      <c r="N860" s="8" t="str">
        <f>'Q100a-geral'!N410</f>
        <v>x</v>
      </c>
      <c r="O860" s="8" t="str">
        <f>'Q100a-geral'!O410</f>
        <v>x</v>
      </c>
      <c r="P860" s="8" t="str">
        <f>'Q100a-geral'!P410</f>
        <v>x</v>
      </c>
      <c r="Q860" s="8" t="str">
        <f>'Q100a-geral'!Q410</f>
        <v>x</v>
      </c>
      <c r="R860" s="8" t="str">
        <f>'Q100a-geral'!R410</f>
        <v>x</v>
      </c>
      <c r="S860" s="8" t="str">
        <f>'Q100a-geral'!S410</f>
        <v>só para pesquisa</v>
      </c>
      <c r="T860" s="8" t="str">
        <f>'Q100a-geral'!T410</f>
        <v>x</v>
      </c>
      <c r="U860" s="8" t="str">
        <f>'Q100a-geral'!U410</f>
        <v>x</v>
      </c>
      <c r="V860" s="8" t="str">
        <f>'Q100a-geral'!V410</f>
        <v>só para pesquisa</v>
      </c>
      <c r="W860" s="8" t="str">
        <f>'Q100a-geral'!W410</f>
        <v>x</v>
      </c>
      <c r="X860" s="8" t="str">
        <f>'Q100a-geral'!X410</f>
        <v>x</v>
      </c>
      <c r="Y860" s="8" t="str">
        <f>'Q100a-geral'!Y410</f>
        <v>x</v>
      </c>
      <c r="Z860" s="8" t="str">
        <f>'Q100a-geral'!Z410</f>
        <v>x</v>
      </c>
      <c r="AA860" s="8" t="str">
        <f>'Q100a-geral'!AA410</f>
        <v>x</v>
      </c>
      <c r="AB860" s="8" t="str">
        <f>'Q100a-geral'!AB410</f>
        <v>x</v>
      </c>
      <c r="AC860" s="8" t="str">
        <f>'Q100a-geral'!AC410</f>
        <v>x</v>
      </c>
      <c r="AD860" s="8" t="str">
        <f>'Q100a-geral'!AD410</f>
        <v>x</v>
      </c>
      <c r="AE860" s="8" t="str">
        <f>'Q100a-geral'!AE410</f>
        <v>x</v>
      </c>
      <c r="AF860" s="8" t="str">
        <f>'Q100a-geral'!AF410</f>
        <v>x</v>
      </c>
      <c r="AG860" s="8" t="str">
        <f>'Q100a-geral'!AG410</f>
        <v>x</v>
      </c>
      <c r="AH860" s="8" t="str">
        <f>'Q100a-geral'!AH410</f>
        <v>x</v>
      </c>
      <c r="AI860" s="8" t="str">
        <f>'Q100a-geral'!AI410</f>
        <v>x</v>
      </c>
      <c r="AJ860" s="8" t="str">
        <f>'Q100a-geral'!AJ410</f>
        <v>x</v>
      </c>
      <c r="AK860" s="882" t="str">
        <f>'Q100a-geral'!AK410</f>
        <v>x</v>
      </c>
      <c r="AL860" s="8" t="str">
        <f>'Q100a-geral'!AL410</f>
        <v>x</v>
      </c>
      <c r="AM860" s="8" t="str">
        <f>'Q100a-geral'!AM410</f>
        <v>x</v>
      </c>
      <c r="AN860" s="8" t="str">
        <f>'Q100a-geral'!AN410</f>
        <v>x</v>
      </c>
      <c r="AO860" s="8" t="str">
        <f>'Q100a-geral'!AO410</f>
        <v>x</v>
      </c>
      <c r="AP860" s="8" t="str">
        <f>'Q100a-geral'!AP410</f>
        <v>x</v>
      </c>
      <c r="AQ860" s="8" t="str">
        <f>'Q100a-geral'!AQ410</f>
        <v>x</v>
      </c>
      <c r="AR860" s="8" t="str">
        <f>'Q100a-geral'!AR410</f>
        <v>x</v>
      </c>
      <c r="AS860" s="8" t="str">
        <f>'Q100a-geral'!AS410</f>
        <v>x</v>
      </c>
      <c r="AT860" s="8" t="str">
        <f>'Q100a-geral'!AT410</f>
        <v>x</v>
      </c>
      <c r="AU860" s="8" t="str">
        <f>'Q100a-geral'!AU410</f>
        <v>x</v>
      </c>
      <c r="AV860" s="8" t="str">
        <f>'Q100a-geral'!AV410</f>
        <v>x</v>
      </c>
      <c r="AW860" s="8" t="str">
        <f>'Q100a-geral'!AW410</f>
        <v>x</v>
      </c>
      <c r="AX860" s="8" t="str">
        <f>'Q100a-geral'!AX410</f>
        <v>x</v>
      </c>
      <c r="AY860" s="8" t="str">
        <f>'Q100a-geral'!AY410</f>
        <v>x</v>
      </c>
      <c r="AZ860" s="8" t="str">
        <f>'Q100a-geral'!AZ410</f>
        <v>x</v>
      </c>
      <c r="BA860" s="8" t="str">
        <f>'Q100a-geral'!BA410</f>
        <v>x</v>
      </c>
      <c r="BB860" s="8" t="str">
        <f>'Q100a-geral'!BB410</f>
        <v>BRTacessibilidade</v>
      </c>
      <c r="BC860" s="8" t="str">
        <f>'Q100a-geral'!BC410</f>
        <v>BRTacessibilidadex</v>
      </c>
      <c r="BD860" s="8" t="str">
        <f>'Q100a-geral'!BD410</f>
        <v>BRTx</v>
      </c>
    </row>
    <row r="861" spans="1:56" ht="47.25" x14ac:dyDescent="0.25">
      <c r="A861" s="406" t="str">
        <f>'Q100a-geral'!A431</f>
        <v>8.2</v>
      </c>
      <c r="B861" s="468" t="str">
        <f>'Q100a-geral'!B431</f>
        <v>BRT</v>
      </c>
      <c r="C861" s="13" t="str">
        <f>'Q100a-geral'!C431</f>
        <v>acessibilidade</v>
      </c>
      <c r="D861" s="324" t="str">
        <f>'Q100a-geral'!D431</f>
        <v>BRT IC ATC (passarelas rampas)</v>
      </c>
      <c r="E861" s="481" t="str">
        <f>'Q100a-geral'!E431</f>
        <v>Belo Horizonte</v>
      </c>
      <c r="F861" s="619" t="str">
        <f>'Q100a-geral'!F431</f>
        <v>índice de conformidade com a acessibilidade do elemento "rampas das passarelas" do módulo de análise "passarelas" do corredor de BRT denominado "Antônio Carlos"
obs.1: calculado como a média dos BRT IC das estações inspecionadas</v>
      </c>
      <c r="G861" s="110" t="str">
        <f>'Q100a-geral'!G431</f>
        <v>registro na fonte</v>
      </c>
      <c r="H861" s="173" t="str">
        <f>'Q100a-geral'!H431</f>
        <v>x</v>
      </c>
      <c r="I861" s="57">
        <f>'Q100a-geral'!I431</f>
        <v>1</v>
      </c>
      <c r="J861" s="8" t="str">
        <f>'Q100a-geral'!J431</f>
        <v>x</v>
      </c>
      <c r="K861" s="8" t="str">
        <f>'Q100a-geral'!K431</f>
        <v>x</v>
      </c>
      <c r="L861" s="8" t="str">
        <f>'Q100a-geral'!L431</f>
        <v>x</v>
      </c>
      <c r="M861" s="8" t="str">
        <f>'Q100a-geral'!M431</f>
        <v>x</v>
      </c>
      <c r="N861" s="8" t="str">
        <f>'Q100a-geral'!N431</f>
        <v>x</v>
      </c>
      <c r="O861" s="8" t="str">
        <f>'Q100a-geral'!O431</f>
        <v>x</v>
      </c>
      <c r="P861" s="8" t="str">
        <f>'Q100a-geral'!P431</f>
        <v>x</v>
      </c>
      <c r="Q861" s="8" t="str">
        <f>'Q100a-geral'!Q431</f>
        <v>x</v>
      </c>
      <c r="R861" s="8" t="str">
        <f>'Q100a-geral'!R431</f>
        <v>x</v>
      </c>
      <c r="S861" s="8" t="str">
        <f>'Q100a-geral'!S431</f>
        <v>só para pesquisa</v>
      </c>
      <c r="T861" s="8" t="str">
        <f>'Q100a-geral'!T431</f>
        <v>x</v>
      </c>
      <c r="U861" s="8" t="str">
        <f>'Q100a-geral'!U431</f>
        <v>x</v>
      </c>
      <c r="V861" s="8" t="str">
        <f>'Q100a-geral'!V431</f>
        <v>só para pesquisa</v>
      </c>
      <c r="W861" s="8" t="str">
        <f>'Q100a-geral'!W431</f>
        <v>x</v>
      </c>
      <c r="X861" s="8" t="str">
        <f>'Q100a-geral'!X431</f>
        <v>x</v>
      </c>
      <c r="Y861" s="8" t="str">
        <f>'Q100a-geral'!Y431</f>
        <v>x</v>
      </c>
      <c r="Z861" s="8" t="str">
        <f>'Q100a-geral'!Z431</f>
        <v>x</v>
      </c>
      <c r="AA861" s="8" t="str">
        <f>'Q100a-geral'!AA431</f>
        <v>x</v>
      </c>
      <c r="AB861" s="8" t="str">
        <f>'Q100a-geral'!AB431</f>
        <v>x</v>
      </c>
      <c r="AC861" s="8" t="str">
        <f>'Q100a-geral'!AC431</f>
        <v>x</v>
      </c>
      <c r="AD861" s="8" t="str">
        <f>'Q100a-geral'!AD431</f>
        <v>x</v>
      </c>
      <c r="AE861" s="8" t="str">
        <f>'Q100a-geral'!AE431</f>
        <v>x</v>
      </c>
      <c r="AF861" s="8" t="str">
        <f>'Q100a-geral'!AF431</f>
        <v>x</v>
      </c>
      <c r="AG861" s="8" t="str">
        <f>'Q100a-geral'!AG431</f>
        <v>x</v>
      </c>
      <c r="AH861" s="8" t="str">
        <f>'Q100a-geral'!AH431</f>
        <v>x</v>
      </c>
      <c r="AI861" s="8" t="str">
        <f>'Q100a-geral'!AI431</f>
        <v>x</v>
      </c>
      <c r="AJ861" s="8" t="str">
        <f>'Q100a-geral'!AJ431</f>
        <v>x</v>
      </c>
      <c r="AK861" s="95">
        <f>'Q100a-geral'!AK431</f>
        <v>0.8</v>
      </c>
      <c r="AL861" s="8" t="str">
        <f>'Q100a-geral'!AL431</f>
        <v>x</v>
      </c>
      <c r="AM861" s="8" t="str">
        <f>'Q100a-geral'!AM431</f>
        <v>x</v>
      </c>
      <c r="AN861" s="8" t="str">
        <f>'Q100a-geral'!AN431</f>
        <v>x</v>
      </c>
      <c r="AO861" s="8" t="str">
        <f>'Q100a-geral'!AO431</f>
        <v>x</v>
      </c>
      <c r="AP861" s="8" t="str">
        <f>'Q100a-geral'!AP431</f>
        <v>x</v>
      </c>
      <c r="AQ861" s="8" t="str">
        <f>'Q100a-geral'!AQ431</f>
        <v>x</v>
      </c>
      <c r="AR861" s="8" t="str">
        <f>'Q100a-geral'!AR431</f>
        <v>x</v>
      </c>
      <c r="AS861" s="8" t="str">
        <f>'Q100a-geral'!AS431</f>
        <v>x</v>
      </c>
      <c r="AT861" s="8" t="str">
        <f>'Q100a-geral'!AT431</f>
        <v>x</v>
      </c>
      <c r="AU861" s="8" t="str">
        <f>'Q100a-geral'!AU431</f>
        <v>x</v>
      </c>
      <c r="AV861" s="8" t="str">
        <f>'Q100a-geral'!AV431</f>
        <v>x</v>
      </c>
      <c r="AW861" s="8" t="str">
        <f>'Q100a-geral'!AW431</f>
        <v>x</v>
      </c>
      <c r="AX861" s="8" t="str">
        <f>'Q100a-geral'!AX431</f>
        <v>x</v>
      </c>
      <c r="AY861" s="8" t="str">
        <f>'Q100a-geral'!AY431</f>
        <v>x</v>
      </c>
      <c r="AZ861" s="8" t="str">
        <f>'Q100a-geral'!AZ431</f>
        <v>x</v>
      </c>
      <c r="BA861" s="8" t="str">
        <f>'Q100a-geral'!BA431</f>
        <v>x</v>
      </c>
      <c r="BB861" s="8" t="str">
        <f>'Q100a-geral'!BB431</f>
        <v>BRTacessibilidade</v>
      </c>
      <c r="BC861" s="8" t="str">
        <f>'Q100a-geral'!BC431</f>
        <v>BRTacessibilidadex</v>
      </c>
      <c r="BD861" s="8" t="str">
        <f>'Q100a-geral'!BD431</f>
        <v>BRTx</v>
      </c>
    </row>
    <row r="862" spans="1:56" ht="47.25" x14ac:dyDescent="0.25">
      <c r="A862" s="406" t="str">
        <f>'Q100a-geral'!A453</f>
        <v>8.2</v>
      </c>
      <c r="B862" s="468" t="str">
        <f>'Q100a-geral'!B453</f>
        <v>BRT</v>
      </c>
      <c r="C862" s="13" t="str">
        <f>'Q100a-geral'!C453</f>
        <v>acessibilidade</v>
      </c>
      <c r="D862" s="324" t="str">
        <f>'Q100a-geral'!D453</f>
        <v>BRT IC CMC (passarelas rampas)</v>
      </c>
      <c r="E862" s="481" t="str">
        <f>'Q100a-geral'!E453</f>
        <v>Belo Horizonte</v>
      </c>
      <c r="F862" s="619" t="str">
        <f>'Q100a-geral'!F453</f>
        <v>índice de conformidade com a acessibilidade do elemento "rampas das passarelas" do módulo de análise "passarelas" do corredor de BRT denominado "Cristiano Machado"
obs.1: calculado como a média dos BRT IC das estações inspecionadas</v>
      </c>
      <c r="G862" s="110" t="str">
        <f>'Q100a-geral'!G453</f>
        <v>registro na fonte</v>
      </c>
      <c r="H862" s="173" t="str">
        <f>'Q100a-geral'!H453</f>
        <v>x</v>
      </c>
      <c r="I862" s="57">
        <f>'Q100a-geral'!I453</f>
        <v>1</v>
      </c>
      <c r="J862" s="8" t="str">
        <f>'Q100a-geral'!J453</f>
        <v>x</v>
      </c>
      <c r="K862" s="8" t="str">
        <f>'Q100a-geral'!K453</f>
        <v>x</v>
      </c>
      <c r="L862" s="8" t="str">
        <f>'Q100a-geral'!L453</f>
        <v>x</v>
      </c>
      <c r="M862" s="8" t="str">
        <f>'Q100a-geral'!M453</f>
        <v>x</v>
      </c>
      <c r="N862" s="8" t="str">
        <f>'Q100a-geral'!N453</f>
        <v>x</v>
      </c>
      <c r="O862" s="8" t="str">
        <f>'Q100a-geral'!O453</f>
        <v>x</v>
      </c>
      <c r="P862" s="8" t="str">
        <f>'Q100a-geral'!P453</f>
        <v>x</v>
      </c>
      <c r="Q862" s="8" t="str">
        <f>'Q100a-geral'!Q453</f>
        <v>x</v>
      </c>
      <c r="R862" s="8" t="str">
        <f>'Q100a-geral'!R453</f>
        <v>x</v>
      </c>
      <c r="S862" s="8" t="str">
        <f>'Q100a-geral'!S453</f>
        <v>só para pesquisa</v>
      </c>
      <c r="T862" s="8" t="str">
        <f>'Q100a-geral'!T453</f>
        <v>x</v>
      </c>
      <c r="U862" s="8" t="str">
        <f>'Q100a-geral'!U453</f>
        <v>x</v>
      </c>
      <c r="V862" s="8" t="str">
        <f>'Q100a-geral'!V453</f>
        <v>só para pesquisa</v>
      </c>
      <c r="W862" s="8" t="str">
        <f>'Q100a-geral'!W453</f>
        <v>x</v>
      </c>
      <c r="X862" s="8" t="str">
        <f>'Q100a-geral'!X453</f>
        <v>x</v>
      </c>
      <c r="Y862" s="8" t="str">
        <f>'Q100a-geral'!Y453</f>
        <v>x</v>
      </c>
      <c r="Z862" s="8" t="str">
        <f>'Q100a-geral'!Z453</f>
        <v>x</v>
      </c>
      <c r="AA862" s="8" t="str">
        <f>'Q100a-geral'!AA453</f>
        <v>x</v>
      </c>
      <c r="AB862" s="8" t="str">
        <f>'Q100a-geral'!AB453</f>
        <v>x</v>
      </c>
      <c r="AC862" s="8" t="str">
        <f>'Q100a-geral'!AC453</f>
        <v>x</v>
      </c>
      <c r="AD862" s="8" t="str">
        <f>'Q100a-geral'!AD453</f>
        <v>x</v>
      </c>
      <c r="AE862" s="8" t="str">
        <f>'Q100a-geral'!AE453</f>
        <v>x</v>
      </c>
      <c r="AF862" s="8" t="str">
        <f>'Q100a-geral'!AF453</f>
        <v>x</v>
      </c>
      <c r="AG862" s="8" t="str">
        <f>'Q100a-geral'!AG453</f>
        <v>x</v>
      </c>
      <c r="AH862" s="8" t="str">
        <f>'Q100a-geral'!AH453</f>
        <v>x</v>
      </c>
      <c r="AI862" s="8" t="str">
        <f>'Q100a-geral'!AI453</f>
        <v>x</v>
      </c>
      <c r="AJ862" s="8" t="str">
        <f>'Q100a-geral'!AJ453</f>
        <v>x</v>
      </c>
      <c r="AK862" s="95">
        <f>'Q100a-geral'!AK453</f>
        <v>0.71</v>
      </c>
      <c r="AL862" s="8" t="str">
        <f>'Q100a-geral'!AL453</f>
        <v>x</v>
      </c>
      <c r="AM862" s="8" t="str">
        <f>'Q100a-geral'!AM453</f>
        <v>x</v>
      </c>
      <c r="AN862" s="8" t="str">
        <f>'Q100a-geral'!AN453</f>
        <v>x</v>
      </c>
      <c r="AO862" s="8" t="str">
        <f>'Q100a-geral'!AO453</f>
        <v>x</v>
      </c>
      <c r="AP862" s="8" t="str">
        <f>'Q100a-geral'!AP453</f>
        <v>x</v>
      </c>
      <c r="AQ862" s="8" t="str">
        <f>'Q100a-geral'!AQ453</f>
        <v>x</v>
      </c>
      <c r="AR862" s="8" t="str">
        <f>'Q100a-geral'!AR453</f>
        <v>x</v>
      </c>
      <c r="AS862" s="8" t="str">
        <f>'Q100a-geral'!AS453</f>
        <v>x</v>
      </c>
      <c r="AT862" s="8" t="str">
        <f>'Q100a-geral'!AT453</f>
        <v>x</v>
      </c>
      <c r="AU862" s="8" t="str">
        <f>'Q100a-geral'!AU453</f>
        <v>x</v>
      </c>
      <c r="AV862" s="8" t="str">
        <f>'Q100a-geral'!AV453</f>
        <v>x</v>
      </c>
      <c r="AW862" s="8" t="str">
        <f>'Q100a-geral'!AW453</f>
        <v>x</v>
      </c>
      <c r="AX862" s="8" t="str">
        <f>'Q100a-geral'!AX453</f>
        <v>x</v>
      </c>
      <c r="AY862" s="8" t="str">
        <f>'Q100a-geral'!AY453</f>
        <v>x</v>
      </c>
      <c r="AZ862" s="8" t="str">
        <f>'Q100a-geral'!AZ453</f>
        <v>x</v>
      </c>
      <c r="BA862" s="8" t="str">
        <f>'Q100a-geral'!BA453</f>
        <v>x</v>
      </c>
      <c r="BB862" s="8" t="str">
        <f>'Q100a-geral'!BB453</f>
        <v>BRTacessibilidade</v>
      </c>
      <c r="BC862" s="8" t="str">
        <f>'Q100a-geral'!BC453</f>
        <v>BRTacessibilidadex</v>
      </c>
      <c r="BD862" s="8" t="str">
        <f>'Q100a-geral'!BD453</f>
        <v>BRTx</v>
      </c>
    </row>
    <row r="863" spans="1:56" ht="47.25" x14ac:dyDescent="0.25">
      <c r="A863" s="406" t="str">
        <f>'Q100a-geral'!A371</f>
        <v>8.2</v>
      </c>
      <c r="B863" s="468" t="str">
        <f>'Q100a-geral'!B371</f>
        <v>BRT</v>
      </c>
      <c r="C863" s="13" t="str">
        <f>'Q100a-geral'!C371</f>
        <v>acessibilidade</v>
      </c>
      <c r="D863" s="324" t="str">
        <f>'Q100a-geral'!D371</f>
        <v>BRT IC (elevadores passarelas)</v>
      </c>
      <c r="E863" s="481" t="str">
        <f>'Q100a-geral'!E371</f>
        <v>Belo Horizonte</v>
      </c>
      <c r="F863" s="619" t="str">
        <f>'Q100a-geral'!F371</f>
        <v>índice de conformidade com a acessibilidade do elemento "elevadores das passarelas" do módulo de análise "passarelas" do sistema BRT de Belo Horizonte
obs.1: não há elevador implantado em qualquer passarela no sistema BRT de Belo Horizonte</v>
      </c>
      <c r="G863" s="110" t="str">
        <f>'Q100a-geral'!G371</f>
        <v>observação do redator do registro</v>
      </c>
      <c r="H863" s="173" t="str">
        <f>'Q100a-geral'!H371</f>
        <v>x</v>
      </c>
      <c r="I863" s="57">
        <f>'Q100a-geral'!I371</f>
        <v>1</v>
      </c>
      <c r="J863" s="8" t="str">
        <f>'Q100a-geral'!J371</f>
        <v>x</v>
      </c>
      <c r="K863" s="8" t="str">
        <f>'Q100a-geral'!K371</f>
        <v>x</v>
      </c>
      <c r="L863" s="8" t="str">
        <f>'Q100a-geral'!L371</f>
        <v>x</v>
      </c>
      <c r="M863" s="8" t="str">
        <f>'Q100a-geral'!M371</f>
        <v>x</v>
      </c>
      <c r="N863" s="8" t="str">
        <f>'Q100a-geral'!N371</f>
        <v>x</v>
      </c>
      <c r="O863" s="8" t="str">
        <f>'Q100a-geral'!O371</f>
        <v>x</v>
      </c>
      <c r="P863" s="8" t="str">
        <f>'Q100a-geral'!P371</f>
        <v>x</v>
      </c>
      <c r="Q863" s="8" t="str">
        <f>'Q100a-geral'!Q371</f>
        <v>x</v>
      </c>
      <c r="R863" s="8" t="str">
        <f>'Q100a-geral'!R371</f>
        <v>x</v>
      </c>
      <c r="S863" s="8" t="str">
        <f>'Q100a-geral'!S371</f>
        <v>só para pesquisa</v>
      </c>
      <c r="T863" s="8" t="str">
        <f>'Q100a-geral'!T371</f>
        <v>x</v>
      </c>
      <c r="U863" s="8" t="str">
        <f>'Q100a-geral'!U371</f>
        <v>x</v>
      </c>
      <c r="V863" s="8" t="str">
        <f>'Q100a-geral'!V371</f>
        <v>só para pesquisa</v>
      </c>
      <c r="W863" s="8" t="str">
        <f>'Q100a-geral'!W371</f>
        <v>x</v>
      </c>
      <c r="X863" s="8" t="str">
        <f>'Q100a-geral'!X371</f>
        <v>x</v>
      </c>
      <c r="Y863" s="8" t="str">
        <f>'Q100a-geral'!Y371</f>
        <v>x</v>
      </c>
      <c r="Z863" s="8" t="str">
        <f>'Q100a-geral'!Z371</f>
        <v>x</v>
      </c>
      <c r="AA863" s="8" t="str">
        <f>'Q100a-geral'!AA371</f>
        <v>x</v>
      </c>
      <c r="AB863" s="8" t="str">
        <f>'Q100a-geral'!AB371</f>
        <v>x</v>
      </c>
      <c r="AC863" s="8" t="str">
        <f>'Q100a-geral'!AC371</f>
        <v>x</v>
      </c>
      <c r="AD863" s="8" t="str">
        <f>'Q100a-geral'!AD371</f>
        <v>x</v>
      </c>
      <c r="AE863" s="8" t="str">
        <f>'Q100a-geral'!AE371</f>
        <v>x</v>
      </c>
      <c r="AF863" s="8" t="str">
        <f>'Q100a-geral'!AF371</f>
        <v>x</v>
      </c>
      <c r="AG863" s="8" t="str">
        <f>'Q100a-geral'!AG371</f>
        <v>x</v>
      </c>
      <c r="AH863" s="8" t="str">
        <f>'Q100a-geral'!AH371</f>
        <v>x</v>
      </c>
      <c r="AI863" s="8" t="str">
        <f>'Q100a-geral'!AI371</f>
        <v>x</v>
      </c>
      <c r="AJ863" s="8" t="str">
        <f>'Q100a-geral'!AJ371</f>
        <v>x</v>
      </c>
      <c r="AK863" s="882" t="str">
        <f>'Q100a-geral'!AK371</f>
        <v>x</v>
      </c>
      <c r="AL863" s="8" t="str">
        <f>'Q100a-geral'!AL371</f>
        <v>x</v>
      </c>
      <c r="AM863" s="8" t="str">
        <f>'Q100a-geral'!AM371</f>
        <v>x</v>
      </c>
      <c r="AN863" s="8" t="str">
        <f>'Q100a-geral'!AN371</f>
        <v>x</v>
      </c>
      <c r="AO863" s="8" t="str">
        <f>'Q100a-geral'!AO371</f>
        <v>x</v>
      </c>
      <c r="AP863" s="8" t="str">
        <f>'Q100a-geral'!AP371</f>
        <v>x</v>
      </c>
      <c r="AQ863" s="8" t="str">
        <f>'Q100a-geral'!AQ371</f>
        <v>x</v>
      </c>
      <c r="AR863" s="8" t="str">
        <f>'Q100a-geral'!AR371</f>
        <v>x</v>
      </c>
      <c r="AS863" s="8" t="str">
        <f>'Q100a-geral'!AS371</f>
        <v>x</v>
      </c>
      <c r="AT863" s="8" t="str">
        <f>'Q100a-geral'!AT371</f>
        <v>x</v>
      </c>
      <c r="AU863" s="8" t="str">
        <f>'Q100a-geral'!AU371</f>
        <v>x</v>
      </c>
      <c r="AV863" s="8" t="str">
        <f>'Q100a-geral'!AV371</f>
        <v>x</v>
      </c>
      <c r="AW863" s="8" t="str">
        <f>'Q100a-geral'!AW371</f>
        <v>x</v>
      </c>
      <c r="AX863" s="8" t="str">
        <f>'Q100a-geral'!AX371</f>
        <v>x</v>
      </c>
      <c r="AY863" s="8" t="str">
        <f>'Q100a-geral'!AY371</f>
        <v>x</v>
      </c>
      <c r="AZ863" s="8" t="str">
        <f>'Q100a-geral'!AZ371</f>
        <v>x</v>
      </c>
      <c r="BA863" s="8" t="str">
        <f>'Q100a-geral'!BA371</f>
        <v>x</v>
      </c>
      <c r="BB863" s="8" t="str">
        <f>'Q100a-geral'!BB371</f>
        <v>BRTacessibilidade</v>
      </c>
      <c r="BC863" s="8" t="str">
        <f>'Q100a-geral'!BC371</f>
        <v>BRTacessibilidadex</v>
      </c>
      <c r="BD863" s="8" t="str">
        <f>'Q100a-geral'!BD371</f>
        <v>BRTx</v>
      </c>
    </row>
    <row r="864" spans="1:56" ht="47.25" x14ac:dyDescent="0.25">
      <c r="A864" s="406" t="str">
        <f>'Q100a-geral'!A372</f>
        <v>8.2</v>
      </c>
      <c r="B864" s="468" t="str">
        <f>'Q100a-geral'!B372</f>
        <v>BRT</v>
      </c>
      <c r="C864" s="13" t="str">
        <f>'Q100a-geral'!C372</f>
        <v>acessibilidade</v>
      </c>
      <c r="D864" s="324" t="str">
        <f>'Q100a-geral'!D372</f>
        <v>BRT IC (elevadores plataformas)</v>
      </c>
      <c r="E864" s="481" t="str">
        <f>'Q100a-geral'!E372</f>
        <v>Belo Horizonte</v>
      </c>
      <c r="F864" s="619" t="str">
        <f>'Q100a-geral'!F372</f>
        <v>índice de conformidade com a acessibilidade do elemento "elevadores dos acessos às plataformas" do módulo de análise "elementos de acesso às plataformas" do sistema BRT de Belo Horizonte
obs.1: não há elevador implantado em qualquer plataforma no sistema BRT de Belo Horizonte</v>
      </c>
      <c r="G864" s="110" t="str">
        <f>'Q100a-geral'!G372</f>
        <v>observação do redator do registro</v>
      </c>
      <c r="H864" s="173" t="str">
        <f>'Q100a-geral'!H372</f>
        <v>x</v>
      </c>
      <c r="I864" s="57">
        <f>'Q100a-geral'!I372</f>
        <v>1</v>
      </c>
      <c r="J864" s="8" t="str">
        <f>'Q100a-geral'!J372</f>
        <v>x</v>
      </c>
      <c r="K864" s="8" t="str">
        <f>'Q100a-geral'!K372</f>
        <v>x</v>
      </c>
      <c r="L864" s="8" t="str">
        <f>'Q100a-geral'!L372</f>
        <v>x</v>
      </c>
      <c r="M864" s="8" t="str">
        <f>'Q100a-geral'!M372</f>
        <v>x</v>
      </c>
      <c r="N864" s="8" t="str">
        <f>'Q100a-geral'!N372</f>
        <v>x</v>
      </c>
      <c r="O864" s="8" t="str">
        <f>'Q100a-geral'!O372</f>
        <v>x</v>
      </c>
      <c r="P864" s="8" t="str">
        <f>'Q100a-geral'!P372</f>
        <v>x</v>
      </c>
      <c r="Q864" s="8" t="str">
        <f>'Q100a-geral'!Q372</f>
        <v>x</v>
      </c>
      <c r="R864" s="8" t="str">
        <f>'Q100a-geral'!R372</f>
        <v>x</v>
      </c>
      <c r="S864" s="8" t="str">
        <f>'Q100a-geral'!S372</f>
        <v>só para pesquisa</v>
      </c>
      <c r="T864" s="8" t="str">
        <f>'Q100a-geral'!T372</f>
        <v>x</v>
      </c>
      <c r="U864" s="8" t="str">
        <f>'Q100a-geral'!U372</f>
        <v>x</v>
      </c>
      <c r="V864" s="8" t="str">
        <f>'Q100a-geral'!V372</f>
        <v>só para pesquisa</v>
      </c>
      <c r="W864" s="8" t="str">
        <f>'Q100a-geral'!W372</f>
        <v>x</v>
      </c>
      <c r="X864" s="8" t="str">
        <f>'Q100a-geral'!X372</f>
        <v>x</v>
      </c>
      <c r="Y864" s="8" t="str">
        <f>'Q100a-geral'!Y372</f>
        <v>x</v>
      </c>
      <c r="Z864" s="8" t="str">
        <f>'Q100a-geral'!Z372</f>
        <v>x</v>
      </c>
      <c r="AA864" s="8" t="str">
        <f>'Q100a-geral'!AA372</f>
        <v>x</v>
      </c>
      <c r="AB864" s="8" t="str">
        <f>'Q100a-geral'!AB372</f>
        <v>x</v>
      </c>
      <c r="AC864" s="8" t="str">
        <f>'Q100a-geral'!AC372</f>
        <v>x</v>
      </c>
      <c r="AD864" s="8" t="str">
        <f>'Q100a-geral'!AD372</f>
        <v>x</v>
      </c>
      <c r="AE864" s="8" t="str">
        <f>'Q100a-geral'!AE372</f>
        <v>x</v>
      </c>
      <c r="AF864" s="8" t="str">
        <f>'Q100a-geral'!AF372</f>
        <v>x</v>
      </c>
      <c r="AG864" s="8" t="str">
        <f>'Q100a-geral'!AG372</f>
        <v>x</v>
      </c>
      <c r="AH864" s="8" t="str">
        <f>'Q100a-geral'!AH372</f>
        <v>x</v>
      </c>
      <c r="AI864" s="8" t="str">
        <f>'Q100a-geral'!AI372</f>
        <v>x</v>
      </c>
      <c r="AJ864" s="8" t="str">
        <f>'Q100a-geral'!AJ372</f>
        <v>x</v>
      </c>
      <c r="AK864" s="882" t="str">
        <f>'Q100a-geral'!AK372</f>
        <v>x</v>
      </c>
      <c r="AL864" s="8" t="str">
        <f>'Q100a-geral'!AL372</f>
        <v>x</v>
      </c>
      <c r="AM864" s="8" t="str">
        <f>'Q100a-geral'!AM372</f>
        <v>x</v>
      </c>
      <c r="AN864" s="8" t="str">
        <f>'Q100a-geral'!AN372</f>
        <v>x</v>
      </c>
      <c r="AO864" s="8" t="str">
        <f>'Q100a-geral'!AO372</f>
        <v>x</v>
      </c>
      <c r="AP864" s="8" t="str">
        <f>'Q100a-geral'!AP372</f>
        <v>x</v>
      </c>
      <c r="AQ864" s="8" t="str">
        <f>'Q100a-geral'!AQ372</f>
        <v>x</v>
      </c>
      <c r="AR864" s="8" t="str">
        <f>'Q100a-geral'!AR372</f>
        <v>x</v>
      </c>
      <c r="AS864" s="8" t="str">
        <f>'Q100a-geral'!AS372</f>
        <v>x</v>
      </c>
      <c r="AT864" s="8" t="str">
        <f>'Q100a-geral'!AT372</f>
        <v>x</v>
      </c>
      <c r="AU864" s="8" t="str">
        <f>'Q100a-geral'!AU372</f>
        <v>x</v>
      </c>
      <c r="AV864" s="8" t="str">
        <f>'Q100a-geral'!AV372</f>
        <v>x</v>
      </c>
      <c r="AW864" s="8" t="str">
        <f>'Q100a-geral'!AW372</f>
        <v>x</v>
      </c>
      <c r="AX864" s="8" t="str">
        <f>'Q100a-geral'!AX372</f>
        <v>x</v>
      </c>
      <c r="AY864" s="8" t="str">
        <f>'Q100a-geral'!AY372</f>
        <v>x</v>
      </c>
      <c r="AZ864" s="8" t="str">
        <f>'Q100a-geral'!AZ372</f>
        <v>x</v>
      </c>
      <c r="BA864" s="8" t="str">
        <f>'Q100a-geral'!BA372</f>
        <v>x</v>
      </c>
      <c r="BB864" s="8" t="str">
        <f>'Q100a-geral'!BB372</f>
        <v>BRTacessibilidade</v>
      </c>
      <c r="BC864" s="8" t="str">
        <f>'Q100a-geral'!BC372</f>
        <v>BRTacessibilidadex</v>
      </c>
      <c r="BD864" s="8" t="str">
        <f>'Q100a-geral'!BD372</f>
        <v>BRTx</v>
      </c>
    </row>
    <row r="865" spans="1:56" ht="76.5" x14ac:dyDescent="0.25">
      <c r="A865" s="406" t="str">
        <f>'Q100a-geral'!A387</f>
        <v>8.2</v>
      </c>
      <c r="B865" s="468" t="str">
        <f>'Q100a-geral'!B387</f>
        <v>BRT</v>
      </c>
      <c r="C865" s="13" t="str">
        <f>'Q100a-geral'!C387</f>
        <v>acessibilidade</v>
      </c>
      <c r="D865" s="324" t="str">
        <f>'Q100a-geral'!D387</f>
        <v>BRT IC (plataformas elevatórias)</v>
      </c>
      <c r="E865" s="481" t="str">
        <f>'Q100a-geral'!E387</f>
        <v>Belo Horizonte</v>
      </c>
      <c r="F865" s="619" t="str">
        <f>'Q100a-geral'!F387</f>
        <v>índice de conformidade com a acessibilidade do elemento "plataformas elevatórias não enclausuradas" do módulo de análise "elementos de acesso às plataformas" do sistema BRT de Belo Horizonte
obs.1: não há elevador implantado em qualquer plataforma no sistema BRT de Belo Horizonte, a despeito do projeto do corredor Área Central ter sido concebido para implantação de uma plataforma elevatória ao lado da escada existente em cada uma das duas entradas de cada uma de suas seis estações</v>
      </c>
      <c r="G865" s="110" t="str">
        <f>'Q100a-geral'!G387</f>
        <v>observação do redator do registro</v>
      </c>
      <c r="H865" s="173" t="str">
        <f>'Q100a-geral'!H387</f>
        <v>x</v>
      </c>
      <c r="I865" s="57">
        <f>'Q100a-geral'!I387</f>
        <v>1</v>
      </c>
      <c r="J865" s="8" t="str">
        <f>'Q100a-geral'!J387</f>
        <v>x</v>
      </c>
      <c r="K865" s="8" t="str">
        <f>'Q100a-geral'!K387</f>
        <v>x</v>
      </c>
      <c r="L865" s="8" t="str">
        <f>'Q100a-geral'!L387</f>
        <v>x</v>
      </c>
      <c r="M865" s="8" t="str">
        <f>'Q100a-geral'!M387</f>
        <v>x</v>
      </c>
      <c r="N865" s="8" t="str">
        <f>'Q100a-geral'!N387</f>
        <v>x</v>
      </c>
      <c r="O865" s="8" t="str">
        <f>'Q100a-geral'!O387</f>
        <v>x</v>
      </c>
      <c r="P865" s="8" t="str">
        <f>'Q100a-geral'!P387</f>
        <v>x</v>
      </c>
      <c r="Q865" s="8" t="str">
        <f>'Q100a-geral'!Q387</f>
        <v>x</v>
      </c>
      <c r="R865" s="8" t="str">
        <f>'Q100a-geral'!R387</f>
        <v>x</v>
      </c>
      <c r="S865" s="8" t="str">
        <f>'Q100a-geral'!S387</f>
        <v>só para pesquisa</v>
      </c>
      <c r="T865" s="8" t="str">
        <f>'Q100a-geral'!T387</f>
        <v>x</v>
      </c>
      <c r="U865" s="8" t="str">
        <f>'Q100a-geral'!U387</f>
        <v>x</v>
      </c>
      <c r="V865" s="8" t="str">
        <f>'Q100a-geral'!V387</f>
        <v>só para pesquisa</v>
      </c>
      <c r="W865" s="8" t="str">
        <f>'Q100a-geral'!W387</f>
        <v>x</v>
      </c>
      <c r="X865" s="8" t="str">
        <f>'Q100a-geral'!X387</f>
        <v>x</v>
      </c>
      <c r="Y865" s="8" t="str">
        <f>'Q100a-geral'!Y387</f>
        <v>x</v>
      </c>
      <c r="Z865" s="8" t="str">
        <f>'Q100a-geral'!Z387</f>
        <v>x</v>
      </c>
      <c r="AA865" s="8" t="str">
        <f>'Q100a-geral'!AA387</f>
        <v>x</v>
      </c>
      <c r="AB865" s="8" t="str">
        <f>'Q100a-geral'!AB387</f>
        <v>x</v>
      </c>
      <c r="AC865" s="8" t="str">
        <f>'Q100a-geral'!AC387</f>
        <v>x</v>
      </c>
      <c r="AD865" s="8" t="str">
        <f>'Q100a-geral'!AD387</f>
        <v>x</v>
      </c>
      <c r="AE865" s="8" t="str">
        <f>'Q100a-geral'!AE387</f>
        <v>x</v>
      </c>
      <c r="AF865" s="8" t="str">
        <f>'Q100a-geral'!AF387</f>
        <v>x</v>
      </c>
      <c r="AG865" s="8" t="str">
        <f>'Q100a-geral'!AG387</f>
        <v>x</v>
      </c>
      <c r="AH865" s="8" t="str">
        <f>'Q100a-geral'!AH387</f>
        <v>x</v>
      </c>
      <c r="AI865" s="8" t="str">
        <f>'Q100a-geral'!AI387</f>
        <v>x</v>
      </c>
      <c r="AJ865" s="8" t="str">
        <f>'Q100a-geral'!AJ387</f>
        <v>x</v>
      </c>
      <c r="AK865" s="882" t="str">
        <f>'Q100a-geral'!AK387</f>
        <v>x</v>
      </c>
      <c r="AL865" s="8" t="str">
        <f>'Q100a-geral'!AL387</f>
        <v>x</v>
      </c>
      <c r="AM865" s="8" t="str">
        <f>'Q100a-geral'!AM387</f>
        <v>x</v>
      </c>
      <c r="AN865" s="8" t="str">
        <f>'Q100a-geral'!AN387</f>
        <v>x</v>
      </c>
      <c r="AO865" s="8" t="str">
        <f>'Q100a-geral'!AO387</f>
        <v>x</v>
      </c>
      <c r="AP865" s="8" t="str">
        <f>'Q100a-geral'!AP387</f>
        <v>x</v>
      </c>
      <c r="AQ865" s="8" t="str">
        <f>'Q100a-geral'!AQ387</f>
        <v>x</v>
      </c>
      <c r="AR865" s="8" t="str">
        <f>'Q100a-geral'!AR387</f>
        <v>x</v>
      </c>
      <c r="AS865" s="8" t="str">
        <f>'Q100a-geral'!AS387</f>
        <v>x</v>
      </c>
      <c r="AT865" s="8" t="str">
        <f>'Q100a-geral'!AT387</f>
        <v>x</v>
      </c>
      <c r="AU865" s="8" t="str">
        <f>'Q100a-geral'!AU387</f>
        <v>x</v>
      </c>
      <c r="AV865" s="8" t="str">
        <f>'Q100a-geral'!AV387</f>
        <v>x</v>
      </c>
      <c r="AW865" s="8" t="str">
        <f>'Q100a-geral'!AW387</f>
        <v>x</v>
      </c>
      <c r="AX865" s="8" t="str">
        <f>'Q100a-geral'!AX387</f>
        <v>x</v>
      </c>
      <c r="AY865" s="8" t="str">
        <f>'Q100a-geral'!AY387</f>
        <v>x</v>
      </c>
      <c r="AZ865" s="8" t="str">
        <f>'Q100a-geral'!AZ387</f>
        <v>x</v>
      </c>
      <c r="BA865" s="8" t="str">
        <f>'Q100a-geral'!BA387</f>
        <v>x</v>
      </c>
      <c r="BB865" s="8" t="str">
        <f>'Q100a-geral'!BB387</f>
        <v>BRTacessibilidade</v>
      </c>
      <c r="BC865" s="8" t="str">
        <f>'Q100a-geral'!BC387</f>
        <v>BRTacessibilidadex</v>
      </c>
      <c r="BD865" s="8" t="str">
        <f>'Q100a-geral'!BD387</f>
        <v>BRTx</v>
      </c>
    </row>
    <row r="866" spans="1:56" ht="47.25" x14ac:dyDescent="0.25">
      <c r="A866" s="406" t="str">
        <f>'Q100a-geral'!A408</f>
        <v>8.2</v>
      </c>
      <c r="B866" s="468" t="str">
        <f>'Q100a-geral'!B408</f>
        <v>BRT</v>
      </c>
      <c r="C866" s="13" t="str">
        <f>'Q100a-geral'!C408</f>
        <v>acessibilidade</v>
      </c>
      <c r="D866" s="324" t="str">
        <f>'Q100a-geral'!D408</f>
        <v>BRT IC AC (passarelas escadarias)</v>
      </c>
      <c r="E866" s="481" t="str">
        <f>'Q100a-geral'!E408</f>
        <v>Belo Horizonte</v>
      </c>
      <c r="F866" s="619" t="str">
        <f>'Q100a-geral'!F408</f>
        <v>índice de conformidade com a acessibilidade do elemento "escadarias das passarelas" do módulo de análise "passarelas" do corredor de BRT denominado "Área Central"
obs.1: calculado como a média dos BRT IC das estações inspecionadas</v>
      </c>
      <c r="G866" s="110" t="str">
        <f>'Q100a-geral'!G408</f>
        <v>registro na fonte</v>
      </c>
      <c r="H866" s="173" t="str">
        <f>'Q100a-geral'!H408</f>
        <v>x</v>
      </c>
      <c r="I866" s="57">
        <f>'Q100a-geral'!I408</f>
        <v>1</v>
      </c>
      <c r="J866" s="8" t="str">
        <f>'Q100a-geral'!J408</f>
        <v>x</v>
      </c>
      <c r="K866" s="8" t="str">
        <f>'Q100a-geral'!K408</f>
        <v>x</v>
      </c>
      <c r="L866" s="8" t="str">
        <f>'Q100a-geral'!L408</f>
        <v>x</v>
      </c>
      <c r="M866" s="8" t="str">
        <f>'Q100a-geral'!M408</f>
        <v>x</v>
      </c>
      <c r="N866" s="8" t="str">
        <f>'Q100a-geral'!N408</f>
        <v>x</v>
      </c>
      <c r="O866" s="8" t="str">
        <f>'Q100a-geral'!O408</f>
        <v>x</v>
      </c>
      <c r="P866" s="8" t="str">
        <f>'Q100a-geral'!P408</f>
        <v>x</v>
      </c>
      <c r="Q866" s="8" t="str">
        <f>'Q100a-geral'!Q408</f>
        <v>x</v>
      </c>
      <c r="R866" s="8" t="str">
        <f>'Q100a-geral'!R408</f>
        <v>x</v>
      </c>
      <c r="S866" s="8" t="str">
        <f>'Q100a-geral'!S408</f>
        <v>só para pesquisa</v>
      </c>
      <c r="T866" s="8" t="str">
        <f>'Q100a-geral'!T408</f>
        <v>x</v>
      </c>
      <c r="U866" s="8" t="str">
        <f>'Q100a-geral'!U408</f>
        <v>x</v>
      </c>
      <c r="V866" s="8" t="str">
        <f>'Q100a-geral'!V408</f>
        <v>só para pesquisa</v>
      </c>
      <c r="W866" s="8" t="str">
        <f>'Q100a-geral'!W408</f>
        <v>x</v>
      </c>
      <c r="X866" s="8" t="str">
        <f>'Q100a-geral'!X408</f>
        <v>x</v>
      </c>
      <c r="Y866" s="8" t="str">
        <f>'Q100a-geral'!Y408</f>
        <v>x</v>
      </c>
      <c r="Z866" s="8" t="str">
        <f>'Q100a-geral'!Z408</f>
        <v>x</v>
      </c>
      <c r="AA866" s="8" t="str">
        <f>'Q100a-geral'!AA408</f>
        <v>x</v>
      </c>
      <c r="AB866" s="8" t="str">
        <f>'Q100a-geral'!AB408</f>
        <v>x</v>
      </c>
      <c r="AC866" s="8" t="str">
        <f>'Q100a-geral'!AC408</f>
        <v>x</v>
      </c>
      <c r="AD866" s="8" t="str">
        <f>'Q100a-geral'!AD408</f>
        <v>x</v>
      </c>
      <c r="AE866" s="8" t="str">
        <f>'Q100a-geral'!AE408</f>
        <v>x</v>
      </c>
      <c r="AF866" s="8" t="str">
        <f>'Q100a-geral'!AF408</f>
        <v>x</v>
      </c>
      <c r="AG866" s="8" t="str">
        <f>'Q100a-geral'!AG408</f>
        <v>x</v>
      </c>
      <c r="AH866" s="8" t="str">
        <f>'Q100a-geral'!AH408</f>
        <v>x</v>
      </c>
      <c r="AI866" s="8" t="str">
        <f>'Q100a-geral'!AI408</f>
        <v>x</v>
      </c>
      <c r="AJ866" s="8" t="str">
        <f>'Q100a-geral'!AJ408</f>
        <v>x</v>
      </c>
      <c r="AK866" s="882" t="str">
        <f>'Q100a-geral'!AK408</f>
        <v>x</v>
      </c>
      <c r="AL866" s="8" t="str">
        <f>'Q100a-geral'!AL408</f>
        <v>x</v>
      </c>
      <c r="AM866" s="8" t="str">
        <f>'Q100a-geral'!AM408</f>
        <v>x</v>
      </c>
      <c r="AN866" s="8" t="str">
        <f>'Q100a-geral'!AN408</f>
        <v>x</v>
      </c>
      <c r="AO866" s="8" t="str">
        <f>'Q100a-geral'!AO408</f>
        <v>x</v>
      </c>
      <c r="AP866" s="8" t="str">
        <f>'Q100a-geral'!AP408</f>
        <v>x</v>
      </c>
      <c r="AQ866" s="8" t="str">
        <f>'Q100a-geral'!AQ408</f>
        <v>x</v>
      </c>
      <c r="AR866" s="8" t="str">
        <f>'Q100a-geral'!AR408</f>
        <v>x</v>
      </c>
      <c r="AS866" s="8" t="str">
        <f>'Q100a-geral'!AS408</f>
        <v>x</v>
      </c>
      <c r="AT866" s="8" t="str">
        <f>'Q100a-geral'!AT408</f>
        <v>x</v>
      </c>
      <c r="AU866" s="8" t="str">
        <f>'Q100a-geral'!AU408</f>
        <v>x</v>
      </c>
      <c r="AV866" s="8" t="str">
        <f>'Q100a-geral'!AV408</f>
        <v>x</v>
      </c>
      <c r="AW866" s="8" t="str">
        <f>'Q100a-geral'!AW408</f>
        <v>x</v>
      </c>
      <c r="AX866" s="8" t="str">
        <f>'Q100a-geral'!AX408</f>
        <v>x</v>
      </c>
      <c r="AY866" s="8" t="str">
        <f>'Q100a-geral'!AY408</f>
        <v>x</v>
      </c>
      <c r="AZ866" s="8" t="str">
        <f>'Q100a-geral'!AZ408</f>
        <v>x</v>
      </c>
      <c r="BA866" s="8" t="str">
        <f>'Q100a-geral'!BA408</f>
        <v>x</v>
      </c>
      <c r="BB866" s="8" t="str">
        <f>'Q100a-geral'!BB408</f>
        <v>BRTacessibilidade</v>
      </c>
      <c r="BC866" s="8" t="str">
        <f>'Q100a-geral'!BC408</f>
        <v>BRTacessibilidadex</v>
      </c>
      <c r="BD866" s="8" t="str">
        <f>'Q100a-geral'!BD408</f>
        <v>BRTx</v>
      </c>
    </row>
    <row r="867" spans="1:56" ht="47.25" x14ac:dyDescent="0.25">
      <c r="A867" s="406" t="str">
        <f>'Q100a-geral'!A429</f>
        <v>8.2</v>
      </c>
      <c r="B867" s="468" t="str">
        <f>'Q100a-geral'!B429</f>
        <v>BRT</v>
      </c>
      <c r="C867" s="13" t="str">
        <f>'Q100a-geral'!C429</f>
        <v>acessibilidade</v>
      </c>
      <c r="D867" s="324" t="str">
        <f>'Q100a-geral'!D429</f>
        <v>BRT IC ATC (passarelas escadarias)</v>
      </c>
      <c r="E867" s="481" t="str">
        <f>'Q100a-geral'!E429</f>
        <v>Belo Horizonte</v>
      </c>
      <c r="F867" s="619" t="str">
        <f>'Q100a-geral'!F429</f>
        <v>índice de conformidade com a acessibilidade do elemento "escadarias das passarelas" do módulo de análise "passarelas" do corredor de BRT denominado "Antônio Carlos"
obs.1: calculado como a média dos BRT IC das estações inspecionadas</v>
      </c>
      <c r="G867" s="110" t="str">
        <f>'Q100a-geral'!G429</f>
        <v>registro na fonte</v>
      </c>
      <c r="H867" s="173" t="str">
        <f>'Q100a-geral'!H429</f>
        <v>x</v>
      </c>
      <c r="I867" s="57">
        <f>'Q100a-geral'!I429</f>
        <v>1</v>
      </c>
      <c r="J867" s="8" t="str">
        <f>'Q100a-geral'!J429</f>
        <v>x</v>
      </c>
      <c r="K867" s="8" t="str">
        <f>'Q100a-geral'!K429</f>
        <v>x</v>
      </c>
      <c r="L867" s="8" t="str">
        <f>'Q100a-geral'!L429</f>
        <v>x</v>
      </c>
      <c r="M867" s="8" t="str">
        <f>'Q100a-geral'!M429</f>
        <v>x</v>
      </c>
      <c r="N867" s="8" t="str">
        <f>'Q100a-geral'!N429</f>
        <v>x</v>
      </c>
      <c r="O867" s="8" t="str">
        <f>'Q100a-geral'!O429</f>
        <v>x</v>
      </c>
      <c r="P867" s="8" t="str">
        <f>'Q100a-geral'!P429</f>
        <v>x</v>
      </c>
      <c r="Q867" s="8" t="str">
        <f>'Q100a-geral'!Q429</f>
        <v>x</v>
      </c>
      <c r="R867" s="8" t="str">
        <f>'Q100a-geral'!R429</f>
        <v>x</v>
      </c>
      <c r="S867" s="8" t="str">
        <f>'Q100a-geral'!S429</f>
        <v>só para pesquisa</v>
      </c>
      <c r="T867" s="8" t="str">
        <f>'Q100a-geral'!T429</f>
        <v>x</v>
      </c>
      <c r="U867" s="8" t="str">
        <f>'Q100a-geral'!U429</f>
        <v>x</v>
      </c>
      <c r="V867" s="8" t="str">
        <f>'Q100a-geral'!V429</f>
        <v>só para pesquisa</v>
      </c>
      <c r="W867" s="8" t="str">
        <f>'Q100a-geral'!W429</f>
        <v>x</v>
      </c>
      <c r="X867" s="8" t="str">
        <f>'Q100a-geral'!X429</f>
        <v>x</v>
      </c>
      <c r="Y867" s="8" t="str">
        <f>'Q100a-geral'!Y429</f>
        <v>x</v>
      </c>
      <c r="Z867" s="8" t="str">
        <f>'Q100a-geral'!Z429</f>
        <v>x</v>
      </c>
      <c r="AA867" s="8" t="str">
        <f>'Q100a-geral'!AA429</f>
        <v>x</v>
      </c>
      <c r="AB867" s="8" t="str">
        <f>'Q100a-geral'!AB429</f>
        <v>x</v>
      </c>
      <c r="AC867" s="8" t="str">
        <f>'Q100a-geral'!AC429</f>
        <v>x</v>
      </c>
      <c r="AD867" s="8" t="str">
        <f>'Q100a-geral'!AD429</f>
        <v>x</v>
      </c>
      <c r="AE867" s="8" t="str">
        <f>'Q100a-geral'!AE429</f>
        <v>x</v>
      </c>
      <c r="AF867" s="8" t="str">
        <f>'Q100a-geral'!AF429</f>
        <v>x</v>
      </c>
      <c r="AG867" s="8" t="str">
        <f>'Q100a-geral'!AG429</f>
        <v>x</v>
      </c>
      <c r="AH867" s="8" t="str">
        <f>'Q100a-geral'!AH429</f>
        <v>x</v>
      </c>
      <c r="AI867" s="8" t="str">
        <f>'Q100a-geral'!AI429</f>
        <v>x</v>
      </c>
      <c r="AJ867" s="8" t="str">
        <f>'Q100a-geral'!AJ429</f>
        <v>x</v>
      </c>
      <c r="AK867" s="882" t="str">
        <f>'Q100a-geral'!AK429</f>
        <v>x</v>
      </c>
      <c r="AL867" s="8" t="str">
        <f>'Q100a-geral'!AL429</f>
        <v>x</v>
      </c>
      <c r="AM867" s="8" t="str">
        <f>'Q100a-geral'!AM429</f>
        <v>x</v>
      </c>
      <c r="AN867" s="8" t="str">
        <f>'Q100a-geral'!AN429</f>
        <v>x</v>
      </c>
      <c r="AO867" s="8" t="str">
        <f>'Q100a-geral'!AO429</f>
        <v>x</v>
      </c>
      <c r="AP867" s="8" t="str">
        <f>'Q100a-geral'!AP429</f>
        <v>x</v>
      </c>
      <c r="AQ867" s="8" t="str">
        <f>'Q100a-geral'!AQ429</f>
        <v>x</v>
      </c>
      <c r="AR867" s="8" t="str">
        <f>'Q100a-geral'!AR429</f>
        <v>x</v>
      </c>
      <c r="AS867" s="8" t="str">
        <f>'Q100a-geral'!AS429</f>
        <v>x</v>
      </c>
      <c r="AT867" s="8" t="str">
        <f>'Q100a-geral'!AT429</f>
        <v>x</v>
      </c>
      <c r="AU867" s="8" t="str">
        <f>'Q100a-geral'!AU429</f>
        <v>x</v>
      </c>
      <c r="AV867" s="8" t="str">
        <f>'Q100a-geral'!AV429</f>
        <v>x</v>
      </c>
      <c r="AW867" s="8" t="str">
        <f>'Q100a-geral'!AW429</f>
        <v>x</v>
      </c>
      <c r="AX867" s="8" t="str">
        <f>'Q100a-geral'!AX429</f>
        <v>x</v>
      </c>
      <c r="AY867" s="8" t="str">
        <f>'Q100a-geral'!AY429</f>
        <v>x</v>
      </c>
      <c r="AZ867" s="8" t="str">
        <f>'Q100a-geral'!AZ429</f>
        <v>x</v>
      </c>
      <c r="BA867" s="8" t="str">
        <f>'Q100a-geral'!BA429</f>
        <v>x</v>
      </c>
      <c r="BB867" s="8" t="str">
        <f>'Q100a-geral'!BB429</f>
        <v>BRTacessibilidade</v>
      </c>
      <c r="BC867" s="8" t="str">
        <f>'Q100a-geral'!BC429</f>
        <v>BRTacessibilidadex</v>
      </c>
      <c r="BD867" s="8" t="str">
        <f>'Q100a-geral'!BD429</f>
        <v>BRTx</v>
      </c>
    </row>
    <row r="868" spans="1:56" ht="47.25" x14ac:dyDescent="0.25">
      <c r="A868" s="406" t="str">
        <f>'Q100a-geral'!A451</f>
        <v>8.2</v>
      </c>
      <c r="B868" s="468" t="str">
        <f>'Q100a-geral'!B451</f>
        <v>BRT</v>
      </c>
      <c r="C868" s="13" t="str">
        <f>'Q100a-geral'!C451</f>
        <v>acessibilidade</v>
      </c>
      <c r="D868" s="324" t="str">
        <f>'Q100a-geral'!D451</f>
        <v>BRT IC CMC (passarelas escadarias)</v>
      </c>
      <c r="E868" s="481" t="str">
        <f>'Q100a-geral'!E451</f>
        <v>Belo Horizonte</v>
      </c>
      <c r="F868" s="619" t="str">
        <f>'Q100a-geral'!F451</f>
        <v>índice de conformidade com a acessibilidade do elemento "escadarias das passarelas" do módulo de análise "passarelas" do corredor de BRT denominado "Cristiano Machado"
obs.1: calculado como a média dos BRT IC das estações inspecionadas</v>
      </c>
      <c r="G868" s="110" t="str">
        <f>'Q100a-geral'!G451</f>
        <v>registro na fonte</v>
      </c>
      <c r="H868" s="173" t="str">
        <f>'Q100a-geral'!H451</f>
        <v>x</v>
      </c>
      <c r="I868" s="57">
        <f>'Q100a-geral'!I451</f>
        <v>1</v>
      </c>
      <c r="J868" s="8" t="str">
        <f>'Q100a-geral'!J451</f>
        <v>x</v>
      </c>
      <c r="K868" s="8" t="str">
        <f>'Q100a-geral'!K451</f>
        <v>x</v>
      </c>
      <c r="L868" s="8" t="str">
        <f>'Q100a-geral'!L451</f>
        <v>x</v>
      </c>
      <c r="M868" s="8" t="str">
        <f>'Q100a-geral'!M451</f>
        <v>x</v>
      </c>
      <c r="N868" s="8" t="str">
        <f>'Q100a-geral'!N451</f>
        <v>x</v>
      </c>
      <c r="O868" s="8" t="str">
        <f>'Q100a-geral'!O451</f>
        <v>x</v>
      </c>
      <c r="P868" s="8" t="str">
        <f>'Q100a-geral'!P451</f>
        <v>x</v>
      </c>
      <c r="Q868" s="8" t="str">
        <f>'Q100a-geral'!Q451</f>
        <v>x</v>
      </c>
      <c r="R868" s="8" t="str">
        <f>'Q100a-geral'!R451</f>
        <v>x</v>
      </c>
      <c r="S868" s="8" t="str">
        <f>'Q100a-geral'!S451</f>
        <v>só para pesquisa</v>
      </c>
      <c r="T868" s="8" t="str">
        <f>'Q100a-geral'!T451</f>
        <v>x</v>
      </c>
      <c r="U868" s="8" t="str">
        <f>'Q100a-geral'!U451</f>
        <v>x</v>
      </c>
      <c r="V868" s="8" t="str">
        <f>'Q100a-geral'!V451</f>
        <v>só para pesquisa</v>
      </c>
      <c r="W868" s="8" t="str">
        <f>'Q100a-geral'!W451</f>
        <v>x</v>
      </c>
      <c r="X868" s="8" t="str">
        <f>'Q100a-geral'!X451</f>
        <v>x</v>
      </c>
      <c r="Y868" s="8" t="str">
        <f>'Q100a-geral'!Y451</f>
        <v>x</v>
      </c>
      <c r="Z868" s="8" t="str">
        <f>'Q100a-geral'!Z451</f>
        <v>x</v>
      </c>
      <c r="AA868" s="8" t="str">
        <f>'Q100a-geral'!AA451</f>
        <v>x</v>
      </c>
      <c r="AB868" s="8" t="str">
        <f>'Q100a-geral'!AB451</f>
        <v>x</v>
      </c>
      <c r="AC868" s="8" t="str">
        <f>'Q100a-geral'!AC451</f>
        <v>x</v>
      </c>
      <c r="AD868" s="8" t="str">
        <f>'Q100a-geral'!AD451</f>
        <v>x</v>
      </c>
      <c r="AE868" s="8" t="str">
        <f>'Q100a-geral'!AE451</f>
        <v>x</v>
      </c>
      <c r="AF868" s="8" t="str">
        <f>'Q100a-geral'!AF451</f>
        <v>x</v>
      </c>
      <c r="AG868" s="8" t="str">
        <f>'Q100a-geral'!AG451</f>
        <v>x</v>
      </c>
      <c r="AH868" s="8" t="str">
        <f>'Q100a-geral'!AH451</f>
        <v>x</v>
      </c>
      <c r="AI868" s="8" t="str">
        <f>'Q100a-geral'!AI451</f>
        <v>x</v>
      </c>
      <c r="AJ868" s="8" t="str">
        <f>'Q100a-geral'!AJ451</f>
        <v>x</v>
      </c>
      <c r="AK868" s="95">
        <f>'Q100a-geral'!AK451</f>
        <v>0.38</v>
      </c>
      <c r="AL868" s="8" t="str">
        <f>'Q100a-geral'!AL451</f>
        <v>x</v>
      </c>
      <c r="AM868" s="8" t="str">
        <f>'Q100a-geral'!AM451</f>
        <v>x</v>
      </c>
      <c r="AN868" s="8" t="str">
        <f>'Q100a-geral'!AN451</f>
        <v>x</v>
      </c>
      <c r="AO868" s="8" t="str">
        <f>'Q100a-geral'!AO451</f>
        <v>x</v>
      </c>
      <c r="AP868" s="8" t="str">
        <f>'Q100a-geral'!AP451</f>
        <v>x</v>
      </c>
      <c r="AQ868" s="8" t="str">
        <f>'Q100a-geral'!AQ451</f>
        <v>x</v>
      </c>
      <c r="AR868" s="8" t="str">
        <f>'Q100a-geral'!AR451</f>
        <v>x</v>
      </c>
      <c r="AS868" s="8" t="str">
        <f>'Q100a-geral'!AS451</f>
        <v>x</v>
      </c>
      <c r="AT868" s="8" t="str">
        <f>'Q100a-geral'!AT451</f>
        <v>x</v>
      </c>
      <c r="AU868" s="8" t="str">
        <f>'Q100a-geral'!AU451</f>
        <v>x</v>
      </c>
      <c r="AV868" s="8" t="str">
        <f>'Q100a-geral'!AV451</f>
        <v>x</v>
      </c>
      <c r="AW868" s="8" t="str">
        <f>'Q100a-geral'!AW451</f>
        <v>x</v>
      </c>
      <c r="AX868" s="8" t="str">
        <f>'Q100a-geral'!AX451</f>
        <v>x</v>
      </c>
      <c r="AY868" s="8" t="str">
        <f>'Q100a-geral'!AY451</f>
        <v>x</v>
      </c>
      <c r="AZ868" s="8" t="str">
        <f>'Q100a-geral'!AZ451</f>
        <v>x</v>
      </c>
      <c r="BA868" s="8" t="str">
        <f>'Q100a-geral'!BA451</f>
        <v>x</v>
      </c>
      <c r="BB868" s="8" t="str">
        <f>'Q100a-geral'!BB451</f>
        <v>BRTacessibilidade</v>
      </c>
      <c r="BC868" s="8" t="str">
        <f>'Q100a-geral'!BC451</f>
        <v>BRTacessibilidadex</v>
      </c>
      <c r="BD868" s="8" t="str">
        <f>'Q100a-geral'!BD451</f>
        <v>BRTx</v>
      </c>
    </row>
    <row r="869" spans="1:56" ht="47.25" x14ac:dyDescent="0.25">
      <c r="A869" s="406" t="str">
        <f>'Q100a-geral'!A407</f>
        <v>8.2</v>
      </c>
      <c r="B869" s="468" t="str">
        <f>'Q100a-geral'!B407</f>
        <v>BRT</v>
      </c>
      <c r="C869" s="13" t="str">
        <f>'Q100a-geral'!C407</f>
        <v>acessibilidade</v>
      </c>
      <c r="D869" s="324" t="str">
        <f>'Q100a-geral'!D407</f>
        <v>BRT IC AC (passarelas corrimãos)</v>
      </c>
      <c r="E869" s="481" t="str">
        <f>'Q100a-geral'!E407</f>
        <v>Belo Horizonte</v>
      </c>
      <c r="F869" s="619" t="str">
        <f>'Q100a-geral'!F407</f>
        <v>índice de conformidade com a acessibilidade do elemento "corrimãos das passarelas" do módulo de análise "passarelas" do corredor de BRT denominado "Área Central"
obs.1: calculado como a média dos BRT IC das estações inspecionadas</v>
      </c>
      <c r="G869" s="110" t="str">
        <f>'Q100a-geral'!G407</f>
        <v>registro na fonte</v>
      </c>
      <c r="H869" s="173" t="str">
        <f>'Q100a-geral'!H407</f>
        <v>x</v>
      </c>
      <c r="I869" s="57">
        <f>'Q100a-geral'!I407</f>
        <v>1</v>
      </c>
      <c r="J869" s="8" t="str">
        <f>'Q100a-geral'!J407</f>
        <v>x</v>
      </c>
      <c r="K869" s="8" t="str">
        <f>'Q100a-geral'!K407</f>
        <v>x</v>
      </c>
      <c r="L869" s="8" t="str">
        <f>'Q100a-geral'!L407</f>
        <v>x</v>
      </c>
      <c r="M869" s="8" t="str">
        <f>'Q100a-geral'!M407</f>
        <v>x</v>
      </c>
      <c r="N869" s="8" t="str">
        <f>'Q100a-geral'!N407</f>
        <v>x</v>
      </c>
      <c r="O869" s="8" t="str">
        <f>'Q100a-geral'!O407</f>
        <v>x</v>
      </c>
      <c r="P869" s="8" t="str">
        <f>'Q100a-geral'!P407</f>
        <v>x</v>
      </c>
      <c r="Q869" s="8" t="str">
        <f>'Q100a-geral'!Q407</f>
        <v>x</v>
      </c>
      <c r="R869" s="8" t="str">
        <f>'Q100a-geral'!R407</f>
        <v>x</v>
      </c>
      <c r="S869" s="8" t="str">
        <f>'Q100a-geral'!S407</f>
        <v>só para pesquisa</v>
      </c>
      <c r="T869" s="8" t="str">
        <f>'Q100a-geral'!T407</f>
        <v>x</v>
      </c>
      <c r="U869" s="8" t="str">
        <f>'Q100a-geral'!U407</f>
        <v>x</v>
      </c>
      <c r="V869" s="8" t="str">
        <f>'Q100a-geral'!V407</f>
        <v>só para pesquisa</v>
      </c>
      <c r="W869" s="8" t="str">
        <f>'Q100a-geral'!W407</f>
        <v>x</v>
      </c>
      <c r="X869" s="8" t="str">
        <f>'Q100a-geral'!X407</f>
        <v>x</v>
      </c>
      <c r="Y869" s="8" t="str">
        <f>'Q100a-geral'!Y407</f>
        <v>x</v>
      </c>
      <c r="Z869" s="8" t="str">
        <f>'Q100a-geral'!Z407</f>
        <v>x</v>
      </c>
      <c r="AA869" s="8" t="str">
        <f>'Q100a-geral'!AA407</f>
        <v>x</v>
      </c>
      <c r="AB869" s="8" t="str">
        <f>'Q100a-geral'!AB407</f>
        <v>x</v>
      </c>
      <c r="AC869" s="8" t="str">
        <f>'Q100a-geral'!AC407</f>
        <v>x</v>
      </c>
      <c r="AD869" s="8" t="str">
        <f>'Q100a-geral'!AD407</f>
        <v>x</v>
      </c>
      <c r="AE869" s="8" t="str">
        <f>'Q100a-geral'!AE407</f>
        <v>x</v>
      </c>
      <c r="AF869" s="8" t="str">
        <f>'Q100a-geral'!AF407</f>
        <v>x</v>
      </c>
      <c r="AG869" s="8" t="str">
        <f>'Q100a-geral'!AG407</f>
        <v>x</v>
      </c>
      <c r="AH869" s="8" t="str">
        <f>'Q100a-geral'!AH407</f>
        <v>x</v>
      </c>
      <c r="AI869" s="8" t="str">
        <f>'Q100a-geral'!AI407</f>
        <v>x</v>
      </c>
      <c r="AJ869" s="8" t="str">
        <f>'Q100a-geral'!AJ407</f>
        <v>x</v>
      </c>
      <c r="AK869" s="882" t="str">
        <f>'Q100a-geral'!AK407</f>
        <v>x</v>
      </c>
      <c r="AL869" s="8" t="str">
        <f>'Q100a-geral'!AL407</f>
        <v>x</v>
      </c>
      <c r="AM869" s="8" t="str">
        <f>'Q100a-geral'!AM407</f>
        <v>x</v>
      </c>
      <c r="AN869" s="8" t="str">
        <f>'Q100a-geral'!AN407</f>
        <v>x</v>
      </c>
      <c r="AO869" s="8" t="str">
        <f>'Q100a-geral'!AO407</f>
        <v>x</v>
      </c>
      <c r="AP869" s="8" t="str">
        <f>'Q100a-geral'!AP407</f>
        <v>x</v>
      </c>
      <c r="AQ869" s="8" t="str">
        <f>'Q100a-geral'!AQ407</f>
        <v>x</v>
      </c>
      <c r="AR869" s="8" t="str">
        <f>'Q100a-geral'!AR407</f>
        <v>x</v>
      </c>
      <c r="AS869" s="8" t="str">
        <f>'Q100a-geral'!AS407</f>
        <v>x</v>
      </c>
      <c r="AT869" s="8" t="str">
        <f>'Q100a-geral'!AT407</f>
        <v>x</v>
      </c>
      <c r="AU869" s="8" t="str">
        <f>'Q100a-geral'!AU407</f>
        <v>x</v>
      </c>
      <c r="AV869" s="8" t="str">
        <f>'Q100a-geral'!AV407</f>
        <v>x</v>
      </c>
      <c r="AW869" s="8" t="str">
        <f>'Q100a-geral'!AW407</f>
        <v>x</v>
      </c>
      <c r="AX869" s="8" t="str">
        <f>'Q100a-geral'!AX407</f>
        <v>x</v>
      </c>
      <c r="AY869" s="8" t="str">
        <f>'Q100a-geral'!AY407</f>
        <v>x</v>
      </c>
      <c r="AZ869" s="8" t="str">
        <f>'Q100a-geral'!AZ407</f>
        <v>x</v>
      </c>
      <c r="BA869" s="8" t="str">
        <f>'Q100a-geral'!BA407</f>
        <v>x</v>
      </c>
      <c r="BB869" s="8" t="str">
        <f>'Q100a-geral'!BB407</f>
        <v>BRTacessibilidade</v>
      </c>
      <c r="BC869" s="8" t="str">
        <f>'Q100a-geral'!BC407</f>
        <v>BRTacessibilidadex</v>
      </c>
      <c r="BD869" s="8" t="str">
        <f>'Q100a-geral'!BD407</f>
        <v>BRTx</v>
      </c>
    </row>
    <row r="870" spans="1:56" ht="47.25" x14ac:dyDescent="0.25">
      <c r="A870" s="406" t="str">
        <f>'Q100a-geral'!A428</f>
        <v>8.2</v>
      </c>
      <c r="B870" s="468" t="str">
        <f>'Q100a-geral'!B428</f>
        <v>BRT</v>
      </c>
      <c r="C870" s="13" t="str">
        <f>'Q100a-geral'!C428</f>
        <v>acessibilidade</v>
      </c>
      <c r="D870" s="324" t="str">
        <f>'Q100a-geral'!D428</f>
        <v>BRT IC ATC (passarelas corrimãos)</v>
      </c>
      <c r="E870" s="481" t="str">
        <f>'Q100a-geral'!E428</f>
        <v>Belo Horizonte</v>
      </c>
      <c r="F870" s="619" t="str">
        <f>'Q100a-geral'!F428</f>
        <v xml:space="preserve">índice de conformidade com a acessibilidade do elemento "corrimãos das passarelas" do módulo de análise "passarelas" do corredor de BRT denominado "Antônio Carlos"
obs.1: calculado como a média dos BRT IC das estações inspecionadas </v>
      </c>
      <c r="G870" s="110" t="str">
        <f>'Q100a-geral'!G428</f>
        <v>registro na fonte</v>
      </c>
      <c r="H870" s="173" t="str">
        <f>'Q100a-geral'!H428</f>
        <v>x</v>
      </c>
      <c r="I870" s="57">
        <f>'Q100a-geral'!I428</f>
        <v>1</v>
      </c>
      <c r="J870" s="8" t="str">
        <f>'Q100a-geral'!J428</f>
        <v>x</v>
      </c>
      <c r="K870" s="8" t="str">
        <f>'Q100a-geral'!K428</f>
        <v>x</v>
      </c>
      <c r="L870" s="8" t="str">
        <f>'Q100a-geral'!L428</f>
        <v>x</v>
      </c>
      <c r="M870" s="8" t="str">
        <f>'Q100a-geral'!M428</f>
        <v>x</v>
      </c>
      <c r="N870" s="8" t="str">
        <f>'Q100a-geral'!N428</f>
        <v>x</v>
      </c>
      <c r="O870" s="8" t="str">
        <f>'Q100a-geral'!O428</f>
        <v>x</v>
      </c>
      <c r="P870" s="8" t="str">
        <f>'Q100a-geral'!P428</f>
        <v>x</v>
      </c>
      <c r="Q870" s="8" t="str">
        <f>'Q100a-geral'!Q428</f>
        <v>x</v>
      </c>
      <c r="R870" s="8" t="str">
        <f>'Q100a-geral'!R428</f>
        <v>x</v>
      </c>
      <c r="S870" s="8" t="str">
        <f>'Q100a-geral'!S428</f>
        <v>só para pesquisa</v>
      </c>
      <c r="T870" s="8" t="str">
        <f>'Q100a-geral'!T428</f>
        <v>x</v>
      </c>
      <c r="U870" s="8" t="str">
        <f>'Q100a-geral'!U428</f>
        <v>x</v>
      </c>
      <c r="V870" s="8" t="str">
        <f>'Q100a-geral'!V428</f>
        <v>só para pesquisa</v>
      </c>
      <c r="W870" s="8" t="str">
        <f>'Q100a-geral'!W428</f>
        <v>x</v>
      </c>
      <c r="X870" s="8" t="str">
        <f>'Q100a-geral'!X428</f>
        <v>x</v>
      </c>
      <c r="Y870" s="8" t="str">
        <f>'Q100a-geral'!Y428</f>
        <v>x</v>
      </c>
      <c r="Z870" s="8" t="str">
        <f>'Q100a-geral'!Z428</f>
        <v>x</v>
      </c>
      <c r="AA870" s="8" t="str">
        <f>'Q100a-geral'!AA428</f>
        <v>x</v>
      </c>
      <c r="AB870" s="8" t="str">
        <f>'Q100a-geral'!AB428</f>
        <v>x</v>
      </c>
      <c r="AC870" s="8" t="str">
        <f>'Q100a-geral'!AC428</f>
        <v>x</v>
      </c>
      <c r="AD870" s="8" t="str">
        <f>'Q100a-geral'!AD428</f>
        <v>x</v>
      </c>
      <c r="AE870" s="8" t="str">
        <f>'Q100a-geral'!AE428</f>
        <v>x</v>
      </c>
      <c r="AF870" s="8" t="str">
        <f>'Q100a-geral'!AF428</f>
        <v>x</v>
      </c>
      <c r="AG870" s="8" t="str">
        <f>'Q100a-geral'!AG428</f>
        <v>x</v>
      </c>
      <c r="AH870" s="8" t="str">
        <f>'Q100a-geral'!AH428</f>
        <v>x</v>
      </c>
      <c r="AI870" s="8" t="str">
        <f>'Q100a-geral'!AI428</f>
        <v>x</v>
      </c>
      <c r="AJ870" s="8" t="str">
        <f>'Q100a-geral'!AJ428</f>
        <v>x</v>
      </c>
      <c r="AK870" s="95">
        <f>'Q100a-geral'!AK428</f>
        <v>0.69</v>
      </c>
      <c r="AL870" s="8" t="str">
        <f>'Q100a-geral'!AL428</f>
        <v>x</v>
      </c>
      <c r="AM870" s="8" t="str">
        <f>'Q100a-geral'!AM428</f>
        <v>x</v>
      </c>
      <c r="AN870" s="8" t="str">
        <f>'Q100a-geral'!AN428</f>
        <v>x</v>
      </c>
      <c r="AO870" s="8" t="str">
        <f>'Q100a-geral'!AO428</f>
        <v>x</v>
      </c>
      <c r="AP870" s="8" t="str">
        <f>'Q100a-geral'!AP428</f>
        <v>x</v>
      </c>
      <c r="AQ870" s="8" t="str">
        <f>'Q100a-geral'!AQ428</f>
        <v>x</v>
      </c>
      <c r="AR870" s="8" t="str">
        <f>'Q100a-geral'!AR428</f>
        <v>x</v>
      </c>
      <c r="AS870" s="8" t="str">
        <f>'Q100a-geral'!AS428</f>
        <v>x</v>
      </c>
      <c r="AT870" s="8" t="str">
        <f>'Q100a-geral'!AT428</f>
        <v>x</v>
      </c>
      <c r="AU870" s="8" t="str">
        <f>'Q100a-geral'!AU428</f>
        <v>x</v>
      </c>
      <c r="AV870" s="8" t="str">
        <f>'Q100a-geral'!AV428</f>
        <v>x</v>
      </c>
      <c r="AW870" s="8" t="str">
        <f>'Q100a-geral'!AW428</f>
        <v>x</v>
      </c>
      <c r="AX870" s="8" t="str">
        <f>'Q100a-geral'!AX428</f>
        <v>x</v>
      </c>
      <c r="AY870" s="8" t="str">
        <f>'Q100a-geral'!AY428</f>
        <v>x</v>
      </c>
      <c r="AZ870" s="8" t="str">
        <f>'Q100a-geral'!AZ428</f>
        <v>x</v>
      </c>
      <c r="BA870" s="8" t="str">
        <f>'Q100a-geral'!BA428</f>
        <v>x</v>
      </c>
      <c r="BB870" s="8" t="str">
        <f>'Q100a-geral'!BB428</f>
        <v>BRTacessibilidade</v>
      </c>
      <c r="BC870" s="8" t="str">
        <f>'Q100a-geral'!BC428</f>
        <v>BRTacessibilidadex</v>
      </c>
      <c r="BD870" s="8" t="str">
        <f>'Q100a-geral'!BD428</f>
        <v>BRTx</v>
      </c>
    </row>
    <row r="871" spans="1:56" ht="47.25" x14ac:dyDescent="0.25">
      <c r="A871" s="406" t="str">
        <f>'Q100a-geral'!A450</f>
        <v>8.2</v>
      </c>
      <c r="B871" s="468" t="str">
        <f>'Q100a-geral'!B450</f>
        <v>BRT</v>
      </c>
      <c r="C871" s="13" t="str">
        <f>'Q100a-geral'!C450</f>
        <v>acessibilidade</v>
      </c>
      <c r="D871" s="324" t="str">
        <f>'Q100a-geral'!D450</f>
        <v>BRT IC CMC (passarelas corrimãos)</v>
      </c>
      <c r="E871" s="481" t="str">
        <f>'Q100a-geral'!E450</f>
        <v>Belo Horizonte</v>
      </c>
      <c r="F871" s="619" t="str">
        <f>'Q100a-geral'!F450</f>
        <v>índice de conformidade com a acessibilidade do elemento "corrimãos das passarelas" do módulo de análise "passarelas" do corredor de BRT denominado "Cristiano Machado"
obs.1: calculado como a média dos BRT IC das estações inspecionadas</v>
      </c>
      <c r="G871" s="110" t="str">
        <f>'Q100a-geral'!G450</f>
        <v>registro na fonte</v>
      </c>
      <c r="H871" s="173" t="str">
        <f>'Q100a-geral'!H450</f>
        <v>x</v>
      </c>
      <c r="I871" s="57">
        <f>'Q100a-geral'!I450</f>
        <v>1</v>
      </c>
      <c r="J871" s="8" t="str">
        <f>'Q100a-geral'!J450</f>
        <v>x</v>
      </c>
      <c r="K871" s="8" t="str">
        <f>'Q100a-geral'!K450</f>
        <v>x</v>
      </c>
      <c r="L871" s="8" t="str">
        <f>'Q100a-geral'!L450</f>
        <v>x</v>
      </c>
      <c r="M871" s="8" t="str">
        <f>'Q100a-geral'!M450</f>
        <v>x</v>
      </c>
      <c r="N871" s="8" t="str">
        <f>'Q100a-geral'!N450</f>
        <v>x</v>
      </c>
      <c r="O871" s="8" t="str">
        <f>'Q100a-geral'!O450</f>
        <v>x</v>
      </c>
      <c r="P871" s="8" t="str">
        <f>'Q100a-geral'!P450</f>
        <v>x</v>
      </c>
      <c r="Q871" s="8" t="str">
        <f>'Q100a-geral'!Q450</f>
        <v>x</v>
      </c>
      <c r="R871" s="8" t="str">
        <f>'Q100a-geral'!R450</f>
        <v>x</v>
      </c>
      <c r="S871" s="8" t="str">
        <f>'Q100a-geral'!S450</f>
        <v>só para pesquisa</v>
      </c>
      <c r="T871" s="8" t="str">
        <f>'Q100a-geral'!T450</f>
        <v>x</v>
      </c>
      <c r="U871" s="8" t="str">
        <f>'Q100a-geral'!U450</f>
        <v>x</v>
      </c>
      <c r="V871" s="8" t="str">
        <f>'Q100a-geral'!V450</f>
        <v>só para pesquisa</v>
      </c>
      <c r="W871" s="8" t="str">
        <f>'Q100a-geral'!W450</f>
        <v>x</v>
      </c>
      <c r="X871" s="8" t="str">
        <f>'Q100a-geral'!X450</f>
        <v>x</v>
      </c>
      <c r="Y871" s="8" t="str">
        <f>'Q100a-geral'!Y450</f>
        <v>x</v>
      </c>
      <c r="Z871" s="8" t="str">
        <f>'Q100a-geral'!Z450</f>
        <v>x</v>
      </c>
      <c r="AA871" s="8" t="str">
        <f>'Q100a-geral'!AA450</f>
        <v>x</v>
      </c>
      <c r="AB871" s="8" t="str">
        <f>'Q100a-geral'!AB450</f>
        <v>x</v>
      </c>
      <c r="AC871" s="8" t="str">
        <f>'Q100a-geral'!AC450</f>
        <v>x</v>
      </c>
      <c r="AD871" s="8" t="str">
        <f>'Q100a-geral'!AD450</f>
        <v>x</v>
      </c>
      <c r="AE871" s="8" t="str">
        <f>'Q100a-geral'!AE450</f>
        <v>x</v>
      </c>
      <c r="AF871" s="8" t="str">
        <f>'Q100a-geral'!AF450</f>
        <v>x</v>
      </c>
      <c r="AG871" s="8" t="str">
        <f>'Q100a-geral'!AG450</f>
        <v>x</v>
      </c>
      <c r="AH871" s="8" t="str">
        <f>'Q100a-geral'!AH450</f>
        <v>x</v>
      </c>
      <c r="AI871" s="8" t="str">
        <f>'Q100a-geral'!AI450</f>
        <v>x</v>
      </c>
      <c r="AJ871" s="8" t="str">
        <f>'Q100a-geral'!AJ450</f>
        <v>x</v>
      </c>
      <c r="AK871" s="95">
        <f>'Q100a-geral'!AK450</f>
        <v>0.55000000000000004</v>
      </c>
      <c r="AL871" s="8" t="str">
        <f>'Q100a-geral'!AL450</f>
        <v>x</v>
      </c>
      <c r="AM871" s="8" t="str">
        <f>'Q100a-geral'!AM450</f>
        <v>x</v>
      </c>
      <c r="AN871" s="8" t="str">
        <f>'Q100a-geral'!AN450</f>
        <v>x</v>
      </c>
      <c r="AO871" s="8" t="str">
        <f>'Q100a-geral'!AO450</f>
        <v>x</v>
      </c>
      <c r="AP871" s="8" t="str">
        <f>'Q100a-geral'!AP450</f>
        <v>x</v>
      </c>
      <c r="AQ871" s="8" t="str">
        <f>'Q100a-geral'!AQ450</f>
        <v>x</v>
      </c>
      <c r="AR871" s="8" t="str">
        <f>'Q100a-geral'!AR450</f>
        <v>x</v>
      </c>
      <c r="AS871" s="8" t="str">
        <f>'Q100a-geral'!AS450</f>
        <v>x</v>
      </c>
      <c r="AT871" s="8" t="str">
        <f>'Q100a-geral'!AT450</f>
        <v>x</v>
      </c>
      <c r="AU871" s="8" t="str">
        <f>'Q100a-geral'!AU450</f>
        <v>x</v>
      </c>
      <c r="AV871" s="8" t="str">
        <f>'Q100a-geral'!AV450</f>
        <v>x</v>
      </c>
      <c r="AW871" s="8" t="str">
        <f>'Q100a-geral'!AW450</f>
        <v>x</v>
      </c>
      <c r="AX871" s="8" t="str">
        <f>'Q100a-geral'!AX450</f>
        <v>x</v>
      </c>
      <c r="AY871" s="8" t="str">
        <f>'Q100a-geral'!AY450</f>
        <v>x</v>
      </c>
      <c r="AZ871" s="8" t="str">
        <f>'Q100a-geral'!AZ450</f>
        <v>x</v>
      </c>
      <c r="BA871" s="8" t="str">
        <f>'Q100a-geral'!BA450</f>
        <v>x</v>
      </c>
      <c r="BB871" s="8" t="str">
        <f>'Q100a-geral'!BB450</f>
        <v>BRTacessibilidade</v>
      </c>
      <c r="BC871" s="8" t="str">
        <f>'Q100a-geral'!BC450</f>
        <v>BRTacessibilidadex</v>
      </c>
      <c r="BD871" s="8" t="str">
        <f>'Q100a-geral'!BD450</f>
        <v>BRTx</v>
      </c>
    </row>
    <row r="872" spans="1:56" ht="47.25" x14ac:dyDescent="0.25">
      <c r="A872" s="406" t="str">
        <f>'Q100a-geral'!A413</f>
        <v>8.2</v>
      </c>
      <c r="B872" s="468" t="str">
        <f>'Q100a-geral'!B413</f>
        <v>BRT</v>
      </c>
      <c r="C872" s="13" t="str">
        <f>'Q100a-geral'!C413</f>
        <v>acessibilidade</v>
      </c>
      <c r="D872" s="324" t="str">
        <f>'Q100a-geral'!D413</f>
        <v>BRT IC AC (plataformas/ rampas)</v>
      </c>
      <c r="E872" s="481" t="str">
        <f>'Q100a-geral'!E413</f>
        <v>Belo Horizonte</v>
      </c>
      <c r="F872" s="619" t="str">
        <f>'Q100a-geral'!F413</f>
        <v>índice de conformidade com a acessibilidade do elemento "rampas das plataformas" do módulo de análise "elementos de acesso à plataforma" do corredor de BRT denominado "Área Central"
obs.1: calculado como a média dos BRT IC das estações inspecionadas</v>
      </c>
      <c r="G872" s="110" t="str">
        <f>'Q100a-geral'!G413</f>
        <v>registro na fonte</v>
      </c>
      <c r="H872" s="173" t="str">
        <f>'Q100a-geral'!H413</f>
        <v>x</v>
      </c>
      <c r="I872" s="57">
        <f>'Q100a-geral'!I413</f>
        <v>1</v>
      </c>
      <c r="J872" s="8" t="str">
        <f>'Q100a-geral'!J413</f>
        <v>x</v>
      </c>
      <c r="K872" s="8" t="str">
        <f>'Q100a-geral'!K413</f>
        <v>x</v>
      </c>
      <c r="L872" s="8" t="str">
        <f>'Q100a-geral'!L413</f>
        <v>x</v>
      </c>
      <c r="M872" s="8" t="str">
        <f>'Q100a-geral'!M413</f>
        <v>x</v>
      </c>
      <c r="N872" s="8" t="str">
        <f>'Q100a-geral'!N413</f>
        <v>x</v>
      </c>
      <c r="O872" s="8" t="str">
        <f>'Q100a-geral'!O413</f>
        <v>x</v>
      </c>
      <c r="P872" s="8" t="str">
        <f>'Q100a-geral'!P413</f>
        <v>x</v>
      </c>
      <c r="Q872" s="8" t="str">
        <f>'Q100a-geral'!Q413</f>
        <v>x</v>
      </c>
      <c r="R872" s="8" t="str">
        <f>'Q100a-geral'!R413</f>
        <v>x</v>
      </c>
      <c r="S872" s="8" t="str">
        <f>'Q100a-geral'!S413</f>
        <v>só para pesquisa</v>
      </c>
      <c r="T872" s="8" t="str">
        <f>'Q100a-geral'!T413</f>
        <v>x</v>
      </c>
      <c r="U872" s="8" t="str">
        <f>'Q100a-geral'!U413</f>
        <v>x</v>
      </c>
      <c r="V872" s="8" t="str">
        <f>'Q100a-geral'!V413</f>
        <v>só para pesquisa</v>
      </c>
      <c r="W872" s="8" t="str">
        <f>'Q100a-geral'!W413</f>
        <v>x</v>
      </c>
      <c r="X872" s="8" t="str">
        <f>'Q100a-geral'!X413</f>
        <v>x</v>
      </c>
      <c r="Y872" s="8" t="str">
        <f>'Q100a-geral'!Y413</f>
        <v>x</v>
      </c>
      <c r="Z872" s="8" t="str">
        <f>'Q100a-geral'!Z413</f>
        <v>x</v>
      </c>
      <c r="AA872" s="8" t="str">
        <f>'Q100a-geral'!AA413</f>
        <v>x</v>
      </c>
      <c r="AB872" s="8" t="str">
        <f>'Q100a-geral'!AB413</f>
        <v>x</v>
      </c>
      <c r="AC872" s="8" t="str">
        <f>'Q100a-geral'!AC413</f>
        <v>x</v>
      </c>
      <c r="AD872" s="8" t="str">
        <f>'Q100a-geral'!AD413</f>
        <v>x</v>
      </c>
      <c r="AE872" s="8" t="str">
        <f>'Q100a-geral'!AE413</f>
        <v>x</v>
      </c>
      <c r="AF872" s="8" t="str">
        <f>'Q100a-geral'!AF413</f>
        <v>x</v>
      </c>
      <c r="AG872" s="8" t="str">
        <f>'Q100a-geral'!AG413</f>
        <v>x</v>
      </c>
      <c r="AH872" s="8" t="str">
        <f>'Q100a-geral'!AH413</f>
        <v>x</v>
      </c>
      <c r="AI872" s="8" t="str">
        <f>'Q100a-geral'!AI413</f>
        <v>x</v>
      </c>
      <c r="AJ872" s="8" t="str">
        <f>'Q100a-geral'!AJ413</f>
        <v>x</v>
      </c>
      <c r="AK872" s="95">
        <f>'Q100a-geral'!AK413</f>
        <v>0.86</v>
      </c>
      <c r="AL872" s="8" t="str">
        <f>'Q100a-geral'!AL413</f>
        <v>x</v>
      </c>
      <c r="AM872" s="8" t="str">
        <f>'Q100a-geral'!AM413</f>
        <v>x</v>
      </c>
      <c r="AN872" s="8" t="str">
        <f>'Q100a-geral'!AN413</f>
        <v>x</v>
      </c>
      <c r="AO872" s="8" t="str">
        <f>'Q100a-geral'!AO413</f>
        <v>x</v>
      </c>
      <c r="AP872" s="8" t="str">
        <f>'Q100a-geral'!AP413</f>
        <v>x</v>
      </c>
      <c r="AQ872" s="8" t="str">
        <f>'Q100a-geral'!AQ413</f>
        <v>x</v>
      </c>
      <c r="AR872" s="8" t="str">
        <f>'Q100a-geral'!AR413</f>
        <v>x</v>
      </c>
      <c r="AS872" s="8" t="str">
        <f>'Q100a-geral'!AS413</f>
        <v>x</v>
      </c>
      <c r="AT872" s="8" t="str">
        <f>'Q100a-geral'!AT413</f>
        <v>x</v>
      </c>
      <c r="AU872" s="8" t="str">
        <f>'Q100a-geral'!AU413</f>
        <v>x</v>
      </c>
      <c r="AV872" s="8" t="str">
        <f>'Q100a-geral'!AV413</f>
        <v>x</v>
      </c>
      <c r="AW872" s="8" t="str">
        <f>'Q100a-geral'!AW413</f>
        <v>x</v>
      </c>
      <c r="AX872" s="8" t="str">
        <f>'Q100a-geral'!AX413</f>
        <v>x</v>
      </c>
      <c r="AY872" s="8" t="str">
        <f>'Q100a-geral'!AY413</f>
        <v>x</v>
      </c>
      <c r="AZ872" s="8" t="str">
        <f>'Q100a-geral'!AZ413</f>
        <v>x</v>
      </c>
      <c r="BA872" s="8" t="str">
        <f>'Q100a-geral'!BA413</f>
        <v>x</v>
      </c>
      <c r="BB872" s="8" t="str">
        <f>'Q100a-geral'!BB413</f>
        <v>BRTacessibilidade</v>
      </c>
      <c r="BC872" s="8" t="str">
        <f>'Q100a-geral'!BC413</f>
        <v>BRTacessibilidadex</v>
      </c>
      <c r="BD872" s="8" t="str">
        <f>'Q100a-geral'!BD413</f>
        <v>BRTx</v>
      </c>
    </row>
    <row r="873" spans="1:56" ht="47.25" x14ac:dyDescent="0.25">
      <c r="A873" s="406" t="str">
        <f>'Q100a-geral'!A435</f>
        <v>8.2</v>
      </c>
      <c r="B873" s="468" t="str">
        <f>'Q100a-geral'!B435</f>
        <v>BRT</v>
      </c>
      <c r="C873" s="13" t="str">
        <f>'Q100a-geral'!C435</f>
        <v>acessibilidade</v>
      </c>
      <c r="D873" s="324" t="str">
        <f>'Q100a-geral'!D435</f>
        <v>BRT IC ATC (plataformas/ rampas)</v>
      </c>
      <c r="E873" s="481" t="str">
        <f>'Q100a-geral'!E435</f>
        <v>Belo Horizonte</v>
      </c>
      <c r="F873" s="619" t="str">
        <f>'Q100a-geral'!F435</f>
        <v>índice de conformidade com a acessibilidade do elemento "rampas das plataformas" do módulo de análise "elementos de acesso à plataforma" do corredor de BRT denominado "Antônio Carlos"
obs.1: calculado como a média dos BRT IC das estações inspecionadas</v>
      </c>
      <c r="G873" s="110" t="str">
        <f>'Q100a-geral'!G435</f>
        <v>registro na fonte</v>
      </c>
      <c r="H873" s="173" t="str">
        <f>'Q100a-geral'!H435</f>
        <v>x</v>
      </c>
      <c r="I873" s="57">
        <f>'Q100a-geral'!I435</f>
        <v>1</v>
      </c>
      <c r="J873" s="8" t="str">
        <f>'Q100a-geral'!J435</f>
        <v>x</v>
      </c>
      <c r="K873" s="8" t="str">
        <f>'Q100a-geral'!K435</f>
        <v>x</v>
      </c>
      <c r="L873" s="8" t="str">
        <f>'Q100a-geral'!L435</f>
        <v>x</v>
      </c>
      <c r="M873" s="8" t="str">
        <f>'Q100a-geral'!M435</f>
        <v>x</v>
      </c>
      <c r="N873" s="8" t="str">
        <f>'Q100a-geral'!N435</f>
        <v>x</v>
      </c>
      <c r="O873" s="8" t="str">
        <f>'Q100a-geral'!O435</f>
        <v>x</v>
      </c>
      <c r="P873" s="8" t="str">
        <f>'Q100a-geral'!P435</f>
        <v>x</v>
      </c>
      <c r="Q873" s="8" t="str">
        <f>'Q100a-geral'!Q435</f>
        <v>x</v>
      </c>
      <c r="R873" s="8" t="str">
        <f>'Q100a-geral'!R435</f>
        <v>x</v>
      </c>
      <c r="S873" s="8" t="str">
        <f>'Q100a-geral'!S435</f>
        <v>só para pesquisa</v>
      </c>
      <c r="T873" s="8" t="str">
        <f>'Q100a-geral'!T435</f>
        <v>x</v>
      </c>
      <c r="U873" s="8" t="str">
        <f>'Q100a-geral'!U435</f>
        <v>x</v>
      </c>
      <c r="V873" s="8" t="str">
        <f>'Q100a-geral'!V435</f>
        <v>só para pesquisa</v>
      </c>
      <c r="W873" s="8" t="str">
        <f>'Q100a-geral'!W435</f>
        <v>x</v>
      </c>
      <c r="X873" s="8" t="str">
        <f>'Q100a-geral'!X435</f>
        <v>x</v>
      </c>
      <c r="Y873" s="8" t="str">
        <f>'Q100a-geral'!Y435</f>
        <v>x</v>
      </c>
      <c r="Z873" s="8" t="str">
        <f>'Q100a-geral'!Z435</f>
        <v>x</v>
      </c>
      <c r="AA873" s="8" t="str">
        <f>'Q100a-geral'!AA435</f>
        <v>x</v>
      </c>
      <c r="AB873" s="8" t="str">
        <f>'Q100a-geral'!AB435</f>
        <v>x</v>
      </c>
      <c r="AC873" s="8" t="str">
        <f>'Q100a-geral'!AC435</f>
        <v>x</v>
      </c>
      <c r="AD873" s="8" t="str">
        <f>'Q100a-geral'!AD435</f>
        <v>x</v>
      </c>
      <c r="AE873" s="8" t="str">
        <f>'Q100a-geral'!AE435</f>
        <v>x</v>
      </c>
      <c r="AF873" s="8" t="str">
        <f>'Q100a-geral'!AF435</f>
        <v>x</v>
      </c>
      <c r="AG873" s="8" t="str">
        <f>'Q100a-geral'!AG435</f>
        <v>x</v>
      </c>
      <c r="AH873" s="8" t="str">
        <f>'Q100a-geral'!AH435</f>
        <v>x</v>
      </c>
      <c r="AI873" s="8" t="str">
        <f>'Q100a-geral'!AI435</f>
        <v>x</v>
      </c>
      <c r="AJ873" s="8" t="str">
        <f>'Q100a-geral'!AJ435</f>
        <v>x</v>
      </c>
      <c r="AK873" s="95">
        <f>'Q100a-geral'!AK435</f>
        <v>0.81</v>
      </c>
      <c r="AL873" s="8" t="str">
        <f>'Q100a-geral'!AL435</f>
        <v>x</v>
      </c>
      <c r="AM873" s="8" t="str">
        <f>'Q100a-geral'!AM435</f>
        <v>x</v>
      </c>
      <c r="AN873" s="8" t="str">
        <f>'Q100a-geral'!AN435</f>
        <v>x</v>
      </c>
      <c r="AO873" s="8" t="str">
        <f>'Q100a-geral'!AO435</f>
        <v>x</v>
      </c>
      <c r="AP873" s="8" t="str">
        <f>'Q100a-geral'!AP435</f>
        <v>x</v>
      </c>
      <c r="AQ873" s="8" t="str">
        <f>'Q100a-geral'!AQ435</f>
        <v>x</v>
      </c>
      <c r="AR873" s="8" t="str">
        <f>'Q100a-geral'!AR435</f>
        <v>x</v>
      </c>
      <c r="AS873" s="8" t="str">
        <f>'Q100a-geral'!AS435</f>
        <v>x</v>
      </c>
      <c r="AT873" s="8" t="str">
        <f>'Q100a-geral'!AT435</f>
        <v>x</v>
      </c>
      <c r="AU873" s="8" t="str">
        <f>'Q100a-geral'!AU435</f>
        <v>x</v>
      </c>
      <c r="AV873" s="8" t="str">
        <f>'Q100a-geral'!AV435</f>
        <v>x</v>
      </c>
      <c r="AW873" s="8" t="str">
        <f>'Q100a-geral'!AW435</f>
        <v>x</v>
      </c>
      <c r="AX873" s="8" t="str">
        <f>'Q100a-geral'!AX435</f>
        <v>x</v>
      </c>
      <c r="AY873" s="8" t="str">
        <f>'Q100a-geral'!AY435</f>
        <v>x</v>
      </c>
      <c r="AZ873" s="8" t="str">
        <f>'Q100a-geral'!AZ435</f>
        <v>x</v>
      </c>
      <c r="BA873" s="8" t="str">
        <f>'Q100a-geral'!BA435</f>
        <v>x</v>
      </c>
      <c r="BB873" s="8" t="str">
        <f>'Q100a-geral'!BB435</f>
        <v>BRTacessibilidade</v>
      </c>
      <c r="BC873" s="8" t="str">
        <f>'Q100a-geral'!BC435</f>
        <v>BRTacessibilidadex</v>
      </c>
      <c r="BD873" s="8" t="str">
        <f>'Q100a-geral'!BD435</f>
        <v>BRTx</v>
      </c>
    </row>
    <row r="874" spans="1:56" ht="47.25" x14ac:dyDescent="0.25">
      <c r="A874" s="406" t="str">
        <f>'Q100a-geral'!A457</f>
        <v>8.2</v>
      </c>
      <c r="B874" s="468" t="str">
        <f>'Q100a-geral'!B457</f>
        <v>BRT</v>
      </c>
      <c r="C874" s="13" t="str">
        <f>'Q100a-geral'!C457</f>
        <v>acessibilidade</v>
      </c>
      <c r="D874" s="324" t="str">
        <f>'Q100a-geral'!D457</f>
        <v>BRT IC CMC (plataformas/ rampas)</v>
      </c>
      <c r="E874" s="481" t="str">
        <f>'Q100a-geral'!E457</f>
        <v>Belo Horizonte</v>
      </c>
      <c r="F874" s="619" t="str">
        <f>'Q100a-geral'!F457</f>
        <v>índice de conformidade com a acessibilidade do elemento "rampas das plataformas" do módulo de análise "elementos de acesso à plataforma" do corredor de BRT denominado "Cristiano Machado"
obs.1: calculado como a média dos BRT IC das estações inspecionadas</v>
      </c>
      <c r="G874" s="110" t="str">
        <f>'Q100a-geral'!G457</f>
        <v>registro na fonte</v>
      </c>
      <c r="H874" s="173" t="str">
        <f>'Q100a-geral'!H457</f>
        <v>x</v>
      </c>
      <c r="I874" s="57">
        <f>'Q100a-geral'!I457</f>
        <v>1</v>
      </c>
      <c r="J874" s="8" t="str">
        <f>'Q100a-geral'!J457</f>
        <v>x</v>
      </c>
      <c r="K874" s="8" t="str">
        <f>'Q100a-geral'!K457</f>
        <v>x</v>
      </c>
      <c r="L874" s="8" t="str">
        <f>'Q100a-geral'!L457</f>
        <v>x</v>
      </c>
      <c r="M874" s="8" t="str">
        <f>'Q100a-geral'!M457</f>
        <v>x</v>
      </c>
      <c r="N874" s="8" t="str">
        <f>'Q100a-geral'!N457</f>
        <v>x</v>
      </c>
      <c r="O874" s="8" t="str">
        <f>'Q100a-geral'!O457</f>
        <v>x</v>
      </c>
      <c r="P874" s="8" t="str">
        <f>'Q100a-geral'!P457</f>
        <v>x</v>
      </c>
      <c r="Q874" s="8" t="str">
        <f>'Q100a-geral'!Q457</f>
        <v>x</v>
      </c>
      <c r="R874" s="8" t="str">
        <f>'Q100a-geral'!R457</f>
        <v>x</v>
      </c>
      <c r="S874" s="8" t="str">
        <f>'Q100a-geral'!S457</f>
        <v>só para pesquisa</v>
      </c>
      <c r="T874" s="8" t="str">
        <f>'Q100a-geral'!T457</f>
        <v>x</v>
      </c>
      <c r="U874" s="8" t="str">
        <f>'Q100a-geral'!U457</f>
        <v>x</v>
      </c>
      <c r="V874" s="8" t="str">
        <f>'Q100a-geral'!V457</f>
        <v>só para pesquisa</v>
      </c>
      <c r="W874" s="8" t="str">
        <f>'Q100a-geral'!W457</f>
        <v>x</v>
      </c>
      <c r="X874" s="8" t="str">
        <f>'Q100a-geral'!X457</f>
        <v>x</v>
      </c>
      <c r="Y874" s="8" t="str">
        <f>'Q100a-geral'!Y457</f>
        <v>x</v>
      </c>
      <c r="Z874" s="8" t="str">
        <f>'Q100a-geral'!Z457</f>
        <v>x</v>
      </c>
      <c r="AA874" s="8" t="str">
        <f>'Q100a-geral'!AA457</f>
        <v>x</v>
      </c>
      <c r="AB874" s="8" t="str">
        <f>'Q100a-geral'!AB457</f>
        <v>x</v>
      </c>
      <c r="AC874" s="8" t="str">
        <f>'Q100a-geral'!AC457</f>
        <v>x</v>
      </c>
      <c r="AD874" s="8" t="str">
        <f>'Q100a-geral'!AD457</f>
        <v>x</v>
      </c>
      <c r="AE874" s="8" t="str">
        <f>'Q100a-geral'!AE457</f>
        <v>x</v>
      </c>
      <c r="AF874" s="8" t="str">
        <f>'Q100a-geral'!AF457</f>
        <v>x</v>
      </c>
      <c r="AG874" s="8" t="str">
        <f>'Q100a-geral'!AG457</f>
        <v>x</v>
      </c>
      <c r="AH874" s="8" t="str">
        <f>'Q100a-geral'!AH457</f>
        <v>x</v>
      </c>
      <c r="AI874" s="8" t="str">
        <f>'Q100a-geral'!AI457</f>
        <v>x</v>
      </c>
      <c r="AJ874" s="8" t="str">
        <f>'Q100a-geral'!AJ457</f>
        <v>x</v>
      </c>
      <c r="AK874" s="95">
        <f>'Q100a-geral'!AK457</f>
        <v>0.88</v>
      </c>
      <c r="AL874" s="8" t="str">
        <f>'Q100a-geral'!AL457</f>
        <v>x</v>
      </c>
      <c r="AM874" s="8" t="str">
        <f>'Q100a-geral'!AM457</f>
        <v>x</v>
      </c>
      <c r="AN874" s="8" t="str">
        <f>'Q100a-geral'!AN457</f>
        <v>x</v>
      </c>
      <c r="AO874" s="8" t="str">
        <f>'Q100a-geral'!AO457</f>
        <v>x</v>
      </c>
      <c r="AP874" s="8" t="str">
        <f>'Q100a-geral'!AP457</f>
        <v>x</v>
      </c>
      <c r="AQ874" s="8" t="str">
        <f>'Q100a-geral'!AQ457</f>
        <v>x</v>
      </c>
      <c r="AR874" s="8" t="str">
        <f>'Q100a-geral'!AR457</f>
        <v>x</v>
      </c>
      <c r="AS874" s="8" t="str">
        <f>'Q100a-geral'!AS457</f>
        <v>x</v>
      </c>
      <c r="AT874" s="8" t="str">
        <f>'Q100a-geral'!AT457</f>
        <v>x</v>
      </c>
      <c r="AU874" s="8" t="str">
        <f>'Q100a-geral'!AU457</f>
        <v>x</v>
      </c>
      <c r="AV874" s="8" t="str">
        <f>'Q100a-geral'!AV457</f>
        <v>x</v>
      </c>
      <c r="AW874" s="8" t="str">
        <f>'Q100a-geral'!AW457</f>
        <v>x</v>
      </c>
      <c r="AX874" s="8" t="str">
        <f>'Q100a-geral'!AX457</f>
        <v>x</v>
      </c>
      <c r="AY874" s="8" t="str">
        <f>'Q100a-geral'!AY457</f>
        <v>x</v>
      </c>
      <c r="AZ874" s="8" t="str">
        <f>'Q100a-geral'!AZ457</f>
        <v>x</v>
      </c>
      <c r="BA874" s="8" t="str">
        <f>'Q100a-geral'!BA457</f>
        <v>x</v>
      </c>
      <c r="BB874" s="8" t="str">
        <f>'Q100a-geral'!BB457</f>
        <v>BRTacessibilidade</v>
      </c>
      <c r="BC874" s="8" t="str">
        <f>'Q100a-geral'!BC457</f>
        <v>BRTacessibilidadex</v>
      </c>
      <c r="BD874" s="8" t="str">
        <f>'Q100a-geral'!BD457</f>
        <v>BRTx</v>
      </c>
    </row>
    <row r="875" spans="1:56" ht="47.25" x14ac:dyDescent="0.25">
      <c r="A875" s="406" t="str">
        <f>'Q100a-geral'!A412</f>
        <v>8.2</v>
      </c>
      <c r="B875" s="468" t="str">
        <f>'Q100a-geral'!B412</f>
        <v>BRT</v>
      </c>
      <c r="C875" s="13" t="str">
        <f>'Q100a-geral'!C412</f>
        <v>acessibilidade</v>
      </c>
      <c r="D875" s="324" t="str">
        <f>'Q100a-geral'!D412</f>
        <v>BRT IC AC (plataformas/ escadarias)</v>
      </c>
      <c r="E875" s="481" t="str">
        <f>'Q100a-geral'!E412</f>
        <v>Belo Horizonte</v>
      </c>
      <c r="F875" s="619" t="str">
        <f>'Q100a-geral'!F412</f>
        <v>índice de conformidade com a acessibilidade do elemento "escadarias das plataformas" do módulo de análise "elementos de acesso às plataformas" do corredor de BRT denominado "Área Central"
obs.1: calculado como a média dos BRT IC das estações inspecionadas</v>
      </c>
      <c r="G875" s="110" t="str">
        <f>'Q100a-geral'!G412</f>
        <v>registro na fonte</v>
      </c>
      <c r="H875" s="173" t="str">
        <f>'Q100a-geral'!H412</f>
        <v>x</v>
      </c>
      <c r="I875" s="57">
        <f>'Q100a-geral'!I412</f>
        <v>1</v>
      </c>
      <c r="J875" s="8" t="str">
        <f>'Q100a-geral'!J412</f>
        <v>x</v>
      </c>
      <c r="K875" s="8" t="str">
        <f>'Q100a-geral'!K412</f>
        <v>x</v>
      </c>
      <c r="L875" s="8" t="str">
        <f>'Q100a-geral'!L412</f>
        <v>x</v>
      </c>
      <c r="M875" s="8" t="str">
        <f>'Q100a-geral'!M412</f>
        <v>x</v>
      </c>
      <c r="N875" s="8" t="str">
        <f>'Q100a-geral'!N412</f>
        <v>x</v>
      </c>
      <c r="O875" s="8" t="str">
        <f>'Q100a-geral'!O412</f>
        <v>x</v>
      </c>
      <c r="P875" s="8" t="str">
        <f>'Q100a-geral'!P412</f>
        <v>x</v>
      </c>
      <c r="Q875" s="8" t="str">
        <f>'Q100a-geral'!Q412</f>
        <v>x</v>
      </c>
      <c r="R875" s="8" t="str">
        <f>'Q100a-geral'!R412</f>
        <v>x</v>
      </c>
      <c r="S875" s="8" t="str">
        <f>'Q100a-geral'!S412</f>
        <v>só para pesquisa</v>
      </c>
      <c r="T875" s="8" t="str">
        <f>'Q100a-geral'!T412</f>
        <v>x</v>
      </c>
      <c r="U875" s="8" t="str">
        <f>'Q100a-geral'!U412</f>
        <v>x</v>
      </c>
      <c r="V875" s="8" t="str">
        <f>'Q100a-geral'!V412</f>
        <v>só para pesquisa</v>
      </c>
      <c r="W875" s="8" t="str">
        <f>'Q100a-geral'!W412</f>
        <v>x</v>
      </c>
      <c r="X875" s="8" t="str">
        <f>'Q100a-geral'!X412</f>
        <v>x</v>
      </c>
      <c r="Y875" s="8" t="str">
        <f>'Q100a-geral'!Y412</f>
        <v>x</v>
      </c>
      <c r="Z875" s="8" t="str">
        <f>'Q100a-geral'!Z412</f>
        <v>x</v>
      </c>
      <c r="AA875" s="8" t="str">
        <f>'Q100a-geral'!AA412</f>
        <v>x</v>
      </c>
      <c r="AB875" s="8" t="str">
        <f>'Q100a-geral'!AB412</f>
        <v>x</v>
      </c>
      <c r="AC875" s="8" t="str">
        <f>'Q100a-geral'!AC412</f>
        <v>x</v>
      </c>
      <c r="AD875" s="8" t="str">
        <f>'Q100a-geral'!AD412</f>
        <v>x</v>
      </c>
      <c r="AE875" s="8" t="str">
        <f>'Q100a-geral'!AE412</f>
        <v>x</v>
      </c>
      <c r="AF875" s="8" t="str">
        <f>'Q100a-geral'!AF412</f>
        <v>x</v>
      </c>
      <c r="AG875" s="8" t="str">
        <f>'Q100a-geral'!AG412</f>
        <v>x</v>
      </c>
      <c r="AH875" s="8" t="str">
        <f>'Q100a-geral'!AH412</f>
        <v>x</v>
      </c>
      <c r="AI875" s="8" t="str">
        <f>'Q100a-geral'!AI412</f>
        <v>x</v>
      </c>
      <c r="AJ875" s="8" t="str">
        <f>'Q100a-geral'!AJ412</f>
        <v>x</v>
      </c>
      <c r="AK875" s="95">
        <f>'Q100a-geral'!AK412</f>
        <v>0.63</v>
      </c>
      <c r="AL875" s="8" t="str">
        <f>'Q100a-geral'!AL412</f>
        <v>x</v>
      </c>
      <c r="AM875" s="8" t="str">
        <f>'Q100a-geral'!AM412</f>
        <v>x</v>
      </c>
      <c r="AN875" s="8" t="str">
        <f>'Q100a-geral'!AN412</f>
        <v>x</v>
      </c>
      <c r="AO875" s="8" t="str">
        <f>'Q100a-geral'!AO412</f>
        <v>x</v>
      </c>
      <c r="AP875" s="8" t="str">
        <f>'Q100a-geral'!AP412</f>
        <v>x</v>
      </c>
      <c r="AQ875" s="8" t="str">
        <f>'Q100a-geral'!AQ412</f>
        <v>x</v>
      </c>
      <c r="AR875" s="8" t="str">
        <f>'Q100a-geral'!AR412</f>
        <v>x</v>
      </c>
      <c r="AS875" s="8" t="str">
        <f>'Q100a-geral'!AS412</f>
        <v>x</v>
      </c>
      <c r="AT875" s="8" t="str">
        <f>'Q100a-geral'!AT412</f>
        <v>x</v>
      </c>
      <c r="AU875" s="8" t="str">
        <f>'Q100a-geral'!AU412</f>
        <v>x</v>
      </c>
      <c r="AV875" s="8" t="str">
        <f>'Q100a-geral'!AV412</f>
        <v>x</v>
      </c>
      <c r="AW875" s="8" t="str">
        <f>'Q100a-geral'!AW412</f>
        <v>x</v>
      </c>
      <c r="AX875" s="8" t="str">
        <f>'Q100a-geral'!AX412</f>
        <v>x</v>
      </c>
      <c r="AY875" s="8" t="str">
        <f>'Q100a-geral'!AY412</f>
        <v>x</v>
      </c>
      <c r="AZ875" s="8" t="str">
        <f>'Q100a-geral'!AZ412</f>
        <v>x</v>
      </c>
      <c r="BA875" s="8" t="str">
        <f>'Q100a-geral'!BA412</f>
        <v>x</v>
      </c>
      <c r="BB875" s="8" t="str">
        <f>'Q100a-geral'!BB412</f>
        <v>BRTacessibilidade</v>
      </c>
      <c r="BC875" s="8" t="str">
        <f>'Q100a-geral'!BC412</f>
        <v>BRTacessibilidadex</v>
      </c>
      <c r="BD875" s="8" t="str">
        <f>'Q100a-geral'!BD412</f>
        <v>BRTx</v>
      </c>
    </row>
    <row r="876" spans="1:56" ht="47.25" x14ac:dyDescent="0.25">
      <c r="A876" s="406" t="str">
        <f>'Q100a-geral'!A433</f>
        <v>8.2</v>
      </c>
      <c r="B876" s="468" t="str">
        <f>'Q100a-geral'!B433</f>
        <v>BRT</v>
      </c>
      <c r="C876" s="13" t="str">
        <f>'Q100a-geral'!C433</f>
        <v>acessibilidade</v>
      </c>
      <c r="D876" s="324" t="str">
        <f>'Q100a-geral'!D433</f>
        <v>BRT IC ATC (plataformas/ escadarias)</v>
      </c>
      <c r="E876" s="481" t="str">
        <f>'Q100a-geral'!E433</f>
        <v>Belo Horizonte</v>
      </c>
      <c r="F876" s="619" t="str">
        <f>'Q100a-geral'!F433</f>
        <v>índice de conformidade com a acessibilidade do elemento "escadarias das plataformas" do módulo de análise "elementos de acesso às plataformas" do corredor de BRT denominado "Antônio Carlos"
obs.1: calculado como a média dos BRT IC das estações inspecionadas</v>
      </c>
      <c r="G876" s="110" t="str">
        <f>'Q100a-geral'!G433</f>
        <v>registro na fonte</v>
      </c>
      <c r="H876" s="173" t="str">
        <f>'Q100a-geral'!H433</f>
        <v>x</v>
      </c>
      <c r="I876" s="57">
        <f>'Q100a-geral'!I433</f>
        <v>1</v>
      </c>
      <c r="J876" s="8" t="str">
        <f>'Q100a-geral'!J433</f>
        <v>x</v>
      </c>
      <c r="K876" s="8" t="str">
        <f>'Q100a-geral'!K433</f>
        <v>x</v>
      </c>
      <c r="L876" s="8" t="str">
        <f>'Q100a-geral'!L433</f>
        <v>x</v>
      </c>
      <c r="M876" s="8" t="str">
        <f>'Q100a-geral'!M433</f>
        <v>x</v>
      </c>
      <c r="N876" s="8" t="str">
        <f>'Q100a-geral'!N433</f>
        <v>x</v>
      </c>
      <c r="O876" s="8" t="str">
        <f>'Q100a-geral'!O433</f>
        <v>x</v>
      </c>
      <c r="P876" s="8" t="str">
        <f>'Q100a-geral'!P433</f>
        <v>x</v>
      </c>
      <c r="Q876" s="8" t="str">
        <f>'Q100a-geral'!Q433</f>
        <v>x</v>
      </c>
      <c r="R876" s="8" t="str">
        <f>'Q100a-geral'!R433</f>
        <v>x</v>
      </c>
      <c r="S876" s="8" t="str">
        <f>'Q100a-geral'!S433</f>
        <v>só para pesquisa</v>
      </c>
      <c r="T876" s="8" t="str">
        <f>'Q100a-geral'!T433</f>
        <v>x</v>
      </c>
      <c r="U876" s="8" t="str">
        <f>'Q100a-geral'!U433</f>
        <v>x</v>
      </c>
      <c r="V876" s="8" t="str">
        <f>'Q100a-geral'!V433</f>
        <v>só para pesquisa</v>
      </c>
      <c r="W876" s="8" t="str">
        <f>'Q100a-geral'!W433</f>
        <v>x</v>
      </c>
      <c r="X876" s="8" t="str">
        <f>'Q100a-geral'!X433</f>
        <v>x</v>
      </c>
      <c r="Y876" s="8" t="str">
        <f>'Q100a-geral'!Y433</f>
        <v>x</v>
      </c>
      <c r="Z876" s="8" t="str">
        <f>'Q100a-geral'!Z433</f>
        <v>x</v>
      </c>
      <c r="AA876" s="8" t="str">
        <f>'Q100a-geral'!AA433</f>
        <v>x</v>
      </c>
      <c r="AB876" s="8" t="str">
        <f>'Q100a-geral'!AB433</f>
        <v>x</v>
      </c>
      <c r="AC876" s="8" t="str">
        <f>'Q100a-geral'!AC433</f>
        <v>x</v>
      </c>
      <c r="AD876" s="8" t="str">
        <f>'Q100a-geral'!AD433</f>
        <v>x</v>
      </c>
      <c r="AE876" s="8" t="str">
        <f>'Q100a-geral'!AE433</f>
        <v>x</v>
      </c>
      <c r="AF876" s="8" t="str">
        <f>'Q100a-geral'!AF433</f>
        <v>x</v>
      </c>
      <c r="AG876" s="8" t="str">
        <f>'Q100a-geral'!AG433</f>
        <v>x</v>
      </c>
      <c r="AH876" s="8" t="str">
        <f>'Q100a-geral'!AH433</f>
        <v>x</v>
      </c>
      <c r="AI876" s="8" t="str">
        <f>'Q100a-geral'!AI433</f>
        <v>x</v>
      </c>
      <c r="AJ876" s="8" t="str">
        <f>'Q100a-geral'!AJ433</f>
        <v>x</v>
      </c>
      <c r="AK876" s="95">
        <f>'Q100a-geral'!AK433</f>
        <v>0.45</v>
      </c>
      <c r="AL876" s="8" t="str">
        <f>'Q100a-geral'!AL433</f>
        <v>x</v>
      </c>
      <c r="AM876" s="8" t="str">
        <f>'Q100a-geral'!AM433</f>
        <v>x</v>
      </c>
      <c r="AN876" s="8" t="str">
        <f>'Q100a-geral'!AN433</f>
        <v>x</v>
      </c>
      <c r="AO876" s="8" t="str">
        <f>'Q100a-geral'!AO433</f>
        <v>x</v>
      </c>
      <c r="AP876" s="8" t="str">
        <f>'Q100a-geral'!AP433</f>
        <v>x</v>
      </c>
      <c r="AQ876" s="8" t="str">
        <f>'Q100a-geral'!AQ433</f>
        <v>x</v>
      </c>
      <c r="AR876" s="8" t="str">
        <f>'Q100a-geral'!AR433</f>
        <v>x</v>
      </c>
      <c r="AS876" s="8" t="str">
        <f>'Q100a-geral'!AS433</f>
        <v>x</v>
      </c>
      <c r="AT876" s="8" t="str">
        <f>'Q100a-geral'!AT433</f>
        <v>x</v>
      </c>
      <c r="AU876" s="8" t="str">
        <f>'Q100a-geral'!AU433</f>
        <v>x</v>
      </c>
      <c r="AV876" s="8" t="str">
        <f>'Q100a-geral'!AV433</f>
        <v>x</v>
      </c>
      <c r="AW876" s="8" t="str">
        <f>'Q100a-geral'!AW433</f>
        <v>x</v>
      </c>
      <c r="AX876" s="8" t="str">
        <f>'Q100a-geral'!AX433</f>
        <v>x</v>
      </c>
      <c r="AY876" s="8" t="str">
        <f>'Q100a-geral'!AY433</f>
        <v>x</v>
      </c>
      <c r="AZ876" s="8" t="str">
        <f>'Q100a-geral'!AZ433</f>
        <v>x</v>
      </c>
      <c r="BA876" s="8" t="str">
        <f>'Q100a-geral'!BA433</f>
        <v>x</v>
      </c>
      <c r="BB876" s="8" t="str">
        <f>'Q100a-geral'!BB433</f>
        <v>BRTacessibilidade</v>
      </c>
      <c r="BC876" s="8" t="str">
        <f>'Q100a-geral'!BC433</f>
        <v>BRTacessibilidadex</v>
      </c>
      <c r="BD876" s="8" t="str">
        <f>'Q100a-geral'!BD433</f>
        <v>BRTx</v>
      </c>
    </row>
    <row r="877" spans="1:56" ht="47.25" x14ac:dyDescent="0.25">
      <c r="A877" s="406" t="str">
        <f>'Q100a-geral'!A455</f>
        <v>8.2</v>
      </c>
      <c r="B877" s="468" t="str">
        <f>'Q100a-geral'!B455</f>
        <v>BRT</v>
      </c>
      <c r="C877" s="13" t="str">
        <f>'Q100a-geral'!C455</f>
        <v>acessibilidade</v>
      </c>
      <c r="D877" s="324" t="str">
        <f>'Q100a-geral'!D455</f>
        <v>BRT IC CMC (plataformas/ escadarias)</v>
      </c>
      <c r="E877" s="481" t="str">
        <f>'Q100a-geral'!E455</f>
        <v>Belo Horizonte</v>
      </c>
      <c r="F877" s="619" t="str">
        <f>'Q100a-geral'!F455</f>
        <v>índice de conformidade com a acessibilidade do elemento "escadarias das plataformas" do módulo de análise "elementos de acesso às plataformas" do corredor de BRT denominado "Cristiano Machado"
obs.1: calculado como a média dos BRT IC das estações inspecionadas</v>
      </c>
      <c r="G877" s="110" t="str">
        <f>'Q100a-geral'!G455</f>
        <v>registro na fonte</v>
      </c>
      <c r="H877" s="173" t="str">
        <f>'Q100a-geral'!H455</f>
        <v>x</v>
      </c>
      <c r="I877" s="57">
        <f>'Q100a-geral'!I455</f>
        <v>1</v>
      </c>
      <c r="J877" s="8" t="str">
        <f>'Q100a-geral'!J455</f>
        <v>x</v>
      </c>
      <c r="K877" s="8" t="str">
        <f>'Q100a-geral'!K455</f>
        <v>x</v>
      </c>
      <c r="L877" s="8" t="str">
        <f>'Q100a-geral'!L455</f>
        <v>x</v>
      </c>
      <c r="M877" s="8" t="str">
        <f>'Q100a-geral'!M455</f>
        <v>x</v>
      </c>
      <c r="N877" s="8" t="str">
        <f>'Q100a-geral'!N455</f>
        <v>x</v>
      </c>
      <c r="O877" s="8" t="str">
        <f>'Q100a-geral'!O455</f>
        <v>x</v>
      </c>
      <c r="P877" s="8" t="str">
        <f>'Q100a-geral'!P455</f>
        <v>x</v>
      </c>
      <c r="Q877" s="8" t="str">
        <f>'Q100a-geral'!Q455</f>
        <v>x</v>
      </c>
      <c r="R877" s="8" t="str">
        <f>'Q100a-geral'!R455</f>
        <v>x</v>
      </c>
      <c r="S877" s="8" t="str">
        <f>'Q100a-geral'!S455</f>
        <v>só para pesquisa</v>
      </c>
      <c r="T877" s="8" t="str">
        <f>'Q100a-geral'!T455</f>
        <v>x</v>
      </c>
      <c r="U877" s="8" t="str">
        <f>'Q100a-geral'!U455</f>
        <v>x</v>
      </c>
      <c r="V877" s="8" t="str">
        <f>'Q100a-geral'!V455</f>
        <v>só para pesquisa</v>
      </c>
      <c r="W877" s="8" t="str">
        <f>'Q100a-geral'!W455</f>
        <v>x</v>
      </c>
      <c r="X877" s="8" t="str">
        <f>'Q100a-geral'!X455</f>
        <v>x</v>
      </c>
      <c r="Y877" s="8" t="str">
        <f>'Q100a-geral'!Y455</f>
        <v>x</v>
      </c>
      <c r="Z877" s="8" t="str">
        <f>'Q100a-geral'!Z455</f>
        <v>x</v>
      </c>
      <c r="AA877" s="8" t="str">
        <f>'Q100a-geral'!AA455</f>
        <v>x</v>
      </c>
      <c r="AB877" s="8" t="str">
        <f>'Q100a-geral'!AB455</f>
        <v>x</v>
      </c>
      <c r="AC877" s="8" t="str">
        <f>'Q100a-geral'!AC455</f>
        <v>x</v>
      </c>
      <c r="AD877" s="8" t="str">
        <f>'Q100a-geral'!AD455</f>
        <v>x</v>
      </c>
      <c r="AE877" s="8" t="str">
        <f>'Q100a-geral'!AE455</f>
        <v>x</v>
      </c>
      <c r="AF877" s="8" t="str">
        <f>'Q100a-geral'!AF455</f>
        <v>x</v>
      </c>
      <c r="AG877" s="8" t="str">
        <f>'Q100a-geral'!AG455</f>
        <v>x</v>
      </c>
      <c r="AH877" s="8" t="str">
        <f>'Q100a-geral'!AH455</f>
        <v>x</v>
      </c>
      <c r="AI877" s="8" t="str">
        <f>'Q100a-geral'!AI455</f>
        <v>x</v>
      </c>
      <c r="AJ877" s="8" t="str">
        <f>'Q100a-geral'!AJ455</f>
        <v>x</v>
      </c>
      <c r="AK877" s="882" t="str">
        <f>'Q100a-geral'!AK455</f>
        <v>x</v>
      </c>
      <c r="AL877" s="8" t="str">
        <f>'Q100a-geral'!AL455</f>
        <v>x</v>
      </c>
      <c r="AM877" s="8" t="str">
        <f>'Q100a-geral'!AM455</f>
        <v>x</v>
      </c>
      <c r="AN877" s="8" t="str">
        <f>'Q100a-geral'!AN455</f>
        <v>x</v>
      </c>
      <c r="AO877" s="8" t="str">
        <f>'Q100a-geral'!AO455</f>
        <v>x</v>
      </c>
      <c r="AP877" s="8" t="str">
        <f>'Q100a-geral'!AP455</f>
        <v>x</v>
      </c>
      <c r="AQ877" s="8" t="str">
        <f>'Q100a-geral'!AQ455</f>
        <v>x</v>
      </c>
      <c r="AR877" s="8" t="str">
        <f>'Q100a-geral'!AR455</f>
        <v>x</v>
      </c>
      <c r="AS877" s="8" t="str">
        <f>'Q100a-geral'!AS455</f>
        <v>x</v>
      </c>
      <c r="AT877" s="8" t="str">
        <f>'Q100a-geral'!AT455</f>
        <v>x</v>
      </c>
      <c r="AU877" s="8" t="str">
        <f>'Q100a-geral'!AU455</f>
        <v>x</v>
      </c>
      <c r="AV877" s="8" t="str">
        <f>'Q100a-geral'!AV455</f>
        <v>x</v>
      </c>
      <c r="AW877" s="8" t="str">
        <f>'Q100a-geral'!AW455</f>
        <v>x</v>
      </c>
      <c r="AX877" s="8" t="str">
        <f>'Q100a-geral'!AX455</f>
        <v>x</v>
      </c>
      <c r="AY877" s="8" t="str">
        <f>'Q100a-geral'!AY455</f>
        <v>x</v>
      </c>
      <c r="AZ877" s="8" t="str">
        <f>'Q100a-geral'!AZ455</f>
        <v>x</v>
      </c>
      <c r="BA877" s="8" t="str">
        <f>'Q100a-geral'!BA455</f>
        <v>x</v>
      </c>
      <c r="BB877" s="8" t="str">
        <f>'Q100a-geral'!BB455</f>
        <v>BRTacessibilidade</v>
      </c>
      <c r="BC877" s="8" t="str">
        <f>'Q100a-geral'!BC455</f>
        <v>BRTacessibilidadex</v>
      </c>
      <c r="BD877" s="8" t="str">
        <f>'Q100a-geral'!BD455</f>
        <v>BRTx</v>
      </c>
    </row>
    <row r="878" spans="1:56" ht="47.25" x14ac:dyDescent="0.25">
      <c r="A878" s="406" t="str">
        <f>'Q100a-geral'!A411</f>
        <v>8.2</v>
      </c>
      <c r="B878" s="468" t="str">
        <f>'Q100a-geral'!B411</f>
        <v>BRT</v>
      </c>
      <c r="C878" s="13" t="str">
        <f>'Q100a-geral'!C411</f>
        <v>acessibilidade</v>
      </c>
      <c r="D878" s="324" t="str">
        <f>'Q100a-geral'!D411</f>
        <v>BRT IC AC (plataformas/ corrimãos)</v>
      </c>
      <c r="E878" s="481" t="str">
        <f>'Q100a-geral'!E411</f>
        <v>Belo Horizonte</v>
      </c>
      <c r="F878" s="619" t="str">
        <f>'Q100a-geral'!F411</f>
        <v>índice de conformidade com a acessibilidade do elemento "corrimãos das plataformas" do módulo de análise "elementos de acesso às plataformas" do corredor de BRT denominado "Área Central"
obs.1: calculado como a média dos BRT IC das estações inspecionadas</v>
      </c>
      <c r="G878" s="110" t="str">
        <f>'Q100a-geral'!G411</f>
        <v>registro na fonte</v>
      </c>
      <c r="H878" s="173" t="str">
        <f>'Q100a-geral'!H411</f>
        <v>x</v>
      </c>
      <c r="I878" s="57">
        <f>'Q100a-geral'!I411</f>
        <v>1</v>
      </c>
      <c r="J878" s="8" t="str">
        <f>'Q100a-geral'!J411</f>
        <v>x</v>
      </c>
      <c r="K878" s="8" t="str">
        <f>'Q100a-geral'!K411</f>
        <v>x</v>
      </c>
      <c r="L878" s="8" t="str">
        <f>'Q100a-geral'!L411</f>
        <v>x</v>
      </c>
      <c r="M878" s="8" t="str">
        <f>'Q100a-geral'!M411</f>
        <v>x</v>
      </c>
      <c r="N878" s="8" t="str">
        <f>'Q100a-geral'!N411</f>
        <v>x</v>
      </c>
      <c r="O878" s="8" t="str">
        <f>'Q100a-geral'!O411</f>
        <v>x</v>
      </c>
      <c r="P878" s="8" t="str">
        <f>'Q100a-geral'!P411</f>
        <v>x</v>
      </c>
      <c r="Q878" s="8" t="str">
        <f>'Q100a-geral'!Q411</f>
        <v>x</v>
      </c>
      <c r="R878" s="8" t="str">
        <f>'Q100a-geral'!R411</f>
        <v>x</v>
      </c>
      <c r="S878" s="8" t="str">
        <f>'Q100a-geral'!S411</f>
        <v>só para pesquisa</v>
      </c>
      <c r="T878" s="8" t="str">
        <f>'Q100a-geral'!T411</f>
        <v>x</v>
      </c>
      <c r="U878" s="8" t="str">
        <f>'Q100a-geral'!U411</f>
        <v>x</v>
      </c>
      <c r="V878" s="8" t="str">
        <f>'Q100a-geral'!V411</f>
        <v>só para pesquisa</v>
      </c>
      <c r="W878" s="8" t="str">
        <f>'Q100a-geral'!W411</f>
        <v>x</v>
      </c>
      <c r="X878" s="8" t="str">
        <f>'Q100a-geral'!X411</f>
        <v>x</v>
      </c>
      <c r="Y878" s="8" t="str">
        <f>'Q100a-geral'!Y411</f>
        <v>x</v>
      </c>
      <c r="Z878" s="8" t="str">
        <f>'Q100a-geral'!Z411</f>
        <v>x</v>
      </c>
      <c r="AA878" s="8" t="str">
        <f>'Q100a-geral'!AA411</f>
        <v>x</v>
      </c>
      <c r="AB878" s="8" t="str">
        <f>'Q100a-geral'!AB411</f>
        <v>x</v>
      </c>
      <c r="AC878" s="8" t="str">
        <f>'Q100a-geral'!AC411</f>
        <v>x</v>
      </c>
      <c r="AD878" s="8" t="str">
        <f>'Q100a-geral'!AD411</f>
        <v>x</v>
      </c>
      <c r="AE878" s="8" t="str">
        <f>'Q100a-geral'!AE411</f>
        <v>x</v>
      </c>
      <c r="AF878" s="8" t="str">
        <f>'Q100a-geral'!AF411</f>
        <v>x</v>
      </c>
      <c r="AG878" s="8" t="str">
        <f>'Q100a-geral'!AG411</f>
        <v>x</v>
      </c>
      <c r="AH878" s="8" t="str">
        <f>'Q100a-geral'!AH411</f>
        <v>x</v>
      </c>
      <c r="AI878" s="8" t="str">
        <f>'Q100a-geral'!AI411</f>
        <v>x</v>
      </c>
      <c r="AJ878" s="8" t="str">
        <f>'Q100a-geral'!AJ411</f>
        <v>x</v>
      </c>
      <c r="AK878" s="95">
        <f>'Q100a-geral'!AK411</f>
        <v>0.71</v>
      </c>
      <c r="AL878" s="8" t="str">
        <f>'Q100a-geral'!AL411</f>
        <v>x</v>
      </c>
      <c r="AM878" s="8" t="str">
        <f>'Q100a-geral'!AM411</f>
        <v>x</v>
      </c>
      <c r="AN878" s="8" t="str">
        <f>'Q100a-geral'!AN411</f>
        <v>x</v>
      </c>
      <c r="AO878" s="8" t="str">
        <f>'Q100a-geral'!AO411</f>
        <v>x</v>
      </c>
      <c r="AP878" s="8" t="str">
        <f>'Q100a-geral'!AP411</f>
        <v>x</v>
      </c>
      <c r="AQ878" s="8" t="str">
        <f>'Q100a-geral'!AQ411</f>
        <v>x</v>
      </c>
      <c r="AR878" s="8" t="str">
        <f>'Q100a-geral'!AR411</f>
        <v>x</v>
      </c>
      <c r="AS878" s="8" t="str">
        <f>'Q100a-geral'!AS411</f>
        <v>x</v>
      </c>
      <c r="AT878" s="8" t="str">
        <f>'Q100a-geral'!AT411</f>
        <v>x</v>
      </c>
      <c r="AU878" s="8" t="str">
        <f>'Q100a-geral'!AU411</f>
        <v>x</v>
      </c>
      <c r="AV878" s="8" t="str">
        <f>'Q100a-geral'!AV411</f>
        <v>x</v>
      </c>
      <c r="AW878" s="8" t="str">
        <f>'Q100a-geral'!AW411</f>
        <v>x</v>
      </c>
      <c r="AX878" s="8" t="str">
        <f>'Q100a-geral'!AX411</f>
        <v>x</v>
      </c>
      <c r="AY878" s="8" t="str">
        <f>'Q100a-geral'!AY411</f>
        <v>x</v>
      </c>
      <c r="AZ878" s="8" t="str">
        <f>'Q100a-geral'!AZ411</f>
        <v>x</v>
      </c>
      <c r="BA878" s="8" t="str">
        <f>'Q100a-geral'!BA411</f>
        <v>x</v>
      </c>
      <c r="BB878" s="8" t="str">
        <f>'Q100a-geral'!BB411</f>
        <v>BRTacessibilidade</v>
      </c>
      <c r="BC878" s="8" t="str">
        <f>'Q100a-geral'!BC411</f>
        <v>BRTacessibilidadex</v>
      </c>
      <c r="BD878" s="8" t="str">
        <f>'Q100a-geral'!BD411</f>
        <v>BRTx</v>
      </c>
    </row>
    <row r="879" spans="1:56" ht="47.25" x14ac:dyDescent="0.25">
      <c r="A879" s="406" t="str">
        <f>'Q100a-geral'!A432</f>
        <v>8.2</v>
      </c>
      <c r="B879" s="468" t="str">
        <f>'Q100a-geral'!B432</f>
        <v>BRT</v>
      </c>
      <c r="C879" s="13" t="str">
        <f>'Q100a-geral'!C432</f>
        <v>acessibilidade</v>
      </c>
      <c r="D879" s="324" t="str">
        <f>'Q100a-geral'!D432</f>
        <v>BRT IC ATC (plataformas/ corrimãos)</v>
      </c>
      <c r="E879" s="481" t="str">
        <f>'Q100a-geral'!E432</f>
        <v>Belo Horizonte</v>
      </c>
      <c r="F879" s="619" t="str">
        <f>'Q100a-geral'!F432</f>
        <v>índice de conformidade com a acessibilidade do elemento "corrimãos das plataformas" do módulo de análise "elementos de acesso à plataforma" do corredor de BRT denominado "Antônio Carlos"
obs.1: calculado como a média dos BRT IC das estações inspecionadas</v>
      </c>
      <c r="G879" s="110" t="str">
        <f>'Q100a-geral'!G432</f>
        <v>registro na fonte</v>
      </c>
      <c r="H879" s="173" t="str">
        <f>'Q100a-geral'!H432</f>
        <v>x</v>
      </c>
      <c r="I879" s="57">
        <f>'Q100a-geral'!I432</f>
        <v>1</v>
      </c>
      <c r="J879" s="8" t="str">
        <f>'Q100a-geral'!J432</f>
        <v>x</v>
      </c>
      <c r="K879" s="8" t="str">
        <f>'Q100a-geral'!K432</f>
        <v>x</v>
      </c>
      <c r="L879" s="8" t="str">
        <f>'Q100a-geral'!L432</f>
        <v>x</v>
      </c>
      <c r="M879" s="8" t="str">
        <f>'Q100a-geral'!M432</f>
        <v>x</v>
      </c>
      <c r="N879" s="8" t="str">
        <f>'Q100a-geral'!N432</f>
        <v>x</v>
      </c>
      <c r="O879" s="8" t="str">
        <f>'Q100a-geral'!O432</f>
        <v>x</v>
      </c>
      <c r="P879" s="8" t="str">
        <f>'Q100a-geral'!P432</f>
        <v>x</v>
      </c>
      <c r="Q879" s="8" t="str">
        <f>'Q100a-geral'!Q432</f>
        <v>x</v>
      </c>
      <c r="R879" s="8" t="str">
        <f>'Q100a-geral'!R432</f>
        <v>x</v>
      </c>
      <c r="S879" s="8" t="str">
        <f>'Q100a-geral'!S432</f>
        <v>só para pesquisa</v>
      </c>
      <c r="T879" s="8" t="str">
        <f>'Q100a-geral'!T432</f>
        <v>x</v>
      </c>
      <c r="U879" s="8" t="str">
        <f>'Q100a-geral'!U432</f>
        <v>x</v>
      </c>
      <c r="V879" s="8" t="str">
        <f>'Q100a-geral'!V432</f>
        <v>só para pesquisa</v>
      </c>
      <c r="W879" s="8" t="str">
        <f>'Q100a-geral'!W432</f>
        <v>x</v>
      </c>
      <c r="X879" s="8" t="str">
        <f>'Q100a-geral'!X432</f>
        <v>x</v>
      </c>
      <c r="Y879" s="8" t="str">
        <f>'Q100a-geral'!Y432</f>
        <v>x</v>
      </c>
      <c r="Z879" s="8" t="str">
        <f>'Q100a-geral'!Z432</f>
        <v>x</v>
      </c>
      <c r="AA879" s="8" t="str">
        <f>'Q100a-geral'!AA432</f>
        <v>x</v>
      </c>
      <c r="AB879" s="8" t="str">
        <f>'Q100a-geral'!AB432</f>
        <v>x</v>
      </c>
      <c r="AC879" s="8" t="str">
        <f>'Q100a-geral'!AC432</f>
        <v>x</v>
      </c>
      <c r="AD879" s="8" t="str">
        <f>'Q100a-geral'!AD432</f>
        <v>x</v>
      </c>
      <c r="AE879" s="8" t="str">
        <f>'Q100a-geral'!AE432</f>
        <v>x</v>
      </c>
      <c r="AF879" s="8" t="str">
        <f>'Q100a-geral'!AF432</f>
        <v>x</v>
      </c>
      <c r="AG879" s="8" t="str">
        <f>'Q100a-geral'!AG432</f>
        <v>x</v>
      </c>
      <c r="AH879" s="8" t="str">
        <f>'Q100a-geral'!AH432</f>
        <v>x</v>
      </c>
      <c r="AI879" s="8" t="str">
        <f>'Q100a-geral'!AI432</f>
        <v>x</v>
      </c>
      <c r="AJ879" s="8" t="str">
        <f>'Q100a-geral'!AJ432</f>
        <v>x</v>
      </c>
      <c r="AK879" s="95">
        <f>'Q100a-geral'!AK432</f>
        <v>0.72</v>
      </c>
      <c r="AL879" s="8" t="str">
        <f>'Q100a-geral'!AL432</f>
        <v>x</v>
      </c>
      <c r="AM879" s="8" t="str">
        <f>'Q100a-geral'!AM432</f>
        <v>x</v>
      </c>
      <c r="AN879" s="8" t="str">
        <f>'Q100a-geral'!AN432</f>
        <v>x</v>
      </c>
      <c r="AO879" s="8" t="str">
        <f>'Q100a-geral'!AO432</f>
        <v>x</v>
      </c>
      <c r="AP879" s="8" t="str">
        <f>'Q100a-geral'!AP432</f>
        <v>x</v>
      </c>
      <c r="AQ879" s="8" t="str">
        <f>'Q100a-geral'!AQ432</f>
        <v>x</v>
      </c>
      <c r="AR879" s="8" t="str">
        <f>'Q100a-geral'!AR432</f>
        <v>x</v>
      </c>
      <c r="AS879" s="8" t="str">
        <f>'Q100a-geral'!AS432</f>
        <v>x</v>
      </c>
      <c r="AT879" s="8" t="str">
        <f>'Q100a-geral'!AT432</f>
        <v>x</v>
      </c>
      <c r="AU879" s="8" t="str">
        <f>'Q100a-geral'!AU432</f>
        <v>x</v>
      </c>
      <c r="AV879" s="8" t="str">
        <f>'Q100a-geral'!AV432</f>
        <v>x</v>
      </c>
      <c r="AW879" s="8" t="str">
        <f>'Q100a-geral'!AW432</f>
        <v>x</v>
      </c>
      <c r="AX879" s="8" t="str">
        <f>'Q100a-geral'!AX432</f>
        <v>x</v>
      </c>
      <c r="AY879" s="8" t="str">
        <f>'Q100a-geral'!AY432</f>
        <v>x</v>
      </c>
      <c r="AZ879" s="8" t="str">
        <f>'Q100a-geral'!AZ432</f>
        <v>x</v>
      </c>
      <c r="BA879" s="8" t="str">
        <f>'Q100a-geral'!BA432</f>
        <v>x</v>
      </c>
      <c r="BB879" s="8" t="str">
        <f>'Q100a-geral'!BB432</f>
        <v>BRTacessibilidade</v>
      </c>
      <c r="BC879" s="8" t="str">
        <f>'Q100a-geral'!BC432</f>
        <v>BRTacessibilidadex</v>
      </c>
      <c r="BD879" s="8" t="str">
        <f>'Q100a-geral'!BD432</f>
        <v>BRTx</v>
      </c>
    </row>
    <row r="880" spans="1:56" ht="47.25" x14ac:dyDescent="0.25">
      <c r="A880" s="406" t="str">
        <f>'Q100a-geral'!A454</f>
        <v>8.2</v>
      </c>
      <c r="B880" s="468" t="str">
        <f>'Q100a-geral'!B454</f>
        <v>BRT</v>
      </c>
      <c r="C880" s="13" t="str">
        <f>'Q100a-geral'!C454</f>
        <v>acessibilidade</v>
      </c>
      <c r="D880" s="324" t="str">
        <f>'Q100a-geral'!D454</f>
        <v>BRT IC CMC (plataformas/ corrimãos)</v>
      </c>
      <c r="E880" s="481" t="str">
        <f>'Q100a-geral'!E454</f>
        <v>Belo Horizonte</v>
      </c>
      <c r="F880" s="619" t="str">
        <f>'Q100a-geral'!F454</f>
        <v>índice de conformidade com a acessibilidade do elemento "corrimãos das plataformas" do módulo de análise "elementos de acesso às plataformas" do corredor de BRT denominado "Cristiano Machado"
obs.1: calculado como a média dos BRT IC das estações inspecionadas</v>
      </c>
      <c r="G880" s="110" t="str">
        <f>'Q100a-geral'!G454</f>
        <v>registro na fonte</v>
      </c>
      <c r="H880" s="173" t="str">
        <f>'Q100a-geral'!H454</f>
        <v>x</v>
      </c>
      <c r="I880" s="57">
        <f>'Q100a-geral'!I454</f>
        <v>1</v>
      </c>
      <c r="J880" s="8" t="str">
        <f>'Q100a-geral'!J454</f>
        <v>x</v>
      </c>
      <c r="K880" s="8" t="str">
        <f>'Q100a-geral'!K454</f>
        <v>x</v>
      </c>
      <c r="L880" s="8" t="str">
        <f>'Q100a-geral'!L454</f>
        <v>x</v>
      </c>
      <c r="M880" s="8" t="str">
        <f>'Q100a-geral'!M454</f>
        <v>x</v>
      </c>
      <c r="N880" s="8" t="str">
        <f>'Q100a-geral'!N454</f>
        <v>x</v>
      </c>
      <c r="O880" s="8" t="str">
        <f>'Q100a-geral'!O454</f>
        <v>x</v>
      </c>
      <c r="P880" s="8" t="str">
        <f>'Q100a-geral'!P454</f>
        <v>x</v>
      </c>
      <c r="Q880" s="8" t="str">
        <f>'Q100a-geral'!Q454</f>
        <v>x</v>
      </c>
      <c r="R880" s="8" t="str">
        <f>'Q100a-geral'!R454</f>
        <v>x</v>
      </c>
      <c r="S880" s="8" t="str">
        <f>'Q100a-geral'!S454</f>
        <v>só para pesquisa</v>
      </c>
      <c r="T880" s="8" t="str">
        <f>'Q100a-geral'!T454</f>
        <v>x</v>
      </c>
      <c r="U880" s="8" t="str">
        <f>'Q100a-geral'!U454</f>
        <v>x</v>
      </c>
      <c r="V880" s="8" t="str">
        <f>'Q100a-geral'!V454</f>
        <v>só para pesquisa</v>
      </c>
      <c r="W880" s="8" t="str">
        <f>'Q100a-geral'!W454</f>
        <v>x</v>
      </c>
      <c r="X880" s="8" t="str">
        <f>'Q100a-geral'!X454</f>
        <v>x</v>
      </c>
      <c r="Y880" s="8" t="str">
        <f>'Q100a-geral'!Y454</f>
        <v>x</v>
      </c>
      <c r="Z880" s="8" t="str">
        <f>'Q100a-geral'!Z454</f>
        <v>x</v>
      </c>
      <c r="AA880" s="8" t="str">
        <f>'Q100a-geral'!AA454</f>
        <v>x</v>
      </c>
      <c r="AB880" s="8" t="str">
        <f>'Q100a-geral'!AB454</f>
        <v>x</v>
      </c>
      <c r="AC880" s="8" t="str">
        <f>'Q100a-geral'!AC454</f>
        <v>x</v>
      </c>
      <c r="AD880" s="8" t="str">
        <f>'Q100a-geral'!AD454</f>
        <v>x</v>
      </c>
      <c r="AE880" s="8" t="str">
        <f>'Q100a-geral'!AE454</f>
        <v>x</v>
      </c>
      <c r="AF880" s="8" t="str">
        <f>'Q100a-geral'!AF454</f>
        <v>x</v>
      </c>
      <c r="AG880" s="8" t="str">
        <f>'Q100a-geral'!AG454</f>
        <v>x</v>
      </c>
      <c r="AH880" s="8" t="str">
        <f>'Q100a-geral'!AH454</f>
        <v>x</v>
      </c>
      <c r="AI880" s="8" t="str">
        <f>'Q100a-geral'!AI454</f>
        <v>x</v>
      </c>
      <c r="AJ880" s="8" t="str">
        <f>'Q100a-geral'!AJ454</f>
        <v>x</v>
      </c>
      <c r="AK880" s="95">
        <f>'Q100a-geral'!AK454</f>
        <v>0.69</v>
      </c>
      <c r="AL880" s="8" t="str">
        <f>'Q100a-geral'!AL454</f>
        <v>x</v>
      </c>
      <c r="AM880" s="8" t="str">
        <f>'Q100a-geral'!AM454</f>
        <v>x</v>
      </c>
      <c r="AN880" s="8" t="str">
        <f>'Q100a-geral'!AN454</f>
        <v>x</v>
      </c>
      <c r="AO880" s="8" t="str">
        <f>'Q100a-geral'!AO454</f>
        <v>x</v>
      </c>
      <c r="AP880" s="8" t="str">
        <f>'Q100a-geral'!AP454</f>
        <v>x</v>
      </c>
      <c r="AQ880" s="8" t="str">
        <f>'Q100a-geral'!AQ454</f>
        <v>x</v>
      </c>
      <c r="AR880" s="8" t="str">
        <f>'Q100a-geral'!AR454</f>
        <v>x</v>
      </c>
      <c r="AS880" s="8" t="str">
        <f>'Q100a-geral'!AS454</f>
        <v>x</v>
      </c>
      <c r="AT880" s="8" t="str">
        <f>'Q100a-geral'!AT454</f>
        <v>x</v>
      </c>
      <c r="AU880" s="8" t="str">
        <f>'Q100a-geral'!AU454</f>
        <v>x</v>
      </c>
      <c r="AV880" s="8" t="str">
        <f>'Q100a-geral'!AV454</f>
        <v>x</v>
      </c>
      <c r="AW880" s="8" t="str">
        <f>'Q100a-geral'!AW454</f>
        <v>x</v>
      </c>
      <c r="AX880" s="8" t="str">
        <f>'Q100a-geral'!AX454</f>
        <v>x</v>
      </c>
      <c r="AY880" s="8" t="str">
        <f>'Q100a-geral'!AY454</f>
        <v>x</v>
      </c>
      <c r="AZ880" s="8" t="str">
        <f>'Q100a-geral'!AZ454</f>
        <v>x</v>
      </c>
      <c r="BA880" s="8" t="str">
        <f>'Q100a-geral'!BA454</f>
        <v>x</v>
      </c>
      <c r="BB880" s="8" t="str">
        <f>'Q100a-geral'!BB454</f>
        <v>BRTacessibilidade</v>
      </c>
      <c r="BC880" s="8" t="str">
        <f>'Q100a-geral'!BC454</f>
        <v>BRTacessibilidadex</v>
      </c>
      <c r="BD880" s="8" t="str">
        <f>'Q100a-geral'!BD454</f>
        <v>BRTx</v>
      </c>
    </row>
    <row r="881" spans="1:56" ht="38.25" x14ac:dyDescent="0.25">
      <c r="A881" s="406" t="str">
        <f>'Q100a-geral'!A398</f>
        <v>8.2</v>
      </c>
      <c r="B881" s="468" t="str">
        <f>'Q100a-geral'!B398</f>
        <v>BRT</v>
      </c>
      <c r="C881" s="13" t="str">
        <f>'Q100a-geral'!C398</f>
        <v>acessibilidade</v>
      </c>
      <c r="D881" s="324" t="str">
        <f>'Q100a-geral'!D398</f>
        <v>BRT IC AC (bilheterias)</v>
      </c>
      <c r="E881" s="481" t="str">
        <f>'Q100a-geral'!E398</f>
        <v>Belo Horizonte</v>
      </c>
      <c r="F881" s="619" t="str">
        <f>'Q100a-geral'!F398</f>
        <v xml:space="preserve">índice de conformidade com a acessibilidade do elemento "bilheterias das plataformas" do módulo de análise "elementos das plataformas" do corredor de BRT denominado "Área Central"
obs.1: calculado como a média dos BRT IC das estações inspecionadas </v>
      </c>
      <c r="G881" s="110" t="str">
        <f>'Q100a-geral'!G398</f>
        <v>registro na fonte</v>
      </c>
      <c r="H881" s="173" t="str">
        <f>'Q100a-geral'!H398</f>
        <v>x</v>
      </c>
      <c r="I881" s="57">
        <f>'Q100a-geral'!I398</f>
        <v>1</v>
      </c>
      <c r="J881" s="8" t="str">
        <f>'Q100a-geral'!J398</f>
        <v>x</v>
      </c>
      <c r="K881" s="8" t="str">
        <f>'Q100a-geral'!K398</f>
        <v>x</v>
      </c>
      <c r="L881" s="8" t="str">
        <f>'Q100a-geral'!L398</f>
        <v>x</v>
      </c>
      <c r="M881" s="8" t="str">
        <f>'Q100a-geral'!M398</f>
        <v>x</v>
      </c>
      <c r="N881" s="8" t="str">
        <f>'Q100a-geral'!N398</f>
        <v>x</v>
      </c>
      <c r="O881" s="8" t="str">
        <f>'Q100a-geral'!O398</f>
        <v>x</v>
      </c>
      <c r="P881" s="8" t="str">
        <f>'Q100a-geral'!P398</f>
        <v>x</v>
      </c>
      <c r="Q881" s="8" t="str">
        <f>'Q100a-geral'!Q398</f>
        <v>x</v>
      </c>
      <c r="R881" s="8" t="str">
        <f>'Q100a-geral'!R398</f>
        <v>x</v>
      </c>
      <c r="S881" s="8" t="str">
        <f>'Q100a-geral'!S398</f>
        <v>só para pesquisa</v>
      </c>
      <c r="T881" s="8" t="str">
        <f>'Q100a-geral'!T398</f>
        <v>x</v>
      </c>
      <c r="U881" s="8" t="str">
        <f>'Q100a-geral'!U398</f>
        <v>x</v>
      </c>
      <c r="V881" s="8" t="str">
        <f>'Q100a-geral'!V398</f>
        <v>só para pesquisa</v>
      </c>
      <c r="W881" s="8" t="str">
        <f>'Q100a-geral'!W398</f>
        <v>x</v>
      </c>
      <c r="X881" s="8" t="str">
        <f>'Q100a-geral'!X398</f>
        <v>x</v>
      </c>
      <c r="Y881" s="8" t="str">
        <f>'Q100a-geral'!Y398</f>
        <v>x</v>
      </c>
      <c r="Z881" s="8" t="str">
        <f>'Q100a-geral'!Z398</f>
        <v>x</v>
      </c>
      <c r="AA881" s="8" t="str">
        <f>'Q100a-geral'!AA398</f>
        <v>x</v>
      </c>
      <c r="AB881" s="8" t="str">
        <f>'Q100a-geral'!AB398</f>
        <v>x</v>
      </c>
      <c r="AC881" s="8" t="str">
        <f>'Q100a-geral'!AC398</f>
        <v>x</v>
      </c>
      <c r="AD881" s="8" t="str">
        <f>'Q100a-geral'!AD398</f>
        <v>x</v>
      </c>
      <c r="AE881" s="8" t="str">
        <f>'Q100a-geral'!AE398</f>
        <v>x</v>
      </c>
      <c r="AF881" s="8" t="str">
        <f>'Q100a-geral'!AF398</f>
        <v>x</v>
      </c>
      <c r="AG881" s="8" t="str">
        <f>'Q100a-geral'!AG398</f>
        <v>x</v>
      </c>
      <c r="AH881" s="8" t="str">
        <f>'Q100a-geral'!AH398</f>
        <v>x</v>
      </c>
      <c r="AI881" s="8" t="str">
        <f>'Q100a-geral'!AI398</f>
        <v>x</v>
      </c>
      <c r="AJ881" s="8" t="str">
        <f>'Q100a-geral'!AJ398</f>
        <v>x</v>
      </c>
      <c r="AK881" s="95">
        <f>'Q100a-geral'!AK398</f>
        <v>0.5</v>
      </c>
      <c r="AL881" s="8" t="str">
        <f>'Q100a-geral'!AL398</f>
        <v>x</v>
      </c>
      <c r="AM881" s="8" t="str">
        <f>'Q100a-geral'!AM398</f>
        <v>x</v>
      </c>
      <c r="AN881" s="8" t="str">
        <f>'Q100a-geral'!AN398</f>
        <v>x</v>
      </c>
      <c r="AO881" s="8" t="str">
        <f>'Q100a-geral'!AO398</f>
        <v>x</v>
      </c>
      <c r="AP881" s="8" t="str">
        <f>'Q100a-geral'!AP398</f>
        <v>x</v>
      </c>
      <c r="AQ881" s="8" t="str">
        <f>'Q100a-geral'!AQ398</f>
        <v>x</v>
      </c>
      <c r="AR881" s="8" t="str">
        <f>'Q100a-geral'!AR398</f>
        <v>x</v>
      </c>
      <c r="AS881" s="8" t="str">
        <f>'Q100a-geral'!AS398</f>
        <v>x</v>
      </c>
      <c r="AT881" s="8" t="str">
        <f>'Q100a-geral'!AT398</f>
        <v>x</v>
      </c>
      <c r="AU881" s="8" t="str">
        <f>'Q100a-geral'!AU398</f>
        <v>x</v>
      </c>
      <c r="AV881" s="8" t="str">
        <f>'Q100a-geral'!AV398</f>
        <v>x</v>
      </c>
      <c r="AW881" s="8" t="str">
        <f>'Q100a-geral'!AW398</f>
        <v>x</v>
      </c>
      <c r="AX881" s="8" t="str">
        <f>'Q100a-geral'!AX398</f>
        <v>x</v>
      </c>
      <c r="AY881" s="8" t="str">
        <f>'Q100a-geral'!AY398</f>
        <v>x</v>
      </c>
      <c r="AZ881" s="8" t="str">
        <f>'Q100a-geral'!AZ398</f>
        <v>x</v>
      </c>
      <c r="BA881" s="8" t="str">
        <f>'Q100a-geral'!BA398</f>
        <v>x</v>
      </c>
      <c r="BB881" s="8" t="str">
        <f>'Q100a-geral'!BB398</f>
        <v>BRTacessibilidade</v>
      </c>
      <c r="BC881" s="8" t="str">
        <f>'Q100a-geral'!BC398</f>
        <v>BRTacessibilidadex</v>
      </c>
      <c r="BD881" s="8" t="str">
        <f>'Q100a-geral'!BD398</f>
        <v>BRTx</v>
      </c>
    </row>
    <row r="882" spans="1:56" ht="38.25" x14ac:dyDescent="0.25">
      <c r="A882" s="406" t="str">
        <f>'Q100a-geral'!A419</f>
        <v>8.2</v>
      </c>
      <c r="B882" s="468" t="str">
        <f>'Q100a-geral'!B419</f>
        <v>BRT</v>
      </c>
      <c r="C882" s="13" t="str">
        <f>'Q100a-geral'!C419</f>
        <v>acessibilidade</v>
      </c>
      <c r="D882" s="324" t="str">
        <f>'Q100a-geral'!D419</f>
        <v>BRT IC ATC (bilheterias)</v>
      </c>
      <c r="E882" s="481" t="str">
        <f>'Q100a-geral'!E419</f>
        <v>Belo Horizonte</v>
      </c>
      <c r="F882" s="619" t="str">
        <f>'Q100a-geral'!F419</f>
        <v>índice de conformidade com a acessibilidade do elemento "bilheterias das plataformas" do módulo de análise "elementos das plataformas" do corredor de BRT denominado "Antônio Carlos"
obs.1: calculado como a média dos BRT IC das estações inspecionadas</v>
      </c>
      <c r="G882" s="110" t="str">
        <f>'Q100a-geral'!G419</f>
        <v>registro na fonte</v>
      </c>
      <c r="H882" s="173" t="str">
        <f>'Q100a-geral'!H419</f>
        <v>x</v>
      </c>
      <c r="I882" s="57">
        <f>'Q100a-geral'!I419</f>
        <v>1</v>
      </c>
      <c r="J882" s="8" t="str">
        <f>'Q100a-geral'!J419</f>
        <v>x</v>
      </c>
      <c r="K882" s="8" t="str">
        <f>'Q100a-geral'!K419</f>
        <v>x</v>
      </c>
      <c r="L882" s="8" t="str">
        <f>'Q100a-geral'!L419</f>
        <v>x</v>
      </c>
      <c r="M882" s="8" t="str">
        <f>'Q100a-geral'!M419</f>
        <v>x</v>
      </c>
      <c r="N882" s="8" t="str">
        <f>'Q100a-geral'!N419</f>
        <v>x</v>
      </c>
      <c r="O882" s="8" t="str">
        <f>'Q100a-geral'!O419</f>
        <v>x</v>
      </c>
      <c r="P882" s="8" t="str">
        <f>'Q100a-geral'!P419</f>
        <v>x</v>
      </c>
      <c r="Q882" s="8" t="str">
        <f>'Q100a-geral'!Q419</f>
        <v>x</v>
      </c>
      <c r="R882" s="8" t="str">
        <f>'Q100a-geral'!R419</f>
        <v>x</v>
      </c>
      <c r="S882" s="8" t="str">
        <f>'Q100a-geral'!S419</f>
        <v>só para pesquisa</v>
      </c>
      <c r="T882" s="8" t="str">
        <f>'Q100a-geral'!T419</f>
        <v>x</v>
      </c>
      <c r="U882" s="8" t="str">
        <f>'Q100a-geral'!U419</f>
        <v>x</v>
      </c>
      <c r="V882" s="8" t="str">
        <f>'Q100a-geral'!V419</f>
        <v>só para pesquisa</v>
      </c>
      <c r="W882" s="8" t="str">
        <f>'Q100a-geral'!W419</f>
        <v>x</v>
      </c>
      <c r="X882" s="8" t="str">
        <f>'Q100a-geral'!X419</f>
        <v>x</v>
      </c>
      <c r="Y882" s="8" t="str">
        <f>'Q100a-geral'!Y419</f>
        <v>x</v>
      </c>
      <c r="Z882" s="8" t="str">
        <f>'Q100a-geral'!Z419</f>
        <v>x</v>
      </c>
      <c r="AA882" s="8" t="str">
        <f>'Q100a-geral'!AA419</f>
        <v>x</v>
      </c>
      <c r="AB882" s="8" t="str">
        <f>'Q100a-geral'!AB419</f>
        <v>x</v>
      </c>
      <c r="AC882" s="8" t="str">
        <f>'Q100a-geral'!AC419</f>
        <v>x</v>
      </c>
      <c r="AD882" s="8" t="str">
        <f>'Q100a-geral'!AD419</f>
        <v>x</v>
      </c>
      <c r="AE882" s="8" t="str">
        <f>'Q100a-geral'!AE419</f>
        <v>x</v>
      </c>
      <c r="AF882" s="8" t="str">
        <f>'Q100a-geral'!AF419</f>
        <v>x</v>
      </c>
      <c r="AG882" s="8" t="str">
        <f>'Q100a-geral'!AG419</f>
        <v>x</v>
      </c>
      <c r="AH882" s="8" t="str">
        <f>'Q100a-geral'!AH419</f>
        <v>x</v>
      </c>
      <c r="AI882" s="8" t="str">
        <f>'Q100a-geral'!AI419</f>
        <v>x</v>
      </c>
      <c r="AJ882" s="8" t="str">
        <f>'Q100a-geral'!AJ419</f>
        <v>x</v>
      </c>
      <c r="AK882" s="95">
        <f>'Q100a-geral'!AK419</f>
        <v>0.36</v>
      </c>
      <c r="AL882" s="8" t="str">
        <f>'Q100a-geral'!AL419</f>
        <v>x</v>
      </c>
      <c r="AM882" s="8" t="str">
        <f>'Q100a-geral'!AM419</f>
        <v>x</v>
      </c>
      <c r="AN882" s="8" t="str">
        <f>'Q100a-geral'!AN419</f>
        <v>x</v>
      </c>
      <c r="AO882" s="8" t="str">
        <f>'Q100a-geral'!AO419</f>
        <v>x</v>
      </c>
      <c r="AP882" s="8" t="str">
        <f>'Q100a-geral'!AP419</f>
        <v>x</v>
      </c>
      <c r="AQ882" s="8" t="str">
        <f>'Q100a-geral'!AQ419</f>
        <v>x</v>
      </c>
      <c r="AR882" s="8" t="str">
        <f>'Q100a-geral'!AR419</f>
        <v>x</v>
      </c>
      <c r="AS882" s="8" t="str">
        <f>'Q100a-geral'!AS419</f>
        <v>x</v>
      </c>
      <c r="AT882" s="8" t="str">
        <f>'Q100a-geral'!AT419</f>
        <v>x</v>
      </c>
      <c r="AU882" s="8" t="str">
        <f>'Q100a-geral'!AU419</f>
        <v>x</v>
      </c>
      <c r="AV882" s="8" t="str">
        <f>'Q100a-geral'!AV419</f>
        <v>x</v>
      </c>
      <c r="AW882" s="8" t="str">
        <f>'Q100a-geral'!AW419</f>
        <v>x</v>
      </c>
      <c r="AX882" s="8" t="str">
        <f>'Q100a-geral'!AX419</f>
        <v>x</v>
      </c>
      <c r="AY882" s="8" t="str">
        <f>'Q100a-geral'!AY419</f>
        <v>x</v>
      </c>
      <c r="AZ882" s="8" t="str">
        <f>'Q100a-geral'!AZ419</f>
        <v>x</v>
      </c>
      <c r="BA882" s="8" t="str">
        <f>'Q100a-geral'!BA419</f>
        <v>x</v>
      </c>
      <c r="BB882" s="8" t="str">
        <f>'Q100a-geral'!BB419</f>
        <v>BRTacessibilidade</v>
      </c>
      <c r="BC882" s="8" t="str">
        <f>'Q100a-geral'!BC419</f>
        <v>BRTacessibilidadex</v>
      </c>
      <c r="BD882" s="8" t="str">
        <f>'Q100a-geral'!BD419</f>
        <v>BRTx</v>
      </c>
    </row>
    <row r="883" spans="1:56" ht="38.25" x14ac:dyDescent="0.25">
      <c r="A883" s="406" t="str">
        <f>'Q100a-geral'!A441</f>
        <v>8.2</v>
      </c>
      <c r="B883" s="468" t="str">
        <f>'Q100a-geral'!B441</f>
        <v>BRT</v>
      </c>
      <c r="C883" s="13" t="str">
        <f>'Q100a-geral'!C441</f>
        <v>acessibilidade</v>
      </c>
      <c r="D883" s="324" t="str">
        <f>'Q100a-geral'!D441</f>
        <v>BRT IC CMC (bilheterias)</v>
      </c>
      <c r="E883" s="481" t="str">
        <f>'Q100a-geral'!E441</f>
        <v>Belo Horizonte</v>
      </c>
      <c r="F883" s="619" t="str">
        <f>'Q100a-geral'!F441</f>
        <v>índice de conformidade com a acessibilidade do elemento "bilheterias das plataformas" do módulo de análise "elementos das plataformas" do corredor de BRT denominado "Cristiano Machado"
obs.1: calculado como a média dos BRT IC das estações inspecionadas</v>
      </c>
      <c r="G883" s="110" t="str">
        <f>'Q100a-geral'!G441</f>
        <v>registro na fonte</v>
      </c>
      <c r="H883" s="173" t="str">
        <f>'Q100a-geral'!H441</f>
        <v>x</v>
      </c>
      <c r="I883" s="57">
        <f>'Q100a-geral'!I441</f>
        <v>1</v>
      </c>
      <c r="J883" s="8" t="str">
        <f>'Q100a-geral'!J441</f>
        <v>x</v>
      </c>
      <c r="K883" s="8" t="str">
        <f>'Q100a-geral'!K441</f>
        <v>x</v>
      </c>
      <c r="L883" s="8" t="str">
        <f>'Q100a-geral'!L441</f>
        <v>x</v>
      </c>
      <c r="M883" s="8" t="str">
        <f>'Q100a-geral'!M441</f>
        <v>x</v>
      </c>
      <c r="N883" s="8" t="str">
        <f>'Q100a-geral'!N441</f>
        <v>x</v>
      </c>
      <c r="O883" s="8" t="str">
        <f>'Q100a-geral'!O441</f>
        <v>x</v>
      </c>
      <c r="P883" s="8" t="str">
        <f>'Q100a-geral'!P441</f>
        <v>x</v>
      </c>
      <c r="Q883" s="8" t="str">
        <f>'Q100a-geral'!Q441</f>
        <v>x</v>
      </c>
      <c r="R883" s="8" t="str">
        <f>'Q100a-geral'!R441</f>
        <v>x</v>
      </c>
      <c r="S883" s="8" t="str">
        <f>'Q100a-geral'!S441</f>
        <v>só para pesquisa</v>
      </c>
      <c r="T883" s="8" t="str">
        <f>'Q100a-geral'!T441</f>
        <v>x</v>
      </c>
      <c r="U883" s="8" t="str">
        <f>'Q100a-geral'!U441</f>
        <v>x</v>
      </c>
      <c r="V883" s="8" t="str">
        <f>'Q100a-geral'!V441</f>
        <v>só para pesquisa</v>
      </c>
      <c r="W883" s="8" t="str">
        <f>'Q100a-geral'!W441</f>
        <v>x</v>
      </c>
      <c r="X883" s="8" t="str">
        <f>'Q100a-geral'!X441</f>
        <v>x</v>
      </c>
      <c r="Y883" s="8" t="str">
        <f>'Q100a-geral'!Y441</f>
        <v>x</v>
      </c>
      <c r="Z883" s="8" t="str">
        <f>'Q100a-geral'!Z441</f>
        <v>x</v>
      </c>
      <c r="AA883" s="8" t="str">
        <f>'Q100a-geral'!AA441</f>
        <v>x</v>
      </c>
      <c r="AB883" s="8" t="str">
        <f>'Q100a-geral'!AB441</f>
        <v>x</v>
      </c>
      <c r="AC883" s="8" t="str">
        <f>'Q100a-geral'!AC441</f>
        <v>x</v>
      </c>
      <c r="AD883" s="8" t="str">
        <f>'Q100a-geral'!AD441</f>
        <v>x</v>
      </c>
      <c r="AE883" s="8" t="str">
        <f>'Q100a-geral'!AE441</f>
        <v>x</v>
      </c>
      <c r="AF883" s="8" t="str">
        <f>'Q100a-geral'!AF441</f>
        <v>x</v>
      </c>
      <c r="AG883" s="8" t="str">
        <f>'Q100a-geral'!AG441</f>
        <v>x</v>
      </c>
      <c r="AH883" s="8" t="str">
        <f>'Q100a-geral'!AH441</f>
        <v>x</v>
      </c>
      <c r="AI883" s="8" t="str">
        <f>'Q100a-geral'!AI441</f>
        <v>x</v>
      </c>
      <c r="AJ883" s="8" t="str">
        <f>'Q100a-geral'!AJ441</f>
        <v>x</v>
      </c>
      <c r="AK883" s="95">
        <f>'Q100a-geral'!AK441</f>
        <v>0.45</v>
      </c>
      <c r="AL883" s="8" t="str">
        <f>'Q100a-geral'!AL441</f>
        <v>x</v>
      </c>
      <c r="AM883" s="8" t="str">
        <f>'Q100a-geral'!AM441</f>
        <v>x</v>
      </c>
      <c r="AN883" s="8" t="str">
        <f>'Q100a-geral'!AN441</f>
        <v>x</v>
      </c>
      <c r="AO883" s="8" t="str">
        <f>'Q100a-geral'!AO441</f>
        <v>x</v>
      </c>
      <c r="AP883" s="8" t="str">
        <f>'Q100a-geral'!AP441</f>
        <v>x</v>
      </c>
      <c r="AQ883" s="8" t="str">
        <f>'Q100a-geral'!AQ441</f>
        <v>x</v>
      </c>
      <c r="AR883" s="8" t="str">
        <f>'Q100a-geral'!AR441</f>
        <v>x</v>
      </c>
      <c r="AS883" s="8" t="str">
        <f>'Q100a-geral'!AS441</f>
        <v>x</v>
      </c>
      <c r="AT883" s="8" t="str">
        <f>'Q100a-geral'!AT441</f>
        <v>x</v>
      </c>
      <c r="AU883" s="8" t="str">
        <f>'Q100a-geral'!AU441</f>
        <v>x</v>
      </c>
      <c r="AV883" s="8" t="str">
        <f>'Q100a-geral'!AV441</f>
        <v>x</v>
      </c>
      <c r="AW883" s="8" t="str">
        <f>'Q100a-geral'!AW441</f>
        <v>x</v>
      </c>
      <c r="AX883" s="8" t="str">
        <f>'Q100a-geral'!AX441</f>
        <v>x</v>
      </c>
      <c r="AY883" s="8" t="str">
        <f>'Q100a-geral'!AY441</f>
        <v>x</v>
      </c>
      <c r="AZ883" s="8" t="str">
        <f>'Q100a-geral'!AZ441</f>
        <v>x</v>
      </c>
      <c r="BA883" s="8" t="str">
        <f>'Q100a-geral'!BA441</f>
        <v>x</v>
      </c>
      <c r="BB883" s="8" t="str">
        <f>'Q100a-geral'!BB441</f>
        <v>BRTacessibilidade</v>
      </c>
      <c r="BC883" s="8" t="str">
        <f>'Q100a-geral'!BC441</f>
        <v>BRTacessibilidadex</v>
      </c>
      <c r="BD883" s="8" t="str">
        <f>'Q100a-geral'!BD441</f>
        <v>BRTx</v>
      </c>
    </row>
    <row r="884" spans="1:56" ht="38.25" x14ac:dyDescent="0.25">
      <c r="A884" s="406" t="str">
        <f>'Q100a-geral'!A402</f>
        <v>8.2</v>
      </c>
      <c r="B884" s="468" t="str">
        <f>'Q100a-geral'!B402</f>
        <v>BRT</v>
      </c>
      <c r="C884" s="13" t="str">
        <f>'Q100a-geral'!C402</f>
        <v>acessibilidade</v>
      </c>
      <c r="D884" s="324" t="str">
        <f>'Q100a-geral'!D402</f>
        <v>BRT IC AC (máquinas)</v>
      </c>
      <c r="E884" s="481" t="str">
        <f>'Q100a-geral'!E402</f>
        <v>Belo Horizonte</v>
      </c>
      <c r="F884" s="619" t="str">
        <f>'Q100a-geral'!F402</f>
        <v>índice de conformidade com a acessibilidade do elemento "máquinas de venda automática" do módulo de análise "elementos das plataformas" do corredor de BRT denominado "Área Central"
obs.1: calculado como a média dos BRT IC das estações inspecionadas</v>
      </c>
      <c r="G884" s="110" t="str">
        <f>'Q100a-geral'!G402</f>
        <v>registro na fonte</v>
      </c>
      <c r="H884" s="173" t="str">
        <f>'Q100a-geral'!H402</f>
        <v>x</v>
      </c>
      <c r="I884" s="57">
        <f>'Q100a-geral'!I402</f>
        <v>1</v>
      </c>
      <c r="J884" s="8" t="str">
        <f>'Q100a-geral'!J402</f>
        <v>x</v>
      </c>
      <c r="K884" s="8" t="str">
        <f>'Q100a-geral'!K402</f>
        <v>x</v>
      </c>
      <c r="L884" s="8" t="str">
        <f>'Q100a-geral'!L402</f>
        <v>x</v>
      </c>
      <c r="M884" s="8" t="str">
        <f>'Q100a-geral'!M402</f>
        <v>x</v>
      </c>
      <c r="N884" s="8" t="str">
        <f>'Q100a-geral'!N402</f>
        <v>x</v>
      </c>
      <c r="O884" s="8" t="str">
        <f>'Q100a-geral'!O402</f>
        <v>x</v>
      </c>
      <c r="P884" s="8" t="str">
        <f>'Q100a-geral'!P402</f>
        <v>x</v>
      </c>
      <c r="Q884" s="8" t="str">
        <f>'Q100a-geral'!Q402</f>
        <v>x</v>
      </c>
      <c r="R884" s="8" t="str">
        <f>'Q100a-geral'!R402</f>
        <v>x</v>
      </c>
      <c r="S884" s="8" t="str">
        <f>'Q100a-geral'!S402</f>
        <v>só para pesquisa</v>
      </c>
      <c r="T884" s="8" t="str">
        <f>'Q100a-geral'!T402</f>
        <v>x</v>
      </c>
      <c r="U884" s="8" t="str">
        <f>'Q100a-geral'!U402</f>
        <v>x</v>
      </c>
      <c r="V884" s="8" t="str">
        <f>'Q100a-geral'!V402</f>
        <v>só para pesquisa</v>
      </c>
      <c r="W884" s="8" t="str">
        <f>'Q100a-geral'!W402</f>
        <v>x</v>
      </c>
      <c r="X884" s="8" t="str">
        <f>'Q100a-geral'!X402</f>
        <v>x</v>
      </c>
      <c r="Y884" s="8" t="str">
        <f>'Q100a-geral'!Y402</f>
        <v>x</v>
      </c>
      <c r="Z884" s="8" t="str">
        <f>'Q100a-geral'!Z402</f>
        <v>x</v>
      </c>
      <c r="AA884" s="8" t="str">
        <f>'Q100a-geral'!AA402</f>
        <v>x</v>
      </c>
      <c r="AB884" s="8" t="str">
        <f>'Q100a-geral'!AB402</f>
        <v>x</v>
      </c>
      <c r="AC884" s="8" t="str">
        <f>'Q100a-geral'!AC402</f>
        <v>x</v>
      </c>
      <c r="AD884" s="8" t="str">
        <f>'Q100a-geral'!AD402</f>
        <v>x</v>
      </c>
      <c r="AE884" s="8" t="str">
        <f>'Q100a-geral'!AE402</f>
        <v>x</v>
      </c>
      <c r="AF884" s="8" t="str">
        <f>'Q100a-geral'!AF402</f>
        <v>x</v>
      </c>
      <c r="AG884" s="8" t="str">
        <f>'Q100a-geral'!AG402</f>
        <v>x</v>
      </c>
      <c r="AH884" s="8" t="str">
        <f>'Q100a-geral'!AH402</f>
        <v>x</v>
      </c>
      <c r="AI884" s="8" t="str">
        <f>'Q100a-geral'!AI402</f>
        <v>x</v>
      </c>
      <c r="AJ884" s="8" t="str">
        <f>'Q100a-geral'!AJ402</f>
        <v>x</v>
      </c>
      <c r="AK884" s="95">
        <f>'Q100a-geral'!AK402</f>
        <v>0.2</v>
      </c>
      <c r="AL884" s="8" t="str">
        <f>'Q100a-geral'!AL402</f>
        <v>x</v>
      </c>
      <c r="AM884" s="8" t="str">
        <f>'Q100a-geral'!AM402</f>
        <v>x</v>
      </c>
      <c r="AN884" s="8" t="str">
        <f>'Q100a-geral'!AN402</f>
        <v>x</v>
      </c>
      <c r="AO884" s="8" t="str">
        <f>'Q100a-geral'!AO402</f>
        <v>x</v>
      </c>
      <c r="AP884" s="8" t="str">
        <f>'Q100a-geral'!AP402</f>
        <v>x</v>
      </c>
      <c r="AQ884" s="8" t="str">
        <f>'Q100a-geral'!AQ402</f>
        <v>x</v>
      </c>
      <c r="AR884" s="8" t="str">
        <f>'Q100a-geral'!AR402</f>
        <v>x</v>
      </c>
      <c r="AS884" s="8" t="str">
        <f>'Q100a-geral'!AS402</f>
        <v>x</v>
      </c>
      <c r="AT884" s="8" t="str">
        <f>'Q100a-geral'!AT402</f>
        <v>x</v>
      </c>
      <c r="AU884" s="8" t="str">
        <f>'Q100a-geral'!AU402</f>
        <v>x</v>
      </c>
      <c r="AV884" s="8" t="str">
        <f>'Q100a-geral'!AV402</f>
        <v>x</v>
      </c>
      <c r="AW884" s="8" t="str">
        <f>'Q100a-geral'!AW402</f>
        <v>x</v>
      </c>
      <c r="AX884" s="8" t="str">
        <f>'Q100a-geral'!AX402</f>
        <v>x</v>
      </c>
      <c r="AY884" s="8" t="str">
        <f>'Q100a-geral'!AY402</f>
        <v>x</v>
      </c>
      <c r="AZ884" s="8" t="str">
        <f>'Q100a-geral'!AZ402</f>
        <v>x</v>
      </c>
      <c r="BA884" s="8" t="str">
        <f>'Q100a-geral'!BA402</f>
        <v>x</v>
      </c>
      <c r="BB884" s="8" t="str">
        <f>'Q100a-geral'!BB402</f>
        <v>BRTacessibilidade</v>
      </c>
      <c r="BC884" s="8" t="str">
        <f>'Q100a-geral'!BC402</f>
        <v>BRTacessibilidadex</v>
      </c>
      <c r="BD884" s="8" t="str">
        <f>'Q100a-geral'!BD402</f>
        <v>BRTx</v>
      </c>
    </row>
    <row r="885" spans="1:56" ht="38.25" x14ac:dyDescent="0.25">
      <c r="A885" s="406" t="str">
        <f>'Q100a-geral'!A423</f>
        <v>8.2</v>
      </c>
      <c r="B885" s="468" t="str">
        <f>'Q100a-geral'!B423</f>
        <v>BRT</v>
      </c>
      <c r="C885" s="13" t="str">
        <f>'Q100a-geral'!C423</f>
        <v>acessibilidade</v>
      </c>
      <c r="D885" s="324" t="str">
        <f>'Q100a-geral'!D423</f>
        <v>BRT IC ATC (máquinas)</v>
      </c>
      <c r="E885" s="481" t="str">
        <f>'Q100a-geral'!E423</f>
        <v>Belo Horizonte</v>
      </c>
      <c r="F885" s="619" t="str">
        <f>'Q100a-geral'!F423</f>
        <v>índice de conformidade com a acessibilidade do elemento "máquinas de venda automática" do módulo de análise "elementos das plataformas" do corredor de BRT denominado "Antônio Carlos"
obs.1: calculado como a média dos BRT IC das estações inspecionadas</v>
      </c>
      <c r="G885" s="110" t="str">
        <f>'Q100a-geral'!G423</f>
        <v>registro na fonte</v>
      </c>
      <c r="H885" s="173" t="str">
        <f>'Q100a-geral'!H423</f>
        <v>x</v>
      </c>
      <c r="I885" s="57">
        <f>'Q100a-geral'!I423</f>
        <v>1</v>
      </c>
      <c r="J885" s="8" t="str">
        <f>'Q100a-geral'!J423</f>
        <v>x</v>
      </c>
      <c r="K885" s="8" t="str">
        <f>'Q100a-geral'!K423</f>
        <v>x</v>
      </c>
      <c r="L885" s="8" t="str">
        <f>'Q100a-geral'!L423</f>
        <v>x</v>
      </c>
      <c r="M885" s="8" t="str">
        <f>'Q100a-geral'!M423</f>
        <v>x</v>
      </c>
      <c r="N885" s="8" t="str">
        <f>'Q100a-geral'!N423</f>
        <v>x</v>
      </c>
      <c r="O885" s="8" t="str">
        <f>'Q100a-geral'!O423</f>
        <v>x</v>
      </c>
      <c r="P885" s="8" t="str">
        <f>'Q100a-geral'!P423</f>
        <v>x</v>
      </c>
      <c r="Q885" s="8" t="str">
        <f>'Q100a-geral'!Q423</f>
        <v>x</v>
      </c>
      <c r="R885" s="8" t="str">
        <f>'Q100a-geral'!R423</f>
        <v>x</v>
      </c>
      <c r="S885" s="8" t="str">
        <f>'Q100a-geral'!S423</f>
        <v>só para pesquisa</v>
      </c>
      <c r="T885" s="8" t="str">
        <f>'Q100a-geral'!T423</f>
        <v>x</v>
      </c>
      <c r="U885" s="8" t="str">
        <f>'Q100a-geral'!U423</f>
        <v>x</v>
      </c>
      <c r="V885" s="8" t="str">
        <f>'Q100a-geral'!V423</f>
        <v>só para pesquisa</v>
      </c>
      <c r="W885" s="8" t="str">
        <f>'Q100a-geral'!W423</f>
        <v>x</v>
      </c>
      <c r="X885" s="8" t="str">
        <f>'Q100a-geral'!X423</f>
        <v>x</v>
      </c>
      <c r="Y885" s="8" t="str">
        <f>'Q100a-geral'!Y423</f>
        <v>x</v>
      </c>
      <c r="Z885" s="8" t="str">
        <f>'Q100a-geral'!Z423</f>
        <v>x</v>
      </c>
      <c r="AA885" s="8" t="str">
        <f>'Q100a-geral'!AA423</f>
        <v>x</v>
      </c>
      <c r="AB885" s="8" t="str">
        <f>'Q100a-geral'!AB423</f>
        <v>x</v>
      </c>
      <c r="AC885" s="8" t="str">
        <f>'Q100a-geral'!AC423</f>
        <v>x</v>
      </c>
      <c r="AD885" s="8" t="str">
        <f>'Q100a-geral'!AD423</f>
        <v>x</v>
      </c>
      <c r="AE885" s="8" t="str">
        <f>'Q100a-geral'!AE423</f>
        <v>x</v>
      </c>
      <c r="AF885" s="8" t="str">
        <f>'Q100a-geral'!AF423</f>
        <v>x</v>
      </c>
      <c r="AG885" s="8" t="str">
        <f>'Q100a-geral'!AG423</f>
        <v>x</v>
      </c>
      <c r="AH885" s="8" t="str">
        <f>'Q100a-geral'!AH423</f>
        <v>x</v>
      </c>
      <c r="AI885" s="8" t="str">
        <f>'Q100a-geral'!AI423</f>
        <v>x</v>
      </c>
      <c r="AJ885" s="8" t="str">
        <f>'Q100a-geral'!AJ423</f>
        <v>x</v>
      </c>
      <c r="AK885" s="95">
        <f>'Q100a-geral'!AK423</f>
        <v>0.25</v>
      </c>
      <c r="AL885" s="8" t="str">
        <f>'Q100a-geral'!AL423</f>
        <v>x</v>
      </c>
      <c r="AM885" s="8" t="str">
        <f>'Q100a-geral'!AM423</f>
        <v>x</v>
      </c>
      <c r="AN885" s="8" t="str">
        <f>'Q100a-geral'!AN423</f>
        <v>x</v>
      </c>
      <c r="AO885" s="8" t="str">
        <f>'Q100a-geral'!AO423</f>
        <v>x</v>
      </c>
      <c r="AP885" s="8" t="str">
        <f>'Q100a-geral'!AP423</f>
        <v>x</v>
      </c>
      <c r="AQ885" s="8" t="str">
        <f>'Q100a-geral'!AQ423</f>
        <v>x</v>
      </c>
      <c r="AR885" s="8" t="str">
        <f>'Q100a-geral'!AR423</f>
        <v>x</v>
      </c>
      <c r="AS885" s="8" t="str">
        <f>'Q100a-geral'!AS423</f>
        <v>x</v>
      </c>
      <c r="AT885" s="8" t="str">
        <f>'Q100a-geral'!AT423</f>
        <v>x</v>
      </c>
      <c r="AU885" s="8" t="str">
        <f>'Q100a-geral'!AU423</f>
        <v>x</v>
      </c>
      <c r="AV885" s="8" t="str">
        <f>'Q100a-geral'!AV423</f>
        <v>x</v>
      </c>
      <c r="AW885" s="8" t="str">
        <f>'Q100a-geral'!AW423</f>
        <v>x</v>
      </c>
      <c r="AX885" s="8" t="str">
        <f>'Q100a-geral'!AX423</f>
        <v>x</v>
      </c>
      <c r="AY885" s="8" t="str">
        <f>'Q100a-geral'!AY423</f>
        <v>x</v>
      </c>
      <c r="AZ885" s="8" t="str">
        <f>'Q100a-geral'!AZ423</f>
        <v>x</v>
      </c>
      <c r="BA885" s="8" t="str">
        <f>'Q100a-geral'!BA423</f>
        <v>x</v>
      </c>
      <c r="BB885" s="8" t="str">
        <f>'Q100a-geral'!BB423</f>
        <v>BRTacessibilidade</v>
      </c>
      <c r="BC885" s="8" t="str">
        <f>'Q100a-geral'!BC423</f>
        <v>BRTacessibilidadex</v>
      </c>
      <c r="BD885" s="8" t="str">
        <f>'Q100a-geral'!BD423</f>
        <v>BRTx</v>
      </c>
    </row>
    <row r="886" spans="1:56" ht="38.25" x14ac:dyDescent="0.25">
      <c r="A886" s="406" t="str">
        <f>'Q100a-geral'!A445</f>
        <v>8.2</v>
      </c>
      <c r="B886" s="468" t="str">
        <f>'Q100a-geral'!B445</f>
        <v>BRT</v>
      </c>
      <c r="C886" s="13" t="str">
        <f>'Q100a-geral'!C445</f>
        <v>acessibilidade</v>
      </c>
      <c r="D886" s="324" t="str">
        <f>'Q100a-geral'!D445</f>
        <v>BRT IC CMC (máquinas)</v>
      </c>
      <c r="E886" s="481" t="str">
        <f>'Q100a-geral'!E445</f>
        <v>Belo Horizonte</v>
      </c>
      <c r="F886" s="619" t="str">
        <f>'Q100a-geral'!F445</f>
        <v>índice de conformidade com a acessibilidade do elemento "máquinas de venda automática" do módulo de análise "elementos das plataformas" do corredor de BRT denominado "Cristiano Machado"
obs.1: calculado como a média dos BRT IC das estações inspecionadas</v>
      </c>
      <c r="G886" s="110" t="str">
        <f>'Q100a-geral'!G445</f>
        <v>registro na fonte</v>
      </c>
      <c r="H886" s="173" t="str">
        <f>'Q100a-geral'!H445</f>
        <v>x</v>
      </c>
      <c r="I886" s="57">
        <f>'Q100a-geral'!I445</f>
        <v>1</v>
      </c>
      <c r="J886" s="8" t="str">
        <f>'Q100a-geral'!J445</f>
        <v>x</v>
      </c>
      <c r="K886" s="8" t="str">
        <f>'Q100a-geral'!K445</f>
        <v>x</v>
      </c>
      <c r="L886" s="8" t="str">
        <f>'Q100a-geral'!L445</f>
        <v>x</v>
      </c>
      <c r="M886" s="8" t="str">
        <f>'Q100a-geral'!M445</f>
        <v>x</v>
      </c>
      <c r="N886" s="8" t="str">
        <f>'Q100a-geral'!N445</f>
        <v>x</v>
      </c>
      <c r="O886" s="8" t="str">
        <f>'Q100a-geral'!O445</f>
        <v>x</v>
      </c>
      <c r="P886" s="8" t="str">
        <f>'Q100a-geral'!P445</f>
        <v>x</v>
      </c>
      <c r="Q886" s="8" t="str">
        <f>'Q100a-geral'!Q445</f>
        <v>x</v>
      </c>
      <c r="R886" s="8" t="str">
        <f>'Q100a-geral'!R445</f>
        <v>x</v>
      </c>
      <c r="S886" s="8" t="str">
        <f>'Q100a-geral'!S445</f>
        <v>só para pesquisa</v>
      </c>
      <c r="T886" s="8" t="str">
        <f>'Q100a-geral'!T445</f>
        <v>x</v>
      </c>
      <c r="U886" s="8" t="str">
        <f>'Q100a-geral'!U445</f>
        <v>x</v>
      </c>
      <c r="V886" s="8" t="str">
        <f>'Q100a-geral'!V445</f>
        <v>só para pesquisa</v>
      </c>
      <c r="W886" s="8" t="str">
        <f>'Q100a-geral'!W445</f>
        <v>x</v>
      </c>
      <c r="X886" s="8" t="str">
        <f>'Q100a-geral'!X445</f>
        <v>x</v>
      </c>
      <c r="Y886" s="8" t="str">
        <f>'Q100a-geral'!Y445</f>
        <v>x</v>
      </c>
      <c r="Z886" s="8" t="str">
        <f>'Q100a-geral'!Z445</f>
        <v>x</v>
      </c>
      <c r="AA886" s="8" t="str">
        <f>'Q100a-geral'!AA445</f>
        <v>x</v>
      </c>
      <c r="AB886" s="8" t="str">
        <f>'Q100a-geral'!AB445</f>
        <v>x</v>
      </c>
      <c r="AC886" s="8" t="str">
        <f>'Q100a-geral'!AC445</f>
        <v>x</v>
      </c>
      <c r="AD886" s="8" t="str">
        <f>'Q100a-geral'!AD445</f>
        <v>x</v>
      </c>
      <c r="AE886" s="8" t="str">
        <f>'Q100a-geral'!AE445</f>
        <v>x</v>
      </c>
      <c r="AF886" s="8" t="str">
        <f>'Q100a-geral'!AF445</f>
        <v>x</v>
      </c>
      <c r="AG886" s="8" t="str">
        <f>'Q100a-geral'!AG445</f>
        <v>x</v>
      </c>
      <c r="AH886" s="8" t="str">
        <f>'Q100a-geral'!AH445</f>
        <v>x</v>
      </c>
      <c r="AI886" s="8" t="str">
        <f>'Q100a-geral'!AI445</f>
        <v>x</v>
      </c>
      <c r="AJ886" s="8" t="str">
        <f>'Q100a-geral'!AJ445</f>
        <v>x</v>
      </c>
      <c r="AK886" s="95">
        <f>'Q100a-geral'!AK445</f>
        <v>0.27</v>
      </c>
      <c r="AL886" s="8" t="str">
        <f>'Q100a-geral'!AL445</f>
        <v>x</v>
      </c>
      <c r="AM886" s="8" t="str">
        <f>'Q100a-geral'!AM445</f>
        <v>x</v>
      </c>
      <c r="AN886" s="8" t="str">
        <f>'Q100a-geral'!AN445</f>
        <v>x</v>
      </c>
      <c r="AO886" s="8" t="str">
        <f>'Q100a-geral'!AO445</f>
        <v>x</v>
      </c>
      <c r="AP886" s="8" t="str">
        <f>'Q100a-geral'!AP445</f>
        <v>x</v>
      </c>
      <c r="AQ886" s="8" t="str">
        <f>'Q100a-geral'!AQ445</f>
        <v>x</v>
      </c>
      <c r="AR886" s="8" t="str">
        <f>'Q100a-geral'!AR445</f>
        <v>x</v>
      </c>
      <c r="AS886" s="8" t="str">
        <f>'Q100a-geral'!AS445</f>
        <v>x</v>
      </c>
      <c r="AT886" s="8" t="str">
        <f>'Q100a-geral'!AT445</f>
        <v>x</v>
      </c>
      <c r="AU886" s="8" t="str">
        <f>'Q100a-geral'!AU445</f>
        <v>x</v>
      </c>
      <c r="AV886" s="8" t="str">
        <f>'Q100a-geral'!AV445</f>
        <v>x</v>
      </c>
      <c r="AW886" s="8" t="str">
        <f>'Q100a-geral'!AW445</f>
        <v>x</v>
      </c>
      <c r="AX886" s="8" t="str">
        <f>'Q100a-geral'!AX445</f>
        <v>x</v>
      </c>
      <c r="AY886" s="8" t="str">
        <f>'Q100a-geral'!AY445</f>
        <v>x</v>
      </c>
      <c r="AZ886" s="8" t="str">
        <f>'Q100a-geral'!AZ445</f>
        <v>x</v>
      </c>
      <c r="BA886" s="8" t="str">
        <f>'Q100a-geral'!BA445</f>
        <v>x</v>
      </c>
      <c r="BB886" s="8" t="str">
        <f>'Q100a-geral'!BB445</f>
        <v>BRTacessibilidade</v>
      </c>
      <c r="BC886" s="8" t="str">
        <f>'Q100a-geral'!BC445</f>
        <v>BRTacessibilidadex</v>
      </c>
      <c r="BD886" s="8" t="str">
        <f>'Q100a-geral'!BD445</f>
        <v>BRTx</v>
      </c>
    </row>
    <row r="887" spans="1:56" ht="38.25" x14ac:dyDescent="0.25">
      <c r="A887" s="406" t="str">
        <f>'Q100a-geral'!A400</f>
        <v>8.2</v>
      </c>
      <c r="B887" s="468" t="str">
        <f>'Q100a-geral'!B400</f>
        <v>BRT</v>
      </c>
      <c r="C887" s="13" t="str">
        <f>'Q100a-geral'!C400</f>
        <v>acessibilidade</v>
      </c>
      <c r="D887" s="324" t="str">
        <f>'Q100a-geral'!D400</f>
        <v>BRT IC AC (catracas)</v>
      </c>
      <c r="E887" s="481" t="str">
        <f>'Q100a-geral'!E400</f>
        <v>Belo Horizonte</v>
      </c>
      <c r="F887" s="619" t="str">
        <f>'Q100a-geral'!F400</f>
        <v>índice de conformidade com a acessibilidade do elemento "catracas" do módulo de análise "elementos das plataformas" do corredor de BRT denominado "Área Central"
obs.1: calculado como a média dos BRT IC das estações inspecionadas</v>
      </c>
      <c r="G887" s="110" t="str">
        <f>'Q100a-geral'!G400</f>
        <v>registro na fonte</v>
      </c>
      <c r="H887" s="173" t="str">
        <f>'Q100a-geral'!H400</f>
        <v>x</v>
      </c>
      <c r="I887" s="57">
        <f>'Q100a-geral'!I400</f>
        <v>1</v>
      </c>
      <c r="J887" s="8" t="str">
        <f>'Q100a-geral'!J400</f>
        <v>x</v>
      </c>
      <c r="K887" s="8" t="str">
        <f>'Q100a-geral'!K400</f>
        <v>x</v>
      </c>
      <c r="L887" s="8" t="str">
        <f>'Q100a-geral'!L400</f>
        <v>x</v>
      </c>
      <c r="M887" s="8" t="str">
        <f>'Q100a-geral'!M400</f>
        <v>x</v>
      </c>
      <c r="N887" s="8" t="str">
        <f>'Q100a-geral'!N400</f>
        <v>x</v>
      </c>
      <c r="O887" s="8" t="str">
        <f>'Q100a-geral'!O400</f>
        <v>x</v>
      </c>
      <c r="P887" s="8" t="str">
        <f>'Q100a-geral'!P400</f>
        <v>x</v>
      </c>
      <c r="Q887" s="8" t="str">
        <f>'Q100a-geral'!Q400</f>
        <v>x</v>
      </c>
      <c r="R887" s="8" t="str">
        <f>'Q100a-geral'!R400</f>
        <v>x</v>
      </c>
      <c r="S887" s="8" t="str">
        <f>'Q100a-geral'!S400</f>
        <v>só para pesquisa</v>
      </c>
      <c r="T887" s="8" t="str">
        <f>'Q100a-geral'!T400</f>
        <v>x</v>
      </c>
      <c r="U887" s="8" t="str">
        <f>'Q100a-geral'!U400</f>
        <v>x</v>
      </c>
      <c r="V887" s="8" t="str">
        <f>'Q100a-geral'!V400</f>
        <v>só para pesquisa</v>
      </c>
      <c r="W887" s="8" t="str">
        <f>'Q100a-geral'!W400</f>
        <v>x</v>
      </c>
      <c r="X887" s="8" t="str">
        <f>'Q100a-geral'!X400</f>
        <v>x</v>
      </c>
      <c r="Y887" s="8" t="str">
        <f>'Q100a-geral'!Y400</f>
        <v>x</v>
      </c>
      <c r="Z887" s="8" t="str">
        <f>'Q100a-geral'!Z400</f>
        <v>x</v>
      </c>
      <c r="AA887" s="8" t="str">
        <f>'Q100a-geral'!AA400</f>
        <v>x</v>
      </c>
      <c r="AB887" s="8" t="str">
        <f>'Q100a-geral'!AB400</f>
        <v>x</v>
      </c>
      <c r="AC887" s="8" t="str">
        <f>'Q100a-geral'!AC400</f>
        <v>x</v>
      </c>
      <c r="AD887" s="8" t="str">
        <f>'Q100a-geral'!AD400</f>
        <v>x</v>
      </c>
      <c r="AE887" s="8" t="str">
        <f>'Q100a-geral'!AE400</f>
        <v>x</v>
      </c>
      <c r="AF887" s="8" t="str">
        <f>'Q100a-geral'!AF400</f>
        <v>x</v>
      </c>
      <c r="AG887" s="8" t="str">
        <f>'Q100a-geral'!AG400</f>
        <v>x</v>
      </c>
      <c r="AH887" s="8" t="str">
        <f>'Q100a-geral'!AH400</f>
        <v>x</v>
      </c>
      <c r="AI887" s="8" t="str">
        <f>'Q100a-geral'!AI400</f>
        <v>x</v>
      </c>
      <c r="AJ887" s="8" t="str">
        <f>'Q100a-geral'!AJ400</f>
        <v>x</v>
      </c>
      <c r="AK887" s="95">
        <f>'Q100a-geral'!AK400</f>
        <v>1</v>
      </c>
      <c r="AL887" s="8" t="str">
        <f>'Q100a-geral'!AL400</f>
        <v>x</v>
      </c>
      <c r="AM887" s="8" t="str">
        <f>'Q100a-geral'!AM400</f>
        <v>x</v>
      </c>
      <c r="AN887" s="8" t="str">
        <f>'Q100a-geral'!AN400</f>
        <v>x</v>
      </c>
      <c r="AO887" s="8" t="str">
        <f>'Q100a-geral'!AO400</f>
        <v>x</v>
      </c>
      <c r="AP887" s="8" t="str">
        <f>'Q100a-geral'!AP400</f>
        <v>x</v>
      </c>
      <c r="AQ887" s="8" t="str">
        <f>'Q100a-geral'!AQ400</f>
        <v>x</v>
      </c>
      <c r="AR887" s="8" t="str">
        <f>'Q100a-geral'!AR400</f>
        <v>x</v>
      </c>
      <c r="AS887" s="8" t="str">
        <f>'Q100a-geral'!AS400</f>
        <v>x</v>
      </c>
      <c r="AT887" s="8" t="str">
        <f>'Q100a-geral'!AT400</f>
        <v>x</v>
      </c>
      <c r="AU887" s="8" t="str">
        <f>'Q100a-geral'!AU400</f>
        <v>x</v>
      </c>
      <c r="AV887" s="8" t="str">
        <f>'Q100a-geral'!AV400</f>
        <v>x</v>
      </c>
      <c r="AW887" s="8" t="str">
        <f>'Q100a-geral'!AW400</f>
        <v>x</v>
      </c>
      <c r="AX887" s="8" t="str">
        <f>'Q100a-geral'!AX400</f>
        <v>x</v>
      </c>
      <c r="AY887" s="8" t="str">
        <f>'Q100a-geral'!AY400</f>
        <v>x</v>
      </c>
      <c r="AZ887" s="8" t="str">
        <f>'Q100a-geral'!AZ400</f>
        <v>x</v>
      </c>
      <c r="BA887" s="8" t="str">
        <f>'Q100a-geral'!BA400</f>
        <v>x</v>
      </c>
      <c r="BB887" s="8" t="str">
        <f>'Q100a-geral'!BB400</f>
        <v>BRTacessibilidade</v>
      </c>
      <c r="BC887" s="8" t="str">
        <f>'Q100a-geral'!BC400</f>
        <v>BRTacessibilidadex</v>
      </c>
      <c r="BD887" s="8" t="str">
        <f>'Q100a-geral'!BD400</f>
        <v>BRTx</v>
      </c>
    </row>
    <row r="888" spans="1:56" ht="38.25" x14ac:dyDescent="0.25">
      <c r="A888" s="406" t="str">
        <f>'Q100a-geral'!A421</f>
        <v>8.2</v>
      </c>
      <c r="B888" s="468" t="str">
        <f>'Q100a-geral'!B421</f>
        <v>BRT</v>
      </c>
      <c r="C888" s="13" t="str">
        <f>'Q100a-geral'!C421</f>
        <v>acessibilidade</v>
      </c>
      <c r="D888" s="324" t="str">
        <f>'Q100a-geral'!D421</f>
        <v>BRT IC ATC (catracas)</v>
      </c>
      <c r="E888" s="481" t="str">
        <f>'Q100a-geral'!E421</f>
        <v>Belo Horizonte</v>
      </c>
      <c r="F888" s="619" t="str">
        <f>'Q100a-geral'!F421</f>
        <v>índice de conformidade com a acessibilidade do elemento "catracas" do módulo de análise "elementos da plataforma" do corredor de BRT denominado "Antônio Carlos"
obs.1: calculado como a média dos BRT IC das estações inspecionadas</v>
      </c>
      <c r="G888" s="110" t="str">
        <f>'Q100a-geral'!G421</f>
        <v>registro na fonte</v>
      </c>
      <c r="H888" s="173" t="str">
        <f>'Q100a-geral'!H421</f>
        <v>x</v>
      </c>
      <c r="I888" s="57">
        <f>'Q100a-geral'!I421</f>
        <v>1</v>
      </c>
      <c r="J888" s="8" t="str">
        <f>'Q100a-geral'!J421</f>
        <v>x</v>
      </c>
      <c r="K888" s="8" t="str">
        <f>'Q100a-geral'!K421</f>
        <v>x</v>
      </c>
      <c r="L888" s="8" t="str">
        <f>'Q100a-geral'!L421</f>
        <v>x</v>
      </c>
      <c r="M888" s="8" t="str">
        <f>'Q100a-geral'!M421</f>
        <v>x</v>
      </c>
      <c r="N888" s="8" t="str">
        <f>'Q100a-geral'!N421</f>
        <v>x</v>
      </c>
      <c r="O888" s="8" t="str">
        <f>'Q100a-geral'!O421</f>
        <v>x</v>
      </c>
      <c r="P888" s="8" t="str">
        <f>'Q100a-geral'!P421</f>
        <v>x</v>
      </c>
      <c r="Q888" s="8" t="str">
        <f>'Q100a-geral'!Q421</f>
        <v>x</v>
      </c>
      <c r="R888" s="8" t="str">
        <f>'Q100a-geral'!R421</f>
        <v>x</v>
      </c>
      <c r="S888" s="8" t="str">
        <f>'Q100a-geral'!S421</f>
        <v>só para pesquisa</v>
      </c>
      <c r="T888" s="8" t="str">
        <f>'Q100a-geral'!T421</f>
        <v>x</v>
      </c>
      <c r="U888" s="8" t="str">
        <f>'Q100a-geral'!U421</f>
        <v>x</v>
      </c>
      <c r="V888" s="8" t="str">
        <f>'Q100a-geral'!V421</f>
        <v>só para pesquisa</v>
      </c>
      <c r="W888" s="8" t="str">
        <f>'Q100a-geral'!W421</f>
        <v>x</v>
      </c>
      <c r="X888" s="8" t="str">
        <f>'Q100a-geral'!X421</f>
        <v>x</v>
      </c>
      <c r="Y888" s="8" t="str">
        <f>'Q100a-geral'!Y421</f>
        <v>x</v>
      </c>
      <c r="Z888" s="8" t="str">
        <f>'Q100a-geral'!Z421</f>
        <v>x</v>
      </c>
      <c r="AA888" s="8" t="str">
        <f>'Q100a-geral'!AA421</f>
        <v>x</v>
      </c>
      <c r="AB888" s="8" t="str">
        <f>'Q100a-geral'!AB421</f>
        <v>x</v>
      </c>
      <c r="AC888" s="8" t="str">
        <f>'Q100a-geral'!AC421</f>
        <v>x</v>
      </c>
      <c r="AD888" s="8" t="str">
        <f>'Q100a-geral'!AD421</f>
        <v>x</v>
      </c>
      <c r="AE888" s="8" t="str">
        <f>'Q100a-geral'!AE421</f>
        <v>x</v>
      </c>
      <c r="AF888" s="8" t="str">
        <f>'Q100a-geral'!AF421</f>
        <v>x</v>
      </c>
      <c r="AG888" s="8" t="str">
        <f>'Q100a-geral'!AG421</f>
        <v>x</v>
      </c>
      <c r="AH888" s="8" t="str">
        <f>'Q100a-geral'!AH421</f>
        <v>x</v>
      </c>
      <c r="AI888" s="8" t="str">
        <f>'Q100a-geral'!AI421</f>
        <v>x</v>
      </c>
      <c r="AJ888" s="8" t="str">
        <f>'Q100a-geral'!AJ421</f>
        <v>x</v>
      </c>
      <c r="AK888" s="95">
        <f>'Q100a-geral'!AK421</f>
        <v>0.91</v>
      </c>
      <c r="AL888" s="8" t="str">
        <f>'Q100a-geral'!AL421</f>
        <v>x</v>
      </c>
      <c r="AM888" s="8" t="str">
        <f>'Q100a-geral'!AM421</f>
        <v>x</v>
      </c>
      <c r="AN888" s="8" t="str">
        <f>'Q100a-geral'!AN421</f>
        <v>x</v>
      </c>
      <c r="AO888" s="8" t="str">
        <f>'Q100a-geral'!AO421</f>
        <v>x</v>
      </c>
      <c r="AP888" s="8" t="str">
        <f>'Q100a-geral'!AP421</f>
        <v>x</v>
      </c>
      <c r="AQ888" s="8" t="str">
        <f>'Q100a-geral'!AQ421</f>
        <v>x</v>
      </c>
      <c r="AR888" s="8" t="str">
        <f>'Q100a-geral'!AR421</f>
        <v>x</v>
      </c>
      <c r="AS888" s="8" t="str">
        <f>'Q100a-geral'!AS421</f>
        <v>x</v>
      </c>
      <c r="AT888" s="8" t="str">
        <f>'Q100a-geral'!AT421</f>
        <v>x</v>
      </c>
      <c r="AU888" s="8" t="str">
        <f>'Q100a-geral'!AU421</f>
        <v>x</v>
      </c>
      <c r="AV888" s="8" t="str">
        <f>'Q100a-geral'!AV421</f>
        <v>x</v>
      </c>
      <c r="AW888" s="8" t="str">
        <f>'Q100a-geral'!AW421</f>
        <v>x</v>
      </c>
      <c r="AX888" s="8" t="str">
        <f>'Q100a-geral'!AX421</f>
        <v>x</v>
      </c>
      <c r="AY888" s="8" t="str">
        <f>'Q100a-geral'!AY421</f>
        <v>x</v>
      </c>
      <c r="AZ888" s="8" t="str">
        <f>'Q100a-geral'!AZ421</f>
        <v>x</v>
      </c>
      <c r="BA888" s="8" t="str">
        <f>'Q100a-geral'!BA421</f>
        <v>x</v>
      </c>
      <c r="BB888" s="8" t="str">
        <f>'Q100a-geral'!BB421</f>
        <v>BRTacessibilidade</v>
      </c>
      <c r="BC888" s="8" t="str">
        <f>'Q100a-geral'!BC421</f>
        <v>BRTacessibilidadex</v>
      </c>
      <c r="BD888" s="8" t="str">
        <f>'Q100a-geral'!BD421</f>
        <v>BRTx</v>
      </c>
    </row>
    <row r="889" spans="1:56" ht="38.25" x14ac:dyDescent="0.25">
      <c r="A889" s="406" t="str">
        <f>'Q100a-geral'!A443</f>
        <v>8.2</v>
      </c>
      <c r="B889" s="468" t="str">
        <f>'Q100a-geral'!B443</f>
        <v>BRT</v>
      </c>
      <c r="C889" s="13" t="str">
        <f>'Q100a-geral'!C443</f>
        <v>acessibilidade</v>
      </c>
      <c r="D889" s="324" t="str">
        <f>'Q100a-geral'!D443</f>
        <v>BRT IC CMC (catracas)</v>
      </c>
      <c r="E889" s="481" t="str">
        <f>'Q100a-geral'!E443</f>
        <v>Belo Horizonte</v>
      </c>
      <c r="F889" s="619" t="str">
        <f>'Q100a-geral'!F443</f>
        <v>índice de conformidade com a acessibilidade do elemento "catracas" do módulo de análise "elementos das plataformas" do corredor de BRT denominado "Cristiano Machado"
obs.1: calculado como a média dos BRT IC das estações inspecionadas</v>
      </c>
      <c r="G889" s="110" t="str">
        <f>'Q100a-geral'!G443</f>
        <v>registro na fonte</v>
      </c>
      <c r="H889" s="173" t="str">
        <f>'Q100a-geral'!H443</f>
        <v>x</v>
      </c>
      <c r="I889" s="57">
        <f>'Q100a-geral'!I443</f>
        <v>1</v>
      </c>
      <c r="J889" s="8" t="str">
        <f>'Q100a-geral'!J443</f>
        <v>x</v>
      </c>
      <c r="K889" s="8" t="str">
        <f>'Q100a-geral'!K443</f>
        <v>x</v>
      </c>
      <c r="L889" s="8" t="str">
        <f>'Q100a-geral'!L443</f>
        <v>x</v>
      </c>
      <c r="M889" s="8" t="str">
        <f>'Q100a-geral'!M443</f>
        <v>x</v>
      </c>
      <c r="N889" s="8" t="str">
        <f>'Q100a-geral'!N443</f>
        <v>x</v>
      </c>
      <c r="O889" s="8" t="str">
        <f>'Q100a-geral'!O443</f>
        <v>x</v>
      </c>
      <c r="P889" s="8" t="str">
        <f>'Q100a-geral'!P443</f>
        <v>x</v>
      </c>
      <c r="Q889" s="8" t="str">
        <f>'Q100a-geral'!Q443</f>
        <v>x</v>
      </c>
      <c r="R889" s="8" t="str">
        <f>'Q100a-geral'!R443</f>
        <v>x</v>
      </c>
      <c r="S889" s="8" t="str">
        <f>'Q100a-geral'!S443</f>
        <v>só para pesquisa</v>
      </c>
      <c r="T889" s="8" t="str">
        <f>'Q100a-geral'!T443</f>
        <v>x</v>
      </c>
      <c r="U889" s="8" t="str">
        <f>'Q100a-geral'!U443</f>
        <v>x</v>
      </c>
      <c r="V889" s="8" t="str">
        <f>'Q100a-geral'!V443</f>
        <v>só para pesquisa</v>
      </c>
      <c r="W889" s="8" t="str">
        <f>'Q100a-geral'!W443</f>
        <v>x</v>
      </c>
      <c r="X889" s="8" t="str">
        <f>'Q100a-geral'!X443</f>
        <v>x</v>
      </c>
      <c r="Y889" s="8" t="str">
        <f>'Q100a-geral'!Y443</f>
        <v>x</v>
      </c>
      <c r="Z889" s="8" t="str">
        <f>'Q100a-geral'!Z443</f>
        <v>x</v>
      </c>
      <c r="AA889" s="8" t="str">
        <f>'Q100a-geral'!AA443</f>
        <v>x</v>
      </c>
      <c r="AB889" s="8" t="str">
        <f>'Q100a-geral'!AB443</f>
        <v>x</v>
      </c>
      <c r="AC889" s="8" t="str">
        <f>'Q100a-geral'!AC443</f>
        <v>x</v>
      </c>
      <c r="AD889" s="8" t="str">
        <f>'Q100a-geral'!AD443</f>
        <v>x</v>
      </c>
      <c r="AE889" s="8" t="str">
        <f>'Q100a-geral'!AE443</f>
        <v>x</v>
      </c>
      <c r="AF889" s="8" t="str">
        <f>'Q100a-geral'!AF443</f>
        <v>x</v>
      </c>
      <c r="AG889" s="8" t="str">
        <f>'Q100a-geral'!AG443</f>
        <v>x</v>
      </c>
      <c r="AH889" s="8" t="str">
        <f>'Q100a-geral'!AH443</f>
        <v>x</v>
      </c>
      <c r="AI889" s="8" t="str">
        <f>'Q100a-geral'!AI443</f>
        <v>x</v>
      </c>
      <c r="AJ889" s="8" t="str">
        <f>'Q100a-geral'!AJ443</f>
        <v>x</v>
      </c>
      <c r="AK889" s="95">
        <f>'Q100a-geral'!AK443</f>
        <v>1</v>
      </c>
      <c r="AL889" s="8" t="str">
        <f>'Q100a-geral'!AL443</f>
        <v>x</v>
      </c>
      <c r="AM889" s="8" t="str">
        <f>'Q100a-geral'!AM443</f>
        <v>x</v>
      </c>
      <c r="AN889" s="8" t="str">
        <f>'Q100a-geral'!AN443</f>
        <v>x</v>
      </c>
      <c r="AO889" s="8" t="str">
        <f>'Q100a-geral'!AO443</f>
        <v>x</v>
      </c>
      <c r="AP889" s="8" t="str">
        <f>'Q100a-geral'!AP443</f>
        <v>x</v>
      </c>
      <c r="AQ889" s="8" t="str">
        <f>'Q100a-geral'!AQ443</f>
        <v>x</v>
      </c>
      <c r="AR889" s="8" t="str">
        <f>'Q100a-geral'!AR443</f>
        <v>x</v>
      </c>
      <c r="AS889" s="8" t="str">
        <f>'Q100a-geral'!AS443</f>
        <v>x</v>
      </c>
      <c r="AT889" s="8" t="str">
        <f>'Q100a-geral'!AT443</f>
        <v>x</v>
      </c>
      <c r="AU889" s="8" t="str">
        <f>'Q100a-geral'!AU443</f>
        <v>x</v>
      </c>
      <c r="AV889" s="8" t="str">
        <f>'Q100a-geral'!AV443</f>
        <v>x</v>
      </c>
      <c r="AW889" s="8" t="str">
        <f>'Q100a-geral'!AW443</f>
        <v>x</v>
      </c>
      <c r="AX889" s="8" t="str">
        <f>'Q100a-geral'!AX443</f>
        <v>x</v>
      </c>
      <c r="AY889" s="8" t="str">
        <f>'Q100a-geral'!AY443</f>
        <v>x</v>
      </c>
      <c r="AZ889" s="8" t="str">
        <f>'Q100a-geral'!AZ443</f>
        <v>x</v>
      </c>
      <c r="BA889" s="8" t="str">
        <f>'Q100a-geral'!BA443</f>
        <v>x</v>
      </c>
      <c r="BB889" s="8" t="str">
        <f>'Q100a-geral'!BB443</f>
        <v>BRTacessibilidade</v>
      </c>
      <c r="BC889" s="8" t="str">
        <f>'Q100a-geral'!BC443</f>
        <v>BRTacessibilidadex</v>
      </c>
      <c r="BD889" s="8" t="str">
        <f>'Q100a-geral'!BD443</f>
        <v>BRTx</v>
      </c>
    </row>
    <row r="890" spans="1:56" ht="38.25" x14ac:dyDescent="0.25">
      <c r="A890" s="406" t="str">
        <f>'Q100a-geral'!A401</f>
        <v>8.2</v>
      </c>
      <c r="B890" s="468" t="str">
        <f>'Q100a-geral'!B401</f>
        <v>BRT</v>
      </c>
      <c r="C890" s="13" t="str">
        <f>'Q100a-geral'!C401</f>
        <v>acessibilidade</v>
      </c>
      <c r="D890" s="324" t="str">
        <f>'Q100a-geral'!D401</f>
        <v>BRT IC AC (mapas)</v>
      </c>
      <c r="E890" s="481" t="str">
        <f>'Q100a-geral'!E401</f>
        <v>Belo Horizonte</v>
      </c>
      <c r="F890" s="619" t="str">
        <f>'Q100a-geral'!F401</f>
        <v>índice de conformidade com a acessibilidade do elemento "planos e mapas acessíveis" do módulo de análise "elementos das plataformas" do corredor de BRT denominado "Área Central"
obs.1: calculado como a média dos BRT IC das estações inspecionadas</v>
      </c>
      <c r="G890" s="110" t="str">
        <f>'Q100a-geral'!G401</f>
        <v>registro na fonte</v>
      </c>
      <c r="H890" s="173" t="str">
        <f>'Q100a-geral'!H401</f>
        <v>x</v>
      </c>
      <c r="I890" s="57">
        <f>'Q100a-geral'!I401</f>
        <v>1</v>
      </c>
      <c r="J890" s="8" t="str">
        <f>'Q100a-geral'!J401</f>
        <v>x</v>
      </c>
      <c r="K890" s="8" t="str">
        <f>'Q100a-geral'!K401</f>
        <v>x</v>
      </c>
      <c r="L890" s="8" t="str">
        <f>'Q100a-geral'!L401</f>
        <v>x</v>
      </c>
      <c r="M890" s="8" t="str">
        <f>'Q100a-geral'!M401</f>
        <v>x</v>
      </c>
      <c r="N890" s="8" t="str">
        <f>'Q100a-geral'!N401</f>
        <v>x</v>
      </c>
      <c r="O890" s="8" t="str">
        <f>'Q100a-geral'!O401</f>
        <v>x</v>
      </c>
      <c r="P890" s="8" t="str">
        <f>'Q100a-geral'!P401</f>
        <v>x</v>
      </c>
      <c r="Q890" s="8" t="str">
        <f>'Q100a-geral'!Q401</f>
        <v>x</v>
      </c>
      <c r="R890" s="8" t="str">
        <f>'Q100a-geral'!R401</f>
        <v>x</v>
      </c>
      <c r="S890" s="8" t="str">
        <f>'Q100a-geral'!S401</f>
        <v>só para pesquisa</v>
      </c>
      <c r="T890" s="8" t="str">
        <f>'Q100a-geral'!T401</f>
        <v>x</v>
      </c>
      <c r="U890" s="8" t="str">
        <f>'Q100a-geral'!U401</f>
        <v>x</v>
      </c>
      <c r="V890" s="8" t="str">
        <f>'Q100a-geral'!V401</f>
        <v>só para pesquisa</v>
      </c>
      <c r="W890" s="8" t="str">
        <f>'Q100a-geral'!W401</f>
        <v>x</v>
      </c>
      <c r="X890" s="8" t="str">
        <f>'Q100a-geral'!X401</f>
        <v>x</v>
      </c>
      <c r="Y890" s="8" t="str">
        <f>'Q100a-geral'!Y401</f>
        <v>x</v>
      </c>
      <c r="Z890" s="8" t="str">
        <f>'Q100a-geral'!Z401</f>
        <v>x</v>
      </c>
      <c r="AA890" s="8" t="str">
        <f>'Q100a-geral'!AA401</f>
        <v>x</v>
      </c>
      <c r="AB890" s="8" t="str">
        <f>'Q100a-geral'!AB401</f>
        <v>x</v>
      </c>
      <c r="AC890" s="8" t="str">
        <f>'Q100a-geral'!AC401</f>
        <v>x</v>
      </c>
      <c r="AD890" s="8" t="str">
        <f>'Q100a-geral'!AD401</f>
        <v>x</v>
      </c>
      <c r="AE890" s="8" t="str">
        <f>'Q100a-geral'!AE401</f>
        <v>x</v>
      </c>
      <c r="AF890" s="8" t="str">
        <f>'Q100a-geral'!AF401</f>
        <v>x</v>
      </c>
      <c r="AG890" s="8" t="str">
        <f>'Q100a-geral'!AG401</f>
        <v>x</v>
      </c>
      <c r="AH890" s="8" t="str">
        <f>'Q100a-geral'!AH401</f>
        <v>x</v>
      </c>
      <c r="AI890" s="8" t="str">
        <f>'Q100a-geral'!AI401</f>
        <v>x</v>
      </c>
      <c r="AJ890" s="8" t="str">
        <f>'Q100a-geral'!AJ401</f>
        <v>x</v>
      </c>
      <c r="AK890" s="95">
        <f>'Q100a-geral'!AK401</f>
        <v>0</v>
      </c>
      <c r="AL890" s="8" t="str">
        <f>'Q100a-geral'!AL401</f>
        <v>x</v>
      </c>
      <c r="AM890" s="8" t="str">
        <f>'Q100a-geral'!AM401</f>
        <v>x</v>
      </c>
      <c r="AN890" s="8" t="str">
        <f>'Q100a-geral'!AN401</f>
        <v>x</v>
      </c>
      <c r="AO890" s="8" t="str">
        <f>'Q100a-geral'!AO401</f>
        <v>x</v>
      </c>
      <c r="AP890" s="8" t="str">
        <f>'Q100a-geral'!AP401</f>
        <v>x</v>
      </c>
      <c r="AQ890" s="8" t="str">
        <f>'Q100a-geral'!AQ401</f>
        <v>x</v>
      </c>
      <c r="AR890" s="8" t="str">
        <f>'Q100a-geral'!AR401</f>
        <v>x</v>
      </c>
      <c r="AS890" s="8" t="str">
        <f>'Q100a-geral'!AS401</f>
        <v>x</v>
      </c>
      <c r="AT890" s="8" t="str">
        <f>'Q100a-geral'!AT401</f>
        <v>x</v>
      </c>
      <c r="AU890" s="8" t="str">
        <f>'Q100a-geral'!AU401</f>
        <v>x</v>
      </c>
      <c r="AV890" s="8" t="str">
        <f>'Q100a-geral'!AV401</f>
        <v>x</v>
      </c>
      <c r="AW890" s="8" t="str">
        <f>'Q100a-geral'!AW401</f>
        <v>x</v>
      </c>
      <c r="AX890" s="8" t="str">
        <f>'Q100a-geral'!AX401</f>
        <v>x</v>
      </c>
      <c r="AY890" s="8" t="str">
        <f>'Q100a-geral'!AY401</f>
        <v>x</v>
      </c>
      <c r="AZ890" s="8" t="str">
        <f>'Q100a-geral'!AZ401</f>
        <v>x</v>
      </c>
      <c r="BA890" s="8" t="str">
        <f>'Q100a-geral'!BA401</f>
        <v>x</v>
      </c>
      <c r="BB890" s="8" t="str">
        <f>'Q100a-geral'!BB401</f>
        <v>BRTacessibilidade</v>
      </c>
      <c r="BC890" s="8" t="str">
        <f>'Q100a-geral'!BC401</f>
        <v>BRTacessibilidadex</v>
      </c>
      <c r="BD890" s="8" t="str">
        <f>'Q100a-geral'!BD401</f>
        <v>BRTx</v>
      </c>
    </row>
    <row r="891" spans="1:56" ht="38.25" x14ac:dyDescent="0.25">
      <c r="A891" s="406" t="str">
        <f>'Q100a-geral'!A422</f>
        <v>8.2</v>
      </c>
      <c r="B891" s="468" t="str">
        <f>'Q100a-geral'!B422</f>
        <v>BRT</v>
      </c>
      <c r="C891" s="13" t="str">
        <f>'Q100a-geral'!C422</f>
        <v>acessibilidade</v>
      </c>
      <c r="D891" s="324" t="str">
        <f>'Q100a-geral'!D422</f>
        <v>BRT IC ATC (mapas)</v>
      </c>
      <c r="E891" s="481" t="str">
        <f>'Q100a-geral'!E422</f>
        <v>Belo Horizonte</v>
      </c>
      <c r="F891" s="619" t="str">
        <f>'Q100a-geral'!F422</f>
        <v>índice de conformidade com a acessibilidade do elemento "planos e mapas acessíveis" do módulo de análise "elementos das plataformas" do corredor de BRT denominado "Antônio Carlos"
obs.1: calculado como a média dos BRT IC das estações inspecionadas</v>
      </c>
      <c r="G891" s="110" t="str">
        <f>'Q100a-geral'!G422</f>
        <v>registro na fonte</v>
      </c>
      <c r="H891" s="173" t="str">
        <f>'Q100a-geral'!H422</f>
        <v>x</v>
      </c>
      <c r="I891" s="57">
        <f>'Q100a-geral'!I422</f>
        <v>1</v>
      </c>
      <c r="J891" s="8" t="str">
        <f>'Q100a-geral'!J422</f>
        <v>x</v>
      </c>
      <c r="K891" s="8" t="str">
        <f>'Q100a-geral'!K422</f>
        <v>x</v>
      </c>
      <c r="L891" s="8" t="str">
        <f>'Q100a-geral'!L422</f>
        <v>x</v>
      </c>
      <c r="M891" s="8" t="str">
        <f>'Q100a-geral'!M422</f>
        <v>x</v>
      </c>
      <c r="N891" s="8" t="str">
        <f>'Q100a-geral'!N422</f>
        <v>x</v>
      </c>
      <c r="O891" s="8" t="str">
        <f>'Q100a-geral'!O422</f>
        <v>x</v>
      </c>
      <c r="P891" s="8" t="str">
        <f>'Q100a-geral'!P422</f>
        <v>x</v>
      </c>
      <c r="Q891" s="8" t="str">
        <f>'Q100a-geral'!Q422</f>
        <v>x</v>
      </c>
      <c r="R891" s="8" t="str">
        <f>'Q100a-geral'!R422</f>
        <v>x</v>
      </c>
      <c r="S891" s="8" t="str">
        <f>'Q100a-geral'!S422</f>
        <v>só para pesquisa</v>
      </c>
      <c r="T891" s="8" t="str">
        <f>'Q100a-geral'!T422</f>
        <v>x</v>
      </c>
      <c r="U891" s="8" t="str">
        <f>'Q100a-geral'!U422</f>
        <v>x</v>
      </c>
      <c r="V891" s="8" t="str">
        <f>'Q100a-geral'!V422</f>
        <v>só para pesquisa</v>
      </c>
      <c r="W891" s="8" t="str">
        <f>'Q100a-geral'!W422</f>
        <v>x</v>
      </c>
      <c r="X891" s="8" t="str">
        <f>'Q100a-geral'!X422</f>
        <v>x</v>
      </c>
      <c r="Y891" s="8" t="str">
        <f>'Q100a-geral'!Y422</f>
        <v>x</v>
      </c>
      <c r="Z891" s="8" t="str">
        <f>'Q100a-geral'!Z422</f>
        <v>x</v>
      </c>
      <c r="AA891" s="8" t="str">
        <f>'Q100a-geral'!AA422</f>
        <v>x</v>
      </c>
      <c r="AB891" s="8" t="str">
        <f>'Q100a-geral'!AB422</f>
        <v>x</v>
      </c>
      <c r="AC891" s="8" t="str">
        <f>'Q100a-geral'!AC422</f>
        <v>x</v>
      </c>
      <c r="AD891" s="8" t="str">
        <f>'Q100a-geral'!AD422</f>
        <v>x</v>
      </c>
      <c r="AE891" s="8" t="str">
        <f>'Q100a-geral'!AE422</f>
        <v>x</v>
      </c>
      <c r="AF891" s="8" t="str">
        <f>'Q100a-geral'!AF422</f>
        <v>x</v>
      </c>
      <c r="AG891" s="8" t="str">
        <f>'Q100a-geral'!AG422</f>
        <v>x</v>
      </c>
      <c r="AH891" s="8" t="str">
        <f>'Q100a-geral'!AH422</f>
        <v>x</v>
      </c>
      <c r="AI891" s="8" t="str">
        <f>'Q100a-geral'!AI422</f>
        <v>x</v>
      </c>
      <c r="AJ891" s="8" t="str">
        <f>'Q100a-geral'!AJ422</f>
        <v>x</v>
      </c>
      <c r="AK891" s="95">
        <f>'Q100a-geral'!AK422</f>
        <v>0</v>
      </c>
      <c r="AL891" s="8" t="str">
        <f>'Q100a-geral'!AL422</f>
        <v>x</v>
      </c>
      <c r="AM891" s="8" t="str">
        <f>'Q100a-geral'!AM422</f>
        <v>x</v>
      </c>
      <c r="AN891" s="8" t="str">
        <f>'Q100a-geral'!AN422</f>
        <v>x</v>
      </c>
      <c r="AO891" s="8" t="str">
        <f>'Q100a-geral'!AO422</f>
        <v>x</v>
      </c>
      <c r="AP891" s="8" t="str">
        <f>'Q100a-geral'!AP422</f>
        <v>x</v>
      </c>
      <c r="AQ891" s="8" t="str">
        <f>'Q100a-geral'!AQ422</f>
        <v>x</v>
      </c>
      <c r="AR891" s="8" t="str">
        <f>'Q100a-geral'!AR422</f>
        <v>x</v>
      </c>
      <c r="AS891" s="8" t="str">
        <f>'Q100a-geral'!AS422</f>
        <v>x</v>
      </c>
      <c r="AT891" s="8" t="str">
        <f>'Q100a-geral'!AT422</f>
        <v>x</v>
      </c>
      <c r="AU891" s="8" t="str">
        <f>'Q100a-geral'!AU422</f>
        <v>x</v>
      </c>
      <c r="AV891" s="8" t="str">
        <f>'Q100a-geral'!AV422</f>
        <v>x</v>
      </c>
      <c r="AW891" s="8" t="str">
        <f>'Q100a-geral'!AW422</f>
        <v>x</v>
      </c>
      <c r="AX891" s="8" t="str">
        <f>'Q100a-geral'!AX422</f>
        <v>x</v>
      </c>
      <c r="AY891" s="8" t="str">
        <f>'Q100a-geral'!AY422</f>
        <v>x</v>
      </c>
      <c r="AZ891" s="8" t="str">
        <f>'Q100a-geral'!AZ422</f>
        <v>x</v>
      </c>
      <c r="BA891" s="8" t="str">
        <f>'Q100a-geral'!BA422</f>
        <v>x</v>
      </c>
      <c r="BB891" s="8" t="str">
        <f>'Q100a-geral'!BB422</f>
        <v>BRTacessibilidade</v>
      </c>
      <c r="BC891" s="8" t="str">
        <f>'Q100a-geral'!BC422</f>
        <v>BRTacessibilidadex</v>
      </c>
      <c r="BD891" s="8" t="str">
        <f>'Q100a-geral'!BD422</f>
        <v>BRTx</v>
      </c>
    </row>
    <row r="892" spans="1:56" ht="38.25" x14ac:dyDescent="0.25">
      <c r="A892" s="406" t="str">
        <f>'Q100a-geral'!A444</f>
        <v>8.2</v>
      </c>
      <c r="B892" s="468" t="str">
        <f>'Q100a-geral'!B444</f>
        <v>BRT</v>
      </c>
      <c r="C892" s="13" t="str">
        <f>'Q100a-geral'!C444</f>
        <v>acessibilidade</v>
      </c>
      <c r="D892" s="324" t="str">
        <f>'Q100a-geral'!D444</f>
        <v>BRT IC CMC (mapas)</v>
      </c>
      <c r="E892" s="481" t="str">
        <f>'Q100a-geral'!E444</f>
        <v>Belo Horizonte</v>
      </c>
      <c r="F892" s="619" t="str">
        <f>'Q100a-geral'!F444</f>
        <v>índice de conformidade com a acessibilidade do elemento "planos e mapas acessíveis" do módulo de análise "elementos das plataformas" do corredor de BRT denominado "Cristiano Machado"
obs.1: calculado como a média dos BRT IC das estações inspecionadas</v>
      </c>
      <c r="G892" s="110" t="str">
        <f>'Q100a-geral'!G444</f>
        <v>registro na fonte</v>
      </c>
      <c r="H892" s="173" t="str">
        <f>'Q100a-geral'!H444</f>
        <v>x</v>
      </c>
      <c r="I892" s="57">
        <f>'Q100a-geral'!I444</f>
        <v>1</v>
      </c>
      <c r="J892" s="8" t="str">
        <f>'Q100a-geral'!J444</f>
        <v>x</v>
      </c>
      <c r="K892" s="8" t="str">
        <f>'Q100a-geral'!K444</f>
        <v>x</v>
      </c>
      <c r="L892" s="8" t="str">
        <f>'Q100a-geral'!L444</f>
        <v>x</v>
      </c>
      <c r="M892" s="8" t="str">
        <f>'Q100a-geral'!M444</f>
        <v>x</v>
      </c>
      <c r="N892" s="8" t="str">
        <f>'Q100a-geral'!N444</f>
        <v>x</v>
      </c>
      <c r="O892" s="8" t="str">
        <f>'Q100a-geral'!O444</f>
        <v>x</v>
      </c>
      <c r="P892" s="8" t="str">
        <f>'Q100a-geral'!P444</f>
        <v>x</v>
      </c>
      <c r="Q892" s="8" t="str">
        <f>'Q100a-geral'!Q444</f>
        <v>x</v>
      </c>
      <c r="R892" s="8" t="str">
        <f>'Q100a-geral'!R444</f>
        <v>x</v>
      </c>
      <c r="S892" s="8" t="str">
        <f>'Q100a-geral'!S444</f>
        <v>só para pesquisa</v>
      </c>
      <c r="T892" s="8" t="str">
        <f>'Q100a-geral'!T444</f>
        <v>x</v>
      </c>
      <c r="U892" s="8" t="str">
        <f>'Q100a-geral'!U444</f>
        <v>x</v>
      </c>
      <c r="V892" s="8" t="str">
        <f>'Q100a-geral'!V444</f>
        <v>só para pesquisa</v>
      </c>
      <c r="W892" s="8" t="str">
        <f>'Q100a-geral'!W444</f>
        <v>x</v>
      </c>
      <c r="X892" s="8" t="str">
        <f>'Q100a-geral'!X444</f>
        <v>x</v>
      </c>
      <c r="Y892" s="8" t="str">
        <f>'Q100a-geral'!Y444</f>
        <v>x</v>
      </c>
      <c r="Z892" s="8" t="str">
        <f>'Q100a-geral'!Z444</f>
        <v>x</v>
      </c>
      <c r="AA892" s="8" t="str">
        <f>'Q100a-geral'!AA444</f>
        <v>x</v>
      </c>
      <c r="AB892" s="8" t="str">
        <f>'Q100a-geral'!AB444</f>
        <v>x</v>
      </c>
      <c r="AC892" s="8" t="str">
        <f>'Q100a-geral'!AC444</f>
        <v>x</v>
      </c>
      <c r="AD892" s="8" t="str">
        <f>'Q100a-geral'!AD444</f>
        <v>x</v>
      </c>
      <c r="AE892" s="8" t="str">
        <f>'Q100a-geral'!AE444</f>
        <v>x</v>
      </c>
      <c r="AF892" s="8" t="str">
        <f>'Q100a-geral'!AF444</f>
        <v>x</v>
      </c>
      <c r="AG892" s="8" t="str">
        <f>'Q100a-geral'!AG444</f>
        <v>x</v>
      </c>
      <c r="AH892" s="8" t="str">
        <f>'Q100a-geral'!AH444</f>
        <v>x</v>
      </c>
      <c r="AI892" s="8" t="str">
        <f>'Q100a-geral'!AI444</f>
        <v>x</v>
      </c>
      <c r="AJ892" s="8" t="str">
        <f>'Q100a-geral'!AJ444</f>
        <v>x</v>
      </c>
      <c r="AK892" s="95">
        <f>'Q100a-geral'!AK444</f>
        <v>0</v>
      </c>
      <c r="AL892" s="8" t="str">
        <f>'Q100a-geral'!AL444</f>
        <v>x</v>
      </c>
      <c r="AM892" s="8" t="str">
        <f>'Q100a-geral'!AM444</f>
        <v>x</v>
      </c>
      <c r="AN892" s="8" t="str">
        <f>'Q100a-geral'!AN444</f>
        <v>x</v>
      </c>
      <c r="AO892" s="8" t="str">
        <f>'Q100a-geral'!AO444</f>
        <v>x</v>
      </c>
      <c r="AP892" s="8" t="str">
        <f>'Q100a-geral'!AP444</f>
        <v>x</v>
      </c>
      <c r="AQ892" s="8" t="str">
        <f>'Q100a-geral'!AQ444</f>
        <v>x</v>
      </c>
      <c r="AR892" s="8" t="str">
        <f>'Q100a-geral'!AR444</f>
        <v>x</v>
      </c>
      <c r="AS892" s="8" t="str">
        <f>'Q100a-geral'!AS444</f>
        <v>x</v>
      </c>
      <c r="AT892" s="8" t="str">
        <f>'Q100a-geral'!AT444</f>
        <v>x</v>
      </c>
      <c r="AU892" s="8" t="str">
        <f>'Q100a-geral'!AU444</f>
        <v>x</v>
      </c>
      <c r="AV892" s="8" t="str">
        <f>'Q100a-geral'!AV444</f>
        <v>x</v>
      </c>
      <c r="AW892" s="8" t="str">
        <f>'Q100a-geral'!AW444</f>
        <v>x</v>
      </c>
      <c r="AX892" s="8" t="str">
        <f>'Q100a-geral'!AX444</f>
        <v>x</v>
      </c>
      <c r="AY892" s="8" t="str">
        <f>'Q100a-geral'!AY444</f>
        <v>x</v>
      </c>
      <c r="AZ892" s="8" t="str">
        <f>'Q100a-geral'!AZ444</f>
        <v>x</v>
      </c>
      <c r="BA892" s="8" t="str">
        <f>'Q100a-geral'!BA444</f>
        <v>x</v>
      </c>
      <c r="BB892" s="8" t="str">
        <f>'Q100a-geral'!BB444</f>
        <v>BRTacessibilidade</v>
      </c>
      <c r="BC892" s="8" t="str">
        <f>'Q100a-geral'!BC444</f>
        <v>BRTacessibilidadex</v>
      </c>
      <c r="BD892" s="8" t="str">
        <f>'Q100a-geral'!BD444</f>
        <v>BRTx</v>
      </c>
    </row>
    <row r="893" spans="1:56" ht="63.75" x14ac:dyDescent="0.25">
      <c r="A893" s="406" t="str">
        <f>'Q100a-geral'!A390</f>
        <v>8.2</v>
      </c>
      <c r="B893" s="468" t="str">
        <f>'Q100a-geral'!B390</f>
        <v>BRT</v>
      </c>
      <c r="C893" s="13" t="str">
        <f>'Q100a-geral'!C390</f>
        <v>acessibilidade</v>
      </c>
      <c r="D893" s="324" t="str">
        <f>'Q100a-geral'!D390</f>
        <v>BRT IC (plataformas/ geral)</v>
      </c>
      <c r="E893" s="481" t="str">
        <f>'Q100a-geral'!E390</f>
        <v>Belo Horizonte</v>
      </c>
      <c r="F893" s="619" t="str">
        <f>'Q100a-geral'!F390</f>
        <v>índice de conformidade com a acessibilidade do elemento "geral das plataformas" do módulo de análise "elementos das plataformas"do sistema BRT de Belo Horizonte
obs.1: o sistema de BRT de Belo Horizonte é constituido, em 2016, por três corredores: Área Central, Antônio Carlos e Cristiano Machado
obs.2: calculado como a média dos BRT IC das estações inspecionadas</v>
      </c>
      <c r="G893" s="110" t="str">
        <f>'Q100a-geral'!G390</f>
        <v>registro na fonte</v>
      </c>
      <c r="H893" s="173" t="str">
        <f>'Q100a-geral'!H390</f>
        <v>x</v>
      </c>
      <c r="I893" s="57">
        <f>'Q100a-geral'!I390</f>
        <v>1</v>
      </c>
      <c r="J893" s="8" t="str">
        <f>'Q100a-geral'!J390</f>
        <v>x</v>
      </c>
      <c r="K893" s="8" t="str">
        <f>'Q100a-geral'!K390</f>
        <v>x</v>
      </c>
      <c r="L893" s="8" t="str">
        <f>'Q100a-geral'!L390</f>
        <v>x</v>
      </c>
      <c r="M893" s="8" t="str">
        <f>'Q100a-geral'!M390</f>
        <v>x</v>
      </c>
      <c r="N893" s="8" t="str">
        <f>'Q100a-geral'!N390</f>
        <v>x</v>
      </c>
      <c r="O893" s="8" t="str">
        <f>'Q100a-geral'!O390</f>
        <v>x</v>
      </c>
      <c r="P893" s="8" t="str">
        <f>'Q100a-geral'!P390</f>
        <v>x</v>
      </c>
      <c r="Q893" s="8" t="str">
        <f>'Q100a-geral'!Q390</f>
        <v>x</v>
      </c>
      <c r="R893" s="8" t="str">
        <f>'Q100a-geral'!R390</f>
        <v>x</v>
      </c>
      <c r="S893" s="8" t="str">
        <f>'Q100a-geral'!S390</f>
        <v>só para pesquisa</v>
      </c>
      <c r="T893" s="8" t="str">
        <f>'Q100a-geral'!T390</f>
        <v>x</v>
      </c>
      <c r="U893" s="8" t="str">
        <f>'Q100a-geral'!U390</f>
        <v>x</v>
      </c>
      <c r="V893" s="8" t="str">
        <f>'Q100a-geral'!V390</f>
        <v>só para pesquisa</v>
      </c>
      <c r="W893" s="8" t="str">
        <f>'Q100a-geral'!W390</f>
        <v>x</v>
      </c>
      <c r="X893" s="8" t="str">
        <f>'Q100a-geral'!X390</f>
        <v>x</v>
      </c>
      <c r="Y893" s="8" t="str">
        <f>'Q100a-geral'!Y390</f>
        <v>x</v>
      </c>
      <c r="Z893" s="8" t="str">
        <f>'Q100a-geral'!Z390</f>
        <v>x</v>
      </c>
      <c r="AA893" s="8" t="str">
        <f>'Q100a-geral'!AA390</f>
        <v>x</v>
      </c>
      <c r="AB893" s="8" t="str">
        <f>'Q100a-geral'!AB390</f>
        <v>x</v>
      </c>
      <c r="AC893" s="8" t="str">
        <f>'Q100a-geral'!AC390</f>
        <v>x</v>
      </c>
      <c r="AD893" s="8" t="str">
        <f>'Q100a-geral'!AD390</f>
        <v>x</v>
      </c>
      <c r="AE893" s="8" t="str">
        <f>'Q100a-geral'!AE390</f>
        <v>x</v>
      </c>
      <c r="AF893" s="8" t="str">
        <f>'Q100a-geral'!AF390</f>
        <v>x</v>
      </c>
      <c r="AG893" s="8" t="str">
        <f>'Q100a-geral'!AG390</f>
        <v>x</v>
      </c>
      <c r="AH893" s="8" t="str">
        <f>'Q100a-geral'!AH390</f>
        <v>x</v>
      </c>
      <c r="AI893" s="8" t="str">
        <f>'Q100a-geral'!AI390</f>
        <v>x</v>
      </c>
      <c r="AJ893" s="8" t="str">
        <f>'Q100a-geral'!AJ390</f>
        <v>x</v>
      </c>
      <c r="AK893" s="95">
        <f>'Q100a-geral'!AK390</f>
        <v>0.54</v>
      </c>
      <c r="AL893" s="8" t="str">
        <f>'Q100a-geral'!AL390</f>
        <v>x</v>
      </c>
      <c r="AM893" s="8" t="str">
        <f>'Q100a-geral'!AM390</f>
        <v>x</v>
      </c>
      <c r="AN893" s="8" t="str">
        <f>'Q100a-geral'!AN390</f>
        <v>x</v>
      </c>
      <c r="AO893" s="8" t="str">
        <f>'Q100a-geral'!AO390</f>
        <v>x</v>
      </c>
      <c r="AP893" s="8" t="str">
        <f>'Q100a-geral'!AP390</f>
        <v>x</v>
      </c>
      <c r="AQ893" s="8" t="str">
        <f>'Q100a-geral'!AQ390</f>
        <v>x</v>
      </c>
      <c r="AR893" s="8" t="str">
        <f>'Q100a-geral'!AR390</f>
        <v>x</v>
      </c>
      <c r="AS893" s="8" t="str">
        <f>'Q100a-geral'!AS390</f>
        <v>x</v>
      </c>
      <c r="AT893" s="8" t="str">
        <f>'Q100a-geral'!AT390</f>
        <v>x</v>
      </c>
      <c r="AU893" s="8" t="str">
        <f>'Q100a-geral'!AU390</f>
        <v>x</v>
      </c>
      <c r="AV893" s="8" t="str">
        <f>'Q100a-geral'!AV390</f>
        <v>x</v>
      </c>
      <c r="AW893" s="8" t="str">
        <f>'Q100a-geral'!AW390</f>
        <v>x</v>
      </c>
      <c r="AX893" s="8" t="str">
        <f>'Q100a-geral'!AX390</f>
        <v>x</v>
      </c>
      <c r="AY893" s="8" t="str">
        <f>'Q100a-geral'!AY390</f>
        <v>x</v>
      </c>
      <c r="AZ893" s="8" t="str">
        <f>'Q100a-geral'!AZ390</f>
        <v>x</v>
      </c>
      <c r="BA893" s="8" t="str">
        <f>'Q100a-geral'!BA390</f>
        <v>x</v>
      </c>
      <c r="BB893" s="8" t="str">
        <f>'Q100a-geral'!BB390</f>
        <v>BRTacessibilidade</v>
      </c>
      <c r="BC893" s="8" t="str">
        <f>'Q100a-geral'!BC390</f>
        <v>BRTacessibilidadex</v>
      </c>
      <c r="BD893" s="8" t="str">
        <f>'Q100a-geral'!BD390</f>
        <v>BRTx</v>
      </c>
    </row>
    <row r="894" spans="1:56" ht="47.25" x14ac:dyDescent="0.25">
      <c r="A894" s="406" t="str">
        <f>'Q100a-geral'!A434</f>
        <v>8.2</v>
      </c>
      <c r="B894" s="468" t="str">
        <f>'Q100a-geral'!B434</f>
        <v>BRT</v>
      </c>
      <c r="C894" s="13" t="str">
        <f>'Q100a-geral'!C434</f>
        <v>acessibilidade</v>
      </c>
      <c r="D894" s="324" t="str">
        <f>'Q100a-geral'!D434</f>
        <v>BRT IC ATC (plataformas/ geral)</v>
      </c>
      <c r="E894" s="481" t="str">
        <f>'Q100a-geral'!E434</f>
        <v>Belo Horizonte</v>
      </c>
      <c r="F894" s="619" t="str">
        <f>'Q100a-geral'!F434</f>
        <v>índice de conformidade com a acessibilidade do elemento "geral das plataformas" do módulo de análise "elementos das plataformas" do corredor de BRT denominado "Antônio Carlos"
obs.1: calculado como a média dos BRT IC das estações inspecionadas</v>
      </c>
      <c r="G894" s="110" t="str">
        <f>'Q100a-geral'!G434</f>
        <v>registro na fonte</v>
      </c>
      <c r="H894" s="173" t="str">
        <f>'Q100a-geral'!H434</f>
        <v>x</v>
      </c>
      <c r="I894" s="57">
        <f>'Q100a-geral'!I434</f>
        <v>1</v>
      </c>
      <c r="J894" s="8" t="str">
        <f>'Q100a-geral'!J434</f>
        <v>x</v>
      </c>
      <c r="K894" s="8" t="str">
        <f>'Q100a-geral'!K434</f>
        <v>x</v>
      </c>
      <c r="L894" s="8" t="str">
        <f>'Q100a-geral'!L434</f>
        <v>x</v>
      </c>
      <c r="M894" s="8" t="str">
        <f>'Q100a-geral'!M434</f>
        <v>x</v>
      </c>
      <c r="N894" s="8" t="str">
        <f>'Q100a-geral'!N434</f>
        <v>x</v>
      </c>
      <c r="O894" s="8" t="str">
        <f>'Q100a-geral'!O434</f>
        <v>x</v>
      </c>
      <c r="P894" s="8" t="str">
        <f>'Q100a-geral'!P434</f>
        <v>x</v>
      </c>
      <c r="Q894" s="8" t="str">
        <f>'Q100a-geral'!Q434</f>
        <v>x</v>
      </c>
      <c r="R894" s="8" t="str">
        <f>'Q100a-geral'!R434</f>
        <v>x</v>
      </c>
      <c r="S894" s="8" t="str">
        <f>'Q100a-geral'!S434</f>
        <v>só para pesquisa</v>
      </c>
      <c r="T894" s="8" t="str">
        <f>'Q100a-geral'!T434</f>
        <v>x</v>
      </c>
      <c r="U894" s="8" t="str">
        <f>'Q100a-geral'!U434</f>
        <v>x</v>
      </c>
      <c r="V894" s="8" t="str">
        <f>'Q100a-geral'!V434</f>
        <v>só para pesquisa</v>
      </c>
      <c r="W894" s="8" t="str">
        <f>'Q100a-geral'!W434</f>
        <v>x</v>
      </c>
      <c r="X894" s="8" t="str">
        <f>'Q100a-geral'!X434</f>
        <v>x</v>
      </c>
      <c r="Y894" s="8" t="str">
        <f>'Q100a-geral'!Y434</f>
        <v>x</v>
      </c>
      <c r="Z894" s="8" t="str">
        <f>'Q100a-geral'!Z434</f>
        <v>x</v>
      </c>
      <c r="AA894" s="8" t="str">
        <f>'Q100a-geral'!AA434</f>
        <v>x</v>
      </c>
      <c r="AB894" s="8" t="str">
        <f>'Q100a-geral'!AB434</f>
        <v>x</v>
      </c>
      <c r="AC894" s="8" t="str">
        <f>'Q100a-geral'!AC434</f>
        <v>x</v>
      </c>
      <c r="AD894" s="8" t="str">
        <f>'Q100a-geral'!AD434</f>
        <v>x</v>
      </c>
      <c r="AE894" s="8" t="str">
        <f>'Q100a-geral'!AE434</f>
        <v>x</v>
      </c>
      <c r="AF894" s="8" t="str">
        <f>'Q100a-geral'!AF434</f>
        <v>x</v>
      </c>
      <c r="AG894" s="8" t="str">
        <f>'Q100a-geral'!AG434</f>
        <v>x</v>
      </c>
      <c r="AH894" s="8" t="str">
        <f>'Q100a-geral'!AH434</f>
        <v>x</v>
      </c>
      <c r="AI894" s="8" t="str">
        <f>'Q100a-geral'!AI434</f>
        <v>x</v>
      </c>
      <c r="AJ894" s="8" t="str">
        <f>'Q100a-geral'!AJ434</f>
        <v>x</v>
      </c>
      <c r="AK894" s="95">
        <f>'Q100a-geral'!AK434</f>
        <v>0.55000000000000004</v>
      </c>
      <c r="AL894" s="8" t="str">
        <f>'Q100a-geral'!AL434</f>
        <v>x</v>
      </c>
      <c r="AM894" s="8" t="str">
        <f>'Q100a-geral'!AM434</f>
        <v>x</v>
      </c>
      <c r="AN894" s="8" t="str">
        <f>'Q100a-geral'!AN434</f>
        <v>x</v>
      </c>
      <c r="AO894" s="8" t="str">
        <f>'Q100a-geral'!AO434</f>
        <v>x</v>
      </c>
      <c r="AP894" s="8" t="str">
        <f>'Q100a-geral'!AP434</f>
        <v>x</v>
      </c>
      <c r="AQ894" s="8" t="str">
        <f>'Q100a-geral'!AQ434</f>
        <v>x</v>
      </c>
      <c r="AR894" s="8" t="str">
        <f>'Q100a-geral'!AR434</f>
        <v>x</v>
      </c>
      <c r="AS894" s="8" t="str">
        <f>'Q100a-geral'!AS434</f>
        <v>x</v>
      </c>
      <c r="AT894" s="8" t="str">
        <f>'Q100a-geral'!AT434</f>
        <v>x</v>
      </c>
      <c r="AU894" s="8" t="str">
        <f>'Q100a-geral'!AU434</f>
        <v>x</v>
      </c>
      <c r="AV894" s="8" t="str">
        <f>'Q100a-geral'!AV434</f>
        <v>x</v>
      </c>
      <c r="AW894" s="8" t="str">
        <f>'Q100a-geral'!AW434</f>
        <v>x</v>
      </c>
      <c r="AX894" s="8" t="str">
        <f>'Q100a-geral'!AX434</f>
        <v>x</v>
      </c>
      <c r="AY894" s="8" t="str">
        <f>'Q100a-geral'!AY434</f>
        <v>x</v>
      </c>
      <c r="AZ894" s="8" t="str">
        <f>'Q100a-geral'!AZ434</f>
        <v>x</v>
      </c>
      <c r="BA894" s="8" t="str">
        <f>'Q100a-geral'!BA434</f>
        <v>x</v>
      </c>
      <c r="BB894" s="8" t="str">
        <f>'Q100a-geral'!BB434</f>
        <v>BRTacessibilidade</v>
      </c>
      <c r="BC894" s="8" t="str">
        <f>'Q100a-geral'!BC434</f>
        <v>BRTacessibilidadex</v>
      </c>
      <c r="BD894" s="8" t="str">
        <f>'Q100a-geral'!BD434</f>
        <v>BRTx</v>
      </c>
    </row>
    <row r="895" spans="1:56" ht="47.25" x14ac:dyDescent="0.25">
      <c r="A895" s="406" t="str">
        <f>'Q100a-geral'!A456</f>
        <v>8.2</v>
      </c>
      <c r="B895" s="468" t="str">
        <f>'Q100a-geral'!B456</f>
        <v>BRT</v>
      </c>
      <c r="C895" s="13" t="str">
        <f>'Q100a-geral'!C456</f>
        <v>acessibilidade</v>
      </c>
      <c r="D895" s="324" t="str">
        <f>'Q100a-geral'!D456</f>
        <v>BRT IC CMC (plataformas/ geral )</v>
      </c>
      <c r="E895" s="481" t="str">
        <f>'Q100a-geral'!E456</f>
        <v>Belo Horizonte</v>
      </c>
      <c r="F895" s="619" t="str">
        <f>'Q100a-geral'!F456</f>
        <v>índice de conformidade com a acessibilidade do elemento "geral das plataformas" do módulo de análise "elementos das plataformas" do corredor de BRT denominado "Cristiano Machado"
obs.1: calculado como a média dos BRT IC das estações inspecionadas</v>
      </c>
      <c r="G895" s="110" t="str">
        <f>'Q100a-geral'!G456</f>
        <v>registro na fonte</v>
      </c>
      <c r="H895" s="173" t="str">
        <f>'Q100a-geral'!H456</f>
        <v>x</v>
      </c>
      <c r="I895" s="57">
        <f>'Q100a-geral'!I456</f>
        <v>1</v>
      </c>
      <c r="J895" s="8" t="str">
        <f>'Q100a-geral'!J456</f>
        <v>x</v>
      </c>
      <c r="K895" s="8" t="str">
        <f>'Q100a-geral'!K456</f>
        <v>x</v>
      </c>
      <c r="L895" s="8" t="str">
        <f>'Q100a-geral'!L456</f>
        <v>x</v>
      </c>
      <c r="M895" s="8" t="str">
        <f>'Q100a-geral'!M456</f>
        <v>x</v>
      </c>
      <c r="N895" s="8" t="str">
        <f>'Q100a-geral'!N456</f>
        <v>x</v>
      </c>
      <c r="O895" s="8" t="str">
        <f>'Q100a-geral'!O456</f>
        <v>x</v>
      </c>
      <c r="P895" s="8" t="str">
        <f>'Q100a-geral'!P456</f>
        <v>x</v>
      </c>
      <c r="Q895" s="8" t="str">
        <f>'Q100a-geral'!Q456</f>
        <v>x</v>
      </c>
      <c r="R895" s="8" t="str">
        <f>'Q100a-geral'!R456</f>
        <v>x</v>
      </c>
      <c r="S895" s="8" t="str">
        <f>'Q100a-geral'!S456</f>
        <v>só para pesquisa</v>
      </c>
      <c r="T895" s="8" t="str">
        <f>'Q100a-geral'!T456</f>
        <v>x</v>
      </c>
      <c r="U895" s="8" t="str">
        <f>'Q100a-geral'!U456</f>
        <v>x</v>
      </c>
      <c r="V895" s="8" t="str">
        <f>'Q100a-geral'!V456</f>
        <v>só para pesquisa</v>
      </c>
      <c r="W895" s="8" t="str">
        <f>'Q100a-geral'!W456</f>
        <v>x</v>
      </c>
      <c r="X895" s="8" t="str">
        <f>'Q100a-geral'!X456</f>
        <v>x</v>
      </c>
      <c r="Y895" s="8" t="str">
        <f>'Q100a-geral'!Y456</f>
        <v>x</v>
      </c>
      <c r="Z895" s="8" t="str">
        <f>'Q100a-geral'!Z456</f>
        <v>x</v>
      </c>
      <c r="AA895" s="8" t="str">
        <f>'Q100a-geral'!AA456</f>
        <v>x</v>
      </c>
      <c r="AB895" s="8" t="str">
        <f>'Q100a-geral'!AB456</f>
        <v>x</v>
      </c>
      <c r="AC895" s="8" t="str">
        <f>'Q100a-geral'!AC456</f>
        <v>x</v>
      </c>
      <c r="AD895" s="8" t="str">
        <f>'Q100a-geral'!AD456</f>
        <v>x</v>
      </c>
      <c r="AE895" s="8" t="str">
        <f>'Q100a-geral'!AE456</f>
        <v>x</v>
      </c>
      <c r="AF895" s="8" t="str">
        <f>'Q100a-geral'!AF456</f>
        <v>x</v>
      </c>
      <c r="AG895" s="8" t="str">
        <f>'Q100a-geral'!AG456</f>
        <v>x</v>
      </c>
      <c r="AH895" s="8" t="str">
        <f>'Q100a-geral'!AH456</f>
        <v>x</v>
      </c>
      <c r="AI895" s="8" t="str">
        <f>'Q100a-geral'!AI456</f>
        <v>x</v>
      </c>
      <c r="AJ895" s="8" t="str">
        <f>'Q100a-geral'!AJ456</f>
        <v>x</v>
      </c>
      <c r="AK895" s="95">
        <f>'Q100a-geral'!AK456</f>
        <v>0.5</v>
      </c>
      <c r="AL895" s="8" t="str">
        <f>'Q100a-geral'!AL456</f>
        <v>x</v>
      </c>
      <c r="AM895" s="8" t="str">
        <f>'Q100a-geral'!AM456</f>
        <v>x</v>
      </c>
      <c r="AN895" s="8" t="str">
        <f>'Q100a-geral'!AN456</f>
        <v>x</v>
      </c>
      <c r="AO895" s="8" t="str">
        <f>'Q100a-geral'!AO456</f>
        <v>x</v>
      </c>
      <c r="AP895" s="8" t="str">
        <f>'Q100a-geral'!AP456</f>
        <v>x</v>
      </c>
      <c r="AQ895" s="8" t="str">
        <f>'Q100a-geral'!AQ456</f>
        <v>x</v>
      </c>
      <c r="AR895" s="8" t="str">
        <f>'Q100a-geral'!AR456</f>
        <v>x</v>
      </c>
      <c r="AS895" s="8" t="str">
        <f>'Q100a-geral'!AS456</f>
        <v>x</v>
      </c>
      <c r="AT895" s="8" t="str">
        <f>'Q100a-geral'!AT456</f>
        <v>x</v>
      </c>
      <c r="AU895" s="8" t="str">
        <f>'Q100a-geral'!AU456</f>
        <v>x</v>
      </c>
      <c r="AV895" s="8" t="str">
        <f>'Q100a-geral'!AV456</f>
        <v>x</v>
      </c>
      <c r="AW895" s="8" t="str">
        <f>'Q100a-geral'!AW456</f>
        <v>x</v>
      </c>
      <c r="AX895" s="8" t="str">
        <f>'Q100a-geral'!AX456</f>
        <v>x</v>
      </c>
      <c r="AY895" s="8" t="str">
        <f>'Q100a-geral'!AY456</f>
        <v>x</v>
      </c>
      <c r="AZ895" s="8" t="str">
        <f>'Q100a-geral'!AZ456</f>
        <v>x</v>
      </c>
      <c r="BA895" s="8" t="str">
        <f>'Q100a-geral'!BA456</f>
        <v>x</v>
      </c>
      <c r="BB895" s="8" t="str">
        <f>'Q100a-geral'!BB456</f>
        <v>BRTacessibilidade</v>
      </c>
      <c r="BC895" s="8" t="str">
        <f>'Q100a-geral'!BC456</f>
        <v>BRTacessibilidadex</v>
      </c>
      <c r="BD895" s="8" t="str">
        <f>'Q100a-geral'!BD456</f>
        <v>BRTx</v>
      </c>
    </row>
    <row r="896" spans="1:56" ht="38.25" x14ac:dyDescent="0.25">
      <c r="A896" s="406" t="str">
        <f>'Q100a-geral'!A415</f>
        <v>8.2</v>
      </c>
      <c r="B896" s="468" t="str">
        <f>'Q100a-geral'!B415</f>
        <v>BRT</v>
      </c>
      <c r="C896" s="13" t="str">
        <f>'Q100a-geral'!C415</f>
        <v>acessibilidade</v>
      </c>
      <c r="D896" s="324" t="str">
        <f>'Q100a-geral'!D415</f>
        <v>BRT IC AC (sinalização)</v>
      </c>
      <c r="E896" s="481" t="str">
        <f>'Q100a-geral'!E415</f>
        <v>Belo Horizonte</v>
      </c>
      <c r="F896" s="619" t="str">
        <f>'Q100a-geral'!F415</f>
        <v>índice de conformidade com a acessibilidade do elemento "sinalização" do módulo de análise "elementos das plataformas" do corredor de BRT denominado "Área Central"
obs.1: calculado como a média dos BRT IC das estações inspecionadas</v>
      </c>
      <c r="G896" s="110" t="str">
        <f>'Q100a-geral'!G415</f>
        <v>registro na fonte</v>
      </c>
      <c r="H896" s="173" t="str">
        <f>'Q100a-geral'!H415</f>
        <v>x</v>
      </c>
      <c r="I896" s="57">
        <f>'Q100a-geral'!I415</f>
        <v>1</v>
      </c>
      <c r="J896" s="8" t="str">
        <f>'Q100a-geral'!J415</f>
        <v>x</v>
      </c>
      <c r="K896" s="8" t="str">
        <f>'Q100a-geral'!K415</f>
        <v>x</v>
      </c>
      <c r="L896" s="8" t="str">
        <f>'Q100a-geral'!L415</f>
        <v>x</v>
      </c>
      <c r="M896" s="8" t="str">
        <f>'Q100a-geral'!M415</f>
        <v>x</v>
      </c>
      <c r="N896" s="8" t="str">
        <f>'Q100a-geral'!N415</f>
        <v>x</v>
      </c>
      <c r="O896" s="8" t="str">
        <f>'Q100a-geral'!O415</f>
        <v>x</v>
      </c>
      <c r="P896" s="8" t="str">
        <f>'Q100a-geral'!P415</f>
        <v>x</v>
      </c>
      <c r="Q896" s="8" t="str">
        <f>'Q100a-geral'!Q415</f>
        <v>x</v>
      </c>
      <c r="R896" s="8" t="str">
        <f>'Q100a-geral'!R415</f>
        <v>x</v>
      </c>
      <c r="S896" s="8" t="str">
        <f>'Q100a-geral'!S415</f>
        <v>só para pesquisa</v>
      </c>
      <c r="T896" s="8" t="str">
        <f>'Q100a-geral'!T415</f>
        <v>x</v>
      </c>
      <c r="U896" s="8" t="str">
        <f>'Q100a-geral'!U415</f>
        <v>x</v>
      </c>
      <c r="V896" s="8" t="str">
        <f>'Q100a-geral'!V415</f>
        <v>só para pesquisa</v>
      </c>
      <c r="W896" s="8" t="str">
        <f>'Q100a-geral'!W415</f>
        <v>x</v>
      </c>
      <c r="X896" s="8" t="str">
        <f>'Q100a-geral'!X415</f>
        <v>x</v>
      </c>
      <c r="Y896" s="8" t="str">
        <f>'Q100a-geral'!Y415</f>
        <v>x</v>
      </c>
      <c r="Z896" s="8" t="str">
        <f>'Q100a-geral'!Z415</f>
        <v>x</v>
      </c>
      <c r="AA896" s="8" t="str">
        <f>'Q100a-geral'!AA415</f>
        <v>x</v>
      </c>
      <c r="AB896" s="8" t="str">
        <f>'Q100a-geral'!AB415</f>
        <v>x</v>
      </c>
      <c r="AC896" s="8" t="str">
        <f>'Q100a-geral'!AC415</f>
        <v>x</v>
      </c>
      <c r="AD896" s="8" t="str">
        <f>'Q100a-geral'!AD415</f>
        <v>x</v>
      </c>
      <c r="AE896" s="8" t="str">
        <f>'Q100a-geral'!AE415</f>
        <v>x</v>
      </c>
      <c r="AF896" s="8" t="str">
        <f>'Q100a-geral'!AF415</f>
        <v>x</v>
      </c>
      <c r="AG896" s="8" t="str">
        <f>'Q100a-geral'!AG415</f>
        <v>x</v>
      </c>
      <c r="AH896" s="8" t="str">
        <f>'Q100a-geral'!AH415</f>
        <v>x</v>
      </c>
      <c r="AI896" s="8" t="str">
        <f>'Q100a-geral'!AI415</f>
        <v>x</v>
      </c>
      <c r="AJ896" s="8" t="str">
        <f>'Q100a-geral'!AJ415</f>
        <v>x</v>
      </c>
      <c r="AK896" s="95">
        <f>'Q100a-geral'!AK415</f>
        <v>0.36</v>
      </c>
      <c r="AL896" s="8" t="str">
        <f>'Q100a-geral'!AL415</f>
        <v>x</v>
      </c>
      <c r="AM896" s="8" t="str">
        <f>'Q100a-geral'!AM415</f>
        <v>x</v>
      </c>
      <c r="AN896" s="8" t="str">
        <f>'Q100a-geral'!AN415</f>
        <v>x</v>
      </c>
      <c r="AO896" s="8" t="str">
        <f>'Q100a-geral'!AO415</f>
        <v>x</v>
      </c>
      <c r="AP896" s="8" t="str">
        <f>'Q100a-geral'!AP415</f>
        <v>x</v>
      </c>
      <c r="AQ896" s="8" t="str">
        <f>'Q100a-geral'!AQ415</f>
        <v>x</v>
      </c>
      <c r="AR896" s="8" t="str">
        <f>'Q100a-geral'!AR415</f>
        <v>x</v>
      </c>
      <c r="AS896" s="8" t="str">
        <f>'Q100a-geral'!AS415</f>
        <v>x</v>
      </c>
      <c r="AT896" s="8" t="str">
        <f>'Q100a-geral'!AT415</f>
        <v>x</v>
      </c>
      <c r="AU896" s="8" t="str">
        <f>'Q100a-geral'!AU415</f>
        <v>x</v>
      </c>
      <c r="AV896" s="8" t="str">
        <f>'Q100a-geral'!AV415</f>
        <v>x</v>
      </c>
      <c r="AW896" s="8" t="str">
        <f>'Q100a-geral'!AW415</f>
        <v>x</v>
      </c>
      <c r="AX896" s="8" t="str">
        <f>'Q100a-geral'!AX415</f>
        <v>x</v>
      </c>
      <c r="AY896" s="8" t="str">
        <f>'Q100a-geral'!AY415</f>
        <v>x</v>
      </c>
      <c r="AZ896" s="8" t="str">
        <f>'Q100a-geral'!AZ415</f>
        <v>x</v>
      </c>
      <c r="BA896" s="8" t="str">
        <f>'Q100a-geral'!BA415</f>
        <v>x</v>
      </c>
      <c r="BB896" s="8" t="str">
        <f>'Q100a-geral'!BB415</f>
        <v>BRTacessibilidade</v>
      </c>
      <c r="BC896" s="8" t="str">
        <f>'Q100a-geral'!BC415</f>
        <v>BRTacessibilidadex</v>
      </c>
      <c r="BD896" s="8" t="str">
        <f>'Q100a-geral'!BD415</f>
        <v>BRTx</v>
      </c>
    </row>
    <row r="897" spans="1:56" ht="38.25" x14ac:dyDescent="0.25">
      <c r="A897" s="406" t="str">
        <f>'Q100a-geral'!A437</f>
        <v>8.2</v>
      </c>
      <c r="B897" s="468" t="str">
        <f>'Q100a-geral'!B437</f>
        <v>BRT</v>
      </c>
      <c r="C897" s="13" t="str">
        <f>'Q100a-geral'!C437</f>
        <v>acessibilidade</v>
      </c>
      <c r="D897" s="324" t="str">
        <f>'Q100a-geral'!D437</f>
        <v>BRT IC ATC (sinalização)</v>
      </c>
      <c r="E897" s="481" t="str">
        <f>'Q100a-geral'!E437</f>
        <v>Belo Horizonte</v>
      </c>
      <c r="F897" s="619" t="str">
        <f>'Q100a-geral'!F437</f>
        <v>índice de conformidade com a acessibilidade do elemento "sinalização" do módulo de análise "elementos das plataformas" do corredor de BRT denominado "Antônio Carlos"
obs.1: calculado como a média dos BRT IC das estações inspecionadas</v>
      </c>
      <c r="G897" s="110" t="str">
        <f>'Q100a-geral'!G437</f>
        <v>registro na fonte</v>
      </c>
      <c r="H897" s="173" t="str">
        <f>'Q100a-geral'!H437</f>
        <v>x</v>
      </c>
      <c r="I897" s="57">
        <f>'Q100a-geral'!I437</f>
        <v>1</v>
      </c>
      <c r="J897" s="8" t="str">
        <f>'Q100a-geral'!J437</f>
        <v>x</v>
      </c>
      <c r="K897" s="8" t="str">
        <f>'Q100a-geral'!K437</f>
        <v>x</v>
      </c>
      <c r="L897" s="8" t="str">
        <f>'Q100a-geral'!L437</f>
        <v>x</v>
      </c>
      <c r="M897" s="8" t="str">
        <f>'Q100a-geral'!M437</f>
        <v>x</v>
      </c>
      <c r="N897" s="8" t="str">
        <f>'Q100a-geral'!N437</f>
        <v>x</v>
      </c>
      <c r="O897" s="8" t="str">
        <f>'Q100a-geral'!O437</f>
        <v>x</v>
      </c>
      <c r="P897" s="8" t="str">
        <f>'Q100a-geral'!P437</f>
        <v>x</v>
      </c>
      <c r="Q897" s="8" t="str">
        <f>'Q100a-geral'!Q437</f>
        <v>x</v>
      </c>
      <c r="R897" s="8" t="str">
        <f>'Q100a-geral'!R437</f>
        <v>x</v>
      </c>
      <c r="S897" s="8" t="str">
        <f>'Q100a-geral'!S437</f>
        <v>só para pesquisa</v>
      </c>
      <c r="T897" s="8" t="str">
        <f>'Q100a-geral'!T437</f>
        <v>x</v>
      </c>
      <c r="U897" s="8" t="str">
        <f>'Q100a-geral'!U437</f>
        <v>x</v>
      </c>
      <c r="V897" s="8" t="str">
        <f>'Q100a-geral'!V437</f>
        <v>só para pesquisa</v>
      </c>
      <c r="W897" s="8" t="str">
        <f>'Q100a-geral'!W437</f>
        <v>x</v>
      </c>
      <c r="X897" s="8" t="str">
        <f>'Q100a-geral'!X437</f>
        <v>x</v>
      </c>
      <c r="Y897" s="8" t="str">
        <f>'Q100a-geral'!Y437</f>
        <v>x</v>
      </c>
      <c r="Z897" s="8" t="str">
        <f>'Q100a-geral'!Z437</f>
        <v>x</v>
      </c>
      <c r="AA897" s="8" t="str">
        <f>'Q100a-geral'!AA437</f>
        <v>x</v>
      </c>
      <c r="AB897" s="8" t="str">
        <f>'Q100a-geral'!AB437</f>
        <v>x</v>
      </c>
      <c r="AC897" s="8" t="str">
        <f>'Q100a-geral'!AC437</f>
        <v>x</v>
      </c>
      <c r="AD897" s="8" t="str">
        <f>'Q100a-geral'!AD437</f>
        <v>x</v>
      </c>
      <c r="AE897" s="8" t="str">
        <f>'Q100a-geral'!AE437</f>
        <v>x</v>
      </c>
      <c r="AF897" s="8" t="str">
        <f>'Q100a-geral'!AF437</f>
        <v>x</v>
      </c>
      <c r="AG897" s="8" t="str">
        <f>'Q100a-geral'!AG437</f>
        <v>x</v>
      </c>
      <c r="AH897" s="8" t="str">
        <f>'Q100a-geral'!AH437</f>
        <v>x</v>
      </c>
      <c r="AI897" s="8" t="str">
        <f>'Q100a-geral'!AI437</f>
        <v>x</v>
      </c>
      <c r="AJ897" s="8" t="str">
        <f>'Q100a-geral'!AJ437</f>
        <v>x</v>
      </c>
      <c r="AK897" s="95">
        <f>'Q100a-geral'!AK437</f>
        <v>0.52</v>
      </c>
      <c r="AL897" s="8" t="str">
        <f>'Q100a-geral'!AL437</f>
        <v>x</v>
      </c>
      <c r="AM897" s="8" t="str">
        <f>'Q100a-geral'!AM437</f>
        <v>x</v>
      </c>
      <c r="AN897" s="8" t="str">
        <f>'Q100a-geral'!AN437</f>
        <v>x</v>
      </c>
      <c r="AO897" s="8" t="str">
        <f>'Q100a-geral'!AO437</f>
        <v>x</v>
      </c>
      <c r="AP897" s="8" t="str">
        <f>'Q100a-geral'!AP437</f>
        <v>x</v>
      </c>
      <c r="AQ897" s="8" t="str">
        <f>'Q100a-geral'!AQ437</f>
        <v>x</v>
      </c>
      <c r="AR897" s="8" t="str">
        <f>'Q100a-geral'!AR437</f>
        <v>x</v>
      </c>
      <c r="AS897" s="8" t="str">
        <f>'Q100a-geral'!AS437</f>
        <v>x</v>
      </c>
      <c r="AT897" s="8" t="str">
        <f>'Q100a-geral'!AT437</f>
        <v>x</v>
      </c>
      <c r="AU897" s="8" t="str">
        <f>'Q100a-geral'!AU437</f>
        <v>x</v>
      </c>
      <c r="AV897" s="8" t="str">
        <f>'Q100a-geral'!AV437</f>
        <v>x</v>
      </c>
      <c r="AW897" s="8" t="str">
        <f>'Q100a-geral'!AW437</f>
        <v>x</v>
      </c>
      <c r="AX897" s="8" t="str">
        <f>'Q100a-geral'!AX437</f>
        <v>x</v>
      </c>
      <c r="AY897" s="8" t="str">
        <f>'Q100a-geral'!AY437</f>
        <v>x</v>
      </c>
      <c r="AZ897" s="8" t="str">
        <f>'Q100a-geral'!AZ437</f>
        <v>x</v>
      </c>
      <c r="BA897" s="8" t="str">
        <f>'Q100a-geral'!BA437</f>
        <v>x</v>
      </c>
      <c r="BB897" s="8" t="str">
        <f>'Q100a-geral'!BB437</f>
        <v>BRTacessibilidade</v>
      </c>
      <c r="BC897" s="8" t="str">
        <f>'Q100a-geral'!BC437</f>
        <v>BRTacessibilidadex</v>
      </c>
      <c r="BD897" s="8" t="str">
        <f>'Q100a-geral'!BD437</f>
        <v>BRTx</v>
      </c>
    </row>
    <row r="898" spans="1:56" ht="38.25" x14ac:dyDescent="0.25">
      <c r="A898" s="406" t="str">
        <f>'Q100a-geral'!A459</f>
        <v>8.2</v>
      </c>
      <c r="B898" s="468" t="str">
        <f>'Q100a-geral'!B459</f>
        <v>BRT</v>
      </c>
      <c r="C898" s="13" t="str">
        <f>'Q100a-geral'!C459</f>
        <v>acessibilidade</v>
      </c>
      <c r="D898" s="324" t="str">
        <f>'Q100a-geral'!D459</f>
        <v>BRT IC CMC (sinalização)</v>
      </c>
      <c r="E898" s="481" t="str">
        <f>'Q100a-geral'!E459</f>
        <v>Belo Horizonte</v>
      </c>
      <c r="F898" s="619" t="str">
        <f>'Q100a-geral'!F459</f>
        <v>índice de conformidade com a acessibilidade do elemento "sinalização" do módulo de análise "elementos das plataformas" do corredor de BRT denominado "Cristiano Machado"
obs.1: calculado como a média dos BRT IC das estações inspecionadas</v>
      </c>
      <c r="G898" s="110" t="str">
        <f>'Q100a-geral'!G459</f>
        <v>registro na fonte</v>
      </c>
      <c r="H898" s="173" t="str">
        <f>'Q100a-geral'!H459</f>
        <v>x</v>
      </c>
      <c r="I898" s="57">
        <f>'Q100a-geral'!I459</f>
        <v>1</v>
      </c>
      <c r="J898" s="8" t="str">
        <f>'Q100a-geral'!J459</f>
        <v>x</v>
      </c>
      <c r="K898" s="8" t="str">
        <f>'Q100a-geral'!K459</f>
        <v>x</v>
      </c>
      <c r="L898" s="8" t="str">
        <f>'Q100a-geral'!L459</f>
        <v>x</v>
      </c>
      <c r="M898" s="8" t="str">
        <f>'Q100a-geral'!M459</f>
        <v>x</v>
      </c>
      <c r="N898" s="8" t="str">
        <f>'Q100a-geral'!N459</f>
        <v>x</v>
      </c>
      <c r="O898" s="8" t="str">
        <f>'Q100a-geral'!O459</f>
        <v>x</v>
      </c>
      <c r="P898" s="8" t="str">
        <f>'Q100a-geral'!P459</f>
        <v>x</v>
      </c>
      <c r="Q898" s="8" t="str">
        <f>'Q100a-geral'!Q459</f>
        <v>x</v>
      </c>
      <c r="R898" s="8" t="str">
        <f>'Q100a-geral'!R459</f>
        <v>x</v>
      </c>
      <c r="S898" s="8" t="str">
        <f>'Q100a-geral'!S459</f>
        <v>só para pesquisa</v>
      </c>
      <c r="T898" s="8" t="str">
        <f>'Q100a-geral'!T459</f>
        <v>x</v>
      </c>
      <c r="U898" s="8" t="str">
        <f>'Q100a-geral'!U459</f>
        <v>x</v>
      </c>
      <c r="V898" s="8" t="str">
        <f>'Q100a-geral'!V459</f>
        <v>só para pesquisa</v>
      </c>
      <c r="W898" s="8" t="str">
        <f>'Q100a-geral'!W459</f>
        <v>x</v>
      </c>
      <c r="X898" s="8" t="str">
        <f>'Q100a-geral'!X459</f>
        <v>x</v>
      </c>
      <c r="Y898" s="8" t="str">
        <f>'Q100a-geral'!Y459</f>
        <v>x</v>
      </c>
      <c r="Z898" s="8" t="str">
        <f>'Q100a-geral'!Z459</f>
        <v>x</v>
      </c>
      <c r="AA898" s="8" t="str">
        <f>'Q100a-geral'!AA459</f>
        <v>x</v>
      </c>
      <c r="AB898" s="8" t="str">
        <f>'Q100a-geral'!AB459</f>
        <v>x</v>
      </c>
      <c r="AC898" s="8" t="str">
        <f>'Q100a-geral'!AC459</f>
        <v>x</v>
      </c>
      <c r="AD898" s="8" t="str">
        <f>'Q100a-geral'!AD459</f>
        <v>x</v>
      </c>
      <c r="AE898" s="8" t="str">
        <f>'Q100a-geral'!AE459</f>
        <v>x</v>
      </c>
      <c r="AF898" s="8" t="str">
        <f>'Q100a-geral'!AF459</f>
        <v>x</v>
      </c>
      <c r="AG898" s="8" t="str">
        <f>'Q100a-geral'!AG459</f>
        <v>x</v>
      </c>
      <c r="AH898" s="8" t="str">
        <f>'Q100a-geral'!AH459</f>
        <v>x</v>
      </c>
      <c r="AI898" s="8" t="str">
        <f>'Q100a-geral'!AI459</f>
        <v>x</v>
      </c>
      <c r="AJ898" s="8" t="str">
        <f>'Q100a-geral'!AJ459</f>
        <v>x</v>
      </c>
      <c r="AK898" s="95">
        <f>'Q100a-geral'!AK459</f>
        <v>0.53</v>
      </c>
      <c r="AL898" s="8" t="str">
        <f>'Q100a-geral'!AL459</f>
        <v>x</v>
      </c>
      <c r="AM898" s="8" t="str">
        <f>'Q100a-geral'!AM459</f>
        <v>x</v>
      </c>
      <c r="AN898" s="8" t="str">
        <f>'Q100a-geral'!AN459</f>
        <v>x</v>
      </c>
      <c r="AO898" s="8" t="str">
        <f>'Q100a-geral'!AO459</f>
        <v>x</v>
      </c>
      <c r="AP898" s="8" t="str">
        <f>'Q100a-geral'!AP459</f>
        <v>x</v>
      </c>
      <c r="AQ898" s="8" t="str">
        <f>'Q100a-geral'!AQ459</f>
        <v>x</v>
      </c>
      <c r="AR898" s="8" t="str">
        <f>'Q100a-geral'!AR459</f>
        <v>x</v>
      </c>
      <c r="AS898" s="8" t="str">
        <f>'Q100a-geral'!AS459</f>
        <v>x</v>
      </c>
      <c r="AT898" s="8" t="str">
        <f>'Q100a-geral'!AT459</f>
        <v>x</v>
      </c>
      <c r="AU898" s="8" t="str">
        <f>'Q100a-geral'!AU459</f>
        <v>x</v>
      </c>
      <c r="AV898" s="8" t="str">
        <f>'Q100a-geral'!AV459</f>
        <v>x</v>
      </c>
      <c r="AW898" s="8" t="str">
        <f>'Q100a-geral'!AW459</f>
        <v>x</v>
      </c>
      <c r="AX898" s="8" t="str">
        <f>'Q100a-geral'!AX459</f>
        <v>x</v>
      </c>
      <c r="AY898" s="8" t="str">
        <f>'Q100a-geral'!AY459</f>
        <v>x</v>
      </c>
      <c r="AZ898" s="8" t="str">
        <f>'Q100a-geral'!AZ459</f>
        <v>x</v>
      </c>
      <c r="BA898" s="8" t="str">
        <f>'Q100a-geral'!BA459</f>
        <v>x</v>
      </c>
      <c r="BB898" s="8" t="str">
        <f>'Q100a-geral'!BB459</f>
        <v>BRTacessibilidade</v>
      </c>
      <c r="BC898" s="8" t="str">
        <f>'Q100a-geral'!BC459</f>
        <v>BRTacessibilidadex</v>
      </c>
      <c r="BD898" s="8" t="str">
        <f>'Q100a-geral'!BD459</f>
        <v>BRTx</v>
      </c>
    </row>
  </sheetData>
  <autoFilter ref="A3:I794"/>
  <sortState ref="D468:AM477">
    <sortCondition ref="AH468:AH477"/>
  </sortState>
  <mergeCells count="6">
    <mergeCell ref="B794:I794"/>
    <mergeCell ref="A1:I1"/>
    <mergeCell ref="A2:I2"/>
    <mergeCell ref="BG348:BG350"/>
    <mergeCell ref="BG372:BG377"/>
    <mergeCell ref="BB3:BD3"/>
  </mergeCells>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1"/>
  <sheetViews>
    <sheetView zoomScaleNormal="100" workbookViewId="0">
      <selection activeCell="E266" sqref="E266"/>
    </sheetView>
  </sheetViews>
  <sheetFormatPr defaultRowHeight="15" x14ac:dyDescent="0.25"/>
  <cols>
    <col min="1" max="1" width="33" customWidth="1"/>
    <col min="2" max="2" width="15.5703125" customWidth="1"/>
    <col min="3" max="3" width="30.42578125" style="1050" customWidth="1"/>
    <col min="4" max="4" width="17.28515625" style="1050" customWidth="1"/>
    <col min="5" max="5" width="15.7109375" customWidth="1"/>
    <col min="6" max="6" width="20" customWidth="1"/>
    <col min="7" max="7" width="16" customWidth="1"/>
    <col min="8" max="8" width="16.5703125" customWidth="1"/>
  </cols>
  <sheetData>
    <row r="1" spans="1:11" ht="18.75" x14ac:dyDescent="0.25">
      <c r="A1" s="1602" t="s">
        <v>0</v>
      </c>
      <c r="B1" s="1602"/>
      <c r="C1" s="1602"/>
      <c r="D1" s="1602"/>
      <c r="E1" s="1602"/>
      <c r="F1" s="1602"/>
      <c r="G1" s="1602"/>
      <c r="H1" s="1602"/>
      <c r="I1" s="1602"/>
      <c r="J1" s="80"/>
      <c r="K1" s="80"/>
    </row>
    <row r="2" spans="1:11" ht="15.75" customHeight="1" x14ac:dyDescent="0.25">
      <c r="A2" s="1606" t="s">
        <v>3793</v>
      </c>
      <c r="B2" s="1606"/>
      <c r="C2" s="1606"/>
      <c r="D2" s="1606"/>
      <c r="E2" s="1606"/>
      <c r="F2" s="1606"/>
      <c r="G2" s="1606"/>
      <c r="H2" s="1606"/>
      <c r="I2" s="1606"/>
      <c r="J2" s="1019"/>
      <c r="K2" s="1019"/>
    </row>
    <row r="3" spans="1:11" ht="30.75" customHeight="1" thickBot="1" x14ac:dyDescent="0.3">
      <c r="A3" s="1037" t="s">
        <v>3371</v>
      </c>
      <c r="B3" s="1037" t="s">
        <v>3364</v>
      </c>
      <c r="F3" s="1075" t="str">
        <f t="shared" ref="F3:F32" si="0">A3</f>
        <v>cidade/região/AM</v>
      </c>
    </row>
    <row r="4" spans="1:11" x14ac:dyDescent="0.25">
      <c r="A4" s="1025" t="s">
        <v>3363</v>
      </c>
      <c r="B4" s="1026" t="s">
        <v>3366</v>
      </c>
      <c r="F4" s="1025" t="str">
        <f t="shared" si="0"/>
        <v>Arona (Espanha)</v>
      </c>
      <c r="G4" s="1025" t="str">
        <f t="shared" ref="G4:G42" si="1">A4</f>
        <v>Arona (Espanha)</v>
      </c>
      <c r="H4" s="1095" t="e">
        <f>#REF!/1000000</f>
        <v>#REF!</v>
      </c>
    </row>
    <row r="5" spans="1:11" x14ac:dyDescent="0.25">
      <c r="A5" s="1084" t="s">
        <v>3443</v>
      </c>
      <c r="B5" s="1021" t="s">
        <v>3367</v>
      </c>
      <c r="F5" s="1069" t="str">
        <f t="shared" si="0"/>
        <v>Amsterdan (Holanda)</v>
      </c>
      <c r="G5" s="1115" t="str">
        <f t="shared" si="1"/>
        <v>Amsterdan (Holanda)</v>
      </c>
      <c r="H5" s="1119">
        <f>C246/1000000</f>
        <v>0</v>
      </c>
    </row>
    <row r="6" spans="1:11" x14ac:dyDescent="0.25">
      <c r="A6" s="1084" t="s">
        <v>3335</v>
      </c>
      <c r="B6" s="1021" t="s">
        <v>3366</v>
      </c>
      <c r="F6" s="1028" t="str">
        <f t="shared" si="0"/>
        <v>Ávila (Espanha)</v>
      </c>
      <c r="G6" s="1084" t="str">
        <f t="shared" si="1"/>
        <v>Ávila (Espanha)</v>
      </c>
      <c r="H6" s="1095" t="e">
        <f>#REF!/1000000</f>
        <v>#REF!</v>
      </c>
    </row>
    <row r="7" spans="1:11" x14ac:dyDescent="0.25">
      <c r="A7" s="1084" t="s">
        <v>3336</v>
      </c>
      <c r="B7" s="1021" t="s">
        <v>3366</v>
      </c>
      <c r="F7" s="1069" t="str">
        <f t="shared" si="0"/>
        <v>Barcelona (Espanha)</v>
      </c>
      <c r="G7" s="1115" t="str">
        <f t="shared" si="1"/>
        <v>Barcelona (Espanha)</v>
      </c>
      <c r="H7" s="1119">
        <f>C247/1000000</f>
        <v>0</v>
      </c>
    </row>
    <row r="8" spans="1:11" x14ac:dyDescent="0.25">
      <c r="A8" s="1028" t="s">
        <v>3356</v>
      </c>
      <c r="B8" s="1021" t="s">
        <v>3366</v>
      </c>
      <c r="F8" s="1028" t="str">
        <f t="shared" si="0"/>
        <v>Belfast (Irlanda do Norte)</v>
      </c>
      <c r="G8" s="1028" t="str">
        <f t="shared" si="1"/>
        <v>Belfast (Irlanda do Norte)</v>
      </c>
      <c r="H8" s="1095" t="e">
        <f>#REF!/1000000</f>
        <v>#REF!</v>
      </c>
    </row>
    <row r="9" spans="1:11" x14ac:dyDescent="0.25">
      <c r="A9" s="1028" t="s">
        <v>3347</v>
      </c>
      <c r="B9" s="1021" t="s">
        <v>3366</v>
      </c>
      <c r="F9" s="1028" t="str">
        <f t="shared" si="0"/>
        <v>Berlim (Alemanha)</v>
      </c>
      <c r="G9" s="1028" t="str">
        <f t="shared" si="1"/>
        <v>Berlim (Alemanha)</v>
      </c>
      <c r="H9" s="1095" t="e">
        <f>#REF!/1000000</f>
        <v>#REF!</v>
      </c>
    </row>
    <row r="10" spans="1:11" x14ac:dyDescent="0.25">
      <c r="A10" s="1028" t="s">
        <v>3352</v>
      </c>
      <c r="B10" s="1021" t="s">
        <v>3366</v>
      </c>
      <c r="F10" s="1028" t="str">
        <f t="shared" si="0"/>
        <v>Bilbao (Espanha)</v>
      </c>
      <c r="G10" s="1028" t="str">
        <f t="shared" si="1"/>
        <v>Bilbao (Espanha)</v>
      </c>
      <c r="H10" s="1095" t="e">
        <f>#REF!/1000000</f>
        <v>#REF!</v>
      </c>
    </row>
    <row r="11" spans="1:11" x14ac:dyDescent="0.25">
      <c r="A11" s="1028" t="s">
        <v>1772</v>
      </c>
      <c r="B11" s="1021" t="s">
        <v>3367</v>
      </c>
      <c r="F11" s="1028" t="str">
        <f t="shared" si="0"/>
        <v>Bogotá</v>
      </c>
      <c r="G11" s="1028" t="str">
        <f t="shared" si="1"/>
        <v>Bogotá</v>
      </c>
      <c r="H11" s="1095" t="e">
        <f>#REF!/1000000</f>
        <v>#REF!</v>
      </c>
    </row>
    <row r="12" spans="1:11" x14ac:dyDescent="0.25">
      <c r="A12" s="1092" t="s">
        <v>2785</v>
      </c>
      <c r="B12" s="1077" t="s">
        <v>2805</v>
      </c>
      <c r="F12" s="1036" t="str">
        <f t="shared" si="0"/>
        <v>AM Bogotá</v>
      </c>
      <c r="G12" s="1036" t="str">
        <f t="shared" si="1"/>
        <v>AM Bogotá</v>
      </c>
      <c r="H12" s="1095" t="e">
        <f>#REF!/1000000</f>
        <v>#REF!</v>
      </c>
    </row>
    <row r="13" spans="1:11" x14ac:dyDescent="0.25">
      <c r="A13" s="1028" t="s">
        <v>3359</v>
      </c>
      <c r="B13" s="1021" t="s">
        <v>3366</v>
      </c>
      <c r="F13" s="1028" t="str">
        <f t="shared" si="0"/>
        <v>Borås (Suécia)</v>
      </c>
      <c r="G13" s="1028" t="str">
        <f t="shared" si="1"/>
        <v>Borås (Suécia)</v>
      </c>
      <c r="H13" s="1095" t="e">
        <f>#REF!/1000000</f>
        <v>#REF!</v>
      </c>
    </row>
    <row r="14" spans="1:11" x14ac:dyDescent="0.25">
      <c r="A14" s="1084" t="s">
        <v>3444</v>
      </c>
      <c r="B14" s="1021" t="s">
        <v>3367</v>
      </c>
      <c r="F14" s="1069" t="str">
        <f t="shared" si="0"/>
        <v>Bruxelas (Bélgica)</v>
      </c>
      <c r="G14" s="1115" t="str">
        <f t="shared" si="1"/>
        <v>Bruxelas (Bélgica)</v>
      </c>
      <c r="H14" s="1119">
        <f>C248/1000000</f>
        <v>1.1100000000000001</v>
      </c>
    </row>
    <row r="15" spans="1:11" x14ac:dyDescent="0.25">
      <c r="A15" s="1084" t="s">
        <v>3362</v>
      </c>
      <c r="B15" s="1021" t="s">
        <v>3366</v>
      </c>
      <c r="F15" s="1069" t="str">
        <f t="shared" si="0"/>
        <v>Budapeste (Hungria)</v>
      </c>
      <c r="G15" s="1115" t="str">
        <f t="shared" si="1"/>
        <v>Budapeste (Hungria)</v>
      </c>
      <c r="H15" s="1119">
        <f>C249/1000000</f>
        <v>1.22</v>
      </c>
    </row>
    <row r="16" spans="1:11" x14ac:dyDescent="0.25">
      <c r="A16" s="1084" t="s">
        <v>3425</v>
      </c>
      <c r="B16" s="1021" t="s">
        <v>3366</v>
      </c>
      <c r="F16" s="1028" t="str">
        <f t="shared" si="0"/>
        <v>Burgos (Espanha)</v>
      </c>
      <c r="G16" s="1084" t="str">
        <f t="shared" si="1"/>
        <v>Burgos (Espanha)</v>
      </c>
      <c r="H16" s="1095" t="e">
        <f>#REF!/1000000</f>
        <v>#REF!</v>
      </c>
    </row>
    <row r="17" spans="1:8" x14ac:dyDescent="0.25">
      <c r="A17" s="1084" t="s">
        <v>3337</v>
      </c>
      <c r="B17" s="1021" t="s">
        <v>3366</v>
      </c>
      <c r="F17" s="1028" t="str">
        <f t="shared" si="0"/>
        <v>Colônia (Alemanha)</v>
      </c>
      <c r="G17" s="1084" t="str">
        <f t="shared" si="1"/>
        <v>Colônia (Alemanha)</v>
      </c>
      <c r="H17" s="1095" t="e">
        <f>#REF!/1000000</f>
        <v>#REF!</v>
      </c>
    </row>
    <row r="18" spans="1:8" x14ac:dyDescent="0.25">
      <c r="A18" s="1084" t="s">
        <v>3340</v>
      </c>
      <c r="B18" s="1021" t="s">
        <v>3366</v>
      </c>
      <c r="F18" s="1028" t="str">
        <f t="shared" si="0"/>
        <v>Cracóvia (Polônia)</v>
      </c>
      <c r="G18" s="1084" t="str">
        <f t="shared" si="1"/>
        <v>Cracóvia (Polônia)</v>
      </c>
      <c r="H18" s="1095" t="e">
        <f>#REF!/1000000</f>
        <v>#REF!</v>
      </c>
    </row>
    <row r="19" spans="1:8" x14ac:dyDescent="0.25">
      <c r="A19" s="1084" t="s">
        <v>3357</v>
      </c>
      <c r="B19" s="1021" t="s">
        <v>3366</v>
      </c>
      <c r="F19" s="1028" t="str">
        <f t="shared" si="0"/>
        <v>Dresden (Alemanha)</v>
      </c>
      <c r="G19" s="1084" t="str">
        <f t="shared" si="1"/>
        <v>Dresden (Alemanha)</v>
      </c>
      <c r="H19" s="1095" t="e">
        <f>#REF!/1000000</f>
        <v>#REF!</v>
      </c>
    </row>
    <row r="20" spans="1:8" x14ac:dyDescent="0.25">
      <c r="A20" s="1084" t="s">
        <v>3349</v>
      </c>
      <c r="B20" s="1021" t="s">
        <v>3366</v>
      </c>
      <c r="F20" s="1069" t="str">
        <f t="shared" si="0"/>
        <v>Estocolmo (Suécia)</v>
      </c>
      <c r="G20" s="1115" t="str">
        <f t="shared" si="1"/>
        <v>Estocolmo (Suécia)</v>
      </c>
      <c r="H20" s="1119">
        <f>C250/1000000</f>
        <v>1.51</v>
      </c>
    </row>
    <row r="21" spans="1:8" x14ac:dyDescent="0.25">
      <c r="A21" s="1028" t="s">
        <v>3351</v>
      </c>
      <c r="B21" s="1021" t="s">
        <v>3366</v>
      </c>
      <c r="F21" s="1028" t="str">
        <f t="shared" si="0"/>
        <v>Gdynia (Polônia)</v>
      </c>
      <c r="G21" s="1028" t="str">
        <f t="shared" si="1"/>
        <v>Gdynia (Polônia)</v>
      </c>
      <c r="H21" s="1095" t="e">
        <f>#REF!/1000000</f>
        <v>#REF!</v>
      </c>
    </row>
    <row r="22" spans="1:8" x14ac:dyDescent="0.25">
      <c r="A22" s="1028" t="s">
        <v>3354</v>
      </c>
      <c r="B22" s="1021" t="s">
        <v>3366</v>
      </c>
      <c r="F22" s="1028" t="str">
        <f t="shared" si="0"/>
        <v>Gotemburgo (Suécia)</v>
      </c>
      <c r="G22" s="1028" t="str">
        <f t="shared" si="1"/>
        <v>Gotemburgo (Suécia)</v>
      </c>
      <c r="H22" s="1095" t="e">
        <f>#REF!/1000000</f>
        <v>#REF!</v>
      </c>
    </row>
    <row r="23" spans="1:8" x14ac:dyDescent="0.25">
      <c r="A23" s="1028" t="s">
        <v>3346</v>
      </c>
      <c r="B23" s="1021" t="s">
        <v>3366</v>
      </c>
      <c r="F23" s="1028" t="str">
        <f t="shared" si="0"/>
        <v>Grenoble (França)</v>
      </c>
      <c r="G23" s="1028" t="str">
        <f t="shared" si="1"/>
        <v>Grenoble (França)</v>
      </c>
      <c r="H23" s="1095" t="e">
        <f>#REF!/1000000</f>
        <v>#REF!</v>
      </c>
    </row>
    <row r="24" spans="1:8" x14ac:dyDescent="0.25">
      <c r="A24" s="1084" t="s">
        <v>3360</v>
      </c>
      <c r="B24" s="1021" t="s">
        <v>3366</v>
      </c>
      <c r="F24" s="1069" t="str">
        <f t="shared" si="0"/>
        <v>Helsinque (Finlândia)</v>
      </c>
      <c r="G24" s="1115" t="str">
        <f t="shared" si="1"/>
        <v>Helsinque (Finlândia)</v>
      </c>
      <c r="H24" s="1119">
        <f>C251/1000000</f>
        <v>1.635</v>
      </c>
    </row>
    <row r="25" spans="1:8" x14ac:dyDescent="0.25">
      <c r="A25" s="1084" t="s">
        <v>3344</v>
      </c>
      <c r="B25" s="1021" t="s">
        <v>3366</v>
      </c>
      <c r="F25" s="1028" t="str">
        <f t="shared" si="0"/>
        <v>Liubliana (Eslovênia)</v>
      </c>
      <c r="G25" s="1084" t="str">
        <f t="shared" si="1"/>
        <v>Liubliana (Eslovênia)</v>
      </c>
      <c r="H25" s="1095" t="e">
        <f>#REF!/1000000</f>
        <v>#REF!</v>
      </c>
    </row>
    <row r="26" spans="1:8" x14ac:dyDescent="0.25">
      <c r="A26" s="1084" t="s">
        <v>3361</v>
      </c>
      <c r="B26" s="1021" t="s">
        <v>3366</v>
      </c>
      <c r="F26" s="1028" t="str">
        <f t="shared" si="0"/>
        <v>Logroño (Espanha)</v>
      </c>
      <c r="G26" s="1084" t="str">
        <f t="shared" si="1"/>
        <v>Logroño (Espanha)</v>
      </c>
      <c r="H26" s="1095" t="e">
        <f>#REF!/1000000</f>
        <v>#REF!</v>
      </c>
    </row>
    <row r="27" spans="1:8" x14ac:dyDescent="0.25">
      <c r="A27" s="1084" t="s">
        <v>3445</v>
      </c>
      <c r="B27" s="1021" t="s">
        <v>3367</v>
      </c>
      <c r="F27" s="1069" t="str">
        <f t="shared" si="0"/>
        <v>Londres (Inglaterra)</v>
      </c>
      <c r="G27" s="1115" t="str">
        <f t="shared" si="1"/>
        <v>Londres (Inglaterra)</v>
      </c>
      <c r="H27" s="1119">
        <f>C252/1000000</f>
        <v>0</v>
      </c>
    </row>
    <row r="28" spans="1:8" x14ac:dyDescent="0.25">
      <c r="A28" s="1084" t="s">
        <v>3446</v>
      </c>
      <c r="B28" s="1021" t="s">
        <v>3367</v>
      </c>
      <c r="F28" s="1069" t="str">
        <f t="shared" si="0"/>
        <v>Madri (Espanha)</v>
      </c>
      <c r="G28" s="1115" t="str">
        <f t="shared" si="1"/>
        <v>Madri (Espanha)</v>
      </c>
      <c r="H28" s="1119">
        <f>C253/1000000</f>
        <v>1.7749999999999999</v>
      </c>
    </row>
    <row r="29" spans="1:8" x14ac:dyDescent="0.25">
      <c r="A29" s="1028" t="s">
        <v>3358</v>
      </c>
      <c r="B29" s="1021" t="s">
        <v>3366</v>
      </c>
      <c r="F29" s="1028" t="str">
        <f t="shared" si="0"/>
        <v>Málaga (Espanha)</v>
      </c>
      <c r="G29" s="1028" t="str">
        <f t="shared" si="1"/>
        <v>Málaga (Espanha)</v>
      </c>
      <c r="H29" s="1095" t="e">
        <f>#REF!/1000000</f>
        <v>#REF!</v>
      </c>
    </row>
    <row r="30" spans="1:8" x14ac:dyDescent="0.25">
      <c r="A30" s="1028" t="s">
        <v>3341</v>
      </c>
      <c r="B30" s="1021" t="s">
        <v>3366</v>
      </c>
      <c r="F30" s="1028" t="str">
        <f t="shared" si="0"/>
        <v>Marburg (Alemanha)</v>
      </c>
      <c r="G30" s="1028" t="str">
        <f t="shared" si="1"/>
        <v>Marburg (Alemanha)</v>
      </c>
      <c r="H30" s="1095" t="e">
        <f>#REF!/1000000</f>
        <v>#REF!</v>
      </c>
    </row>
    <row r="31" spans="1:8" x14ac:dyDescent="0.25">
      <c r="A31" s="1028" t="s">
        <v>3348</v>
      </c>
      <c r="B31" s="1021" t="s">
        <v>3366</v>
      </c>
      <c r="F31" s="1028" t="str">
        <f t="shared" si="0"/>
        <v>Nantes (França)</v>
      </c>
      <c r="G31" s="1028" t="str">
        <f t="shared" si="1"/>
        <v>Nantes (França)</v>
      </c>
      <c r="H31" s="1095" t="e">
        <f>#REF!/1000000</f>
        <v>#REF!</v>
      </c>
    </row>
    <row r="32" spans="1:8" x14ac:dyDescent="0.25">
      <c r="A32" s="1028" t="s">
        <v>3345</v>
      </c>
      <c r="B32" s="1021" t="s">
        <v>3366</v>
      </c>
      <c r="F32" s="1028" t="str">
        <f t="shared" si="0"/>
        <v>Olomouc (República Tcheca)</v>
      </c>
      <c r="G32" s="1028" t="str">
        <f t="shared" si="1"/>
        <v>Olomouc (República Tcheca)</v>
      </c>
      <c r="H32" s="1095" t="e">
        <f>#REF!/1000000</f>
        <v>#REF!</v>
      </c>
    </row>
    <row r="33" spans="1:8" x14ac:dyDescent="0.25">
      <c r="A33" s="1028" t="s">
        <v>3350</v>
      </c>
      <c r="B33" s="1021" t="s">
        <v>3366</v>
      </c>
      <c r="F33" s="1028" t="str">
        <f t="shared" ref="F33:F64" si="2">A33</f>
        <v>Pamplona (Espanha)</v>
      </c>
      <c r="G33" s="1028" t="str">
        <f t="shared" si="1"/>
        <v>Pamplona (Espanha)</v>
      </c>
      <c r="H33" s="1095" t="e">
        <f>#REF!/1000000</f>
        <v>#REF!</v>
      </c>
    </row>
    <row r="34" spans="1:8" x14ac:dyDescent="0.25">
      <c r="A34" s="1084" t="s">
        <v>3478</v>
      </c>
      <c r="B34" s="1021" t="s">
        <v>3367</v>
      </c>
      <c r="F34" s="1069" t="str">
        <f t="shared" si="2"/>
        <v>Paris (França)</v>
      </c>
      <c r="G34" s="1115" t="str">
        <f t="shared" si="1"/>
        <v>Paris (França)</v>
      </c>
      <c r="H34" s="1119">
        <f>C254/1000000</f>
        <v>2.105</v>
      </c>
    </row>
    <row r="35" spans="1:8" x14ac:dyDescent="0.25">
      <c r="A35" s="1028" t="s">
        <v>3355</v>
      </c>
      <c r="B35" s="1021" t="s">
        <v>3366</v>
      </c>
      <c r="F35" s="1028" t="str">
        <f t="shared" si="2"/>
        <v>Posnânia [Poznań] na Polônia</v>
      </c>
      <c r="G35" s="1028" t="str">
        <f t="shared" si="1"/>
        <v>Posnânia [Poznań] na Polônia</v>
      </c>
      <c r="H35" s="1095" t="e">
        <f>#REF!/1000000</f>
        <v>#REF!</v>
      </c>
    </row>
    <row r="36" spans="1:8" x14ac:dyDescent="0.25">
      <c r="A36" s="1028" t="s">
        <v>3339</v>
      </c>
      <c r="B36" s="1021" t="s">
        <v>3366</v>
      </c>
      <c r="F36" s="1028" t="str">
        <f t="shared" si="2"/>
        <v>Salzburgo (Áustria)</v>
      </c>
      <c r="G36" s="1028" t="str">
        <f t="shared" si="1"/>
        <v>Salzburgo (Áustria)</v>
      </c>
      <c r="H36" s="1095" t="e">
        <f>#REF!/1000000</f>
        <v>#REF!</v>
      </c>
    </row>
    <row r="37" spans="1:8" x14ac:dyDescent="0.25">
      <c r="A37" s="1028" t="s">
        <v>3342</v>
      </c>
      <c r="B37" s="1021" t="s">
        <v>3366</v>
      </c>
      <c r="F37" s="1028" t="str">
        <f t="shared" si="2"/>
        <v>Santander (Espanha)</v>
      </c>
      <c r="G37" s="1028" t="str">
        <f t="shared" si="1"/>
        <v>Santander (Espanha)</v>
      </c>
      <c r="H37" s="1095" t="e">
        <f>#REF!/1000000</f>
        <v>#REF!</v>
      </c>
    </row>
    <row r="38" spans="1:8" x14ac:dyDescent="0.25">
      <c r="A38" s="1084" t="s">
        <v>3477</v>
      </c>
      <c r="B38" s="1021" t="s">
        <v>3367</v>
      </c>
      <c r="F38" s="1069" t="str">
        <f t="shared" si="2"/>
        <v>Sevilha (Espanha)</v>
      </c>
      <c r="G38" s="1115" t="str">
        <f t="shared" si="1"/>
        <v>Sevilha (Espanha)</v>
      </c>
      <c r="H38" s="1119">
        <f>C255/1000000</f>
        <v>0</v>
      </c>
    </row>
    <row r="39" spans="1:8" x14ac:dyDescent="0.25">
      <c r="A39" s="1028" t="s">
        <v>3353</v>
      </c>
      <c r="B39" s="1021" t="s">
        <v>3366</v>
      </c>
      <c r="F39" s="1028" t="str">
        <f t="shared" si="2"/>
        <v>Tallaght (Irlanda)</v>
      </c>
      <c r="G39" s="1028" t="str">
        <f t="shared" si="1"/>
        <v>Tallaght (Irlanda)</v>
      </c>
      <c r="H39" s="1095" t="e">
        <f>#REF!/1000000</f>
        <v>#REF!</v>
      </c>
    </row>
    <row r="40" spans="1:8" x14ac:dyDescent="0.25">
      <c r="A40" s="1028" t="s">
        <v>3343</v>
      </c>
      <c r="B40" s="1021" t="s">
        <v>3366</v>
      </c>
      <c r="F40" s="1028" t="str">
        <f t="shared" si="2"/>
        <v>Terrassa (Espanha)</v>
      </c>
      <c r="G40" s="1028" t="str">
        <f t="shared" si="1"/>
        <v>Terrassa (Espanha)</v>
      </c>
      <c r="H40" s="1095" t="e">
        <f>#REF!/1000000</f>
        <v>#REF!</v>
      </c>
    </row>
    <row r="41" spans="1:8" x14ac:dyDescent="0.25">
      <c r="A41" s="1028" t="s">
        <v>3338</v>
      </c>
      <c r="B41" s="1021" t="s">
        <v>3366</v>
      </c>
      <c r="F41" s="1028" t="str">
        <f t="shared" si="2"/>
        <v>Turku (Finlândia)</v>
      </c>
      <c r="G41" s="1028" t="str">
        <f t="shared" si="1"/>
        <v>Turku (Finlândia)</v>
      </c>
      <c r="H41" s="1095" t="e">
        <f>#REF!/1000000</f>
        <v>#REF!</v>
      </c>
    </row>
    <row r="42" spans="1:8" ht="15.75" thickBot="1" x14ac:dyDescent="0.3">
      <c r="A42" s="1083" t="s">
        <v>3476</v>
      </c>
      <c r="B42" s="1030" t="s">
        <v>3367</v>
      </c>
      <c r="F42" s="1068" t="str">
        <f t="shared" si="2"/>
        <v>Viena (Áustria)</v>
      </c>
      <c r="G42" s="1116" t="str">
        <f t="shared" si="1"/>
        <v>Viena (Áustria)</v>
      </c>
      <c r="H42" s="1119">
        <f>C256/1000000</f>
        <v>2.5</v>
      </c>
    </row>
    <row r="43" spans="1:8" ht="9" customHeight="1" x14ac:dyDescent="0.25">
      <c r="F43">
        <f t="shared" si="2"/>
        <v>0</v>
      </c>
    </row>
    <row r="44" spans="1:8" x14ac:dyDescent="0.25">
      <c r="A44" s="483" t="s">
        <v>1306</v>
      </c>
      <c r="B44" s="1020"/>
      <c r="C44" s="1087">
        <f>'Q100a-geral'!AF1855</f>
        <v>2375151</v>
      </c>
      <c r="D44" s="1048"/>
      <c r="F44" s="1062" t="str">
        <f t="shared" si="2"/>
        <v>Belo Horizonte</v>
      </c>
      <c r="G44" s="1111">
        <f>C44/1000000</f>
        <v>2.3751509999999998</v>
      </c>
    </row>
    <row r="45" spans="1:8" x14ac:dyDescent="0.25">
      <c r="A45" s="481" t="s">
        <v>3442</v>
      </c>
      <c r="B45" s="1020"/>
      <c r="C45" s="1048"/>
      <c r="D45" s="1048"/>
      <c r="F45" s="1062" t="str">
        <f t="shared" si="2"/>
        <v>RMBH metropolitano</v>
      </c>
    </row>
    <row r="46" spans="1:8" ht="9" customHeight="1" thickBot="1" x14ac:dyDescent="0.3">
      <c r="F46">
        <f t="shared" si="2"/>
        <v>0</v>
      </c>
    </row>
    <row r="47" spans="1:8" x14ac:dyDescent="0.25">
      <c r="A47" s="1108" t="s">
        <v>1738</v>
      </c>
      <c r="B47" s="1032" t="s">
        <v>1298</v>
      </c>
      <c r="C47" s="87">
        <f>'Q100a-geral'!AF1854</f>
        <v>7913</v>
      </c>
      <c r="D47" s="49" t="s">
        <v>432</v>
      </c>
      <c r="E47" s="1056"/>
      <c r="F47" s="1086" t="str">
        <f t="shared" si="2"/>
        <v>Baldim</v>
      </c>
      <c r="G47" s="1111">
        <f t="shared" ref="G47:G74" si="3">C47/1000000</f>
        <v>7.9129999999999999E-3</v>
      </c>
    </row>
    <row r="48" spans="1:8" x14ac:dyDescent="0.25">
      <c r="A48" s="1109" t="s">
        <v>1307</v>
      </c>
      <c r="B48" s="1024" t="s">
        <v>1298</v>
      </c>
      <c r="C48" s="87">
        <f>'Q100a-geral'!AF1856</f>
        <v>378089</v>
      </c>
      <c r="D48" s="49" t="s">
        <v>432</v>
      </c>
      <c r="E48" s="1057"/>
      <c r="F48" s="1033" t="str">
        <f t="shared" si="2"/>
        <v>Betim</v>
      </c>
      <c r="G48" s="1111">
        <f t="shared" si="3"/>
        <v>0.37808900000000001</v>
      </c>
    </row>
    <row r="49" spans="1:8" x14ac:dyDescent="0.25">
      <c r="A49" s="1109" t="s">
        <v>1739</v>
      </c>
      <c r="B49" s="1024" t="s">
        <v>1298</v>
      </c>
      <c r="C49" s="87">
        <f>'Q100a-geral'!AF1857</f>
        <v>33973</v>
      </c>
      <c r="D49" s="49" t="s">
        <v>432</v>
      </c>
      <c r="E49" s="1057"/>
      <c r="F49" s="1033" t="str">
        <f t="shared" si="2"/>
        <v>Brumadinho</v>
      </c>
      <c r="G49" s="1111">
        <f t="shared" si="3"/>
        <v>3.3973000000000003E-2</v>
      </c>
    </row>
    <row r="50" spans="1:8" x14ac:dyDescent="0.25">
      <c r="A50" s="1109" t="s">
        <v>1740</v>
      </c>
      <c r="B50" s="1024" t="s">
        <v>1298</v>
      </c>
      <c r="C50" s="87">
        <f>'Q100a-geral'!AF1858</f>
        <v>40750</v>
      </c>
      <c r="D50" s="49" t="s">
        <v>432</v>
      </c>
      <c r="E50" s="1057"/>
      <c r="F50" s="1033" t="str">
        <f t="shared" si="2"/>
        <v>Caeté</v>
      </c>
      <c r="G50" s="1111">
        <f t="shared" si="3"/>
        <v>4.0750000000000001E-2</v>
      </c>
    </row>
    <row r="51" spans="1:8" x14ac:dyDescent="0.25">
      <c r="A51" s="1109" t="s">
        <v>1741</v>
      </c>
      <c r="B51" s="1024" t="s">
        <v>1298</v>
      </c>
      <c r="C51" s="87">
        <f>'Q100a-geral'!AF1859</f>
        <v>8881</v>
      </c>
      <c r="D51" s="49" t="s">
        <v>432</v>
      </c>
      <c r="E51" s="1057"/>
      <c r="F51" s="1033" t="str">
        <f t="shared" si="2"/>
        <v>Capim Branco</v>
      </c>
      <c r="G51" s="1111">
        <f t="shared" si="3"/>
        <v>8.881E-3</v>
      </c>
    </row>
    <row r="52" spans="1:8" x14ac:dyDescent="0.25">
      <c r="A52" s="1109" t="s">
        <v>1742</v>
      </c>
      <c r="B52" s="1024" t="s">
        <v>1298</v>
      </c>
      <c r="C52" s="87">
        <f>'Q100a-geral'!AF1860</f>
        <v>5936</v>
      </c>
      <c r="D52" s="49" t="s">
        <v>432</v>
      </c>
      <c r="E52" s="1057"/>
      <c r="F52" s="1033" t="str">
        <f t="shared" si="2"/>
        <v>Confins</v>
      </c>
      <c r="G52" s="1111">
        <f t="shared" si="3"/>
        <v>5.9360000000000003E-3</v>
      </c>
    </row>
    <row r="53" spans="1:8" x14ac:dyDescent="0.25">
      <c r="A53" s="1109" t="s">
        <v>3449</v>
      </c>
      <c r="B53" s="1024" t="s">
        <v>1298</v>
      </c>
      <c r="C53" s="87">
        <f>'Q100a-geral'!AF1861</f>
        <v>603442</v>
      </c>
      <c r="D53" s="49" t="s">
        <v>432</v>
      </c>
      <c r="F53" s="1033" t="str">
        <f>A53</f>
        <v>Contagem (MG)</v>
      </c>
      <c r="G53" s="1111">
        <f t="shared" si="3"/>
        <v>0.60344200000000003</v>
      </c>
      <c r="H53" s="1096" t="str">
        <f>A53</f>
        <v>Contagem (MG)</v>
      </c>
    </row>
    <row r="54" spans="1:8" x14ac:dyDescent="0.25">
      <c r="A54" s="1109" t="s">
        <v>1743</v>
      </c>
      <c r="B54" s="1024" t="s">
        <v>1298</v>
      </c>
      <c r="C54" s="87">
        <f>'Q100a-geral'!AF1862</f>
        <v>60271</v>
      </c>
      <c r="D54" s="49" t="s">
        <v>432</v>
      </c>
      <c r="E54" s="1057"/>
      <c r="F54" s="1033" t="str">
        <f t="shared" si="2"/>
        <v>Esmeraldas</v>
      </c>
      <c r="G54" s="1111">
        <f t="shared" si="3"/>
        <v>6.0270999999999998E-2</v>
      </c>
    </row>
    <row r="55" spans="1:8" x14ac:dyDescent="0.25">
      <c r="A55" s="1109" t="s">
        <v>1744</v>
      </c>
      <c r="B55" s="1024" t="s">
        <v>1298</v>
      </c>
      <c r="C55" s="87">
        <f>'Q100a-geral'!AF1863</f>
        <v>6600</v>
      </c>
      <c r="D55" s="49" t="s">
        <v>432</v>
      </c>
      <c r="E55" s="1057"/>
      <c r="F55" s="1033" t="str">
        <f t="shared" si="2"/>
        <v>Florestal</v>
      </c>
      <c r="G55" s="1111">
        <f t="shared" si="3"/>
        <v>6.6E-3</v>
      </c>
    </row>
    <row r="56" spans="1:8" x14ac:dyDescent="0.25">
      <c r="A56" s="1109" t="s">
        <v>1269</v>
      </c>
      <c r="B56" s="1024" t="s">
        <v>1298</v>
      </c>
      <c r="C56" s="87">
        <f>'Q100a-geral'!AF1864</f>
        <v>158954</v>
      </c>
      <c r="D56" s="49" t="s">
        <v>432</v>
      </c>
      <c r="E56" s="1057"/>
      <c r="F56" s="1033" t="str">
        <f t="shared" si="2"/>
        <v>Ibirité</v>
      </c>
      <c r="G56" s="1111">
        <f t="shared" si="3"/>
        <v>0.15895400000000001</v>
      </c>
    </row>
    <row r="57" spans="1:8" x14ac:dyDescent="0.25">
      <c r="A57" s="1109" t="s">
        <v>3548</v>
      </c>
      <c r="B57" s="1024" t="s">
        <v>1298</v>
      </c>
      <c r="C57" s="87">
        <f>'Q100a-geral'!AF1865</f>
        <v>34851</v>
      </c>
      <c r="D57" s="49" t="s">
        <v>432</v>
      </c>
      <c r="E57" s="1057"/>
      <c r="F57" s="1033" t="str">
        <f t="shared" si="2"/>
        <v>Igarapé</v>
      </c>
      <c r="G57" s="1111">
        <f t="shared" si="3"/>
        <v>3.4851E-2</v>
      </c>
    </row>
    <row r="58" spans="1:8" x14ac:dyDescent="0.25">
      <c r="A58" s="1109" t="s">
        <v>1745</v>
      </c>
      <c r="B58" s="1024" t="s">
        <v>1298</v>
      </c>
      <c r="C58" s="87">
        <f>'Q100a-geral'!AF1866</f>
        <v>12372</v>
      </c>
      <c r="D58" s="49" t="s">
        <v>432</v>
      </c>
      <c r="E58" s="1057"/>
      <c r="F58" s="1033" t="str">
        <f t="shared" si="2"/>
        <v>Itaguara</v>
      </c>
      <c r="G58" s="1111">
        <f t="shared" si="3"/>
        <v>1.2371999999999999E-2</v>
      </c>
    </row>
    <row r="59" spans="1:8" x14ac:dyDescent="0.25">
      <c r="A59" s="1109" t="s">
        <v>1746</v>
      </c>
      <c r="B59" s="1024" t="s">
        <v>1298</v>
      </c>
      <c r="C59" s="87">
        <f>'Q100a-geral'!AF1867</f>
        <v>9928</v>
      </c>
      <c r="D59" s="49" t="s">
        <v>432</v>
      </c>
      <c r="E59" s="1057"/>
      <c r="F59" s="1033" t="str">
        <f t="shared" si="2"/>
        <v>Itatiaiuçu</v>
      </c>
      <c r="G59" s="1111">
        <f t="shared" si="3"/>
        <v>9.9279999999999993E-3</v>
      </c>
    </row>
    <row r="60" spans="1:8" x14ac:dyDescent="0.25">
      <c r="A60" s="1109" t="s">
        <v>1747</v>
      </c>
      <c r="B60" s="1024" t="s">
        <v>1298</v>
      </c>
      <c r="C60" s="87">
        <f>'Q100a-geral'!AF1868</f>
        <v>17134</v>
      </c>
      <c r="D60" s="49" t="s">
        <v>432</v>
      </c>
      <c r="E60" s="1057"/>
      <c r="F60" s="1033" t="str">
        <f t="shared" si="2"/>
        <v>Jaboticatubas</v>
      </c>
      <c r="G60" s="1111">
        <f t="shared" si="3"/>
        <v>1.7134E-2</v>
      </c>
    </row>
    <row r="61" spans="1:8" x14ac:dyDescent="0.25">
      <c r="A61" s="1109" t="s">
        <v>1748</v>
      </c>
      <c r="B61" s="1024" t="s">
        <v>1298</v>
      </c>
      <c r="C61" s="87">
        <f>'Q100a-geral'!AF1869</f>
        <v>22202</v>
      </c>
      <c r="D61" s="49" t="s">
        <v>432</v>
      </c>
      <c r="E61" s="1057"/>
      <c r="F61" s="1033" t="str">
        <f t="shared" si="2"/>
        <v>Juatuba</v>
      </c>
      <c r="G61" s="1111">
        <f t="shared" si="3"/>
        <v>2.2202E-2</v>
      </c>
    </row>
    <row r="62" spans="1:8" x14ac:dyDescent="0.25">
      <c r="A62" s="1109" t="s">
        <v>1749</v>
      </c>
      <c r="B62" s="1024" t="s">
        <v>1298</v>
      </c>
      <c r="C62" s="87">
        <f>'Q100a-geral'!AF1870</f>
        <v>52520</v>
      </c>
      <c r="D62" s="49" t="s">
        <v>432</v>
      </c>
      <c r="E62" s="1057"/>
      <c r="F62" s="1033" t="str">
        <f t="shared" si="2"/>
        <v>Lagoa Santa</v>
      </c>
      <c r="G62" s="1111">
        <f t="shared" si="3"/>
        <v>5.2519999999999997E-2</v>
      </c>
    </row>
    <row r="63" spans="1:8" x14ac:dyDescent="0.25">
      <c r="A63" s="1109" t="s">
        <v>1750</v>
      </c>
      <c r="B63" s="1024" t="s">
        <v>1298</v>
      </c>
      <c r="C63" s="87">
        <f>'Q100a-geral'!AF1871</f>
        <v>13192</v>
      </c>
      <c r="D63" s="49" t="s">
        <v>432</v>
      </c>
      <c r="E63" s="1057"/>
      <c r="F63" s="1033" t="str">
        <f t="shared" si="2"/>
        <v>Mário Campos</v>
      </c>
      <c r="G63" s="1111">
        <f t="shared" si="3"/>
        <v>1.3192000000000001E-2</v>
      </c>
    </row>
    <row r="64" spans="1:8" x14ac:dyDescent="0.25">
      <c r="A64" s="1109" t="s">
        <v>1751</v>
      </c>
      <c r="B64" s="1024" t="s">
        <v>1298</v>
      </c>
      <c r="C64" s="87">
        <f>'Q100a-geral'!AF1872</f>
        <v>27856</v>
      </c>
      <c r="D64" s="49" t="s">
        <v>432</v>
      </c>
      <c r="E64" s="1057"/>
      <c r="F64" s="1033" t="str">
        <f t="shared" si="2"/>
        <v>Mateus Leme</v>
      </c>
      <c r="G64" s="1111">
        <f t="shared" si="3"/>
        <v>2.7855999999999999E-2</v>
      </c>
    </row>
    <row r="65" spans="1:7" x14ac:dyDescent="0.25">
      <c r="A65" s="1109" t="s">
        <v>1752</v>
      </c>
      <c r="B65" s="1024" t="s">
        <v>1298</v>
      </c>
      <c r="C65" s="87">
        <f>'Q100a-geral'!AF1873</f>
        <v>33955</v>
      </c>
      <c r="D65" s="49" t="s">
        <v>432</v>
      </c>
      <c r="E65" s="1057"/>
      <c r="F65" s="1033" t="str">
        <f t="shared" ref="F65:F88" si="4">A65</f>
        <v>Matozinhos</v>
      </c>
      <c r="G65" s="1111">
        <f t="shared" si="3"/>
        <v>3.3954999999999999E-2</v>
      </c>
    </row>
    <row r="66" spans="1:7" x14ac:dyDescent="0.25">
      <c r="A66" s="1109" t="s">
        <v>1753</v>
      </c>
      <c r="B66" s="1024" t="s">
        <v>1298</v>
      </c>
      <c r="C66" s="87">
        <f>'Q100a-geral'!AF1874</f>
        <v>80998</v>
      </c>
      <c r="D66" s="49" t="s">
        <v>432</v>
      </c>
      <c r="E66" s="1057"/>
      <c r="F66" s="1033" t="str">
        <f t="shared" si="4"/>
        <v>Nova Lima</v>
      </c>
      <c r="G66" s="1111">
        <f t="shared" si="3"/>
        <v>8.0998000000000001E-2</v>
      </c>
    </row>
    <row r="67" spans="1:7" x14ac:dyDescent="0.25">
      <c r="A67" s="1109" t="s">
        <v>1754</v>
      </c>
      <c r="B67" s="1024" t="s">
        <v>1298</v>
      </c>
      <c r="C67" s="87">
        <f>'Q100a-geral'!AF1875</f>
        <v>5555</v>
      </c>
      <c r="D67" s="49" t="s">
        <v>432</v>
      </c>
      <c r="E67" s="1057"/>
      <c r="F67" s="1033" t="str">
        <f t="shared" si="4"/>
        <v>Nova União</v>
      </c>
      <c r="G67" s="1111">
        <f t="shared" si="3"/>
        <v>5.555E-3</v>
      </c>
    </row>
    <row r="68" spans="1:7" x14ac:dyDescent="0.25">
      <c r="A68" s="1109" t="s">
        <v>1755</v>
      </c>
      <c r="B68" s="1024" t="s">
        <v>1298</v>
      </c>
      <c r="C68" s="87">
        <f>'Q100a-geral'!AF1876</f>
        <v>58740</v>
      </c>
      <c r="D68" s="49" t="s">
        <v>432</v>
      </c>
      <c r="E68" s="1057"/>
      <c r="F68" s="1033" t="str">
        <f t="shared" si="4"/>
        <v>Pedro Leopoldo</v>
      </c>
      <c r="G68" s="1111">
        <f t="shared" si="3"/>
        <v>5.8740000000000001E-2</v>
      </c>
    </row>
    <row r="69" spans="1:7" x14ac:dyDescent="0.25">
      <c r="A69" s="1109" t="s">
        <v>1756</v>
      </c>
      <c r="B69" s="1024" t="s">
        <v>1298</v>
      </c>
      <c r="C69" s="87">
        <f>'Q100a-geral'!AF1877</f>
        <v>15342</v>
      </c>
      <c r="D69" s="49" t="s">
        <v>432</v>
      </c>
      <c r="E69" s="1057"/>
      <c r="F69" s="1033" t="str">
        <f t="shared" si="4"/>
        <v>Raposos</v>
      </c>
      <c r="G69" s="1111">
        <f t="shared" si="3"/>
        <v>1.5342E-2</v>
      </c>
    </row>
    <row r="70" spans="1:7" x14ac:dyDescent="0.25">
      <c r="A70" s="1109" t="s">
        <v>1757</v>
      </c>
      <c r="B70" s="1024" t="s">
        <v>1298</v>
      </c>
      <c r="C70" s="87">
        <f>'Q100a-geral'!AF1878</f>
        <v>296317</v>
      </c>
      <c r="D70" s="49" t="s">
        <v>432</v>
      </c>
      <c r="E70" s="1057"/>
      <c r="F70" s="1033" t="str">
        <f t="shared" si="4"/>
        <v>Ribeirão das Neves</v>
      </c>
      <c r="G70" s="1111">
        <f t="shared" si="3"/>
        <v>0.296317</v>
      </c>
    </row>
    <row r="71" spans="1:7" x14ac:dyDescent="0.25">
      <c r="A71" s="1109" t="s">
        <v>1758</v>
      </c>
      <c r="B71" s="1024" t="s">
        <v>1298</v>
      </c>
      <c r="C71" s="87">
        <f>'Q100a-geral'!AF1879</f>
        <v>9090</v>
      </c>
      <c r="D71" s="49" t="s">
        <v>432</v>
      </c>
      <c r="E71" s="1057"/>
      <c r="F71" s="1033" t="str">
        <f t="shared" si="4"/>
        <v>Rio Acima</v>
      </c>
      <c r="G71" s="1111">
        <f t="shared" si="3"/>
        <v>9.0900000000000009E-3</v>
      </c>
    </row>
    <row r="72" spans="1:7" x14ac:dyDescent="0.25">
      <c r="A72" s="1109" t="s">
        <v>1759</v>
      </c>
      <c r="B72" s="1024" t="s">
        <v>1298</v>
      </c>
      <c r="C72" s="87">
        <f>'Q100a-geral'!AF1880</f>
        <v>5276</v>
      </c>
      <c r="D72" s="49" t="s">
        <v>432</v>
      </c>
      <c r="E72" s="1057"/>
      <c r="F72" s="1033" t="str">
        <f t="shared" si="4"/>
        <v>Rio Manso</v>
      </c>
      <c r="G72" s="1111">
        <f t="shared" si="3"/>
        <v>5.2760000000000003E-3</v>
      </c>
    </row>
    <row r="73" spans="1:7" x14ac:dyDescent="0.25">
      <c r="A73" s="1033" t="s">
        <v>1298</v>
      </c>
      <c r="B73" s="1024" t="s">
        <v>1298</v>
      </c>
      <c r="C73" s="20">
        <f>'Q100a-geral'!AF1881</f>
        <v>4883970</v>
      </c>
      <c r="D73" s="49" t="s">
        <v>432</v>
      </c>
      <c r="E73" s="1057"/>
      <c r="F73" s="1033" t="str">
        <f t="shared" si="4"/>
        <v>RMBH</v>
      </c>
      <c r="G73" s="1112">
        <f t="shared" si="3"/>
        <v>4.8839699999999997</v>
      </c>
    </row>
    <row r="74" spans="1:7" x14ac:dyDescent="0.25">
      <c r="A74" s="1033" t="s">
        <v>3527</v>
      </c>
      <c r="B74" s="1024"/>
      <c r="C74" s="20">
        <f>'Q100a-geral'!AF1882</f>
        <v>2508819</v>
      </c>
      <c r="D74" s="49" t="s">
        <v>432</v>
      </c>
      <c r="E74" s="1057"/>
      <c r="F74" s="1033" t="str">
        <f t="shared" si="4"/>
        <v>restante da RMBH</v>
      </c>
      <c r="G74" s="1112">
        <f t="shared" si="3"/>
        <v>2.5088189999999999</v>
      </c>
    </row>
    <row r="75" spans="1:7" x14ac:dyDescent="0.25">
      <c r="A75" s="1109" t="s">
        <v>1760</v>
      </c>
      <c r="B75" s="1024" t="s">
        <v>1298</v>
      </c>
      <c r="C75" s="87">
        <f>'Q100a-geral'!AF1883</f>
        <v>126269</v>
      </c>
      <c r="D75" s="49" t="s">
        <v>432</v>
      </c>
      <c r="E75" s="1057"/>
      <c r="F75" s="1033" t="str">
        <f t="shared" si="4"/>
        <v>Sabará</v>
      </c>
      <c r="G75" s="1111">
        <f t="shared" ref="G75:G81" si="5">C75/1000000</f>
        <v>0.12626899999999999</v>
      </c>
    </row>
    <row r="76" spans="1:7" x14ac:dyDescent="0.25">
      <c r="A76" s="1109" t="s">
        <v>1761</v>
      </c>
      <c r="B76" s="1024" t="s">
        <v>1298</v>
      </c>
      <c r="C76" s="87">
        <f>'Q100a-geral'!AF1884</f>
        <v>202942</v>
      </c>
      <c r="D76" s="49" t="s">
        <v>432</v>
      </c>
      <c r="E76" s="1057"/>
      <c r="F76" s="1033" t="str">
        <f t="shared" si="4"/>
        <v>Santa Luzia</v>
      </c>
      <c r="G76" s="1111">
        <f t="shared" si="5"/>
        <v>0.20294200000000001</v>
      </c>
    </row>
    <row r="77" spans="1:7" x14ac:dyDescent="0.25">
      <c r="A77" s="1109" t="s">
        <v>1762</v>
      </c>
      <c r="B77" s="1024" t="s">
        <v>1298</v>
      </c>
      <c r="C77" s="87">
        <f>'Q100a-geral'!AF1885</f>
        <v>25537</v>
      </c>
      <c r="D77" s="49" t="s">
        <v>432</v>
      </c>
      <c r="E77" s="1057"/>
      <c r="F77" s="1033" t="str">
        <f t="shared" si="4"/>
        <v>São Joaquim de Bicas</v>
      </c>
      <c r="G77" s="1111">
        <f t="shared" si="5"/>
        <v>2.5537000000000001E-2</v>
      </c>
    </row>
    <row r="78" spans="1:7" x14ac:dyDescent="0.25">
      <c r="A78" s="1109" t="s">
        <v>1763</v>
      </c>
      <c r="B78" s="1024" t="s">
        <v>1298</v>
      </c>
      <c r="C78" s="87">
        <f>'Q100a-geral'!AF1886</f>
        <v>19799</v>
      </c>
      <c r="D78" s="49" t="s">
        <v>432</v>
      </c>
      <c r="E78" s="1057"/>
      <c r="F78" s="1033" t="str">
        <f t="shared" si="4"/>
        <v>São José da Lapa</v>
      </c>
      <c r="G78" s="1111">
        <f t="shared" si="5"/>
        <v>1.9799000000000001E-2</v>
      </c>
    </row>
    <row r="79" spans="1:7" x14ac:dyDescent="0.25">
      <c r="A79" s="1109" t="s">
        <v>1764</v>
      </c>
      <c r="B79" s="1024" t="s">
        <v>1298</v>
      </c>
      <c r="C79" s="87">
        <f>'Q100a-geral'!AF1887</f>
        <v>25814</v>
      </c>
      <c r="D79" s="49" t="s">
        <v>432</v>
      </c>
      <c r="E79" s="1057"/>
      <c r="F79" s="1033" t="str">
        <f t="shared" si="4"/>
        <v>Sarzedo</v>
      </c>
      <c r="G79" s="1111">
        <f t="shared" si="5"/>
        <v>2.5814E-2</v>
      </c>
    </row>
    <row r="80" spans="1:7" x14ac:dyDescent="0.25">
      <c r="A80" s="1109" t="s">
        <v>1765</v>
      </c>
      <c r="B80" s="1024" t="s">
        <v>1298</v>
      </c>
      <c r="C80" s="87">
        <f>'Q100a-geral'!AF1888</f>
        <v>3794</v>
      </c>
      <c r="D80" s="49" t="s">
        <v>432</v>
      </c>
      <c r="E80" s="1057"/>
      <c r="F80" s="1033" t="str">
        <f t="shared" si="4"/>
        <v>Taquaraçu de Minas</v>
      </c>
      <c r="G80" s="1111">
        <f t="shared" si="5"/>
        <v>3.7940000000000001E-3</v>
      </c>
    </row>
    <row r="81" spans="1:8" ht="15.75" thickBot="1" x14ac:dyDescent="0.3">
      <c r="A81" s="1110" t="s">
        <v>1766</v>
      </c>
      <c r="B81" s="1035" t="s">
        <v>1298</v>
      </c>
      <c r="C81" s="87">
        <f>'Q100a-geral'!AF1889</f>
        <v>104527</v>
      </c>
      <c r="D81" s="49" t="s">
        <v>432</v>
      </c>
      <c r="E81" s="1058"/>
      <c r="F81" s="1034" t="str">
        <f t="shared" si="4"/>
        <v>Vespasiano</v>
      </c>
      <c r="G81" s="1111">
        <f t="shared" si="5"/>
        <v>0.10452699999999999</v>
      </c>
    </row>
    <row r="82" spans="1:8" ht="8.25" customHeight="1" x14ac:dyDescent="0.25">
      <c r="F82">
        <f t="shared" si="4"/>
        <v>0</v>
      </c>
    </row>
    <row r="83" spans="1:8" ht="18.75" customHeight="1" x14ac:dyDescent="0.25">
      <c r="A83" s="644" t="s">
        <v>3474</v>
      </c>
      <c r="B83" s="1020"/>
      <c r="C83" s="1023">
        <f>'Q100a-geral'!$AM$1828</f>
        <v>4560000</v>
      </c>
      <c r="D83" s="1048"/>
      <c r="E83" s="1020"/>
      <c r="F83" s="1020"/>
      <c r="G83" s="1020"/>
      <c r="H83" s="1085">
        <f>C83/1000000</f>
        <v>4.5599999999999996</v>
      </c>
    </row>
    <row r="84" spans="1:8" ht="8.25" customHeight="1" x14ac:dyDescent="0.25"/>
    <row r="85" spans="1:8" ht="8.25" customHeight="1" thickBot="1" x14ac:dyDescent="0.3"/>
    <row r="86" spans="1:8" x14ac:dyDescent="0.25">
      <c r="A86" s="1117" t="s">
        <v>2784</v>
      </c>
      <c r="B86" s="1078" t="s">
        <v>2805</v>
      </c>
      <c r="C86" s="1080" t="s">
        <v>432</v>
      </c>
      <c r="D86" s="1041">
        <f>'Q100a-geral'!AC1828</f>
        <v>4803198</v>
      </c>
      <c r="E86" s="1066"/>
      <c r="F86" s="1081" t="str">
        <f t="shared" si="4"/>
        <v>AM Belo Horizonte</v>
      </c>
      <c r="H86" s="1111">
        <f>D86/1000000</f>
        <v>4.8031980000000001</v>
      </c>
    </row>
    <row r="87" spans="1:8" ht="15.75" thickBot="1" x14ac:dyDescent="0.3">
      <c r="A87" s="1038" t="s">
        <v>1306</v>
      </c>
      <c r="B87" s="1039" t="s">
        <v>1298</v>
      </c>
      <c r="C87" s="1042">
        <f>'Q100a-geral'!AF1855</f>
        <v>2375151</v>
      </c>
      <c r="D87" s="1053"/>
      <c r="E87" s="1067"/>
      <c r="F87" s="1082" t="str">
        <f t="shared" si="4"/>
        <v>Belo Horizonte</v>
      </c>
    </row>
    <row r="88" spans="1:8" ht="6" customHeight="1" thickBot="1" x14ac:dyDescent="0.3">
      <c r="F88">
        <f t="shared" si="4"/>
        <v>0</v>
      </c>
    </row>
    <row r="89" spans="1:8" x14ac:dyDescent="0.25">
      <c r="A89" s="1089" t="s">
        <v>3451</v>
      </c>
      <c r="B89" s="1026" t="s">
        <v>3368</v>
      </c>
      <c r="D89" s="1076" t="s">
        <v>432</v>
      </c>
      <c r="E89" s="1027"/>
      <c r="F89" s="1113" t="str">
        <f t="shared" ref="F89:F100" si="6">A89</f>
        <v>Brasília (DF)</v>
      </c>
      <c r="H89" s="1093" t="str">
        <f>D89</f>
        <v>x</v>
      </c>
    </row>
    <row r="90" spans="1:8" x14ac:dyDescent="0.25">
      <c r="A90" s="1084" t="s">
        <v>3447</v>
      </c>
      <c r="B90" s="1021" t="s">
        <v>3368</v>
      </c>
      <c r="D90" s="1076" t="s">
        <v>432</v>
      </c>
      <c r="F90" s="1115" t="str">
        <f t="shared" si="6"/>
        <v>Curitiba (PR)</v>
      </c>
      <c r="H90" s="1093" t="str">
        <f>D90</f>
        <v>x</v>
      </c>
    </row>
    <row r="91" spans="1:8" x14ac:dyDescent="0.25">
      <c r="A91" s="1118" t="s">
        <v>2789</v>
      </c>
      <c r="B91" s="1077" t="s">
        <v>2805</v>
      </c>
      <c r="C91" s="1088" t="s">
        <v>432</v>
      </c>
      <c r="D91" s="1022">
        <f>'Q100a-geral'!AC1833</f>
        <v>2872486</v>
      </c>
      <c r="E91" s="1029"/>
      <c r="F91" s="1036" t="str">
        <f t="shared" si="6"/>
        <v>AM Curitiba</v>
      </c>
      <c r="H91" s="1111">
        <f>D91/1000000</f>
        <v>2.8724859999999999</v>
      </c>
    </row>
    <row r="92" spans="1:8" x14ac:dyDescent="0.25">
      <c r="A92" s="1084" t="s">
        <v>3452</v>
      </c>
      <c r="B92" s="1021" t="s">
        <v>3369</v>
      </c>
      <c r="D92" s="1051" t="s">
        <v>432</v>
      </c>
      <c r="E92" s="1029"/>
      <c r="F92" s="1115" t="str">
        <f t="shared" si="6"/>
        <v>Fortaleza (CE)</v>
      </c>
      <c r="H92" s="1048" t="str">
        <f>D92</f>
        <v>x</v>
      </c>
    </row>
    <row r="93" spans="1:8" x14ac:dyDescent="0.25">
      <c r="A93" s="1084" t="s">
        <v>3448</v>
      </c>
      <c r="B93" s="1021" t="s">
        <v>3370</v>
      </c>
      <c r="D93" s="1051" t="s">
        <v>432</v>
      </c>
      <c r="F93" s="1115" t="str">
        <f t="shared" si="6"/>
        <v>Joinville (SC)</v>
      </c>
      <c r="H93" s="1048" t="str">
        <f>D93</f>
        <v>x</v>
      </c>
    </row>
    <row r="94" spans="1:8" x14ac:dyDescent="0.25">
      <c r="A94" s="1084" t="s">
        <v>3453</v>
      </c>
      <c r="B94" s="1021" t="s">
        <v>3368</v>
      </c>
      <c r="D94" s="1076" t="s">
        <v>432</v>
      </c>
      <c r="E94" s="1029"/>
      <c r="F94" s="1115" t="str">
        <f t="shared" si="6"/>
        <v>Porto Alegre (RS)</v>
      </c>
      <c r="H94" s="1093" t="str">
        <f>D94</f>
        <v>x</v>
      </c>
    </row>
    <row r="95" spans="1:8" x14ac:dyDescent="0.25">
      <c r="A95" s="1118" t="s">
        <v>2794</v>
      </c>
      <c r="B95" s="1077" t="s">
        <v>2805</v>
      </c>
      <c r="C95" s="1088" t="s">
        <v>432</v>
      </c>
      <c r="D95" s="1022">
        <f>'Q100a-geral'!AC1838</f>
        <v>3410676</v>
      </c>
      <c r="E95" s="1029"/>
      <c r="F95" s="1036" t="str">
        <f t="shared" si="6"/>
        <v>AM Porto Alegre</v>
      </c>
      <c r="H95" s="1111">
        <f>D95/1000000</f>
        <v>3.410676</v>
      </c>
    </row>
    <row r="96" spans="1:8" x14ac:dyDescent="0.25">
      <c r="A96" s="1084" t="s">
        <v>3454</v>
      </c>
      <c r="B96" s="1021" t="s">
        <v>3369</v>
      </c>
      <c r="D96" s="1051" t="s">
        <v>432</v>
      </c>
      <c r="E96" s="1029"/>
      <c r="F96" s="1115" t="str">
        <f t="shared" si="6"/>
        <v>Recife (PE)</v>
      </c>
      <c r="H96" s="1048" t="str">
        <f>D96</f>
        <v>x</v>
      </c>
    </row>
    <row r="97" spans="1:8" x14ac:dyDescent="0.25">
      <c r="A97" s="1084" t="s">
        <v>3456</v>
      </c>
      <c r="B97" s="1021" t="s">
        <v>3369</v>
      </c>
      <c r="D97" s="1051" t="s">
        <v>432</v>
      </c>
      <c r="E97" s="1029"/>
      <c r="F97" s="1115" t="str">
        <f t="shared" si="6"/>
        <v>Salvador (BA)</v>
      </c>
      <c r="H97" s="1048" t="str">
        <f>D97</f>
        <v>x</v>
      </c>
    </row>
    <row r="98" spans="1:8" x14ac:dyDescent="0.25">
      <c r="A98" s="1084" t="s">
        <v>1705</v>
      </c>
      <c r="B98" s="1021" t="s">
        <v>3365</v>
      </c>
      <c r="D98" s="1076" t="s">
        <v>432</v>
      </c>
      <c r="E98" s="1029"/>
      <c r="F98" s="1115" t="str">
        <f t="shared" si="6"/>
        <v>São Paulo</v>
      </c>
      <c r="H98" s="1093" t="str">
        <f>D98</f>
        <v>x</v>
      </c>
    </row>
    <row r="99" spans="1:8" x14ac:dyDescent="0.25">
      <c r="A99" s="1118" t="s">
        <v>2798</v>
      </c>
      <c r="B99" s="1077" t="s">
        <v>2805</v>
      </c>
      <c r="C99" s="1088" t="s">
        <v>432</v>
      </c>
      <c r="D99" s="1022">
        <f>'Q100a-geral'!AC1842</f>
        <v>18783649</v>
      </c>
      <c r="E99" s="1029"/>
      <c r="F99" s="1036" t="str">
        <f t="shared" si="6"/>
        <v>AM São Paulo</v>
      </c>
      <c r="H99" s="1111">
        <f>D99/1000000</f>
        <v>18.783649</v>
      </c>
    </row>
    <row r="100" spans="1:8" ht="15.75" thickBot="1" x14ac:dyDescent="0.3">
      <c r="A100" s="1083" t="s">
        <v>3455</v>
      </c>
      <c r="B100" s="1030" t="s">
        <v>3370</v>
      </c>
      <c r="D100" s="1052" t="s">
        <v>432</v>
      </c>
      <c r="E100" s="1031"/>
      <c r="F100" s="1116" t="str">
        <f t="shared" si="6"/>
        <v>Uberlândia (MG)</v>
      </c>
      <c r="H100" s="1048" t="str">
        <f>D100</f>
        <v>x</v>
      </c>
    </row>
    <row r="103" spans="1:8" x14ac:dyDescent="0.25">
      <c r="A103" s="486" t="s">
        <v>2786</v>
      </c>
      <c r="B103" s="1077" t="s">
        <v>2805</v>
      </c>
      <c r="C103" s="1048" t="s">
        <v>432</v>
      </c>
      <c r="D103" s="1049">
        <f>'Q100a-geral'!AC1830</f>
        <v>13267181</v>
      </c>
      <c r="H103" s="1111">
        <f t="shared" ref="H103:H112" si="7">D103/1000000</f>
        <v>13.267181000000001</v>
      </c>
    </row>
    <row r="104" spans="1:8" x14ac:dyDescent="0.25">
      <c r="A104" s="486" t="s">
        <v>2787</v>
      </c>
      <c r="B104" s="1077" t="s">
        <v>2805</v>
      </c>
      <c r="C104" s="1048" t="s">
        <v>432</v>
      </c>
      <c r="D104" s="1049">
        <f>'Q100a-geral'!AC1831</f>
        <v>3140076</v>
      </c>
      <c r="H104" s="1111">
        <f t="shared" si="7"/>
        <v>3.1400760000000001</v>
      </c>
    </row>
    <row r="105" spans="1:8" x14ac:dyDescent="0.25">
      <c r="A105" s="486" t="s">
        <v>2788</v>
      </c>
      <c r="B105" s="1077" t="s">
        <v>2805</v>
      </c>
      <c r="C105" s="1048" t="s">
        <v>432</v>
      </c>
      <c r="D105" s="1049">
        <f>'Q100a-geral'!AC1832</f>
        <v>19239910</v>
      </c>
      <c r="H105" s="1111">
        <f t="shared" si="7"/>
        <v>19.239909999999998</v>
      </c>
    </row>
    <row r="106" spans="1:8" x14ac:dyDescent="0.25">
      <c r="A106" s="486" t="s">
        <v>2790</v>
      </c>
      <c r="B106" s="1077" t="s">
        <v>2805</v>
      </c>
      <c r="C106" s="1048" t="s">
        <v>432</v>
      </c>
      <c r="D106" s="1049">
        <f>'Q100a-geral'!AC1834</f>
        <v>4374721</v>
      </c>
      <c r="H106" s="1111">
        <f t="shared" si="7"/>
        <v>4.3747210000000001</v>
      </c>
    </row>
    <row r="107" spans="1:8" x14ac:dyDescent="0.25">
      <c r="A107" s="486" t="s">
        <v>2791</v>
      </c>
      <c r="B107" s="1077" t="s">
        <v>2805</v>
      </c>
      <c r="C107" s="1048" t="s">
        <v>432</v>
      </c>
      <c r="D107" s="1049">
        <f>'Q100a-geral'!AC1835</f>
        <v>1360310</v>
      </c>
      <c r="H107" s="1111">
        <f t="shared" si="7"/>
        <v>1.3603099999999999</v>
      </c>
    </row>
    <row r="108" spans="1:8" x14ac:dyDescent="0.25">
      <c r="A108" s="486" t="s">
        <v>2792</v>
      </c>
      <c r="B108" s="1077" t="s">
        <v>2805</v>
      </c>
      <c r="C108" s="1048" t="s">
        <v>432</v>
      </c>
      <c r="D108" s="1049">
        <f>'Q100a-geral'!AC1836</f>
        <v>8482619</v>
      </c>
      <c r="H108" s="1111">
        <f t="shared" si="7"/>
        <v>8.4826189999999997</v>
      </c>
    </row>
    <row r="109" spans="1:8" x14ac:dyDescent="0.25">
      <c r="A109" s="486" t="s">
        <v>2793</v>
      </c>
      <c r="B109" s="1077" t="s">
        <v>2805</v>
      </c>
      <c r="C109" s="1048" t="s">
        <v>432</v>
      </c>
      <c r="D109" s="1049">
        <f>'Q100a-geral'!AC1837</f>
        <v>1325968</v>
      </c>
      <c r="H109" s="1111">
        <f t="shared" si="7"/>
        <v>1.325968</v>
      </c>
    </row>
    <row r="110" spans="1:8" x14ac:dyDescent="0.25">
      <c r="A110" s="486" t="s">
        <v>2795</v>
      </c>
      <c r="B110" s="1077" t="s">
        <v>2805</v>
      </c>
      <c r="C110" s="1048" t="s">
        <v>432</v>
      </c>
      <c r="D110" s="1049">
        <f>'Q100a-geral'!AC1839</f>
        <v>10689406</v>
      </c>
      <c r="H110" s="1111">
        <f t="shared" si="7"/>
        <v>10.689406</v>
      </c>
    </row>
    <row r="111" spans="1:8" x14ac:dyDescent="0.25">
      <c r="A111" s="486" t="s">
        <v>2796</v>
      </c>
      <c r="B111" s="1077" t="s">
        <v>2805</v>
      </c>
      <c r="C111" s="1048" t="s">
        <v>432</v>
      </c>
      <c r="D111" s="1049">
        <f>'Q100a-geral'!AC1840</f>
        <v>1286877</v>
      </c>
      <c r="H111" s="1111">
        <f t="shared" si="7"/>
        <v>1.286877</v>
      </c>
    </row>
    <row r="112" spans="1:8" x14ac:dyDescent="0.25">
      <c r="A112" s="486" t="s">
        <v>2797</v>
      </c>
      <c r="B112" s="1077" t="s">
        <v>2805</v>
      </c>
      <c r="C112" s="1048" t="s">
        <v>432</v>
      </c>
      <c r="D112" s="1049">
        <f>'Q100a-geral'!AC1841</f>
        <v>6038971</v>
      </c>
      <c r="H112" s="1111">
        <f t="shared" si="7"/>
        <v>6.0389710000000001</v>
      </c>
    </row>
    <row r="115" spans="1:5" x14ac:dyDescent="0.25">
      <c r="C115" s="1079" t="s">
        <v>3450</v>
      </c>
    </row>
    <row r="117" spans="1:5" x14ac:dyDescent="0.25">
      <c r="A117" s="1811" t="s">
        <v>3616</v>
      </c>
      <c r="B117" s="1811"/>
      <c r="C117" s="1811" t="s">
        <v>3809</v>
      </c>
      <c r="D117" s="1811"/>
    </row>
    <row r="118" spans="1:5" x14ac:dyDescent="0.25">
      <c r="A118" s="1126" t="s">
        <v>3549</v>
      </c>
      <c r="B118" s="1124" t="s">
        <v>3547</v>
      </c>
      <c r="C118" s="1126" t="s">
        <v>3549</v>
      </c>
      <c r="D118" s="1124" t="s">
        <v>3808</v>
      </c>
      <c r="E118" s="1126" t="s">
        <v>3549</v>
      </c>
    </row>
    <row r="119" spans="1:5" x14ac:dyDescent="0.25">
      <c r="A119" s="483" t="s">
        <v>1757</v>
      </c>
      <c r="B119" s="1157">
        <f>'Q100a-geral'!AF1260</f>
        <v>0.22800000000000001</v>
      </c>
      <c r="C119" s="483" t="s">
        <v>1743</v>
      </c>
      <c r="D119" s="1073">
        <f>'Q100a-geral'!AF1299</f>
        <v>0.252</v>
      </c>
      <c r="E119" s="481" t="s">
        <v>1738</v>
      </c>
    </row>
    <row r="120" spans="1:5" x14ac:dyDescent="0.25">
      <c r="A120" s="483" t="s">
        <v>1269</v>
      </c>
      <c r="B120" s="1157">
        <f>'Q100a-geral'!AF1246</f>
        <v>0.33100000000000002</v>
      </c>
      <c r="C120" s="483" t="s">
        <v>1747</v>
      </c>
      <c r="D120" s="1073">
        <f>'Q100a-geral'!AF1305</f>
        <v>0.34399999999999997</v>
      </c>
      <c r="E120" s="481" t="s">
        <v>1306</v>
      </c>
    </row>
    <row r="121" spans="1:5" x14ac:dyDescent="0.25">
      <c r="A121" s="483" t="s">
        <v>1764</v>
      </c>
      <c r="B121" s="1157">
        <f>'Q100a-geral'!AF1267</f>
        <v>0.40400000000000003</v>
      </c>
      <c r="C121" s="483" t="s">
        <v>1762</v>
      </c>
      <c r="D121" s="1073">
        <f>'Q100a-geral'!AF1320</f>
        <v>0.36599999999999999</v>
      </c>
      <c r="E121" s="481" t="s">
        <v>1307</v>
      </c>
    </row>
    <row r="122" spans="1:5" x14ac:dyDescent="0.25">
      <c r="A122" s="483" t="s">
        <v>1761</v>
      </c>
      <c r="B122" s="1157">
        <f>'Q100a-geral'!AF1264</f>
        <v>0.441</v>
      </c>
      <c r="C122" s="483" t="s">
        <v>1751</v>
      </c>
      <c r="D122" s="1073">
        <f>'Q100a-geral'!AF1309</f>
        <v>0.40899999999999997</v>
      </c>
      <c r="E122" s="481" t="s">
        <v>1739</v>
      </c>
    </row>
    <row r="123" spans="1:5" x14ac:dyDescent="0.25">
      <c r="A123" s="483" t="s">
        <v>1743</v>
      </c>
      <c r="B123" s="1157">
        <f>'Q100a-geral'!AF1244</f>
        <v>0.44500000000000001</v>
      </c>
      <c r="C123" s="483" t="s">
        <v>1750</v>
      </c>
      <c r="D123" s="1073">
        <f>'Q100a-geral'!AF1308</f>
        <v>0.441</v>
      </c>
      <c r="E123" s="445" t="s">
        <v>1740</v>
      </c>
    </row>
    <row r="124" spans="1:5" x14ac:dyDescent="0.25">
      <c r="A124" s="483" t="s">
        <v>1756</v>
      </c>
      <c r="B124" s="1157">
        <f>'Q100a-geral'!AF1259</f>
        <v>0.46100000000000002</v>
      </c>
      <c r="C124" s="483" t="s">
        <v>1748</v>
      </c>
      <c r="D124" s="1073">
        <f>'Q100a-geral'!AF1306</f>
        <v>0.45500000000000002</v>
      </c>
      <c r="E124" s="481" t="s">
        <v>1741</v>
      </c>
    </row>
    <row r="125" spans="1:5" x14ac:dyDescent="0.25">
      <c r="A125" s="483" t="s">
        <v>1766</v>
      </c>
      <c r="B125" s="1157">
        <f>'Q100a-geral'!AF1269</f>
        <v>0.503</v>
      </c>
      <c r="C125" s="483" t="s">
        <v>1765</v>
      </c>
      <c r="D125" s="1073">
        <f>'Q100a-geral'!AF1323</f>
        <v>0.46400000000000002</v>
      </c>
      <c r="E125" s="481" t="s">
        <v>1742</v>
      </c>
    </row>
    <row r="126" spans="1:5" x14ac:dyDescent="0.25">
      <c r="A126" s="483" t="s">
        <v>1750</v>
      </c>
      <c r="B126" s="1157">
        <f>'Q100a-geral'!AF1253</f>
        <v>0.55200000000000005</v>
      </c>
      <c r="C126" s="483" t="s">
        <v>1741</v>
      </c>
      <c r="D126" s="1073">
        <f>'Q100a-geral'!AF1296</f>
        <v>0.46800000000000003</v>
      </c>
      <c r="E126" s="481" t="s">
        <v>1371</v>
      </c>
    </row>
    <row r="127" spans="1:5" x14ac:dyDescent="0.25">
      <c r="A127" s="483" t="s">
        <v>1760</v>
      </c>
      <c r="B127" s="1157">
        <f>'Q100a-geral'!AF1263</f>
        <v>0.58599999999999997</v>
      </c>
      <c r="C127" s="483" t="s">
        <v>1738</v>
      </c>
      <c r="D127" s="1073">
        <f>'Q100a-geral'!AF1291</f>
        <v>0.47899999999999998</v>
      </c>
      <c r="E127" s="481" t="s">
        <v>1743</v>
      </c>
    </row>
    <row r="128" spans="1:5" x14ac:dyDescent="0.25">
      <c r="A128" s="483" t="s">
        <v>1758</v>
      </c>
      <c r="B128" s="1157">
        <f>'Q100a-geral'!AF1261</f>
        <v>0.60599999999999998</v>
      </c>
      <c r="C128" s="483" t="s">
        <v>1759</v>
      </c>
      <c r="D128" s="1073">
        <f>'Q100a-geral'!AF1317</f>
        <v>0.48099999999999998</v>
      </c>
      <c r="E128" s="481" t="s">
        <v>1744</v>
      </c>
    </row>
    <row r="129" spans="1:5" x14ac:dyDescent="0.25">
      <c r="A129" s="483" t="s">
        <v>1740</v>
      </c>
      <c r="B129" s="1157">
        <f>'Q100a-geral'!AF1240</f>
        <v>0.61</v>
      </c>
      <c r="C129" s="483" t="s">
        <v>1757</v>
      </c>
      <c r="D129" s="1073">
        <f>'Q100a-geral'!AF1315</f>
        <v>0.48699999999999999</v>
      </c>
      <c r="E129" s="481" t="s">
        <v>1269</v>
      </c>
    </row>
    <row r="130" spans="1:5" x14ac:dyDescent="0.25">
      <c r="A130" s="483" t="s">
        <v>1371</v>
      </c>
      <c r="B130" s="1157">
        <f>'Q100a-geral'!AF1243</f>
        <v>0.63800000000000001</v>
      </c>
      <c r="C130" s="483" t="s">
        <v>3548</v>
      </c>
      <c r="D130" s="1073">
        <f>'Q100a-geral'!AF1302</f>
        <v>0.498</v>
      </c>
      <c r="E130" s="481" t="s">
        <v>3548</v>
      </c>
    </row>
    <row r="131" spans="1:5" x14ac:dyDescent="0.25">
      <c r="A131" s="483" t="s">
        <v>1307</v>
      </c>
      <c r="B131" s="1157">
        <f>'Q100a-geral'!AF1238</f>
        <v>0.67800000000000005</v>
      </c>
      <c r="C131" s="483" t="s">
        <v>1754</v>
      </c>
      <c r="D131" s="1073">
        <f>'Q100a-geral'!AF1312</f>
        <v>0.502</v>
      </c>
      <c r="E131" s="481" t="s">
        <v>1745</v>
      </c>
    </row>
    <row r="132" spans="1:5" x14ac:dyDescent="0.25">
      <c r="A132" s="483" t="s">
        <v>1753</v>
      </c>
      <c r="B132" s="1157">
        <f>'Q100a-geral'!AF1256</f>
        <v>0.68300000000000005</v>
      </c>
      <c r="C132" s="483" t="s">
        <v>1739</v>
      </c>
      <c r="D132" s="1073">
        <f>'Q100a-geral'!AF1294</f>
        <v>0.53300000000000003</v>
      </c>
      <c r="E132" s="481" t="s">
        <v>1746</v>
      </c>
    </row>
    <row r="133" spans="1:5" x14ac:dyDescent="0.25">
      <c r="A133" s="488" t="s">
        <v>1306</v>
      </c>
      <c r="B133" s="1157">
        <f>'Q100a-geral'!AF1237</f>
        <v>0.69099999999999995</v>
      </c>
      <c r="C133" s="483" t="s">
        <v>1269</v>
      </c>
      <c r="D133" s="1073">
        <f>'Q100a-geral'!AF1301</f>
        <v>0.55500000000000005</v>
      </c>
      <c r="E133" s="481" t="s">
        <v>1747</v>
      </c>
    </row>
    <row r="134" spans="1:5" x14ac:dyDescent="0.25">
      <c r="A134" s="483" t="s">
        <v>1763</v>
      </c>
      <c r="B134" s="1157">
        <f>'Q100a-geral'!AF1266</f>
        <v>0.69299999999999995</v>
      </c>
      <c r="C134" s="483" t="s">
        <v>1742</v>
      </c>
      <c r="D134" s="1073">
        <f>'Q100a-geral'!AF1297</f>
        <v>0.56200000000000006</v>
      </c>
      <c r="E134" s="481" t="s">
        <v>1748</v>
      </c>
    </row>
    <row r="135" spans="1:5" x14ac:dyDescent="0.25">
      <c r="A135" s="483" t="s">
        <v>3548</v>
      </c>
      <c r="B135" s="1157">
        <f>'Q100a-geral'!AF1247</f>
        <v>0.754</v>
      </c>
      <c r="C135" s="483" t="s">
        <v>1752</v>
      </c>
      <c r="D135" s="1073">
        <f>'Q100a-geral'!AF1310</f>
        <v>0.56399999999999995</v>
      </c>
      <c r="E135" s="481" t="s">
        <v>1749</v>
      </c>
    </row>
    <row r="136" spans="1:5" x14ac:dyDescent="0.25">
      <c r="A136" s="483" t="s">
        <v>1739</v>
      </c>
      <c r="B136" s="1157">
        <f>'Q100a-geral'!AF1239</f>
        <v>0.78200000000000003</v>
      </c>
      <c r="C136" s="483" t="s">
        <v>1749</v>
      </c>
      <c r="D136" s="1073">
        <f>'Q100a-geral'!AF1307</f>
        <v>0.56699999999999995</v>
      </c>
      <c r="E136" s="481" t="s">
        <v>1750</v>
      </c>
    </row>
    <row r="137" spans="1:5" x14ac:dyDescent="0.25">
      <c r="A137" s="483" t="s">
        <v>1749</v>
      </c>
      <c r="B137" s="1157">
        <f>'Q100a-geral'!AF1252</f>
        <v>0.78800000000000003</v>
      </c>
      <c r="C137" s="483" t="s">
        <v>1761</v>
      </c>
      <c r="D137" s="1073">
        <f>'Q100a-geral'!AF1319</f>
        <v>0.57099999999999995</v>
      </c>
      <c r="E137" s="481" t="s">
        <v>1751</v>
      </c>
    </row>
    <row r="138" spans="1:5" x14ac:dyDescent="0.25">
      <c r="A138" s="483" t="s">
        <v>1755</v>
      </c>
      <c r="B138" s="1157">
        <f>'Q100a-geral'!AF1258</f>
        <v>0.8</v>
      </c>
      <c r="C138" s="483" t="s">
        <v>1760</v>
      </c>
      <c r="D138" s="1073">
        <f>'Q100a-geral'!AF1318</f>
        <v>0.57399999999999995</v>
      </c>
      <c r="E138" s="481" t="s">
        <v>1752</v>
      </c>
    </row>
    <row r="139" spans="1:5" x14ac:dyDescent="0.25">
      <c r="A139" s="483" t="s">
        <v>1762</v>
      </c>
      <c r="B139" s="1157">
        <f>'Q100a-geral'!AF1265</f>
        <v>0.8</v>
      </c>
      <c r="C139" s="483" t="s">
        <v>1766</v>
      </c>
      <c r="D139" s="1073">
        <f>'Q100a-geral'!AF1324</f>
        <v>0.57799999999999996</v>
      </c>
      <c r="E139" s="481" t="s">
        <v>1753</v>
      </c>
    </row>
    <row r="140" spans="1:5" x14ac:dyDescent="0.25">
      <c r="A140" s="483" t="s">
        <v>1748</v>
      </c>
      <c r="B140" s="1157">
        <f>'Q100a-geral'!AF1251</f>
        <v>0.84099999999999997</v>
      </c>
      <c r="C140" s="483" t="s">
        <v>1744</v>
      </c>
      <c r="D140" s="1073">
        <f>'Q100a-geral'!AF1300</f>
        <v>0.58699999999999997</v>
      </c>
      <c r="E140" s="481" t="s">
        <v>1754</v>
      </c>
    </row>
    <row r="141" spans="1:5" x14ac:dyDescent="0.25">
      <c r="A141" s="483" t="s">
        <v>1754</v>
      </c>
      <c r="B141" s="1157">
        <f>'Q100a-geral'!AF1257</f>
        <v>0.86699999999999999</v>
      </c>
      <c r="C141" s="483" t="s">
        <v>1763</v>
      </c>
      <c r="D141" s="1073">
        <f>'Q100a-geral'!AF1321</f>
        <v>0.59</v>
      </c>
      <c r="E141" s="481" t="s">
        <v>1755</v>
      </c>
    </row>
    <row r="142" spans="1:5" x14ac:dyDescent="0.25">
      <c r="A142" s="483" t="s">
        <v>1738</v>
      </c>
      <c r="B142" s="1157">
        <f>'Q100a-geral'!AF1236</f>
        <v>0.86799999999999999</v>
      </c>
      <c r="C142" s="483" t="s">
        <v>1758</v>
      </c>
      <c r="D142" s="1073">
        <f>'Q100a-geral'!AF1316</f>
        <v>0.59699999999999998</v>
      </c>
      <c r="E142" s="481" t="s">
        <v>1756</v>
      </c>
    </row>
    <row r="143" spans="1:5" x14ac:dyDescent="0.25">
      <c r="A143" s="483" t="s">
        <v>1747</v>
      </c>
      <c r="B143" s="1157">
        <f>'Q100a-geral'!AF1250</f>
        <v>0.87</v>
      </c>
      <c r="C143" s="488" t="s">
        <v>1740</v>
      </c>
      <c r="D143" s="1073">
        <f>'Q100a-geral'!AF1295</f>
        <v>0.60199999999999998</v>
      </c>
      <c r="E143" s="481" t="s">
        <v>1757</v>
      </c>
    </row>
    <row r="144" spans="1:5" x14ac:dyDescent="0.25">
      <c r="A144" s="483" t="s">
        <v>1741</v>
      </c>
      <c r="B144" s="1157">
        <f>'Q100a-geral'!AF1241</f>
        <v>0.88</v>
      </c>
      <c r="C144" s="483" t="s">
        <v>1746</v>
      </c>
      <c r="D144" s="1073">
        <f>'Q100a-geral'!AF1304</f>
        <v>0.60699999999999998</v>
      </c>
      <c r="E144" s="481" t="s">
        <v>1758</v>
      </c>
    </row>
    <row r="145" spans="1:5" x14ac:dyDescent="0.25">
      <c r="A145" s="483" t="s">
        <v>1752</v>
      </c>
      <c r="B145" s="1157">
        <f>'Q100a-geral'!AF1255</f>
        <v>0.88700000000000001</v>
      </c>
      <c r="C145" s="483" t="s">
        <v>1307</v>
      </c>
      <c r="D145" s="1073">
        <f>'Q100a-geral'!AF1293</f>
        <v>0.65200000000000002</v>
      </c>
      <c r="E145" s="481" t="s">
        <v>1759</v>
      </c>
    </row>
    <row r="146" spans="1:5" x14ac:dyDescent="0.25">
      <c r="A146" s="483" t="s">
        <v>1744</v>
      </c>
      <c r="B146" s="1157">
        <f>'Q100a-geral'!AF1245</f>
        <v>0.89</v>
      </c>
      <c r="C146" s="483" t="s">
        <v>1745</v>
      </c>
      <c r="D146" s="1073">
        <f>'Q100a-geral'!AF1303</f>
        <v>0.66400000000000003</v>
      </c>
      <c r="E146" s="481" t="s">
        <v>1760</v>
      </c>
    </row>
    <row r="147" spans="1:5" x14ac:dyDescent="0.25">
      <c r="A147" s="483" t="s">
        <v>1751</v>
      </c>
      <c r="B147" s="1157">
        <f>'Q100a-geral'!AF1254</f>
        <v>0.89200000000000002</v>
      </c>
      <c r="C147" s="483" t="s">
        <v>1371</v>
      </c>
      <c r="D147" s="1073">
        <f>'Q100a-geral'!AF1298</f>
        <v>0.68200000000000005</v>
      </c>
      <c r="E147" s="481" t="s">
        <v>1761</v>
      </c>
    </row>
    <row r="148" spans="1:5" x14ac:dyDescent="0.25">
      <c r="A148" s="483" t="s">
        <v>1759</v>
      </c>
      <c r="B148" s="1157">
        <f>'Q100a-geral'!AF1262</f>
        <v>0.92800000000000005</v>
      </c>
      <c r="C148" s="483" t="s">
        <v>1755</v>
      </c>
      <c r="D148" s="1073">
        <f>'Q100a-geral'!AF1313</f>
        <v>0.68799999999999994</v>
      </c>
      <c r="E148" s="481" t="s">
        <v>1762</v>
      </c>
    </row>
    <row r="149" spans="1:5" x14ac:dyDescent="0.25">
      <c r="A149" s="483" t="s">
        <v>1765</v>
      </c>
      <c r="B149" s="1157">
        <f>'Q100a-geral'!AF1268</f>
        <v>0.94</v>
      </c>
      <c r="C149" s="483" t="s">
        <v>1764</v>
      </c>
      <c r="D149" s="1073">
        <f>'Q100a-geral'!AF1322</f>
        <v>0.69099999999999995</v>
      </c>
      <c r="E149" s="481" t="s">
        <v>1763</v>
      </c>
    </row>
    <row r="150" spans="1:5" x14ac:dyDescent="0.25">
      <c r="A150" s="483" t="s">
        <v>1746</v>
      </c>
      <c r="B150" s="1157">
        <f>'Q100a-geral'!AF1249</f>
        <v>0.94699999999999995</v>
      </c>
      <c r="C150" s="483" t="s">
        <v>1753</v>
      </c>
      <c r="D150" s="1073">
        <f>'Q100a-geral'!AF1311</f>
        <v>0.70099999999999996</v>
      </c>
      <c r="E150" s="481" t="s">
        <v>1764</v>
      </c>
    </row>
    <row r="151" spans="1:5" x14ac:dyDescent="0.25">
      <c r="A151" s="483" t="s">
        <v>1742</v>
      </c>
      <c r="B151" s="1157">
        <f>'Q100a-geral'!AF1242</f>
        <v>0.95899999999999996</v>
      </c>
      <c r="C151" s="483" t="s">
        <v>1756</v>
      </c>
      <c r="D151" s="1073">
        <f>'Q100a-geral'!AF1314</f>
        <v>0.748</v>
      </c>
      <c r="E151" s="481" t="s">
        <v>1765</v>
      </c>
    </row>
    <row r="152" spans="1:5" x14ac:dyDescent="0.25">
      <c r="A152" s="483" t="s">
        <v>1745</v>
      </c>
      <c r="B152" s="1157">
        <f>'Q100a-geral'!AF1248</f>
        <v>0.96699999999999997</v>
      </c>
      <c r="C152" s="483" t="s">
        <v>1306</v>
      </c>
      <c r="D152" s="1073">
        <f>'Q100a-geral'!AF1292</f>
        <v>0.76600000000000001</v>
      </c>
      <c r="E152" s="481" t="s">
        <v>1766</v>
      </c>
    </row>
    <row r="153" spans="1:5" x14ac:dyDescent="0.25">
      <c r="A153" s="1126" t="s">
        <v>3549</v>
      </c>
      <c r="B153" s="1124" t="s">
        <v>3547</v>
      </c>
    </row>
    <row r="155" spans="1:5" x14ac:dyDescent="0.25">
      <c r="A155" s="1811" t="s">
        <v>3813</v>
      </c>
      <c r="B155" s="1811"/>
      <c r="C155" s="1811" t="s">
        <v>3814</v>
      </c>
      <c r="D155" s="1811"/>
    </row>
    <row r="156" spans="1:5" x14ac:dyDescent="0.25">
      <c r="A156" s="1126" t="s">
        <v>3549</v>
      </c>
      <c r="B156" s="1124" t="s">
        <v>3547</v>
      </c>
      <c r="C156" s="1126" t="s">
        <v>3549</v>
      </c>
      <c r="D156" s="1124" t="s">
        <v>3808</v>
      </c>
    </row>
    <row r="157" spans="1:5" x14ac:dyDescent="0.25">
      <c r="A157" s="637" t="s">
        <v>3586</v>
      </c>
      <c r="B157" s="1155">
        <f>'Q100a-geral'!AF1277</f>
        <v>0.42799999999999999</v>
      </c>
      <c r="C157" s="637" t="s">
        <v>3452</v>
      </c>
      <c r="D157" s="1195">
        <f>'Q100a-geral'!AF1328</f>
        <v>0.60099999999999998</v>
      </c>
    </row>
    <row r="158" spans="1:5" x14ac:dyDescent="0.25">
      <c r="A158" s="637" t="s">
        <v>3456</v>
      </c>
      <c r="B158" s="1155">
        <f>'Q100a-geral'!AF1276</f>
        <v>0.60099999999999998</v>
      </c>
      <c r="C158" s="637" t="s">
        <v>3456</v>
      </c>
      <c r="D158" s="1073">
        <f>'Q100a-geral'!AF1331</f>
        <v>0.62</v>
      </c>
    </row>
    <row r="159" spans="1:5" x14ac:dyDescent="0.25">
      <c r="A159" s="637" t="s">
        <v>3587</v>
      </c>
      <c r="B159" s="1155">
        <f>'Q100a-geral'!AF1237</f>
        <v>0.69099999999999995</v>
      </c>
      <c r="C159" s="637" t="s">
        <v>3454</v>
      </c>
      <c r="D159" s="1073">
        <f>'Q100a-geral'!AF1330</f>
        <v>0.63900000000000001</v>
      </c>
    </row>
    <row r="160" spans="1:5" x14ac:dyDescent="0.25">
      <c r="A160" s="637" t="s">
        <v>3451</v>
      </c>
      <c r="B160" s="1155">
        <f>'Q100a-geral'!AF1271</f>
        <v>0.69399999999999995</v>
      </c>
      <c r="C160" s="637" t="s">
        <v>3453</v>
      </c>
      <c r="D160" s="1073">
        <f>'Q100a-geral'!AF1329</f>
        <v>0.749</v>
      </c>
    </row>
    <row r="161" spans="1:4" x14ac:dyDescent="0.25">
      <c r="A161" s="637" t="s">
        <v>3452</v>
      </c>
      <c r="B161" s="1155">
        <f>'Q100a-geral'!AF1273</f>
        <v>0.76300000000000001</v>
      </c>
      <c r="C161" s="637" t="s">
        <v>3451</v>
      </c>
      <c r="D161" s="1073">
        <f>'Q100a-geral'!AF1326</f>
        <v>0.75800000000000001</v>
      </c>
    </row>
    <row r="162" spans="1:4" x14ac:dyDescent="0.25">
      <c r="A162" s="637" t="s">
        <v>3454</v>
      </c>
      <c r="B162" s="1155">
        <f>'Q100a-geral'!AF1275</f>
        <v>0.79200000000000004</v>
      </c>
      <c r="C162" s="637" t="s">
        <v>3587</v>
      </c>
      <c r="D162" s="1196">
        <f>'Q100a-geral'!AF1292</f>
        <v>0.76600000000000001</v>
      </c>
    </row>
    <row r="163" spans="1:4" x14ac:dyDescent="0.25">
      <c r="A163" s="637" t="s">
        <v>3447</v>
      </c>
      <c r="B163" s="1155">
        <f>'Q100a-geral'!AF1272</f>
        <v>0.79900000000000004</v>
      </c>
      <c r="C163" s="637" t="s">
        <v>3447</v>
      </c>
      <c r="D163" s="1073">
        <f>'Q100a-geral'!AF1327</f>
        <v>0.77700000000000002</v>
      </c>
    </row>
    <row r="164" spans="1:4" x14ac:dyDescent="0.25">
      <c r="A164" s="637" t="s">
        <v>3453</v>
      </c>
      <c r="B164" s="1155">
        <f>'Q100a-geral'!AF1274</f>
        <v>0.81299999999999994</v>
      </c>
      <c r="C164" s="637" t="s">
        <v>3586</v>
      </c>
      <c r="D164" s="1073">
        <f>'Q100a-geral'!AF1332</f>
        <v>0.78100000000000003</v>
      </c>
    </row>
    <row r="165" spans="1:4" x14ac:dyDescent="0.25">
      <c r="C165"/>
    </row>
    <row r="166" spans="1:4" x14ac:dyDescent="0.25">
      <c r="A166" s="637" t="s">
        <v>1038</v>
      </c>
      <c r="B166" s="1156">
        <f>'Q100a-geral'!AF1286</f>
        <v>3.2000000000000001E-2</v>
      </c>
      <c r="C166" s="637" t="s">
        <v>3618</v>
      </c>
      <c r="D166" s="1073">
        <f>'Q100a-geral'!AF1338</f>
        <v>0.27400000000000002</v>
      </c>
    </row>
    <row r="167" spans="1:4" x14ac:dyDescent="0.25">
      <c r="A167" s="637" t="s">
        <v>1298</v>
      </c>
      <c r="B167" s="1156">
        <f>'Q100a-geral'!AF1285</f>
        <v>0.36499999999999999</v>
      </c>
      <c r="C167" s="637" t="s">
        <v>3621</v>
      </c>
      <c r="D167" s="1073">
        <f>'Q100a-geral'!AF1336</f>
        <v>0.438</v>
      </c>
    </row>
    <row r="168" spans="1:4" x14ac:dyDescent="0.25">
      <c r="A168" s="637" t="s">
        <v>3622</v>
      </c>
      <c r="B168" s="1156">
        <f>'Q100a-geral'!AF1279</f>
        <v>0.374</v>
      </c>
      <c r="C168" s="637" t="s">
        <v>3619</v>
      </c>
      <c r="D168" s="1073">
        <f>'Q100a-geral'!AF1339</f>
        <v>0.47799999999999998</v>
      </c>
    </row>
    <row r="169" spans="1:4" x14ac:dyDescent="0.25">
      <c r="A169" s="637" t="s">
        <v>3619</v>
      </c>
      <c r="B169" s="1156">
        <f>'Q100a-geral'!AF1284</f>
        <v>0.503</v>
      </c>
      <c r="C169" s="637" t="s">
        <v>3620</v>
      </c>
      <c r="D169" s="1073">
        <f>'Q100a-geral'!AF1337</f>
        <v>0.55900000000000005</v>
      </c>
    </row>
    <row r="170" spans="1:4" x14ac:dyDescent="0.25">
      <c r="A170" s="637" t="s">
        <v>3618</v>
      </c>
      <c r="B170" s="1156">
        <f>'Q100a-geral'!AF1283</f>
        <v>0.51100000000000001</v>
      </c>
      <c r="C170" s="637" t="s">
        <v>3617</v>
      </c>
      <c r="D170" s="1073">
        <f>'Q100a-geral'!AF1335</f>
        <v>0.59899999999999998</v>
      </c>
    </row>
    <row r="171" spans="1:4" x14ac:dyDescent="0.25">
      <c r="A171" s="637" t="s">
        <v>3617</v>
      </c>
      <c r="B171" s="1156">
        <f>'Q100a-geral'!AF1280</f>
        <v>0.63400000000000001</v>
      </c>
      <c r="C171" s="637" t="s">
        <v>1298</v>
      </c>
      <c r="D171" s="1073">
        <f>'Q100a-geral'!AF1340</f>
        <v>0.67300000000000004</v>
      </c>
    </row>
    <row r="172" spans="1:4" x14ac:dyDescent="0.25">
      <c r="A172" s="637" t="s">
        <v>3620</v>
      </c>
      <c r="B172" s="1156">
        <f>'Q100a-geral'!AF1282</f>
        <v>0.78900000000000003</v>
      </c>
      <c r="C172" s="637" t="s">
        <v>3622</v>
      </c>
      <c r="D172" s="1073">
        <f>'Q100a-geral'!AF1334</f>
        <v>0.72099999999999997</v>
      </c>
    </row>
    <row r="173" spans="1:4" x14ac:dyDescent="0.25">
      <c r="A173" s="637" t="s">
        <v>3621</v>
      </c>
      <c r="B173" s="1156">
        <f>'Q100a-geral'!AF1281</f>
        <v>0.79</v>
      </c>
      <c r="C173" s="637" t="s">
        <v>1038</v>
      </c>
      <c r="D173" s="1073">
        <f>'Q100a-geral'!AF1341</f>
        <v>0.78200000000000003</v>
      </c>
    </row>
    <row r="179" spans="1:5" x14ac:dyDescent="0.25">
      <c r="A179" s="1811" t="s">
        <v>3591</v>
      </c>
      <c r="B179" s="1811"/>
      <c r="C179" s="1811"/>
    </row>
    <row r="180" spans="1:5" x14ac:dyDescent="0.25">
      <c r="A180" s="1144" t="s">
        <v>1765</v>
      </c>
      <c r="B180" s="1147">
        <f>'Q100a-geral'!AF1888</f>
        <v>3794</v>
      </c>
      <c r="C180" s="1148">
        <f t="shared" ref="C180:C213" si="8">B180/1000000</f>
        <v>3.7940000000000001E-3</v>
      </c>
      <c r="E180" s="1142" t="s">
        <v>3589</v>
      </c>
    </row>
    <row r="181" spans="1:5" x14ac:dyDescent="0.25">
      <c r="A181" s="1144" t="s">
        <v>1759</v>
      </c>
      <c r="B181" s="1145">
        <f>'Q100a-geral'!AF1880</f>
        <v>5276</v>
      </c>
      <c r="C181" s="1146">
        <f t="shared" si="8"/>
        <v>5.2760000000000003E-3</v>
      </c>
      <c r="E181" s="1143" t="s">
        <v>3588</v>
      </c>
    </row>
    <row r="182" spans="1:5" x14ac:dyDescent="0.25">
      <c r="A182" s="1109" t="s">
        <v>1754</v>
      </c>
      <c r="B182" s="1145">
        <f>'Q100a-geral'!AF1875</f>
        <v>5555</v>
      </c>
      <c r="C182" s="1146">
        <f t="shared" si="8"/>
        <v>5.555E-3</v>
      </c>
    </row>
    <row r="183" spans="1:5" x14ac:dyDescent="0.25">
      <c r="A183" s="1109" t="s">
        <v>1742</v>
      </c>
      <c r="B183" s="1145">
        <f>'Q100a-geral'!AF1860</f>
        <v>5936</v>
      </c>
      <c r="C183" s="1146">
        <f t="shared" si="8"/>
        <v>5.9360000000000003E-3</v>
      </c>
    </row>
    <row r="184" spans="1:5" x14ac:dyDescent="0.25">
      <c r="A184" s="1109" t="s">
        <v>1744</v>
      </c>
      <c r="B184" s="1145">
        <f>'Q100a-geral'!AF1863</f>
        <v>6600</v>
      </c>
      <c r="C184" s="1146">
        <f t="shared" si="8"/>
        <v>6.6E-3</v>
      </c>
    </row>
    <row r="185" spans="1:5" x14ac:dyDescent="0.25">
      <c r="A185" s="1109" t="s">
        <v>1738</v>
      </c>
      <c r="B185" s="1145">
        <f>'Q100a-geral'!AF1854</f>
        <v>7913</v>
      </c>
      <c r="C185" s="1146">
        <f t="shared" si="8"/>
        <v>7.9129999999999999E-3</v>
      </c>
    </row>
    <row r="186" spans="1:5" x14ac:dyDescent="0.25">
      <c r="A186" s="1109" t="s">
        <v>1741</v>
      </c>
      <c r="B186" s="1145">
        <f>'Q100a-geral'!AF1859</f>
        <v>8881</v>
      </c>
      <c r="C186" s="1146">
        <f t="shared" si="8"/>
        <v>8.881E-3</v>
      </c>
    </row>
    <row r="187" spans="1:5" x14ac:dyDescent="0.25">
      <c r="A187" s="1109" t="s">
        <v>1758</v>
      </c>
      <c r="B187" s="1145">
        <f>'Q100a-geral'!AF1879</f>
        <v>9090</v>
      </c>
      <c r="C187" s="1146">
        <f t="shared" si="8"/>
        <v>9.0900000000000009E-3</v>
      </c>
    </row>
    <row r="188" spans="1:5" x14ac:dyDescent="0.25">
      <c r="A188" s="1109" t="s">
        <v>1746</v>
      </c>
      <c r="B188" s="1145">
        <f>'Q100a-geral'!AF1867</f>
        <v>9928</v>
      </c>
      <c r="C188" s="1146">
        <f t="shared" si="8"/>
        <v>9.9279999999999993E-3</v>
      </c>
    </row>
    <row r="189" spans="1:5" x14ac:dyDescent="0.25">
      <c r="A189" s="1109" t="s">
        <v>1745</v>
      </c>
      <c r="B189" s="1145">
        <f>'Q100a-geral'!AF1866</f>
        <v>12372</v>
      </c>
      <c r="C189" s="1146">
        <f t="shared" si="8"/>
        <v>1.2371999999999999E-2</v>
      </c>
    </row>
    <row r="190" spans="1:5" x14ac:dyDescent="0.25">
      <c r="A190" s="1109" t="s">
        <v>1750</v>
      </c>
      <c r="B190" s="1145">
        <f>'Q100a-geral'!AF1871</f>
        <v>13192</v>
      </c>
      <c r="C190" s="1146">
        <f t="shared" si="8"/>
        <v>1.3192000000000001E-2</v>
      </c>
    </row>
    <row r="191" spans="1:5" x14ac:dyDescent="0.25">
      <c r="A191" s="1109" t="s">
        <v>1756</v>
      </c>
      <c r="B191" s="1145">
        <f>'Q100a-geral'!AF1877</f>
        <v>15342</v>
      </c>
      <c r="C191" s="1146">
        <f t="shared" si="8"/>
        <v>1.5342E-2</v>
      </c>
    </row>
    <row r="192" spans="1:5" x14ac:dyDescent="0.25">
      <c r="A192" s="1109" t="s">
        <v>1747</v>
      </c>
      <c r="B192" s="1145">
        <f>'Q100a-geral'!AF1868</f>
        <v>17134</v>
      </c>
      <c r="C192" s="1146">
        <f t="shared" si="8"/>
        <v>1.7134E-2</v>
      </c>
    </row>
    <row r="193" spans="1:3" x14ac:dyDescent="0.25">
      <c r="A193" s="1109" t="s">
        <v>1763</v>
      </c>
      <c r="B193" s="1145">
        <f>'Q100a-geral'!AF1886</f>
        <v>19799</v>
      </c>
      <c r="C193" s="1146">
        <f t="shared" si="8"/>
        <v>1.9799000000000001E-2</v>
      </c>
    </row>
    <row r="194" spans="1:3" x14ac:dyDescent="0.25">
      <c r="A194" s="1109" t="s">
        <v>1748</v>
      </c>
      <c r="B194" s="1145">
        <f>'Q100a-geral'!AF1869</f>
        <v>22202</v>
      </c>
      <c r="C194" s="1146">
        <f t="shared" si="8"/>
        <v>2.2202E-2</v>
      </c>
    </row>
    <row r="195" spans="1:3" x14ac:dyDescent="0.25">
      <c r="A195" s="1109" t="s">
        <v>1762</v>
      </c>
      <c r="B195" s="1145">
        <f>'Q100a-geral'!AF1885</f>
        <v>25537</v>
      </c>
      <c r="C195" s="1146">
        <f t="shared" si="8"/>
        <v>2.5537000000000001E-2</v>
      </c>
    </row>
    <row r="196" spans="1:3" x14ac:dyDescent="0.25">
      <c r="A196" s="1109" t="s">
        <v>1764</v>
      </c>
      <c r="B196" s="1145">
        <f>'Q100a-geral'!AF1887</f>
        <v>25814</v>
      </c>
      <c r="C196" s="1146">
        <f t="shared" si="8"/>
        <v>2.5814E-2</v>
      </c>
    </row>
    <row r="197" spans="1:3" x14ac:dyDescent="0.25">
      <c r="A197" s="1109" t="s">
        <v>1751</v>
      </c>
      <c r="B197" s="1145">
        <f>'Q100a-geral'!AF1872</f>
        <v>27856</v>
      </c>
      <c r="C197" s="1146">
        <f t="shared" si="8"/>
        <v>2.7855999999999999E-2</v>
      </c>
    </row>
    <row r="198" spans="1:3" x14ac:dyDescent="0.25">
      <c r="A198" s="1109" t="s">
        <v>1752</v>
      </c>
      <c r="B198" s="1145">
        <f>'Q100a-geral'!AF1873</f>
        <v>33955</v>
      </c>
      <c r="C198" s="1146">
        <f t="shared" si="8"/>
        <v>3.3954999999999999E-2</v>
      </c>
    </row>
    <row r="199" spans="1:3" x14ac:dyDescent="0.25">
      <c r="A199" s="1109" t="s">
        <v>1739</v>
      </c>
      <c r="B199" s="1145">
        <f>'Q100a-geral'!AF1857</f>
        <v>33973</v>
      </c>
      <c r="C199" s="1146">
        <f t="shared" si="8"/>
        <v>3.3973000000000003E-2</v>
      </c>
    </row>
    <row r="200" spans="1:3" x14ac:dyDescent="0.25">
      <c r="A200" s="1109" t="s">
        <v>1269</v>
      </c>
      <c r="B200" s="1145">
        <f>'Q100a-geral'!AF1865</f>
        <v>34851</v>
      </c>
      <c r="C200" s="1146">
        <f t="shared" si="8"/>
        <v>3.4851E-2</v>
      </c>
    </row>
    <row r="201" spans="1:3" x14ac:dyDescent="0.25">
      <c r="A201" s="1109" t="s">
        <v>1740</v>
      </c>
      <c r="B201" s="1145">
        <f>'Q100a-geral'!AF1858</f>
        <v>40750</v>
      </c>
      <c r="C201" s="1146">
        <f t="shared" si="8"/>
        <v>4.0750000000000001E-2</v>
      </c>
    </row>
    <row r="202" spans="1:3" x14ac:dyDescent="0.25">
      <c r="A202" s="1109" t="s">
        <v>1749</v>
      </c>
      <c r="B202" s="1145">
        <f>'Q100a-geral'!AF1870</f>
        <v>52520</v>
      </c>
      <c r="C202" s="1146">
        <f t="shared" si="8"/>
        <v>5.2519999999999997E-2</v>
      </c>
    </row>
    <row r="203" spans="1:3" x14ac:dyDescent="0.25">
      <c r="A203" s="1109" t="s">
        <v>1755</v>
      </c>
      <c r="B203" s="1145">
        <f>'Q100a-geral'!AF1876</f>
        <v>58740</v>
      </c>
      <c r="C203" s="1146">
        <f t="shared" si="8"/>
        <v>5.8740000000000001E-2</v>
      </c>
    </row>
    <row r="204" spans="1:3" x14ac:dyDescent="0.25">
      <c r="A204" s="1109" t="s">
        <v>1743</v>
      </c>
      <c r="B204" s="1145">
        <f>'Q100a-geral'!AF1862</f>
        <v>60271</v>
      </c>
      <c r="C204" s="1146">
        <f t="shared" si="8"/>
        <v>6.0270999999999998E-2</v>
      </c>
    </row>
    <row r="205" spans="1:3" x14ac:dyDescent="0.25">
      <c r="A205" s="1109" t="s">
        <v>1753</v>
      </c>
      <c r="B205" s="1145">
        <f>'Q100a-geral'!AF1874</f>
        <v>80998</v>
      </c>
      <c r="C205" s="1146">
        <f t="shared" si="8"/>
        <v>8.0998000000000001E-2</v>
      </c>
    </row>
    <row r="206" spans="1:3" x14ac:dyDescent="0.25">
      <c r="A206" s="1109" t="s">
        <v>1766</v>
      </c>
      <c r="B206" s="1145">
        <f>'Q100a-geral'!AF1889</f>
        <v>104527</v>
      </c>
      <c r="C206" s="1146">
        <f t="shared" si="8"/>
        <v>0.10452699999999999</v>
      </c>
    </row>
    <row r="207" spans="1:3" x14ac:dyDescent="0.25">
      <c r="A207" s="1109" t="s">
        <v>1760</v>
      </c>
      <c r="B207" s="1145">
        <f>'Q100a-geral'!AF1883</f>
        <v>126269</v>
      </c>
      <c r="C207" s="1146">
        <f t="shared" si="8"/>
        <v>0.12626899999999999</v>
      </c>
    </row>
    <row r="208" spans="1:3" x14ac:dyDescent="0.25">
      <c r="A208" s="1109" t="s">
        <v>1269</v>
      </c>
      <c r="B208" s="1145">
        <f>'Q100a-geral'!AF1864</f>
        <v>158954</v>
      </c>
      <c r="C208" s="1146">
        <f t="shared" si="8"/>
        <v>0.15895400000000001</v>
      </c>
    </row>
    <row r="209" spans="1:5" x14ac:dyDescent="0.25">
      <c r="A209" s="1109" t="s">
        <v>1761</v>
      </c>
      <c r="B209" s="1145">
        <f>'Q100a-geral'!AF1884</f>
        <v>202942</v>
      </c>
      <c r="C209" s="1146">
        <f t="shared" si="8"/>
        <v>0.20294200000000001</v>
      </c>
    </row>
    <row r="210" spans="1:5" x14ac:dyDescent="0.25">
      <c r="A210" s="1109" t="s">
        <v>1757</v>
      </c>
      <c r="B210" s="1145">
        <f>'Q100a-geral'!AF1878</f>
        <v>296317</v>
      </c>
      <c r="C210" s="1146">
        <f t="shared" si="8"/>
        <v>0.296317</v>
      </c>
    </row>
    <row r="211" spans="1:5" x14ac:dyDescent="0.25">
      <c r="A211" s="1109" t="s">
        <v>1307</v>
      </c>
      <c r="B211" s="1145">
        <f>'Q100a-geral'!AF1856</f>
        <v>378089</v>
      </c>
      <c r="C211" s="1146">
        <f t="shared" si="8"/>
        <v>0.37808900000000001</v>
      </c>
    </row>
    <row r="212" spans="1:5" x14ac:dyDescent="0.25">
      <c r="A212" s="1109" t="s">
        <v>1371</v>
      </c>
      <c r="B212" s="1145">
        <f>'Q100a-geral'!AF1861</f>
        <v>603442</v>
      </c>
      <c r="C212" s="1146">
        <f t="shared" si="8"/>
        <v>0.60344200000000003</v>
      </c>
    </row>
    <row r="213" spans="1:5" ht="15.75" thickBot="1" x14ac:dyDescent="0.3">
      <c r="A213" s="1110" t="s">
        <v>1306</v>
      </c>
      <c r="B213" s="1145">
        <f>'Q100a-geral'!AF1855</f>
        <v>2375151</v>
      </c>
      <c r="C213" s="1146">
        <f t="shared" si="8"/>
        <v>2.3751509999999998</v>
      </c>
    </row>
    <row r="215" spans="1:5" x14ac:dyDescent="0.25">
      <c r="A215" s="1811" t="s">
        <v>3592</v>
      </c>
      <c r="B215" s="1811"/>
      <c r="C215" s="1811"/>
    </row>
    <row r="216" spans="1:5" x14ac:dyDescent="0.25">
      <c r="A216" s="1240" t="s">
        <v>3448</v>
      </c>
      <c r="B216" s="1243">
        <f>'Q100a-geral'!$AF$1847</f>
        <v>515288</v>
      </c>
      <c r="C216" s="419">
        <f t="shared" ref="C216:C225" si="9">B216/1000000</f>
        <v>0.51528799999999997</v>
      </c>
    </row>
    <row r="217" spans="1:5" x14ac:dyDescent="0.25">
      <c r="A217" s="1240" t="s">
        <v>3455</v>
      </c>
      <c r="B217" s="1243">
        <f>'Q100a-geral'!$AF$1852</f>
        <v>604013</v>
      </c>
      <c r="C217" s="419">
        <f t="shared" si="9"/>
        <v>0.60401300000000002</v>
      </c>
    </row>
    <row r="218" spans="1:5" x14ac:dyDescent="0.25">
      <c r="A218" s="1240" t="s">
        <v>3453</v>
      </c>
      <c r="B218" s="996">
        <f>'Q100a-geral'!AF1848</f>
        <v>1409351</v>
      </c>
      <c r="C218" s="419">
        <f t="shared" si="9"/>
        <v>1.409351</v>
      </c>
      <c r="E218" s="1246" t="s">
        <v>3589</v>
      </c>
    </row>
    <row r="219" spans="1:5" x14ac:dyDescent="0.25">
      <c r="A219" s="1240" t="s">
        <v>3454</v>
      </c>
      <c r="B219" s="1243">
        <f>'Q100a-geral'!$AF$1849</f>
        <v>1537704</v>
      </c>
      <c r="C219" s="419">
        <f t="shared" si="9"/>
        <v>1.537704</v>
      </c>
      <c r="E219" s="1247" t="s">
        <v>3588</v>
      </c>
    </row>
    <row r="220" spans="1:5" x14ac:dyDescent="0.25">
      <c r="A220" s="1240" t="s">
        <v>3447</v>
      </c>
      <c r="B220" s="996">
        <f>'Q100a-geral'!AF1845</f>
        <v>1751907</v>
      </c>
      <c r="C220" s="419">
        <f t="shared" si="9"/>
        <v>1.7519070000000001</v>
      </c>
    </row>
    <row r="221" spans="1:5" x14ac:dyDescent="0.25">
      <c r="A221" s="1240" t="s">
        <v>3587</v>
      </c>
      <c r="B221" s="1243">
        <f>'Q100a-geral'!AF1855</f>
        <v>2375151</v>
      </c>
      <c r="C221" s="419">
        <f t="shared" si="9"/>
        <v>2.3751509999999998</v>
      </c>
    </row>
    <row r="222" spans="1:5" x14ac:dyDescent="0.25">
      <c r="A222" s="1240" t="s">
        <v>3452</v>
      </c>
      <c r="B222" s="1243">
        <v>2452185</v>
      </c>
      <c r="C222" s="419">
        <f t="shared" si="9"/>
        <v>2.4521850000000001</v>
      </c>
    </row>
    <row r="223" spans="1:5" x14ac:dyDescent="0.25">
      <c r="A223" s="1240" t="s">
        <v>3451</v>
      </c>
      <c r="B223" s="87">
        <f>'Q100a-geral'!AF1844</f>
        <v>2570160</v>
      </c>
      <c r="C223" s="419">
        <f t="shared" si="9"/>
        <v>2.57016</v>
      </c>
    </row>
    <row r="224" spans="1:5" x14ac:dyDescent="0.25">
      <c r="A224" s="1240" t="s">
        <v>3456</v>
      </c>
      <c r="B224" s="1243">
        <f>'Q100a-geral'!$AF$1850</f>
        <v>2675656</v>
      </c>
      <c r="C224" s="419">
        <f t="shared" si="9"/>
        <v>2.675656</v>
      </c>
    </row>
    <row r="225" spans="1:3" x14ac:dyDescent="0.25">
      <c r="A225" s="1240" t="s">
        <v>3586</v>
      </c>
      <c r="B225" s="86">
        <f>'Q100a-geral'!AF1851</f>
        <v>11253503</v>
      </c>
      <c r="C225" s="419">
        <f t="shared" si="9"/>
        <v>11.253503</v>
      </c>
    </row>
    <row r="227" spans="1:3" x14ac:dyDescent="0.25">
      <c r="A227" s="1811" t="s">
        <v>3594</v>
      </c>
      <c r="B227" s="1811"/>
      <c r="C227" s="1811"/>
    </row>
    <row r="228" spans="1:3" x14ac:dyDescent="0.25">
      <c r="A228" s="1063" t="s">
        <v>2796</v>
      </c>
      <c r="B228" s="86">
        <f>'Q100a-geral'!AC1840</f>
        <v>1286877</v>
      </c>
      <c r="C228" s="419">
        <f t="shared" ref="C228:C242" si="10">B228/1000000</f>
        <v>1.286877</v>
      </c>
    </row>
    <row r="229" spans="1:3" x14ac:dyDescent="0.25">
      <c r="A229" s="1063" t="s">
        <v>2793</v>
      </c>
      <c r="B229" s="86">
        <f>'Q100a-geral'!AC1837</f>
        <v>1325968</v>
      </c>
      <c r="C229" s="419">
        <f t="shared" si="10"/>
        <v>1.325968</v>
      </c>
    </row>
    <row r="230" spans="1:3" x14ac:dyDescent="0.25">
      <c r="A230" s="1063" t="s">
        <v>2791</v>
      </c>
      <c r="B230" s="86">
        <f>'Q100a-geral'!AC1835</f>
        <v>1360310</v>
      </c>
      <c r="C230" s="419">
        <f t="shared" si="10"/>
        <v>1.3603099999999999</v>
      </c>
    </row>
    <row r="231" spans="1:3" x14ac:dyDescent="0.25">
      <c r="A231" s="1063" t="s">
        <v>2789</v>
      </c>
      <c r="B231" s="86">
        <f>'Q100a-geral'!AC1833</f>
        <v>2872486</v>
      </c>
      <c r="C231" s="419">
        <f t="shared" si="10"/>
        <v>2.8724859999999999</v>
      </c>
    </row>
    <row r="232" spans="1:3" x14ac:dyDescent="0.25">
      <c r="A232" s="1063" t="s">
        <v>2787</v>
      </c>
      <c r="B232" s="86">
        <f>'Q100a-geral'!AC1831</f>
        <v>3140076</v>
      </c>
      <c r="C232" s="419">
        <f t="shared" si="10"/>
        <v>3.1400760000000001</v>
      </c>
    </row>
    <row r="233" spans="1:3" x14ac:dyDescent="0.25">
      <c r="A233" s="1063" t="s">
        <v>2794</v>
      </c>
      <c r="B233" s="86">
        <f>'Q100a-geral'!AC1838</f>
        <v>3410676</v>
      </c>
      <c r="C233" s="419">
        <f t="shared" si="10"/>
        <v>3.410676</v>
      </c>
    </row>
    <row r="234" spans="1:3" x14ac:dyDescent="0.25">
      <c r="A234" s="1063" t="s">
        <v>2790</v>
      </c>
      <c r="B234" s="86">
        <f>'Q100a-geral'!AC1834</f>
        <v>4374721</v>
      </c>
      <c r="C234" s="419">
        <f t="shared" si="10"/>
        <v>4.3747210000000001</v>
      </c>
    </row>
    <row r="235" spans="1:3" x14ac:dyDescent="0.25">
      <c r="A235" s="1063" t="s">
        <v>2784</v>
      </c>
      <c r="B235" s="86">
        <f>'Q100a-geral'!AC1828</f>
        <v>4803198</v>
      </c>
      <c r="C235" s="419">
        <f t="shared" si="10"/>
        <v>4.8031980000000001</v>
      </c>
    </row>
    <row r="236" spans="1:3" x14ac:dyDescent="0.25">
      <c r="A236" s="1063" t="s">
        <v>2797</v>
      </c>
      <c r="B236" s="86">
        <f>'Q100a-geral'!AC1841</f>
        <v>6038971</v>
      </c>
      <c r="C236" s="419">
        <f t="shared" si="10"/>
        <v>6.0389710000000001</v>
      </c>
    </row>
    <row r="237" spans="1:3" x14ac:dyDescent="0.25">
      <c r="A237" s="1063" t="s">
        <v>2785</v>
      </c>
      <c r="B237" s="86">
        <f>'Q100a-geral'!AC1829</f>
        <v>7823957</v>
      </c>
      <c r="C237" s="419">
        <f t="shared" si="10"/>
        <v>7.8239570000000001</v>
      </c>
    </row>
    <row r="238" spans="1:3" x14ac:dyDescent="0.25">
      <c r="A238" s="1063" t="s">
        <v>2792</v>
      </c>
      <c r="B238" s="86">
        <f>'Q100a-geral'!AC1836</f>
        <v>8482619</v>
      </c>
      <c r="C238" s="419">
        <f t="shared" si="10"/>
        <v>8.4826189999999997</v>
      </c>
    </row>
    <row r="239" spans="1:3" x14ac:dyDescent="0.25">
      <c r="A239" s="1063" t="s">
        <v>2795</v>
      </c>
      <c r="B239" s="86">
        <f>'Q100a-geral'!AC1839</f>
        <v>10689406</v>
      </c>
      <c r="C239" s="419">
        <f t="shared" si="10"/>
        <v>10.689406</v>
      </c>
    </row>
    <row r="240" spans="1:3" x14ac:dyDescent="0.25">
      <c r="A240" s="1063" t="s">
        <v>2786</v>
      </c>
      <c r="B240" s="86">
        <f>'Q100a-geral'!AC1830</f>
        <v>13267181</v>
      </c>
      <c r="C240" s="419">
        <f t="shared" si="10"/>
        <v>13.267181000000001</v>
      </c>
    </row>
    <row r="241" spans="1:5" x14ac:dyDescent="0.25">
      <c r="A241" s="1063" t="s">
        <v>2798</v>
      </c>
      <c r="B241" s="86">
        <f>'Q100a-geral'!AC1842</f>
        <v>18783649</v>
      </c>
      <c r="C241" s="419">
        <f t="shared" si="10"/>
        <v>18.783649</v>
      </c>
    </row>
    <row r="242" spans="1:5" x14ac:dyDescent="0.25">
      <c r="A242" s="1063" t="s">
        <v>2788</v>
      </c>
      <c r="B242" s="86">
        <f>'Q100a-geral'!AC1832</f>
        <v>19239910</v>
      </c>
      <c r="C242" s="419">
        <f t="shared" si="10"/>
        <v>19.239909999999998</v>
      </c>
    </row>
    <row r="244" spans="1:5" x14ac:dyDescent="0.25">
      <c r="A244" s="1812" t="s">
        <v>3602</v>
      </c>
      <c r="B244" s="1812"/>
      <c r="C244" s="1812"/>
      <c r="D244" s="1812"/>
      <c r="E244" s="1193" t="s">
        <v>3601</v>
      </c>
    </row>
    <row r="245" spans="1:5" ht="25.5" x14ac:dyDescent="0.25">
      <c r="A245" s="31" t="s">
        <v>3371</v>
      </c>
      <c r="B245" s="1149" t="s">
        <v>3598</v>
      </c>
      <c r="C245" s="1149" t="s">
        <v>3599</v>
      </c>
      <c r="D245" s="1245" t="s">
        <v>3600</v>
      </c>
      <c r="E245" s="1194" t="s">
        <v>3301</v>
      </c>
    </row>
    <row r="246" spans="1:5" x14ac:dyDescent="0.25">
      <c r="A246" s="420" t="s">
        <v>2056</v>
      </c>
      <c r="B246" s="1243">
        <f>'Q100a-geral'!$AF$1847</f>
        <v>515288</v>
      </c>
      <c r="C246" s="1048"/>
      <c r="D246" s="419">
        <f>B246/1000000</f>
        <v>0.51528799999999997</v>
      </c>
      <c r="E246" s="1248">
        <f>'Q100a-geral'!$AJ$1082</f>
        <v>9.3406593406593408E-2</v>
      </c>
    </row>
    <row r="247" spans="1:5" x14ac:dyDescent="0.25">
      <c r="A247" s="1233" t="s">
        <v>1371</v>
      </c>
      <c r="B247" s="1243">
        <f>'Q100a-geral'!AF1861</f>
        <v>603442</v>
      </c>
      <c r="C247" s="1048"/>
      <c r="D247" s="419">
        <f>B247/1000000</f>
        <v>0.60344200000000003</v>
      </c>
      <c r="E247" s="1249">
        <f>'Q100a-geral'!$AK$1075</f>
        <v>0</v>
      </c>
    </row>
    <row r="248" spans="1:5" x14ac:dyDescent="0.25">
      <c r="A248" s="420" t="s">
        <v>3477</v>
      </c>
      <c r="B248" s="1054" t="s">
        <v>1998</v>
      </c>
      <c r="C248" s="87">
        <f>'Q100a-geral'!$AM$1824</f>
        <v>1110000</v>
      </c>
      <c r="D248" s="1244">
        <f>C248/1000000</f>
        <v>1.1100000000000001</v>
      </c>
      <c r="E248" s="1250">
        <f>'Q100a-geral'!AE1099</f>
        <v>1</v>
      </c>
    </row>
    <row r="249" spans="1:5" x14ac:dyDescent="0.25">
      <c r="A249" s="420" t="s">
        <v>3360</v>
      </c>
      <c r="B249" s="1054" t="s">
        <v>1998</v>
      </c>
      <c r="C249" s="87">
        <f>'Q100a-geral'!$AM$1818</f>
        <v>1220000</v>
      </c>
      <c r="D249" s="1244">
        <f>C249/1000000</f>
        <v>1.22</v>
      </c>
      <c r="E249" s="1250">
        <f>'Q100a-geral'!AE1093</f>
        <v>0.99</v>
      </c>
    </row>
    <row r="250" spans="1:5" x14ac:dyDescent="0.25">
      <c r="A250" s="420" t="s">
        <v>3349</v>
      </c>
      <c r="B250" s="87">
        <f>'Q100a-geral'!AI1815</f>
        <v>869000</v>
      </c>
      <c r="C250" s="87">
        <f>'Q100a-geral'!$AM$1816</f>
        <v>1510000</v>
      </c>
      <c r="D250" s="1244">
        <f>C250/1000000</f>
        <v>1.51</v>
      </c>
      <c r="E250" s="1250">
        <f>'Q100a-geral'!AE1091</f>
        <v>1</v>
      </c>
    </row>
    <row r="251" spans="1:5" x14ac:dyDescent="0.25">
      <c r="A251" s="420" t="s">
        <v>3443</v>
      </c>
      <c r="B251" s="1054" t="s">
        <v>1998</v>
      </c>
      <c r="C251" s="1243">
        <f>'Q100a-geral'!$AM$1806</f>
        <v>1635000</v>
      </c>
      <c r="D251" s="1244">
        <f>C251/1000000</f>
        <v>1.635</v>
      </c>
      <c r="E251" s="1250">
        <f>'Q100a-geral'!AE1084</f>
        <v>1</v>
      </c>
    </row>
    <row r="252" spans="1:5" x14ac:dyDescent="0.25">
      <c r="A252" s="420" t="s">
        <v>1266</v>
      </c>
      <c r="B252" s="996">
        <f>'Q100a-geral'!AF1845</f>
        <v>1751907</v>
      </c>
      <c r="C252" s="1048"/>
      <c r="D252" s="419">
        <f>B252/1000000</f>
        <v>1.7519070000000001</v>
      </c>
      <c r="E252" s="1248">
        <f>'Q100a-geral'!$AK$1080</f>
        <v>4.3859649122807015E-3</v>
      </c>
    </row>
    <row r="253" spans="1:5" x14ac:dyDescent="0.25">
      <c r="A253" s="420" t="s">
        <v>3476</v>
      </c>
      <c r="B253" s="1054" t="s">
        <v>1998</v>
      </c>
      <c r="C253" s="1243">
        <f>'Q100a-geral'!$AM$1826</f>
        <v>1775000</v>
      </c>
      <c r="D253" s="1244">
        <f>C253/1000000</f>
        <v>1.7749999999999999</v>
      </c>
      <c r="E253" s="1250">
        <f>'Q100a-geral'!AE1104</f>
        <v>1</v>
      </c>
    </row>
    <row r="254" spans="1:5" x14ac:dyDescent="0.25">
      <c r="A254" s="420" t="s">
        <v>3444</v>
      </c>
      <c r="B254" s="1054" t="s">
        <v>1998</v>
      </c>
      <c r="C254" s="1243">
        <f>'Q100a-geral'!$AM$1813</f>
        <v>2105000</v>
      </c>
      <c r="D254" s="1244">
        <f>C254/1000000</f>
        <v>2.105</v>
      </c>
      <c r="E254" s="1250">
        <f>'Q100a-geral'!AE1088</f>
        <v>1</v>
      </c>
    </row>
    <row r="255" spans="1:5" x14ac:dyDescent="0.25">
      <c r="A255" s="420" t="s">
        <v>1306</v>
      </c>
      <c r="B255" s="1243">
        <f>'Q100a-geral'!AF1855</f>
        <v>2375151</v>
      </c>
      <c r="C255" s="1048"/>
      <c r="D255" s="419">
        <f>B255/1000000</f>
        <v>2.3751509999999998</v>
      </c>
      <c r="E255" s="1251">
        <f>'Q100a-geral'!AK1064</f>
        <v>0</v>
      </c>
    </row>
    <row r="256" spans="1:5" x14ac:dyDescent="0.25">
      <c r="A256" s="420" t="s">
        <v>3362</v>
      </c>
      <c r="B256" s="1054" t="s">
        <v>1998</v>
      </c>
      <c r="C256" s="1243">
        <f>'Q100a-geral'!$AM$1814</f>
        <v>2500000</v>
      </c>
      <c r="D256" s="1244">
        <f>C256/1000000</f>
        <v>2.5</v>
      </c>
      <c r="E256" s="1250">
        <f>'Q100a-geral'!AE1087</f>
        <v>0.21</v>
      </c>
    </row>
    <row r="257" spans="1:9" x14ac:dyDescent="0.25">
      <c r="A257" s="420" t="s">
        <v>4359</v>
      </c>
      <c r="B257" s="1243">
        <f>'Q100a-geral'!AF1882</f>
        <v>2508819</v>
      </c>
      <c r="C257" s="1048"/>
      <c r="D257" s="419">
        <f>B257/1000000</f>
        <v>2.5088189999999999</v>
      </c>
      <c r="E257" s="1251">
        <f>'Q100a-geral'!AK1077</f>
        <v>0</v>
      </c>
    </row>
    <row r="258" spans="1:9" x14ac:dyDescent="0.25">
      <c r="A258" s="420" t="s">
        <v>3336</v>
      </c>
      <c r="B258" s="1054" t="s">
        <v>1998</v>
      </c>
      <c r="C258" s="1243">
        <f>'Q100a-geral'!$AM$1807</f>
        <v>4740000</v>
      </c>
      <c r="D258" s="1244">
        <f>C258/1000000</f>
        <v>4.74</v>
      </c>
      <c r="E258" s="1250">
        <f>'Q100a-geral'!AE1085</f>
        <v>1</v>
      </c>
    </row>
    <row r="259" spans="1:9" x14ac:dyDescent="0.25">
      <c r="A259" s="420" t="s">
        <v>3446</v>
      </c>
      <c r="B259" s="1054" t="s">
        <v>1998</v>
      </c>
      <c r="C259" s="87">
        <f>'Q100a-geral'!$AM$1820</f>
        <v>6240000</v>
      </c>
      <c r="D259" s="1244">
        <f>C259/1000000</f>
        <v>6.24</v>
      </c>
      <c r="E259" s="1250">
        <f>'Q100a-geral'!AE1096</f>
        <v>1</v>
      </c>
    </row>
    <row r="260" spans="1:9" x14ac:dyDescent="0.25">
      <c r="A260" s="420" t="s">
        <v>3445</v>
      </c>
      <c r="B260" s="1054" t="s">
        <v>1998</v>
      </c>
      <c r="C260" s="87">
        <f>'Q100a-geral'!$AM$1819</f>
        <v>10350000</v>
      </c>
      <c r="D260" s="1244">
        <f>C260/1000000</f>
        <v>10.35</v>
      </c>
      <c r="E260" s="1250">
        <f>'Q100a-geral'!AE1094</f>
        <v>1</v>
      </c>
      <c r="G260" s="1303" t="s">
        <v>3589</v>
      </c>
    </row>
    <row r="261" spans="1:9" x14ac:dyDescent="0.25">
      <c r="A261" s="420" t="s">
        <v>3478</v>
      </c>
      <c r="B261" s="1054" t="s">
        <v>1998</v>
      </c>
      <c r="C261" s="87">
        <f>'Q100a-geral'!$AM$1819</f>
        <v>10350000</v>
      </c>
      <c r="D261" s="1244">
        <f>C261/1000000</f>
        <v>10.35</v>
      </c>
      <c r="E261" s="1250">
        <f>'Q100a-geral'!AE1097</f>
        <v>1</v>
      </c>
      <c r="G261" s="1247" t="s">
        <v>3588</v>
      </c>
    </row>
    <row r="262" spans="1:9" x14ac:dyDescent="0.25">
      <c r="A262" s="1241" t="s">
        <v>1705</v>
      </c>
      <c r="B262" s="1242">
        <f>'Q100a-geral'!AF1851</f>
        <v>11253503</v>
      </c>
      <c r="D262" s="1244">
        <f>B262/1000000</f>
        <v>11.253503</v>
      </c>
    </row>
    <row r="263" spans="1:9" x14ac:dyDescent="0.25">
      <c r="A263" s="1812" t="s">
        <v>3601</v>
      </c>
      <c r="B263" s="1812"/>
      <c r="C263" s="1812"/>
      <c r="D263" s="1812"/>
      <c r="E263" s="1812"/>
      <c r="H263" s="1388"/>
      <c r="I263" s="1388"/>
    </row>
    <row r="264" spans="1:9" ht="25.5" x14ac:dyDescent="0.25">
      <c r="A264" s="31" t="str">
        <f>A245</f>
        <v>cidade/região/AM</v>
      </c>
      <c r="B264" s="1234" t="str">
        <f>B245</f>
        <v>população cidade</v>
      </c>
      <c r="C264" s="1234" t="str">
        <f>C245</f>
        <v>população AM ou região</v>
      </c>
      <c r="D264" s="1234" t="str">
        <f>D245</f>
        <v>população do gráfico (milhões)</v>
      </c>
      <c r="E264" s="1150" t="str">
        <f>E245</f>
        <v>F tc pb (%)</v>
      </c>
      <c r="H264" s="1390"/>
      <c r="I264" s="1390"/>
    </row>
    <row r="265" spans="1:9" x14ac:dyDescent="0.25">
      <c r="A265" s="1233" t="s">
        <v>1371</v>
      </c>
      <c r="B265" s="1239" t="str">
        <f>B245</f>
        <v>população cidade</v>
      </c>
      <c r="C265" s="1239" t="str">
        <f>C245</f>
        <v>população AM ou região</v>
      </c>
      <c r="D265" s="1236" t="str">
        <f>D245</f>
        <v>população do gráfico (milhões)</v>
      </c>
      <c r="E265" s="507">
        <f>'Q100a-geral'!$AK$1075</f>
        <v>0</v>
      </c>
    </row>
    <row r="266" spans="1:9" x14ac:dyDescent="0.25">
      <c r="A266" s="420" t="s">
        <v>6291</v>
      </c>
      <c r="B266" s="1239" t="str">
        <f t="shared" ref="B266:D267" si="11">B248</f>
        <v>?</v>
      </c>
      <c r="C266" s="1239">
        <f t="shared" si="11"/>
        <v>1110000</v>
      </c>
      <c r="D266" s="1237">
        <f t="shared" si="11"/>
        <v>1.1100000000000001</v>
      </c>
      <c r="E266" s="95">
        <f>'Q100a-geral'!$AM$1062</f>
        <v>0</v>
      </c>
    </row>
    <row r="267" spans="1:9" x14ac:dyDescent="0.25">
      <c r="A267" s="420" t="s">
        <v>3442</v>
      </c>
      <c r="B267" s="1239" t="str">
        <f t="shared" si="11"/>
        <v>?</v>
      </c>
      <c r="C267" s="1239">
        <f t="shared" si="11"/>
        <v>1220000</v>
      </c>
      <c r="D267" s="1237">
        <f t="shared" si="11"/>
        <v>1.22</v>
      </c>
      <c r="E267" s="21">
        <f>'Q100a-geral'!AK1077</f>
        <v>0</v>
      </c>
    </row>
    <row r="268" spans="1:9" x14ac:dyDescent="0.25">
      <c r="A268" s="420" t="s">
        <v>4080</v>
      </c>
      <c r="B268" s="1252"/>
      <c r="C268" s="1253"/>
      <c r="D268" s="1238"/>
      <c r="E268" s="1454">
        <f>'Q100a-geral'!AK1072</f>
        <v>0</v>
      </c>
    </row>
    <row r="269" spans="1:9" x14ac:dyDescent="0.25">
      <c r="A269" s="420" t="s">
        <v>1266</v>
      </c>
      <c r="B269" s="1254" t="str">
        <f>B248</f>
        <v>?</v>
      </c>
      <c r="C269" s="1239">
        <f>C248</f>
        <v>1110000</v>
      </c>
      <c r="D269" s="1237">
        <f>D248</f>
        <v>1.1100000000000001</v>
      </c>
      <c r="E269" s="1455">
        <f>'Q100a-geral'!$AK$1080</f>
        <v>4.3859649122807015E-3</v>
      </c>
    </row>
    <row r="270" spans="1:9" x14ac:dyDescent="0.25">
      <c r="A270" s="420" t="s">
        <v>4094</v>
      </c>
      <c r="B270" s="1254"/>
      <c r="C270" s="1239"/>
      <c r="D270" s="1237"/>
      <c r="E270" s="1455">
        <f>'Q100a-geral'!$AB$1064</f>
        <v>5.3881602268699043E-2</v>
      </c>
    </row>
    <row r="271" spans="1:9" x14ac:dyDescent="0.25">
      <c r="A271" s="420" t="s">
        <v>2056</v>
      </c>
      <c r="B271" s="1239">
        <f t="shared" ref="B271:D272" si="12">B250</f>
        <v>869000</v>
      </c>
      <c r="C271" s="1239">
        <f t="shared" si="12"/>
        <v>1510000</v>
      </c>
      <c r="D271" s="1237">
        <f t="shared" si="12"/>
        <v>1.51</v>
      </c>
      <c r="E271" s="1455">
        <f>'Q100a-geral'!$AJ$1082</f>
        <v>9.3406593406593408E-2</v>
      </c>
    </row>
    <row r="272" spans="1:9" x14ac:dyDescent="0.25">
      <c r="A272" s="1452" t="s">
        <v>3362</v>
      </c>
      <c r="B272" s="1239" t="str">
        <f t="shared" si="12"/>
        <v>?</v>
      </c>
      <c r="C272" s="1239">
        <f t="shared" si="12"/>
        <v>1635000</v>
      </c>
      <c r="D272" s="1236">
        <f t="shared" si="12"/>
        <v>1.635</v>
      </c>
      <c r="E272" s="1460">
        <f>'Q100a-geral'!AE1087</f>
        <v>0.21</v>
      </c>
    </row>
    <row r="273" spans="1:5" x14ac:dyDescent="0.25">
      <c r="A273" s="1452" t="s">
        <v>4077</v>
      </c>
      <c r="B273" s="1255"/>
      <c r="C273" s="1239"/>
      <c r="D273" s="1235"/>
      <c r="E273" s="1453">
        <f>'Q100a-geral'!AK1068</f>
        <v>0.49972837158766809</v>
      </c>
    </row>
    <row r="274" spans="1:5" x14ac:dyDescent="0.25">
      <c r="A274" s="420" t="s">
        <v>3010</v>
      </c>
      <c r="B274" s="1255"/>
      <c r="C274" s="1239"/>
      <c r="D274" s="1235"/>
      <c r="E274" s="1461">
        <f>'Q100a-geral'!AE1092</f>
        <v>0.8</v>
      </c>
    </row>
    <row r="275" spans="1:5" x14ac:dyDescent="0.25">
      <c r="A275" s="420" t="s">
        <v>4076</v>
      </c>
      <c r="B275" s="1255"/>
      <c r="C275" s="1239"/>
      <c r="D275" s="1235"/>
      <c r="E275" s="1456">
        <f>'Q100a-geral'!AK1070</f>
        <v>0.8345429802676344</v>
      </c>
    </row>
    <row r="276" spans="1:5" x14ac:dyDescent="0.25">
      <c r="A276" s="1452" t="s">
        <v>3360</v>
      </c>
      <c r="B276" s="1239">
        <f t="shared" ref="B276:D285" si="13">B252</f>
        <v>1751907</v>
      </c>
      <c r="C276" s="1256">
        <f t="shared" si="13"/>
        <v>0</v>
      </c>
      <c r="D276" s="1236">
        <f t="shared" si="13"/>
        <v>1.7519070000000001</v>
      </c>
      <c r="E276" s="1460">
        <f>'Q100a-geral'!AE1093</f>
        <v>0.99</v>
      </c>
    </row>
    <row r="277" spans="1:5" x14ac:dyDescent="0.25">
      <c r="A277" s="1452" t="s">
        <v>3443</v>
      </c>
      <c r="B277" s="1239" t="str">
        <f t="shared" si="13"/>
        <v>?</v>
      </c>
      <c r="C277" s="1239">
        <f t="shared" si="13"/>
        <v>1775000</v>
      </c>
      <c r="D277" s="1236">
        <f t="shared" si="13"/>
        <v>1.7749999999999999</v>
      </c>
      <c r="E277" s="1460">
        <f>'Q100a-geral'!AE1084</f>
        <v>1</v>
      </c>
    </row>
    <row r="278" spans="1:5" x14ac:dyDescent="0.25">
      <c r="A278" s="1452" t="s">
        <v>3336</v>
      </c>
      <c r="B278" s="1239" t="str">
        <f t="shared" si="13"/>
        <v>?</v>
      </c>
      <c r="C278" s="1239">
        <f t="shared" si="13"/>
        <v>2105000</v>
      </c>
      <c r="D278" s="1236">
        <f t="shared" si="13"/>
        <v>2.105</v>
      </c>
      <c r="E278" s="1460">
        <f>'Q100a-geral'!AE1085</f>
        <v>1</v>
      </c>
    </row>
    <row r="279" spans="1:5" x14ac:dyDescent="0.25">
      <c r="A279" s="1452" t="s">
        <v>3444</v>
      </c>
      <c r="B279" s="1239">
        <f t="shared" si="13"/>
        <v>2375151</v>
      </c>
      <c r="C279" s="1239">
        <f t="shared" si="13"/>
        <v>0</v>
      </c>
      <c r="D279" s="1236">
        <f t="shared" si="13"/>
        <v>2.3751509999999998</v>
      </c>
      <c r="E279" s="1460">
        <f>'Q100a-geral'!AE1088</f>
        <v>1</v>
      </c>
    </row>
    <row r="280" spans="1:5" x14ac:dyDescent="0.25">
      <c r="A280" s="420" t="s">
        <v>3349</v>
      </c>
      <c r="B280" s="1256" t="str">
        <f t="shared" si="13"/>
        <v>?</v>
      </c>
      <c r="C280" s="1256">
        <f t="shared" si="13"/>
        <v>2500000</v>
      </c>
      <c r="D280" s="1236">
        <f t="shared" si="13"/>
        <v>2.5</v>
      </c>
      <c r="E280" s="1302">
        <f>'Q100a-geral'!AE1091</f>
        <v>1</v>
      </c>
    </row>
    <row r="281" spans="1:5" x14ac:dyDescent="0.25">
      <c r="A281" s="420" t="s">
        <v>3445</v>
      </c>
      <c r="B281" s="1239">
        <f t="shared" si="13"/>
        <v>2508819</v>
      </c>
      <c r="C281" s="1256">
        <f t="shared" si="13"/>
        <v>0</v>
      </c>
      <c r="D281" s="1236">
        <f t="shared" si="13"/>
        <v>2.5088189999999999</v>
      </c>
      <c r="E281" s="1302">
        <f>'Q100a-geral'!AE1094</f>
        <v>1</v>
      </c>
    </row>
    <row r="282" spans="1:5" x14ac:dyDescent="0.25">
      <c r="A282" s="1452" t="s">
        <v>3446</v>
      </c>
      <c r="B282" s="1239" t="str">
        <f t="shared" si="13"/>
        <v>?</v>
      </c>
      <c r="C282" s="1256">
        <f t="shared" si="13"/>
        <v>4740000</v>
      </c>
      <c r="D282" s="1236">
        <f t="shared" si="13"/>
        <v>4.74</v>
      </c>
      <c r="E282" s="1460">
        <f>'Q100a-geral'!AE1096</f>
        <v>1</v>
      </c>
    </row>
    <row r="283" spans="1:5" x14ac:dyDescent="0.25">
      <c r="A283" s="420" t="s">
        <v>3478</v>
      </c>
      <c r="B283" s="1239" t="str">
        <f t="shared" si="13"/>
        <v>?</v>
      </c>
      <c r="C283" s="1256">
        <f t="shared" si="13"/>
        <v>6240000</v>
      </c>
      <c r="D283" s="1236">
        <f t="shared" si="13"/>
        <v>6.24</v>
      </c>
      <c r="E283" s="1302">
        <f>'Q100a-geral'!AE1097</f>
        <v>1</v>
      </c>
    </row>
    <row r="284" spans="1:5" x14ac:dyDescent="0.25">
      <c r="A284" s="1452" t="s">
        <v>3477</v>
      </c>
      <c r="B284" s="1239" t="str">
        <f t="shared" si="13"/>
        <v>?</v>
      </c>
      <c r="C284" s="1256">
        <f t="shared" si="13"/>
        <v>10350000</v>
      </c>
      <c r="D284" s="1236">
        <f t="shared" si="13"/>
        <v>10.35</v>
      </c>
      <c r="E284" s="1460">
        <f>'Q100a-geral'!AE1099</f>
        <v>1</v>
      </c>
    </row>
    <row r="285" spans="1:5" x14ac:dyDescent="0.25">
      <c r="A285" s="420" t="s">
        <v>3476</v>
      </c>
      <c r="B285" s="1239" t="str">
        <f t="shared" si="13"/>
        <v>?</v>
      </c>
      <c r="C285" s="1239">
        <f t="shared" si="13"/>
        <v>10350000</v>
      </c>
      <c r="D285" s="1236">
        <f t="shared" si="13"/>
        <v>10.35</v>
      </c>
      <c r="E285" s="1302">
        <f>'Q100a-geral'!AE1104</f>
        <v>1</v>
      </c>
    </row>
    <row r="290" spans="1:5" x14ac:dyDescent="0.25">
      <c r="A290" s="1817" t="s">
        <v>3766</v>
      </c>
      <c r="B290" s="1817"/>
      <c r="C290" s="1817" t="s">
        <v>4893</v>
      </c>
      <c r="D290" s="1817"/>
    </row>
    <row r="291" spans="1:5" x14ac:dyDescent="0.25">
      <c r="A291" s="1171" t="s">
        <v>3360</v>
      </c>
      <c r="B291" s="1114">
        <v>13.0655</v>
      </c>
      <c r="C291" s="1383" t="s">
        <v>4897</v>
      </c>
      <c r="D291" s="122">
        <f>'Q100a-geral'!W1994</f>
        <v>11.56803</v>
      </c>
      <c r="E291" s="1179"/>
    </row>
    <row r="292" spans="1:5" x14ac:dyDescent="0.25">
      <c r="A292" s="1171" t="s">
        <v>3349</v>
      </c>
      <c r="B292" s="1114">
        <v>14.661</v>
      </c>
      <c r="C292" s="1383" t="s">
        <v>4898</v>
      </c>
      <c r="D292" s="122">
        <f>'Q100a-geral'!X1994</f>
        <v>13.903360000000001</v>
      </c>
    </row>
    <row r="293" spans="1:5" x14ac:dyDescent="0.25">
      <c r="A293" s="1181" t="s">
        <v>1284</v>
      </c>
      <c r="B293" s="1182">
        <v>17</v>
      </c>
      <c r="C293" s="1383" t="s">
        <v>4899</v>
      </c>
      <c r="D293" s="122">
        <f>'Q100a-geral'!Y1994</f>
        <v>21.12659</v>
      </c>
    </row>
    <row r="294" spans="1:5" x14ac:dyDescent="0.25">
      <c r="A294" s="379" t="s">
        <v>3354</v>
      </c>
      <c r="B294" s="1114">
        <v>17.745999999999999</v>
      </c>
      <c r="C294" s="1383" t="s">
        <v>4900</v>
      </c>
      <c r="D294" s="122">
        <f>'Q100a-geral'!Z1994</f>
        <v>15.532660000000002</v>
      </c>
    </row>
    <row r="295" spans="1:5" x14ac:dyDescent="0.25">
      <c r="A295" s="379" t="s">
        <v>3341</v>
      </c>
      <c r="B295" s="1114">
        <v>18.003</v>
      </c>
      <c r="C295" s="1383" t="s">
        <v>4901</v>
      </c>
      <c r="D295" s="122">
        <f>'Q100a-geral'!AA1994</f>
        <v>11.67665</v>
      </c>
    </row>
    <row r="296" spans="1:5" x14ac:dyDescent="0.25">
      <c r="A296" s="379" t="s">
        <v>3351</v>
      </c>
      <c r="B296" s="1114">
        <v>18.085999999999999</v>
      </c>
      <c r="C296" s="1383" t="s">
        <v>4902</v>
      </c>
      <c r="D296" s="122">
        <f>'Q100a-geral'!AB1994</f>
        <v>14.06629</v>
      </c>
    </row>
    <row r="297" spans="1:5" x14ac:dyDescent="0.25">
      <c r="A297" s="379" t="s">
        <v>3361</v>
      </c>
      <c r="B297" s="1114">
        <v>21</v>
      </c>
      <c r="C297" s="1383" t="s">
        <v>4903</v>
      </c>
      <c r="D297" s="122">
        <f>'Q100a-geral'!AC1994</f>
        <v>14.174910000000002</v>
      </c>
    </row>
    <row r="298" spans="1:5" x14ac:dyDescent="0.25">
      <c r="A298" s="379" t="s">
        <v>3348</v>
      </c>
      <c r="B298" s="1114">
        <v>21.282499999999999</v>
      </c>
      <c r="C298" s="1383" t="s">
        <v>4904</v>
      </c>
      <c r="D298" s="122">
        <f>'Q100a-geral'!AD1994</f>
        <v>15.098180000000001</v>
      </c>
    </row>
    <row r="299" spans="1:5" x14ac:dyDescent="0.25">
      <c r="A299" s="379" t="s">
        <v>3339</v>
      </c>
      <c r="B299" s="1114">
        <v>21.48</v>
      </c>
      <c r="C299" s="1383" t="s">
        <v>4905</v>
      </c>
      <c r="D299" s="122">
        <f>'Q100a-geral'!AE1994</f>
        <v>15.206800000000001</v>
      </c>
    </row>
    <row r="300" spans="1:5" x14ac:dyDescent="0.25">
      <c r="A300" s="379" t="s">
        <v>3357</v>
      </c>
      <c r="B300" s="1114">
        <v>21.518000000000001</v>
      </c>
      <c r="C300" s="1383" t="s">
        <v>4906</v>
      </c>
      <c r="D300" s="122">
        <f>'Q100a-geral'!AF1994</f>
        <v>16.999030000000001</v>
      </c>
    </row>
    <row r="301" spans="1:5" x14ac:dyDescent="0.25">
      <c r="A301" s="1171" t="s">
        <v>3446</v>
      </c>
      <c r="B301" s="1114">
        <v>21.754714285714282</v>
      </c>
      <c r="C301" s="1383" t="s">
        <v>4907</v>
      </c>
      <c r="D301" s="122">
        <f>'Q100a-geral'!AG1994</f>
        <v>28.078270000000003</v>
      </c>
    </row>
    <row r="302" spans="1:5" x14ac:dyDescent="0.25">
      <c r="A302" s="1171" t="s">
        <v>3445</v>
      </c>
      <c r="B302" s="1183">
        <v>21.809333333333331</v>
      </c>
      <c r="C302" s="1383" t="s">
        <v>4908</v>
      </c>
      <c r="D302" s="122">
        <f>'Q100a-geral'!AH1994</f>
        <v>16.51024</v>
      </c>
    </row>
    <row r="303" spans="1:5" x14ac:dyDescent="0.25">
      <c r="A303" s="379" t="s">
        <v>3337</v>
      </c>
      <c r="B303" s="1114">
        <v>22.137</v>
      </c>
      <c r="C303" s="1383" t="s">
        <v>4896</v>
      </c>
      <c r="D303" s="185">
        <f>'Q100a-geral'!AJ1993</f>
        <v>12</v>
      </c>
    </row>
    <row r="304" spans="1:5" x14ac:dyDescent="0.25">
      <c r="A304" s="1171" t="s">
        <v>3770</v>
      </c>
      <c r="B304" s="1114">
        <v>22.560500000000001</v>
      </c>
      <c r="C304" s="1383" t="s">
        <v>4895</v>
      </c>
      <c r="D304" s="185">
        <f>'Q100a-geral'!AJ1992</f>
        <v>19</v>
      </c>
    </row>
    <row r="305" spans="1:5" x14ac:dyDescent="0.25">
      <c r="A305" s="379" t="s">
        <v>3342</v>
      </c>
      <c r="B305" s="1114">
        <v>23.588000000000001</v>
      </c>
      <c r="C305" s="1383" t="s">
        <v>4894</v>
      </c>
      <c r="D305" s="185">
        <f>'Q100a-geral'!AJ1991</f>
        <v>45</v>
      </c>
    </row>
    <row r="306" spans="1:5" x14ac:dyDescent="0.25">
      <c r="A306" s="1171" t="s">
        <v>3478</v>
      </c>
      <c r="B306" s="1114">
        <v>23.598500000000001</v>
      </c>
    </row>
    <row r="307" spans="1:5" x14ac:dyDescent="0.25">
      <c r="A307" s="1180" t="s">
        <v>3781</v>
      </c>
      <c r="B307" s="1184">
        <v>24.2</v>
      </c>
    </row>
    <row r="308" spans="1:5" x14ac:dyDescent="0.25">
      <c r="A308" s="379" t="s">
        <v>3347</v>
      </c>
      <c r="B308" s="1114">
        <v>24.484000000000002</v>
      </c>
      <c r="E308" s="1050"/>
    </row>
    <row r="309" spans="1:5" x14ac:dyDescent="0.25">
      <c r="A309" s="1180" t="s">
        <v>3779</v>
      </c>
      <c r="B309" s="1184">
        <v>24.6</v>
      </c>
      <c r="E309" s="1050"/>
    </row>
    <row r="310" spans="1:5" x14ac:dyDescent="0.25">
      <c r="A310" s="1171" t="s">
        <v>3443</v>
      </c>
      <c r="B310" s="1114">
        <v>24.718499999999999</v>
      </c>
      <c r="E310" s="1050"/>
    </row>
    <row r="311" spans="1:5" x14ac:dyDescent="0.25">
      <c r="A311" s="1171" t="s">
        <v>3336</v>
      </c>
      <c r="B311" s="1114">
        <v>24.902000000000001</v>
      </c>
      <c r="E311" s="1050"/>
    </row>
    <row r="312" spans="1:5" x14ac:dyDescent="0.25">
      <c r="A312" s="379" t="s">
        <v>3425</v>
      </c>
      <c r="B312" s="1185">
        <v>25.263999999999999</v>
      </c>
      <c r="E312" s="1050"/>
    </row>
    <row r="313" spans="1:5" x14ac:dyDescent="0.25">
      <c r="A313" s="379" t="s">
        <v>3346</v>
      </c>
      <c r="B313" s="1114">
        <v>25.825500000000002</v>
      </c>
      <c r="E313" s="1050"/>
    </row>
    <row r="314" spans="1:5" x14ac:dyDescent="0.25">
      <c r="A314" s="1171" t="s">
        <v>3444</v>
      </c>
      <c r="B314" s="1114">
        <v>26.515999999999998</v>
      </c>
      <c r="E314" s="1050"/>
    </row>
    <row r="315" spans="1:5" x14ac:dyDescent="0.25">
      <c r="A315" s="1171" t="s">
        <v>3476</v>
      </c>
      <c r="B315" s="1114">
        <v>27.272500000000001</v>
      </c>
      <c r="E315" s="1050"/>
    </row>
    <row r="316" spans="1:5" x14ac:dyDescent="0.25">
      <c r="A316" s="1171" t="s">
        <v>3477</v>
      </c>
      <c r="B316" s="1114">
        <v>28.881</v>
      </c>
      <c r="E316" s="1050"/>
    </row>
    <row r="317" spans="1:5" x14ac:dyDescent="0.25">
      <c r="A317" s="1180" t="s">
        <v>3780</v>
      </c>
      <c r="B317" s="1184">
        <v>30.2</v>
      </c>
      <c r="E317" s="1050"/>
    </row>
    <row r="318" spans="1:5" x14ac:dyDescent="0.25">
      <c r="A318" s="355" t="s">
        <v>3778</v>
      </c>
      <c r="B318" s="1114">
        <v>30.4</v>
      </c>
      <c r="E318" s="1050"/>
    </row>
    <row r="319" spans="1:5" x14ac:dyDescent="0.25">
      <c r="A319" s="958" t="s">
        <v>3774</v>
      </c>
      <c r="B319" s="1186">
        <v>30.6</v>
      </c>
      <c r="E319" s="1050"/>
    </row>
    <row r="320" spans="1:5" x14ac:dyDescent="0.25">
      <c r="A320" s="1181" t="s">
        <v>3782</v>
      </c>
      <c r="B320" s="1182">
        <v>30.7</v>
      </c>
      <c r="E320" s="1050"/>
    </row>
    <row r="321" spans="1:5" x14ac:dyDescent="0.25">
      <c r="A321" s="379" t="s">
        <v>3344</v>
      </c>
      <c r="B321" s="1114">
        <v>30.998000000000001</v>
      </c>
      <c r="E321" s="1050"/>
    </row>
    <row r="322" spans="1:5" x14ac:dyDescent="0.25">
      <c r="A322" s="379" t="s">
        <v>3352</v>
      </c>
      <c r="B322" s="1185">
        <v>31.477</v>
      </c>
      <c r="E322" s="1050"/>
    </row>
    <row r="323" spans="1:5" x14ac:dyDescent="0.25">
      <c r="A323" s="1181" t="s">
        <v>1266</v>
      </c>
      <c r="B323" s="1182">
        <v>31.478571428571424</v>
      </c>
      <c r="C323" s="1181"/>
      <c r="D323" s="1182"/>
      <c r="E323" s="1050"/>
    </row>
    <row r="324" spans="1:5" x14ac:dyDescent="0.25">
      <c r="A324" s="379" t="s">
        <v>3358</v>
      </c>
      <c r="B324" s="1114">
        <v>31.619</v>
      </c>
      <c r="C324" s="379"/>
      <c r="D324" s="1114"/>
      <c r="E324" s="1050"/>
    </row>
    <row r="325" spans="1:5" x14ac:dyDescent="0.25">
      <c r="A325" s="1180" t="s">
        <v>3779</v>
      </c>
      <c r="B325" s="1184">
        <v>32.9</v>
      </c>
      <c r="E325" s="1050"/>
    </row>
    <row r="326" spans="1:5" x14ac:dyDescent="0.25">
      <c r="A326" s="1171" t="s">
        <v>3362</v>
      </c>
      <c r="B326" s="1114">
        <v>33.237666666666662</v>
      </c>
      <c r="C326" s="1372"/>
      <c r="D326" s="1114"/>
      <c r="E326" s="1050"/>
    </row>
    <row r="327" spans="1:5" x14ac:dyDescent="0.25">
      <c r="A327" s="958" t="s">
        <v>3775</v>
      </c>
      <c r="B327" s="1186">
        <v>34.1</v>
      </c>
      <c r="E327" s="1050"/>
    </row>
    <row r="328" spans="1:5" x14ac:dyDescent="0.25">
      <c r="A328" s="1181" t="s">
        <v>1705</v>
      </c>
      <c r="B328" s="1182">
        <v>34.555555555555557</v>
      </c>
      <c r="C328" s="1181"/>
      <c r="D328" s="1182"/>
      <c r="E328" s="1050"/>
    </row>
    <row r="329" spans="1:5" x14ac:dyDescent="0.25">
      <c r="A329" s="958" t="s">
        <v>3776</v>
      </c>
      <c r="B329" s="1186">
        <v>36.5</v>
      </c>
      <c r="E329" s="1050"/>
    </row>
    <row r="330" spans="1:5" x14ac:dyDescent="0.25">
      <c r="A330" s="958" t="s">
        <v>3777</v>
      </c>
      <c r="B330" s="1186">
        <v>38.700000000000003</v>
      </c>
      <c r="E330" s="1050"/>
    </row>
    <row r="331" spans="1:5" x14ac:dyDescent="0.25">
      <c r="A331" s="1171" t="s">
        <v>3355</v>
      </c>
      <c r="B331" s="1114">
        <v>39.085999999999999</v>
      </c>
      <c r="C331" s="1372"/>
      <c r="D331" s="1114"/>
      <c r="E331" s="1050"/>
    </row>
    <row r="332" spans="1:5" x14ac:dyDescent="0.25">
      <c r="A332" s="1181" t="s">
        <v>3783</v>
      </c>
      <c r="B332" s="1182">
        <v>42.633333333333333</v>
      </c>
      <c r="E332" s="1050"/>
    </row>
    <row r="333" spans="1:5" x14ac:dyDescent="0.25">
      <c r="A333" s="379" t="s">
        <v>1772</v>
      </c>
      <c r="B333" s="1114">
        <v>47.6</v>
      </c>
      <c r="C333" s="379"/>
      <c r="D333" s="1114"/>
      <c r="E333" s="1050"/>
    </row>
    <row r="334" spans="1:5" x14ac:dyDescent="0.25">
      <c r="A334" s="958" t="s">
        <v>3773</v>
      </c>
      <c r="B334" s="1186">
        <v>49.7</v>
      </c>
      <c r="E334" s="1050"/>
    </row>
    <row r="335" spans="1:5" x14ac:dyDescent="0.25">
      <c r="A335" s="958" t="s">
        <v>3772</v>
      </c>
      <c r="B335" s="1187">
        <v>50.6</v>
      </c>
      <c r="E335" s="1050"/>
    </row>
    <row r="336" spans="1:5" x14ac:dyDescent="0.25">
      <c r="A336" s="1181" t="s">
        <v>3784</v>
      </c>
      <c r="B336" s="1182">
        <v>51.7</v>
      </c>
      <c r="E336" s="1050"/>
    </row>
    <row r="337" spans="1:5" x14ac:dyDescent="0.25">
      <c r="A337" s="379" t="s">
        <v>3340</v>
      </c>
      <c r="B337" s="1114">
        <v>58.822000000000003</v>
      </c>
      <c r="C337" s="379"/>
      <c r="D337" s="1114"/>
      <c r="E337" s="1050"/>
    </row>
    <row r="339" spans="1:5" x14ac:dyDescent="0.25">
      <c r="A339" s="1811" t="s">
        <v>3787</v>
      </c>
      <c r="B339" s="1811"/>
    </row>
    <row r="340" spans="1:5" x14ac:dyDescent="0.25">
      <c r="A340" s="355" t="s">
        <v>1284</v>
      </c>
      <c r="B340" s="1189">
        <v>17</v>
      </c>
    </row>
    <row r="341" spans="1:5" x14ac:dyDescent="0.25">
      <c r="A341" s="355" t="s">
        <v>1274</v>
      </c>
      <c r="B341" s="1189">
        <v>21</v>
      </c>
    </row>
    <row r="342" spans="1:5" x14ac:dyDescent="0.25">
      <c r="A342" s="355" t="s">
        <v>1280</v>
      </c>
      <c r="B342" s="1189">
        <v>22</v>
      </c>
    </row>
    <row r="343" spans="1:5" x14ac:dyDescent="0.25">
      <c r="A343" s="355" t="s">
        <v>1290</v>
      </c>
      <c r="B343" s="1189">
        <v>23</v>
      </c>
    </row>
    <row r="344" spans="1:5" x14ac:dyDescent="0.25">
      <c r="A344" s="1191" t="s">
        <v>3781</v>
      </c>
      <c r="B344" s="1189">
        <v>24.2</v>
      </c>
    </row>
    <row r="345" spans="1:5" x14ac:dyDescent="0.25">
      <c r="A345" s="1191" t="s">
        <v>3779</v>
      </c>
      <c r="B345" s="1189">
        <v>24.6</v>
      </c>
    </row>
    <row r="346" spans="1:5" x14ac:dyDescent="0.25">
      <c r="A346" s="355" t="s">
        <v>1294</v>
      </c>
      <c r="B346" s="1189">
        <v>25</v>
      </c>
    </row>
    <row r="347" spans="1:5" x14ac:dyDescent="0.25">
      <c r="A347" s="355" t="s">
        <v>1270</v>
      </c>
      <c r="B347" s="1189">
        <v>26</v>
      </c>
    </row>
    <row r="348" spans="1:5" x14ac:dyDescent="0.25">
      <c r="A348" s="355" t="s">
        <v>1272</v>
      </c>
      <c r="B348" s="1189">
        <v>29</v>
      </c>
    </row>
    <row r="349" spans="1:5" x14ac:dyDescent="0.25">
      <c r="A349" s="957" t="s">
        <v>1261</v>
      </c>
      <c r="B349" s="1189">
        <v>30</v>
      </c>
    </row>
    <row r="350" spans="1:5" x14ac:dyDescent="0.25">
      <c r="A350" s="355" t="s">
        <v>1268</v>
      </c>
      <c r="B350" s="1189">
        <v>30</v>
      </c>
    </row>
    <row r="351" spans="1:5" x14ac:dyDescent="0.25">
      <c r="A351" s="355" t="s">
        <v>1281</v>
      </c>
      <c r="B351" s="1189">
        <v>30</v>
      </c>
    </row>
    <row r="352" spans="1:5" x14ac:dyDescent="0.25">
      <c r="A352" s="1191" t="s">
        <v>3781</v>
      </c>
      <c r="B352" s="1189">
        <v>30.2</v>
      </c>
    </row>
    <row r="353" spans="1:2" x14ac:dyDescent="0.25">
      <c r="A353" s="355" t="s">
        <v>4298</v>
      </c>
      <c r="B353" s="1188">
        <v>30.4</v>
      </c>
    </row>
    <row r="354" spans="1:2" x14ac:dyDescent="0.25">
      <c r="A354" s="958" t="s">
        <v>3774</v>
      </c>
      <c r="B354" s="1331">
        <v>30.6</v>
      </c>
    </row>
    <row r="355" spans="1:2" x14ac:dyDescent="0.25">
      <c r="A355" s="1190" t="s">
        <v>3782</v>
      </c>
      <c r="B355" s="1189">
        <v>30.7</v>
      </c>
    </row>
    <row r="356" spans="1:2" x14ac:dyDescent="0.25">
      <c r="A356" s="958" t="s">
        <v>1260</v>
      </c>
      <c r="B356" s="1189">
        <v>30.909999999999997</v>
      </c>
    </row>
    <row r="357" spans="1:2" x14ac:dyDescent="0.25">
      <c r="A357" s="957" t="s">
        <v>1259</v>
      </c>
      <c r="B357" s="1189">
        <v>31</v>
      </c>
    </row>
    <row r="358" spans="1:2" x14ac:dyDescent="0.25">
      <c r="A358" s="957" t="s">
        <v>1262</v>
      </c>
      <c r="B358" s="1189">
        <v>31</v>
      </c>
    </row>
    <row r="359" spans="1:2" x14ac:dyDescent="0.25">
      <c r="A359" s="355" t="s">
        <v>1279</v>
      </c>
      <c r="B359" s="1189">
        <v>31</v>
      </c>
    </row>
    <row r="360" spans="1:2" x14ac:dyDescent="0.25">
      <c r="A360" s="355" t="s">
        <v>1266</v>
      </c>
      <c r="B360" s="1189">
        <v>31.478571428571424</v>
      </c>
    </row>
    <row r="361" spans="1:2" x14ac:dyDescent="0.25">
      <c r="A361" s="355" t="s">
        <v>1277</v>
      </c>
      <c r="B361" s="1189">
        <v>32</v>
      </c>
    </row>
    <row r="362" spans="1:2" x14ac:dyDescent="0.25">
      <c r="A362" s="355" t="s">
        <v>1292</v>
      </c>
      <c r="B362" s="1189">
        <v>32</v>
      </c>
    </row>
    <row r="363" spans="1:2" x14ac:dyDescent="0.25">
      <c r="A363" s="1191" t="s">
        <v>3779</v>
      </c>
      <c r="B363" s="1189">
        <v>32.9</v>
      </c>
    </row>
    <row r="364" spans="1:2" x14ac:dyDescent="0.25">
      <c r="A364" s="355" t="s">
        <v>1271</v>
      </c>
      <c r="B364" s="1189">
        <v>33</v>
      </c>
    </row>
    <row r="365" spans="1:2" x14ac:dyDescent="0.25">
      <c r="A365" s="957" t="s">
        <v>1257</v>
      </c>
      <c r="B365" s="1189">
        <v>34</v>
      </c>
    </row>
    <row r="366" spans="1:2" x14ac:dyDescent="0.25">
      <c r="A366" s="958" t="s">
        <v>1263</v>
      </c>
      <c r="B366" s="1189">
        <v>34</v>
      </c>
    </row>
    <row r="367" spans="1:2" x14ac:dyDescent="0.25">
      <c r="A367" s="958" t="s">
        <v>3775</v>
      </c>
      <c r="B367" s="1186">
        <v>34.1</v>
      </c>
    </row>
    <row r="368" spans="1:2" x14ac:dyDescent="0.25">
      <c r="A368" s="355" t="s">
        <v>1291</v>
      </c>
      <c r="B368" s="1189">
        <v>34.555555555555557</v>
      </c>
    </row>
    <row r="369" spans="1:2" x14ac:dyDescent="0.25">
      <c r="A369" s="355" t="s">
        <v>1267</v>
      </c>
      <c r="B369" s="1189">
        <v>35</v>
      </c>
    </row>
    <row r="370" spans="1:2" x14ac:dyDescent="0.25">
      <c r="A370" s="355" t="s">
        <v>1275</v>
      </c>
      <c r="B370" s="1189">
        <v>35</v>
      </c>
    </row>
    <row r="371" spans="1:2" x14ac:dyDescent="0.25">
      <c r="A371" s="355" t="s">
        <v>1287</v>
      </c>
      <c r="B371" s="1189">
        <v>35</v>
      </c>
    </row>
    <row r="372" spans="1:2" x14ac:dyDescent="0.25">
      <c r="A372" s="355" t="s">
        <v>1293</v>
      </c>
      <c r="B372" s="1189">
        <v>35</v>
      </c>
    </row>
    <row r="373" spans="1:2" x14ac:dyDescent="0.25">
      <c r="A373" s="355" t="s">
        <v>1286</v>
      </c>
      <c r="B373" s="1189">
        <v>35.5</v>
      </c>
    </row>
    <row r="374" spans="1:2" x14ac:dyDescent="0.25">
      <c r="A374" s="958" t="s">
        <v>3776</v>
      </c>
      <c r="B374" s="1188">
        <v>36.5</v>
      </c>
    </row>
    <row r="375" spans="1:2" x14ac:dyDescent="0.25">
      <c r="A375" s="958" t="s">
        <v>1264</v>
      </c>
      <c r="B375" s="1189">
        <v>38</v>
      </c>
    </row>
    <row r="376" spans="1:2" x14ac:dyDescent="0.25">
      <c r="A376" s="355" t="s">
        <v>1289</v>
      </c>
      <c r="B376" s="1189">
        <v>38</v>
      </c>
    </row>
    <row r="377" spans="1:2" x14ac:dyDescent="0.25">
      <c r="A377" s="958" t="s">
        <v>3777</v>
      </c>
      <c r="B377" s="1188">
        <v>38.700000000000003</v>
      </c>
    </row>
    <row r="378" spans="1:2" x14ac:dyDescent="0.25">
      <c r="A378" s="958" t="s">
        <v>1258</v>
      </c>
      <c r="B378" s="1189">
        <v>39</v>
      </c>
    </row>
    <row r="379" spans="1:2" x14ac:dyDescent="0.25">
      <c r="A379" s="355" t="s">
        <v>1288</v>
      </c>
      <c r="B379" s="1189">
        <v>39</v>
      </c>
    </row>
    <row r="380" spans="1:2" x14ac:dyDescent="0.25">
      <c r="A380" s="355" t="s">
        <v>1278</v>
      </c>
      <c r="B380" s="1189">
        <v>41.5</v>
      </c>
    </row>
    <row r="381" spans="1:2" x14ac:dyDescent="0.25">
      <c r="A381" s="355" t="s">
        <v>3783</v>
      </c>
      <c r="B381" s="1188">
        <v>42.633333333333333</v>
      </c>
    </row>
    <row r="382" spans="1:2" x14ac:dyDescent="0.25">
      <c r="A382" s="355" t="s">
        <v>1276</v>
      </c>
      <c r="B382" s="1189">
        <v>45</v>
      </c>
    </row>
    <row r="383" spans="1:2" x14ac:dyDescent="0.25">
      <c r="A383" s="355" t="s">
        <v>1265</v>
      </c>
      <c r="B383" s="1189">
        <v>45.7</v>
      </c>
    </row>
    <row r="384" spans="1:2" x14ac:dyDescent="0.25">
      <c r="A384" s="355" t="s">
        <v>1273</v>
      </c>
      <c r="B384" s="1189">
        <v>46</v>
      </c>
    </row>
    <row r="385" spans="1:4" x14ac:dyDescent="0.25">
      <c r="A385" s="958" t="s">
        <v>3773</v>
      </c>
      <c r="B385" s="1189">
        <v>49.7</v>
      </c>
    </row>
    <row r="386" spans="1:4" x14ac:dyDescent="0.25">
      <c r="A386" s="355" t="s">
        <v>1282</v>
      </c>
      <c r="B386" s="1189">
        <v>50</v>
      </c>
    </row>
    <row r="387" spans="1:4" x14ac:dyDescent="0.25">
      <c r="A387" s="958" t="s">
        <v>3772</v>
      </c>
      <c r="B387" s="1188">
        <v>50.6</v>
      </c>
    </row>
    <row r="388" spans="1:4" x14ac:dyDescent="0.25">
      <c r="A388" s="355" t="s">
        <v>3785</v>
      </c>
      <c r="B388" s="1188">
        <v>51.7</v>
      </c>
    </row>
    <row r="389" spans="1:4" x14ac:dyDescent="0.25">
      <c r="A389" s="355" t="s">
        <v>1283</v>
      </c>
      <c r="B389" s="1189">
        <v>67</v>
      </c>
    </row>
    <row r="390" spans="1:4" x14ac:dyDescent="0.25">
      <c r="A390" s="355" t="s">
        <v>1285</v>
      </c>
      <c r="B390" s="1189">
        <v>81</v>
      </c>
    </row>
    <row r="392" spans="1:4" x14ac:dyDescent="0.25">
      <c r="A392" s="1814" t="s">
        <v>3983</v>
      </c>
      <c r="B392" s="1815"/>
      <c r="C392" s="1815"/>
      <c r="D392" s="1816"/>
    </row>
    <row r="393" spans="1:4" ht="15.75" x14ac:dyDescent="0.25">
      <c r="A393" s="724" t="s">
        <v>4080</v>
      </c>
      <c r="B393" s="747">
        <v>10</v>
      </c>
      <c r="C393" s="747">
        <v>6</v>
      </c>
      <c r="D393" s="1232">
        <f>'Q100a-geral'!AK1224</f>
        <v>1.9241706161137442</v>
      </c>
    </row>
    <row r="394" spans="1:4" ht="15.75" x14ac:dyDescent="0.25">
      <c r="A394" s="724" t="s">
        <v>4075</v>
      </c>
      <c r="B394" s="747">
        <v>10</v>
      </c>
      <c r="C394" s="747">
        <v>6</v>
      </c>
      <c r="D394" s="64">
        <f>para_graficos!AK434</f>
        <v>2.0558410414525521</v>
      </c>
    </row>
    <row r="395" spans="1:4" ht="15.75" x14ac:dyDescent="0.25">
      <c r="A395" s="724" t="s">
        <v>2368</v>
      </c>
      <c r="B395" s="747">
        <v>10</v>
      </c>
      <c r="C395" s="747">
        <v>6</v>
      </c>
      <c r="D395" s="64">
        <f>para_graficos!AJ433</f>
        <v>2.3159340659340661</v>
      </c>
    </row>
    <row r="396" spans="1:4" ht="15.75" x14ac:dyDescent="0.25">
      <c r="A396" s="724" t="s">
        <v>2366</v>
      </c>
      <c r="B396" s="747">
        <v>10</v>
      </c>
      <c r="C396" s="747">
        <v>6</v>
      </c>
      <c r="D396" s="64">
        <f>para_graficos!AK431</f>
        <v>2.808383233532934</v>
      </c>
    </row>
    <row r="397" spans="1:4" ht="15.75" x14ac:dyDescent="0.25">
      <c r="A397" s="724" t="s">
        <v>4110</v>
      </c>
      <c r="B397" s="747">
        <v>10</v>
      </c>
      <c r="C397" s="747">
        <v>6</v>
      </c>
      <c r="D397" s="64">
        <f>para_graficos!AK430</f>
        <v>2.9635036496350367</v>
      </c>
    </row>
    <row r="398" spans="1:4" ht="15.75" x14ac:dyDescent="0.25">
      <c r="A398" s="724" t="s">
        <v>4111</v>
      </c>
      <c r="B398" s="747">
        <v>10</v>
      </c>
      <c r="C398" s="747">
        <v>6</v>
      </c>
      <c r="D398" s="64">
        <f>para_graficos!AK428</f>
        <v>3.0946196660482377</v>
      </c>
    </row>
    <row r="399" spans="1:4" ht="15.75" x14ac:dyDescent="0.25">
      <c r="A399" s="724" t="s">
        <v>6275</v>
      </c>
      <c r="B399" s="747">
        <v>10</v>
      </c>
      <c r="C399" s="747">
        <v>6</v>
      </c>
      <c r="D399" s="64">
        <f>para_graficos!AM429</f>
        <v>3.2660115215181293</v>
      </c>
    </row>
    <row r="400" spans="1:4" ht="15.75" x14ac:dyDescent="0.25">
      <c r="A400" s="724" t="s">
        <v>4077</v>
      </c>
      <c r="B400" s="747">
        <v>10</v>
      </c>
      <c r="C400" s="747">
        <v>6</v>
      </c>
      <c r="D400" s="1232">
        <f>'Q100a-geral'!AK1222</f>
        <v>4.0922857530897732</v>
      </c>
    </row>
    <row r="401" spans="1:4" ht="15.75" x14ac:dyDescent="0.25">
      <c r="A401" s="724" t="s">
        <v>2367</v>
      </c>
      <c r="B401" s="747">
        <v>10</v>
      </c>
      <c r="C401" s="747">
        <v>6</v>
      </c>
      <c r="D401" s="64">
        <f>para_graficos!AK432</f>
        <v>5.1169590643274852</v>
      </c>
    </row>
    <row r="402" spans="1:4" ht="15.75" x14ac:dyDescent="0.25">
      <c r="A402" s="724" t="s">
        <v>4076</v>
      </c>
      <c r="B402" s="747">
        <v>10</v>
      </c>
      <c r="C402" s="747">
        <v>6</v>
      </c>
      <c r="D402" s="1232">
        <f>'Q100a-geral'!AK1223</f>
        <v>5.5449081424359266</v>
      </c>
    </row>
    <row r="404" spans="1:4" x14ac:dyDescent="0.25">
      <c r="A404" s="1811" t="s">
        <v>3984</v>
      </c>
      <c r="B404" s="1811"/>
      <c r="C404" s="1257"/>
      <c r="D404" s="1258"/>
    </row>
    <row r="405" spans="1:4" ht="15.75" x14ac:dyDescent="0.25">
      <c r="A405" s="845" t="s">
        <v>2573</v>
      </c>
      <c r="B405" s="125">
        <f>'Q100a-geral'!AK1029</f>
        <v>0.51673517322372287</v>
      </c>
    </row>
    <row r="406" spans="1:4" ht="15.75" x14ac:dyDescent="0.25">
      <c r="A406" s="845" t="s">
        <v>4075</v>
      </c>
      <c r="B406" s="125">
        <f>'Q100a-geral'!AK1031</f>
        <v>0.75779376498800954</v>
      </c>
    </row>
    <row r="407" spans="1:4" ht="15.75" x14ac:dyDescent="0.25">
      <c r="A407" s="845" t="s">
        <v>2368</v>
      </c>
      <c r="B407" s="125">
        <f>'Q100a-geral'!AK1027</f>
        <v>0.76454293628808867</v>
      </c>
    </row>
    <row r="408" spans="1:4" ht="15.75" x14ac:dyDescent="0.25">
      <c r="A408" s="845" t="s">
        <v>4076</v>
      </c>
      <c r="B408" s="125">
        <f>'Q100a-geral'!AK1036</f>
        <v>0.8345429802676344</v>
      </c>
    </row>
    <row r="409" spans="1:4" ht="15.75" x14ac:dyDescent="0.25">
      <c r="A409" s="845" t="s">
        <v>4077</v>
      </c>
      <c r="B409" s="125">
        <f>'Q100a-geral'!AK1035</f>
        <v>0.87050115442075238</v>
      </c>
    </row>
    <row r="410" spans="1:4" ht="15.75" x14ac:dyDescent="0.25">
      <c r="A410" s="845" t="s">
        <v>2366</v>
      </c>
      <c r="B410" s="125">
        <f>'Q100a-geral'!AJ1023</f>
        <v>0.90419161676646709</v>
      </c>
    </row>
    <row r="411" spans="1:4" ht="15.75" x14ac:dyDescent="0.25">
      <c r="A411" s="845" t="s">
        <v>4078</v>
      </c>
      <c r="B411" s="125">
        <f>'Q100a-geral'!AK1017</f>
        <v>0.91756756756756752</v>
      </c>
    </row>
    <row r="412" spans="1:4" ht="15.75" x14ac:dyDescent="0.25">
      <c r="A412" s="1204" t="s">
        <v>4079</v>
      </c>
      <c r="B412" s="125">
        <f>'Q100a-geral'!$AK$1015</f>
        <v>0.92300556586270877</v>
      </c>
    </row>
    <row r="413" spans="1:4" ht="15.75" x14ac:dyDescent="0.25">
      <c r="A413" s="845" t="s">
        <v>4080</v>
      </c>
      <c r="B413" s="125">
        <f>'Q100a-geral'!AK1037</f>
        <v>0.92417061611374407</v>
      </c>
    </row>
    <row r="414" spans="1:4" ht="15.75" x14ac:dyDescent="0.25">
      <c r="A414" s="845" t="s">
        <v>2367</v>
      </c>
      <c r="B414" s="125">
        <f>'Q100a-geral'!AK1025</f>
        <v>0.92690058479532167</v>
      </c>
    </row>
    <row r="415" spans="1:4" ht="15.75" x14ac:dyDescent="0.25">
      <c r="A415" s="845" t="s">
        <v>4081</v>
      </c>
      <c r="B415" s="125">
        <f>'Q100a-geral'!AK1021</f>
        <v>0.98175182481751821</v>
      </c>
    </row>
    <row r="417" spans="1:9" x14ac:dyDescent="0.25">
      <c r="C417" s="1813" t="s">
        <v>1705</v>
      </c>
      <c r="D417" s="1813"/>
      <c r="E417" s="1813" t="s">
        <v>1306</v>
      </c>
      <c r="F417" s="1813"/>
      <c r="G417" s="1312" t="s">
        <v>4116</v>
      </c>
      <c r="I417" s="1316" t="s">
        <v>1371</v>
      </c>
    </row>
    <row r="418" spans="1:9" x14ac:dyDescent="0.25">
      <c r="A418" s="358" t="s">
        <v>2628</v>
      </c>
      <c r="C418" s="358" t="s">
        <v>2628</v>
      </c>
      <c r="D418" s="1048"/>
      <c r="E418" s="1320" t="s">
        <v>2628</v>
      </c>
      <c r="G418" s="421">
        <v>1</v>
      </c>
      <c r="H418" s="358" t="s">
        <v>2628</v>
      </c>
      <c r="I418" s="84">
        <f>'Q100a-geral'!$AJ$1050</f>
        <v>32</v>
      </c>
    </row>
    <row r="419" spans="1:9" x14ac:dyDescent="0.25">
      <c r="A419" s="358" t="s">
        <v>2284</v>
      </c>
      <c r="C419" s="358" t="s">
        <v>2283</v>
      </c>
      <c r="D419" s="1048"/>
      <c r="E419" s="1320" t="s">
        <v>2283</v>
      </c>
      <c r="F419" s="20">
        <f>'Q100a-geral'!$AK$921</f>
        <v>382</v>
      </c>
      <c r="G419" s="421">
        <v>2</v>
      </c>
      <c r="H419" s="358" t="s">
        <v>2283</v>
      </c>
    </row>
    <row r="420" spans="1:9" ht="25.5" x14ac:dyDescent="0.25">
      <c r="A420" s="358" t="s">
        <v>2355</v>
      </c>
      <c r="C420" s="358" t="s">
        <v>2284</v>
      </c>
      <c r="D420" s="1048"/>
      <c r="E420" s="1320" t="s">
        <v>2284</v>
      </c>
      <c r="F420" s="20">
        <f>'Q100a-geral'!$AK$934</f>
        <v>2175</v>
      </c>
      <c r="G420" s="421">
        <v>3</v>
      </c>
      <c r="H420" s="358" t="s">
        <v>2284</v>
      </c>
    </row>
    <row r="421" spans="1:9" ht="38.25" x14ac:dyDescent="0.25">
      <c r="A421" s="358" t="s">
        <v>2022</v>
      </c>
      <c r="C421" s="1291" t="s">
        <v>4109</v>
      </c>
      <c r="D421" s="1048"/>
      <c r="E421" s="1321" t="s">
        <v>4108</v>
      </c>
      <c r="F421" s="84">
        <f>'Q100a-geral'!$AK$897</f>
        <v>318</v>
      </c>
      <c r="G421" s="421">
        <v>4</v>
      </c>
      <c r="H421" s="1309" t="s">
        <v>4109</v>
      </c>
    </row>
    <row r="422" spans="1:9" ht="38.25" x14ac:dyDescent="0.25">
      <c r="C422" s="1291" t="s">
        <v>4108</v>
      </c>
      <c r="D422" s="1048"/>
      <c r="E422" s="1320" t="s">
        <v>2355</v>
      </c>
      <c r="F422" s="84">
        <f>'Q100a-geral'!$AK$971</f>
        <v>110</v>
      </c>
      <c r="G422" s="421">
        <v>5</v>
      </c>
      <c r="H422" s="1309" t="s">
        <v>4108</v>
      </c>
    </row>
    <row r="423" spans="1:9" ht="25.5" x14ac:dyDescent="0.25">
      <c r="C423" s="358" t="s">
        <v>2353</v>
      </c>
      <c r="D423" s="1048"/>
      <c r="E423" s="1322" t="s">
        <v>2134</v>
      </c>
      <c r="F423" s="1319">
        <f ca="1">SUM(F418:F427)</f>
        <v>3234</v>
      </c>
      <c r="G423" s="421">
        <v>6</v>
      </c>
      <c r="H423" s="358" t="s">
        <v>2353</v>
      </c>
    </row>
    <row r="424" spans="1:9" ht="25.5" x14ac:dyDescent="0.25">
      <c r="C424" s="358" t="s">
        <v>2354</v>
      </c>
      <c r="D424" s="1048"/>
      <c r="E424" s="1050"/>
      <c r="G424" s="421">
        <v>7</v>
      </c>
      <c r="H424" s="358" t="s">
        <v>2354</v>
      </c>
    </row>
    <row r="425" spans="1:9" ht="25.5" x14ac:dyDescent="0.25">
      <c r="C425" s="358" t="s">
        <v>2355</v>
      </c>
      <c r="D425" s="1048"/>
      <c r="E425" s="1050"/>
      <c r="G425" s="421">
        <v>8</v>
      </c>
      <c r="H425" s="358" t="s">
        <v>2355</v>
      </c>
    </row>
    <row r="426" spans="1:9" ht="25.5" x14ac:dyDescent="0.25">
      <c r="C426" s="358" t="s">
        <v>2356</v>
      </c>
      <c r="D426" s="1048"/>
      <c r="E426" s="1050"/>
      <c r="G426" s="421">
        <v>9</v>
      </c>
      <c r="H426" s="358" t="s">
        <v>2356</v>
      </c>
    </row>
    <row r="427" spans="1:9" x14ac:dyDescent="0.25">
      <c r="C427" s="358" t="s">
        <v>2022</v>
      </c>
      <c r="D427" s="1048"/>
      <c r="E427" s="1050"/>
      <c r="G427" s="421">
        <v>10</v>
      </c>
      <c r="H427" s="358" t="s">
        <v>2022</v>
      </c>
    </row>
    <row r="428" spans="1:9" x14ac:dyDescent="0.25">
      <c r="C428" s="240" t="s">
        <v>2134</v>
      </c>
      <c r="D428" s="1048"/>
      <c r="E428" s="1050"/>
      <c r="H428" s="240" t="s">
        <v>2134</v>
      </c>
      <c r="I428" s="1308">
        <f>SUM(I418:I427)</f>
        <v>32</v>
      </c>
    </row>
    <row r="429" spans="1:9" x14ac:dyDescent="0.25">
      <c r="A429" s="1813" t="s">
        <v>1266</v>
      </c>
      <c r="B429" s="1813"/>
    </row>
    <row r="430" spans="1:9" x14ac:dyDescent="0.25">
      <c r="A430" s="358" t="s">
        <v>2628</v>
      </c>
      <c r="B430" s="1307">
        <f>'Q100a-geral'!$AK$1051</f>
        <v>100</v>
      </c>
      <c r="C430" s="358" t="s">
        <v>2628</v>
      </c>
      <c r="E430" s="358" t="s">
        <v>2628</v>
      </c>
      <c r="F430" s="87">
        <f>'Q100a-geral'!$AK$1042</f>
        <v>249</v>
      </c>
    </row>
    <row r="431" spans="1:9" x14ac:dyDescent="0.25">
      <c r="A431" s="358" t="s">
        <v>2491</v>
      </c>
      <c r="B431" s="1306">
        <f>'Q100a-geral'!$AK$940</f>
        <v>824</v>
      </c>
      <c r="C431" s="358" t="s">
        <v>2491</v>
      </c>
      <c r="E431" s="358" t="s">
        <v>2491</v>
      </c>
    </row>
    <row r="432" spans="1:9" x14ac:dyDescent="0.25">
      <c r="C432"/>
    </row>
    <row r="433" spans="1:5" ht="38.25" x14ac:dyDescent="0.25">
      <c r="A433" s="358" t="s">
        <v>4156</v>
      </c>
      <c r="B433" s="1306">
        <v>6</v>
      </c>
      <c r="C433" s="358" t="s">
        <v>4156</v>
      </c>
      <c r="E433" s="358" t="s">
        <v>4156</v>
      </c>
    </row>
    <row r="434" spans="1:5" ht="25.5" x14ac:dyDescent="0.25">
      <c r="A434" s="358" t="s">
        <v>4157</v>
      </c>
      <c r="B434" s="1306">
        <v>438</v>
      </c>
      <c r="C434" s="358" t="s">
        <v>4157</v>
      </c>
      <c r="E434" s="358" t="s">
        <v>4157</v>
      </c>
    </row>
    <row r="435" spans="1:5" x14ac:dyDescent="0.25">
      <c r="A435" s="240" t="s">
        <v>2134</v>
      </c>
      <c r="B435" s="1308">
        <f>SUM(B430:B434)</f>
        <v>1368</v>
      </c>
      <c r="C435" s="240" t="s">
        <v>2134</v>
      </c>
      <c r="E435" s="240" t="s">
        <v>2134</v>
      </c>
    </row>
    <row r="438" spans="1:5" x14ac:dyDescent="0.25">
      <c r="A438" s="1233" t="s">
        <v>1371</v>
      </c>
      <c r="B438" s="1239" t="str">
        <f>B265</f>
        <v>população cidade</v>
      </c>
      <c r="C438" s="1239" t="str">
        <f>C265</f>
        <v>população AM ou região</v>
      </c>
      <c r="D438" s="1236" t="str">
        <f>D265</f>
        <v>população do gráfico (milhões)</v>
      </c>
      <c r="E438" s="112">
        <f>E265</f>
        <v>0</v>
      </c>
    </row>
    <row r="439" spans="1:5" x14ac:dyDescent="0.25">
      <c r="A439" s="420" t="s">
        <v>4096</v>
      </c>
      <c r="B439" s="1239"/>
      <c r="C439" s="1239"/>
      <c r="D439" s="1237"/>
      <c r="E439" s="47">
        <f>'Q100a-geral'!$AK$954</f>
        <v>0</v>
      </c>
    </row>
    <row r="440" spans="1:5" x14ac:dyDescent="0.25">
      <c r="A440" s="420" t="s">
        <v>3442</v>
      </c>
      <c r="B440" s="1239" t="str">
        <f t="shared" ref="B440:E441" si="14">B267</f>
        <v>?</v>
      </c>
      <c r="C440" s="1239">
        <f t="shared" si="14"/>
        <v>1220000</v>
      </c>
      <c r="D440" s="1237">
        <f t="shared" si="14"/>
        <v>1.22</v>
      </c>
      <c r="E440" s="47">
        <f t="shared" si="14"/>
        <v>0</v>
      </c>
    </row>
    <row r="441" spans="1:5" x14ac:dyDescent="0.25">
      <c r="A441" s="420" t="s">
        <v>4080</v>
      </c>
      <c r="B441" s="1252">
        <f t="shared" si="14"/>
        <v>0</v>
      </c>
      <c r="C441" s="1253">
        <f t="shared" si="14"/>
        <v>0</v>
      </c>
      <c r="D441" s="1238">
        <f t="shared" si="14"/>
        <v>0</v>
      </c>
      <c r="E441" s="1301">
        <f t="shared" si="14"/>
        <v>0</v>
      </c>
    </row>
    <row r="442" spans="1:5" x14ac:dyDescent="0.25">
      <c r="A442" s="420" t="s">
        <v>4093</v>
      </c>
      <c r="B442" s="1239" t="str">
        <f>B266</f>
        <v>?</v>
      </c>
      <c r="C442" s="1239">
        <f>C266</f>
        <v>1110000</v>
      </c>
      <c r="D442" s="1237">
        <f>D266</f>
        <v>1.1100000000000001</v>
      </c>
      <c r="E442" s="1304">
        <f>'Q100a-geral'!$AK$950</f>
        <v>3.4013605442176874E-2</v>
      </c>
    </row>
    <row r="443" spans="1:5" x14ac:dyDescent="0.25">
      <c r="A443" s="420" t="s">
        <v>4095</v>
      </c>
      <c r="B443" s="1239"/>
      <c r="C443" s="1239"/>
      <c r="D443" s="1237"/>
      <c r="E443" s="47">
        <f>'Q100a-geral'!$AK$952</f>
        <v>3.7162162162162164E-2</v>
      </c>
    </row>
    <row r="447" spans="1:5" x14ac:dyDescent="0.25">
      <c r="A447" s="1811" t="s">
        <v>5961</v>
      </c>
      <c r="B447" s="1811"/>
    </row>
    <row r="448" spans="1:5" ht="15.75" x14ac:dyDescent="0.25">
      <c r="A448" s="753" t="s">
        <v>6289</v>
      </c>
      <c r="B448" s="1579">
        <f>'Q100a-geral'!$AM$954</f>
        <v>0</v>
      </c>
    </row>
    <row r="449" spans="1:2" ht="15.75" x14ac:dyDescent="0.25">
      <c r="A449" s="753" t="s">
        <v>2465</v>
      </c>
      <c r="B449" s="1121">
        <f>'Q100a-geral'!$AK$956</f>
        <v>0</v>
      </c>
    </row>
    <row r="450" spans="1:2" ht="15.75" x14ac:dyDescent="0.25">
      <c r="A450" s="1204" t="s">
        <v>3987</v>
      </c>
      <c r="B450" s="1121">
        <f>'Q100a-geral'!$AK$968</f>
        <v>0</v>
      </c>
    </row>
    <row r="451" spans="1:2" ht="15.75" x14ac:dyDescent="0.25">
      <c r="A451" s="1450" t="s">
        <v>3991</v>
      </c>
      <c r="B451" s="1451">
        <f>'Q100a-geral'!$AK$950</f>
        <v>3.4013605442176874E-2</v>
      </c>
    </row>
    <row r="452" spans="1:2" ht="15.75" x14ac:dyDescent="0.25">
      <c r="A452" s="753" t="s">
        <v>4075</v>
      </c>
      <c r="B452" s="1305">
        <f>'Q100a-geral'!$AK$962</f>
        <v>3.5286056868790681E-2</v>
      </c>
    </row>
    <row r="453" spans="1:2" ht="15.75" x14ac:dyDescent="0.25">
      <c r="A453" s="753" t="s">
        <v>6288</v>
      </c>
      <c r="B453" s="1305">
        <f>'Q100a-geral'!$AM$952</f>
        <v>3.7275499830565911E-2</v>
      </c>
    </row>
    <row r="454" spans="1:2" ht="15.75" x14ac:dyDescent="0.25">
      <c r="A454" s="753" t="s">
        <v>4099</v>
      </c>
      <c r="B454" s="1305">
        <f>'Q100a-geral'!$AB$952</f>
        <v>5.3881602268699043E-2</v>
      </c>
    </row>
    <row r="455" spans="1:2" ht="15.75" x14ac:dyDescent="0.25">
      <c r="A455" s="753" t="s">
        <v>2466</v>
      </c>
      <c r="B455" s="1305">
        <f>'Q100a-geral'!$AJ$960</f>
        <v>9.3406593406593408E-2</v>
      </c>
    </row>
    <row r="456" spans="1:2" x14ac:dyDescent="0.25">
      <c r="A456" s="1452" t="s">
        <v>3362</v>
      </c>
      <c r="B456" s="1462">
        <f>E272</f>
        <v>0.21</v>
      </c>
    </row>
    <row r="457" spans="1:2" ht="15.75" x14ac:dyDescent="0.25">
      <c r="A457" s="753" t="s">
        <v>2367</v>
      </c>
      <c r="B457" s="1305">
        <f>'Q100a-geral'!$AK$958</f>
        <v>0.32456140350877194</v>
      </c>
    </row>
    <row r="458" spans="1:2" ht="15.75" x14ac:dyDescent="0.25">
      <c r="A458" s="1450" t="s">
        <v>3985</v>
      </c>
      <c r="B458" s="1451">
        <f>'Q100a-geral'!$AK$964</f>
        <v>0.49972837158766809</v>
      </c>
    </row>
    <row r="459" spans="1:2" ht="15.75" x14ac:dyDescent="0.25">
      <c r="A459" s="1449" t="s">
        <v>5983</v>
      </c>
      <c r="B459" s="1463">
        <f>'Q100a-geral'!AE1092</f>
        <v>0.8</v>
      </c>
    </row>
    <row r="460" spans="1:2" ht="15.75" x14ac:dyDescent="0.25">
      <c r="A460" s="1204" t="s">
        <v>3986</v>
      </c>
      <c r="B460" s="1304">
        <f>'Q100a-geral'!$AK$966</f>
        <v>0.8345429802676344</v>
      </c>
    </row>
    <row r="461" spans="1:2" x14ac:dyDescent="0.25">
      <c r="A461" s="1452" t="s">
        <v>3360</v>
      </c>
      <c r="B461" s="1462">
        <f t="shared" ref="B461:B470" si="15">E276</f>
        <v>0.99</v>
      </c>
    </row>
    <row r="462" spans="1:2" x14ac:dyDescent="0.25">
      <c r="A462" s="1452" t="s">
        <v>3443</v>
      </c>
      <c r="B462" s="1462">
        <f t="shared" si="15"/>
        <v>1</v>
      </c>
    </row>
    <row r="463" spans="1:2" x14ac:dyDescent="0.25">
      <c r="A463" s="1452" t="s">
        <v>3336</v>
      </c>
      <c r="B463" s="1462">
        <f t="shared" si="15"/>
        <v>1</v>
      </c>
    </row>
    <row r="464" spans="1:2" x14ac:dyDescent="0.25">
      <c r="A464" s="1452" t="s">
        <v>3444</v>
      </c>
      <c r="B464" s="1462">
        <f t="shared" si="15"/>
        <v>1</v>
      </c>
    </row>
    <row r="465" spans="1:2" x14ac:dyDescent="0.25">
      <c r="A465" s="420" t="s">
        <v>3349</v>
      </c>
      <c r="B465" s="1302">
        <f t="shared" si="15"/>
        <v>1</v>
      </c>
    </row>
    <row r="466" spans="1:2" x14ac:dyDescent="0.25">
      <c r="A466" s="420" t="s">
        <v>3445</v>
      </c>
      <c r="B466" s="1302">
        <f t="shared" si="15"/>
        <v>1</v>
      </c>
    </row>
    <row r="467" spans="1:2" x14ac:dyDescent="0.25">
      <c r="A467" s="1452" t="s">
        <v>3446</v>
      </c>
      <c r="B467" s="1462">
        <f t="shared" si="15"/>
        <v>1</v>
      </c>
    </row>
    <row r="468" spans="1:2" x14ac:dyDescent="0.25">
      <c r="A468" s="420" t="s">
        <v>3478</v>
      </c>
      <c r="B468" s="1302">
        <f t="shared" si="15"/>
        <v>1</v>
      </c>
    </row>
    <row r="469" spans="1:2" x14ac:dyDescent="0.25">
      <c r="A469" s="1452" t="s">
        <v>3477</v>
      </c>
      <c r="B469" s="1462">
        <f t="shared" si="15"/>
        <v>1</v>
      </c>
    </row>
    <row r="470" spans="1:2" x14ac:dyDescent="0.25">
      <c r="A470" s="420" t="s">
        <v>3476</v>
      </c>
      <c r="B470" s="1302">
        <f t="shared" si="15"/>
        <v>1</v>
      </c>
    </row>
    <row r="476" spans="1:2" x14ac:dyDescent="0.25">
      <c r="A476" s="1814" t="s">
        <v>5979</v>
      </c>
      <c r="B476" s="1816"/>
    </row>
    <row r="477" spans="1:2" ht="15.75" x14ac:dyDescent="0.25">
      <c r="A477" s="1449" t="s">
        <v>4099</v>
      </c>
      <c r="B477" s="112">
        <f>'Q100a-geral'!$AB$1064</f>
        <v>5.3881602268699043E-2</v>
      </c>
    </row>
    <row r="478" spans="1:2" ht="15.75" x14ac:dyDescent="0.25">
      <c r="A478" s="1449" t="s">
        <v>4102</v>
      </c>
      <c r="B478" s="507">
        <f>'Q100a-geral'!$AK$1066</f>
        <v>0</v>
      </c>
    </row>
    <row r="479" spans="1:2" ht="15.75" x14ac:dyDescent="0.25">
      <c r="A479" s="1449" t="s">
        <v>3990</v>
      </c>
      <c r="B479" s="507">
        <f>'Q100a-geral'!$AK$1064</f>
        <v>0</v>
      </c>
    </row>
    <row r="480" spans="1:2" x14ac:dyDescent="0.25">
      <c r="A480" s="1458" t="str">
        <f>'Q100a-geral'!E1089</f>
        <v>Cádiz</v>
      </c>
      <c r="B480" s="174">
        <f>'Q100a-geral'!AE1089</f>
        <v>0.13</v>
      </c>
    </row>
    <row r="481" spans="1:2" x14ac:dyDescent="0.25">
      <c r="A481" s="1459" t="str">
        <f>'Q100a-geral'!E1087</f>
        <v>Budapeste</v>
      </c>
      <c r="B481" s="174">
        <f>'Q100a-geral'!AE1087</f>
        <v>0.21</v>
      </c>
    </row>
    <row r="482" spans="1:2" x14ac:dyDescent="0.25">
      <c r="A482" s="1459" t="str">
        <f>'Q100a-geral'!E1098</f>
        <v>Praga</v>
      </c>
      <c r="B482" s="174">
        <f>'Q100a-geral'!AE1098</f>
        <v>0.4</v>
      </c>
    </row>
    <row r="483" spans="1:2" x14ac:dyDescent="0.25">
      <c r="A483" s="1459" t="str">
        <f>'Q100a-geral'!E1105</f>
        <v>Vilnius</v>
      </c>
      <c r="B483" s="174">
        <f>'Q100a-geral'!AE1105</f>
        <v>0.5</v>
      </c>
    </row>
    <row r="484" spans="1:2" x14ac:dyDescent="0.25">
      <c r="A484" s="1459" t="str">
        <f>'Q100a-geral'!E1101</f>
        <v>Turim</v>
      </c>
      <c r="B484" s="174">
        <f>'Q100a-geral'!AE1101</f>
        <v>0.56000000000000005</v>
      </c>
    </row>
    <row r="485" spans="1:2" x14ac:dyDescent="0.25">
      <c r="A485" s="1459" t="str">
        <f>'Q100a-geral'!E1095</f>
        <v>Lyon</v>
      </c>
      <c r="B485" s="174">
        <f>'Q100a-geral'!AE1095</f>
        <v>0.67</v>
      </c>
    </row>
    <row r="486" spans="1:2" x14ac:dyDescent="0.25">
      <c r="A486" s="1459" t="str">
        <f>'Q100a-geral'!E1103</f>
        <v>Varsóvia</v>
      </c>
      <c r="B486" s="174">
        <f>'Q100a-geral'!AE1103</f>
        <v>0.76</v>
      </c>
    </row>
    <row r="487" spans="1:2" x14ac:dyDescent="0.25">
      <c r="A487" s="1459" t="str">
        <f>'Q100a-geral'!E1092</f>
        <v>Europa</v>
      </c>
      <c r="B487" s="174">
        <f>'Q100a-geral'!AE1092</f>
        <v>0.8</v>
      </c>
    </row>
    <row r="488" spans="1:2" x14ac:dyDescent="0.25">
      <c r="A488" s="1459" t="str">
        <f>'Q100a-geral'!E1100</f>
        <v>Sheffield</v>
      </c>
      <c r="B488" s="174">
        <f>'Q100a-geral'!AE1100</f>
        <v>0.83</v>
      </c>
    </row>
    <row r="489" spans="1:2" x14ac:dyDescent="0.25">
      <c r="A489" s="1457" t="s">
        <v>3986</v>
      </c>
      <c r="B489" s="1302">
        <f>'Q100a-geral'!AK1070</f>
        <v>0.8345429802676344</v>
      </c>
    </row>
    <row r="490" spans="1:2" x14ac:dyDescent="0.25">
      <c r="A490" s="1459" t="str">
        <f>'Q100a-geral'!E1086</f>
        <v>Birmingham</v>
      </c>
      <c r="B490" s="174">
        <f>'Q100a-geral'!AE1086</f>
        <v>0.88</v>
      </c>
    </row>
    <row r="491" spans="1:2" x14ac:dyDescent="0.25">
      <c r="A491" s="1459" t="str">
        <f>'Q100a-geral'!E1090</f>
        <v>Copenhagem</v>
      </c>
      <c r="B491" s="174">
        <f>'Q100a-geral'!AE1090</f>
        <v>0.95</v>
      </c>
    </row>
    <row r="492" spans="1:2" x14ac:dyDescent="0.25">
      <c r="A492" s="1459" t="str">
        <f>'Q100a-geral'!E1102</f>
        <v>Valência</v>
      </c>
      <c r="B492" s="174">
        <f>'Q100a-geral'!AE1102</f>
        <v>0.96</v>
      </c>
    </row>
    <row r="493" spans="1:2" x14ac:dyDescent="0.25">
      <c r="A493" s="1459" t="str">
        <f>'Q100a-geral'!E1093</f>
        <v>Helsinque</v>
      </c>
      <c r="B493" s="174">
        <f>'Q100a-geral'!AE1093</f>
        <v>0.99</v>
      </c>
    </row>
    <row r="494" spans="1:2" x14ac:dyDescent="0.25">
      <c r="A494" s="1459" t="str">
        <f>'Q100a-geral'!E1084</f>
        <v>Amsterdan</v>
      </c>
      <c r="B494" s="174">
        <f>'Q100a-geral'!AE1084</f>
        <v>1</v>
      </c>
    </row>
    <row r="495" spans="1:2" x14ac:dyDescent="0.25">
      <c r="A495" s="1459" t="str">
        <f>'Q100a-geral'!E1104</f>
        <v>Viena</v>
      </c>
      <c r="B495" s="174">
        <f>'Q100a-geral'!AE1104</f>
        <v>1</v>
      </c>
    </row>
    <row r="496" spans="1:2" x14ac:dyDescent="0.25">
      <c r="A496" s="1459" t="str">
        <f>'Q100a-geral'!E1099</f>
        <v>Sevilha</v>
      </c>
      <c r="B496" s="174">
        <f>'Q100a-geral'!AE1099</f>
        <v>1</v>
      </c>
    </row>
    <row r="497" spans="1:2" x14ac:dyDescent="0.25">
      <c r="A497" s="1459" t="str">
        <f>'Q100a-geral'!E1097</f>
        <v>Paris</v>
      </c>
      <c r="B497" s="174">
        <f>'Q100a-geral'!AE1097</f>
        <v>1</v>
      </c>
    </row>
    <row r="498" spans="1:2" x14ac:dyDescent="0.25">
      <c r="A498" s="1459" t="str">
        <f>'Q100a-geral'!E1096</f>
        <v>Madri</v>
      </c>
      <c r="B498" s="174">
        <f>'Q100a-geral'!AE1096</f>
        <v>1</v>
      </c>
    </row>
    <row r="499" spans="1:2" x14ac:dyDescent="0.25">
      <c r="A499" s="1459" t="str">
        <f>'Q100a-geral'!E1094</f>
        <v>Londres</v>
      </c>
      <c r="B499" s="174">
        <f>'Q100a-geral'!AE1094</f>
        <v>1</v>
      </c>
    </row>
    <row r="500" spans="1:2" x14ac:dyDescent="0.25">
      <c r="A500" s="1459" t="str">
        <f>'Q100a-geral'!E1091</f>
        <v>Estocolmo</v>
      </c>
      <c r="B500" s="174">
        <f>'Q100a-geral'!AE1091</f>
        <v>1</v>
      </c>
    </row>
    <row r="501" spans="1:2" x14ac:dyDescent="0.25">
      <c r="A501" s="1459" t="str">
        <f>'Q100a-geral'!E1088</f>
        <v>Bruxelas</v>
      </c>
      <c r="B501" s="174">
        <f>'Q100a-geral'!AE1088</f>
        <v>1</v>
      </c>
    </row>
    <row r="502" spans="1:2" x14ac:dyDescent="0.25">
      <c r="A502" s="1459" t="str">
        <f>'Q100a-geral'!E1085</f>
        <v>Barcelona</v>
      </c>
      <c r="B502" s="174">
        <f>'Q100a-geral'!AE1085</f>
        <v>1</v>
      </c>
    </row>
    <row r="504" spans="1:2" x14ac:dyDescent="0.25">
      <c r="A504" s="1813" t="s">
        <v>5030</v>
      </c>
      <c r="B504" s="1813"/>
    </row>
    <row r="505" spans="1:2" x14ac:dyDescent="0.25">
      <c r="A505" s="1389" t="s">
        <v>4978</v>
      </c>
      <c r="B505" s="1389" t="s">
        <v>4979</v>
      </c>
    </row>
    <row r="506" spans="1:2" x14ac:dyDescent="0.25">
      <c r="A506" s="1391" t="s">
        <v>1700</v>
      </c>
      <c r="B506" s="192">
        <f>'Q100a-geral'!AK2103</f>
        <v>0.17</v>
      </c>
    </row>
    <row r="507" spans="1:2" x14ac:dyDescent="0.25">
      <c r="A507" s="486" t="s">
        <v>5025</v>
      </c>
      <c r="B507" s="192">
        <f>'Q100a-geral'!AK2117</f>
        <v>0.24</v>
      </c>
    </row>
    <row r="508" spans="1:2" x14ac:dyDescent="0.25">
      <c r="A508" s="1392" t="s">
        <v>1705</v>
      </c>
      <c r="B508" s="192">
        <f>'Q100a-geral'!AK2106</f>
        <v>0.25</v>
      </c>
    </row>
    <row r="509" spans="1:2" x14ac:dyDescent="0.25">
      <c r="A509" s="486" t="s">
        <v>1989</v>
      </c>
      <c r="B509" s="192">
        <f>'Q100a-geral'!AK2114</f>
        <v>0.25</v>
      </c>
    </row>
    <row r="510" spans="1:2" x14ac:dyDescent="0.25">
      <c r="A510" s="1392" t="s">
        <v>1306</v>
      </c>
      <c r="B510" s="192">
        <f>'Q100a-geral'!AK2102</f>
        <v>0.28000000000000003</v>
      </c>
    </row>
    <row r="511" spans="1:2" x14ac:dyDescent="0.25">
      <c r="A511" s="486" t="s">
        <v>5013</v>
      </c>
      <c r="B511" s="192">
        <f>'Q100a-geral'!AK2113</f>
        <v>0.39</v>
      </c>
    </row>
    <row r="512" spans="1:2" x14ac:dyDescent="0.25">
      <c r="A512" s="486" t="s">
        <v>5023</v>
      </c>
      <c r="B512" s="192">
        <f>'Q100a-geral'!AK2111</f>
        <v>0.4</v>
      </c>
    </row>
    <row r="513" spans="1:2" x14ac:dyDescent="0.25">
      <c r="A513" s="486" t="s">
        <v>5008</v>
      </c>
      <c r="B513" s="192">
        <f>'Q100a-geral'!AK2128</f>
        <v>0.4</v>
      </c>
    </row>
    <row r="514" spans="1:2" x14ac:dyDescent="0.25">
      <c r="A514" s="486" t="s">
        <v>1987</v>
      </c>
      <c r="B514" s="192">
        <f>'Q100a-geral'!AK2124</f>
        <v>0.41</v>
      </c>
    </row>
    <row r="515" spans="1:2" x14ac:dyDescent="0.25">
      <c r="A515" s="486" t="s">
        <v>5027</v>
      </c>
      <c r="B515" s="192">
        <f>'Q100a-geral'!AK2126</f>
        <v>0.41</v>
      </c>
    </row>
    <row r="516" spans="1:2" x14ac:dyDescent="0.25">
      <c r="A516" s="486" t="s">
        <v>5015</v>
      </c>
      <c r="B516" s="192">
        <f>'Q100a-geral'!AK2115</f>
        <v>0.44</v>
      </c>
    </row>
    <row r="517" spans="1:2" x14ac:dyDescent="0.25">
      <c r="A517" s="486" t="s">
        <v>4996</v>
      </c>
      <c r="B517" s="192">
        <f>'Q100a-geral'!AK2119</f>
        <v>0.46</v>
      </c>
    </row>
    <row r="518" spans="1:2" x14ac:dyDescent="0.25">
      <c r="A518" s="1392" t="s">
        <v>1283</v>
      </c>
      <c r="B518" s="192">
        <f>'Q100a-geral'!AK2104</f>
        <v>0.47</v>
      </c>
    </row>
    <row r="519" spans="1:2" x14ac:dyDescent="0.25">
      <c r="A519" s="486" t="s">
        <v>2273</v>
      </c>
      <c r="B519" s="192">
        <f>'Q100a-geral'!AK2120</f>
        <v>0.47</v>
      </c>
    </row>
    <row r="520" spans="1:2" x14ac:dyDescent="0.25">
      <c r="A520" s="486" t="s">
        <v>5011</v>
      </c>
      <c r="B520" s="192">
        <f>'Q100a-geral'!AK2112</f>
        <v>0.55000000000000004</v>
      </c>
    </row>
    <row r="521" spans="1:2" x14ac:dyDescent="0.25">
      <c r="A521" s="486" t="s">
        <v>5021</v>
      </c>
      <c r="B521" s="192">
        <f>'Q100a-geral'!AK2129</f>
        <v>0.56999999999999995</v>
      </c>
    </row>
    <row r="522" spans="1:2" x14ac:dyDescent="0.25">
      <c r="A522" s="486" t="s">
        <v>4995</v>
      </c>
      <c r="B522" s="192">
        <f>'Q100a-geral'!AK2123</f>
        <v>0.6</v>
      </c>
    </row>
    <row r="523" spans="1:2" x14ac:dyDescent="0.25">
      <c r="A523" s="486" t="s">
        <v>5019</v>
      </c>
      <c r="B523" s="192">
        <f>'Q100a-geral'!AK2109</f>
        <v>0.63</v>
      </c>
    </row>
    <row r="524" spans="1:2" x14ac:dyDescent="0.25">
      <c r="A524" s="486" t="s">
        <v>1768</v>
      </c>
      <c r="B524" s="192">
        <f>'Q100a-geral'!AK2110</f>
        <v>0.65</v>
      </c>
    </row>
    <row r="525" spans="1:2" x14ac:dyDescent="0.25">
      <c r="A525" s="486" t="s">
        <v>1770</v>
      </c>
      <c r="B525" s="192">
        <f>'Q100a-geral'!AK2121</f>
        <v>0.77</v>
      </c>
    </row>
    <row r="526" spans="1:2" x14ac:dyDescent="0.25">
      <c r="A526" s="486" t="s">
        <v>5000</v>
      </c>
      <c r="B526" s="192">
        <f>'Q100a-geral'!AK2127</f>
        <v>0.83</v>
      </c>
    </row>
    <row r="527" spans="1:2" x14ac:dyDescent="0.25">
      <c r="A527" s="486" t="s">
        <v>5017</v>
      </c>
      <c r="B527" s="192">
        <f>'Q100a-geral'!AK2125</f>
        <v>0.84</v>
      </c>
    </row>
    <row r="528" spans="1:2" x14ac:dyDescent="0.25">
      <c r="A528" s="486" t="s">
        <v>1769</v>
      </c>
      <c r="B528" s="192">
        <f>'Q100a-geral'!AK2116</f>
        <v>0.91</v>
      </c>
    </row>
    <row r="529" spans="1:2" x14ac:dyDescent="0.25">
      <c r="A529" s="1392" t="s">
        <v>6033</v>
      </c>
      <c r="B529" s="192">
        <f>'Q100a-geral'!AK2118</f>
        <v>0.92</v>
      </c>
    </row>
    <row r="530" spans="1:2" x14ac:dyDescent="0.25">
      <c r="A530" s="1392" t="s">
        <v>3336</v>
      </c>
      <c r="B530" s="192">
        <f>'Q100a-geral'!AK2108</f>
        <v>0.99</v>
      </c>
    </row>
    <row r="531" spans="1:2" x14ac:dyDescent="0.25">
      <c r="A531" s="1392" t="s">
        <v>3478</v>
      </c>
      <c r="B531" s="192">
        <f>'Q100a-geral'!AK2122</f>
        <v>1</v>
      </c>
    </row>
  </sheetData>
  <sortState ref="A475:B496">
    <sortCondition ref="B475:B496"/>
  </sortState>
  <mergeCells count="22">
    <mergeCell ref="A504:B504"/>
    <mergeCell ref="E417:F417"/>
    <mergeCell ref="A392:D392"/>
    <mergeCell ref="A404:B404"/>
    <mergeCell ref="C290:D290"/>
    <mergeCell ref="A447:B447"/>
    <mergeCell ref="A339:B339"/>
    <mergeCell ref="A290:B290"/>
    <mergeCell ref="A429:B429"/>
    <mergeCell ref="C417:D417"/>
    <mergeCell ref="A476:B476"/>
    <mergeCell ref="A1:I1"/>
    <mergeCell ref="A2:I2"/>
    <mergeCell ref="A215:C215"/>
    <mergeCell ref="A263:E263"/>
    <mergeCell ref="A155:B155"/>
    <mergeCell ref="A179:C179"/>
    <mergeCell ref="A117:B117"/>
    <mergeCell ref="A227:C227"/>
    <mergeCell ref="A244:D244"/>
    <mergeCell ref="C117:D117"/>
    <mergeCell ref="C155:D155"/>
  </mergeCells>
  <pageMargins left="0.39370078740157483" right="0.39370078740157483" top="0.39370078740157483" bottom="0.39370078740157483" header="0.31496062992125984" footer="0.31496062992125984"/>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zoomScale="75" zoomScaleNormal="75" workbookViewId="0">
      <selection activeCell="A6" sqref="A6:G6"/>
    </sheetView>
  </sheetViews>
  <sheetFormatPr defaultRowHeight="15" x14ac:dyDescent="0.25"/>
  <cols>
    <col min="1" max="1" width="19.7109375" customWidth="1"/>
    <col min="2" max="2" width="20.28515625" customWidth="1"/>
    <col min="3" max="3" width="27" customWidth="1"/>
    <col min="4" max="4" width="19.28515625" customWidth="1"/>
    <col min="5" max="5" width="14" customWidth="1"/>
    <col min="6" max="6" width="25.140625" customWidth="1"/>
    <col min="7" max="7" width="17.28515625" customWidth="1"/>
  </cols>
  <sheetData>
    <row r="1" spans="1:7" x14ac:dyDescent="0.25">
      <c r="A1" s="191"/>
      <c r="B1" s="191"/>
      <c r="C1" s="191"/>
      <c r="D1" s="191"/>
      <c r="E1" s="191"/>
      <c r="F1" s="191"/>
      <c r="G1" s="191"/>
    </row>
    <row r="2" spans="1:7" x14ac:dyDescent="0.25">
      <c r="A2" s="191"/>
      <c r="B2" s="191"/>
      <c r="C2" s="191"/>
      <c r="D2" s="191"/>
      <c r="E2" s="191"/>
      <c r="F2" s="191"/>
      <c r="G2" s="191"/>
    </row>
    <row r="3" spans="1:7" x14ac:dyDescent="0.25">
      <c r="A3" s="191"/>
      <c r="B3" s="191"/>
      <c r="C3" s="191"/>
      <c r="D3" s="191"/>
      <c r="E3" s="191"/>
      <c r="F3" s="191"/>
      <c r="G3" s="191"/>
    </row>
    <row r="4" spans="1:7" x14ac:dyDescent="0.25">
      <c r="A4" s="191"/>
      <c r="B4" s="191"/>
      <c r="C4" s="191"/>
      <c r="D4" s="191"/>
      <c r="E4" s="191"/>
      <c r="F4" s="191"/>
      <c r="G4" s="191"/>
    </row>
    <row r="5" spans="1:7" x14ac:dyDescent="0.25">
      <c r="A5" s="191"/>
      <c r="B5" s="191"/>
      <c r="C5" s="191"/>
      <c r="D5" s="191"/>
      <c r="E5" s="191"/>
      <c r="F5" s="191"/>
      <c r="G5" s="191"/>
    </row>
    <row r="6" spans="1:7" ht="15.75" x14ac:dyDescent="0.25">
      <c r="A6" s="1652" t="s">
        <v>4874</v>
      </c>
      <c r="B6" s="1653"/>
      <c r="C6" s="1653"/>
      <c r="D6" s="1653"/>
      <c r="E6" s="1653"/>
      <c r="F6" s="1653"/>
      <c r="G6" s="1654"/>
    </row>
    <row r="7" spans="1:7" ht="72" customHeight="1" x14ac:dyDescent="0.25">
      <c r="A7" s="608" t="s">
        <v>4934</v>
      </c>
      <c r="B7" s="608" t="s">
        <v>4933</v>
      </c>
      <c r="C7" s="608" t="s">
        <v>4932</v>
      </c>
      <c r="D7" s="608" t="s">
        <v>4927</v>
      </c>
      <c r="E7" s="608" t="s">
        <v>4931</v>
      </c>
      <c r="F7" s="608" t="s">
        <v>4935</v>
      </c>
      <c r="G7" s="608" t="s">
        <v>4826</v>
      </c>
    </row>
    <row r="8" spans="1:7" ht="134.25" customHeight="1" x14ac:dyDescent="0.25">
      <c r="A8" s="1655" t="s">
        <v>4824</v>
      </c>
      <c r="B8" s="1655" t="s">
        <v>4836</v>
      </c>
      <c r="C8" s="1378" t="s">
        <v>4833</v>
      </c>
      <c r="D8" s="1378" t="s">
        <v>4855</v>
      </c>
      <c r="E8" s="1655" t="s">
        <v>4886</v>
      </c>
      <c r="F8" s="1378" t="s">
        <v>4829</v>
      </c>
      <c r="G8" s="1378" t="s">
        <v>4971</v>
      </c>
    </row>
    <row r="9" spans="1:7" ht="108.75" customHeight="1" x14ac:dyDescent="0.25">
      <c r="A9" s="1656"/>
      <c r="B9" s="1656"/>
      <c r="C9" s="1378" t="s">
        <v>4834</v>
      </c>
      <c r="D9" s="1378" t="s">
        <v>4856</v>
      </c>
      <c r="E9" s="1656"/>
      <c r="F9" s="1378" t="s">
        <v>4866</v>
      </c>
      <c r="G9" s="1378" t="s">
        <v>432</v>
      </c>
    </row>
    <row r="10" spans="1:7" ht="148.5" customHeight="1" x14ac:dyDescent="0.25">
      <c r="A10" s="1657"/>
      <c r="B10" s="1657"/>
      <c r="C10" s="1378" t="s">
        <v>4840</v>
      </c>
      <c r="D10" s="1378" t="s">
        <v>4857</v>
      </c>
      <c r="E10" s="1657"/>
      <c r="F10" s="1378" t="s">
        <v>4980</v>
      </c>
      <c r="G10" s="1378" t="s">
        <v>4972</v>
      </c>
    </row>
    <row r="11" spans="1:7" ht="88.5" customHeight="1" x14ac:dyDescent="0.25">
      <c r="A11" s="1655" t="s">
        <v>4825</v>
      </c>
      <c r="B11" s="1655" t="s">
        <v>4835</v>
      </c>
      <c r="C11" s="1378" t="s">
        <v>4867</v>
      </c>
      <c r="D11" s="1378" t="s">
        <v>4868</v>
      </c>
      <c r="E11" s="1378" t="s">
        <v>432</v>
      </c>
      <c r="F11" s="1378" t="s">
        <v>4869</v>
      </c>
      <c r="G11" s="1378" t="s">
        <v>432</v>
      </c>
    </row>
    <row r="12" spans="1:7" ht="102.75" customHeight="1" x14ac:dyDescent="0.25">
      <c r="A12" s="1656"/>
      <c r="B12" s="1656"/>
      <c r="C12" s="1378" t="s">
        <v>4830</v>
      </c>
      <c r="D12" s="1378" t="s">
        <v>4841</v>
      </c>
      <c r="E12" s="1378" t="s">
        <v>432</v>
      </c>
      <c r="F12" s="1378" t="s">
        <v>4865</v>
      </c>
      <c r="G12" s="1378" t="s">
        <v>432</v>
      </c>
    </row>
    <row r="13" spans="1:7" ht="135" customHeight="1" x14ac:dyDescent="0.25">
      <c r="A13" s="1656"/>
      <c r="B13" s="1656"/>
      <c r="C13" s="1378" t="s">
        <v>4831</v>
      </c>
      <c r="D13" s="1378" t="s">
        <v>4889</v>
      </c>
      <c r="E13" s="1378" t="s">
        <v>4887</v>
      </c>
      <c r="F13" s="1378" t="s">
        <v>4888</v>
      </c>
      <c r="G13" s="1378" t="s">
        <v>4842</v>
      </c>
    </row>
    <row r="14" spans="1:7" ht="76.5" customHeight="1" x14ac:dyDescent="0.25">
      <c r="A14" s="1657"/>
      <c r="B14" s="1657"/>
      <c r="C14" s="1378" t="s">
        <v>4832</v>
      </c>
      <c r="D14" s="1378" t="s">
        <v>4858</v>
      </c>
      <c r="E14" s="1378" t="s">
        <v>432</v>
      </c>
      <c r="F14" s="1378" t="s">
        <v>4924</v>
      </c>
      <c r="G14" s="1378" t="s">
        <v>432</v>
      </c>
    </row>
    <row r="15" spans="1:7" ht="92.25" customHeight="1" x14ac:dyDescent="0.25">
      <c r="A15" s="1665" t="s">
        <v>4936</v>
      </c>
      <c r="B15" s="1665" t="s">
        <v>4937</v>
      </c>
      <c r="C15" s="1378" t="s">
        <v>4830</v>
      </c>
      <c r="D15" s="1378" t="s">
        <v>4854</v>
      </c>
      <c r="E15" s="1655" t="s">
        <v>4886</v>
      </c>
      <c r="F15" s="1300" t="s">
        <v>432</v>
      </c>
      <c r="G15" s="1378" t="s">
        <v>432</v>
      </c>
    </row>
    <row r="16" spans="1:7" ht="81" customHeight="1" x14ac:dyDescent="0.25">
      <c r="A16" s="1665"/>
      <c r="B16" s="1665"/>
      <c r="C16" s="1378" t="s">
        <v>4843</v>
      </c>
      <c r="D16" s="1378" t="s">
        <v>4852</v>
      </c>
      <c r="E16" s="1657"/>
      <c r="F16" s="1378" t="s">
        <v>4966</v>
      </c>
      <c r="G16" s="1378" t="s">
        <v>4951</v>
      </c>
    </row>
    <row r="17" spans="1:7" ht="22.5" customHeight="1" x14ac:dyDescent="0.25">
      <c r="A17" s="1658" t="s">
        <v>4872</v>
      </c>
      <c r="B17" s="1658"/>
      <c r="C17" s="1659" t="s">
        <v>4873</v>
      </c>
      <c r="D17" s="1660"/>
      <c r="E17" s="1660"/>
      <c r="F17" s="1660"/>
      <c r="G17" s="1661"/>
    </row>
    <row r="18" spans="1:7" ht="66.75" customHeight="1" x14ac:dyDescent="0.25">
      <c r="A18" s="1662" t="s">
        <v>5188</v>
      </c>
      <c r="B18" s="1663"/>
      <c r="C18" s="1663"/>
      <c r="D18" s="1663"/>
      <c r="E18" s="1663"/>
      <c r="F18" s="1663"/>
      <c r="G18" s="1664"/>
    </row>
    <row r="19" spans="1:7" x14ac:dyDescent="0.25">
      <c r="A19" s="1649" t="s">
        <v>4926</v>
      </c>
      <c r="B19" s="1650"/>
      <c r="C19" s="1650"/>
      <c r="D19" s="1650"/>
      <c r="E19" s="1650"/>
      <c r="F19" s="1650"/>
      <c r="G19" s="1651"/>
    </row>
    <row r="20" spans="1:7" ht="36.75" customHeight="1" x14ac:dyDescent="0.25">
      <c r="A20" s="1646" t="s">
        <v>4928</v>
      </c>
      <c r="B20" s="1647"/>
      <c r="C20" s="1647"/>
      <c r="D20" s="1647"/>
      <c r="E20" s="1647"/>
      <c r="F20" s="1647"/>
      <c r="G20" s="1648"/>
    </row>
    <row r="21" spans="1:7" ht="34.5" customHeight="1" x14ac:dyDescent="0.25">
      <c r="A21" s="1646" t="s">
        <v>4929</v>
      </c>
      <c r="B21" s="1647"/>
      <c r="C21" s="1647"/>
      <c r="D21" s="1647"/>
      <c r="E21" s="1647"/>
      <c r="F21" s="1647"/>
      <c r="G21" s="1648"/>
    </row>
    <row r="22" spans="1:7" ht="39" customHeight="1" x14ac:dyDescent="0.25">
      <c r="A22" s="1643" t="s">
        <v>4930</v>
      </c>
      <c r="B22" s="1644"/>
      <c r="C22" s="1644"/>
      <c r="D22" s="1644"/>
      <c r="E22" s="1644"/>
      <c r="F22" s="1644"/>
      <c r="G22" s="1645"/>
    </row>
    <row r="23" spans="1:7" x14ac:dyDescent="0.25">
      <c r="A23" s="191"/>
      <c r="B23" s="191"/>
      <c r="C23" s="191"/>
      <c r="D23" s="191"/>
      <c r="E23" s="191"/>
      <c r="F23" s="1377"/>
      <c r="G23" s="191"/>
    </row>
  </sheetData>
  <mergeCells count="16">
    <mergeCell ref="A22:G22"/>
    <mergeCell ref="A20:G20"/>
    <mergeCell ref="A21:G21"/>
    <mergeCell ref="A19:G19"/>
    <mergeCell ref="A6:G6"/>
    <mergeCell ref="A8:A10"/>
    <mergeCell ref="B8:B10"/>
    <mergeCell ref="A11:A14"/>
    <mergeCell ref="B11:B14"/>
    <mergeCell ref="A17:B17"/>
    <mergeCell ref="C17:G17"/>
    <mergeCell ref="A18:G18"/>
    <mergeCell ref="E8:E10"/>
    <mergeCell ref="A15:A16"/>
    <mergeCell ref="B15:B16"/>
    <mergeCell ref="E15:E16"/>
  </mergeCells>
  <printOptions horizontalCentered="1"/>
  <pageMargins left="0.19685039370078741" right="0.19685039370078741" top="0.19685039370078741" bottom="0.19685039370078741" header="0.31496062992125984" footer="0.11811023622047245"/>
  <pageSetup paperSize="9" orientation="landscape" verticalDpi="0" r:id="rId1"/>
  <headerFooter>
    <oddFooter>&amp;C&amp;"Times New Roman,Normal"&amp;10SisMOb-BH - Quadro 100d - p.&amp;P/&amp;N</oddFooter>
  </headerFooter>
  <rowBreaks count="1" manualBreakCount="1">
    <brk id="14"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topLeftCell="A46" zoomScale="90" zoomScaleNormal="90" workbookViewId="0">
      <selection activeCell="C34" sqref="C34"/>
    </sheetView>
  </sheetViews>
  <sheetFormatPr defaultRowHeight="15" x14ac:dyDescent="0.25"/>
  <cols>
    <col min="1" max="2" width="6.5703125" customWidth="1"/>
    <col min="3" max="3" width="142.28515625" customWidth="1"/>
  </cols>
  <sheetData>
    <row r="1" spans="3:3" ht="6.75" customHeight="1" x14ac:dyDescent="0.25"/>
    <row r="2" spans="3:3" ht="15.75" x14ac:dyDescent="0.25">
      <c r="C2" s="929" t="s">
        <v>2952</v>
      </c>
    </row>
    <row r="3" spans="3:3" ht="15.75" x14ac:dyDescent="0.25">
      <c r="C3" s="237" t="s">
        <v>4006</v>
      </c>
    </row>
    <row r="4" spans="3:3" ht="15.75" x14ac:dyDescent="0.25">
      <c r="C4" s="1347" t="s">
        <v>4759</v>
      </c>
    </row>
    <row r="5" spans="3:3" ht="15.75" x14ac:dyDescent="0.25">
      <c r="C5" s="928" t="s">
        <v>4762</v>
      </c>
    </row>
    <row r="6" spans="3:3" ht="63" x14ac:dyDescent="0.25">
      <c r="C6" s="433" t="s">
        <v>4758</v>
      </c>
    </row>
    <row r="7" spans="3:3" ht="15.75" x14ac:dyDescent="0.25">
      <c r="C7" s="433" t="s">
        <v>4763</v>
      </c>
    </row>
    <row r="8" spans="3:3" ht="31.5" x14ac:dyDescent="0.25">
      <c r="C8" s="433" t="s">
        <v>4764</v>
      </c>
    </row>
    <row r="9" spans="3:3" ht="31.5" x14ac:dyDescent="0.25">
      <c r="C9" s="433" t="s">
        <v>4765</v>
      </c>
    </row>
    <row r="10" spans="3:3" ht="15.75" x14ac:dyDescent="0.25">
      <c r="C10" s="928" t="s">
        <v>3147</v>
      </c>
    </row>
    <row r="11" spans="3:3" ht="15.75" x14ac:dyDescent="0.25">
      <c r="C11" s="433" t="s">
        <v>2995</v>
      </c>
    </row>
    <row r="12" spans="3:3" ht="31.5" x14ac:dyDescent="0.25">
      <c r="C12" s="433" t="s">
        <v>4766</v>
      </c>
    </row>
    <row r="13" spans="3:3" ht="31.5" x14ac:dyDescent="0.25">
      <c r="C13" s="433" t="s">
        <v>4125</v>
      </c>
    </row>
    <row r="14" spans="3:3" ht="15.75" x14ac:dyDescent="0.25">
      <c r="C14" s="515" t="s">
        <v>2737</v>
      </c>
    </row>
    <row r="15" spans="3:3" ht="31.5" x14ac:dyDescent="0.25">
      <c r="C15" s="433" t="s">
        <v>2953</v>
      </c>
    </row>
    <row r="16" spans="3:3" ht="31.5" x14ac:dyDescent="0.25">
      <c r="C16" s="433" t="s">
        <v>2955</v>
      </c>
    </row>
    <row r="17" spans="3:3" ht="31.5" x14ac:dyDescent="0.25">
      <c r="C17" s="433" t="s">
        <v>2956</v>
      </c>
    </row>
    <row r="18" spans="3:3" ht="31.5" x14ac:dyDescent="0.25">
      <c r="C18" s="433" t="s">
        <v>2227</v>
      </c>
    </row>
    <row r="19" spans="3:3" ht="31.5" x14ac:dyDescent="0.25">
      <c r="C19" s="433" t="s">
        <v>2954</v>
      </c>
    </row>
    <row r="20" spans="3:3" ht="15.75" x14ac:dyDescent="0.25">
      <c r="C20" s="433" t="s">
        <v>3741</v>
      </c>
    </row>
    <row r="21" spans="3:3" ht="15.75" x14ac:dyDescent="0.25">
      <c r="C21" s="928" t="s">
        <v>3148</v>
      </c>
    </row>
    <row r="22" spans="3:3" ht="15.75" x14ac:dyDescent="0.25">
      <c r="C22" s="1361"/>
    </row>
    <row r="23" spans="3:3" ht="15.75" x14ac:dyDescent="0.25">
      <c r="C23" s="1361"/>
    </row>
    <row r="24" spans="3:3" ht="94.5" x14ac:dyDescent="0.25">
      <c r="C24" s="433" t="s">
        <v>3742</v>
      </c>
    </row>
    <row r="25" spans="3:3" ht="63" x14ac:dyDescent="0.25">
      <c r="C25" s="433" t="s">
        <v>4760</v>
      </c>
    </row>
    <row r="26" spans="3:3" ht="63" x14ac:dyDescent="0.25">
      <c r="C26" s="433" t="s">
        <v>4761</v>
      </c>
    </row>
    <row r="27" spans="3:3" ht="15.75" x14ac:dyDescent="0.25">
      <c r="C27" s="433"/>
    </row>
    <row r="28" spans="3:3" ht="15.75" x14ac:dyDescent="0.25">
      <c r="C28" s="433"/>
    </row>
    <row r="29" spans="3:3" ht="15.75" x14ac:dyDescent="0.25">
      <c r="C29" s="433"/>
    </row>
    <row r="30" spans="3:3" ht="15.75" x14ac:dyDescent="0.25">
      <c r="C30" s="433"/>
    </row>
    <row r="31" spans="3:3" ht="15.75" x14ac:dyDescent="0.25">
      <c r="C31" s="928" t="s">
        <v>2993</v>
      </c>
    </row>
    <row r="32" spans="3:3" ht="45" x14ac:dyDescent="0.25">
      <c r="C32" s="1465" t="s">
        <v>6046</v>
      </c>
    </row>
    <row r="33" spans="1:3" ht="63" x14ac:dyDescent="0.25">
      <c r="C33" s="1466" t="s">
        <v>6124</v>
      </c>
    </row>
    <row r="34" spans="1:3" ht="31.5" x14ac:dyDescent="0.25">
      <c r="C34" s="433" t="s">
        <v>2994</v>
      </c>
    </row>
    <row r="35" spans="1:3" ht="47.25" x14ac:dyDescent="0.25">
      <c r="C35" s="433" t="s">
        <v>3629</v>
      </c>
    </row>
    <row r="36" spans="1:3" ht="31.5" x14ac:dyDescent="0.25">
      <c r="C36" s="433" t="s">
        <v>3998</v>
      </c>
    </row>
    <row r="37" spans="1:3" ht="47.25" x14ac:dyDescent="0.25">
      <c r="C37" s="433" t="s">
        <v>4357</v>
      </c>
    </row>
    <row r="38" spans="1:3" ht="63" x14ac:dyDescent="0.25">
      <c r="C38" s="433" t="s">
        <v>4755</v>
      </c>
    </row>
    <row r="39" spans="1:3" ht="31.5" x14ac:dyDescent="0.25">
      <c r="C39" s="433" t="s">
        <v>4756</v>
      </c>
    </row>
    <row r="40" spans="1:3" ht="63" x14ac:dyDescent="0.25">
      <c r="C40" s="935" t="s">
        <v>4757</v>
      </c>
    </row>
    <row r="41" spans="1:3" ht="15.75" x14ac:dyDescent="0.25">
      <c r="C41" s="433"/>
    </row>
    <row r="42" spans="1:3" ht="15.75" x14ac:dyDescent="0.25">
      <c r="C42" s="928" t="s">
        <v>3149</v>
      </c>
    </row>
    <row r="43" spans="1:3" ht="47.25" x14ac:dyDescent="0.25">
      <c r="C43" s="433" t="s">
        <v>2738</v>
      </c>
    </row>
    <row r="44" spans="1:3" ht="47.25" x14ac:dyDescent="0.25">
      <c r="C44" s="433" t="s">
        <v>2740</v>
      </c>
    </row>
    <row r="45" spans="1:3" ht="47.25" x14ac:dyDescent="0.25">
      <c r="C45" s="433" t="s">
        <v>2739</v>
      </c>
    </row>
    <row r="46" spans="1:3" ht="63" x14ac:dyDescent="0.25">
      <c r="C46" s="935" t="s">
        <v>4642</v>
      </c>
    </row>
    <row r="47" spans="1:3" x14ac:dyDescent="0.25">
      <c r="C47" s="513"/>
    </row>
    <row r="48" spans="1:3" ht="21" customHeight="1" x14ac:dyDescent="0.25">
      <c r="A48" s="1821" t="s">
        <v>4754</v>
      </c>
      <c r="B48" s="1822"/>
      <c r="C48" s="1823"/>
    </row>
    <row r="49" spans="1:3" ht="21.75" customHeight="1" x14ac:dyDescent="0.25">
      <c r="A49" s="1818" t="s">
        <v>4753</v>
      </c>
      <c r="B49" s="1819"/>
      <c r="C49" s="1820"/>
    </row>
    <row r="50" spans="1:3" ht="51" x14ac:dyDescent="0.25">
      <c r="A50" s="1370" t="s">
        <v>4799</v>
      </c>
      <c r="B50" s="604" t="s">
        <v>432</v>
      </c>
      <c r="C50" s="1172" t="s">
        <v>4875</v>
      </c>
    </row>
    <row r="51" spans="1:3" ht="54.75" customHeight="1" x14ac:dyDescent="0.25">
      <c r="A51" s="1354" t="s">
        <v>4638</v>
      </c>
      <c r="B51" s="604" t="s">
        <v>432</v>
      </c>
      <c r="C51" s="1172" t="s">
        <v>4639</v>
      </c>
    </row>
    <row r="52" spans="1:3" ht="63" customHeight="1" x14ac:dyDescent="0.25">
      <c r="A52" s="1354" t="s">
        <v>4296</v>
      </c>
      <c r="B52" s="604" t="s">
        <v>432</v>
      </c>
      <c r="C52" s="1172" t="s">
        <v>4640</v>
      </c>
    </row>
    <row r="53" spans="1:3" ht="56.25" customHeight="1" x14ac:dyDescent="0.25">
      <c r="A53" s="1437" t="s">
        <v>5597</v>
      </c>
      <c r="B53" s="604" t="s">
        <v>432</v>
      </c>
      <c r="C53" s="653" t="s">
        <v>5560</v>
      </c>
    </row>
    <row r="55" spans="1:3" ht="15.75" x14ac:dyDescent="0.25">
      <c r="C55" s="1464" t="s">
        <v>6034</v>
      </c>
    </row>
    <row r="57" spans="1:3" x14ac:dyDescent="0.25">
      <c r="C57" s="1020"/>
    </row>
    <row r="58" spans="1:3" x14ac:dyDescent="0.25">
      <c r="C58" s="1020"/>
    </row>
    <row r="59" spans="1:3" x14ac:dyDescent="0.25">
      <c r="C59" s="1020"/>
    </row>
  </sheetData>
  <mergeCells count="2">
    <mergeCell ref="A49:C49"/>
    <mergeCell ref="A48:C48"/>
  </mergeCells>
  <hyperlinks>
    <hyperlink ref="C32" r:id="rId1" display="No mês de julho de cada ano o IBGE divuga a contagem populacional de toos os municípios. Em 2016 houve problemas que quebraram a rotina do órgão e não consegui baixar as polações, como de praxe. Em 11/01/2017 continuei não achando (clique aqui)."/>
  </hyperlinks>
  <pageMargins left="0.511811024" right="0.511811024" top="0.78740157499999996" bottom="0.78740157499999996" header="0.31496062000000002" footer="0.31496062000000002"/>
  <pageSetup paperSize="9" orientation="portrait" verticalDpi="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0"/>
  <sheetViews>
    <sheetView topLeftCell="A16" zoomScale="85" zoomScaleNormal="85" workbookViewId="0">
      <selection activeCell="C51" sqref="C51:C52"/>
    </sheetView>
  </sheetViews>
  <sheetFormatPr defaultRowHeight="15.75" x14ac:dyDescent="0.25"/>
  <cols>
    <col min="1" max="1" width="15.42578125" style="1" customWidth="1"/>
    <col min="2" max="2" width="11.140625" style="1546" customWidth="1"/>
    <col min="3" max="3" width="99.85546875" style="549" customWidth="1"/>
    <col min="4" max="4" width="21.5703125" style="534" customWidth="1"/>
    <col min="5" max="5" width="4.85546875" style="534" customWidth="1"/>
    <col min="6" max="6" width="7" style="534" customWidth="1"/>
    <col min="7" max="16384" width="9.140625" style="534"/>
  </cols>
  <sheetData>
    <row r="1" spans="1:3" x14ac:dyDescent="0.25">
      <c r="A1" s="534"/>
      <c r="C1" s="1004"/>
    </row>
    <row r="2" spans="1:3" ht="63" x14ac:dyDescent="0.25">
      <c r="A2" s="534"/>
      <c r="C2" s="417" t="s">
        <v>3067</v>
      </c>
    </row>
    <row r="3" spans="1:3" ht="31.5" x14ac:dyDescent="0.25">
      <c r="A3" s="534"/>
      <c r="C3" s="417" t="s">
        <v>3068</v>
      </c>
    </row>
    <row r="4" spans="1:3" ht="78.75" x14ac:dyDescent="0.25">
      <c r="A4" s="534"/>
      <c r="C4" s="410" t="s">
        <v>3069</v>
      </c>
    </row>
    <row r="5" spans="1:3" ht="63" x14ac:dyDescent="0.25">
      <c r="A5" s="534"/>
      <c r="C5" s="417" t="s">
        <v>3070</v>
      </c>
    </row>
    <row r="6" spans="1:3" ht="31.5" x14ac:dyDescent="0.25">
      <c r="A6" s="534"/>
      <c r="C6" s="410" t="s">
        <v>3071</v>
      </c>
    </row>
    <row r="7" spans="1:3" ht="31.5" x14ac:dyDescent="0.25">
      <c r="A7" s="534"/>
      <c r="C7" s="893" t="s">
        <v>3072</v>
      </c>
    </row>
    <row r="8" spans="1:3" x14ac:dyDescent="0.25">
      <c r="A8" s="534"/>
      <c r="C8" s="857" t="s">
        <v>3073</v>
      </c>
    </row>
    <row r="9" spans="1:3" x14ac:dyDescent="0.25">
      <c r="A9" s="534"/>
      <c r="C9" s="857" t="s">
        <v>3074</v>
      </c>
    </row>
    <row r="10" spans="1:3" x14ac:dyDescent="0.25">
      <c r="A10" s="534"/>
      <c r="C10" s="857" t="s">
        <v>3075</v>
      </c>
    </row>
    <row r="11" spans="1:3" ht="63" x14ac:dyDescent="0.25">
      <c r="A11" s="534"/>
      <c r="C11" s="407" t="s">
        <v>3076</v>
      </c>
    </row>
    <row r="12" spans="1:3" ht="47.25" x14ac:dyDescent="0.25">
      <c r="A12" s="534"/>
      <c r="C12" s="857" t="s">
        <v>5192</v>
      </c>
    </row>
    <row r="13" spans="1:3" ht="63" x14ac:dyDescent="0.25">
      <c r="A13" s="534"/>
      <c r="C13" s="433" t="s">
        <v>3106</v>
      </c>
    </row>
    <row r="14" spans="1:3" ht="63" x14ac:dyDescent="0.25">
      <c r="A14" s="534"/>
      <c r="C14" s="433" t="s">
        <v>3077</v>
      </c>
    </row>
    <row r="15" spans="1:3" ht="31.5" x14ac:dyDescent="0.25">
      <c r="A15" s="534"/>
      <c r="C15" s="433" t="s">
        <v>3104</v>
      </c>
    </row>
    <row r="16" spans="1:3" x14ac:dyDescent="0.25">
      <c r="A16" s="534"/>
      <c r="C16" s="955" t="s">
        <v>3078</v>
      </c>
    </row>
    <row r="17" spans="1:3" x14ac:dyDescent="0.25">
      <c r="A17" s="534"/>
      <c r="C17" s="955" t="s">
        <v>3079</v>
      </c>
    </row>
    <row r="18" spans="1:3" x14ac:dyDescent="0.25">
      <c r="A18" s="534"/>
      <c r="C18" s="955" t="s">
        <v>3080</v>
      </c>
    </row>
    <row r="19" spans="1:3" x14ac:dyDescent="0.25">
      <c r="A19" s="534"/>
      <c r="C19" s="955" t="s">
        <v>3081</v>
      </c>
    </row>
    <row r="20" spans="1:3" x14ac:dyDescent="0.25">
      <c r="A20" s="534"/>
      <c r="C20" s="857" t="s">
        <v>3082</v>
      </c>
    </row>
    <row r="21" spans="1:3" x14ac:dyDescent="0.25">
      <c r="A21" s="534"/>
      <c r="C21" s="956" t="s">
        <v>2933</v>
      </c>
    </row>
    <row r="22" spans="1:3" ht="47.25" x14ac:dyDescent="0.25">
      <c r="A22" s="534"/>
      <c r="C22" s="433" t="s">
        <v>3083</v>
      </c>
    </row>
    <row r="23" spans="1:3" ht="47.25" x14ac:dyDescent="0.25">
      <c r="A23" s="534"/>
      <c r="C23" s="433" t="s">
        <v>3084</v>
      </c>
    </row>
    <row r="24" spans="1:3" ht="63" x14ac:dyDescent="0.25">
      <c r="A24" s="534"/>
      <c r="C24" s="433" t="s">
        <v>3085</v>
      </c>
    </row>
    <row r="25" spans="1:3" ht="63" x14ac:dyDescent="0.25">
      <c r="A25" s="534"/>
      <c r="C25" s="433" t="s">
        <v>3086</v>
      </c>
    </row>
    <row r="26" spans="1:3" ht="78.75" x14ac:dyDescent="0.25">
      <c r="A26" s="534"/>
      <c r="C26" s="415" t="s">
        <v>3087</v>
      </c>
    </row>
    <row r="27" spans="1:3" ht="63" x14ac:dyDescent="0.25">
      <c r="A27" s="534"/>
      <c r="C27" s="417" t="s">
        <v>3088</v>
      </c>
    </row>
    <row r="28" spans="1:3" ht="47.25" x14ac:dyDescent="0.25">
      <c r="A28" s="534"/>
      <c r="C28" s="407" t="s">
        <v>3089</v>
      </c>
    </row>
    <row r="29" spans="1:3" ht="47.25" x14ac:dyDescent="0.25">
      <c r="A29" s="534"/>
      <c r="C29" s="433" t="s">
        <v>3090</v>
      </c>
    </row>
    <row r="30" spans="1:3" ht="47.25" x14ac:dyDescent="0.25">
      <c r="A30" s="534"/>
      <c r="C30" s="433" t="s">
        <v>3091</v>
      </c>
    </row>
    <row r="31" spans="1:3" ht="47.25" x14ac:dyDescent="0.25">
      <c r="A31" s="534"/>
      <c r="C31" s="433" t="s">
        <v>3092</v>
      </c>
    </row>
    <row r="32" spans="1:3" ht="63" x14ac:dyDescent="0.25">
      <c r="A32" s="534"/>
      <c r="C32" s="666" t="s">
        <v>3093</v>
      </c>
    </row>
    <row r="33" spans="1:3" ht="47.25" x14ac:dyDescent="0.25">
      <c r="A33" s="534"/>
      <c r="C33" s="433" t="s">
        <v>3094</v>
      </c>
    </row>
    <row r="34" spans="1:3" ht="47.25" x14ac:dyDescent="0.25">
      <c r="A34" s="534"/>
      <c r="C34" s="433" t="s">
        <v>3095</v>
      </c>
    </row>
    <row r="35" spans="1:3" ht="78.75" x14ac:dyDescent="0.25">
      <c r="A35" s="534"/>
      <c r="C35" s="417" t="s">
        <v>3096</v>
      </c>
    </row>
    <row r="36" spans="1:3" x14ac:dyDescent="0.25">
      <c r="A36" s="534"/>
      <c r="C36" s="433"/>
    </row>
    <row r="37" spans="1:3" ht="63" x14ac:dyDescent="0.25">
      <c r="A37" s="1141"/>
      <c r="C37" s="935" t="s">
        <v>5336</v>
      </c>
    </row>
    <row r="38" spans="1:3" ht="47.25" x14ac:dyDescent="0.25">
      <c r="A38" s="1141"/>
      <c r="C38" s="433" t="s">
        <v>5335</v>
      </c>
    </row>
    <row r="39" spans="1:3" ht="63" x14ac:dyDescent="0.25">
      <c r="A39" s="534"/>
      <c r="C39" s="433" t="s">
        <v>3240</v>
      </c>
    </row>
    <row r="40" spans="1:3" x14ac:dyDescent="0.25">
      <c r="A40" s="534"/>
      <c r="C40" s="433"/>
    </row>
    <row r="41" spans="1:3" ht="31.5" x14ac:dyDescent="0.25">
      <c r="A41" s="534"/>
      <c r="C41" s="991" t="s">
        <v>3164</v>
      </c>
    </row>
    <row r="42" spans="1:3" x14ac:dyDescent="0.25">
      <c r="A42" s="534"/>
      <c r="C42" s="666"/>
    </row>
    <row r="43" spans="1:3" ht="31.5" x14ac:dyDescent="0.25">
      <c r="A43" s="534"/>
      <c r="C43" s="417" t="s">
        <v>3270</v>
      </c>
    </row>
    <row r="44" spans="1:3" ht="31.5" x14ac:dyDescent="0.25">
      <c r="A44" s="1017" t="s">
        <v>5339</v>
      </c>
      <c r="C44" s="417" t="s">
        <v>3333</v>
      </c>
    </row>
    <row r="45" spans="1:3" x14ac:dyDescent="0.25">
      <c r="A45" s="534"/>
      <c r="C45" s="955" t="s">
        <v>3097</v>
      </c>
    </row>
    <row r="46" spans="1:3" x14ac:dyDescent="0.25">
      <c r="A46" s="534"/>
      <c r="C46" s="955" t="s">
        <v>3098</v>
      </c>
    </row>
    <row r="47" spans="1:3" x14ac:dyDescent="0.25">
      <c r="A47" s="534"/>
      <c r="C47" s="435"/>
    </row>
    <row r="48" spans="1:3" ht="31.5" x14ac:dyDescent="0.25">
      <c r="A48" s="1017" t="s">
        <v>5339</v>
      </c>
      <c r="C48" s="1009" t="s">
        <v>3279</v>
      </c>
    </row>
    <row r="49" spans="1:3" x14ac:dyDescent="0.25">
      <c r="C49" s="1341"/>
    </row>
    <row r="50" spans="1:3" ht="63" x14ac:dyDescent="0.25">
      <c r="A50" s="534"/>
      <c r="C50" s="410" t="s">
        <v>3099</v>
      </c>
    </row>
    <row r="51" spans="1:3" ht="79.5" customHeight="1" x14ac:dyDescent="0.25">
      <c r="A51" s="534"/>
      <c r="C51" s="410" t="s">
        <v>6354</v>
      </c>
    </row>
    <row r="52" spans="1:3" ht="84.75" customHeight="1" x14ac:dyDescent="0.25">
      <c r="A52" s="534"/>
      <c r="C52" s="410" t="s">
        <v>6355</v>
      </c>
    </row>
    <row r="53" spans="1:3" x14ac:dyDescent="0.25">
      <c r="C53" s="534"/>
    </row>
    <row r="54" spans="1:3" ht="78.75" x14ac:dyDescent="0.25">
      <c r="A54" s="534"/>
      <c r="C54" s="774" t="s">
        <v>3100</v>
      </c>
    </row>
    <row r="55" spans="1:3" x14ac:dyDescent="0.25">
      <c r="C55" s="1"/>
    </row>
    <row r="56" spans="1:3" x14ac:dyDescent="0.25">
      <c r="C56" s="433"/>
    </row>
    <row r="57" spans="1:3" ht="126" x14ac:dyDescent="0.25">
      <c r="C57" s="1100" t="s">
        <v>3457</v>
      </c>
    </row>
    <row r="58" spans="1:3" x14ac:dyDescent="0.25">
      <c r="C58" s="1100"/>
    </row>
    <row r="59" spans="1:3" x14ac:dyDescent="0.25">
      <c r="C59" s="1107"/>
    </row>
    <row r="60" spans="1:3" ht="31.5" x14ac:dyDescent="0.25">
      <c r="C60" s="434" t="s">
        <v>3101</v>
      </c>
    </row>
    <row r="61" spans="1:3" ht="31.5" x14ac:dyDescent="0.25">
      <c r="C61" s="417" t="s">
        <v>5332</v>
      </c>
    </row>
    <row r="62" spans="1:3" x14ac:dyDescent="0.25">
      <c r="C62" s="1202"/>
    </row>
    <row r="63" spans="1:3" ht="90" x14ac:dyDescent="0.25">
      <c r="A63" s="1483" t="s">
        <v>5481</v>
      </c>
      <c r="B63" s="1480" t="s">
        <v>1306</v>
      </c>
      <c r="C63" s="793" t="s">
        <v>6303</v>
      </c>
    </row>
    <row r="64" spans="1:3" x14ac:dyDescent="0.25">
      <c r="A64" s="1347"/>
      <c r="B64" s="1532"/>
      <c r="C64" s="1583" t="s">
        <v>5482</v>
      </c>
    </row>
    <row r="65" spans="1:3" x14ac:dyDescent="0.25">
      <c r="C65" s="1582"/>
    </row>
    <row r="66" spans="1:3" x14ac:dyDescent="0.25">
      <c r="C66" s="1428"/>
    </row>
    <row r="67" spans="1:3" x14ac:dyDescent="0.25">
      <c r="C67" s="1428"/>
    </row>
    <row r="68" spans="1:3" x14ac:dyDescent="0.25">
      <c r="A68" s="325"/>
      <c r="B68" s="1445"/>
      <c r="C68" s="252"/>
    </row>
    <row r="69" spans="1:3" ht="242.25" x14ac:dyDescent="0.25">
      <c r="A69" s="983" t="s">
        <v>5097</v>
      </c>
      <c r="B69" s="254" t="s">
        <v>1306</v>
      </c>
      <c r="C69" s="14" t="s">
        <v>5075</v>
      </c>
    </row>
    <row r="70" spans="1:3" ht="190.5" customHeight="1" x14ac:dyDescent="0.25">
      <c r="A70" s="325" t="s">
        <v>4716</v>
      </c>
      <c r="B70" s="1496" t="s">
        <v>1767</v>
      </c>
      <c r="C70" s="1585" t="s">
        <v>4718</v>
      </c>
    </row>
    <row r="71" spans="1:3" ht="98.25" customHeight="1" x14ac:dyDescent="0.25">
      <c r="A71" s="325"/>
      <c r="B71" s="1445"/>
      <c r="C71" s="1172" t="s">
        <v>6309</v>
      </c>
    </row>
    <row r="73" spans="1:3" ht="178.5" x14ac:dyDescent="0.25">
      <c r="A73" s="325" t="s">
        <v>2291</v>
      </c>
      <c r="B73" s="1445" t="s">
        <v>432</v>
      </c>
      <c r="C73" s="1205" t="s">
        <v>4467</v>
      </c>
    </row>
    <row r="74" spans="1:3" ht="31.5" x14ac:dyDescent="0.25">
      <c r="A74" s="324" t="s">
        <v>2042</v>
      </c>
      <c r="B74" s="254" t="s">
        <v>1767</v>
      </c>
      <c r="C74" s="544" t="s">
        <v>2957</v>
      </c>
    </row>
    <row r="75" spans="1:3" ht="15" x14ac:dyDescent="0.25">
      <c r="A75" s="534"/>
      <c r="B75" s="534"/>
      <c r="C75" s="534"/>
    </row>
    <row r="76" spans="1:3" x14ac:dyDescent="0.25">
      <c r="A76" s="998" t="s">
        <v>3239</v>
      </c>
      <c r="B76" s="1532"/>
      <c r="C76" s="100"/>
    </row>
    <row r="77" spans="1:3" ht="165.75" x14ac:dyDescent="0.25">
      <c r="A77" s="325" t="s">
        <v>2844</v>
      </c>
      <c r="B77" s="1445" t="s">
        <v>1306</v>
      </c>
      <c r="C77" s="252" t="s">
        <v>3224</v>
      </c>
    </row>
    <row r="78" spans="1:3" ht="47.25" x14ac:dyDescent="0.25">
      <c r="A78" s="1001" t="s">
        <v>4119</v>
      </c>
      <c r="B78" s="1547" t="s">
        <v>2075</v>
      </c>
      <c r="C78" s="252"/>
    </row>
    <row r="79" spans="1:3" ht="47.25" x14ac:dyDescent="0.25">
      <c r="A79" s="1001" t="s">
        <v>4120</v>
      </c>
      <c r="B79" s="1547" t="s">
        <v>1306</v>
      </c>
      <c r="C79" s="252"/>
    </row>
    <row r="80" spans="1:3" ht="47.25" x14ac:dyDescent="0.25">
      <c r="A80" s="325" t="s">
        <v>4117</v>
      </c>
      <c r="B80" s="1496" t="s">
        <v>1767</v>
      </c>
      <c r="C80" s="14" t="s">
        <v>4118</v>
      </c>
    </row>
    <row r="81" spans="1:4" ht="15" x14ac:dyDescent="0.25">
      <c r="A81" s="534"/>
      <c r="B81" s="1548"/>
      <c r="C81" s="534"/>
    </row>
    <row r="82" spans="1:4" ht="38.25" x14ac:dyDescent="0.25">
      <c r="A82" s="324" t="s">
        <v>3722</v>
      </c>
      <c r="B82" s="254" t="s">
        <v>1306</v>
      </c>
      <c r="C82" s="544" t="s">
        <v>3724</v>
      </c>
    </row>
    <row r="83" spans="1:4" ht="47.25" x14ac:dyDescent="0.25">
      <c r="A83" s="1001" t="s">
        <v>4507</v>
      </c>
      <c r="B83" s="1547" t="s">
        <v>4508</v>
      </c>
      <c r="C83" s="544" t="s">
        <v>2172</v>
      </c>
    </row>
    <row r="84" spans="1:4" x14ac:dyDescent="0.25">
      <c r="A84" s="1001" t="s">
        <v>5374</v>
      </c>
      <c r="B84" s="1547" t="s">
        <v>432</v>
      </c>
      <c r="C84" s="544" t="s">
        <v>2172</v>
      </c>
    </row>
    <row r="85" spans="1:4" ht="25.5" x14ac:dyDescent="0.25">
      <c r="A85" s="1001" t="s">
        <v>5374</v>
      </c>
      <c r="B85" s="1547" t="s">
        <v>1306</v>
      </c>
      <c r="C85" s="544" t="s">
        <v>5403</v>
      </c>
    </row>
    <row r="86" spans="1:4" ht="66.75" customHeight="1" x14ac:dyDescent="0.25">
      <c r="A86" s="324" t="s">
        <v>2561</v>
      </c>
      <c r="B86" s="509" t="s">
        <v>1767</v>
      </c>
      <c r="C86" s="1172" t="s">
        <v>3921</v>
      </c>
    </row>
    <row r="87" spans="1:4" ht="114.75" x14ac:dyDescent="0.25">
      <c r="A87" s="939" t="s">
        <v>1990</v>
      </c>
      <c r="B87" s="509" t="s">
        <v>1283</v>
      </c>
      <c r="C87" s="11" t="s">
        <v>3102</v>
      </c>
      <c r="D87" s="11" t="s">
        <v>3103</v>
      </c>
    </row>
    <row r="88" spans="1:4" ht="31.5" x14ac:dyDescent="0.25">
      <c r="A88" s="324" t="s">
        <v>3834</v>
      </c>
      <c r="B88" s="509" t="s">
        <v>1306</v>
      </c>
      <c r="C88" s="1174"/>
      <c r="D88" s="1174" t="s">
        <v>650</v>
      </c>
    </row>
    <row r="89" spans="1:4" x14ac:dyDescent="0.25">
      <c r="A89" s="1003" t="s">
        <v>3237</v>
      </c>
      <c r="B89" s="1532"/>
      <c r="C89" s="1099"/>
    </row>
    <row r="90" spans="1:4" x14ac:dyDescent="0.25">
      <c r="A90" s="1003" t="s">
        <v>3238</v>
      </c>
      <c r="B90" s="1532"/>
      <c r="C90" s="1099"/>
    </row>
    <row r="91" spans="1:4" ht="153" x14ac:dyDescent="0.25">
      <c r="A91" s="325" t="s">
        <v>5130</v>
      </c>
      <c r="B91" s="1512" t="s">
        <v>1767</v>
      </c>
      <c r="C91" s="252" t="s">
        <v>5349</v>
      </c>
    </row>
    <row r="92" spans="1:4" ht="41.25" customHeight="1" x14ac:dyDescent="0.25">
      <c r="A92" s="939" t="s">
        <v>4406</v>
      </c>
      <c r="B92" s="509" t="s">
        <v>432</v>
      </c>
      <c r="C92" s="746" t="s">
        <v>4514</v>
      </c>
    </row>
    <row r="94" spans="1:4" ht="30" x14ac:dyDescent="0.25">
      <c r="A94" s="534"/>
      <c r="C94" s="1427" t="s">
        <v>5460</v>
      </c>
    </row>
    <row r="95" spans="1:4" ht="89.25" x14ac:dyDescent="0.25">
      <c r="A95" s="324" t="s">
        <v>3840</v>
      </c>
      <c r="B95" s="509"/>
      <c r="C95" s="1177" t="s">
        <v>3842</v>
      </c>
    </row>
    <row r="96" spans="1:4" ht="102" x14ac:dyDescent="0.25">
      <c r="A96" s="939" t="s">
        <v>3529</v>
      </c>
      <c r="B96" s="509" t="s">
        <v>1767</v>
      </c>
      <c r="C96" s="5" t="s">
        <v>3534</v>
      </c>
    </row>
    <row r="97" spans="1:3" x14ac:dyDescent="0.25">
      <c r="A97" s="1001"/>
      <c r="B97" s="1445"/>
      <c r="C97" s="619"/>
    </row>
    <row r="98" spans="1:3" x14ac:dyDescent="0.25">
      <c r="A98" s="324"/>
      <c r="B98" s="1496"/>
      <c r="C98" s="11"/>
    </row>
    <row r="99" spans="1:3" ht="25.5" x14ac:dyDescent="0.25">
      <c r="A99" s="324" t="s">
        <v>2476</v>
      </c>
      <c r="B99" s="1496" t="s">
        <v>1371</v>
      </c>
      <c r="C99" s="1097" t="s">
        <v>5447</v>
      </c>
    </row>
    <row r="100" spans="1:3" ht="51" x14ac:dyDescent="0.25">
      <c r="A100" s="324" t="s">
        <v>2476</v>
      </c>
      <c r="B100" s="1496" t="s">
        <v>2056</v>
      </c>
      <c r="C100" s="1205" t="s">
        <v>5452</v>
      </c>
    </row>
    <row r="101" spans="1:3" x14ac:dyDescent="0.25">
      <c r="A101" s="325" t="s">
        <v>1704</v>
      </c>
      <c r="B101" s="1496" t="s">
        <v>1767</v>
      </c>
      <c r="C101" s="1342" t="s">
        <v>4409</v>
      </c>
    </row>
    <row r="102" spans="1:3" ht="63.75" x14ac:dyDescent="0.25">
      <c r="A102" s="325" t="s">
        <v>1605</v>
      </c>
      <c r="B102" s="1512" t="s">
        <v>1306</v>
      </c>
      <c r="C102" s="252" t="s">
        <v>3215</v>
      </c>
    </row>
    <row r="103" spans="1:3" ht="51" x14ac:dyDescent="0.25">
      <c r="A103" s="325" t="s">
        <v>1609</v>
      </c>
      <c r="B103" s="1402" t="s">
        <v>1306</v>
      </c>
      <c r="C103" s="252" t="s">
        <v>3213</v>
      </c>
    </row>
    <row r="104" spans="1:3" ht="25.5" x14ac:dyDescent="0.25">
      <c r="A104" s="324" t="s">
        <v>3208</v>
      </c>
      <c r="B104" s="254" t="s">
        <v>1306</v>
      </c>
      <c r="C104" s="11" t="s">
        <v>3214</v>
      </c>
    </row>
    <row r="105" spans="1:3" x14ac:dyDescent="0.25">
      <c r="A105" s="689" t="s">
        <v>3496</v>
      </c>
      <c r="B105" s="1532"/>
      <c r="C105" s="100"/>
    </row>
    <row r="106" spans="1:3" ht="25.5" x14ac:dyDescent="0.25">
      <c r="A106" s="324" t="s">
        <v>2557</v>
      </c>
      <c r="B106" s="1496" t="s">
        <v>1306</v>
      </c>
      <c r="C106" s="53" t="s">
        <v>3264</v>
      </c>
    </row>
    <row r="107" spans="1:3" x14ac:dyDescent="0.25">
      <c r="A107" s="1001" t="s">
        <v>3491</v>
      </c>
      <c r="B107" s="1549" t="s">
        <v>3492</v>
      </c>
      <c r="C107" s="100"/>
    </row>
    <row r="108" spans="1:3" ht="15" x14ac:dyDescent="0.25">
      <c r="A108" s="1153"/>
      <c r="B108" s="1532"/>
      <c r="C108" s="540" t="s">
        <v>3606</v>
      </c>
    </row>
    <row r="109" spans="1:3" x14ac:dyDescent="0.25">
      <c r="A109" s="323" t="s">
        <v>376</v>
      </c>
      <c r="B109" s="1496" t="s">
        <v>432</v>
      </c>
      <c r="C109" s="544" t="s">
        <v>4683</v>
      </c>
    </row>
    <row r="110" spans="1:3" ht="89.25" x14ac:dyDescent="0.25">
      <c r="A110" s="977" t="s">
        <v>3566</v>
      </c>
      <c r="B110" s="1402" t="s">
        <v>1306</v>
      </c>
      <c r="C110" s="14" t="s">
        <v>3567</v>
      </c>
    </row>
    <row r="111" spans="1:3" ht="102" x14ac:dyDescent="0.25">
      <c r="A111" s="324" t="s">
        <v>345</v>
      </c>
      <c r="B111" s="254" t="s">
        <v>1306</v>
      </c>
      <c r="C111" s="252" t="s">
        <v>3560</v>
      </c>
    </row>
    <row r="115" spans="1:3" x14ac:dyDescent="0.25">
      <c r="A115" s="1347"/>
      <c r="B115" s="1532"/>
      <c r="C115" s="1098" t="s">
        <v>3546</v>
      </c>
    </row>
    <row r="118" spans="1:3" ht="15" x14ac:dyDescent="0.25">
      <c r="A118" s="534"/>
      <c r="C118" s="1137" t="s">
        <v>3581</v>
      </c>
    </row>
    <row r="119" spans="1:3" ht="15" x14ac:dyDescent="0.25">
      <c r="A119" s="534"/>
      <c r="B119" s="534"/>
      <c r="C119" s="1578" t="s">
        <v>3569</v>
      </c>
    </row>
    <row r="120" spans="1:3" x14ac:dyDescent="0.25">
      <c r="C120" s="1135" t="s">
        <v>3570</v>
      </c>
    </row>
    <row r="121" spans="1:3" x14ac:dyDescent="0.25">
      <c r="A121" s="1572" t="s">
        <v>6249</v>
      </c>
      <c r="B121" s="1532"/>
      <c r="C121" s="935" t="s">
        <v>3571</v>
      </c>
    </row>
    <row r="122" spans="1:3" x14ac:dyDescent="0.25">
      <c r="C122" s="1135" t="s">
        <v>3572</v>
      </c>
    </row>
    <row r="123" spans="1:3" x14ac:dyDescent="0.25">
      <c r="C123" s="1135" t="s">
        <v>3573</v>
      </c>
    </row>
    <row r="124" spans="1:3" x14ac:dyDescent="0.25">
      <c r="C124" s="1135" t="s">
        <v>3574</v>
      </c>
    </row>
    <row r="125" spans="1:3" x14ac:dyDescent="0.25">
      <c r="C125" s="1135" t="s">
        <v>3575</v>
      </c>
    </row>
    <row r="126" spans="1:3" x14ac:dyDescent="0.25">
      <c r="C126" s="1135" t="s">
        <v>3576</v>
      </c>
    </row>
    <row r="127" spans="1:3" x14ac:dyDescent="0.25">
      <c r="C127" s="1136" t="s">
        <v>3577</v>
      </c>
    </row>
    <row r="128" spans="1:3" x14ac:dyDescent="0.25">
      <c r="C128" s="1136" t="s">
        <v>3578</v>
      </c>
    </row>
    <row r="129" spans="1:5" x14ac:dyDescent="0.25">
      <c r="C129" s="1136" t="s">
        <v>3579</v>
      </c>
    </row>
    <row r="130" spans="1:5" x14ac:dyDescent="0.25">
      <c r="C130" s="1136" t="s">
        <v>3580</v>
      </c>
    </row>
    <row r="131" spans="1:5" ht="15" x14ac:dyDescent="0.25">
      <c r="A131" s="534"/>
      <c r="B131" s="534"/>
      <c r="C131" s="534"/>
    </row>
    <row r="132" spans="1:5" ht="15" x14ac:dyDescent="0.25">
      <c r="A132" s="534"/>
      <c r="B132" s="1548"/>
      <c r="C132" s="534"/>
    </row>
    <row r="133" spans="1:5" ht="15" x14ac:dyDescent="0.25">
      <c r="A133" s="534"/>
      <c r="B133" s="1548"/>
      <c r="C133" s="534"/>
    </row>
    <row r="134" spans="1:5" ht="45" x14ac:dyDescent="0.25">
      <c r="A134" s="540" t="s">
        <v>4392</v>
      </c>
      <c r="B134" s="1551" t="s">
        <v>4393</v>
      </c>
      <c r="C134" s="1339" t="s">
        <v>4394</v>
      </c>
      <c r="D134" s="540" t="s">
        <v>432</v>
      </c>
      <c r="E134" s="540" t="s">
        <v>714</v>
      </c>
    </row>
    <row r="135" spans="1:5" ht="45" x14ac:dyDescent="0.25">
      <c r="A135" s="540" t="s">
        <v>432</v>
      </c>
      <c r="B135" s="1551" t="s">
        <v>2701</v>
      </c>
      <c r="C135" s="1339" t="s">
        <v>4395</v>
      </c>
      <c r="D135" s="540" t="s">
        <v>432</v>
      </c>
      <c r="E135" s="540" t="s">
        <v>714</v>
      </c>
    </row>
    <row r="136" spans="1:5" ht="45" x14ac:dyDescent="0.25">
      <c r="A136" s="540" t="s">
        <v>4392</v>
      </c>
      <c r="B136" s="1551" t="s">
        <v>4396</v>
      </c>
      <c r="C136" s="1339" t="s">
        <v>4397</v>
      </c>
      <c r="D136" s="540" t="s">
        <v>432</v>
      </c>
      <c r="E136" s="540" t="s">
        <v>714</v>
      </c>
    </row>
    <row r="137" spans="1:5" ht="30" x14ac:dyDescent="0.25">
      <c r="A137" s="540" t="s">
        <v>4392</v>
      </c>
      <c r="B137" s="1551" t="s">
        <v>2701</v>
      </c>
      <c r="C137" s="1339" t="s">
        <v>4398</v>
      </c>
      <c r="D137" s="540" t="s">
        <v>432</v>
      </c>
      <c r="E137" s="540" t="s">
        <v>714</v>
      </c>
    </row>
    <row r="138" spans="1:5" ht="45" x14ac:dyDescent="0.25">
      <c r="A138" s="540" t="s">
        <v>432</v>
      </c>
      <c r="B138" s="1551" t="s">
        <v>2701</v>
      </c>
      <c r="C138" s="1339" t="s">
        <v>4399</v>
      </c>
      <c r="D138" s="540" t="s">
        <v>432</v>
      </c>
      <c r="E138" s="540" t="s">
        <v>714</v>
      </c>
    </row>
    <row r="139" spans="1:5" ht="45" x14ac:dyDescent="0.25">
      <c r="A139" s="540"/>
      <c r="B139" s="1551"/>
      <c r="C139" s="1339" t="s">
        <v>4400</v>
      </c>
      <c r="D139" s="540" t="s">
        <v>432</v>
      </c>
      <c r="E139" s="540" t="s">
        <v>714</v>
      </c>
    </row>
    <row r="140" spans="1:5" ht="45" x14ac:dyDescent="0.25">
      <c r="A140" s="1340" t="s">
        <v>432</v>
      </c>
      <c r="B140" s="1551" t="s">
        <v>2701</v>
      </c>
      <c r="C140" s="1339" t="s">
        <v>4401</v>
      </c>
      <c r="D140" s="540" t="s">
        <v>432</v>
      </c>
      <c r="E140" s="540" t="s">
        <v>714</v>
      </c>
    </row>
    <row r="141" spans="1:5" x14ac:dyDescent="0.25">
      <c r="A141" s="1326"/>
      <c r="B141" s="1552"/>
    </row>
    <row r="144" spans="1:5" ht="102.75" customHeight="1" x14ac:dyDescent="0.25">
      <c r="A144" s="324" t="s">
        <v>5370</v>
      </c>
      <c r="B144" s="1402" t="s">
        <v>1306</v>
      </c>
      <c r="C144" s="1172" t="s">
        <v>5781</v>
      </c>
    </row>
    <row r="146" spans="1:4" ht="69.75" customHeight="1" x14ac:dyDescent="0.25">
      <c r="A146" s="325" t="s">
        <v>5694</v>
      </c>
      <c r="B146" s="1498" t="s">
        <v>1306</v>
      </c>
      <c r="C146" s="252" t="s">
        <v>6345</v>
      </c>
    </row>
    <row r="147" spans="1:4" ht="63" x14ac:dyDescent="0.25">
      <c r="A147" s="325" t="s">
        <v>5871</v>
      </c>
      <c r="B147" s="1498" t="s">
        <v>1306</v>
      </c>
      <c r="C147" s="252" t="s">
        <v>6346</v>
      </c>
    </row>
    <row r="148" spans="1:4" x14ac:dyDescent="0.25">
      <c r="A148" s="1571"/>
      <c r="B148" s="1587"/>
      <c r="C148" s="188"/>
    </row>
    <row r="149" spans="1:4" x14ac:dyDescent="0.25">
      <c r="C149" s="1021" t="s">
        <v>6126</v>
      </c>
    </row>
    <row r="150" spans="1:4" ht="33.75" x14ac:dyDescent="0.25">
      <c r="A150" s="1471" t="s">
        <v>5917</v>
      </c>
      <c r="B150" s="1553" t="s">
        <v>1306</v>
      </c>
      <c r="C150" s="1471" t="s">
        <v>6138</v>
      </c>
    </row>
    <row r="151" spans="1:4" ht="54" customHeight="1" x14ac:dyDescent="0.25">
      <c r="A151" s="1430" t="s">
        <v>5917</v>
      </c>
      <c r="B151" s="1554" t="s">
        <v>5888</v>
      </c>
      <c r="C151" s="1477" t="s">
        <v>1998</v>
      </c>
      <c r="D151" s="1429" t="s">
        <v>5937</v>
      </c>
    </row>
    <row r="152" spans="1:4" ht="33.75" x14ac:dyDescent="0.25">
      <c r="A152" s="1475" t="s">
        <v>5916</v>
      </c>
      <c r="B152" s="1555" t="s">
        <v>1306</v>
      </c>
      <c r="C152" s="1475" t="s">
        <v>6143</v>
      </c>
    </row>
    <row r="153" spans="1:4" ht="45" x14ac:dyDescent="0.25">
      <c r="A153" s="1471" t="s">
        <v>5918</v>
      </c>
      <c r="B153" s="1553" t="s">
        <v>1306</v>
      </c>
      <c r="C153" s="1471" t="s">
        <v>6139</v>
      </c>
    </row>
    <row r="154" spans="1:4" ht="45" x14ac:dyDescent="0.25">
      <c r="A154" s="1472" t="s">
        <v>6129</v>
      </c>
      <c r="B154" s="1553" t="s">
        <v>1306</v>
      </c>
      <c r="C154" s="1471" t="s">
        <v>6140</v>
      </c>
    </row>
    <row r="155" spans="1:4" ht="45" x14ac:dyDescent="0.25">
      <c r="A155" s="1473" t="s">
        <v>5891</v>
      </c>
      <c r="B155" s="1553" t="s">
        <v>1306</v>
      </c>
      <c r="C155" s="1471" t="s">
        <v>6141</v>
      </c>
    </row>
    <row r="156" spans="1:4" ht="33.75" x14ac:dyDescent="0.25">
      <c r="A156" s="1474" t="s">
        <v>5920</v>
      </c>
      <c r="B156" s="1556" t="s">
        <v>1306</v>
      </c>
      <c r="C156" s="1474" t="s">
        <v>6142</v>
      </c>
    </row>
    <row r="157" spans="1:4" ht="63" x14ac:dyDescent="0.25">
      <c r="A157" s="1447" t="s">
        <v>5664</v>
      </c>
      <c r="B157" s="1557" t="s">
        <v>1306</v>
      </c>
      <c r="C157" s="1016" t="s">
        <v>6135</v>
      </c>
      <c r="D157" s="1476" t="s">
        <v>6342</v>
      </c>
    </row>
    <row r="158" spans="1:4" ht="76.5" x14ac:dyDescent="0.25">
      <c r="A158" s="324" t="s">
        <v>5626</v>
      </c>
      <c r="B158" s="509" t="s">
        <v>1306</v>
      </c>
      <c r="C158" s="1172" t="s">
        <v>6133</v>
      </c>
      <c r="D158" s="1476" t="s">
        <v>6342</v>
      </c>
    </row>
    <row r="159" spans="1:4" ht="47.25" x14ac:dyDescent="0.25">
      <c r="A159" s="1447" t="s">
        <v>5702</v>
      </c>
      <c r="B159" s="1558"/>
      <c r="C159" s="1469" t="s">
        <v>5924</v>
      </c>
      <c r="D159" s="1476" t="s">
        <v>6342</v>
      </c>
    </row>
    <row r="160" spans="1:4" ht="51" x14ac:dyDescent="0.25">
      <c r="A160" s="1467" t="s">
        <v>5921</v>
      </c>
      <c r="B160" s="1559" t="s">
        <v>1306</v>
      </c>
      <c r="C160" s="1468" t="s">
        <v>6136</v>
      </c>
      <c r="D160" s="1476" t="s">
        <v>6342</v>
      </c>
    </row>
    <row r="161" spans="1:4" ht="51" x14ac:dyDescent="0.25">
      <c r="A161" s="1447" t="s">
        <v>5922</v>
      </c>
      <c r="B161" s="1557" t="s">
        <v>1306</v>
      </c>
      <c r="C161" s="1470" t="s">
        <v>6137</v>
      </c>
      <c r="D161" s="1476" t="s">
        <v>6342</v>
      </c>
    </row>
    <row r="162" spans="1:4" ht="51" x14ac:dyDescent="0.25">
      <c r="A162" s="1467" t="s">
        <v>5919</v>
      </c>
      <c r="B162" s="1559" t="s">
        <v>1306</v>
      </c>
      <c r="C162" s="1468" t="s">
        <v>6134</v>
      </c>
      <c r="D162" s="1476" t="s">
        <v>6342</v>
      </c>
    </row>
    <row r="165" spans="1:4" ht="51" x14ac:dyDescent="0.25">
      <c r="A165" s="324" t="s">
        <v>2238</v>
      </c>
      <c r="B165" s="254" t="s">
        <v>1987</v>
      </c>
      <c r="C165" s="252" t="s">
        <v>6010</v>
      </c>
    </row>
    <row r="166" spans="1:4" ht="51" x14ac:dyDescent="0.25">
      <c r="A166" s="324" t="s">
        <v>2238</v>
      </c>
      <c r="B166" s="254" t="s">
        <v>1987</v>
      </c>
      <c r="C166" s="252" t="s">
        <v>6011</v>
      </c>
    </row>
    <row r="167" spans="1:4" ht="89.25" x14ac:dyDescent="0.25">
      <c r="A167" s="324" t="s">
        <v>2237</v>
      </c>
      <c r="B167" s="254" t="s">
        <v>5172</v>
      </c>
      <c r="C167" s="252" t="s">
        <v>6031</v>
      </c>
    </row>
    <row r="169" spans="1:4" ht="214.5" customHeight="1" x14ac:dyDescent="0.25">
      <c r="A169" s="1486" t="s">
        <v>6174</v>
      </c>
      <c r="B169" s="1560" t="s">
        <v>1767</v>
      </c>
      <c r="C169" s="1480" t="s">
        <v>6179</v>
      </c>
    </row>
    <row r="170" spans="1:4" ht="78.75" x14ac:dyDescent="0.25">
      <c r="A170" s="1486" t="s">
        <v>6180</v>
      </c>
      <c r="B170" s="1560" t="s">
        <v>1767</v>
      </c>
      <c r="C170" s="1480" t="s">
        <v>6181</v>
      </c>
    </row>
    <row r="171" spans="1:4" ht="21" x14ac:dyDescent="0.25">
      <c r="A171" s="1486" t="s">
        <v>6176</v>
      </c>
      <c r="B171" s="1560" t="s">
        <v>1767</v>
      </c>
      <c r="C171" s="1480" t="s">
        <v>6177</v>
      </c>
    </row>
    <row r="172" spans="1:4" ht="21" x14ac:dyDescent="0.25">
      <c r="A172" s="1486" t="s">
        <v>6178</v>
      </c>
      <c r="B172" s="1560" t="s">
        <v>1767</v>
      </c>
      <c r="C172" s="1480" t="s">
        <v>6177</v>
      </c>
    </row>
    <row r="173" spans="1:4" ht="21" x14ac:dyDescent="0.25">
      <c r="A173" s="1486" t="s">
        <v>6187</v>
      </c>
      <c r="B173" s="1560" t="s">
        <v>1767</v>
      </c>
      <c r="C173" s="1487" t="s">
        <v>6189</v>
      </c>
    </row>
    <row r="174" spans="1:4" ht="31.5" x14ac:dyDescent="0.25">
      <c r="A174" s="1486" t="s">
        <v>6188</v>
      </c>
      <c r="B174" s="1560" t="s">
        <v>1767</v>
      </c>
      <c r="C174" s="1487" t="s">
        <v>6190</v>
      </c>
    </row>
    <row r="175" spans="1:4" ht="31.5" x14ac:dyDescent="0.25">
      <c r="A175" s="1003" t="s">
        <v>6200</v>
      </c>
      <c r="B175" s="1532"/>
      <c r="C175" s="1488"/>
    </row>
    <row r="178" spans="1:6" ht="153.75" x14ac:dyDescent="0.25">
      <c r="A178" s="939" t="s">
        <v>5609</v>
      </c>
      <c r="B178" s="509" t="s">
        <v>432</v>
      </c>
      <c r="C178" s="945" t="s">
        <v>5608</v>
      </c>
      <c r="F178" s="1434" t="e">
        <f>SUM(#REF!)</f>
        <v>#REF!</v>
      </c>
    </row>
    <row r="179" spans="1:6" x14ac:dyDescent="0.25">
      <c r="A179" s="939" t="s">
        <v>5611</v>
      </c>
      <c r="B179" s="509" t="s">
        <v>432</v>
      </c>
      <c r="C179" s="945" t="s">
        <v>5612</v>
      </c>
    </row>
    <row r="181" spans="1:6" x14ac:dyDescent="0.25">
      <c r="A181" s="1824" t="s">
        <v>6245</v>
      </c>
      <c r="B181" s="1824"/>
      <c r="C181" s="1824"/>
    </row>
    <row r="182" spans="1:6" x14ac:dyDescent="0.25">
      <c r="A182" s="323" t="s">
        <v>1738</v>
      </c>
      <c r="B182" s="1491" t="s">
        <v>1738</v>
      </c>
      <c r="C182" s="84" t="s">
        <v>6247</v>
      </c>
      <c r="D182" s="1586" t="s">
        <v>6311</v>
      </c>
    </row>
    <row r="183" spans="1:6" x14ac:dyDescent="0.25">
      <c r="A183" s="323" t="s">
        <v>1307</v>
      </c>
      <c r="B183" s="1491" t="s">
        <v>1307</v>
      </c>
      <c r="C183" s="84" t="s">
        <v>6248</v>
      </c>
      <c r="D183" s="1586" t="s">
        <v>6311</v>
      </c>
    </row>
    <row r="184" spans="1:6" x14ac:dyDescent="0.25">
      <c r="A184" s="323" t="s">
        <v>1739</v>
      </c>
      <c r="B184" s="1491" t="s">
        <v>1739</v>
      </c>
      <c r="C184" s="84" t="s">
        <v>6248</v>
      </c>
      <c r="D184" s="1586" t="s">
        <v>6311</v>
      </c>
    </row>
    <row r="185" spans="1:6" x14ac:dyDescent="0.25">
      <c r="A185" s="323" t="s">
        <v>1740</v>
      </c>
      <c r="B185" s="1491" t="s">
        <v>1740</v>
      </c>
      <c r="C185" s="84" t="s">
        <v>6248</v>
      </c>
      <c r="D185" s="1586" t="s">
        <v>6311</v>
      </c>
    </row>
    <row r="186" spans="1:6" x14ac:dyDescent="0.25">
      <c r="A186" s="323" t="s">
        <v>1741</v>
      </c>
      <c r="B186" s="1491" t="s">
        <v>1741</v>
      </c>
      <c r="C186" s="84" t="s">
        <v>6248</v>
      </c>
      <c r="D186" s="1586" t="s">
        <v>6311</v>
      </c>
    </row>
    <row r="187" spans="1:6" x14ac:dyDescent="0.25">
      <c r="A187" s="323" t="s">
        <v>1742</v>
      </c>
      <c r="B187" s="1491" t="s">
        <v>1742</v>
      </c>
      <c r="C187" s="84" t="s">
        <v>6248</v>
      </c>
      <c r="D187" s="1586" t="s">
        <v>6311</v>
      </c>
    </row>
    <row r="188" spans="1:6" x14ac:dyDescent="0.25">
      <c r="A188" s="323" t="s">
        <v>1371</v>
      </c>
      <c r="B188" s="1491" t="s">
        <v>1371</v>
      </c>
      <c r="C188" s="84" t="s">
        <v>6248</v>
      </c>
      <c r="D188" s="1586" t="s">
        <v>6311</v>
      </c>
    </row>
    <row r="189" spans="1:6" x14ac:dyDescent="0.25">
      <c r="A189" s="323" t="s">
        <v>1743</v>
      </c>
      <c r="B189" s="1491" t="s">
        <v>1743</v>
      </c>
      <c r="C189" s="84" t="s">
        <v>6248</v>
      </c>
      <c r="D189" s="1586" t="s">
        <v>6311</v>
      </c>
    </row>
    <row r="190" spans="1:6" x14ac:dyDescent="0.25">
      <c r="A190" s="323" t="s">
        <v>1744</v>
      </c>
      <c r="B190" s="1491" t="s">
        <v>1744</v>
      </c>
      <c r="C190" s="84" t="s">
        <v>6248</v>
      </c>
      <c r="D190" s="1586" t="s">
        <v>6311</v>
      </c>
    </row>
    <row r="191" spans="1:6" x14ac:dyDescent="0.25">
      <c r="A191" s="323" t="s">
        <v>1269</v>
      </c>
      <c r="B191" s="1491" t="s">
        <v>1269</v>
      </c>
      <c r="C191" s="84" t="s">
        <v>6248</v>
      </c>
      <c r="D191" s="1586" t="s">
        <v>6311</v>
      </c>
    </row>
    <row r="192" spans="1:6" x14ac:dyDescent="0.25">
      <c r="A192" s="323" t="s">
        <v>3548</v>
      </c>
      <c r="B192" s="1491" t="s">
        <v>3548</v>
      </c>
      <c r="C192" s="84" t="s">
        <v>6248</v>
      </c>
      <c r="D192" s="1586" t="s">
        <v>6311</v>
      </c>
    </row>
    <row r="193" spans="1:4" x14ac:dyDescent="0.25">
      <c r="A193" s="323" t="s">
        <v>1745</v>
      </c>
      <c r="B193" s="1491" t="s">
        <v>1745</v>
      </c>
      <c r="C193" s="84" t="s">
        <v>6248</v>
      </c>
      <c r="D193" s="1586" t="s">
        <v>6311</v>
      </c>
    </row>
    <row r="194" spans="1:4" x14ac:dyDescent="0.25">
      <c r="A194" s="323" t="s">
        <v>1746</v>
      </c>
      <c r="B194" s="1491" t="s">
        <v>1746</v>
      </c>
      <c r="C194" s="84" t="s">
        <v>6248</v>
      </c>
      <c r="D194" s="1586" t="s">
        <v>6311</v>
      </c>
    </row>
    <row r="195" spans="1:4" x14ac:dyDescent="0.25">
      <c r="A195" s="323" t="s">
        <v>1747</v>
      </c>
      <c r="B195" s="1491" t="s">
        <v>1747</v>
      </c>
      <c r="C195" s="84" t="s">
        <v>6248</v>
      </c>
      <c r="D195" s="1586" t="s">
        <v>6311</v>
      </c>
    </row>
    <row r="196" spans="1:4" x14ac:dyDescent="0.25">
      <c r="A196" s="323" t="s">
        <v>1748</v>
      </c>
      <c r="B196" s="1491" t="s">
        <v>1748</v>
      </c>
      <c r="C196" s="84" t="s">
        <v>6248</v>
      </c>
      <c r="D196" s="1586" t="s">
        <v>6311</v>
      </c>
    </row>
    <row r="197" spans="1:4" x14ac:dyDescent="0.25">
      <c r="A197" s="323" t="s">
        <v>1749</v>
      </c>
      <c r="B197" s="1491" t="s">
        <v>1749</v>
      </c>
      <c r="C197" s="84" t="s">
        <v>6248</v>
      </c>
      <c r="D197" s="1586" t="s">
        <v>6311</v>
      </c>
    </row>
    <row r="198" spans="1:4" ht="31.5" x14ac:dyDescent="0.25">
      <c r="A198" s="323" t="s">
        <v>1750</v>
      </c>
      <c r="B198" s="1491" t="s">
        <v>1750</v>
      </c>
      <c r="C198" s="84" t="s">
        <v>6248</v>
      </c>
      <c r="D198" s="1586" t="s">
        <v>6311</v>
      </c>
    </row>
    <row r="199" spans="1:4" x14ac:dyDescent="0.25">
      <c r="A199" s="323" t="s">
        <v>1751</v>
      </c>
      <c r="B199" s="1491" t="s">
        <v>1751</v>
      </c>
      <c r="C199" s="84" t="s">
        <v>6248</v>
      </c>
      <c r="D199" s="1586" t="s">
        <v>6311</v>
      </c>
    </row>
    <row r="200" spans="1:4" x14ac:dyDescent="0.25">
      <c r="A200" s="323" t="s">
        <v>1752</v>
      </c>
      <c r="B200" s="1491" t="s">
        <v>1752</v>
      </c>
      <c r="C200" s="84" t="s">
        <v>6248</v>
      </c>
      <c r="D200" s="1586" t="s">
        <v>6311</v>
      </c>
    </row>
    <row r="201" spans="1:4" x14ac:dyDescent="0.25">
      <c r="A201" s="323" t="s">
        <v>1753</v>
      </c>
      <c r="B201" s="1491" t="s">
        <v>1753</v>
      </c>
      <c r="C201" s="84" t="s">
        <v>6248</v>
      </c>
      <c r="D201" s="1586" t="s">
        <v>6311</v>
      </c>
    </row>
    <row r="202" spans="1:4" x14ac:dyDescent="0.25">
      <c r="A202" s="323" t="s">
        <v>1754</v>
      </c>
      <c r="B202" s="1491" t="s">
        <v>1754</v>
      </c>
      <c r="C202" s="84" t="s">
        <v>6248</v>
      </c>
      <c r="D202" s="1586" t="s">
        <v>6311</v>
      </c>
    </row>
    <row r="203" spans="1:4" ht="31.5" x14ac:dyDescent="0.25">
      <c r="A203" s="323" t="s">
        <v>1755</v>
      </c>
      <c r="B203" s="1491" t="s">
        <v>1755</v>
      </c>
      <c r="C203" s="84" t="s">
        <v>6248</v>
      </c>
      <c r="D203" s="1586" t="s">
        <v>6311</v>
      </c>
    </row>
    <row r="204" spans="1:4" x14ac:dyDescent="0.25">
      <c r="A204" s="323" t="s">
        <v>1756</v>
      </c>
      <c r="B204" s="1491" t="s">
        <v>1756</v>
      </c>
      <c r="C204" s="84" t="s">
        <v>6248</v>
      </c>
      <c r="D204" s="1586" t="s">
        <v>6311</v>
      </c>
    </row>
    <row r="205" spans="1:4" ht="31.5" x14ac:dyDescent="0.25">
      <c r="A205" s="323" t="s">
        <v>1757</v>
      </c>
      <c r="B205" s="1491" t="s">
        <v>1757</v>
      </c>
      <c r="C205" s="84" t="s">
        <v>6248</v>
      </c>
      <c r="D205" s="1586" t="s">
        <v>6311</v>
      </c>
    </row>
    <row r="206" spans="1:4" x14ac:dyDescent="0.25">
      <c r="A206" s="323" t="s">
        <v>1758</v>
      </c>
      <c r="B206" s="1491" t="s">
        <v>1758</v>
      </c>
      <c r="C206" s="84" t="s">
        <v>6248</v>
      </c>
      <c r="D206" s="1586" t="s">
        <v>6311</v>
      </c>
    </row>
    <row r="207" spans="1:4" x14ac:dyDescent="0.25">
      <c r="A207" s="323" t="s">
        <v>1759</v>
      </c>
      <c r="B207" s="1491" t="s">
        <v>1759</v>
      </c>
      <c r="C207" s="84" t="s">
        <v>6248</v>
      </c>
      <c r="D207" s="1586" t="s">
        <v>6311</v>
      </c>
    </row>
    <row r="208" spans="1:4" x14ac:dyDescent="0.25">
      <c r="A208" s="325" t="s">
        <v>1298</v>
      </c>
      <c r="B208" s="1496" t="s">
        <v>1298</v>
      </c>
      <c r="C208" s="423" t="s">
        <v>6246</v>
      </c>
      <c r="D208" s="1586" t="s">
        <v>6311</v>
      </c>
    </row>
    <row r="209" spans="1:4" x14ac:dyDescent="0.25">
      <c r="A209" s="323" t="s">
        <v>1760</v>
      </c>
      <c r="B209" s="1491" t="s">
        <v>1760</v>
      </c>
      <c r="C209" s="84" t="s">
        <v>6248</v>
      </c>
      <c r="D209" s="1586" t="s">
        <v>6311</v>
      </c>
    </row>
    <row r="210" spans="1:4" x14ac:dyDescent="0.25">
      <c r="A210" s="323" t="s">
        <v>1761</v>
      </c>
      <c r="B210" s="1491" t="s">
        <v>1761</v>
      </c>
      <c r="C210" s="84" t="s">
        <v>6248</v>
      </c>
      <c r="D210" s="1586" t="s">
        <v>6311</v>
      </c>
    </row>
    <row r="211" spans="1:4" ht="31.5" x14ac:dyDescent="0.25">
      <c r="A211" s="323" t="s">
        <v>1762</v>
      </c>
      <c r="B211" s="1491" t="s">
        <v>1762</v>
      </c>
      <c r="C211" s="84" t="s">
        <v>6248</v>
      </c>
      <c r="D211" s="1586" t="s">
        <v>6311</v>
      </c>
    </row>
    <row r="212" spans="1:4" ht="31.5" x14ac:dyDescent="0.25">
      <c r="A212" s="323" t="s">
        <v>1763</v>
      </c>
      <c r="B212" s="1491" t="s">
        <v>1763</v>
      </c>
      <c r="C212" s="84" t="s">
        <v>6248</v>
      </c>
      <c r="D212" s="1586" t="s">
        <v>6311</v>
      </c>
    </row>
    <row r="213" spans="1:4" x14ac:dyDescent="0.25">
      <c r="A213" s="323" t="s">
        <v>1764</v>
      </c>
      <c r="B213" s="1491" t="s">
        <v>1764</v>
      </c>
      <c r="C213" s="84" t="s">
        <v>6248</v>
      </c>
      <c r="D213" s="1586" t="s">
        <v>6311</v>
      </c>
    </row>
    <row r="214" spans="1:4" ht="31.5" x14ac:dyDescent="0.25">
      <c r="A214" s="323" t="s">
        <v>1765</v>
      </c>
      <c r="B214" s="1491" t="s">
        <v>1765</v>
      </c>
      <c r="C214" s="84" t="s">
        <v>6248</v>
      </c>
      <c r="D214" s="1586" t="s">
        <v>6311</v>
      </c>
    </row>
    <row r="215" spans="1:4" x14ac:dyDescent="0.25">
      <c r="A215" s="323" t="s">
        <v>1766</v>
      </c>
      <c r="B215" s="1491" t="s">
        <v>1766</v>
      </c>
      <c r="C215" s="84" t="s">
        <v>6248</v>
      </c>
      <c r="D215" s="1586" t="s">
        <v>6311</v>
      </c>
    </row>
    <row r="217" spans="1:4" ht="25.5" x14ac:dyDescent="0.25">
      <c r="A217" s="1323" t="s">
        <v>3021</v>
      </c>
      <c r="B217" s="1499" t="s">
        <v>3021</v>
      </c>
      <c r="C217" s="1327" t="s">
        <v>4216</v>
      </c>
      <c r="D217" s="1586" t="s">
        <v>6311</v>
      </c>
    </row>
    <row r="218" spans="1:4" ht="51" x14ac:dyDescent="0.25">
      <c r="A218" s="325" t="s">
        <v>3015</v>
      </c>
      <c r="B218" s="1445" t="s">
        <v>3015</v>
      </c>
      <c r="C218" s="619" t="s">
        <v>4201</v>
      </c>
      <c r="D218" s="1586" t="s">
        <v>6311</v>
      </c>
    </row>
    <row r="219" spans="1:4" ht="25.5" x14ac:dyDescent="0.25">
      <c r="A219" s="1324" t="s">
        <v>3032</v>
      </c>
      <c r="B219" s="509" t="s">
        <v>3032</v>
      </c>
      <c r="C219" s="619" t="s">
        <v>4200</v>
      </c>
      <c r="D219" s="1586" t="s">
        <v>6311</v>
      </c>
    </row>
    <row r="220" spans="1:4" ht="38.25" x14ac:dyDescent="0.25">
      <c r="A220" s="939" t="s">
        <v>3023</v>
      </c>
      <c r="B220" s="509" t="s">
        <v>3023</v>
      </c>
      <c r="C220" s="619" t="s">
        <v>4220</v>
      </c>
      <c r="D220" s="1586" t="s">
        <v>6311</v>
      </c>
    </row>
    <row r="221" spans="1:4" ht="38.25" x14ac:dyDescent="0.25">
      <c r="A221" s="1324" t="s">
        <v>3041</v>
      </c>
      <c r="B221" s="509" t="s">
        <v>3041</v>
      </c>
      <c r="C221" s="619" t="s">
        <v>4222</v>
      </c>
      <c r="D221" s="1586" t="s">
        <v>6311</v>
      </c>
    </row>
    <row r="222" spans="1:4" ht="38.25" x14ac:dyDescent="0.25">
      <c r="A222" s="1324" t="s">
        <v>3022</v>
      </c>
      <c r="B222" s="509" t="s">
        <v>3022</v>
      </c>
      <c r="C222" s="619" t="s">
        <v>4225</v>
      </c>
      <c r="D222" s="1586" t="s">
        <v>6311</v>
      </c>
    </row>
    <row r="223" spans="1:4" ht="38.25" x14ac:dyDescent="0.25">
      <c r="A223" s="1324" t="s">
        <v>3035</v>
      </c>
      <c r="B223" s="509" t="s">
        <v>3035</v>
      </c>
      <c r="C223" s="619" t="s">
        <v>4227</v>
      </c>
      <c r="D223" s="1586" t="s">
        <v>6311</v>
      </c>
    </row>
    <row r="224" spans="1:4" ht="38.25" x14ac:dyDescent="0.25">
      <c r="A224" s="325" t="s">
        <v>3016</v>
      </c>
      <c r="B224" s="1445" t="s">
        <v>3014</v>
      </c>
      <c r="C224" s="1094" t="s">
        <v>4229</v>
      </c>
      <c r="D224" s="1586" t="s">
        <v>6311</v>
      </c>
    </row>
    <row r="225" spans="1:4" ht="38.25" x14ac:dyDescent="0.25">
      <c r="A225" s="325" t="s">
        <v>3036</v>
      </c>
      <c r="B225" s="1445" t="s">
        <v>3036</v>
      </c>
      <c r="C225" s="619" t="s">
        <v>4231</v>
      </c>
      <c r="D225" s="1586" t="s">
        <v>6311</v>
      </c>
    </row>
    <row r="226" spans="1:4" ht="38.25" x14ac:dyDescent="0.25">
      <c r="A226" s="1324" t="s">
        <v>3033</v>
      </c>
      <c r="B226" s="509" t="s">
        <v>3033</v>
      </c>
      <c r="C226" s="1205" t="s">
        <v>4233</v>
      </c>
      <c r="D226" s="1586" t="s">
        <v>6311</v>
      </c>
    </row>
    <row r="227" spans="1:4" ht="63.75" x14ac:dyDescent="0.25">
      <c r="A227" s="325" t="s">
        <v>3025</v>
      </c>
      <c r="B227" s="1445" t="s">
        <v>3025</v>
      </c>
      <c r="C227" s="1205" t="s">
        <v>4235</v>
      </c>
      <c r="D227" s="1586" t="s">
        <v>6311</v>
      </c>
    </row>
    <row r="228" spans="1:4" ht="38.25" x14ac:dyDescent="0.25">
      <c r="A228" s="1324" t="s">
        <v>3027</v>
      </c>
      <c r="B228" s="509" t="s">
        <v>3027</v>
      </c>
      <c r="C228" s="619" t="s">
        <v>4237</v>
      </c>
      <c r="D228" s="1586" t="s">
        <v>6311</v>
      </c>
    </row>
    <row r="229" spans="1:4" ht="38.25" x14ac:dyDescent="0.25">
      <c r="A229" s="1324" t="s">
        <v>3029</v>
      </c>
      <c r="B229" s="509" t="s">
        <v>3029</v>
      </c>
      <c r="C229" s="619" t="s">
        <v>4239</v>
      </c>
      <c r="D229" s="1586" t="s">
        <v>6311</v>
      </c>
    </row>
    <row r="230" spans="1:4" ht="38.25" x14ac:dyDescent="0.25">
      <c r="A230" s="325" t="s">
        <v>3030</v>
      </c>
      <c r="B230" s="1445" t="s">
        <v>3030</v>
      </c>
      <c r="C230" s="619" t="s">
        <v>4241</v>
      </c>
      <c r="D230" s="1586" t="s">
        <v>6311</v>
      </c>
    </row>
    <row r="231" spans="1:4" ht="51" x14ac:dyDescent="0.25">
      <c r="A231" s="325" t="s">
        <v>3018</v>
      </c>
      <c r="B231" s="1445" t="s">
        <v>3018</v>
      </c>
      <c r="C231" s="619" t="s">
        <v>4243</v>
      </c>
      <c r="D231" s="1586" t="s">
        <v>6311</v>
      </c>
    </row>
    <row r="232" spans="1:4" ht="38.25" x14ac:dyDescent="0.25">
      <c r="A232" s="325" t="s">
        <v>3019</v>
      </c>
      <c r="B232" s="1445" t="s">
        <v>3019</v>
      </c>
      <c r="C232" s="619" t="s">
        <v>4245</v>
      </c>
      <c r="D232" s="1586" t="s">
        <v>6311</v>
      </c>
    </row>
    <row r="233" spans="1:4" ht="25.5" x14ac:dyDescent="0.25">
      <c r="A233" s="1324" t="s">
        <v>3020</v>
      </c>
      <c r="B233" s="509" t="s">
        <v>3020</v>
      </c>
      <c r="C233" s="1205" t="s">
        <v>4208</v>
      </c>
      <c r="D233" s="1586" t="s">
        <v>6311</v>
      </c>
    </row>
    <row r="234" spans="1:4" ht="25.5" x14ac:dyDescent="0.25">
      <c r="A234" s="325" t="s">
        <v>3034</v>
      </c>
      <c r="B234" s="1445" t="s">
        <v>3034</v>
      </c>
      <c r="C234" s="1172" t="s">
        <v>4209</v>
      </c>
      <c r="D234" s="1586" t="s">
        <v>6311</v>
      </c>
    </row>
    <row r="235" spans="1:4" ht="25.5" x14ac:dyDescent="0.25">
      <c r="A235" s="325" t="s">
        <v>3037</v>
      </c>
      <c r="B235" s="1445" t="s">
        <v>3037</v>
      </c>
      <c r="C235" s="1205" t="s">
        <v>4210</v>
      </c>
      <c r="D235" s="1586" t="s">
        <v>6311</v>
      </c>
    </row>
    <row r="236" spans="1:4" ht="25.5" x14ac:dyDescent="0.25">
      <c r="A236" s="325" t="s">
        <v>5561</v>
      </c>
      <c r="B236" s="1445" t="s">
        <v>5561</v>
      </c>
      <c r="C236" s="1205" t="s">
        <v>5562</v>
      </c>
      <c r="D236" s="1586" t="s">
        <v>6311</v>
      </c>
    </row>
    <row r="237" spans="1:4" ht="38.25" x14ac:dyDescent="0.25">
      <c r="A237" s="939" t="s">
        <v>3024</v>
      </c>
      <c r="B237" s="509" t="s">
        <v>3024</v>
      </c>
      <c r="C237" s="1205" t="s">
        <v>4250</v>
      </c>
      <c r="D237" s="1586" t="s">
        <v>6311</v>
      </c>
    </row>
    <row r="238" spans="1:4" ht="25.5" x14ac:dyDescent="0.25">
      <c r="A238" s="325" t="s">
        <v>3040</v>
      </c>
      <c r="B238" s="1445" t="s">
        <v>3040</v>
      </c>
      <c r="C238" s="1205" t="s">
        <v>4211</v>
      </c>
      <c r="D238" s="1586" t="s">
        <v>6311</v>
      </c>
    </row>
    <row r="239" spans="1:4" ht="25.5" x14ac:dyDescent="0.25">
      <c r="A239" s="1324" t="s">
        <v>3026</v>
      </c>
      <c r="B239" s="509" t="s">
        <v>3026</v>
      </c>
      <c r="C239" s="1205" t="s">
        <v>4212</v>
      </c>
      <c r="D239" s="1586" t="s">
        <v>6311</v>
      </c>
    </row>
    <row r="240" spans="1:4" ht="38.25" x14ac:dyDescent="0.25">
      <c r="A240" s="939" t="s">
        <v>3031</v>
      </c>
      <c r="B240" s="509" t="s">
        <v>4198</v>
      </c>
      <c r="C240" s="1205" t="s">
        <v>4254</v>
      </c>
      <c r="D240" s="1586" t="s">
        <v>6311</v>
      </c>
    </row>
    <row r="241" spans="1:4" ht="38.25" x14ac:dyDescent="0.25">
      <c r="A241" s="325" t="s">
        <v>4197</v>
      </c>
      <c r="B241" s="1445" t="s">
        <v>4197</v>
      </c>
      <c r="C241" s="1205" t="s">
        <v>4256</v>
      </c>
      <c r="D241" s="1586" t="s">
        <v>6311</v>
      </c>
    </row>
    <row r="242" spans="1:4" ht="25.5" x14ac:dyDescent="0.25">
      <c r="A242" s="325" t="s">
        <v>3038</v>
      </c>
      <c r="B242" s="1445" t="s">
        <v>3038</v>
      </c>
      <c r="C242" s="1205" t="s">
        <v>4213</v>
      </c>
      <c r="D242" s="1586" t="s">
        <v>6311</v>
      </c>
    </row>
    <row r="243" spans="1:4" ht="25.5" x14ac:dyDescent="0.25">
      <c r="A243" s="1324" t="s">
        <v>3028</v>
      </c>
      <c r="B243" s="509" t="s">
        <v>3028</v>
      </c>
      <c r="C243" s="1205" t="s">
        <v>4214</v>
      </c>
      <c r="D243" s="1586" t="s">
        <v>6311</v>
      </c>
    </row>
    <row r="244" spans="1:4" ht="25.5" x14ac:dyDescent="0.25">
      <c r="A244" s="325" t="s">
        <v>3039</v>
      </c>
      <c r="B244" s="1445" t="s">
        <v>3039</v>
      </c>
      <c r="C244" s="1205" t="s">
        <v>4213</v>
      </c>
      <c r="D244" s="1586" t="s">
        <v>6311</v>
      </c>
    </row>
    <row r="245" spans="1:4" ht="25.5" x14ac:dyDescent="0.25">
      <c r="A245" s="325" t="s">
        <v>4196</v>
      </c>
      <c r="B245" s="1445" t="s">
        <v>4196</v>
      </c>
      <c r="C245" s="1205" t="s">
        <v>4215</v>
      </c>
      <c r="D245" s="1586" t="s">
        <v>6311</v>
      </c>
    </row>
    <row r="247" spans="1:4" x14ac:dyDescent="0.25">
      <c r="A247" s="1003" t="s">
        <v>6023</v>
      </c>
      <c r="B247" s="509" t="s">
        <v>6021</v>
      </c>
      <c r="C247" s="1581" t="s">
        <v>2172</v>
      </c>
    </row>
    <row r="248" spans="1:4" ht="31.5" x14ac:dyDescent="0.25">
      <c r="A248" s="1003" t="s">
        <v>6024</v>
      </c>
      <c r="B248" s="509" t="s">
        <v>6021</v>
      </c>
      <c r="C248" s="1581" t="s">
        <v>2172</v>
      </c>
    </row>
    <row r="249" spans="1:4" ht="80.25" customHeight="1" x14ac:dyDescent="0.25">
      <c r="A249" s="1580" t="s">
        <v>6021</v>
      </c>
      <c r="B249" s="1560" t="s">
        <v>6021</v>
      </c>
      <c r="C249" s="784" t="s">
        <v>6301</v>
      </c>
    </row>
    <row r="250" spans="1:4" ht="38.25" x14ac:dyDescent="0.25">
      <c r="A250" s="1569" t="s">
        <v>6250</v>
      </c>
      <c r="B250" s="509" t="s">
        <v>6021</v>
      </c>
      <c r="C250" s="1205" t="s">
        <v>6299</v>
      </c>
    </row>
    <row r="252" spans="1:4" ht="76.5" x14ac:dyDescent="0.25">
      <c r="A252" s="323" t="s">
        <v>3468</v>
      </c>
      <c r="B252" s="1445" t="s">
        <v>1767</v>
      </c>
      <c r="C252" s="1205" t="s">
        <v>6312</v>
      </c>
      <c r="D252" s="1586" t="s">
        <v>6311</v>
      </c>
    </row>
    <row r="253" spans="1:4" ht="38.25" x14ac:dyDescent="0.25">
      <c r="A253" s="1569" t="s">
        <v>3334</v>
      </c>
      <c r="B253" s="509" t="s">
        <v>3334</v>
      </c>
      <c r="C253" s="619" t="s">
        <v>6332</v>
      </c>
      <c r="D253" s="1586" t="s">
        <v>6311</v>
      </c>
    </row>
    <row r="254" spans="1:4" ht="51" x14ac:dyDescent="0.25">
      <c r="A254" s="1569" t="s">
        <v>6319</v>
      </c>
      <c r="B254" s="509" t="s">
        <v>6319</v>
      </c>
      <c r="C254" s="1205" t="s">
        <v>6331</v>
      </c>
      <c r="D254" s="1586" t="s">
        <v>6311</v>
      </c>
    </row>
    <row r="255" spans="1:4" ht="38.25" x14ac:dyDescent="0.25">
      <c r="A255" s="1569" t="s">
        <v>6320</v>
      </c>
      <c r="B255" s="509" t="s">
        <v>6320</v>
      </c>
      <c r="C255" s="1205" t="s">
        <v>6330</v>
      </c>
      <c r="D255" s="1586" t="s">
        <v>6311</v>
      </c>
    </row>
    <row r="256" spans="1:4" ht="38.25" x14ac:dyDescent="0.25">
      <c r="A256" s="1569" t="s">
        <v>6325</v>
      </c>
      <c r="B256" s="509" t="s">
        <v>6325</v>
      </c>
      <c r="C256" s="1205" t="s">
        <v>6334</v>
      </c>
      <c r="D256" s="1586" t="s">
        <v>6311</v>
      </c>
    </row>
    <row r="257" spans="1:4" ht="38.25" x14ac:dyDescent="0.25">
      <c r="A257" s="1569" t="s">
        <v>6321</v>
      </c>
      <c r="B257" s="509" t="s">
        <v>6321</v>
      </c>
      <c r="C257" s="1205" t="s">
        <v>6329</v>
      </c>
      <c r="D257" s="1586" t="s">
        <v>6311</v>
      </c>
    </row>
    <row r="258" spans="1:4" ht="38.25" x14ac:dyDescent="0.25">
      <c r="A258" s="1569" t="s">
        <v>6322</v>
      </c>
      <c r="B258" s="509" t="s">
        <v>6322</v>
      </c>
      <c r="C258" s="1205" t="s">
        <v>6328</v>
      </c>
      <c r="D258" s="1586" t="s">
        <v>6311</v>
      </c>
    </row>
    <row r="259" spans="1:4" ht="38.25" x14ac:dyDescent="0.25">
      <c r="A259" s="1569" t="s">
        <v>6323</v>
      </c>
      <c r="B259" s="509" t="s">
        <v>6323</v>
      </c>
      <c r="C259" s="1205" t="s">
        <v>6327</v>
      </c>
      <c r="D259" s="1586" t="s">
        <v>6311</v>
      </c>
    </row>
    <row r="260" spans="1:4" ht="38.25" x14ac:dyDescent="0.25">
      <c r="A260" s="1569" t="s">
        <v>6324</v>
      </c>
      <c r="B260" s="509" t="s">
        <v>6324</v>
      </c>
      <c r="C260" s="1205" t="s">
        <v>6326</v>
      </c>
      <c r="D260" s="1586" t="s">
        <v>6311</v>
      </c>
    </row>
    <row r="261" spans="1:4" ht="15" x14ac:dyDescent="0.25">
      <c r="A261" s="549"/>
      <c r="B261" s="549"/>
    </row>
    <row r="262" spans="1:4" ht="123.75" x14ac:dyDescent="0.25">
      <c r="A262" s="1483" t="s">
        <v>6169</v>
      </c>
      <c r="B262" s="1560" t="s">
        <v>6166</v>
      </c>
      <c r="C262" s="1480" t="s">
        <v>6229</v>
      </c>
    </row>
    <row r="263" spans="1:4" ht="112.5" x14ac:dyDescent="0.25">
      <c r="A263" s="1481" t="s">
        <v>6166</v>
      </c>
      <c r="B263" s="1560" t="s">
        <v>6166</v>
      </c>
      <c r="C263" s="1482" t="s">
        <v>6228</v>
      </c>
    </row>
    <row r="264" spans="1:4" ht="33.75" x14ac:dyDescent="0.25">
      <c r="A264" s="1481" t="s">
        <v>6167</v>
      </c>
      <c r="B264" s="1560" t="s">
        <v>6166</v>
      </c>
      <c r="C264" s="1480" t="s">
        <v>6168</v>
      </c>
    </row>
    <row r="265" spans="1:4" ht="157.5" x14ac:dyDescent="0.25">
      <c r="A265" s="1481" t="s">
        <v>6170</v>
      </c>
      <c r="B265" s="1480" t="s">
        <v>6170</v>
      </c>
      <c r="C265" s="1482" t="s">
        <v>6217</v>
      </c>
    </row>
    <row r="266" spans="1:4" ht="270" x14ac:dyDescent="0.25">
      <c r="A266" s="1481" t="s">
        <v>6172</v>
      </c>
      <c r="B266" s="1480" t="s">
        <v>6172</v>
      </c>
      <c r="C266" s="1482" t="s">
        <v>6218</v>
      </c>
    </row>
    <row r="267" spans="1:4" ht="78.75" x14ac:dyDescent="0.25">
      <c r="A267" s="1486" t="s">
        <v>6209</v>
      </c>
      <c r="B267" s="793" t="s">
        <v>6172</v>
      </c>
      <c r="C267" s="1482" t="s">
        <v>6223</v>
      </c>
    </row>
    <row r="268" spans="1:4" ht="56.25" x14ac:dyDescent="0.25">
      <c r="A268" s="1486" t="s">
        <v>6208</v>
      </c>
      <c r="B268" s="793" t="s">
        <v>6172</v>
      </c>
      <c r="C268" s="1482" t="s">
        <v>6215</v>
      </c>
    </row>
    <row r="269" spans="1:4" ht="213.75" x14ac:dyDescent="0.25">
      <c r="A269" s="1481" t="s">
        <v>6212</v>
      </c>
      <c r="B269" s="1480" t="s">
        <v>6171</v>
      </c>
      <c r="C269" s="1482" t="s">
        <v>6220</v>
      </c>
    </row>
    <row r="270" spans="1:4" ht="157.5" x14ac:dyDescent="0.25">
      <c r="A270" s="1481" t="s">
        <v>6173</v>
      </c>
      <c r="B270" s="1480" t="s">
        <v>6173</v>
      </c>
      <c r="C270" s="1482" t="s">
        <v>6222</v>
      </c>
    </row>
    <row r="272" spans="1:4" ht="25.5" x14ac:dyDescent="0.25">
      <c r="A272" s="325" t="s">
        <v>4540</v>
      </c>
      <c r="B272" s="1445" t="s">
        <v>432</v>
      </c>
      <c r="C272" s="252" t="s">
        <v>4541</v>
      </c>
    </row>
    <row r="274" spans="1:3" x14ac:dyDescent="0.25">
      <c r="A274" s="998" t="s">
        <v>2812</v>
      </c>
      <c r="B274" s="1550" t="s">
        <v>4192</v>
      </c>
      <c r="C274" s="653" t="s">
        <v>2172</v>
      </c>
    </row>
    <row r="275" spans="1:3" x14ac:dyDescent="0.25">
      <c r="A275" s="998" t="s">
        <v>2812</v>
      </c>
      <c r="B275" s="1550" t="s">
        <v>3299</v>
      </c>
      <c r="C275" s="653" t="s">
        <v>2172</v>
      </c>
    </row>
    <row r="276" spans="1:3" x14ac:dyDescent="0.25">
      <c r="A276" s="998" t="s">
        <v>2812</v>
      </c>
      <c r="B276" s="1550" t="s">
        <v>4190</v>
      </c>
      <c r="C276" s="653" t="s">
        <v>2172</v>
      </c>
    </row>
    <row r="277" spans="1:3" x14ac:dyDescent="0.25">
      <c r="A277" s="998" t="s">
        <v>2812</v>
      </c>
      <c r="B277" s="1550" t="s">
        <v>4191</v>
      </c>
      <c r="C277" s="653" t="s">
        <v>2172</v>
      </c>
    </row>
    <row r="278" spans="1:3" ht="15" x14ac:dyDescent="0.25">
      <c r="A278" s="534"/>
      <c r="C278" s="534"/>
    </row>
    <row r="279" spans="1:3" x14ac:dyDescent="0.25">
      <c r="A279" s="1347"/>
      <c r="B279" s="1532"/>
      <c r="C279" s="1098" t="s">
        <v>4261</v>
      </c>
    </row>
    <row r="282" spans="1:3" ht="39" x14ac:dyDescent="0.25">
      <c r="C282" s="945" t="s">
        <v>3183</v>
      </c>
    </row>
    <row r="283" spans="1:3" ht="26.25" x14ac:dyDescent="0.25">
      <c r="C283" s="945" t="s">
        <v>3184</v>
      </c>
    </row>
    <row r="284" spans="1:3" x14ac:dyDescent="0.25">
      <c r="C284" s="689"/>
    </row>
    <row r="286" spans="1:3" ht="25.5" x14ac:dyDescent="0.25">
      <c r="C286" s="5" t="s">
        <v>3180</v>
      </c>
    </row>
    <row r="287" spans="1:3" ht="38.25" x14ac:dyDescent="0.25">
      <c r="C287" s="5" t="s">
        <v>3185</v>
      </c>
    </row>
    <row r="288" spans="1:3" ht="25.5" x14ac:dyDescent="0.25">
      <c r="C288" s="5" t="s">
        <v>3186</v>
      </c>
    </row>
    <row r="289" spans="3:3" x14ac:dyDescent="0.25">
      <c r="C289" s="534"/>
    </row>
    <row r="290" spans="3:3" ht="25.5" x14ac:dyDescent="0.25">
      <c r="C290" s="5" t="s">
        <v>3187</v>
      </c>
    </row>
  </sheetData>
  <sortState ref="A155:C195">
    <sortCondition ref="A155:A195"/>
  </sortState>
  <mergeCells count="1">
    <mergeCell ref="A181:C181"/>
  </mergeCells>
  <pageMargins left="0.511811024" right="0.511811024" top="0.78740157499999996" bottom="0.78740157499999996" header="0.31496062000000002" footer="0.31496062000000002"/>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55"/>
  <sheetViews>
    <sheetView zoomScale="65" zoomScaleNormal="65" workbookViewId="0">
      <selection activeCell="A9" sqref="A9"/>
    </sheetView>
  </sheetViews>
  <sheetFormatPr defaultRowHeight="15.75" x14ac:dyDescent="0.25"/>
  <cols>
    <col min="1" max="1" width="9.140625" style="534"/>
    <col min="2" max="2" width="2.85546875" style="534" customWidth="1"/>
    <col min="3" max="3" width="54.85546875" style="534" customWidth="1"/>
    <col min="4" max="4" width="11.42578125" style="1" customWidth="1"/>
    <col min="5" max="5" width="5.42578125" style="534" customWidth="1"/>
    <col min="6" max="6" width="49.140625" style="534" customWidth="1"/>
    <col min="7" max="7" width="8.5703125" style="549" customWidth="1"/>
    <col min="8" max="8" width="1.140625" style="533" customWidth="1"/>
    <col min="9" max="9" width="14.5703125" style="534" customWidth="1"/>
    <col min="10" max="10" width="5.140625" style="534" customWidth="1"/>
    <col min="11" max="11" width="45" style="534" customWidth="1"/>
    <col min="12" max="12" width="9.85546875" style="534" customWidth="1"/>
    <col min="13" max="13" width="12.5703125" style="689" customWidth="1"/>
    <col min="14" max="14" width="5.85546875" style="533" customWidth="1"/>
    <col min="15" max="15" width="11.28515625" style="551" customWidth="1"/>
    <col min="16" max="16" width="8.28515625" style="547" bestFit="1" customWidth="1"/>
    <col min="17" max="17" width="58.28515625" style="534" customWidth="1"/>
    <col min="18" max="18" width="10.7109375" style="534" customWidth="1"/>
    <col min="19" max="19" width="11.7109375" style="689" customWidth="1"/>
    <col min="20" max="20" width="9.140625" style="547"/>
    <col min="21" max="21" width="69.42578125" style="549" customWidth="1"/>
    <col min="22" max="22" width="9.140625" style="534"/>
    <col min="23" max="23" width="13.28515625" style="731" customWidth="1"/>
    <col min="24" max="24" width="6.85546875" style="547" bestFit="1" customWidth="1"/>
    <col min="25" max="25" width="61.140625" style="534" customWidth="1"/>
    <col min="26" max="27" width="13.28515625" style="534" customWidth="1"/>
    <col min="28" max="28" width="13.28515625" style="872" customWidth="1"/>
    <col min="29" max="29" width="67.140625" style="534" customWidth="1"/>
    <col min="30" max="30" width="13.28515625" style="534" customWidth="1"/>
    <col min="31" max="31" width="13.28515625" style="1" customWidth="1"/>
    <col min="32" max="32" width="13.28515625" style="872" customWidth="1"/>
    <col min="33" max="33" width="67.85546875" style="534" customWidth="1"/>
    <col min="34" max="34" width="12.140625" style="549" customWidth="1"/>
    <col min="35" max="35" width="12.140625" style="1" customWidth="1"/>
    <col min="36" max="36" width="12.140625" style="549" customWidth="1"/>
    <col min="37" max="37" width="44.7109375" style="549" customWidth="1"/>
    <col min="38" max="38" width="12.140625" style="549" customWidth="1"/>
    <col min="39" max="39" width="12.140625" style="1" customWidth="1"/>
    <col min="40" max="40" width="12.140625" style="549" customWidth="1"/>
    <col min="41" max="41" width="42.7109375" style="549" customWidth="1"/>
    <col min="42" max="42" width="12.140625" style="549" customWidth="1"/>
    <col min="43" max="43" width="9.28515625" style="689" customWidth="1"/>
    <col min="44" max="44" width="7.5703125" style="549" customWidth="1"/>
    <col min="45" max="45" width="62.5703125" style="534" customWidth="1"/>
    <col min="46" max="46" width="9" style="549" customWidth="1"/>
    <col min="47" max="47" width="10" style="688" customWidth="1"/>
    <col min="48" max="48" width="7.42578125" style="548" customWidth="1"/>
    <col min="49" max="49" width="56.7109375" style="542" customWidth="1"/>
    <col min="50" max="50" width="10" style="542" customWidth="1"/>
    <col min="51" max="51" width="14.7109375" style="347" customWidth="1"/>
    <col min="52" max="52" width="12" style="542" customWidth="1"/>
    <col min="53" max="53" width="60.28515625" style="542" customWidth="1"/>
    <col min="54" max="54" width="14.7109375" style="550" customWidth="1"/>
    <col min="55" max="55" width="10.5703125" style="347" customWidth="1"/>
    <col min="56" max="56" width="11.7109375" style="1" customWidth="1"/>
    <col min="57" max="57" width="11.5703125" style="547" customWidth="1"/>
    <col min="58" max="58" width="85.7109375" style="534" customWidth="1"/>
    <col min="59" max="59" width="9.140625" style="534" customWidth="1"/>
    <col min="60" max="60" width="9.140625" style="1"/>
    <col min="61" max="61" width="9.28515625" style="547" customWidth="1"/>
    <col min="62" max="62" width="63.140625" style="534" customWidth="1"/>
    <col min="63" max="63" width="10.140625" style="534" customWidth="1"/>
    <col min="64" max="64" width="11" style="1" customWidth="1"/>
    <col min="65" max="65" width="9.140625" style="534"/>
    <col min="66" max="66" width="54.28515625" style="534" customWidth="1"/>
    <col min="67" max="67" width="13.140625" style="534" customWidth="1"/>
    <col min="68" max="68" width="10.7109375" style="1" customWidth="1"/>
    <col min="69" max="69" width="10.7109375" style="542" customWidth="1"/>
    <col min="70" max="70" width="7.5703125" style="542" customWidth="1"/>
    <col min="71" max="71" width="58.5703125" style="542" customWidth="1"/>
    <col min="72" max="72" width="10.7109375" style="542" customWidth="1"/>
    <col min="73" max="73" width="10.7109375" style="1" customWidth="1"/>
    <col min="74" max="74" width="10.7109375" style="547" customWidth="1"/>
    <col min="75" max="75" width="53.5703125" style="534" customWidth="1"/>
    <col min="76" max="76" width="10.7109375" style="534" customWidth="1"/>
    <col min="77" max="77" width="14.7109375" style="347" customWidth="1"/>
    <col min="78" max="78" width="14.7109375" style="548" customWidth="1"/>
    <col min="79" max="79" width="44.85546875" style="542" customWidth="1"/>
    <col min="80" max="80" width="14.7109375" style="550" customWidth="1"/>
    <col min="81" max="81" width="9.140625" style="1"/>
    <col min="82" max="82" width="9.140625" style="547"/>
    <col min="83" max="83" width="53.5703125" style="534" customWidth="1"/>
    <col min="84" max="86" width="9.140625" style="534"/>
    <col min="87" max="87" width="22" style="534" customWidth="1"/>
    <col min="88" max="88" width="14.85546875" style="534" customWidth="1"/>
    <col min="89" max="16384" width="9.140625" style="534"/>
  </cols>
  <sheetData>
    <row r="1" spans="1:84" ht="37.5" customHeight="1" thickBot="1" x14ac:dyDescent="0.3">
      <c r="A1" s="1734" t="s">
        <v>5196</v>
      </c>
      <c r="B1" s="1734"/>
      <c r="C1" s="1734"/>
      <c r="D1" s="1734"/>
      <c r="E1" s="1734"/>
      <c r="F1" s="1734"/>
      <c r="G1" s="1734"/>
      <c r="H1" s="1734"/>
      <c r="I1" s="1734"/>
      <c r="J1" s="1734"/>
      <c r="K1" s="1734"/>
    </row>
    <row r="2" spans="1:84" ht="26.25" customHeight="1" thickBot="1" x14ac:dyDescent="0.3">
      <c r="A2" s="1667" t="str">
        <f>D2</f>
        <v>legenda = colado com vínculo na aba "Q100a"</v>
      </c>
      <c r="B2" s="1667"/>
      <c r="C2" s="1668"/>
      <c r="D2" s="1666" t="s">
        <v>2109</v>
      </c>
      <c r="E2" s="1666"/>
      <c r="F2" s="1666"/>
      <c r="G2" s="1666"/>
      <c r="H2" s="1336"/>
      <c r="I2" s="1689" t="s">
        <v>2109</v>
      </c>
      <c r="J2" s="1689"/>
      <c r="K2" s="1689"/>
      <c r="L2" s="1689"/>
      <c r="M2" s="1668"/>
      <c r="O2" s="1690" t="str">
        <f>I2</f>
        <v>legenda = colado com vínculo na aba "Q100a"</v>
      </c>
      <c r="P2" s="1667"/>
      <c r="Q2" s="1667"/>
      <c r="R2" s="1668"/>
      <c r="S2" s="690"/>
      <c r="T2" s="651"/>
      <c r="U2" s="652"/>
      <c r="V2" s="585"/>
      <c r="W2" s="1690" t="str">
        <f>O2</f>
        <v>legenda = colado com vínculo na aba "Q100a"</v>
      </c>
      <c r="X2" s="1667"/>
      <c r="Y2" s="1667"/>
      <c r="Z2" s="1668"/>
      <c r="AA2" s="853"/>
      <c r="AB2" s="864"/>
      <c r="AC2" s="853"/>
      <c r="AD2" s="853"/>
      <c r="AE2" s="777"/>
      <c r="AF2" s="864"/>
      <c r="AG2" s="768"/>
      <c r="AH2" s="652"/>
      <c r="AI2" s="777"/>
      <c r="AJ2" s="652"/>
      <c r="AK2" s="652"/>
      <c r="AL2" s="652"/>
      <c r="AM2" s="777"/>
      <c r="AN2" s="652"/>
      <c r="AO2" s="652"/>
      <c r="AP2" s="652"/>
      <c r="AQ2" s="1690" t="str">
        <f>W2</f>
        <v>legenda = colado com vínculo na aba "Q100a"</v>
      </c>
      <c r="AR2" s="1667"/>
      <c r="AS2" s="1667"/>
      <c r="AT2" s="1668"/>
      <c r="AU2" s="1690" t="str">
        <f>AQ2</f>
        <v>legenda = colado com vínculo na aba "Q100a"</v>
      </c>
      <c r="AV2" s="1667"/>
      <c r="AW2" s="1667"/>
      <c r="AX2" s="1668"/>
      <c r="AY2" s="1690" t="str">
        <f>AU2</f>
        <v>legenda = colado com vínculo na aba "Q100a"</v>
      </c>
      <c r="AZ2" s="1667"/>
      <c r="BA2" s="1667"/>
      <c r="BB2" s="1667"/>
      <c r="BC2" s="1399"/>
      <c r="BD2" s="1667" t="str">
        <f>$AU$2</f>
        <v>legenda = colado com vínculo na aba "Q100a"</v>
      </c>
      <c r="BE2" s="1667"/>
      <c r="BF2" s="1667"/>
      <c r="BG2" s="1668"/>
      <c r="BH2" s="1690" t="str">
        <f>$AU$2</f>
        <v>legenda = colado com vínculo na aba "Q100a"</v>
      </c>
      <c r="BI2" s="1667"/>
      <c r="BJ2" s="1667"/>
      <c r="BK2" s="1668"/>
      <c r="BL2" s="1690" t="str">
        <f>$AU$2</f>
        <v>legenda = colado com vínculo na aba "Q100a"</v>
      </c>
      <c r="BM2" s="1667"/>
      <c r="BN2" s="1667"/>
      <c r="BO2" s="1668"/>
      <c r="BP2" s="679"/>
      <c r="BQ2" s="1690" t="str">
        <f>W2</f>
        <v>legenda = colado com vínculo na aba "Q100a"</v>
      </c>
      <c r="BR2" s="1667"/>
      <c r="BS2" s="1667"/>
      <c r="BT2" s="1668"/>
      <c r="BU2" s="1690" t="str">
        <f>AQ2</f>
        <v>legenda = colado com vínculo na aba "Q100a"</v>
      </c>
      <c r="BV2" s="1667"/>
      <c r="BW2" s="1667"/>
      <c r="BX2" s="1668"/>
      <c r="BY2" s="1690" t="str">
        <f>AU2</f>
        <v>legenda = colado com vínculo na aba "Q100a"</v>
      </c>
      <c r="BZ2" s="1667"/>
      <c r="CA2" s="1667"/>
      <c r="CB2" s="1668"/>
      <c r="CC2" s="1690" t="str">
        <f>BY2</f>
        <v>legenda = colado com vínculo na aba "Q100a"</v>
      </c>
      <c r="CD2" s="1667"/>
      <c r="CE2" s="1667"/>
      <c r="CF2" s="1668"/>
    </row>
    <row r="3" spans="1:84" s="533" customFormat="1" ht="11.25" customHeight="1" x14ac:dyDescent="0.25">
      <c r="D3" s="1692"/>
      <c r="E3" s="1693"/>
      <c r="F3" s="1693"/>
      <c r="G3" s="1694"/>
      <c r="H3" s="1695"/>
      <c r="I3" s="561"/>
      <c r="J3" s="561"/>
      <c r="K3" s="561"/>
      <c r="L3" s="561"/>
      <c r="M3" s="681"/>
      <c r="O3" s="580"/>
      <c r="P3" s="581"/>
      <c r="Q3" s="561"/>
      <c r="R3" s="562"/>
      <c r="S3" s="691"/>
      <c r="T3" s="581"/>
      <c r="U3" s="590"/>
      <c r="V3" s="562"/>
      <c r="W3" s="728"/>
      <c r="X3" s="581"/>
      <c r="Y3" s="561"/>
      <c r="Z3" s="562"/>
      <c r="AA3" s="561"/>
      <c r="AB3" s="865"/>
      <c r="AC3" s="561"/>
      <c r="AD3" s="561"/>
      <c r="AE3" s="691"/>
      <c r="AF3" s="865"/>
      <c r="AG3" s="561"/>
      <c r="AH3" s="668"/>
      <c r="AI3" s="1213"/>
      <c r="AJ3" s="590"/>
      <c r="AK3" s="590"/>
      <c r="AL3" s="590"/>
      <c r="AM3" s="1213"/>
      <c r="AN3" s="590"/>
      <c r="AO3" s="590"/>
      <c r="AP3" s="590"/>
      <c r="AQ3" s="691"/>
      <c r="AR3" s="590"/>
      <c r="AS3" s="561"/>
      <c r="AT3" s="668"/>
      <c r="AU3" s="691"/>
      <c r="AV3" s="581"/>
      <c r="AW3" s="561"/>
      <c r="AX3" s="562"/>
      <c r="AY3" s="691"/>
      <c r="AZ3" s="581"/>
      <c r="BA3" s="561"/>
      <c r="BB3" s="590"/>
      <c r="BC3" s="1400"/>
      <c r="BD3" s="1213"/>
      <c r="BE3" s="581"/>
      <c r="BF3" s="561"/>
      <c r="BG3" s="562"/>
      <c r="BH3" s="697"/>
      <c r="BI3" s="581"/>
      <c r="BJ3" s="561"/>
      <c r="BK3" s="562"/>
      <c r="BL3" s="697"/>
      <c r="BM3" s="561"/>
      <c r="BN3" s="561"/>
      <c r="BO3" s="561"/>
      <c r="BP3" s="707"/>
      <c r="BQ3" s="560"/>
      <c r="BR3" s="581"/>
      <c r="BS3" s="561"/>
      <c r="BT3" s="562"/>
      <c r="BU3" s="697"/>
      <c r="BV3" s="581"/>
      <c r="BW3" s="561"/>
      <c r="BX3" s="562"/>
      <c r="BY3" s="697"/>
      <c r="BZ3" s="581"/>
      <c r="CA3" s="561"/>
      <c r="CB3" s="668"/>
      <c r="CC3" s="697"/>
      <c r="CD3" s="581"/>
      <c r="CE3" s="561"/>
      <c r="CF3" s="562"/>
    </row>
    <row r="4" spans="1:84" s="537" customFormat="1" ht="32.25" thickBot="1" x14ac:dyDescent="0.3">
      <c r="A4" s="1669" t="s">
        <v>2107</v>
      </c>
      <c r="B4" s="1669"/>
      <c r="C4" s="1670"/>
      <c r="D4" s="1691" t="s">
        <v>2107</v>
      </c>
      <c r="E4" s="1691"/>
      <c r="F4" s="1691"/>
      <c r="G4" s="1691"/>
      <c r="H4" s="1696"/>
      <c r="I4" s="1685" t="s">
        <v>2107</v>
      </c>
      <c r="J4" s="1685"/>
      <c r="K4" s="1685"/>
      <c r="L4" s="1685"/>
      <c r="M4" s="682" t="s">
        <v>2112</v>
      </c>
      <c r="N4" s="536"/>
      <c r="O4" s="1686" t="s">
        <v>1371</v>
      </c>
      <c r="P4" s="1687"/>
      <c r="Q4" s="1687"/>
      <c r="R4" s="1688"/>
      <c r="S4" s="1686" t="s">
        <v>1266</v>
      </c>
      <c r="T4" s="1687"/>
      <c r="U4" s="1687"/>
      <c r="V4" s="1688"/>
      <c r="W4" s="1686" t="s">
        <v>2056</v>
      </c>
      <c r="X4" s="1687"/>
      <c r="Y4" s="1687"/>
      <c r="Z4" s="1688"/>
      <c r="AA4" s="1686" t="s">
        <v>1703</v>
      </c>
      <c r="AB4" s="1687"/>
      <c r="AC4" s="1687"/>
      <c r="AD4" s="1688"/>
      <c r="AE4" s="1686" t="s">
        <v>3442</v>
      </c>
      <c r="AF4" s="1687"/>
      <c r="AG4" s="1687"/>
      <c r="AH4" s="1688"/>
      <c r="AI4" s="1686" t="s">
        <v>3873</v>
      </c>
      <c r="AJ4" s="1687"/>
      <c r="AK4" s="1687"/>
      <c r="AL4" s="1688"/>
      <c r="AM4" s="1686" t="s">
        <v>3874</v>
      </c>
      <c r="AN4" s="1687"/>
      <c r="AO4" s="1687"/>
      <c r="AP4" s="1688"/>
      <c r="AQ4" s="1686" t="s">
        <v>3875</v>
      </c>
      <c r="AR4" s="1687"/>
      <c r="AS4" s="1687"/>
      <c r="AT4" s="1688"/>
      <c r="AU4" s="1700" t="s">
        <v>2130</v>
      </c>
      <c r="AV4" s="1701"/>
      <c r="AW4" s="1701"/>
      <c r="AX4" s="1702"/>
      <c r="AY4" s="1700" t="s">
        <v>2372</v>
      </c>
      <c r="AZ4" s="1701"/>
      <c r="BA4" s="1701"/>
      <c r="BB4" s="1652"/>
      <c r="BC4" s="1401"/>
      <c r="BD4" s="1699" t="s">
        <v>2127</v>
      </c>
      <c r="BE4" s="1687"/>
      <c r="BF4" s="1687"/>
      <c r="BG4" s="1688"/>
      <c r="BH4" s="1686" t="s">
        <v>2128</v>
      </c>
      <c r="BI4" s="1687"/>
      <c r="BJ4" s="1687"/>
      <c r="BK4" s="1688"/>
      <c r="BL4" s="1686" t="s">
        <v>2129</v>
      </c>
      <c r="BM4" s="1687"/>
      <c r="BN4" s="1687"/>
      <c r="BO4" s="1687"/>
      <c r="BP4" s="708">
        <f t="shared" ref="BP4:BP50" si="0">BC4</f>
        <v>0</v>
      </c>
      <c r="BQ4" s="1700" t="s">
        <v>2239</v>
      </c>
      <c r="BR4" s="1701"/>
      <c r="BS4" s="1701"/>
      <c r="BT4" s="1702"/>
      <c r="BU4" s="1700" t="s">
        <v>2198</v>
      </c>
      <c r="BV4" s="1701"/>
      <c r="BW4" s="1701"/>
      <c r="BX4" s="1702"/>
      <c r="BY4" s="1700" t="s">
        <v>2190</v>
      </c>
      <c r="BZ4" s="1701"/>
      <c r="CA4" s="1701"/>
      <c r="CB4" s="1702"/>
      <c r="CC4" s="1700" t="s">
        <v>2203</v>
      </c>
      <c r="CD4" s="1701"/>
      <c r="CE4" s="1701"/>
      <c r="CF4" s="1702"/>
    </row>
    <row r="5" spans="1:84" ht="259.5" customHeight="1" x14ac:dyDescent="0.25">
      <c r="A5" s="1292" t="s">
        <v>4062</v>
      </c>
      <c r="B5" s="529" t="s">
        <v>432</v>
      </c>
      <c r="C5" s="167" t="s">
        <v>5068</v>
      </c>
      <c r="D5" s="676" t="str">
        <f>M5</f>
        <v>F tc nac</v>
      </c>
      <c r="E5" s="167" t="s">
        <v>432</v>
      </c>
      <c r="F5" s="167" t="s">
        <v>4326</v>
      </c>
      <c r="G5" s="167" t="s">
        <v>2409</v>
      </c>
      <c r="H5" s="616"/>
      <c r="I5" s="615" t="s">
        <v>2077</v>
      </c>
      <c r="J5" s="167" t="s">
        <v>432</v>
      </c>
      <c r="K5" s="167" t="s">
        <v>4087</v>
      </c>
      <c r="L5" s="167" t="s">
        <v>2453</v>
      </c>
      <c r="M5" s="683" t="s">
        <v>2637</v>
      </c>
      <c r="O5" s="563" t="str">
        <f t="shared" ref="O5:O15" si="1">M5</f>
        <v>F tc nac</v>
      </c>
      <c r="P5" s="530" t="s">
        <v>1371</v>
      </c>
      <c r="Q5" s="167" t="s">
        <v>4009</v>
      </c>
      <c r="R5" s="564" t="s">
        <v>77</v>
      </c>
      <c r="S5" s="692" t="str">
        <f t="shared" ref="S5:S15" si="2">M5</f>
        <v>F tc nac</v>
      </c>
      <c r="T5" s="455" t="s">
        <v>1266</v>
      </c>
      <c r="U5" s="167" t="s">
        <v>4086</v>
      </c>
      <c r="V5" s="575" t="s">
        <v>77</v>
      </c>
      <c r="W5" s="692" t="str">
        <f t="shared" ref="W5:W15" si="3">M5</f>
        <v>F tc nac</v>
      </c>
      <c r="X5" s="455" t="s">
        <v>2056</v>
      </c>
      <c r="Y5" s="167" t="s">
        <v>4010</v>
      </c>
      <c r="Z5" s="575" t="s">
        <v>2429</v>
      </c>
      <c r="AA5" s="569"/>
      <c r="AB5" s="445" t="str">
        <f>AA4</f>
        <v>Porto Alegre</v>
      </c>
      <c r="AC5" s="11"/>
      <c r="AD5" s="570"/>
      <c r="AE5" s="692" t="str">
        <f t="shared" ref="AE5:AE10" si="4">AQ5</f>
        <v>F tc nac</v>
      </c>
      <c r="AF5" s="455" t="str">
        <f>AE4</f>
        <v>RMBH metropolitano</v>
      </c>
      <c r="AG5" s="167" t="s">
        <v>5044</v>
      </c>
      <c r="AH5" s="575" t="s">
        <v>77</v>
      </c>
      <c r="AI5" s="692" t="s">
        <v>3880</v>
      </c>
      <c r="AJ5" s="57" t="s">
        <v>1705</v>
      </c>
      <c r="AK5" s="167" t="s">
        <v>4011</v>
      </c>
      <c r="AL5" s="575" t="s">
        <v>77</v>
      </c>
      <c r="AM5" s="692" t="s">
        <v>3881</v>
      </c>
      <c r="AN5" s="57" t="s">
        <v>1705</v>
      </c>
      <c r="AO5" s="167" t="s">
        <v>4012</v>
      </c>
      <c r="AP5" s="575" t="s">
        <v>77</v>
      </c>
      <c r="AQ5" s="692" t="str">
        <f t="shared" ref="AQ5:AQ15" si="5">M5</f>
        <v>F tc nac</v>
      </c>
      <c r="AR5" s="57" t="s">
        <v>1705</v>
      </c>
      <c r="AS5" s="167" t="s">
        <v>4013</v>
      </c>
      <c r="AT5" s="575" t="s">
        <v>3882</v>
      </c>
      <c r="AU5" s="695" t="str">
        <f t="shared" ref="AU5:AU15" si="6">M5</f>
        <v>F tc nac</v>
      </c>
      <c r="AV5" s="445" t="s">
        <v>2004</v>
      </c>
      <c r="AW5" s="540" t="s">
        <v>2117</v>
      </c>
      <c r="AX5" s="568" t="s">
        <v>432</v>
      </c>
      <c r="AY5" s="732"/>
      <c r="AZ5" s="538" t="str">
        <f>AY4</f>
        <v>outras cidades/regiões do Brasil</v>
      </c>
      <c r="BA5" s="725"/>
      <c r="BB5" s="739"/>
      <c r="BC5" s="1398" t="str">
        <f t="shared" ref="BC5:BC15" si="7">M5</f>
        <v>F tc nac</v>
      </c>
      <c r="BD5" s="694" t="s">
        <v>2640</v>
      </c>
      <c r="BE5" s="455" t="s">
        <v>1306</v>
      </c>
      <c r="BF5" s="167" t="s">
        <v>4074</v>
      </c>
      <c r="BG5" s="564" t="s">
        <v>2583</v>
      </c>
      <c r="BH5" s="674" t="s">
        <v>2641</v>
      </c>
      <c r="BI5" s="455" t="s">
        <v>1306</v>
      </c>
      <c r="BJ5" s="167" t="s">
        <v>4014</v>
      </c>
      <c r="BK5" s="564" t="s">
        <v>77</v>
      </c>
      <c r="BL5" s="694" t="s">
        <v>2637</v>
      </c>
      <c r="BM5" s="455" t="s">
        <v>1306</v>
      </c>
      <c r="BN5" s="167" t="s">
        <v>4015</v>
      </c>
      <c r="BO5" s="167" t="s">
        <v>4155</v>
      </c>
      <c r="BP5" s="709" t="str">
        <f t="shared" si="0"/>
        <v>F tc nac</v>
      </c>
      <c r="BQ5" s="607"/>
      <c r="BR5" s="445" t="s">
        <v>1772</v>
      </c>
      <c r="BS5" s="608"/>
      <c r="BT5" s="609"/>
      <c r="BU5" s="695" t="str">
        <f>M5</f>
        <v>F tc nac</v>
      </c>
      <c r="BV5" s="445" t="s">
        <v>2199</v>
      </c>
      <c r="BW5" s="535"/>
      <c r="BX5" s="568"/>
      <c r="BY5" s="695" t="str">
        <f t="shared" ref="BY5:BY15" si="8">M5</f>
        <v>F tc nac</v>
      </c>
      <c r="BZ5" s="445" t="s">
        <v>2369</v>
      </c>
      <c r="CA5" s="535"/>
      <c r="CB5" s="669"/>
      <c r="CC5" s="695" t="str">
        <f>M5</f>
        <v>F tc nac</v>
      </c>
      <c r="CD5" s="445" t="s">
        <v>1987</v>
      </c>
      <c r="CE5" s="535"/>
      <c r="CF5" s="568"/>
    </row>
    <row r="6" spans="1:84" ht="309" customHeight="1" x14ac:dyDescent="0.25">
      <c r="A6" s="535"/>
      <c r="B6" s="535"/>
      <c r="C6" s="535" t="s">
        <v>4092</v>
      </c>
      <c r="D6" s="676" t="str">
        <f>M6</f>
        <v>F tc eh ec</v>
      </c>
      <c r="E6" s="167" t="s">
        <v>432</v>
      </c>
      <c r="F6" s="167" t="s">
        <v>4327</v>
      </c>
      <c r="G6" s="167" t="s">
        <v>2409</v>
      </c>
      <c r="H6" s="616"/>
      <c r="I6" s="615" t="s">
        <v>2096</v>
      </c>
      <c r="J6" s="167" t="s">
        <v>432</v>
      </c>
      <c r="K6" s="167" t="s">
        <v>3981</v>
      </c>
      <c r="L6" s="167" t="s">
        <v>2453</v>
      </c>
      <c r="M6" s="683" t="s">
        <v>2231</v>
      </c>
      <c r="O6" s="563" t="str">
        <f t="shared" si="1"/>
        <v>F tc eh ec</v>
      </c>
      <c r="P6" s="530" t="s">
        <v>1371</v>
      </c>
      <c r="Q6" s="167" t="s">
        <v>2364</v>
      </c>
      <c r="R6" s="564" t="s">
        <v>77</v>
      </c>
      <c r="S6" s="692" t="str">
        <f t="shared" si="2"/>
        <v>F tc eh ec</v>
      </c>
      <c r="T6" s="455" t="s">
        <v>1266</v>
      </c>
      <c r="U6" s="167" t="s">
        <v>2351</v>
      </c>
      <c r="V6" s="575" t="s">
        <v>77</v>
      </c>
      <c r="W6" s="694" t="str">
        <f t="shared" si="3"/>
        <v>F tc eh ec</v>
      </c>
      <c r="X6" s="530" t="s">
        <v>2056</v>
      </c>
      <c r="Y6" s="167" t="s">
        <v>2189</v>
      </c>
      <c r="Z6" s="564" t="s">
        <v>77</v>
      </c>
      <c r="AA6" s="862"/>
      <c r="AB6" s="445" t="str">
        <f>AA4</f>
        <v>Porto Alegre</v>
      </c>
      <c r="AC6" s="252"/>
      <c r="AD6" s="567"/>
      <c r="AE6" s="674" t="str">
        <f>AQ6</f>
        <v>F tc eh ec</v>
      </c>
      <c r="AF6" s="455" t="str">
        <f t="shared" ref="AF6:AF15" si="9">$AE$4</f>
        <v>RMBH metropolitano</v>
      </c>
      <c r="AG6" s="167" t="s">
        <v>5045</v>
      </c>
      <c r="AH6" s="575" t="s">
        <v>77</v>
      </c>
      <c r="AI6" s="692" t="s">
        <v>3889</v>
      </c>
      <c r="AJ6" s="57" t="s">
        <v>1705</v>
      </c>
      <c r="AK6" s="167" t="s">
        <v>3886</v>
      </c>
      <c r="AL6" s="575" t="s">
        <v>77</v>
      </c>
      <c r="AM6" s="692" t="s">
        <v>3890</v>
      </c>
      <c r="AN6" s="57" t="s">
        <v>1705</v>
      </c>
      <c r="AO6" s="167" t="s">
        <v>3887</v>
      </c>
      <c r="AP6" s="575" t="s">
        <v>77</v>
      </c>
      <c r="AQ6" s="692" t="str">
        <f t="shared" si="5"/>
        <v>F tc eh ec</v>
      </c>
      <c r="AR6" s="57" t="s">
        <v>1705</v>
      </c>
      <c r="AS6" s="167" t="s">
        <v>3884</v>
      </c>
      <c r="AT6" s="575" t="s">
        <v>3883</v>
      </c>
      <c r="AU6" s="695" t="str">
        <f t="shared" si="6"/>
        <v>F tc eh ec</v>
      </c>
      <c r="AV6" s="445" t="s">
        <v>2004</v>
      </c>
      <c r="AW6" s="540" t="s">
        <v>2118</v>
      </c>
      <c r="AX6" s="568" t="s">
        <v>432</v>
      </c>
      <c r="AY6" s="732"/>
      <c r="AZ6" s="538" t="str">
        <f>AY4</f>
        <v>outras cidades/regiões do Brasil</v>
      </c>
      <c r="BA6" s="725"/>
      <c r="BB6" s="739"/>
      <c r="BC6" s="703" t="str">
        <f t="shared" si="7"/>
        <v>F tc eh ec</v>
      </c>
      <c r="BD6" s="694" t="s">
        <v>2248</v>
      </c>
      <c r="BE6" s="455" t="s">
        <v>1306</v>
      </c>
      <c r="BF6" s="167" t="s">
        <v>3307</v>
      </c>
      <c r="BG6" s="564" t="s">
        <v>77</v>
      </c>
      <c r="BH6" s="694" t="s">
        <v>2243</v>
      </c>
      <c r="BI6" s="455" t="s">
        <v>1306</v>
      </c>
      <c r="BJ6" s="167" t="s">
        <v>5073</v>
      </c>
      <c r="BK6" s="564" t="s">
        <v>77</v>
      </c>
      <c r="BL6" s="692" t="s">
        <v>2231</v>
      </c>
      <c r="BM6" s="57" t="s">
        <v>1306</v>
      </c>
      <c r="BN6" s="167" t="s">
        <v>2352</v>
      </c>
      <c r="BO6" s="167" t="s">
        <v>2207</v>
      </c>
      <c r="BP6" s="709" t="str">
        <f t="shared" si="0"/>
        <v>F tc eh ec</v>
      </c>
      <c r="BQ6" s="607"/>
      <c r="BR6" s="445" t="str">
        <f>BR5</f>
        <v>Bogotá</v>
      </c>
      <c r="BS6" s="608"/>
      <c r="BT6" s="609"/>
      <c r="BU6" s="695" t="str">
        <f>M6</f>
        <v>F tc eh ec</v>
      </c>
      <c r="BV6" s="445" t="s">
        <v>2199</v>
      </c>
      <c r="BW6" s="558"/>
      <c r="BX6" s="568"/>
      <c r="BY6" s="695" t="str">
        <f t="shared" si="8"/>
        <v>F tc eh ec</v>
      </c>
      <c r="BZ6" s="445" t="s">
        <v>2369</v>
      </c>
      <c r="CA6" s="558"/>
      <c r="CB6" s="669"/>
      <c r="CC6" s="695" t="str">
        <f t="shared" ref="CC6:CC15" si="10">M6</f>
        <v>F tc eh ec</v>
      </c>
      <c r="CD6" s="445" t="s">
        <v>1987</v>
      </c>
      <c r="CE6" s="558"/>
      <c r="CF6" s="568"/>
    </row>
    <row r="7" spans="1:84" ht="288.75" customHeight="1" x14ac:dyDescent="0.25">
      <c r="A7" s="535"/>
      <c r="B7" s="535"/>
      <c r="C7" s="535" t="s">
        <v>4092</v>
      </c>
      <c r="D7" s="676" t="str">
        <f>M7</f>
        <v>F tc eh ecp</v>
      </c>
      <c r="E7" s="167" t="s">
        <v>432</v>
      </c>
      <c r="F7" s="167" t="s">
        <v>4328</v>
      </c>
      <c r="G7" s="167" t="s">
        <v>2409</v>
      </c>
      <c r="H7" s="616"/>
      <c r="I7" s="615" t="s">
        <v>2097</v>
      </c>
      <c r="J7" s="167" t="s">
        <v>432</v>
      </c>
      <c r="K7" s="167" t="s">
        <v>3891</v>
      </c>
      <c r="L7" s="167" t="s">
        <v>2453</v>
      </c>
      <c r="M7" s="683" t="s">
        <v>2145</v>
      </c>
      <c r="O7" s="563" t="str">
        <f t="shared" si="1"/>
        <v>F tc eh ecp</v>
      </c>
      <c r="P7" s="530" t="s">
        <v>1371</v>
      </c>
      <c r="Q7" s="167" t="s">
        <v>2365</v>
      </c>
      <c r="R7" s="564" t="s">
        <v>77</v>
      </c>
      <c r="S7" s="692" t="str">
        <f t="shared" si="2"/>
        <v>F tc eh ecp</v>
      </c>
      <c r="T7" s="455" t="s">
        <v>1266</v>
      </c>
      <c r="U7" s="57" t="s">
        <v>2648</v>
      </c>
      <c r="V7" s="575" t="s">
        <v>77</v>
      </c>
      <c r="W7" s="674" t="str">
        <f t="shared" si="3"/>
        <v>F tc eh ecp</v>
      </c>
      <c r="X7" s="455" t="s">
        <v>2056</v>
      </c>
      <c r="Y7" s="57" t="s">
        <v>2458</v>
      </c>
      <c r="Z7" s="564" t="s">
        <v>77</v>
      </c>
      <c r="AA7" s="862"/>
      <c r="AB7" s="445" t="str">
        <f>AA4</f>
        <v>Porto Alegre</v>
      </c>
      <c r="AC7" s="252"/>
      <c r="AD7" s="567"/>
      <c r="AE7" s="674" t="str">
        <f t="shared" si="4"/>
        <v>F tc eh ecp</v>
      </c>
      <c r="AF7" s="529" t="str">
        <f t="shared" si="9"/>
        <v>RMBH metropolitano</v>
      </c>
      <c r="AG7" s="57" t="s">
        <v>5046</v>
      </c>
      <c r="AH7" s="564" t="s">
        <v>77</v>
      </c>
      <c r="AI7" s="692" t="s">
        <v>3892</v>
      </c>
      <c r="AJ7" s="57" t="s">
        <v>1705</v>
      </c>
      <c r="AK7" s="167" t="s">
        <v>3895</v>
      </c>
      <c r="AL7" s="564" t="s">
        <v>77</v>
      </c>
      <c r="AM7" s="692" t="s">
        <v>3894</v>
      </c>
      <c r="AN7" s="57" t="s">
        <v>1705</v>
      </c>
      <c r="AO7" s="167" t="s">
        <v>3896</v>
      </c>
      <c r="AP7" s="564" t="s">
        <v>77</v>
      </c>
      <c r="AQ7" s="692" t="str">
        <f t="shared" si="5"/>
        <v>F tc eh ecp</v>
      </c>
      <c r="AR7" s="57" t="s">
        <v>1705</v>
      </c>
      <c r="AS7" s="167" t="s">
        <v>3897</v>
      </c>
      <c r="AT7" s="564" t="s">
        <v>3893</v>
      </c>
      <c r="AU7" s="695" t="str">
        <f t="shared" si="6"/>
        <v>F tc eh ecp</v>
      </c>
      <c r="AV7" s="445" t="s">
        <v>2004</v>
      </c>
      <c r="AW7" s="540" t="s">
        <v>2119</v>
      </c>
      <c r="AX7" s="568" t="s">
        <v>432</v>
      </c>
      <c r="AY7" s="732"/>
      <c r="AZ7" s="538" t="str">
        <f>AY4</f>
        <v>outras cidades/regiões do Brasil</v>
      </c>
      <c r="BA7" s="725"/>
      <c r="BB7" s="739"/>
      <c r="BC7" s="703" t="str">
        <f t="shared" si="7"/>
        <v>F tc eh ecp</v>
      </c>
      <c r="BD7" s="694" t="s">
        <v>2140</v>
      </c>
      <c r="BE7" s="455" t="s">
        <v>1306</v>
      </c>
      <c r="BF7" s="167" t="s">
        <v>3308</v>
      </c>
      <c r="BG7" s="564" t="s">
        <v>77</v>
      </c>
      <c r="BH7" s="694" t="s">
        <v>2141</v>
      </c>
      <c r="BI7" s="455" t="s">
        <v>1306</v>
      </c>
      <c r="BJ7" s="167" t="s">
        <v>5072</v>
      </c>
      <c r="BK7" s="564" t="s">
        <v>77</v>
      </c>
      <c r="BL7" s="692" t="s">
        <v>2145</v>
      </c>
      <c r="BM7" s="1317" t="s">
        <v>1306</v>
      </c>
      <c r="BN7" s="167" t="s">
        <v>4153</v>
      </c>
      <c r="BO7" s="692" t="s">
        <v>4154</v>
      </c>
      <c r="BP7" s="709" t="str">
        <f t="shared" si="0"/>
        <v>F tc eh ecp</v>
      </c>
      <c r="BQ7" s="607"/>
      <c r="BR7" s="445" t="str">
        <f>BR6</f>
        <v>Bogotá</v>
      </c>
      <c r="BS7" s="608"/>
      <c r="BT7" s="609"/>
      <c r="BU7" s="695" t="str">
        <f t="shared" ref="BU7:BU15" si="11">M7</f>
        <v>F tc eh ecp</v>
      </c>
      <c r="BV7" s="445" t="s">
        <v>2199</v>
      </c>
      <c r="BW7" s="558"/>
      <c r="BX7" s="568"/>
      <c r="BY7" s="695" t="str">
        <f t="shared" si="8"/>
        <v>F tc eh ecp</v>
      </c>
      <c r="BZ7" s="445" t="s">
        <v>2369</v>
      </c>
      <c r="CA7" s="558"/>
      <c r="CB7" s="669"/>
      <c r="CC7" s="695" t="str">
        <f t="shared" si="10"/>
        <v>F tc eh ecp</v>
      </c>
      <c r="CD7" s="445" t="s">
        <v>1987</v>
      </c>
      <c r="CE7" s="558"/>
      <c r="CF7" s="568"/>
    </row>
    <row r="8" spans="1:84" ht="279.75" customHeight="1" x14ac:dyDescent="0.25">
      <c r="A8" s="1293" t="s">
        <v>4089</v>
      </c>
      <c r="B8" s="529" t="s">
        <v>432</v>
      </c>
      <c r="C8" s="167" t="s">
        <v>5109</v>
      </c>
      <c r="D8" s="1355" t="str">
        <f>M8</f>
        <v>F tc eh</v>
      </c>
      <c r="E8" s="57" t="s">
        <v>432</v>
      </c>
      <c r="F8" s="167" t="s">
        <v>5110</v>
      </c>
      <c r="G8" s="167" t="s">
        <v>2409</v>
      </c>
      <c r="H8" s="616"/>
      <c r="I8" s="617" t="s">
        <v>2176</v>
      </c>
      <c r="J8" s="11" t="s">
        <v>2176</v>
      </c>
      <c r="K8" s="468" t="s">
        <v>2176</v>
      </c>
      <c r="L8" s="167" t="s">
        <v>2453</v>
      </c>
      <c r="M8" s="683" t="s">
        <v>2095</v>
      </c>
      <c r="O8" s="563" t="str">
        <f>M8</f>
        <v>F tc eh</v>
      </c>
      <c r="P8" s="530" t="s">
        <v>1371</v>
      </c>
      <c r="Q8" s="167" t="s">
        <v>5111</v>
      </c>
      <c r="R8" s="565" t="s">
        <v>2147</v>
      </c>
      <c r="S8" s="692" t="str">
        <f t="shared" si="2"/>
        <v>F tc eh</v>
      </c>
      <c r="T8" s="455" t="s">
        <v>1266</v>
      </c>
      <c r="U8" s="167" t="s">
        <v>5112</v>
      </c>
      <c r="V8" s="565" t="s">
        <v>2147</v>
      </c>
      <c r="W8" s="694" t="str">
        <f t="shared" si="3"/>
        <v>F tc eh</v>
      </c>
      <c r="X8" s="530" t="s">
        <v>2056</v>
      </c>
      <c r="Y8" s="167" t="s">
        <v>5113</v>
      </c>
      <c r="Z8" s="564" t="s">
        <v>2242</v>
      </c>
      <c r="AA8" s="862"/>
      <c r="AB8" s="445" t="str">
        <f>AA4</f>
        <v>Porto Alegre</v>
      </c>
      <c r="AC8" s="252"/>
      <c r="AD8" s="567"/>
      <c r="AE8" s="674" t="str">
        <f t="shared" si="4"/>
        <v>F tc eh</v>
      </c>
      <c r="AF8" s="529" t="str">
        <f t="shared" si="9"/>
        <v>RMBH metropolitano</v>
      </c>
      <c r="AG8" s="167" t="s">
        <v>5114</v>
      </c>
      <c r="AH8" s="564" t="s">
        <v>2242</v>
      </c>
      <c r="AI8" s="692" t="s">
        <v>3885</v>
      </c>
      <c r="AJ8" s="57" t="s">
        <v>1705</v>
      </c>
      <c r="AK8" s="167" t="s">
        <v>5115</v>
      </c>
      <c r="AL8" s="564" t="s">
        <v>3898</v>
      </c>
      <c r="AM8" s="692" t="s">
        <v>3888</v>
      </c>
      <c r="AN8" s="57" t="s">
        <v>1705</v>
      </c>
      <c r="AO8" s="167" t="s">
        <v>3899</v>
      </c>
      <c r="AP8" s="564" t="s">
        <v>3898</v>
      </c>
      <c r="AQ8" s="692" t="str">
        <f t="shared" si="5"/>
        <v>F tc eh</v>
      </c>
      <c r="AR8" s="57" t="s">
        <v>1705</v>
      </c>
      <c r="AS8" s="167" t="s">
        <v>5116</v>
      </c>
      <c r="AT8" s="564" t="s">
        <v>3883</v>
      </c>
      <c r="AU8" s="695" t="str">
        <f t="shared" si="6"/>
        <v>F tc eh</v>
      </c>
      <c r="AV8" s="445" t="s">
        <v>2004</v>
      </c>
      <c r="AW8" s="540" t="s">
        <v>2148</v>
      </c>
      <c r="AX8" s="568" t="s">
        <v>432</v>
      </c>
      <c r="AY8" s="698" t="str">
        <f>AU8</f>
        <v>F tc eh</v>
      </c>
      <c r="AZ8" s="538" t="str">
        <f>AY4</f>
        <v>outras cidades/regiões do Brasil</v>
      </c>
      <c r="BA8" s="538" t="s">
        <v>4712</v>
      </c>
      <c r="BB8" s="669" t="s">
        <v>432</v>
      </c>
      <c r="BC8" s="703" t="str">
        <f t="shared" si="7"/>
        <v>F tc eh</v>
      </c>
      <c r="BD8" s="694" t="s">
        <v>2505</v>
      </c>
      <c r="BE8" s="455" t="s">
        <v>1306</v>
      </c>
      <c r="BF8" s="167" t="s">
        <v>6123</v>
      </c>
      <c r="BG8" s="565" t="s">
        <v>2143</v>
      </c>
      <c r="BH8" s="694" t="s">
        <v>2142</v>
      </c>
      <c r="BI8" s="455" t="s">
        <v>1306</v>
      </c>
      <c r="BJ8" s="167" t="s">
        <v>5118</v>
      </c>
      <c r="BK8" s="565" t="s">
        <v>2144</v>
      </c>
      <c r="BL8" s="694" t="s">
        <v>2095</v>
      </c>
      <c r="BM8" s="455" t="s">
        <v>1306</v>
      </c>
      <c r="BN8" s="167" t="s">
        <v>5117</v>
      </c>
      <c r="BO8" s="531" t="s">
        <v>2149</v>
      </c>
      <c r="BP8" s="709" t="str">
        <f t="shared" si="0"/>
        <v>F tc eh</v>
      </c>
      <c r="BQ8" s="607"/>
      <c r="BR8" s="445" t="str">
        <f>BR7</f>
        <v>Bogotá</v>
      </c>
      <c r="BS8" s="608"/>
      <c r="BT8" s="609"/>
      <c r="BU8" s="695" t="str">
        <f t="shared" si="11"/>
        <v>F tc eh</v>
      </c>
      <c r="BV8" s="445" t="s">
        <v>2199</v>
      </c>
      <c r="BW8" s="558"/>
      <c r="BX8" s="568"/>
      <c r="BY8" s="695" t="str">
        <f t="shared" si="8"/>
        <v>F tc eh</v>
      </c>
      <c r="BZ8" s="445" t="s">
        <v>2369</v>
      </c>
      <c r="CA8" s="558"/>
      <c r="CB8" s="669"/>
      <c r="CC8" s="695" t="str">
        <f t="shared" si="10"/>
        <v>F tc eh</v>
      </c>
      <c r="CD8" s="445" t="s">
        <v>1987</v>
      </c>
      <c r="CE8" s="558"/>
      <c r="CF8" s="568"/>
    </row>
    <row r="9" spans="1:84" ht="264.75" customHeight="1" x14ac:dyDescent="0.25">
      <c r="A9" s="1295" t="s">
        <v>4060</v>
      </c>
      <c r="B9" s="529" t="s">
        <v>432</v>
      </c>
      <c r="C9" s="167" t="s">
        <v>5069</v>
      </c>
      <c r="D9" s="676" t="str">
        <f t="shared" ref="D9:D15" si="12">M9</f>
        <v>F tc BRTmisto eh ec</v>
      </c>
      <c r="E9" s="167" t="s">
        <v>432</v>
      </c>
      <c r="F9" s="612" t="s">
        <v>4329</v>
      </c>
      <c r="G9" s="167" t="s">
        <v>2409</v>
      </c>
      <c r="H9" s="616"/>
      <c r="I9" s="615" t="s">
        <v>2098</v>
      </c>
      <c r="J9" s="167" t="s">
        <v>432</v>
      </c>
      <c r="K9" s="612" t="s">
        <v>4163</v>
      </c>
      <c r="L9" s="167" t="s">
        <v>2453</v>
      </c>
      <c r="M9" s="683" t="s">
        <v>2232</v>
      </c>
      <c r="O9" s="566" t="str">
        <f t="shared" si="1"/>
        <v>F tc BRTmisto eh ec</v>
      </c>
      <c r="P9" s="448" t="s">
        <v>1371</v>
      </c>
      <c r="Q9" s="540" t="s">
        <v>2150</v>
      </c>
      <c r="R9" s="568" t="s">
        <v>432</v>
      </c>
      <c r="S9" s="693" t="str">
        <f t="shared" si="2"/>
        <v>F tc BRTmisto eh ec</v>
      </c>
      <c r="T9" s="448" t="s">
        <v>1266</v>
      </c>
      <c r="U9" s="655" t="s">
        <v>2316</v>
      </c>
      <c r="V9" s="568" t="s">
        <v>432</v>
      </c>
      <c r="W9" s="729" t="str">
        <f t="shared" si="3"/>
        <v>F tc BRTmisto eh ec</v>
      </c>
      <c r="X9" s="448" t="s">
        <v>2056</v>
      </c>
      <c r="Y9" s="535" t="s">
        <v>2430</v>
      </c>
      <c r="Z9" s="568" t="s">
        <v>432</v>
      </c>
      <c r="AA9" s="861"/>
      <c r="AB9" s="445" t="str">
        <f>AA4</f>
        <v>Porto Alegre</v>
      </c>
      <c r="AC9" s="535"/>
      <c r="AD9" s="568"/>
      <c r="AE9" s="692" t="str">
        <f t="shared" si="4"/>
        <v>F tc BRTmisto eh ec</v>
      </c>
      <c r="AF9" s="455" t="str">
        <f t="shared" si="9"/>
        <v>RMBH metropolitano</v>
      </c>
      <c r="AG9" s="167" t="s">
        <v>5047</v>
      </c>
      <c r="AH9" s="575" t="s">
        <v>77</v>
      </c>
      <c r="AI9" s="974"/>
      <c r="AJ9" s="221"/>
      <c r="AK9" s="221"/>
      <c r="AL9" s="221"/>
      <c r="AM9" s="974"/>
      <c r="AN9" s="221"/>
      <c r="AO9" s="221"/>
      <c r="AP9" s="221"/>
      <c r="AQ9" s="693" t="str">
        <f t="shared" si="5"/>
        <v>F tc BRTmisto eh ec</v>
      </c>
      <c r="AR9" s="5" t="s">
        <v>1705</v>
      </c>
      <c r="AS9" s="540" t="s">
        <v>2120</v>
      </c>
      <c r="AT9" s="669" t="s">
        <v>432</v>
      </c>
      <c r="AU9" s="695" t="str">
        <f t="shared" si="6"/>
        <v>F tc BRTmisto eh ec</v>
      </c>
      <c r="AV9" s="445" t="s">
        <v>2004</v>
      </c>
      <c r="AW9" s="540" t="s">
        <v>2120</v>
      </c>
      <c r="AX9" s="568" t="s">
        <v>432</v>
      </c>
      <c r="AY9" s="732"/>
      <c r="AZ9" s="538" t="str">
        <f>AY4</f>
        <v>outras cidades/regiões do Brasil</v>
      </c>
      <c r="BA9" s="725"/>
      <c r="BB9" s="739"/>
      <c r="BC9" s="703" t="str">
        <f t="shared" si="7"/>
        <v>F tc BRTmisto eh ec</v>
      </c>
      <c r="BD9" s="693" t="s">
        <v>2188</v>
      </c>
      <c r="BE9" s="448" t="s">
        <v>1306</v>
      </c>
      <c r="BF9" s="252" t="s">
        <v>3309</v>
      </c>
      <c r="BG9" s="567" t="s">
        <v>77</v>
      </c>
      <c r="BH9" s="698" t="s">
        <v>432</v>
      </c>
      <c r="BI9" s="448" t="s">
        <v>1306</v>
      </c>
      <c r="BJ9" s="540" t="s">
        <v>2151</v>
      </c>
      <c r="BK9" s="568" t="s">
        <v>432</v>
      </c>
      <c r="BL9" s="693" t="s">
        <v>2232</v>
      </c>
      <c r="BM9" s="445" t="s">
        <v>1306</v>
      </c>
      <c r="BN9" s="540" t="s">
        <v>2120</v>
      </c>
      <c r="BO9" s="5" t="s">
        <v>2158</v>
      </c>
      <c r="BP9" s="709" t="str">
        <f t="shared" si="0"/>
        <v>F tc BRTmisto eh ec</v>
      </c>
      <c r="BQ9" s="588" t="str">
        <f>M9</f>
        <v>F tc BRTmisto eh ec</v>
      </c>
      <c r="BR9" s="455" t="s">
        <v>1772</v>
      </c>
      <c r="BS9" s="167" t="s">
        <v>2240</v>
      </c>
      <c r="BT9" s="575" t="s">
        <v>2230</v>
      </c>
      <c r="BU9" s="695" t="str">
        <f t="shared" si="11"/>
        <v>F tc BRTmisto eh ec</v>
      </c>
      <c r="BV9" s="445" t="s">
        <v>2199</v>
      </c>
      <c r="BW9" s="558"/>
      <c r="BX9" s="568"/>
      <c r="BY9" s="695" t="str">
        <f t="shared" si="8"/>
        <v>F tc BRTmisto eh ec</v>
      </c>
      <c r="BZ9" s="445" t="s">
        <v>2369</v>
      </c>
      <c r="CA9" s="558"/>
      <c r="CB9" s="669"/>
      <c r="CC9" s="692" t="str">
        <f>M9</f>
        <v>F tc BRTmisto eh ec</v>
      </c>
      <c r="CD9" s="455" t="s">
        <v>1987</v>
      </c>
      <c r="CE9" s="173" t="s">
        <v>2361</v>
      </c>
      <c r="CF9" s="575" t="s">
        <v>744</v>
      </c>
    </row>
    <row r="10" spans="1:84" ht="242.25" customHeight="1" x14ac:dyDescent="0.25">
      <c r="A10" s="1153"/>
      <c r="B10" s="1153"/>
      <c r="C10" s="535" t="s">
        <v>4088</v>
      </c>
      <c r="D10" s="676" t="str">
        <f t="shared" si="12"/>
        <v>F tc BRTmisto eh ecp</v>
      </c>
      <c r="E10" s="167" t="s">
        <v>432</v>
      </c>
      <c r="F10" s="612" t="s">
        <v>4330</v>
      </c>
      <c r="G10" s="167" t="s">
        <v>2409</v>
      </c>
      <c r="H10" s="616"/>
      <c r="I10" s="615" t="s">
        <v>2099</v>
      </c>
      <c r="J10" s="167" t="s">
        <v>432</v>
      </c>
      <c r="K10" s="612" t="s">
        <v>4164</v>
      </c>
      <c r="L10" s="167" t="s">
        <v>2453</v>
      </c>
      <c r="M10" s="683" t="s">
        <v>2233</v>
      </c>
      <c r="O10" s="566" t="str">
        <f t="shared" si="1"/>
        <v>F tc BRTmisto eh ecp</v>
      </c>
      <c r="P10" s="448" t="s">
        <v>1371</v>
      </c>
      <c r="Q10" s="540" t="s">
        <v>2150</v>
      </c>
      <c r="R10" s="568" t="s">
        <v>432</v>
      </c>
      <c r="S10" s="693" t="str">
        <f t="shared" si="2"/>
        <v>F tc BRTmisto eh ecp</v>
      </c>
      <c r="T10" s="448" t="s">
        <v>1266</v>
      </c>
      <c r="U10" s="655" t="s">
        <v>2315</v>
      </c>
      <c r="V10" s="568" t="s">
        <v>432</v>
      </c>
      <c r="W10" s="729" t="str">
        <f t="shared" si="3"/>
        <v>F tc BRTmisto eh ecp</v>
      </c>
      <c r="X10" s="448" t="s">
        <v>2056</v>
      </c>
      <c r="Y10" s="535" t="s">
        <v>2431</v>
      </c>
      <c r="Z10" s="568" t="s">
        <v>432</v>
      </c>
      <c r="AA10" s="861"/>
      <c r="AB10" s="445" t="str">
        <f>AA4</f>
        <v>Porto Alegre</v>
      </c>
      <c r="AC10" s="535"/>
      <c r="AD10" s="568"/>
      <c r="AE10" s="692" t="str">
        <f t="shared" si="4"/>
        <v>F tc BRTmisto eh ecp</v>
      </c>
      <c r="AF10" s="455" t="str">
        <f t="shared" si="9"/>
        <v>RMBH metropolitano</v>
      </c>
      <c r="AG10" s="167" t="s">
        <v>5048</v>
      </c>
      <c r="AH10" s="575" t="s">
        <v>77</v>
      </c>
      <c r="AI10" s="974"/>
      <c r="AJ10" s="221"/>
      <c r="AK10" s="221"/>
      <c r="AL10" s="221"/>
      <c r="AM10" s="974"/>
      <c r="AN10" s="221"/>
      <c r="AO10" s="221"/>
      <c r="AP10" s="221"/>
      <c r="AQ10" s="693" t="str">
        <f t="shared" si="5"/>
        <v>F tc BRTmisto eh ecp</v>
      </c>
      <c r="AR10" s="5" t="s">
        <v>1705</v>
      </c>
      <c r="AS10" s="540" t="s">
        <v>2121</v>
      </c>
      <c r="AT10" s="669" t="s">
        <v>432</v>
      </c>
      <c r="AU10" s="695" t="str">
        <f t="shared" si="6"/>
        <v>F tc BRTmisto eh ecp</v>
      </c>
      <c r="AV10" s="445" t="s">
        <v>2004</v>
      </c>
      <c r="AW10" s="540" t="s">
        <v>2121</v>
      </c>
      <c r="AX10" s="568" t="s">
        <v>432</v>
      </c>
      <c r="AY10" s="732"/>
      <c r="AZ10" s="538" t="str">
        <f>AY4</f>
        <v>outras cidades/regiões do Brasil</v>
      </c>
      <c r="BA10" s="725"/>
      <c r="BB10" s="739"/>
      <c r="BC10" s="703" t="str">
        <f t="shared" si="7"/>
        <v>F tc BRTmisto eh ecp</v>
      </c>
      <c r="BD10" s="694" t="s">
        <v>2287</v>
      </c>
      <c r="BE10" s="455" t="s">
        <v>1306</v>
      </c>
      <c r="BF10" s="167" t="s">
        <v>3310</v>
      </c>
      <c r="BG10" s="564" t="s">
        <v>77</v>
      </c>
      <c r="BH10" s="698" t="s">
        <v>432</v>
      </c>
      <c r="BI10" s="448" t="s">
        <v>1306</v>
      </c>
      <c r="BJ10" s="540" t="s">
        <v>2152</v>
      </c>
      <c r="BK10" s="568" t="s">
        <v>432</v>
      </c>
      <c r="BL10" s="693" t="s">
        <v>2233</v>
      </c>
      <c r="BM10" s="445" t="s">
        <v>1306</v>
      </c>
      <c r="BN10" s="540" t="s">
        <v>2121</v>
      </c>
      <c r="BO10" s="5" t="s">
        <v>2157</v>
      </c>
      <c r="BP10" s="709" t="str">
        <f t="shared" si="0"/>
        <v>F tc BRTmisto eh ecp</v>
      </c>
      <c r="BQ10" s="607"/>
      <c r="BR10" s="608"/>
      <c r="BS10" s="608"/>
      <c r="BT10" s="609"/>
      <c r="BU10" s="695" t="str">
        <f t="shared" si="11"/>
        <v>F tc BRTmisto eh ecp</v>
      </c>
      <c r="BV10" s="445" t="s">
        <v>2199</v>
      </c>
      <c r="BW10" s="558"/>
      <c r="BX10" s="568"/>
      <c r="BY10" s="695" t="str">
        <f t="shared" si="8"/>
        <v>F tc BRTmisto eh ecp</v>
      </c>
      <c r="BZ10" s="445" t="s">
        <v>2369</v>
      </c>
      <c r="CA10" s="558"/>
      <c r="CB10" s="669"/>
      <c r="CC10" s="695" t="str">
        <f t="shared" si="10"/>
        <v>F tc BRTmisto eh ecp</v>
      </c>
      <c r="CD10" s="445" t="s">
        <v>1987</v>
      </c>
      <c r="CE10" s="558"/>
      <c r="CF10" s="568"/>
    </row>
    <row r="11" spans="1:84" ht="219" customHeight="1" x14ac:dyDescent="0.25">
      <c r="A11" s="1153"/>
      <c r="B11" s="1153"/>
      <c r="C11" s="535" t="s">
        <v>4092</v>
      </c>
      <c r="D11" s="676" t="str">
        <f t="shared" si="12"/>
        <v>F tc en s/rampa</v>
      </c>
      <c r="E11" s="167" t="s">
        <v>432</v>
      </c>
      <c r="F11" s="167" t="s">
        <v>4331</v>
      </c>
      <c r="G11" s="167" t="s">
        <v>2409</v>
      </c>
      <c r="H11" s="616"/>
      <c r="I11" s="615" t="s">
        <v>2100</v>
      </c>
      <c r="J11" s="167" t="s">
        <v>432</v>
      </c>
      <c r="K11" s="167" t="s">
        <v>3980</v>
      </c>
      <c r="L11" s="167" t="s">
        <v>2453</v>
      </c>
      <c r="M11" s="683" t="s">
        <v>2234</v>
      </c>
      <c r="O11" s="566" t="str">
        <f t="shared" si="1"/>
        <v>F tc en s/rampa</v>
      </c>
      <c r="P11" s="448" t="s">
        <v>1371</v>
      </c>
      <c r="Q11" s="540" t="s">
        <v>2160</v>
      </c>
      <c r="R11" s="568" t="s">
        <v>432</v>
      </c>
      <c r="S11" s="693" t="str">
        <f t="shared" si="2"/>
        <v>F tc en s/rampa</v>
      </c>
      <c r="T11" s="448" t="s">
        <v>1266</v>
      </c>
      <c r="U11" s="653" t="s">
        <v>2319</v>
      </c>
      <c r="V11" s="568" t="s">
        <v>432</v>
      </c>
      <c r="W11" s="693" t="str">
        <f t="shared" si="3"/>
        <v>F tc en s/rampa</v>
      </c>
      <c r="X11" s="448" t="s">
        <v>2056</v>
      </c>
      <c r="Y11" s="535" t="s">
        <v>2432</v>
      </c>
      <c r="Z11" s="568" t="s">
        <v>432</v>
      </c>
      <c r="AA11" s="861"/>
      <c r="AB11" s="445" t="str">
        <f>AA4</f>
        <v>Porto Alegre</v>
      </c>
      <c r="AC11" s="535"/>
      <c r="AD11" s="568"/>
      <c r="AE11" s="298"/>
      <c r="AF11" s="445" t="str">
        <f t="shared" si="9"/>
        <v>RMBH metropolitano</v>
      </c>
      <c r="AG11" s="541" t="s">
        <v>5049</v>
      </c>
      <c r="AH11" s="779"/>
      <c r="AI11" s="1214"/>
      <c r="AJ11" s="1207"/>
      <c r="AK11" s="1207"/>
      <c r="AL11" s="1207"/>
      <c r="AM11" s="1214"/>
      <c r="AN11" s="1207"/>
      <c r="AO11" s="1207"/>
      <c r="AP11" s="1207"/>
      <c r="AQ11" s="693" t="str">
        <f t="shared" si="5"/>
        <v>F tc en s/rampa</v>
      </c>
      <c r="AR11" s="5" t="s">
        <v>1705</v>
      </c>
      <c r="AS11" s="540" t="s">
        <v>2122</v>
      </c>
      <c r="AT11" s="669" t="s">
        <v>432</v>
      </c>
      <c r="AU11" s="695" t="str">
        <f t="shared" si="6"/>
        <v>F tc en s/rampa</v>
      </c>
      <c r="AV11" s="445" t="s">
        <v>2004</v>
      </c>
      <c r="AW11" s="540" t="s">
        <v>2122</v>
      </c>
      <c r="AX11" s="568" t="s">
        <v>432</v>
      </c>
      <c r="AY11" s="732"/>
      <c r="AZ11" s="538" t="str">
        <f>AY4</f>
        <v>outras cidades/regiões do Brasil</v>
      </c>
      <c r="BA11" s="725"/>
      <c r="BB11" s="739"/>
      <c r="BC11" s="703" t="str">
        <f t="shared" si="7"/>
        <v>F tc en s/rampa</v>
      </c>
      <c r="BD11" s="694" t="s">
        <v>2252</v>
      </c>
      <c r="BE11" s="455" t="s">
        <v>1306</v>
      </c>
      <c r="BF11" s="167" t="s">
        <v>3378</v>
      </c>
      <c r="BG11" s="564" t="s">
        <v>77</v>
      </c>
      <c r="BH11" s="693" t="s">
        <v>2247</v>
      </c>
      <c r="BI11" s="448" t="s">
        <v>1306</v>
      </c>
      <c r="BJ11" s="540" t="s">
        <v>2159</v>
      </c>
      <c r="BK11" s="568" t="s">
        <v>432</v>
      </c>
      <c r="BL11" s="693" t="s">
        <v>2234</v>
      </c>
      <c r="BM11" s="445" t="s">
        <v>1306</v>
      </c>
      <c r="BN11" s="540" t="s">
        <v>2122</v>
      </c>
      <c r="BO11" s="541" t="s">
        <v>2146</v>
      </c>
      <c r="BP11" s="709" t="str">
        <f t="shared" si="0"/>
        <v>F tc en s/rampa</v>
      </c>
      <c r="BQ11" s="607"/>
      <c r="BR11" s="608"/>
      <c r="BS11" s="608"/>
      <c r="BT11" s="609"/>
      <c r="BU11" s="692" t="str">
        <f t="shared" si="11"/>
        <v>F tc en s/rampa</v>
      </c>
      <c r="BV11" s="455" t="s">
        <v>2201</v>
      </c>
      <c r="BW11" s="173" t="s">
        <v>2282</v>
      </c>
      <c r="BX11" s="582" t="s">
        <v>2230</v>
      </c>
      <c r="BY11" s="695" t="str">
        <f t="shared" si="8"/>
        <v>F tc en s/rampa</v>
      </c>
      <c r="BZ11" s="445" t="s">
        <v>2369</v>
      </c>
      <c r="CA11" s="535"/>
      <c r="CB11" s="669"/>
      <c r="CC11" s="695" t="str">
        <f t="shared" si="10"/>
        <v>F tc en s/rampa</v>
      </c>
      <c r="CD11" s="445" t="s">
        <v>1987</v>
      </c>
      <c r="CE11" s="535"/>
      <c r="CF11" s="568"/>
    </row>
    <row r="12" spans="1:84" ht="178.5" customHeight="1" x14ac:dyDescent="0.25">
      <c r="A12" s="1153"/>
      <c r="B12" s="1153"/>
      <c r="C12" s="535" t="s">
        <v>4092</v>
      </c>
      <c r="D12" s="676" t="str">
        <f t="shared" si="12"/>
        <v>F tc ent s/rampa</v>
      </c>
      <c r="E12" s="167" t="s">
        <v>432</v>
      </c>
      <c r="F12" s="167" t="s">
        <v>4332</v>
      </c>
      <c r="G12" s="167" t="s">
        <v>2409</v>
      </c>
      <c r="H12" s="616"/>
      <c r="I12" s="615" t="s">
        <v>2101</v>
      </c>
      <c r="J12" s="167" t="s">
        <v>432</v>
      </c>
      <c r="K12" s="167" t="s">
        <v>6020</v>
      </c>
      <c r="L12" s="167" t="s">
        <v>2453</v>
      </c>
      <c r="M12" s="683" t="s">
        <v>2235</v>
      </c>
      <c r="O12" s="566" t="str">
        <f t="shared" si="1"/>
        <v>F tc ent s/rampa</v>
      </c>
      <c r="P12" s="448" t="s">
        <v>1371</v>
      </c>
      <c r="Q12" s="540" t="s">
        <v>2161</v>
      </c>
      <c r="R12" s="568" t="s">
        <v>432</v>
      </c>
      <c r="S12" s="693" t="str">
        <f t="shared" si="2"/>
        <v>F tc ent s/rampa</v>
      </c>
      <c r="T12" s="448" t="s">
        <v>1266</v>
      </c>
      <c r="U12" s="655" t="s">
        <v>2318</v>
      </c>
      <c r="V12" s="568" t="s">
        <v>432</v>
      </c>
      <c r="W12" s="693" t="str">
        <f t="shared" si="3"/>
        <v>F tc ent s/rampa</v>
      </c>
      <c r="X12" s="448" t="s">
        <v>2056</v>
      </c>
      <c r="Y12" s="535" t="s">
        <v>2433</v>
      </c>
      <c r="Z12" s="568" t="s">
        <v>432</v>
      </c>
      <c r="AA12" s="861"/>
      <c r="AB12" s="445" t="str">
        <f>AA4</f>
        <v>Porto Alegre</v>
      </c>
      <c r="AC12" s="535"/>
      <c r="AD12" s="568"/>
      <c r="AE12" s="298"/>
      <c r="AF12" s="445" t="str">
        <f t="shared" si="9"/>
        <v>RMBH metropolitano</v>
      </c>
      <c r="AG12" s="541" t="s">
        <v>5050</v>
      </c>
      <c r="AH12" s="779"/>
      <c r="AI12" s="1214"/>
      <c r="AJ12" s="1207"/>
      <c r="AK12" s="1207"/>
      <c r="AL12" s="1207"/>
      <c r="AM12" s="1214"/>
      <c r="AN12" s="1207"/>
      <c r="AO12" s="1207"/>
      <c r="AP12" s="1207"/>
      <c r="AQ12" s="693" t="str">
        <f t="shared" si="5"/>
        <v>F tc ent s/rampa</v>
      </c>
      <c r="AR12" s="5" t="s">
        <v>1705</v>
      </c>
      <c r="AS12" s="540" t="s">
        <v>2123</v>
      </c>
      <c r="AT12" s="669" t="s">
        <v>432</v>
      </c>
      <c r="AU12" s="695" t="str">
        <f t="shared" si="6"/>
        <v>F tc ent s/rampa</v>
      </c>
      <c r="AV12" s="445" t="s">
        <v>2004</v>
      </c>
      <c r="AW12" s="540" t="s">
        <v>2123</v>
      </c>
      <c r="AX12" s="568" t="s">
        <v>432</v>
      </c>
      <c r="AY12" s="732"/>
      <c r="AZ12" s="538" t="str">
        <f>AY4</f>
        <v>outras cidades/regiões do Brasil</v>
      </c>
      <c r="BA12" s="725"/>
      <c r="BB12" s="739"/>
      <c r="BC12" s="703" t="str">
        <f t="shared" si="7"/>
        <v>F tc ent s/rampa</v>
      </c>
      <c r="BD12" s="693" t="str">
        <f>M12</f>
        <v>F tc ent s/rampa</v>
      </c>
      <c r="BE12" s="448" t="s">
        <v>1306</v>
      </c>
      <c r="BF12" s="540" t="s">
        <v>2123</v>
      </c>
      <c r="BG12" s="568" t="s">
        <v>432</v>
      </c>
      <c r="BH12" s="693" t="str">
        <f>BD12</f>
        <v>F tc ent s/rampa</v>
      </c>
      <c r="BI12" s="448" t="s">
        <v>1306</v>
      </c>
      <c r="BJ12" s="540" t="s">
        <v>2123</v>
      </c>
      <c r="BK12" s="568" t="s">
        <v>432</v>
      </c>
      <c r="BL12" s="693" t="str">
        <f>BH12</f>
        <v>F tc ent s/rampa</v>
      </c>
      <c r="BM12" s="445" t="s">
        <v>1306</v>
      </c>
      <c r="BN12" s="540" t="s">
        <v>2123</v>
      </c>
      <c r="BO12" s="541" t="s">
        <v>2146</v>
      </c>
      <c r="BP12" s="709" t="str">
        <f t="shared" si="0"/>
        <v>F tc ent s/rampa</v>
      </c>
      <c r="BQ12" s="607"/>
      <c r="BR12" s="608"/>
      <c r="BS12" s="608"/>
      <c r="BT12" s="609"/>
      <c r="BU12" s="695" t="str">
        <f t="shared" si="11"/>
        <v>F tc ent s/rampa</v>
      </c>
      <c r="BV12" s="445" t="s">
        <v>2199</v>
      </c>
      <c r="BW12" s="558"/>
      <c r="BX12" s="568"/>
      <c r="BY12" s="692" t="str">
        <f>CC12</f>
        <v>F tc ent s/rampa</v>
      </c>
      <c r="BZ12" s="455" t="s">
        <v>2369</v>
      </c>
      <c r="CA12" s="57" t="s">
        <v>4814</v>
      </c>
      <c r="CB12" s="575" t="s">
        <v>744</v>
      </c>
      <c r="CC12" s="695" t="str">
        <f t="shared" si="10"/>
        <v>F tc ent s/rampa</v>
      </c>
      <c r="CD12" s="445" t="s">
        <v>1987</v>
      </c>
      <c r="CE12" s="558"/>
      <c r="CF12" s="568"/>
    </row>
    <row r="13" spans="1:84" ht="264.75" customHeight="1" x14ac:dyDescent="0.25">
      <c r="A13" s="1153"/>
      <c r="B13" s="1153"/>
      <c r="C13" s="535" t="s">
        <v>4092</v>
      </c>
      <c r="D13" s="676" t="str">
        <f t="shared" si="12"/>
        <v>F tc en c/rampa manual</v>
      </c>
      <c r="E13" s="167" t="s">
        <v>432</v>
      </c>
      <c r="F13" s="167" t="s">
        <v>4333</v>
      </c>
      <c r="G13" s="167" t="s">
        <v>2409</v>
      </c>
      <c r="H13" s="616"/>
      <c r="I13" s="615" t="s">
        <v>2102</v>
      </c>
      <c r="J13" s="167" t="s">
        <v>432</v>
      </c>
      <c r="K13" s="167" t="s">
        <v>4816</v>
      </c>
      <c r="L13" s="167" t="s">
        <v>2453</v>
      </c>
      <c r="M13" s="683" t="s">
        <v>2236</v>
      </c>
      <c r="O13" s="566" t="str">
        <f t="shared" si="1"/>
        <v>F tc en c/rampa manual</v>
      </c>
      <c r="P13" s="448" t="s">
        <v>1371</v>
      </c>
      <c r="Q13" s="540" t="s">
        <v>2162</v>
      </c>
      <c r="R13" s="568" t="s">
        <v>432</v>
      </c>
      <c r="S13" s="692" t="str">
        <f t="shared" si="2"/>
        <v>F tc en c/rampa manual</v>
      </c>
      <c r="T13" s="455" t="s">
        <v>1266</v>
      </c>
      <c r="U13" s="167" t="s">
        <v>2370</v>
      </c>
      <c r="V13" s="575" t="s">
        <v>77</v>
      </c>
      <c r="W13" s="694" t="str">
        <f t="shared" si="3"/>
        <v>F tc en c/rampa manual</v>
      </c>
      <c r="X13" s="455" t="s">
        <v>2056</v>
      </c>
      <c r="Y13" s="167" t="s">
        <v>2281</v>
      </c>
      <c r="Z13" s="564" t="s">
        <v>77</v>
      </c>
      <c r="AA13" s="862"/>
      <c r="AB13" s="445" t="str">
        <f>AA4</f>
        <v>Porto Alegre</v>
      </c>
      <c r="AC13" s="252"/>
      <c r="AD13" s="567"/>
      <c r="AE13" s="674" t="str">
        <f>AQ13</f>
        <v>F tc en c/rampa manual</v>
      </c>
      <c r="AF13" s="529" t="str">
        <f t="shared" si="9"/>
        <v>RMBH metropolitano</v>
      </c>
      <c r="AG13" s="167" t="s">
        <v>5051</v>
      </c>
      <c r="AH13" s="575" t="s">
        <v>77</v>
      </c>
      <c r="AI13" s="692" t="s">
        <v>3900</v>
      </c>
      <c r="AJ13" s="57" t="s">
        <v>1705</v>
      </c>
      <c r="AK13" s="167" t="s">
        <v>3901</v>
      </c>
      <c r="AL13" s="575" t="s">
        <v>77</v>
      </c>
      <c r="AM13" s="692" t="s">
        <v>3902</v>
      </c>
      <c r="AN13" s="57" t="s">
        <v>1705</v>
      </c>
      <c r="AO13" s="167" t="s">
        <v>3904</v>
      </c>
      <c r="AP13" s="575" t="s">
        <v>77</v>
      </c>
      <c r="AQ13" s="692" t="str">
        <f t="shared" si="5"/>
        <v>F tc en c/rampa manual</v>
      </c>
      <c r="AR13" s="57" t="s">
        <v>1705</v>
      </c>
      <c r="AS13" s="167" t="s">
        <v>2437</v>
      </c>
      <c r="AT13" s="575" t="s">
        <v>3903</v>
      </c>
      <c r="AU13" s="695" t="str">
        <f t="shared" si="6"/>
        <v>F tc en c/rampa manual</v>
      </c>
      <c r="AV13" s="445" t="s">
        <v>2004</v>
      </c>
      <c r="AW13" s="540" t="s">
        <v>2124</v>
      </c>
      <c r="AX13" s="568" t="s">
        <v>432</v>
      </c>
      <c r="AY13" s="692" t="str">
        <f>AU13</f>
        <v>F tc en c/rampa manual</v>
      </c>
      <c r="AZ13" s="781" t="str">
        <f>AY4</f>
        <v>outras cidades/regiões do Brasil</v>
      </c>
      <c r="BA13" s="167" t="s">
        <v>2381</v>
      </c>
      <c r="BB13" s="740" t="s">
        <v>744</v>
      </c>
      <c r="BC13" s="703" t="str">
        <f t="shared" si="7"/>
        <v>F tc en c/rampa manual</v>
      </c>
      <c r="BD13" s="694" t="s">
        <v>2249</v>
      </c>
      <c r="BE13" s="455" t="s">
        <v>1306</v>
      </c>
      <c r="BF13" s="167" t="s">
        <v>3377</v>
      </c>
      <c r="BG13" s="564" t="s">
        <v>77</v>
      </c>
      <c r="BH13" s="706" t="s">
        <v>2245</v>
      </c>
      <c r="BI13" s="448" t="s">
        <v>1306</v>
      </c>
      <c r="BJ13" s="540" t="s">
        <v>2165</v>
      </c>
      <c r="BK13" s="568" t="s">
        <v>432</v>
      </c>
      <c r="BL13" s="706" t="s">
        <v>2236</v>
      </c>
      <c r="BM13" s="445" t="s">
        <v>1306</v>
      </c>
      <c r="BN13" s="540" t="s">
        <v>2124</v>
      </c>
      <c r="BO13" s="541" t="s">
        <v>2146</v>
      </c>
      <c r="BP13" s="709" t="str">
        <f t="shared" si="0"/>
        <v>F tc en c/rampa manual</v>
      </c>
      <c r="BQ13" s="607"/>
      <c r="BR13" s="608"/>
      <c r="BS13" s="608"/>
      <c r="BT13" s="609"/>
      <c r="BU13" s="695" t="str">
        <f t="shared" si="11"/>
        <v>F tc en c/rampa manual</v>
      </c>
      <c r="BV13" s="445" t="s">
        <v>2199</v>
      </c>
      <c r="BW13" s="558"/>
      <c r="BX13" s="568"/>
      <c r="BY13" s="692" t="str">
        <f t="shared" si="8"/>
        <v>F tc en c/rampa manual</v>
      </c>
      <c r="BZ13" s="455" t="s">
        <v>2369</v>
      </c>
      <c r="CA13" s="167" t="s">
        <v>4815</v>
      </c>
      <c r="CB13" s="670" t="s">
        <v>744</v>
      </c>
      <c r="CC13" s="695" t="str">
        <f t="shared" si="10"/>
        <v>F tc en c/rampa manual</v>
      </c>
      <c r="CD13" s="445" t="s">
        <v>1987</v>
      </c>
      <c r="CE13" s="558"/>
      <c r="CF13" s="568"/>
    </row>
    <row r="14" spans="1:84" ht="379.5" customHeight="1" x14ac:dyDescent="0.25">
      <c r="A14" s="1153"/>
      <c r="B14" s="1153"/>
      <c r="C14" s="535" t="s">
        <v>4092</v>
      </c>
      <c r="D14" s="676" t="str">
        <f t="shared" si="12"/>
        <v>F tc en c/uma rampa aut.</v>
      </c>
      <c r="E14" s="167" t="s">
        <v>432</v>
      </c>
      <c r="F14" s="167" t="s">
        <v>4334</v>
      </c>
      <c r="G14" s="167" t="s">
        <v>2409</v>
      </c>
      <c r="H14" s="616"/>
      <c r="I14" s="615" t="s">
        <v>2103</v>
      </c>
      <c r="J14" s="167" t="s">
        <v>432</v>
      </c>
      <c r="K14" s="167" t="s">
        <v>4817</v>
      </c>
      <c r="L14" s="167" t="s">
        <v>2453</v>
      </c>
      <c r="M14" s="683" t="s">
        <v>2237</v>
      </c>
      <c r="O14" s="566" t="str">
        <f t="shared" si="1"/>
        <v>F tc en c/uma rampa aut.</v>
      </c>
      <c r="P14" s="448" t="s">
        <v>1371</v>
      </c>
      <c r="Q14" s="540" t="s">
        <v>2163</v>
      </c>
      <c r="R14" s="568" t="s">
        <v>432</v>
      </c>
      <c r="S14" s="693" t="str">
        <f t="shared" si="2"/>
        <v>F tc en c/uma rampa aut.</v>
      </c>
      <c r="T14" s="448" t="s">
        <v>1266</v>
      </c>
      <c r="U14" s="655" t="s">
        <v>2317</v>
      </c>
      <c r="V14" s="568" t="s">
        <v>432</v>
      </c>
      <c r="W14" s="693" t="str">
        <f t="shared" si="3"/>
        <v>F tc en c/uma rampa aut.</v>
      </c>
      <c r="X14" s="448" t="s">
        <v>2056</v>
      </c>
      <c r="Y14" s="535" t="s">
        <v>2434</v>
      </c>
      <c r="Z14" s="568" t="s">
        <v>432</v>
      </c>
      <c r="AA14" s="861"/>
      <c r="AB14" s="445" t="str">
        <f>AA4</f>
        <v>Porto Alegre</v>
      </c>
      <c r="AC14" s="535"/>
      <c r="AD14" s="568"/>
      <c r="AE14" s="298"/>
      <c r="AF14" s="445" t="str">
        <f t="shared" si="9"/>
        <v>RMBH metropolitano</v>
      </c>
      <c r="AG14" s="541" t="s">
        <v>5052</v>
      </c>
      <c r="AH14" s="779"/>
      <c r="AI14" s="1214"/>
      <c r="AJ14" s="1207"/>
      <c r="AK14" s="1207"/>
      <c r="AL14" s="1207"/>
      <c r="AM14" s="1214"/>
      <c r="AN14" s="1207"/>
      <c r="AO14" s="1207"/>
      <c r="AP14" s="1207"/>
      <c r="AQ14" s="693" t="str">
        <f t="shared" si="5"/>
        <v>F tc en c/uma rampa aut.</v>
      </c>
      <c r="AR14" s="5" t="s">
        <v>1705</v>
      </c>
      <c r="AS14" s="540" t="s">
        <v>2125</v>
      </c>
      <c r="AT14" s="669" t="s">
        <v>432</v>
      </c>
      <c r="AU14" s="695" t="str">
        <f t="shared" si="6"/>
        <v>F tc en c/uma rampa aut.</v>
      </c>
      <c r="AV14" s="445" t="s">
        <v>2004</v>
      </c>
      <c r="AW14" s="540" t="s">
        <v>2125</v>
      </c>
      <c r="AX14" s="568" t="s">
        <v>432</v>
      </c>
      <c r="AY14" s="732"/>
      <c r="AZ14" s="538" t="str">
        <f>AY4</f>
        <v>outras cidades/regiões do Brasil</v>
      </c>
      <c r="BA14" s="725"/>
      <c r="BB14" s="739"/>
      <c r="BC14" s="703" t="str">
        <f t="shared" si="7"/>
        <v>F tc en c/uma rampa aut.</v>
      </c>
      <c r="BD14" s="695" t="s">
        <v>2250</v>
      </c>
      <c r="BE14" s="448" t="s">
        <v>1306</v>
      </c>
      <c r="BF14" s="540" t="s">
        <v>2166</v>
      </c>
      <c r="BG14" s="568" t="s">
        <v>432</v>
      </c>
      <c r="BH14" s="695" t="s">
        <v>2246</v>
      </c>
      <c r="BI14" s="448" t="s">
        <v>1306</v>
      </c>
      <c r="BJ14" s="540" t="s">
        <v>2166</v>
      </c>
      <c r="BK14" s="568" t="s">
        <v>432</v>
      </c>
      <c r="BL14" s="695" t="s">
        <v>2237</v>
      </c>
      <c r="BM14" s="445" t="s">
        <v>1306</v>
      </c>
      <c r="BN14" s="540" t="s">
        <v>2166</v>
      </c>
      <c r="BO14" s="535" t="s">
        <v>432</v>
      </c>
      <c r="BP14" s="709" t="str">
        <f t="shared" si="0"/>
        <v>F tc en c/uma rampa aut.</v>
      </c>
      <c r="BQ14" s="607"/>
      <c r="BR14" s="608"/>
      <c r="BS14" s="608"/>
      <c r="BT14" s="609"/>
      <c r="BU14" s="695" t="str">
        <f t="shared" si="11"/>
        <v>F tc en c/uma rampa aut.</v>
      </c>
      <c r="BV14" s="445" t="s">
        <v>2199</v>
      </c>
      <c r="BW14" s="559"/>
      <c r="BX14" s="594"/>
      <c r="BY14" s="660" t="str">
        <f t="shared" si="8"/>
        <v>F tc en c/uma rampa aut.</v>
      </c>
      <c r="BZ14" s="667" t="s">
        <v>2369</v>
      </c>
      <c r="CA14" s="173" t="s">
        <v>6025</v>
      </c>
      <c r="CB14" s="575" t="s">
        <v>744</v>
      </c>
      <c r="CC14" s="695" t="str">
        <f t="shared" si="10"/>
        <v>F tc en c/uma rampa aut.</v>
      </c>
      <c r="CD14" s="445" t="s">
        <v>1987</v>
      </c>
      <c r="CE14" s="559"/>
      <c r="CF14" s="594"/>
    </row>
    <row r="15" spans="1:84" ht="292.5" customHeight="1" x14ac:dyDescent="0.25">
      <c r="A15" s="1295" t="s">
        <v>4057</v>
      </c>
      <c r="B15" s="529" t="s">
        <v>432</v>
      </c>
      <c r="C15" s="167" t="s">
        <v>5070</v>
      </c>
      <c r="D15" s="676" t="str">
        <f t="shared" si="12"/>
        <v>F tc enu</v>
      </c>
      <c r="E15" s="167" t="s">
        <v>432</v>
      </c>
      <c r="F15" s="167" t="s">
        <v>6012</v>
      </c>
      <c r="G15" s="167" t="s">
        <v>2409</v>
      </c>
      <c r="H15" s="616"/>
      <c r="I15" s="615" t="s">
        <v>2104</v>
      </c>
      <c r="J15" s="167" t="s">
        <v>432</v>
      </c>
      <c r="K15" s="167" t="s">
        <v>4037</v>
      </c>
      <c r="L15" s="167" t="s">
        <v>2453</v>
      </c>
      <c r="M15" s="683" t="s">
        <v>2238</v>
      </c>
      <c r="O15" s="566" t="str">
        <f t="shared" si="1"/>
        <v>F tc enu</v>
      </c>
      <c r="P15" s="448" t="s">
        <v>1371</v>
      </c>
      <c r="Q15" s="540" t="s">
        <v>2164</v>
      </c>
      <c r="R15" s="568" t="s">
        <v>432</v>
      </c>
      <c r="S15" s="692" t="str">
        <f t="shared" si="2"/>
        <v>F tc enu</v>
      </c>
      <c r="T15" s="455" t="s">
        <v>1266</v>
      </c>
      <c r="U15" s="167" t="s">
        <v>5105</v>
      </c>
      <c r="V15" s="595" t="s">
        <v>77</v>
      </c>
      <c r="W15" s="693" t="str">
        <f t="shared" si="3"/>
        <v>F tc enu</v>
      </c>
      <c r="X15" s="448" t="s">
        <v>2056</v>
      </c>
      <c r="Y15" s="535" t="s">
        <v>2435</v>
      </c>
      <c r="Z15" s="568" t="s">
        <v>432</v>
      </c>
      <c r="AA15" s="861"/>
      <c r="AB15" s="445" t="str">
        <f>AA4</f>
        <v>Porto Alegre</v>
      </c>
      <c r="AC15" s="535"/>
      <c r="AD15" s="568"/>
      <c r="AE15" s="298"/>
      <c r="AF15" s="445" t="str">
        <f t="shared" si="9"/>
        <v>RMBH metropolitano</v>
      </c>
      <c r="AG15" s="541" t="s">
        <v>5053</v>
      </c>
      <c r="AH15" s="779"/>
      <c r="AI15" s="1214"/>
      <c r="AJ15" s="1207"/>
      <c r="AK15" s="1207"/>
      <c r="AL15" s="1207"/>
      <c r="AM15" s="1214"/>
      <c r="AN15" s="1207"/>
      <c r="AO15" s="1207"/>
      <c r="AP15" s="1207"/>
      <c r="AQ15" s="693" t="str">
        <f t="shared" si="5"/>
        <v>F tc enu</v>
      </c>
      <c r="AR15" s="5" t="s">
        <v>1705</v>
      </c>
      <c r="AS15" s="540" t="s">
        <v>2126</v>
      </c>
      <c r="AT15" s="669" t="s">
        <v>432</v>
      </c>
      <c r="AU15" s="695" t="str">
        <f t="shared" si="6"/>
        <v>F tc enu</v>
      </c>
      <c r="AV15" s="445" t="s">
        <v>2004</v>
      </c>
      <c r="AW15" s="540" t="s">
        <v>2126</v>
      </c>
      <c r="AX15" s="568" t="s">
        <v>432</v>
      </c>
      <c r="AY15" s="732"/>
      <c r="AZ15" s="538" t="str">
        <f>AY4</f>
        <v>outras cidades/regiões do Brasil</v>
      </c>
      <c r="BA15" s="725"/>
      <c r="BB15" s="739"/>
      <c r="BC15" s="703" t="str">
        <f t="shared" si="7"/>
        <v>F tc enu</v>
      </c>
      <c r="BD15" s="695" t="s">
        <v>2251</v>
      </c>
      <c r="BE15" s="448" t="s">
        <v>1306</v>
      </c>
      <c r="BF15" s="540" t="s">
        <v>2167</v>
      </c>
      <c r="BG15" s="568" t="s">
        <v>432</v>
      </c>
      <c r="BH15" s="695" t="s">
        <v>2244</v>
      </c>
      <c r="BI15" s="448" t="s">
        <v>1306</v>
      </c>
      <c r="BJ15" s="540" t="s">
        <v>2167</v>
      </c>
      <c r="BK15" s="568" t="s">
        <v>432</v>
      </c>
      <c r="BL15" s="695" t="s">
        <v>2238</v>
      </c>
      <c r="BM15" s="445" t="s">
        <v>1306</v>
      </c>
      <c r="BN15" s="540" t="s">
        <v>2167</v>
      </c>
      <c r="BO15" s="535" t="s">
        <v>432</v>
      </c>
      <c r="BP15" s="709" t="str">
        <f t="shared" si="0"/>
        <v>F tc enu</v>
      </c>
      <c r="BQ15" s="607"/>
      <c r="BR15" s="608"/>
      <c r="BS15" s="608"/>
      <c r="BT15" s="609"/>
      <c r="BU15" s="695" t="str">
        <f t="shared" si="11"/>
        <v>F tc enu</v>
      </c>
      <c r="BV15" s="445" t="s">
        <v>2199</v>
      </c>
      <c r="BW15" s="14"/>
      <c r="BX15" s="603"/>
      <c r="BY15" s="713" t="str">
        <f t="shared" si="8"/>
        <v>F tc enu</v>
      </c>
      <c r="BZ15" s="445" t="s">
        <v>2369</v>
      </c>
      <c r="CA15" s="558"/>
      <c r="CB15" s="669"/>
      <c r="CC15" s="692" t="str">
        <f t="shared" si="10"/>
        <v>F tc enu</v>
      </c>
      <c r="CD15" s="455" t="s">
        <v>1987</v>
      </c>
      <c r="CE15" s="167" t="s">
        <v>6013</v>
      </c>
      <c r="CF15" s="582" t="s">
        <v>2230</v>
      </c>
    </row>
    <row r="16" spans="1:84" s="533" customFormat="1" x14ac:dyDescent="0.25">
      <c r="D16" s="1723" t="s">
        <v>432</v>
      </c>
      <c r="E16" s="1683" t="s">
        <v>2134</v>
      </c>
      <c r="F16" s="1683"/>
      <c r="G16" s="1683"/>
      <c r="H16" s="1683"/>
      <c r="I16" s="1721" t="s">
        <v>432</v>
      </c>
      <c r="J16" s="1720" t="s">
        <v>2134</v>
      </c>
      <c r="K16" s="1706"/>
      <c r="L16" s="1706"/>
      <c r="M16" s="1707"/>
      <c r="O16" s="1705" t="s">
        <v>2134</v>
      </c>
      <c r="P16" s="1706"/>
      <c r="Q16" s="1706"/>
      <c r="R16" s="1707"/>
      <c r="S16" s="1705" t="s">
        <v>2134</v>
      </c>
      <c r="T16" s="1706"/>
      <c r="U16" s="1706"/>
      <c r="V16" s="1707"/>
      <c r="W16" s="1705" t="s">
        <v>2134</v>
      </c>
      <c r="X16" s="1706"/>
      <c r="Y16" s="1706"/>
      <c r="Z16" s="1707"/>
      <c r="AA16" s="851"/>
      <c r="AB16" s="866"/>
      <c r="AC16" s="851"/>
      <c r="AD16" s="851"/>
      <c r="AE16" s="1705" t="s">
        <v>2134</v>
      </c>
      <c r="AF16" s="1706"/>
      <c r="AG16" s="1706"/>
      <c r="AH16" s="1707"/>
      <c r="AI16" s="1705" t="s">
        <v>3905</v>
      </c>
      <c r="AJ16" s="1706"/>
      <c r="AK16" s="1706"/>
      <c r="AL16" s="1707"/>
      <c r="AM16" s="1705" t="s">
        <v>3906</v>
      </c>
      <c r="AN16" s="1706"/>
      <c r="AO16" s="1706"/>
      <c r="AP16" s="1707"/>
      <c r="AQ16" s="1705" t="s">
        <v>3907</v>
      </c>
      <c r="AR16" s="1706"/>
      <c r="AS16" s="1706"/>
      <c r="AT16" s="1707"/>
      <c r="AU16" s="1705" t="s">
        <v>2134</v>
      </c>
      <c r="AV16" s="1706"/>
      <c r="AW16" s="1706"/>
      <c r="AX16" s="1707"/>
      <c r="AY16" s="733"/>
      <c r="AZ16" s="664"/>
      <c r="BA16" s="664"/>
      <c r="BB16" s="671"/>
      <c r="BC16" s="1680" t="s">
        <v>432</v>
      </c>
      <c r="BD16" s="1712" t="s">
        <v>2134</v>
      </c>
      <c r="BE16" s="1713"/>
      <c r="BF16" s="1713"/>
      <c r="BG16" s="1715"/>
      <c r="BH16" s="1712" t="s">
        <v>2134</v>
      </c>
      <c r="BI16" s="1713"/>
      <c r="BJ16" s="1713"/>
      <c r="BK16" s="1715"/>
      <c r="BL16" s="1712" t="s">
        <v>2134</v>
      </c>
      <c r="BM16" s="1713"/>
      <c r="BN16" s="1713"/>
      <c r="BO16" s="1714"/>
      <c r="BP16" s="1710" t="str">
        <f t="shared" si="0"/>
        <v>x</v>
      </c>
      <c r="BQ16" s="610"/>
      <c r="BR16" s="413"/>
      <c r="BS16" s="413"/>
      <c r="BT16" s="611"/>
      <c r="BU16" s="1705" t="s">
        <v>2134</v>
      </c>
      <c r="BV16" s="1706"/>
      <c r="BW16" s="1706"/>
      <c r="BX16" s="1707"/>
      <c r="BY16" s="1705" t="s">
        <v>2134</v>
      </c>
      <c r="BZ16" s="1706"/>
      <c r="CA16" s="1706"/>
      <c r="CB16" s="1707"/>
      <c r="CC16" s="1705" t="s">
        <v>2134</v>
      </c>
      <c r="CD16" s="1706"/>
      <c r="CE16" s="1706"/>
      <c r="CF16" s="1707"/>
    </row>
    <row r="17" spans="1:84" s="533" customFormat="1" x14ac:dyDescent="0.25">
      <c r="D17" s="1724"/>
      <c r="E17" s="1683"/>
      <c r="F17" s="1683"/>
      <c r="G17" s="1683"/>
      <c r="H17" s="1683"/>
      <c r="I17" s="1722"/>
      <c r="J17" s="1675"/>
      <c r="K17" s="1676"/>
      <c r="L17" s="1676"/>
      <c r="M17" s="1677"/>
      <c r="O17" s="1708"/>
      <c r="P17" s="1676"/>
      <c r="Q17" s="1676"/>
      <c r="R17" s="1677"/>
      <c r="S17" s="1708"/>
      <c r="T17" s="1676"/>
      <c r="U17" s="1676"/>
      <c r="V17" s="1677"/>
      <c r="W17" s="1708"/>
      <c r="X17" s="1676"/>
      <c r="Y17" s="1676"/>
      <c r="Z17" s="1677"/>
      <c r="AA17" s="852"/>
      <c r="AB17" s="867"/>
      <c r="AC17" s="852"/>
      <c r="AD17" s="852"/>
      <c r="AE17" s="1708"/>
      <c r="AF17" s="1676"/>
      <c r="AG17" s="1676"/>
      <c r="AH17" s="1677"/>
      <c r="AI17" s="1708"/>
      <c r="AJ17" s="1676"/>
      <c r="AK17" s="1676"/>
      <c r="AL17" s="1677"/>
      <c r="AM17" s="1708"/>
      <c r="AN17" s="1676"/>
      <c r="AO17" s="1676"/>
      <c r="AP17" s="1677"/>
      <c r="AQ17" s="1708"/>
      <c r="AR17" s="1676"/>
      <c r="AS17" s="1676"/>
      <c r="AT17" s="1677"/>
      <c r="AU17" s="1708"/>
      <c r="AV17" s="1676"/>
      <c r="AW17" s="1676"/>
      <c r="AX17" s="1677"/>
      <c r="AY17" s="734"/>
      <c r="AZ17" s="726"/>
      <c r="BA17" s="726"/>
      <c r="BB17" s="741"/>
      <c r="BC17" s="1681"/>
      <c r="BD17" s="1682" t="s">
        <v>2173</v>
      </c>
      <c r="BE17" s="1683"/>
      <c r="BF17" s="1683"/>
      <c r="BG17" s="1684"/>
      <c r="BH17" s="1682" t="s">
        <v>2174</v>
      </c>
      <c r="BI17" s="1683"/>
      <c r="BJ17" s="1683"/>
      <c r="BK17" s="1684"/>
      <c r="BL17" s="1682" t="s">
        <v>2175</v>
      </c>
      <c r="BM17" s="1683"/>
      <c r="BN17" s="1683"/>
      <c r="BO17" s="1683"/>
      <c r="BP17" s="1711"/>
      <c r="BQ17" s="610"/>
      <c r="BR17" s="413"/>
      <c r="BS17" s="413"/>
      <c r="BT17" s="611"/>
      <c r="BU17" s="1708"/>
      <c r="BV17" s="1676"/>
      <c r="BW17" s="1676"/>
      <c r="BX17" s="1677"/>
      <c r="BY17" s="1708"/>
      <c r="BZ17" s="1676"/>
      <c r="CA17" s="1676"/>
      <c r="CB17" s="1677"/>
      <c r="CC17" s="1708"/>
      <c r="CD17" s="1676"/>
      <c r="CE17" s="1676"/>
      <c r="CF17" s="1677"/>
    </row>
    <row r="18" spans="1:84" ht="198" customHeight="1" x14ac:dyDescent="0.25">
      <c r="D18" s="692" t="str">
        <f>M18</f>
        <v>F tc</v>
      </c>
      <c r="E18" s="57" t="s">
        <v>432</v>
      </c>
      <c r="F18" s="167" t="s">
        <v>4335</v>
      </c>
      <c r="G18" s="57" t="s">
        <v>2409</v>
      </c>
      <c r="H18" s="616"/>
      <c r="I18" s="617" t="s">
        <v>2176</v>
      </c>
      <c r="J18" s="11" t="s">
        <v>2176</v>
      </c>
      <c r="K18" s="468" t="s">
        <v>2176</v>
      </c>
      <c r="L18" s="468" t="s">
        <v>2176</v>
      </c>
      <c r="M18" s="683" t="s">
        <v>2057</v>
      </c>
      <c r="O18" s="563" t="str">
        <f>M18</f>
        <v>F tc</v>
      </c>
      <c r="P18" s="530" t="s">
        <v>1371</v>
      </c>
      <c r="Q18" s="167" t="s">
        <v>2063</v>
      </c>
      <c r="R18" s="565" t="s">
        <v>2064</v>
      </c>
      <c r="S18" s="694" t="str">
        <f>M18</f>
        <v>F tc</v>
      </c>
      <c r="T18" s="530" t="s">
        <v>1266</v>
      </c>
      <c r="U18" s="167" t="s">
        <v>4008</v>
      </c>
      <c r="V18" s="564" t="s">
        <v>77</v>
      </c>
      <c r="W18" s="694" t="str">
        <f>$M$18</f>
        <v>F tc</v>
      </c>
      <c r="X18" s="530" t="s">
        <v>2056</v>
      </c>
      <c r="Y18" s="167" t="s">
        <v>2062</v>
      </c>
      <c r="Z18" s="564" t="s">
        <v>77</v>
      </c>
      <c r="AA18" s="674" t="str">
        <f>AE18</f>
        <v>F tc</v>
      </c>
      <c r="AB18" s="529" t="s">
        <v>1703</v>
      </c>
      <c r="AC18" s="167" t="s">
        <v>2570</v>
      </c>
      <c r="AD18" s="571" t="s">
        <v>77</v>
      </c>
      <c r="AE18" s="674" t="str">
        <f>AQ18</f>
        <v>F tc</v>
      </c>
      <c r="AF18" s="529" t="str">
        <f>$AE$4</f>
        <v>RMBH metropolitano</v>
      </c>
      <c r="AG18" s="167" t="s">
        <v>5054</v>
      </c>
      <c r="AH18" s="564" t="s">
        <v>2212</v>
      </c>
      <c r="AI18" s="694" t="s">
        <v>4038</v>
      </c>
      <c r="AJ18" s="167" t="s">
        <v>1705</v>
      </c>
      <c r="AK18" s="167" t="s">
        <v>4040</v>
      </c>
      <c r="AL18" s="564" t="s">
        <v>3909</v>
      </c>
      <c r="AM18" s="694" t="s">
        <v>4043</v>
      </c>
      <c r="AN18" s="167" t="s">
        <v>1705</v>
      </c>
      <c r="AO18" s="167" t="s">
        <v>3910</v>
      </c>
      <c r="AP18" s="564" t="s">
        <v>3909</v>
      </c>
      <c r="AQ18" s="694" t="str">
        <f>$M$18</f>
        <v>F tc</v>
      </c>
      <c r="AR18" s="531" t="s">
        <v>1705</v>
      </c>
      <c r="AS18" s="167" t="s">
        <v>3911</v>
      </c>
      <c r="AT18" s="564" t="s">
        <v>3908</v>
      </c>
      <c r="AU18" s="661" t="str">
        <f>$M$18</f>
        <v>F tc</v>
      </c>
      <c r="AV18" s="445" t="s">
        <v>2004</v>
      </c>
      <c r="AW18" s="545" t="s">
        <v>2148</v>
      </c>
      <c r="AX18" s="568" t="s">
        <v>432</v>
      </c>
      <c r="AY18" s="782" t="str">
        <f>AU18</f>
        <v>F tc</v>
      </c>
      <c r="AZ18" s="538" t="str">
        <f>AY4</f>
        <v>outras cidades/regiões do Brasil</v>
      </c>
      <c r="BA18" s="535" t="s">
        <v>2176</v>
      </c>
      <c r="BB18" s="535" t="s">
        <v>2176</v>
      </c>
      <c r="BC18" s="679"/>
      <c r="BD18" s="694" t="s">
        <v>4047</v>
      </c>
      <c r="BE18" s="455" t="s">
        <v>1306</v>
      </c>
      <c r="BF18" s="167" t="s">
        <v>6121</v>
      </c>
      <c r="BG18" s="564" t="s">
        <v>2212</v>
      </c>
      <c r="BH18" s="674" t="s">
        <v>4048</v>
      </c>
      <c r="BI18" s="455" t="s">
        <v>1306</v>
      </c>
      <c r="BJ18" s="167" t="s">
        <v>2656</v>
      </c>
      <c r="BK18" s="564" t="s">
        <v>4055</v>
      </c>
      <c r="BL18" s="694" t="str">
        <f>$M$18</f>
        <v>F tc</v>
      </c>
      <c r="BM18" s="455" t="s">
        <v>1306</v>
      </c>
      <c r="BN18" s="167" t="s">
        <v>2045</v>
      </c>
      <c r="BO18" s="531" t="s">
        <v>1406</v>
      </c>
      <c r="BP18" s="710">
        <f t="shared" si="0"/>
        <v>0</v>
      </c>
      <c r="BQ18" s="610"/>
      <c r="BR18" s="413"/>
      <c r="BS18" s="413"/>
      <c r="BT18" s="611"/>
      <c r="BU18" s="675"/>
      <c r="BV18" s="605" t="s">
        <v>1770</v>
      </c>
      <c r="BW18" s="535"/>
      <c r="BX18" s="568"/>
      <c r="BY18" s="675"/>
      <c r="BZ18" s="445" t="s">
        <v>2369</v>
      </c>
      <c r="CA18" s="11" t="s">
        <v>2176</v>
      </c>
      <c r="CB18" s="669"/>
      <c r="CC18" s="675"/>
      <c r="CD18" s="445" t="s">
        <v>1987</v>
      </c>
      <c r="CE18" s="535"/>
      <c r="CF18" s="568"/>
    </row>
    <row r="19" spans="1:84" s="542" customFormat="1" ht="38.25" x14ac:dyDescent="0.25">
      <c r="D19" s="1274" t="s">
        <v>432</v>
      </c>
      <c r="E19" s="1205" t="s">
        <v>432</v>
      </c>
      <c r="F19" s="252" t="s">
        <v>432</v>
      </c>
      <c r="G19" s="1205" t="s">
        <v>432</v>
      </c>
      <c r="H19" s="1275" t="s">
        <v>432</v>
      </c>
      <c r="I19" s="1267" t="s">
        <v>432</v>
      </c>
      <c r="J19" s="1268" t="s">
        <v>432</v>
      </c>
      <c r="K19" s="1269" t="s">
        <v>432</v>
      </c>
      <c r="L19" s="1269"/>
      <c r="M19" s="1276" t="s">
        <v>432</v>
      </c>
      <c r="N19" s="542" t="s">
        <v>432</v>
      </c>
      <c r="O19" s="1277" t="s">
        <v>432</v>
      </c>
      <c r="P19" s="819" t="s">
        <v>432</v>
      </c>
      <c r="Q19" s="824" t="s">
        <v>432</v>
      </c>
      <c r="R19" s="1278" t="s">
        <v>432</v>
      </c>
      <c r="S19" s="1279" t="s">
        <v>432</v>
      </c>
      <c r="T19" s="819" t="s">
        <v>432</v>
      </c>
      <c r="U19" s="824" t="s">
        <v>432</v>
      </c>
      <c r="V19" s="820" t="s">
        <v>432</v>
      </c>
      <c r="W19" s="1279" t="s">
        <v>432</v>
      </c>
      <c r="X19" s="819" t="s">
        <v>432</v>
      </c>
      <c r="Y19" s="824" t="s">
        <v>432</v>
      </c>
      <c r="Z19" s="820" t="s">
        <v>432</v>
      </c>
      <c r="AA19" s="822" t="s">
        <v>432</v>
      </c>
      <c r="AB19" s="823" t="s">
        <v>432</v>
      </c>
      <c r="AC19" s="824" t="s">
        <v>432</v>
      </c>
      <c r="AD19" s="1280" t="s">
        <v>432</v>
      </c>
      <c r="AE19" s="822" t="s">
        <v>432</v>
      </c>
      <c r="AF19" s="823" t="s">
        <v>432</v>
      </c>
      <c r="AG19" s="824" t="s">
        <v>432</v>
      </c>
      <c r="AH19" s="820" t="s">
        <v>432</v>
      </c>
      <c r="AI19" s="1290" t="s">
        <v>4039</v>
      </c>
      <c r="AJ19" s="252" t="s">
        <v>1705</v>
      </c>
      <c r="AK19" s="252" t="s">
        <v>4053</v>
      </c>
      <c r="AL19" s="820" t="s">
        <v>4041</v>
      </c>
      <c r="AM19" s="1290" t="s">
        <v>4042</v>
      </c>
      <c r="AN19" s="252" t="s">
        <v>1705</v>
      </c>
      <c r="AO19" s="252" t="s">
        <v>4054</v>
      </c>
      <c r="AP19" s="820" t="s">
        <v>4044</v>
      </c>
      <c r="AQ19" s="1279" t="s">
        <v>432</v>
      </c>
      <c r="AR19" s="1281" t="s">
        <v>432</v>
      </c>
      <c r="AS19" s="824" t="s">
        <v>432</v>
      </c>
      <c r="AT19" s="820" t="s">
        <v>432</v>
      </c>
      <c r="AU19" s="1282"/>
      <c r="AV19" s="1271"/>
      <c r="AW19" s="1272"/>
      <c r="AX19" s="1283"/>
      <c r="AY19" s="1284"/>
      <c r="AZ19" s="816"/>
      <c r="BA19" s="1285"/>
      <c r="BB19" s="1285"/>
      <c r="BC19" s="679"/>
      <c r="BD19" s="694" t="s">
        <v>4045</v>
      </c>
      <c r="BE19" s="167" t="s">
        <v>1306</v>
      </c>
      <c r="BF19" s="167" t="s">
        <v>4052</v>
      </c>
      <c r="BG19" s="1270" t="s">
        <v>4046</v>
      </c>
      <c r="BH19" s="694" t="s">
        <v>4049</v>
      </c>
      <c r="BI19" s="167" t="s">
        <v>1306</v>
      </c>
      <c r="BJ19" s="167" t="s">
        <v>4050</v>
      </c>
      <c r="BK19" s="1270" t="s">
        <v>4051</v>
      </c>
      <c r="BL19" s="1286" t="s">
        <v>432</v>
      </c>
      <c r="BM19" s="870" t="s">
        <v>432</v>
      </c>
      <c r="BN19" s="858" t="s">
        <v>432</v>
      </c>
      <c r="BO19" s="1287" t="s">
        <v>432</v>
      </c>
      <c r="BP19" s="1288" t="s">
        <v>432</v>
      </c>
      <c r="BQ19" s="610"/>
      <c r="BR19" s="413"/>
      <c r="BS19" s="413"/>
      <c r="BT19" s="611"/>
      <c r="BU19" s="825"/>
      <c r="BV19" s="833"/>
      <c r="BW19" s="1285"/>
      <c r="BX19" s="1283"/>
      <c r="BY19" s="825"/>
      <c r="BZ19" s="1271"/>
      <c r="CA19" s="1273"/>
      <c r="CB19" s="1289"/>
      <c r="CC19" s="825"/>
      <c r="CD19" s="1271"/>
      <c r="CE19" s="1285"/>
      <c r="CF19" s="1283"/>
    </row>
    <row r="20" spans="1:84" s="533" customFormat="1" x14ac:dyDescent="0.25">
      <c r="A20" s="1671" t="s">
        <v>2646</v>
      </c>
      <c r="B20" s="1671"/>
      <c r="C20" s="1672"/>
      <c r="D20" s="1705" t="s">
        <v>2646</v>
      </c>
      <c r="E20" s="1706"/>
      <c r="F20" s="1706"/>
      <c r="G20" s="1706"/>
      <c r="H20" s="1296"/>
      <c r="I20" s="1697" t="s">
        <v>432</v>
      </c>
      <c r="J20" s="1720" t="str">
        <f>D20</f>
        <v>com facilidade (fc)</v>
      </c>
      <c r="K20" s="1706"/>
      <c r="L20" s="1706"/>
      <c r="M20" s="1707"/>
      <c r="O20" s="1705" t="str">
        <f>J20</f>
        <v>com facilidade (fc)</v>
      </c>
      <c r="P20" s="1706"/>
      <c r="Q20" s="1706"/>
      <c r="R20" s="1707"/>
      <c r="S20" s="1705" t="str">
        <f>O20</f>
        <v>com facilidade (fc)</v>
      </c>
      <c r="T20" s="1706"/>
      <c r="U20" s="1706"/>
      <c r="V20" s="1707"/>
      <c r="W20" s="1705" t="str">
        <f>S20</f>
        <v>com facilidade (fc)</v>
      </c>
      <c r="X20" s="1706"/>
      <c r="Y20" s="1706"/>
      <c r="Z20" s="1707"/>
      <c r="AA20" s="1705" t="str">
        <f>W20</f>
        <v>com facilidade (fc)</v>
      </c>
      <c r="AB20" s="1706"/>
      <c r="AC20" s="1706"/>
      <c r="AD20" s="1707"/>
      <c r="AE20" s="1705" t="str">
        <f>S20</f>
        <v>com facilidade (fc)</v>
      </c>
      <c r="AF20" s="1706"/>
      <c r="AG20" s="1706"/>
      <c r="AH20" s="1707"/>
      <c r="AI20" s="1705" t="s">
        <v>3926</v>
      </c>
      <c r="AJ20" s="1706"/>
      <c r="AK20" s="1706"/>
      <c r="AL20" s="1707"/>
      <c r="AM20" s="1705" t="s">
        <v>3927</v>
      </c>
      <c r="AN20" s="1706"/>
      <c r="AO20" s="1706"/>
      <c r="AP20" s="1707"/>
      <c r="AQ20" s="1705" t="s">
        <v>3928</v>
      </c>
      <c r="AR20" s="1706"/>
      <c r="AS20" s="1706"/>
      <c r="AT20" s="1707"/>
      <c r="AU20" s="1705" t="str">
        <f>AQ20</f>
        <v>(fc) com facilidade (São Paulo total = estrutural + local)</v>
      </c>
      <c r="AV20" s="1706"/>
      <c r="AW20" s="1706"/>
      <c r="AX20" s="1707"/>
      <c r="AY20" s="733"/>
      <c r="AZ20" s="664"/>
      <c r="BA20" s="664"/>
      <c r="BB20" s="671"/>
      <c r="BC20" s="1703" t="s">
        <v>432</v>
      </c>
      <c r="BD20" s="1712" t="str">
        <f>AU20</f>
        <v>(fc) com facilidade (São Paulo total = estrutural + local)</v>
      </c>
      <c r="BE20" s="1713"/>
      <c r="BF20" s="1713"/>
      <c r="BG20" s="1715"/>
      <c r="BH20" s="1712" t="str">
        <f>BD20</f>
        <v>(fc) com facilidade (São Paulo total = estrutural + local)</v>
      </c>
      <c r="BI20" s="1713"/>
      <c r="BJ20" s="1713"/>
      <c r="BK20" s="1715"/>
      <c r="BL20" s="1712" t="str">
        <f>BH20</f>
        <v>(fc) com facilidade (São Paulo total = estrutural + local)</v>
      </c>
      <c r="BM20" s="1713"/>
      <c r="BN20" s="1713"/>
      <c r="BO20" s="1714"/>
      <c r="BP20" s="1710" t="str">
        <f t="shared" si="0"/>
        <v>x</v>
      </c>
      <c r="BQ20" s="610"/>
      <c r="BR20" s="413"/>
      <c r="BS20" s="413"/>
      <c r="BT20" s="611"/>
      <c r="BU20" s="1705" t="str">
        <f>AQ20</f>
        <v>(fc) com facilidade (São Paulo total = estrutural + local)</v>
      </c>
      <c r="BV20" s="1706"/>
      <c r="BW20" s="1706"/>
      <c r="BX20" s="1707"/>
      <c r="BY20" s="1705" t="str">
        <f>AU20</f>
        <v>(fc) com facilidade (São Paulo total = estrutural + local)</v>
      </c>
      <c r="BZ20" s="1706"/>
      <c r="CA20" s="1706"/>
      <c r="CB20" s="1707"/>
      <c r="CC20" s="1705" t="e">
        <f>#REF!</f>
        <v>#REF!</v>
      </c>
      <c r="CD20" s="1706"/>
      <c r="CE20" s="1706"/>
      <c r="CF20" s="1707"/>
    </row>
    <row r="21" spans="1:84" s="533" customFormat="1" x14ac:dyDescent="0.25">
      <c r="A21" s="1671"/>
      <c r="B21" s="1671"/>
      <c r="C21" s="1672"/>
      <c r="D21" s="1708"/>
      <c r="E21" s="1676"/>
      <c r="F21" s="1676"/>
      <c r="G21" s="1676"/>
      <c r="H21" s="1297"/>
      <c r="I21" s="1698"/>
      <c r="J21" s="1675"/>
      <c r="K21" s="1676"/>
      <c r="L21" s="1676"/>
      <c r="M21" s="1677"/>
      <c r="O21" s="1708"/>
      <c r="P21" s="1676"/>
      <c r="Q21" s="1676"/>
      <c r="R21" s="1677"/>
      <c r="S21" s="1708"/>
      <c r="T21" s="1676"/>
      <c r="U21" s="1676"/>
      <c r="V21" s="1677"/>
      <c r="W21" s="1708"/>
      <c r="X21" s="1676"/>
      <c r="Y21" s="1676"/>
      <c r="Z21" s="1677"/>
      <c r="AA21" s="1708"/>
      <c r="AB21" s="1676"/>
      <c r="AC21" s="1676"/>
      <c r="AD21" s="1677"/>
      <c r="AE21" s="1708"/>
      <c r="AF21" s="1676"/>
      <c r="AG21" s="1676"/>
      <c r="AH21" s="1677"/>
      <c r="AI21" s="1708"/>
      <c r="AJ21" s="1676"/>
      <c r="AK21" s="1676"/>
      <c r="AL21" s="1677"/>
      <c r="AM21" s="1708"/>
      <c r="AN21" s="1676"/>
      <c r="AO21" s="1676"/>
      <c r="AP21" s="1677"/>
      <c r="AQ21" s="1708"/>
      <c r="AR21" s="1676"/>
      <c r="AS21" s="1676"/>
      <c r="AT21" s="1677"/>
      <c r="AU21" s="1708"/>
      <c r="AV21" s="1676"/>
      <c r="AW21" s="1676"/>
      <c r="AX21" s="1677"/>
      <c r="AY21" s="735"/>
      <c r="AZ21" s="665"/>
      <c r="BA21" s="665"/>
      <c r="BB21" s="672"/>
      <c r="BC21" s="1704"/>
      <c r="BD21" s="1682" t="s">
        <v>2173</v>
      </c>
      <c r="BE21" s="1683"/>
      <c r="BF21" s="1683"/>
      <c r="BG21" s="1684"/>
      <c r="BH21" s="1682" t="s">
        <v>2174</v>
      </c>
      <c r="BI21" s="1683"/>
      <c r="BJ21" s="1683"/>
      <c r="BK21" s="1684"/>
      <c r="BL21" s="1682" t="s">
        <v>2175</v>
      </c>
      <c r="BM21" s="1683"/>
      <c r="BN21" s="1683"/>
      <c r="BO21" s="1683"/>
      <c r="BP21" s="1716"/>
      <c r="BQ21" s="610"/>
      <c r="BR21" s="413"/>
      <c r="BS21" s="413"/>
      <c r="BT21" s="611"/>
      <c r="BU21" s="1708"/>
      <c r="BV21" s="1676"/>
      <c r="BW21" s="1676"/>
      <c r="BX21" s="1677"/>
      <c r="BY21" s="1708"/>
      <c r="BZ21" s="1676"/>
      <c r="CA21" s="1676"/>
      <c r="CB21" s="1677"/>
      <c r="CC21" s="1708"/>
      <c r="CD21" s="1676"/>
      <c r="CE21" s="1676"/>
      <c r="CF21" s="1677"/>
    </row>
    <row r="22" spans="1:84" s="542" customFormat="1" ht="51" x14ac:dyDescent="0.25">
      <c r="A22" s="1275"/>
      <c r="B22" s="1275"/>
      <c r="C22" s="784" t="s">
        <v>2176</v>
      </c>
      <c r="D22" s="1215" t="s">
        <v>2176</v>
      </c>
      <c r="E22" s="784" t="s">
        <v>2176</v>
      </c>
      <c r="F22" s="784" t="s">
        <v>2176</v>
      </c>
      <c r="G22" s="784" t="s">
        <v>2176</v>
      </c>
      <c r="H22" s="785"/>
      <c r="I22" s="804" t="s">
        <v>2176</v>
      </c>
      <c r="J22" s="784" t="s">
        <v>2176</v>
      </c>
      <c r="K22" s="784" t="s">
        <v>2176</v>
      </c>
      <c r="L22" s="784" t="s">
        <v>2176</v>
      </c>
      <c r="M22" s="786" t="s">
        <v>2138</v>
      </c>
      <c r="N22" s="787"/>
      <c r="O22" s="788" t="s">
        <v>2176</v>
      </c>
      <c r="P22" s="789" t="s">
        <v>1371</v>
      </c>
      <c r="Q22" s="784" t="s">
        <v>2176</v>
      </c>
      <c r="R22" s="790" t="s">
        <v>2176</v>
      </c>
      <c r="S22" s="791" t="s">
        <v>2176</v>
      </c>
      <c r="T22" s="792" t="s">
        <v>1266</v>
      </c>
      <c r="U22" s="784" t="s">
        <v>2176</v>
      </c>
      <c r="V22" s="790" t="s">
        <v>2176</v>
      </c>
      <c r="W22" s="791" t="s">
        <v>2176</v>
      </c>
      <c r="X22" s="793" t="s">
        <v>2056</v>
      </c>
      <c r="Y22" s="784" t="s">
        <v>2176</v>
      </c>
      <c r="Z22" s="790" t="s">
        <v>2176</v>
      </c>
      <c r="AA22" s="794"/>
      <c r="AB22" s="868"/>
      <c r="AC22" s="794"/>
      <c r="AD22" s="794"/>
      <c r="AE22" s="791"/>
      <c r="AF22" s="793" t="str">
        <f>$AE$4</f>
        <v>RMBH metropolitano</v>
      </c>
      <c r="AG22" s="784"/>
      <c r="AH22" s="790"/>
      <c r="AI22" s="1215"/>
      <c r="AJ22" s="794"/>
      <c r="AK22" s="794"/>
      <c r="AL22" s="794"/>
      <c r="AM22" s="1215"/>
      <c r="AN22" s="794"/>
      <c r="AO22" s="794"/>
      <c r="AP22" s="794"/>
      <c r="AQ22" s="791" t="s">
        <v>2176</v>
      </c>
      <c r="AR22" s="795" t="s">
        <v>1705</v>
      </c>
      <c r="AS22" s="784" t="s">
        <v>2176</v>
      </c>
      <c r="AT22" s="790" t="s">
        <v>2176</v>
      </c>
      <c r="AU22" s="791" t="s">
        <v>2176</v>
      </c>
      <c r="AV22" s="793" t="s">
        <v>2004</v>
      </c>
      <c r="AW22" s="784" t="s">
        <v>2176</v>
      </c>
      <c r="AX22" s="790" t="s">
        <v>2176</v>
      </c>
      <c r="AY22" s="783"/>
      <c r="AZ22" s="794"/>
      <c r="BA22" s="794"/>
      <c r="BB22" s="796"/>
      <c r="BC22" s="797" t="str">
        <f>M22</f>
        <v>F tc fc (outras)</v>
      </c>
      <c r="BD22" s="791" t="s">
        <v>2176</v>
      </c>
      <c r="BE22" s="793" t="s">
        <v>1306</v>
      </c>
      <c r="BF22" s="784" t="s">
        <v>2176</v>
      </c>
      <c r="BG22" s="790" t="s">
        <v>2176</v>
      </c>
      <c r="BH22" s="791" t="s">
        <v>2176</v>
      </c>
      <c r="BI22" s="793" t="s">
        <v>1306</v>
      </c>
      <c r="BJ22" s="784" t="s">
        <v>2176</v>
      </c>
      <c r="BK22" s="790" t="s">
        <v>2176</v>
      </c>
      <c r="BL22" s="791" t="s">
        <v>2176</v>
      </c>
      <c r="BM22" s="793" t="s">
        <v>1306</v>
      </c>
      <c r="BN22" s="784" t="s">
        <v>2176</v>
      </c>
      <c r="BO22" s="784" t="s">
        <v>2176</v>
      </c>
      <c r="BP22" s="798" t="str">
        <f t="shared" si="0"/>
        <v>F tc fc (outras)</v>
      </c>
      <c r="BQ22" s="799"/>
      <c r="BR22" s="800"/>
      <c r="BS22" s="800"/>
      <c r="BT22" s="801"/>
      <c r="BU22" s="802"/>
      <c r="BV22" s="803" t="s">
        <v>1770</v>
      </c>
      <c r="BW22" s="784" t="s">
        <v>2176</v>
      </c>
      <c r="BX22" s="790" t="s">
        <v>2176</v>
      </c>
      <c r="BY22" s="802"/>
      <c r="BZ22" s="793" t="s">
        <v>2369</v>
      </c>
      <c r="CA22" s="784" t="s">
        <v>2176</v>
      </c>
      <c r="CB22" s="790" t="s">
        <v>2176</v>
      </c>
      <c r="CC22" s="802"/>
      <c r="CD22" s="793" t="s">
        <v>1987</v>
      </c>
      <c r="CE22" s="784" t="s">
        <v>2176</v>
      </c>
      <c r="CF22" s="790" t="s">
        <v>2176</v>
      </c>
    </row>
    <row r="23" spans="1:84" ht="266.25" customHeight="1" x14ac:dyDescent="0.25">
      <c r="A23" s="1295" t="s">
        <v>4056</v>
      </c>
      <c r="B23" s="529" t="s">
        <v>432</v>
      </c>
      <c r="C23" s="564" t="s">
        <v>5065</v>
      </c>
      <c r="D23" s="678" t="s">
        <v>2116</v>
      </c>
      <c r="E23" s="597" t="s">
        <v>432</v>
      </c>
      <c r="F23" s="167" t="s">
        <v>4336</v>
      </c>
      <c r="G23" s="57" t="s">
        <v>2409</v>
      </c>
      <c r="H23" s="616"/>
      <c r="I23" s="619" t="s">
        <v>2176</v>
      </c>
      <c r="J23" s="11" t="s">
        <v>2176</v>
      </c>
      <c r="K23" s="11" t="s">
        <v>2176</v>
      </c>
      <c r="L23" s="11" t="s">
        <v>2176</v>
      </c>
      <c r="M23" s="684" t="s">
        <v>2116</v>
      </c>
      <c r="O23" s="563" t="s">
        <v>2116</v>
      </c>
      <c r="P23" s="598" t="s">
        <v>1371</v>
      </c>
      <c r="Q23" s="167" t="s">
        <v>2374</v>
      </c>
      <c r="R23" s="564" t="s">
        <v>2177</v>
      </c>
      <c r="S23" s="692" t="str">
        <f>M23</f>
        <v>F tc fc
(n.º)</v>
      </c>
      <c r="T23" s="654" t="s">
        <v>1266</v>
      </c>
      <c r="U23" s="167" t="s">
        <v>2375</v>
      </c>
      <c r="V23" s="881" t="s">
        <v>2647</v>
      </c>
      <c r="W23" s="663" t="s">
        <v>2116</v>
      </c>
      <c r="X23" s="543" t="s">
        <v>2056</v>
      </c>
      <c r="Y23" s="229" t="s">
        <v>2376</v>
      </c>
      <c r="Z23" s="587" t="s">
        <v>2081</v>
      </c>
      <c r="AA23" s="863" t="str">
        <f>W23</f>
        <v>F tc fc
(n.º)</v>
      </c>
      <c r="AB23" s="529" t="str">
        <f>AA4</f>
        <v>Porto Alegre</v>
      </c>
      <c r="AC23" s="229" t="s">
        <v>2571</v>
      </c>
      <c r="AD23" s="520" t="s">
        <v>77</v>
      </c>
      <c r="AE23" s="674" t="str">
        <f>M23</f>
        <v>F tc fc
(n.º)</v>
      </c>
      <c r="AF23" s="529" t="str">
        <f>$AE$4</f>
        <v>RMBH metropolitano</v>
      </c>
      <c r="AG23" s="229" t="s">
        <v>5055</v>
      </c>
      <c r="AH23" s="1212" t="s">
        <v>2459</v>
      </c>
      <c r="AI23" s="674" t="s">
        <v>3916</v>
      </c>
      <c r="AJ23" s="807" t="s">
        <v>1705</v>
      </c>
      <c r="AK23" s="167" t="s">
        <v>3922</v>
      </c>
      <c r="AL23" s="571" t="s">
        <v>3915</v>
      </c>
      <c r="AM23" s="674" t="s">
        <v>3917</v>
      </c>
      <c r="AN23" s="167" t="s">
        <v>1705</v>
      </c>
      <c r="AO23" s="167" t="s">
        <v>3923</v>
      </c>
      <c r="AP23" s="564" t="s">
        <v>3924</v>
      </c>
      <c r="AQ23" s="700" t="str">
        <f>M23</f>
        <v>F tc fc
(n.º)</v>
      </c>
      <c r="AR23" s="554" t="s">
        <v>1705</v>
      </c>
      <c r="AS23" s="229" t="s">
        <v>3918</v>
      </c>
      <c r="AT23" s="587" t="s">
        <v>3913</v>
      </c>
      <c r="AU23" s="701" t="str">
        <f>M23</f>
        <v>F tc fc
(n.º)</v>
      </c>
      <c r="AV23" s="445" t="s">
        <v>2004</v>
      </c>
      <c r="AW23" s="252" t="s">
        <v>2377</v>
      </c>
      <c r="AX23" s="586" t="s">
        <v>2148</v>
      </c>
      <c r="AY23" s="736"/>
      <c r="AZ23" s="727"/>
      <c r="BA23" s="727"/>
      <c r="BB23" s="742"/>
      <c r="BC23" s="704" t="str">
        <f>M23</f>
        <v>F tc fc
(n.º)</v>
      </c>
      <c r="BD23" s="694" t="s">
        <v>2168</v>
      </c>
      <c r="BE23" s="455" t="s">
        <v>1306</v>
      </c>
      <c r="BF23" s="167" t="s">
        <v>3311</v>
      </c>
      <c r="BG23" s="571" t="s">
        <v>2506</v>
      </c>
      <c r="BH23" s="694" t="s">
        <v>2170</v>
      </c>
      <c r="BI23" s="455" t="s">
        <v>1306</v>
      </c>
      <c r="BJ23" s="57" t="s">
        <v>4941</v>
      </c>
      <c r="BK23" s="575" t="s">
        <v>2181</v>
      </c>
      <c r="BL23" s="694" t="s">
        <v>2116</v>
      </c>
      <c r="BM23" s="455" t="s">
        <v>1306</v>
      </c>
      <c r="BN23" s="167" t="s">
        <v>4343</v>
      </c>
      <c r="BO23" s="167" t="s">
        <v>2052</v>
      </c>
      <c r="BP23" s="709" t="str">
        <f t="shared" si="0"/>
        <v>F tc fc
(n.º)</v>
      </c>
      <c r="BQ23" s="607"/>
      <c r="BR23" s="608"/>
      <c r="BS23" s="608"/>
      <c r="BT23" s="609"/>
      <c r="BU23" s="677" t="s">
        <v>1770</v>
      </c>
      <c r="BV23" s="606" t="s">
        <v>1998</v>
      </c>
      <c r="BW23" s="540" t="s">
        <v>1998</v>
      </c>
      <c r="BX23" s="593" t="s">
        <v>1998</v>
      </c>
      <c r="BY23" s="677"/>
      <c r="BZ23" s="445" t="s">
        <v>2369</v>
      </c>
      <c r="CA23" s="11" t="s">
        <v>2176</v>
      </c>
      <c r="CB23" s="570" t="s">
        <v>2176</v>
      </c>
      <c r="CC23" s="677" t="s">
        <v>1770</v>
      </c>
      <c r="CD23" s="445" t="s">
        <v>1987</v>
      </c>
      <c r="CE23" s="540" t="s">
        <v>1998</v>
      </c>
      <c r="CF23" s="593" t="s">
        <v>1998</v>
      </c>
    </row>
    <row r="24" spans="1:84" ht="404.25" customHeight="1" x14ac:dyDescent="0.25">
      <c r="A24" s="1153"/>
      <c r="B24" s="1153"/>
      <c r="C24" s="535" t="s">
        <v>4091</v>
      </c>
      <c r="D24" s="1261" t="s">
        <v>2113</v>
      </c>
      <c r="E24" s="167" t="s">
        <v>432</v>
      </c>
      <c r="F24" s="167" t="s">
        <v>4337</v>
      </c>
      <c r="G24" s="57" t="s">
        <v>2409</v>
      </c>
      <c r="H24" s="616"/>
      <c r="I24" s="619" t="s">
        <v>2176</v>
      </c>
      <c r="J24" s="11" t="s">
        <v>2176</v>
      </c>
      <c r="K24" s="11" t="s">
        <v>2176</v>
      </c>
      <c r="L24" s="11" t="s">
        <v>2176</v>
      </c>
      <c r="M24" s="685" t="s">
        <v>2113</v>
      </c>
      <c r="O24" s="563" t="s">
        <v>2113</v>
      </c>
      <c r="P24" s="530" t="s">
        <v>1371</v>
      </c>
      <c r="Q24" s="167" t="s">
        <v>4065</v>
      </c>
      <c r="R24" s="564" t="s">
        <v>2178</v>
      </c>
      <c r="S24" s="694" t="str">
        <f>M24</f>
        <v>F tc fc
(%)</v>
      </c>
      <c r="T24" s="530" t="s">
        <v>1266</v>
      </c>
      <c r="U24" s="167" t="s">
        <v>4066</v>
      </c>
      <c r="V24" s="564" t="s">
        <v>2572</v>
      </c>
      <c r="W24" s="692" t="str">
        <f>M24</f>
        <v>F tc fc
(%)</v>
      </c>
      <c r="X24" s="530" t="s">
        <v>2056</v>
      </c>
      <c r="Y24" s="167" t="s">
        <v>4067</v>
      </c>
      <c r="Z24" s="564" t="s">
        <v>2058</v>
      </c>
      <c r="AA24" s="674" t="str">
        <f>W24</f>
        <v>F tc fc
(%)</v>
      </c>
      <c r="AB24" s="529" t="str">
        <f>AA4</f>
        <v>Porto Alegre</v>
      </c>
      <c r="AC24" s="167" t="s">
        <v>4068</v>
      </c>
      <c r="AD24" s="564" t="s">
        <v>2572</v>
      </c>
      <c r="AE24" s="674" t="str">
        <f>M24</f>
        <v>F tc fc
(%)</v>
      </c>
      <c r="AF24" s="529" t="str">
        <f>$AE$4</f>
        <v>RMBH metropolitano</v>
      </c>
      <c r="AG24" s="167" t="s">
        <v>5056</v>
      </c>
      <c r="AH24" s="564" t="s">
        <v>2058</v>
      </c>
      <c r="AI24" s="694" t="s">
        <v>3912</v>
      </c>
      <c r="AJ24" s="399" t="s">
        <v>1705</v>
      </c>
      <c r="AK24" s="167" t="s">
        <v>4069</v>
      </c>
      <c r="AL24" s="564" t="s">
        <v>3989</v>
      </c>
      <c r="AM24" s="694" t="s">
        <v>3914</v>
      </c>
      <c r="AN24" s="399" t="s">
        <v>1705</v>
      </c>
      <c r="AO24" s="167" t="s">
        <v>4070</v>
      </c>
      <c r="AP24" s="564" t="s">
        <v>3988</v>
      </c>
      <c r="AQ24" s="694" t="str">
        <f>M24</f>
        <v>F tc fc
(%)</v>
      </c>
      <c r="AR24" s="531" t="s">
        <v>1705</v>
      </c>
      <c r="AS24" s="167" t="s">
        <v>4546</v>
      </c>
      <c r="AT24" s="564" t="s">
        <v>2058</v>
      </c>
      <c r="AU24" s="695" t="str">
        <f>M24</f>
        <v>F tc fc
(%)</v>
      </c>
      <c r="AV24" s="445" t="s">
        <v>2004</v>
      </c>
      <c r="AW24" s="545" t="s">
        <v>2148</v>
      </c>
      <c r="AX24" s="592" t="s">
        <v>432</v>
      </c>
      <c r="AY24" s="618" t="s">
        <v>2113</v>
      </c>
      <c r="AZ24" s="530" t="str">
        <f>AY4</f>
        <v>outras cidades/regiões do Brasil</v>
      </c>
      <c r="BA24" s="612" t="s">
        <v>4071</v>
      </c>
      <c r="BB24" s="167" t="s">
        <v>1594</v>
      </c>
      <c r="BC24" s="704" t="str">
        <f>M24</f>
        <v>F tc fc
(%)</v>
      </c>
      <c r="BD24" s="694" t="s">
        <v>2169</v>
      </c>
      <c r="BE24" s="455" t="s">
        <v>1306</v>
      </c>
      <c r="BF24" s="167" t="s">
        <v>3312</v>
      </c>
      <c r="BG24" s="564" t="s">
        <v>2507</v>
      </c>
      <c r="BH24" s="694" t="s">
        <v>2171</v>
      </c>
      <c r="BI24" s="455" t="s">
        <v>1306</v>
      </c>
      <c r="BJ24" s="167" t="s">
        <v>4072</v>
      </c>
      <c r="BK24" s="564" t="s">
        <v>2182</v>
      </c>
      <c r="BL24" s="694" t="s">
        <v>2113</v>
      </c>
      <c r="BM24" s="455" t="s">
        <v>1306</v>
      </c>
      <c r="BN24" s="167" t="s">
        <v>4073</v>
      </c>
      <c r="BO24" s="167" t="s">
        <v>2050</v>
      </c>
      <c r="BP24" s="709" t="str">
        <f t="shared" si="0"/>
        <v>F tc fc
(%)</v>
      </c>
      <c r="BQ24" s="607"/>
      <c r="BR24" s="608"/>
      <c r="BS24" s="608"/>
      <c r="BT24" s="609"/>
      <c r="BU24" s="677"/>
      <c r="BV24" s="447" t="s">
        <v>1770</v>
      </c>
      <c r="BW24" s="540" t="s">
        <v>1998</v>
      </c>
      <c r="BX24" s="593" t="s">
        <v>1998</v>
      </c>
      <c r="BY24" s="677"/>
      <c r="BZ24" s="445" t="s">
        <v>2369</v>
      </c>
      <c r="CA24" s="11" t="s">
        <v>2176</v>
      </c>
      <c r="CB24" s="570" t="s">
        <v>2176</v>
      </c>
      <c r="CC24" s="677"/>
      <c r="CD24" s="445" t="s">
        <v>1987</v>
      </c>
      <c r="CE24" s="540" t="s">
        <v>1998</v>
      </c>
      <c r="CF24" s="593" t="s">
        <v>1998</v>
      </c>
    </row>
    <row r="25" spans="1:84" ht="370.5" thickBot="1" x14ac:dyDescent="0.3">
      <c r="A25" s="1153"/>
      <c r="B25" s="1153"/>
      <c r="C25" s="535" t="s">
        <v>4091</v>
      </c>
      <c r="D25" s="837" t="s">
        <v>2131</v>
      </c>
      <c r="E25" s="181" t="s">
        <v>432</v>
      </c>
      <c r="F25" s="829" t="s">
        <v>2172</v>
      </c>
      <c r="G25" s="70" t="s">
        <v>77</v>
      </c>
      <c r="H25" s="830"/>
      <c r="I25" s="817" t="s">
        <v>2176</v>
      </c>
      <c r="J25" s="70" t="s">
        <v>2176</v>
      </c>
      <c r="K25" s="70" t="s">
        <v>2176</v>
      </c>
      <c r="L25" s="70" t="s">
        <v>2176</v>
      </c>
      <c r="M25" s="828" t="s">
        <v>2131</v>
      </c>
      <c r="N25" s="552"/>
      <c r="O25" s="576" t="s">
        <v>2131</v>
      </c>
      <c r="P25" s="493" t="s">
        <v>1371</v>
      </c>
      <c r="Q25" s="544" t="s">
        <v>1998</v>
      </c>
      <c r="R25" s="567" t="s">
        <v>77</v>
      </c>
      <c r="S25" s="695" t="str">
        <f>D25</f>
        <v>F tc fc
(meta)</v>
      </c>
      <c r="T25" s="604" t="s">
        <v>1266</v>
      </c>
      <c r="U25" s="544" t="s">
        <v>1998</v>
      </c>
      <c r="V25" s="567" t="s">
        <v>77</v>
      </c>
      <c r="W25" s="693" t="str">
        <f>$D$25</f>
        <v>F tc fc
(meta)</v>
      </c>
      <c r="X25" s="448" t="s">
        <v>2056</v>
      </c>
      <c r="Y25" s="544" t="s">
        <v>1998</v>
      </c>
      <c r="Z25" s="567" t="s">
        <v>77</v>
      </c>
      <c r="AA25" s="858"/>
      <c r="AB25" s="869"/>
      <c r="AC25" s="858"/>
      <c r="AD25" s="858"/>
      <c r="AE25" s="776" t="str">
        <f>M25</f>
        <v>F tc fc
(meta)</v>
      </c>
      <c r="AF25" s="449" t="str">
        <f>$AE$4</f>
        <v>RMBH metropolitano</v>
      </c>
      <c r="AG25" s="252"/>
      <c r="AH25" s="567"/>
      <c r="AI25" s="1216" t="s">
        <v>3925</v>
      </c>
      <c r="AJ25" s="858"/>
      <c r="AK25" s="858"/>
      <c r="AL25" s="858"/>
      <c r="AM25" s="1216"/>
      <c r="AN25" s="858"/>
      <c r="AO25" s="858"/>
      <c r="AP25" s="858"/>
      <c r="AQ25" s="693" t="str">
        <f>$D$25</f>
        <v>F tc fc
(meta)</v>
      </c>
      <c r="AR25" s="538" t="s">
        <v>1705</v>
      </c>
      <c r="AS25" s="544"/>
      <c r="AT25" s="567" t="s">
        <v>77</v>
      </c>
      <c r="AU25" s="692" t="str">
        <f>$D$25</f>
        <v>F tc fc
(meta)</v>
      </c>
      <c r="AV25" s="530" t="s">
        <v>2004</v>
      </c>
      <c r="AW25" s="167" t="s">
        <v>2059</v>
      </c>
      <c r="AX25" s="564" t="s">
        <v>77</v>
      </c>
      <c r="AY25" s="737"/>
      <c r="AZ25" s="399"/>
      <c r="BA25" s="399"/>
      <c r="BB25" s="738"/>
      <c r="BC25" s="704" t="str">
        <f>M25</f>
        <v>F tc fc
(meta)</v>
      </c>
      <c r="BD25" s="692" t="str">
        <f>$D$25</f>
        <v>F tc fc
(meta)</v>
      </c>
      <c r="BE25" s="455" t="s">
        <v>1306</v>
      </c>
      <c r="BF25" s="167" t="s">
        <v>3313</v>
      </c>
      <c r="BG25" s="564" t="s">
        <v>768</v>
      </c>
      <c r="BH25" s="693" t="str">
        <f>$D$25</f>
        <v>F tc fc
(meta)</v>
      </c>
      <c r="BI25" s="445" t="s">
        <v>1306</v>
      </c>
      <c r="BJ25" s="544" t="s">
        <v>1998</v>
      </c>
      <c r="BK25" s="567" t="s">
        <v>77</v>
      </c>
      <c r="BL25" s="693" t="str">
        <f>$D$25</f>
        <v>F tc fc
(meta)</v>
      </c>
      <c r="BM25" s="445" t="s">
        <v>1306</v>
      </c>
      <c r="BN25" s="544" t="s">
        <v>1998</v>
      </c>
      <c r="BO25" s="252" t="s">
        <v>77</v>
      </c>
      <c r="BP25" s="709" t="str">
        <f t="shared" si="0"/>
        <v>F tc fc
(meta)</v>
      </c>
      <c r="BQ25" s="607"/>
      <c r="BR25" s="608"/>
      <c r="BS25" s="608"/>
      <c r="BT25" s="609"/>
      <c r="BU25" s="677" t="s">
        <v>1770</v>
      </c>
      <c r="BV25" s="446"/>
      <c r="BW25" s="188"/>
      <c r="BX25" s="567"/>
      <c r="BY25" s="677"/>
      <c r="BZ25" s="445" t="s">
        <v>2369</v>
      </c>
      <c r="CA25" s="11" t="s">
        <v>2176</v>
      </c>
      <c r="CB25" s="570" t="s">
        <v>2176</v>
      </c>
      <c r="CC25" s="677"/>
      <c r="CD25" s="445" t="s">
        <v>1987</v>
      </c>
      <c r="CE25" s="188"/>
      <c r="CF25" s="567"/>
    </row>
    <row r="26" spans="1:84" s="533" customFormat="1" ht="15" x14ac:dyDescent="0.25">
      <c r="D26" s="1727" t="s">
        <v>3932</v>
      </c>
      <c r="E26" s="1728"/>
      <c r="F26" s="1728"/>
      <c r="G26" s="1728"/>
      <c r="H26" s="1729"/>
      <c r="I26" s="1727" t="str">
        <f>D26</f>
        <v>(eh) com elevador</v>
      </c>
      <c r="J26" s="1728"/>
      <c r="K26" s="1728"/>
      <c r="L26" s="1728"/>
      <c r="M26" s="1729"/>
      <c r="O26" s="1705" t="str">
        <f>$I$26</f>
        <v>(eh) com elevador</v>
      </c>
      <c r="P26" s="1706"/>
      <c r="Q26" s="1706"/>
      <c r="R26" s="1707"/>
      <c r="S26" s="1705" t="str">
        <f>$I$26</f>
        <v>(eh) com elevador</v>
      </c>
      <c r="T26" s="1706"/>
      <c r="U26" s="1706"/>
      <c r="V26" s="1707"/>
      <c r="W26" s="1705" t="str">
        <f>$I$26</f>
        <v>(eh) com elevador</v>
      </c>
      <c r="X26" s="1706"/>
      <c r="Y26" s="1706"/>
      <c r="Z26" s="1707"/>
      <c r="AA26" s="1705" t="str">
        <f>$I$26</f>
        <v>(eh) com elevador</v>
      </c>
      <c r="AB26" s="1706"/>
      <c r="AC26" s="1706"/>
      <c r="AD26" s="1707"/>
      <c r="AE26" s="1705" t="str">
        <f>$I$26</f>
        <v>(eh) com elevador</v>
      </c>
      <c r="AF26" s="1706"/>
      <c r="AG26" s="1706"/>
      <c r="AH26" s="1707"/>
      <c r="AI26" s="1705" t="s">
        <v>3929</v>
      </c>
      <c r="AJ26" s="1706"/>
      <c r="AK26" s="1706"/>
      <c r="AL26" s="1707"/>
      <c r="AM26" s="1705" t="s">
        <v>3930</v>
      </c>
      <c r="AN26" s="1706"/>
      <c r="AO26" s="1706"/>
      <c r="AP26" s="1707"/>
      <c r="AQ26" s="1705" t="s">
        <v>3931</v>
      </c>
      <c r="AR26" s="1706"/>
      <c r="AS26" s="1706"/>
      <c r="AT26" s="1707"/>
      <c r="AU26" s="1705" t="str">
        <f>AQ26</f>
        <v>(eh) com elevador (São Paulo total = estrutural + local)</v>
      </c>
      <c r="AV26" s="1706"/>
      <c r="AW26" s="1706"/>
      <c r="AX26" s="1707"/>
      <c r="AY26" s="1705" t="str">
        <f>AU26</f>
        <v>(eh) com elevador (São Paulo total = estrutural + local)</v>
      </c>
      <c r="AZ26" s="1706"/>
      <c r="BA26" s="1706"/>
      <c r="BB26" s="1707"/>
      <c r="BC26" s="1680" t="s">
        <v>432</v>
      </c>
      <c r="BD26" s="1705" t="s">
        <v>4643</v>
      </c>
      <c r="BE26" s="1706"/>
      <c r="BF26" s="1706"/>
      <c r="BG26" s="1707"/>
      <c r="BH26" s="1705" t="s">
        <v>4644</v>
      </c>
      <c r="BI26" s="1706"/>
      <c r="BJ26" s="1706"/>
      <c r="BK26" s="1707"/>
      <c r="BL26" s="1705" t="s">
        <v>4645</v>
      </c>
      <c r="BM26" s="1706"/>
      <c r="BN26" s="1706"/>
      <c r="BO26" s="1707"/>
      <c r="BP26" s="1710" t="str">
        <f>BC26</f>
        <v>x</v>
      </c>
      <c r="BQ26" s="1705" t="s">
        <v>3932</v>
      </c>
      <c r="BR26" s="1706"/>
      <c r="BS26" s="1706"/>
      <c r="BT26" s="1707"/>
      <c r="BU26" s="1705" t="str">
        <f>BQ26</f>
        <v>(eh) com elevador</v>
      </c>
      <c r="BV26" s="1706"/>
      <c r="BW26" s="1706"/>
      <c r="BX26" s="1707"/>
      <c r="BY26" s="1705" t="str">
        <f>BU26</f>
        <v>(eh) com elevador</v>
      </c>
      <c r="BZ26" s="1706"/>
      <c r="CA26" s="1706"/>
      <c r="CB26" s="1707"/>
      <c r="CC26" s="1705" t="str">
        <f>BY26</f>
        <v>(eh) com elevador</v>
      </c>
      <c r="CD26" s="1706"/>
      <c r="CE26" s="1706"/>
      <c r="CF26" s="1707"/>
    </row>
    <row r="27" spans="1:84" s="533" customFormat="1" thickBot="1" x14ac:dyDescent="0.3">
      <c r="D27" s="1730"/>
      <c r="E27" s="1674"/>
      <c r="F27" s="1674"/>
      <c r="G27" s="1674"/>
      <c r="H27" s="1731"/>
      <c r="I27" s="1732"/>
      <c r="J27" s="1733"/>
      <c r="K27" s="1733"/>
      <c r="L27" s="1733"/>
      <c r="M27" s="1672"/>
      <c r="O27" s="1708"/>
      <c r="P27" s="1676"/>
      <c r="Q27" s="1676"/>
      <c r="R27" s="1677"/>
      <c r="S27" s="1708"/>
      <c r="T27" s="1676"/>
      <c r="U27" s="1676"/>
      <c r="V27" s="1677"/>
      <c r="W27" s="1708"/>
      <c r="X27" s="1676"/>
      <c r="Y27" s="1676"/>
      <c r="Z27" s="1677"/>
      <c r="AA27" s="1708"/>
      <c r="AB27" s="1676"/>
      <c r="AC27" s="1676"/>
      <c r="AD27" s="1677"/>
      <c r="AE27" s="1708"/>
      <c r="AF27" s="1676"/>
      <c r="AG27" s="1676"/>
      <c r="AH27" s="1677"/>
      <c r="AI27" s="1708"/>
      <c r="AJ27" s="1676"/>
      <c r="AK27" s="1676"/>
      <c r="AL27" s="1677"/>
      <c r="AM27" s="1708"/>
      <c r="AN27" s="1676"/>
      <c r="AO27" s="1676"/>
      <c r="AP27" s="1677"/>
      <c r="AQ27" s="1708"/>
      <c r="AR27" s="1676"/>
      <c r="AS27" s="1676"/>
      <c r="AT27" s="1677"/>
      <c r="AU27" s="1708"/>
      <c r="AV27" s="1676"/>
      <c r="AW27" s="1676"/>
      <c r="AX27" s="1677"/>
      <c r="AY27" s="1708"/>
      <c r="AZ27" s="1676"/>
      <c r="BA27" s="1676"/>
      <c r="BB27" s="1677"/>
      <c r="BC27" s="1709"/>
      <c r="BD27" s="1708"/>
      <c r="BE27" s="1676"/>
      <c r="BF27" s="1676"/>
      <c r="BG27" s="1677"/>
      <c r="BH27" s="1708"/>
      <c r="BI27" s="1676"/>
      <c r="BJ27" s="1676"/>
      <c r="BK27" s="1677"/>
      <c r="BL27" s="1708"/>
      <c r="BM27" s="1676"/>
      <c r="BN27" s="1676"/>
      <c r="BO27" s="1677"/>
      <c r="BP27" s="1716"/>
      <c r="BQ27" s="1708"/>
      <c r="BR27" s="1676"/>
      <c r="BS27" s="1676"/>
      <c r="BT27" s="1677"/>
      <c r="BU27" s="1708"/>
      <c r="BV27" s="1676"/>
      <c r="BW27" s="1676"/>
      <c r="BX27" s="1677"/>
      <c r="BY27" s="1708"/>
      <c r="BZ27" s="1676"/>
      <c r="CA27" s="1676"/>
      <c r="CB27" s="1677"/>
      <c r="CC27" s="1708"/>
      <c r="CD27" s="1676"/>
      <c r="CE27" s="1676"/>
      <c r="CF27" s="1677"/>
    </row>
    <row r="28" spans="1:84" ht="51" x14ac:dyDescent="0.25">
      <c r="A28" s="1153"/>
      <c r="B28" s="1153"/>
      <c r="C28" s="252" t="s">
        <v>2492</v>
      </c>
      <c r="D28" s="324" t="s">
        <v>432</v>
      </c>
      <c r="E28" s="252" t="s">
        <v>432</v>
      </c>
      <c r="F28" s="252" t="s">
        <v>2492</v>
      </c>
      <c r="G28" s="11" t="s">
        <v>432</v>
      </c>
      <c r="H28" s="839"/>
      <c r="I28" s="619" t="s">
        <v>2176</v>
      </c>
      <c r="J28" s="11" t="s">
        <v>2176</v>
      </c>
      <c r="K28" s="11" t="s">
        <v>2176</v>
      </c>
      <c r="L28" s="11" t="s">
        <v>2176</v>
      </c>
      <c r="M28" s="842" t="s">
        <v>2176</v>
      </c>
      <c r="N28" s="832"/>
      <c r="O28" s="675" t="s">
        <v>432</v>
      </c>
      <c r="P28" s="252" t="s">
        <v>432</v>
      </c>
      <c r="Q28" s="252" t="s">
        <v>2492</v>
      </c>
      <c r="R28" s="570" t="s">
        <v>432</v>
      </c>
      <c r="S28" s="1047" t="s">
        <v>432</v>
      </c>
      <c r="T28" s="252" t="s">
        <v>432</v>
      </c>
      <c r="U28" s="252" t="s">
        <v>2492</v>
      </c>
      <c r="V28" s="1205" t="s">
        <v>432</v>
      </c>
      <c r="W28" s="842" t="s">
        <v>432</v>
      </c>
      <c r="X28" s="252" t="s">
        <v>432</v>
      </c>
      <c r="Y28" s="252" t="s">
        <v>2492</v>
      </c>
      <c r="Z28" s="1205" t="s">
        <v>432</v>
      </c>
      <c r="AA28" s="842" t="s">
        <v>432</v>
      </c>
      <c r="AB28" s="252" t="s">
        <v>432</v>
      </c>
      <c r="AC28" s="252" t="s">
        <v>2492</v>
      </c>
      <c r="AD28" s="1205" t="s">
        <v>432</v>
      </c>
      <c r="AE28" s="1358" t="s">
        <v>432</v>
      </c>
      <c r="AF28" s="449" t="str">
        <f>$AE$4</f>
        <v>RMBH metropolitano</v>
      </c>
      <c r="AG28" s="252" t="s">
        <v>2492</v>
      </c>
      <c r="AH28" s="1205" t="s">
        <v>432</v>
      </c>
      <c r="AI28" s="1358" t="s">
        <v>432</v>
      </c>
      <c r="AJ28" s="449" t="str">
        <f>AJ33</f>
        <v>São Paulo</v>
      </c>
      <c r="AK28" s="252" t="s">
        <v>2492</v>
      </c>
      <c r="AL28" s="1205" t="s">
        <v>432</v>
      </c>
      <c r="AM28" s="1358" t="s">
        <v>432</v>
      </c>
      <c r="AN28" s="449" t="str">
        <f>AN33</f>
        <v>São Paulo</v>
      </c>
      <c r="AO28" s="252" t="s">
        <v>2492</v>
      </c>
      <c r="AP28" s="1205" t="s">
        <v>432</v>
      </c>
      <c r="AQ28" s="1358" t="s">
        <v>432</v>
      </c>
      <c r="AR28" s="449" t="str">
        <f>AR33</f>
        <v>São Paulo</v>
      </c>
      <c r="AS28" s="252" t="s">
        <v>2492</v>
      </c>
      <c r="AT28" s="1205" t="s">
        <v>432</v>
      </c>
      <c r="AU28" s="821"/>
      <c r="AV28" s="819"/>
      <c r="AW28" s="824"/>
      <c r="AX28" s="820"/>
      <c r="AY28" s="834"/>
      <c r="AZ28" s="824"/>
      <c r="BA28" s="824"/>
      <c r="BB28" s="820"/>
      <c r="BC28" s="1013"/>
      <c r="BD28" s="324" t="s">
        <v>432</v>
      </c>
      <c r="BE28" s="252" t="s">
        <v>432</v>
      </c>
      <c r="BF28" s="252" t="s">
        <v>2492</v>
      </c>
      <c r="BG28" s="11" t="s">
        <v>432</v>
      </c>
      <c r="BH28" s="324" t="s">
        <v>432</v>
      </c>
      <c r="BI28" s="252" t="s">
        <v>432</v>
      </c>
      <c r="BJ28" s="252" t="s">
        <v>2492</v>
      </c>
      <c r="BK28" s="11" t="s">
        <v>432</v>
      </c>
      <c r="BL28" s="324" t="s">
        <v>432</v>
      </c>
      <c r="BM28" s="252" t="s">
        <v>432</v>
      </c>
      <c r="BN28" s="252" t="s">
        <v>2492</v>
      </c>
      <c r="BO28" s="11" t="s">
        <v>432</v>
      </c>
      <c r="BP28" s="835"/>
      <c r="BQ28" s="607"/>
      <c r="BR28" s="608"/>
      <c r="BS28" s="608"/>
      <c r="BT28" s="609"/>
      <c r="BU28" s="825"/>
      <c r="BV28" s="823"/>
      <c r="BW28" s="824"/>
      <c r="BX28" s="820"/>
      <c r="BY28" s="825"/>
      <c r="BZ28" s="826"/>
      <c r="CA28" s="817"/>
      <c r="CB28" s="827"/>
      <c r="CC28" s="825"/>
      <c r="CD28" s="826"/>
      <c r="CE28" s="824"/>
      <c r="CF28" s="820"/>
    </row>
    <row r="29" spans="1:84" ht="74.25" customHeight="1" x14ac:dyDescent="0.25">
      <c r="A29" s="1153"/>
      <c r="B29" s="1153"/>
      <c r="C29" s="252" t="s">
        <v>2492</v>
      </c>
      <c r="D29" s="237" t="str">
        <f>M29</f>
        <v>F tc eh
(%)</v>
      </c>
      <c r="E29" s="167" t="s">
        <v>432</v>
      </c>
      <c r="F29" s="167" t="s">
        <v>4338</v>
      </c>
      <c r="G29" s="57" t="s">
        <v>2409</v>
      </c>
      <c r="H29" s="840"/>
      <c r="I29" s="619" t="s">
        <v>2176</v>
      </c>
      <c r="J29" s="11" t="s">
        <v>2176</v>
      </c>
      <c r="K29" s="11" t="s">
        <v>2176</v>
      </c>
      <c r="L29" s="11" t="s">
        <v>2176</v>
      </c>
      <c r="M29" s="324" t="s">
        <v>2493</v>
      </c>
      <c r="N29" s="832"/>
      <c r="O29" s="692" t="s">
        <v>2493</v>
      </c>
      <c r="P29" s="455" t="str">
        <f>P23</f>
        <v>Contagem</v>
      </c>
      <c r="Q29" s="167" t="s">
        <v>4646</v>
      </c>
      <c r="R29" s="564" t="s">
        <v>2501</v>
      </c>
      <c r="S29" s="692" t="s">
        <v>2493</v>
      </c>
      <c r="T29" s="455" t="str">
        <f>T23</f>
        <v>Curitiba</v>
      </c>
      <c r="U29" s="167" t="s">
        <v>4647</v>
      </c>
      <c r="V29" s="564" t="s">
        <v>2501</v>
      </c>
      <c r="W29" s="692" t="s">
        <v>2493</v>
      </c>
      <c r="X29" s="455" t="str">
        <f>X23</f>
        <v>Joinville</v>
      </c>
      <c r="Y29" s="167" t="s">
        <v>4648</v>
      </c>
      <c r="Z29" s="564" t="s">
        <v>2501</v>
      </c>
      <c r="AA29" s="824"/>
      <c r="AB29" s="449" t="str">
        <f>AB23</f>
        <v>Porto Alegre</v>
      </c>
      <c r="AC29" s="252"/>
      <c r="AD29" s="824"/>
      <c r="AE29" s="692" t="s">
        <v>2493</v>
      </c>
      <c r="AF29" s="455" t="str">
        <f>AF23</f>
        <v>RMBH metropolitano</v>
      </c>
      <c r="AG29" s="167" t="s">
        <v>5057</v>
      </c>
      <c r="AH29" s="564" t="s">
        <v>2501</v>
      </c>
      <c r="AI29" s="1217"/>
      <c r="AJ29" s="824"/>
      <c r="AK29" s="824"/>
      <c r="AL29" s="824"/>
      <c r="AM29" s="1217"/>
      <c r="AN29" s="824"/>
      <c r="AO29" s="824"/>
      <c r="AP29" s="824"/>
      <c r="AQ29" s="821"/>
      <c r="AR29" s="816"/>
      <c r="AS29" s="815"/>
      <c r="AT29" s="820"/>
      <c r="AU29" s="821"/>
      <c r="AV29" s="819"/>
      <c r="AW29" s="824"/>
      <c r="AX29" s="820"/>
      <c r="BC29" s="1013"/>
      <c r="BD29" s="692" t="s">
        <v>2495</v>
      </c>
      <c r="BE29" s="455" t="s">
        <v>1306</v>
      </c>
      <c r="BF29" s="167" t="s">
        <v>3314</v>
      </c>
      <c r="BG29" s="564" t="s">
        <v>2500</v>
      </c>
      <c r="BH29" s="692" t="s">
        <v>2498</v>
      </c>
      <c r="BI29" s="455" t="s">
        <v>1306</v>
      </c>
      <c r="BJ29" s="167" t="s">
        <v>2502</v>
      </c>
      <c r="BK29" s="564" t="s">
        <v>2503</v>
      </c>
      <c r="BL29" s="692" t="s">
        <v>2493</v>
      </c>
      <c r="BM29" s="455" t="s">
        <v>1306</v>
      </c>
      <c r="BN29" s="167" t="s">
        <v>2504</v>
      </c>
      <c r="BO29" s="564" t="s">
        <v>2501</v>
      </c>
      <c r="BP29" s="835"/>
      <c r="BQ29" s="607"/>
      <c r="BR29" s="608"/>
      <c r="BS29" s="608"/>
      <c r="BT29" s="609"/>
      <c r="BU29" s="825"/>
      <c r="BV29" s="823"/>
      <c r="BW29" s="824"/>
      <c r="BX29" s="820"/>
      <c r="BY29" s="825"/>
      <c r="BZ29" s="826"/>
      <c r="CA29" s="817"/>
      <c r="CB29" s="827"/>
      <c r="CC29" s="825"/>
      <c r="CD29" s="826"/>
      <c r="CE29" s="824"/>
      <c r="CF29" s="820"/>
    </row>
    <row r="30" spans="1:84" ht="202.5" customHeight="1" thickBot="1" x14ac:dyDescent="0.3">
      <c r="A30" s="1153"/>
      <c r="B30" s="1153"/>
      <c r="C30" s="252" t="s">
        <v>2492</v>
      </c>
      <c r="D30" s="237" t="str">
        <f>M30</f>
        <v>F tc eh
(meta em %)</v>
      </c>
      <c r="E30" s="167" t="s">
        <v>432</v>
      </c>
      <c r="F30" s="167" t="s">
        <v>4339</v>
      </c>
      <c r="G30" s="57" t="s">
        <v>2409</v>
      </c>
      <c r="H30" s="841"/>
      <c r="I30" s="619" t="s">
        <v>2176</v>
      </c>
      <c r="J30" s="11" t="s">
        <v>2176</v>
      </c>
      <c r="K30" s="11" t="s">
        <v>2176</v>
      </c>
      <c r="L30" s="11" t="s">
        <v>2176</v>
      </c>
      <c r="M30" s="831" t="s">
        <v>2496</v>
      </c>
      <c r="N30" s="832"/>
      <c r="O30" s="818"/>
      <c r="P30" s="819"/>
      <c r="Q30" s="815"/>
      <c r="R30" s="820"/>
      <c r="S30" s="821"/>
      <c r="T30" s="833"/>
      <c r="U30" s="815"/>
      <c r="V30" s="820"/>
      <c r="W30" s="695"/>
      <c r="X30" s="445"/>
      <c r="Y30" s="544"/>
      <c r="Z30" s="567"/>
      <c r="AA30" s="824"/>
      <c r="AB30" s="823"/>
      <c r="AC30" s="824"/>
      <c r="AD30" s="824"/>
      <c r="AE30" s="822"/>
      <c r="AF30" s="823" t="str">
        <f>$AE$4</f>
        <v>RMBH metropolitano</v>
      </c>
      <c r="AG30" s="824"/>
      <c r="AH30" s="820"/>
      <c r="AI30" s="1217"/>
      <c r="AJ30" s="824"/>
      <c r="AK30" s="824"/>
      <c r="AL30" s="824"/>
      <c r="AM30" s="1217"/>
      <c r="AN30" s="824"/>
      <c r="AO30" s="824"/>
      <c r="AP30" s="824"/>
      <c r="AQ30" s="821"/>
      <c r="AR30" s="816"/>
      <c r="AS30" s="815"/>
      <c r="AT30" s="820"/>
      <c r="AU30" s="821"/>
      <c r="AV30" s="819"/>
      <c r="AW30" s="824"/>
      <c r="AX30" s="820"/>
      <c r="AY30" s="834"/>
      <c r="AZ30" s="824"/>
      <c r="BA30" s="824"/>
      <c r="BB30" s="820"/>
      <c r="BC30" s="1013"/>
      <c r="BD30" s="695" t="s">
        <v>2497</v>
      </c>
      <c r="BE30" s="445" t="s">
        <v>1306</v>
      </c>
      <c r="BF30" s="544"/>
      <c r="BG30" s="567"/>
      <c r="BH30" s="695" t="s">
        <v>2499</v>
      </c>
      <c r="BI30" s="445" t="s">
        <v>432</v>
      </c>
      <c r="BJ30" s="544"/>
      <c r="BK30" s="567"/>
      <c r="BL30" s="695" t="s">
        <v>2496</v>
      </c>
      <c r="BM30" s="445"/>
      <c r="BN30" s="544"/>
      <c r="BO30" s="252"/>
      <c r="BP30" s="835"/>
      <c r="BQ30" s="607"/>
      <c r="BR30" s="608"/>
      <c r="BS30" s="608"/>
      <c r="BT30" s="609"/>
      <c r="BU30" s="825"/>
      <c r="BV30" s="823"/>
      <c r="BW30" s="824"/>
      <c r="BX30" s="820"/>
      <c r="BY30" s="825"/>
      <c r="BZ30" s="826"/>
      <c r="CA30" s="817"/>
      <c r="CB30" s="827"/>
      <c r="CC30" s="825"/>
      <c r="CD30" s="826"/>
      <c r="CE30" s="824"/>
      <c r="CF30" s="820"/>
    </row>
    <row r="31" spans="1:84" s="533" customFormat="1" ht="15" customHeight="1" x14ac:dyDescent="0.25">
      <c r="A31" s="1673" t="s">
        <v>4033</v>
      </c>
      <c r="B31" s="1674"/>
      <c r="C31" s="1674"/>
      <c r="D31" s="1672"/>
      <c r="E31" s="1673" t="s">
        <v>4033</v>
      </c>
      <c r="F31" s="1674"/>
      <c r="G31" s="1674"/>
      <c r="H31" s="1672"/>
      <c r="I31" s="1721" t="s">
        <v>432</v>
      </c>
      <c r="J31" s="1720" t="s">
        <v>4033</v>
      </c>
      <c r="K31" s="1706"/>
      <c r="L31" s="1706"/>
      <c r="M31" s="1707"/>
      <c r="O31" s="1705" t="s">
        <v>4033</v>
      </c>
      <c r="P31" s="1706"/>
      <c r="Q31" s="1706"/>
      <c r="R31" s="1707"/>
      <c r="S31" s="1705" t="s">
        <v>4033</v>
      </c>
      <c r="T31" s="1706"/>
      <c r="U31" s="1706"/>
      <c r="V31" s="1707"/>
      <c r="W31" s="1705" t="s">
        <v>4033</v>
      </c>
      <c r="X31" s="1706"/>
      <c r="Y31" s="1706"/>
      <c r="Z31" s="1707"/>
      <c r="AA31" s="1705" t="s">
        <v>4033</v>
      </c>
      <c r="AB31" s="1706"/>
      <c r="AC31" s="1706"/>
      <c r="AD31" s="1707"/>
      <c r="AE31" s="1705" t="s">
        <v>4033</v>
      </c>
      <c r="AF31" s="1706"/>
      <c r="AG31" s="1706"/>
      <c r="AH31" s="1707"/>
      <c r="AI31" s="1705" t="s">
        <v>4034</v>
      </c>
      <c r="AJ31" s="1706"/>
      <c r="AK31" s="1706"/>
      <c r="AL31" s="1707"/>
      <c r="AM31" s="1705" t="s">
        <v>4035</v>
      </c>
      <c r="AN31" s="1706"/>
      <c r="AO31" s="1706"/>
      <c r="AP31" s="1707"/>
      <c r="AQ31" s="1705" t="s">
        <v>4036</v>
      </c>
      <c r="AR31" s="1706"/>
      <c r="AS31" s="1706"/>
      <c r="AT31" s="1707"/>
      <c r="AU31" s="1705" t="s">
        <v>4033</v>
      </c>
      <c r="AV31" s="1706"/>
      <c r="AW31" s="1706"/>
      <c r="AX31" s="1707"/>
      <c r="AY31" s="1705" t="s">
        <v>4033</v>
      </c>
      <c r="AZ31" s="1706"/>
      <c r="BA31" s="1706"/>
      <c r="BB31" s="1707"/>
      <c r="BC31" s="1680" t="s">
        <v>432</v>
      </c>
      <c r="BD31" s="1682" t="s">
        <v>4033</v>
      </c>
      <c r="BE31" s="1683"/>
      <c r="BF31" s="1683"/>
      <c r="BG31" s="1684"/>
      <c r="BH31" s="1682" t="s">
        <v>4033</v>
      </c>
      <c r="BI31" s="1683"/>
      <c r="BJ31" s="1683"/>
      <c r="BK31" s="1684"/>
      <c r="BL31" s="1682" t="s">
        <v>4033</v>
      </c>
      <c r="BM31" s="1683"/>
      <c r="BN31" s="1683"/>
      <c r="BO31" s="1684"/>
      <c r="BP31" s="1710" t="str">
        <f t="shared" si="0"/>
        <v>x</v>
      </c>
      <c r="BQ31" s="1705" t="s">
        <v>4033</v>
      </c>
      <c r="BR31" s="1706"/>
      <c r="BS31" s="1706"/>
      <c r="BT31" s="1707"/>
      <c r="BU31" s="1705" t="s">
        <v>4033</v>
      </c>
      <c r="BV31" s="1706"/>
      <c r="BW31" s="1706"/>
      <c r="BX31" s="1707"/>
      <c r="BY31" s="1705" t="s">
        <v>4033</v>
      </c>
      <c r="BZ31" s="1706"/>
      <c r="CA31" s="1706"/>
      <c r="CB31" s="1707"/>
      <c r="CC31" s="1705" t="s">
        <v>4033</v>
      </c>
      <c r="CD31" s="1706"/>
      <c r="CE31" s="1706"/>
      <c r="CF31" s="1707"/>
    </row>
    <row r="32" spans="1:84" s="533" customFormat="1" ht="15" customHeight="1" x14ac:dyDescent="0.25">
      <c r="A32" s="1675"/>
      <c r="B32" s="1676"/>
      <c r="C32" s="1676"/>
      <c r="D32" s="1677"/>
      <c r="E32" s="1675"/>
      <c r="F32" s="1676"/>
      <c r="G32" s="1676"/>
      <c r="H32" s="1677"/>
      <c r="I32" s="1722"/>
      <c r="J32" s="1675"/>
      <c r="K32" s="1676"/>
      <c r="L32" s="1676"/>
      <c r="M32" s="1677"/>
      <c r="O32" s="1708"/>
      <c r="P32" s="1676"/>
      <c r="Q32" s="1676"/>
      <c r="R32" s="1677"/>
      <c r="S32" s="1708"/>
      <c r="T32" s="1676"/>
      <c r="U32" s="1676"/>
      <c r="V32" s="1677"/>
      <c r="W32" s="1708"/>
      <c r="X32" s="1676"/>
      <c r="Y32" s="1676"/>
      <c r="Z32" s="1677"/>
      <c r="AA32" s="1708"/>
      <c r="AB32" s="1676"/>
      <c r="AC32" s="1676"/>
      <c r="AD32" s="1677"/>
      <c r="AE32" s="1708"/>
      <c r="AF32" s="1676"/>
      <c r="AG32" s="1676"/>
      <c r="AH32" s="1677"/>
      <c r="AI32" s="1708"/>
      <c r="AJ32" s="1676"/>
      <c r="AK32" s="1676"/>
      <c r="AL32" s="1677"/>
      <c r="AM32" s="1708"/>
      <c r="AN32" s="1676"/>
      <c r="AO32" s="1676"/>
      <c r="AP32" s="1677"/>
      <c r="AQ32" s="1708"/>
      <c r="AR32" s="1676"/>
      <c r="AS32" s="1676"/>
      <c r="AT32" s="1677"/>
      <c r="AU32" s="1708"/>
      <c r="AV32" s="1676"/>
      <c r="AW32" s="1676"/>
      <c r="AX32" s="1677"/>
      <c r="AY32" s="1708"/>
      <c r="AZ32" s="1676"/>
      <c r="BA32" s="1676"/>
      <c r="BB32" s="1677"/>
      <c r="BC32" s="1709"/>
      <c r="BD32" s="1682" t="s">
        <v>2173</v>
      </c>
      <c r="BE32" s="1683"/>
      <c r="BF32" s="1683"/>
      <c r="BG32" s="1684"/>
      <c r="BH32" s="1682" t="s">
        <v>2174</v>
      </c>
      <c r="BI32" s="1683"/>
      <c r="BJ32" s="1683"/>
      <c r="BK32" s="1684"/>
      <c r="BL32" s="1682" t="s">
        <v>2175</v>
      </c>
      <c r="BM32" s="1683"/>
      <c r="BN32" s="1683"/>
      <c r="BO32" s="1683"/>
      <c r="BP32" s="1716"/>
      <c r="BQ32" s="1708"/>
      <c r="BR32" s="1676"/>
      <c r="BS32" s="1676"/>
      <c r="BT32" s="1677"/>
      <c r="BU32" s="1708"/>
      <c r="BV32" s="1676"/>
      <c r="BW32" s="1676"/>
      <c r="BX32" s="1677"/>
      <c r="BY32" s="1708"/>
      <c r="BZ32" s="1676"/>
      <c r="CA32" s="1676"/>
      <c r="CB32" s="1677"/>
      <c r="CC32" s="1708"/>
      <c r="CD32" s="1676"/>
      <c r="CE32" s="1676"/>
      <c r="CF32" s="1677"/>
    </row>
    <row r="33" spans="1:84" s="542" customFormat="1" ht="256.5" customHeight="1" x14ac:dyDescent="0.25">
      <c r="A33" s="1293" t="s">
        <v>4061</v>
      </c>
      <c r="B33" s="1294" t="s">
        <v>432</v>
      </c>
      <c r="C33" s="229" t="s">
        <v>5066</v>
      </c>
      <c r="D33" s="678" t="str">
        <f>M33</f>
        <v>F tc en
(n.º)</v>
      </c>
      <c r="E33" s="167" t="s">
        <v>432</v>
      </c>
      <c r="F33" s="167" t="s">
        <v>4340</v>
      </c>
      <c r="G33" s="57" t="s">
        <v>2409</v>
      </c>
      <c r="H33" s="616"/>
      <c r="I33" s="619" t="s">
        <v>2176</v>
      </c>
      <c r="J33" s="11" t="s">
        <v>2176</v>
      </c>
      <c r="K33" s="11" t="s">
        <v>2176</v>
      </c>
      <c r="L33" s="11" t="s">
        <v>2176</v>
      </c>
      <c r="M33" s="685" t="s">
        <v>2137</v>
      </c>
      <c r="N33" s="533"/>
      <c r="O33" s="588" t="s">
        <v>2137</v>
      </c>
      <c r="P33" s="530" t="s">
        <v>1371</v>
      </c>
      <c r="Q33" s="167" t="s">
        <v>3374</v>
      </c>
      <c r="R33" s="575" t="s">
        <v>77</v>
      </c>
      <c r="S33" s="692" t="s">
        <v>2137</v>
      </c>
      <c r="T33" s="654" t="s">
        <v>1266</v>
      </c>
      <c r="U33" s="167" t="s">
        <v>2616</v>
      </c>
      <c r="V33" s="575" t="s">
        <v>2484</v>
      </c>
      <c r="W33" s="692" t="s">
        <v>2137</v>
      </c>
      <c r="X33" s="530" t="s">
        <v>2056</v>
      </c>
      <c r="Y33" s="167" t="s">
        <v>2618</v>
      </c>
      <c r="Z33" s="575" t="s">
        <v>2236</v>
      </c>
      <c r="AA33" s="569"/>
      <c r="AB33" s="445"/>
      <c r="AC33" s="11"/>
      <c r="AD33" s="570"/>
      <c r="AE33" s="674" t="str">
        <f>M33</f>
        <v>F tc en
(n.º)</v>
      </c>
      <c r="AF33" s="529" t="str">
        <f>$AE$4</f>
        <v>RMBH metropolitano</v>
      </c>
      <c r="AG33" s="167" t="s">
        <v>5058</v>
      </c>
      <c r="AH33" s="564" t="s">
        <v>2236</v>
      </c>
      <c r="AI33" s="674" t="s">
        <v>3948</v>
      </c>
      <c r="AJ33" s="167" t="s">
        <v>1705</v>
      </c>
      <c r="AK33" s="167" t="s">
        <v>4100</v>
      </c>
      <c r="AL33" s="564" t="s">
        <v>4101</v>
      </c>
      <c r="AM33" s="674" t="s">
        <v>3949</v>
      </c>
      <c r="AN33" s="167" t="s">
        <v>1705</v>
      </c>
      <c r="AO33" s="167" t="s">
        <v>3950</v>
      </c>
      <c r="AP33" s="564" t="s">
        <v>77</v>
      </c>
      <c r="AQ33" s="692" t="s">
        <v>2137</v>
      </c>
      <c r="AR33" s="57" t="s">
        <v>1705</v>
      </c>
      <c r="AS33" s="167" t="s">
        <v>3956</v>
      </c>
      <c r="AT33" s="564" t="s">
        <v>3951</v>
      </c>
      <c r="AU33" s="695" t="s">
        <v>2137</v>
      </c>
      <c r="AV33" s="445" t="s">
        <v>2004</v>
      </c>
      <c r="AW33" s="544" t="s">
        <v>2172</v>
      </c>
      <c r="AX33" s="764" t="s">
        <v>2148</v>
      </c>
      <c r="AY33" s="808" t="str">
        <f>AU33</f>
        <v>F tc en
(n.º)</v>
      </c>
      <c r="AZ33" s="765" t="str">
        <f>AZ13</f>
        <v>outras cidades/regiões do Brasil</v>
      </c>
      <c r="BA33" s="102" t="s">
        <v>2463</v>
      </c>
      <c r="BB33" s="809" t="s">
        <v>744</v>
      </c>
      <c r="BC33" s="704" t="str">
        <f>M33</f>
        <v>F tc en
(n.º)</v>
      </c>
      <c r="BD33" s="674" t="s">
        <v>2183</v>
      </c>
      <c r="BE33" s="455" t="s">
        <v>1306</v>
      </c>
      <c r="BF33" s="167" t="s">
        <v>3315</v>
      </c>
      <c r="BG33" s="571" t="s">
        <v>2462</v>
      </c>
      <c r="BH33" s="674" t="s">
        <v>2185</v>
      </c>
      <c r="BI33" s="455" t="s">
        <v>1306</v>
      </c>
      <c r="BJ33" s="167" t="s">
        <v>2620</v>
      </c>
      <c r="BK33" s="575" t="s">
        <v>77</v>
      </c>
      <c r="BL33" s="674" t="s">
        <v>2137</v>
      </c>
      <c r="BM33" s="455" t="s">
        <v>1306</v>
      </c>
      <c r="BN33" s="167" t="s">
        <v>2622</v>
      </c>
      <c r="BO33" s="807" t="s">
        <v>4097</v>
      </c>
      <c r="BP33" s="709" t="str">
        <f t="shared" si="0"/>
        <v>F tc en
(n.º)</v>
      </c>
      <c r="BQ33" s="607"/>
      <c r="BR33" s="608"/>
      <c r="BS33" s="608"/>
      <c r="BT33" s="609"/>
      <c r="BU33" s="712"/>
      <c r="BV33" s="445" t="s">
        <v>1770</v>
      </c>
      <c r="BW33" s="540" t="s">
        <v>1998</v>
      </c>
      <c r="BX33" s="593" t="s">
        <v>1998</v>
      </c>
      <c r="BY33" s="695" t="s">
        <v>2137</v>
      </c>
      <c r="BZ33" s="445" t="s">
        <v>2369</v>
      </c>
      <c r="CA33" s="11"/>
      <c r="CB33" s="570" t="s">
        <v>2439</v>
      </c>
      <c r="CC33" s="712"/>
      <c r="CD33" s="445" t="s">
        <v>1987</v>
      </c>
      <c r="CE33" s="540" t="s">
        <v>1998</v>
      </c>
      <c r="CF33" s="593" t="s">
        <v>1998</v>
      </c>
    </row>
    <row r="34" spans="1:84" ht="183.75" customHeight="1" x14ac:dyDescent="0.25">
      <c r="A34" s="535"/>
      <c r="B34" s="535"/>
      <c r="C34" s="535" t="s">
        <v>4091</v>
      </c>
      <c r="D34" s="1261" t="str">
        <f>M34</f>
        <v>F tc en
(%)</v>
      </c>
      <c r="E34" s="167" t="s">
        <v>432</v>
      </c>
      <c r="F34" s="167" t="s">
        <v>4341</v>
      </c>
      <c r="G34" s="57" t="s">
        <v>2409</v>
      </c>
      <c r="H34" s="616"/>
      <c r="I34" s="619" t="s">
        <v>2176</v>
      </c>
      <c r="J34" s="11" t="s">
        <v>2176</v>
      </c>
      <c r="K34" s="11" t="s">
        <v>2176</v>
      </c>
      <c r="L34" s="11" t="s">
        <v>2176</v>
      </c>
      <c r="M34" s="685" t="s">
        <v>2114</v>
      </c>
      <c r="O34" s="572" t="s">
        <v>2115</v>
      </c>
      <c r="P34" s="530" t="s">
        <v>1371</v>
      </c>
      <c r="Q34" s="167" t="s">
        <v>2615</v>
      </c>
      <c r="R34" s="575" t="s">
        <v>2205</v>
      </c>
      <c r="S34" s="692" t="s">
        <v>2114</v>
      </c>
      <c r="T34" s="654" t="s">
        <v>1266</v>
      </c>
      <c r="U34" s="167" t="s">
        <v>2617</v>
      </c>
      <c r="V34" s="575" t="s">
        <v>2483</v>
      </c>
      <c r="W34" s="692" t="s">
        <v>2114</v>
      </c>
      <c r="X34" s="530" t="s">
        <v>2056</v>
      </c>
      <c r="Y34" s="167" t="s">
        <v>2619</v>
      </c>
      <c r="Z34" s="575" t="s">
        <v>2464</v>
      </c>
      <c r="AA34" s="569"/>
      <c r="AB34" s="445"/>
      <c r="AC34" s="11"/>
      <c r="AD34" s="570"/>
      <c r="AE34" s="674" t="str">
        <f>M34</f>
        <v>F tc en
(%)</v>
      </c>
      <c r="AF34" s="529" t="str">
        <f>$AE$4</f>
        <v>RMBH metropolitano</v>
      </c>
      <c r="AG34" s="167" t="s">
        <v>5059</v>
      </c>
      <c r="AH34" s="564" t="s">
        <v>2464</v>
      </c>
      <c r="AI34" s="674" t="s">
        <v>3952</v>
      </c>
      <c r="AJ34" s="167" t="s">
        <v>1705</v>
      </c>
      <c r="AK34" s="167" t="s">
        <v>3953</v>
      </c>
      <c r="AL34" s="564" t="s">
        <v>3959</v>
      </c>
      <c r="AM34" s="674" t="s">
        <v>3954</v>
      </c>
      <c r="AN34" s="167" t="s">
        <v>1705</v>
      </c>
      <c r="AO34" s="167" t="s">
        <v>3955</v>
      </c>
      <c r="AP34" s="564" t="s">
        <v>3958</v>
      </c>
      <c r="AQ34" s="692" t="s">
        <v>2114</v>
      </c>
      <c r="AR34" s="57" t="s">
        <v>1705</v>
      </c>
      <c r="AS34" s="167" t="s">
        <v>3957</v>
      </c>
      <c r="AT34" s="564" t="s">
        <v>2464</v>
      </c>
      <c r="AU34" s="695" t="s">
        <v>2114</v>
      </c>
      <c r="AV34" s="445" t="s">
        <v>2004</v>
      </c>
      <c r="AW34" s="544" t="s">
        <v>2172</v>
      </c>
      <c r="AX34" s="764" t="s">
        <v>2148</v>
      </c>
      <c r="AY34" s="810"/>
      <c r="AZ34" s="765" t="str">
        <f>AZ13</f>
        <v>outras cidades/regiões do Brasil</v>
      </c>
      <c r="BA34" s="541"/>
      <c r="BB34" s="722"/>
      <c r="BC34" s="704" t="str">
        <f>$M$34</f>
        <v>F tc en
(%)</v>
      </c>
      <c r="BD34" s="674" t="s">
        <v>2184</v>
      </c>
      <c r="BE34" s="455" t="s">
        <v>1306</v>
      </c>
      <c r="BF34" s="167" t="s">
        <v>3306</v>
      </c>
      <c r="BG34" s="564" t="s">
        <v>2051</v>
      </c>
      <c r="BH34" s="674" t="s">
        <v>2186</v>
      </c>
      <c r="BI34" s="455" t="s">
        <v>1306</v>
      </c>
      <c r="BJ34" s="167" t="s">
        <v>2621</v>
      </c>
      <c r="BK34" s="575" t="s">
        <v>2187</v>
      </c>
      <c r="BL34" s="674" t="s">
        <v>2114</v>
      </c>
      <c r="BM34" s="455" t="s">
        <v>1306</v>
      </c>
      <c r="BN34" s="167" t="s">
        <v>2623</v>
      </c>
      <c r="BO34" s="807" t="s">
        <v>4098</v>
      </c>
      <c r="BP34" s="709" t="str">
        <f t="shared" si="0"/>
        <v>F tc en
(%)</v>
      </c>
      <c r="BQ34" s="607"/>
      <c r="BR34" s="608"/>
      <c r="BS34" s="608"/>
      <c r="BT34" s="609"/>
      <c r="BU34" s="712"/>
      <c r="BV34" s="445" t="s">
        <v>1770</v>
      </c>
      <c r="BW34" s="540" t="s">
        <v>1998</v>
      </c>
      <c r="BX34" s="593" t="s">
        <v>1998</v>
      </c>
      <c r="BY34" s="712"/>
      <c r="BZ34" s="445" t="s">
        <v>2369</v>
      </c>
      <c r="CA34" s="11" t="s">
        <v>2176</v>
      </c>
      <c r="CB34" s="570" t="s">
        <v>2176</v>
      </c>
      <c r="CC34" s="712"/>
      <c r="CD34" s="445" t="s">
        <v>1987</v>
      </c>
      <c r="CE34" s="540" t="s">
        <v>1998</v>
      </c>
      <c r="CF34" s="593" t="s">
        <v>1998</v>
      </c>
    </row>
    <row r="35" spans="1:84" s="533" customFormat="1" ht="15" x14ac:dyDescent="0.25">
      <c r="D35" s="1725" t="s">
        <v>432</v>
      </c>
      <c r="E35" s="1683" t="s">
        <v>3171</v>
      </c>
      <c r="F35" s="1683"/>
      <c r="G35" s="1683"/>
      <c r="H35" s="1683"/>
      <c r="I35" s="1721" t="s">
        <v>432</v>
      </c>
      <c r="J35" s="1720" t="str">
        <f>E35</f>
        <v>piso baixo</v>
      </c>
      <c r="K35" s="1706"/>
      <c r="L35" s="1706"/>
      <c r="M35" s="1707"/>
      <c r="N35" s="557"/>
      <c r="O35" s="1705" t="str">
        <f>J35</f>
        <v>piso baixo</v>
      </c>
      <c r="P35" s="1706"/>
      <c r="Q35" s="1706"/>
      <c r="R35" s="1707"/>
      <c r="S35" s="1720" t="str">
        <f>E35</f>
        <v>piso baixo</v>
      </c>
      <c r="T35" s="1706"/>
      <c r="U35" s="1706"/>
      <c r="V35" s="1707"/>
      <c r="W35" s="1705" t="str">
        <f>E35</f>
        <v>piso baixo</v>
      </c>
      <c r="X35" s="1706"/>
      <c r="Y35" s="1706"/>
      <c r="Z35" s="1707"/>
      <c r="AA35" s="1705" t="str">
        <f>E35</f>
        <v>piso baixo</v>
      </c>
      <c r="AB35" s="1706"/>
      <c r="AC35" s="1706"/>
      <c r="AD35" s="1707"/>
      <c r="AE35" s="1705" t="str">
        <f>E35</f>
        <v>piso baixo</v>
      </c>
      <c r="AF35" s="1706"/>
      <c r="AG35" s="1706"/>
      <c r="AH35" s="1707"/>
      <c r="AI35" s="1705" t="s">
        <v>3933</v>
      </c>
      <c r="AJ35" s="1706"/>
      <c r="AK35" s="1706"/>
      <c r="AL35" s="1707"/>
      <c r="AM35" s="1705" t="s">
        <v>3934</v>
      </c>
      <c r="AN35" s="1706"/>
      <c r="AO35" s="1706"/>
      <c r="AP35" s="1707"/>
      <c r="AQ35" s="1705" t="s">
        <v>3935</v>
      </c>
      <c r="AR35" s="1706"/>
      <c r="AS35" s="1706"/>
      <c r="AT35" s="1707"/>
      <c r="AU35" s="1705" t="str">
        <f>E35</f>
        <v>piso baixo</v>
      </c>
      <c r="AV35" s="1706"/>
      <c r="AW35" s="1706"/>
      <c r="AX35" s="1707"/>
      <c r="AY35" s="1705" t="str">
        <f>E35</f>
        <v>piso baixo</v>
      </c>
      <c r="AZ35" s="1706"/>
      <c r="BA35" s="1706"/>
      <c r="BB35" s="1707"/>
      <c r="BC35" s="1680" t="s">
        <v>432</v>
      </c>
      <c r="BD35" s="1682" t="str">
        <f>E35</f>
        <v>piso baixo</v>
      </c>
      <c r="BE35" s="1683"/>
      <c r="BF35" s="1683"/>
      <c r="BG35" s="1684"/>
      <c r="BH35" s="1682" t="str">
        <f>E35</f>
        <v>piso baixo</v>
      </c>
      <c r="BI35" s="1683"/>
      <c r="BJ35" s="1683"/>
      <c r="BK35" s="1684"/>
      <c r="BL35" s="1682" t="str">
        <f>E35</f>
        <v>piso baixo</v>
      </c>
      <c r="BM35" s="1683"/>
      <c r="BN35" s="1683"/>
      <c r="BO35" s="1683"/>
      <c r="BP35" s="1710" t="str">
        <f>BC35</f>
        <v>x</v>
      </c>
      <c r="BQ35" s="610"/>
      <c r="BR35" s="413"/>
      <c r="BS35" s="413"/>
      <c r="BT35" s="611"/>
      <c r="BU35" s="1705" t="str">
        <f>E35</f>
        <v>piso baixo</v>
      </c>
      <c r="BV35" s="1706"/>
      <c r="BW35" s="1706"/>
      <c r="BX35" s="1707"/>
      <c r="BY35" s="1705" t="str">
        <f>E35</f>
        <v>piso baixo</v>
      </c>
      <c r="BZ35" s="1706"/>
      <c r="CA35" s="1706"/>
      <c r="CB35" s="1707"/>
      <c r="CC35" s="1705" t="str">
        <f>E35</f>
        <v>piso baixo</v>
      </c>
      <c r="CD35" s="1706"/>
      <c r="CE35" s="1706"/>
      <c r="CF35" s="1707"/>
    </row>
    <row r="36" spans="1:84" s="533" customFormat="1" ht="15.75" customHeight="1" x14ac:dyDescent="0.25">
      <c r="D36" s="1726"/>
      <c r="E36" s="1683"/>
      <c r="F36" s="1683"/>
      <c r="G36" s="1683"/>
      <c r="H36" s="1683"/>
      <c r="I36" s="1722"/>
      <c r="J36" s="1675"/>
      <c r="K36" s="1676"/>
      <c r="L36" s="1676"/>
      <c r="M36" s="1677"/>
      <c r="N36" s="556"/>
      <c r="O36" s="1708"/>
      <c r="P36" s="1676"/>
      <c r="Q36" s="1676"/>
      <c r="R36" s="1677"/>
      <c r="S36" s="1675"/>
      <c r="T36" s="1676"/>
      <c r="U36" s="1676"/>
      <c r="V36" s="1677"/>
      <c r="W36" s="1708"/>
      <c r="X36" s="1676"/>
      <c r="Y36" s="1676"/>
      <c r="Z36" s="1677"/>
      <c r="AA36" s="1708"/>
      <c r="AB36" s="1676"/>
      <c r="AC36" s="1676"/>
      <c r="AD36" s="1677"/>
      <c r="AE36" s="1708"/>
      <c r="AF36" s="1676"/>
      <c r="AG36" s="1676"/>
      <c r="AH36" s="1677"/>
      <c r="AI36" s="1708"/>
      <c r="AJ36" s="1676"/>
      <c r="AK36" s="1676"/>
      <c r="AL36" s="1677"/>
      <c r="AM36" s="1708"/>
      <c r="AN36" s="1676"/>
      <c r="AO36" s="1676"/>
      <c r="AP36" s="1677"/>
      <c r="AQ36" s="1708"/>
      <c r="AR36" s="1676"/>
      <c r="AS36" s="1676"/>
      <c r="AT36" s="1677"/>
      <c r="AU36" s="1708"/>
      <c r="AV36" s="1676"/>
      <c r="AW36" s="1676"/>
      <c r="AX36" s="1677"/>
      <c r="AY36" s="1708"/>
      <c r="AZ36" s="1676"/>
      <c r="BA36" s="1676"/>
      <c r="BB36" s="1677"/>
      <c r="BC36" s="1681"/>
      <c r="BD36" s="1682" t="s">
        <v>2173</v>
      </c>
      <c r="BE36" s="1683"/>
      <c r="BF36" s="1683"/>
      <c r="BG36" s="1684"/>
      <c r="BH36" s="1682" t="s">
        <v>2174</v>
      </c>
      <c r="BI36" s="1683"/>
      <c r="BJ36" s="1683"/>
      <c r="BK36" s="1684"/>
      <c r="BL36" s="1682" t="s">
        <v>2175</v>
      </c>
      <c r="BM36" s="1683"/>
      <c r="BN36" s="1683"/>
      <c r="BO36" s="1683"/>
      <c r="BP36" s="1716"/>
      <c r="BQ36" s="610"/>
      <c r="BR36" s="413"/>
      <c r="BS36" s="413"/>
      <c r="BT36" s="611"/>
      <c r="BU36" s="1708"/>
      <c r="BV36" s="1676"/>
      <c r="BW36" s="1676"/>
      <c r="BX36" s="1677"/>
      <c r="BY36" s="1708"/>
      <c r="BZ36" s="1676"/>
      <c r="CA36" s="1676"/>
      <c r="CB36" s="1677"/>
      <c r="CC36" s="1708"/>
      <c r="CD36" s="1676"/>
      <c r="CE36" s="1676"/>
      <c r="CF36" s="1677"/>
    </row>
    <row r="37" spans="1:84" s="533" customFormat="1" ht="362.25" customHeight="1" x14ac:dyDescent="0.25">
      <c r="A37" s="237" t="s">
        <v>4090</v>
      </c>
      <c r="B37" s="1264" t="s">
        <v>432</v>
      </c>
      <c r="C37" s="167" t="s">
        <v>5067</v>
      </c>
      <c r="D37" s="1298" t="str">
        <f>M37</f>
        <v>F tc pb (n.º)</v>
      </c>
      <c r="E37" s="167" t="s">
        <v>432</v>
      </c>
      <c r="F37" s="167" t="s">
        <v>3375</v>
      </c>
      <c r="G37" s="57" t="s">
        <v>2409</v>
      </c>
      <c r="H37" s="1005"/>
      <c r="I37" s="619" t="s">
        <v>2176</v>
      </c>
      <c r="J37" s="11" t="s">
        <v>2176</v>
      </c>
      <c r="K37" s="11" t="s">
        <v>2176</v>
      </c>
      <c r="L37" s="11" t="s">
        <v>2176</v>
      </c>
      <c r="M37" s="1010" t="s">
        <v>3317</v>
      </c>
      <c r="N37" s="556"/>
      <c r="O37" s="1011" t="str">
        <f>M37</f>
        <v>F tc pb (n.º)</v>
      </c>
      <c r="P37" s="530" t="s">
        <v>1371</v>
      </c>
      <c r="Q37" s="167" t="s">
        <v>3329</v>
      </c>
      <c r="R37" s="1012" t="s">
        <v>77</v>
      </c>
      <c r="S37" s="1011" t="str">
        <f>M37</f>
        <v>F tc pb (n.º)</v>
      </c>
      <c r="T37" s="530" t="s">
        <v>1266</v>
      </c>
      <c r="U37" s="167" t="s">
        <v>3332</v>
      </c>
      <c r="V37" s="1012" t="s">
        <v>77</v>
      </c>
      <c r="W37" s="1011" t="str">
        <f>M37</f>
        <v>F tc pb (n.º)</v>
      </c>
      <c r="X37" s="530" t="str">
        <f>X33</f>
        <v>Joinville</v>
      </c>
      <c r="Y37" s="167" t="s">
        <v>3331</v>
      </c>
      <c r="Z37" s="904" t="s">
        <v>77</v>
      </c>
      <c r="AA37" s="569" t="str">
        <f>M37</f>
        <v>F tc pb (n.º)</v>
      </c>
      <c r="AB37" s="445" t="str">
        <f>AB38</f>
        <v>Porto Alegre</v>
      </c>
      <c r="AC37" s="413"/>
      <c r="AD37" s="1015" t="s">
        <v>3304</v>
      </c>
      <c r="AE37" s="674" t="str">
        <f>AA37</f>
        <v>F tc pb (n.º)</v>
      </c>
      <c r="AF37" s="529" t="str">
        <f>$AE$4</f>
        <v>RMBH metropolitano</v>
      </c>
      <c r="AG37" s="167" t="s">
        <v>5060</v>
      </c>
      <c r="AH37" s="564" t="s">
        <v>77</v>
      </c>
      <c r="AI37" s="674" t="s">
        <v>3960</v>
      </c>
      <c r="AJ37" s="167" t="s">
        <v>1705</v>
      </c>
      <c r="AK37" s="167" t="s">
        <v>3961</v>
      </c>
      <c r="AL37" s="564" t="s">
        <v>77</v>
      </c>
      <c r="AM37" s="674" t="s">
        <v>3963</v>
      </c>
      <c r="AN37" s="167" t="s">
        <v>1705</v>
      </c>
      <c r="AO37" s="167" t="s">
        <v>3962</v>
      </c>
      <c r="AP37" s="564" t="s">
        <v>77</v>
      </c>
      <c r="AQ37" s="692" t="str">
        <f>AE37</f>
        <v>F tc pb (n.º)</v>
      </c>
      <c r="AR37" s="57" t="str">
        <f>AR38</f>
        <v>São Paulo</v>
      </c>
      <c r="AS37" s="167" t="s">
        <v>3964</v>
      </c>
      <c r="AT37" s="168" t="s">
        <v>3965</v>
      </c>
      <c r="AU37" s="413"/>
      <c r="AV37" s="413"/>
      <c r="AW37" s="413"/>
      <c r="AX37" s="413"/>
      <c r="AY37" s="810"/>
      <c r="AZ37" s="765" t="str">
        <f>AZ33</f>
        <v>outras cidades/regiões do Brasil</v>
      </c>
      <c r="BA37" s="541"/>
      <c r="BB37" s="722"/>
      <c r="BC37" s="1393"/>
      <c r="BD37" s="674" t="s">
        <v>3319</v>
      </c>
      <c r="BE37" s="455" t="s">
        <v>1306</v>
      </c>
      <c r="BF37" s="167" t="s">
        <v>3376</v>
      </c>
      <c r="BG37" s="564" t="s">
        <v>3324</v>
      </c>
      <c r="BH37" s="674" t="s">
        <v>3321</v>
      </c>
      <c r="BI37" s="455" t="s">
        <v>1306</v>
      </c>
      <c r="BJ37" s="167" t="s">
        <v>3325</v>
      </c>
      <c r="BK37" s="564" t="s">
        <v>77</v>
      </c>
      <c r="BL37" s="674" t="str">
        <f>M37</f>
        <v>F tc pb (n.º)</v>
      </c>
      <c r="BM37" s="455" t="s">
        <v>1306</v>
      </c>
      <c r="BN37" s="167" t="s">
        <v>3327</v>
      </c>
      <c r="BO37" s="564" t="s">
        <v>77</v>
      </c>
      <c r="BP37" s="1006"/>
      <c r="BQ37" s="610"/>
      <c r="BR37" s="546" t="str">
        <f>BR38</f>
        <v>Bogotá</v>
      </c>
      <c r="BS37" s="413"/>
      <c r="BT37" s="611"/>
      <c r="BU37" s="1043"/>
      <c r="BV37" s="546" t="str">
        <f>BV38</f>
        <v>Nova York</v>
      </c>
      <c r="BW37" s="1044"/>
      <c r="BX37" s="1044"/>
      <c r="BY37" s="610" t="str">
        <f>M37</f>
        <v>F tc pb (n.º)</v>
      </c>
      <c r="BZ37" s="445" t="str">
        <f>BZ38</f>
        <v>Outras cidades/regiões fora do Brasil</v>
      </c>
      <c r="CA37" s="11" t="s">
        <v>2176</v>
      </c>
      <c r="CB37" s="570" t="s">
        <v>2176</v>
      </c>
      <c r="CC37" s="1044"/>
      <c r="CD37" s="1044"/>
      <c r="CE37" s="1044"/>
      <c r="CF37" s="1045"/>
    </row>
    <row r="38" spans="1:84" ht="146.25" customHeight="1" x14ac:dyDescent="0.25">
      <c r="A38" s="535"/>
      <c r="B38" s="535"/>
      <c r="C38" s="535" t="s">
        <v>4091</v>
      </c>
      <c r="D38" s="1298" t="str">
        <f>M38</f>
        <v>F tc pb (%)</v>
      </c>
      <c r="E38" s="167" t="s">
        <v>432</v>
      </c>
      <c r="F38" s="167" t="s">
        <v>3300</v>
      </c>
      <c r="G38" s="57" t="s">
        <v>2409</v>
      </c>
      <c r="H38" s="616"/>
      <c r="I38" s="619" t="s">
        <v>2176</v>
      </c>
      <c r="J38" s="11" t="s">
        <v>2176</v>
      </c>
      <c r="K38" s="11" t="s">
        <v>2176</v>
      </c>
      <c r="L38" s="11" t="s">
        <v>2176</v>
      </c>
      <c r="M38" s="1010" t="s">
        <v>3301</v>
      </c>
      <c r="O38" s="1011" t="str">
        <f>M38</f>
        <v>F tc pb (%)</v>
      </c>
      <c r="P38" s="530" t="s">
        <v>1371</v>
      </c>
      <c r="Q38" s="167" t="s">
        <v>3328</v>
      </c>
      <c r="R38" s="1012" t="s">
        <v>77</v>
      </c>
      <c r="S38" s="1011" t="str">
        <f>M38</f>
        <v>F tc pb (%)</v>
      </c>
      <c r="T38" s="530" t="s">
        <v>1266</v>
      </c>
      <c r="U38" s="167" t="s">
        <v>3330</v>
      </c>
      <c r="V38" s="1012" t="s">
        <v>3316</v>
      </c>
      <c r="W38" s="1011" t="str">
        <f>M38</f>
        <v>F tc pb (%)</v>
      </c>
      <c r="X38" s="530" t="str">
        <f>X34</f>
        <v>Joinville</v>
      </c>
      <c r="Y38" s="167" t="s">
        <v>3302</v>
      </c>
      <c r="Z38" s="1012" t="s">
        <v>3316</v>
      </c>
      <c r="AA38" s="569" t="str">
        <f>M38</f>
        <v>F tc pb (%)</v>
      </c>
      <c r="AB38" s="445" t="str">
        <f>AB23</f>
        <v>Porto Alegre</v>
      </c>
      <c r="AC38" s="11" t="s">
        <v>3303</v>
      </c>
      <c r="AD38" s="827" t="s">
        <v>3316</v>
      </c>
      <c r="AE38" s="674" t="str">
        <f>AA38</f>
        <v>F tc pb (%)</v>
      </c>
      <c r="AF38" s="529" t="str">
        <f>$AE$4</f>
        <v>RMBH metropolitano</v>
      </c>
      <c r="AG38" s="167" t="s">
        <v>5061</v>
      </c>
      <c r="AH38" s="564" t="s">
        <v>3316</v>
      </c>
      <c r="AI38" s="674" t="s">
        <v>3966</v>
      </c>
      <c r="AJ38" s="167" t="s">
        <v>1705</v>
      </c>
      <c r="AK38" s="167" t="s">
        <v>3967</v>
      </c>
      <c r="AL38" s="564" t="s">
        <v>3968</v>
      </c>
      <c r="AM38" s="674" t="s">
        <v>3969</v>
      </c>
      <c r="AN38" s="167" t="s">
        <v>1705</v>
      </c>
      <c r="AO38" s="167" t="s">
        <v>3970</v>
      </c>
      <c r="AP38" s="564" t="s">
        <v>3971</v>
      </c>
      <c r="AQ38" s="692" t="str">
        <f>AE38</f>
        <v>F tc pb (%)</v>
      </c>
      <c r="AR38" s="57" t="str">
        <f>AR41</f>
        <v>São Paulo</v>
      </c>
      <c r="AS38" s="167" t="s">
        <v>3972</v>
      </c>
      <c r="AT38" s="564" t="s">
        <v>3973</v>
      </c>
      <c r="AU38" s="695" t="str">
        <f>AQ38</f>
        <v>F tc pb (%)</v>
      </c>
      <c r="AV38" s="445" t="str">
        <f>AV41</f>
        <v>Vitória, Grande</v>
      </c>
      <c r="AW38" s="544"/>
      <c r="AX38" s="586"/>
      <c r="AY38" s="810"/>
      <c r="AZ38" s="765" t="str">
        <f>AZ34</f>
        <v>outras cidades/regiões do Brasil</v>
      </c>
      <c r="BA38" s="541"/>
      <c r="BB38" s="722"/>
      <c r="BC38" s="1013"/>
      <c r="BD38" s="674" t="s">
        <v>3320</v>
      </c>
      <c r="BE38" s="455" t="s">
        <v>1306</v>
      </c>
      <c r="BF38" s="167" t="s">
        <v>3305</v>
      </c>
      <c r="BG38" s="564" t="s">
        <v>3323</v>
      </c>
      <c r="BH38" s="674" t="s">
        <v>3322</v>
      </c>
      <c r="BI38" s="455" t="s">
        <v>1306</v>
      </c>
      <c r="BJ38" s="167" t="s">
        <v>3318</v>
      </c>
      <c r="BK38" s="564" t="s">
        <v>3316</v>
      </c>
      <c r="BL38" s="674" t="str">
        <f>M38</f>
        <v>F tc pb (%)</v>
      </c>
      <c r="BM38" s="455" t="s">
        <v>1306</v>
      </c>
      <c r="BN38" s="167" t="s">
        <v>5981</v>
      </c>
      <c r="BO38" s="564" t="s">
        <v>3316</v>
      </c>
      <c r="BP38" s="1014"/>
      <c r="BQ38" s="607"/>
      <c r="BR38" s="445" t="str">
        <f>BR5</f>
        <v>Bogotá</v>
      </c>
      <c r="BS38" s="608"/>
      <c r="BT38" s="609"/>
      <c r="BU38" s="675"/>
      <c r="BV38" s="445" t="s">
        <v>1770</v>
      </c>
      <c r="BW38" s="540" t="s">
        <v>1998</v>
      </c>
      <c r="BX38" s="1046" t="s">
        <v>1998</v>
      </c>
      <c r="BY38" s="610" t="str">
        <f>M38</f>
        <v>F tc pb (%)</v>
      </c>
      <c r="BZ38" s="445" t="s">
        <v>2369</v>
      </c>
      <c r="CA38" s="11" t="s">
        <v>2176</v>
      </c>
      <c r="CB38" s="570" t="s">
        <v>2176</v>
      </c>
      <c r="CC38" s="1047"/>
      <c r="CD38" s="445" t="s">
        <v>1987</v>
      </c>
      <c r="CE38" s="540" t="s">
        <v>1998</v>
      </c>
      <c r="CF38" s="593" t="s">
        <v>1998</v>
      </c>
    </row>
    <row r="39" spans="1:84" s="533" customFormat="1" ht="15" x14ac:dyDescent="0.25">
      <c r="D39" s="1725" t="s">
        <v>432</v>
      </c>
      <c r="E39" s="1683" t="s">
        <v>2135</v>
      </c>
      <c r="F39" s="1683"/>
      <c r="G39" s="1683"/>
      <c r="H39" s="1683"/>
      <c r="I39" s="1721" t="s">
        <v>432</v>
      </c>
      <c r="J39" s="1720" t="s">
        <v>2135</v>
      </c>
      <c r="K39" s="1706"/>
      <c r="L39" s="1706"/>
      <c r="M39" s="1707"/>
      <c r="N39" s="557"/>
      <c r="O39" s="1705" t="s">
        <v>2135</v>
      </c>
      <c r="P39" s="1706"/>
      <c r="Q39" s="1706"/>
      <c r="R39" s="1707"/>
      <c r="S39" s="1705" t="s">
        <v>2135</v>
      </c>
      <c r="T39" s="1706"/>
      <c r="U39" s="1706"/>
      <c r="V39" s="1707"/>
      <c r="W39" s="1705" t="s">
        <v>2135</v>
      </c>
      <c r="X39" s="1706"/>
      <c r="Y39" s="1706"/>
      <c r="Z39" s="1707"/>
      <c r="AA39" s="1705" t="s">
        <v>2135</v>
      </c>
      <c r="AB39" s="1706"/>
      <c r="AC39" s="1706"/>
      <c r="AD39" s="1707"/>
      <c r="AE39" s="1705" t="s">
        <v>2135</v>
      </c>
      <c r="AF39" s="1706"/>
      <c r="AG39" s="1706"/>
      <c r="AH39" s="1707"/>
      <c r="AI39" s="1705" t="s">
        <v>2135</v>
      </c>
      <c r="AJ39" s="1706"/>
      <c r="AK39" s="1706"/>
      <c r="AL39" s="1707"/>
      <c r="AM39" s="1705" t="s">
        <v>2135</v>
      </c>
      <c r="AN39" s="1706"/>
      <c r="AO39" s="1706"/>
      <c r="AP39" s="1707"/>
      <c r="AQ39" s="1705" t="s">
        <v>2135</v>
      </c>
      <c r="AR39" s="1706"/>
      <c r="AS39" s="1706"/>
      <c r="AT39" s="1707"/>
      <c r="AU39" s="1705" t="s">
        <v>2135</v>
      </c>
      <c r="AV39" s="1706"/>
      <c r="AW39" s="1706"/>
      <c r="AX39" s="1707"/>
      <c r="AY39" s="1705" t="s">
        <v>2135</v>
      </c>
      <c r="AZ39" s="1706"/>
      <c r="BA39" s="1706"/>
      <c r="BB39" s="1707"/>
      <c r="BC39" s="1680" t="s">
        <v>432</v>
      </c>
      <c r="BD39" s="1682" t="s">
        <v>2135</v>
      </c>
      <c r="BE39" s="1683"/>
      <c r="BF39" s="1683"/>
      <c r="BG39" s="1684"/>
      <c r="BH39" s="1682" t="s">
        <v>2135</v>
      </c>
      <c r="BI39" s="1683"/>
      <c r="BJ39" s="1683"/>
      <c r="BK39" s="1684"/>
      <c r="BL39" s="1682" t="s">
        <v>2135</v>
      </c>
      <c r="BM39" s="1683"/>
      <c r="BN39" s="1683"/>
      <c r="BO39" s="1683"/>
      <c r="BP39" s="1710" t="str">
        <f t="shared" si="0"/>
        <v>x</v>
      </c>
      <c r="BQ39" s="610"/>
      <c r="BR39" s="413"/>
      <c r="BS39" s="413"/>
      <c r="BT39" s="611"/>
      <c r="BU39" s="1705" t="s">
        <v>2135</v>
      </c>
      <c r="BV39" s="1706"/>
      <c r="BW39" s="1706"/>
      <c r="BX39" s="1707"/>
      <c r="BY39" s="1705" t="s">
        <v>2135</v>
      </c>
      <c r="BZ39" s="1706"/>
      <c r="CA39" s="1706"/>
      <c r="CB39" s="1707"/>
      <c r="CC39" s="1705" t="s">
        <v>2135</v>
      </c>
      <c r="CD39" s="1706"/>
      <c r="CE39" s="1706"/>
      <c r="CF39" s="1707"/>
    </row>
    <row r="40" spans="1:84" s="533" customFormat="1" ht="15.75" customHeight="1" x14ac:dyDescent="0.25">
      <c r="D40" s="1726"/>
      <c r="E40" s="1683"/>
      <c r="F40" s="1683"/>
      <c r="G40" s="1683"/>
      <c r="H40" s="1683"/>
      <c r="I40" s="1722"/>
      <c r="J40" s="1675"/>
      <c r="K40" s="1676"/>
      <c r="L40" s="1676"/>
      <c r="M40" s="1677"/>
      <c r="N40" s="556"/>
      <c r="O40" s="1708"/>
      <c r="P40" s="1676"/>
      <c r="Q40" s="1676"/>
      <c r="R40" s="1677"/>
      <c r="S40" s="1708"/>
      <c r="T40" s="1676"/>
      <c r="U40" s="1676"/>
      <c r="V40" s="1677"/>
      <c r="W40" s="1708"/>
      <c r="X40" s="1676"/>
      <c r="Y40" s="1676"/>
      <c r="Z40" s="1677"/>
      <c r="AA40" s="1708"/>
      <c r="AB40" s="1676"/>
      <c r="AC40" s="1676"/>
      <c r="AD40" s="1677"/>
      <c r="AE40" s="1708"/>
      <c r="AF40" s="1676"/>
      <c r="AG40" s="1676"/>
      <c r="AH40" s="1677"/>
      <c r="AI40" s="1708"/>
      <c r="AJ40" s="1676"/>
      <c r="AK40" s="1676"/>
      <c r="AL40" s="1677"/>
      <c r="AM40" s="1708"/>
      <c r="AN40" s="1676"/>
      <c r="AO40" s="1676"/>
      <c r="AP40" s="1677"/>
      <c r="AQ40" s="1708"/>
      <c r="AR40" s="1676"/>
      <c r="AS40" s="1676"/>
      <c r="AT40" s="1677"/>
      <c r="AU40" s="1708"/>
      <c r="AV40" s="1676"/>
      <c r="AW40" s="1676"/>
      <c r="AX40" s="1677"/>
      <c r="AY40" s="1708"/>
      <c r="AZ40" s="1676"/>
      <c r="BA40" s="1676"/>
      <c r="BB40" s="1677"/>
      <c r="BC40" s="1681"/>
      <c r="BD40" s="1682" t="s">
        <v>2173</v>
      </c>
      <c r="BE40" s="1683"/>
      <c r="BF40" s="1683"/>
      <c r="BG40" s="1684"/>
      <c r="BH40" s="1682" t="s">
        <v>2174</v>
      </c>
      <c r="BI40" s="1683"/>
      <c r="BJ40" s="1683"/>
      <c r="BK40" s="1684"/>
      <c r="BL40" s="1682" t="s">
        <v>2175</v>
      </c>
      <c r="BM40" s="1683"/>
      <c r="BN40" s="1683"/>
      <c r="BO40" s="1683"/>
      <c r="BP40" s="1716"/>
      <c r="BQ40" s="610"/>
      <c r="BR40" s="413"/>
      <c r="BS40" s="413"/>
      <c r="BT40" s="611"/>
      <c r="BU40" s="1708"/>
      <c r="BV40" s="1676"/>
      <c r="BW40" s="1676"/>
      <c r="BX40" s="1677"/>
      <c r="BY40" s="1708"/>
      <c r="BZ40" s="1676"/>
      <c r="CA40" s="1676"/>
      <c r="CB40" s="1677"/>
      <c r="CC40" s="1708"/>
      <c r="CD40" s="1676"/>
      <c r="CE40" s="1676"/>
      <c r="CF40" s="1677"/>
    </row>
    <row r="41" spans="1:84" ht="231.75" customHeight="1" x14ac:dyDescent="0.25">
      <c r="A41" s="1153"/>
      <c r="B41" s="1153"/>
      <c r="C41" s="540" t="s">
        <v>2172</v>
      </c>
      <c r="D41" s="1299" t="str">
        <f>M41</f>
        <v>F tes</v>
      </c>
      <c r="E41" s="167" t="s">
        <v>432</v>
      </c>
      <c r="F41" s="167" t="s">
        <v>2387</v>
      </c>
      <c r="G41" s="57" t="s">
        <v>2409</v>
      </c>
      <c r="H41" s="616"/>
      <c r="I41" s="619" t="s">
        <v>2176</v>
      </c>
      <c r="J41" s="11" t="s">
        <v>2176</v>
      </c>
      <c r="K41" s="11" t="s">
        <v>2176</v>
      </c>
      <c r="L41" s="11" t="s">
        <v>2176</v>
      </c>
      <c r="M41" s="686" t="s">
        <v>2133</v>
      </c>
      <c r="O41" s="563" t="s">
        <v>2133</v>
      </c>
      <c r="P41" s="455" t="s">
        <v>1371</v>
      </c>
      <c r="Q41" s="167" t="s">
        <v>2192</v>
      </c>
      <c r="R41" s="575" t="s">
        <v>77</v>
      </c>
      <c r="S41" s="694" t="str">
        <f>M41</f>
        <v>F tes</v>
      </c>
      <c r="T41" s="455" t="s">
        <v>1266</v>
      </c>
      <c r="U41" s="167" t="s">
        <v>2194</v>
      </c>
      <c r="V41" s="564" t="s">
        <v>77</v>
      </c>
      <c r="W41" s="694" t="s">
        <v>2133</v>
      </c>
      <c r="X41" s="455" t="s">
        <v>2056</v>
      </c>
      <c r="Y41" s="167" t="s">
        <v>2195</v>
      </c>
      <c r="Z41" s="589" t="s">
        <v>77</v>
      </c>
      <c r="AA41" s="858"/>
      <c r="AB41" s="869"/>
      <c r="AC41" s="858"/>
      <c r="AD41" s="858"/>
      <c r="AE41" s="776" t="str">
        <f>M41</f>
        <v>F tes</v>
      </c>
      <c r="AF41" s="449" t="str">
        <f>$AE$4</f>
        <v>RMBH metropolitano</v>
      </c>
      <c r="AG41" s="544" t="s">
        <v>2460</v>
      </c>
      <c r="AH41" s="567"/>
      <c r="AI41" s="1216"/>
      <c r="AJ41" s="858"/>
      <c r="AK41" s="858"/>
      <c r="AL41" s="858"/>
      <c r="AM41" s="1216"/>
      <c r="AN41" s="858"/>
      <c r="AO41" s="858"/>
      <c r="AP41" s="858"/>
      <c r="AQ41" s="661" t="s">
        <v>2133</v>
      </c>
      <c r="AR41" s="5" t="s">
        <v>1705</v>
      </c>
      <c r="AS41" s="540" t="s">
        <v>1998</v>
      </c>
      <c r="AT41" s="723"/>
      <c r="AU41" s="661" t="s">
        <v>2133</v>
      </c>
      <c r="AV41" s="445" t="s">
        <v>2004</v>
      </c>
      <c r="AW41" s="540" t="s">
        <v>1998</v>
      </c>
      <c r="AX41" s="593" t="s">
        <v>1998</v>
      </c>
      <c r="AY41" s="810"/>
      <c r="AZ41" s="765" t="str">
        <f>AZ38</f>
        <v>outras cidades/regiões do Brasil</v>
      </c>
      <c r="BA41" s="541"/>
      <c r="BB41" s="722"/>
      <c r="BC41" s="705" t="str">
        <f>M41</f>
        <v>F tes</v>
      </c>
      <c r="BD41" s="675" t="s">
        <v>2176</v>
      </c>
      <c r="BE41" s="445" t="s">
        <v>2176</v>
      </c>
      <c r="BF41" s="11" t="s">
        <v>2176</v>
      </c>
      <c r="BG41" s="570" t="s">
        <v>2176</v>
      </c>
      <c r="BH41" s="698" t="s">
        <v>432</v>
      </c>
      <c r="BI41" s="604" t="s">
        <v>432</v>
      </c>
      <c r="BJ41" s="535" t="s">
        <v>432</v>
      </c>
      <c r="BK41" s="568" t="s">
        <v>432</v>
      </c>
      <c r="BL41" s="659" t="s">
        <v>2133</v>
      </c>
      <c r="BM41" s="455" t="s">
        <v>1306</v>
      </c>
      <c r="BN41" s="167" t="s">
        <v>2576</v>
      </c>
      <c r="BO41" s="532" t="s">
        <v>678</v>
      </c>
      <c r="BP41" s="711" t="str">
        <f t="shared" si="0"/>
        <v>F tes</v>
      </c>
      <c r="BQ41" s="610"/>
      <c r="BR41" s="413"/>
      <c r="BS41" s="413"/>
      <c r="BT41" s="611"/>
      <c r="BU41" s="675"/>
      <c r="BV41" s="445" t="s">
        <v>1770</v>
      </c>
      <c r="BW41" s="540" t="s">
        <v>1998</v>
      </c>
      <c r="BX41" s="593" t="s">
        <v>1998</v>
      </c>
      <c r="BY41" s="675"/>
      <c r="BZ41" s="445" t="s">
        <v>2369</v>
      </c>
      <c r="CA41" s="11" t="s">
        <v>2176</v>
      </c>
      <c r="CB41" s="570" t="s">
        <v>2176</v>
      </c>
      <c r="CC41" s="675"/>
      <c r="CD41" s="445" t="s">
        <v>1987</v>
      </c>
      <c r="CE41" s="540" t="s">
        <v>1998</v>
      </c>
      <c r="CF41" s="593" t="s">
        <v>1998</v>
      </c>
    </row>
    <row r="42" spans="1:84" s="533" customFormat="1" ht="18.75" customHeight="1" x14ac:dyDescent="0.25">
      <c r="D42" s="838" t="s">
        <v>432</v>
      </c>
      <c r="E42" s="1683" t="s">
        <v>2136</v>
      </c>
      <c r="F42" s="1683"/>
      <c r="G42" s="1683"/>
      <c r="H42" s="1684"/>
      <c r="I42" s="620" t="s">
        <v>432</v>
      </c>
      <c r="J42" s="1683" t="s">
        <v>2136</v>
      </c>
      <c r="K42" s="1683"/>
      <c r="L42" s="1683"/>
      <c r="M42" s="1684"/>
      <c r="O42" s="1682" t="s">
        <v>3939</v>
      </c>
      <c r="P42" s="1683"/>
      <c r="Q42" s="1683"/>
      <c r="R42" s="1684"/>
      <c r="S42" s="1682" t="s">
        <v>3940</v>
      </c>
      <c r="T42" s="1683"/>
      <c r="U42" s="1683"/>
      <c r="V42" s="1684"/>
      <c r="W42" s="1682" t="s">
        <v>3941</v>
      </c>
      <c r="X42" s="1683"/>
      <c r="Y42" s="1683"/>
      <c r="Z42" s="1684"/>
      <c r="AA42" s="1682" t="s">
        <v>3942</v>
      </c>
      <c r="AB42" s="1683"/>
      <c r="AC42" s="1683"/>
      <c r="AD42" s="1684"/>
      <c r="AE42" s="1717" t="s">
        <v>3943</v>
      </c>
      <c r="AF42" s="1718"/>
      <c r="AG42" s="1718"/>
      <c r="AH42" s="1719"/>
      <c r="AI42" s="1717" t="s">
        <v>3936</v>
      </c>
      <c r="AJ42" s="1718"/>
      <c r="AK42" s="1718"/>
      <c r="AL42" s="1719"/>
      <c r="AM42" s="1717" t="s">
        <v>3937</v>
      </c>
      <c r="AN42" s="1718"/>
      <c r="AO42" s="1718"/>
      <c r="AP42" s="1719"/>
      <c r="AQ42" s="1717" t="s">
        <v>3938</v>
      </c>
      <c r="AR42" s="1718"/>
      <c r="AS42" s="1718"/>
      <c r="AT42" s="1719"/>
      <c r="AU42" s="1717" t="s">
        <v>3944</v>
      </c>
      <c r="AV42" s="1718"/>
      <c r="AW42" s="1683"/>
      <c r="AX42" s="1684"/>
      <c r="AY42" s="1717" t="s">
        <v>2136</v>
      </c>
      <c r="AZ42" s="1718"/>
      <c r="BA42" s="1683"/>
      <c r="BB42" s="1684"/>
      <c r="BC42" s="702" t="s">
        <v>432</v>
      </c>
      <c r="BD42" s="1682" t="s">
        <v>3947</v>
      </c>
      <c r="BE42" s="1683"/>
      <c r="BF42" s="1683"/>
      <c r="BG42" s="1684"/>
      <c r="BH42" s="1682" t="s">
        <v>3945</v>
      </c>
      <c r="BI42" s="1683"/>
      <c r="BJ42" s="1683"/>
      <c r="BK42" s="1684"/>
      <c r="BL42" s="1682" t="s">
        <v>3946</v>
      </c>
      <c r="BM42" s="1683"/>
      <c r="BN42" s="1683"/>
      <c r="BO42" s="1683"/>
      <c r="BP42" s="711" t="str">
        <f t="shared" si="0"/>
        <v>x</v>
      </c>
      <c r="BQ42" s="610"/>
      <c r="BR42" s="413"/>
      <c r="BS42" s="413"/>
      <c r="BT42" s="611"/>
      <c r="BU42" s="1717" t="s">
        <v>2136</v>
      </c>
      <c r="BV42" s="1718"/>
      <c r="BW42" s="1718"/>
      <c r="BX42" s="1719"/>
      <c r="BY42" s="1717" t="s">
        <v>2136</v>
      </c>
      <c r="BZ42" s="1718"/>
      <c r="CA42" s="1718"/>
      <c r="CB42" s="1719"/>
      <c r="CC42" s="1717" t="s">
        <v>2136</v>
      </c>
      <c r="CD42" s="1718"/>
      <c r="CE42" s="1718"/>
      <c r="CF42" s="1719"/>
    </row>
    <row r="43" spans="1:84" ht="112.5" customHeight="1" x14ac:dyDescent="0.25">
      <c r="H43" s="616"/>
      <c r="I43" s="619" t="s">
        <v>2176</v>
      </c>
      <c r="J43" s="11" t="s">
        <v>2176</v>
      </c>
      <c r="K43" s="11" t="s">
        <v>2176</v>
      </c>
      <c r="L43" s="11" t="s">
        <v>2176</v>
      </c>
      <c r="M43" s="686" t="s">
        <v>2057</v>
      </c>
      <c r="O43" s="680" t="s">
        <v>2382</v>
      </c>
      <c r="P43" s="529" t="s">
        <v>1371</v>
      </c>
      <c r="Q43" s="167" t="s">
        <v>2461</v>
      </c>
      <c r="R43" s="57" t="s">
        <v>2494</v>
      </c>
      <c r="S43" s="680" t="s">
        <v>2382</v>
      </c>
      <c r="T43" s="529" t="s">
        <v>1266</v>
      </c>
      <c r="U43" s="167" t="s">
        <v>2320</v>
      </c>
      <c r="V43" s="167" t="s">
        <v>2494</v>
      </c>
      <c r="W43" s="680" t="s">
        <v>2382</v>
      </c>
      <c r="X43" s="529" t="s">
        <v>2056</v>
      </c>
      <c r="Y43" s="167" t="s">
        <v>2322</v>
      </c>
      <c r="Z43" s="167" t="s">
        <v>2494</v>
      </c>
      <c r="AA43" s="859"/>
      <c r="AB43" s="870"/>
      <c r="AC43" s="859"/>
      <c r="AD43" s="859"/>
      <c r="AE43" s="680" t="s">
        <v>2382</v>
      </c>
      <c r="AF43" s="529" t="str">
        <f>AF41</f>
        <v>RMBH metropolitano</v>
      </c>
      <c r="AG43" s="167" t="s">
        <v>5062</v>
      </c>
      <c r="AH43" s="167" t="s">
        <v>2494</v>
      </c>
      <c r="AI43" s="680" t="s">
        <v>3975</v>
      </c>
      <c r="AJ43" s="529" t="s">
        <v>1705</v>
      </c>
      <c r="AK43" s="167" t="s">
        <v>3976</v>
      </c>
      <c r="AL43" s="167" t="s">
        <v>2494</v>
      </c>
      <c r="AM43" s="680" t="s">
        <v>3977</v>
      </c>
      <c r="AN43" s="529" t="s">
        <v>1705</v>
      </c>
      <c r="AO43" s="167" t="s">
        <v>3978</v>
      </c>
      <c r="AP43" s="167" t="s">
        <v>2494</v>
      </c>
      <c r="AQ43" s="680" t="s">
        <v>2382</v>
      </c>
      <c r="AR43" s="529" t="s">
        <v>1705</v>
      </c>
      <c r="AS43" s="167" t="s">
        <v>3979</v>
      </c>
      <c r="AT43" s="167" t="s">
        <v>2494</v>
      </c>
      <c r="AU43" s="675" t="s">
        <v>2176</v>
      </c>
      <c r="AV43" s="445" t="s">
        <v>2176</v>
      </c>
      <c r="AW43" s="11" t="s">
        <v>2176</v>
      </c>
      <c r="AX43" s="570" t="s">
        <v>2176</v>
      </c>
      <c r="AY43" s="675" t="s">
        <v>2176</v>
      </c>
      <c r="AZ43" s="445" t="s">
        <v>2176</v>
      </c>
      <c r="BA43" s="11" t="s">
        <v>2176</v>
      </c>
      <c r="BB43" s="570" t="s">
        <v>2176</v>
      </c>
      <c r="BC43" s="679"/>
      <c r="BD43" s="680" t="s">
        <v>2383</v>
      </c>
      <c r="BE43" s="529" t="s">
        <v>1306</v>
      </c>
      <c r="BF43" s="167" t="s">
        <v>6122</v>
      </c>
      <c r="BG43" s="57" t="s">
        <v>2108</v>
      </c>
      <c r="BH43" s="680" t="s">
        <v>2384</v>
      </c>
      <c r="BI43" s="529" t="s">
        <v>1306</v>
      </c>
      <c r="BJ43" s="167" t="s">
        <v>2321</v>
      </c>
      <c r="BK43" s="57" t="s">
        <v>2108</v>
      </c>
      <c r="BL43" s="680" t="s">
        <v>2382</v>
      </c>
      <c r="BM43" s="529" t="s">
        <v>1306</v>
      </c>
      <c r="BN43" s="167" t="s">
        <v>2350</v>
      </c>
      <c r="BO43" s="167" t="s">
        <v>2582</v>
      </c>
      <c r="BP43" s="711">
        <f t="shared" si="0"/>
        <v>0</v>
      </c>
      <c r="BQ43" s="610"/>
      <c r="BR43" s="413"/>
      <c r="BS43" s="413"/>
      <c r="BT43" s="611"/>
      <c r="BU43" s="675" t="s">
        <v>2176</v>
      </c>
      <c r="BV43" s="445" t="s">
        <v>2176</v>
      </c>
      <c r="BW43" s="11" t="s">
        <v>2176</v>
      </c>
      <c r="BX43" s="570" t="s">
        <v>2176</v>
      </c>
      <c r="BY43" s="675" t="s">
        <v>2176</v>
      </c>
      <c r="BZ43" s="445" t="s">
        <v>2369</v>
      </c>
      <c r="CA43" s="11" t="s">
        <v>2176</v>
      </c>
      <c r="CB43" s="570" t="s">
        <v>2176</v>
      </c>
      <c r="CC43" s="675" t="s">
        <v>2176</v>
      </c>
      <c r="CD43" s="445" t="s">
        <v>2176</v>
      </c>
      <c r="CE43" s="11" t="s">
        <v>2176</v>
      </c>
      <c r="CF43" s="570" t="s">
        <v>2176</v>
      </c>
    </row>
    <row r="44" spans="1:84" ht="84.75" customHeight="1" x14ac:dyDescent="0.25">
      <c r="D44" s="1218"/>
      <c r="E44" s="1219"/>
      <c r="F44" s="1219"/>
      <c r="G44" s="1220"/>
      <c r="H44" s="785"/>
      <c r="I44" s="804" t="s">
        <v>2176</v>
      </c>
      <c r="J44" s="784" t="s">
        <v>2176</v>
      </c>
      <c r="K44" s="784" t="s">
        <v>2176</v>
      </c>
      <c r="L44" s="784" t="s">
        <v>2176</v>
      </c>
      <c r="M44" s="1221" t="s">
        <v>2110</v>
      </c>
      <c r="N44" s="787"/>
      <c r="O44" s="1222" t="s">
        <v>2176</v>
      </c>
      <c r="P44" s="784" t="s">
        <v>2176</v>
      </c>
      <c r="Q44" s="784" t="s">
        <v>2176</v>
      </c>
      <c r="R44" s="790" t="s">
        <v>2176</v>
      </c>
      <c r="S44" s="791" t="s">
        <v>2176</v>
      </c>
      <c r="T44" s="793" t="s">
        <v>2176</v>
      </c>
      <c r="U44" s="784" t="s">
        <v>2176</v>
      </c>
      <c r="V44" s="790" t="s">
        <v>2176</v>
      </c>
      <c r="W44" s="791" t="s">
        <v>2176</v>
      </c>
      <c r="X44" s="793" t="s">
        <v>2176</v>
      </c>
      <c r="Y44" s="784" t="s">
        <v>2176</v>
      </c>
      <c r="Z44" s="790" t="s">
        <v>2176</v>
      </c>
      <c r="AA44" s="794"/>
      <c r="AB44" s="868"/>
      <c r="AC44" s="794"/>
      <c r="AD44" s="794"/>
      <c r="AE44" s="791" t="s">
        <v>2176</v>
      </c>
      <c r="AF44" s="793" t="s">
        <v>2176</v>
      </c>
      <c r="AG44" s="784" t="s">
        <v>2176</v>
      </c>
      <c r="AH44" s="790" t="s">
        <v>2176</v>
      </c>
      <c r="AI44" s="1215"/>
      <c r="AJ44" s="794"/>
      <c r="AK44" s="794"/>
      <c r="AL44" s="794"/>
      <c r="AM44" s="1215"/>
      <c r="AN44" s="794"/>
      <c r="AO44" s="794"/>
      <c r="AP44" s="794"/>
      <c r="AQ44" s="791" t="s">
        <v>2176</v>
      </c>
      <c r="AR44" s="784" t="s">
        <v>2176</v>
      </c>
      <c r="AS44" s="784" t="s">
        <v>2176</v>
      </c>
      <c r="AT44" s="790" t="s">
        <v>2176</v>
      </c>
      <c r="AU44" s="791" t="s">
        <v>2176</v>
      </c>
      <c r="AV44" s="793" t="s">
        <v>2176</v>
      </c>
      <c r="AW44" s="784" t="s">
        <v>2176</v>
      </c>
      <c r="AX44" s="790" t="s">
        <v>2176</v>
      </c>
      <c r="AY44" s="791" t="s">
        <v>2176</v>
      </c>
      <c r="AZ44" s="793" t="s">
        <v>2176</v>
      </c>
      <c r="BA44" s="784" t="s">
        <v>2176</v>
      </c>
      <c r="BB44" s="790" t="s">
        <v>2176</v>
      </c>
      <c r="BC44" s="1223"/>
      <c r="BD44" s="791" t="s">
        <v>2176</v>
      </c>
      <c r="BE44" s="793" t="s">
        <v>2176</v>
      </c>
      <c r="BF44" s="784" t="s">
        <v>2176</v>
      </c>
      <c r="BG44" s="790" t="s">
        <v>2176</v>
      </c>
      <c r="BH44" s="791" t="s">
        <v>2176</v>
      </c>
      <c r="BI44" s="793" t="s">
        <v>2176</v>
      </c>
      <c r="BJ44" s="784" t="s">
        <v>2176</v>
      </c>
      <c r="BK44" s="790" t="s">
        <v>2176</v>
      </c>
      <c r="BL44" s="791" t="s">
        <v>2176</v>
      </c>
      <c r="BM44" s="784" t="s">
        <v>2176</v>
      </c>
      <c r="BN44" s="784" t="s">
        <v>2176</v>
      </c>
      <c r="BO44" s="784" t="s">
        <v>2176</v>
      </c>
      <c r="BP44" s="1224">
        <f t="shared" si="0"/>
        <v>0</v>
      </c>
      <c r="BQ44" s="1225"/>
      <c r="BR44" s="1226"/>
      <c r="BS44" s="1226"/>
      <c r="BT44" s="1227"/>
      <c r="BU44" s="791" t="s">
        <v>2176</v>
      </c>
      <c r="BV44" s="793" t="s">
        <v>2176</v>
      </c>
      <c r="BW44" s="784" t="s">
        <v>2176</v>
      </c>
      <c r="BX44" s="790" t="s">
        <v>2176</v>
      </c>
      <c r="BY44" s="791" t="s">
        <v>2176</v>
      </c>
      <c r="BZ44" s="793" t="s">
        <v>2369</v>
      </c>
      <c r="CA44" s="784" t="s">
        <v>2176</v>
      </c>
      <c r="CB44" s="790" t="s">
        <v>2176</v>
      </c>
      <c r="CC44" s="791" t="s">
        <v>2176</v>
      </c>
      <c r="CD44" s="793" t="s">
        <v>2176</v>
      </c>
      <c r="CE44" s="784" t="s">
        <v>2176</v>
      </c>
      <c r="CF44" s="790" t="s">
        <v>2176</v>
      </c>
    </row>
    <row r="45" spans="1:84" ht="81.75" customHeight="1" x14ac:dyDescent="0.25">
      <c r="D45" s="1218"/>
      <c r="E45" s="1219"/>
      <c r="F45" s="1219"/>
      <c r="G45" s="1220"/>
      <c r="H45" s="785"/>
      <c r="I45" s="804" t="s">
        <v>2176</v>
      </c>
      <c r="J45" s="784" t="s">
        <v>2176</v>
      </c>
      <c r="K45" s="784" t="s">
        <v>2176</v>
      </c>
      <c r="L45" s="784" t="s">
        <v>2176</v>
      </c>
      <c r="M45" s="1221" t="s">
        <v>2111</v>
      </c>
      <c r="N45" s="787"/>
      <c r="O45" s="1222" t="s">
        <v>2176</v>
      </c>
      <c r="P45" s="784" t="s">
        <v>2176</v>
      </c>
      <c r="Q45" s="784" t="s">
        <v>2176</v>
      </c>
      <c r="R45" s="790" t="s">
        <v>2176</v>
      </c>
      <c r="S45" s="791" t="s">
        <v>2176</v>
      </c>
      <c r="T45" s="793" t="s">
        <v>2176</v>
      </c>
      <c r="U45" s="784" t="s">
        <v>2176</v>
      </c>
      <c r="V45" s="790" t="s">
        <v>2176</v>
      </c>
      <c r="W45" s="791" t="s">
        <v>2176</v>
      </c>
      <c r="X45" s="793" t="s">
        <v>2176</v>
      </c>
      <c r="Y45" s="784" t="s">
        <v>2176</v>
      </c>
      <c r="Z45" s="790" t="s">
        <v>2176</v>
      </c>
      <c r="AA45" s="794"/>
      <c r="AB45" s="868"/>
      <c r="AC45" s="794"/>
      <c r="AD45" s="794"/>
      <c r="AE45" s="791" t="s">
        <v>2176</v>
      </c>
      <c r="AF45" s="793" t="s">
        <v>2176</v>
      </c>
      <c r="AG45" s="784" t="s">
        <v>2176</v>
      </c>
      <c r="AH45" s="790" t="s">
        <v>2176</v>
      </c>
      <c r="AI45" s="1215"/>
      <c r="AJ45" s="794"/>
      <c r="AK45" s="794"/>
      <c r="AL45" s="794"/>
      <c r="AM45" s="1215"/>
      <c r="AN45" s="794"/>
      <c r="AO45" s="794"/>
      <c r="AP45" s="794"/>
      <c r="AQ45" s="791" t="s">
        <v>2176</v>
      </c>
      <c r="AR45" s="784" t="s">
        <v>2176</v>
      </c>
      <c r="AS45" s="784" t="s">
        <v>2176</v>
      </c>
      <c r="AT45" s="790" t="s">
        <v>2176</v>
      </c>
      <c r="AU45" s="791" t="s">
        <v>2176</v>
      </c>
      <c r="AV45" s="793" t="s">
        <v>2176</v>
      </c>
      <c r="AW45" s="784" t="s">
        <v>2176</v>
      </c>
      <c r="AX45" s="790" t="s">
        <v>2176</v>
      </c>
      <c r="AY45" s="791" t="s">
        <v>2176</v>
      </c>
      <c r="AZ45" s="793" t="s">
        <v>2176</v>
      </c>
      <c r="BA45" s="784" t="s">
        <v>2176</v>
      </c>
      <c r="BB45" s="790" t="s">
        <v>2176</v>
      </c>
      <c r="BC45" s="1223"/>
      <c r="BD45" s="791" t="s">
        <v>2176</v>
      </c>
      <c r="BE45" s="793" t="s">
        <v>2176</v>
      </c>
      <c r="BF45" s="784" t="s">
        <v>2176</v>
      </c>
      <c r="BG45" s="790" t="s">
        <v>2176</v>
      </c>
      <c r="BH45" s="791" t="s">
        <v>2176</v>
      </c>
      <c r="BI45" s="793" t="s">
        <v>2176</v>
      </c>
      <c r="BJ45" s="784" t="s">
        <v>2176</v>
      </c>
      <c r="BK45" s="790" t="s">
        <v>2176</v>
      </c>
      <c r="BL45" s="791" t="s">
        <v>2176</v>
      </c>
      <c r="BM45" s="784" t="s">
        <v>2176</v>
      </c>
      <c r="BN45" s="784" t="s">
        <v>2176</v>
      </c>
      <c r="BO45" s="784" t="s">
        <v>2176</v>
      </c>
      <c r="BP45" s="1224">
        <f t="shared" si="0"/>
        <v>0</v>
      </c>
      <c r="BQ45" s="1225"/>
      <c r="BR45" s="1226"/>
      <c r="BS45" s="1226"/>
      <c r="BT45" s="1227"/>
      <c r="BU45" s="791" t="s">
        <v>2176</v>
      </c>
      <c r="BV45" s="793" t="s">
        <v>2176</v>
      </c>
      <c r="BW45" s="784" t="s">
        <v>2176</v>
      </c>
      <c r="BX45" s="790" t="s">
        <v>2176</v>
      </c>
      <c r="BY45" s="791" t="s">
        <v>2176</v>
      </c>
      <c r="BZ45" s="793" t="s">
        <v>2369</v>
      </c>
      <c r="CA45" s="784" t="s">
        <v>2176</v>
      </c>
      <c r="CB45" s="790" t="s">
        <v>2176</v>
      </c>
      <c r="CC45" s="791" t="s">
        <v>2176</v>
      </c>
      <c r="CD45" s="793" t="s">
        <v>2176</v>
      </c>
      <c r="CE45" s="784" t="s">
        <v>2176</v>
      </c>
      <c r="CF45" s="790" t="s">
        <v>2176</v>
      </c>
    </row>
    <row r="46" spans="1:84" ht="51" x14ac:dyDescent="0.25">
      <c r="D46" s="1218"/>
      <c r="E46" s="1219"/>
      <c r="F46" s="1219"/>
      <c r="G46" s="1220"/>
      <c r="H46" s="785"/>
      <c r="I46" s="804" t="s">
        <v>2176</v>
      </c>
      <c r="J46" s="784" t="s">
        <v>2176</v>
      </c>
      <c r="K46" s="784" t="s">
        <v>2176</v>
      </c>
      <c r="L46" s="784" t="s">
        <v>2176</v>
      </c>
      <c r="M46" s="1221" t="s">
        <v>2057</v>
      </c>
      <c r="N46" s="787"/>
      <c r="O46" s="1222" t="s">
        <v>2176</v>
      </c>
      <c r="P46" s="784" t="s">
        <v>2176</v>
      </c>
      <c r="Q46" s="784" t="s">
        <v>2176</v>
      </c>
      <c r="R46" s="790" t="s">
        <v>2176</v>
      </c>
      <c r="S46" s="791" t="s">
        <v>2176</v>
      </c>
      <c r="T46" s="793" t="s">
        <v>2176</v>
      </c>
      <c r="U46" s="784" t="s">
        <v>2176</v>
      </c>
      <c r="V46" s="790" t="s">
        <v>2176</v>
      </c>
      <c r="W46" s="791" t="s">
        <v>2176</v>
      </c>
      <c r="X46" s="793" t="s">
        <v>2176</v>
      </c>
      <c r="Y46" s="784" t="s">
        <v>2176</v>
      </c>
      <c r="Z46" s="790" t="s">
        <v>2176</v>
      </c>
      <c r="AA46" s="794"/>
      <c r="AB46" s="868"/>
      <c r="AC46" s="794"/>
      <c r="AD46" s="794"/>
      <c r="AE46" s="791" t="s">
        <v>2176</v>
      </c>
      <c r="AF46" s="793" t="s">
        <v>2176</v>
      </c>
      <c r="AG46" s="784" t="s">
        <v>2176</v>
      </c>
      <c r="AH46" s="790" t="s">
        <v>2176</v>
      </c>
      <c r="AI46" s="1215"/>
      <c r="AJ46" s="794"/>
      <c r="AK46" s="794"/>
      <c r="AL46" s="794"/>
      <c r="AM46" s="1215"/>
      <c r="AN46" s="794"/>
      <c r="AO46" s="794"/>
      <c r="AP46" s="794"/>
      <c r="AQ46" s="791" t="s">
        <v>2176</v>
      </c>
      <c r="AR46" s="784" t="s">
        <v>2176</v>
      </c>
      <c r="AS46" s="784" t="s">
        <v>2176</v>
      </c>
      <c r="AT46" s="790" t="s">
        <v>2176</v>
      </c>
      <c r="AU46" s="791" t="s">
        <v>2176</v>
      </c>
      <c r="AV46" s="793" t="s">
        <v>2176</v>
      </c>
      <c r="AW46" s="784" t="s">
        <v>2176</v>
      </c>
      <c r="AX46" s="790" t="s">
        <v>2176</v>
      </c>
      <c r="AY46" s="791" t="s">
        <v>2176</v>
      </c>
      <c r="AZ46" s="793" t="s">
        <v>2176</v>
      </c>
      <c r="BA46" s="784" t="s">
        <v>2176</v>
      </c>
      <c r="BB46" s="790" t="s">
        <v>2176</v>
      </c>
      <c r="BC46" s="1223"/>
      <c r="BD46" s="791" t="s">
        <v>2176</v>
      </c>
      <c r="BE46" s="793" t="s">
        <v>2176</v>
      </c>
      <c r="BF46" s="784" t="s">
        <v>2176</v>
      </c>
      <c r="BG46" s="790" t="s">
        <v>2176</v>
      </c>
      <c r="BH46" s="791" t="s">
        <v>2176</v>
      </c>
      <c r="BI46" s="793" t="s">
        <v>2176</v>
      </c>
      <c r="BJ46" s="784" t="s">
        <v>2176</v>
      </c>
      <c r="BK46" s="790" t="s">
        <v>2176</v>
      </c>
      <c r="BL46" s="791" t="s">
        <v>2176</v>
      </c>
      <c r="BM46" s="784" t="s">
        <v>2176</v>
      </c>
      <c r="BN46" s="784" t="s">
        <v>2176</v>
      </c>
      <c r="BO46" s="784" t="s">
        <v>2176</v>
      </c>
      <c r="BP46" s="1224">
        <f t="shared" si="0"/>
        <v>0</v>
      </c>
      <c r="BQ46" s="1225"/>
      <c r="BR46" s="1226"/>
      <c r="BS46" s="1226"/>
      <c r="BT46" s="1227"/>
      <c r="BU46" s="791" t="s">
        <v>2176</v>
      </c>
      <c r="BV46" s="793" t="s">
        <v>2176</v>
      </c>
      <c r="BW46" s="784" t="s">
        <v>2176</v>
      </c>
      <c r="BX46" s="790" t="s">
        <v>2176</v>
      </c>
      <c r="BY46" s="791" t="s">
        <v>2176</v>
      </c>
      <c r="BZ46" s="793" t="s">
        <v>2369</v>
      </c>
      <c r="CA46" s="784" t="s">
        <v>2176</v>
      </c>
      <c r="CB46" s="790" t="s">
        <v>2176</v>
      </c>
      <c r="CC46" s="791" t="s">
        <v>2176</v>
      </c>
      <c r="CD46" s="793" t="s">
        <v>2176</v>
      </c>
      <c r="CE46" s="784" t="s">
        <v>2176</v>
      </c>
      <c r="CF46" s="790" t="s">
        <v>2176</v>
      </c>
    </row>
    <row r="47" spans="1:84" ht="85.5" customHeight="1" x14ac:dyDescent="0.25">
      <c r="D47" s="1218"/>
      <c r="E47" s="1219"/>
      <c r="F47" s="1219"/>
      <c r="G47" s="1220"/>
      <c r="H47" s="785"/>
      <c r="I47" s="804" t="s">
        <v>2176</v>
      </c>
      <c r="J47" s="784" t="s">
        <v>2176</v>
      </c>
      <c r="K47" s="784" t="s">
        <v>2176</v>
      </c>
      <c r="L47" s="784" t="s">
        <v>2176</v>
      </c>
      <c r="M47" s="1221" t="s">
        <v>2057</v>
      </c>
      <c r="N47" s="787"/>
      <c r="O47" s="1222" t="s">
        <v>2176</v>
      </c>
      <c r="P47" s="784" t="s">
        <v>2176</v>
      </c>
      <c r="Q47" s="784" t="s">
        <v>2176</v>
      </c>
      <c r="R47" s="790" t="s">
        <v>2176</v>
      </c>
      <c r="S47" s="791" t="s">
        <v>2176</v>
      </c>
      <c r="T47" s="793" t="s">
        <v>2176</v>
      </c>
      <c r="U47" s="784" t="s">
        <v>2176</v>
      </c>
      <c r="V47" s="790" t="s">
        <v>2176</v>
      </c>
      <c r="W47" s="791" t="s">
        <v>2176</v>
      </c>
      <c r="X47" s="793" t="s">
        <v>2176</v>
      </c>
      <c r="Y47" s="784" t="s">
        <v>2176</v>
      </c>
      <c r="Z47" s="790" t="s">
        <v>2176</v>
      </c>
      <c r="AA47" s="794"/>
      <c r="AB47" s="868"/>
      <c r="AC47" s="794"/>
      <c r="AD47" s="794"/>
      <c r="AE47" s="791" t="s">
        <v>2176</v>
      </c>
      <c r="AF47" s="793" t="s">
        <v>2176</v>
      </c>
      <c r="AG47" s="784" t="s">
        <v>2176</v>
      </c>
      <c r="AH47" s="790" t="s">
        <v>2176</v>
      </c>
      <c r="AI47" s="1215"/>
      <c r="AJ47" s="794"/>
      <c r="AK47" s="794"/>
      <c r="AL47" s="794"/>
      <c r="AM47" s="1215"/>
      <c r="AN47" s="794"/>
      <c r="AO47" s="794"/>
      <c r="AP47" s="794"/>
      <c r="AQ47" s="791" t="s">
        <v>2176</v>
      </c>
      <c r="AR47" s="784" t="s">
        <v>2176</v>
      </c>
      <c r="AS47" s="784" t="s">
        <v>2176</v>
      </c>
      <c r="AT47" s="790" t="s">
        <v>2176</v>
      </c>
      <c r="AU47" s="791" t="s">
        <v>2176</v>
      </c>
      <c r="AV47" s="793" t="s">
        <v>2176</v>
      </c>
      <c r="AW47" s="784" t="s">
        <v>2176</v>
      </c>
      <c r="AX47" s="790" t="s">
        <v>2176</v>
      </c>
      <c r="AY47" s="791" t="s">
        <v>2176</v>
      </c>
      <c r="AZ47" s="793" t="s">
        <v>2176</v>
      </c>
      <c r="BA47" s="784" t="s">
        <v>2176</v>
      </c>
      <c r="BB47" s="790" t="s">
        <v>2176</v>
      </c>
      <c r="BC47" s="1223"/>
      <c r="BD47" s="791" t="s">
        <v>2176</v>
      </c>
      <c r="BE47" s="793" t="s">
        <v>2176</v>
      </c>
      <c r="BF47" s="784" t="s">
        <v>2176</v>
      </c>
      <c r="BG47" s="790" t="s">
        <v>2176</v>
      </c>
      <c r="BH47" s="791" t="s">
        <v>2176</v>
      </c>
      <c r="BI47" s="793" t="s">
        <v>2176</v>
      </c>
      <c r="BJ47" s="784" t="s">
        <v>2176</v>
      </c>
      <c r="BK47" s="790" t="s">
        <v>2176</v>
      </c>
      <c r="BL47" s="791" t="s">
        <v>2176</v>
      </c>
      <c r="BM47" s="784" t="s">
        <v>2176</v>
      </c>
      <c r="BN47" s="784" t="s">
        <v>2176</v>
      </c>
      <c r="BO47" s="784" t="s">
        <v>2176</v>
      </c>
      <c r="BP47" s="1224">
        <f t="shared" si="0"/>
        <v>0</v>
      </c>
      <c r="BQ47" s="1225"/>
      <c r="BR47" s="1226"/>
      <c r="BS47" s="1226"/>
      <c r="BT47" s="1227"/>
      <c r="BU47" s="791" t="s">
        <v>2176</v>
      </c>
      <c r="BV47" s="793" t="s">
        <v>2176</v>
      </c>
      <c r="BW47" s="784" t="s">
        <v>2176</v>
      </c>
      <c r="BX47" s="790" t="s">
        <v>2176</v>
      </c>
      <c r="BY47" s="791" t="s">
        <v>2176</v>
      </c>
      <c r="BZ47" s="793" t="s">
        <v>2369</v>
      </c>
      <c r="CA47" s="784" t="s">
        <v>2176</v>
      </c>
      <c r="CB47" s="790" t="s">
        <v>2176</v>
      </c>
      <c r="CC47" s="791" t="s">
        <v>2176</v>
      </c>
      <c r="CD47" s="793" t="s">
        <v>2176</v>
      </c>
      <c r="CE47" s="784" t="s">
        <v>2176</v>
      </c>
      <c r="CF47" s="790" t="s">
        <v>2176</v>
      </c>
    </row>
    <row r="48" spans="1:84" ht="84.75" customHeight="1" x14ac:dyDescent="0.25">
      <c r="D48" s="1218"/>
      <c r="E48" s="1219"/>
      <c r="F48" s="1219"/>
      <c r="G48" s="1220"/>
      <c r="H48" s="785"/>
      <c r="I48" s="804" t="s">
        <v>2176</v>
      </c>
      <c r="J48" s="784" t="s">
        <v>2176</v>
      </c>
      <c r="K48" s="784" t="s">
        <v>2176</v>
      </c>
      <c r="L48" s="784" t="s">
        <v>2176</v>
      </c>
      <c r="M48" s="1221" t="s">
        <v>2057</v>
      </c>
      <c r="N48" s="787"/>
      <c r="O48" s="1222" t="s">
        <v>2176</v>
      </c>
      <c r="P48" s="784" t="s">
        <v>2176</v>
      </c>
      <c r="Q48" s="784" t="s">
        <v>2176</v>
      </c>
      <c r="R48" s="790" t="s">
        <v>2176</v>
      </c>
      <c r="S48" s="791" t="s">
        <v>2176</v>
      </c>
      <c r="T48" s="793" t="s">
        <v>2176</v>
      </c>
      <c r="U48" s="784" t="s">
        <v>2176</v>
      </c>
      <c r="V48" s="790" t="s">
        <v>2176</v>
      </c>
      <c r="W48" s="791" t="s">
        <v>2176</v>
      </c>
      <c r="X48" s="793" t="s">
        <v>2176</v>
      </c>
      <c r="Y48" s="784" t="s">
        <v>2176</v>
      </c>
      <c r="Z48" s="790" t="s">
        <v>2176</v>
      </c>
      <c r="AA48" s="794"/>
      <c r="AB48" s="868"/>
      <c r="AC48" s="794"/>
      <c r="AD48" s="794"/>
      <c r="AE48" s="791" t="s">
        <v>2176</v>
      </c>
      <c r="AF48" s="793" t="s">
        <v>2176</v>
      </c>
      <c r="AG48" s="784" t="s">
        <v>2176</v>
      </c>
      <c r="AH48" s="790" t="s">
        <v>2176</v>
      </c>
      <c r="AI48" s="1215"/>
      <c r="AJ48" s="794"/>
      <c r="AK48" s="794"/>
      <c r="AL48" s="794"/>
      <c r="AM48" s="1215"/>
      <c r="AN48" s="794"/>
      <c r="AO48" s="794"/>
      <c r="AP48" s="794"/>
      <c r="AQ48" s="791" t="s">
        <v>2176</v>
      </c>
      <c r="AR48" s="784" t="s">
        <v>2176</v>
      </c>
      <c r="AS48" s="784" t="s">
        <v>2176</v>
      </c>
      <c r="AT48" s="790" t="s">
        <v>2176</v>
      </c>
      <c r="AU48" s="791" t="s">
        <v>2176</v>
      </c>
      <c r="AV48" s="793" t="s">
        <v>2176</v>
      </c>
      <c r="AW48" s="784" t="s">
        <v>2176</v>
      </c>
      <c r="AX48" s="790" t="s">
        <v>2176</v>
      </c>
      <c r="AY48" s="791" t="s">
        <v>2176</v>
      </c>
      <c r="AZ48" s="793" t="s">
        <v>2176</v>
      </c>
      <c r="BA48" s="784" t="s">
        <v>2176</v>
      </c>
      <c r="BB48" s="790" t="s">
        <v>2176</v>
      </c>
      <c r="BC48" s="1223"/>
      <c r="BD48" s="791" t="s">
        <v>2176</v>
      </c>
      <c r="BE48" s="793" t="s">
        <v>2176</v>
      </c>
      <c r="BF48" s="784" t="s">
        <v>2176</v>
      </c>
      <c r="BG48" s="790" t="s">
        <v>2176</v>
      </c>
      <c r="BH48" s="791" t="s">
        <v>2176</v>
      </c>
      <c r="BI48" s="793" t="s">
        <v>2176</v>
      </c>
      <c r="BJ48" s="784" t="s">
        <v>2176</v>
      </c>
      <c r="BK48" s="790" t="s">
        <v>2176</v>
      </c>
      <c r="BL48" s="791" t="s">
        <v>2176</v>
      </c>
      <c r="BM48" s="784" t="s">
        <v>2176</v>
      </c>
      <c r="BN48" s="784" t="s">
        <v>2176</v>
      </c>
      <c r="BO48" s="784" t="s">
        <v>2176</v>
      </c>
      <c r="BP48" s="1224">
        <f t="shared" si="0"/>
        <v>0</v>
      </c>
      <c r="BQ48" s="1225"/>
      <c r="BR48" s="1226"/>
      <c r="BS48" s="1226"/>
      <c r="BT48" s="1227"/>
      <c r="BU48" s="791" t="s">
        <v>2176</v>
      </c>
      <c r="BV48" s="793" t="s">
        <v>2176</v>
      </c>
      <c r="BW48" s="784" t="s">
        <v>2176</v>
      </c>
      <c r="BX48" s="790" t="s">
        <v>2176</v>
      </c>
      <c r="BY48" s="791" t="s">
        <v>2176</v>
      </c>
      <c r="BZ48" s="793" t="s">
        <v>2369</v>
      </c>
      <c r="CA48" s="784" t="s">
        <v>2176</v>
      </c>
      <c r="CB48" s="790" t="s">
        <v>2176</v>
      </c>
      <c r="CC48" s="791" t="s">
        <v>2176</v>
      </c>
      <c r="CD48" s="793" t="s">
        <v>2176</v>
      </c>
      <c r="CE48" s="784" t="s">
        <v>2176</v>
      </c>
      <c r="CF48" s="790" t="s">
        <v>2176</v>
      </c>
    </row>
    <row r="49" spans="4:84" ht="96.75" customHeight="1" x14ac:dyDescent="0.25">
      <c r="D49" s="1218"/>
      <c r="E49" s="1219"/>
      <c r="F49" s="1219"/>
      <c r="G49" s="1220"/>
      <c r="H49" s="785"/>
      <c r="I49" s="804" t="s">
        <v>2176</v>
      </c>
      <c r="J49" s="784" t="s">
        <v>2176</v>
      </c>
      <c r="K49" s="784" t="s">
        <v>2176</v>
      </c>
      <c r="L49" s="784" t="s">
        <v>2176</v>
      </c>
      <c r="M49" s="1221" t="s">
        <v>2057</v>
      </c>
      <c r="N49" s="787"/>
      <c r="O49" s="1222" t="s">
        <v>2176</v>
      </c>
      <c r="P49" s="784" t="s">
        <v>2176</v>
      </c>
      <c r="Q49" s="784" t="s">
        <v>2176</v>
      </c>
      <c r="R49" s="790" t="s">
        <v>2176</v>
      </c>
      <c r="S49" s="791" t="s">
        <v>2176</v>
      </c>
      <c r="T49" s="793" t="s">
        <v>2176</v>
      </c>
      <c r="U49" s="784" t="s">
        <v>2176</v>
      </c>
      <c r="V49" s="790" t="s">
        <v>2176</v>
      </c>
      <c r="W49" s="791" t="s">
        <v>2176</v>
      </c>
      <c r="X49" s="793" t="s">
        <v>2176</v>
      </c>
      <c r="Y49" s="784" t="s">
        <v>2176</v>
      </c>
      <c r="Z49" s="790" t="s">
        <v>2176</v>
      </c>
      <c r="AA49" s="794"/>
      <c r="AB49" s="868"/>
      <c r="AC49" s="794"/>
      <c r="AD49" s="794"/>
      <c r="AE49" s="791" t="s">
        <v>2176</v>
      </c>
      <c r="AF49" s="793" t="s">
        <v>2176</v>
      </c>
      <c r="AG49" s="784" t="s">
        <v>2176</v>
      </c>
      <c r="AH49" s="790" t="s">
        <v>2176</v>
      </c>
      <c r="AI49" s="1215"/>
      <c r="AJ49" s="794"/>
      <c r="AK49" s="794"/>
      <c r="AL49" s="794"/>
      <c r="AM49" s="1215"/>
      <c r="AN49" s="794"/>
      <c r="AO49" s="794"/>
      <c r="AP49" s="794"/>
      <c r="AQ49" s="791" t="s">
        <v>2176</v>
      </c>
      <c r="AR49" s="784" t="s">
        <v>2176</v>
      </c>
      <c r="AS49" s="784" t="s">
        <v>2176</v>
      </c>
      <c r="AT49" s="790" t="s">
        <v>2176</v>
      </c>
      <c r="AU49" s="791" t="s">
        <v>2176</v>
      </c>
      <c r="AV49" s="793" t="s">
        <v>2176</v>
      </c>
      <c r="AW49" s="784" t="s">
        <v>2176</v>
      </c>
      <c r="AX49" s="790" t="s">
        <v>2176</v>
      </c>
      <c r="AY49" s="791" t="s">
        <v>2176</v>
      </c>
      <c r="AZ49" s="793" t="s">
        <v>2176</v>
      </c>
      <c r="BA49" s="784" t="s">
        <v>2176</v>
      </c>
      <c r="BB49" s="790" t="s">
        <v>2176</v>
      </c>
      <c r="BC49" s="1223"/>
      <c r="BD49" s="791" t="s">
        <v>2176</v>
      </c>
      <c r="BE49" s="793" t="s">
        <v>2176</v>
      </c>
      <c r="BF49" s="784" t="s">
        <v>2176</v>
      </c>
      <c r="BG49" s="790" t="s">
        <v>2176</v>
      </c>
      <c r="BH49" s="791" t="s">
        <v>2176</v>
      </c>
      <c r="BI49" s="793" t="s">
        <v>2176</v>
      </c>
      <c r="BJ49" s="784" t="s">
        <v>2176</v>
      </c>
      <c r="BK49" s="790" t="s">
        <v>2176</v>
      </c>
      <c r="BL49" s="791" t="s">
        <v>2176</v>
      </c>
      <c r="BM49" s="784" t="s">
        <v>2176</v>
      </c>
      <c r="BN49" s="784" t="s">
        <v>2176</v>
      </c>
      <c r="BO49" s="784" t="s">
        <v>2176</v>
      </c>
      <c r="BP49" s="1224">
        <f>BC49</f>
        <v>0</v>
      </c>
      <c r="BQ49" s="1225"/>
      <c r="BR49" s="1226"/>
      <c r="BS49" s="1226"/>
      <c r="BT49" s="1227"/>
      <c r="BU49" s="791" t="s">
        <v>2176</v>
      </c>
      <c r="BV49" s="793" t="s">
        <v>2176</v>
      </c>
      <c r="BW49" s="784" t="s">
        <v>2176</v>
      </c>
      <c r="BX49" s="790" t="s">
        <v>2176</v>
      </c>
      <c r="BY49" s="791" t="s">
        <v>2176</v>
      </c>
      <c r="BZ49" s="793" t="s">
        <v>2369</v>
      </c>
      <c r="CA49" s="784" t="s">
        <v>2176</v>
      </c>
      <c r="CB49" s="790" t="s">
        <v>2176</v>
      </c>
      <c r="CC49" s="791" t="s">
        <v>2176</v>
      </c>
      <c r="CD49" s="793" t="s">
        <v>2176</v>
      </c>
      <c r="CE49" s="784" t="s">
        <v>2176</v>
      </c>
      <c r="CF49" s="790" t="s">
        <v>2176</v>
      </c>
    </row>
    <row r="50" spans="4:84" ht="88.5" customHeight="1" thickBot="1" x14ac:dyDescent="0.3">
      <c r="D50" s="1218"/>
      <c r="E50" s="1219"/>
      <c r="F50" s="1219"/>
      <c r="G50" s="1220"/>
      <c r="H50" s="785"/>
      <c r="I50" s="804" t="s">
        <v>2176</v>
      </c>
      <c r="J50" s="784" t="s">
        <v>2176</v>
      </c>
      <c r="K50" s="784" t="s">
        <v>2176</v>
      </c>
      <c r="L50" s="784" t="s">
        <v>2176</v>
      </c>
      <c r="M50" s="1221" t="s">
        <v>2057</v>
      </c>
      <c r="N50" s="787"/>
      <c r="O50" s="1222" t="s">
        <v>2176</v>
      </c>
      <c r="P50" s="784" t="s">
        <v>2176</v>
      </c>
      <c r="Q50" s="784" t="s">
        <v>2176</v>
      </c>
      <c r="R50" s="790" t="s">
        <v>2176</v>
      </c>
      <c r="S50" s="791" t="s">
        <v>2176</v>
      </c>
      <c r="T50" s="793" t="s">
        <v>2176</v>
      </c>
      <c r="U50" s="784" t="s">
        <v>2176</v>
      </c>
      <c r="V50" s="790" t="s">
        <v>2176</v>
      </c>
      <c r="W50" s="791" t="s">
        <v>2176</v>
      </c>
      <c r="X50" s="793" t="s">
        <v>2176</v>
      </c>
      <c r="Y50" s="784" t="s">
        <v>2176</v>
      </c>
      <c r="Z50" s="790" t="s">
        <v>2176</v>
      </c>
      <c r="AA50" s="794"/>
      <c r="AB50" s="868"/>
      <c r="AC50" s="794"/>
      <c r="AD50" s="794"/>
      <c r="AE50" s="791" t="s">
        <v>2176</v>
      </c>
      <c r="AF50" s="793" t="s">
        <v>2176</v>
      </c>
      <c r="AG50" s="784" t="s">
        <v>2176</v>
      </c>
      <c r="AH50" s="790" t="s">
        <v>2176</v>
      </c>
      <c r="AI50" s="1215"/>
      <c r="AJ50" s="794"/>
      <c r="AK50" s="794"/>
      <c r="AL50" s="794"/>
      <c r="AM50" s="1215"/>
      <c r="AN50" s="794"/>
      <c r="AO50" s="794"/>
      <c r="AP50" s="794"/>
      <c r="AQ50" s="791" t="s">
        <v>2176</v>
      </c>
      <c r="AR50" s="784" t="s">
        <v>2176</v>
      </c>
      <c r="AS50" s="784" t="s">
        <v>2176</v>
      </c>
      <c r="AT50" s="790" t="s">
        <v>2176</v>
      </c>
      <c r="AU50" s="791" t="s">
        <v>2176</v>
      </c>
      <c r="AV50" s="793" t="s">
        <v>2176</v>
      </c>
      <c r="AW50" s="784" t="s">
        <v>2176</v>
      </c>
      <c r="AX50" s="790" t="s">
        <v>2176</v>
      </c>
      <c r="AY50" s="791" t="s">
        <v>2176</v>
      </c>
      <c r="AZ50" s="793" t="s">
        <v>2176</v>
      </c>
      <c r="BA50" s="784" t="s">
        <v>2176</v>
      </c>
      <c r="BB50" s="790" t="s">
        <v>2176</v>
      </c>
      <c r="BC50" s="1223"/>
      <c r="BD50" s="791" t="s">
        <v>2176</v>
      </c>
      <c r="BE50" s="793" t="s">
        <v>2176</v>
      </c>
      <c r="BF50" s="784" t="s">
        <v>2176</v>
      </c>
      <c r="BG50" s="790" t="s">
        <v>2176</v>
      </c>
      <c r="BH50" s="1228" t="s">
        <v>2176</v>
      </c>
      <c r="BI50" s="1229" t="s">
        <v>2176</v>
      </c>
      <c r="BJ50" s="1230" t="s">
        <v>2176</v>
      </c>
      <c r="BK50" s="1231" t="s">
        <v>2176</v>
      </c>
      <c r="BL50" s="1228" t="s">
        <v>2176</v>
      </c>
      <c r="BM50" s="1230" t="s">
        <v>2176</v>
      </c>
      <c r="BN50" s="1230" t="s">
        <v>2176</v>
      </c>
      <c r="BO50" s="1230" t="s">
        <v>2176</v>
      </c>
      <c r="BP50" s="1224">
        <f t="shared" si="0"/>
        <v>0</v>
      </c>
      <c r="BQ50" s="1225"/>
      <c r="BR50" s="1226"/>
      <c r="BS50" s="1226"/>
      <c r="BT50" s="1227"/>
      <c r="BU50" s="791" t="s">
        <v>2176</v>
      </c>
      <c r="BV50" s="793" t="s">
        <v>2176</v>
      </c>
      <c r="BW50" s="784" t="s">
        <v>2176</v>
      </c>
      <c r="BX50" s="790" t="s">
        <v>2176</v>
      </c>
      <c r="BY50" s="791" t="s">
        <v>2176</v>
      </c>
      <c r="BZ50" s="793" t="s">
        <v>2369</v>
      </c>
      <c r="CA50" s="784" t="s">
        <v>2176</v>
      </c>
      <c r="CB50" s="790" t="s">
        <v>2176</v>
      </c>
      <c r="CC50" s="791" t="s">
        <v>2176</v>
      </c>
      <c r="CD50" s="793" t="s">
        <v>2176</v>
      </c>
      <c r="CE50" s="784" t="s">
        <v>2176</v>
      </c>
      <c r="CF50" s="790" t="s">
        <v>2176</v>
      </c>
    </row>
    <row r="51" spans="4:84" s="533" customFormat="1" ht="13.5" customHeight="1" thickBot="1" x14ac:dyDescent="0.3">
      <c r="D51" s="745"/>
      <c r="E51" s="616"/>
      <c r="F51" s="616"/>
      <c r="G51" s="836"/>
      <c r="H51" s="616"/>
      <c r="I51" s="621"/>
      <c r="J51" s="577"/>
      <c r="K51" s="578"/>
      <c r="L51" s="579"/>
      <c r="M51" s="687"/>
      <c r="O51" s="583"/>
      <c r="P51" s="584"/>
      <c r="Q51" s="573"/>
      <c r="R51" s="574"/>
      <c r="S51" s="696"/>
      <c r="T51" s="584"/>
      <c r="U51" s="591"/>
      <c r="V51" s="574"/>
      <c r="W51" s="730"/>
      <c r="X51" s="584"/>
      <c r="Y51" s="573"/>
      <c r="Z51" s="574"/>
      <c r="AA51" s="573"/>
      <c r="AB51" s="871"/>
      <c r="AC51" s="573"/>
      <c r="AD51" s="573"/>
      <c r="AE51" s="778"/>
      <c r="AF51" s="871"/>
      <c r="AG51" s="573"/>
      <c r="AH51" s="591"/>
      <c r="AI51" s="778"/>
      <c r="AJ51" s="591"/>
      <c r="AK51" s="591"/>
      <c r="AL51" s="591"/>
      <c r="AM51" s="778"/>
      <c r="AN51" s="591"/>
      <c r="AO51" s="591"/>
      <c r="AP51" s="591"/>
      <c r="AQ51" s="696"/>
      <c r="AR51" s="591"/>
      <c r="AS51" s="573"/>
      <c r="AT51" s="673"/>
      <c r="AU51" s="696"/>
      <c r="AV51" s="584"/>
      <c r="AW51" s="573"/>
      <c r="AX51" s="574"/>
      <c r="AY51" s="699"/>
      <c r="AZ51" s="573"/>
      <c r="BA51" s="573"/>
      <c r="BB51" s="673"/>
      <c r="BC51" s="702" t="s">
        <v>432</v>
      </c>
      <c r="BD51" s="699"/>
      <c r="BE51" s="584"/>
      <c r="BF51" s="573"/>
      <c r="BG51" s="574"/>
      <c r="BH51" s="1678"/>
      <c r="BI51" s="1679"/>
      <c r="BJ51" s="1679"/>
      <c r="BK51" s="1679"/>
      <c r="BL51" s="1396"/>
      <c r="BM51" s="1396"/>
      <c r="BN51" s="1397"/>
      <c r="BO51" s="874"/>
      <c r="BP51" s="874"/>
      <c r="BQ51" s="874"/>
      <c r="BR51" s="875"/>
      <c r="BS51" s="875"/>
      <c r="BT51" s="876"/>
      <c r="BU51" s="699"/>
      <c r="BV51" s="584"/>
      <c r="BW51" s="573"/>
      <c r="BX51" s="574"/>
      <c r="BY51" s="699"/>
      <c r="BZ51" s="584"/>
      <c r="CA51" s="573"/>
      <c r="CB51" s="673"/>
      <c r="CC51" s="699"/>
      <c r="CD51" s="584"/>
      <c r="CE51" s="573"/>
      <c r="CF51" s="574"/>
    </row>
    <row r="52" spans="4:84" ht="121.5" customHeight="1" x14ac:dyDescent="0.25">
      <c r="BD52" s="534"/>
      <c r="BE52" s="534"/>
      <c r="BL52" s="534"/>
    </row>
    <row r="53" spans="4:84" ht="384" customHeight="1" x14ac:dyDescent="0.25">
      <c r="BL53" s="534"/>
    </row>
    <row r="54" spans="4:84" ht="374.25" customHeight="1" x14ac:dyDescent="0.25">
      <c r="BL54" s="534"/>
    </row>
    <row r="55" spans="4:84" ht="250.5" customHeight="1" x14ac:dyDescent="0.25">
      <c r="BL55" s="534"/>
    </row>
  </sheetData>
  <mergeCells count="201">
    <mergeCell ref="A1:K1"/>
    <mergeCell ref="AI42:AL42"/>
    <mergeCell ref="AM42:AP42"/>
    <mergeCell ref="AI39:AL40"/>
    <mergeCell ref="AM39:AP40"/>
    <mergeCell ref="AY42:BB42"/>
    <mergeCell ref="AY39:BB40"/>
    <mergeCell ref="AY31:BB32"/>
    <mergeCell ref="BQ31:BT32"/>
    <mergeCell ref="AI31:AL32"/>
    <mergeCell ref="AM31:AP32"/>
    <mergeCell ref="AI35:AL36"/>
    <mergeCell ref="AM35:AP36"/>
    <mergeCell ref="BC31:BC32"/>
    <mergeCell ref="O16:R17"/>
    <mergeCell ref="S16:V17"/>
    <mergeCell ref="W16:Z17"/>
    <mergeCell ref="W20:Z21"/>
    <mergeCell ref="O31:R32"/>
    <mergeCell ref="S31:V32"/>
    <mergeCell ref="AQ20:AT21"/>
    <mergeCell ref="AU20:AX21"/>
    <mergeCell ref="S20:V21"/>
    <mergeCell ref="AQ16:AT17"/>
    <mergeCell ref="BU31:BX32"/>
    <mergeCell ref="BH39:BK39"/>
    <mergeCell ref="BD31:BG31"/>
    <mergeCell ref="BH31:BK31"/>
    <mergeCell ref="BL40:BO40"/>
    <mergeCell ref="BP39:BP40"/>
    <mergeCell ref="BL39:BO39"/>
    <mergeCell ref="BD40:BG40"/>
    <mergeCell ref="BH40:BK40"/>
    <mergeCell ref="BU42:BX42"/>
    <mergeCell ref="CC35:CF36"/>
    <mergeCell ref="BD36:BG36"/>
    <mergeCell ref="BH36:BK36"/>
    <mergeCell ref="BL36:BO36"/>
    <mergeCell ref="O35:R36"/>
    <mergeCell ref="S35:V36"/>
    <mergeCell ref="W35:Z36"/>
    <mergeCell ref="AA35:AD36"/>
    <mergeCell ref="AE35:AH36"/>
    <mergeCell ref="AQ35:AT36"/>
    <mergeCell ref="AU35:AX36"/>
    <mergeCell ref="AY35:BB36"/>
    <mergeCell ref="BC35:BC36"/>
    <mergeCell ref="BD35:BG35"/>
    <mergeCell ref="BH35:BK35"/>
    <mergeCell ref="BL35:BO35"/>
    <mergeCell ref="BP35:BP36"/>
    <mergeCell ref="BC39:BC40"/>
    <mergeCell ref="AE16:AH17"/>
    <mergeCell ref="O26:R27"/>
    <mergeCell ref="AU26:AX27"/>
    <mergeCell ref="AA31:AD32"/>
    <mergeCell ref="AA20:AD21"/>
    <mergeCell ref="AE20:AH21"/>
    <mergeCell ref="AA26:AD27"/>
    <mergeCell ref="AI16:AL17"/>
    <mergeCell ref="AM16:AP17"/>
    <mergeCell ref="AI20:AL21"/>
    <mergeCell ref="AM20:AP21"/>
    <mergeCell ref="AI26:AL27"/>
    <mergeCell ref="AM26:AP27"/>
    <mergeCell ref="E42:H42"/>
    <mergeCell ref="AU31:AX32"/>
    <mergeCell ref="AQ31:AT32"/>
    <mergeCell ref="AQ39:AT40"/>
    <mergeCell ref="AU39:AX40"/>
    <mergeCell ref="AU42:AX42"/>
    <mergeCell ref="O20:R21"/>
    <mergeCell ref="J42:M42"/>
    <mergeCell ref="O42:R42"/>
    <mergeCell ref="S42:V42"/>
    <mergeCell ref="W42:Z42"/>
    <mergeCell ref="AQ42:AT42"/>
    <mergeCell ref="O39:R40"/>
    <mergeCell ref="W39:Z40"/>
    <mergeCell ref="AA39:AD40"/>
    <mergeCell ref="AE42:AH42"/>
    <mergeCell ref="AE39:AH40"/>
    <mergeCell ref="AE31:AH32"/>
    <mergeCell ref="AE26:AH27"/>
    <mergeCell ref="AQ26:AT27"/>
    <mergeCell ref="W31:Z32"/>
    <mergeCell ref="W26:Z27"/>
    <mergeCell ref="S39:V40"/>
    <mergeCell ref="S26:V27"/>
    <mergeCell ref="J31:M32"/>
    <mergeCell ref="I31:I32"/>
    <mergeCell ref="I39:I40"/>
    <mergeCell ref="J20:M21"/>
    <mergeCell ref="I16:I17"/>
    <mergeCell ref="J16:M17"/>
    <mergeCell ref="D16:D17"/>
    <mergeCell ref="E16:H17"/>
    <mergeCell ref="E31:H32"/>
    <mergeCell ref="J39:M40"/>
    <mergeCell ref="D39:D40"/>
    <mergeCell ref="E39:H40"/>
    <mergeCell ref="D35:D36"/>
    <mergeCell ref="E35:H36"/>
    <mergeCell ref="I35:I36"/>
    <mergeCell ref="J35:M36"/>
    <mergeCell ref="D20:G21"/>
    <mergeCell ref="D26:H27"/>
    <mergeCell ref="I26:M27"/>
    <mergeCell ref="CC2:CF2"/>
    <mergeCell ref="CC4:CF4"/>
    <mergeCell ref="CC16:CF17"/>
    <mergeCell ref="CC20:CF21"/>
    <mergeCell ref="CC39:CF40"/>
    <mergeCell ref="CC42:CF42"/>
    <mergeCell ref="BY4:CB4"/>
    <mergeCell ref="BU2:BX2"/>
    <mergeCell ref="BU4:BX4"/>
    <mergeCell ref="BU16:BX17"/>
    <mergeCell ref="BU20:BX21"/>
    <mergeCell ref="BY42:CB42"/>
    <mergeCell ref="BY2:CB2"/>
    <mergeCell ref="BY16:CB17"/>
    <mergeCell ref="BY20:CB21"/>
    <mergeCell ref="BY39:CB40"/>
    <mergeCell ref="BU39:BX40"/>
    <mergeCell ref="BU26:BX27"/>
    <mergeCell ref="BY26:CB27"/>
    <mergeCell ref="CC26:CF27"/>
    <mergeCell ref="BY31:CB32"/>
    <mergeCell ref="CC31:CF32"/>
    <mergeCell ref="BU35:BX36"/>
    <mergeCell ref="BY35:CB36"/>
    <mergeCell ref="BH26:BK27"/>
    <mergeCell ref="BL26:BO27"/>
    <mergeCell ref="BD32:BG32"/>
    <mergeCell ref="BH32:BK32"/>
    <mergeCell ref="BL32:BO32"/>
    <mergeCell ref="BQ4:BT4"/>
    <mergeCell ref="BQ2:BT2"/>
    <mergeCell ref="BQ26:BT27"/>
    <mergeCell ref="BD2:BG2"/>
    <mergeCell ref="BH2:BK2"/>
    <mergeCell ref="BL2:BO2"/>
    <mergeCell ref="AY26:BB27"/>
    <mergeCell ref="BC26:BC27"/>
    <mergeCell ref="BD42:BG42"/>
    <mergeCell ref="BH42:BK42"/>
    <mergeCell ref="BL42:BO42"/>
    <mergeCell ref="BD39:BG39"/>
    <mergeCell ref="BP16:BP17"/>
    <mergeCell ref="BD17:BG17"/>
    <mergeCell ref="BH17:BK17"/>
    <mergeCell ref="BL17:BO17"/>
    <mergeCell ref="BL20:BO20"/>
    <mergeCell ref="BL31:BO31"/>
    <mergeCell ref="BL21:BO21"/>
    <mergeCell ref="BD20:BG20"/>
    <mergeCell ref="BH20:BK20"/>
    <mergeCell ref="BD21:BG21"/>
    <mergeCell ref="BH21:BK21"/>
    <mergeCell ref="BP20:BP21"/>
    <mergeCell ref="BL16:BO16"/>
    <mergeCell ref="BD16:BG16"/>
    <mergeCell ref="BH16:BK16"/>
    <mergeCell ref="BP31:BP32"/>
    <mergeCell ref="BP26:BP27"/>
    <mergeCell ref="BD26:BG27"/>
    <mergeCell ref="AQ4:AT4"/>
    <mergeCell ref="BD4:BG4"/>
    <mergeCell ref="BH4:BK4"/>
    <mergeCell ref="BL4:BO4"/>
    <mergeCell ref="AU4:AX4"/>
    <mergeCell ref="AU2:AX2"/>
    <mergeCell ref="AY2:BB2"/>
    <mergeCell ref="AY4:BB4"/>
    <mergeCell ref="BC20:BC21"/>
    <mergeCell ref="AU16:AX17"/>
    <mergeCell ref="D2:G2"/>
    <mergeCell ref="A2:C2"/>
    <mergeCell ref="A4:C4"/>
    <mergeCell ref="A20:C21"/>
    <mergeCell ref="A31:D32"/>
    <mergeCell ref="BH51:BK51"/>
    <mergeCell ref="BC16:BC17"/>
    <mergeCell ref="AA42:AD42"/>
    <mergeCell ref="I4:L4"/>
    <mergeCell ref="W4:Z4"/>
    <mergeCell ref="O4:R4"/>
    <mergeCell ref="I2:M2"/>
    <mergeCell ref="O2:R2"/>
    <mergeCell ref="W2:Z2"/>
    <mergeCell ref="S4:V4"/>
    <mergeCell ref="AE4:AH4"/>
    <mergeCell ref="AA4:AD4"/>
    <mergeCell ref="AM4:AP4"/>
    <mergeCell ref="AI4:AL4"/>
    <mergeCell ref="D4:G4"/>
    <mergeCell ref="D3:G3"/>
    <mergeCell ref="H3:H4"/>
    <mergeCell ref="I20:I21"/>
    <mergeCell ref="AQ2:AT2"/>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28"/>
  <sheetViews>
    <sheetView zoomScaleNormal="100" workbookViewId="0">
      <selection activeCell="J76" sqref="J76"/>
    </sheetView>
  </sheetViews>
  <sheetFormatPr defaultRowHeight="15" x14ac:dyDescent="0.25"/>
  <cols>
    <col min="1" max="1" width="10.5703125" customWidth="1"/>
    <col min="4" max="5" width="9.140625" customWidth="1"/>
    <col min="6" max="6" width="5.7109375" customWidth="1"/>
    <col min="13" max="13" width="10.85546875" customWidth="1"/>
  </cols>
  <sheetData>
    <row r="5" spans="1:15" ht="18.75" x14ac:dyDescent="0.25">
      <c r="A5" s="1735" t="s">
        <v>0</v>
      </c>
      <c r="B5" s="1735"/>
      <c r="C5" s="1735"/>
      <c r="D5" s="1735"/>
      <c r="E5" s="1735"/>
      <c r="F5" s="1735"/>
      <c r="G5" s="1735"/>
      <c r="H5" s="1735"/>
      <c r="I5" s="1735"/>
      <c r="J5" s="1735"/>
      <c r="K5" s="1735"/>
      <c r="L5" s="1735"/>
      <c r="M5" s="1735"/>
      <c r="N5" s="1735"/>
      <c r="O5" s="1735"/>
    </row>
    <row r="6" spans="1:15" ht="31.5" customHeight="1" x14ac:dyDescent="0.25">
      <c r="A6" s="1736" t="s">
        <v>1165</v>
      </c>
      <c r="B6" s="1736"/>
      <c r="C6" s="1736"/>
      <c r="D6" s="1736"/>
      <c r="E6" s="1736"/>
      <c r="F6" s="1736"/>
      <c r="G6" s="1736"/>
      <c r="H6" s="1736"/>
      <c r="I6" s="1736"/>
      <c r="J6" s="1736"/>
      <c r="K6" s="1736"/>
      <c r="L6" s="1736"/>
      <c r="M6" s="1736"/>
      <c r="N6" s="1736"/>
      <c r="O6" s="1736"/>
    </row>
    <row r="7" spans="1:15" ht="15.75" x14ac:dyDescent="0.25">
      <c r="A7" s="1"/>
      <c r="B7" s="1"/>
      <c r="C7" s="1"/>
      <c r="D7" s="1"/>
      <c r="E7" s="1"/>
      <c r="F7" s="1"/>
      <c r="G7" s="1"/>
      <c r="H7" s="1"/>
    </row>
    <row r="8" spans="1:15" ht="15.75" x14ac:dyDescent="0.25">
      <c r="A8" s="1"/>
      <c r="B8" s="1"/>
      <c r="C8" s="1"/>
      <c r="D8" s="1"/>
      <c r="E8" s="1"/>
      <c r="F8" s="1"/>
      <c r="G8" s="1"/>
      <c r="H8" s="1"/>
    </row>
    <row r="9" spans="1:15" ht="15.75" x14ac:dyDescent="0.25">
      <c r="A9" s="1"/>
      <c r="B9" s="1"/>
      <c r="C9" s="1"/>
      <c r="D9" s="1"/>
      <c r="E9" s="1"/>
      <c r="F9" s="1"/>
      <c r="G9" s="1"/>
      <c r="H9" s="1"/>
    </row>
    <row r="10" spans="1:15" ht="15.75" x14ac:dyDescent="0.25">
      <c r="A10" s="1"/>
      <c r="B10" s="1"/>
      <c r="C10" s="1"/>
      <c r="D10" s="1"/>
      <c r="E10" s="1"/>
      <c r="F10" s="1"/>
      <c r="G10" s="1"/>
      <c r="H10" s="1"/>
    </row>
    <row r="11" spans="1:15" ht="15.75" x14ac:dyDescent="0.25">
      <c r="A11" s="1"/>
      <c r="B11" s="1"/>
      <c r="C11" s="1"/>
      <c r="D11" s="1"/>
      <c r="E11" s="1"/>
      <c r="F11" s="1"/>
      <c r="G11" s="1"/>
      <c r="H11" s="1"/>
    </row>
    <row r="12" spans="1:15" ht="15.75" x14ac:dyDescent="0.25">
      <c r="A12" s="1"/>
      <c r="B12" s="1"/>
      <c r="C12" s="1"/>
      <c r="D12" s="1"/>
      <c r="E12" s="1"/>
      <c r="F12" s="1"/>
      <c r="G12" s="1"/>
      <c r="H12" s="1"/>
    </row>
    <row r="13" spans="1:15" ht="15.75" x14ac:dyDescent="0.25">
      <c r="A13" s="1"/>
      <c r="B13" s="1"/>
      <c r="C13" s="1"/>
      <c r="D13" s="1"/>
      <c r="E13" s="1"/>
      <c r="F13" s="1"/>
      <c r="G13" s="1"/>
      <c r="H13" s="1"/>
    </row>
    <row r="14" spans="1:15" ht="15.75" x14ac:dyDescent="0.25">
      <c r="A14" s="1"/>
      <c r="B14" s="1"/>
      <c r="C14" s="1"/>
      <c r="D14" s="1"/>
      <c r="E14" s="1"/>
      <c r="F14" s="1"/>
      <c r="G14" s="1"/>
      <c r="H14" s="1"/>
    </row>
    <row r="15" spans="1:15" ht="15.75" x14ac:dyDescent="0.25">
      <c r="A15" s="1"/>
      <c r="B15" s="1"/>
      <c r="C15" s="1"/>
      <c r="D15" s="1"/>
      <c r="E15" s="1"/>
      <c r="F15" s="1"/>
      <c r="G15" s="1"/>
      <c r="H15" s="1"/>
    </row>
    <row r="16" spans="1:15" ht="15.75" x14ac:dyDescent="0.25">
      <c r="A16" s="1"/>
      <c r="B16" s="1"/>
      <c r="C16" s="1"/>
      <c r="D16" s="1"/>
      <c r="E16" s="1"/>
      <c r="F16" s="1"/>
      <c r="G16" s="1"/>
      <c r="H16" s="1"/>
    </row>
    <row r="17" spans="1:15" ht="15.75" x14ac:dyDescent="0.25">
      <c r="A17" s="1"/>
      <c r="B17" s="1"/>
      <c r="C17" s="1"/>
      <c r="D17" s="1"/>
      <c r="E17" s="1"/>
      <c r="F17" s="1"/>
      <c r="G17" s="1"/>
      <c r="H17" s="1"/>
    </row>
    <row r="18" spans="1:15" ht="15.75" x14ac:dyDescent="0.25">
      <c r="A18" s="1"/>
      <c r="B18" s="1"/>
      <c r="C18" s="1"/>
      <c r="D18" s="1"/>
      <c r="E18" s="1"/>
      <c r="F18" s="1"/>
      <c r="G18" s="1"/>
      <c r="H18" s="1"/>
    </row>
    <row r="19" spans="1:15" ht="15.75" x14ac:dyDescent="0.25">
      <c r="A19" s="1"/>
      <c r="B19" s="1"/>
      <c r="C19" s="1"/>
      <c r="D19" s="1"/>
      <c r="E19" s="1"/>
      <c r="F19" s="1"/>
      <c r="G19" s="1"/>
      <c r="H19" s="1"/>
    </row>
    <row r="20" spans="1:15" ht="15.75" x14ac:dyDescent="0.25">
      <c r="A20" s="1"/>
      <c r="B20" s="1"/>
      <c r="C20" s="1"/>
      <c r="D20" s="1"/>
      <c r="E20" s="1"/>
      <c r="F20" s="1"/>
      <c r="G20" s="1"/>
      <c r="H20" s="1"/>
    </row>
    <row r="21" spans="1:15" ht="15.75" x14ac:dyDescent="0.25">
      <c r="A21" s="1"/>
      <c r="B21" s="1"/>
      <c r="C21" s="1"/>
      <c r="D21" s="1"/>
      <c r="E21" s="1"/>
      <c r="F21" s="1"/>
      <c r="G21" s="1"/>
      <c r="H21" s="1"/>
    </row>
    <row r="22" spans="1:15" ht="15.75" x14ac:dyDescent="0.25">
      <c r="A22" s="1"/>
      <c r="B22" s="1"/>
      <c r="C22" s="1"/>
      <c r="D22" s="1"/>
      <c r="E22" s="1"/>
      <c r="F22" s="1"/>
      <c r="G22" s="1"/>
      <c r="H22" s="1"/>
    </row>
    <row r="23" spans="1:15" ht="15.75" x14ac:dyDescent="0.25">
      <c r="A23" s="1"/>
      <c r="B23" s="1"/>
      <c r="C23" s="1"/>
      <c r="D23" s="1"/>
      <c r="E23" s="1"/>
      <c r="F23" s="1"/>
      <c r="G23" s="1"/>
      <c r="H23" s="1"/>
    </row>
    <row r="24" spans="1:15" ht="15.75" x14ac:dyDescent="0.25">
      <c r="A24" s="1"/>
      <c r="B24" s="1"/>
      <c r="C24" s="1"/>
      <c r="D24" s="1"/>
      <c r="E24" s="1"/>
      <c r="F24" s="1"/>
      <c r="G24" s="1"/>
      <c r="H24" s="1"/>
    </row>
    <row r="25" spans="1:15" ht="15.75" x14ac:dyDescent="0.25">
      <c r="A25" s="1"/>
      <c r="B25" s="1"/>
      <c r="C25" s="1"/>
      <c r="D25" s="1"/>
      <c r="E25" s="1"/>
      <c r="F25" s="1"/>
      <c r="G25" s="1"/>
      <c r="H25" s="1"/>
    </row>
    <row r="26" spans="1:15" ht="15.75" x14ac:dyDescent="0.25">
      <c r="A26" s="1"/>
      <c r="B26" s="1"/>
      <c r="C26" s="1"/>
      <c r="D26" s="1"/>
      <c r="E26" s="1"/>
      <c r="F26" s="1"/>
      <c r="G26" s="1"/>
      <c r="H26" s="1"/>
    </row>
    <row r="27" spans="1:15" ht="55.5" customHeight="1" x14ac:dyDescent="0.25">
      <c r="A27" s="1740" t="s">
        <v>1166</v>
      </c>
      <c r="B27" s="1740"/>
      <c r="C27" s="1740"/>
      <c r="D27" s="1740"/>
      <c r="E27" s="1740"/>
      <c r="F27" s="1740"/>
      <c r="G27" s="1740"/>
      <c r="H27" s="1740"/>
      <c r="I27" s="1740"/>
      <c r="J27" s="1740"/>
      <c r="K27" s="1740"/>
      <c r="L27" s="1740"/>
      <c r="M27" s="1740"/>
      <c r="N27" s="1740"/>
      <c r="O27" s="1740"/>
    </row>
    <row r="28" spans="1:15" ht="56.25" customHeight="1" x14ac:dyDescent="0.25">
      <c r="A28" s="1737" t="s">
        <v>1086</v>
      </c>
      <c r="B28" s="1738"/>
      <c r="C28" s="1738"/>
      <c r="D28" s="1738"/>
      <c r="E28" s="1738"/>
      <c r="F28" s="1738"/>
      <c r="G28" s="1738"/>
      <c r="H28" s="1738"/>
      <c r="I28" s="1738"/>
      <c r="J28" s="1738"/>
      <c r="K28" s="1738"/>
      <c r="L28" s="1738"/>
      <c r="M28" s="1738"/>
      <c r="N28" s="1738"/>
      <c r="O28" s="1739"/>
    </row>
  </sheetData>
  <mergeCells count="4">
    <mergeCell ref="A5:O5"/>
    <mergeCell ref="A6:O6"/>
    <mergeCell ref="A28:O28"/>
    <mergeCell ref="A27:O27"/>
  </mergeCells>
  <printOptions horizontalCentered="1" verticalCentered="1"/>
  <pageMargins left="0.39370078740157483" right="0.39370078740157483" top="0.39370078740157483" bottom="0.39370078740157483" header="0.31496062992125984" footer="0.31496062992125984"/>
  <pageSetup paperSize="9" orientation="landscape" r:id="rId1"/>
  <headerFooter>
    <oddFooter>&amp;C&amp;"Times New Roman,Normal"&amp;10SisMob-BH - Gráficos de 1) Aspecto social e relação com a sociedade / 1.1) Ações educativas - p.&amp;P/&amp;N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O8"/>
  <sheetViews>
    <sheetView workbookViewId="0">
      <selection activeCell="C11" sqref="C11"/>
    </sheetView>
  </sheetViews>
  <sheetFormatPr defaultRowHeight="15" x14ac:dyDescent="0.25"/>
  <sheetData>
    <row r="7" spans="1:15" ht="42" customHeight="1" x14ac:dyDescent="0.25">
      <c r="A7" s="1741" t="s">
        <v>1199</v>
      </c>
      <c r="B7" s="1742"/>
      <c r="C7" s="1742"/>
      <c r="D7" s="1742"/>
      <c r="E7" s="1742"/>
      <c r="F7" s="1742"/>
      <c r="G7" s="1742"/>
      <c r="H7" s="1742"/>
      <c r="I7" s="1742"/>
      <c r="J7" s="1742"/>
      <c r="K7" s="1742"/>
      <c r="L7" s="1742"/>
      <c r="M7" s="1742"/>
      <c r="N7" s="1742"/>
      <c r="O7" s="1743"/>
    </row>
    <row r="8" spans="1:15" ht="27.75" customHeight="1" x14ac:dyDescent="0.25">
      <c r="A8" s="1744" t="s">
        <v>1194</v>
      </c>
      <c r="B8" s="1745"/>
      <c r="C8" s="1745"/>
      <c r="D8" s="1745"/>
      <c r="E8" s="1745"/>
      <c r="F8" s="1745"/>
      <c r="G8" s="1745"/>
      <c r="H8" s="1745"/>
      <c r="I8" s="1745"/>
      <c r="J8" s="1745"/>
      <c r="K8" s="1745"/>
      <c r="L8" s="1745"/>
      <c r="M8" s="1745"/>
      <c r="N8" s="1745"/>
      <c r="O8" s="1746"/>
    </row>
  </sheetData>
  <mergeCells count="2">
    <mergeCell ref="A7:O7"/>
    <mergeCell ref="A8:O8"/>
  </mergeCells>
  <pageMargins left="0.39370078740157483" right="0.39370078740157483" top="0.39370078740157483" bottom="0.39370078740157483" header="0.31496062992125984" footer="0.31496062992125984"/>
  <pageSetup paperSize="9"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53"/>
  <sheetViews>
    <sheetView zoomScaleNormal="100" workbookViewId="0">
      <selection activeCell="A53" sqref="A53:O53"/>
    </sheetView>
  </sheetViews>
  <sheetFormatPr defaultRowHeight="15" x14ac:dyDescent="0.25"/>
  <cols>
    <col min="1" max="1" width="10.5703125" customWidth="1"/>
    <col min="4" max="5" width="9.140625" customWidth="1"/>
    <col min="6" max="6" width="5.7109375" customWidth="1"/>
    <col min="13" max="13" width="10.85546875" customWidth="1"/>
  </cols>
  <sheetData>
    <row r="5" spans="1:15" ht="18.75" x14ac:dyDescent="0.25">
      <c r="A5" s="1735" t="s">
        <v>0</v>
      </c>
      <c r="B5" s="1735"/>
      <c r="C5" s="1735"/>
      <c r="D5" s="1735"/>
      <c r="E5" s="1735"/>
      <c r="F5" s="1735"/>
      <c r="G5" s="1735"/>
      <c r="H5" s="1735"/>
      <c r="I5" s="1735"/>
      <c r="J5" s="1735"/>
      <c r="K5" s="1735"/>
      <c r="L5" s="1735"/>
      <c r="M5" s="1735"/>
      <c r="N5" s="1735"/>
      <c r="O5" s="1735"/>
    </row>
    <row r="6" spans="1:15" ht="36.75" customHeight="1" x14ac:dyDescent="0.25">
      <c r="A6" s="1736" t="s">
        <v>1159</v>
      </c>
      <c r="B6" s="1736"/>
      <c r="C6" s="1736"/>
      <c r="D6" s="1736"/>
      <c r="E6" s="1736"/>
      <c r="F6" s="1736"/>
      <c r="G6" s="1736"/>
      <c r="H6" s="1736"/>
      <c r="I6" s="1736"/>
      <c r="J6" s="1736"/>
      <c r="K6" s="1736"/>
      <c r="L6" s="1736"/>
      <c r="M6" s="1736"/>
      <c r="N6" s="1736"/>
      <c r="O6" s="1736"/>
    </row>
    <row r="7" spans="1:15" ht="15.75" x14ac:dyDescent="0.25">
      <c r="A7" s="1"/>
      <c r="B7" s="1"/>
      <c r="C7" s="1"/>
      <c r="D7" s="1"/>
      <c r="E7" s="1"/>
      <c r="F7" s="1"/>
      <c r="G7" s="1"/>
      <c r="H7" s="1"/>
    </row>
    <row r="8" spans="1:15" ht="15.75" x14ac:dyDescent="0.25">
      <c r="A8" s="1"/>
      <c r="B8" s="1"/>
      <c r="C8" s="1"/>
      <c r="D8" s="1"/>
      <c r="E8" s="1"/>
      <c r="F8" s="1"/>
      <c r="G8" s="1"/>
      <c r="H8" s="1"/>
    </row>
    <row r="9" spans="1:15" ht="15.75" x14ac:dyDescent="0.25">
      <c r="A9" s="1"/>
      <c r="B9" s="1"/>
      <c r="C9" s="1"/>
      <c r="D9" s="1"/>
      <c r="E9" s="1"/>
      <c r="F9" s="1"/>
      <c r="G9" s="1"/>
      <c r="H9" s="1"/>
    </row>
    <row r="10" spans="1:15" ht="15.75" x14ac:dyDescent="0.25">
      <c r="A10" s="1"/>
      <c r="B10" s="1"/>
      <c r="C10" s="1"/>
      <c r="D10" s="1"/>
      <c r="E10" s="1"/>
      <c r="F10" s="1"/>
      <c r="G10" s="1"/>
      <c r="H10" s="1"/>
    </row>
    <row r="11" spans="1:15" ht="15.75" x14ac:dyDescent="0.25">
      <c r="A11" s="1"/>
      <c r="B11" s="1"/>
      <c r="C11" s="1"/>
      <c r="D11" s="1"/>
      <c r="E11" s="1"/>
      <c r="F11" s="1"/>
      <c r="G11" s="1"/>
      <c r="H11" s="1"/>
    </row>
    <row r="12" spans="1:15" ht="15.75" x14ac:dyDescent="0.25">
      <c r="A12" s="1"/>
      <c r="B12" s="1"/>
      <c r="C12" s="1"/>
      <c r="D12" s="1"/>
      <c r="E12" s="1"/>
      <c r="F12" s="1"/>
      <c r="G12" s="1"/>
      <c r="H12" s="1"/>
    </row>
    <row r="13" spans="1:15" ht="15.75" x14ac:dyDescent="0.25">
      <c r="A13" s="1"/>
      <c r="B13" s="1"/>
      <c r="C13" s="1"/>
      <c r="D13" s="1"/>
      <c r="E13" s="1"/>
      <c r="F13" s="1"/>
      <c r="G13" s="1"/>
      <c r="H13" s="1"/>
    </row>
    <row r="14" spans="1:15" ht="15.75" x14ac:dyDescent="0.25">
      <c r="A14" s="1"/>
      <c r="B14" s="1"/>
      <c r="C14" s="1"/>
      <c r="D14" s="1"/>
      <c r="E14" s="1"/>
      <c r="F14" s="1"/>
      <c r="G14" s="1"/>
      <c r="H14" s="1"/>
    </row>
    <row r="15" spans="1:15" ht="15.75" x14ac:dyDescent="0.25">
      <c r="A15" s="1"/>
      <c r="B15" s="1"/>
      <c r="C15" s="1"/>
      <c r="D15" s="1"/>
      <c r="E15" s="1"/>
      <c r="F15" s="1"/>
      <c r="G15" s="1"/>
      <c r="H15" s="1"/>
    </row>
    <row r="16" spans="1:15" ht="15.75" x14ac:dyDescent="0.25">
      <c r="A16" s="1"/>
      <c r="B16" s="1"/>
      <c r="C16" s="1"/>
      <c r="D16" s="1"/>
      <c r="E16" s="1"/>
      <c r="F16" s="1"/>
      <c r="G16" s="1"/>
      <c r="H16" s="1"/>
    </row>
    <row r="17" spans="1:15" ht="15.75" x14ac:dyDescent="0.25">
      <c r="A17" s="1"/>
      <c r="B17" s="1"/>
      <c r="C17" s="1"/>
      <c r="D17" s="1"/>
      <c r="E17" s="1"/>
      <c r="F17" s="1"/>
      <c r="G17" s="1"/>
      <c r="H17" s="1"/>
    </row>
    <row r="18" spans="1:15" ht="15.75" x14ac:dyDescent="0.25">
      <c r="A18" s="1"/>
      <c r="B18" s="1"/>
      <c r="C18" s="1"/>
      <c r="D18" s="1"/>
      <c r="E18" s="1"/>
      <c r="F18" s="1"/>
      <c r="G18" s="1"/>
      <c r="H18" s="1"/>
    </row>
    <row r="19" spans="1:15" ht="15.75" x14ac:dyDescent="0.25">
      <c r="A19" s="1"/>
      <c r="B19" s="1"/>
      <c r="C19" s="1"/>
      <c r="D19" s="1"/>
      <c r="E19" s="1"/>
      <c r="F19" s="1"/>
      <c r="G19" s="1"/>
      <c r="H19" s="1"/>
    </row>
    <row r="20" spans="1:15" ht="15.75" x14ac:dyDescent="0.25">
      <c r="A20" s="1"/>
      <c r="B20" s="1"/>
      <c r="C20" s="1"/>
      <c r="D20" s="1"/>
      <c r="E20" s="1"/>
      <c r="F20" s="1"/>
      <c r="G20" s="1"/>
      <c r="H20" s="1"/>
    </row>
    <row r="21" spans="1:15" ht="15.75" x14ac:dyDescent="0.25">
      <c r="A21" s="1"/>
      <c r="B21" s="1"/>
      <c r="C21" s="1"/>
      <c r="D21" s="1"/>
      <c r="E21" s="1"/>
      <c r="F21" s="1"/>
      <c r="G21" s="1"/>
      <c r="H21" s="1"/>
    </row>
    <row r="22" spans="1:15" ht="15.75" x14ac:dyDescent="0.25">
      <c r="A22" s="1"/>
      <c r="B22" s="1"/>
      <c r="C22" s="1"/>
      <c r="D22" s="1"/>
      <c r="E22" s="1"/>
      <c r="F22" s="1"/>
      <c r="G22" s="1"/>
      <c r="H22" s="1"/>
    </row>
    <row r="23" spans="1:15" ht="15.75" x14ac:dyDescent="0.25">
      <c r="A23" s="1"/>
      <c r="B23" s="1"/>
      <c r="C23" s="1"/>
      <c r="D23" s="1"/>
      <c r="E23" s="1"/>
      <c r="F23" s="1"/>
      <c r="G23" s="1"/>
      <c r="H23" s="1"/>
    </row>
    <row r="24" spans="1:15" ht="15.75" x14ac:dyDescent="0.25">
      <c r="A24" s="1"/>
      <c r="B24" s="1"/>
      <c r="C24" s="1"/>
      <c r="D24" s="1"/>
      <c r="E24" s="1"/>
      <c r="F24" s="1"/>
      <c r="G24" s="1"/>
      <c r="H24" s="1"/>
    </row>
    <row r="25" spans="1:15" ht="15.75" x14ac:dyDescent="0.25">
      <c r="A25" s="1"/>
      <c r="B25" s="1"/>
      <c r="C25" s="1"/>
      <c r="D25" s="1"/>
      <c r="E25" s="1"/>
      <c r="F25" s="1"/>
      <c r="G25" s="1"/>
      <c r="H25" s="1"/>
    </row>
    <row r="26" spans="1:15" ht="15.75" x14ac:dyDescent="0.25">
      <c r="A26" s="1"/>
      <c r="B26" s="1"/>
      <c r="C26" s="1"/>
      <c r="D26" s="1"/>
      <c r="E26" s="1"/>
      <c r="F26" s="1"/>
      <c r="G26" s="1"/>
      <c r="H26" s="1"/>
    </row>
    <row r="27" spans="1:15" ht="30.75" customHeight="1" x14ac:dyDescent="0.25">
      <c r="A27" s="1740" t="s">
        <v>1167</v>
      </c>
      <c r="B27" s="1740"/>
      <c r="C27" s="1740"/>
      <c r="D27" s="1740"/>
      <c r="E27" s="1740"/>
      <c r="F27" s="1740"/>
      <c r="G27" s="1740"/>
      <c r="H27" s="1740"/>
      <c r="I27" s="1740"/>
      <c r="J27" s="1740"/>
      <c r="K27" s="1740"/>
      <c r="L27" s="1740"/>
      <c r="M27" s="1740"/>
      <c r="N27" s="1740"/>
    </row>
    <row r="28" spans="1:15" ht="35.25" customHeight="1" x14ac:dyDescent="0.25">
      <c r="A28" s="1736" t="s">
        <v>1160</v>
      </c>
      <c r="B28" s="1736"/>
      <c r="C28" s="1736"/>
      <c r="D28" s="1736"/>
      <c r="E28" s="1736"/>
      <c r="F28" s="1736"/>
      <c r="G28" s="1736"/>
      <c r="H28" s="1736"/>
      <c r="I28" s="1736"/>
      <c r="J28" s="1736"/>
      <c r="K28" s="1736"/>
      <c r="L28" s="1736"/>
      <c r="M28" s="1736"/>
      <c r="N28" s="1736"/>
      <c r="O28" s="1736"/>
    </row>
    <row r="33" spans="13:15" x14ac:dyDescent="0.25">
      <c r="M33" s="1747" t="s">
        <v>1028</v>
      </c>
      <c r="N33" s="1747"/>
    </row>
    <row r="36" spans="13:15" x14ac:dyDescent="0.25">
      <c r="M36" s="1748" t="s">
        <v>1153</v>
      </c>
      <c r="N36" s="1748"/>
      <c r="O36" s="1748"/>
    </row>
    <row r="37" spans="13:15" x14ac:dyDescent="0.25">
      <c r="M37" s="307"/>
      <c r="N37" s="307"/>
      <c r="O37" s="307"/>
    </row>
    <row r="38" spans="13:15" x14ac:dyDescent="0.25">
      <c r="M38" s="307"/>
      <c r="N38" s="307"/>
      <c r="O38" s="307"/>
    </row>
    <row r="40" spans="13:15" x14ac:dyDescent="0.25">
      <c r="M40" s="1748" t="s">
        <v>1154</v>
      </c>
      <c r="N40" s="1748"/>
      <c r="O40" s="1748"/>
    </row>
    <row r="41" spans="13:15" x14ac:dyDescent="0.25">
      <c r="M41" s="307"/>
      <c r="N41" s="307"/>
      <c r="O41" s="307"/>
    </row>
    <row r="43" spans="13:15" x14ac:dyDescent="0.25">
      <c r="M43" s="1748" t="s">
        <v>1155</v>
      </c>
      <c r="N43" s="1748"/>
      <c r="O43" s="1748"/>
    </row>
    <row r="44" spans="13:15" x14ac:dyDescent="0.25">
      <c r="M44" s="307"/>
      <c r="N44" s="307"/>
      <c r="O44" s="307"/>
    </row>
    <row r="46" spans="13:15" x14ac:dyDescent="0.25">
      <c r="M46" s="1748" t="s">
        <v>1156</v>
      </c>
      <c r="N46" s="1748"/>
      <c r="O46" s="1748"/>
    </row>
    <row r="48" spans="13:15" x14ac:dyDescent="0.25">
      <c r="M48" s="1748" t="s">
        <v>1157</v>
      </c>
      <c r="N48" s="1748"/>
      <c r="O48" s="1748"/>
    </row>
    <row r="51" spans="1:15" ht="39.75" customHeight="1" x14ac:dyDescent="0.25">
      <c r="A51" s="1740" t="s">
        <v>1168</v>
      </c>
      <c r="B51" s="1740"/>
      <c r="C51" s="1740"/>
      <c r="D51" s="1740"/>
      <c r="E51" s="1740"/>
      <c r="F51" s="1740"/>
      <c r="G51" s="1740"/>
      <c r="H51" s="1740"/>
      <c r="I51" s="1740"/>
      <c r="J51" s="1740"/>
      <c r="K51" s="1740"/>
      <c r="L51" s="1740"/>
      <c r="M51" s="1740"/>
      <c r="N51" s="1740"/>
      <c r="O51" s="1740"/>
    </row>
    <row r="52" spans="1:15" x14ac:dyDescent="0.25">
      <c r="A52" s="306"/>
      <c r="B52" s="306"/>
      <c r="C52" s="306"/>
      <c r="D52" s="306"/>
      <c r="E52" s="306"/>
      <c r="F52" s="306"/>
      <c r="G52" s="306"/>
      <c r="H52" s="306"/>
      <c r="I52" s="306"/>
      <c r="J52" s="306"/>
      <c r="K52" s="306"/>
      <c r="L52" s="306"/>
      <c r="M52" s="306"/>
      <c r="N52" s="306"/>
    </row>
    <row r="53" spans="1:15" ht="54" customHeight="1" x14ac:dyDescent="0.25">
      <c r="A53" s="1737" t="s">
        <v>1085</v>
      </c>
      <c r="B53" s="1738"/>
      <c r="C53" s="1738"/>
      <c r="D53" s="1738"/>
      <c r="E53" s="1738"/>
      <c r="F53" s="1738"/>
      <c r="G53" s="1738"/>
      <c r="H53" s="1738"/>
      <c r="I53" s="1738"/>
      <c r="J53" s="1738"/>
      <c r="K53" s="1738"/>
      <c r="L53" s="1738"/>
      <c r="M53" s="1738"/>
      <c r="N53" s="1738"/>
      <c r="O53" s="1739"/>
    </row>
  </sheetData>
  <mergeCells count="12">
    <mergeCell ref="M33:N33"/>
    <mergeCell ref="A53:O53"/>
    <mergeCell ref="A51:O51"/>
    <mergeCell ref="A5:O5"/>
    <mergeCell ref="A6:O6"/>
    <mergeCell ref="A27:N27"/>
    <mergeCell ref="A28:O28"/>
    <mergeCell ref="M48:O48"/>
    <mergeCell ref="M46:O46"/>
    <mergeCell ref="M43:O43"/>
    <mergeCell ref="M40:O40"/>
    <mergeCell ref="M36:O36"/>
  </mergeCells>
  <printOptions horizontalCentered="1" verticalCentered="1"/>
  <pageMargins left="0.39370078740157483" right="0.39370078740157483" top="0.39370078740157483" bottom="0.39370078740157483" header="0.31496062992125984" footer="0.31496062992125984"/>
  <pageSetup paperSize="9" orientation="landscape" r:id="rId1"/>
  <headerFooter>
    <oddFooter>&amp;C&amp;"Times New Roman,Normal"&amp;10SisMob-BH - Gráficos de 1) Aspecto social e relação com a sociedade / 1.3) Gratuidades e descontos - p.&amp;P/&amp;N</oddFooter>
  </headerFooter>
  <rowBreaks count="1" manualBreakCount="1">
    <brk id="2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01"/>
  <sheetViews>
    <sheetView zoomScaleNormal="100" workbookViewId="0"/>
  </sheetViews>
  <sheetFormatPr defaultRowHeight="15" x14ac:dyDescent="0.25"/>
  <cols>
    <col min="1" max="1" width="10.5703125" customWidth="1"/>
    <col min="4" max="5" width="9.140625" customWidth="1"/>
    <col min="6" max="6" width="5.7109375" customWidth="1"/>
    <col min="13" max="13" width="10.85546875" customWidth="1"/>
  </cols>
  <sheetData>
    <row r="5" spans="1:15" ht="18.75" x14ac:dyDescent="0.25">
      <c r="A5" s="1735" t="s">
        <v>0</v>
      </c>
      <c r="B5" s="1735"/>
      <c r="C5" s="1735"/>
      <c r="D5" s="1735"/>
      <c r="E5" s="1735"/>
      <c r="F5" s="1735"/>
      <c r="G5" s="1735"/>
      <c r="H5" s="1735"/>
      <c r="I5" s="1735"/>
      <c r="J5" s="1735"/>
      <c r="K5" s="1735"/>
      <c r="L5" s="1735"/>
      <c r="M5" s="1735"/>
      <c r="N5" s="1735"/>
      <c r="O5" s="1735"/>
    </row>
    <row r="6" spans="1:15" ht="15.75" x14ac:dyDescent="0.25">
      <c r="A6" s="1736" t="s">
        <v>4002</v>
      </c>
      <c r="B6" s="1736"/>
      <c r="C6" s="1736"/>
      <c r="D6" s="1736"/>
      <c r="E6" s="1736"/>
      <c r="F6" s="1736"/>
      <c r="G6" s="1736"/>
      <c r="H6" s="1736"/>
      <c r="I6" s="1736"/>
      <c r="J6" s="1736"/>
      <c r="K6" s="1736"/>
      <c r="L6" s="1736"/>
      <c r="M6" s="1736"/>
      <c r="N6" s="1736"/>
      <c r="O6" s="1736"/>
    </row>
    <row r="25" spans="1:15" ht="102.75" customHeight="1" x14ac:dyDescent="0.25">
      <c r="A25" s="1740" t="s">
        <v>4368</v>
      </c>
      <c r="B25" s="1740"/>
      <c r="C25" s="1740"/>
      <c r="D25" s="1740"/>
      <c r="E25" s="1740"/>
      <c r="F25" s="1740"/>
      <c r="G25" s="1740"/>
      <c r="H25" s="1740"/>
      <c r="I25" s="1740"/>
      <c r="J25" s="1740"/>
      <c r="K25" s="1740"/>
      <c r="L25" s="1740"/>
      <c r="M25" s="1740"/>
      <c r="N25" s="1740"/>
      <c r="O25" s="1740"/>
    </row>
    <row r="26" spans="1:15" ht="15.75" x14ac:dyDescent="0.25">
      <c r="A26" s="1736" t="s">
        <v>4000</v>
      </c>
      <c r="B26" s="1736"/>
      <c r="C26" s="1736"/>
      <c r="D26" s="1736"/>
      <c r="E26" s="1736"/>
      <c r="F26" s="1736"/>
      <c r="G26" s="1736"/>
      <c r="H26" s="1736"/>
      <c r="I26" s="1736"/>
      <c r="J26" s="1736"/>
      <c r="K26" s="1736"/>
      <c r="L26" s="1736"/>
      <c r="M26" s="1736"/>
      <c r="N26" s="1736"/>
      <c r="O26" s="1736"/>
    </row>
    <row r="45" spans="1:15" ht="68.25" customHeight="1" x14ac:dyDescent="0.25">
      <c r="A45" s="1749" t="s">
        <v>4372</v>
      </c>
      <c r="B45" s="1750"/>
      <c r="C45" s="1750"/>
      <c r="D45" s="1750"/>
      <c r="E45" s="1750"/>
      <c r="F45" s="1750"/>
      <c r="G45" s="1750"/>
      <c r="H45" s="1750"/>
      <c r="I45" s="1750"/>
      <c r="J45" s="1750"/>
      <c r="K45" s="1750"/>
      <c r="L45" s="1750"/>
      <c r="M45" s="1750"/>
      <c r="N45" s="1750"/>
      <c r="O45" s="1750"/>
    </row>
    <row r="46" spans="1:15" ht="15.75" x14ac:dyDescent="0.25">
      <c r="A46" s="1736" t="s">
        <v>4001</v>
      </c>
      <c r="B46" s="1736"/>
      <c r="C46" s="1736"/>
      <c r="D46" s="1736"/>
      <c r="E46" s="1736"/>
      <c r="F46" s="1736"/>
      <c r="G46" s="1736"/>
      <c r="H46" s="1736"/>
      <c r="I46" s="1736"/>
      <c r="J46" s="1736"/>
      <c r="K46" s="1736"/>
      <c r="L46" s="1736"/>
      <c r="M46" s="1736"/>
      <c r="N46" s="1736"/>
      <c r="O46" s="1736"/>
    </row>
    <row r="63" spans="1:15" ht="81.75" customHeight="1" x14ac:dyDescent="0.25">
      <c r="A63" s="1749" t="s">
        <v>4371</v>
      </c>
      <c r="B63" s="1750"/>
      <c r="C63" s="1750"/>
      <c r="D63" s="1750"/>
      <c r="E63" s="1750"/>
      <c r="F63" s="1750"/>
      <c r="G63" s="1750"/>
      <c r="H63" s="1750"/>
      <c r="I63" s="1750"/>
      <c r="J63" s="1750"/>
      <c r="K63" s="1750"/>
      <c r="L63" s="1750"/>
      <c r="M63" s="1750"/>
      <c r="N63" s="1750"/>
      <c r="O63" s="1750"/>
    </row>
    <row r="64" spans="1:15" ht="15.75" x14ac:dyDescent="0.25">
      <c r="A64" s="1736" t="s">
        <v>4003</v>
      </c>
      <c r="B64" s="1736"/>
      <c r="C64" s="1736"/>
      <c r="D64" s="1736"/>
      <c r="E64" s="1736"/>
      <c r="F64" s="1736"/>
      <c r="G64" s="1736"/>
      <c r="H64" s="1736"/>
      <c r="I64" s="1736"/>
      <c r="J64" s="1736"/>
      <c r="K64" s="1736"/>
      <c r="L64" s="1736"/>
      <c r="M64" s="1736"/>
      <c r="N64" s="1736"/>
      <c r="O64" s="1736"/>
    </row>
    <row r="81" spans="1:15" ht="75" customHeight="1" x14ac:dyDescent="0.25">
      <c r="A81" s="1749" t="s">
        <v>4370</v>
      </c>
      <c r="B81" s="1750"/>
      <c r="C81" s="1750"/>
      <c r="D81" s="1750"/>
      <c r="E81" s="1750"/>
      <c r="F81" s="1750"/>
      <c r="G81" s="1750"/>
      <c r="H81" s="1750"/>
      <c r="I81" s="1750"/>
      <c r="J81" s="1750"/>
      <c r="K81" s="1750"/>
      <c r="L81" s="1750"/>
      <c r="M81" s="1750"/>
      <c r="N81" s="1750"/>
      <c r="O81" s="1750"/>
    </row>
    <row r="82" spans="1:15" ht="15.75" x14ac:dyDescent="0.25">
      <c r="A82" s="1736" t="s">
        <v>4004</v>
      </c>
      <c r="B82" s="1736"/>
      <c r="C82" s="1736"/>
      <c r="D82" s="1736"/>
      <c r="E82" s="1736"/>
      <c r="F82" s="1736"/>
      <c r="G82" s="1736"/>
      <c r="H82" s="1736"/>
      <c r="I82" s="1736"/>
      <c r="J82" s="1736"/>
      <c r="K82" s="1736"/>
      <c r="L82" s="1736"/>
      <c r="M82" s="1736"/>
      <c r="N82" s="1736"/>
      <c r="O82" s="1736"/>
    </row>
    <row r="99" spans="1:15" ht="81.75" customHeight="1" x14ac:dyDescent="0.25">
      <c r="A99" s="1749" t="s">
        <v>4369</v>
      </c>
      <c r="B99" s="1750"/>
      <c r="C99" s="1750"/>
      <c r="D99" s="1750"/>
      <c r="E99" s="1750"/>
      <c r="F99" s="1750"/>
      <c r="G99" s="1750"/>
      <c r="H99" s="1750"/>
      <c r="I99" s="1750"/>
      <c r="J99" s="1750"/>
      <c r="K99" s="1750"/>
      <c r="L99" s="1750"/>
      <c r="M99" s="1750"/>
      <c r="N99" s="1750"/>
      <c r="O99" s="1750"/>
    </row>
    <row r="100" spans="1:15" x14ac:dyDescent="0.25">
      <c r="A100" s="1210"/>
      <c r="B100" s="274"/>
      <c r="C100" s="274"/>
      <c r="D100" s="274"/>
      <c r="E100" s="274"/>
      <c r="F100" s="274"/>
      <c r="G100" s="274"/>
      <c r="H100" s="274"/>
      <c r="I100" s="274"/>
      <c r="J100" s="274"/>
      <c r="K100" s="274"/>
      <c r="L100" s="274"/>
      <c r="M100" s="274"/>
      <c r="N100" s="274"/>
      <c r="O100" s="274"/>
    </row>
    <row r="101" spans="1:15" ht="55.5" customHeight="1" x14ac:dyDescent="0.25">
      <c r="A101" s="1737" t="s">
        <v>1084</v>
      </c>
      <c r="B101" s="1738"/>
      <c r="C101" s="1738"/>
      <c r="D101" s="1738"/>
      <c r="E101" s="1738"/>
      <c r="F101" s="1738"/>
      <c r="G101" s="1738"/>
      <c r="H101" s="1738"/>
      <c r="I101" s="1738"/>
      <c r="J101" s="1738"/>
      <c r="K101" s="1738"/>
      <c r="L101" s="1738"/>
      <c r="M101" s="1738"/>
      <c r="N101" s="1738"/>
      <c r="O101" s="1739"/>
    </row>
  </sheetData>
  <mergeCells count="12">
    <mergeCell ref="A5:O5"/>
    <mergeCell ref="A6:O6"/>
    <mergeCell ref="A101:O101"/>
    <mergeCell ref="A25:O25"/>
    <mergeCell ref="A26:O26"/>
    <mergeCell ref="A45:O45"/>
    <mergeCell ref="A46:O46"/>
    <mergeCell ref="A64:O64"/>
    <mergeCell ref="A82:O82"/>
    <mergeCell ref="A99:O99"/>
    <mergeCell ref="A81:O81"/>
    <mergeCell ref="A63:O63"/>
  </mergeCells>
  <printOptions horizontalCentered="1" verticalCentered="1"/>
  <pageMargins left="0.39370078740157483" right="0.39370078740157483" top="0.39370078740157483" bottom="0.39370078740157483" header="0.31496062992125984" footer="0.31496062992125984"/>
  <pageSetup paperSize="9" orientation="landscape" r:id="rId1"/>
  <headerFooter>
    <oddFooter>&amp;C&amp;10SisMob-BH - Gráficos de 1) Aspecto social e relação com a sociedade / 1.5) Solicitações urbanísticas - p.&amp;P/&amp;N</oddFooter>
  </headerFooter>
  <rowBreaks count="4" manualBreakCount="4">
    <brk id="25" max="16383" man="1"/>
    <brk id="45" max="16383" man="1"/>
    <brk id="63" max="16383" man="1"/>
    <brk id="8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21</vt:i4>
      </vt:variant>
    </vt:vector>
  </HeadingPairs>
  <TitlesOfParts>
    <vt:vector size="62" baseType="lpstr">
      <vt:lpstr>Q100a-geral</vt:lpstr>
      <vt:lpstr>Q100b-totais</vt:lpstr>
      <vt:lpstr>Q100c-fontes</vt:lpstr>
      <vt:lpstr>Q100d-ODS 11</vt:lpstr>
      <vt:lpstr>Q100e-FrotaOnibus</vt:lpstr>
      <vt:lpstr>1.1</vt:lpstr>
      <vt:lpstr>(1.2)</vt:lpstr>
      <vt:lpstr>1.3</vt:lpstr>
      <vt:lpstr>1.5</vt:lpstr>
      <vt:lpstr>2.1</vt:lpstr>
      <vt:lpstr>2.2</vt:lpstr>
      <vt:lpstr>2.3</vt:lpstr>
      <vt:lpstr>x2.4</vt:lpstr>
      <vt:lpstr>(2.5)</vt:lpstr>
      <vt:lpstr>2.6</vt:lpstr>
      <vt:lpstr>3.2.1</vt:lpstr>
      <vt:lpstr>3.2.2</vt:lpstr>
      <vt:lpstr>(3.4)</vt:lpstr>
      <vt:lpstr>3.5</vt:lpstr>
      <vt:lpstr>(4.3)</vt:lpstr>
      <vt:lpstr>4.4</vt:lpstr>
      <vt:lpstr>5.1</vt:lpstr>
      <vt:lpstr>5.2</vt:lpstr>
      <vt:lpstr>6.1</vt:lpstr>
      <vt:lpstr>6.2</vt:lpstr>
      <vt:lpstr>8.2</vt:lpstr>
      <vt:lpstr>8.4</vt:lpstr>
      <vt:lpstr>(8.5)</vt:lpstr>
      <vt:lpstr>8.6</vt:lpstr>
      <vt:lpstr>(8.7)</vt:lpstr>
      <vt:lpstr>(8.8)</vt:lpstr>
      <vt:lpstr>(8.9)</vt:lpstr>
      <vt:lpstr>8.10</vt:lpstr>
      <vt:lpstr>9.1</vt:lpstr>
      <vt:lpstr>9.2</vt:lpstr>
      <vt:lpstr>9.5</vt:lpstr>
      <vt:lpstr>9.6</vt:lpstr>
      <vt:lpstr>para_graficos</vt:lpstr>
      <vt:lpstr>base_bench</vt:lpstr>
      <vt:lpstr>atualiz_assinaturas</vt:lpstr>
      <vt:lpstr>pend</vt:lpstr>
      <vt:lpstr>'1.3'!Titulos_de_impressao</vt:lpstr>
      <vt:lpstr>'1.5'!Titulos_de_impressao</vt:lpstr>
      <vt:lpstr>'2.1'!Titulos_de_impressao</vt:lpstr>
      <vt:lpstr>'2.2'!Titulos_de_impressao</vt:lpstr>
      <vt:lpstr>'3.2.1'!Titulos_de_impressao</vt:lpstr>
      <vt:lpstr>'3.2.2'!Titulos_de_impressao</vt:lpstr>
      <vt:lpstr>'3.5'!Titulos_de_impressao</vt:lpstr>
      <vt:lpstr>'4.4'!Titulos_de_impressao</vt:lpstr>
      <vt:lpstr>'5.1'!Titulos_de_impressao</vt:lpstr>
      <vt:lpstr>'5.2'!Titulos_de_impressao</vt:lpstr>
      <vt:lpstr>'6.1'!Titulos_de_impressao</vt:lpstr>
      <vt:lpstr>'6.2'!Titulos_de_impressao</vt:lpstr>
      <vt:lpstr>'8.10'!Titulos_de_impressao</vt:lpstr>
      <vt:lpstr>'8.4'!Titulos_de_impressao</vt:lpstr>
      <vt:lpstr>'8.6'!Titulos_de_impressao</vt:lpstr>
      <vt:lpstr>'9.1'!Titulos_de_impressao</vt:lpstr>
      <vt:lpstr>'9.2'!Titulos_de_impressao</vt:lpstr>
      <vt:lpstr>'9.5'!Titulos_de_impressao</vt:lpstr>
      <vt:lpstr>'9.6'!Titulos_de_impressao</vt:lpstr>
      <vt:lpstr>'Q100d-ODS 11'!Titulos_de_impressao</vt:lpstr>
      <vt:lpstr>x2.4!Titulos_de_impressao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bt000164</dc:creator>
  <cp:lastModifiedBy>PC</cp:lastModifiedBy>
  <cp:lastPrinted>2017-01-23T19:10:10Z</cp:lastPrinted>
  <dcterms:created xsi:type="dcterms:W3CDTF">2015-06-03T14:00:54Z</dcterms:created>
  <dcterms:modified xsi:type="dcterms:W3CDTF">2017-10-18T21:11:17Z</dcterms:modified>
</cp:coreProperties>
</file>